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ables/table1.xml" ContentType="application/vnd.openxmlformats-officedocument.spreadsheetml.table+xml"/>
  <Override PartName="/xl/worksheets/sheet22.xml" ContentType="application/vnd.openxmlformats-officedocument.spreadsheetml.worksheet+xml"/>
  <Override PartName="/xl/worksheets/sheet23.xml" ContentType="application/vnd.openxmlformats-officedocument.spreadsheetml.worksheet+xml"/>
  <Override PartName="/xl/tables/table2.xml" ContentType="application/vnd.openxmlformats-officedocument.spreadsheetml.table+xml"/>
  <Override PartName="/xl/worksheets/sheet24.xml" ContentType="application/vnd.openxmlformats-officedocument.spreadsheetml.worksheet+xml"/>
  <Override PartName="/xl/tables/table3.xml" ContentType="application/vnd.openxmlformats-officedocument.spreadsheetml.table+xml"/>
  <Override PartName="/xl/worksheets/sheet25.xml" ContentType="application/vnd.openxmlformats-officedocument.spreadsheetml.worksheet+xml"/>
  <Override PartName="/xl/tables/table4.xml" ContentType="application/vnd.openxmlformats-officedocument.spreadsheetml.table+xml"/>
  <Override PartName="/xl/worksheets/sheet26.xml" ContentType="application/vnd.openxmlformats-officedocument.spreadsheetml.worksheet+xml"/>
  <Override PartName="/xl/tables/table5.xml" ContentType="application/vnd.openxmlformats-officedocument.spreadsheetml.table+xml"/>
  <Override PartName="/xl/worksheets/sheet27.xml" ContentType="application/vnd.openxmlformats-officedocument.spreadsheetml.worksheet+xml"/>
  <Override PartName="/xl/tables/table6.xml" ContentType="application/vnd.openxmlformats-officedocument.spreadsheetml.table+xml"/>
  <Override PartName="/xl/worksheets/sheet28.xml" ContentType="application/vnd.openxmlformats-officedocument.spreadsheetml.worksheet+xml"/>
  <Override PartName="/xl/tables/table7.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tables/table8.xml" ContentType="application/vnd.openxmlformats-officedocument.spreadsheetml.table+xml"/>
  <Override PartName="/xl/worksheets/sheet31.xml" ContentType="application/vnd.openxmlformats-officedocument.spreadsheetml.worksheet+xml"/>
  <Override PartName="/xl/tables/table9.xml" ContentType="application/vnd.openxmlformats-officedocument.spreadsheetml.table+xml"/>
  <Override PartName="/xl/worksheets/sheet32.xml" ContentType="application/vnd.openxmlformats-officedocument.spreadsheetml.worksheet+xml"/>
  <Override PartName="/xl/tables/table10.xml" ContentType="application/vnd.openxmlformats-officedocument.spreadsheetml.table+xml"/>
  <Override PartName="/xl/worksheets/sheet33.xml" ContentType="application/vnd.openxmlformats-officedocument.spreadsheetml.worksheet+xml"/>
  <Override PartName="/xl/tables/table11.xml" ContentType="application/vnd.openxmlformats-officedocument.spreadsheetml.table+xml"/>
  <Override PartName="/xl/worksheets/sheet34.xml" ContentType="application/vnd.openxmlformats-officedocument.spreadsheetml.worksheet+xml"/>
  <Override PartName="/xl/tables/table12.xml" ContentType="application/vnd.openxmlformats-officedocument.spreadsheetml.table+xml"/>
  <Override PartName="/xl/worksheets/sheet35.xml" ContentType="application/vnd.openxmlformats-officedocument.spreadsheetml.worksheet+xml"/>
  <Override PartName="/xl/tables/table13.xml" ContentType="application/vnd.openxmlformats-officedocument.spreadsheetml.table+xml"/>
  <Override PartName="/xl/worksheets/sheet36.xml" ContentType="application/vnd.openxmlformats-officedocument.spreadsheetml.worksheet+xml"/>
  <Override PartName="/xl/tables/table14.xml" ContentType="application/vnd.openxmlformats-officedocument.spreadsheetml.table+xml"/>
  <Override PartName="/xl/worksheets/sheet37.xml" ContentType="application/vnd.openxmlformats-officedocument.spreadsheetml.worksheet+xml"/>
  <Override PartName="/xl/tables/table15.xml" ContentType="application/vnd.openxmlformats-officedocument.spreadsheetml.table+xml"/>
  <Override PartName="/xl/worksheets/sheet38.xml" ContentType="application/vnd.openxmlformats-officedocument.spreadsheetml.worksheet+xml"/>
  <Override PartName="/xl/tables/table16.xml" ContentType="application/vnd.openxmlformats-officedocument.spreadsheetml.table+xml"/>
  <Override PartName="/xl/worksheets/sheet39.xml" ContentType="application/vnd.openxmlformats-officedocument.spreadsheetml.worksheet+xml"/>
  <Override PartName="/xl/tables/table17.xml" ContentType="application/vnd.openxmlformats-officedocument.spreadsheetml.table+xml"/>
  <Override PartName="/xl/worksheets/sheet40.xml" ContentType="application/vnd.openxmlformats-officedocument.spreadsheetml.worksheet+xml"/>
  <Override PartName="/xl/tables/table18.xml" ContentType="application/vnd.openxmlformats-officedocument.spreadsheetml.table+xml"/>
  <Override PartName="/xl/worksheets/sheet41.xml" ContentType="application/vnd.openxmlformats-officedocument.spreadsheetml.worksheet+xml"/>
  <Override PartName="/xl/tables/table19.xml" ContentType="application/vnd.openxmlformats-officedocument.spreadsheetml.table+xml"/>
  <Override PartName="/xl/worksheets/sheet42.xml" ContentType="application/vnd.openxmlformats-officedocument.spreadsheetml.worksheet+xml"/>
  <Override PartName="/xl/tables/table20.xml" ContentType="application/vnd.openxmlformats-officedocument.spreadsheetml.table+xml"/>
  <Override PartName="/xl/worksheets/sheet43.xml" ContentType="application/vnd.openxmlformats-officedocument.spreadsheetml.worksheet+xml"/>
  <Override PartName="/xl/tables/table21.xml" ContentType="application/vnd.openxmlformats-officedocument.spreadsheetml.table+xml"/>
  <Override PartName="/xl/worksheets/sheet44.xml" ContentType="application/vnd.openxmlformats-officedocument.spreadsheetml.worksheet+xml"/>
  <Override PartName="/xl/tables/table22.xml" ContentType="application/vnd.openxmlformats-officedocument.spreadsheetml.table+xml"/>
  <Override PartName="/xl/worksheets/sheet45.xml" ContentType="application/vnd.openxmlformats-officedocument.spreadsheetml.worksheet+xml"/>
  <Override PartName="/xl/tables/table23.xml" ContentType="application/vnd.openxmlformats-officedocument.spreadsheetml.table+xml"/>
  <Override PartName="/xl/worksheets/sheet46.xml" ContentType="application/vnd.openxmlformats-officedocument.spreadsheetml.worksheet+xml"/>
  <Override PartName="/xl/tables/table24.xml" ContentType="application/vnd.openxmlformats-officedocument.spreadsheetml.table+xml"/>
  <Override PartName="/xl/worksheets/sheet47.xml" ContentType="application/vnd.openxmlformats-officedocument.spreadsheetml.worksheet+xml"/>
  <Override PartName="/xl/tables/table25.xml" ContentType="application/vnd.openxmlformats-officedocument.spreadsheetml.table+xml"/>
  <Override PartName="/xl/worksheets/sheet48.xml" ContentType="application/vnd.openxmlformats-officedocument.spreadsheetml.worksheet+xml"/>
  <Override PartName="/xl/tables/table2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EME_CIERRE" sheetId="1" state="visible" r:id="rId1"/>
    <sheet xmlns:r="http://schemas.openxmlformats.org/officeDocument/2006/relationships" name="BASE_CIERRE" sheetId="2" state="visible" r:id="rId2"/>
    <sheet xmlns:r="http://schemas.openxmlformats.org/officeDocument/2006/relationships" name="RESUMEN_CIERRE" sheetId="3" state="visible" r:id="rId3"/>
    <sheet xmlns:r="http://schemas.openxmlformats.org/officeDocument/2006/relationships" name="RQ1_PERFILES" sheetId="4" state="visible" r:id="rId4"/>
    <sheet xmlns:r="http://schemas.openxmlformats.org/officeDocument/2006/relationships" name="RQ1_ALGORITMOS" sheetId="5" state="visible" r:id="rId5"/>
    <sheet xmlns:r="http://schemas.openxmlformats.org/officeDocument/2006/relationships" name="RQ1_ALG_FUENTE" sheetId="6" state="visible" r:id="rId6"/>
    <sheet xmlns:r="http://schemas.openxmlformats.org/officeDocument/2006/relationships" name="RQ2_INTEGRACION" sheetId="7" state="visible" r:id="rId7"/>
    <sheet xmlns:r="http://schemas.openxmlformats.org/officeDocument/2006/relationships" name="RQ2_USO_EVALUADO" sheetId="8" state="visible" r:id="rId8"/>
    <sheet xmlns:r="http://schemas.openxmlformats.org/officeDocument/2006/relationships" name="RQ3_PRACTICAS" sheetId="9" state="visible" r:id="rId9"/>
    <sheet xmlns:r="http://schemas.openxmlformats.org/officeDocument/2006/relationships" name="RQ3_PERFILES" sheetId="10" state="visible" r:id="rId10"/>
    <sheet xmlns:r="http://schemas.openxmlformats.org/officeDocument/2006/relationships" name="SENSIBILIDAD" sheetId="11" state="visible" r:id="rId11"/>
    <sheet xmlns:r="http://schemas.openxmlformats.org/officeDocument/2006/relationships" name="EXCLUSIONES_CIERRE" sheetId="12" state="visible" r:id="rId12"/>
    <sheet xmlns:r="http://schemas.openxmlformats.org/officeDocument/2006/relationships" name="ALERTAS_CIERRE" sheetId="13" state="visible" r:id="rId13"/>
    <sheet xmlns:r="http://schemas.openxmlformats.org/officeDocument/2006/relationships" name="EVIDENCIA_CIERRE" sheetId="14" state="visible" r:id="rId14"/>
    <sheet xmlns:r="http://schemas.openxmlformats.org/officeDocument/2006/relationships" name="CAMBIOS_CIERRE" sheetId="15" state="visible" r:id="rId15"/>
    <sheet xmlns:r="http://schemas.openxmlformats.org/officeDocument/2006/relationships" name="DICCIONARIO_CIERRE" sheetId="16" state="visible" r:id="rId16"/>
    <sheet xmlns:r="http://schemas.openxmlformats.org/officeDocument/2006/relationships" name="PRISMA_CIERRE" sheetId="17" state="visible" r:id="rId17"/>
    <sheet xmlns:r="http://schemas.openxmlformats.org/officeDocument/2006/relationships" name="RESULTADOS_EN" sheetId="18" state="visible" r:id="rId18"/>
    <sheet xmlns:r="http://schemas.openxmlformats.org/officeDocument/2006/relationships" name="VALIDACION" sheetId="19" state="visible" r:id="rId19"/>
    <sheet xmlns:r="http://schemas.openxmlformats.org/officeDocument/2006/relationships" name="PROCEDENCIA" sheetId="20" state="visible" r:id="rId20"/>
    <sheet xmlns:r="http://schemas.openxmlformats.org/officeDocument/2006/relationships" name="LEEME" sheetId="21" state="hidden" r:id="rId21"/>
    <sheet xmlns:r="http://schemas.openxmlformats.org/officeDocument/2006/relationships" name="CONTROL" sheetId="22" state="hidden" r:id="rId22"/>
    <sheet xmlns:r="http://schemas.openxmlformats.org/officeDocument/2006/relationships" name="CIERRE" sheetId="23" state="hidden" r:id="rId23"/>
    <sheet xmlns:r="http://schemas.openxmlformats.org/officeDocument/2006/relationships" name="ESTUDIOS" sheetId="24" state="hidden" r:id="rId24"/>
    <sheet xmlns:r="http://schemas.openxmlformats.org/officeDocument/2006/relationships" name="RQ1" sheetId="25" state="hidden" r:id="rId25"/>
    <sheet xmlns:r="http://schemas.openxmlformats.org/officeDocument/2006/relationships" name="RQ2" sheetId="26" state="hidden" r:id="rId26"/>
    <sheet xmlns:r="http://schemas.openxmlformats.org/officeDocument/2006/relationships" name="RQ3" sheetId="27" state="hidden" r:id="rId27"/>
    <sheet xmlns:r="http://schemas.openxmlformats.org/officeDocument/2006/relationships" name="EVIDENCIA" sheetId="28" state="hidden" r:id="rId28"/>
    <sheet xmlns:r="http://schemas.openxmlformats.org/officeDocument/2006/relationships" name="PRISMA" sheetId="29" state="hidden" r:id="rId29"/>
    <sheet xmlns:r="http://schemas.openxmlformats.org/officeDocument/2006/relationships" name="RESUMEN_RQ" sheetId="30" state="hidden" r:id="rId30"/>
    <sheet xmlns:r="http://schemas.openxmlformats.org/officeDocument/2006/relationships" name="Guia_manuscrito" sheetId="31" state="hidden" r:id="rId31"/>
    <sheet xmlns:r="http://schemas.openxmlformats.org/officeDocument/2006/relationships" name="Diccionario" sheetId="32" state="hidden" r:id="rId32"/>
    <sheet xmlns:r="http://schemas.openxmlformats.org/officeDocument/2006/relationships" name="Mapeo_fuentes" sheetId="33" state="hidden" r:id="rId33"/>
    <sheet xmlns:r="http://schemas.openxmlformats.org/officeDocument/2006/relationships" name="Cambios" sheetId="34" state="hidden" r:id="rId34"/>
    <sheet xmlns:r="http://schemas.openxmlformats.org/officeDocument/2006/relationships" name="Fuentes" sheetId="35" state="hidden" r:id="rId35"/>
    <sheet xmlns:r="http://schemas.openxmlformats.org/officeDocument/2006/relationships" name="Hist_RQ12_origen" sheetId="36" state="hidden" r:id="rId36"/>
    <sheet xmlns:r="http://schemas.openxmlformats.org/officeDocument/2006/relationships" name="Hist_RQ3_origen" sheetId="37" state="hidden" r:id="rId37"/>
    <sheet xmlns:r="http://schemas.openxmlformats.org/officeDocument/2006/relationships" name="Nuevos_origen" sheetId="38" state="hidden" r:id="rId38"/>
    <sheet xmlns:r="http://schemas.openxmlformats.org/officeDocument/2006/relationships" name="Decisiones_origen" sheetId="39" state="hidden" r:id="rId39"/>
    <sheet xmlns:r="http://schemas.openxmlformats.org/officeDocument/2006/relationships" name="Actualizacion_origen" sheetId="40" state="hidden" r:id="rId40"/>
    <sheet xmlns:r="http://schemas.openxmlformats.org/officeDocument/2006/relationships" name="Acceso_origen" sheetId="41" state="hidden" r:id="rId41"/>
    <sheet xmlns:r="http://schemas.openxmlformats.org/officeDocument/2006/relationships" name="Integridad_origen" sheetId="42" state="hidden" r:id="rId42"/>
    <sheet xmlns:r="http://schemas.openxmlformats.org/officeDocument/2006/relationships" name="Fuentes_verificadas" sheetId="43" state="hidden" r:id="rId43"/>
    <sheet xmlns:r="http://schemas.openxmlformats.org/officeDocument/2006/relationships" name="Lotes_origen" sheetId="44" state="hidden" r:id="rId44"/>
    <sheet xmlns:r="http://schemas.openxmlformats.org/officeDocument/2006/relationships" name="RQ2_auditoria_origen" sheetId="45" state="hidden" r:id="rId45"/>
    <sheet xmlns:r="http://schemas.openxmlformats.org/officeDocument/2006/relationships" name="RQ2_resolucion_origen" sheetId="46" state="hidden" r:id="rId46"/>
    <sheet xmlns:r="http://schemas.openxmlformats.org/officeDocument/2006/relationships" name="Codebook_origen" sheetId="47" state="hidden" r:id="rId47"/>
    <sheet xmlns:r="http://schemas.openxmlformats.org/officeDocument/2006/relationships" name="Criterios_origen" sheetId="48" state="hidden" r:id="rId48"/>
  </sheets>
  <definedNames>
    <definedName name="_xlnm._FilterDatabase" localSheetId="0" hidden="1">'LEEME_CIERRE'!$A$4:$C$27</definedName>
    <definedName name="_xlnm.Print_Titles" localSheetId="0">'LEEME_CIERRE'!$1:$4</definedName>
    <definedName name="_xlnm._FilterDatabase" localSheetId="1" hidden="1">'BASE_CIERRE'!$A$4:$AS$458</definedName>
    <definedName name="_xlnm.Print_Titles" localSheetId="1">'BASE_CIERRE'!$1:$4</definedName>
    <definedName name="_xlnm._FilterDatabase" localSheetId="2" hidden="1">'RESUMEN_CIERRE'!$A$4:$E$68</definedName>
    <definedName name="_xlnm.Print_Titles" localSheetId="2">'RESUMEN_CIERRE'!$1:$4</definedName>
    <definedName name="_xlnm._FilterDatabase" localSheetId="3" hidden="1">'RQ1_PERFILES'!$A$4:$F$94</definedName>
    <definedName name="_xlnm.Print_Titles" localSheetId="3">'RQ1_PERFILES'!$1:$4</definedName>
    <definedName name="_xlnm._FilterDatabase" localSheetId="4" hidden="1">'RQ1_ALGORITMOS'!$A$4:$E$62</definedName>
    <definedName name="_xlnm.Print_Titles" localSheetId="4">'RQ1_ALGORITMOS'!$1:$4</definedName>
    <definedName name="_xlnm._FilterDatabase" localSheetId="5" hidden="1">'RQ1_ALG_FUENTE'!$A$4:$G$225</definedName>
    <definedName name="_xlnm.Print_Titles" localSheetId="5">'RQ1_ALG_FUENTE'!$1:$4</definedName>
    <definedName name="_xlnm._FilterDatabase" localSheetId="6" hidden="1">'RQ2_INTEGRACION'!$A$4:$G$37</definedName>
    <definedName name="_xlnm.Print_Titles" localSheetId="6">'RQ2_INTEGRACION'!$1:$4</definedName>
    <definedName name="_xlnm._FilterDatabase" localSheetId="7" hidden="1">'RQ2_USO_EVALUADO'!$A$4:$J$23</definedName>
    <definedName name="_xlnm.Print_Titles" localSheetId="7">'RQ2_USO_EVALUADO'!$1:$4</definedName>
    <definedName name="_xlnm._FilterDatabase" localSheetId="8" hidden="1">'RQ3_PRACTICAS'!$A$4:$I$53</definedName>
    <definedName name="_xlnm.Print_Titles" localSheetId="8">'RQ3_PRACTICAS'!$1:$4</definedName>
    <definedName name="_xlnm._FilterDatabase" localSheetId="9" hidden="1">'RQ3_PERFILES'!$A$4:$L$364</definedName>
    <definedName name="_xlnm.Print_Titles" localSheetId="9">'RQ3_PERFILES'!$1:$4</definedName>
    <definedName name="_xlnm._FilterDatabase" localSheetId="10" hidden="1">'SENSIBILIDAD'!$A$4:$G$28</definedName>
    <definedName name="_xlnm.Print_Titles" localSheetId="10">'SENSIBILIDAD'!$1:$4</definedName>
    <definedName name="_xlnm._FilterDatabase" localSheetId="11" hidden="1">'EXCLUSIONES_CIERRE'!$A$4:$G$30</definedName>
    <definedName name="_xlnm.Print_Titles" localSheetId="11">'EXCLUSIONES_CIERRE'!$1:$4</definedName>
    <definedName name="_xlnm._FilterDatabase" localSheetId="12" hidden="1">'ALERTAS_CIERRE'!$A$4:$F$22</definedName>
    <definedName name="_xlnm.Print_Titles" localSheetId="12">'ALERTAS_CIERRE'!$1:$4</definedName>
    <definedName name="_xlnm._FilterDatabase" localSheetId="13" hidden="1">'EVIDENCIA_CIERRE'!$A$4:$M$458</definedName>
    <definedName name="_xlnm.Print_Titles" localSheetId="13">'EVIDENCIA_CIERRE'!$1:$4</definedName>
    <definedName name="_xlnm._FilterDatabase" localSheetId="14" hidden="1">'CAMBIOS_CIERRE'!$A$4:$G$2453</definedName>
    <definedName name="_xlnm.Print_Titles" localSheetId="14">'CAMBIOS_CIERRE'!$1:$4</definedName>
    <definedName name="_xlnm._FilterDatabase" localSheetId="15" hidden="1">'DICCIONARIO_CIERRE'!$A$4:$C$23</definedName>
    <definedName name="_xlnm.Print_Titles" localSheetId="15">'DICCIONARIO_CIERRE'!$1:$4</definedName>
    <definedName name="_xlnm._FilterDatabase" localSheetId="16" hidden="1">'PRISMA_CIERRE'!$A$4:$D$24</definedName>
    <definedName name="_xlnm.Print_Titles" localSheetId="16">'PRISMA_CIERRE'!$1:$4</definedName>
    <definedName name="_xlnm._FilterDatabase" localSheetId="17" hidden="1">'RESULTADOS_EN'!$A$4:$B$16</definedName>
    <definedName name="_xlnm.Print_Titles" localSheetId="17">'RESULTADOS_EN'!$1:$4</definedName>
    <definedName name="_xlnm._FilterDatabase" localSheetId="18" hidden="1">'VALIDACION'!$A$4:$D$20</definedName>
    <definedName name="_xlnm.Print_Titles" localSheetId="18">'VALIDACION'!$1:$4</definedName>
    <definedName name="_xlnm._FilterDatabase" localSheetId="19" hidden="1">'PROCEDENCIA'!$A$4:$C$41</definedName>
    <definedName name="_xlnm.Print_Titles" localSheetId="19">'PROCEDENCIA'!$1:$4</definedName>
  </definedNames>
  <calcPr calcId="191029" fullCalcOnLoad="1" forceFullCalc="1"/>
</workbook>
</file>

<file path=xl/styles.xml><?xml version="1.0" encoding="utf-8"?>
<styleSheet xmlns="http://schemas.openxmlformats.org/spreadsheetml/2006/main">
  <numFmts count="2">
    <numFmt numFmtId="164" formatCode="yyyy-mm-dd"/>
    <numFmt numFmtId="165" formatCode="0.0%"/>
  </numFmts>
  <fonts count="12">
    <font>
      <name val="Carlito"/>
      <sz val="11"/>
    </font>
    <font>
      <name val="Aptos"/>
      <sz val="11"/>
    </font>
    <font>
      <name val="Aptos"/>
      <sz val="10"/>
    </font>
    <font>
      <name val="Aptos"/>
      <b val="1"/>
      <color rgb="FFFFFFFF"/>
      <sz val="10"/>
    </font>
    <font>
      <name val="Aptos"/>
      <b val="1"/>
      <color rgb="FF0B6C69"/>
      <sz val="19"/>
    </font>
    <font>
      <name val="Aptos Display"/>
      <b val="1"/>
      <color rgb="0014364B"/>
      <sz val="20"/>
    </font>
    <font>
      <name val="Aptos"/>
      <color rgb="00526571"/>
      <sz val="10"/>
    </font>
    <font>
      <name val="Aptos"/>
      <b val="1"/>
      <color rgb="00FFFFFF"/>
      <sz val="11"/>
    </font>
    <font>
      <name val="Aptos"/>
      <color rgb="0017394A"/>
      <sz val="10"/>
    </font>
    <font>
      <name val="Aptos"/>
      <color rgb="00000000"/>
      <sz val="10"/>
    </font>
    <font>
      <name val="Aptos"/>
      <b val="1"/>
      <color rgb="00177E89"/>
      <sz val="11"/>
    </font>
    <font>
      <name val="Aptos"/>
      <b val="1"/>
      <color rgb="00177E89"/>
      <sz val="19"/>
    </font>
  </fonts>
  <fills count="9">
    <fill>
      <patternFill/>
    </fill>
    <fill>
      <patternFill patternType="gray125"/>
    </fill>
    <fill>
      <patternFill patternType="solid">
        <fgColor rgb="FF14364B"/>
      </patternFill>
    </fill>
    <fill>
      <patternFill patternType="solid">
        <fgColor rgb="FFE5F2F0"/>
      </patternFill>
    </fill>
    <fill>
      <patternFill patternType="solid">
        <fgColor rgb="FFFFF1CF"/>
      </patternFill>
    </fill>
    <fill>
      <patternFill patternType="solid">
        <fgColor rgb="0014364B"/>
      </patternFill>
    </fill>
    <fill>
      <patternFill patternType="solid">
        <fgColor rgb="00EFF6F8"/>
      </patternFill>
    </fill>
    <fill>
      <patternFill patternType="solid">
        <fgColor rgb="00FFF0CE"/>
      </patternFill>
    </fill>
    <fill>
      <patternFill patternType="solid">
        <fgColor rgb="00FBE4E1"/>
      </patternFill>
    </fill>
  </fills>
  <borders count="1">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wrapText="1"/>
    </xf>
    <xf numFmtId="0" fontId="2" fillId="0" borderId="0" applyAlignment="1" pivotButton="0" quotePrefix="0" xfId="0">
      <alignment vertical="top" wrapText="1"/>
    </xf>
    <xf numFmtId="0" fontId="2" fillId="2" borderId="0" applyAlignment="1" pivotButton="0" quotePrefix="0" xfId="0">
      <alignment vertical="top" wrapText="1"/>
    </xf>
    <xf numFmtId="0" fontId="3" fillId="2" borderId="0" applyAlignment="1" pivotButton="0" quotePrefix="0" xfId="0">
      <alignment vertical="top" wrapText="1"/>
    </xf>
    <xf numFmtId="164" fontId="3" fillId="2" borderId="0" applyAlignment="1" pivotButton="0" quotePrefix="0" xfId="0">
      <alignment vertical="top" wrapText="1"/>
    </xf>
    <xf numFmtId="164" fontId="2" fillId="0" borderId="0" applyAlignment="1" pivotButton="0" quotePrefix="0" xfId="0">
      <alignment vertical="top" wrapText="1"/>
    </xf>
    <xf numFmtId="1" fontId="2" fillId="0" borderId="0" applyAlignment="1" pivotButton="0" quotePrefix="0" xfId="0">
      <alignment vertical="top" wrapText="1"/>
    </xf>
    <xf numFmtId="1" fontId="2" fillId="3" borderId="0" applyAlignment="1" pivotButton="0" quotePrefix="0" xfId="0">
      <alignment vertical="top" wrapText="1"/>
    </xf>
    <xf numFmtId="1" fontId="4" fillId="3" borderId="0" applyAlignment="1" pivotButton="0" quotePrefix="0" xfId="0">
      <alignment vertical="top" wrapText="1"/>
    </xf>
    <xf numFmtId="0" fontId="2" fillId="4" borderId="0" applyAlignment="1" pivotButton="0" quotePrefix="0" xfId="0">
      <alignment vertical="top" wrapText="1"/>
    </xf>
    <xf numFmtId="1" fontId="2" fillId="4" borderId="0" applyAlignment="1" pivotButton="0" quotePrefix="0" xfId="0">
      <alignment vertical="top" wrapText="1"/>
    </xf>
    <xf numFmtId="165" fontId="2" fillId="0" borderId="0" applyAlignment="1" pivotButton="0" quotePrefix="0" xfId="0">
      <alignment vertical="top" wrapText="1"/>
    </xf>
    <xf numFmtId="164" fontId="2" fillId="4" borderId="0" applyAlignment="1" pivotButton="0" quotePrefix="0" xfId="0">
      <alignment vertical="top" wrapText="1"/>
    </xf>
    <xf numFmtId="0" fontId="5" fillId="0" borderId="0" pivotButton="0" quotePrefix="0" xfId="0"/>
    <xf numFmtId="0" fontId="6" fillId="0" borderId="0" applyAlignment="1" pivotButton="0" quotePrefix="0" xfId="0">
      <alignment vertical="center" wrapText="1"/>
    </xf>
    <xf numFmtId="0" fontId="7" fillId="5" borderId="0" applyAlignment="1" pivotButton="0" quotePrefix="0" xfId="0">
      <alignment vertical="center" wrapText="1"/>
    </xf>
    <xf numFmtId="0" fontId="8" fillId="6" borderId="0" applyAlignment="1" pivotButton="0" quotePrefix="0" xfId="0">
      <alignment vertical="top" wrapText="1"/>
    </xf>
    <xf numFmtId="0" fontId="11" fillId="6" borderId="0" applyAlignment="1" pivotButton="0" quotePrefix="0" xfId="0">
      <alignment horizontal="center" vertical="center"/>
    </xf>
    <xf numFmtId="0" fontId="8" fillId="0" borderId="0" applyAlignment="1" pivotButton="0" quotePrefix="0" xfId="0">
      <alignment vertical="top" wrapText="1"/>
    </xf>
    <xf numFmtId="0" fontId="11" fillId="0" borderId="0" applyAlignment="1" pivotButton="0" quotePrefix="0" xfId="0">
      <alignment horizontal="center" vertical="center"/>
    </xf>
    <xf numFmtId="0" fontId="8" fillId="7" borderId="0" applyAlignment="1" pivotButton="0" quotePrefix="0" xfId="0">
      <alignment vertical="top" wrapText="1"/>
    </xf>
    <xf numFmtId="0" fontId="10" fillId="0" borderId="0" applyAlignment="1" pivotButton="0" quotePrefix="0" xfId="0">
      <alignment vertical="top" wrapText="1"/>
    </xf>
    <xf numFmtId="0" fontId="10" fillId="6" borderId="0" applyAlignment="1" pivotButton="0" quotePrefix="0" xfId="0">
      <alignment vertical="top" wrapText="1"/>
    </xf>
    <xf numFmtId="3" fontId="8" fillId="6" borderId="0" applyAlignment="1" pivotButton="0" quotePrefix="0" xfId="0">
      <alignment vertical="top" wrapText="1"/>
    </xf>
    <xf numFmtId="0" fontId="9" fillId="6" borderId="0" applyAlignment="1" pivotButton="0" quotePrefix="0" xfId="0">
      <alignment vertical="top" wrapText="1"/>
    </xf>
    <xf numFmtId="3" fontId="8" fillId="0" borderId="0" applyAlignment="1" pivotButton="0" quotePrefix="0" xfId="0">
      <alignment vertical="top" wrapText="1"/>
    </xf>
    <xf numFmtId="0" fontId="9" fillId="0" borderId="0" applyAlignment="1" pivotButton="0" quotePrefix="0" xfId="0">
      <alignment vertical="top" wrapText="1"/>
    </xf>
    <xf numFmtId="0" fontId="8" fillId="8" borderId="0" applyAlignment="1" pivotButton="0" quotePrefix="0" xfId="0">
      <alignment vertical="top" wrapText="1"/>
    </xf>
    <xf numFmtId="165" fontId="9" fillId="6" borderId="0" applyAlignment="1" pivotButton="0" quotePrefix="0" xfId="0">
      <alignment vertical="top" wrapText="1"/>
    </xf>
    <xf numFmtId="165" fontId="9" fillId="0" borderId="0" applyAlignment="1" pivotButton="0" quotePrefix="0" xfId="0">
      <alignment vertical="top" wrapText="1"/>
    </xf>
    <xf numFmtId="3" fontId="9" fillId="6" borderId="0" applyAlignment="1" pivotButton="0" quotePrefix="0" xfId="0">
      <alignment vertical="top" wrapText="1"/>
    </xf>
    <xf numFmtId="3" fontId="9" fillId="0" borderId="0" applyAlignment="1" pivotButton="0" quotePrefix="0" xfId="0">
      <alignment vertical="top" wrapText="1"/>
    </xf>
    <xf numFmtId="3" fontId="8" fillId="7" borderId="0" applyAlignment="1" pivotButton="0" quotePrefix="0" xfId="0">
      <alignment vertical="top" wrapText="1"/>
    </xf>
    <xf numFmtId="3" fontId="9" fillId="7" borderId="0" applyAlignment="1" pivotButton="0" quotePrefix="0" xfId="0">
      <alignment vertical="top" wrapText="1"/>
    </xf>
    <xf numFmtId="1" fontId="4" fillId="3" borderId="0" applyAlignment="1" pivotButton="0" quotePrefix="0" xfId="0">
      <alignment vertical="top" wrapText="1"/>
    </xf>
    <xf numFmtId="1" fontId="2" fillId="0" borderId="0" applyAlignment="1" pivotButton="0" quotePrefix="0" xfId="0">
      <alignment vertical="top" wrapText="1"/>
    </xf>
    <xf numFmtId="164" fontId="3" fillId="2" borderId="0" applyAlignment="1" pivotButton="0" quotePrefix="0" xfId="0">
      <alignment vertical="top" wrapText="1"/>
    </xf>
    <xf numFmtId="164" fontId="2" fillId="0" borderId="0" applyAlignment="1" pivotButton="0" quotePrefix="0" xfId="0">
      <alignment vertical="top" wrapText="1"/>
    </xf>
    <xf numFmtId="164" fontId="2" fillId="4" borderId="0" applyAlignment="1" pivotButton="0" quotePrefix="0" xfId="0">
      <alignment vertical="top" wrapText="1"/>
    </xf>
    <xf numFmtId="1" fontId="2" fillId="4" borderId="0" applyAlignment="1" pivotButton="0" quotePrefix="0" xfId="0">
      <alignment vertical="top" wrapText="1"/>
    </xf>
    <xf numFmtId="165" fontId="2" fillId="0" borderId="0" applyAlignment="1" pivotButton="0" quotePrefix="0" xfId="0">
      <alignment vertical="top" wrapText="1"/>
    </xf>
  </cellXfs>
  <cellStyles count="1">
    <cellStyle name="Normal" xfId="0"/>
  </cellStyles>
  <dxfs count="1">
    <dxf>
      <font>
        <color rgb="FF8A5700"/>
      </font>
      <fill>
        <patternFill patternType="solid">
          <bgColor rgb="FFFFF1CF"/>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tables/table1.xml><?xml version="1.0" encoding="utf-8"?>
<table xmlns="http://schemas.openxmlformats.org/spreadsheetml/2006/main" id="1" name="T_LEEME" displayName="T_LEEME" ref="A1:B19" headerRowCount="1" totalsRowCount="0" totalsRowShown="0">
  <autoFilter ref="A1:B19"/>
  <tableColumns count="2">
    <tableColumn id="1" name="Tema"/>
    <tableColumn id="2" name="Instrucción"/>
  </tableColumns>
  <tableStyleInfo name="TableStyleMedium2" showFirstColumn="0" showLastColumn="0" showRowStripes="1" showColumnStripes="0"/>
</table>
</file>

<file path=xl/tables/table2.xml><?xml version="1.0" encoding="utf-8"?>
<table xmlns="http://schemas.openxmlformats.org/spreadsheetml/2006/main" id="2" name="T_CIERRE" displayName="T_CIERRE" ref="A1:I455" headerRowCount="1" totalsRowCount="0" totalsRowShown="0">
  <autoFilter ref="A1:I455"/>
  <tableColumns count="9">
    <tableColumn id="1" name="study_id"/>
    <tableColumn id="2" name="title"/>
    <tableColumn id="3" name="priority"/>
    <tableColumn id="4" name="rq2_classification"/>
    <tableColumn id="5" name="rq1_detail"/>
    <tableColumn id="6" name="historical_fulltext_flag"/>
    <tableColumn id="7" name="verification_record"/>
    <tableColumn id="8" name="next_action"/>
    <tableColumn id="9" name="source_url"/>
  </tableColumns>
  <tableStyleInfo name="TableStyleMedium2" showFirstColumn="0" showLastColumn="0" showRowStripes="1" showColumnStripes="0"/>
</table>
</file>

<file path=xl/tables/table3.xml><?xml version="1.0" encoding="utf-8"?>
<table xmlns="http://schemas.openxmlformats.org/spreadsheetml/2006/main" id="3" name="T_ESTUDIOS" displayName="T_ESTUDIOS" ref="A1:P455" headerRowCount="1" totalsRowCount="0" totalsRowShown="0">
  <autoFilter ref="A1:P455"/>
  <tableColumns count="16">
    <tableColumn id="1" name="study_id"/>
    <tableColumn id="2" name="cohort"/>
    <tableColumn id="3" name="source_record_id"/>
    <tableColumn id="4" name="title"/>
    <tableColumn id="5" name="doi"/>
    <tableColumn id="6" name="year"/>
    <tableColumn id="7" name="inclusion_decision"/>
    <tableColumn id="8" name="integrity_status"/>
    <tableColumn id="9" name="exclude_sensitivity"/>
    <tableColumn id="10" name="source_url"/>
    <tableColumn id="11" name="reported_access_status"/>
    <tableColumn id="12" name="reviewer_recorded"/>
    <tableColumn id="13" name="decision_date"/>
    <tableColumn id="14" name="verification_state"/>
    <tableColumn id="15" name="source_sheet"/>
    <tableColumn id="16" name="source_excel_row"/>
  </tableColumns>
  <tableStyleInfo name="TableStyleMedium2" showFirstColumn="0" showLastColumn="0" showRowStripes="1" showColumnStripes="0"/>
</table>
</file>

<file path=xl/tables/table4.xml><?xml version="1.0" encoding="utf-8"?>
<table xmlns="http://schemas.openxmlformats.org/spreadsheetml/2006/main" id="4" name="T_RQ1" displayName="T_RQ1" ref="A1:Q455" headerRowCount="1" totalsRowCount="0" totalsRowShown="0">
  <autoFilter ref="A1:Q455"/>
  <tableColumns count="17">
    <tableColumn id="1" name="study_id"/>
    <tableColumn id="2" name="cohort"/>
    <tableColumn id="3" name="title"/>
    <tableColumn id="4" name="stage_primary"/>
    <tableColumn id="5" name="ai_type"/>
    <tableColumn id="6" name="data_source_primary"/>
    <tableColumn id="7" name="ai_algorithm_main"/>
    <tableColumn id="8" name="ai_task_type"/>
    <tableColumn id="9" name="raw_stage"/>
    <tableColumn id="10" name="raw_ai_type"/>
    <tableColumn id="11" name="raw_data_source"/>
    <tableColumn id="12" name="mapping_rule"/>
    <tableColumn id="13" name="classification_basis"/>
    <tableColumn id="14" name="rq1_review_needed"/>
    <tableColumn id="15" name="reviewer_verified"/>
    <tableColumn id="16" name="verification_date"/>
    <tableColumn id="17" name="exclude_sensitivity"/>
  </tableColumns>
  <tableStyleInfo name="TableStyleMedium2" showFirstColumn="0" showLastColumn="0" showRowStripes="1" showColumnStripes="0"/>
</table>
</file>

<file path=xl/tables/table5.xml><?xml version="1.0" encoding="utf-8"?>
<table xmlns="http://schemas.openxmlformats.org/spreadsheetml/2006/main" id="5" name="T_RQ2" displayName="T_RQ2" ref="A1:Q455" headerRowCount="1" totalsRowCount="0" totalsRowShown="0">
  <autoFilter ref="A1:Q455"/>
  <tableColumns count="17">
    <tableColumn id="1" name="study_id"/>
    <tableColumn id="2" name="cohort"/>
    <tableColumn id="3" name="title"/>
    <tableColumn id="4" name="integration_status"/>
    <tableColumn id="5" name="system_role"/>
    <tableColumn id="6" name="decision_timing"/>
    <tableColumn id="7" name="evidence_state"/>
    <tableColumn id="8" name="preliminary_signal_legacy"/>
    <tableColumn id="9" name="existing_task_description"/>
    <tableColumn id="10" name="existing_evidence"/>
    <tableColumn id="11" name="historical_resolution_note"/>
    <tableColumn id="12" name="source_url"/>
    <tableColumn id="13" name="evidence_locator"/>
    <tableColumn id="14" name="reviewer_verified"/>
    <tableColumn id="15" name="verification_date"/>
    <tableColumn id="16" name="confirmation_rule"/>
    <tableColumn id="17" name="exclude_sensitivity"/>
  </tableColumns>
  <tableStyleInfo name="TableStyleMedium2" showFirstColumn="0" showLastColumn="0" showRowStripes="1" showColumnStripes="0"/>
</table>
</file>

<file path=xl/tables/table6.xml><?xml version="1.0" encoding="utf-8"?>
<table xmlns="http://schemas.openxmlformats.org/spreadsheetml/2006/main" id="6" name="T_RQ3" displayName="T_RQ3" ref="A1:T455" headerRowCount="1" totalsRowCount="0" totalsRowShown="0">
  <autoFilter ref="A1:T455"/>
  <tableColumns count="20">
    <tableColumn id="1" name="study_id"/>
    <tableColumn id="2" name="cohort"/>
    <tableColumn id="3" name="title"/>
    <tableColumn id="4" name="external_validation"/>
    <tableColumn id="5" name="multisite_dataset"/>
    <tableColumn id="6" name="cross_site_robustness"/>
    <tableColumn id="7" name="prospective_evaluation"/>
    <tableColumn id="8" name="xai_strict"/>
    <tableColumn id="9" name="xai_partial"/>
    <tableColumn id="10" name="multisource_data"/>
    <tableColumn id="11" name="evidence_basis"/>
    <tableColumn id="12" name="existing_evidence"/>
    <tableColumn id="13" name="source_url"/>
    <tableColumn id="14" name="legacy_explainability"/>
    <tableColumn id="15" name="legacy_multisource_strategy"/>
    <tableColumn id="16" name="historical_fulltext_flag"/>
    <tableColumn id="17" name="reviewer_verified"/>
    <tableColumn id="18" name="verification_date"/>
    <tableColumn id="19" name="zero_meaning"/>
    <tableColumn id="20" name="exclude_sensitivity"/>
  </tableColumns>
  <tableStyleInfo name="TableStyleMedium2" showFirstColumn="0" showLastColumn="0" showRowStripes="1" showColumnStripes="0"/>
</table>
</file>

<file path=xl/tables/table7.xml><?xml version="1.0" encoding="utf-8"?>
<table xmlns="http://schemas.openxmlformats.org/spreadsheetml/2006/main" id="7" name="T_EVIDENCIA" displayName="T_EVIDENCIA" ref="A1:L455" headerRowCount="1" totalsRowCount="0" totalsRowShown="0">
  <autoFilter ref="A1:L455"/>
  <tableColumns count="12">
    <tableColumn id="1" name="study_id"/>
    <tableColumn id="2" name="cohort"/>
    <tableColumn id="3" name="title"/>
    <tableColumn id="4" name="doi"/>
    <tableColumn id="5" name="source_url"/>
    <tableColumn id="6" name="abstract_original"/>
    <tableColumn id="7" name="coding_notes"/>
    <tableColumn id="8" name="historical_rq2_resolution"/>
    <tableColumn id="9" name="lot_evidence_and_caveats"/>
    <tableColumn id="10" name="access_note"/>
    <tableColumn id="11" name="source_basis"/>
    <tableColumn id="12" name="independent_verification"/>
  </tableColumns>
  <tableStyleInfo name="TableStyleMedium2" showFirstColumn="0" showLastColumn="0" showRowStripes="1" showColumnStripes="0"/>
</table>
</file>

<file path=xl/tables/table8.xml><?xml version="1.0" encoding="utf-8"?>
<table xmlns="http://schemas.openxmlformats.org/spreadsheetml/2006/main" id="8" name="T_RESUMENRQ" displayName="T_RESUMENRQ" ref="A1:I161" headerRowCount="1" totalsRowCount="0" totalsRowShown="0">
  <autoFilter ref="A1:I161"/>
  <tableColumns count="9">
    <tableColumn id="1" name="Variable"/>
    <tableColumn id="2" name="Cohort"/>
    <tableColumn id="3" name="Category / indicator"/>
    <tableColumn id="4" name="n"/>
    <tableColumn id="5" name="Denominator"/>
    <tableColumn id="6" name="Proportion"/>
    <tableColumn id="7" name="Interpretation"/>
    <tableColumn id="8" name="Source sheet"/>
    <tableColumn id="9" name="Source field"/>
  </tableColumns>
  <tableStyleInfo name="TableStyleMedium2" showFirstColumn="0" showLastColumn="0" showRowStripes="1" showColumnStripes="0"/>
</table>
</file>

<file path=xl/tables/table9.xml><?xml version="1.0" encoding="utf-8"?>
<table xmlns="http://schemas.openxmlformats.org/spreadsheetml/2006/main" id="9" name="T_Guiamanuscrito" displayName="T_Guiamanuscrito" ref="A1:E9" headerRowCount="1" totalsRowCount="0" totalsRowShown="0">
  <autoFilter ref="A1:E9"/>
  <tableColumns count="5">
    <tableColumn id="1" name="section"/>
    <tableColumn id="2" name="problem"/>
    <tableColumn id="3" name="action"/>
    <tableColumn id="4" name="source"/>
    <tableColumn id="5" name="closure"/>
  </tableColumns>
  <tableStyleInfo name="TableStyleMedium2" showFirstColumn="0" showLastColumn="0" showRowStripes="1" showColumnStripes="0"/>
</table>
</file>

<file path=xl/tables/table10.xml><?xml version="1.0" encoding="utf-8"?>
<table xmlns="http://schemas.openxmlformats.org/spreadsheetml/2006/main" id="10" name="T_Diccionario" displayName="T_Diccionario" ref="A1:C15" headerRowCount="1" totalsRowCount="0" totalsRowShown="0">
  <autoFilter ref="A1:C15"/>
  <tableColumns count="3">
    <tableColumn id="1" name="Campo"/>
    <tableColumn id="2" name="Valores"/>
    <tableColumn id="3" name="Regla"/>
  </tableColumns>
  <tableStyleInfo name="TableStyleMedium2" showFirstColumn="0" showLastColumn="0" showRowStripes="1" showColumnStripes="0"/>
</table>
</file>

<file path=xl/tables/table11.xml><?xml version="1.0" encoding="utf-8"?>
<table xmlns="http://schemas.openxmlformats.org/spreadsheetml/2006/main" id="11" name="T_Mapeofuentes" displayName="T_Mapeofuentes" ref="A1:D148" headerRowCount="1" totalsRowCount="0" totalsRowShown="0">
  <autoFilter ref="A1:D148"/>
  <tableColumns count="4">
    <tableColumn id="1" name="raw_value"/>
    <tableColumn id="2" name="cohort"/>
    <tableColumn id="3" name="normalized_value"/>
    <tableColumn id="4" name="rule"/>
  </tableColumns>
  <tableStyleInfo name="TableStyleMedium2" showFirstColumn="0" showLastColumn="0" showRowStripes="1" showColumnStripes="0"/>
</table>
</file>

<file path=xl/tables/table12.xml><?xml version="1.0" encoding="utf-8"?>
<table xmlns="http://schemas.openxmlformats.org/spreadsheetml/2006/main" id="12" name="T_Cambios" displayName="T_Cambios" ref="A1:E277" headerRowCount="1" totalsRowCount="0" totalsRowShown="0">
  <autoFilter ref="A1:E277"/>
  <tableColumns count="5">
    <tableColumn id="1" name="study_id"/>
    <tableColumn id="2" name="change"/>
    <tableColumn id="3" name="source"/>
    <tableColumn id="4" name="detail"/>
    <tableColumn id="5" name="reason"/>
  </tableColumns>
  <tableStyleInfo name="TableStyleMedium2" showFirstColumn="0" showLastColumn="0" showRowStripes="1" showColumnStripes="0"/>
</table>
</file>

<file path=xl/tables/table13.xml><?xml version="1.0" encoding="utf-8"?>
<table xmlns="http://schemas.openxmlformats.org/spreadsheetml/2006/main" id="13" name="T_Fuentes" displayName="T_Fuentes" ref="A1:D3" headerRowCount="1" totalsRowCount="0" totalsRowShown="0">
  <autoFilter ref="A1:D3"/>
  <tableColumns count="4">
    <tableColumn id="1" name="file"/>
    <tableColumn id="2" name="sha256"/>
    <tableColumn id="3" name="purpose"/>
    <tableColumn id="4" name="url"/>
  </tableColumns>
  <tableStyleInfo name="TableStyleMedium2" showFirstColumn="0" showLastColumn="0" showRowStripes="1" showColumnStripes="0"/>
</table>
</file>

<file path=xl/tables/table14.xml><?xml version="1.0" encoding="utf-8"?>
<table xmlns="http://schemas.openxmlformats.org/spreadsheetml/2006/main" id="14" name="T_HistRQ12origen" displayName="T_HistRQ12origen" ref="A1:AO277" headerRowCount="1" totalsRowCount="0" totalsRowShown="0">
  <autoFilter ref="A1:AO277"/>
  <tableColumns count="41">
    <tableColumn id="1" name="paper_order"/>
    <tableColumn id="2" name="study_id"/>
    <tableColumn id="3" name="assigned_to"/>
    <tableColumn id="4" name="coder"/>
    <tableColumn id="5" name="year"/>
    <tableColumn id="6" name="modalidad"/>
    <tableColumn id="7" name="tipo_IA"/>
    <tableColumn id="8" name="doi"/>
    <tableColumn id="9" name="title"/>
    <tableColumn id="10" name="abstract"/>
    <tableColumn id="11" name="learning_paradigm"/>
    <tableColumn id="12" name="AI_algorithm_main"/>
    <tableColumn id="13" name="AI_task_type"/>
    <tableColumn id="14" name="stage_primary"/>
    <tableColumn id="15" name="confidence"/>
    <tableColumn id="16" name="ds_neuroimaging"/>
    <tableColumn id="17" name="ds_physiological"/>
    <tableColumn id="18" name="ds_behavioral_video"/>
    <tableColumn id="19" name="ds_voice_audio"/>
    <tableColumn id="20" name="ds_structured_records"/>
    <tableColumn id="21" name="ds_other_biological"/>
    <tableColumn id="22" name="ds_other"/>
    <tableColumn id="23" name="stage_prescreening"/>
    <tableColumn id="24" name="stage_screening"/>
    <tableColumn id="25" name="stage_diagnosis"/>
    <tableColumn id="26" name="stage_prognosis"/>
    <tableColumn id="27" name="stage_monitoring_intervention"/>
    <tableColumn id="28" name="q2_candidate_abstract"/>
    <tableColumn id="29" name="q3_external_validation_signal"/>
    <tableColumn id="30" name="q3_explainability_signal"/>
    <tableColumn id="31" name="q3_multisite_signal"/>
    <tableColumn id="32" name="q3_multisource_strategy_signal"/>
    <tableColumn id="33" name="needs_full_text_check"/>
    <tableColumn id="34" name="n_data_sources"/>
    <tableColumn id="35" name="ds_other_notes"/>
    <tableColumn id="36" name="q2_candidate_terms"/>
    <tableColumn id="37" name="q3_candidate_terms"/>
    <tableColumn id="38" name="notes_coding"/>
    <tableColumn id="39" name="source_selected"/>
    <tableColumn id="40" name="source_rule"/>
    <tableColumn id="41" name="q3_completed_manual_19"/>
  </tableColumns>
  <tableStyleInfo name="TableStyleMedium2" showFirstColumn="0" showLastColumn="0" showRowStripes="1" showColumnStripes="0"/>
</table>
</file>

<file path=xl/tables/table15.xml><?xml version="1.0" encoding="utf-8"?>
<table xmlns="http://schemas.openxmlformats.org/spreadsheetml/2006/main" id="15" name="T_HistRQ3origen" displayName="T_HistRQ3origen" ref="A1:AX277" headerRowCount="1" totalsRowCount="0" totalsRowShown="0">
  <autoFilter ref="A1:AX277"/>
  <tableColumns count="50">
    <tableColumn id="1" name="paper_order"/>
    <tableColumn id="2" name="study_id"/>
    <tableColumn id="3" name="assigned_to"/>
    <tableColumn id="4" name="coder"/>
    <tableColumn id="5" name="year"/>
    <tableColumn id="6" name="modalidad"/>
    <tableColumn id="7" name="tipo_IA"/>
    <tableColumn id="8" name="doi"/>
    <tableColumn id="9" name="title"/>
    <tableColumn id="10" name="abstract"/>
    <tableColumn id="11" name="learning_paradigm"/>
    <tableColumn id="12" name="AI_algorithm_main"/>
    <tableColumn id="13" name="AI_task_type"/>
    <tableColumn id="14" name="stage_primary"/>
    <tableColumn id="15" name="confidence"/>
    <tableColumn id="16" name="ds_neuroimaging"/>
    <tableColumn id="17" name="ds_physiological"/>
    <tableColumn id="18" name="ds_behavioral_video"/>
    <tableColumn id="19" name="ds_voice_audio"/>
    <tableColumn id="20" name="ds_structured_records"/>
    <tableColumn id="21" name="ds_other_biological"/>
    <tableColumn id="22" name="ds_other"/>
    <tableColumn id="23" name="stage_prescreening"/>
    <tableColumn id="24" name="stage_screening"/>
    <tableColumn id="25" name="stage_diagnosis"/>
    <tableColumn id="26" name="stage_prognosis"/>
    <tableColumn id="27" name="stage_monitoring_intervention"/>
    <tableColumn id="28" name="q2_candidate_abstract"/>
    <tableColumn id="29" name="q3_external_validation_signal"/>
    <tableColumn id="30" name="q3_explainability_signal"/>
    <tableColumn id="31" name="q3_multisite_signal"/>
    <tableColumn id="32" name="q3_multisource_strategy_signal"/>
    <tableColumn id="33" name="needs_full_text_check"/>
    <tableColumn id="34" name="n_data_sources"/>
    <tableColumn id="35" name="ds_other_notes"/>
    <tableColumn id="36" name="q2_candidate_terms"/>
    <tableColumn id="37" name="q3_candidate_terms"/>
    <tableColumn id="38" name="notes_coding"/>
    <tableColumn id="39" name="source_selected"/>
    <tableColumn id="40" name="source_rule"/>
    <tableColumn id="41" name="q3_completed_manual_19"/>
    <tableColumn id="42" name="q3_cross_site_robustness_signal"/>
    <tableColumn id="43" name="q3_multisite_dataset_signal"/>
    <tableColumn id="44" name="q3_internal_validation_signal"/>
    <tableColumn id="45" name="q3_prospective_evaluation_signal"/>
    <tableColumn id="46" name="q3_xai_strict_signal"/>
    <tableColumn id="47" name="q3_xai_partial_signal"/>
    <tableColumn id="48" name="q3_multisource_data_signal"/>
    <tableColumn id="49" name="rq3_final_status"/>
    <tableColumn id="50" name="rq3_zero_interpretation"/>
  </tableColumns>
  <tableStyleInfo name="TableStyleMedium2" showFirstColumn="0" showLastColumn="0" showRowStripes="1" showColumnStripes="0"/>
</table>
</file>

<file path=xl/tables/table16.xml><?xml version="1.0" encoding="utf-8"?>
<table xmlns="http://schemas.openxmlformats.org/spreadsheetml/2006/main" id="16" name="T_Nuevosorigen" displayName="T_Nuevosorigen" ref="A1:W179" headerRowCount="1" totalsRowCount="0" totalsRowShown="0">
  <autoFilter ref="A1:W179"/>
  <tableColumns count="23">
    <tableColumn id="1" name="bib_index"/>
    <tableColumn id="2" name="DOI"/>
    <tableColumn id="3" name="título"/>
    <tableColumn id="4" name="full_text_decision"/>
    <tableColumn id="5" name="integrity_status"/>
    <tableColumn id="6" name="data_source_primary"/>
    <tableColumn id="7" name="ai_type"/>
    <tableColumn id="8" name="ai_algorithm_main"/>
    <tableColumn id="9" name="ai_task_type"/>
    <tableColumn id="10" name="stage_primary"/>
    <tableColumn id="11" name="rq2_integration_status"/>
    <tableColumn id="12" name="rq2_role"/>
    <tableColumn id="13" name="q3_external_validation"/>
    <tableColumn id="14" name="q3_multisite_dataset"/>
    <tableColumn id="15" name="q3_cross_site_robustness"/>
    <tableColumn id="16" name="q3_prospective_evaluation"/>
    <tableColumn id="17" name="q3_xai_strict"/>
    <tableColumn id="18" name="q3_xai_partial"/>
    <tableColumn id="19" name="q3_multisource_data"/>
    <tableColumn id="20" name="source_url"/>
    <tableColumn id="21" name="evidence_summary"/>
    <tableColumn id="22" name="reviewer"/>
    <tableColumn id="23" name="decision_date"/>
  </tableColumns>
  <tableStyleInfo name="TableStyleMedium2" showFirstColumn="0" showLastColumn="0" showRowStripes="1" showColumnStripes="0"/>
</table>
</file>

<file path=xl/tables/table17.xml><?xml version="1.0" encoding="utf-8"?>
<table xmlns="http://schemas.openxmlformats.org/spreadsheetml/2006/main" id="17" name="T_Decisionesorigen" displayName="T_Decisionesorigen" ref="A1:P193" headerRowCount="1" totalsRowCount="0" totalsRowShown="0">
  <autoFilter ref="A1:P193"/>
  <tableColumns count="16">
    <tableColumn id="1" name="bib_index"/>
    <tableColumn id="2" name="año"/>
    <tableColumn id="3" name="título"/>
    <tableColumn id="4" name="DOI"/>
    <tableColumn id="5" name="autores"/>
    <tableColumn id="6" name="revista_o_libro"/>
    <tableColumn id="7" name="screening_decision"/>
    <tableColumn id="8" name="full_text_status"/>
    <tableColumn id="9" name="integrity_status"/>
    <tableColumn id="10" name="full_text_decision"/>
    <tableColumn id="11" name="final_exclusion_reason"/>
    <tableColumn id="12" name="reviewer"/>
    <tableColumn id="13" name="decision_date"/>
    <tableColumn id="14" name="URL_fuente"/>
    <tableColumn id="15" name="nota_verificación"/>
    <tableColumn id="16" name="resumen"/>
  </tableColumns>
  <tableStyleInfo name="TableStyleMedium2" showFirstColumn="0" showLastColumn="0" showRowStripes="1" showColumnStripes="0"/>
</table>
</file>

<file path=xl/tables/table18.xml><?xml version="1.0" encoding="utf-8"?>
<table xmlns="http://schemas.openxmlformats.org/spreadsheetml/2006/main" id="18" name="T_Actualizacionorigen" displayName="T_Actualizacionorigen" ref="A1:AB431" headerRowCount="1" totalsRowCount="0" totalsRowShown="0">
  <autoFilter ref="A1:AB431"/>
  <tableColumns count="28">
    <tableColumn id="1" name="bib_index"/>
    <tableColumn id="2" name="decision_code"/>
    <tableColumn id="3" name="decision"/>
    <tableColumn id="4" name="eligibility_bucket"/>
    <tableColumn id="5" name="agregar_como_estudio_nuevo"/>
    <tableColumn id="6" name="screening_stage"/>
    <tableColumn id="7" name="full_text_status"/>
    <tableColumn id="8" name="full_text_decision"/>
    <tableColumn id="9" name="integrity_status"/>
    <tableColumn id="10" name="motivo"/>
    <tableColumn id="11" name="duplicado_de"/>
    <tableColumn id="12" name="study_id_en_276"/>
    <tableColumn id="13" name="año"/>
    <tableColumn id="14" name="título"/>
    <tableColumn id="15" name="autores"/>
    <tableColumn id="16" name="DOI"/>
    <tableColumn id="17" name="revista_o_libro"/>
    <tableColumn id="18" name="tipo_BibTeX"/>
    <tableColumn id="19" name="editorial"/>
    <tableColumn id="20" name="URL_fuente"/>
    <tableColumn id="21" name="nota_verificación"/>
    <tableColumn id="22" name="resumen"/>
    <tableColumn id="23" name="base_del_cribado"/>
    <tableColumn id="24" name="canonical_key"/>
    <tableColumn id="25" name="bib_index_occurrences"/>
    <tableColumn id="26" name="final_exclusion_reason"/>
    <tableColumn id="27" name="reviewer"/>
    <tableColumn id="28" name="decision_date"/>
  </tableColumns>
  <tableStyleInfo name="TableStyleMedium2" showFirstColumn="0" showLastColumn="0" showRowStripes="1" showColumnStripes="0"/>
</table>
</file>

<file path=xl/tables/table19.xml><?xml version="1.0" encoding="utf-8"?>
<table xmlns="http://schemas.openxmlformats.org/spreadsheetml/2006/main" id="19" name="T_Accesoorigen" displayName="T_Accesoorigen" ref="A1:L193" headerRowCount="1" totalsRowCount="0" totalsRowShown="0">
  <autoFilter ref="A1:L193"/>
  <tableColumns count="12">
    <tableColumn id="1" name="bib_index"/>
    <tableColumn id="2" name="año"/>
    <tableColumn id="3" name="título"/>
    <tableColumn id="4" name="DOI"/>
    <tableColumn id="5" name="report_located"/>
    <tableColumn id="6" name="oa_location_identified"/>
    <tableColumn id="7" name="oa_status"/>
    <tableColumn id="8" name="license"/>
    <tableColumn id="9" name="source_url"/>
    <tableColumn id="10" name="full_text_evaluable"/>
    <tableColumn id="11" name="full_text_decision"/>
    <tableColumn id="12" name="access_note"/>
  </tableColumns>
  <tableStyleInfo name="TableStyleMedium2" showFirstColumn="0" showLastColumn="0" showRowStripes="1" showColumnStripes="0"/>
</table>
</file>

<file path=xl/tables/table20.xml><?xml version="1.0" encoding="utf-8"?>
<table xmlns="http://schemas.openxmlformats.org/spreadsheetml/2006/main" id="20" name="T_Integridadorigen" displayName="T_Integridadorigen" ref="A1:J16" headerRowCount="1" totalsRowCount="0" totalsRowShown="0">
  <autoFilter ref="A1:J16"/>
  <tableColumns count="10">
    <tableColumn id="1" name="cohort"/>
    <tableColumn id="2" name="bib_index"/>
    <tableColumn id="3" name="study_id_276"/>
    <tableColumn id="4" name="title"/>
    <tableColumn id="5" name="article_DOI"/>
    <tableColumn id="6" name="integrity_status"/>
    <tableColumn id="7" name="screening_effect"/>
    <tableColumn id="8" name="source_URL"/>
    <tableColumn id="9" name="verified_date"/>
    <tableColumn id="10" name="note"/>
  </tableColumns>
  <tableStyleInfo name="TableStyleMedium2" showFirstColumn="0" showLastColumn="0" showRowStripes="1" showColumnStripes="0"/>
</table>
</file>

<file path=xl/tables/table21.xml><?xml version="1.0" encoding="utf-8"?>
<table xmlns="http://schemas.openxmlformats.org/spreadsheetml/2006/main" id="21" name="T_Fuentesverificadas" displayName="T_Fuentesverificadas" ref="A1:F18" headerRowCount="1" totalsRowCount="0" totalsRowShown="0">
  <autoFilter ref="A1:F18"/>
  <tableColumns count="6">
    <tableColumn id="1" name="bib_index"/>
    <tableColumn id="2" name="título_exportado"/>
    <tableColumn id="3" name="resultado_de_verificación"/>
    <tableColumn id="4" name="decisión"/>
    <tableColumn id="5" name="URL"/>
    <tableColumn id="6" name="fecha_verificacion_actual"/>
  </tableColumns>
  <tableStyleInfo name="TableStyleMedium2" showFirstColumn="0" showLastColumn="0" showRowStripes="1" showColumnStripes="0"/>
</table>
</file>

<file path=xl/tables/table22.xml><?xml version="1.0" encoding="utf-8"?>
<table xmlns="http://schemas.openxmlformats.org/spreadsheetml/2006/main" id="22" name="T_Lotesorigen" displayName="T_Lotesorigen" ref="A1:AC148" headerRowCount="1" totalsRowCount="0" totalsRowShown="0">
  <autoFilter ref="A1:AC148"/>
  <tableColumns count="29">
    <tableColumn id="1" name="lote_origen"/>
    <tableColumn id="2" name="bib_index"/>
    <tableColumn id="3" name="título"/>
    <tableColumn id="4" name="DOI"/>
    <tableColumn id="5" name="nivel_fuente"/>
    <tableColumn id="6" name="estado_lote"/>
    <tableColumn id="7" name="decisión_full_text"/>
    <tableColumn id="8" name="data_source_primary"/>
    <tableColumn id="9" name="ai_type"/>
    <tableColumn id="10" name="ai_algorithm_main"/>
    <tableColumn id="11" name="stage_primary"/>
    <tableColumn id="12" name="rq2_integration_status"/>
    <tableColumn id="13" name="q3_external_validation"/>
    <tableColumn id="14" name="q3_multisite_dataset"/>
    <tableColumn id="15" name="q3_cross_site_robustness"/>
    <tableColumn id="16" name="q3_prospective_evaluation"/>
    <tableColumn id="17" name="q3_xai_strict"/>
    <tableColumn id="18" name="q3_xai_partial"/>
    <tableColumn id="19" name="q3_multisource_data"/>
    <tableColumn id="20" name="fuente_texto"/>
    <tableColumn id="21" name="hallazgo_clave"/>
    <tableColumn id="22" name="limitación_metodológica"/>
    <tableColumn id="23" name="acción_manual"/>
    <tableColumn id="24" name="prioridad_manual"/>
    <tableColumn id="25" name="nota_control"/>
    <tableColumn id="26" name="titulo"/>
    <tableColumn id="27" name="decision_full_text"/>
    <tableColumn id="28" name="limitacion_metodologica"/>
    <tableColumn id="29" name="accion_manual"/>
  </tableColumns>
  <tableStyleInfo name="TableStyleMedium2" showFirstColumn="0" showLastColumn="0" showRowStripes="1" showColumnStripes="0"/>
</table>
</file>

<file path=xl/tables/table23.xml><?xml version="1.0" encoding="utf-8"?>
<table xmlns="http://schemas.openxmlformats.org/spreadsheetml/2006/main" id="23" name="T_RQ2auditoriaorigen" displayName="T_RQ2auditoriaorigen" ref="A1:O246" headerRowCount="1" totalsRowCount="0" totalsRowShown="0">
  <autoFilter ref="A1:O246"/>
  <tableColumns count="15">
    <tableColumn id="1" name="study_id"/>
    <tableColumn id="2" name="assigned_to"/>
    <tableColumn id="3" name="year"/>
    <tableColumn id="4" name="stage_primary"/>
    <tableColumn id="5" name="modalidad"/>
    <tableColumn id="6" name="q2_original_consolidado"/>
    <tableColumn id="7" name="q2_strict_graph_ready"/>
    <tableColumn id="8" name="change_vs_original"/>
    <tableColumn id="9" name="q2_candidate_terms"/>
    <tableColumn id="10" name="audit_sheet"/>
    <tableColumn id="11" name="audit_original_value"/>
    <tableColumn id="12" name="audit_previous_eval"/>
    <tableColumn id="13" name="strict_confidence"/>
    <tableColumn id="14" name="review_flag"/>
    <tableColumn id="15" name="basis"/>
  </tableColumns>
  <tableStyleInfo name="TableStyleMedium2" showFirstColumn="0" showLastColumn="0" showRowStripes="1" showColumnStripes="0"/>
</table>
</file>

<file path=xl/tables/table24.xml><?xml version="1.0" encoding="utf-8"?>
<table xmlns="http://schemas.openxmlformats.org/spreadsheetml/2006/main" id="24" name="T_RQ2resolucionorigen" displayName="T_RQ2resolucionorigen" ref="A1:N31" headerRowCount="1" totalsRowCount="0" totalsRowShown="0">
  <autoFilter ref="A1:N31"/>
  <tableColumns count="14">
    <tableColumn id="1" name="pandas_index"/>
    <tableColumn id="2" name="excel_row"/>
    <tableColumn id="3" name="study_id"/>
    <tableColumn id="4" name="title"/>
    <tableColumn id="5" name="original_q2_candidate_abstract"/>
    <tableColumn id="6" name="new_q2_candidate_abstract"/>
    <tableColumn id="7" name="original_q2_candidate_terms"/>
    <tableColumn id="8" name="new_q2_candidate_terms"/>
    <tableColumn id="9" name="original_stage_primary"/>
    <tableColumn id="10" name="new_stage_primary"/>
    <tableColumn id="11" name="original_AI_task_type"/>
    <tableColumn id="12" name="new_AI_task_type"/>
    <tableColumn id="13" name="decision"/>
    <tableColumn id="14" name="basis"/>
  </tableColumns>
  <tableStyleInfo name="TableStyleMedium2" showFirstColumn="0" showLastColumn="0" showRowStripes="1" showColumnStripes="0"/>
</table>
</file>

<file path=xl/tables/table25.xml><?xml version="1.0" encoding="utf-8"?>
<table xmlns="http://schemas.openxmlformats.org/spreadsheetml/2006/main" id="25" name="T_Codebookorigen" displayName="T_Codebookorigen" ref="A1:F39" headerRowCount="1" totalsRowCount="0" totalsRowShown="0">
  <autoFilter ref="A1:F39"/>
  <tableColumns count="6">
    <tableColumn id="1" name="Variable"/>
    <tableColumn id="2" name="Definición operativa (qué significa)"/>
    <tableColumn id="3" name="Cómo codificar (reglas de decisión)"/>
    <tableColumn id="4" name="Valores permitidos / formato"/>
    <tableColumn id="5" name="Ejemplos"/>
    <tableColumn id="6" name="Errores comunes / notas"/>
  </tableColumns>
  <tableStyleInfo name="TableStyleMedium2" showFirstColumn="0" showLastColumn="0" showRowStripes="1" showColumnStripes="0"/>
</table>
</file>

<file path=xl/tables/table26.xml><?xml version="1.0" encoding="utf-8"?>
<table xmlns="http://schemas.openxmlformats.org/spreadsheetml/2006/main" id="26" name="T_Criteriosorigen" displayName="T_Criteriosorigen" ref="A1:D26" headerRowCount="1" totalsRowCount="0" totalsRowShown="0">
  <autoFilter ref="A1:D26"/>
  <tableColumns count="4">
    <tableColumn id="1" name="Regla"/>
    <tableColumn id="2" name="Decisión"/>
    <tableColumn id="3" name="Definición operacional"/>
    <tableColumn id="4" name="Implicació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RESUMEN_CIERRE'!A1" TargetMode="External" Id="rId1"/><Relationship Type="http://schemas.openxmlformats.org/officeDocument/2006/relationships/hyperlink" Target="#'RQ1_PERFILES'!A1" TargetMode="External" Id="rId2"/><Relationship Type="http://schemas.openxmlformats.org/officeDocument/2006/relationships/hyperlink" Target="#'RQ2_INTEGRACION'!A1" TargetMode="External" Id="rId3"/><Relationship Type="http://schemas.openxmlformats.org/officeDocument/2006/relationships/hyperlink" Target="#'RQ3_PRACTICAS'!A1" TargetMode="External" Id="rId4"/><Relationship Type="http://schemas.openxmlformats.org/officeDocument/2006/relationships/hyperlink" Target="#'RQ3_PERFILES'!A1" TargetMode="External" Id="rId5"/><Relationship Type="http://schemas.openxmlformats.org/officeDocument/2006/relationships/hyperlink" Target="#'SENSIBILIDAD'!A1" TargetMode="External" Id="rId6"/><Relationship Type="http://schemas.openxmlformats.org/officeDocument/2006/relationships/hyperlink" Target="#'EVIDENCIA_CIERRE'!A1" TargetMode="External" Id="rId7"/><Relationship Type="http://schemas.openxmlformats.org/officeDocument/2006/relationships/hyperlink" Target="#'CAMBIOS_CIERRE'!A1" TargetMode="External" Id="rId8"/><Relationship Type="http://schemas.openxmlformats.org/officeDocument/2006/relationships/hyperlink" Target="#'PRISMA_CIERRE'!A1" TargetMode="External" Id="rId9"/><Relationship Type="http://schemas.openxmlformats.org/officeDocument/2006/relationships/hyperlink" Target="#'VALIDACION'!A1" TargetMode="External" Id="rId10"/></Relationships>
</file>

<file path=xl/worksheets/_rels/sheet2.xml.rels><Relationships xmlns="http://schemas.openxmlformats.org/package/2006/relationships"><Relationship Type="http://schemas.openxmlformats.org/officeDocument/2006/relationships/hyperlink" Target="https://doi.org/10.1109/access.2025.3586314" TargetMode="External" Id="rId1"/><Relationship Type="http://schemas.openxmlformats.org/officeDocument/2006/relationships/hyperlink" Target="https://doi.org/10.1038/tp.2015.7" TargetMode="External" Id="rId2"/><Relationship Type="http://schemas.openxmlformats.org/officeDocument/2006/relationships/hyperlink" Target="https://doi.org/10.1016/j.jprot.2023.104872" TargetMode="External" Id="rId3"/><Relationship Type="http://schemas.openxmlformats.org/officeDocument/2006/relationships/hyperlink" Target="https://link.springer.com/chapter/10.1007/978-981-96-3942-7_18" TargetMode="External" Id="rId4"/><Relationship Type="http://schemas.openxmlformats.org/officeDocument/2006/relationships/hyperlink" Target="https://journals.plos.org/plosone/article?id=10.1371/journal.pone.0112445" TargetMode="External" Id="rId5"/><Relationship Type="http://schemas.openxmlformats.org/officeDocument/2006/relationships/hyperlink" Target="https://doi.org/10.1186/s13229-017-0180-6" TargetMode="External" Id="rId6"/><Relationship Type="http://schemas.openxmlformats.org/officeDocument/2006/relationships/hyperlink" Target="https://doi.org/10.1038/s41598-025-90216-8" TargetMode="External" Id="rId7"/><Relationship Type="http://schemas.openxmlformats.org/officeDocument/2006/relationships/hyperlink" Target="https://doi.org/10.3390/s24237489" TargetMode="External" Id="rId8"/><Relationship Type="http://schemas.openxmlformats.org/officeDocument/2006/relationships/hyperlink" Target="https://doi.org/10.1016/j.csl.2018.11.002" TargetMode="External" Id="rId9"/><Relationship Type="http://schemas.openxmlformats.org/officeDocument/2006/relationships/hyperlink" Target="https://doi.org/10.1109/tai.2024.3439288" TargetMode="External" Id="rId10"/><Relationship Type="http://schemas.openxmlformats.org/officeDocument/2006/relationships/hyperlink" Target="https://formative.jmir.org/2026/1/e91833/" TargetMode="External" Id="rId11"/><Relationship Type="http://schemas.openxmlformats.org/officeDocument/2006/relationships/hyperlink" Target="https://doi.org/10.1001/jamapediatrics.2019.0285" TargetMode="External" Id="rId12"/><Relationship Type="http://schemas.openxmlformats.org/officeDocument/2006/relationships/hyperlink" Target="https://doi.org/10.1155/2023/6330002" TargetMode="External" Id="rId13"/><Relationship Type="http://schemas.openxmlformats.org/officeDocument/2006/relationships/hyperlink" Target="https://doi.org/10.1126/scitranslmed.aag2882" TargetMode="External" Id="rId14"/><Relationship Type="http://schemas.openxmlformats.org/officeDocument/2006/relationships/hyperlink" Target="https://doi.org/10.1016/j.mex.2025.103278" TargetMode="External" Id="rId15"/><Relationship Type="http://schemas.openxmlformats.org/officeDocument/2006/relationships/hyperlink" Target="https://doi.org/10.1007/978-3-031-81083-1_7" TargetMode="External" Id="rId16"/><Relationship Type="http://schemas.openxmlformats.org/officeDocument/2006/relationships/hyperlink" Target="https://doi.org/10.1038/s41398-024-02802-5" TargetMode="External" Id="rId17"/><Relationship Type="http://schemas.openxmlformats.org/officeDocument/2006/relationships/hyperlink" Target="https://doi.org/10.1371/journal.pone.0090405" TargetMode="External" Id="rId18"/><Relationship Type="http://schemas.openxmlformats.org/officeDocument/2006/relationships/hyperlink" Target="https://doi.org/10.1016/j.bpsc.2020.06.003" TargetMode="External" Id="rId19"/><Relationship Type="http://schemas.openxmlformats.org/officeDocument/2006/relationships/hyperlink" Target="https://doi.org/10.1038/tp.2014.65" TargetMode="External" Id="rId20"/><Relationship Type="http://schemas.openxmlformats.org/officeDocument/2006/relationships/hyperlink" Target="https://doi.org/10.1038/s41598-024-81652-z" TargetMode="External" Id="rId21"/><Relationship Type="http://schemas.openxmlformats.org/officeDocument/2006/relationships/hyperlink" Target="https://doi.org/10.3390/s21175822" TargetMode="External" Id="rId22"/><Relationship Type="http://schemas.openxmlformats.org/officeDocument/2006/relationships/hyperlink" Target="https://doi.org/10.1177/1460458218824711" TargetMode="External" Id="rId23"/><Relationship Type="http://schemas.openxmlformats.org/officeDocument/2006/relationships/hyperlink" Target="https://doi.org/10.1109/access.2021.3097606" TargetMode="External" Id="rId24"/><Relationship Type="http://schemas.openxmlformats.org/officeDocument/2006/relationships/hyperlink" Target="https://link.springer.com/chapter/10.1007/978-3-031-23683-9_12" TargetMode="External" Id="rId25"/><Relationship Type="http://schemas.openxmlformats.org/officeDocument/2006/relationships/hyperlink" Target="https://doi.org/10.1016/j.health.2025.100409" TargetMode="External" Id="rId26"/><Relationship Type="http://schemas.openxmlformats.org/officeDocument/2006/relationships/hyperlink" Target="https://doi.org/10.1016/j.health.2023.100293" TargetMode="External" Id="rId27"/><Relationship Type="http://schemas.openxmlformats.org/officeDocument/2006/relationships/hyperlink" Target="https://doi.org/10.1016/j.bspc.2025.107737" TargetMode="External" Id="rId28"/><Relationship Type="http://schemas.openxmlformats.org/officeDocument/2006/relationships/hyperlink" Target="https://doi.org/10.1016/j.procs.2020.03.399" TargetMode="External" Id="rId29"/><Relationship Type="http://schemas.openxmlformats.org/officeDocument/2006/relationships/hyperlink" Target="https://doi.org/10.1016/j.gltp.2021.08.042" TargetMode="External" Id="rId30"/><Relationship Type="http://schemas.openxmlformats.org/officeDocument/2006/relationships/hyperlink" Target="https://doi.org/10.1016/j.compbiomed.2025.110723" TargetMode="External" Id="rId31"/><Relationship Type="http://schemas.openxmlformats.org/officeDocument/2006/relationships/hyperlink" Target="https://doi.org/10.1016/j.jbiomech.2020.110073" TargetMode="External" Id="rId32"/><Relationship Type="http://schemas.openxmlformats.org/officeDocument/2006/relationships/hyperlink" Target="https://doi.org/10.1089/brain.2017.0496" TargetMode="External" Id="rId33"/><Relationship Type="http://schemas.openxmlformats.org/officeDocument/2006/relationships/hyperlink" Target="https://doi.org/10.3389/fncom.2019.00009/full" TargetMode="External" Id="rId34"/><Relationship Type="http://schemas.openxmlformats.org/officeDocument/2006/relationships/hyperlink" Target="https://doi.org/10.1016/j.prime.2024.100602" TargetMode="External" Id="rId35"/><Relationship Type="http://schemas.openxmlformats.org/officeDocument/2006/relationships/hyperlink" Target="https://doi.org/10.32604/cmc.2023.032586" TargetMode="External" Id="rId36"/><Relationship Type="http://schemas.openxmlformats.org/officeDocument/2006/relationships/hyperlink" Target="https://doi.org/10.1038/s41598-021-86320-0" TargetMode="External" Id="rId37"/><Relationship Type="http://schemas.openxmlformats.org/officeDocument/2006/relationships/hyperlink" Target="https://doi.org/10.3390/ijms24032082" TargetMode="External" Id="rId38"/><Relationship Type="http://schemas.openxmlformats.org/officeDocument/2006/relationships/hyperlink" Target="https://doi.org/10.1038/s41380-023-02051-w" TargetMode="External" Id="rId39"/><Relationship Type="http://schemas.openxmlformats.org/officeDocument/2006/relationships/hyperlink" Target="https://doi.org/10.1007/s00787-023-02189-6" TargetMode="External" Id="rId40"/><Relationship Type="http://schemas.openxmlformats.org/officeDocument/2006/relationships/hyperlink" Target="https://doi.org/10.1016/j.ridd.2024.104688" TargetMode="External" Id="rId41"/><Relationship Type="http://schemas.openxmlformats.org/officeDocument/2006/relationships/hyperlink" Target="https://doi.org/10.1093/cercor/bhaf022" TargetMode="External" Id="rId42"/><Relationship Type="http://schemas.openxmlformats.org/officeDocument/2006/relationships/hyperlink" Target="https://doi.org/10.1055/s-0039-1685525" TargetMode="External" Id="rId43"/><Relationship Type="http://schemas.openxmlformats.org/officeDocument/2006/relationships/hyperlink" Target="https://doi.org/10.1371/journal.pone.0206351" TargetMode="External" Id="rId44"/><Relationship Type="http://schemas.openxmlformats.org/officeDocument/2006/relationships/hyperlink" Target="https://doi.org/10.1007/978-3-031-48642-5_7" TargetMode="External" Id="rId45"/><Relationship Type="http://schemas.openxmlformats.org/officeDocument/2006/relationships/hyperlink" Target="https://doi.org/10.1007/s13755-024-00299-2" TargetMode="External" Id="rId46"/><Relationship Type="http://schemas.openxmlformats.org/officeDocument/2006/relationships/hyperlink" Target="https://extradoc.univ-nantes.fr/pluginfile.php/412199/mod_folder/content/0/article%20Bonnot-Vrait-Carasco-Rabeyron....pdf" TargetMode="External" Id="rId47"/><Relationship Type="http://schemas.openxmlformats.org/officeDocument/2006/relationships/hyperlink" Target="https://doi.org/10.1007/978-3-030-93049-3_30" TargetMode="External" Id="rId48"/><Relationship Type="http://schemas.openxmlformats.org/officeDocument/2006/relationships/hyperlink" Target="https://doi.org/10.1007/s12539-024-00651-w" TargetMode="External" Id="rId49"/><Relationship Type="http://schemas.openxmlformats.org/officeDocument/2006/relationships/hyperlink" Target="https://doi.org/10.1177/09544119221141751" TargetMode="External" Id="rId50"/><Relationship Type="http://schemas.openxmlformats.org/officeDocument/2006/relationships/hyperlink" Target="https://doi.org/10.1002/aur.2912" TargetMode="External" Id="rId51"/><Relationship Type="http://schemas.openxmlformats.org/officeDocument/2006/relationships/hyperlink" Target="https://doi.org/10.1016/j.nicl.2015.04.002" TargetMode="External" Id="rId52"/><Relationship Type="http://schemas.openxmlformats.org/officeDocument/2006/relationships/hyperlink" Target="https://doi.org/10.1038/s41380-022-01917-9" TargetMode="External" Id="rId53"/><Relationship Type="http://schemas.openxmlformats.org/officeDocument/2006/relationships/hyperlink" Target="https://doi.org/10.1007/s00521-024-09905-6" TargetMode="External" Id="rId54"/><Relationship Type="http://schemas.openxmlformats.org/officeDocument/2006/relationships/hyperlink" Target="https://doi.org/10.1007/978-3-030-88163-4_7" TargetMode="External" Id="rId55"/><Relationship Type="http://schemas.openxmlformats.org/officeDocument/2006/relationships/hyperlink" Target="https://doi.org/10.1089/brain.2019.0689" TargetMode="External" Id="rId56"/><Relationship Type="http://schemas.openxmlformats.org/officeDocument/2006/relationships/hyperlink" Target="https://doi.org/10.1016/j.eurpsy.2017.02.198" TargetMode="External" Id="rId57"/><Relationship Type="http://schemas.openxmlformats.org/officeDocument/2006/relationships/hyperlink" Target="https://doi.org/10.1007/s12539-022-00510-6" TargetMode="External" Id="rId58"/><Relationship Type="http://schemas.openxmlformats.org/officeDocument/2006/relationships/hyperlink" Target="https://doi.org/10.1016/j.eurpsy.2016.01.060" TargetMode="External" Id="rId59"/><Relationship Type="http://schemas.openxmlformats.org/officeDocument/2006/relationships/hyperlink" Target="https://doi.org/10.1109/tnsre.2024.3516216" TargetMode="External" Id="rId60"/><Relationship Type="http://schemas.openxmlformats.org/officeDocument/2006/relationships/hyperlink" Target="https://doi.org/10.1016/j.mex.2025.103166" TargetMode="External" Id="rId61"/><Relationship Type="http://schemas.openxmlformats.org/officeDocument/2006/relationships/hyperlink" Target="https://doi.org/10.1016/j.phycom.2020.101115" TargetMode="External" Id="rId62"/><Relationship Type="http://schemas.openxmlformats.org/officeDocument/2006/relationships/hyperlink" Target="https://doi.org/10.1007/s10803-023-06171-8" TargetMode="External" Id="rId63"/><Relationship Type="http://schemas.openxmlformats.org/officeDocument/2006/relationships/hyperlink" Target="https://doi.org/10.3390/s18103533" TargetMode="External" Id="rId64"/><Relationship Type="http://schemas.openxmlformats.org/officeDocument/2006/relationships/hyperlink" Target="https://doi.org/10.1002/aur.1735" TargetMode="External" Id="rId65"/><Relationship Type="http://schemas.openxmlformats.org/officeDocument/2006/relationships/hyperlink" Target="https://doi.org/10.1109/tnsre.2023.3347134" TargetMode="External" Id="rId66"/><Relationship Type="http://schemas.openxmlformats.org/officeDocument/2006/relationships/hyperlink" Target="https://doi.org/10.1016/j.pscychresns.2023.111762" TargetMode="External" Id="rId67"/><Relationship Type="http://schemas.openxmlformats.org/officeDocument/2006/relationships/hyperlink" Target="https://doi.org/10.1186/s12888-022-03734-4" TargetMode="External" Id="rId68"/><Relationship Type="http://schemas.openxmlformats.org/officeDocument/2006/relationships/hyperlink" Target="https://doi.org/10.1109/tnsre.2021.3120024" TargetMode="External" Id="rId69"/><Relationship Type="http://schemas.openxmlformats.org/officeDocument/2006/relationships/hyperlink" Target="https://doi.org/10.1186/s12859-023-05495-7" TargetMode="External" Id="rId70"/><Relationship Type="http://schemas.openxmlformats.org/officeDocument/2006/relationships/hyperlink" Target="https://link.springer.com/chapter/10.1007/978-3-030-59277-6_23" TargetMode="External" Id="rId71"/><Relationship Type="http://schemas.openxmlformats.org/officeDocument/2006/relationships/hyperlink" Target="https://doi.org/10.3233/shti230794" TargetMode="External" Id="rId72"/><Relationship Type="http://schemas.openxmlformats.org/officeDocument/2006/relationships/hyperlink" Target="https://doi.org/10.1109/jsen.2024.3362341" TargetMode="External" Id="rId73"/><Relationship Type="http://schemas.openxmlformats.org/officeDocument/2006/relationships/hyperlink" Target="https://doi.org/10.1038/s41598-020-65384-4" TargetMode="External" Id="rId74"/><Relationship Type="http://schemas.openxmlformats.org/officeDocument/2006/relationships/hyperlink" Target="https://doi.org/10.1016/j.brainres.2019.146457" TargetMode="External" Id="rId75"/><Relationship Type="http://schemas.openxmlformats.org/officeDocument/2006/relationships/hyperlink" Target="https://doi.org/10.1109/embc40787.2023.10340449" TargetMode="External" Id="rId76"/><Relationship Type="http://schemas.openxmlformats.org/officeDocument/2006/relationships/hyperlink" Target="https://doi.org/10.1016/j.compbiomed.2023.107539" TargetMode="External" Id="rId77"/><Relationship Type="http://schemas.openxmlformats.org/officeDocument/2006/relationships/hyperlink" Target="https://doi.org/10.2196/70914" TargetMode="External" Id="rId78"/><Relationship Type="http://schemas.openxmlformats.org/officeDocument/2006/relationships/hyperlink" Target="https://doi.org/10.1371/journal.pone.0311209" TargetMode="External" Id="rId79"/><Relationship Type="http://schemas.openxmlformats.org/officeDocument/2006/relationships/hyperlink" Target="https://doi.org/10.1007/s00330-021-08239-4" TargetMode="External" Id="rId80"/><Relationship Type="http://schemas.openxmlformats.org/officeDocument/2006/relationships/hyperlink" Target="https://doi.org/10.1038/s41398-025-03566-2" TargetMode="External" Id="rId81"/><Relationship Type="http://schemas.openxmlformats.org/officeDocument/2006/relationships/hyperlink" Target="https://doi.org/10.1016/j.bpsc.2021.03.015" TargetMode="External" Id="rId82"/><Relationship Type="http://schemas.openxmlformats.org/officeDocument/2006/relationships/hyperlink" Target="https://doi.org/10.1055/s-0038-1626727" TargetMode="External" Id="rId83"/><Relationship Type="http://schemas.openxmlformats.org/officeDocument/2006/relationships/hyperlink" Target="https://doi.org/10.1109/access.2023.3302903" TargetMode="External" Id="rId84"/><Relationship Type="http://schemas.openxmlformats.org/officeDocument/2006/relationships/hyperlink" Target="https://doi.org/10.1007/978-3-031-09342-5_11" TargetMode="External" Id="rId85"/><Relationship Type="http://schemas.openxmlformats.org/officeDocument/2006/relationships/hyperlink" Target="https://doi.org/10.1016/j.bspc.2024.107466" TargetMode="External" Id="rId86"/><Relationship Type="http://schemas.openxmlformats.org/officeDocument/2006/relationships/hyperlink" Target="https://doi.org/10.1016/j.ibmed.2023.100102" TargetMode="External" Id="rId87"/><Relationship Type="http://schemas.openxmlformats.org/officeDocument/2006/relationships/hyperlink" Target="https://doi.org/10.2196/54706" TargetMode="External" Id="rId88"/><Relationship Type="http://schemas.openxmlformats.org/officeDocument/2006/relationships/hyperlink" Target="https://doi.org/10.1016/j.envres.2018.12.061" TargetMode="External" Id="rId89"/><Relationship Type="http://schemas.openxmlformats.org/officeDocument/2006/relationships/hyperlink" Target="https://doi.org/10.1109/embc44109.2020.9176843" TargetMode="External" Id="rId90"/><Relationship Type="http://schemas.openxmlformats.org/officeDocument/2006/relationships/hyperlink" Target="https://doi.org/10.1016/j.bspc.2024.106671" TargetMode="External" Id="rId91"/><Relationship Type="http://schemas.openxmlformats.org/officeDocument/2006/relationships/hyperlink" Target="https://doi.org/10.1016/j.ijdevneu.2014.06.013" TargetMode="External" Id="rId92"/><Relationship Type="http://schemas.openxmlformats.org/officeDocument/2006/relationships/hyperlink" Target="https://doi.org/10.1111/cns.70562" TargetMode="External" Id="rId93"/><Relationship Type="http://schemas.openxmlformats.org/officeDocument/2006/relationships/hyperlink" Target="https://doi.org/10.2196/13810" TargetMode="External" Id="rId94"/><Relationship Type="http://schemas.openxmlformats.org/officeDocument/2006/relationships/hyperlink" Target="https://doi.org/10.1002/aur.1960" TargetMode="External" Id="rId95"/><Relationship Type="http://schemas.openxmlformats.org/officeDocument/2006/relationships/hyperlink" Target="https://doi.org/10.1002/hbm.70190" TargetMode="External" Id="rId96"/><Relationship Type="http://schemas.openxmlformats.org/officeDocument/2006/relationships/hyperlink" Target="https://doi.org/10.1155/2018/7186762" TargetMode="External" Id="rId97"/><Relationship Type="http://schemas.openxmlformats.org/officeDocument/2006/relationships/hyperlink" Target="https://doi.org/10.1371/journal.pone.0326022" TargetMode="External" Id="rId98"/><Relationship Type="http://schemas.openxmlformats.org/officeDocument/2006/relationships/hyperlink" Target="https://doi.org/10.1109/tnsre.2020.2991675" TargetMode="External" Id="rId99"/><Relationship Type="http://schemas.openxmlformats.org/officeDocument/2006/relationships/hyperlink" Target="https://doi.org/10.3389/fnhum.2013.00670/full" TargetMode="External" Id="rId100"/><Relationship Type="http://schemas.openxmlformats.org/officeDocument/2006/relationships/hyperlink" Target="https://doi.org/10.1371/journal.pone.0113879" TargetMode="External" Id="rId101"/><Relationship Type="http://schemas.openxmlformats.org/officeDocument/2006/relationships/hyperlink" Target="https://doi.org/10.1002/aur.2268" TargetMode="External" Id="rId102"/><Relationship Type="http://schemas.openxmlformats.org/officeDocument/2006/relationships/hyperlink" Target="https://doi.org/10.1016/j.irbm.2023.100780" TargetMode="External" Id="rId103"/><Relationship Type="http://schemas.openxmlformats.org/officeDocument/2006/relationships/hyperlink" Target="https://doi.org/10.1016/j.xhgg.2022.100150" TargetMode="External" Id="rId104"/><Relationship Type="http://schemas.openxmlformats.org/officeDocument/2006/relationships/hyperlink" Target="https://doi.org/10.1016/j.bbr.2022.114149" TargetMode="External" Id="rId105"/><Relationship Type="http://schemas.openxmlformats.org/officeDocument/2006/relationships/hyperlink" Target="https://doi.org/10.1016/b978-0-443-19073-5.00018-5" TargetMode="External" Id="rId106"/><Relationship Type="http://schemas.openxmlformats.org/officeDocument/2006/relationships/hyperlink" Target="https://doi.org/10.1002/jdn.70034" TargetMode="External" Id="rId107"/><Relationship Type="http://schemas.openxmlformats.org/officeDocument/2006/relationships/hyperlink" Target="https://doi.org/10.1038/tp.2015.221" TargetMode="External" Id="rId108"/><Relationship Type="http://schemas.openxmlformats.org/officeDocument/2006/relationships/hyperlink" Target="https://doi.org/10.1097/dbp.0000000000000668" TargetMode="External" Id="rId109"/><Relationship Type="http://schemas.openxmlformats.org/officeDocument/2006/relationships/hyperlink" Target="https://doi.org/10.1038/s41591-023-02574-3" TargetMode="External" Id="rId110"/><Relationship Type="http://schemas.openxmlformats.org/officeDocument/2006/relationships/hyperlink" Target="https://doi.org/10.1109/embc.2016.7591440" TargetMode="External" Id="rId111"/><Relationship Type="http://schemas.openxmlformats.org/officeDocument/2006/relationships/hyperlink" Target="https://doi.org/10.1038/s41598-025-01500-6" TargetMode="External" Id="rId112"/><Relationship Type="http://schemas.openxmlformats.org/officeDocument/2006/relationships/hyperlink" Target="https://doi.org/10.1016/j.jaac.2016.07.715" TargetMode="External" Id="rId113"/><Relationship Type="http://schemas.openxmlformats.org/officeDocument/2006/relationships/hyperlink" Target="https://doi.org/10.1109/access.2025.3531979" TargetMode="External" Id="rId114"/><Relationship Type="http://schemas.openxmlformats.org/officeDocument/2006/relationships/hyperlink" Target="https://doi.org/10.1016/j.heliyon.2023.e21530" TargetMode="External" Id="rId115"/><Relationship Type="http://schemas.openxmlformats.org/officeDocument/2006/relationships/hyperlink" Target="https://doi.org/10.1007/s10278-019-00196-1" TargetMode="External" Id="rId116"/><Relationship Type="http://schemas.openxmlformats.org/officeDocument/2006/relationships/hyperlink" Target="https://doi.org/10.2196/mental.9631" TargetMode="External" Id="rId117"/><Relationship Type="http://schemas.openxmlformats.org/officeDocument/2006/relationships/hyperlink" Target="https://doi.org/10.1007/978-981-96-6960-8_26" TargetMode="External" Id="rId118"/><Relationship Type="http://schemas.openxmlformats.org/officeDocument/2006/relationships/hyperlink" Target="https://doi.org/10.1038/s41562-025-02132-6" TargetMode="External" Id="rId119"/><Relationship Type="http://schemas.openxmlformats.org/officeDocument/2006/relationships/hyperlink" Target="https://doi.org/10.2196/jmir.5439" TargetMode="External" Id="rId120"/><Relationship Type="http://schemas.openxmlformats.org/officeDocument/2006/relationships/hyperlink" Target="https://doi.org/10.1111/jcpp.12559" TargetMode="External" Id="rId121"/><Relationship Type="http://schemas.openxmlformats.org/officeDocument/2006/relationships/hyperlink" Target="https://doi.org/10.1038/s41598-022-21719-x" TargetMode="External" Id="rId122"/><Relationship Type="http://schemas.openxmlformats.org/officeDocument/2006/relationships/hyperlink" Target="https://doi.org/10.1016/b978-0-12-822822-7.00011-9" TargetMode="External" Id="rId123"/><Relationship Type="http://schemas.openxmlformats.org/officeDocument/2006/relationships/hyperlink" Target="https://doi.org/10.1007/s10803-021-05141-2" TargetMode="External" Id="rId124"/><Relationship Type="http://schemas.openxmlformats.org/officeDocument/2006/relationships/hyperlink" Target="https://doi.org/10.1016/j.neucom.2022.02.017" TargetMode="External" Id="rId125"/><Relationship Type="http://schemas.openxmlformats.org/officeDocument/2006/relationships/hyperlink" Target="https://doi.org/10.1177/1460458221991882" TargetMode="External" Id="rId126"/><Relationship Type="http://schemas.openxmlformats.org/officeDocument/2006/relationships/hyperlink" Target="https://doi.org/10.1038/s41598-024-64299-8" TargetMode="External" Id="rId127"/><Relationship Type="http://schemas.openxmlformats.org/officeDocument/2006/relationships/hyperlink" Target="https://doi.org/10.1007/s11517-023-02859-2" TargetMode="External" Id="rId128"/><Relationship Type="http://schemas.openxmlformats.org/officeDocument/2006/relationships/hyperlink" Target="https://doi.org/10.1007/s10803-025-06811-1" TargetMode="External" Id="rId129"/><Relationship Type="http://schemas.openxmlformats.org/officeDocument/2006/relationships/hyperlink" Target="https://doi.org/10.1109/jbhi.2025.3542066" TargetMode="External" Id="rId130"/><Relationship Type="http://schemas.openxmlformats.org/officeDocument/2006/relationships/hyperlink" Target="https://doi.org/10.1186/s12920-023-01439-5" TargetMode="External" Id="rId131"/><Relationship Type="http://schemas.openxmlformats.org/officeDocument/2006/relationships/hyperlink" Target="https://doi.org/10.1038/s41598-024-56098-y" TargetMode="External" Id="rId132"/><Relationship Type="http://schemas.openxmlformats.org/officeDocument/2006/relationships/hyperlink" Target="https://doi.org/10.1007/s10803-016-2718-4" TargetMode="External" Id="rId133"/><Relationship Type="http://schemas.openxmlformats.org/officeDocument/2006/relationships/hyperlink" Target="https://doi.org/10.1186/s12911-022-02050-x" TargetMode="External" Id="rId134"/><Relationship Type="http://schemas.openxmlformats.org/officeDocument/2006/relationships/hyperlink" Target="https://doi.org/10.1109/tcss.2025.3593119" TargetMode="External" Id="rId135"/><Relationship Type="http://schemas.openxmlformats.org/officeDocument/2006/relationships/hyperlink" Target="https://doi.org/10.1007/s10803-024-06290-w" TargetMode="External" Id="rId136"/><Relationship Type="http://schemas.openxmlformats.org/officeDocument/2006/relationships/hyperlink" Target="https://doi.org/10.1176/appi.ajp.2020.19101091" TargetMode="External" Id="rId137"/><Relationship Type="http://schemas.openxmlformats.org/officeDocument/2006/relationships/hyperlink" Target="https://doi.org/10.1111/jcpp.13406" TargetMode="External" Id="rId138"/><Relationship Type="http://schemas.openxmlformats.org/officeDocument/2006/relationships/hyperlink" Target="https://doi.org/10.1016/j.psychres.2023.115050" TargetMode="External" Id="rId139"/><Relationship Type="http://schemas.openxmlformats.org/officeDocument/2006/relationships/hyperlink" Target="https://doi.org/10.57197/jdr-2023-0004" TargetMode="External" Id="rId140"/><Relationship Type="http://schemas.openxmlformats.org/officeDocument/2006/relationships/hyperlink" Target="https://doi.org/10.1109/access.2024.3453440" TargetMode="External" Id="rId141"/><Relationship Type="http://schemas.openxmlformats.org/officeDocument/2006/relationships/hyperlink" Target="https://doi.org/10.1007/978-981-97-6995-7_34" TargetMode="External" Id="rId142"/><Relationship Type="http://schemas.openxmlformats.org/officeDocument/2006/relationships/hyperlink" Target="https://doi.org/10.1186/s13677-023-00558-9" TargetMode="External" Id="rId143"/><Relationship Type="http://schemas.openxmlformats.org/officeDocument/2006/relationships/hyperlink" Target="https://doi.org/10.1109/access.2021.3069211" TargetMode="External" Id="rId144"/><Relationship Type="http://schemas.openxmlformats.org/officeDocument/2006/relationships/hyperlink" Target="https://doi.org/10.1016/j.nicl.2014.12.013" TargetMode="External" Id="rId145"/><Relationship Type="http://schemas.openxmlformats.org/officeDocument/2006/relationships/hyperlink" Target="https://doi.org/10.1007/978-3-031-13844-7_33" TargetMode="External" Id="rId146"/><Relationship Type="http://schemas.openxmlformats.org/officeDocument/2006/relationships/hyperlink" Target="https://doi.org/10.1016/j.compbiolchem.2024.108177" TargetMode="External" Id="rId147"/><Relationship Type="http://schemas.openxmlformats.org/officeDocument/2006/relationships/hyperlink" Target="https://doi.org/10.1002/aur.2622" TargetMode="External" Id="rId148"/><Relationship Type="http://schemas.openxmlformats.org/officeDocument/2006/relationships/hyperlink" Target="https://doi.org/10.1002/9781119896838.ch18" TargetMode="External" Id="rId149"/><Relationship Type="http://schemas.openxmlformats.org/officeDocument/2006/relationships/hyperlink" Target="https://doi.org/10.1155/2020/1357853" TargetMode="External" Id="rId150"/><Relationship Type="http://schemas.openxmlformats.org/officeDocument/2006/relationships/hyperlink" Target="https://doi.org/10.1007/s13246-023-01350-4" TargetMode="External" Id="rId151"/><Relationship Type="http://schemas.openxmlformats.org/officeDocument/2006/relationships/hyperlink" Target="https://doi.org/10.1136/bmjopen-2018-026226" TargetMode="External" Id="rId152"/><Relationship Type="http://schemas.openxmlformats.org/officeDocument/2006/relationships/hyperlink" Target="https://doi.org/10.1108/lht-08-2019-0176" TargetMode="External" Id="rId153"/><Relationship Type="http://schemas.openxmlformats.org/officeDocument/2006/relationships/hyperlink" Target="https://doi.org/10.1145/3539226" TargetMode="External" Id="rId154"/><Relationship Type="http://schemas.openxmlformats.org/officeDocument/2006/relationships/hyperlink" Target="https://doi.org/10.2196/33771" TargetMode="External" Id="rId155"/><Relationship Type="http://schemas.openxmlformats.org/officeDocument/2006/relationships/hyperlink" Target="https://doi.org/10.2196/15767" TargetMode="External" Id="rId156"/><Relationship Type="http://schemas.openxmlformats.org/officeDocument/2006/relationships/hyperlink" Target="https://doi.org/10.1038/srep31107" TargetMode="External" Id="rId157"/><Relationship Type="http://schemas.openxmlformats.org/officeDocument/2006/relationships/hyperlink" Target="https://doi.org/10.2196/52660" TargetMode="External" Id="rId158"/><Relationship Type="http://schemas.openxmlformats.org/officeDocument/2006/relationships/hyperlink" Target="https://doi.org/10.1111/jcpp.13650" TargetMode="External" Id="rId159"/><Relationship Type="http://schemas.openxmlformats.org/officeDocument/2006/relationships/hyperlink" Target="https://doi.org/10.3233/shti230734" TargetMode="External" Id="rId160"/><Relationship Type="http://schemas.openxmlformats.org/officeDocument/2006/relationships/hyperlink" Target="https://doi.org/10.1038/s41598-023-40073-0" TargetMode="External" Id="rId161"/><Relationship Type="http://schemas.openxmlformats.org/officeDocument/2006/relationships/hyperlink" Target="https://doi.org/10.1007/978-981-99-8141-0_12" TargetMode="External" Id="rId162"/><Relationship Type="http://schemas.openxmlformats.org/officeDocument/2006/relationships/hyperlink" Target="https://doi.org/10.1007/s12031-019-01311-1" TargetMode="External" Id="rId163"/><Relationship Type="http://schemas.openxmlformats.org/officeDocument/2006/relationships/hyperlink" Target="https://doi.org/10.2174/2666082215666191111121115" TargetMode="External" Id="rId164"/><Relationship Type="http://schemas.openxmlformats.org/officeDocument/2006/relationships/hyperlink" Target="https://doi.org/10.1016/j.compbiomed.2024.108194" TargetMode="External" Id="rId165"/><Relationship Type="http://schemas.openxmlformats.org/officeDocument/2006/relationships/hyperlink" Target="https://doi.org/10.1016/j.euroneuro.2017.08.321" TargetMode="External" Id="rId166"/><Relationship Type="http://schemas.openxmlformats.org/officeDocument/2006/relationships/hyperlink" Target="https://doi.org/10.1001/jamapediatrics.2021.0530" TargetMode="External" Id="rId167"/><Relationship Type="http://schemas.openxmlformats.org/officeDocument/2006/relationships/hyperlink" Target="https://doi.org/10.1016/j.bpsc.2020.09.001" TargetMode="External" Id="rId168"/><Relationship Type="http://schemas.openxmlformats.org/officeDocument/2006/relationships/hyperlink" Target="https://doi.org/10.1016/j.procs.2025.05.032" TargetMode="External" Id="rId169"/><Relationship Type="http://schemas.openxmlformats.org/officeDocument/2006/relationships/hyperlink" Target="https://doi.org/10.1016/j.jneumeth.2024.110100" TargetMode="External" Id="rId170"/><Relationship Type="http://schemas.openxmlformats.org/officeDocument/2006/relationships/hyperlink" Target="https://doi.org/10.1109/thms.2025.3526957" TargetMode="External" Id="rId171"/><Relationship Type="http://schemas.openxmlformats.org/officeDocument/2006/relationships/hyperlink" Target="https://doi.org/10.3390/s20236762" TargetMode="External" Id="rId172"/><Relationship Type="http://schemas.openxmlformats.org/officeDocument/2006/relationships/hyperlink" Target="https://doi.org/10.1016/j.jad.2024.04.049" TargetMode="External" Id="rId173"/><Relationship Type="http://schemas.openxmlformats.org/officeDocument/2006/relationships/hyperlink" Target="https://doi.org/10.1038/s41398-019-0631-2" TargetMode="External" Id="rId174"/><Relationship Type="http://schemas.openxmlformats.org/officeDocument/2006/relationships/hyperlink" Target="https://doi.org/10.1016/b978-0-12-822822-7.00004-1" TargetMode="External" Id="rId175"/><Relationship Type="http://schemas.openxmlformats.org/officeDocument/2006/relationships/hyperlink" Target="https://doi.org/10.1007/978-3-031-06242-1_27" TargetMode="External" Id="rId176"/><Relationship Type="http://schemas.openxmlformats.org/officeDocument/2006/relationships/hyperlink" Target="https://doi.org/10.1038/s41598-020-76874-w" TargetMode="External" Id="rId177"/><Relationship Type="http://schemas.openxmlformats.org/officeDocument/2006/relationships/hyperlink" Target="https://doi.org/10.1016/b978-0-12-822271-3.00016-5" TargetMode="External" Id="rId178"/><Relationship Type="http://schemas.openxmlformats.org/officeDocument/2006/relationships/hyperlink" Target="https://doi.org/10.1016/b978-0-323-98352-5.00001-x" TargetMode="External" Id="rId179"/><Relationship Type="http://schemas.openxmlformats.org/officeDocument/2006/relationships/hyperlink" Target="https://doi.org/10.1155/2022/9410222" TargetMode="External" Id="rId180"/><Relationship Type="http://schemas.openxmlformats.org/officeDocument/2006/relationships/hyperlink" Target="https://doi.org/10.2196/29242" TargetMode="External" Id="rId181"/><Relationship Type="http://schemas.openxmlformats.org/officeDocument/2006/relationships/hyperlink" Target="https://doi.org/10.1007/s11042-024-18519-y" TargetMode="External" Id="rId182"/><Relationship Type="http://schemas.openxmlformats.org/officeDocument/2006/relationships/hyperlink" Target="https://doi.org/10.1155/acis/9975499" TargetMode="External" Id="rId183"/><Relationship Type="http://schemas.openxmlformats.org/officeDocument/2006/relationships/hyperlink" Target="https://doi.org/10.1038/s41598-024-76659-5" TargetMode="External" Id="rId184"/><Relationship Type="http://schemas.openxmlformats.org/officeDocument/2006/relationships/hyperlink" Target="https://doi.org/10.1016/j.cmpb.2024.108492" TargetMode="External" Id="rId185"/><Relationship Type="http://schemas.openxmlformats.org/officeDocument/2006/relationships/hyperlink" Target="https://doi.org/10.1007/s11682-015-9360-1" TargetMode="External" Id="rId186"/><Relationship Type="http://schemas.openxmlformats.org/officeDocument/2006/relationships/hyperlink" Target="https://doi.org/10.1109/jbhi.2024.3455942" TargetMode="External" Id="rId187"/><Relationship Type="http://schemas.openxmlformats.org/officeDocument/2006/relationships/hyperlink" Target="https://doi.org/10.1016/j.sciaf.2018.e00019" TargetMode="External" Id="rId188"/><Relationship Type="http://schemas.openxmlformats.org/officeDocument/2006/relationships/hyperlink" Target="https://doi.org/10.1016/j.neucom.2025.130780" TargetMode="External" Id="rId189"/><Relationship Type="http://schemas.openxmlformats.org/officeDocument/2006/relationships/hyperlink" Target="https://doi.org/10.1186/s13229-022-00491-9" TargetMode="External" Id="rId190"/><Relationship Type="http://schemas.openxmlformats.org/officeDocument/2006/relationships/hyperlink" Target="https://doi.org/10.1016/j.pscychresns.2024.111822" TargetMode="External" Id="rId191"/><Relationship Type="http://schemas.openxmlformats.org/officeDocument/2006/relationships/hyperlink" Target="https://doi.org/10.1016/j.bpsc.2021.08.009" TargetMode="External" Id="rId192"/><Relationship Type="http://schemas.openxmlformats.org/officeDocument/2006/relationships/hyperlink" Target="https://doi.org/10.32604/ijmhp.2022.020075" TargetMode="External" Id="rId193"/><Relationship Type="http://schemas.openxmlformats.org/officeDocument/2006/relationships/hyperlink" Target="https://doi.org/10.1177/13623613241304488" TargetMode="External" Id="rId194"/><Relationship Type="http://schemas.openxmlformats.org/officeDocument/2006/relationships/hyperlink" Target="https://doi.org/10.1016/j.cortex.2014.08.011" TargetMode="External" Id="rId195"/><Relationship Type="http://schemas.openxmlformats.org/officeDocument/2006/relationships/hyperlink" Target="https://doi.org/10.1109/embc46164.2021.9630150" TargetMode="External" Id="rId196"/><Relationship Type="http://schemas.openxmlformats.org/officeDocument/2006/relationships/hyperlink" Target="https://doi.org/10.1145/3699749" TargetMode="External" Id="rId197"/><Relationship Type="http://schemas.openxmlformats.org/officeDocument/2006/relationships/hyperlink" Target="https://doi.org/10.1007/s11011-025-01604-y" TargetMode="External" Id="rId198"/><Relationship Type="http://schemas.openxmlformats.org/officeDocument/2006/relationships/hyperlink" Target="https://doi.org/10.1038/s41598-024-71174-z" TargetMode="External" Id="rId199"/><Relationship Type="http://schemas.openxmlformats.org/officeDocument/2006/relationships/hyperlink" Target="https://doi.org/10.1007/s13042-022-01554-2" TargetMode="External" Id="rId200"/><Relationship Type="http://schemas.openxmlformats.org/officeDocument/2006/relationships/hyperlink" Target="https://doi.org/10.1007/s11596-024-2938-3" TargetMode="External" Id="rId201"/><Relationship Type="http://schemas.openxmlformats.org/officeDocument/2006/relationships/hyperlink" Target="https://doi.org/10.1007/s00521-025-11208-3" TargetMode="External" Id="rId202"/><Relationship Type="http://schemas.openxmlformats.org/officeDocument/2006/relationships/hyperlink" Target="https://doi.org/10.1186/s12859-023-05501-y" TargetMode="External" Id="rId203"/><Relationship Type="http://schemas.openxmlformats.org/officeDocument/2006/relationships/hyperlink" Target="https://doi.org/10.1002/aur.2595" TargetMode="External" Id="rId204"/><Relationship Type="http://schemas.openxmlformats.org/officeDocument/2006/relationships/hyperlink" Target="https://doi.org/10.1002/cpe.7898" TargetMode="External" Id="rId205"/><Relationship Type="http://schemas.openxmlformats.org/officeDocument/2006/relationships/hyperlink" Target="https://doi.org/10.1016/j.cmpb.2025.108921" TargetMode="External" Id="rId206"/><Relationship Type="http://schemas.openxmlformats.org/officeDocument/2006/relationships/hyperlink" Target="https://doi.org/10.1007/s10803-018-3690-y" TargetMode="External" Id="rId207"/><Relationship Type="http://schemas.openxmlformats.org/officeDocument/2006/relationships/hyperlink" Target="https://doi.org/10.1016/j.compeleceng.2023.108720" TargetMode="External" Id="rId208"/><Relationship Type="http://schemas.openxmlformats.org/officeDocument/2006/relationships/hyperlink" Target="https://doi.org/10.1109/tlt.2024.3409702" TargetMode="External" Id="rId209"/><Relationship Type="http://schemas.openxmlformats.org/officeDocument/2006/relationships/hyperlink" Target="https://doi.org/10.1007/978-981-99-8558-6_35" TargetMode="External" Id="rId210"/><Relationship Type="http://schemas.openxmlformats.org/officeDocument/2006/relationships/hyperlink" Target="https://doi.org/10.1007/978-3-030-46165-2_4" TargetMode="External" Id="rId211"/><Relationship Type="http://schemas.openxmlformats.org/officeDocument/2006/relationships/hyperlink" Target="https://doi.org/10.1007/978-3-031-72069-7_6" TargetMode="External" Id="rId212"/><Relationship Type="http://schemas.openxmlformats.org/officeDocument/2006/relationships/hyperlink" Target="https://doi.org/10.1002/ar.25332" TargetMode="External" Id="rId213"/><Relationship Type="http://schemas.openxmlformats.org/officeDocument/2006/relationships/hyperlink" Target="https://doi.org/10.1016/j.bspc.2020.101958" TargetMode="External" Id="rId214"/><Relationship Type="http://schemas.openxmlformats.org/officeDocument/2006/relationships/hyperlink" Target="https://doi.org/10.1016/j.clinph.2019.12.400" TargetMode="External" Id="rId215"/><Relationship Type="http://schemas.openxmlformats.org/officeDocument/2006/relationships/hyperlink" Target="https://doi.org/10.1007/978-3-031-45389-2_18" TargetMode="External" Id="rId216"/><Relationship Type="http://schemas.openxmlformats.org/officeDocument/2006/relationships/hyperlink" Target="https://doi.org/10.1016/j.media.2021.101986" TargetMode="External" Id="rId217"/><Relationship Type="http://schemas.openxmlformats.org/officeDocument/2006/relationships/hyperlink" Target="https://doi.org/10.1038/s41598-025-97313-8" TargetMode="External" Id="rId218"/><Relationship Type="http://schemas.openxmlformats.org/officeDocument/2006/relationships/hyperlink" Target="https://doi.org/10.1371/journal.pone.0269637" TargetMode="External" Id="rId219"/><Relationship Type="http://schemas.openxmlformats.org/officeDocument/2006/relationships/hyperlink" Target="https://doi.org/10.1016/b978-0-12-822822-7.00006-5" TargetMode="External" Id="rId220"/><Relationship Type="http://schemas.openxmlformats.org/officeDocument/2006/relationships/hyperlink" Target="https://doi.org/10.1016/j.ctcp.2023.101825" TargetMode="External" Id="rId221"/><Relationship Type="http://schemas.openxmlformats.org/officeDocument/2006/relationships/hyperlink" Target="https://doi.org/10.1142/s0129065722500460" TargetMode="External" Id="rId222"/><Relationship Type="http://schemas.openxmlformats.org/officeDocument/2006/relationships/hyperlink" Target="https://doi.org/10.1016/j.nicl.2018.01.014" TargetMode="External" Id="rId223"/><Relationship Type="http://schemas.openxmlformats.org/officeDocument/2006/relationships/hyperlink" Target="https://doi.org/10.1007/s10803-023-05922-x" TargetMode="External" Id="rId224"/><Relationship Type="http://schemas.openxmlformats.org/officeDocument/2006/relationships/hyperlink" Target="https://doi.org/10.1007/978-3-031-83845-3_26" TargetMode="External" Id="rId225"/><Relationship Type="http://schemas.openxmlformats.org/officeDocument/2006/relationships/hyperlink" Target="https://doi.org/10.1109/access.2024.3351168" TargetMode="External" Id="rId226"/><Relationship Type="http://schemas.openxmlformats.org/officeDocument/2006/relationships/hyperlink" Target="https://doi.org/10.1016/b978-0-12-822822-7.00009-0" TargetMode="External" Id="rId227"/><Relationship Type="http://schemas.openxmlformats.org/officeDocument/2006/relationships/hyperlink" Target="https://doi.org/10.1109/embc40787.2023.10340852" TargetMode="External" Id="rId228"/><Relationship Type="http://schemas.openxmlformats.org/officeDocument/2006/relationships/hyperlink" Target="https://doi.org/10.1109/tnsre.2024.3361935" TargetMode="External" Id="rId229"/><Relationship Type="http://schemas.openxmlformats.org/officeDocument/2006/relationships/hyperlink" Target="https://doi.org/10.1111/jon.12280" TargetMode="External" Id="rId230"/><Relationship Type="http://schemas.openxmlformats.org/officeDocument/2006/relationships/hyperlink" Target="https://doi.org/10.1016/j.compbiomed.2022.105854" TargetMode="External" Id="rId231"/><Relationship Type="http://schemas.openxmlformats.org/officeDocument/2006/relationships/hyperlink" Target="https://doi.org/10.1038/s41398-023-02662-5" TargetMode="External" Id="rId232"/><Relationship Type="http://schemas.openxmlformats.org/officeDocument/2006/relationships/hyperlink" Target="https://doi.org/10.1016/j.irbm.2024.100838" TargetMode="External" Id="rId233"/><Relationship Type="http://schemas.openxmlformats.org/officeDocument/2006/relationships/hyperlink" Target="https://doi.org/10.1007/978-3-030-00928-1_73" TargetMode="External" Id="rId234"/><Relationship Type="http://schemas.openxmlformats.org/officeDocument/2006/relationships/hyperlink" Target="https://doi.org/10.1109/tnsre.2025.3580593" TargetMode="External" Id="rId235"/><Relationship Type="http://schemas.openxmlformats.org/officeDocument/2006/relationships/hyperlink" Target="https://doi.org/10.1016/b978-0-12-822822-7.00008-9" TargetMode="External" Id="rId236"/><Relationship Type="http://schemas.openxmlformats.org/officeDocument/2006/relationships/hyperlink" Target="https://doi.org/10.1038/s41598-025-09862-7" TargetMode="External" Id="rId237"/><Relationship Type="http://schemas.openxmlformats.org/officeDocument/2006/relationships/hyperlink" Target="https://doi.org/10.1109/embc48229.2022.9871130" TargetMode="External" Id="rId238"/><Relationship Type="http://schemas.openxmlformats.org/officeDocument/2006/relationships/hyperlink" Target="https://doi.org/10.1007/978-981-99-8558-6_38" TargetMode="External" Id="rId239"/><Relationship Type="http://schemas.openxmlformats.org/officeDocument/2006/relationships/hyperlink" Target="https://doi.org/10.1007/s10916-023-02032-0" TargetMode="External" Id="rId240"/><Relationship Type="http://schemas.openxmlformats.org/officeDocument/2006/relationships/hyperlink" Target="https://doi.org/10.1016/j.compbiomed.2022.105239" TargetMode="External" Id="rId241"/><Relationship Type="http://schemas.openxmlformats.org/officeDocument/2006/relationships/hyperlink" Target="https://doi.org/10.1038/s41380-022-01636-1" TargetMode="External" Id="rId242"/><Relationship Type="http://schemas.openxmlformats.org/officeDocument/2006/relationships/hyperlink" Target="https://doi.org/10.1109/access.2022.3146719" TargetMode="External" Id="rId243"/><Relationship Type="http://schemas.openxmlformats.org/officeDocument/2006/relationships/hyperlink" Target="https://doi.org/10.1016/j.isci.2024.110709" TargetMode="External" Id="rId244"/><Relationship Type="http://schemas.openxmlformats.org/officeDocument/2006/relationships/hyperlink" Target="https://doi.org/10.1016/j.envint.2025.109562" TargetMode="External" Id="rId245"/><Relationship Type="http://schemas.openxmlformats.org/officeDocument/2006/relationships/hyperlink" Target="https://doi.org/10.2196/jmir.9496" TargetMode="External" Id="rId246"/><Relationship Type="http://schemas.openxmlformats.org/officeDocument/2006/relationships/hyperlink" Target="https://doi.org/10.1007/s42979-023-02564-9" TargetMode="External" Id="rId247"/><Relationship Type="http://schemas.openxmlformats.org/officeDocument/2006/relationships/hyperlink" Target="https://doi.org/10.1016/j.media.2020.101662" TargetMode="External" Id="rId248"/><Relationship Type="http://schemas.openxmlformats.org/officeDocument/2006/relationships/hyperlink" Target="https://doi.org/10.1016/j.medengphy.2020.07.004" TargetMode="External" Id="rId249"/><Relationship Type="http://schemas.openxmlformats.org/officeDocument/2006/relationships/hyperlink" Target="https://doi.org/10.1016/j.neuroimage.2017.12.044" TargetMode="External" Id="rId250"/><Relationship Type="http://schemas.openxmlformats.org/officeDocument/2006/relationships/hyperlink" Target="https://doi.org/10.1007/978-3-030-86993-9_36" TargetMode="External" Id="rId251"/><Relationship Type="http://schemas.openxmlformats.org/officeDocument/2006/relationships/hyperlink" Target="https://doi.org/10.3390/s22072528" TargetMode="External" Id="rId252"/><Relationship Type="http://schemas.openxmlformats.org/officeDocument/2006/relationships/hyperlink" Target="https://doi.org/10.1007/s10803-022-05767-w" TargetMode="External" Id="rId253"/><Relationship Type="http://schemas.openxmlformats.org/officeDocument/2006/relationships/hyperlink" Target="https://doi.org/10.1016/j.eswa.2014.05.011" TargetMode="External" Id="rId254"/><Relationship Type="http://schemas.openxmlformats.org/officeDocument/2006/relationships/hyperlink" Target="https://doi.org/10.1093/cercor/bhad125" TargetMode="External" Id="rId255"/><Relationship Type="http://schemas.openxmlformats.org/officeDocument/2006/relationships/hyperlink" Target="https://doi.org/10.1186/s12911-017-0564-8" TargetMode="External" Id="rId256"/><Relationship Type="http://schemas.openxmlformats.org/officeDocument/2006/relationships/hyperlink" Target="https://doi.org/10.1002/cpe.6498" TargetMode="External" Id="rId257"/><Relationship Type="http://schemas.openxmlformats.org/officeDocument/2006/relationships/hyperlink" Target="https://doi.org/10.1016/j.jneumeth.2023.109901" TargetMode="External" Id="rId258"/><Relationship Type="http://schemas.openxmlformats.org/officeDocument/2006/relationships/hyperlink" Target="https://doi.org/10.3390/ijerph191912857" TargetMode="External" Id="rId259"/><Relationship Type="http://schemas.openxmlformats.org/officeDocument/2006/relationships/hyperlink" Target="https://doi.org/10.1186/s12859-023-05378-x" TargetMode="External" Id="rId260"/><Relationship Type="http://schemas.openxmlformats.org/officeDocument/2006/relationships/hyperlink" Target="https://doi.org/10.1155/2022/8134018" TargetMode="External" Id="rId261"/><Relationship Type="http://schemas.openxmlformats.org/officeDocument/2006/relationships/hyperlink" Target="https://doi.org/10.1016/j.procs.2020.01.098" TargetMode="External" Id="rId262"/><Relationship Type="http://schemas.openxmlformats.org/officeDocument/2006/relationships/hyperlink" Target="https://doi.org/10.1016/j.ecoenv.2025.118233" TargetMode="External" Id="rId263"/><Relationship Type="http://schemas.openxmlformats.org/officeDocument/2006/relationships/hyperlink" Target="https://doi.org/10.1111/exsy.13040" TargetMode="External" Id="rId264"/><Relationship Type="http://schemas.openxmlformats.org/officeDocument/2006/relationships/hyperlink" Target="https://www.nature.com/articles/s41598-020-61288-5" TargetMode="External" Id="rId265"/><Relationship Type="http://schemas.openxmlformats.org/officeDocument/2006/relationships/hyperlink" Target="https://doi.org/10.1007/s10803-021-05179-2" TargetMode="External" Id="rId266"/><Relationship Type="http://schemas.openxmlformats.org/officeDocument/2006/relationships/hyperlink" Target="https://doi.org/10.1016/j.neuro.2018.11.015" TargetMode="External" Id="rId267"/><Relationship Type="http://schemas.openxmlformats.org/officeDocument/2006/relationships/hyperlink" Target="https://doi.org/10.1021/acs.jcim.5c00134" TargetMode="External" Id="rId268"/><Relationship Type="http://schemas.openxmlformats.org/officeDocument/2006/relationships/hyperlink" Target="https://doi.org/10.1016/j.brainresbull.2025.111290" TargetMode="External" Id="rId269"/><Relationship Type="http://schemas.openxmlformats.org/officeDocument/2006/relationships/hyperlink" Target="https://doi.org/10.1186/1755-8794-8-s1-s7" TargetMode="External" Id="rId270"/><Relationship Type="http://schemas.openxmlformats.org/officeDocument/2006/relationships/hyperlink" Target="https://doi.org/10.1126/scirobotics.aao6760" TargetMode="External" Id="rId271"/><Relationship Type="http://schemas.openxmlformats.org/officeDocument/2006/relationships/hyperlink" Target="https://doi.org/10.1007/s10803-018-3509-x" TargetMode="External" Id="rId272"/><Relationship Type="http://schemas.openxmlformats.org/officeDocument/2006/relationships/hyperlink" Target="https://doi.org/10.1016/j.heliyon.2024.e34245" TargetMode="External" Id="rId273"/><Relationship Type="http://schemas.openxmlformats.org/officeDocument/2006/relationships/hyperlink" Target="https://findanexpert.unimelb.edu.au/scholarlywork/1533141-three-distinct-neuroanatomical-subtypes-of-autism-spectrum-disorder--revealed-via-machine-learning--and-their-similarities-with-schizophrenia-subtypes" TargetMode="External" Id="rId274"/><Relationship Type="http://schemas.openxmlformats.org/officeDocument/2006/relationships/hyperlink" Target="https://doi.org/10.1111/jne.70092" TargetMode="External" Id="rId275"/><Relationship Type="http://schemas.openxmlformats.org/officeDocument/2006/relationships/hyperlink" Target="https://doi.org/10.1007/978-3-031-62273-1_36" TargetMode="External" Id="rId276"/><Relationship Type="http://schemas.openxmlformats.org/officeDocument/2006/relationships/hyperlink" Target="https://doi.org/10.2196/80733" TargetMode="External" Id="rId277"/><Relationship Type="http://schemas.openxmlformats.org/officeDocument/2006/relationships/hyperlink" Target="https://doi.org/10.1016/j.csbj.2025.09.006" TargetMode="External" Id="rId278"/><Relationship Type="http://schemas.openxmlformats.org/officeDocument/2006/relationships/hyperlink" Target="https://doi.org/10.2196/73440" TargetMode="External" Id="rId279"/><Relationship Type="http://schemas.openxmlformats.org/officeDocument/2006/relationships/hyperlink" Target="https://doi.org/10.2196/70589" TargetMode="External" Id="rId280"/><Relationship Type="http://schemas.openxmlformats.org/officeDocument/2006/relationships/hyperlink" Target="https://doi.org/10.1016/j.cell.2025.02.025" TargetMode="External" Id="rId281"/><Relationship Type="http://schemas.openxmlformats.org/officeDocument/2006/relationships/hyperlink" Target="https://doi.org/10.32604/cmc.2025.062266" TargetMode="External" Id="rId282"/><Relationship Type="http://schemas.openxmlformats.org/officeDocument/2006/relationships/hyperlink" Target="https://doi.org/10.32604/cmc.2025.062643" TargetMode="External" Id="rId283"/><Relationship Type="http://schemas.openxmlformats.org/officeDocument/2006/relationships/hyperlink" Target="https://doi.org/10.1016/j.eclinm.2025.103452" TargetMode="External" Id="rId284"/><Relationship Type="http://schemas.openxmlformats.org/officeDocument/2006/relationships/hyperlink" Target="https://doi.org/10.1016/j.jpedcp.2025.200176" TargetMode="External" Id="rId285"/><Relationship Type="http://schemas.openxmlformats.org/officeDocument/2006/relationships/hyperlink" Target="https://doi.org/10.32604/cmes.2025.074627" TargetMode="External" Id="rId286"/><Relationship Type="http://schemas.openxmlformats.org/officeDocument/2006/relationships/hyperlink" Target="https://www.jmir.org/2026/1/e85290" TargetMode="External" Id="rId287"/><Relationship Type="http://schemas.openxmlformats.org/officeDocument/2006/relationships/hyperlink" Target="https://doi.org/10.2196/85060" TargetMode="External" Id="rId288"/><Relationship Type="http://schemas.openxmlformats.org/officeDocument/2006/relationships/hyperlink" Target="https://ai.jmir.org/2026/1/e89054" TargetMode="External" Id="rId289"/><Relationship Type="http://schemas.openxmlformats.org/officeDocument/2006/relationships/hyperlink" Target="https://doi.org/10.2196/74440" TargetMode="External" Id="rId290"/><Relationship Type="http://schemas.openxmlformats.org/officeDocument/2006/relationships/hyperlink" Target="https://preprints.jmir.org/preprint/85196" TargetMode="External" Id="rId291"/><Relationship Type="http://schemas.openxmlformats.org/officeDocument/2006/relationships/hyperlink" Target="https://doi.org/10.1002/hbm.70435" TargetMode="External" Id="rId292"/><Relationship Type="http://schemas.openxmlformats.org/officeDocument/2006/relationships/hyperlink" Target="https://doi.org/10.3389/fpubh.2026.1881829" TargetMode="External" Id="rId293"/><Relationship Type="http://schemas.openxmlformats.org/officeDocument/2006/relationships/hyperlink" Target="https://doi.org/10.1016/j.ijchp.2026.100664" TargetMode="External" Id="rId294"/><Relationship Type="http://schemas.openxmlformats.org/officeDocument/2006/relationships/hyperlink" Target="https://doi.org/10.1136/bmjment-2026-302488" TargetMode="External" Id="rId295"/><Relationship Type="http://schemas.openxmlformats.org/officeDocument/2006/relationships/hyperlink" Target="https://doi.org/10.1016/j.neunet.2025.108295" TargetMode="External" Id="rId296"/><Relationship Type="http://schemas.openxmlformats.org/officeDocument/2006/relationships/hyperlink" Target="https://doi.org/10.1016/j.artmed.2025.103318" TargetMode="External" Id="rId297"/><Relationship Type="http://schemas.openxmlformats.org/officeDocument/2006/relationships/hyperlink" Target="https://doi.org/10.1038/s41398-026-03823-y" TargetMode="External" Id="rId298"/><Relationship Type="http://schemas.openxmlformats.org/officeDocument/2006/relationships/hyperlink" Target="https://doi.org/10.3390/s26061862" TargetMode="External" Id="rId299"/><Relationship Type="http://schemas.openxmlformats.org/officeDocument/2006/relationships/hyperlink" Target="https://doi.org/10.1371/journal.pone.0345522" TargetMode="External" Id="rId300"/><Relationship Type="http://schemas.openxmlformats.org/officeDocument/2006/relationships/hyperlink" Target="https://doi.org/10.1002/aur.70124" TargetMode="External" Id="rId301"/><Relationship Type="http://schemas.openxmlformats.org/officeDocument/2006/relationships/hyperlink" Target="https://doi.org/10.1002/aur.70189" TargetMode="External" Id="rId302"/><Relationship Type="http://schemas.openxmlformats.org/officeDocument/2006/relationships/hyperlink" Target="https://doi.org/10.1002/ped4.70064" TargetMode="External" Id="rId303"/><Relationship Type="http://schemas.openxmlformats.org/officeDocument/2006/relationships/hyperlink" Target="https://doi.org/10.3390/biom16030340" TargetMode="External" Id="rId304"/><Relationship Type="http://schemas.openxmlformats.org/officeDocument/2006/relationships/hyperlink" Target="https://doi.org/10.3390/s25247485" TargetMode="External" Id="rId305"/><Relationship Type="http://schemas.openxmlformats.org/officeDocument/2006/relationships/hyperlink" Target="https://doi.org/10.1038/s41598-025-26307-3" TargetMode="External" Id="rId306"/><Relationship Type="http://schemas.openxmlformats.org/officeDocument/2006/relationships/hyperlink" Target="https://doi.org/10.3233/shti251499" TargetMode="External" Id="rId307"/><Relationship Type="http://schemas.openxmlformats.org/officeDocument/2006/relationships/hyperlink" Target="https://doi.org/10.1155/hbe2/1923339" TargetMode="External" Id="rId308"/><Relationship Type="http://schemas.openxmlformats.org/officeDocument/2006/relationships/hyperlink" Target="https://doi.org/10.1002/aur.70135" TargetMode="External" Id="rId309"/><Relationship Type="http://schemas.openxmlformats.org/officeDocument/2006/relationships/hyperlink" Target="https://doi.org/10.1186/s12888-025-07754-8" TargetMode="External" Id="rId310"/><Relationship Type="http://schemas.openxmlformats.org/officeDocument/2006/relationships/hyperlink" Target="https://doi.org/10.1109/jbhi.2025.3599643" TargetMode="External" Id="rId311"/><Relationship Type="http://schemas.openxmlformats.org/officeDocument/2006/relationships/hyperlink" Target="https://doi.org/10.1038/s41598-025-26131-9" TargetMode="External" Id="rId312"/><Relationship Type="http://schemas.openxmlformats.org/officeDocument/2006/relationships/hyperlink" Target="https://doi.org/10.1093/biomtc/ujag099" TargetMode="External" Id="rId313"/><Relationship Type="http://schemas.openxmlformats.org/officeDocument/2006/relationships/hyperlink" Target="https://doi.org/10.31083/jin48212" TargetMode="External" Id="rId314"/><Relationship Type="http://schemas.openxmlformats.org/officeDocument/2006/relationships/hyperlink" Target="https://doi.org/10.1038/s41598-026-48562-8" TargetMode="External" Id="rId315"/><Relationship Type="http://schemas.openxmlformats.org/officeDocument/2006/relationships/hyperlink" Target="https://doi.org/10.1038/s41598-026-58789-0" TargetMode="External" Id="rId316"/><Relationship Type="http://schemas.openxmlformats.org/officeDocument/2006/relationships/hyperlink" Target="https://www.nature.com/articles/s41598-025-24662-9" TargetMode="External" Id="rId317"/><Relationship Type="http://schemas.openxmlformats.org/officeDocument/2006/relationships/hyperlink" Target="https://journals.plos.org/plosone/article?id=10.1371/journal.pone.0354652" TargetMode="External" Id="rId318"/><Relationship Type="http://schemas.openxmlformats.org/officeDocument/2006/relationships/hyperlink" Target="https://doi.org/10.1007/s12021-026-09782-5" TargetMode="External" Id="rId319"/><Relationship Type="http://schemas.openxmlformats.org/officeDocument/2006/relationships/hyperlink" Target="https://doi.org/10.1007/s41870-025-02987-y" TargetMode="External" Id="rId320"/><Relationship Type="http://schemas.openxmlformats.org/officeDocument/2006/relationships/hyperlink" Target="https://doi.org/10.1007/s44163-026-01103-8" TargetMode="External" Id="rId321"/><Relationship Type="http://schemas.openxmlformats.org/officeDocument/2006/relationships/hyperlink" Target="https://doi.org/10.1038/s41598-025-95291-5" TargetMode="External" Id="rId322"/><Relationship Type="http://schemas.openxmlformats.org/officeDocument/2006/relationships/hyperlink" Target="https://doi.org/10.3390/genes16091109" TargetMode="External" Id="rId323"/><Relationship Type="http://schemas.openxmlformats.org/officeDocument/2006/relationships/hyperlink" Target="https://doi.org/10.1016/j.envres.2026.125213" TargetMode="External" Id="rId324"/><Relationship Type="http://schemas.openxmlformats.org/officeDocument/2006/relationships/hyperlink" Target="https://link.springer.com/article/10.1186/s13073-025-01552-3" TargetMode="External" Id="rId325"/><Relationship Type="http://schemas.openxmlformats.org/officeDocument/2006/relationships/hyperlink" Target="https://doi.org/10.1007/s41666-026-00243-x" TargetMode="External" Id="rId326"/><Relationship Type="http://schemas.openxmlformats.org/officeDocument/2006/relationships/hyperlink" Target="https://doi.org/10.1007/s44163-026-01299-9" TargetMode="External" Id="rId327"/><Relationship Type="http://schemas.openxmlformats.org/officeDocument/2006/relationships/hyperlink" Target="https://doi.org/10.1002/jmri.70023" TargetMode="External" Id="rId328"/><Relationship Type="http://schemas.openxmlformats.org/officeDocument/2006/relationships/hyperlink" Target="https://doi.org/10.1038/s41598-025-93802-y" TargetMode="External" Id="rId329"/><Relationship Type="http://schemas.openxmlformats.org/officeDocument/2006/relationships/hyperlink" Target="https://doi.org/10.1109/access.2026.3688987" TargetMode="External" Id="rId330"/><Relationship Type="http://schemas.openxmlformats.org/officeDocument/2006/relationships/hyperlink" Target="https://doi.org/10.1109/access.2025.3642950" TargetMode="External" Id="rId331"/><Relationship Type="http://schemas.openxmlformats.org/officeDocument/2006/relationships/hyperlink" Target="https://doi.org/10.1109/access.2025.3646589" TargetMode="External" Id="rId332"/><Relationship Type="http://schemas.openxmlformats.org/officeDocument/2006/relationships/hyperlink" Target="https://doi.org/10.1109/access.2026.3704046" TargetMode="External" Id="rId333"/><Relationship Type="http://schemas.openxmlformats.org/officeDocument/2006/relationships/hyperlink" Target="https://doi.org/10.1109/access.2026.3686583" TargetMode="External" Id="rId334"/><Relationship Type="http://schemas.openxmlformats.org/officeDocument/2006/relationships/hyperlink" Target="https://doi.org/10.1109/access.2026.3650856" TargetMode="External" Id="rId335"/><Relationship Type="http://schemas.openxmlformats.org/officeDocument/2006/relationships/hyperlink" Target="https://doi.org/10.1016/j.bspc.2024.107009" TargetMode="External" Id="rId336"/><Relationship Type="http://schemas.openxmlformats.org/officeDocument/2006/relationships/hyperlink" Target="https://doi.org/10.1016/j.bspc.2024.106949" TargetMode="External" Id="rId337"/><Relationship Type="http://schemas.openxmlformats.org/officeDocument/2006/relationships/hyperlink" Target="https://doi.org/10.1016/j.ijhcs.2025.103486" TargetMode="External" Id="rId338"/><Relationship Type="http://schemas.openxmlformats.org/officeDocument/2006/relationships/hyperlink" Target="https://doi.org/10.1016/j.compbiolchem.2024.108335" TargetMode="External" Id="rId339"/><Relationship Type="http://schemas.openxmlformats.org/officeDocument/2006/relationships/hyperlink" Target="https://doi.org/10.1016/j.biopsycho.2024.108976" TargetMode="External" Id="rId340"/><Relationship Type="http://schemas.openxmlformats.org/officeDocument/2006/relationships/hyperlink" Target="https://doi.org/10.1016/j.cca.2024.120018" TargetMode="External" Id="rId341"/><Relationship Type="http://schemas.openxmlformats.org/officeDocument/2006/relationships/hyperlink" Target="https://doi.org/10.1016/j.eswa.2024.126295" TargetMode="External" Id="rId342"/><Relationship Type="http://schemas.openxmlformats.org/officeDocument/2006/relationships/hyperlink" Target="https://doi.org/10.1016/j.eswa.2024.125399" TargetMode="External" Id="rId343"/><Relationship Type="http://schemas.openxmlformats.org/officeDocument/2006/relationships/hyperlink" Target="https://doi.org/10.1016/j.jneumeth.2024.110315" TargetMode="External" Id="rId344"/><Relationship Type="http://schemas.openxmlformats.org/officeDocument/2006/relationships/hyperlink" Target="https://doi.org/10.1016/j.bspc.2024.107414" TargetMode="External" Id="rId345"/><Relationship Type="http://schemas.openxmlformats.org/officeDocument/2006/relationships/hyperlink" Target="https://doi.org/10.1016/j.ijmedinf.2024.105707" TargetMode="External" Id="rId346"/><Relationship Type="http://schemas.openxmlformats.org/officeDocument/2006/relationships/hyperlink" Target="https://doi.org/10.1016/j.rineng.2025.104444" TargetMode="External" Id="rId347"/><Relationship Type="http://schemas.openxmlformats.org/officeDocument/2006/relationships/hyperlink" Target="https://doi.org/10.1016/j.engappai.2024.109475" TargetMode="External" Id="rId348"/><Relationship Type="http://schemas.openxmlformats.org/officeDocument/2006/relationships/hyperlink" Target="https://doi.org/10.1016/j.eswa.2025.127013" TargetMode="External" Id="rId349"/><Relationship Type="http://schemas.openxmlformats.org/officeDocument/2006/relationships/hyperlink" Target="https://doi.org/10.1016/j.ibmed.2025.100213" TargetMode="External" Id="rId350"/><Relationship Type="http://schemas.openxmlformats.org/officeDocument/2006/relationships/hyperlink" Target="https://doi.org/10.1016/j.engappai.2025.110430" TargetMode="External" Id="rId351"/><Relationship Type="http://schemas.openxmlformats.org/officeDocument/2006/relationships/hyperlink" Target="https://doi.org/10.1016/j.lfs.2025.123531" TargetMode="External" Id="rId352"/><Relationship Type="http://schemas.openxmlformats.org/officeDocument/2006/relationships/hyperlink" Target="https://doi.org/10.1016/j.bspc.2024.107433" TargetMode="External" Id="rId353"/><Relationship Type="http://schemas.openxmlformats.org/officeDocument/2006/relationships/hyperlink" Target="https://doi.org/10.1016/j.neucom.2025.130353" TargetMode="External" Id="rId354"/><Relationship Type="http://schemas.openxmlformats.org/officeDocument/2006/relationships/hyperlink" Target="https://doi.org/10.1016/j.compbiomed.2025.109926" TargetMode="External" Id="rId355"/><Relationship Type="http://schemas.openxmlformats.org/officeDocument/2006/relationships/hyperlink" Target="https://doi.org/10.1016/j.compbiomed.2025.110038" TargetMode="External" Id="rId356"/><Relationship Type="http://schemas.openxmlformats.org/officeDocument/2006/relationships/hyperlink" Target="https://doi.org/10.1016/j.neunet.2025.107337" TargetMode="External" Id="rId357"/><Relationship Type="http://schemas.openxmlformats.org/officeDocument/2006/relationships/hyperlink" Target="https://doi.org/10.1016/j.eswa.2025.128884" TargetMode="External" Id="rId358"/><Relationship Type="http://schemas.openxmlformats.org/officeDocument/2006/relationships/hyperlink" Target="https://doi.org/10.1016/j.pscychresns.2025.111970" TargetMode="External" Id="rId359"/><Relationship Type="http://schemas.openxmlformats.org/officeDocument/2006/relationships/hyperlink" Target="https://doi.org/10.1016/j.etdah.2025.100176" TargetMode="External" Id="rId360"/><Relationship Type="http://schemas.openxmlformats.org/officeDocument/2006/relationships/hyperlink" Target="https://doi.org/10.1016/j.bspc.2025.108020" TargetMode="External" Id="rId361"/><Relationship Type="http://schemas.openxmlformats.org/officeDocument/2006/relationships/hyperlink" Target="https://doi.org/10.1016/j.neuroscience.2025.08.001" TargetMode="External" Id="rId362"/><Relationship Type="http://schemas.openxmlformats.org/officeDocument/2006/relationships/hyperlink" Target="https://doi.org/10.1016/j.jgg.2025.07.008" TargetMode="External" Id="rId363"/><Relationship Type="http://schemas.openxmlformats.org/officeDocument/2006/relationships/hyperlink" Target="https://doi.org/10.1016/j.compbiolchem.2025.108619" TargetMode="External" Id="rId364"/><Relationship Type="http://schemas.openxmlformats.org/officeDocument/2006/relationships/hyperlink" Target="https://doi.org/10.1016/j.brainres.2025.149904" TargetMode="External" Id="rId365"/><Relationship Type="http://schemas.openxmlformats.org/officeDocument/2006/relationships/hyperlink" Target="https://doi.org/10.32604/cmc.2025.067784" TargetMode="External" Id="rId366"/><Relationship Type="http://schemas.openxmlformats.org/officeDocument/2006/relationships/hyperlink" Target="https://doi.org/10.1016/j.mri.2025.110492" TargetMode="External" Id="rId367"/><Relationship Type="http://schemas.openxmlformats.org/officeDocument/2006/relationships/hyperlink" Target="https://doi.org/10.1016/j.patcog.2025.112906" TargetMode="External" Id="rId368"/><Relationship Type="http://schemas.openxmlformats.org/officeDocument/2006/relationships/hyperlink" Target="https://doi.org/10.1016/j.ajp.2025.104798" TargetMode="External" Id="rId369"/><Relationship Type="http://schemas.openxmlformats.org/officeDocument/2006/relationships/hyperlink" Target="https://doi.org/10.1016/j.compbiomed.2026.111719" TargetMode="External" Id="rId370"/><Relationship Type="http://schemas.openxmlformats.org/officeDocument/2006/relationships/hyperlink" Target="https://doi.org/10.1016/j.bspc.2025.109180" TargetMode="External" Id="rId371"/><Relationship Type="http://schemas.openxmlformats.org/officeDocument/2006/relationships/hyperlink" Target="https://doi.org/10.1016/j.ajp.2026.104830" TargetMode="External" Id="rId372"/><Relationship Type="http://schemas.openxmlformats.org/officeDocument/2006/relationships/hyperlink" Target="https://doi.org/10.1016/j.ijhcs.2025.103696" TargetMode="External" Id="rId373"/><Relationship Type="http://schemas.openxmlformats.org/officeDocument/2006/relationships/hyperlink" Target="https://doi.org/10.1016/j.procs.2026.06.363" TargetMode="External" Id="rId374"/><Relationship Type="http://schemas.openxmlformats.org/officeDocument/2006/relationships/hyperlink" Target="https://doi.org/10.1016/j.jpsychires.2026.03.043" TargetMode="External" Id="rId375"/><Relationship Type="http://schemas.openxmlformats.org/officeDocument/2006/relationships/hyperlink" Target="https://doi.org/10.1016/j.bspc.2025.108976" TargetMode="External" Id="rId376"/><Relationship Type="http://schemas.openxmlformats.org/officeDocument/2006/relationships/hyperlink" Target="https://doi.org/10.1044/2026_ajslp-25-00469" TargetMode="External" Id="rId377"/><Relationship Type="http://schemas.openxmlformats.org/officeDocument/2006/relationships/hyperlink" Target="https://doi.org/10.1007/s00381-025-07119-2" TargetMode="External" Id="rId378"/><Relationship Type="http://schemas.openxmlformats.org/officeDocument/2006/relationships/hyperlink" Target="https://doi.org/10.1007/s13246-025-01681-4" TargetMode="External" Id="rId379"/><Relationship Type="http://schemas.openxmlformats.org/officeDocument/2006/relationships/hyperlink" Target="https://doi.org/10.1007/s11517-026-03530-2" TargetMode="External" Id="rId380"/><Relationship Type="http://schemas.openxmlformats.org/officeDocument/2006/relationships/hyperlink" Target="https://doi.org/10.1016/j.bbr.2026.116220" TargetMode="External" Id="rId381"/><Relationship Type="http://schemas.openxmlformats.org/officeDocument/2006/relationships/hyperlink" Target="https://doi.org/10.1016/j.eswa.2025.130671" TargetMode="External" Id="rId382"/><Relationship Type="http://schemas.openxmlformats.org/officeDocument/2006/relationships/hyperlink" Target="https://doi.org/10.1111/pcn.70065" TargetMode="External" Id="rId383"/><Relationship Type="http://schemas.openxmlformats.org/officeDocument/2006/relationships/hyperlink" Target="https://doi.org/10.1002/dneu.70028" TargetMode="External" Id="rId384"/><Relationship Type="http://schemas.openxmlformats.org/officeDocument/2006/relationships/hyperlink" Target="https://doi.org/10.1016/j.pscychresns.2025.112109" TargetMode="External" Id="rId385"/><Relationship Type="http://schemas.openxmlformats.org/officeDocument/2006/relationships/hyperlink" Target="https://doi.org/10.1002/ima.70326" TargetMode="External" Id="rId386"/><Relationship Type="http://schemas.openxmlformats.org/officeDocument/2006/relationships/hyperlink" Target="https://doi.org/10.1111/coin.70158" TargetMode="External" Id="rId387"/><Relationship Type="http://schemas.openxmlformats.org/officeDocument/2006/relationships/hyperlink" Target="https://doi.org/10.1049/cvi2.70078" TargetMode="External" Id="rId388"/><Relationship Type="http://schemas.openxmlformats.org/officeDocument/2006/relationships/hyperlink" Target="https://doi.org/10.1016/j.jpsychires.2026.05.015" TargetMode="External" Id="rId389"/><Relationship Type="http://schemas.openxmlformats.org/officeDocument/2006/relationships/hyperlink" Target="https://doi.org/10.1016/j.health.2025.100439" TargetMode="External" Id="rId390"/><Relationship Type="http://schemas.openxmlformats.org/officeDocument/2006/relationships/hyperlink" Target="https://doi.org/10.1096/fj.202600019r" TargetMode="External" Id="rId391"/><Relationship Type="http://schemas.openxmlformats.org/officeDocument/2006/relationships/hyperlink" Target="https://doi.org/10.1002/jdn.70158" TargetMode="External" Id="rId392"/><Relationship Type="http://schemas.openxmlformats.org/officeDocument/2006/relationships/hyperlink" Target="https://doi.org/10.1111/coin.70131" TargetMode="External" Id="rId393"/><Relationship Type="http://schemas.openxmlformats.org/officeDocument/2006/relationships/hyperlink" Target="https://doi.org/10.1016/j.pscychresns.2026.112251" TargetMode="External" Id="rId394"/><Relationship Type="http://schemas.openxmlformats.org/officeDocument/2006/relationships/hyperlink" Target="https://doi.org/10.1016/j.compbiomed.2025.111238" TargetMode="External" Id="rId395"/><Relationship Type="http://schemas.openxmlformats.org/officeDocument/2006/relationships/hyperlink" Target="https://doi.org/10.1002/dneu.70047" TargetMode="External" Id="rId396"/><Relationship Type="http://schemas.openxmlformats.org/officeDocument/2006/relationships/hyperlink" Target="https://doi.org/10.1002/aur.70105" TargetMode="External" Id="rId397"/><Relationship Type="http://schemas.openxmlformats.org/officeDocument/2006/relationships/hyperlink" Target="https://doi.org/10.1016/j.pscychresns.2026.112204" TargetMode="External" Id="rId398"/><Relationship Type="http://schemas.openxmlformats.org/officeDocument/2006/relationships/hyperlink" Target="https://doi.org/10.1002/aur.70179" TargetMode="External" Id="rId399"/><Relationship Type="http://schemas.openxmlformats.org/officeDocument/2006/relationships/hyperlink" Target="https://doi.org/10.1016/j.compbiomed.2026.111470" TargetMode="External" Id="rId400"/><Relationship Type="http://schemas.openxmlformats.org/officeDocument/2006/relationships/hyperlink" Target="https://doi.org/10.1016/j.pscychresns.2026.112230" TargetMode="External" Id="rId401"/><Relationship Type="http://schemas.openxmlformats.org/officeDocument/2006/relationships/hyperlink" Target="https://doi.org/10.1155/ahci/1316854" TargetMode="External" Id="rId402"/><Relationship Type="http://schemas.openxmlformats.org/officeDocument/2006/relationships/hyperlink" Target="https://doi.org/10.1016/j.procs.2026.06.483" TargetMode="External" Id="rId403"/><Relationship Type="http://schemas.openxmlformats.org/officeDocument/2006/relationships/hyperlink" Target="https://doi.org/10.1155/acis/6410913" TargetMode="External" Id="rId404"/><Relationship Type="http://schemas.openxmlformats.org/officeDocument/2006/relationships/hyperlink" Target="https://doi.org/10.1016/j.reia.2026.202826" TargetMode="External" Id="rId405"/><Relationship Type="http://schemas.openxmlformats.org/officeDocument/2006/relationships/hyperlink" Target="https://doi.org/10.1016/j.ridd.2025.105201" TargetMode="External" Id="rId406"/><Relationship Type="http://schemas.openxmlformats.org/officeDocument/2006/relationships/hyperlink" Target="https://doi.org/10.3233/shti260609" TargetMode="External" Id="rId407"/><Relationship Type="http://schemas.openxmlformats.org/officeDocument/2006/relationships/hyperlink" Target="https://doi.org/10.1002/aur.70222" TargetMode="External" Id="rId408"/><Relationship Type="http://schemas.openxmlformats.org/officeDocument/2006/relationships/hyperlink" Target="https://doi.org/10.1016/j.asoc.2026.114655" TargetMode="External" Id="rId409"/><Relationship Type="http://schemas.openxmlformats.org/officeDocument/2006/relationships/hyperlink" Target="https://doi.org/10.1155/acis/1906938" TargetMode="External" Id="rId410"/><Relationship Type="http://schemas.openxmlformats.org/officeDocument/2006/relationships/hyperlink" Target="https://doi.org/10.1016/j.bspc.2026.109655" TargetMode="External" Id="rId411"/><Relationship Type="http://schemas.openxmlformats.org/officeDocument/2006/relationships/hyperlink" Target="https://doi.org/10.1016/j.ridd.2026.105249" TargetMode="External" Id="rId412"/><Relationship Type="http://schemas.openxmlformats.org/officeDocument/2006/relationships/hyperlink" Target="https://doi.org/10.1016/j.bpsc.2025.12.013" TargetMode="External" Id="rId413"/><Relationship Type="http://schemas.openxmlformats.org/officeDocument/2006/relationships/hyperlink" Target="https://doi.org/10.1016/j.array.2026.100753" TargetMode="External" Id="rId414"/><Relationship Type="http://schemas.openxmlformats.org/officeDocument/2006/relationships/hyperlink" Target="https://doi.org/10.3791/68949" TargetMode="External" Id="rId415"/><Relationship Type="http://schemas.openxmlformats.org/officeDocument/2006/relationships/hyperlink" Target="https://doi.org/10.1177/02841851251333974" TargetMode="External" Id="rId416"/><Relationship Type="http://schemas.openxmlformats.org/officeDocument/2006/relationships/hyperlink" Target="https://doi.org/10.1002/dneu.70011" TargetMode="External" Id="rId417"/><Relationship Type="http://schemas.openxmlformats.org/officeDocument/2006/relationships/hyperlink" Target="https://doi.org/10.1002/jbio.202500138" TargetMode="External" Id="rId418"/><Relationship Type="http://schemas.openxmlformats.org/officeDocument/2006/relationships/hyperlink" Target="https://doi.org/10.3174/ajnr.a8939" TargetMode="External" Id="rId419"/><Relationship Type="http://schemas.openxmlformats.org/officeDocument/2006/relationships/hyperlink" Target="https://doi.org/10.1016/j.heares.2026.109654" TargetMode="External" Id="rId420"/><Relationship Type="http://schemas.openxmlformats.org/officeDocument/2006/relationships/hyperlink" Target="https://doi.org/10.1016/j.aej.2026.04.002" TargetMode="External" Id="rId421"/><Relationship Type="http://schemas.openxmlformats.org/officeDocument/2006/relationships/hyperlink" Target="https://doi.org/10.1007/s11604-025-01832-3" TargetMode="External" Id="rId422"/><Relationship Type="http://schemas.openxmlformats.org/officeDocument/2006/relationships/hyperlink" Target="https://doi.org/10.1016/j.pscychresns.2026.112270" TargetMode="External" Id="rId423"/><Relationship Type="http://schemas.openxmlformats.org/officeDocument/2006/relationships/hyperlink" Target="https://doi.org/10.1016/j.asoc.2026.115959" TargetMode="External" Id="rId424"/><Relationship Type="http://schemas.openxmlformats.org/officeDocument/2006/relationships/hyperlink" Target="https://doi.org/10.1016/j.array.2026.100936" TargetMode="External" Id="rId425"/><Relationship Type="http://schemas.openxmlformats.org/officeDocument/2006/relationships/hyperlink" Target="https://doi.org/10.1007/s12065-026-01162-x" TargetMode="External" Id="rId426"/><Relationship Type="http://schemas.openxmlformats.org/officeDocument/2006/relationships/hyperlink" Target="https://doi.org/10.1016/j.ibmed.2026.100421" TargetMode="External" Id="rId427"/><Relationship Type="http://schemas.openxmlformats.org/officeDocument/2006/relationships/hyperlink" Target="https://doi.org/10.1007/978-3-032-14531-4_4" TargetMode="External" Id="rId428"/><Relationship Type="http://schemas.openxmlformats.org/officeDocument/2006/relationships/hyperlink" Target="https://doi.org/10.1016/j.bspc.2026.110970" TargetMode="External" Id="rId429"/><Relationship Type="http://schemas.openxmlformats.org/officeDocument/2006/relationships/hyperlink" Target="https://doi.org/10.1038/s41380-025-03157-z" TargetMode="External" Id="rId430"/><Relationship Type="http://schemas.openxmlformats.org/officeDocument/2006/relationships/hyperlink" Target="https://doi.org/10.1007/s11571-024-10202-0" TargetMode="External" Id="rId431"/><Relationship Type="http://schemas.openxmlformats.org/officeDocument/2006/relationships/hyperlink" Target="https://doi.org/10.1007/s00787-025-02775-w" TargetMode="External" Id="rId432"/><Relationship Type="http://schemas.openxmlformats.org/officeDocument/2006/relationships/hyperlink" Target="https://doi.org/10.1007/s10495-025-02201-1" TargetMode="External" Id="rId433"/><Relationship Type="http://schemas.openxmlformats.org/officeDocument/2006/relationships/hyperlink" Target="https://doi.org/10.1007/s42454-025-00087-7" TargetMode="External" Id="rId434"/><Relationship Type="http://schemas.openxmlformats.org/officeDocument/2006/relationships/hyperlink" Target="https://doi.org/10.1007/s40846-026-01044-8" TargetMode="External" Id="rId435"/><Relationship Type="http://schemas.openxmlformats.org/officeDocument/2006/relationships/hyperlink" Target="https://doi.org/10.1016/j.health.2024.100379" TargetMode="External" Id="rId436"/><Relationship Type="http://schemas.openxmlformats.org/officeDocument/2006/relationships/hyperlink" Target="https://doi.org/10.1016/j.procs.2025.04.142" TargetMode="External" Id="rId437"/><Relationship Type="http://schemas.openxmlformats.org/officeDocument/2006/relationships/hyperlink" Target="https://doi.org/10.1016/j.nbd.2024.106763" TargetMode="External" Id="rId438"/><Relationship Type="http://schemas.openxmlformats.org/officeDocument/2006/relationships/hyperlink" Target="https://doi.org/10.1016/j.psychres.2025.116353" TargetMode="External" Id="rId439"/><Relationship Type="http://schemas.openxmlformats.org/officeDocument/2006/relationships/hyperlink" Target="https://doi.org/10.1016/j.reia.2025.202542" TargetMode="External" Id="rId440"/><Relationship Type="http://schemas.openxmlformats.org/officeDocument/2006/relationships/hyperlink" Target="https://doi.org/10.1016/j.procs.2025.04.389" TargetMode="External" Id="rId441"/><Relationship Type="http://schemas.openxmlformats.org/officeDocument/2006/relationships/hyperlink" Target="https://doi.org/10.1016/j.procs.2025.04.671" TargetMode="External" Id="rId442"/><Relationship Type="http://schemas.openxmlformats.org/officeDocument/2006/relationships/hyperlink" Target="https://doi.org/10.1016/j.procs.2025.10.018" TargetMode="External" Id="rId443"/><Relationship Type="http://schemas.openxmlformats.org/officeDocument/2006/relationships/hyperlink" Target="https://doi.org/10.1016/j.cca.2025.120238" TargetMode="External" Id="rId444"/><Relationship Type="http://schemas.openxmlformats.org/officeDocument/2006/relationships/hyperlink" Target="https://doi.org/10.1109/jbhi.2025.3622540" TargetMode="External" Id="rId445"/><Relationship Type="http://schemas.openxmlformats.org/officeDocument/2006/relationships/hyperlink" Target="https://doi.org/10.1002/jdn.70117" TargetMode="External" Id="rId446"/><Relationship Type="http://schemas.openxmlformats.org/officeDocument/2006/relationships/hyperlink" Target="https://doi.org/10.1002/dneu.23009" TargetMode="External" Id="rId447"/><Relationship Type="http://schemas.openxmlformats.org/officeDocument/2006/relationships/hyperlink" Target="https://doi.org/10.1007/s12035-026-05911-y" TargetMode="External" Id="rId448"/><Relationship Type="http://schemas.openxmlformats.org/officeDocument/2006/relationships/hyperlink" Target="https://doi.org/10.1080/17501911.2025.2557186" TargetMode="External" Id="rId449"/><Relationship Type="http://schemas.openxmlformats.org/officeDocument/2006/relationships/hyperlink" Target="https://doi.org/10.1007/s42979-026-04806-y" TargetMode="External" Id="rId450"/><Relationship Type="http://schemas.openxmlformats.org/officeDocument/2006/relationships/hyperlink" Target="https://doi.org/10.1007/s00521-025-11553-3" TargetMode="External" Id="rId451"/><Relationship Type="http://schemas.openxmlformats.org/officeDocument/2006/relationships/hyperlink" Target="https://doi.org/10.1007/s42452-026-08352-3" TargetMode="External" Id="rId452"/><Relationship Type="http://schemas.openxmlformats.org/officeDocument/2006/relationships/hyperlink" Target="https://doi.org/10.1109/tmrb.2026.3680976" TargetMode="External" Id="rId453"/><Relationship Type="http://schemas.openxmlformats.org/officeDocument/2006/relationships/hyperlink" Target="https://doi.org/10.1109/access.2026.3674057" TargetMode="External" Id="rId454"/></Relationships>
</file>

<file path=xl/worksheets/_rels/sheet12.xml.rels><Relationships xmlns="http://schemas.openxmlformats.org/package/2006/relationships"><Relationship Type="http://schemas.openxmlformats.org/officeDocument/2006/relationships/hyperlink" Target="https://link.springer.com/chapter/10.1007/978-981-96-3942-7_18" TargetMode="External" Id="rId1"/><Relationship Type="http://schemas.openxmlformats.org/officeDocument/2006/relationships/hyperlink" Target="https://link.springer.com/chapter/10.1007/978-3-031-23683-9_12" TargetMode="External" Id="rId2"/><Relationship Type="http://schemas.openxmlformats.org/officeDocument/2006/relationships/hyperlink" Target="https://extradoc.univ-nantes.fr/pluginfile.php/412199/mod_folder/content/0/article%20Bonnot-Vrait-Carasco-Rabeyron....pdf" TargetMode="External" Id="rId3"/><Relationship Type="http://schemas.openxmlformats.org/officeDocument/2006/relationships/hyperlink" Target="https://doi.org/10.1038/s41380-022-01917-9" TargetMode="External" Id="rId4"/><Relationship Type="http://schemas.openxmlformats.org/officeDocument/2006/relationships/hyperlink" Target="https://doi.org/10.1016/j.eurpsy.2017.02.198" TargetMode="External" Id="rId5"/><Relationship Type="http://schemas.openxmlformats.org/officeDocument/2006/relationships/hyperlink" Target="https://doi.org/10.1016/j.eurpsy.2016.01.060" TargetMode="External" Id="rId6"/><Relationship Type="http://schemas.openxmlformats.org/officeDocument/2006/relationships/hyperlink" Target="https://doi.org/10.2196/70914" TargetMode="External" Id="rId7"/><Relationship Type="http://schemas.openxmlformats.org/officeDocument/2006/relationships/hyperlink" Target="https://doi.org/10.1016/j.envres.2018.12.061" TargetMode="External" Id="rId8"/><Relationship Type="http://schemas.openxmlformats.org/officeDocument/2006/relationships/hyperlink" Target="https://doi.org/10.1016/j.ijdevneu.2014.06.013" TargetMode="External" Id="rId9"/><Relationship Type="http://schemas.openxmlformats.org/officeDocument/2006/relationships/hyperlink" Target="https://doi.org/10.1016/j.bbr.2022.114149" TargetMode="External" Id="rId10"/><Relationship Type="http://schemas.openxmlformats.org/officeDocument/2006/relationships/hyperlink" Target="https://doi.org/10.1016/b978-0-443-19073-5.00018-5" TargetMode="External" Id="rId11"/><Relationship Type="http://schemas.openxmlformats.org/officeDocument/2006/relationships/hyperlink" Target="https://doi.org/10.1016/j.jaac.2016.07.715" TargetMode="External" Id="rId12"/><Relationship Type="http://schemas.openxmlformats.org/officeDocument/2006/relationships/hyperlink" Target="https://doi.org/10.1016/b978-0-12-822822-7.00011-9" TargetMode="External" Id="rId13"/><Relationship Type="http://schemas.openxmlformats.org/officeDocument/2006/relationships/hyperlink" Target="https://doi.org/10.1002/9781119896838.ch18" TargetMode="External" Id="rId14"/><Relationship Type="http://schemas.openxmlformats.org/officeDocument/2006/relationships/hyperlink" Target="https://doi.org/10.1136/bmjopen-2018-026226" TargetMode="External" Id="rId15"/><Relationship Type="http://schemas.openxmlformats.org/officeDocument/2006/relationships/hyperlink" Target="https://doi.org/10.1016/j.euroneuro.2017.08.321" TargetMode="External" Id="rId16"/><Relationship Type="http://schemas.openxmlformats.org/officeDocument/2006/relationships/hyperlink" Target="https://doi.org/10.1016/b978-0-12-822822-7.00004-1" TargetMode="External" Id="rId17"/><Relationship Type="http://schemas.openxmlformats.org/officeDocument/2006/relationships/hyperlink" Target="https://doi.org/10.1016/b978-0-12-822271-3.00016-5" TargetMode="External" Id="rId18"/><Relationship Type="http://schemas.openxmlformats.org/officeDocument/2006/relationships/hyperlink" Target="https://doi.org/10.1016/b978-0-323-98352-5.00001-x" TargetMode="External" Id="rId19"/><Relationship Type="http://schemas.openxmlformats.org/officeDocument/2006/relationships/hyperlink" Target="https://doi.org/10.1016/b978-0-12-822822-7.00006-5" TargetMode="External" Id="rId20"/><Relationship Type="http://schemas.openxmlformats.org/officeDocument/2006/relationships/hyperlink" Target="https://doi.org/10.1016/b978-0-12-822822-7.00009-0" TargetMode="External" Id="rId21"/><Relationship Type="http://schemas.openxmlformats.org/officeDocument/2006/relationships/hyperlink" Target="https://doi.org/10.1016/b978-0-12-822822-7.00008-9" TargetMode="External" Id="rId22"/><Relationship Type="http://schemas.openxmlformats.org/officeDocument/2006/relationships/hyperlink" Target="https://doi.org/10.1111/jne.70092" TargetMode="External" Id="rId23"/><Relationship Type="http://schemas.openxmlformats.org/officeDocument/2006/relationships/hyperlink" Target="https://doi.org/10.2196/74440" TargetMode="External" Id="rId24"/><Relationship Type="http://schemas.openxmlformats.org/officeDocument/2006/relationships/hyperlink" Target="https://www.nature.com/articles/s41598-025-24662-9" TargetMode="External" Id="rId25"/><Relationship Type="http://schemas.openxmlformats.org/officeDocument/2006/relationships/hyperlink" Target="https://journals.plos.org/plosone/article?id=10.1371/journal.pone.0354652" TargetMode="External" Id="rId26"/></Relationships>
</file>

<file path=xl/worksheets/_rels/sheet13.xml.rels><Relationships xmlns="http://schemas.openxmlformats.org/package/2006/relationships"><Relationship Type="http://schemas.openxmlformats.org/officeDocument/2006/relationships/hyperlink" Target="https://formative.jmir.org/2026/1/e91833/" TargetMode="External" Id="rId1"/><Relationship Type="http://schemas.openxmlformats.org/officeDocument/2006/relationships/hyperlink" Target="https://link.springer.com/chapter/10.1007/978-3-030-59277-6_23" TargetMode="External" Id="rId2"/><Relationship Type="http://schemas.openxmlformats.org/officeDocument/2006/relationships/hyperlink" Target="https://doi.org/10.1016/j.compbiomed.2023.107539" TargetMode="External" Id="rId3"/><Relationship Type="http://schemas.openxmlformats.org/officeDocument/2006/relationships/hyperlink" Target="https://doi.org/10.1108/lht-08-2019-0176" TargetMode="External" Id="rId4"/><Relationship Type="http://schemas.openxmlformats.org/officeDocument/2006/relationships/hyperlink" Target="https://doi.org/10.1016/j.cmpb.2025.108921" TargetMode="External" Id="rId5"/><Relationship Type="http://schemas.openxmlformats.org/officeDocument/2006/relationships/hyperlink" Target="https://doi.org/10.1016/j.envint.2025.109562" TargetMode="External" Id="rId6"/><Relationship Type="http://schemas.openxmlformats.org/officeDocument/2006/relationships/hyperlink" Target="https://doi.org/10.1016/j.neuro.2018.11.015" TargetMode="External" Id="rId7"/><Relationship Type="http://schemas.openxmlformats.org/officeDocument/2006/relationships/hyperlink" Target="https://doi.org/10.1021/acs.jcim.5c00134" TargetMode="External" Id="rId8"/><Relationship Type="http://schemas.openxmlformats.org/officeDocument/2006/relationships/hyperlink" Target="https://findanexpert.unimelb.edu.au/scholarlywork/1533141-three-distinct-neuroanatomical-subtypes-of-autism-spectrum-disorder--revealed-via-machine-learning--and-their-similarities-with-schizophrenia-subtypes" TargetMode="External" Id="rId9"/><Relationship Type="http://schemas.openxmlformats.org/officeDocument/2006/relationships/hyperlink" Target="https://doi.org/10.1016/j.csbj.2025.09.006" TargetMode="External" Id="rId10"/><Relationship Type="http://schemas.openxmlformats.org/officeDocument/2006/relationships/hyperlink" Target="https://doi.org/10.1016/j.eclinm.2025.103452" TargetMode="External" Id="rId11"/><Relationship Type="http://schemas.openxmlformats.org/officeDocument/2006/relationships/hyperlink" Target="https://www.jmir.org/2026/1/e85290" TargetMode="External" Id="rId12"/><Relationship Type="http://schemas.openxmlformats.org/officeDocument/2006/relationships/hyperlink" Target="https://doi.org/10.1016/j.envres.2026.125213" TargetMode="External" Id="rId13"/><Relationship Type="http://schemas.openxmlformats.org/officeDocument/2006/relationships/hyperlink" Target="https://doi.org/10.1007/s12065-026-01162-x" TargetMode="External" Id="rId14"/><Relationship Type="http://schemas.openxmlformats.org/officeDocument/2006/relationships/hyperlink" Target="https://doi.org/10.1016/j.ibmed.2026.100421" TargetMode="External" Id="rId15"/><Relationship Type="http://schemas.openxmlformats.org/officeDocument/2006/relationships/hyperlink" Target="https://doi.org/10.1002/jdn.70117" TargetMode="External" Id="rId16"/><Relationship Type="http://schemas.openxmlformats.org/officeDocument/2006/relationships/hyperlink" Target="https://doi.org/10.1002/dneu.23009" TargetMode="External" Id="rId17"/><Relationship Type="http://schemas.openxmlformats.org/officeDocument/2006/relationships/hyperlink" Target="https://doi.org/10.1007/s00521-025-11553-3" TargetMode="External" Id="rId18"/></Relationships>
</file>

<file path=xl/worksheets/_rels/sheet14.xml.rels><Relationships xmlns="http://schemas.openxmlformats.org/package/2006/relationships"><Relationship Type="http://schemas.openxmlformats.org/officeDocument/2006/relationships/hyperlink" Target="https://doi.org/10.1109/access.2025.3586314" TargetMode="External" Id="rId1"/><Relationship Type="http://schemas.openxmlformats.org/officeDocument/2006/relationships/hyperlink" Target="https://doi.org/10.1038/tp.2015.7" TargetMode="External" Id="rId2"/><Relationship Type="http://schemas.openxmlformats.org/officeDocument/2006/relationships/hyperlink" Target="https://doi.org/10.1016/j.jprot.2023.104872" TargetMode="External" Id="rId3"/><Relationship Type="http://schemas.openxmlformats.org/officeDocument/2006/relationships/hyperlink" Target="https://link.springer.com/chapter/10.1007/978-981-96-3942-7_18" TargetMode="External" Id="rId4"/><Relationship Type="http://schemas.openxmlformats.org/officeDocument/2006/relationships/hyperlink" Target="https://journals.plos.org/plosone/article?id=10.1371/journal.pone.0112445" TargetMode="External" Id="rId5"/><Relationship Type="http://schemas.openxmlformats.org/officeDocument/2006/relationships/hyperlink" Target="https://doi.org/10.1186/s13229-017-0180-6" TargetMode="External" Id="rId6"/><Relationship Type="http://schemas.openxmlformats.org/officeDocument/2006/relationships/hyperlink" Target="https://doi.org/10.1038/s41598-025-90216-8" TargetMode="External" Id="rId7"/><Relationship Type="http://schemas.openxmlformats.org/officeDocument/2006/relationships/hyperlink" Target="https://doi.org/10.3390/s24237489" TargetMode="External" Id="rId8"/><Relationship Type="http://schemas.openxmlformats.org/officeDocument/2006/relationships/hyperlink" Target="https://doi.org/10.1016/j.csl.2018.11.002" TargetMode="External" Id="rId9"/><Relationship Type="http://schemas.openxmlformats.org/officeDocument/2006/relationships/hyperlink" Target="https://doi.org/10.1109/tai.2024.3439288" TargetMode="External" Id="rId10"/><Relationship Type="http://schemas.openxmlformats.org/officeDocument/2006/relationships/hyperlink" Target="https://formative.jmir.org/2026/1/e91833/" TargetMode="External" Id="rId11"/><Relationship Type="http://schemas.openxmlformats.org/officeDocument/2006/relationships/hyperlink" Target="https://doi.org/10.1001/jamapediatrics.2019.0285" TargetMode="External" Id="rId12"/><Relationship Type="http://schemas.openxmlformats.org/officeDocument/2006/relationships/hyperlink" Target="https://doi.org/10.1155/2023/6330002" TargetMode="External" Id="rId13"/><Relationship Type="http://schemas.openxmlformats.org/officeDocument/2006/relationships/hyperlink" Target="https://doi.org/10.1126/scitranslmed.aag2882" TargetMode="External" Id="rId14"/><Relationship Type="http://schemas.openxmlformats.org/officeDocument/2006/relationships/hyperlink" Target="https://doi.org/10.1016/j.mex.2025.103278" TargetMode="External" Id="rId15"/><Relationship Type="http://schemas.openxmlformats.org/officeDocument/2006/relationships/hyperlink" Target="https://doi.org/10.1007/978-3-031-81083-1_7" TargetMode="External" Id="rId16"/><Relationship Type="http://schemas.openxmlformats.org/officeDocument/2006/relationships/hyperlink" Target="https://doi.org/10.1038/s41398-024-02802-5" TargetMode="External" Id="rId17"/><Relationship Type="http://schemas.openxmlformats.org/officeDocument/2006/relationships/hyperlink" Target="https://doi.org/10.1371/journal.pone.0090405" TargetMode="External" Id="rId18"/><Relationship Type="http://schemas.openxmlformats.org/officeDocument/2006/relationships/hyperlink" Target="https://doi.org/10.1016/j.bpsc.2020.06.003" TargetMode="External" Id="rId19"/><Relationship Type="http://schemas.openxmlformats.org/officeDocument/2006/relationships/hyperlink" Target="https://doi.org/10.1038/tp.2014.65" TargetMode="External" Id="rId20"/><Relationship Type="http://schemas.openxmlformats.org/officeDocument/2006/relationships/hyperlink" Target="https://doi.org/10.1038/s41598-024-81652-z" TargetMode="External" Id="rId21"/><Relationship Type="http://schemas.openxmlformats.org/officeDocument/2006/relationships/hyperlink" Target="https://doi.org/10.3390/s21175822" TargetMode="External" Id="rId22"/><Relationship Type="http://schemas.openxmlformats.org/officeDocument/2006/relationships/hyperlink" Target="https://doi.org/10.1177/1460458218824711" TargetMode="External" Id="rId23"/><Relationship Type="http://schemas.openxmlformats.org/officeDocument/2006/relationships/hyperlink" Target="https://doi.org/10.1109/access.2021.3097606" TargetMode="External" Id="rId24"/><Relationship Type="http://schemas.openxmlformats.org/officeDocument/2006/relationships/hyperlink" Target="https://link.springer.com/chapter/10.1007/978-3-031-23683-9_12" TargetMode="External" Id="rId25"/><Relationship Type="http://schemas.openxmlformats.org/officeDocument/2006/relationships/hyperlink" Target="https://doi.org/10.1016/j.health.2025.100409" TargetMode="External" Id="rId26"/><Relationship Type="http://schemas.openxmlformats.org/officeDocument/2006/relationships/hyperlink" Target="https://doi.org/10.1016/j.health.2023.100293" TargetMode="External" Id="rId27"/><Relationship Type="http://schemas.openxmlformats.org/officeDocument/2006/relationships/hyperlink" Target="https://doi.org/10.1016/j.bspc.2025.107737" TargetMode="External" Id="rId28"/><Relationship Type="http://schemas.openxmlformats.org/officeDocument/2006/relationships/hyperlink" Target="https://doi.org/10.1016/j.procs.2020.03.399" TargetMode="External" Id="rId29"/><Relationship Type="http://schemas.openxmlformats.org/officeDocument/2006/relationships/hyperlink" Target="https://doi.org/10.1016/j.gltp.2021.08.042" TargetMode="External" Id="rId30"/><Relationship Type="http://schemas.openxmlformats.org/officeDocument/2006/relationships/hyperlink" Target="https://doi.org/10.1016/j.compbiomed.2025.110723" TargetMode="External" Id="rId31"/><Relationship Type="http://schemas.openxmlformats.org/officeDocument/2006/relationships/hyperlink" Target="https://doi.org/10.1016/j.jbiomech.2020.110073" TargetMode="External" Id="rId32"/><Relationship Type="http://schemas.openxmlformats.org/officeDocument/2006/relationships/hyperlink" Target="https://doi.org/10.1089/brain.2017.0496" TargetMode="External" Id="rId33"/><Relationship Type="http://schemas.openxmlformats.org/officeDocument/2006/relationships/hyperlink" Target="https://doi.org/10.3389/fncom.2019.00009/full" TargetMode="External" Id="rId34"/><Relationship Type="http://schemas.openxmlformats.org/officeDocument/2006/relationships/hyperlink" Target="https://doi.org/10.1016/j.prime.2024.100602" TargetMode="External" Id="rId35"/><Relationship Type="http://schemas.openxmlformats.org/officeDocument/2006/relationships/hyperlink" Target="https://doi.org/10.32604/cmc.2023.032586" TargetMode="External" Id="rId36"/><Relationship Type="http://schemas.openxmlformats.org/officeDocument/2006/relationships/hyperlink" Target="https://doi.org/10.1038/s41598-021-86320-0" TargetMode="External" Id="rId37"/><Relationship Type="http://schemas.openxmlformats.org/officeDocument/2006/relationships/hyperlink" Target="https://doi.org/10.3390/ijms24032082" TargetMode="External" Id="rId38"/><Relationship Type="http://schemas.openxmlformats.org/officeDocument/2006/relationships/hyperlink" Target="https://doi.org/10.1038/s41380-023-02051-w" TargetMode="External" Id="rId39"/><Relationship Type="http://schemas.openxmlformats.org/officeDocument/2006/relationships/hyperlink" Target="https://doi.org/10.1007/s00787-023-02189-6" TargetMode="External" Id="rId40"/><Relationship Type="http://schemas.openxmlformats.org/officeDocument/2006/relationships/hyperlink" Target="https://doi.org/10.1016/j.ridd.2024.104688" TargetMode="External" Id="rId41"/><Relationship Type="http://schemas.openxmlformats.org/officeDocument/2006/relationships/hyperlink" Target="https://doi.org/10.1093/cercor/bhaf022" TargetMode="External" Id="rId42"/><Relationship Type="http://schemas.openxmlformats.org/officeDocument/2006/relationships/hyperlink" Target="https://doi.org/10.1055/s-0039-1685525" TargetMode="External" Id="rId43"/><Relationship Type="http://schemas.openxmlformats.org/officeDocument/2006/relationships/hyperlink" Target="https://doi.org/10.1371/journal.pone.0206351" TargetMode="External" Id="rId44"/><Relationship Type="http://schemas.openxmlformats.org/officeDocument/2006/relationships/hyperlink" Target="https://doi.org/10.1007/978-3-031-48642-5_7" TargetMode="External" Id="rId45"/><Relationship Type="http://schemas.openxmlformats.org/officeDocument/2006/relationships/hyperlink" Target="https://doi.org/10.1007/s13755-024-00299-2" TargetMode="External" Id="rId46"/><Relationship Type="http://schemas.openxmlformats.org/officeDocument/2006/relationships/hyperlink" Target="https://extradoc.univ-nantes.fr/pluginfile.php/412199/mod_folder/content/0/article%20Bonnot-Vrait-Carasco-Rabeyron....pdf" TargetMode="External" Id="rId47"/><Relationship Type="http://schemas.openxmlformats.org/officeDocument/2006/relationships/hyperlink" Target="https://doi.org/10.1007/978-3-030-93049-3_30" TargetMode="External" Id="rId48"/><Relationship Type="http://schemas.openxmlformats.org/officeDocument/2006/relationships/hyperlink" Target="https://doi.org/10.1007/s12539-024-00651-w" TargetMode="External" Id="rId49"/><Relationship Type="http://schemas.openxmlformats.org/officeDocument/2006/relationships/hyperlink" Target="https://doi.org/10.1177/09544119221141751" TargetMode="External" Id="rId50"/><Relationship Type="http://schemas.openxmlformats.org/officeDocument/2006/relationships/hyperlink" Target="https://doi.org/10.1002/aur.2912" TargetMode="External" Id="rId51"/><Relationship Type="http://schemas.openxmlformats.org/officeDocument/2006/relationships/hyperlink" Target="https://doi.org/10.1016/j.nicl.2015.04.002" TargetMode="External" Id="rId52"/><Relationship Type="http://schemas.openxmlformats.org/officeDocument/2006/relationships/hyperlink" Target="https://doi.org/10.1038/s41380-022-01917-9" TargetMode="External" Id="rId53"/><Relationship Type="http://schemas.openxmlformats.org/officeDocument/2006/relationships/hyperlink" Target="https://doi.org/10.1007/s00521-024-09905-6" TargetMode="External" Id="rId54"/><Relationship Type="http://schemas.openxmlformats.org/officeDocument/2006/relationships/hyperlink" Target="https://doi.org/10.1007/978-3-030-88163-4_7" TargetMode="External" Id="rId55"/><Relationship Type="http://schemas.openxmlformats.org/officeDocument/2006/relationships/hyperlink" Target="https://doi.org/10.1089/brain.2019.0689" TargetMode="External" Id="rId56"/><Relationship Type="http://schemas.openxmlformats.org/officeDocument/2006/relationships/hyperlink" Target="https://doi.org/10.1016/j.eurpsy.2017.02.198" TargetMode="External" Id="rId57"/><Relationship Type="http://schemas.openxmlformats.org/officeDocument/2006/relationships/hyperlink" Target="https://doi.org/10.1007/s12539-022-00510-6" TargetMode="External" Id="rId58"/><Relationship Type="http://schemas.openxmlformats.org/officeDocument/2006/relationships/hyperlink" Target="https://doi.org/10.1016/j.eurpsy.2016.01.060" TargetMode="External" Id="rId59"/><Relationship Type="http://schemas.openxmlformats.org/officeDocument/2006/relationships/hyperlink" Target="https://doi.org/10.1109/tnsre.2024.3516216" TargetMode="External" Id="rId60"/><Relationship Type="http://schemas.openxmlformats.org/officeDocument/2006/relationships/hyperlink" Target="https://doi.org/10.1016/j.mex.2025.103166" TargetMode="External" Id="rId61"/><Relationship Type="http://schemas.openxmlformats.org/officeDocument/2006/relationships/hyperlink" Target="https://doi.org/10.1016/j.phycom.2020.101115" TargetMode="External" Id="rId62"/><Relationship Type="http://schemas.openxmlformats.org/officeDocument/2006/relationships/hyperlink" Target="https://doi.org/10.1007/s10803-023-06171-8" TargetMode="External" Id="rId63"/><Relationship Type="http://schemas.openxmlformats.org/officeDocument/2006/relationships/hyperlink" Target="https://doi.org/10.3390/s18103533" TargetMode="External" Id="rId64"/><Relationship Type="http://schemas.openxmlformats.org/officeDocument/2006/relationships/hyperlink" Target="https://doi.org/10.1002/aur.1735" TargetMode="External" Id="rId65"/><Relationship Type="http://schemas.openxmlformats.org/officeDocument/2006/relationships/hyperlink" Target="https://doi.org/10.1109/tnsre.2023.3347134" TargetMode="External" Id="rId66"/><Relationship Type="http://schemas.openxmlformats.org/officeDocument/2006/relationships/hyperlink" Target="https://doi.org/10.1016/j.pscychresns.2023.111762" TargetMode="External" Id="rId67"/><Relationship Type="http://schemas.openxmlformats.org/officeDocument/2006/relationships/hyperlink" Target="https://doi.org/10.1186/s12888-022-03734-4" TargetMode="External" Id="rId68"/><Relationship Type="http://schemas.openxmlformats.org/officeDocument/2006/relationships/hyperlink" Target="https://doi.org/10.1109/tnsre.2021.3120024" TargetMode="External" Id="rId69"/><Relationship Type="http://schemas.openxmlformats.org/officeDocument/2006/relationships/hyperlink" Target="https://doi.org/10.1186/s12859-023-05495-7" TargetMode="External" Id="rId70"/><Relationship Type="http://schemas.openxmlformats.org/officeDocument/2006/relationships/hyperlink" Target="https://link.springer.com/chapter/10.1007/978-3-030-59277-6_23" TargetMode="External" Id="rId71"/><Relationship Type="http://schemas.openxmlformats.org/officeDocument/2006/relationships/hyperlink" Target="https://doi.org/10.3233/shti230794" TargetMode="External" Id="rId72"/><Relationship Type="http://schemas.openxmlformats.org/officeDocument/2006/relationships/hyperlink" Target="https://doi.org/10.1109/jsen.2024.3362341" TargetMode="External" Id="rId73"/><Relationship Type="http://schemas.openxmlformats.org/officeDocument/2006/relationships/hyperlink" Target="https://doi.org/10.1038/s41598-020-65384-4" TargetMode="External" Id="rId74"/><Relationship Type="http://schemas.openxmlformats.org/officeDocument/2006/relationships/hyperlink" Target="https://doi.org/10.1016/j.brainres.2019.146457" TargetMode="External" Id="rId75"/><Relationship Type="http://schemas.openxmlformats.org/officeDocument/2006/relationships/hyperlink" Target="https://doi.org/10.1109/embc40787.2023.10340449" TargetMode="External" Id="rId76"/><Relationship Type="http://schemas.openxmlformats.org/officeDocument/2006/relationships/hyperlink" Target="https://doi.org/10.1016/j.compbiomed.2023.107539" TargetMode="External" Id="rId77"/><Relationship Type="http://schemas.openxmlformats.org/officeDocument/2006/relationships/hyperlink" Target="https://doi.org/10.2196/70914" TargetMode="External" Id="rId78"/><Relationship Type="http://schemas.openxmlformats.org/officeDocument/2006/relationships/hyperlink" Target="https://doi.org/10.1371/journal.pone.0311209" TargetMode="External" Id="rId79"/><Relationship Type="http://schemas.openxmlformats.org/officeDocument/2006/relationships/hyperlink" Target="https://doi.org/10.1007/s00330-021-08239-4" TargetMode="External" Id="rId80"/><Relationship Type="http://schemas.openxmlformats.org/officeDocument/2006/relationships/hyperlink" Target="https://doi.org/10.1038/s41398-025-03566-2" TargetMode="External" Id="rId81"/><Relationship Type="http://schemas.openxmlformats.org/officeDocument/2006/relationships/hyperlink" Target="https://doi.org/10.1016/j.bpsc.2021.03.015" TargetMode="External" Id="rId82"/><Relationship Type="http://schemas.openxmlformats.org/officeDocument/2006/relationships/hyperlink" Target="https://doi.org/10.1055/s-0038-1626727" TargetMode="External" Id="rId83"/><Relationship Type="http://schemas.openxmlformats.org/officeDocument/2006/relationships/hyperlink" Target="https://doi.org/10.1109/access.2023.3302903" TargetMode="External" Id="rId84"/><Relationship Type="http://schemas.openxmlformats.org/officeDocument/2006/relationships/hyperlink" Target="https://doi.org/10.1007/978-3-031-09342-5_11" TargetMode="External" Id="rId85"/><Relationship Type="http://schemas.openxmlformats.org/officeDocument/2006/relationships/hyperlink" Target="https://doi.org/10.1016/j.bspc.2024.107466" TargetMode="External" Id="rId86"/><Relationship Type="http://schemas.openxmlformats.org/officeDocument/2006/relationships/hyperlink" Target="https://doi.org/10.1016/j.ibmed.2023.100102" TargetMode="External" Id="rId87"/><Relationship Type="http://schemas.openxmlformats.org/officeDocument/2006/relationships/hyperlink" Target="https://doi.org/10.2196/54706" TargetMode="External" Id="rId88"/><Relationship Type="http://schemas.openxmlformats.org/officeDocument/2006/relationships/hyperlink" Target="https://doi.org/10.1016/j.envres.2018.12.061" TargetMode="External" Id="rId89"/><Relationship Type="http://schemas.openxmlformats.org/officeDocument/2006/relationships/hyperlink" Target="https://doi.org/10.1109/embc44109.2020.9176843" TargetMode="External" Id="rId90"/><Relationship Type="http://schemas.openxmlformats.org/officeDocument/2006/relationships/hyperlink" Target="https://doi.org/10.1016/j.bspc.2024.106671" TargetMode="External" Id="rId91"/><Relationship Type="http://schemas.openxmlformats.org/officeDocument/2006/relationships/hyperlink" Target="https://doi.org/10.1016/j.ijdevneu.2014.06.013" TargetMode="External" Id="rId92"/><Relationship Type="http://schemas.openxmlformats.org/officeDocument/2006/relationships/hyperlink" Target="https://doi.org/10.1111/cns.70562" TargetMode="External" Id="rId93"/><Relationship Type="http://schemas.openxmlformats.org/officeDocument/2006/relationships/hyperlink" Target="https://doi.org/10.2196/13810" TargetMode="External" Id="rId94"/><Relationship Type="http://schemas.openxmlformats.org/officeDocument/2006/relationships/hyperlink" Target="https://doi.org/10.1002/aur.1960" TargetMode="External" Id="rId95"/><Relationship Type="http://schemas.openxmlformats.org/officeDocument/2006/relationships/hyperlink" Target="https://doi.org/10.1002/hbm.70190" TargetMode="External" Id="rId96"/><Relationship Type="http://schemas.openxmlformats.org/officeDocument/2006/relationships/hyperlink" Target="https://doi.org/10.1155/2018/7186762" TargetMode="External" Id="rId97"/><Relationship Type="http://schemas.openxmlformats.org/officeDocument/2006/relationships/hyperlink" Target="https://doi.org/10.1371/journal.pone.0326022" TargetMode="External" Id="rId98"/><Relationship Type="http://schemas.openxmlformats.org/officeDocument/2006/relationships/hyperlink" Target="https://doi.org/10.1109/tnsre.2020.2991675" TargetMode="External" Id="rId99"/><Relationship Type="http://schemas.openxmlformats.org/officeDocument/2006/relationships/hyperlink" Target="https://doi.org/10.3389/fnhum.2013.00670/full" TargetMode="External" Id="rId100"/><Relationship Type="http://schemas.openxmlformats.org/officeDocument/2006/relationships/hyperlink" Target="https://doi.org/10.1371/journal.pone.0113879" TargetMode="External" Id="rId101"/><Relationship Type="http://schemas.openxmlformats.org/officeDocument/2006/relationships/hyperlink" Target="https://doi.org/10.1002/aur.2268" TargetMode="External" Id="rId102"/><Relationship Type="http://schemas.openxmlformats.org/officeDocument/2006/relationships/hyperlink" Target="https://doi.org/10.1016/j.irbm.2023.100780" TargetMode="External" Id="rId103"/><Relationship Type="http://schemas.openxmlformats.org/officeDocument/2006/relationships/hyperlink" Target="https://doi.org/10.1016/j.xhgg.2022.100150" TargetMode="External" Id="rId104"/><Relationship Type="http://schemas.openxmlformats.org/officeDocument/2006/relationships/hyperlink" Target="https://doi.org/10.1016/j.bbr.2022.114149" TargetMode="External" Id="rId105"/><Relationship Type="http://schemas.openxmlformats.org/officeDocument/2006/relationships/hyperlink" Target="https://doi.org/10.1016/b978-0-443-19073-5.00018-5" TargetMode="External" Id="rId106"/><Relationship Type="http://schemas.openxmlformats.org/officeDocument/2006/relationships/hyperlink" Target="https://doi.org/10.1002/jdn.70034" TargetMode="External" Id="rId107"/><Relationship Type="http://schemas.openxmlformats.org/officeDocument/2006/relationships/hyperlink" Target="https://doi.org/10.1038/tp.2015.221" TargetMode="External" Id="rId108"/><Relationship Type="http://schemas.openxmlformats.org/officeDocument/2006/relationships/hyperlink" Target="https://doi.org/10.1097/dbp.0000000000000668" TargetMode="External" Id="rId109"/><Relationship Type="http://schemas.openxmlformats.org/officeDocument/2006/relationships/hyperlink" Target="https://doi.org/10.1038/s41591-023-02574-3" TargetMode="External" Id="rId110"/><Relationship Type="http://schemas.openxmlformats.org/officeDocument/2006/relationships/hyperlink" Target="https://doi.org/10.1109/embc.2016.7591440" TargetMode="External" Id="rId111"/><Relationship Type="http://schemas.openxmlformats.org/officeDocument/2006/relationships/hyperlink" Target="https://doi.org/10.1038/s41598-025-01500-6" TargetMode="External" Id="rId112"/><Relationship Type="http://schemas.openxmlformats.org/officeDocument/2006/relationships/hyperlink" Target="https://doi.org/10.1016/j.jaac.2016.07.715" TargetMode="External" Id="rId113"/><Relationship Type="http://schemas.openxmlformats.org/officeDocument/2006/relationships/hyperlink" Target="https://doi.org/10.1109/access.2025.3531979" TargetMode="External" Id="rId114"/><Relationship Type="http://schemas.openxmlformats.org/officeDocument/2006/relationships/hyperlink" Target="https://doi.org/10.1016/j.heliyon.2023.e21530" TargetMode="External" Id="rId115"/><Relationship Type="http://schemas.openxmlformats.org/officeDocument/2006/relationships/hyperlink" Target="https://doi.org/10.1007/s10278-019-00196-1" TargetMode="External" Id="rId116"/><Relationship Type="http://schemas.openxmlformats.org/officeDocument/2006/relationships/hyperlink" Target="https://doi.org/10.2196/mental.9631" TargetMode="External" Id="rId117"/><Relationship Type="http://schemas.openxmlformats.org/officeDocument/2006/relationships/hyperlink" Target="https://doi.org/10.1007/978-981-96-6960-8_26" TargetMode="External" Id="rId118"/><Relationship Type="http://schemas.openxmlformats.org/officeDocument/2006/relationships/hyperlink" Target="https://doi.org/10.1038/s41562-025-02132-6" TargetMode="External" Id="rId119"/><Relationship Type="http://schemas.openxmlformats.org/officeDocument/2006/relationships/hyperlink" Target="https://doi.org/10.2196/jmir.5439" TargetMode="External" Id="rId120"/><Relationship Type="http://schemas.openxmlformats.org/officeDocument/2006/relationships/hyperlink" Target="https://doi.org/10.1111/jcpp.12559" TargetMode="External" Id="rId121"/><Relationship Type="http://schemas.openxmlformats.org/officeDocument/2006/relationships/hyperlink" Target="https://doi.org/10.1038/s41598-022-21719-x" TargetMode="External" Id="rId122"/><Relationship Type="http://schemas.openxmlformats.org/officeDocument/2006/relationships/hyperlink" Target="https://doi.org/10.1016/b978-0-12-822822-7.00011-9" TargetMode="External" Id="rId123"/><Relationship Type="http://schemas.openxmlformats.org/officeDocument/2006/relationships/hyperlink" Target="https://doi.org/10.1007/s10803-021-05141-2" TargetMode="External" Id="rId124"/><Relationship Type="http://schemas.openxmlformats.org/officeDocument/2006/relationships/hyperlink" Target="https://doi.org/10.1016/j.neucom.2022.02.017" TargetMode="External" Id="rId125"/><Relationship Type="http://schemas.openxmlformats.org/officeDocument/2006/relationships/hyperlink" Target="https://doi.org/10.1177/1460458221991882" TargetMode="External" Id="rId126"/><Relationship Type="http://schemas.openxmlformats.org/officeDocument/2006/relationships/hyperlink" Target="https://doi.org/10.1038/s41598-024-64299-8" TargetMode="External" Id="rId127"/><Relationship Type="http://schemas.openxmlformats.org/officeDocument/2006/relationships/hyperlink" Target="https://doi.org/10.1007/s11517-023-02859-2" TargetMode="External" Id="rId128"/><Relationship Type="http://schemas.openxmlformats.org/officeDocument/2006/relationships/hyperlink" Target="https://doi.org/10.1007/s10803-025-06811-1" TargetMode="External" Id="rId129"/><Relationship Type="http://schemas.openxmlformats.org/officeDocument/2006/relationships/hyperlink" Target="https://doi.org/10.1109/jbhi.2025.3542066" TargetMode="External" Id="rId130"/><Relationship Type="http://schemas.openxmlformats.org/officeDocument/2006/relationships/hyperlink" Target="https://doi.org/10.1186/s12920-023-01439-5" TargetMode="External" Id="rId131"/><Relationship Type="http://schemas.openxmlformats.org/officeDocument/2006/relationships/hyperlink" Target="https://doi.org/10.1038/s41598-024-56098-y" TargetMode="External" Id="rId132"/><Relationship Type="http://schemas.openxmlformats.org/officeDocument/2006/relationships/hyperlink" Target="https://doi.org/10.1007/s10803-016-2718-4" TargetMode="External" Id="rId133"/><Relationship Type="http://schemas.openxmlformats.org/officeDocument/2006/relationships/hyperlink" Target="https://doi.org/10.1186/s12911-022-02050-x" TargetMode="External" Id="rId134"/><Relationship Type="http://schemas.openxmlformats.org/officeDocument/2006/relationships/hyperlink" Target="https://doi.org/10.1109/tcss.2025.3593119" TargetMode="External" Id="rId135"/><Relationship Type="http://schemas.openxmlformats.org/officeDocument/2006/relationships/hyperlink" Target="https://doi.org/10.1007/s10803-024-06290-w" TargetMode="External" Id="rId136"/><Relationship Type="http://schemas.openxmlformats.org/officeDocument/2006/relationships/hyperlink" Target="https://doi.org/10.1176/appi.ajp.2020.19101091" TargetMode="External" Id="rId137"/><Relationship Type="http://schemas.openxmlformats.org/officeDocument/2006/relationships/hyperlink" Target="https://doi.org/10.1111/jcpp.13406" TargetMode="External" Id="rId138"/><Relationship Type="http://schemas.openxmlformats.org/officeDocument/2006/relationships/hyperlink" Target="https://doi.org/10.1016/j.psychres.2023.115050" TargetMode="External" Id="rId139"/><Relationship Type="http://schemas.openxmlformats.org/officeDocument/2006/relationships/hyperlink" Target="https://doi.org/10.57197/jdr-2023-0004" TargetMode="External" Id="rId140"/><Relationship Type="http://schemas.openxmlformats.org/officeDocument/2006/relationships/hyperlink" Target="https://doi.org/10.1109/access.2024.3453440" TargetMode="External" Id="rId141"/><Relationship Type="http://schemas.openxmlformats.org/officeDocument/2006/relationships/hyperlink" Target="https://doi.org/10.1007/978-981-97-6995-7_34" TargetMode="External" Id="rId142"/><Relationship Type="http://schemas.openxmlformats.org/officeDocument/2006/relationships/hyperlink" Target="https://doi.org/10.1186/s13677-023-00558-9" TargetMode="External" Id="rId143"/><Relationship Type="http://schemas.openxmlformats.org/officeDocument/2006/relationships/hyperlink" Target="https://doi.org/10.1109/access.2021.3069211" TargetMode="External" Id="rId144"/><Relationship Type="http://schemas.openxmlformats.org/officeDocument/2006/relationships/hyperlink" Target="https://doi.org/10.1016/j.nicl.2014.12.013" TargetMode="External" Id="rId145"/><Relationship Type="http://schemas.openxmlformats.org/officeDocument/2006/relationships/hyperlink" Target="https://doi.org/10.1007/978-3-031-13844-7_33" TargetMode="External" Id="rId146"/><Relationship Type="http://schemas.openxmlformats.org/officeDocument/2006/relationships/hyperlink" Target="https://doi.org/10.1016/j.compbiolchem.2024.108177" TargetMode="External" Id="rId147"/><Relationship Type="http://schemas.openxmlformats.org/officeDocument/2006/relationships/hyperlink" Target="https://doi.org/10.1002/aur.2622" TargetMode="External" Id="rId148"/><Relationship Type="http://schemas.openxmlformats.org/officeDocument/2006/relationships/hyperlink" Target="https://doi.org/10.1002/9781119896838.ch18" TargetMode="External" Id="rId149"/><Relationship Type="http://schemas.openxmlformats.org/officeDocument/2006/relationships/hyperlink" Target="https://doi.org/10.1155/2020/1357853" TargetMode="External" Id="rId150"/><Relationship Type="http://schemas.openxmlformats.org/officeDocument/2006/relationships/hyperlink" Target="https://doi.org/10.1007/s13246-023-01350-4" TargetMode="External" Id="rId151"/><Relationship Type="http://schemas.openxmlformats.org/officeDocument/2006/relationships/hyperlink" Target="https://doi.org/10.1136/bmjopen-2018-026226" TargetMode="External" Id="rId152"/><Relationship Type="http://schemas.openxmlformats.org/officeDocument/2006/relationships/hyperlink" Target="https://doi.org/10.1108/lht-08-2019-0176" TargetMode="External" Id="rId153"/><Relationship Type="http://schemas.openxmlformats.org/officeDocument/2006/relationships/hyperlink" Target="https://doi.org/10.1145/3539226" TargetMode="External" Id="rId154"/><Relationship Type="http://schemas.openxmlformats.org/officeDocument/2006/relationships/hyperlink" Target="https://doi.org/10.2196/33771" TargetMode="External" Id="rId155"/><Relationship Type="http://schemas.openxmlformats.org/officeDocument/2006/relationships/hyperlink" Target="https://doi.org/10.2196/15767" TargetMode="External" Id="rId156"/><Relationship Type="http://schemas.openxmlformats.org/officeDocument/2006/relationships/hyperlink" Target="https://doi.org/10.1038/srep31107" TargetMode="External" Id="rId157"/><Relationship Type="http://schemas.openxmlformats.org/officeDocument/2006/relationships/hyperlink" Target="https://doi.org/10.2196/52660" TargetMode="External" Id="rId158"/><Relationship Type="http://schemas.openxmlformats.org/officeDocument/2006/relationships/hyperlink" Target="https://doi.org/10.1111/jcpp.13650" TargetMode="External" Id="rId159"/><Relationship Type="http://schemas.openxmlformats.org/officeDocument/2006/relationships/hyperlink" Target="https://doi.org/10.3233/shti230734" TargetMode="External" Id="rId160"/><Relationship Type="http://schemas.openxmlformats.org/officeDocument/2006/relationships/hyperlink" Target="https://doi.org/10.1038/s41598-023-40073-0" TargetMode="External" Id="rId161"/><Relationship Type="http://schemas.openxmlformats.org/officeDocument/2006/relationships/hyperlink" Target="https://doi.org/10.1007/978-981-99-8141-0_12" TargetMode="External" Id="rId162"/><Relationship Type="http://schemas.openxmlformats.org/officeDocument/2006/relationships/hyperlink" Target="https://doi.org/10.1007/s12031-019-01311-1" TargetMode="External" Id="rId163"/><Relationship Type="http://schemas.openxmlformats.org/officeDocument/2006/relationships/hyperlink" Target="https://doi.org/10.2174/2666082215666191111121115" TargetMode="External" Id="rId164"/><Relationship Type="http://schemas.openxmlformats.org/officeDocument/2006/relationships/hyperlink" Target="https://doi.org/10.1016/j.compbiomed.2024.108194" TargetMode="External" Id="rId165"/><Relationship Type="http://schemas.openxmlformats.org/officeDocument/2006/relationships/hyperlink" Target="https://doi.org/10.1016/j.euroneuro.2017.08.321" TargetMode="External" Id="rId166"/><Relationship Type="http://schemas.openxmlformats.org/officeDocument/2006/relationships/hyperlink" Target="https://doi.org/10.1001/jamapediatrics.2021.0530" TargetMode="External" Id="rId167"/><Relationship Type="http://schemas.openxmlformats.org/officeDocument/2006/relationships/hyperlink" Target="https://doi.org/10.1016/j.bpsc.2020.09.001" TargetMode="External" Id="rId168"/><Relationship Type="http://schemas.openxmlformats.org/officeDocument/2006/relationships/hyperlink" Target="https://doi.org/10.1016/j.procs.2025.05.032" TargetMode="External" Id="rId169"/><Relationship Type="http://schemas.openxmlformats.org/officeDocument/2006/relationships/hyperlink" Target="https://doi.org/10.1016/j.jneumeth.2024.110100" TargetMode="External" Id="rId170"/><Relationship Type="http://schemas.openxmlformats.org/officeDocument/2006/relationships/hyperlink" Target="https://doi.org/10.1109/thms.2025.3526957" TargetMode="External" Id="rId171"/><Relationship Type="http://schemas.openxmlformats.org/officeDocument/2006/relationships/hyperlink" Target="https://doi.org/10.3390/s20236762" TargetMode="External" Id="rId172"/><Relationship Type="http://schemas.openxmlformats.org/officeDocument/2006/relationships/hyperlink" Target="https://doi.org/10.1016/j.jad.2024.04.049" TargetMode="External" Id="rId173"/><Relationship Type="http://schemas.openxmlformats.org/officeDocument/2006/relationships/hyperlink" Target="https://doi.org/10.1038/s41398-019-0631-2" TargetMode="External" Id="rId174"/><Relationship Type="http://schemas.openxmlformats.org/officeDocument/2006/relationships/hyperlink" Target="https://doi.org/10.1016/b978-0-12-822822-7.00004-1" TargetMode="External" Id="rId175"/><Relationship Type="http://schemas.openxmlformats.org/officeDocument/2006/relationships/hyperlink" Target="https://doi.org/10.1007/978-3-031-06242-1_27" TargetMode="External" Id="rId176"/><Relationship Type="http://schemas.openxmlformats.org/officeDocument/2006/relationships/hyperlink" Target="https://doi.org/10.1038/s41598-020-76874-w" TargetMode="External" Id="rId177"/><Relationship Type="http://schemas.openxmlformats.org/officeDocument/2006/relationships/hyperlink" Target="https://doi.org/10.1016/b978-0-12-822271-3.00016-5" TargetMode="External" Id="rId178"/><Relationship Type="http://schemas.openxmlformats.org/officeDocument/2006/relationships/hyperlink" Target="https://doi.org/10.1016/b978-0-323-98352-5.00001-x" TargetMode="External" Id="rId179"/><Relationship Type="http://schemas.openxmlformats.org/officeDocument/2006/relationships/hyperlink" Target="https://doi.org/10.1155/2022/9410222" TargetMode="External" Id="rId180"/><Relationship Type="http://schemas.openxmlformats.org/officeDocument/2006/relationships/hyperlink" Target="https://doi.org/10.2196/29242" TargetMode="External" Id="rId181"/><Relationship Type="http://schemas.openxmlformats.org/officeDocument/2006/relationships/hyperlink" Target="https://doi.org/10.1007/s11042-024-18519-y" TargetMode="External" Id="rId182"/><Relationship Type="http://schemas.openxmlformats.org/officeDocument/2006/relationships/hyperlink" Target="https://doi.org/10.1155/acis/9975499" TargetMode="External" Id="rId183"/><Relationship Type="http://schemas.openxmlformats.org/officeDocument/2006/relationships/hyperlink" Target="https://doi.org/10.1038/s41598-024-76659-5" TargetMode="External" Id="rId184"/><Relationship Type="http://schemas.openxmlformats.org/officeDocument/2006/relationships/hyperlink" Target="https://doi.org/10.1016/j.cmpb.2024.108492" TargetMode="External" Id="rId185"/><Relationship Type="http://schemas.openxmlformats.org/officeDocument/2006/relationships/hyperlink" Target="https://doi.org/10.1007/s11682-015-9360-1" TargetMode="External" Id="rId186"/><Relationship Type="http://schemas.openxmlformats.org/officeDocument/2006/relationships/hyperlink" Target="https://doi.org/10.1109/jbhi.2024.3455942" TargetMode="External" Id="rId187"/><Relationship Type="http://schemas.openxmlformats.org/officeDocument/2006/relationships/hyperlink" Target="https://doi.org/10.1016/j.sciaf.2018.e00019" TargetMode="External" Id="rId188"/><Relationship Type="http://schemas.openxmlformats.org/officeDocument/2006/relationships/hyperlink" Target="https://doi.org/10.1016/j.neucom.2025.130780" TargetMode="External" Id="rId189"/><Relationship Type="http://schemas.openxmlformats.org/officeDocument/2006/relationships/hyperlink" Target="https://doi.org/10.1186/s13229-022-00491-9" TargetMode="External" Id="rId190"/><Relationship Type="http://schemas.openxmlformats.org/officeDocument/2006/relationships/hyperlink" Target="https://doi.org/10.1016/j.pscychresns.2024.111822" TargetMode="External" Id="rId191"/><Relationship Type="http://schemas.openxmlformats.org/officeDocument/2006/relationships/hyperlink" Target="https://doi.org/10.1016/j.bpsc.2021.08.009" TargetMode="External" Id="rId192"/><Relationship Type="http://schemas.openxmlformats.org/officeDocument/2006/relationships/hyperlink" Target="https://doi.org/10.32604/ijmhp.2022.020075" TargetMode="External" Id="rId193"/><Relationship Type="http://schemas.openxmlformats.org/officeDocument/2006/relationships/hyperlink" Target="https://doi.org/10.1177/13623613241304488" TargetMode="External" Id="rId194"/><Relationship Type="http://schemas.openxmlformats.org/officeDocument/2006/relationships/hyperlink" Target="https://doi.org/10.1016/j.cortex.2014.08.011" TargetMode="External" Id="rId195"/><Relationship Type="http://schemas.openxmlformats.org/officeDocument/2006/relationships/hyperlink" Target="https://doi.org/10.1109/embc46164.2021.9630150" TargetMode="External" Id="rId196"/><Relationship Type="http://schemas.openxmlformats.org/officeDocument/2006/relationships/hyperlink" Target="https://doi.org/10.1145/3699749" TargetMode="External" Id="rId197"/><Relationship Type="http://schemas.openxmlformats.org/officeDocument/2006/relationships/hyperlink" Target="https://doi.org/10.1007/s11011-025-01604-y" TargetMode="External" Id="rId198"/><Relationship Type="http://schemas.openxmlformats.org/officeDocument/2006/relationships/hyperlink" Target="https://doi.org/10.1038/s41598-024-71174-z" TargetMode="External" Id="rId199"/><Relationship Type="http://schemas.openxmlformats.org/officeDocument/2006/relationships/hyperlink" Target="https://doi.org/10.1007/s13042-022-01554-2" TargetMode="External" Id="rId200"/><Relationship Type="http://schemas.openxmlformats.org/officeDocument/2006/relationships/hyperlink" Target="https://doi.org/10.1007/s11596-024-2938-3" TargetMode="External" Id="rId201"/><Relationship Type="http://schemas.openxmlformats.org/officeDocument/2006/relationships/hyperlink" Target="https://doi.org/10.1007/s00521-025-11208-3" TargetMode="External" Id="rId202"/><Relationship Type="http://schemas.openxmlformats.org/officeDocument/2006/relationships/hyperlink" Target="https://doi.org/10.1186/s12859-023-05501-y" TargetMode="External" Id="rId203"/><Relationship Type="http://schemas.openxmlformats.org/officeDocument/2006/relationships/hyperlink" Target="https://doi.org/10.1002/aur.2595" TargetMode="External" Id="rId204"/><Relationship Type="http://schemas.openxmlformats.org/officeDocument/2006/relationships/hyperlink" Target="https://doi.org/10.1002/cpe.7898" TargetMode="External" Id="rId205"/><Relationship Type="http://schemas.openxmlformats.org/officeDocument/2006/relationships/hyperlink" Target="https://doi.org/10.1016/j.cmpb.2025.108921" TargetMode="External" Id="rId206"/><Relationship Type="http://schemas.openxmlformats.org/officeDocument/2006/relationships/hyperlink" Target="https://doi.org/10.1007/s10803-018-3690-y" TargetMode="External" Id="rId207"/><Relationship Type="http://schemas.openxmlformats.org/officeDocument/2006/relationships/hyperlink" Target="https://doi.org/10.1016/j.compeleceng.2023.108720" TargetMode="External" Id="rId208"/><Relationship Type="http://schemas.openxmlformats.org/officeDocument/2006/relationships/hyperlink" Target="https://doi.org/10.1109/tlt.2024.3409702" TargetMode="External" Id="rId209"/><Relationship Type="http://schemas.openxmlformats.org/officeDocument/2006/relationships/hyperlink" Target="https://doi.org/10.1007/978-981-99-8558-6_35" TargetMode="External" Id="rId210"/><Relationship Type="http://schemas.openxmlformats.org/officeDocument/2006/relationships/hyperlink" Target="https://doi.org/10.1007/978-3-030-46165-2_4" TargetMode="External" Id="rId211"/><Relationship Type="http://schemas.openxmlformats.org/officeDocument/2006/relationships/hyperlink" Target="https://doi.org/10.1007/978-3-031-72069-7_6" TargetMode="External" Id="rId212"/><Relationship Type="http://schemas.openxmlformats.org/officeDocument/2006/relationships/hyperlink" Target="https://doi.org/10.1002/ar.25332" TargetMode="External" Id="rId213"/><Relationship Type="http://schemas.openxmlformats.org/officeDocument/2006/relationships/hyperlink" Target="https://doi.org/10.1016/j.bspc.2020.101958" TargetMode="External" Id="rId214"/><Relationship Type="http://schemas.openxmlformats.org/officeDocument/2006/relationships/hyperlink" Target="https://doi.org/10.1016/j.clinph.2019.12.400" TargetMode="External" Id="rId215"/><Relationship Type="http://schemas.openxmlformats.org/officeDocument/2006/relationships/hyperlink" Target="https://doi.org/10.1007/978-3-031-45389-2_18" TargetMode="External" Id="rId216"/><Relationship Type="http://schemas.openxmlformats.org/officeDocument/2006/relationships/hyperlink" Target="https://doi.org/10.1016/j.media.2021.101986" TargetMode="External" Id="rId217"/><Relationship Type="http://schemas.openxmlformats.org/officeDocument/2006/relationships/hyperlink" Target="https://doi.org/10.1038/s41598-025-97313-8" TargetMode="External" Id="rId218"/><Relationship Type="http://schemas.openxmlformats.org/officeDocument/2006/relationships/hyperlink" Target="https://doi.org/10.1371/journal.pone.0269637" TargetMode="External" Id="rId219"/><Relationship Type="http://schemas.openxmlformats.org/officeDocument/2006/relationships/hyperlink" Target="https://doi.org/10.1016/b978-0-12-822822-7.00006-5" TargetMode="External" Id="rId220"/><Relationship Type="http://schemas.openxmlformats.org/officeDocument/2006/relationships/hyperlink" Target="https://doi.org/10.1016/j.ctcp.2023.101825" TargetMode="External" Id="rId221"/><Relationship Type="http://schemas.openxmlformats.org/officeDocument/2006/relationships/hyperlink" Target="https://doi.org/10.1142/s0129065722500460" TargetMode="External" Id="rId222"/><Relationship Type="http://schemas.openxmlformats.org/officeDocument/2006/relationships/hyperlink" Target="https://doi.org/10.1016/j.nicl.2018.01.014" TargetMode="External" Id="rId223"/><Relationship Type="http://schemas.openxmlformats.org/officeDocument/2006/relationships/hyperlink" Target="https://doi.org/10.1007/s10803-023-05922-x" TargetMode="External" Id="rId224"/><Relationship Type="http://schemas.openxmlformats.org/officeDocument/2006/relationships/hyperlink" Target="https://doi.org/10.1007/978-3-031-83845-3_26" TargetMode="External" Id="rId225"/><Relationship Type="http://schemas.openxmlformats.org/officeDocument/2006/relationships/hyperlink" Target="https://doi.org/10.1109/access.2024.3351168" TargetMode="External" Id="rId226"/><Relationship Type="http://schemas.openxmlformats.org/officeDocument/2006/relationships/hyperlink" Target="https://doi.org/10.1016/b978-0-12-822822-7.00009-0" TargetMode="External" Id="rId227"/><Relationship Type="http://schemas.openxmlformats.org/officeDocument/2006/relationships/hyperlink" Target="https://doi.org/10.1109/embc40787.2023.10340852" TargetMode="External" Id="rId228"/><Relationship Type="http://schemas.openxmlformats.org/officeDocument/2006/relationships/hyperlink" Target="https://doi.org/10.1109/tnsre.2024.3361935" TargetMode="External" Id="rId229"/><Relationship Type="http://schemas.openxmlformats.org/officeDocument/2006/relationships/hyperlink" Target="https://doi.org/10.1111/jon.12280" TargetMode="External" Id="rId230"/><Relationship Type="http://schemas.openxmlformats.org/officeDocument/2006/relationships/hyperlink" Target="https://doi.org/10.1016/j.compbiomed.2022.105854" TargetMode="External" Id="rId231"/><Relationship Type="http://schemas.openxmlformats.org/officeDocument/2006/relationships/hyperlink" Target="https://doi.org/10.1038/s41398-023-02662-5" TargetMode="External" Id="rId232"/><Relationship Type="http://schemas.openxmlformats.org/officeDocument/2006/relationships/hyperlink" Target="https://doi.org/10.1016/j.irbm.2024.100838" TargetMode="External" Id="rId233"/><Relationship Type="http://schemas.openxmlformats.org/officeDocument/2006/relationships/hyperlink" Target="https://doi.org/10.1007/978-3-030-00928-1_73" TargetMode="External" Id="rId234"/><Relationship Type="http://schemas.openxmlformats.org/officeDocument/2006/relationships/hyperlink" Target="https://doi.org/10.1109/tnsre.2025.3580593" TargetMode="External" Id="rId235"/><Relationship Type="http://schemas.openxmlformats.org/officeDocument/2006/relationships/hyperlink" Target="https://doi.org/10.1016/b978-0-12-822822-7.00008-9" TargetMode="External" Id="rId236"/><Relationship Type="http://schemas.openxmlformats.org/officeDocument/2006/relationships/hyperlink" Target="https://doi.org/10.1038/s41598-025-09862-7" TargetMode="External" Id="rId237"/><Relationship Type="http://schemas.openxmlformats.org/officeDocument/2006/relationships/hyperlink" Target="https://doi.org/10.1109/embc48229.2022.9871130" TargetMode="External" Id="rId238"/><Relationship Type="http://schemas.openxmlformats.org/officeDocument/2006/relationships/hyperlink" Target="https://doi.org/10.1007/978-981-99-8558-6_38" TargetMode="External" Id="rId239"/><Relationship Type="http://schemas.openxmlformats.org/officeDocument/2006/relationships/hyperlink" Target="https://doi.org/10.1007/s10916-023-02032-0" TargetMode="External" Id="rId240"/><Relationship Type="http://schemas.openxmlformats.org/officeDocument/2006/relationships/hyperlink" Target="https://doi.org/10.1016/j.compbiomed.2022.105239" TargetMode="External" Id="rId241"/><Relationship Type="http://schemas.openxmlformats.org/officeDocument/2006/relationships/hyperlink" Target="https://doi.org/10.1038/s41380-022-01636-1" TargetMode="External" Id="rId242"/><Relationship Type="http://schemas.openxmlformats.org/officeDocument/2006/relationships/hyperlink" Target="https://doi.org/10.1109/access.2022.3146719" TargetMode="External" Id="rId243"/><Relationship Type="http://schemas.openxmlformats.org/officeDocument/2006/relationships/hyperlink" Target="https://doi.org/10.1016/j.isci.2024.110709" TargetMode="External" Id="rId244"/><Relationship Type="http://schemas.openxmlformats.org/officeDocument/2006/relationships/hyperlink" Target="https://doi.org/10.1016/j.envint.2025.109562" TargetMode="External" Id="rId245"/><Relationship Type="http://schemas.openxmlformats.org/officeDocument/2006/relationships/hyperlink" Target="https://doi.org/10.2196/jmir.9496" TargetMode="External" Id="rId246"/><Relationship Type="http://schemas.openxmlformats.org/officeDocument/2006/relationships/hyperlink" Target="https://doi.org/10.1007/s42979-023-02564-9" TargetMode="External" Id="rId247"/><Relationship Type="http://schemas.openxmlformats.org/officeDocument/2006/relationships/hyperlink" Target="https://doi.org/10.1016/j.media.2020.101662" TargetMode="External" Id="rId248"/><Relationship Type="http://schemas.openxmlformats.org/officeDocument/2006/relationships/hyperlink" Target="https://doi.org/10.1016/j.medengphy.2020.07.004" TargetMode="External" Id="rId249"/><Relationship Type="http://schemas.openxmlformats.org/officeDocument/2006/relationships/hyperlink" Target="https://doi.org/10.1016/j.neuroimage.2017.12.044" TargetMode="External" Id="rId250"/><Relationship Type="http://schemas.openxmlformats.org/officeDocument/2006/relationships/hyperlink" Target="https://doi.org/10.1007/978-3-030-86993-9_36" TargetMode="External" Id="rId251"/><Relationship Type="http://schemas.openxmlformats.org/officeDocument/2006/relationships/hyperlink" Target="https://doi.org/10.3390/s22072528" TargetMode="External" Id="rId252"/><Relationship Type="http://schemas.openxmlformats.org/officeDocument/2006/relationships/hyperlink" Target="https://doi.org/10.1007/s10803-022-05767-w" TargetMode="External" Id="rId253"/><Relationship Type="http://schemas.openxmlformats.org/officeDocument/2006/relationships/hyperlink" Target="https://doi.org/10.1016/j.eswa.2014.05.011" TargetMode="External" Id="rId254"/><Relationship Type="http://schemas.openxmlformats.org/officeDocument/2006/relationships/hyperlink" Target="https://doi.org/10.1093/cercor/bhad125" TargetMode="External" Id="rId255"/><Relationship Type="http://schemas.openxmlformats.org/officeDocument/2006/relationships/hyperlink" Target="https://doi.org/10.1186/s12911-017-0564-8" TargetMode="External" Id="rId256"/><Relationship Type="http://schemas.openxmlformats.org/officeDocument/2006/relationships/hyperlink" Target="https://doi.org/10.1002/cpe.6498" TargetMode="External" Id="rId257"/><Relationship Type="http://schemas.openxmlformats.org/officeDocument/2006/relationships/hyperlink" Target="https://doi.org/10.1016/j.jneumeth.2023.109901" TargetMode="External" Id="rId258"/><Relationship Type="http://schemas.openxmlformats.org/officeDocument/2006/relationships/hyperlink" Target="https://doi.org/10.3390/ijerph191912857" TargetMode="External" Id="rId259"/><Relationship Type="http://schemas.openxmlformats.org/officeDocument/2006/relationships/hyperlink" Target="https://doi.org/10.1186/s12859-023-05378-x" TargetMode="External" Id="rId260"/><Relationship Type="http://schemas.openxmlformats.org/officeDocument/2006/relationships/hyperlink" Target="https://doi.org/10.1155/2022/8134018" TargetMode="External" Id="rId261"/><Relationship Type="http://schemas.openxmlformats.org/officeDocument/2006/relationships/hyperlink" Target="https://doi.org/10.1016/j.procs.2020.01.098" TargetMode="External" Id="rId262"/><Relationship Type="http://schemas.openxmlformats.org/officeDocument/2006/relationships/hyperlink" Target="https://doi.org/10.1016/j.ecoenv.2025.118233" TargetMode="External" Id="rId263"/><Relationship Type="http://schemas.openxmlformats.org/officeDocument/2006/relationships/hyperlink" Target="https://doi.org/10.1111/exsy.13040" TargetMode="External" Id="rId264"/><Relationship Type="http://schemas.openxmlformats.org/officeDocument/2006/relationships/hyperlink" Target="https://www.nature.com/articles/s41598-020-61288-5" TargetMode="External" Id="rId265"/><Relationship Type="http://schemas.openxmlformats.org/officeDocument/2006/relationships/hyperlink" Target="https://doi.org/10.1007/s10803-021-05179-2" TargetMode="External" Id="rId266"/><Relationship Type="http://schemas.openxmlformats.org/officeDocument/2006/relationships/hyperlink" Target="https://doi.org/10.1016/j.neuro.2018.11.015" TargetMode="External" Id="rId267"/><Relationship Type="http://schemas.openxmlformats.org/officeDocument/2006/relationships/hyperlink" Target="https://doi.org/10.1021/acs.jcim.5c00134" TargetMode="External" Id="rId268"/><Relationship Type="http://schemas.openxmlformats.org/officeDocument/2006/relationships/hyperlink" Target="https://doi.org/10.1016/j.brainresbull.2025.111290" TargetMode="External" Id="rId269"/><Relationship Type="http://schemas.openxmlformats.org/officeDocument/2006/relationships/hyperlink" Target="https://doi.org/10.1186/1755-8794-8-s1-s7" TargetMode="External" Id="rId270"/><Relationship Type="http://schemas.openxmlformats.org/officeDocument/2006/relationships/hyperlink" Target="https://doi.org/10.1126/scirobotics.aao6760" TargetMode="External" Id="rId271"/><Relationship Type="http://schemas.openxmlformats.org/officeDocument/2006/relationships/hyperlink" Target="https://doi.org/10.1007/s10803-018-3509-x" TargetMode="External" Id="rId272"/><Relationship Type="http://schemas.openxmlformats.org/officeDocument/2006/relationships/hyperlink" Target="https://doi.org/10.1016/j.heliyon.2024.e34245" TargetMode="External" Id="rId273"/><Relationship Type="http://schemas.openxmlformats.org/officeDocument/2006/relationships/hyperlink" Target="https://findanexpert.unimelb.edu.au/scholarlywork/1533141-three-distinct-neuroanatomical-subtypes-of-autism-spectrum-disorder--revealed-via-machine-learning--and-their-similarities-with-schizophrenia-subtypes" TargetMode="External" Id="rId274"/><Relationship Type="http://schemas.openxmlformats.org/officeDocument/2006/relationships/hyperlink" Target="https://doi.org/10.1111/jne.70092" TargetMode="External" Id="rId275"/><Relationship Type="http://schemas.openxmlformats.org/officeDocument/2006/relationships/hyperlink" Target="https://doi.org/10.1007/978-3-031-62273-1_36" TargetMode="External" Id="rId276"/><Relationship Type="http://schemas.openxmlformats.org/officeDocument/2006/relationships/hyperlink" Target="https://doi.org/10.2196/80733" TargetMode="External" Id="rId277"/><Relationship Type="http://schemas.openxmlformats.org/officeDocument/2006/relationships/hyperlink" Target="https://doi.org/10.1016/j.csbj.2025.09.006" TargetMode="External" Id="rId278"/><Relationship Type="http://schemas.openxmlformats.org/officeDocument/2006/relationships/hyperlink" Target="https://doi.org/10.2196/73440" TargetMode="External" Id="rId279"/><Relationship Type="http://schemas.openxmlformats.org/officeDocument/2006/relationships/hyperlink" Target="https://doi.org/10.2196/70589" TargetMode="External" Id="rId280"/><Relationship Type="http://schemas.openxmlformats.org/officeDocument/2006/relationships/hyperlink" Target="https://doi.org/10.1016/j.cell.2025.02.025" TargetMode="External" Id="rId281"/><Relationship Type="http://schemas.openxmlformats.org/officeDocument/2006/relationships/hyperlink" Target="https://doi.org/10.32604/cmc.2025.062266" TargetMode="External" Id="rId282"/><Relationship Type="http://schemas.openxmlformats.org/officeDocument/2006/relationships/hyperlink" Target="https://doi.org/10.32604/cmc.2025.062643" TargetMode="External" Id="rId283"/><Relationship Type="http://schemas.openxmlformats.org/officeDocument/2006/relationships/hyperlink" Target="https://doi.org/10.1016/j.eclinm.2025.103452" TargetMode="External" Id="rId284"/><Relationship Type="http://schemas.openxmlformats.org/officeDocument/2006/relationships/hyperlink" Target="https://doi.org/10.1016/j.jpedcp.2025.200176" TargetMode="External" Id="rId285"/><Relationship Type="http://schemas.openxmlformats.org/officeDocument/2006/relationships/hyperlink" Target="https://doi.org/10.32604/cmes.2025.074627" TargetMode="External" Id="rId286"/><Relationship Type="http://schemas.openxmlformats.org/officeDocument/2006/relationships/hyperlink" Target="https://www.jmir.org/2026/1/e85290" TargetMode="External" Id="rId287"/><Relationship Type="http://schemas.openxmlformats.org/officeDocument/2006/relationships/hyperlink" Target="https://doi.org/10.2196/85060" TargetMode="External" Id="rId288"/><Relationship Type="http://schemas.openxmlformats.org/officeDocument/2006/relationships/hyperlink" Target="https://ai.jmir.org/2026/1/e89054" TargetMode="External" Id="rId289"/><Relationship Type="http://schemas.openxmlformats.org/officeDocument/2006/relationships/hyperlink" Target="https://doi.org/10.2196/74440" TargetMode="External" Id="rId290"/><Relationship Type="http://schemas.openxmlformats.org/officeDocument/2006/relationships/hyperlink" Target="https://preprints.jmir.org/preprint/85196" TargetMode="External" Id="rId291"/><Relationship Type="http://schemas.openxmlformats.org/officeDocument/2006/relationships/hyperlink" Target="https://doi.org/10.1002/hbm.70435" TargetMode="External" Id="rId292"/><Relationship Type="http://schemas.openxmlformats.org/officeDocument/2006/relationships/hyperlink" Target="https://doi.org/10.3389/fpubh.2026.1881829" TargetMode="External" Id="rId293"/><Relationship Type="http://schemas.openxmlformats.org/officeDocument/2006/relationships/hyperlink" Target="https://doi.org/10.1016/j.ijchp.2026.100664" TargetMode="External" Id="rId294"/><Relationship Type="http://schemas.openxmlformats.org/officeDocument/2006/relationships/hyperlink" Target="https://doi.org/10.1136/bmjment-2026-302488" TargetMode="External" Id="rId295"/><Relationship Type="http://schemas.openxmlformats.org/officeDocument/2006/relationships/hyperlink" Target="https://doi.org/10.1016/j.neunet.2025.108295" TargetMode="External" Id="rId296"/><Relationship Type="http://schemas.openxmlformats.org/officeDocument/2006/relationships/hyperlink" Target="https://doi.org/10.1016/j.artmed.2025.103318" TargetMode="External" Id="rId297"/><Relationship Type="http://schemas.openxmlformats.org/officeDocument/2006/relationships/hyperlink" Target="https://doi.org/10.1038/s41398-026-03823-y" TargetMode="External" Id="rId298"/><Relationship Type="http://schemas.openxmlformats.org/officeDocument/2006/relationships/hyperlink" Target="https://doi.org/10.3390/s26061862" TargetMode="External" Id="rId299"/><Relationship Type="http://schemas.openxmlformats.org/officeDocument/2006/relationships/hyperlink" Target="https://doi.org/10.1371/journal.pone.0345522" TargetMode="External" Id="rId300"/><Relationship Type="http://schemas.openxmlformats.org/officeDocument/2006/relationships/hyperlink" Target="https://doi.org/10.1002/aur.70124" TargetMode="External" Id="rId301"/><Relationship Type="http://schemas.openxmlformats.org/officeDocument/2006/relationships/hyperlink" Target="https://doi.org/10.1002/aur.70189" TargetMode="External" Id="rId302"/><Relationship Type="http://schemas.openxmlformats.org/officeDocument/2006/relationships/hyperlink" Target="https://doi.org/10.1002/ped4.70064" TargetMode="External" Id="rId303"/><Relationship Type="http://schemas.openxmlformats.org/officeDocument/2006/relationships/hyperlink" Target="https://doi.org/10.3390/biom16030340" TargetMode="External" Id="rId304"/><Relationship Type="http://schemas.openxmlformats.org/officeDocument/2006/relationships/hyperlink" Target="https://doi.org/10.3390/s25247485" TargetMode="External" Id="rId305"/><Relationship Type="http://schemas.openxmlformats.org/officeDocument/2006/relationships/hyperlink" Target="https://doi.org/10.1038/s41598-025-26307-3" TargetMode="External" Id="rId306"/><Relationship Type="http://schemas.openxmlformats.org/officeDocument/2006/relationships/hyperlink" Target="https://doi.org/10.3233/shti251499" TargetMode="External" Id="rId307"/><Relationship Type="http://schemas.openxmlformats.org/officeDocument/2006/relationships/hyperlink" Target="https://doi.org/10.1155/hbe2/1923339" TargetMode="External" Id="rId308"/><Relationship Type="http://schemas.openxmlformats.org/officeDocument/2006/relationships/hyperlink" Target="https://doi.org/10.1002/aur.70135" TargetMode="External" Id="rId309"/><Relationship Type="http://schemas.openxmlformats.org/officeDocument/2006/relationships/hyperlink" Target="https://doi.org/10.1186/s12888-025-07754-8" TargetMode="External" Id="rId310"/><Relationship Type="http://schemas.openxmlformats.org/officeDocument/2006/relationships/hyperlink" Target="https://doi.org/10.1109/jbhi.2025.3599643" TargetMode="External" Id="rId311"/><Relationship Type="http://schemas.openxmlformats.org/officeDocument/2006/relationships/hyperlink" Target="https://doi.org/10.1038/s41598-025-26131-9" TargetMode="External" Id="rId312"/><Relationship Type="http://schemas.openxmlformats.org/officeDocument/2006/relationships/hyperlink" Target="https://doi.org/10.1093/biomtc/ujag099" TargetMode="External" Id="rId313"/><Relationship Type="http://schemas.openxmlformats.org/officeDocument/2006/relationships/hyperlink" Target="https://doi.org/10.31083/jin48212" TargetMode="External" Id="rId314"/><Relationship Type="http://schemas.openxmlformats.org/officeDocument/2006/relationships/hyperlink" Target="https://doi.org/10.1038/s41598-026-48562-8" TargetMode="External" Id="rId315"/><Relationship Type="http://schemas.openxmlformats.org/officeDocument/2006/relationships/hyperlink" Target="https://doi.org/10.1038/s41598-026-58789-0" TargetMode="External" Id="rId316"/><Relationship Type="http://schemas.openxmlformats.org/officeDocument/2006/relationships/hyperlink" Target="https://www.nature.com/articles/s41598-025-24662-9" TargetMode="External" Id="rId317"/><Relationship Type="http://schemas.openxmlformats.org/officeDocument/2006/relationships/hyperlink" Target="https://journals.plos.org/plosone/article?id=10.1371/journal.pone.0354652" TargetMode="External" Id="rId318"/><Relationship Type="http://schemas.openxmlformats.org/officeDocument/2006/relationships/hyperlink" Target="https://doi.org/10.1007/s12021-026-09782-5" TargetMode="External" Id="rId319"/><Relationship Type="http://schemas.openxmlformats.org/officeDocument/2006/relationships/hyperlink" Target="https://doi.org/10.1007/s41870-025-02987-y" TargetMode="External" Id="rId320"/><Relationship Type="http://schemas.openxmlformats.org/officeDocument/2006/relationships/hyperlink" Target="https://doi.org/10.1007/s44163-026-01103-8" TargetMode="External" Id="rId321"/><Relationship Type="http://schemas.openxmlformats.org/officeDocument/2006/relationships/hyperlink" Target="https://doi.org/10.1038/s41598-025-95291-5" TargetMode="External" Id="rId322"/><Relationship Type="http://schemas.openxmlformats.org/officeDocument/2006/relationships/hyperlink" Target="https://doi.org/10.3390/genes16091109" TargetMode="External" Id="rId323"/><Relationship Type="http://schemas.openxmlformats.org/officeDocument/2006/relationships/hyperlink" Target="https://doi.org/10.1016/j.envres.2026.125213" TargetMode="External" Id="rId324"/><Relationship Type="http://schemas.openxmlformats.org/officeDocument/2006/relationships/hyperlink" Target="https://link.springer.com/article/10.1186/s13073-025-01552-3" TargetMode="External" Id="rId325"/><Relationship Type="http://schemas.openxmlformats.org/officeDocument/2006/relationships/hyperlink" Target="https://doi.org/10.1007/s41666-026-00243-x" TargetMode="External" Id="rId326"/><Relationship Type="http://schemas.openxmlformats.org/officeDocument/2006/relationships/hyperlink" Target="https://doi.org/10.1007/s44163-026-01299-9" TargetMode="External" Id="rId327"/><Relationship Type="http://schemas.openxmlformats.org/officeDocument/2006/relationships/hyperlink" Target="https://doi.org/10.1002/jmri.70023" TargetMode="External" Id="rId328"/><Relationship Type="http://schemas.openxmlformats.org/officeDocument/2006/relationships/hyperlink" Target="https://doi.org/10.1038/s41598-025-93802-y" TargetMode="External" Id="rId329"/><Relationship Type="http://schemas.openxmlformats.org/officeDocument/2006/relationships/hyperlink" Target="https://doi.org/10.1109/access.2026.3688987" TargetMode="External" Id="rId330"/><Relationship Type="http://schemas.openxmlformats.org/officeDocument/2006/relationships/hyperlink" Target="https://doi.org/10.1109/access.2025.3642950" TargetMode="External" Id="rId331"/><Relationship Type="http://schemas.openxmlformats.org/officeDocument/2006/relationships/hyperlink" Target="https://doi.org/10.1109/access.2025.3646589" TargetMode="External" Id="rId332"/><Relationship Type="http://schemas.openxmlformats.org/officeDocument/2006/relationships/hyperlink" Target="https://doi.org/10.1109/access.2026.3704046" TargetMode="External" Id="rId333"/><Relationship Type="http://schemas.openxmlformats.org/officeDocument/2006/relationships/hyperlink" Target="https://doi.org/10.1109/access.2026.3686583" TargetMode="External" Id="rId334"/><Relationship Type="http://schemas.openxmlformats.org/officeDocument/2006/relationships/hyperlink" Target="https://doi.org/10.1109/access.2026.3650856" TargetMode="External" Id="rId335"/><Relationship Type="http://schemas.openxmlformats.org/officeDocument/2006/relationships/hyperlink" Target="https://doi.org/10.1016/j.bspc.2024.107009" TargetMode="External" Id="rId336"/><Relationship Type="http://schemas.openxmlformats.org/officeDocument/2006/relationships/hyperlink" Target="https://doi.org/10.1016/j.bspc.2024.106949" TargetMode="External" Id="rId337"/><Relationship Type="http://schemas.openxmlformats.org/officeDocument/2006/relationships/hyperlink" Target="https://doi.org/10.1016/j.ijhcs.2025.103486" TargetMode="External" Id="rId338"/><Relationship Type="http://schemas.openxmlformats.org/officeDocument/2006/relationships/hyperlink" Target="https://doi.org/10.1016/j.compbiolchem.2024.108335" TargetMode="External" Id="rId339"/><Relationship Type="http://schemas.openxmlformats.org/officeDocument/2006/relationships/hyperlink" Target="https://doi.org/10.1016/j.biopsycho.2024.108976" TargetMode="External" Id="rId340"/><Relationship Type="http://schemas.openxmlformats.org/officeDocument/2006/relationships/hyperlink" Target="https://doi.org/10.1016/j.cca.2024.120018" TargetMode="External" Id="rId341"/><Relationship Type="http://schemas.openxmlformats.org/officeDocument/2006/relationships/hyperlink" Target="https://doi.org/10.1016/j.eswa.2024.126295" TargetMode="External" Id="rId342"/><Relationship Type="http://schemas.openxmlformats.org/officeDocument/2006/relationships/hyperlink" Target="https://doi.org/10.1016/j.eswa.2024.125399" TargetMode="External" Id="rId343"/><Relationship Type="http://schemas.openxmlformats.org/officeDocument/2006/relationships/hyperlink" Target="https://doi.org/10.1016/j.jneumeth.2024.110315" TargetMode="External" Id="rId344"/><Relationship Type="http://schemas.openxmlformats.org/officeDocument/2006/relationships/hyperlink" Target="https://doi.org/10.1016/j.bspc.2024.107414" TargetMode="External" Id="rId345"/><Relationship Type="http://schemas.openxmlformats.org/officeDocument/2006/relationships/hyperlink" Target="https://doi.org/10.1016/j.ijmedinf.2024.105707" TargetMode="External" Id="rId346"/><Relationship Type="http://schemas.openxmlformats.org/officeDocument/2006/relationships/hyperlink" Target="https://doi.org/10.1016/j.rineng.2025.104444" TargetMode="External" Id="rId347"/><Relationship Type="http://schemas.openxmlformats.org/officeDocument/2006/relationships/hyperlink" Target="https://doi.org/10.1016/j.engappai.2024.109475" TargetMode="External" Id="rId348"/><Relationship Type="http://schemas.openxmlformats.org/officeDocument/2006/relationships/hyperlink" Target="https://doi.org/10.1016/j.eswa.2025.127013" TargetMode="External" Id="rId349"/><Relationship Type="http://schemas.openxmlformats.org/officeDocument/2006/relationships/hyperlink" Target="https://doi.org/10.1016/j.ibmed.2025.100213" TargetMode="External" Id="rId350"/><Relationship Type="http://schemas.openxmlformats.org/officeDocument/2006/relationships/hyperlink" Target="https://doi.org/10.1016/j.engappai.2025.110430" TargetMode="External" Id="rId351"/><Relationship Type="http://schemas.openxmlformats.org/officeDocument/2006/relationships/hyperlink" Target="https://doi.org/10.1016/j.lfs.2025.123531" TargetMode="External" Id="rId352"/><Relationship Type="http://schemas.openxmlformats.org/officeDocument/2006/relationships/hyperlink" Target="https://doi.org/10.1016/j.bspc.2024.107433" TargetMode="External" Id="rId353"/><Relationship Type="http://schemas.openxmlformats.org/officeDocument/2006/relationships/hyperlink" Target="https://doi.org/10.1016/j.neucom.2025.130353" TargetMode="External" Id="rId354"/><Relationship Type="http://schemas.openxmlformats.org/officeDocument/2006/relationships/hyperlink" Target="https://doi.org/10.1016/j.compbiomed.2025.109926" TargetMode="External" Id="rId355"/><Relationship Type="http://schemas.openxmlformats.org/officeDocument/2006/relationships/hyperlink" Target="https://doi.org/10.1016/j.compbiomed.2025.110038" TargetMode="External" Id="rId356"/><Relationship Type="http://schemas.openxmlformats.org/officeDocument/2006/relationships/hyperlink" Target="https://doi.org/10.1016/j.neunet.2025.107337" TargetMode="External" Id="rId357"/><Relationship Type="http://schemas.openxmlformats.org/officeDocument/2006/relationships/hyperlink" Target="https://doi.org/10.1016/j.eswa.2025.128884" TargetMode="External" Id="rId358"/><Relationship Type="http://schemas.openxmlformats.org/officeDocument/2006/relationships/hyperlink" Target="https://doi.org/10.1016/j.pscychresns.2025.111970" TargetMode="External" Id="rId359"/><Relationship Type="http://schemas.openxmlformats.org/officeDocument/2006/relationships/hyperlink" Target="https://doi.org/10.1016/j.etdah.2025.100176" TargetMode="External" Id="rId360"/><Relationship Type="http://schemas.openxmlformats.org/officeDocument/2006/relationships/hyperlink" Target="https://doi.org/10.1016/j.bspc.2025.108020" TargetMode="External" Id="rId361"/><Relationship Type="http://schemas.openxmlformats.org/officeDocument/2006/relationships/hyperlink" Target="https://doi.org/10.1016/j.neuroscience.2025.08.001" TargetMode="External" Id="rId362"/><Relationship Type="http://schemas.openxmlformats.org/officeDocument/2006/relationships/hyperlink" Target="https://doi.org/10.1016/j.jgg.2025.07.008" TargetMode="External" Id="rId363"/><Relationship Type="http://schemas.openxmlformats.org/officeDocument/2006/relationships/hyperlink" Target="https://doi.org/10.1016/j.compbiolchem.2025.108619" TargetMode="External" Id="rId364"/><Relationship Type="http://schemas.openxmlformats.org/officeDocument/2006/relationships/hyperlink" Target="https://doi.org/10.1016/j.brainres.2025.149904" TargetMode="External" Id="rId365"/><Relationship Type="http://schemas.openxmlformats.org/officeDocument/2006/relationships/hyperlink" Target="https://doi.org/10.32604/cmc.2025.067784" TargetMode="External" Id="rId366"/><Relationship Type="http://schemas.openxmlformats.org/officeDocument/2006/relationships/hyperlink" Target="https://doi.org/10.1016/j.mri.2025.110492" TargetMode="External" Id="rId367"/><Relationship Type="http://schemas.openxmlformats.org/officeDocument/2006/relationships/hyperlink" Target="https://doi.org/10.1016/j.patcog.2025.112906" TargetMode="External" Id="rId368"/><Relationship Type="http://schemas.openxmlformats.org/officeDocument/2006/relationships/hyperlink" Target="https://doi.org/10.1016/j.ajp.2025.104798" TargetMode="External" Id="rId369"/><Relationship Type="http://schemas.openxmlformats.org/officeDocument/2006/relationships/hyperlink" Target="https://doi.org/10.1016/j.compbiomed.2026.111719" TargetMode="External" Id="rId370"/><Relationship Type="http://schemas.openxmlformats.org/officeDocument/2006/relationships/hyperlink" Target="https://doi.org/10.1016/j.bspc.2025.109180" TargetMode="External" Id="rId371"/><Relationship Type="http://schemas.openxmlformats.org/officeDocument/2006/relationships/hyperlink" Target="https://doi.org/10.1016/j.ajp.2026.104830" TargetMode="External" Id="rId372"/><Relationship Type="http://schemas.openxmlformats.org/officeDocument/2006/relationships/hyperlink" Target="https://doi.org/10.1016/j.ijhcs.2025.103696" TargetMode="External" Id="rId373"/><Relationship Type="http://schemas.openxmlformats.org/officeDocument/2006/relationships/hyperlink" Target="https://doi.org/10.1016/j.procs.2026.06.363" TargetMode="External" Id="rId374"/><Relationship Type="http://schemas.openxmlformats.org/officeDocument/2006/relationships/hyperlink" Target="https://doi.org/10.1016/j.jpsychires.2026.03.043" TargetMode="External" Id="rId375"/><Relationship Type="http://schemas.openxmlformats.org/officeDocument/2006/relationships/hyperlink" Target="https://doi.org/10.1016/j.bspc.2025.108976" TargetMode="External" Id="rId376"/><Relationship Type="http://schemas.openxmlformats.org/officeDocument/2006/relationships/hyperlink" Target="https://doi.org/10.1044/2026_ajslp-25-00469" TargetMode="External" Id="rId377"/><Relationship Type="http://schemas.openxmlformats.org/officeDocument/2006/relationships/hyperlink" Target="https://doi.org/10.1007/s00381-025-07119-2" TargetMode="External" Id="rId378"/><Relationship Type="http://schemas.openxmlformats.org/officeDocument/2006/relationships/hyperlink" Target="https://doi.org/10.1007/s13246-025-01681-4" TargetMode="External" Id="rId379"/><Relationship Type="http://schemas.openxmlformats.org/officeDocument/2006/relationships/hyperlink" Target="https://doi.org/10.1007/s11517-026-03530-2" TargetMode="External" Id="rId380"/><Relationship Type="http://schemas.openxmlformats.org/officeDocument/2006/relationships/hyperlink" Target="https://doi.org/10.1016/j.bbr.2026.116220" TargetMode="External" Id="rId381"/><Relationship Type="http://schemas.openxmlformats.org/officeDocument/2006/relationships/hyperlink" Target="https://doi.org/10.1016/j.eswa.2025.130671" TargetMode="External" Id="rId382"/><Relationship Type="http://schemas.openxmlformats.org/officeDocument/2006/relationships/hyperlink" Target="https://doi.org/10.1111/pcn.70065" TargetMode="External" Id="rId383"/><Relationship Type="http://schemas.openxmlformats.org/officeDocument/2006/relationships/hyperlink" Target="https://doi.org/10.1002/dneu.70028" TargetMode="External" Id="rId384"/><Relationship Type="http://schemas.openxmlformats.org/officeDocument/2006/relationships/hyperlink" Target="https://doi.org/10.1016/j.pscychresns.2025.112109" TargetMode="External" Id="rId385"/><Relationship Type="http://schemas.openxmlformats.org/officeDocument/2006/relationships/hyperlink" Target="https://doi.org/10.1002/ima.70326" TargetMode="External" Id="rId386"/><Relationship Type="http://schemas.openxmlformats.org/officeDocument/2006/relationships/hyperlink" Target="https://doi.org/10.1111/coin.70158" TargetMode="External" Id="rId387"/><Relationship Type="http://schemas.openxmlformats.org/officeDocument/2006/relationships/hyperlink" Target="https://doi.org/10.1049/cvi2.70078" TargetMode="External" Id="rId388"/><Relationship Type="http://schemas.openxmlformats.org/officeDocument/2006/relationships/hyperlink" Target="https://doi.org/10.1016/j.jpsychires.2026.05.015" TargetMode="External" Id="rId389"/><Relationship Type="http://schemas.openxmlformats.org/officeDocument/2006/relationships/hyperlink" Target="https://doi.org/10.1016/j.health.2025.100439" TargetMode="External" Id="rId390"/><Relationship Type="http://schemas.openxmlformats.org/officeDocument/2006/relationships/hyperlink" Target="https://doi.org/10.1096/fj.202600019r" TargetMode="External" Id="rId391"/><Relationship Type="http://schemas.openxmlformats.org/officeDocument/2006/relationships/hyperlink" Target="https://doi.org/10.1002/jdn.70158" TargetMode="External" Id="rId392"/><Relationship Type="http://schemas.openxmlformats.org/officeDocument/2006/relationships/hyperlink" Target="https://doi.org/10.1111/coin.70131" TargetMode="External" Id="rId393"/><Relationship Type="http://schemas.openxmlformats.org/officeDocument/2006/relationships/hyperlink" Target="https://doi.org/10.1016/j.pscychresns.2026.112251" TargetMode="External" Id="rId394"/><Relationship Type="http://schemas.openxmlformats.org/officeDocument/2006/relationships/hyperlink" Target="https://doi.org/10.1016/j.compbiomed.2025.111238" TargetMode="External" Id="rId395"/><Relationship Type="http://schemas.openxmlformats.org/officeDocument/2006/relationships/hyperlink" Target="https://doi.org/10.1002/dneu.70047" TargetMode="External" Id="rId396"/><Relationship Type="http://schemas.openxmlformats.org/officeDocument/2006/relationships/hyperlink" Target="https://doi.org/10.1002/aur.70105" TargetMode="External" Id="rId397"/><Relationship Type="http://schemas.openxmlformats.org/officeDocument/2006/relationships/hyperlink" Target="https://doi.org/10.1016/j.pscychresns.2026.112204" TargetMode="External" Id="rId398"/><Relationship Type="http://schemas.openxmlformats.org/officeDocument/2006/relationships/hyperlink" Target="https://doi.org/10.1002/aur.70179" TargetMode="External" Id="rId399"/><Relationship Type="http://schemas.openxmlformats.org/officeDocument/2006/relationships/hyperlink" Target="https://doi.org/10.1016/j.compbiomed.2026.111470" TargetMode="External" Id="rId400"/><Relationship Type="http://schemas.openxmlformats.org/officeDocument/2006/relationships/hyperlink" Target="https://doi.org/10.1016/j.pscychresns.2026.112230" TargetMode="External" Id="rId401"/><Relationship Type="http://schemas.openxmlformats.org/officeDocument/2006/relationships/hyperlink" Target="https://doi.org/10.1155/ahci/1316854" TargetMode="External" Id="rId402"/><Relationship Type="http://schemas.openxmlformats.org/officeDocument/2006/relationships/hyperlink" Target="https://doi.org/10.1016/j.procs.2026.06.483" TargetMode="External" Id="rId403"/><Relationship Type="http://schemas.openxmlformats.org/officeDocument/2006/relationships/hyperlink" Target="https://doi.org/10.1155/acis/6410913" TargetMode="External" Id="rId404"/><Relationship Type="http://schemas.openxmlformats.org/officeDocument/2006/relationships/hyperlink" Target="https://doi.org/10.1016/j.reia.2026.202826" TargetMode="External" Id="rId405"/><Relationship Type="http://schemas.openxmlformats.org/officeDocument/2006/relationships/hyperlink" Target="https://doi.org/10.1016/j.ridd.2025.105201" TargetMode="External" Id="rId406"/><Relationship Type="http://schemas.openxmlformats.org/officeDocument/2006/relationships/hyperlink" Target="https://doi.org/10.3233/shti260609" TargetMode="External" Id="rId407"/><Relationship Type="http://schemas.openxmlformats.org/officeDocument/2006/relationships/hyperlink" Target="https://doi.org/10.1002/aur.70222" TargetMode="External" Id="rId408"/><Relationship Type="http://schemas.openxmlformats.org/officeDocument/2006/relationships/hyperlink" Target="https://doi.org/10.1016/j.asoc.2026.114655" TargetMode="External" Id="rId409"/><Relationship Type="http://schemas.openxmlformats.org/officeDocument/2006/relationships/hyperlink" Target="https://doi.org/10.1155/acis/1906938" TargetMode="External" Id="rId410"/><Relationship Type="http://schemas.openxmlformats.org/officeDocument/2006/relationships/hyperlink" Target="https://doi.org/10.1016/j.bspc.2026.109655" TargetMode="External" Id="rId411"/><Relationship Type="http://schemas.openxmlformats.org/officeDocument/2006/relationships/hyperlink" Target="https://doi.org/10.1016/j.ridd.2026.105249" TargetMode="External" Id="rId412"/><Relationship Type="http://schemas.openxmlformats.org/officeDocument/2006/relationships/hyperlink" Target="https://doi.org/10.1016/j.bpsc.2025.12.013" TargetMode="External" Id="rId413"/><Relationship Type="http://schemas.openxmlformats.org/officeDocument/2006/relationships/hyperlink" Target="https://doi.org/10.1016/j.array.2026.100753" TargetMode="External" Id="rId414"/><Relationship Type="http://schemas.openxmlformats.org/officeDocument/2006/relationships/hyperlink" Target="https://doi.org/10.3791/68949" TargetMode="External" Id="rId415"/><Relationship Type="http://schemas.openxmlformats.org/officeDocument/2006/relationships/hyperlink" Target="https://doi.org/10.1177/02841851251333974" TargetMode="External" Id="rId416"/><Relationship Type="http://schemas.openxmlformats.org/officeDocument/2006/relationships/hyperlink" Target="https://doi.org/10.1002/dneu.70011" TargetMode="External" Id="rId417"/><Relationship Type="http://schemas.openxmlformats.org/officeDocument/2006/relationships/hyperlink" Target="https://doi.org/10.1002/jbio.202500138" TargetMode="External" Id="rId418"/><Relationship Type="http://schemas.openxmlformats.org/officeDocument/2006/relationships/hyperlink" Target="https://doi.org/10.3174/ajnr.a8939" TargetMode="External" Id="rId419"/><Relationship Type="http://schemas.openxmlformats.org/officeDocument/2006/relationships/hyperlink" Target="https://doi.org/10.1016/j.heares.2026.109654" TargetMode="External" Id="rId420"/><Relationship Type="http://schemas.openxmlformats.org/officeDocument/2006/relationships/hyperlink" Target="https://doi.org/10.1016/j.aej.2026.04.002" TargetMode="External" Id="rId421"/><Relationship Type="http://schemas.openxmlformats.org/officeDocument/2006/relationships/hyperlink" Target="https://doi.org/10.1007/s11604-025-01832-3" TargetMode="External" Id="rId422"/><Relationship Type="http://schemas.openxmlformats.org/officeDocument/2006/relationships/hyperlink" Target="https://doi.org/10.1016/j.pscychresns.2026.112270" TargetMode="External" Id="rId423"/><Relationship Type="http://schemas.openxmlformats.org/officeDocument/2006/relationships/hyperlink" Target="https://doi.org/10.1016/j.asoc.2026.115959" TargetMode="External" Id="rId424"/><Relationship Type="http://schemas.openxmlformats.org/officeDocument/2006/relationships/hyperlink" Target="https://doi.org/10.1016/j.array.2026.100936" TargetMode="External" Id="rId425"/><Relationship Type="http://schemas.openxmlformats.org/officeDocument/2006/relationships/hyperlink" Target="https://doi.org/10.1007/s12065-026-01162-x" TargetMode="External" Id="rId426"/><Relationship Type="http://schemas.openxmlformats.org/officeDocument/2006/relationships/hyperlink" Target="https://doi.org/10.1016/j.ibmed.2026.100421" TargetMode="External" Id="rId427"/><Relationship Type="http://schemas.openxmlformats.org/officeDocument/2006/relationships/hyperlink" Target="https://doi.org/10.1007/978-3-032-14531-4_4" TargetMode="External" Id="rId428"/><Relationship Type="http://schemas.openxmlformats.org/officeDocument/2006/relationships/hyperlink" Target="https://doi.org/10.1016/j.bspc.2026.110970" TargetMode="External" Id="rId429"/><Relationship Type="http://schemas.openxmlformats.org/officeDocument/2006/relationships/hyperlink" Target="https://doi.org/10.1038/s41380-025-03157-z" TargetMode="External" Id="rId430"/><Relationship Type="http://schemas.openxmlformats.org/officeDocument/2006/relationships/hyperlink" Target="https://doi.org/10.1007/s11571-024-10202-0" TargetMode="External" Id="rId431"/><Relationship Type="http://schemas.openxmlformats.org/officeDocument/2006/relationships/hyperlink" Target="https://doi.org/10.1007/s00787-025-02775-w" TargetMode="External" Id="rId432"/><Relationship Type="http://schemas.openxmlformats.org/officeDocument/2006/relationships/hyperlink" Target="https://doi.org/10.1007/s10495-025-02201-1" TargetMode="External" Id="rId433"/><Relationship Type="http://schemas.openxmlformats.org/officeDocument/2006/relationships/hyperlink" Target="https://doi.org/10.1007/s42454-025-00087-7" TargetMode="External" Id="rId434"/><Relationship Type="http://schemas.openxmlformats.org/officeDocument/2006/relationships/hyperlink" Target="https://doi.org/10.1007/s40846-026-01044-8" TargetMode="External" Id="rId435"/><Relationship Type="http://schemas.openxmlformats.org/officeDocument/2006/relationships/hyperlink" Target="https://doi.org/10.1016/j.health.2024.100379" TargetMode="External" Id="rId436"/><Relationship Type="http://schemas.openxmlformats.org/officeDocument/2006/relationships/hyperlink" Target="https://doi.org/10.1016/j.procs.2025.04.142" TargetMode="External" Id="rId437"/><Relationship Type="http://schemas.openxmlformats.org/officeDocument/2006/relationships/hyperlink" Target="https://doi.org/10.1016/j.nbd.2024.106763" TargetMode="External" Id="rId438"/><Relationship Type="http://schemas.openxmlformats.org/officeDocument/2006/relationships/hyperlink" Target="https://doi.org/10.1016/j.psychres.2025.116353" TargetMode="External" Id="rId439"/><Relationship Type="http://schemas.openxmlformats.org/officeDocument/2006/relationships/hyperlink" Target="https://doi.org/10.1016/j.reia.2025.202542" TargetMode="External" Id="rId440"/><Relationship Type="http://schemas.openxmlformats.org/officeDocument/2006/relationships/hyperlink" Target="https://doi.org/10.1016/j.procs.2025.04.389" TargetMode="External" Id="rId441"/><Relationship Type="http://schemas.openxmlformats.org/officeDocument/2006/relationships/hyperlink" Target="https://doi.org/10.1016/j.procs.2025.04.671" TargetMode="External" Id="rId442"/><Relationship Type="http://schemas.openxmlformats.org/officeDocument/2006/relationships/hyperlink" Target="https://doi.org/10.1016/j.procs.2025.10.018" TargetMode="External" Id="rId443"/><Relationship Type="http://schemas.openxmlformats.org/officeDocument/2006/relationships/hyperlink" Target="https://doi.org/10.1016/j.cca.2025.120238" TargetMode="External" Id="rId444"/><Relationship Type="http://schemas.openxmlformats.org/officeDocument/2006/relationships/hyperlink" Target="https://doi.org/10.1109/jbhi.2025.3622540" TargetMode="External" Id="rId445"/><Relationship Type="http://schemas.openxmlformats.org/officeDocument/2006/relationships/hyperlink" Target="https://doi.org/10.1002/jdn.70117" TargetMode="External" Id="rId446"/><Relationship Type="http://schemas.openxmlformats.org/officeDocument/2006/relationships/hyperlink" Target="https://doi.org/10.1002/dneu.23009" TargetMode="External" Id="rId447"/><Relationship Type="http://schemas.openxmlformats.org/officeDocument/2006/relationships/hyperlink" Target="https://doi.org/10.1007/s12035-026-05911-y" TargetMode="External" Id="rId448"/><Relationship Type="http://schemas.openxmlformats.org/officeDocument/2006/relationships/hyperlink" Target="https://doi.org/10.1080/17501911.2025.2557186" TargetMode="External" Id="rId449"/><Relationship Type="http://schemas.openxmlformats.org/officeDocument/2006/relationships/hyperlink" Target="https://doi.org/10.1007/s42979-026-04806-y" TargetMode="External" Id="rId450"/><Relationship Type="http://schemas.openxmlformats.org/officeDocument/2006/relationships/hyperlink" Target="https://doi.org/10.1007/s00521-025-11553-3" TargetMode="External" Id="rId451"/><Relationship Type="http://schemas.openxmlformats.org/officeDocument/2006/relationships/hyperlink" Target="https://doi.org/10.1007/s42452-026-08352-3" TargetMode="External" Id="rId452"/><Relationship Type="http://schemas.openxmlformats.org/officeDocument/2006/relationships/hyperlink" Target="https://doi.org/10.1109/tmrb.2026.3680976" TargetMode="External" Id="rId453"/><Relationship Type="http://schemas.openxmlformats.org/officeDocument/2006/relationships/hyperlink" Target="https://doi.org/10.1109/access.2026.3674057" TargetMode="External" Id="rId454"/></Relationships>
</file>

<file path=xl/worksheets/_rels/sheet15.xml.rels><Relationships xmlns="http://schemas.openxmlformats.org/package/2006/relationships"><Relationship Type="http://schemas.openxmlformats.org/officeDocument/2006/relationships/hyperlink" Target="https://doi.org/10.1109/access.2025.3586314" TargetMode="External" Id="rId1"/><Relationship Type="http://schemas.openxmlformats.org/officeDocument/2006/relationships/hyperlink" Target="https://doi.org/10.1109/access.2025.3586314" TargetMode="External" Id="rId2"/><Relationship Type="http://schemas.openxmlformats.org/officeDocument/2006/relationships/hyperlink" Target="https://doi.org/10.1109/access.2025.3586314" TargetMode="External" Id="rId3"/><Relationship Type="http://schemas.openxmlformats.org/officeDocument/2006/relationships/hyperlink" Target="https://doi.org/10.1109/access.2025.3586314" TargetMode="External" Id="rId4"/><Relationship Type="http://schemas.openxmlformats.org/officeDocument/2006/relationships/hyperlink" Target="https://doi.org/10.1109/access.2025.3586314" TargetMode="External" Id="rId5"/><Relationship Type="http://schemas.openxmlformats.org/officeDocument/2006/relationships/hyperlink" Target="https://doi.org/10.1038/tp.2015.7" TargetMode="External" Id="rId6"/><Relationship Type="http://schemas.openxmlformats.org/officeDocument/2006/relationships/hyperlink" Target="https://doi.org/10.1038/tp.2015.7" TargetMode="External" Id="rId7"/><Relationship Type="http://schemas.openxmlformats.org/officeDocument/2006/relationships/hyperlink" Target="https://doi.org/10.1038/tp.2015.7" TargetMode="External" Id="rId8"/><Relationship Type="http://schemas.openxmlformats.org/officeDocument/2006/relationships/hyperlink" Target="https://doi.org/10.1038/tp.2015.7" TargetMode="External" Id="rId9"/><Relationship Type="http://schemas.openxmlformats.org/officeDocument/2006/relationships/hyperlink" Target="https://doi.org/10.1038/tp.2015.7" TargetMode="External" Id="rId10"/><Relationship Type="http://schemas.openxmlformats.org/officeDocument/2006/relationships/hyperlink" Target="https://doi.org/10.1016/j.jprot.2023.104872" TargetMode="External" Id="rId11"/><Relationship Type="http://schemas.openxmlformats.org/officeDocument/2006/relationships/hyperlink" Target="https://doi.org/10.1016/j.jprot.2023.104872" TargetMode="External" Id="rId12"/><Relationship Type="http://schemas.openxmlformats.org/officeDocument/2006/relationships/hyperlink" Target="https://doi.org/10.1016/j.jprot.2023.104872" TargetMode="External" Id="rId13"/><Relationship Type="http://schemas.openxmlformats.org/officeDocument/2006/relationships/hyperlink" Target="https://doi.org/10.1016/j.jprot.2023.104872" TargetMode="External" Id="rId14"/><Relationship Type="http://schemas.openxmlformats.org/officeDocument/2006/relationships/hyperlink" Target="https://doi.org/10.1016/j.jprot.2023.104872" TargetMode="External" Id="rId15"/><Relationship Type="http://schemas.openxmlformats.org/officeDocument/2006/relationships/hyperlink" Target="https://doi.org/10.1016/j.jprot.2023.104872" TargetMode="External" Id="rId16"/><Relationship Type="http://schemas.openxmlformats.org/officeDocument/2006/relationships/hyperlink" Target="https://link.springer.com/chapter/10.1007/978-981-96-3942-7_18" TargetMode="External" Id="rId17"/><Relationship Type="http://schemas.openxmlformats.org/officeDocument/2006/relationships/hyperlink" Target="https://link.springer.com/chapter/10.1007/978-981-96-3942-7_18" TargetMode="External" Id="rId18"/><Relationship Type="http://schemas.openxmlformats.org/officeDocument/2006/relationships/hyperlink" Target="https://link.springer.com/chapter/10.1007/978-981-96-3942-7_18" TargetMode="External" Id="rId19"/><Relationship Type="http://schemas.openxmlformats.org/officeDocument/2006/relationships/hyperlink" Target="https://link.springer.com/chapter/10.1007/978-981-96-3942-7_18" TargetMode="External" Id="rId20"/><Relationship Type="http://schemas.openxmlformats.org/officeDocument/2006/relationships/hyperlink" Target="https://link.springer.com/chapter/10.1007/978-981-96-3942-7_18" TargetMode="External" Id="rId21"/><Relationship Type="http://schemas.openxmlformats.org/officeDocument/2006/relationships/hyperlink" Target="https://link.springer.com/chapter/10.1007/978-981-96-3942-7_18" TargetMode="External" Id="rId22"/><Relationship Type="http://schemas.openxmlformats.org/officeDocument/2006/relationships/hyperlink" Target="https://link.springer.com/chapter/10.1007/978-981-96-3942-7_18" TargetMode="External" Id="rId23"/><Relationship Type="http://schemas.openxmlformats.org/officeDocument/2006/relationships/hyperlink" Target="https://journals.plos.org/plosone/article?id=10.1371/journal.pone.0112445" TargetMode="External" Id="rId24"/><Relationship Type="http://schemas.openxmlformats.org/officeDocument/2006/relationships/hyperlink" Target="https://journals.plos.org/plosone/article?id=10.1371/journal.pone.0112445" TargetMode="External" Id="rId25"/><Relationship Type="http://schemas.openxmlformats.org/officeDocument/2006/relationships/hyperlink" Target="https://journals.plos.org/plosone/article?id=10.1371/journal.pone.0112445" TargetMode="External" Id="rId26"/><Relationship Type="http://schemas.openxmlformats.org/officeDocument/2006/relationships/hyperlink" Target="https://journals.plos.org/plosone/article?id=10.1371/journal.pone.0112445" TargetMode="External" Id="rId27"/><Relationship Type="http://schemas.openxmlformats.org/officeDocument/2006/relationships/hyperlink" Target="https://journals.plos.org/plosone/article?id=10.1371/journal.pone.0112445" TargetMode="External" Id="rId28"/><Relationship Type="http://schemas.openxmlformats.org/officeDocument/2006/relationships/hyperlink" Target="https://journals.plos.org/plosone/article?id=10.1371/journal.pone.0112445" TargetMode="External" Id="rId29"/><Relationship Type="http://schemas.openxmlformats.org/officeDocument/2006/relationships/hyperlink" Target="https://journals.plos.org/plosone/article?id=10.1371/journal.pone.0112445" TargetMode="External" Id="rId30"/><Relationship Type="http://schemas.openxmlformats.org/officeDocument/2006/relationships/hyperlink" Target="https://journals.plos.org/plosone/article?id=10.1371/journal.pone.0112445" TargetMode="External" Id="rId31"/><Relationship Type="http://schemas.openxmlformats.org/officeDocument/2006/relationships/hyperlink" Target="https://doi.org/10.1186/s13229-017-0180-6" TargetMode="External" Id="rId32"/><Relationship Type="http://schemas.openxmlformats.org/officeDocument/2006/relationships/hyperlink" Target="https://doi.org/10.1186/s13229-017-0180-6" TargetMode="External" Id="rId33"/><Relationship Type="http://schemas.openxmlformats.org/officeDocument/2006/relationships/hyperlink" Target="https://doi.org/10.1186/s13229-017-0180-6" TargetMode="External" Id="rId34"/><Relationship Type="http://schemas.openxmlformats.org/officeDocument/2006/relationships/hyperlink" Target="https://doi.org/10.1186/s13229-017-0180-6" TargetMode="External" Id="rId35"/><Relationship Type="http://schemas.openxmlformats.org/officeDocument/2006/relationships/hyperlink" Target="https://doi.org/10.1186/s13229-017-0180-6" TargetMode="External" Id="rId36"/><Relationship Type="http://schemas.openxmlformats.org/officeDocument/2006/relationships/hyperlink" Target="https://doi.org/10.1038/s41598-025-90216-8" TargetMode="External" Id="rId37"/><Relationship Type="http://schemas.openxmlformats.org/officeDocument/2006/relationships/hyperlink" Target="https://doi.org/10.1038/s41598-025-90216-8" TargetMode="External" Id="rId38"/><Relationship Type="http://schemas.openxmlformats.org/officeDocument/2006/relationships/hyperlink" Target="https://doi.org/10.1038/s41598-025-90216-8" TargetMode="External" Id="rId39"/><Relationship Type="http://schemas.openxmlformats.org/officeDocument/2006/relationships/hyperlink" Target="https://doi.org/10.1038/s41598-025-90216-8" TargetMode="External" Id="rId40"/><Relationship Type="http://schemas.openxmlformats.org/officeDocument/2006/relationships/hyperlink" Target="https://doi.org/10.1038/s41598-025-90216-8" TargetMode="External" Id="rId41"/><Relationship Type="http://schemas.openxmlformats.org/officeDocument/2006/relationships/hyperlink" Target="https://doi.org/10.1038/s41598-025-90216-8" TargetMode="External" Id="rId42"/><Relationship Type="http://schemas.openxmlformats.org/officeDocument/2006/relationships/hyperlink" Target="https://doi.org/10.1038/s41598-025-90216-8" TargetMode="External" Id="rId43"/><Relationship Type="http://schemas.openxmlformats.org/officeDocument/2006/relationships/hyperlink" Target="https://doi.org/10.1038/s41598-025-90216-8" TargetMode="External" Id="rId44"/><Relationship Type="http://schemas.openxmlformats.org/officeDocument/2006/relationships/hyperlink" Target="https://doi.org/10.1038/s41598-025-90216-8" TargetMode="External" Id="rId45"/><Relationship Type="http://schemas.openxmlformats.org/officeDocument/2006/relationships/hyperlink" Target="https://doi.org/10.3390/s24237489" TargetMode="External" Id="rId46"/><Relationship Type="http://schemas.openxmlformats.org/officeDocument/2006/relationships/hyperlink" Target="https://doi.org/10.3390/s24237489" TargetMode="External" Id="rId47"/><Relationship Type="http://schemas.openxmlformats.org/officeDocument/2006/relationships/hyperlink" Target="https://doi.org/10.3390/s24237489" TargetMode="External" Id="rId48"/><Relationship Type="http://schemas.openxmlformats.org/officeDocument/2006/relationships/hyperlink" Target="https://doi.org/10.3390/s24237489" TargetMode="External" Id="rId49"/><Relationship Type="http://schemas.openxmlformats.org/officeDocument/2006/relationships/hyperlink" Target="https://doi.org/10.3390/s24237489" TargetMode="External" Id="rId50"/><Relationship Type="http://schemas.openxmlformats.org/officeDocument/2006/relationships/hyperlink" Target="https://doi.org/10.3390/s24237489" TargetMode="External" Id="rId51"/><Relationship Type="http://schemas.openxmlformats.org/officeDocument/2006/relationships/hyperlink" Target="https://doi.org/10.3390/s24237489" TargetMode="External" Id="rId52"/><Relationship Type="http://schemas.openxmlformats.org/officeDocument/2006/relationships/hyperlink" Target="https://doi.org/10.1016/j.csl.2018.11.002" TargetMode="External" Id="rId53"/><Relationship Type="http://schemas.openxmlformats.org/officeDocument/2006/relationships/hyperlink" Target="https://doi.org/10.1016/j.csl.2018.11.002" TargetMode="External" Id="rId54"/><Relationship Type="http://schemas.openxmlformats.org/officeDocument/2006/relationships/hyperlink" Target="https://doi.org/10.1016/j.csl.2018.11.002" TargetMode="External" Id="rId55"/><Relationship Type="http://schemas.openxmlformats.org/officeDocument/2006/relationships/hyperlink" Target="https://doi.org/10.1016/j.csl.2018.11.002" TargetMode="External" Id="rId56"/><Relationship Type="http://schemas.openxmlformats.org/officeDocument/2006/relationships/hyperlink" Target="https://doi.org/10.1016/j.csl.2018.11.002" TargetMode="External" Id="rId57"/><Relationship Type="http://schemas.openxmlformats.org/officeDocument/2006/relationships/hyperlink" Target="https://doi.org/10.1016/j.csl.2018.11.002" TargetMode="External" Id="rId58"/><Relationship Type="http://schemas.openxmlformats.org/officeDocument/2006/relationships/hyperlink" Target="https://doi.org/10.1109/tai.2024.3439288" TargetMode="External" Id="rId59"/><Relationship Type="http://schemas.openxmlformats.org/officeDocument/2006/relationships/hyperlink" Target="https://doi.org/10.1109/tai.2024.3439288" TargetMode="External" Id="rId60"/><Relationship Type="http://schemas.openxmlformats.org/officeDocument/2006/relationships/hyperlink" Target="https://doi.org/10.1109/tai.2024.3439288" TargetMode="External" Id="rId61"/><Relationship Type="http://schemas.openxmlformats.org/officeDocument/2006/relationships/hyperlink" Target="https://doi.org/10.1109/tai.2024.3439288" TargetMode="External" Id="rId62"/><Relationship Type="http://schemas.openxmlformats.org/officeDocument/2006/relationships/hyperlink" Target="https://doi.org/10.1109/tai.2024.3439288" TargetMode="External" Id="rId63"/><Relationship Type="http://schemas.openxmlformats.org/officeDocument/2006/relationships/hyperlink" Target="https://doi.org/10.1109/tai.2024.3439288" TargetMode="External" Id="rId64"/><Relationship Type="http://schemas.openxmlformats.org/officeDocument/2006/relationships/hyperlink" Target="https://formative.jmir.org/2026/1/e91833/" TargetMode="External" Id="rId65"/><Relationship Type="http://schemas.openxmlformats.org/officeDocument/2006/relationships/hyperlink" Target="https://formative.jmir.org/2026/1/e91833/" TargetMode="External" Id="rId66"/><Relationship Type="http://schemas.openxmlformats.org/officeDocument/2006/relationships/hyperlink" Target="https://formative.jmir.org/2026/1/e91833/" TargetMode="External" Id="rId67"/><Relationship Type="http://schemas.openxmlformats.org/officeDocument/2006/relationships/hyperlink" Target="https://formative.jmir.org/2026/1/e91833/" TargetMode="External" Id="rId68"/><Relationship Type="http://schemas.openxmlformats.org/officeDocument/2006/relationships/hyperlink" Target="https://formative.jmir.org/2026/1/e91833/" TargetMode="External" Id="rId69"/><Relationship Type="http://schemas.openxmlformats.org/officeDocument/2006/relationships/hyperlink" Target="https://doi.org/10.1001/jamapediatrics.2019.0285" TargetMode="External" Id="rId70"/><Relationship Type="http://schemas.openxmlformats.org/officeDocument/2006/relationships/hyperlink" Target="https://doi.org/10.1001/jamapediatrics.2019.0285" TargetMode="External" Id="rId71"/><Relationship Type="http://schemas.openxmlformats.org/officeDocument/2006/relationships/hyperlink" Target="https://doi.org/10.1001/jamapediatrics.2019.0285" TargetMode="External" Id="rId72"/><Relationship Type="http://schemas.openxmlformats.org/officeDocument/2006/relationships/hyperlink" Target="https://doi.org/10.1001/jamapediatrics.2019.0285" TargetMode="External" Id="rId73"/><Relationship Type="http://schemas.openxmlformats.org/officeDocument/2006/relationships/hyperlink" Target="https://doi.org/10.1001/jamapediatrics.2019.0285" TargetMode="External" Id="rId74"/><Relationship Type="http://schemas.openxmlformats.org/officeDocument/2006/relationships/hyperlink" Target="https://doi.org/10.1001/jamapediatrics.2019.0285" TargetMode="External" Id="rId75"/><Relationship Type="http://schemas.openxmlformats.org/officeDocument/2006/relationships/hyperlink" Target="https://doi.org/10.1001/jamapediatrics.2019.0285" TargetMode="External" Id="rId76"/><Relationship Type="http://schemas.openxmlformats.org/officeDocument/2006/relationships/hyperlink" Target="https://doi.org/10.1155/2023/6330002" TargetMode="External" Id="rId77"/><Relationship Type="http://schemas.openxmlformats.org/officeDocument/2006/relationships/hyperlink" Target="https://doi.org/10.1155/2023/6330002" TargetMode="External" Id="rId78"/><Relationship Type="http://schemas.openxmlformats.org/officeDocument/2006/relationships/hyperlink" Target="https://doi.org/10.1155/2023/6330002" TargetMode="External" Id="rId79"/><Relationship Type="http://schemas.openxmlformats.org/officeDocument/2006/relationships/hyperlink" Target="https://doi.org/10.1155/2023/6330002" TargetMode="External" Id="rId80"/><Relationship Type="http://schemas.openxmlformats.org/officeDocument/2006/relationships/hyperlink" Target="https://doi.org/10.1155/2023/6330002" TargetMode="External" Id="rId81"/><Relationship Type="http://schemas.openxmlformats.org/officeDocument/2006/relationships/hyperlink" Target="https://doi.org/10.1155/2023/6330002" TargetMode="External" Id="rId82"/><Relationship Type="http://schemas.openxmlformats.org/officeDocument/2006/relationships/hyperlink" Target="https://doi.org/10.1126/scitranslmed.aag2882" TargetMode="External" Id="rId83"/><Relationship Type="http://schemas.openxmlformats.org/officeDocument/2006/relationships/hyperlink" Target="https://doi.org/10.1126/scitranslmed.aag2882" TargetMode="External" Id="rId84"/><Relationship Type="http://schemas.openxmlformats.org/officeDocument/2006/relationships/hyperlink" Target="https://doi.org/10.1126/scitranslmed.aag2882" TargetMode="External" Id="rId85"/><Relationship Type="http://schemas.openxmlformats.org/officeDocument/2006/relationships/hyperlink" Target="https://doi.org/10.1126/scitranslmed.aag2882" TargetMode="External" Id="rId86"/><Relationship Type="http://schemas.openxmlformats.org/officeDocument/2006/relationships/hyperlink" Target="https://doi.org/10.1126/scitranslmed.aag2882" TargetMode="External" Id="rId87"/><Relationship Type="http://schemas.openxmlformats.org/officeDocument/2006/relationships/hyperlink" Target="https://doi.org/10.1126/scitranslmed.aag2882" TargetMode="External" Id="rId88"/><Relationship Type="http://schemas.openxmlformats.org/officeDocument/2006/relationships/hyperlink" Target="https://doi.org/10.1126/scitranslmed.aag2882" TargetMode="External" Id="rId89"/><Relationship Type="http://schemas.openxmlformats.org/officeDocument/2006/relationships/hyperlink" Target="https://doi.org/10.1016/j.mex.2025.103278" TargetMode="External" Id="rId90"/><Relationship Type="http://schemas.openxmlformats.org/officeDocument/2006/relationships/hyperlink" Target="https://doi.org/10.1016/j.mex.2025.103278" TargetMode="External" Id="rId91"/><Relationship Type="http://schemas.openxmlformats.org/officeDocument/2006/relationships/hyperlink" Target="https://doi.org/10.1016/j.mex.2025.103278" TargetMode="External" Id="rId92"/><Relationship Type="http://schemas.openxmlformats.org/officeDocument/2006/relationships/hyperlink" Target="https://doi.org/10.1016/j.mex.2025.103278" TargetMode="External" Id="rId93"/><Relationship Type="http://schemas.openxmlformats.org/officeDocument/2006/relationships/hyperlink" Target="https://doi.org/10.1016/j.mex.2025.103278" TargetMode="External" Id="rId94"/><Relationship Type="http://schemas.openxmlformats.org/officeDocument/2006/relationships/hyperlink" Target="https://doi.org/10.1016/j.mex.2025.103278" TargetMode="External" Id="rId95"/><Relationship Type="http://schemas.openxmlformats.org/officeDocument/2006/relationships/hyperlink" Target="https://doi.org/10.1007/978-3-031-81083-1_7" TargetMode="External" Id="rId96"/><Relationship Type="http://schemas.openxmlformats.org/officeDocument/2006/relationships/hyperlink" Target="https://doi.org/10.1007/978-3-031-81083-1_7" TargetMode="External" Id="rId97"/><Relationship Type="http://schemas.openxmlformats.org/officeDocument/2006/relationships/hyperlink" Target="https://doi.org/10.1007/978-3-031-81083-1_7" TargetMode="External" Id="rId98"/><Relationship Type="http://schemas.openxmlformats.org/officeDocument/2006/relationships/hyperlink" Target="https://doi.org/10.1007/978-3-031-81083-1_7" TargetMode="External" Id="rId99"/><Relationship Type="http://schemas.openxmlformats.org/officeDocument/2006/relationships/hyperlink" Target="https://doi.org/10.1007/978-3-031-81083-1_7" TargetMode="External" Id="rId100"/><Relationship Type="http://schemas.openxmlformats.org/officeDocument/2006/relationships/hyperlink" Target="https://doi.org/10.1038/s41398-024-02802-5" TargetMode="External" Id="rId101"/><Relationship Type="http://schemas.openxmlformats.org/officeDocument/2006/relationships/hyperlink" Target="https://doi.org/10.1038/s41398-024-02802-5" TargetMode="External" Id="rId102"/><Relationship Type="http://schemas.openxmlformats.org/officeDocument/2006/relationships/hyperlink" Target="https://doi.org/10.1038/s41398-024-02802-5" TargetMode="External" Id="rId103"/><Relationship Type="http://schemas.openxmlformats.org/officeDocument/2006/relationships/hyperlink" Target="https://doi.org/10.1038/s41398-024-02802-5" TargetMode="External" Id="rId104"/><Relationship Type="http://schemas.openxmlformats.org/officeDocument/2006/relationships/hyperlink" Target="https://doi.org/10.1371/journal.pone.0090405" TargetMode="External" Id="rId105"/><Relationship Type="http://schemas.openxmlformats.org/officeDocument/2006/relationships/hyperlink" Target="https://doi.org/10.1371/journal.pone.0090405" TargetMode="External" Id="rId106"/><Relationship Type="http://schemas.openxmlformats.org/officeDocument/2006/relationships/hyperlink" Target="https://doi.org/10.1371/journal.pone.0090405" TargetMode="External" Id="rId107"/><Relationship Type="http://schemas.openxmlformats.org/officeDocument/2006/relationships/hyperlink" Target="https://doi.org/10.1371/journal.pone.0090405" TargetMode="External" Id="rId108"/><Relationship Type="http://schemas.openxmlformats.org/officeDocument/2006/relationships/hyperlink" Target="https://doi.org/10.1371/journal.pone.0090405" TargetMode="External" Id="rId109"/><Relationship Type="http://schemas.openxmlformats.org/officeDocument/2006/relationships/hyperlink" Target="https://doi.org/10.1371/journal.pone.0090405" TargetMode="External" Id="rId110"/><Relationship Type="http://schemas.openxmlformats.org/officeDocument/2006/relationships/hyperlink" Target="https://doi.org/10.1016/j.bpsc.2020.06.003" TargetMode="External" Id="rId111"/><Relationship Type="http://schemas.openxmlformats.org/officeDocument/2006/relationships/hyperlink" Target="https://doi.org/10.1016/j.bpsc.2020.06.003" TargetMode="External" Id="rId112"/><Relationship Type="http://schemas.openxmlformats.org/officeDocument/2006/relationships/hyperlink" Target="https://doi.org/10.1016/j.bpsc.2020.06.003" TargetMode="External" Id="rId113"/><Relationship Type="http://schemas.openxmlformats.org/officeDocument/2006/relationships/hyperlink" Target="https://doi.org/10.1016/j.bpsc.2020.06.003" TargetMode="External" Id="rId114"/><Relationship Type="http://schemas.openxmlformats.org/officeDocument/2006/relationships/hyperlink" Target="https://doi.org/10.1038/tp.2014.65" TargetMode="External" Id="rId115"/><Relationship Type="http://schemas.openxmlformats.org/officeDocument/2006/relationships/hyperlink" Target="https://doi.org/10.1038/tp.2014.65" TargetMode="External" Id="rId116"/><Relationship Type="http://schemas.openxmlformats.org/officeDocument/2006/relationships/hyperlink" Target="https://doi.org/10.1038/tp.2014.65" TargetMode="External" Id="rId117"/><Relationship Type="http://schemas.openxmlformats.org/officeDocument/2006/relationships/hyperlink" Target="https://doi.org/10.1038/tp.2014.65" TargetMode="External" Id="rId118"/><Relationship Type="http://schemas.openxmlformats.org/officeDocument/2006/relationships/hyperlink" Target="https://doi.org/10.1038/tp.2014.65" TargetMode="External" Id="rId119"/><Relationship Type="http://schemas.openxmlformats.org/officeDocument/2006/relationships/hyperlink" Target="https://doi.org/10.1038/tp.2014.65" TargetMode="External" Id="rId120"/><Relationship Type="http://schemas.openxmlformats.org/officeDocument/2006/relationships/hyperlink" Target="https://doi.org/10.1038/s41598-024-81652-z" TargetMode="External" Id="rId121"/><Relationship Type="http://schemas.openxmlformats.org/officeDocument/2006/relationships/hyperlink" Target="https://doi.org/10.1038/s41598-024-81652-z" TargetMode="External" Id="rId122"/><Relationship Type="http://schemas.openxmlformats.org/officeDocument/2006/relationships/hyperlink" Target="https://doi.org/10.1038/s41598-024-81652-z" TargetMode="External" Id="rId123"/><Relationship Type="http://schemas.openxmlformats.org/officeDocument/2006/relationships/hyperlink" Target="https://doi.org/10.1038/s41598-024-81652-z" TargetMode="External" Id="rId124"/><Relationship Type="http://schemas.openxmlformats.org/officeDocument/2006/relationships/hyperlink" Target="https://doi.org/10.1038/s41598-024-81652-z" TargetMode="External" Id="rId125"/><Relationship Type="http://schemas.openxmlformats.org/officeDocument/2006/relationships/hyperlink" Target="https://doi.org/10.3390/s21175822" TargetMode="External" Id="rId126"/><Relationship Type="http://schemas.openxmlformats.org/officeDocument/2006/relationships/hyperlink" Target="https://doi.org/10.3390/s21175822" TargetMode="External" Id="rId127"/><Relationship Type="http://schemas.openxmlformats.org/officeDocument/2006/relationships/hyperlink" Target="https://doi.org/10.3390/s21175822" TargetMode="External" Id="rId128"/><Relationship Type="http://schemas.openxmlformats.org/officeDocument/2006/relationships/hyperlink" Target="https://doi.org/10.3390/s21175822" TargetMode="External" Id="rId129"/><Relationship Type="http://schemas.openxmlformats.org/officeDocument/2006/relationships/hyperlink" Target="https://doi.org/10.3390/s21175822" TargetMode="External" Id="rId130"/><Relationship Type="http://schemas.openxmlformats.org/officeDocument/2006/relationships/hyperlink" Target="https://doi.org/10.3390/s21175822" TargetMode="External" Id="rId131"/><Relationship Type="http://schemas.openxmlformats.org/officeDocument/2006/relationships/hyperlink" Target="https://doi.org/10.1177/1460458218824711" TargetMode="External" Id="rId132"/><Relationship Type="http://schemas.openxmlformats.org/officeDocument/2006/relationships/hyperlink" Target="https://doi.org/10.1177/1460458218824711" TargetMode="External" Id="rId133"/><Relationship Type="http://schemas.openxmlformats.org/officeDocument/2006/relationships/hyperlink" Target="https://doi.org/10.1177/1460458218824711" TargetMode="External" Id="rId134"/><Relationship Type="http://schemas.openxmlformats.org/officeDocument/2006/relationships/hyperlink" Target="https://doi.org/10.1177/1460458218824711" TargetMode="External" Id="rId135"/><Relationship Type="http://schemas.openxmlformats.org/officeDocument/2006/relationships/hyperlink" Target="https://doi.org/10.1177/1460458218824711" TargetMode="External" Id="rId136"/><Relationship Type="http://schemas.openxmlformats.org/officeDocument/2006/relationships/hyperlink" Target="https://doi.org/10.1177/1460458218824711" TargetMode="External" Id="rId137"/><Relationship Type="http://schemas.openxmlformats.org/officeDocument/2006/relationships/hyperlink" Target="https://doi.org/10.1109/access.2021.3097606" TargetMode="External" Id="rId138"/><Relationship Type="http://schemas.openxmlformats.org/officeDocument/2006/relationships/hyperlink" Target="https://doi.org/10.1109/access.2021.3097606" TargetMode="External" Id="rId139"/><Relationship Type="http://schemas.openxmlformats.org/officeDocument/2006/relationships/hyperlink" Target="https://doi.org/10.1109/access.2021.3097606" TargetMode="External" Id="rId140"/><Relationship Type="http://schemas.openxmlformats.org/officeDocument/2006/relationships/hyperlink" Target="https://doi.org/10.1109/access.2021.3097606" TargetMode="External" Id="rId141"/><Relationship Type="http://schemas.openxmlformats.org/officeDocument/2006/relationships/hyperlink" Target="https://doi.org/10.1109/access.2021.3097606" TargetMode="External" Id="rId142"/><Relationship Type="http://schemas.openxmlformats.org/officeDocument/2006/relationships/hyperlink" Target="https://link.springer.com/chapter/10.1007/978-3-031-23683-9_12" TargetMode="External" Id="rId143"/><Relationship Type="http://schemas.openxmlformats.org/officeDocument/2006/relationships/hyperlink" Target="https://link.springer.com/chapter/10.1007/978-3-031-23683-9_12" TargetMode="External" Id="rId144"/><Relationship Type="http://schemas.openxmlformats.org/officeDocument/2006/relationships/hyperlink" Target="https://link.springer.com/chapter/10.1007/978-3-031-23683-9_12" TargetMode="External" Id="rId145"/><Relationship Type="http://schemas.openxmlformats.org/officeDocument/2006/relationships/hyperlink" Target="https://link.springer.com/chapter/10.1007/978-3-031-23683-9_12" TargetMode="External" Id="rId146"/><Relationship Type="http://schemas.openxmlformats.org/officeDocument/2006/relationships/hyperlink" Target="https://link.springer.com/chapter/10.1007/978-3-031-23683-9_12" TargetMode="External" Id="rId147"/><Relationship Type="http://schemas.openxmlformats.org/officeDocument/2006/relationships/hyperlink" Target="https://link.springer.com/chapter/10.1007/978-3-031-23683-9_12" TargetMode="External" Id="rId148"/><Relationship Type="http://schemas.openxmlformats.org/officeDocument/2006/relationships/hyperlink" Target="https://link.springer.com/chapter/10.1007/978-3-031-23683-9_12" TargetMode="External" Id="rId149"/><Relationship Type="http://schemas.openxmlformats.org/officeDocument/2006/relationships/hyperlink" Target="https://link.springer.com/chapter/10.1007/978-3-031-23683-9_12" TargetMode="External" Id="rId150"/><Relationship Type="http://schemas.openxmlformats.org/officeDocument/2006/relationships/hyperlink" Target="https://doi.org/10.1016/j.health.2025.100409" TargetMode="External" Id="rId151"/><Relationship Type="http://schemas.openxmlformats.org/officeDocument/2006/relationships/hyperlink" Target="https://doi.org/10.1016/j.health.2025.100409" TargetMode="External" Id="rId152"/><Relationship Type="http://schemas.openxmlformats.org/officeDocument/2006/relationships/hyperlink" Target="https://doi.org/10.1016/j.health.2025.100409" TargetMode="External" Id="rId153"/><Relationship Type="http://schemas.openxmlformats.org/officeDocument/2006/relationships/hyperlink" Target="https://doi.org/10.1016/j.health.2025.100409" TargetMode="External" Id="rId154"/><Relationship Type="http://schemas.openxmlformats.org/officeDocument/2006/relationships/hyperlink" Target="https://doi.org/10.1016/j.health.2025.100409" TargetMode="External" Id="rId155"/><Relationship Type="http://schemas.openxmlformats.org/officeDocument/2006/relationships/hyperlink" Target="https://doi.org/10.1016/j.health.2025.100409" TargetMode="External" Id="rId156"/><Relationship Type="http://schemas.openxmlformats.org/officeDocument/2006/relationships/hyperlink" Target="https://doi.org/10.1016/j.health.2023.100293" TargetMode="External" Id="rId157"/><Relationship Type="http://schemas.openxmlformats.org/officeDocument/2006/relationships/hyperlink" Target="https://doi.org/10.1016/j.health.2023.100293" TargetMode="External" Id="rId158"/><Relationship Type="http://schemas.openxmlformats.org/officeDocument/2006/relationships/hyperlink" Target="https://doi.org/10.1016/j.health.2023.100293" TargetMode="External" Id="rId159"/><Relationship Type="http://schemas.openxmlformats.org/officeDocument/2006/relationships/hyperlink" Target="https://doi.org/10.1016/j.health.2023.100293" TargetMode="External" Id="rId160"/><Relationship Type="http://schemas.openxmlformats.org/officeDocument/2006/relationships/hyperlink" Target="https://doi.org/10.1016/j.health.2023.100293" TargetMode="External" Id="rId161"/><Relationship Type="http://schemas.openxmlformats.org/officeDocument/2006/relationships/hyperlink" Target="https://doi.org/10.1016/j.health.2023.100293" TargetMode="External" Id="rId162"/><Relationship Type="http://schemas.openxmlformats.org/officeDocument/2006/relationships/hyperlink" Target="https://doi.org/10.1016/j.bspc.2025.107737" TargetMode="External" Id="rId163"/><Relationship Type="http://schemas.openxmlformats.org/officeDocument/2006/relationships/hyperlink" Target="https://doi.org/10.1016/j.bspc.2025.107737" TargetMode="External" Id="rId164"/><Relationship Type="http://schemas.openxmlformats.org/officeDocument/2006/relationships/hyperlink" Target="https://doi.org/10.1016/j.bspc.2025.107737" TargetMode="External" Id="rId165"/><Relationship Type="http://schemas.openxmlformats.org/officeDocument/2006/relationships/hyperlink" Target="https://doi.org/10.1016/j.bspc.2025.107737" TargetMode="External" Id="rId166"/><Relationship Type="http://schemas.openxmlformats.org/officeDocument/2006/relationships/hyperlink" Target="https://doi.org/10.1016/j.bspc.2025.107737" TargetMode="External" Id="rId167"/><Relationship Type="http://schemas.openxmlformats.org/officeDocument/2006/relationships/hyperlink" Target="https://doi.org/10.1016/j.bspc.2025.107737" TargetMode="External" Id="rId168"/><Relationship Type="http://schemas.openxmlformats.org/officeDocument/2006/relationships/hyperlink" Target="https://doi.org/10.1016/j.procs.2020.03.399" TargetMode="External" Id="rId169"/><Relationship Type="http://schemas.openxmlformats.org/officeDocument/2006/relationships/hyperlink" Target="https://doi.org/10.1016/j.procs.2020.03.399" TargetMode="External" Id="rId170"/><Relationship Type="http://schemas.openxmlformats.org/officeDocument/2006/relationships/hyperlink" Target="https://doi.org/10.1016/j.procs.2020.03.399" TargetMode="External" Id="rId171"/><Relationship Type="http://schemas.openxmlformats.org/officeDocument/2006/relationships/hyperlink" Target="https://doi.org/10.1016/j.procs.2020.03.399" TargetMode="External" Id="rId172"/><Relationship Type="http://schemas.openxmlformats.org/officeDocument/2006/relationships/hyperlink" Target="https://doi.org/10.1016/j.procs.2020.03.399" TargetMode="External" Id="rId173"/><Relationship Type="http://schemas.openxmlformats.org/officeDocument/2006/relationships/hyperlink" Target="https://doi.org/10.1016/j.gltp.2021.08.042" TargetMode="External" Id="rId174"/><Relationship Type="http://schemas.openxmlformats.org/officeDocument/2006/relationships/hyperlink" Target="https://doi.org/10.1016/j.gltp.2021.08.042" TargetMode="External" Id="rId175"/><Relationship Type="http://schemas.openxmlformats.org/officeDocument/2006/relationships/hyperlink" Target="https://doi.org/10.1016/j.gltp.2021.08.042" TargetMode="External" Id="rId176"/><Relationship Type="http://schemas.openxmlformats.org/officeDocument/2006/relationships/hyperlink" Target="https://doi.org/10.1016/j.gltp.2021.08.042" TargetMode="External" Id="rId177"/><Relationship Type="http://schemas.openxmlformats.org/officeDocument/2006/relationships/hyperlink" Target="https://doi.org/10.1016/j.gltp.2021.08.042" TargetMode="External" Id="rId178"/><Relationship Type="http://schemas.openxmlformats.org/officeDocument/2006/relationships/hyperlink" Target="https://doi.org/10.1016/j.gltp.2021.08.042" TargetMode="External" Id="rId179"/><Relationship Type="http://schemas.openxmlformats.org/officeDocument/2006/relationships/hyperlink" Target="https://doi.org/10.1016/j.compbiomed.2025.110723" TargetMode="External" Id="rId180"/><Relationship Type="http://schemas.openxmlformats.org/officeDocument/2006/relationships/hyperlink" Target="https://doi.org/10.1016/j.compbiomed.2025.110723" TargetMode="External" Id="rId181"/><Relationship Type="http://schemas.openxmlformats.org/officeDocument/2006/relationships/hyperlink" Target="https://doi.org/10.1016/j.compbiomed.2025.110723" TargetMode="External" Id="rId182"/><Relationship Type="http://schemas.openxmlformats.org/officeDocument/2006/relationships/hyperlink" Target="https://doi.org/10.1016/j.compbiomed.2025.110723" TargetMode="External" Id="rId183"/><Relationship Type="http://schemas.openxmlformats.org/officeDocument/2006/relationships/hyperlink" Target="https://doi.org/10.1016/j.compbiomed.2025.110723" TargetMode="External" Id="rId184"/><Relationship Type="http://schemas.openxmlformats.org/officeDocument/2006/relationships/hyperlink" Target="https://doi.org/10.1016/j.jbiomech.2020.110073" TargetMode="External" Id="rId185"/><Relationship Type="http://schemas.openxmlformats.org/officeDocument/2006/relationships/hyperlink" Target="https://doi.org/10.1016/j.jbiomech.2020.110073" TargetMode="External" Id="rId186"/><Relationship Type="http://schemas.openxmlformats.org/officeDocument/2006/relationships/hyperlink" Target="https://doi.org/10.1016/j.jbiomech.2020.110073" TargetMode="External" Id="rId187"/><Relationship Type="http://schemas.openxmlformats.org/officeDocument/2006/relationships/hyperlink" Target="https://doi.org/10.1016/j.jbiomech.2020.110073" TargetMode="External" Id="rId188"/><Relationship Type="http://schemas.openxmlformats.org/officeDocument/2006/relationships/hyperlink" Target="https://doi.org/10.1016/j.jbiomech.2020.110073" TargetMode="External" Id="rId189"/><Relationship Type="http://schemas.openxmlformats.org/officeDocument/2006/relationships/hyperlink" Target="https://doi.org/10.1089/brain.2017.0496" TargetMode="External" Id="rId190"/><Relationship Type="http://schemas.openxmlformats.org/officeDocument/2006/relationships/hyperlink" Target="https://doi.org/10.1089/brain.2017.0496" TargetMode="External" Id="rId191"/><Relationship Type="http://schemas.openxmlformats.org/officeDocument/2006/relationships/hyperlink" Target="https://doi.org/10.1089/brain.2017.0496" TargetMode="External" Id="rId192"/><Relationship Type="http://schemas.openxmlformats.org/officeDocument/2006/relationships/hyperlink" Target="https://doi.org/10.1089/brain.2017.0496" TargetMode="External" Id="rId193"/><Relationship Type="http://schemas.openxmlformats.org/officeDocument/2006/relationships/hyperlink" Target="https://doi.org/10.1089/brain.2017.0496" TargetMode="External" Id="rId194"/><Relationship Type="http://schemas.openxmlformats.org/officeDocument/2006/relationships/hyperlink" Target="https://doi.org/10.1089/brain.2017.0496" TargetMode="External" Id="rId195"/><Relationship Type="http://schemas.openxmlformats.org/officeDocument/2006/relationships/hyperlink" Target="https://doi.org/10.1089/brain.2017.0496" TargetMode="External" Id="rId196"/><Relationship Type="http://schemas.openxmlformats.org/officeDocument/2006/relationships/hyperlink" Target="https://doi.org/10.1089/brain.2017.0496" TargetMode="External" Id="rId197"/><Relationship Type="http://schemas.openxmlformats.org/officeDocument/2006/relationships/hyperlink" Target="https://doi.org/10.3389/fncom.2019.00009/full" TargetMode="External" Id="rId198"/><Relationship Type="http://schemas.openxmlformats.org/officeDocument/2006/relationships/hyperlink" Target="https://doi.org/10.3389/fncom.2019.00009/full" TargetMode="External" Id="rId199"/><Relationship Type="http://schemas.openxmlformats.org/officeDocument/2006/relationships/hyperlink" Target="https://doi.org/10.3389/fncom.2019.00009/full" TargetMode="External" Id="rId200"/><Relationship Type="http://schemas.openxmlformats.org/officeDocument/2006/relationships/hyperlink" Target="https://doi.org/10.3389/fncom.2019.00009/full" TargetMode="External" Id="rId201"/><Relationship Type="http://schemas.openxmlformats.org/officeDocument/2006/relationships/hyperlink" Target="https://doi.org/10.3389/fncom.2019.00009/full" TargetMode="External" Id="rId202"/><Relationship Type="http://schemas.openxmlformats.org/officeDocument/2006/relationships/hyperlink" Target="https://doi.org/10.3389/fncom.2019.00009/full" TargetMode="External" Id="rId203"/><Relationship Type="http://schemas.openxmlformats.org/officeDocument/2006/relationships/hyperlink" Target="https://doi.org/10.3389/fncom.2019.00009/full" TargetMode="External" Id="rId204"/><Relationship Type="http://schemas.openxmlformats.org/officeDocument/2006/relationships/hyperlink" Target="https://doi.org/10.1016/j.prime.2024.100602" TargetMode="External" Id="rId205"/><Relationship Type="http://schemas.openxmlformats.org/officeDocument/2006/relationships/hyperlink" Target="https://doi.org/10.1016/j.prime.2024.100602" TargetMode="External" Id="rId206"/><Relationship Type="http://schemas.openxmlformats.org/officeDocument/2006/relationships/hyperlink" Target="https://doi.org/10.1016/j.prime.2024.100602" TargetMode="External" Id="rId207"/><Relationship Type="http://schemas.openxmlformats.org/officeDocument/2006/relationships/hyperlink" Target="https://doi.org/10.1016/j.prime.2024.100602" TargetMode="External" Id="rId208"/><Relationship Type="http://schemas.openxmlformats.org/officeDocument/2006/relationships/hyperlink" Target="https://doi.org/10.1016/j.prime.2024.100602" TargetMode="External" Id="rId209"/><Relationship Type="http://schemas.openxmlformats.org/officeDocument/2006/relationships/hyperlink" Target="https://doi.org/10.1016/j.prime.2024.100602" TargetMode="External" Id="rId210"/><Relationship Type="http://schemas.openxmlformats.org/officeDocument/2006/relationships/hyperlink" Target="https://doi.org/10.32604/cmc.2023.032586" TargetMode="External" Id="rId211"/><Relationship Type="http://schemas.openxmlformats.org/officeDocument/2006/relationships/hyperlink" Target="https://doi.org/10.32604/cmc.2023.032586" TargetMode="External" Id="rId212"/><Relationship Type="http://schemas.openxmlformats.org/officeDocument/2006/relationships/hyperlink" Target="https://doi.org/10.32604/cmc.2023.032586" TargetMode="External" Id="rId213"/><Relationship Type="http://schemas.openxmlformats.org/officeDocument/2006/relationships/hyperlink" Target="https://doi.org/10.32604/cmc.2023.032586" TargetMode="External" Id="rId214"/><Relationship Type="http://schemas.openxmlformats.org/officeDocument/2006/relationships/hyperlink" Target="https://doi.org/10.32604/cmc.2023.032586" TargetMode="External" Id="rId215"/><Relationship Type="http://schemas.openxmlformats.org/officeDocument/2006/relationships/hyperlink" Target="https://doi.org/10.32604/cmc.2023.032586" TargetMode="External" Id="rId216"/><Relationship Type="http://schemas.openxmlformats.org/officeDocument/2006/relationships/hyperlink" Target="https://doi.org/10.1038/s41598-021-86320-0" TargetMode="External" Id="rId217"/><Relationship Type="http://schemas.openxmlformats.org/officeDocument/2006/relationships/hyperlink" Target="https://doi.org/10.1038/s41598-021-86320-0" TargetMode="External" Id="rId218"/><Relationship Type="http://schemas.openxmlformats.org/officeDocument/2006/relationships/hyperlink" Target="https://doi.org/10.1038/s41598-021-86320-0" TargetMode="External" Id="rId219"/><Relationship Type="http://schemas.openxmlformats.org/officeDocument/2006/relationships/hyperlink" Target="https://doi.org/10.1038/s41598-021-86320-0" TargetMode="External" Id="rId220"/><Relationship Type="http://schemas.openxmlformats.org/officeDocument/2006/relationships/hyperlink" Target="https://doi.org/10.1038/s41598-021-86320-0" TargetMode="External" Id="rId221"/><Relationship Type="http://schemas.openxmlformats.org/officeDocument/2006/relationships/hyperlink" Target="https://doi.org/10.1038/s41598-021-86320-0" TargetMode="External" Id="rId222"/><Relationship Type="http://schemas.openxmlformats.org/officeDocument/2006/relationships/hyperlink" Target="https://doi.org/10.3390/ijms24032082" TargetMode="External" Id="rId223"/><Relationship Type="http://schemas.openxmlformats.org/officeDocument/2006/relationships/hyperlink" Target="https://doi.org/10.3390/ijms24032082" TargetMode="External" Id="rId224"/><Relationship Type="http://schemas.openxmlformats.org/officeDocument/2006/relationships/hyperlink" Target="https://doi.org/10.3390/ijms24032082" TargetMode="External" Id="rId225"/><Relationship Type="http://schemas.openxmlformats.org/officeDocument/2006/relationships/hyperlink" Target="https://doi.org/10.3390/ijms24032082" TargetMode="External" Id="rId226"/><Relationship Type="http://schemas.openxmlformats.org/officeDocument/2006/relationships/hyperlink" Target="https://doi.org/10.3390/ijms24032082" TargetMode="External" Id="rId227"/><Relationship Type="http://schemas.openxmlformats.org/officeDocument/2006/relationships/hyperlink" Target="https://doi.org/10.1038/s41380-023-02051-w" TargetMode="External" Id="rId228"/><Relationship Type="http://schemas.openxmlformats.org/officeDocument/2006/relationships/hyperlink" Target="https://doi.org/10.1038/s41380-023-02051-w" TargetMode="External" Id="rId229"/><Relationship Type="http://schemas.openxmlformats.org/officeDocument/2006/relationships/hyperlink" Target="https://doi.org/10.1038/s41380-023-02051-w" TargetMode="External" Id="rId230"/><Relationship Type="http://schemas.openxmlformats.org/officeDocument/2006/relationships/hyperlink" Target="https://doi.org/10.1038/s41380-023-02051-w" TargetMode="External" Id="rId231"/><Relationship Type="http://schemas.openxmlformats.org/officeDocument/2006/relationships/hyperlink" Target="https://doi.org/10.1038/s41380-023-02051-w" TargetMode="External" Id="rId232"/><Relationship Type="http://schemas.openxmlformats.org/officeDocument/2006/relationships/hyperlink" Target="https://doi.org/10.1038/s41380-023-02051-w" TargetMode="External" Id="rId233"/><Relationship Type="http://schemas.openxmlformats.org/officeDocument/2006/relationships/hyperlink" Target="https://doi.org/10.1038/s41380-023-02051-w" TargetMode="External" Id="rId234"/><Relationship Type="http://schemas.openxmlformats.org/officeDocument/2006/relationships/hyperlink" Target="https://doi.org/10.1007/s00787-023-02189-6" TargetMode="External" Id="rId235"/><Relationship Type="http://schemas.openxmlformats.org/officeDocument/2006/relationships/hyperlink" Target="https://doi.org/10.1007/s00787-023-02189-6" TargetMode="External" Id="rId236"/><Relationship Type="http://schemas.openxmlformats.org/officeDocument/2006/relationships/hyperlink" Target="https://doi.org/10.1007/s00787-023-02189-6" TargetMode="External" Id="rId237"/><Relationship Type="http://schemas.openxmlformats.org/officeDocument/2006/relationships/hyperlink" Target="https://doi.org/10.1007/s00787-023-02189-6" TargetMode="External" Id="rId238"/><Relationship Type="http://schemas.openxmlformats.org/officeDocument/2006/relationships/hyperlink" Target="https://doi.org/10.1007/s00787-023-02189-6" TargetMode="External" Id="rId239"/><Relationship Type="http://schemas.openxmlformats.org/officeDocument/2006/relationships/hyperlink" Target="https://doi.org/10.1007/s00787-023-02189-6" TargetMode="External" Id="rId240"/><Relationship Type="http://schemas.openxmlformats.org/officeDocument/2006/relationships/hyperlink" Target="https://doi.org/10.1016/j.ridd.2024.104688" TargetMode="External" Id="rId241"/><Relationship Type="http://schemas.openxmlformats.org/officeDocument/2006/relationships/hyperlink" Target="https://doi.org/10.1016/j.ridd.2024.104688" TargetMode="External" Id="rId242"/><Relationship Type="http://schemas.openxmlformats.org/officeDocument/2006/relationships/hyperlink" Target="https://doi.org/10.1016/j.ridd.2024.104688" TargetMode="External" Id="rId243"/><Relationship Type="http://schemas.openxmlformats.org/officeDocument/2006/relationships/hyperlink" Target="https://doi.org/10.1016/j.ridd.2024.104688" TargetMode="External" Id="rId244"/><Relationship Type="http://schemas.openxmlformats.org/officeDocument/2006/relationships/hyperlink" Target="https://doi.org/10.1016/j.ridd.2024.104688" TargetMode="External" Id="rId245"/><Relationship Type="http://schemas.openxmlformats.org/officeDocument/2006/relationships/hyperlink" Target="https://doi.org/10.1016/j.ridd.2024.104688" TargetMode="External" Id="rId246"/><Relationship Type="http://schemas.openxmlformats.org/officeDocument/2006/relationships/hyperlink" Target="https://doi.org/10.1016/j.ridd.2024.104688" TargetMode="External" Id="rId247"/><Relationship Type="http://schemas.openxmlformats.org/officeDocument/2006/relationships/hyperlink" Target="https://doi.org/10.1093/cercor/bhaf022" TargetMode="External" Id="rId248"/><Relationship Type="http://schemas.openxmlformats.org/officeDocument/2006/relationships/hyperlink" Target="https://doi.org/10.1093/cercor/bhaf022" TargetMode="External" Id="rId249"/><Relationship Type="http://schemas.openxmlformats.org/officeDocument/2006/relationships/hyperlink" Target="https://doi.org/10.1093/cercor/bhaf022" TargetMode="External" Id="rId250"/><Relationship Type="http://schemas.openxmlformats.org/officeDocument/2006/relationships/hyperlink" Target="https://doi.org/10.1093/cercor/bhaf022" TargetMode="External" Id="rId251"/><Relationship Type="http://schemas.openxmlformats.org/officeDocument/2006/relationships/hyperlink" Target="https://doi.org/10.1093/cercor/bhaf022" TargetMode="External" Id="rId252"/><Relationship Type="http://schemas.openxmlformats.org/officeDocument/2006/relationships/hyperlink" Target="https://doi.org/10.1093/cercor/bhaf022" TargetMode="External" Id="rId253"/><Relationship Type="http://schemas.openxmlformats.org/officeDocument/2006/relationships/hyperlink" Target="https://doi.org/10.1093/cercor/bhaf022" TargetMode="External" Id="rId254"/><Relationship Type="http://schemas.openxmlformats.org/officeDocument/2006/relationships/hyperlink" Target="https://doi.org/10.1055/s-0039-1685525" TargetMode="External" Id="rId255"/><Relationship Type="http://schemas.openxmlformats.org/officeDocument/2006/relationships/hyperlink" Target="https://doi.org/10.1055/s-0039-1685525" TargetMode="External" Id="rId256"/><Relationship Type="http://schemas.openxmlformats.org/officeDocument/2006/relationships/hyperlink" Target="https://doi.org/10.1055/s-0039-1685525" TargetMode="External" Id="rId257"/><Relationship Type="http://schemas.openxmlformats.org/officeDocument/2006/relationships/hyperlink" Target="https://doi.org/10.1055/s-0039-1685525" TargetMode="External" Id="rId258"/><Relationship Type="http://schemas.openxmlformats.org/officeDocument/2006/relationships/hyperlink" Target="https://doi.org/10.1055/s-0039-1685525" TargetMode="External" Id="rId259"/><Relationship Type="http://schemas.openxmlformats.org/officeDocument/2006/relationships/hyperlink" Target="https://doi.org/10.1371/journal.pone.0206351" TargetMode="External" Id="rId260"/><Relationship Type="http://schemas.openxmlformats.org/officeDocument/2006/relationships/hyperlink" Target="https://doi.org/10.1371/journal.pone.0206351" TargetMode="External" Id="rId261"/><Relationship Type="http://schemas.openxmlformats.org/officeDocument/2006/relationships/hyperlink" Target="https://doi.org/10.1371/journal.pone.0206351" TargetMode="External" Id="rId262"/><Relationship Type="http://schemas.openxmlformats.org/officeDocument/2006/relationships/hyperlink" Target="https://doi.org/10.1371/journal.pone.0206351" TargetMode="External" Id="rId263"/><Relationship Type="http://schemas.openxmlformats.org/officeDocument/2006/relationships/hyperlink" Target="https://doi.org/10.1371/journal.pone.0206351" TargetMode="External" Id="rId264"/><Relationship Type="http://schemas.openxmlformats.org/officeDocument/2006/relationships/hyperlink" Target="https://doi.org/10.1371/journal.pone.0206351" TargetMode="External" Id="rId265"/><Relationship Type="http://schemas.openxmlformats.org/officeDocument/2006/relationships/hyperlink" Target="https://doi.org/10.1007/978-3-031-48642-5_7" TargetMode="External" Id="rId266"/><Relationship Type="http://schemas.openxmlformats.org/officeDocument/2006/relationships/hyperlink" Target="https://doi.org/10.1007/978-3-031-48642-5_7" TargetMode="External" Id="rId267"/><Relationship Type="http://schemas.openxmlformats.org/officeDocument/2006/relationships/hyperlink" Target="https://doi.org/10.1007/978-3-031-48642-5_7" TargetMode="External" Id="rId268"/><Relationship Type="http://schemas.openxmlformats.org/officeDocument/2006/relationships/hyperlink" Target="https://doi.org/10.1007/978-3-031-48642-5_7" TargetMode="External" Id="rId269"/><Relationship Type="http://schemas.openxmlformats.org/officeDocument/2006/relationships/hyperlink" Target="https://doi.org/10.1007/978-3-031-48642-5_7" TargetMode="External" Id="rId270"/><Relationship Type="http://schemas.openxmlformats.org/officeDocument/2006/relationships/hyperlink" Target="https://doi.org/10.1007/978-3-031-48642-5_7" TargetMode="External" Id="rId271"/><Relationship Type="http://schemas.openxmlformats.org/officeDocument/2006/relationships/hyperlink" Target="https://doi.org/10.1007/s13755-024-00299-2" TargetMode="External" Id="rId272"/><Relationship Type="http://schemas.openxmlformats.org/officeDocument/2006/relationships/hyperlink" Target="https://doi.org/10.1007/s13755-024-00299-2" TargetMode="External" Id="rId273"/><Relationship Type="http://schemas.openxmlformats.org/officeDocument/2006/relationships/hyperlink" Target="https://doi.org/10.1007/s13755-024-00299-2" TargetMode="External" Id="rId274"/><Relationship Type="http://schemas.openxmlformats.org/officeDocument/2006/relationships/hyperlink" Target="https://doi.org/10.1007/s13755-024-00299-2" TargetMode="External" Id="rId275"/><Relationship Type="http://schemas.openxmlformats.org/officeDocument/2006/relationships/hyperlink" Target="https://doi.org/10.1007/s13755-024-00299-2" TargetMode="External" Id="rId276"/><Relationship Type="http://schemas.openxmlformats.org/officeDocument/2006/relationships/hyperlink" Target="https://doi.org/10.1007/s13755-024-00299-2" TargetMode="External" Id="rId277"/><Relationship Type="http://schemas.openxmlformats.org/officeDocument/2006/relationships/hyperlink" Target="https://doi.org/10.1007/s13755-024-00299-2" TargetMode="External" Id="rId278"/><Relationship Type="http://schemas.openxmlformats.org/officeDocument/2006/relationships/hyperlink" Target="https://extradoc.univ-nantes.fr/pluginfile.php/412199/mod_folder/content/0/article%20Bonnot-Vrait-Carasco-Rabeyron....pdf" TargetMode="External" Id="rId279"/><Relationship Type="http://schemas.openxmlformats.org/officeDocument/2006/relationships/hyperlink" Target="https://extradoc.univ-nantes.fr/pluginfile.php/412199/mod_folder/content/0/article%20Bonnot-Vrait-Carasco-Rabeyron....pdf" TargetMode="External" Id="rId280"/><Relationship Type="http://schemas.openxmlformats.org/officeDocument/2006/relationships/hyperlink" Target="https://extradoc.univ-nantes.fr/pluginfile.php/412199/mod_folder/content/0/article%20Bonnot-Vrait-Carasco-Rabeyron....pdf" TargetMode="External" Id="rId281"/><Relationship Type="http://schemas.openxmlformats.org/officeDocument/2006/relationships/hyperlink" Target="https://extradoc.univ-nantes.fr/pluginfile.php/412199/mod_folder/content/0/article%20Bonnot-Vrait-Carasco-Rabeyron....pdf" TargetMode="External" Id="rId282"/><Relationship Type="http://schemas.openxmlformats.org/officeDocument/2006/relationships/hyperlink" Target="https://extradoc.univ-nantes.fr/pluginfile.php/412199/mod_folder/content/0/article%20Bonnot-Vrait-Carasco-Rabeyron....pdf" TargetMode="External" Id="rId283"/><Relationship Type="http://schemas.openxmlformats.org/officeDocument/2006/relationships/hyperlink" Target="https://extradoc.univ-nantes.fr/pluginfile.php/412199/mod_folder/content/0/article%20Bonnot-Vrait-Carasco-Rabeyron....pdf" TargetMode="External" Id="rId284"/><Relationship Type="http://schemas.openxmlformats.org/officeDocument/2006/relationships/hyperlink" Target="https://extradoc.univ-nantes.fr/pluginfile.php/412199/mod_folder/content/0/article%20Bonnot-Vrait-Carasco-Rabeyron....pdf" TargetMode="External" Id="rId285"/><Relationship Type="http://schemas.openxmlformats.org/officeDocument/2006/relationships/hyperlink" Target="https://doi.org/10.1007/978-3-030-93049-3_30" TargetMode="External" Id="rId286"/><Relationship Type="http://schemas.openxmlformats.org/officeDocument/2006/relationships/hyperlink" Target="https://doi.org/10.1007/978-3-030-93049-3_30" TargetMode="External" Id="rId287"/><Relationship Type="http://schemas.openxmlformats.org/officeDocument/2006/relationships/hyperlink" Target="https://doi.org/10.1007/978-3-030-93049-3_30" TargetMode="External" Id="rId288"/><Relationship Type="http://schemas.openxmlformats.org/officeDocument/2006/relationships/hyperlink" Target="https://doi.org/10.1007/978-3-030-93049-3_30" TargetMode="External" Id="rId289"/><Relationship Type="http://schemas.openxmlformats.org/officeDocument/2006/relationships/hyperlink" Target="https://doi.org/10.1007/978-3-030-93049-3_30" TargetMode="External" Id="rId290"/><Relationship Type="http://schemas.openxmlformats.org/officeDocument/2006/relationships/hyperlink" Target="https://doi.org/10.1007/s12539-024-00651-w" TargetMode="External" Id="rId291"/><Relationship Type="http://schemas.openxmlformats.org/officeDocument/2006/relationships/hyperlink" Target="https://doi.org/10.1007/s12539-024-00651-w" TargetMode="External" Id="rId292"/><Relationship Type="http://schemas.openxmlformats.org/officeDocument/2006/relationships/hyperlink" Target="https://doi.org/10.1007/s12539-024-00651-w" TargetMode="External" Id="rId293"/><Relationship Type="http://schemas.openxmlformats.org/officeDocument/2006/relationships/hyperlink" Target="https://doi.org/10.1007/s12539-024-00651-w" TargetMode="External" Id="rId294"/><Relationship Type="http://schemas.openxmlformats.org/officeDocument/2006/relationships/hyperlink" Target="https://doi.org/10.1007/s12539-024-00651-w" TargetMode="External" Id="rId295"/><Relationship Type="http://schemas.openxmlformats.org/officeDocument/2006/relationships/hyperlink" Target="https://doi.org/10.1007/s12539-024-00651-w" TargetMode="External" Id="rId296"/><Relationship Type="http://schemas.openxmlformats.org/officeDocument/2006/relationships/hyperlink" Target="https://doi.org/10.1177/09544119221141751" TargetMode="External" Id="rId297"/><Relationship Type="http://schemas.openxmlformats.org/officeDocument/2006/relationships/hyperlink" Target="https://doi.org/10.1177/09544119221141751" TargetMode="External" Id="rId298"/><Relationship Type="http://schemas.openxmlformats.org/officeDocument/2006/relationships/hyperlink" Target="https://doi.org/10.1177/09544119221141751" TargetMode="External" Id="rId299"/><Relationship Type="http://schemas.openxmlformats.org/officeDocument/2006/relationships/hyperlink" Target="https://doi.org/10.1177/09544119221141751" TargetMode="External" Id="rId300"/><Relationship Type="http://schemas.openxmlformats.org/officeDocument/2006/relationships/hyperlink" Target="https://doi.org/10.1002/aur.2912" TargetMode="External" Id="rId301"/><Relationship Type="http://schemas.openxmlformats.org/officeDocument/2006/relationships/hyperlink" Target="https://doi.org/10.1002/aur.2912" TargetMode="External" Id="rId302"/><Relationship Type="http://schemas.openxmlformats.org/officeDocument/2006/relationships/hyperlink" Target="https://doi.org/10.1002/aur.2912" TargetMode="External" Id="rId303"/><Relationship Type="http://schemas.openxmlformats.org/officeDocument/2006/relationships/hyperlink" Target="https://doi.org/10.1002/aur.2912" TargetMode="External" Id="rId304"/><Relationship Type="http://schemas.openxmlformats.org/officeDocument/2006/relationships/hyperlink" Target="https://doi.org/10.1002/aur.2912" TargetMode="External" Id="rId305"/><Relationship Type="http://schemas.openxmlformats.org/officeDocument/2006/relationships/hyperlink" Target="https://doi.org/10.1002/aur.2912" TargetMode="External" Id="rId306"/><Relationship Type="http://schemas.openxmlformats.org/officeDocument/2006/relationships/hyperlink" Target="https://doi.org/10.1002/aur.2912" TargetMode="External" Id="rId307"/><Relationship Type="http://schemas.openxmlformats.org/officeDocument/2006/relationships/hyperlink" Target="https://doi.org/10.1016/j.nicl.2015.04.002" TargetMode="External" Id="rId308"/><Relationship Type="http://schemas.openxmlformats.org/officeDocument/2006/relationships/hyperlink" Target="https://doi.org/10.1016/j.nicl.2015.04.002" TargetMode="External" Id="rId309"/><Relationship Type="http://schemas.openxmlformats.org/officeDocument/2006/relationships/hyperlink" Target="https://doi.org/10.1016/j.nicl.2015.04.002" TargetMode="External" Id="rId310"/><Relationship Type="http://schemas.openxmlformats.org/officeDocument/2006/relationships/hyperlink" Target="https://doi.org/10.1016/j.nicl.2015.04.002" TargetMode="External" Id="rId311"/><Relationship Type="http://schemas.openxmlformats.org/officeDocument/2006/relationships/hyperlink" Target="https://doi.org/10.1016/j.nicl.2015.04.002" TargetMode="External" Id="rId312"/><Relationship Type="http://schemas.openxmlformats.org/officeDocument/2006/relationships/hyperlink" Target="https://doi.org/10.1016/j.nicl.2015.04.002" TargetMode="External" Id="rId313"/><Relationship Type="http://schemas.openxmlformats.org/officeDocument/2006/relationships/hyperlink" Target="https://doi.org/10.1038/s41380-022-01917-9" TargetMode="External" Id="rId314"/><Relationship Type="http://schemas.openxmlformats.org/officeDocument/2006/relationships/hyperlink" Target="https://doi.org/10.1038/s41380-022-01917-9" TargetMode="External" Id="rId315"/><Relationship Type="http://schemas.openxmlformats.org/officeDocument/2006/relationships/hyperlink" Target="https://doi.org/10.1038/s41380-022-01917-9" TargetMode="External" Id="rId316"/><Relationship Type="http://schemas.openxmlformats.org/officeDocument/2006/relationships/hyperlink" Target="https://doi.org/10.1038/s41380-022-01917-9" TargetMode="External" Id="rId317"/><Relationship Type="http://schemas.openxmlformats.org/officeDocument/2006/relationships/hyperlink" Target="https://doi.org/10.1038/s41380-022-01917-9" TargetMode="External" Id="rId318"/><Relationship Type="http://schemas.openxmlformats.org/officeDocument/2006/relationships/hyperlink" Target="https://doi.org/10.1038/s41380-022-01917-9" TargetMode="External" Id="rId319"/><Relationship Type="http://schemas.openxmlformats.org/officeDocument/2006/relationships/hyperlink" Target="https://doi.org/10.1038/s41380-022-01917-9" TargetMode="External" Id="rId320"/><Relationship Type="http://schemas.openxmlformats.org/officeDocument/2006/relationships/hyperlink" Target="https://doi.org/10.1038/s41380-022-01917-9" TargetMode="External" Id="rId321"/><Relationship Type="http://schemas.openxmlformats.org/officeDocument/2006/relationships/hyperlink" Target="https://doi.org/10.1007/s00521-024-09905-6" TargetMode="External" Id="rId322"/><Relationship Type="http://schemas.openxmlformats.org/officeDocument/2006/relationships/hyperlink" Target="https://doi.org/10.1007/s00521-024-09905-6" TargetMode="External" Id="rId323"/><Relationship Type="http://schemas.openxmlformats.org/officeDocument/2006/relationships/hyperlink" Target="https://doi.org/10.1007/s00521-024-09905-6" TargetMode="External" Id="rId324"/><Relationship Type="http://schemas.openxmlformats.org/officeDocument/2006/relationships/hyperlink" Target="https://doi.org/10.1007/s00521-024-09905-6" TargetMode="External" Id="rId325"/><Relationship Type="http://schemas.openxmlformats.org/officeDocument/2006/relationships/hyperlink" Target="https://doi.org/10.1007/s00521-024-09905-6" TargetMode="External" Id="rId326"/><Relationship Type="http://schemas.openxmlformats.org/officeDocument/2006/relationships/hyperlink" Target="https://doi.org/10.1007/978-3-030-88163-4_7" TargetMode="External" Id="rId327"/><Relationship Type="http://schemas.openxmlformats.org/officeDocument/2006/relationships/hyperlink" Target="https://doi.org/10.1007/978-3-030-88163-4_7" TargetMode="External" Id="rId328"/><Relationship Type="http://schemas.openxmlformats.org/officeDocument/2006/relationships/hyperlink" Target="https://doi.org/10.1007/978-3-030-88163-4_7" TargetMode="External" Id="rId329"/><Relationship Type="http://schemas.openxmlformats.org/officeDocument/2006/relationships/hyperlink" Target="https://doi.org/10.1007/978-3-030-88163-4_7" TargetMode="External" Id="rId330"/><Relationship Type="http://schemas.openxmlformats.org/officeDocument/2006/relationships/hyperlink" Target="https://doi.org/10.1007/978-3-030-88163-4_7" TargetMode="External" Id="rId331"/><Relationship Type="http://schemas.openxmlformats.org/officeDocument/2006/relationships/hyperlink" Target="https://doi.org/10.1007/978-3-030-88163-4_7" TargetMode="External" Id="rId332"/><Relationship Type="http://schemas.openxmlformats.org/officeDocument/2006/relationships/hyperlink" Target="https://doi.org/10.1089/brain.2019.0689" TargetMode="External" Id="rId333"/><Relationship Type="http://schemas.openxmlformats.org/officeDocument/2006/relationships/hyperlink" Target="https://doi.org/10.1089/brain.2019.0689" TargetMode="External" Id="rId334"/><Relationship Type="http://schemas.openxmlformats.org/officeDocument/2006/relationships/hyperlink" Target="https://doi.org/10.1089/brain.2019.0689" TargetMode="External" Id="rId335"/><Relationship Type="http://schemas.openxmlformats.org/officeDocument/2006/relationships/hyperlink" Target="https://doi.org/10.1089/brain.2019.0689" TargetMode="External" Id="rId336"/><Relationship Type="http://schemas.openxmlformats.org/officeDocument/2006/relationships/hyperlink" Target="https://doi.org/10.1089/brain.2019.0689" TargetMode="External" Id="rId337"/><Relationship Type="http://schemas.openxmlformats.org/officeDocument/2006/relationships/hyperlink" Target="https://doi.org/10.1089/brain.2019.0689" TargetMode="External" Id="rId338"/><Relationship Type="http://schemas.openxmlformats.org/officeDocument/2006/relationships/hyperlink" Target="https://doi.org/10.1016/j.eurpsy.2017.02.198" TargetMode="External" Id="rId339"/><Relationship Type="http://schemas.openxmlformats.org/officeDocument/2006/relationships/hyperlink" Target="https://doi.org/10.1016/j.eurpsy.2017.02.198" TargetMode="External" Id="rId340"/><Relationship Type="http://schemas.openxmlformats.org/officeDocument/2006/relationships/hyperlink" Target="https://doi.org/10.1016/j.eurpsy.2017.02.198" TargetMode="External" Id="rId341"/><Relationship Type="http://schemas.openxmlformats.org/officeDocument/2006/relationships/hyperlink" Target="https://doi.org/10.1016/j.eurpsy.2017.02.198" TargetMode="External" Id="rId342"/><Relationship Type="http://schemas.openxmlformats.org/officeDocument/2006/relationships/hyperlink" Target="https://doi.org/10.1016/j.eurpsy.2017.02.198" TargetMode="External" Id="rId343"/><Relationship Type="http://schemas.openxmlformats.org/officeDocument/2006/relationships/hyperlink" Target="https://doi.org/10.1016/j.eurpsy.2017.02.198" TargetMode="External" Id="rId344"/><Relationship Type="http://schemas.openxmlformats.org/officeDocument/2006/relationships/hyperlink" Target="https://doi.org/10.1016/j.eurpsy.2017.02.198" TargetMode="External" Id="rId345"/><Relationship Type="http://schemas.openxmlformats.org/officeDocument/2006/relationships/hyperlink" Target="https://doi.org/10.1007/s12539-022-00510-6" TargetMode="External" Id="rId346"/><Relationship Type="http://schemas.openxmlformats.org/officeDocument/2006/relationships/hyperlink" Target="https://doi.org/10.1007/s12539-022-00510-6" TargetMode="External" Id="rId347"/><Relationship Type="http://schemas.openxmlformats.org/officeDocument/2006/relationships/hyperlink" Target="https://doi.org/10.1007/s12539-022-00510-6" TargetMode="External" Id="rId348"/><Relationship Type="http://schemas.openxmlformats.org/officeDocument/2006/relationships/hyperlink" Target="https://doi.org/10.1007/s12539-022-00510-6" TargetMode="External" Id="rId349"/><Relationship Type="http://schemas.openxmlformats.org/officeDocument/2006/relationships/hyperlink" Target="https://doi.org/10.1007/s12539-022-00510-6" TargetMode="External" Id="rId350"/><Relationship Type="http://schemas.openxmlformats.org/officeDocument/2006/relationships/hyperlink" Target="https://doi.org/10.1007/s12539-022-00510-6" TargetMode="External" Id="rId351"/><Relationship Type="http://schemas.openxmlformats.org/officeDocument/2006/relationships/hyperlink" Target="https://doi.org/10.1007/s12539-022-00510-6" TargetMode="External" Id="rId352"/><Relationship Type="http://schemas.openxmlformats.org/officeDocument/2006/relationships/hyperlink" Target="https://doi.org/10.1007/s12539-022-00510-6" TargetMode="External" Id="rId353"/><Relationship Type="http://schemas.openxmlformats.org/officeDocument/2006/relationships/hyperlink" Target="https://doi.org/10.1016/j.eurpsy.2016.01.060" TargetMode="External" Id="rId354"/><Relationship Type="http://schemas.openxmlformats.org/officeDocument/2006/relationships/hyperlink" Target="https://doi.org/10.1016/j.eurpsy.2016.01.060" TargetMode="External" Id="rId355"/><Relationship Type="http://schemas.openxmlformats.org/officeDocument/2006/relationships/hyperlink" Target="https://doi.org/10.1016/j.eurpsy.2016.01.060" TargetMode="External" Id="rId356"/><Relationship Type="http://schemas.openxmlformats.org/officeDocument/2006/relationships/hyperlink" Target="https://doi.org/10.1016/j.eurpsy.2016.01.060" TargetMode="External" Id="rId357"/><Relationship Type="http://schemas.openxmlformats.org/officeDocument/2006/relationships/hyperlink" Target="https://doi.org/10.1016/j.eurpsy.2016.01.060" TargetMode="External" Id="rId358"/><Relationship Type="http://schemas.openxmlformats.org/officeDocument/2006/relationships/hyperlink" Target="https://doi.org/10.1016/j.eurpsy.2016.01.060" TargetMode="External" Id="rId359"/><Relationship Type="http://schemas.openxmlformats.org/officeDocument/2006/relationships/hyperlink" Target="https://doi.org/10.1016/j.eurpsy.2016.01.060" TargetMode="External" Id="rId360"/><Relationship Type="http://schemas.openxmlformats.org/officeDocument/2006/relationships/hyperlink" Target="https://doi.org/10.1109/tnsre.2024.3516216" TargetMode="External" Id="rId361"/><Relationship Type="http://schemas.openxmlformats.org/officeDocument/2006/relationships/hyperlink" Target="https://doi.org/10.1109/tnsre.2024.3516216" TargetMode="External" Id="rId362"/><Relationship Type="http://schemas.openxmlformats.org/officeDocument/2006/relationships/hyperlink" Target="https://doi.org/10.1109/tnsre.2024.3516216" TargetMode="External" Id="rId363"/><Relationship Type="http://schemas.openxmlformats.org/officeDocument/2006/relationships/hyperlink" Target="https://doi.org/10.1109/tnsre.2024.3516216" TargetMode="External" Id="rId364"/><Relationship Type="http://schemas.openxmlformats.org/officeDocument/2006/relationships/hyperlink" Target="https://doi.org/10.1109/tnsre.2024.3516216" TargetMode="External" Id="rId365"/><Relationship Type="http://schemas.openxmlformats.org/officeDocument/2006/relationships/hyperlink" Target="https://doi.org/10.1016/j.mex.2025.103166" TargetMode="External" Id="rId366"/><Relationship Type="http://schemas.openxmlformats.org/officeDocument/2006/relationships/hyperlink" Target="https://doi.org/10.1016/j.mex.2025.103166" TargetMode="External" Id="rId367"/><Relationship Type="http://schemas.openxmlformats.org/officeDocument/2006/relationships/hyperlink" Target="https://doi.org/10.1016/j.mex.2025.103166" TargetMode="External" Id="rId368"/><Relationship Type="http://schemas.openxmlformats.org/officeDocument/2006/relationships/hyperlink" Target="https://doi.org/10.1016/j.mex.2025.103166" TargetMode="External" Id="rId369"/><Relationship Type="http://schemas.openxmlformats.org/officeDocument/2006/relationships/hyperlink" Target="https://doi.org/10.1016/j.mex.2025.103166" TargetMode="External" Id="rId370"/><Relationship Type="http://schemas.openxmlformats.org/officeDocument/2006/relationships/hyperlink" Target="https://doi.org/10.1016/j.phycom.2020.101115" TargetMode="External" Id="rId371"/><Relationship Type="http://schemas.openxmlformats.org/officeDocument/2006/relationships/hyperlink" Target="https://doi.org/10.1016/j.phycom.2020.101115" TargetMode="External" Id="rId372"/><Relationship Type="http://schemas.openxmlformats.org/officeDocument/2006/relationships/hyperlink" Target="https://doi.org/10.1016/j.phycom.2020.101115" TargetMode="External" Id="rId373"/><Relationship Type="http://schemas.openxmlformats.org/officeDocument/2006/relationships/hyperlink" Target="https://doi.org/10.1016/j.phycom.2020.101115" TargetMode="External" Id="rId374"/><Relationship Type="http://schemas.openxmlformats.org/officeDocument/2006/relationships/hyperlink" Target="https://doi.org/10.1016/j.phycom.2020.101115" TargetMode="External" Id="rId375"/><Relationship Type="http://schemas.openxmlformats.org/officeDocument/2006/relationships/hyperlink" Target="https://doi.org/10.1007/s10803-023-06171-8" TargetMode="External" Id="rId376"/><Relationship Type="http://schemas.openxmlformats.org/officeDocument/2006/relationships/hyperlink" Target="https://doi.org/10.1007/s10803-023-06171-8" TargetMode="External" Id="rId377"/><Relationship Type="http://schemas.openxmlformats.org/officeDocument/2006/relationships/hyperlink" Target="https://doi.org/10.1007/s10803-023-06171-8" TargetMode="External" Id="rId378"/><Relationship Type="http://schemas.openxmlformats.org/officeDocument/2006/relationships/hyperlink" Target="https://doi.org/10.1007/s10803-023-06171-8" TargetMode="External" Id="rId379"/><Relationship Type="http://schemas.openxmlformats.org/officeDocument/2006/relationships/hyperlink" Target="https://doi.org/10.1007/s10803-023-06171-8" TargetMode="External" Id="rId380"/><Relationship Type="http://schemas.openxmlformats.org/officeDocument/2006/relationships/hyperlink" Target="https://doi.org/10.1007/s10803-023-06171-8" TargetMode="External" Id="rId381"/><Relationship Type="http://schemas.openxmlformats.org/officeDocument/2006/relationships/hyperlink" Target="https://doi.org/10.3390/s18103533" TargetMode="External" Id="rId382"/><Relationship Type="http://schemas.openxmlformats.org/officeDocument/2006/relationships/hyperlink" Target="https://doi.org/10.3390/s18103533" TargetMode="External" Id="rId383"/><Relationship Type="http://schemas.openxmlformats.org/officeDocument/2006/relationships/hyperlink" Target="https://doi.org/10.3390/s18103533" TargetMode="External" Id="rId384"/><Relationship Type="http://schemas.openxmlformats.org/officeDocument/2006/relationships/hyperlink" Target="https://doi.org/10.3390/s18103533" TargetMode="External" Id="rId385"/><Relationship Type="http://schemas.openxmlformats.org/officeDocument/2006/relationships/hyperlink" Target="https://doi.org/10.3390/s18103533" TargetMode="External" Id="rId386"/><Relationship Type="http://schemas.openxmlformats.org/officeDocument/2006/relationships/hyperlink" Target="https://doi.org/10.3390/s18103533" TargetMode="External" Id="rId387"/><Relationship Type="http://schemas.openxmlformats.org/officeDocument/2006/relationships/hyperlink" Target="https://doi.org/10.1002/aur.1735" TargetMode="External" Id="rId388"/><Relationship Type="http://schemas.openxmlformats.org/officeDocument/2006/relationships/hyperlink" Target="https://doi.org/10.1002/aur.1735" TargetMode="External" Id="rId389"/><Relationship Type="http://schemas.openxmlformats.org/officeDocument/2006/relationships/hyperlink" Target="https://doi.org/10.1002/aur.1735" TargetMode="External" Id="rId390"/><Relationship Type="http://schemas.openxmlformats.org/officeDocument/2006/relationships/hyperlink" Target="https://doi.org/10.1002/aur.1735" TargetMode="External" Id="rId391"/><Relationship Type="http://schemas.openxmlformats.org/officeDocument/2006/relationships/hyperlink" Target="https://doi.org/10.1002/aur.1735" TargetMode="External" Id="rId392"/><Relationship Type="http://schemas.openxmlformats.org/officeDocument/2006/relationships/hyperlink" Target="https://doi.org/10.1002/aur.1735" TargetMode="External" Id="rId393"/><Relationship Type="http://schemas.openxmlformats.org/officeDocument/2006/relationships/hyperlink" Target="https://doi.org/10.1109/tnsre.2023.3347134" TargetMode="External" Id="rId394"/><Relationship Type="http://schemas.openxmlformats.org/officeDocument/2006/relationships/hyperlink" Target="https://doi.org/10.1109/tnsre.2023.3347134" TargetMode="External" Id="rId395"/><Relationship Type="http://schemas.openxmlformats.org/officeDocument/2006/relationships/hyperlink" Target="https://doi.org/10.1109/tnsre.2023.3347134" TargetMode="External" Id="rId396"/><Relationship Type="http://schemas.openxmlformats.org/officeDocument/2006/relationships/hyperlink" Target="https://doi.org/10.1109/tnsre.2023.3347134" TargetMode="External" Id="rId397"/><Relationship Type="http://schemas.openxmlformats.org/officeDocument/2006/relationships/hyperlink" Target="https://doi.org/10.1016/j.pscychresns.2023.111762" TargetMode="External" Id="rId398"/><Relationship Type="http://schemas.openxmlformats.org/officeDocument/2006/relationships/hyperlink" Target="https://doi.org/10.1016/j.pscychresns.2023.111762" TargetMode="External" Id="rId399"/><Relationship Type="http://schemas.openxmlformats.org/officeDocument/2006/relationships/hyperlink" Target="https://doi.org/10.1016/j.pscychresns.2023.111762" TargetMode="External" Id="rId400"/><Relationship Type="http://schemas.openxmlformats.org/officeDocument/2006/relationships/hyperlink" Target="https://doi.org/10.1016/j.pscychresns.2023.111762" TargetMode="External" Id="rId401"/><Relationship Type="http://schemas.openxmlformats.org/officeDocument/2006/relationships/hyperlink" Target="https://doi.org/10.1016/j.pscychresns.2023.111762" TargetMode="External" Id="rId402"/><Relationship Type="http://schemas.openxmlformats.org/officeDocument/2006/relationships/hyperlink" Target="https://doi.org/10.1016/j.pscychresns.2023.111762" TargetMode="External" Id="rId403"/><Relationship Type="http://schemas.openxmlformats.org/officeDocument/2006/relationships/hyperlink" Target="https://doi.org/10.1016/j.pscychresns.2023.111762" TargetMode="External" Id="rId404"/><Relationship Type="http://schemas.openxmlformats.org/officeDocument/2006/relationships/hyperlink" Target="https://doi.org/10.1016/j.pscychresns.2023.111762" TargetMode="External" Id="rId405"/><Relationship Type="http://schemas.openxmlformats.org/officeDocument/2006/relationships/hyperlink" Target="https://doi.org/10.1186/s12888-022-03734-4" TargetMode="External" Id="rId406"/><Relationship Type="http://schemas.openxmlformats.org/officeDocument/2006/relationships/hyperlink" Target="https://doi.org/10.1186/s12888-022-03734-4" TargetMode="External" Id="rId407"/><Relationship Type="http://schemas.openxmlformats.org/officeDocument/2006/relationships/hyperlink" Target="https://doi.org/10.1186/s12888-022-03734-4" TargetMode="External" Id="rId408"/><Relationship Type="http://schemas.openxmlformats.org/officeDocument/2006/relationships/hyperlink" Target="https://doi.org/10.1186/s12888-022-03734-4" TargetMode="External" Id="rId409"/><Relationship Type="http://schemas.openxmlformats.org/officeDocument/2006/relationships/hyperlink" Target="https://doi.org/10.1186/s12888-022-03734-4" TargetMode="External" Id="rId410"/><Relationship Type="http://schemas.openxmlformats.org/officeDocument/2006/relationships/hyperlink" Target="https://doi.org/10.1186/s12888-022-03734-4" TargetMode="External" Id="rId411"/><Relationship Type="http://schemas.openxmlformats.org/officeDocument/2006/relationships/hyperlink" Target="https://doi.org/10.1109/tnsre.2021.3120024" TargetMode="External" Id="rId412"/><Relationship Type="http://schemas.openxmlformats.org/officeDocument/2006/relationships/hyperlink" Target="https://doi.org/10.1109/tnsre.2021.3120024" TargetMode="External" Id="rId413"/><Relationship Type="http://schemas.openxmlformats.org/officeDocument/2006/relationships/hyperlink" Target="https://doi.org/10.1109/tnsre.2021.3120024" TargetMode="External" Id="rId414"/><Relationship Type="http://schemas.openxmlformats.org/officeDocument/2006/relationships/hyperlink" Target="https://doi.org/10.1109/tnsre.2021.3120024" TargetMode="External" Id="rId415"/><Relationship Type="http://schemas.openxmlformats.org/officeDocument/2006/relationships/hyperlink" Target="https://doi.org/10.1109/tnsre.2021.3120024" TargetMode="External" Id="rId416"/><Relationship Type="http://schemas.openxmlformats.org/officeDocument/2006/relationships/hyperlink" Target="https://doi.org/10.1109/tnsre.2021.3120024" TargetMode="External" Id="rId417"/><Relationship Type="http://schemas.openxmlformats.org/officeDocument/2006/relationships/hyperlink" Target="https://doi.org/10.1109/tnsre.2021.3120024" TargetMode="External" Id="rId418"/><Relationship Type="http://schemas.openxmlformats.org/officeDocument/2006/relationships/hyperlink" Target="https://doi.org/10.1186/s12859-023-05495-7" TargetMode="External" Id="rId419"/><Relationship Type="http://schemas.openxmlformats.org/officeDocument/2006/relationships/hyperlink" Target="https://doi.org/10.1186/s12859-023-05495-7" TargetMode="External" Id="rId420"/><Relationship Type="http://schemas.openxmlformats.org/officeDocument/2006/relationships/hyperlink" Target="https://doi.org/10.1186/s12859-023-05495-7" TargetMode="External" Id="rId421"/><Relationship Type="http://schemas.openxmlformats.org/officeDocument/2006/relationships/hyperlink" Target="https://doi.org/10.1186/s12859-023-05495-7" TargetMode="External" Id="rId422"/><Relationship Type="http://schemas.openxmlformats.org/officeDocument/2006/relationships/hyperlink" Target="https://doi.org/10.1186/s12859-023-05495-7" TargetMode="External" Id="rId423"/><Relationship Type="http://schemas.openxmlformats.org/officeDocument/2006/relationships/hyperlink" Target="https://link.springer.com/chapter/10.1007/978-3-030-59277-6_23" TargetMode="External" Id="rId424"/><Relationship Type="http://schemas.openxmlformats.org/officeDocument/2006/relationships/hyperlink" Target="https://link.springer.com/chapter/10.1007/978-3-030-59277-6_23" TargetMode="External" Id="rId425"/><Relationship Type="http://schemas.openxmlformats.org/officeDocument/2006/relationships/hyperlink" Target="https://link.springer.com/chapter/10.1007/978-3-030-59277-6_23" TargetMode="External" Id="rId426"/><Relationship Type="http://schemas.openxmlformats.org/officeDocument/2006/relationships/hyperlink" Target="https://link.springer.com/chapter/10.1007/978-3-030-59277-6_23" TargetMode="External" Id="rId427"/><Relationship Type="http://schemas.openxmlformats.org/officeDocument/2006/relationships/hyperlink" Target="https://link.springer.com/chapter/10.1007/978-3-030-59277-6_23" TargetMode="External" Id="rId428"/><Relationship Type="http://schemas.openxmlformats.org/officeDocument/2006/relationships/hyperlink" Target="https://doi.org/10.3233/shti230794" TargetMode="External" Id="rId429"/><Relationship Type="http://schemas.openxmlformats.org/officeDocument/2006/relationships/hyperlink" Target="https://doi.org/10.3233/shti230794" TargetMode="External" Id="rId430"/><Relationship Type="http://schemas.openxmlformats.org/officeDocument/2006/relationships/hyperlink" Target="https://doi.org/10.3233/shti230794" TargetMode="External" Id="rId431"/><Relationship Type="http://schemas.openxmlformats.org/officeDocument/2006/relationships/hyperlink" Target="https://doi.org/10.3233/shti230794" TargetMode="External" Id="rId432"/><Relationship Type="http://schemas.openxmlformats.org/officeDocument/2006/relationships/hyperlink" Target="https://doi.org/10.3233/shti230794" TargetMode="External" Id="rId433"/><Relationship Type="http://schemas.openxmlformats.org/officeDocument/2006/relationships/hyperlink" Target="https://doi.org/10.1109/jsen.2024.3362341" TargetMode="External" Id="rId434"/><Relationship Type="http://schemas.openxmlformats.org/officeDocument/2006/relationships/hyperlink" Target="https://doi.org/10.1109/jsen.2024.3362341" TargetMode="External" Id="rId435"/><Relationship Type="http://schemas.openxmlformats.org/officeDocument/2006/relationships/hyperlink" Target="https://doi.org/10.1109/jsen.2024.3362341" TargetMode="External" Id="rId436"/><Relationship Type="http://schemas.openxmlformats.org/officeDocument/2006/relationships/hyperlink" Target="https://doi.org/10.1109/jsen.2024.3362341" TargetMode="External" Id="rId437"/><Relationship Type="http://schemas.openxmlformats.org/officeDocument/2006/relationships/hyperlink" Target="https://doi.org/10.1038/s41598-020-65384-4" TargetMode="External" Id="rId438"/><Relationship Type="http://schemas.openxmlformats.org/officeDocument/2006/relationships/hyperlink" Target="https://doi.org/10.1038/s41598-020-65384-4" TargetMode="External" Id="rId439"/><Relationship Type="http://schemas.openxmlformats.org/officeDocument/2006/relationships/hyperlink" Target="https://doi.org/10.1038/s41598-020-65384-4" TargetMode="External" Id="rId440"/><Relationship Type="http://schemas.openxmlformats.org/officeDocument/2006/relationships/hyperlink" Target="https://doi.org/10.1038/s41598-020-65384-4" TargetMode="External" Id="rId441"/><Relationship Type="http://schemas.openxmlformats.org/officeDocument/2006/relationships/hyperlink" Target="https://doi.org/10.1038/s41598-020-65384-4" TargetMode="External" Id="rId442"/><Relationship Type="http://schemas.openxmlformats.org/officeDocument/2006/relationships/hyperlink" Target="https://doi.org/10.1016/j.brainres.2019.146457" TargetMode="External" Id="rId443"/><Relationship Type="http://schemas.openxmlformats.org/officeDocument/2006/relationships/hyperlink" Target="https://doi.org/10.1016/j.brainres.2019.146457" TargetMode="External" Id="rId444"/><Relationship Type="http://schemas.openxmlformats.org/officeDocument/2006/relationships/hyperlink" Target="https://doi.org/10.1016/j.brainres.2019.146457" TargetMode="External" Id="rId445"/><Relationship Type="http://schemas.openxmlformats.org/officeDocument/2006/relationships/hyperlink" Target="https://doi.org/10.1016/j.brainres.2019.146457" TargetMode="External" Id="rId446"/><Relationship Type="http://schemas.openxmlformats.org/officeDocument/2006/relationships/hyperlink" Target="https://doi.org/10.1016/j.brainres.2019.146457" TargetMode="External" Id="rId447"/><Relationship Type="http://schemas.openxmlformats.org/officeDocument/2006/relationships/hyperlink" Target="https://doi.org/10.1016/j.brainres.2019.146457" TargetMode="External" Id="rId448"/><Relationship Type="http://schemas.openxmlformats.org/officeDocument/2006/relationships/hyperlink" Target="https://doi.org/10.1109/embc40787.2023.10340449" TargetMode="External" Id="rId449"/><Relationship Type="http://schemas.openxmlformats.org/officeDocument/2006/relationships/hyperlink" Target="https://doi.org/10.1109/embc40787.2023.10340449" TargetMode="External" Id="rId450"/><Relationship Type="http://schemas.openxmlformats.org/officeDocument/2006/relationships/hyperlink" Target="https://doi.org/10.1109/embc40787.2023.10340449" TargetMode="External" Id="rId451"/><Relationship Type="http://schemas.openxmlformats.org/officeDocument/2006/relationships/hyperlink" Target="https://doi.org/10.1109/embc40787.2023.10340449" TargetMode="External" Id="rId452"/><Relationship Type="http://schemas.openxmlformats.org/officeDocument/2006/relationships/hyperlink" Target="https://doi.org/10.1016/j.compbiomed.2023.107539" TargetMode="External" Id="rId453"/><Relationship Type="http://schemas.openxmlformats.org/officeDocument/2006/relationships/hyperlink" Target="https://doi.org/10.1016/j.compbiomed.2023.107539" TargetMode="External" Id="rId454"/><Relationship Type="http://schemas.openxmlformats.org/officeDocument/2006/relationships/hyperlink" Target="https://doi.org/10.1016/j.compbiomed.2023.107539" TargetMode="External" Id="rId455"/><Relationship Type="http://schemas.openxmlformats.org/officeDocument/2006/relationships/hyperlink" Target="https://doi.org/10.1016/j.compbiomed.2023.107539" TargetMode="External" Id="rId456"/><Relationship Type="http://schemas.openxmlformats.org/officeDocument/2006/relationships/hyperlink" Target="https://doi.org/10.1016/j.compbiomed.2023.107539" TargetMode="External" Id="rId457"/><Relationship Type="http://schemas.openxmlformats.org/officeDocument/2006/relationships/hyperlink" Target="https://doi.org/10.2196/70914" TargetMode="External" Id="rId458"/><Relationship Type="http://schemas.openxmlformats.org/officeDocument/2006/relationships/hyperlink" Target="https://doi.org/10.2196/70914" TargetMode="External" Id="rId459"/><Relationship Type="http://schemas.openxmlformats.org/officeDocument/2006/relationships/hyperlink" Target="https://doi.org/10.2196/70914" TargetMode="External" Id="rId460"/><Relationship Type="http://schemas.openxmlformats.org/officeDocument/2006/relationships/hyperlink" Target="https://doi.org/10.2196/70914" TargetMode="External" Id="rId461"/><Relationship Type="http://schemas.openxmlformats.org/officeDocument/2006/relationships/hyperlink" Target="https://doi.org/10.2196/70914" TargetMode="External" Id="rId462"/><Relationship Type="http://schemas.openxmlformats.org/officeDocument/2006/relationships/hyperlink" Target="https://doi.org/10.2196/70914" TargetMode="External" Id="rId463"/><Relationship Type="http://schemas.openxmlformats.org/officeDocument/2006/relationships/hyperlink" Target="https://doi.org/10.2196/70914" TargetMode="External" Id="rId464"/><Relationship Type="http://schemas.openxmlformats.org/officeDocument/2006/relationships/hyperlink" Target="https://doi.org/10.2196/70914" TargetMode="External" Id="rId465"/><Relationship Type="http://schemas.openxmlformats.org/officeDocument/2006/relationships/hyperlink" Target="https://doi.org/10.1371/journal.pone.0311209" TargetMode="External" Id="rId466"/><Relationship Type="http://schemas.openxmlformats.org/officeDocument/2006/relationships/hyperlink" Target="https://doi.org/10.1371/journal.pone.0311209" TargetMode="External" Id="rId467"/><Relationship Type="http://schemas.openxmlformats.org/officeDocument/2006/relationships/hyperlink" Target="https://doi.org/10.1371/journal.pone.0311209" TargetMode="External" Id="rId468"/><Relationship Type="http://schemas.openxmlformats.org/officeDocument/2006/relationships/hyperlink" Target="https://doi.org/10.1371/journal.pone.0311209" TargetMode="External" Id="rId469"/><Relationship Type="http://schemas.openxmlformats.org/officeDocument/2006/relationships/hyperlink" Target="https://doi.org/10.1371/journal.pone.0311209" TargetMode="External" Id="rId470"/><Relationship Type="http://schemas.openxmlformats.org/officeDocument/2006/relationships/hyperlink" Target="https://doi.org/10.1007/s00330-021-08239-4" TargetMode="External" Id="rId471"/><Relationship Type="http://schemas.openxmlformats.org/officeDocument/2006/relationships/hyperlink" Target="https://doi.org/10.1007/s00330-021-08239-4" TargetMode="External" Id="rId472"/><Relationship Type="http://schemas.openxmlformats.org/officeDocument/2006/relationships/hyperlink" Target="https://doi.org/10.1007/s00330-021-08239-4" TargetMode="External" Id="rId473"/><Relationship Type="http://schemas.openxmlformats.org/officeDocument/2006/relationships/hyperlink" Target="https://doi.org/10.1007/s00330-021-08239-4" TargetMode="External" Id="rId474"/><Relationship Type="http://schemas.openxmlformats.org/officeDocument/2006/relationships/hyperlink" Target="https://doi.org/10.1007/s00330-021-08239-4" TargetMode="External" Id="rId475"/><Relationship Type="http://schemas.openxmlformats.org/officeDocument/2006/relationships/hyperlink" Target="https://doi.org/10.1007/s00330-021-08239-4" TargetMode="External" Id="rId476"/><Relationship Type="http://schemas.openxmlformats.org/officeDocument/2006/relationships/hyperlink" Target="https://doi.org/10.1038/s41398-025-03566-2" TargetMode="External" Id="rId477"/><Relationship Type="http://schemas.openxmlformats.org/officeDocument/2006/relationships/hyperlink" Target="https://doi.org/10.1038/s41398-025-03566-2" TargetMode="External" Id="rId478"/><Relationship Type="http://schemas.openxmlformats.org/officeDocument/2006/relationships/hyperlink" Target="https://doi.org/10.1038/s41398-025-03566-2" TargetMode="External" Id="rId479"/><Relationship Type="http://schemas.openxmlformats.org/officeDocument/2006/relationships/hyperlink" Target="https://doi.org/10.1038/s41398-025-03566-2" TargetMode="External" Id="rId480"/><Relationship Type="http://schemas.openxmlformats.org/officeDocument/2006/relationships/hyperlink" Target="https://doi.org/10.1038/s41398-025-03566-2" TargetMode="External" Id="rId481"/><Relationship Type="http://schemas.openxmlformats.org/officeDocument/2006/relationships/hyperlink" Target="https://doi.org/10.1038/s41398-025-03566-2" TargetMode="External" Id="rId482"/><Relationship Type="http://schemas.openxmlformats.org/officeDocument/2006/relationships/hyperlink" Target="https://doi.org/10.1038/s41398-025-03566-2" TargetMode="External" Id="rId483"/><Relationship Type="http://schemas.openxmlformats.org/officeDocument/2006/relationships/hyperlink" Target="https://doi.org/10.1016/j.bpsc.2021.03.015" TargetMode="External" Id="rId484"/><Relationship Type="http://schemas.openxmlformats.org/officeDocument/2006/relationships/hyperlink" Target="https://doi.org/10.1016/j.bpsc.2021.03.015" TargetMode="External" Id="rId485"/><Relationship Type="http://schemas.openxmlformats.org/officeDocument/2006/relationships/hyperlink" Target="https://doi.org/10.1016/j.bpsc.2021.03.015" TargetMode="External" Id="rId486"/><Relationship Type="http://schemas.openxmlformats.org/officeDocument/2006/relationships/hyperlink" Target="https://doi.org/10.1016/j.bpsc.2021.03.015" TargetMode="External" Id="rId487"/><Relationship Type="http://schemas.openxmlformats.org/officeDocument/2006/relationships/hyperlink" Target="https://doi.org/10.1016/j.bpsc.2021.03.015" TargetMode="External" Id="rId488"/><Relationship Type="http://schemas.openxmlformats.org/officeDocument/2006/relationships/hyperlink" Target="https://doi.org/10.1016/j.bpsc.2021.03.015" TargetMode="External" Id="rId489"/><Relationship Type="http://schemas.openxmlformats.org/officeDocument/2006/relationships/hyperlink" Target="https://doi.org/10.1055/s-0038-1626727" TargetMode="External" Id="rId490"/><Relationship Type="http://schemas.openxmlformats.org/officeDocument/2006/relationships/hyperlink" Target="https://doi.org/10.1055/s-0038-1626727" TargetMode="External" Id="rId491"/><Relationship Type="http://schemas.openxmlformats.org/officeDocument/2006/relationships/hyperlink" Target="https://doi.org/10.1055/s-0038-1626727" TargetMode="External" Id="rId492"/><Relationship Type="http://schemas.openxmlformats.org/officeDocument/2006/relationships/hyperlink" Target="https://doi.org/10.1055/s-0038-1626727" TargetMode="External" Id="rId493"/><Relationship Type="http://schemas.openxmlformats.org/officeDocument/2006/relationships/hyperlink" Target="https://doi.org/10.1055/s-0038-1626727" TargetMode="External" Id="rId494"/><Relationship Type="http://schemas.openxmlformats.org/officeDocument/2006/relationships/hyperlink" Target="https://doi.org/10.1055/s-0038-1626727" TargetMode="External" Id="rId495"/><Relationship Type="http://schemas.openxmlformats.org/officeDocument/2006/relationships/hyperlink" Target="https://doi.org/10.1109/access.2023.3302903" TargetMode="External" Id="rId496"/><Relationship Type="http://schemas.openxmlformats.org/officeDocument/2006/relationships/hyperlink" Target="https://doi.org/10.1109/access.2023.3302903" TargetMode="External" Id="rId497"/><Relationship Type="http://schemas.openxmlformats.org/officeDocument/2006/relationships/hyperlink" Target="https://doi.org/10.1109/access.2023.3302903" TargetMode="External" Id="rId498"/><Relationship Type="http://schemas.openxmlformats.org/officeDocument/2006/relationships/hyperlink" Target="https://doi.org/10.1109/access.2023.3302903" TargetMode="External" Id="rId499"/><Relationship Type="http://schemas.openxmlformats.org/officeDocument/2006/relationships/hyperlink" Target="https://doi.org/10.1109/access.2023.3302903" TargetMode="External" Id="rId500"/><Relationship Type="http://schemas.openxmlformats.org/officeDocument/2006/relationships/hyperlink" Target="https://doi.org/10.1007/978-3-031-09342-5_11" TargetMode="External" Id="rId501"/><Relationship Type="http://schemas.openxmlformats.org/officeDocument/2006/relationships/hyperlink" Target="https://doi.org/10.1007/978-3-031-09342-5_11" TargetMode="External" Id="rId502"/><Relationship Type="http://schemas.openxmlformats.org/officeDocument/2006/relationships/hyperlink" Target="https://doi.org/10.1007/978-3-031-09342-5_11" TargetMode="External" Id="rId503"/><Relationship Type="http://schemas.openxmlformats.org/officeDocument/2006/relationships/hyperlink" Target="https://doi.org/10.1007/978-3-031-09342-5_11" TargetMode="External" Id="rId504"/><Relationship Type="http://schemas.openxmlformats.org/officeDocument/2006/relationships/hyperlink" Target="https://doi.org/10.1007/978-3-031-09342-5_11" TargetMode="External" Id="rId505"/><Relationship Type="http://schemas.openxmlformats.org/officeDocument/2006/relationships/hyperlink" Target="https://doi.org/10.1016/j.bspc.2024.107466" TargetMode="External" Id="rId506"/><Relationship Type="http://schemas.openxmlformats.org/officeDocument/2006/relationships/hyperlink" Target="https://doi.org/10.1016/j.bspc.2024.107466" TargetMode="External" Id="rId507"/><Relationship Type="http://schemas.openxmlformats.org/officeDocument/2006/relationships/hyperlink" Target="https://doi.org/10.1016/j.bspc.2024.107466" TargetMode="External" Id="rId508"/><Relationship Type="http://schemas.openxmlformats.org/officeDocument/2006/relationships/hyperlink" Target="https://doi.org/10.1016/j.bspc.2024.107466" TargetMode="External" Id="rId509"/><Relationship Type="http://schemas.openxmlformats.org/officeDocument/2006/relationships/hyperlink" Target="https://doi.org/10.1016/j.bspc.2024.107466" TargetMode="External" Id="rId510"/><Relationship Type="http://schemas.openxmlformats.org/officeDocument/2006/relationships/hyperlink" Target="https://doi.org/10.1016/j.bspc.2024.107466" TargetMode="External" Id="rId511"/><Relationship Type="http://schemas.openxmlformats.org/officeDocument/2006/relationships/hyperlink" Target="https://doi.org/10.1016/j.ibmed.2023.100102" TargetMode="External" Id="rId512"/><Relationship Type="http://schemas.openxmlformats.org/officeDocument/2006/relationships/hyperlink" Target="https://doi.org/10.1016/j.ibmed.2023.100102" TargetMode="External" Id="rId513"/><Relationship Type="http://schemas.openxmlformats.org/officeDocument/2006/relationships/hyperlink" Target="https://doi.org/10.1016/j.ibmed.2023.100102" TargetMode="External" Id="rId514"/><Relationship Type="http://schemas.openxmlformats.org/officeDocument/2006/relationships/hyperlink" Target="https://doi.org/10.1016/j.ibmed.2023.100102" TargetMode="External" Id="rId515"/><Relationship Type="http://schemas.openxmlformats.org/officeDocument/2006/relationships/hyperlink" Target="https://doi.org/10.1016/j.ibmed.2023.100102" TargetMode="External" Id="rId516"/><Relationship Type="http://schemas.openxmlformats.org/officeDocument/2006/relationships/hyperlink" Target="https://doi.org/10.1016/j.ibmed.2023.100102" TargetMode="External" Id="rId517"/><Relationship Type="http://schemas.openxmlformats.org/officeDocument/2006/relationships/hyperlink" Target="https://doi.org/10.2196/54706" TargetMode="External" Id="rId518"/><Relationship Type="http://schemas.openxmlformats.org/officeDocument/2006/relationships/hyperlink" Target="https://doi.org/10.2196/54706" TargetMode="External" Id="rId519"/><Relationship Type="http://schemas.openxmlformats.org/officeDocument/2006/relationships/hyperlink" Target="https://doi.org/10.2196/54706" TargetMode="External" Id="rId520"/><Relationship Type="http://schemas.openxmlformats.org/officeDocument/2006/relationships/hyperlink" Target="https://doi.org/10.2196/54706" TargetMode="External" Id="rId521"/><Relationship Type="http://schemas.openxmlformats.org/officeDocument/2006/relationships/hyperlink" Target="https://doi.org/10.2196/54706" TargetMode="External" Id="rId522"/><Relationship Type="http://schemas.openxmlformats.org/officeDocument/2006/relationships/hyperlink" Target="https://doi.org/10.1016/j.envres.2018.12.061" TargetMode="External" Id="rId523"/><Relationship Type="http://schemas.openxmlformats.org/officeDocument/2006/relationships/hyperlink" Target="https://doi.org/10.1016/j.envres.2018.12.061" TargetMode="External" Id="rId524"/><Relationship Type="http://schemas.openxmlformats.org/officeDocument/2006/relationships/hyperlink" Target="https://doi.org/10.1016/j.envres.2018.12.061" TargetMode="External" Id="rId525"/><Relationship Type="http://schemas.openxmlformats.org/officeDocument/2006/relationships/hyperlink" Target="https://doi.org/10.1016/j.envres.2018.12.061" TargetMode="External" Id="rId526"/><Relationship Type="http://schemas.openxmlformats.org/officeDocument/2006/relationships/hyperlink" Target="https://doi.org/10.1016/j.envres.2018.12.061" TargetMode="External" Id="rId527"/><Relationship Type="http://schemas.openxmlformats.org/officeDocument/2006/relationships/hyperlink" Target="https://doi.org/10.1016/j.envres.2018.12.061" TargetMode="External" Id="rId528"/><Relationship Type="http://schemas.openxmlformats.org/officeDocument/2006/relationships/hyperlink" Target="https://doi.org/10.1016/j.envres.2018.12.061" TargetMode="External" Id="rId529"/><Relationship Type="http://schemas.openxmlformats.org/officeDocument/2006/relationships/hyperlink" Target="https://doi.org/10.1109/embc44109.2020.9176843" TargetMode="External" Id="rId530"/><Relationship Type="http://schemas.openxmlformats.org/officeDocument/2006/relationships/hyperlink" Target="https://doi.org/10.1109/embc44109.2020.9176843" TargetMode="External" Id="rId531"/><Relationship Type="http://schemas.openxmlformats.org/officeDocument/2006/relationships/hyperlink" Target="https://doi.org/10.1109/embc44109.2020.9176843" TargetMode="External" Id="rId532"/><Relationship Type="http://schemas.openxmlformats.org/officeDocument/2006/relationships/hyperlink" Target="https://doi.org/10.1109/embc44109.2020.9176843" TargetMode="External" Id="rId533"/><Relationship Type="http://schemas.openxmlformats.org/officeDocument/2006/relationships/hyperlink" Target="https://doi.org/10.1109/embc44109.2020.9176843" TargetMode="External" Id="rId534"/><Relationship Type="http://schemas.openxmlformats.org/officeDocument/2006/relationships/hyperlink" Target="https://doi.org/10.1109/embc44109.2020.9176843" TargetMode="External" Id="rId535"/><Relationship Type="http://schemas.openxmlformats.org/officeDocument/2006/relationships/hyperlink" Target="https://doi.org/10.1016/j.bspc.2024.106671" TargetMode="External" Id="rId536"/><Relationship Type="http://schemas.openxmlformats.org/officeDocument/2006/relationships/hyperlink" Target="https://doi.org/10.1016/j.bspc.2024.106671" TargetMode="External" Id="rId537"/><Relationship Type="http://schemas.openxmlformats.org/officeDocument/2006/relationships/hyperlink" Target="https://doi.org/10.1016/j.bspc.2024.106671" TargetMode="External" Id="rId538"/><Relationship Type="http://schemas.openxmlformats.org/officeDocument/2006/relationships/hyperlink" Target="https://doi.org/10.1016/j.bspc.2024.106671" TargetMode="External" Id="rId539"/><Relationship Type="http://schemas.openxmlformats.org/officeDocument/2006/relationships/hyperlink" Target="https://doi.org/10.1016/j.bspc.2024.106671" TargetMode="External" Id="rId540"/><Relationship Type="http://schemas.openxmlformats.org/officeDocument/2006/relationships/hyperlink" Target="https://doi.org/10.1016/j.ijdevneu.2014.06.013" TargetMode="External" Id="rId541"/><Relationship Type="http://schemas.openxmlformats.org/officeDocument/2006/relationships/hyperlink" Target="https://doi.org/10.1016/j.ijdevneu.2014.06.013" TargetMode="External" Id="rId542"/><Relationship Type="http://schemas.openxmlformats.org/officeDocument/2006/relationships/hyperlink" Target="https://doi.org/10.1016/j.ijdevneu.2014.06.013" TargetMode="External" Id="rId543"/><Relationship Type="http://schemas.openxmlformats.org/officeDocument/2006/relationships/hyperlink" Target="https://doi.org/10.1016/j.ijdevneu.2014.06.013" TargetMode="External" Id="rId544"/><Relationship Type="http://schemas.openxmlformats.org/officeDocument/2006/relationships/hyperlink" Target="https://doi.org/10.1016/j.ijdevneu.2014.06.013" TargetMode="External" Id="rId545"/><Relationship Type="http://schemas.openxmlformats.org/officeDocument/2006/relationships/hyperlink" Target="https://doi.org/10.1016/j.ijdevneu.2014.06.013" TargetMode="External" Id="rId546"/><Relationship Type="http://schemas.openxmlformats.org/officeDocument/2006/relationships/hyperlink" Target="https://doi.org/10.1016/j.ijdevneu.2014.06.013" TargetMode="External" Id="rId547"/><Relationship Type="http://schemas.openxmlformats.org/officeDocument/2006/relationships/hyperlink" Target="https://doi.org/10.1111/cns.70562" TargetMode="External" Id="rId548"/><Relationship Type="http://schemas.openxmlformats.org/officeDocument/2006/relationships/hyperlink" Target="https://doi.org/10.1111/cns.70562" TargetMode="External" Id="rId549"/><Relationship Type="http://schemas.openxmlformats.org/officeDocument/2006/relationships/hyperlink" Target="https://doi.org/10.1111/cns.70562" TargetMode="External" Id="rId550"/><Relationship Type="http://schemas.openxmlformats.org/officeDocument/2006/relationships/hyperlink" Target="https://doi.org/10.1111/cns.70562" TargetMode="External" Id="rId551"/><Relationship Type="http://schemas.openxmlformats.org/officeDocument/2006/relationships/hyperlink" Target="https://doi.org/10.1111/cns.70562" TargetMode="External" Id="rId552"/><Relationship Type="http://schemas.openxmlformats.org/officeDocument/2006/relationships/hyperlink" Target="https://doi.org/10.1111/cns.70562" TargetMode="External" Id="rId553"/><Relationship Type="http://schemas.openxmlformats.org/officeDocument/2006/relationships/hyperlink" Target="https://doi.org/10.2196/13810" TargetMode="External" Id="rId554"/><Relationship Type="http://schemas.openxmlformats.org/officeDocument/2006/relationships/hyperlink" Target="https://doi.org/10.2196/13810" TargetMode="External" Id="rId555"/><Relationship Type="http://schemas.openxmlformats.org/officeDocument/2006/relationships/hyperlink" Target="https://doi.org/10.2196/13810" TargetMode="External" Id="rId556"/><Relationship Type="http://schemas.openxmlformats.org/officeDocument/2006/relationships/hyperlink" Target="https://doi.org/10.2196/13810" TargetMode="External" Id="rId557"/><Relationship Type="http://schemas.openxmlformats.org/officeDocument/2006/relationships/hyperlink" Target="https://doi.org/10.2196/13810" TargetMode="External" Id="rId558"/><Relationship Type="http://schemas.openxmlformats.org/officeDocument/2006/relationships/hyperlink" Target="https://doi.org/10.2196/13810" TargetMode="External" Id="rId559"/><Relationship Type="http://schemas.openxmlformats.org/officeDocument/2006/relationships/hyperlink" Target="https://doi.org/10.1002/aur.1960" TargetMode="External" Id="rId560"/><Relationship Type="http://schemas.openxmlformats.org/officeDocument/2006/relationships/hyperlink" Target="https://doi.org/10.1002/aur.1960" TargetMode="External" Id="rId561"/><Relationship Type="http://schemas.openxmlformats.org/officeDocument/2006/relationships/hyperlink" Target="https://doi.org/10.1002/aur.1960" TargetMode="External" Id="rId562"/><Relationship Type="http://schemas.openxmlformats.org/officeDocument/2006/relationships/hyperlink" Target="https://doi.org/10.1002/aur.1960" TargetMode="External" Id="rId563"/><Relationship Type="http://schemas.openxmlformats.org/officeDocument/2006/relationships/hyperlink" Target="https://doi.org/10.1002/aur.1960" TargetMode="External" Id="rId564"/><Relationship Type="http://schemas.openxmlformats.org/officeDocument/2006/relationships/hyperlink" Target="https://doi.org/10.1002/aur.1960" TargetMode="External" Id="rId565"/><Relationship Type="http://schemas.openxmlformats.org/officeDocument/2006/relationships/hyperlink" Target="https://doi.org/10.1002/aur.1960" TargetMode="External" Id="rId566"/><Relationship Type="http://schemas.openxmlformats.org/officeDocument/2006/relationships/hyperlink" Target="https://doi.org/10.1002/aur.1960" TargetMode="External" Id="rId567"/><Relationship Type="http://schemas.openxmlformats.org/officeDocument/2006/relationships/hyperlink" Target="https://doi.org/10.1002/hbm.70190" TargetMode="External" Id="rId568"/><Relationship Type="http://schemas.openxmlformats.org/officeDocument/2006/relationships/hyperlink" Target="https://doi.org/10.1002/hbm.70190" TargetMode="External" Id="rId569"/><Relationship Type="http://schemas.openxmlformats.org/officeDocument/2006/relationships/hyperlink" Target="https://doi.org/10.1002/hbm.70190" TargetMode="External" Id="rId570"/><Relationship Type="http://schemas.openxmlformats.org/officeDocument/2006/relationships/hyperlink" Target="https://doi.org/10.1002/hbm.70190" TargetMode="External" Id="rId571"/><Relationship Type="http://schemas.openxmlformats.org/officeDocument/2006/relationships/hyperlink" Target="https://doi.org/10.1002/hbm.70190" TargetMode="External" Id="rId572"/><Relationship Type="http://schemas.openxmlformats.org/officeDocument/2006/relationships/hyperlink" Target="https://doi.org/10.1002/hbm.70190" TargetMode="External" Id="rId573"/><Relationship Type="http://schemas.openxmlformats.org/officeDocument/2006/relationships/hyperlink" Target="https://doi.org/10.1155/2018/7186762" TargetMode="External" Id="rId574"/><Relationship Type="http://schemas.openxmlformats.org/officeDocument/2006/relationships/hyperlink" Target="https://doi.org/10.1155/2018/7186762" TargetMode="External" Id="rId575"/><Relationship Type="http://schemas.openxmlformats.org/officeDocument/2006/relationships/hyperlink" Target="https://doi.org/10.1155/2018/7186762" TargetMode="External" Id="rId576"/><Relationship Type="http://schemas.openxmlformats.org/officeDocument/2006/relationships/hyperlink" Target="https://doi.org/10.1155/2018/7186762" TargetMode="External" Id="rId577"/><Relationship Type="http://schemas.openxmlformats.org/officeDocument/2006/relationships/hyperlink" Target="https://doi.org/10.1155/2018/7186762" TargetMode="External" Id="rId578"/><Relationship Type="http://schemas.openxmlformats.org/officeDocument/2006/relationships/hyperlink" Target="https://doi.org/10.1371/journal.pone.0326022" TargetMode="External" Id="rId579"/><Relationship Type="http://schemas.openxmlformats.org/officeDocument/2006/relationships/hyperlink" Target="https://doi.org/10.1371/journal.pone.0326022" TargetMode="External" Id="rId580"/><Relationship Type="http://schemas.openxmlformats.org/officeDocument/2006/relationships/hyperlink" Target="https://doi.org/10.1371/journal.pone.0326022" TargetMode="External" Id="rId581"/><Relationship Type="http://schemas.openxmlformats.org/officeDocument/2006/relationships/hyperlink" Target="https://doi.org/10.1371/journal.pone.0326022" TargetMode="External" Id="rId582"/><Relationship Type="http://schemas.openxmlformats.org/officeDocument/2006/relationships/hyperlink" Target="https://doi.org/10.1371/journal.pone.0326022" TargetMode="External" Id="rId583"/><Relationship Type="http://schemas.openxmlformats.org/officeDocument/2006/relationships/hyperlink" Target="https://doi.org/10.1109/tnsre.2020.2991675" TargetMode="External" Id="rId584"/><Relationship Type="http://schemas.openxmlformats.org/officeDocument/2006/relationships/hyperlink" Target="https://doi.org/10.1109/tnsre.2020.2991675" TargetMode="External" Id="rId585"/><Relationship Type="http://schemas.openxmlformats.org/officeDocument/2006/relationships/hyperlink" Target="https://doi.org/10.1109/tnsre.2020.2991675" TargetMode="External" Id="rId586"/><Relationship Type="http://schemas.openxmlformats.org/officeDocument/2006/relationships/hyperlink" Target="https://doi.org/10.1109/tnsre.2020.2991675" TargetMode="External" Id="rId587"/><Relationship Type="http://schemas.openxmlformats.org/officeDocument/2006/relationships/hyperlink" Target="https://doi.org/10.1109/tnsre.2020.2991675" TargetMode="External" Id="rId588"/><Relationship Type="http://schemas.openxmlformats.org/officeDocument/2006/relationships/hyperlink" Target="https://doi.org/10.1109/tnsre.2020.2991675" TargetMode="External" Id="rId589"/><Relationship Type="http://schemas.openxmlformats.org/officeDocument/2006/relationships/hyperlink" Target="https://doi.org/10.3389/fnhum.2013.00670/full" TargetMode="External" Id="rId590"/><Relationship Type="http://schemas.openxmlformats.org/officeDocument/2006/relationships/hyperlink" Target="https://doi.org/10.3389/fnhum.2013.00670/full" TargetMode="External" Id="rId591"/><Relationship Type="http://schemas.openxmlformats.org/officeDocument/2006/relationships/hyperlink" Target="https://doi.org/10.3389/fnhum.2013.00670/full" TargetMode="External" Id="rId592"/><Relationship Type="http://schemas.openxmlformats.org/officeDocument/2006/relationships/hyperlink" Target="https://doi.org/10.3389/fnhum.2013.00670/full" TargetMode="External" Id="rId593"/><Relationship Type="http://schemas.openxmlformats.org/officeDocument/2006/relationships/hyperlink" Target="https://doi.org/10.3389/fnhum.2013.00670/full" TargetMode="External" Id="rId594"/><Relationship Type="http://schemas.openxmlformats.org/officeDocument/2006/relationships/hyperlink" Target="https://doi.org/10.3389/fnhum.2013.00670/full" TargetMode="External" Id="rId595"/><Relationship Type="http://schemas.openxmlformats.org/officeDocument/2006/relationships/hyperlink" Target="https://doi.org/10.3389/fnhum.2013.00670/full" TargetMode="External" Id="rId596"/><Relationship Type="http://schemas.openxmlformats.org/officeDocument/2006/relationships/hyperlink" Target="https://doi.org/10.3389/fnhum.2013.00670/full" TargetMode="External" Id="rId597"/><Relationship Type="http://schemas.openxmlformats.org/officeDocument/2006/relationships/hyperlink" Target="https://doi.org/10.1371/journal.pone.0113879" TargetMode="External" Id="rId598"/><Relationship Type="http://schemas.openxmlformats.org/officeDocument/2006/relationships/hyperlink" Target="https://doi.org/10.1371/journal.pone.0113879" TargetMode="External" Id="rId599"/><Relationship Type="http://schemas.openxmlformats.org/officeDocument/2006/relationships/hyperlink" Target="https://doi.org/10.1371/journal.pone.0113879" TargetMode="External" Id="rId600"/><Relationship Type="http://schemas.openxmlformats.org/officeDocument/2006/relationships/hyperlink" Target="https://doi.org/10.1371/journal.pone.0113879" TargetMode="External" Id="rId601"/><Relationship Type="http://schemas.openxmlformats.org/officeDocument/2006/relationships/hyperlink" Target="https://doi.org/10.1371/journal.pone.0113879" TargetMode="External" Id="rId602"/><Relationship Type="http://schemas.openxmlformats.org/officeDocument/2006/relationships/hyperlink" Target="https://doi.org/10.1002/aur.2268" TargetMode="External" Id="rId603"/><Relationship Type="http://schemas.openxmlformats.org/officeDocument/2006/relationships/hyperlink" Target="https://doi.org/10.1002/aur.2268" TargetMode="External" Id="rId604"/><Relationship Type="http://schemas.openxmlformats.org/officeDocument/2006/relationships/hyperlink" Target="https://doi.org/10.1002/aur.2268" TargetMode="External" Id="rId605"/><Relationship Type="http://schemas.openxmlformats.org/officeDocument/2006/relationships/hyperlink" Target="https://doi.org/10.1002/aur.2268" TargetMode="External" Id="rId606"/><Relationship Type="http://schemas.openxmlformats.org/officeDocument/2006/relationships/hyperlink" Target="https://doi.org/10.1002/aur.2268" TargetMode="External" Id="rId607"/><Relationship Type="http://schemas.openxmlformats.org/officeDocument/2006/relationships/hyperlink" Target="https://doi.org/10.1002/aur.2268" TargetMode="External" Id="rId608"/><Relationship Type="http://schemas.openxmlformats.org/officeDocument/2006/relationships/hyperlink" Target="https://doi.org/10.1002/aur.2268" TargetMode="External" Id="rId609"/><Relationship Type="http://schemas.openxmlformats.org/officeDocument/2006/relationships/hyperlink" Target="https://doi.org/10.1002/aur.2268" TargetMode="External" Id="rId610"/><Relationship Type="http://schemas.openxmlformats.org/officeDocument/2006/relationships/hyperlink" Target="https://doi.org/10.1016/j.irbm.2023.100780" TargetMode="External" Id="rId611"/><Relationship Type="http://schemas.openxmlformats.org/officeDocument/2006/relationships/hyperlink" Target="https://doi.org/10.1016/j.irbm.2023.100780" TargetMode="External" Id="rId612"/><Relationship Type="http://schemas.openxmlformats.org/officeDocument/2006/relationships/hyperlink" Target="https://doi.org/10.1016/j.irbm.2023.100780" TargetMode="External" Id="rId613"/><Relationship Type="http://schemas.openxmlformats.org/officeDocument/2006/relationships/hyperlink" Target="https://doi.org/10.1016/j.irbm.2023.100780" TargetMode="External" Id="rId614"/><Relationship Type="http://schemas.openxmlformats.org/officeDocument/2006/relationships/hyperlink" Target="https://doi.org/10.1016/j.irbm.2023.100780" TargetMode="External" Id="rId615"/><Relationship Type="http://schemas.openxmlformats.org/officeDocument/2006/relationships/hyperlink" Target="https://doi.org/10.1016/j.xhgg.2022.100150" TargetMode="External" Id="rId616"/><Relationship Type="http://schemas.openxmlformats.org/officeDocument/2006/relationships/hyperlink" Target="https://doi.org/10.1016/j.xhgg.2022.100150" TargetMode="External" Id="rId617"/><Relationship Type="http://schemas.openxmlformats.org/officeDocument/2006/relationships/hyperlink" Target="https://doi.org/10.1016/j.xhgg.2022.100150" TargetMode="External" Id="rId618"/><Relationship Type="http://schemas.openxmlformats.org/officeDocument/2006/relationships/hyperlink" Target="https://doi.org/10.1016/j.xhgg.2022.100150" TargetMode="External" Id="rId619"/><Relationship Type="http://schemas.openxmlformats.org/officeDocument/2006/relationships/hyperlink" Target="https://doi.org/10.1016/j.xhgg.2022.100150" TargetMode="External" Id="rId620"/><Relationship Type="http://schemas.openxmlformats.org/officeDocument/2006/relationships/hyperlink" Target="https://doi.org/10.1016/j.xhgg.2022.100150" TargetMode="External" Id="rId621"/><Relationship Type="http://schemas.openxmlformats.org/officeDocument/2006/relationships/hyperlink" Target="https://doi.org/10.1016/j.xhgg.2022.100150" TargetMode="External" Id="rId622"/><Relationship Type="http://schemas.openxmlformats.org/officeDocument/2006/relationships/hyperlink" Target="https://doi.org/10.1016/j.xhgg.2022.100150" TargetMode="External" Id="rId623"/><Relationship Type="http://schemas.openxmlformats.org/officeDocument/2006/relationships/hyperlink" Target="https://doi.org/10.1016/j.bbr.2022.114149" TargetMode="External" Id="rId624"/><Relationship Type="http://schemas.openxmlformats.org/officeDocument/2006/relationships/hyperlink" Target="https://doi.org/10.1016/j.bbr.2022.114149" TargetMode="External" Id="rId625"/><Relationship Type="http://schemas.openxmlformats.org/officeDocument/2006/relationships/hyperlink" Target="https://doi.org/10.1016/j.bbr.2022.114149" TargetMode="External" Id="rId626"/><Relationship Type="http://schemas.openxmlformats.org/officeDocument/2006/relationships/hyperlink" Target="https://doi.org/10.1016/j.bbr.2022.114149" TargetMode="External" Id="rId627"/><Relationship Type="http://schemas.openxmlformats.org/officeDocument/2006/relationships/hyperlink" Target="https://doi.org/10.1016/j.bbr.2022.114149" TargetMode="External" Id="rId628"/><Relationship Type="http://schemas.openxmlformats.org/officeDocument/2006/relationships/hyperlink" Target="https://doi.org/10.1016/j.bbr.2022.114149" TargetMode="External" Id="rId629"/><Relationship Type="http://schemas.openxmlformats.org/officeDocument/2006/relationships/hyperlink" Target="https://doi.org/10.1016/j.bbr.2022.114149" TargetMode="External" Id="rId630"/><Relationship Type="http://schemas.openxmlformats.org/officeDocument/2006/relationships/hyperlink" Target="https://doi.org/10.1016/b978-0-443-19073-5.00018-5" TargetMode="External" Id="rId631"/><Relationship Type="http://schemas.openxmlformats.org/officeDocument/2006/relationships/hyperlink" Target="https://doi.org/10.1016/b978-0-443-19073-5.00018-5" TargetMode="External" Id="rId632"/><Relationship Type="http://schemas.openxmlformats.org/officeDocument/2006/relationships/hyperlink" Target="https://doi.org/10.1016/b978-0-443-19073-5.00018-5" TargetMode="External" Id="rId633"/><Relationship Type="http://schemas.openxmlformats.org/officeDocument/2006/relationships/hyperlink" Target="https://doi.org/10.1016/b978-0-443-19073-5.00018-5" TargetMode="External" Id="rId634"/><Relationship Type="http://schemas.openxmlformats.org/officeDocument/2006/relationships/hyperlink" Target="https://doi.org/10.1016/b978-0-443-19073-5.00018-5" TargetMode="External" Id="rId635"/><Relationship Type="http://schemas.openxmlformats.org/officeDocument/2006/relationships/hyperlink" Target="https://doi.org/10.1016/b978-0-443-19073-5.00018-5" TargetMode="External" Id="rId636"/><Relationship Type="http://schemas.openxmlformats.org/officeDocument/2006/relationships/hyperlink" Target="https://doi.org/10.1016/b978-0-443-19073-5.00018-5" TargetMode="External" Id="rId637"/><Relationship Type="http://schemas.openxmlformats.org/officeDocument/2006/relationships/hyperlink" Target="https://doi.org/10.1016/b978-0-443-19073-5.00018-5" TargetMode="External" Id="rId638"/><Relationship Type="http://schemas.openxmlformats.org/officeDocument/2006/relationships/hyperlink" Target="https://doi.org/10.1002/jdn.70034" TargetMode="External" Id="rId639"/><Relationship Type="http://schemas.openxmlformats.org/officeDocument/2006/relationships/hyperlink" Target="https://doi.org/10.1002/jdn.70034" TargetMode="External" Id="rId640"/><Relationship Type="http://schemas.openxmlformats.org/officeDocument/2006/relationships/hyperlink" Target="https://doi.org/10.1002/jdn.70034" TargetMode="External" Id="rId641"/><Relationship Type="http://schemas.openxmlformats.org/officeDocument/2006/relationships/hyperlink" Target="https://doi.org/10.1002/jdn.70034" TargetMode="External" Id="rId642"/><Relationship Type="http://schemas.openxmlformats.org/officeDocument/2006/relationships/hyperlink" Target="https://doi.org/10.1002/jdn.70034" TargetMode="External" Id="rId643"/><Relationship Type="http://schemas.openxmlformats.org/officeDocument/2006/relationships/hyperlink" Target="https://doi.org/10.1038/tp.2015.221" TargetMode="External" Id="rId644"/><Relationship Type="http://schemas.openxmlformats.org/officeDocument/2006/relationships/hyperlink" Target="https://doi.org/10.1038/tp.2015.221" TargetMode="External" Id="rId645"/><Relationship Type="http://schemas.openxmlformats.org/officeDocument/2006/relationships/hyperlink" Target="https://doi.org/10.1038/tp.2015.221" TargetMode="External" Id="rId646"/><Relationship Type="http://schemas.openxmlformats.org/officeDocument/2006/relationships/hyperlink" Target="https://doi.org/10.1038/tp.2015.221" TargetMode="External" Id="rId647"/><Relationship Type="http://schemas.openxmlformats.org/officeDocument/2006/relationships/hyperlink" Target="https://doi.org/10.1038/tp.2015.221" TargetMode="External" Id="rId648"/><Relationship Type="http://schemas.openxmlformats.org/officeDocument/2006/relationships/hyperlink" Target="https://doi.org/10.1038/tp.2015.221" TargetMode="External" Id="rId649"/><Relationship Type="http://schemas.openxmlformats.org/officeDocument/2006/relationships/hyperlink" Target="https://doi.org/10.1097/dbp.0000000000000668" TargetMode="External" Id="rId650"/><Relationship Type="http://schemas.openxmlformats.org/officeDocument/2006/relationships/hyperlink" Target="https://doi.org/10.1097/dbp.0000000000000668" TargetMode="External" Id="rId651"/><Relationship Type="http://schemas.openxmlformats.org/officeDocument/2006/relationships/hyperlink" Target="https://doi.org/10.1097/dbp.0000000000000668" TargetMode="External" Id="rId652"/><Relationship Type="http://schemas.openxmlformats.org/officeDocument/2006/relationships/hyperlink" Target="https://doi.org/10.1097/dbp.0000000000000668" TargetMode="External" Id="rId653"/><Relationship Type="http://schemas.openxmlformats.org/officeDocument/2006/relationships/hyperlink" Target="https://doi.org/10.1097/dbp.0000000000000668" TargetMode="External" Id="rId654"/><Relationship Type="http://schemas.openxmlformats.org/officeDocument/2006/relationships/hyperlink" Target="https://doi.org/10.1097/dbp.0000000000000668" TargetMode="External" Id="rId655"/><Relationship Type="http://schemas.openxmlformats.org/officeDocument/2006/relationships/hyperlink" Target="https://doi.org/10.1038/s41591-023-02574-3" TargetMode="External" Id="rId656"/><Relationship Type="http://schemas.openxmlformats.org/officeDocument/2006/relationships/hyperlink" Target="https://doi.org/10.1038/s41591-023-02574-3" TargetMode="External" Id="rId657"/><Relationship Type="http://schemas.openxmlformats.org/officeDocument/2006/relationships/hyperlink" Target="https://doi.org/10.1038/s41591-023-02574-3" TargetMode="External" Id="rId658"/><Relationship Type="http://schemas.openxmlformats.org/officeDocument/2006/relationships/hyperlink" Target="https://doi.org/10.1038/s41591-023-02574-3" TargetMode="External" Id="rId659"/><Relationship Type="http://schemas.openxmlformats.org/officeDocument/2006/relationships/hyperlink" Target="https://doi.org/10.1038/s41591-023-02574-3" TargetMode="External" Id="rId660"/><Relationship Type="http://schemas.openxmlformats.org/officeDocument/2006/relationships/hyperlink" Target="https://doi.org/10.1038/s41591-023-02574-3" TargetMode="External" Id="rId661"/><Relationship Type="http://schemas.openxmlformats.org/officeDocument/2006/relationships/hyperlink" Target="https://doi.org/10.1038/s41591-023-02574-3" TargetMode="External" Id="rId662"/><Relationship Type="http://schemas.openxmlformats.org/officeDocument/2006/relationships/hyperlink" Target="https://doi.org/10.1038/s41591-023-02574-3" TargetMode="External" Id="rId663"/><Relationship Type="http://schemas.openxmlformats.org/officeDocument/2006/relationships/hyperlink" Target="https://doi.org/10.1038/s41591-023-02574-3" TargetMode="External" Id="rId664"/><Relationship Type="http://schemas.openxmlformats.org/officeDocument/2006/relationships/hyperlink" Target="https://doi.org/10.1109/embc.2016.7591440" TargetMode="External" Id="rId665"/><Relationship Type="http://schemas.openxmlformats.org/officeDocument/2006/relationships/hyperlink" Target="https://doi.org/10.1109/embc.2016.7591440" TargetMode="External" Id="rId666"/><Relationship Type="http://schemas.openxmlformats.org/officeDocument/2006/relationships/hyperlink" Target="https://doi.org/10.1109/embc.2016.7591440" TargetMode="External" Id="rId667"/><Relationship Type="http://schemas.openxmlformats.org/officeDocument/2006/relationships/hyperlink" Target="https://doi.org/10.1109/embc.2016.7591440" TargetMode="External" Id="rId668"/><Relationship Type="http://schemas.openxmlformats.org/officeDocument/2006/relationships/hyperlink" Target="https://doi.org/10.1109/embc.2016.7591440" TargetMode="External" Id="rId669"/><Relationship Type="http://schemas.openxmlformats.org/officeDocument/2006/relationships/hyperlink" Target="https://doi.org/10.1109/embc.2016.7591440" TargetMode="External" Id="rId670"/><Relationship Type="http://schemas.openxmlformats.org/officeDocument/2006/relationships/hyperlink" Target="https://doi.org/10.1038/s41598-025-01500-6" TargetMode="External" Id="rId671"/><Relationship Type="http://schemas.openxmlformats.org/officeDocument/2006/relationships/hyperlink" Target="https://doi.org/10.1038/s41598-025-01500-6" TargetMode="External" Id="rId672"/><Relationship Type="http://schemas.openxmlformats.org/officeDocument/2006/relationships/hyperlink" Target="https://doi.org/10.1038/s41598-025-01500-6" TargetMode="External" Id="rId673"/><Relationship Type="http://schemas.openxmlformats.org/officeDocument/2006/relationships/hyperlink" Target="https://doi.org/10.1038/s41598-025-01500-6" TargetMode="External" Id="rId674"/><Relationship Type="http://schemas.openxmlformats.org/officeDocument/2006/relationships/hyperlink" Target="https://doi.org/10.1038/s41598-025-01500-6" TargetMode="External" Id="rId675"/><Relationship Type="http://schemas.openxmlformats.org/officeDocument/2006/relationships/hyperlink" Target="https://doi.org/10.1038/s41598-025-01500-6" TargetMode="External" Id="rId676"/><Relationship Type="http://schemas.openxmlformats.org/officeDocument/2006/relationships/hyperlink" Target="https://doi.org/10.1016/j.jaac.2016.07.715" TargetMode="External" Id="rId677"/><Relationship Type="http://schemas.openxmlformats.org/officeDocument/2006/relationships/hyperlink" Target="https://doi.org/10.1016/j.jaac.2016.07.715" TargetMode="External" Id="rId678"/><Relationship Type="http://schemas.openxmlformats.org/officeDocument/2006/relationships/hyperlink" Target="https://doi.org/10.1016/j.jaac.2016.07.715" TargetMode="External" Id="rId679"/><Relationship Type="http://schemas.openxmlformats.org/officeDocument/2006/relationships/hyperlink" Target="https://doi.org/10.1016/j.jaac.2016.07.715" TargetMode="External" Id="rId680"/><Relationship Type="http://schemas.openxmlformats.org/officeDocument/2006/relationships/hyperlink" Target="https://doi.org/10.1016/j.jaac.2016.07.715" TargetMode="External" Id="rId681"/><Relationship Type="http://schemas.openxmlformats.org/officeDocument/2006/relationships/hyperlink" Target="https://doi.org/10.1016/j.jaac.2016.07.715" TargetMode="External" Id="rId682"/><Relationship Type="http://schemas.openxmlformats.org/officeDocument/2006/relationships/hyperlink" Target="https://doi.org/10.1016/j.jaac.2016.07.715" TargetMode="External" Id="rId683"/><Relationship Type="http://schemas.openxmlformats.org/officeDocument/2006/relationships/hyperlink" Target="https://doi.org/10.1016/j.jaac.2016.07.715" TargetMode="External" Id="rId684"/><Relationship Type="http://schemas.openxmlformats.org/officeDocument/2006/relationships/hyperlink" Target="https://doi.org/10.1109/access.2025.3531979" TargetMode="External" Id="rId685"/><Relationship Type="http://schemas.openxmlformats.org/officeDocument/2006/relationships/hyperlink" Target="https://doi.org/10.1109/access.2025.3531979" TargetMode="External" Id="rId686"/><Relationship Type="http://schemas.openxmlformats.org/officeDocument/2006/relationships/hyperlink" Target="https://doi.org/10.1109/access.2025.3531979" TargetMode="External" Id="rId687"/><Relationship Type="http://schemas.openxmlformats.org/officeDocument/2006/relationships/hyperlink" Target="https://doi.org/10.1109/access.2025.3531979" TargetMode="External" Id="rId688"/><Relationship Type="http://schemas.openxmlformats.org/officeDocument/2006/relationships/hyperlink" Target="https://doi.org/10.1109/access.2025.3531979" TargetMode="External" Id="rId689"/><Relationship Type="http://schemas.openxmlformats.org/officeDocument/2006/relationships/hyperlink" Target="https://doi.org/10.1016/j.heliyon.2023.e21530" TargetMode="External" Id="rId690"/><Relationship Type="http://schemas.openxmlformats.org/officeDocument/2006/relationships/hyperlink" Target="https://doi.org/10.1016/j.heliyon.2023.e21530" TargetMode="External" Id="rId691"/><Relationship Type="http://schemas.openxmlformats.org/officeDocument/2006/relationships/hyperlink" Target="https://doi.org/10.1016/j.heliyon.2023.e21530" TargetMode="External" Id="rId692"/><Relationship Type="http://schemas.openxmlformats.org/officeDocument/2006/relationships/hyperlink" Target="https://doi.org/10.1016/j.heliyon.2023.e21530" TargetMode="External" Id="rId693"/><Relationship Type="http://schemas.openxmlformats.org/officeDocument/2006/relationships/hyperlink" Target="https://doi.org/10.1016/j.heliyon.2023.e21530" TargetMode="External" Id="rId694"/><Relationship Type="http://schemas.openxmlformats.org/officeDocument/2006/relationships/hyperlink" Target="https://doi.org/10.1016/j.heliyon.2023.e21530" TargetMode="External" Id="rId695"/><Relationship Type="http://schemas.openxmlformats.org/officeDocument/2006/relationships/hyperlink" Target="https://doi.org/10.1007/s10278-019-00196-1" TargetMode="External" Id="rId696"/><Relationship Type="http://schemas.openxmlformats.org/officeDocument/2006/relationships/hyperlink" Target="https://doi.org/10.1007/s10278-019-00196-1" TargetMode="External" Id="rId697"/><Relationship Type="http://schemas.openxmlformats.org/officeDocument/2006/relationships/hyperlink" Target="https://doi.org/10.1007/s10278-019-00196-1" TargetMode="External" Id="rId698"/><Relationship Type="http://schemas.openxmlformats.org/officeDocument/2006/relationships/hyperlink" Target="https://doi.org/10.1007/s10278-019-00196-1" TargetMode="External" Id="rId699"/><Relationship Type="http://schemas.openxmlformats.org/officeDocument/2006/relationships/hyperlink" Target="https://doi.org/10.2196/mental.9631" TargetMode="External" Id="rId700"/><Relationship Type="http://schemas.openxmlformats.org/officeDocument/2006/relationships/hyperlink" Target="https://doi.org/10.2196/mental.9631" TargetMode="External" Id="rId701"/><Relationship Type="http://schemas.openxmlformats.org/officeDocument/2006/relationships/hyperlink" Target="https://doi.org/10.2196/mental.9631" TargetMode="External" Id="rId702"/><Relationship Type="http://schemas.openxmlformats.org/officeDocument/2006/relationships/hyperlink" Target="https://doi.org/10.2196/mental.9631" TargetMode="External" Id="rId703"/><Relationship Type="http://schemas.openxmlformats.org/officeDocument/2006/relationships/hyperlink" Target="https://doi.org/10.2196/mental.9631" TargetMode="External" Id="rId704"/><Relationship Type="http://schemas.openxmlformats.org/officeDocument/2006/relationships/hyperlink" Target="https://doi.org/10.2196/mental.9631" TargetMode="External" Id="rId705"/><Relationship Type="http://schemas.openxmlformats.org/officeDocument/2006/relationships/hyperlink" Target="https://doi.org/10.2196/mental.9631" TargetMode="External" Id="rId706"/><Relationship Type="http://schemas.openxmlformats.org/officeDocument/2006/relationships/hyperlink" Target="https://doi.org/10.2196/mental.9631" TargetMode="External" Id="rId707"/><Relationship Type="http://schemas.openxmlformats.org/officeDocument/2006/relationships/hyperlink" Target="https://doi.org/10.1007/978-981-96-6960-8_26" TargetMode="External" Id="rId708"/><Relationship Type="http://schemas.openxmlformats.org/officeDocument/2006/relationships/hyperlink" Target="https://doi.org/10.1007/978-981-96-6960-8_26" TargetMode="External" Id="rId709"/><Relationship Type="http://schemas.openxmlformats.org/officeDocument/2006/relationships/hyperlink" Target="https://doi.org/10.1007/978-981-96-6960-8_26" TargetMode="External" Id="rId710"/><Relationship Type="http://schemas.openxmlformats.org/officeDocument/2006/relationships/hyperlink" Target="https://doi.org/10.1007/978-981-96-6960-8_26" TargetMode="External" Id="rId711"/><Relationship Type="http://schemas.openxmlformats.org/officeDocument/2006/relationships/hyperlink" Target="https://doi.org/10.1007/978-981-96-6960-8_26" TargetMode="External" Id="rId712"/><Relationship Type="http://schemas.openxmlformats.org/officeDocument/2006/relationships/hyperlink" Target="https://doi.org/10.1007/978-981-96-6960-8_26" TargetMode="External" Id="rId713"/><Relationship Type="http://schemas.openxmlformats.org/officeDocument/2006/relationships/hyperlink" Target="https://doi.org/10.1007/978-981-96-6960-8_26" TargetMode="External" Id="rId714"/><Relationship Type="http://schemas.openxmlformats.org/officeDocument/2006/relationships/hyperlink" Target="https://doi.org/10.1038/s41562-025-02132-6" TargetMode="External" Id="rId715"/><Relationship Type="http://schemas.openxmlformats.org/officeDocument/2006/relationships/hyperlink" Target="https://doi.org/10.1038/s41562-025-02132-6" TargetMode="External" Id="rId716"/><Relationship Type="http://schemas.openxmlformats.org/officeDocument/2006/relationships/hyperlink" Target="https://doi.org/10.1038/s41562-025-02132-6" TargetMode="External" Id="rId717"/><Relationship Type="http://schemas.openxmlformats.org/officeDocument/2006/relationships/hyperlink" Target="https://doi.org/10.1038/s41562-025-02132-6" TargetMode="External" Id="rId718"/><Relationship Type="http://schemas.openxmlformats.org/officeDocument/2006/relationships/hyperlink" Target="https://doi.org/10.1038/s41562-025-02132-6" TargetMode="External" Id="rId719"/><Relationship Type="http://schemas.openxmlformats.org/officeDocument/2006/relationships/hyperlink" Target="https://doi.org/10.1038/s41562-025-02132-6" TargetMode="External" Id="rId720"/><Relationship Type="http://schemas.openxmlformats.org/officeDocument/2006/relationships/hyperlink" Target="https://doi.org/10.1038/s41562-025-02132-6" TargetMode="External" Id="rId721"/><Relationship Type="http://schemas.openxmlformats.org/officeDocument/2006/relationships/hyperlink" Target="https://doi.org/10.2196/jmir.5439" TargetMode="External" Id="rId722"/><Relationship Type="http://schemas.openxmlformats.org/officeDocument/2006/relationships/hyperlink" Target="https://doi.org/10.2196/jmir.5439" TargetMode="External" Id="rId723"/><Relationship Type="http://schemas.openxmlformats.org/officeDocument/2006/relationships/hyperlink" Target="https://doi.org/10.2196/jmir.5439" TargetMode="External" Id="rId724"/><Relationship Type="http://schemas.openxmlformats.org/officeDocument/2006/relationships/hyperlink" Target="https://doi.org/10.2196/jmir.5439" TargetMode="External" Id="rId725"/><Relationship Type="http://schemas.openxmlformats.org/officeDocument/2006/relationships/hyperlink" Target="https://doi.org/10.2196/jmir.5439" TargetMode="External" Id="rId726"/><Relationship Type="http://schemas.openxmlformats.org/officeDocument/2006/relationships/hyperlink" Target="https://doi.org/10.2196/jmir.5439" TargetMode="External" Id="rId727"/><Relationship Type="http://schemas.openxmlformats.org/officeDocument/2006/relationships/hyperlink" Target="https://doi.org/10.1111/jcpp.12559" TargetMode="External" Id="rId728"/><Relationship Type="http://schemas.openxmlformats.org/officeDocument/2006/relationships/hyperlink" Target="https://doi.org/10.1111/jcpp.12559" TargetMode="External" Id="rId729"/><Relationship Type="http://schemas.openxmlformats.org/officeDocument/2006/relationships/hyperlink" Target="https://doi.org/10.1111/jcpp.12559" TargetMode="External" Id="rId730"/><Relationship Type="http://schemas.openxmlformats.org/officeDocument/2006/relationships/hyperlink" Target="https://doi.org/10.1111/jcpp.12559" TargetMode="External" Id="rId731"/><Relationship Type="http://schemas.openxmlformats.org/officeDocument/2006/relationships/hyperlink" Target="https://doi.org/10.1038/s41598-022-21719-x" TargetMode="External" Id="rId732"/><Relationship Type="http://schemas.openxmlformats.org/officeDocument/2006/relationships/hyperlink" Target="https://doi.org/10.1038/s41598-022-21719-x" TargetMode="External" Id="rId733"/><Relationship Type="http://schemas.openxmlformats.org/officeDocument/2006/relationships/hyperlink" Target="https://doi.org/10.1038/s41598-022-21719-x" TargetMode="External" Id="rId734"/><Relationship Type="http://schemas.openxmlformats.org/officeDocument/2006/relationships/hyperlink" Target="https://doi.org/10.1038/s41598-022-21719-x" TargetMode="External" Id="rId735"/><Relationship Type="http://schemas.openxmlformats.org/officeDocument/2006/relationships/hyperlink" Target="https://doi.org/10.1038/s41598-022-21719-x" TargetMode="External" Id="rId736"/><Relationship Type="http://schemas.openxmlformats.org/officeDocument/2006/relationships/hyperlink" Target="https://doi.org/10.1016/b978-0-12-822822-7.00011-9" TargetMode="External" Id="rId737"/><Relationship Type="http://schemas.openxmlformats.org/officeDocument/2006/relationships/hyperlink" Target="https://doi.org/10.1016/b978-0-12-822822-7.00011-9" TargetMode="External" Id="rId738"/><Relationship Type="http://schemas.openxmlformats.org/officeDocument/2006/relationships/hyperlink" Target="https://doi.org/10.1016/b978-0-12-822822-7.00011-9" TargetMode="External" Id="rId739"/><Relationship Type="http://schemas.openxmlformats.org/officeDocument/2006/relationships/hyperlink" Target="https://doi.org/10.1016/b978-0-12-822822-7.00011-9" TargetMode="External" Id="rId740"/><Relationship Type="http://schemas.openxmlformats.org/officeDocument/2006/relationships/hyperlink" Target="https://doi.org/10.1016/b978-0-12-822822-7.00011-9" TargetMode="External" Id="rId741"/><Relationship Type="http://schemas.openxmlformats.org/officeDocument/2006/relationships/hyperlink" Target="https://doi.org/10.1016/b978-0-12-822822-7.00011-9" TargetMode="External" Id="rId742"/><Relationship Type="http://schemas.openxmlformats.org/officeDocument/2006/relationships/hyperlink" Target="https://doi.org/10.1016/b978-0-12-822822-7.00011-9" TargetMode="External" Id="rId743"/><Relationship Type="http://schemas.openxmlformats.org/officeDocument/2006/relationships/hyperlink" Target="https://doi.org/10.1007/s10803-021-05141-2" TargetMode="External" Id="rId744"/><Relationship Type="http://schemas.openxmlformats.org/officeDocument/2006/relationships/hyperlink" Target="https://doi.org/10.1007/s10803-021-05141-2" TargetMode="External" Id="rId745"/><Relationship Type="http://schemas.openxmlformats.org/officeDocument/2006/relationships/hyperlink" Target="https://doi.org/10.1007/s10803-021-05141-2" TargetMode="External" Id="rId746"/><Relationship Type="http://schemas.openxmlformats.org/officeDocument/2006/relationships/hyperlink" Target="https://doi.org/10.1007/s10803-021-05141-2" TargetMode="External" Id="rId747"/><Relationship Type="http://schemas.openxmlformats.org/officeDocument/2006/relationships/hyperlink" Target="https://doi.org/10.1007/s10803-021-05141-2" TargetMode="External" Id="rId748"/><Relationship Type="http://schemas.openxmlformats.org/officeDocument/2006/relationships/hyperlink" Target="https://doi.org/10.1016/j.neucom.2022.02.017" TargetMode="External" Id="rId749"/><Relationship Type="http://schemas.openxmlformats.org/officeDocument/2006/relationships/hyperlink" Target="https://doi.org/10.1016/j.neucom.2022.02.017" TargetMode="External" Id="rId750"/><Relationship Type="http://schemas.openxmlformats.org/officeDocument/2006/relationships/hyperlink" Target="https://doi.org/10.1016/j.neucom.2022.02.017" TargetMode="External" Id="rId751"/><Relationship Type="http://schemas.openxmlformats.org/officeDocument/2006/relationships/hyperlink" Target="https://doi.org/10.1016/j.neucom.2022.02.017" TargetMode="External" Id="rId752"/><Relationship Type="http://schemas.openxmlformats.org/officeDocument/2006/relationships/hyperlink" Target="https://doi.org/10.1016/j.neucom.2022.02.017" TargetMode="External" Id="rId753"/><Relationship Type="http://schemas.openxmlformats.org/officeDocument/2006/relationships/hyperlink" Target="https://doi.org/10.1177/1460458221991882" TargetMode="External" Id="rId754"/><Relationship Type="http://schemas.openxmlformats.org/officeDocument/2006/relationships/hyperlink" Target="https://doi.org/10.1177/1460458221991882" TargetMode="External" Id="rId755"/><Relationship Type="http://schemas.openxmlformats.org/officeDocument/2006/relationships/hyperlink" Target="https://doi.org/10.1177/1460458221991882" TargetMode="External" Id="rId756"/><Relationship Type="http://schemas.openxmlformats.org/officeDocument/2006/relationships/hyperlink" Target="https://doi.org/10.1177/1460458221991882" TargetMode="External" Id="rId757"/><Relationship Type="http://schemas.openxmlformats.org/officeDocument/2006/relationships/hyperlink" Target="https://doi.org/10.1177/1460458221991882" TargetMode="External" Id="rId758"/><Relationship Type="http://schemas.openxmlformats.org/officeDocument/2006/relationships/hyperlink" Target="https://doi.org/10.1177/1460458221991882" TargetMode="External" Id="rId759"/><Relationship Type="http://schemas.openxmlformats.org/officeDocument/2006/relationships/hyperlink" Target="https://doi.org/10.1177/1460458221991882" TargetMode="External" Id="rId760"/><Relationship Type="http://schemas.openxmlformats.org/officeDocument/2006/relationships/hyperlink" Target="https://doi.org/10.1038/s41598-024-64299-8" TargetMode="External" Id="rId761"/><Relationship Type="http://schemas.openxmlformats.org/officeDocument/2006/relationships/hyperlink" Target="https://doi.org/10.1038/s41598-024-64299-8" TargetMode="External" Id="rId762"/><Relationship Type="http://schemas.openxmlformats.org/officeDocument/2006/relationships/hyperlink" Target="https://doi.org/10.1038/s41598-024-64299-8" TargetMode="External" Id="rId763"/><Relationship Type="http://schemas.openxmlformats.org/officeDocument/2006/relationships/hyperlink" Target="https://doi.org/10.1038/s41598-024-64299-8" TargetMode="External" Id="rId764"/><Relationship Type="http://schemas.openxmlformats.org/officeDocument/2006/relationships/hyperlink" Target="https://doi.org/10.1038/s41598-024-64299-8" TargetMode="External" Id="rId765"/><Relationship Type="http://schemas.openxmlformats.org/officeDocument/2006/relationships/hyperlink" Target="https://doi.org/10.1038/s41598-024-64299-8" TargetMode="External" Id="rId766"/><Relationship Type="http://schemas.openxmlformats.org/officeDocument/2006/relationships/hyperlink" Target="https://doi.org/10.1007/s11517-023-02859-2" TargetMode="External" Id="rId767"/><Relationship Type="http://schemas.openxmlformats.org/officeDocument/2006/relationships/hyperlink" Target="https://doi.org/10.1007/s11517-023-02859-2" TargetMode="External" Id="rId768"/><Relationship Type="http://schemas.openxmlformats.org/officeDocument/2006/relationships/hyperlink" Target="https://doi.org/10.1007/s11517-023-02859-2" TargetMode="External" Id="rId769"/><Relationship Type="http://schemas.openxmlformats.org/officeDocument/2006/relationships/hyperlink" Target="https://doi.org/10.1007/s11517-023-02859-2" TargetMode="External" Id="rId770"/><Relationship Type="http://schemas.openxmlformats.org/officeDocument/2006/relationships/hyperlink" Target="https://doi.org/10.1007/s11517-023-02859-2" TargetMode="External" Id="rId771"/><Relationship Type="http://schemas.openxmlformats.org/officeDocument/2006/relationships/hyperlink" Target="https://doi.org/10.1007/s10803-025-06811-1" TargetMode="External" Id="rId772"/><Relationship Type="http://schemas.openxmlformats.org/officeDocument/2006/relationships/hyperlink" Target="https://doi.org/10.1007/s10803-025-06811-1" TargetMode="External" Id="rId773"/><Relationship Type="http://schemas.openxmlformats.org/officeDocument/2006/relationships/hyperlink" Target="https://doi.org/10.1007/s10803-025-06811-1" TargetMode="External" Id="rId774"/><Relationship Type="http://schemas.openxmlformats.org/officeDocument/2006/relationships/hyperlink" Target="https://doi.org/10.1007/s10803-025-06811-1" TargetMode="External" Id="rId775"/><Relationship Type="http://schemas.openxmlformats.org/officeDocument/2006/relationships/hyperlink" Target="https://doi.org/10.1007/s10803-025-06811-1" TargetMode="External" Id="rId776"/><Relationship Type="http://schemas.openxmlformats.org/officeDocument/2006/relationships/hyperlink" Target="https://doi.org/10.1007/s10803-025-06811-1" TargetMode="External" Id="rId777"/><Relationship Type="http://schemas.openxmlformats.org/officeDocument/2006/relationships/hyperlink" Target="https://doi.org/10.1007/s10803-025-06811-1" TargetMode="External" Id="rId778"/><Relationship Type="http://schemas.openxmlformats.org/officeDocument/2006/relationships/hyperlink" Target="https://doi.org/10.1109/jbhi.2025.3542066" TargetMode="External" Id="rId779"/><Relationship Type="http://schemas.openxmlformats.org/officeDocument/2006/relationships/hyperlink" Target="https://doi.org/10.1109/jbhi.2025.3542066" TargetMode="External" Id="rId780"/><Relationship Type="http://schemas.openxmlformats.org/officeDocument/2006/relationships/hyperlink" Target="https://doi.org/10.1109/jbhi.2025.3542066" TargetMode="External" Id="rId781"/><Relationship Type="http://schemas.openxmlformats.org/officeDocument/2006/relationships/hyperlink" Target="https://doi.org/10.1109/jbhi.2025.3542066" TargetMode="External" Id="rId782"/><Relationship Type="http://schemas.openxmlformats.org/officeDocument/2006/relationships/hyperlink" Target="https://doi.org/10.1109/jbhi.2025.3542066" TargetMode="External" Id="rId783"/><Relationship Type="http://schemas.openxmlformats.org/officeDocument/2006/relationships/hyperlink" Target="https://doi.org/10.1186/s12920-023-01439-5" TargetMode="External" Id="rId784"/><Relationship Type="http://schemas.openxmlformats.org/officeDocument/2006/relationships/hyperlink" Target="https://doi.org/10.1186/s12920-023-01439-5" TargetMode="External" Id="rId785"/><Relationship Type="http://schemas.openxmlformats.org/officeDocument/2006/relationships/hyperlink" Target="https://doi.org/10.1186/s12920-023-01439-5" TargetMode="External" Id="rId786"/><Relationship Type="http://schemas.openxmlformats.org/officeDocument/2006/relationships/hyperlink" Target="https://doi.org/10.1186/s12920-023-01439-5" TargetMode="External" Id="rId787"/><Relationship Type="http://schemas.openxmlformats.org/officeDocument/2006/relationships/hyperlink" Target="https://doi.org/10.1186/s12920-023-01439-5" TargetMode="External" Id="rId788"/><Relationship Type="http://schemas.openxmlformats.org/officeDocument/2006/relationships/hyperlink" Target="https://doi.org/10.1186/s12920-023-01439-5" TargetMode="External" Id="rId789"/><Relationship Type="http://schemas.openxmlformats.org/officeDocument/2006/relationships/hyperlink" Target="https://doi.org/10.1038/s41598-024-56098-y" TargetMode="External" Id="rId790"/><Relationship Type="http://schemas.openxmlformats.org/officeDocument/2006/relationships/hyperlink" Target="https://doi.org/10.1038/s41598-024-56098-y" TargetMode="External" Id="rId791"/><Relationship Type="http://schemas.openxmlformats.org/officeDocument/2006/relationships/hyperlink" Target="https://doi.org/10.1038/s41598-024-56098-y" TargetMode="External" Id="rId792"/><Relationship Type="http://schemas.openxmlformats.org/officeDocument/2006/relationships/hyperlink" Target="https://doi.org/10.1038/s41598-024-56098-y" TargetMode="External" Id="rId793"/><Relationship Type="http://schemas.openxmlformats.org/officeDocument/2006/relationships/hyperlink" Target="https://doi.org/10.1007/s10803-016-2718-4" TargetMode="External" Id="rId794"/><Relationship Type="http://schemas.openxmlformats.org/officeDocument/2006/relationships/hyperlink" Target="https://doi.org/10.1007/s10803-016-2718-4" TargetMode="External" Id="rId795"/><Relationship Type="http://schemas.openxmlformats.org/officeDocument/2006/relationships/hyperlink" Target="https://doi.org/10.1007/s10803-016-2718-4" TargetMode="External" Id="rId796"/><Relationship Type="http://schemas.openxmlformats.org/officeDocument/2006/relationships/hyperlink" Target="https://doi.org/10.1007/s10803-016-2718-4" TargetMode="External" Id="rId797"/><Relationship Type="http://schemas.openxmlformats.org/officeDocument/2006/relationships/hyperlink" Target="https://doi.org/10.1007/s10803-016-2718-4" TargetMode="External" Id="rId798"/><Relationship Type="http://schemas.openxmlformats.org/officeDocument/2006/relationships/hyperlink" Target="https://doi.org/10.1007/s10803-016-2718-4" TargetMode="External" Id="rId799"/><Relationship Type="http://schemas.openxmlformats.org/officeDocument/2006/relationships/hyperlink" Target="https://doi.org/10.1007/s10803-016-2718-4" TargetMode="External" Id="rId800"/><Relationship Type="http://schemas.openxmlformats.org/officeDocument/2006/relationships/hyperlink" Target="https://doi.org/10.1007/s10803-016-2718-4" TargetMode="External" Id="rId801"/><Relationship Type="http://schemas.openxmlformats.org/officeDocument/2006/relationships/hyperlink" Target="https://doi.org/10.1186/s12911-022-02050-x" TargetMode="External" Id="rId802"/><Relationship Type="http://schemas.openxmlformats.org/officeDocument/2006/relationships/hyperlink" Target="https://doi.org/10.1186/s12911-022-02050-x" TargetMode="External" Id="rId803"/><Relationship Type="http://schemas.openxmlformats.org/officeDocument/2006/relationships/hyperlink" Target="https://doi.org/10.1186/s12911-022-02050-x" TargetMode="External" Id="rId804"/><Relationship Type="http://schemas.openxmlformats.org/officeDocument/2006/relationships/hyperlink" Target="https://doi.org/10.1186/s12911-022-02050-x" TargetMode="External" Id="rId805"/><Relationship Type="http://schemas.openxmlformats.org/officeDocument/2006/relationships/hyperlink" Target="https://doi.org/10.1186/s12911-022-02050-x" TargetMode="External" Id="rId806"/><Relationship Type="http://schemas.openxmlformats.org/officeDocument/2006/relationships/hyperlink" Target="https://doi.org/10.1186/s12911-022-02050-x" TargetMode="External" Id="rId807"/><Relationship Type="http://schemas.openxmlformats.org/officeDocument/2006/relationships/hyperlink" Target="https://doi.org/10.1109/tcss.2025.3593119" TargetMode="External" Id="rId808"/><Relationship Type="http://schemas.openxmlformats.org/officeDocument/2006/relationships/hyperlink" Target="https://doi.org/10.1109/tcss.2025.3593119" TargetMode="External" Id="rId809"/><Relationship Type="http://schemas.openxmlformats.org/officeDocument/2006/relationships/hyperlink" Target="https://doi.org/10.1109/tcss.2025.3593119" TargetMode="External" Id="rId810"/><Relationship Type="http://schemas.openxmlformats.org/officeDocument/2006/relationships/hyperlink" Target="https://doi.org/10.1109/tcss.2025.3593119" TargetMode="External" Id="rId811"/><Relationship Type="http://schemas.openxmlformats.org/officeDocument/2006/relationships/hyperlink" Target="https://doi.org/10.1109/tcss.2025.3593119" TargetMode="External" Id="rId812"/><Relationship Type="http://schemas.openxmlformats.org/officeDocument/2006/relationships/hyperlink" Target="https://doi.org/10.1109/tcss.2025.3593119" TargetMode="External" Id="rId813"/><Relationship Type="http://schemas.openxmlformats.org/officeDocument/2006/relationships/hyperlink" Target="https://doi.org/10.1007/s10803-024-06290-w" TargetMode="External" Id="rId814"/><Relationship Type="http://schemas.openxmlformats.org/officeDocument/2006/relationships/hyperlink" Target="https://doi.org/10.1007/s10803-024-06290-w" TargetMode="External" Id="rId815"/><Relationship Type="http://schemas.openxmlformats.org/officeDocument/2006/relationships/hyperlink" Target="https://doi.org/10.1007/s10803-024-06290-w" TargetMode="External" Id="rId816"/><Relationship Type="http://schemas.openxmlformats.org/officeDocument/2006/relationships/hyperlink" Target="https://doi.org/10.1007/s10803-024-06290-w" TargetMode="External" Id="rId817"/><Relationship Type="http://schemas.openxmlformats.org/officeDocument/2006/relationships/hyperlink" Target="https://doi.org/10.1007/s10803-024-06290-w" TargetMode="External" Id="rId818"/><Relationship Type="http://schemas.openxmlformats.org/officeDocument/2006/relationships/hyperlink" Target="https://doi.org/10.1007/s10803-024-06290-w" TargetMode="External" Id="rId819"/><Relationship Type="http://schemas.openxmlformats.org/officeDocument/2006/relationships/hyperlink" Target="https://doi.org/10.1176/appi.ajp.2020.19101091" TargetMode="External" Id="rId820"/><Relationship Type="http://schemas.openxmlformats.org/officeDocument/2006/relationships/hyperlink" Target="https://doi.org/10.1176/appi.ajp.2020.19101091" TargetMode="External" Id="rId821"/><Relationship Type="http://schemas.openxmlformats.org/officeDocument/2006/relationships/hyperlink" Target="https://doi.org/10.1176/appi.ajp.2020.19101091" TargetMode="External" Id="rId822"/><Relationship Type="http://schemas.openxmlformats.org/officeDocument/2006/relationships/hyperlink" Target="https://doi.org/10.1176/appi.ajp.2020.19101091" TargetMode="External" Id="rId823"/><Relationship Type="http://schemas.openxmlformats.org/officeDocument/2006/relationships/hyperlink" Target="https://doi.org/10.1176/appi.ajp.2020.19101091" TargetMode="External" Id="rId824"/><Relationship Type="http://schemas.openxmlformats.org/officeDocument/2006/relationships/hyperlink" Target="https://doi.org/10.1176/appi.ajp.2020.19101091" TargetMode="External" Id="rId825"/><Relationship Type="http://schemas.openxmlformats.org/officeDocument/2006/relationships/hyperlink" Target="https://doi.org/10.1176/appi.ajp.2020.19101091" TargetMode="External" Id="rId826"/><Relationship Type="http://schemas.openxmlformats.org/officeDocument/2006/relationships/hyperlink" Target="https://doi.org/10.1111/jcpp.13406" TargetMode="External" Id="rId827"/><Relationship Type="http://schemas.openxmlformats.org/officeDocument/2006/relationships/hyperlink" Target="https://doi.org/10.1111/jcpp.13406" TargetMode="External" Id="rId828"/><Relationship Type="http://schemas.openxmlformats.org/officeDocument/2006/relationships/hyperlink" Target="https://doi.org/10.1111/jcpp.13406" TargetMode="External" Id="rId829"/><Relationship Type="http://schemas.openxmlformats.org/officeDocument/2006/relationships/hyperlink" Target="https://doi.org/10.1111/jcpp.13406" TargetMode="External" Id="rId830"/><Relationship Type="http://schemas.openxmlformats.org/officeDocument/2006/relationships/hyperlink" Target="https://doi.org/10.1111/jcpp.13406" TargetMode="External" Id="rId831"/><Relationship Type="http://schemas.openxmlformats.org/officeDocument/2006/relationships/hyperlink" Target="https://doi.org/10.1111/jcpp.13406" TargetMode="External" Id="rId832"/><Relationship Type="http://schemas.openxmlformats.org/officeDocument/2006/relationships/hyperlink" Target="https://doi.org/10.1016/j.psychres.2023.115050" TargetMode="External" Id="rId833"/><Relationship Type="http://schemas.openxmlformats.org/officeDocument/2006/relationships/hyperlink" Target="https://doi.org/10.1016/j.psychres.2023.115050" TargetMode="External" Id="rId834"/><Relationship Type="http://schemas.openxmlformats.org/officeDocument/2006/relationships/hyperlink" Target="https://doi.org/10.1016/j.psychres.2023.115050" TargetMode="External" Id="rId835"/><Relationship Type="http://schemas.openxmlformats.org/officeDocument/2006/relationships/hyperlink" Target="https://doi.org/10.1016/j.psychres.2023.115050" TargetMode="External" Id="rId836"/><Relationship Type="http://schemas.openxmlformats.org/officeDocument/2006/relationships/hyperlink" Target="https://doi.org/10.1016/j.psychres.2023.115050" TargetMode="External" Id="rId837"/><Relationship Type="http://schemas.openxmlformats.org/officeDocument/2006/relationships/hyperlink" Target="https://doi.org/10.1016/j.psychres.2023.115050" TargetMode="External" Id="rId838"/><Relationship Type="http://schemas.openxmlformats.org/officeDocument/2006/relationships/hyperlink" Target="https://doi.org/10.1016/j.psychres.2023.115050" TargetMode="External" Id="rId839"/><Relationship Type="http://schemas.openxmlformats.org/officeDocument/2006/relationships/hyperlink" Target="https://doi.org/10.1016/j.psychres.2023.115050" TargetMode="External" Id="rId840"/><Relationship Type="http://schemas.openxmlformats.org/officeDocument/2006/relationships/hyperlink" Target="https://doi.org/10.57197/jdr-2023-0004" TargetMode="External" Id="rId841"/><Relationship Type="http://schemas.openxmlformats.org/officeDocument/2006/relationships/hyperlink" Target="https://doi.org/10.57197/jdr-2023-0004" TargetMode="External" Id="rId842"/><Relationship Type="http://schemas.openxmlformats.org/officeDocument/2006/relationships/hyperlink" Target="https://doi.org/10.57197/jdr-2023-0004" TargetMode="External" Id="rId843"/><Relationship Type="http://schemas.openxmlformats.org/officeDocument/2006/relationships/hyperlink" Target="https://doi.org/10.57197/jdr-2023-0004" TargetMode="External" Id="rId844"/><Relationship Type="http://schemas.openxmlformats.org/officeDocument/2006/relationships/hyperlink" Target="https://doi.org/10.57197/jdr-2023-0004" TargetMode="External" Id="rId845"/><Relationship Type="http://schemas.openxmlformats.org/officeDocument/2006/relationships/hyperlink" Target="https://doi.org/10.57197/jdr-2023-0004" TargetMode="External" Id="rId846"/><Relationship Type="http://schemas.openxmlformats.org/officeDocument/2006/relationships/hyperlink" Target="https://doi.org/10.57197/jdr-2023-0004" TargetMode="External" Id="rId847"/><Relationship Type="http://schemas.openxmlformats.org/officeDocument/2006/relationships/hyperlink" Target="https://doi.org/10.1109/access.2024.3453440" TargetMode="External" Id="rId848"/><Relationship Type="http://schemas.openxmlformats.org/officeDocument/2006/relationships/hyperlink" Target="https://doi.org/10.1109/access.2024.3453440" TargetMode="External" Id="rId849"/><Relationship Type="http://schemas.openxmlformats.org/officeDocument/2006/relationships/hyperlink" Target="https://doi.org/10.1109/access.2024.3453440" TargetMode="External" Id="rId850"/><Relationship Type="http://schemas.openxmlformats.org/officeDocument/2006/relationships/hyperlink" Target="https://doi.org/10.1109/access.2024.3453440" TargetMode="External" Id="rId851"/><Relationship Type="http://schemas.openxmlformats.org/officeDocument/2006/relationships/hyperlink" Target="https://doi.org/10.1109/access.2024.3453440" TargetMode="External" Id="rId852"/><Relationship Type="http://schemas.openxmlformats.org/officeDocument/2006/relationships/hyperlink" Target="https://doi.org/10.1007/978-981-97-6995-7_34" TargetMode="External" Id="rId853"/><Relationship Type="http://schemas.openxmlformats.org/officeDocument/2006/relationships/hyperlink" Target="https://doi.org/10.1007/978-981-97-6995-7_34" TargetMode="External" Id="rId854"/><Relationship Type="http://schemas.openxmlformats.org/officeDocument/2006/relationships/hyperlink" Target="https://doi.org/10.1007/978-981-97-6995-7_34" TargetMode="External" Id="rId855"/><Relationship Type="http://schemas.openxmlformats.org/officeDocument/2006/relationships/hyperlink" Target="https://doi.org/10.1007/978-981-97-6995-7_34" TargetMode="External" Id="rId856"/><Relationship Type="http://schemas.openxmlformats.org/officeDocument/2006/relationships/hyperlink" Target="https://doi.org/10.1007/978-981-97-6995-7_34" TargetMode="External" Id="rId857"/><Relationship Type="http://schemas.openxmlformats.org/officeDocument/2006/relationships/hyperlink" Target="https://doi.org/10.1186/s13677-023-00558-9" TargetMode="External" Id="rId858"/><Relationship Type="http://schemas.openxmlformats.org/officeDocument/2006/relationships/hyperlink" Target="https://doi.org/10.1186/s13677-023-00558-9" TargetMode="External" Id="rId859"/><Relationship Type="http://schemas.openxmlformats.org/officeDocument/2006/relationships/hyperlink" Target="https://doi.org/10.1186/s13677-023-00558-9" TargetMode="External" Id="rId860"/><Relationship Type="http://schemas.openxmlformats.org/officeDocument/2006/relationships/hyperlink" Target="https://doi.org/10.1186/s13677-023-00558-9" TargetMode="External" Id="rId861"/><Relationship Type="http://schemas.openxmlformats.org/officeDocument/2006/relationships/hyperlink" Target="https://doi.org/10.1186/s13677-023-00558-9" TargetMode="External" Id="rId862"/><Relationship Type="http://schemas.openxmlformats.org/officeDocument/2006/relationships/hyperlink" Target="https://doi.org/10.1186/s13677-023-00558-9" TargetMode="External" Id="rId863"/><Relationship Type="http://schemas.openxmlformats.org/officeDocument/2006/relationships/hyperlink" Target="https://doi.org/10.1186/s13677-023-00558-9" TargetMode="External" Id="rId864"/><Relationship Type="http://schemas.openxmlformats.org/officeDocument/2006/relationships/hyperlink" Target="https://doi.org/10.1109/access.2021.3069211" TargetMode="External" Id="rId865"/><Relationship Type="http://schemas.openxmlformats.org/officeDocument/2006/relationships/hyperlink" Target="https://doi.org/10.1109/access.2021.3069211" TargetMode="External" Id="rId866"/><Relationship Type="http://schemas.openxmlformats.org/officeDocument/2006/relationships/hyperlink" Target="https://doi.org/10.1109/access.2021.3069211" TargetMode="External" Id="rId867"/><Relationship Type="http://schemas.openxmlformats.org/officeDocument/2006/relationships/hyperlink" Target="https://doi.org/10.1109/access.2021.3069211" TargetMode="External" Id="rId868"/><Relationship Type="http://schemas.openxmlformats.org/officeDocument/2006/relationships/hyperlink" Target="https://doi.org/10.1109/access.2021.3069211" TargetMode="External" Id="rId869"/><Relationship Type="http://schemas.openxmlformats.org/officeDocument/2006/relationships/hyperlink" Target="https://doi.org/10.1016/j.nicl.2014.12.013" TargetMode="External" Id="rId870"/><Relationship Type="http://schemas.openxmlformats.org/officeDocument/2006/relationships/hyperlink" Target="https://doi.org/10.1016/j.nicl.2014.12.013" TargetMode="External" Id="rId871"/><Relationship Type="http://schemas.openxmlformats.org/officeDocument/2006/relationships/hyperlink" Target="https://doi.org/10.1016/j.nicl.2014.12.013" TargetMode="External" Id="rId872"/><Relationship Type="http://schemas.openxmlformats.org/officeDocument/2006/relationships/hyperlink" Target="https://doi.org/10.1016/j.nicl.2014.12.013" TargetMode="External" Id="rId873"/><Relationship Type="http://schemas.openxmlformats.org/officeDocument/2006/relationships/hyperlink" Target="https://doi.org/10.1016/j.nicl.2014.12.013" TargetMode="External" Id="rId874"/><Relationship Type="http://schemas.openxmlformats.org/officeDocument/2006/relationships/hyperlink" Target="https://doi.org/10.1016/j.nicl.2014.12.013" TargetMode="External" Id="rId875"/><Relationship Type="http://schemas.openxmlformats.org/officeDocument/2006/relationships/hyperlink" Target="https://doi.org/10.1016/j.nicl.2014.12.013" TargetMode="External" Id="rId876"/><Relationship Type="http://schemas.openxmlformats.org/officeDocument/2006/relationships/hyperlink" Target="https://doi.org/10.1007/978-3-031-13844-7_33" TargetMode="External" Id="rId877"/><Relationship Type="http://schemas.openxmlformats.org/officeDocument/2006/relationships/hyperlink" Target="https://doi.org/10.1007/978-3-031-13844-7_33" TargetMode="External" Id="rId878"/><Relationship Type="http://schemas.openxmlformats.org/officeDocument/2006/relationships/hyperlink" Target="https://doi.org/10.1007/978-3-031-13844-7_33" TargetMode="External" Id="rId879"/><Relationship Type="http://schemas.openxmlformats.org/officeDocument/2006/relationships/hyperlink" Target="https://doi.org/10.1007/978-3-031-13844-7_33" TargetMode="External" Id="rId880"/><Relationship Type="http://schemas.openxmlformats.org/officeDocument/2006/relationships/hyperlink" Target="https://doi.org/10.1007/978-3-031-13844-7_33" TargetMode="External" Id="rId881"/><Relationship Type="http://schemas.openxmlformats.org/officeDocument/2006/relationships/hyperlink" Target="https://doi.org/10.1016/j.compbiolchem.2024.108177" TargetMode="External" Id="rId882"/><Relationship Type="http://schemas.openxmlformats.org/officeDocument/2006/relationships/hyperlink" Target="https://doi.org/10.1016/j.compbiolchem.2024.108177" TargetMode="External" Id="rId883"/><Relationship Type="http://schemas.openxmlformats.org/officeDocument/2006/relationships/hyperlink" Target="https://doi.org/10.1016/j.compbiolchem.2024.108177" TargetMode="External" Id="rId884"/><Relationship Type="http://schemas.openxmlformats.org/officeDocument/2006/relationships/hyperlink" Target="https://doi.org/10.1016/j.compbiolchem.2024.108177" TargetMode="External" Id="rId885"/><Relationship Type="http://schemas.openxmlformats.org/officeDocument/2006/relationships/hyperlink" Target="https://doi.org/10.1016/j.compbiolchem.2024.108177" TargetMode="External" Id="rId886"/><Relationship Type="http://schemas.openxmlformats.org/officeDocument/2006/relationships/hyperlink" Target="https://doi.org/10.1002/aur.2622" TargetMode="External" Id="rId887"/><Relationship Type="http://schemas.openxmlformats.org/officeDocument/2006/relationships/hyperlink" Target="https://doi.org/10.1002/aur.2622" TargetMode="External" Id="rId888"/><Relationship Type="http://schemas.openxmlformats.org/officeDocument/2006/relationships/hyperlink" Target="https://doi.org/10.1002/aur.2622" TargetMode="External" Id="rId889"/><Relationship Type="http://schemas.openxmlformats.org/officeDocument/2006/relationships/hyperlink" Target="https://doi.org/10.1002/aur.2622" TargetMode="External" Id="rId890"/><Relationship Type="http://schemas.openxmlformats.org/officeDocument/2006/relationships/hyperlink" Target="https://doi.org/10.1002/aur.2622" TargetMode="External" Id="rId891"/><Relationship Type="http://schemas.openxmlformats.org/officeDocument/2006/relationships/hyperlink" Target="https://doi.org/10.1002/aur.2622" TargetMode="External" Id="rId892"/><Relationship Type="http://schemas.openxmlformats.org/officeDocument/2006/relationships/hyperlink" Target="https://doi.org/10.1002/aur.2622" TargetMode="External" Id="rId893"/><Relationship Type="http://schemas.openxmlformats.org/officeDocument/2006/relationships/hyperlink" Target="https://doi.org/10.1002/aur.2622" TargetMode="External" Id="rId894"/><Relationship Type="http://schemas.openxmlformats.org/officeDocument/2006/relationships/hyperlink" Target="https://doi.org/10.1002/9781119896838.ch18" TargetMode="External" Id="rId895"/><Relationship Type="http://schemas.openxmlformats.org/officeDocument/2006/relationships/hyperlink" Target="https://doi.org/10.1002/9781119896838.ch18" TargetMode="External" Id="rId896"/><Relationship Type="http://schemas.openxmlformats.org/officeDocument/2006/relationships/hyperlink" Target="https://doi.org/10.1002/9781119896838.ch18" TargetMode="External" Id="rId897"/><Relationship Type="http://schemas.openxmlformats.org/officeDocument/2006/relationships/hyperlink" Target="https://doi.org/10.1002/9781119896838.ch18" TargetMode="External" Id="rId898"/><Relationship Type="http://schemas.openxmlformats.org/officeDocument/2006/relationships/hyperlink" Target="https://doi.org/10.1002/9781119896838.ch18" TargetMode="External" Id="rId899"/><Relationship Type="http://schemas.openxmlformats.org/officeDocument/2006/relationships/hyperlink" Target="https://doi.org/10.1002/9781119896838.ch18" TargetMode="External" Id="rId900"/><Relationship Type="http://schemas.openxmlformats.org/officeDocument/2006/relationships/hyperlink" Target="https://doi.org/10.1002/9781119896838.ch18" TargetMode="External" Id="rId901"/><Relationship Type="http://schemas.openxmlformats.org/officeDocument/2006/relationships/hyperlink" Target="https://doi.org/10.1002/9781119896838.ch18" TargetMode="External" Id="rId902"/><Relationship Type="http://schemas.openxmlformats.org/officeDocument/2006/relationships/hyperlink" Target="https://doi.org/10.1155/2020/1357853" TargetMode="External" Id="rId903"/><Relationship Type="http://schemas.openxmlformats.org/officeDocument/2006/relationships/hyperlink" Target="https://doi.org/10.1155/2020/1357853" TargetMode="External" Id="rId904"/><Relationship Type="http://schemas.openxmlformats.org/officeDocument/2006/relationships/hyperlink" Target="https://doi.org/10.1155/2020/1357853" TargetMode="External" Id="rId905"/><Relationship Type="http://schemas.openxmlformats.org/officeDocument/2006/relationships/hyperlink" Target="https://doi.org/10.1155/2020/1357853" TargetMode="External" Id="rId906"/><Relationship Type="http://schemas.openxmlformats.org/officeDocument/2006/relationships/hyperlink" Target="https://doi.org/10.1155/2020/1357853" TargetMode="External" Id="rId907"/><Relationship Type="http://schemas.openxmlformats.org/officeDocument/2006/relationships/hyperlink" Target="https://doi.org/10.1155/2020/1357853" TargetMode="External" Id="rId908"/><Relationship Type="http://schemas.openxmlformats.org/officeDocument/2006/relationships/hyperlink" Target="https://doi.org/10.1007/s13246-023-01350-4" TargetMode="External" Id="rId909"/><Relationship Type="http://schemas.openxmlformats.org/officeDocument/2006/relationships/hyperlink" Target="https://doi.org/10.1007/s13246-023-01350-4" TargetMode="External" Id="rId910"/><Relationship Type="http://schemas.openxmlformats.org/officeDocument/2006/relationships/hyperlink" Target="https://doi.org/10.1007/s13246-023-01350-4" TargetMode="External" Id="rId911"/><Relationship Type="http://schemas.openxmlformats.org/officeDocument/2006/relationships/hyperlink" Target="https://doi.org/10.1007/s13246-023-01350-4" TargetMode="External" Id="rId912"/><Relationship Type="http://schemas.openxmlformats.org/officeDocument/2006/relationships/hyperlink" Target="https://doi.org/10.1007/s13246-023-01350-4" TargetMode="External" Id="rId913"/><Relationship Type="http://schemas.openxmlformats.org/officeDocument/2006/relationships/hyperlink" Target="https://doi.org/10.1136/bmjopen-2018-026226" TargetMode="External" Id="rId914"/><Relationship Type="http://schemas.openxmlformats.org/officeDocument/2006/relationships/hyperlink" Target="https://doi.org/10.1136/bmjopen-2018-026226" TargetMode="External" Id="rId915"/><Relationship Type="http://schemas.openxmlformats.org/officeDocument/2006/relationships/hyperlink" Target="https://doi.org/10.1136/bmjopen-2018-026226" TargetMode="External" Id="rId916"/><Relationship Type="http://schemas.openxmlformats.org/officeDocument/2006/relationships/hyperlink" Target="https://doi.org/10.1136/bmjopen-2018-026226" TargetMode="External" Id="rId917"/><Relationship Type="http://schemas.openxmlformats.org/officeDocument/2006/relationships/hyperlink" Target="https://doi.org/10.1136/bmjopen-2018-026226" TargetMode="External" Id="rId918"/><Relationship Type="http://schemas.openxmlformats.org/officeDocument/2006/relationships/hyperlink" Target="https://doi.org/10.1136/bmjopen-2018-026226" TargetMode="External" Id="rId919"/><Relationship Type="http://schemas.openxmlformats.org/officeDocument/2006/relationships/hyperlink" Target="https://doi.org/10.1136/bmjopen-2018-026226" TargetMode="External" Id="rId920"/><Relationship Type="http://schemas.openxmlformats.org/officeDocument/2006/relationships/hyperlink" Target="https://doi.org/10.1108/lht-08-2019-0176" TargetMode="External" Id="rId921"/><Relationship Type="http://schemas.openxmlformats.org/officeDocument/2006/relationships/hyperlink" Target="https://doi.org/10.1108/lht-08-2019-0176" TargetMode="External" Id="rId922"/><Relationship Type="http://schemas.openxmlformats.org/officeDocument/2006/relationships/hyperlink" Target="https://doi.org/10.1108/lht-08-2019-0176" TargetMode="External" Id="rId923"/><Relationship Type="http://schemas.openxmlformats.org/officeDocument/2006/relationships/hyperlink" Target="https://doi.org/10.1108/lht-08-2019-0176" TargetMode="External" Id="rId924"/><Relationship Type="http://schemas.openxmlformats.org/officeDocument/2006/relationships/hyperlink" Target="https://doi.org/10.1108/lht-08-2019-0176" TargetMode="External" Id="rId925"/><Relationship Type="http://schemas.openxmlformats.org/officeDocument/2006/relationships/hyperlink" Target="https://doi.org/10.1108/lht-08-2019-0176" TargetMode="External" Id="rId926"/><Relationship Type="http://schemas.openxmlformats.org/officeDocument/2006/relationships/hyperlink" Target="https://doi.org/10.1145/3539226" TargetMode="External" Id="rId927"/><Relationship Type="http://schemas.openxmlformats.org/officeDocument/2006/relationships/hyperlink" Target="https://doi.org/10.1145/3539226" TargetMode="External" Id="rId928"/><Relationship Type="http://schemas.openxmlformats.org/officeDocument/2006/relationships/hyperlink" Target="https://doi.org/10.1145/3539226" TargetMode="External" Id="rId929"/><Relationship Type="http://schemas.openxmlformats.org/officeDocument/2006/relationships/hyperlink" Target="https://doi.org/10.1145/3539226" TargetMode="External" Id="rId930"/><Relationship Type="http://schemas.openxmlformats.org/officeDocument/2006/relationships/hyperlink" Target="https://doi.org/10.1145/3539226" TargetMode="External" Id="rId931"/><Relationship Type="http://schemas.openxmlformats.org/officeDocument/2006/relationships/hyperlink" Target="https://doi.org/10.2196/33771" TargetMode="External" Id="rId932"/><Relationship Type="http://schemas.openxmlformats.org/officeDocument/2006/relationships/hyperlink" Target="https://doi.org/10.2196/33771" TargetMode="External" Id="rId933"/><Relationship Type="http://schemas.openxmlformats.org/officeDocument/2006/relationships/hyperlink" Target="https://doi.org/10.2196/33771" TargetMode="External" Id="rId934"/><Relationship Type="http://schemas.openxmlformats.org/officeDocument/2006/relationships/hyperlink" Target="https://doi.org/10.2196/33771" TargetMode="External" Id="rId935"/><Relationship Type="http://schemas.openxmlformats.org/officeDocument/2006/relationships/hyperlink" Target="https://doi.org/10.2196/33771" TargetMode="External" Id="rId936"/><Relationship Type="http://schemas.openxmlformats.org/officeDocument/2006/relationships/hyperlink" Target="https://doi.org/10.2196/15767" TargetMode="External" Id="rId937"/><Relationship Type="http://schemas.openxmlformats.org/officeDocument/2006/relationships/hyperlink" Target="https://doi.org/10.2196/15767" TargetMode="External" Id="rId938"/><Relationship Type="http://schemas.openxmlformats.org/officeDocument/2006/relationships/hyperlink" Target="https://doi.org/10.2196/15767" TargetMode="External" Id="rId939"/><Relationship Type="http://schemas.openxmlformats.org/officeDocument/2006/relationships/hyperlink" Target="https://doi.org/10.2196/15767" TargetMode="External" Id="rId940"/><Relationship Type="http://schemas.openxmlformats.org/officeDocument/2006/relationships/hyperlink" Target="https://doi.org/10.2196/15767" TargetMode="External" Id="rId941"/><Relationship Type="http://schemas.openxmlformats.org/officeDocument/2006/relationships/hyperlink" Target="https://doi.org/10.2196/15767" TargetMode="External" Id="rId942"/><Relationship Type="http://schemas.openxmlformats.org/officeDocument/2006/relationships/hyperlink" Target="https://doi.org/10.1038/srep31107" TargetMode="External" Id="rId943"/><Relationship Type="http://schemas.openxmlformats.org/officeDocument/2006/relationships/hyperlink" Target="https://doi.org/10.1038/srep31107" TargetMode="External" Id="rId944"/><Relationship Type="http://schemas.openxmlformats.org/officeDocument/2006/relationships/hyperlink" Target="https://doi.org/10.1038/srep31107" TargetMode="External" Id="rId945"/><Relationship Type="http://schemas.openxmlformats.org/officeDocument/2006/relationships/hyperlink" Target="https://doi.org/10.1038/srep31107" TargetMode="External" Id="rId946"/><Relationship Type="http://schemas.openxmlformats.org/officeDocument/2006/relationships/hyperlink" Target="https://doi.org/10.1038/srep31107" TargetMode="External" Id="rId947"/><Relationship Type="http://schemas.openxmlformats.org/officeDocument/2006/relationships/hyperlink" Target="https://doi.org/10.1038/srep31107" TargetMode="External" Id="rId948"/><Relationship Type="http://schemas.openxmlformats.org/officeDocument/2006/relationships/hyperlink" Target="https://doi.org/10.2196/52660" TargetMode="External" Id="rId949"/><Relationship Type="http://schemas.openxmlformats.org/officeDocument/2006/relationships/hyperlink" Target="https://doi.org/10.2196/52660" TargetMode="External" Id="rId950"/><Relationship Type="http://schemas.openxmlformats.org/officeDocument/2006/relationships/hyperlink" Target="https://doi.org/10.2196/52660" TargetMode="External" Id="rId951"/><Relationship Type="http://schemas.openxmlformats.org/officeDocument/2006/relationships/hyperlink" Target="https://doi.org/10.2196/52660" TargetMode="External" Id="rId952"/><Relationship Type="http://schemas.openxmlformats.org/officeDocument/2006/relationships/hyperlink" Target="https://doi.org/10.2196/52660" TargetMode="External" Id="rId953"/><Relationship Type="http://schemas.openxmlformats.org/officeDocument/2006/relationships/hyperlink" Target="https://doi.org/10.1111/jcpp.13650" TargetMode="External" Id="rId954"/><Relationship Type="http://schemas.openxmlformats.org/officeDocument/2006/relationships/hyperlink" Target="https://doi.org/10.1111/jcpp.13650" TargetMode="External" Id="rId955"/><Relationship Type="http://schemas.openxmlformats.org/officeDocument/2006/relationships/hyperlink" Target="https://doi.org/10.1111/jcpp.13650" TargetMode="External" Id="rId956"/><Relationship Type="http://schemas.openxmlformats.org/officeDocument/2006/relationships/hyperlink" Target="https://doi.org/10.1111/jcpp.13650" TargetMode="External" Id="rId957"/><Relationship Type="http://schemas.openxmlformats.org/officeDocument/2006/relationships/hyperlink" Target="https://doi.org/10.1111/jcpp.13650" TargetMode="External" Id="rId958"/><Relationship Type="http://schemas.openxmlformats.org/officeDocument/2006/relationships/hyperlink" Target="https://doi.org/10.1111/jcpp.13650" TargetMode="External" Id="rId959"/><Relationship Type="http://schemas.openxmlformats.org/officeDocument/2006/relationships/hyperlink" Target="https://doi.org/10.3233/shti230734" TargetMode="External" Id="rId960"/><Relationship Type="http://schemas.openxmlformats.org/officeDocument/2006/relationships/hyperlink" Target="https://doi.org/10.3233/shti230734" TargetMode="External" Id="rId961"/><Relationship Type="http://schemas.openxmlformats.org/officeDocument/2006/relationships/hyperlink" Target="https://doi.org/10.3233/shti230734" TargetMode="External" Id="rId962"/><Relationship Type="http://schemas.openxmlformats.org/officeDocument/2006/relationships/hyperlink" Target="https://doi.org/10.3233/shti230734" TargetMode="External" Id="rId963"/><Relationship Type="http://schemas.openxmlformats.org/officeDocument/2006/relationships/hyperlink" Target="https://doi.org/10.3233/shti230734" TargetMode="External" Id="rId964"/><Relationship Type="http://schemas.openxmlformats.org/officeDocument/2006/relationships/hyperlink" Target="https://doi.org/10.3233/shti230734" TargetMode="External" Id="rId965"/><Relationship Type="http://schemas.openxmlformats.org/officeDocument/2006/relationships/hyperlink" Target="https://doi.org/10.1038/s41598-023-40073-0" TargetMode="External" Id="rId966"/><Relationship Type="http://schemas.openxmlformats.org/officeDocument/2006/relationships/hyperlink" Target="https://doi.org/10.1038/s41598-023-40073-0" TargetMode="External" Id="rId967"/><Relationship Type="http://schemas.openxmlformats.org/officeDocument/2006/relationships/hyperlink" Target="https://doi.org/10.1038/s41598-023-40073-0" TargetMode="External" Id="rId968"/><Relationship Type="http://schemas.openxmlformats.org/officeDocument/2006/relationships/hyperlink" Target="https://doi.org/10.1038/s41598-023-40073-0" TargetMode="External" Id="rId969"/><Relationship Type="http://schemas.openxmlformats.org/officeDocument/2006/relationships/hyperlink" Target="https://doi.org/10.1038/s41598-023-40073-0" TargetMode="External" Id="rId970"/><Relationship Type="http://schemas.openxmlformats.org/officeDocument/2006/relationships/hyperlink" Target="https://doi.org/10.1007/978-981-99-8141-0_12" TargetMode="External" Id="rId971"/><Relationship Type="http://schemas.openxmlformats.org/officeDocument/2006/relationships/hyperlink" Target="https://doi.org/10.1007/978-981-99-8141-0_12" TargetMode="External" Id="rId972"/><Relationship Type="http://schemas.openxmlformats.org/officeDocument/2006/relationships/hyperlink" Target="https://doi.org/10.1007/978-981-99-8141-0_12" TargetMode="External" Id="rId973"/><Relationship Type="http://schemas.openxmlformats.org/officeDocument/2006/relationships/hyperlink" Target="https://doi.org/10.1007/978-981-99-8141-0_12" TargetMode="External" Id="rId974"/><Relationship Type="http://schemas.openxmlformats.org/officeDocument/2006/relationships/hyperlink" Target="https://doi.org/10.1007/978-981-99-8141-0_12" TargetMode="External" Id="rId975"/><Relationship Type="http://schemas.openxmlformats.org/officeDocument/2006/relationships/hyperlink" Target="https://doi.org/10.1007/978-981-99-8141-0_12" TargetMode="External" Id="rId976"/><Relationship Type="http://schemas.openxmlformats.org/officeDocument/2006/relationships/hyperlink" Target="https://doi.org/10.1007/s12031-019-01311-1" TargetMode="External" Id="rId977"/><Relationship Type="http://schemas.openxmlformats.org/officeDocument/2006/relationships/hyperlink" Target="https://doi.org/10.1007/s12031-019-01311-1" TargetMode="External" Id="rId978"/><Relationship Type="http://schemas.openxmlformats.org/officeDocument/2006/relationships/hyperlink" Target="https://doi.org/10.1007/s12031-019-01311-1" TargetMode="External" Id="rId979"/><Relationship Type="http://schemas.openxmlformats.org/officeDocument/2006/relationships/hyperlink" Target="https://doi.org/10.1007/s12031-019-01311-1" TargetMode="External" Id="rId980"/><Relationship Type="http://schemas.openxmlformats.org/officeDocument/2006/relationships/hyperlink" Target="https://doi.org/10.1007/s12031-019-01311-1" TargetMode="External" Id="rId981"/><Relationship Type="http://schemas.openxmlformats.org/officeDocument/2006/relationships/hyperlink" Target="https://doi.org/10.1007/s12031-019-01311-1" TargetMode="External" Id="rId982"/><Relationship Type="http://schemas.openxmlformats.org/officeDocument/2006/relationships/hyperlink" Target="https://doi.org/10.2174/2666082215666191111121115" TargetMode="External" Id="rId983"/><Relationship Type="http://schemas.openxmlformats.org/officeDocument/2006/relationships/hyperlink" Target="https://doi.org/10.2174/2666082215666191111121115" TargetMode="External" Id="rId984"/><Relationship Type="http://schemas.openxmlformats.org/officeDocument/2006/relationships/hyperlink" Target="https://doi.org/10.2174/2666082215666191111121115" TargetMode="External" Id="rId985"/><Relationship Type="http://schemas.openxmlformats.org/officeDocument/2006/relationships/hyperlink" Target="https://doi.org/10.2174/2666082215666191111121115" TargetMode="External" Id="rId986"/><Relationship Type="http://schemas.openxmlformats.org/officeDocument/2006/relationships/hyperlink" Target="https://doi.org/10.2174/2666082215666191111121115" TargetMode="External" Id="rId987"/><Relationship Type="http://schemas.openxmlformats.org/officeDocument/2006/relationships/hyperlink" Target="https://doi.org/10.1016/j.compbiomed.2024.108194" TargetMode="External" Id="rId988"/><Relationship Type="http://schemas.openxmlformats.org/officeDocument/2006/relationships/hyperlink" Target="https://doi.org/10.1016/j.compbiomed.2024.108194" TargetMode="External" Id="rId989"/><Relationship Type="http://schemas.openxmlformats.org/officeDocument/2006/relationships/hyperlink" Target="https://doi.org/10.1016/j.compbiomed.2024.108194" TargetMode="External" Id="rId990"/><Relationship Type="http://schemas.openxmlformats.org/officeDocument/2006/relationships/hyperlink" Target="https://doi.org/10.1016/j.compbiomed.2024.108194" TargetMode="External" Id="rId991"/><Relationship Type="http://schemas.openxmlformats.org/officeDocument/2006/relationships/hyperlink" Target="https://doi.org/10.1016/j.compbiomed.2024.108194" TargetMode="External" Id="rId992"/><Relationship Type="http://schemas.openxmlformats.org/officeDocument/2006/relationships/hyperlink" Target="https://doi.org/10.1016/j.euroneuro.2017.08.321" TargetMode="External" Id="rId993"/><Relationship Type="http://schemas.openxmlformats.org/officeDocument/2006/relationships/hyperlink" Target="https://doi.org/10.1016/j.euroneuro.2017.08.321" TargetMode="External" Id="rId994"/><Relationship Type="http://schemas.openxmlformats.org/officeDocument/2006/relationships/hyperlink" Target="https://doi.org/10.1016/j.euroneuro.2017.08.321" TargetMode="External" Id="rId995"/><Relationship Type="http://schemas.openxmlformats.org/officeDocument/2006/relationships/hyperlink" Target="https://doi.org/10.1016/j.euroneuro.2017.08.321" TargetMode="External" Id="rId996"/><Relationship Type="http://schemas.openxmlformats.org/officeDocument/2006/relationships/hyperlink" Target="https://doi.org/10.1016/j.euroneuro.2017.08.321" TargetMode="External" Id="rId997"/><Relationship Type="http://schemas.openxmlformats.org/officeDocument/2006/relationships/hyperlink" Target="https://doi.org/10.1016/j.euroneuro.2017.08.321" TargetMode="External" Id="rId998"/><Relationship Type="http://schemas.openxmlformats.org/officeDocument/2006/relationships/hyperlink" Target="https://doi.org/10.1016/j.euroneuro.2017.08.321" TargetMode="External" Id="rId999"/><Relationship Type="http://schemas.openxmlformats.org/officeDocument/2006/relationships/hyperlink" Target="https://doi.org/10.1001/jamapediatrics.2021.0530" TargetMode="External" Id="rId1000"/><Relationship Type="http://schemas.openxmlformats.org/officeDocument/2006/relationships/hyperlink" Target="https://doi.org/10.1001/jamapediatrics.2021.0530" TargetMode="External" Id="rId1001"/><Relationship Type="http://schemas.openxmlformats.org/officeDocument/2006/relationships/hyperlink" Target="https://doi.org/10.1001/jamapediatrics.2021.0530" TargetMode="External" Id="rId1002"/><Relationship Type="http://schemas.openxmlformats.org/officeDocument/2006/relationships/hyperlink" Target="https://doi.org/10.1001/jamapediatrics.2021.0530" TargetMode="External" Id="rId1003"/><Relationship Type="http://schemas.openxmlformats.org/officeDocument/2006/relationships/hyperlink" Target="https://doi.org/10.1001/jamapediatrics.2021.0530" TargetMode="External" Id="rId1004"/><Relationship Type="http://schemas.openxmlformats.org/officeDocument/2006/relationships/hyperlink" Target="https://doi.org/10.1001/jamapediatrics.2021.0530" TargetMode="External" Id="rId1005"/><Relationship Type="http://schemas.openxmlformats.org/officeDocument/2006/relationships/hyperlink" Target="https://doi.org/10.1001/jamapediatrics.2021.0530" TargetMode="External" Id="rId1006"/><Relationship Type="http://schemas.openxmlformats.org/officeDocument/2006/relationships/hyperlink" Target="https://doi.org/10.1016/j.bpsc.2020.09.001" TargetMode="External" Id="rId1007"/><Relationship Type="http://schemas.openxmlformats.org/officeDocument/2006/relationships/hyperlink" Target="https://doi.org/10.1016/j.bpsc.2020.09.001" TargetMode="External" Id="rId1008"/><Relationship Type="http://schemas.openxmlformats.org/officeDocument/2006/relationships/hyperlink" Target="https://doi.org/10.1016/j.bpsc.2020.09.001" TargetMode="External" Id="rId1009"/><Relationship Type="http://schemas.openxmlformats.org/officeDocument/2006/relationships/hyperlink" Target="https://doi.org/10.1016/j.bpsc.2020.09.001" TargetMode="External" Id="rId1010"/><Relationship Type="http://schemas.openxmlformats.org/officeDocument/2006/relationships/hyperlink" Target="https://doi.org/10.1016/j.bpsc.2020.09.001" TargetMode="External" Id="rId1011"/><Relationship Type="http://schemas.openxmlformats.org/officeDocument/2006/relationships/hyperlink" Target="https://doi.org/10.1016/j.bpsc.2020.09.001" TargetMode="External" Id="rId1012"/><Relationship Type="http://schemas.openxmlformats.org/officeDocument/2006/relationships/hyperlink" Target="https://doi.org/10.1016/j.bpsc.2020.09.001" TargetMode="External" Id="rId1013"/><Relationship Type="http://schemas.openxmlformats.org/officeDocument/2006/relationships/hyperlink" Target="https://doi.org/10.1016/j.bpsc.2020.09.001" TargetMode="External" Id="rId1014"/><Relationship Type="http://schemas.openxmlformats.org/officeDocument/2006/relationships/hyperlink" Target="https://doi.org/10.1016/j.procs.2025.05.032" TargetMode="External" Id="rId1015"/><Relationship Type="http://schemas.openxmlformats.org/officeDocument/2006/relationships/hyperlink" Target="https://doi.org/10.1016/j.procs.2025.05.032" TargetMode="External" Id="rId1016"/><Relationship Type="http://schemas.openxmlformats.org/officeDocument/2006/relationships/hyperlink" Target="https://doi.org/10.1016/j.procs.2025.05.032" TargetMode="External" Id="rId1017"/><Relationship Type="http://schemas.openxmlformats.org/officeDocument/2006/relationships/hyperlink" Target="https://doi.org/10.1016/j.procs.2025.05.032" TargetMode="External" Id="rId1018"/><Relationship Type="http://schemas.openxmlformats.org/officeDocument/2006/relationships/hyperlink" Target="https://doi.org/10.1016/j.procs.2025.05.032" TargetMode="External" Id="rId1019"/><Relationship Type="http://schemas.openxmlformats.org/officeDocument/2006/relationships/hyperlink" Target="https://doi.org/10.1016/j.procs.2025.05.032" TargetMode="External" Id="rId1020"/><Relationship Type="http://schemas.openxmlformats.org/officeDocument/2006/relationships/hyperlink" Target="https://doi.org/10.1016/j.jneumeth.2024.110100" TargetMode="External" Id="rId1021"/><Relationship Type="http://schemas.openxmlformats.org/officeDocument/2006/relationships/hyperlink" Target="https://doi.org/10.1016/j.jneumeth.2024.110100" TargetMode="External" Id="rId1022"/><Relationship Type="http://schemas.openxmlformats.org/officeDocument/2006/relationships/hyperlink" Target="https://doi.org/10.1016/j.jneumeth.2024.110100" TargetMode="External" Id="rId1023"/><Relationship Type="http://schemas.openxmlformats.org/officeDocument/2006/relationships/hyperlink" Target="https://doi.org/10.1016/j.jneumeth.2024.110100" TargetMode="External" Id="rId1024"/><Relationship Type="http://schemas.openxmlformats.org/officeDocument/2006/relationships/hyperlink" Target="https://doi.org/10.1016/j.jneumeth.2024.110100" TargetMode="External" Id="rId1025"/><Relationship Type="http://schemas.openxmlformats.org/officeDocument/2006/relationships/hyperlink" Target="https://doi.org/10.1109/thms.2025.3526957" TargetMode="External" Id="rId1026"/><Relationship Type="http://schemas.openxmlformats.org/officeDocument/2006/relationships/hyperlink" Target="https://doi.org/10.1109/thms.2025.3526957" TargetMode="External" Id="rId1027"/><Relationship Type="http://schemas.openxmlformats.org/officeDocument/2006/relationships/hyperlink" Target="https://doi.org/10.1109/thms.2025.3526957" TargetMode="External" Id="rId1028"/><Relationship Type="http://schemas.openxmlformats.org/officeDocument/2006/relationships/hyperlink" Target="https://doi.org/10.1109/thms.2025.3526957" TargetMode="External" Id="rId1029"/><Relationship Type="http://schemas.openxmlformats.org/officeDocument/2006/relationships/hyperlink" Target="https://doi.org/10.1109/thms.2025.3526957" TargetMode="External" Id="rId1030"/><Relationship Type="http://schemas.openxmlformats.org/officeDocument/2006/relationships/hyperlink" Target="https://doi.org/10.1109/thms.2025.3526957" TargetMode="External" Id="rId1031"/><Relationship Type="http://schemas.openxmlformats.org/officeDocument/2006/relationships/hyperlink" Target="https://doi.org/10.3390/s20236762" TargetMode="External" Id="rId1032"/><Relationship Type="http://schemas.openxmlformats.org/officeDocument/2006/relationships/hyperlink" Target="https://doi.org/10.3390/s20236762" TargetMode="External" Id="rId1033"/><Relationship Type="http://schemas.openxmlformats.org/officeDocument/2006/relationships/hyperlink" Target="https://doi.org/10.3390/s20236762" TargetMode="External" Id="rId1034"/><Relationship Type="http://schemas.openxmlformats.org/officeDocument/2006/relationships/hyperlink" Target="https://doi.org/10.3390/s20236762" TargetMode="External" Id="rId1035"/><Relationship Type="http://schemas.openxmlformats.org/officeDocument/2006/relationships/hyperlink" Target="https://doi.org/10.3390/s20236762" TargetMode="External" Id="rId1036"/><Relationship Type="http://schemas.openxmlformats.org/officeDocument/2006/relationships/hyperlink" Target="https://doi.org/10.1016/j.jad.2024.04.049" TargetMode="External" Id="rId1037"/><Relationship Type="http://schemas.openxmlformats.org/officeDocument/2006/relationships/hyperlink" Target="https://doi.org/10.1016/j.jad.2024.04.049" TargetMode="External" Id="rId1038"/><Relationship Type="http://schemas.openxmlformats.org/officeDocument/2006/relationships/hyperlink" Target="https://doi.org/10.1016/j.jad.2024.04.049" TargetMode="External" Id="rId1039"/><Relationship Type="http://schemas.openxmlformats.org/officeDocument/2006/relationships/hyperlink" Target="https://doi.org/10.1016/j.jad.2024.04.049" TargetMode="External" Id="rId1040"/><Relationship Type="http://schemas.openxmlformats.org/officeDocument/2006/relationships/hyperlink" Target="https://doi.org/10.1016/j.jad.2024.04.049" TargetMode="External" Id="rId1041"/><Relationship Type="http://schemas.openxmlformats.org/officeDocument/2006/relationships/hyperlink" Target="https://doi.org/10.1016/j.jad.2024.04.049" TargetMode="External" Id="rId1042"/><Relationship Type="http://schemas.openxmlformats.org/officeDocument/2006/relationships/hyperlink" Target="https://doi.org/10.1038/s41398-019-0631-2" TargetMode="External" Id="rId1043"/><Relationship Type="http://schemas.openxmlformats.org/officeDocument/2006/relationships/hyperlink" Target="https://doi.org/10.1038/s41398-019-0631-2" TargetMode="External" Id="rId1044"/><Relationship Type="http://schemas.openxmlformats.org/officeDocument/2006/relationships/hyperlink" Target="https://doi.org/10.1038/s41398-019-0631-2" TargetMode="External" Id="rId1045"/><Relationship Type="http://schemas.openxmlformats.org/officeDocument/2006/relationships/hyperlink" Target="https://doi.org/10.1038/s41398-019-0631-2" TargetMode="External" Id="rId1046"/><Relationship Type="http://schemas.openxmlformats.org/officeDocument/2006/relationships/hyperlink" Target="https://doi.org/10.1038/s41398-019-0631-2" TargetMode="External" Id="rId1047"/><Relationship Type="http://schemas.openxmlformats.org/officeDocument/2006/relationships/hyperlink" Target="https://doi.org/10.1038/s41398-019-0631-2" TargetMode="External" Id="rId1048"/><Relationship Type="http://schemas.openxmlformats.org/officeDocument/2006/relationships/hyperlink" Target="https://doi.org/10.1016/b978-0-12-822822-7.00004-1" TargetMode="External" Id="rId1049"/><Relationship Type="http://schemas.openxmlformats.org/officeDocument/2006/relationships/hyperlink" Target="https://doi.org/10.1016/b978-0-12-822822-7.00004-1" TargetMode="External" Id="rId1050"/><Relationship Type="http://schemas.openxmlformats.org/officeDocument/2006/relationships/hyperlink" Target="https://doi.org/10.1016/b978-0-12-822822-7.00004-1" TargetMode="External" Id="rId1051"/><Relationship Type="http://schemas.openxmlformats.org/officeDocument/2006/relationships/hyperlink" Target="https://doi.org/10.1016/b978-0-12-822822-7.00004-1" TargetMode="External" Id="rId1052"/><Relationship Type="http://schemas.openxmlformats.org/officeDocument/2006/relationships/hyperlink" Target="https://doi.org/10.1016/b978-0-12-822822-7.00004-1" TargetMode="External" Id="rId1053"/><Relationship Type="http://schemas.openxmlformats.org/officeDocument/2006/relationships/hyperlink" Target="https://doi.org/10.1016/b978-0-12-822822-7.00004-1" TargetMode="External" Id="rId1054"/><Relationship Type="http://schemas.openxmlformats.org/officeDocument/2006/relationships/hyperlink" Target="https://doi.org/10.1016/b978-0-12-822822-7.00004-1" TargetMode="External" Id="rId1055"/><Relationship Type="http://schemas.openxmlformats.org/officeDocument/2006/relationships/hyperlink" Target="https://doi.org/10.1016/b978-0-12-822822-7.00004-1" TargetMode="External" Id="rId1056"/><Relationship Type="http://schemas.openxmlformats.org/officeDocument/2006/relationships/hyperlink" Target="https://doi.org/10.1007/978-3-031-06242-1_27" TargetMode="External" Id="rId1057"/><Relationship Type="http://schemas.openxmlformats.org/officeDocument/2006/relationships/hyperlink" Target="https://doi.org/10.1007/978-3-031-06242-1_27" TargetMode="External" Id="rId1058"/><Relationship Type="http://schemas.openxmlformats.org/officeDocument/2006/relationships/hyperlink" Target="https://doi.org/10.1007/978-3-031-06242-1_27" TargetMode="External" Id="rId1059"/><Relationship Type="http://schemas.openxmlformats.org/officeDocument/2006/relationships/hyperlink" Target="https://doi.org/10.1007/978-3-031-06242-1_27" TargetMode="External" Id="rId1060"/><Relationship Type="http://schemas.openxmlformats.org/officeDocument/2006/relationships/hyperlink" Target="https://doi.org/10.1038/s41598-020-76874-w" TargetMode="External" Id="rId1061"/><Relationship Type="http://schemas.openxmlformats.org/officeDocument/2006/relationships/hyperlink" Target="https://doi.org/10.1038/s41598-020-76874-w" TargetMode="External" Id="rId1062"/><Relationship Type="http://schemas.openxmlformats.org/officeDocument/2006/relationships/hyperlink" Target="https://doi.org/10.1038/s41598-020-76874-w" TargetMode="External" Id="rId1063"/><Relationship Type="http://schemas.openxmlformats.org/officeDocument/2006/relationships/hyperlink" Target="https://doi.org/10.1038/s41598-020-76874-w" TargetMode="External" Id="rId1064"/><Relationship Type="http://schemas.openxmlformats.org/officeDocument/2006/relationships/hyperlink" Target="https://doi.org/10.1038/s41598-020-76874-w" TargetMode="External" Id="rId1065"/><Relationship Type="http://schemas.openxmlformats.org/officeDocument/2006/relationships/hyperlink" Target="https://doi.org/10.1016/b978-0-12-822271-3.00016-5" TargetMode="External" Id="rId1066"/><Relationship Type="http://schemas.openxmlformats.org/officeDocument/2006/relationships/hyperlink" Target="https://doi.org/10.1016/b978-0-12-822271-3.00016-5" TargetMode="External" Id="rId1067"/><Relationship Type="http://schemas.openxmlformats.org/officeDocument/2006/relationships/hyperlink" Target="https://doi.org/10.1016/b978-0-12-822271-3.00016-5" TargetMode="External" Id="rId1068"/><Relationship Type="http://schemas.openxmlformats.org/officeDocument/2006/relationships/hyperlink" Target="https://doi.org/10.1016/b978-0-12-822271-3.00016-5" TargetMode="External" Id="rId1069"/><Relationship Type="http://schemas.openxmlformats.org/officeDocument/2006/relationships/hyperlink" Target="https://doi.org/10.1016/b978-0-12-822271-3.00016-5" TargetMode="External" Id="rId1070"/><Relationship Type="http://schemas.openxmlformats.org/officeDocument/2006/relationships/hyperlink" Target="https://doi.org/10.1016/b978-0-12-822271-3.00016-5" TargetMode="External" Id="rId1071"/><Relationship Type="http://schemas.openxmlformats.org/officeDocument/2006/relationships/hyperlink" Target="https://doi.org/10.1016/b978-0-12-822271-3.00016-5" TargetMode="External" Id="rId1072"/><Relationship Type="http://schemas.openxmlformats.org/officeDocument/2006/relationships/hyperlink" Target="https://doi.org/10.1016/b978-0-12-822271-3.00016-5" TargetMode="External" Id="rId1073"/><Relationship Type="http://schemas.openxmlformats.org/officeDocument/2006/relationships/hyperlink" Target="https://doi.org/10.1016/b978-0-323-98352-5.00001-x" TargetMode="External" Id="rId1074"/><Relationship Type="http://schemas.openxmlformats.org/officeDocument/2006/relationships/hyperlink" Target="https://doi.org/10.1016/b978-0-323-98352-5.00001-x" TargetMode="External" Id="rId1075"/><Relationship Type="http://schemas.openxmlformats.org/officeDocument/2006/relationships/hyperlink" Target="https://doi.org/10.1016/b978-0-323-98352-5.00001-x" TargetMode="External" Id="rId1076"/><Relationship Type="http://schemas.openxmlformats.org/officeDocument/2006/relationships/hyperlink" Target="https://doi.org/10.1016/b978-0-323-98352-5.00001-x" TargetMode="External" Id="rId1077"/><Relationship Type="http://schemas.openxmlformats.org/officeDocument/2006/relationships/hyperlink" Target="https://doi.org/10.1016/b978-0-323-98352-5.00001-x" TargetMode="External" Id="rId1078"/><Relationship Type="http://schemas.openxmlformats.org/officeDocument/2006/relationships/hyperlink" Target="https://doi.org/10.1016/b978-0-323-98352-5.00001-x" TargetMode="External" Id="rId1079"/><Relationship Type="http://schemas.openxmlformats.org/officeDocument/2006/relationships/hyperlink" Target="https://doi.org/10.1016/b978-0-323-98352-5.00001-x" TargetMode="External" Id="rId1080"/><Relationship Type="http://schemas.openxmlformats.org/officeDocument/2006/relationships/hyperlink" Target="https://doi.org/10.1016/b978-0-323-98352-5.00001-x" TargetMode="External" Id="rId1081"/><Relationship Type="http://schemas.openxmlformats.org/officeDocument/2006/relationships/hyperlink" Target="https://doi.org/10.1155/2022/9410222" TargetMode="External" Id="rId1082"/><Relationship Type="http://schemas.openxmlformats.org/officeDocument/2006/relationships/hyperlink" Target="https://doi.org/10.1155/2022/9410222" TargetMode="External" Id="rId1083"/><Relationship Type="http://schemas.openxmlformats.org/officeDocument/2006/relationships/hyperlink" Target="https://doi.org/10.1155/2022/9410222" TargetMode="External" Id="rId1084"/><Relationship Type="http://schemas.openxmlformats.org/officeDocument/2006/relationships/hyperlink" Target="https://doi.org/10.1155/2022/9410222" TargetMode="External" Id="rId1085"/><Relationship Type="http://schemas.openxmlformats.org/officeDocument/2006/relationships/hyperlink" Target="https://doi.org/10.1155/2022/9410222" TargetMode="External" Id="rId1086"/><Relationship Type="http://schemas.openxmlformats.org/officeDocument/2006/relationships/hyperlink" Target="https://doi.org/10.1155/2022/9410222" TargetMode="External" Id="rId1087"/><Relationship Type="http://schemas.openxmlformats.org/officeDocument/2006/relationships/hyperlink" Target="https://doi.org/10.2196/29242" TargetMode="External" Id="rId1088"/><Relationship Type="http://schemas.openxmlformats.org/officeDocument/2006/relationships/hyperlink" Target="https://doi.org/10.2196/29242" TargetMode="External" Id="rId1089"/><Relationship Type="http://schemas.openxmlformats.org/officeDocument/2006/relationships/hyperlink" Target="https://doi.org/10.2196/29242" TargetMode="External" Id="rId1090"/><Relationship Type="http://schemas.openxmlformats.org/officeDocument/2006/relationships/hyperlink" Target="https://doi.org/10.2196/29242" TargetMode="External" Id="rId1091"/><Relationship Type="http://schemas.openxmlformats.org/officeDocument/2006/relationships/hyperlink" Target="https://doi.org/10.2196/29242" TargetMode="External" Id="rId1092"/><Relationship Type="http://schemas.openxmlformats.org/officeDocument/2006/relationships/hyperlink" Target="https://doi.org/10.2196/29242" TargetMode="External" Id="rId1093"/><Relationship Type="http://schemas.openxmlformats.org/officeDocument/2006/relationships/hyperlink" Target="https://doi.org/10.2196/29242" TargetMode="External" Id="rId1094"/><Relationship Type="http://schemas.openxmlformats.org/officeDocument/2006/relationships/hyperlink" Target="https://doi.org/10.2196/29242" TargetMode="External" Id="rId1095"/><Relationship Type="http://schemas.openxmlformats.org/officeDocument/2006/relationships/hyperlink" Target="https://doi.org/10.1007/s11042-024-18519-y" TargetMode="External" Id="rId1096"/><Relationship Type="http://schemas.openxmlformats.org/officeDocument/2006/relationships/hyperlink" Target="https://doi.org/10.1007/s11042-024-18519-y" TargetMode="External" Id="rId1097"/><Relationship Type="http://schemas.openxmlformats.org/officeDocument/2006/relationships/hyperlink" Target="https://doi.org/10.1007/s11042-024-18519-y" TargetMode="External" Id="rId1098"/><Relationship Type="http://schemas.openxmlformats.org/officeDocument/2006/relationships/hyperlink" Target="https://doi.org/10.1007/s11042-024-18519-y" TargetMode="External" Id="rId1099"/><Relationship Type="http://schemas.openxmlformats.org/officeDocument/2006/relationships/hyperlink" Target="https://doi.org/10.1155/acis/9975499" TargetMode="External" Id="rId1100"/><Relationship Type="http://schemas.openxmlformats.org/officeDocument/2006/relationships/hyperlink" Target="https://doi.org/10.1155/acis/9975499" TargetMode="External" Id="rId1101"/><Relationship Type="http://schemas.openxmlformats.org/officeDocument/2006/relationships/hyperlink" Target="https://doi.org/10.1155/acis/9975499" TargetMode="External" Id="rId1102"/><Relationship Type="http://schemas.openxmlformats.org/officeDocument/2006/relationships/hyperlink" Target="https://doi.org/10.1155/acis/9975499" TargetMode="External" Id="rId1103"/><Relationship Type="http://schemas.openxmlformats.org/officeDocument/2006/relationships/hyperlink" Target="https://doi.org/10.1155/acis/9975499" TargetMode="External" Id="rId1104"/><Relationship Type="http://schemas.openxmlformats.org/officeDocument/2006/relationships/hyperlink" Target="https://doi.org/10.1155/acis/9975499" TargetMode="External" Id="rId1105"/><Relationship Type="http://schemas.openxmlformats.org/officeDocument/2006/relationships/hyperlink" Target="https://doi.org/10.1038/s41598-024-76659-5" TargetMode="External" Id="rId1106"/><Relationship Type="http://schemas.openxmlformats.org/officeDocument/2006/relationships/hyperlink" Target="https://doi.org/10.1038/s41598-024-76659-5" TargetMode="External" Id="rId1107"/><Relationship Type="http://schemas.openxmlformats.org/officeDocument/2006/relationships/hyperlink" Target="https://doi.org/10.1038/s41598-024-76659-5" TargetMode="External" Id="rId1108"/><Relationship Type="http://schemas.openxmlformats.org/officeDocument/2006/relationships/hyperlink" Target="https://doi.org/10.1038/s41598-024-76659-5" TargetMode="External" Id="rId1109"/><Relationship Type="http://schemas.openxmlformats.org/officeDocument/2006/relationships/hyperlink" Target="https://doi.org/10.1038/s41598-024-76659-5" TargetMode="External" Id="rId1110"/><Relationship Type="http://schemas.openxmlformats.org/officeDocument/2006/relationships/hyperlink" Target="https://doi.org/10.1038/s41598-024-76659-5" TargetMode="External" Id="rId1111"/><Relationship Type="http://schemas.openxmlformats.org/officeDocument/2006/relationships/hyperlink" Target="https://doi.org/10.1016/j.cmpb.2024.108492" TargetMode="External" Id="rId1112"/><Relationship Type="http://schemas.openxmlformats.org/officeDocument/2006/relationships/hyperlink" Target="https://doi.org/10.1016/j.cmpb.2024.108492" TargetMode="External" Id="rId1113"/><Relationship Type="http://schemas.openxmlformats.org/officeDocument/2006/relationships/hyperlink" Target="https://doi.org/10.1016/j.cmpb.2024.108492" TargetMode="External" Id="rId1114"/><Relationship Type="http://schemas.openxmlformats.org/officeDocument/2006/relationships/hyperlink" Target="https://doi.org/10.1016/j.cmpb.2024.108492" TargetMode="External" Id="rId1115"/><Relationship Type="http://schemas.openxmlformats.org/officeDocument/2006/relationships/hyperlink" Target="https://doi.org/10.1016/j.cmpb.2024.108492" TargetMode="External" Id="rId1116"/><Relationship Type="http://schemas.openxmlformats.org/officeDocument/2006/relationships/hyperlink" Target="https://doi.org/10.1016/j.cmpb.2024.108492" TargetMode="External" Id="rId1117"/><Relationship Type="http://schemas.openxmlformats.org/officeDocument/2006/relationships/hyperlink" Target="https://doi.org/10.1007/s11682-015-9360-1" TargetMode="External" Id="rId1118"/><Relationship Type="http://schemas.openxmlformats.org/officeDocument/2006/relationships/hyperlink" Target="https://doi.org/10.1007/s11682-015-9360-1" TargetMode="External" Id="rId1119"/><Relationship Type="http://schemas.openxmlformats.org/officeDocument/2006/relationships/hyperlink" Target="https://doi.org/10.1007/s11682-015-9360-1" TargetMode="External" Id="rId1120"/><Relationship Type="http://schemas.openxmlformats.org/officeDocument/2006/relationships/hyperlink" Target="https://doi.org/10.1007/s11682-015-9360-1" TargetMode="External" Id="rId1121"/><Relationship Type="http://schemas.openxmlformats.org/officeDocument/2006/relationships/hyperlink" Target="https://doi.org/10.1007/s11682-015-9360-1" TargetMode="External" Id="rId1122"/><Relationship Type="http://schemas.openxmlformats.org/officeDocument/2006/relationships/hyperlink" Target="https://doi.org/10.1109/jbhi.2024.3455942" TargetMode="External" Id="rId1123"/><Relationship Type="http://schemas.openxmlformats.org/officeDocument/2006/relationships/hyperlink" Target="https://doi.org/10.1109/jbhi.2024.3455942" TargetMode="External" Id="rId1124"/><Relationship Type="http://schemas.openxmlformats.org/officeDocument/2006/relationships/hyperlink" Target="https://doi.org/10.1109/jbhi.2024.3455942" TargetMode="External" Id="rId1125"/><Relationship Type="http://schemas.openxmlformats.org/officeDocument/2006/relationships/hyperlink" Target="https://doi.org/10.1109/jbhi.2024.3455942" TargetMode="External" Id="rId1126"/><Relationship Type="http://schemas.openxmlformats.org/officeDocument/2006/relationships/hyperlink" Target="https://doi.org/10.1109/jbhi.2024.3455942" TargetMode="External" Id="rId1127"/><Relationship Type="http://schemas.openxmlformats.org/officeDocument/2006/relationships/hyperlink" Target="https://doi.org/10.1109/jbhi.2024.3455942" TargetMode="External" Id="rId1128"/><Relationship Type="http://schemas.openxmlformats.org/officeDocument/2006/relationships/hyperlink" Target="https://doi.org/10.1109/jbhi.2024.3455942" TargetMode="External" Id="rId1129"/><Relationship Type="http://schemas.openxmlformats.org/officeDocument/2006/relationships/hyperlink" Target="https://doi.org/10.1016/j.sciaf.2018.e00019" TargetMode="External" Id="rId1130"/><Relationship Type="http://schemas.openxmlformats.org/officeDocument/2006/relationships/hyperlink" Target="https://doi.org/10.1016/j.sciaf.2018.e00019" TargetMode="External" Id="rId1131"/><Relationship Type="http://schemas.openxmlformats.org/officeDocument/2006/relationships/hyperlink" Target="https://doi.org/10.1016/j.sciaf.2018.e00019" TargetMode="External" Id="rId1132"/><Relationship Type="http://schemas.openxmlformats.org/officeDocument/2006/relationships/hyperlink" Target="https://doi.org/10.1016/j.sciaf.2018.e00019" TargetMode="External" Id="rId1133"/><Relationship Type="http://schemas.openxmlformats.org/officeDocument/2006/relationships/hyperlink" Target="https://doi.org/10.1016/j.sciaf.2018.e00019" TargetMode="External" Id="rId1134"/><Relationship Type="http://schemas.openxmlformats.org/officeDocument/2006/relationships/hyperlink" Target="https://doi.org/10.1016/j.sciaf.2018.e00019" TargetMode="External" Id="rId1135"/><Relationship Type="http://schemas.openxmlformats.org/officeDocument/2006/relationships/hyperlink" Target="https://doi.org/10.1016/j.sciaf.2018.e00019" TargetMode="External" Id="rId1136"/><Relationship Type="http://schemas.openxmlformats.org/officeDocument/2006/relationships/hyperlink" Target="https://doi.org/10.1016/j.neucom.2025.130780" TargetMode="External" Id="rId1137"/><Relationship Type="http://schemas.openxmlformats.org/officeDocument/2006/relationships/hyperlink" Target="https://doi.org/10.1016/j.neucom.2025.130780" TargetMode="External" Id="rId1138"/><Relationship Type="http://schemas.openxmlformats.org/officeDocument/2006/relationships/hyperlink" Target="https://doi.org/10.1016/j.neucom.2025.130780" TargetMode="External" Id="rId1139"/><Relationship Type="http://schemas.openxmlformats.org/officeDocument/2006/relationships/hyperlink" Target="https://doi.org/10.1016/j.neucom.2025.130780" TargetMode="External" Id="rId1140"/><Relationship Type="http://schemas.openxmlformats.org/officeDocument/2006/relationships/hyperlink" Target="https://doi.org/10.1016/j.neucom.2025.130780" TargetMode="External" Id="rId1141"/><Relationship Type="http://schemas.openxmlformats.org/officeDocument/2006/relationships/hyperlink" Target="https://doi.org/10.1016/j.neucom.2025.130780" TargetMode="External" Id="rId1142"/><Relationship Type="http://schemas.openxmlformats.org/officeDocument/2006/relationships/hyperlink" Target="https://doi.org/10.1016/j.neucom.2025.130780" TargetMode="External" Id="rId1143"/><Relationship Type="http://schemas.openxmlformats.org/officeDocument/2006/relationships/hyperlink" Target="https://doi.org/10.1186/s13229-022-00491-9" TargetMode="External" Id="rId1144"/><Relationship Type="http://schemas.openxmlformats.org/officeDocument/2006/relationships/hyperlink" Target="https://doi.org/10.1186/s13229-022-00491-9" TargetMode="External" Id="rId1145"/><Relationship Type="http://schemas.openxmlformats.org/officeDocument/2006/relationships/hyperlink" Target="https://doi.org/10.1186/s13229-022-00491-9" TargetMode="External" Id="rId1146"/><Relationship Type="http://schemas.openxmlformats.org/officeDocument/2006/relationships/hyperlink" Target="https://doi.org/10.1186/s13229-022-00491-9" TargetMode="External" Id="rId1147"/><Relationship Type="http://schemas.openxmlformats.org/officeDocument/2006/relationships/hyperlink" Target="https://doi.org/10.1186/s13229-022-00491-9" TargetMode="External" Id="rId1148"/><Relationship Type="http://schemas.openxmlformats.org/officeDocument/2006/relationships/hyperlink" Target="https://doi.org/10.1186/s13229-022-00491-9" TargetMode="External" Id="rId1149"/><Relationship Type="http://schemas.openxmlformats.org/officeDocument/2006/relationships/hyperlink" Target="https://doi.org/10.1186/s13229-022-00491-9" TargetMode="External" Id="rId1150"/><Relationship Type="http://schemas.openxmlformats.org/officeDocument/2006/relationships/hyperlink" Target="https://doi.org/10.1016/j.pscychresns.2024.111822" TargetMode="External" Id="rId1151"/><Relationship Type="http://schemas.openxmlformats.org/officeDocument/2006/relationships/hyperlink" Target="https://doi.org/10.1016/j.pscychresns.2024.111822" TargetMode="External" Id="rId1152"/><Relationship Type="http://schemas.openxmlformats.org/officeDocument/2006/relationships/hyperlink" Target="https://doi.org/10.1016/j.pscychresns.2024.111822" TargetMode="External" Id="rId1153"/><Relationship Type="http://schemas.openxmlformats.org/officeDocument/2006/relationships/hyperlink" Target="https://doi.org/10.1016/j.pscychresns.2024.111822" TargetMode="External" Id="rId1154"/><Relationship Type="http://schemas.openxmlformats.org/officeDocument/2006/relationships/hyperlink" Target="https://doi.org/10.1016/j.pscychresns.2024.111822" TargetMode="External" Id="rId1155"/><Relationship Type="http://schemas.openxmlformats.org/officeDocument/2006/relationships/hyperlink" Target="https://doi.org/10.1016/j.pscychresns.2024.111822" TargetMode="External" Id="rId1156"/><Relationship Type="http://schemas.openxmlformats.org/officeDocument/2006/relationships/hyperlink" Target="https://doi.org/10.1016/j.pscychresns.2024.111822" TargetMode="External" Id="rId1157"/><Relationship Type="http://schemas.openxmlformats.org/officeDocument/2006/relationships/hyperlink" Target="https://doi.org/10.1016/j.pscychresns.2024.111822" TargetMode="External" Id="rId1158"/><Relationship Type="http://schemas.openxmlformats.org/officeDocument/2006/relationships/hyperlink" Target="https://doi.org/10.1016/j.bpsc.2021.08.009" TargetMode="External" Id="rId1159"/><Relationship Type="http://schemas.openxmlformats.org/officeDocument/2006/relationships/hyperlink" Target="https://doi.org/10.1016/j.bpsc.2021.08.009" TargetMode="External" Id="rId1160"/><Relationship Type="http://schemas.openxmlformats.org/officeDocument/2006/relationships/hyperlink" Target="https://doi.org/10.1016/j.bpsc.2021.08.009" TargetMode="External" Id="rId1161"/><Relationship Type="http://schemas.openxmlformats.org/officeDocument/2006/relationships/hyperlink" Target="https://doi.org/10.1016/j.bpsc.2021.08.009" TargetMode="External" Id="rId1162"/><Relationship Type="http://schemas.openxmlformats.org/officeDocument/2006/relationships/hyperlink" Target="https://doi.org/10.1016/j.bpsc.2021.08.009" TargetMode="External" Id="rId1163"/><Relationship Type="http://schemas.openxmlformats.org/officeDocument/2006/relationships/hyperlink" Target="https://doi.org/10.1016/j.bpsc.2021.08.009" TargetMode="External" Id="rId1164"/><Relationship Type="http://schemas.openxmlformats.org/officeDocument/2006/relationships/hyperlink" Target="https://doi.org/10.1016/j.bpsc.2021.08.009" TargetMode="External" Id="rId1165"/><Relationship Type="http://schemas.openxmlformats.org/officeDocument/2006/relationships/hyperlink" Target="https://doi.org/10.1016/j.bpsc.2021.08.009" TargetMode="External" Id="rId1166"/><Relationship Type="http://schemas.openxmlformats.org/officeDocument/2006/relationships/hyperlink" Target="https://doi.org/10.32604/ijmhp.2022.020075" TargetMode="External" Id="rId1167"/><Relationship Type="http://schemas.openxmlformats.org/officeDocument/2006/relationships/hyperlink" Target="https://doi.org/10.32604/ijmhp.2022.020075" TargetMode="External" Id="rId1168"/><Relationship Type="http://schemas.openxmlformats.org/officeDocument/2006/relationships/hyperlink" Target="https://doi.org/10.32604/ijmhp.2022.020075" TargetMode="External" Id="rId1169"/><Relationship Type="http://schemas.openxmlformats.org/officeDocument/2006/relationships/hyperlink" Target="https://doi.org/10.32604/ijmhp.2022.020075" TargetMode="External" Id="rId1170"/><Relationship Type="http://schemas.openxmlformats.org/officeDocument/2006/relationships/hyperlink" Target="https://doi.org/10.32604/ijmhp.2022.020075" TargetMode="External" Id="rId1171"/><Relationship Type="http://schemas.openxmlformats.org/officeDocument/2006/relationships/hyperlink" Target="https://doi.org/10.32604/ijmhp.2022.020075" TargetMode="External" Id="rId1172"/><Relationship Type="http://schemas.openxmlformats.org/officeDocument/2006/relationships/hyperlink" Target="https://doi.org/10.32604/ijmhp.2022.020075" TargetMode="External" Id="rId1173"/><Relationship Type="http://schemas.openxmlformats.org/officeDocument/2006/relationships/hyperlink" Target="https://doi.org/10.1177/13623613241304488" TargetMode="External" Id="rId1174"/><Relationship Type="http://schemas.openxmlformats.org/officeDocument/2006/relationships/hyperlink" Target="https://doi.org/10.1177/13623613241304488" TargetMode="External" Id="rId1175"/><Relationship Type="http://schemas.openxmlformats.org/officeDocument/2006/relationships/hyperlink" Target="https://doi.org/10.1177/13623613241304488" TargetMode="External" Id="rId1176"/><Relationship Type="http://schemas.openxmlformats.org/officeDocument/2006/relationships/hyperlink" Target="https://doi.org/10.1177/13623613241304488" TargetMode="External" Id="rId1177"/><Relationship Type="http://schemas.openxmlformats.org/officeDocument/2006/relationships/hyperlink" Target="https://doi.org/10.1177/13623613241304488" TargetMode="External" Id="rId1178"/><Relationship Type="http://schemas.openxmlformats.org/officeDocument/2006/relationships/hyperlink" Target="https://doi.org/10.1177/13623613241304488" TargetMode="External" Id="rId1179"/><Relationship Type="http://schemas.openxmlformats.org/officeDocument/2006/relationships/hyperlink" Target="https://doi.org/10.1016/j.cortex.2014.08.011" TargetMode="External" Id="rId1180"/><Relationship Type="http://schemas.openxmlformats.org/officeDocument/2006/relationships/hyperlink" Target="https://doi.org/10.1016/j.cortex.2014.08.011" TargetMode="External" Id="rId1181"/><Relationship Type="http://schemas.openxmlformats.org/officeDocument/2006/relationships/hyperlink" Target="https://doi.org/10.1016/j.cortex.2014.08.011" TargetMode="External" Id="rId1182"/><Relationship Type="http://schemas.openxmlformats.org/officeDocument/2006/relationships/hyperlink" Target="https://doi.org/10.1016/j.cortex.2014.08.011" TargetMode="External" Id="rId1183"/><Relationship Type="http://schemas.openxmlformats.org/officeDocument/2006/relationships/hyperlink" Target="https://doi.org/10.1016/j.cortex.2014.08.011" TargetMode="External" Id="rId1184"/><Relationship Type="http://schemas.openxmlformats.org/officeDocument/2006/relationships/hyperlink" Target="https://doi.org/10.1016/j.cortex.2014.08.011" TargetMode="External" Id="rId1185"/><Relationship Type="http://schemas.openxmlformats.org/officeDocument/2006/relationships/hyperlink" Target="https://doi.org/10.1109/embc46164.2021.9630150" TargetMode="External" Id="rId1186"/><Relationship Type="http://schemas.openxmlformats.org/officeDocument/2006/relationships/hyperlink" Target="https://doi.org/10.1109/embc46164.2021.9630150" TargetMode="External" Id="rId1187"/><Relationship Type="http://schemas.openxmlformats.org/officeDocument/2006/relationships/hyperlink" Target="https://doi.org/10.1109/embc46164.2021.9630150" TargetMode="External" Id="rId1188"/><Relationship Type="http://schemas.openxmlformats.org/officeDocument/2006/relationships/hyperlink" Target="https://doi.org/10.1109/embc46164.2021.9630150" TargetMode="External" Id="rId1189"/><Relationship Type="http://schemas.openxmlformats.org/officeDocument/2006/relationships/hyperlink" Target="https://doi.org/10.1109/embc46164.2021.9630150" TargetMode="External" Id="rId1190"/><Relationship Type="http://schemas.openxmlformats.org/officeDocument/2006/relationships/hyperlink" Target="https://doi.org/10.1109/embc46164.2021.9630150" TargetMode="External" Id="rId1191"/><Relationship Type="http://schemas.openxmlformats.org/officeDocument/2006/relationships/hyperlink" Target="https://doi.org/10.1145/3699749" TargetMode="External" Id="rId1192"/><Relationship Type="http://schemas.openxmlformats.org/officeDocument/2006/relationships/hyperlink" Target="https://doi.org/10.1145/3699749" TargetMode="External" Id="rId1193"/><Relationship Type="http://schemas.openxmlformats.org/officeDocument/2006/relationships/hyperlink" Target="https://doi.org/10.1145/3699749" TargetMode="External" Id="rId1194"/><Relationship Type="http://schemas.openxmlformats.org/officeDocument/2006/relationships/hyperlink" Target="https://doi.org/10.1145/3699749" TargetMode="External" Id="rId1195"/><Relationship Type="http://schemas.openxmlformats.org/officeDocument/2006/relationships/hyperlink" Target="https://doi.org/10.1145/3699749" TargetMode="External" Id="rId1196"/><Relationship Type="http://schemas.openxmlformats.org/officeDocument/2006/relationships/hyperlink" Target="https://doi.org/10.1145/3699749" TargetMode="External" Id="rId1197"/><Relationship Type="http://schemas.openxmlformats.org/officeDocument/2006/relationships/hyperlink" Target="https://doi.org/10.1145/3699749" TargetMode="External" Id="rId1198"/><Relationship Type="http://schemas.openxmlformats.org/officeDocument/2006/relationships/hyperlink" Target="https://doi.org/10.1145/3699749" TargetMode="External" Id="rId1199"/><Relationship Type="http://schemas.openxmlformats.org/officeDocument/2006/relationships/hyperlink" Target="https://doi.org/10.1007/s11011-025-01604-y" TargetMode="External" Id="rId1200"/><Relationship Type="http://schemas.openxmlformats.org/officeDocument/2006/relationships/hyperlink" Target="https://doi.org/10.1007/s11011-025-01604-y" TargetMode="External" Id="rId1201"/><Relationship Type="http://schemas.openxmlformats.org/officeDocument/2006/relationships/hyperlink" Target="https://doi.org/10.1007/s11011-025-01604-y" TargetMode="External" Id="rId1202"/><Relationship Type="http://schemas.openxmlformats.org/officeDocument/2006/relationships/hyperlink" Target="https://doi.org/10.1007/s11011-025-01604-y" TargetMode="External" Id="rId1203"/><Relationship Type="http://schemas.openxmlformats.org/officeDocument/2006/relationships/hyperlink" Target="https://doi.org/10.1007/s11011-025-01604-y" TargetMode="External" Id="rId1204"/><Relationship Type="http://schemas.openxmlformats.org/officeDocument/2006/relationships/hyperlink" Target="https://doi.org/10.1038/s41598-024-71174-z" TargetMode="External" Id="rId1205"/><Relationship Type="http://schemas.openxmlformats.org/officeDocument/2006/relationships/hyperlink" Target="https://doi.org/10.1038/s41598-024-71174-z" TargetMode="External" Id="rId1206"/><Relationship Type="http://schemas.openxmlformats.org/officeDocument/2006/relationships/hyperlink" Target="https://doi.org/10.1038/s41598-024-71174-z" TargetMode="External" Id="rId1207"/><Relationship Type="http://schemas.openxmlformats.org/officeDocument/2006/relationships/hyperlink" Target="https://doi.org/10.1038/s41598-024-71174-z" TargetMode="External" Id="rId1208"/><Relationship Type="http://schemas.openxmlformats.org/officeDocument/2006/relationships/hyperlink" Target="https://doi.org/10.1038/s41598-024-71174-z" TargetMode="External" Id="rId1209"/><Relationship Type="http://schemas.openxmlformats.org/officeDocument/2006/relationships/hyperlink" Target="https://doi.org/10.1007/s13042-022-01554-2" TargetMode="External" Id="rId1210"/><Relationship Type="http://schemas.openxmlformats.org/officeDocument/2006/relationships/hyperlink" Target="https://doi.org/10.1007/s13042-022-01554-2" TargetMode="External" Id="rId1211"/><Relationship Type="http://schemas.openxmlformats.org/officeDocument/2006/relationships/hyperlink" Target="https://doi.org/10.1007/s13042-022-01554-2" TargetMode="External" Id="rId1212"/><Relationship Type="http://schemas.openxmlformats.org/officeDocument/2006/relationships/hyperlink" Target="https://doi.org/10.1007/s13042-022-01554-2" TargetMode="External" Id="rId1213"/><Relationship Type="http://schemas.openxmlformats.org/officeDocument/2006/relationships/hyperlink" Target="https://doi.org/10.1007/s13042-022-01554-2" TargetMode="External" Id="rId1214"/><Relationship Type="http://schemas.openxmlformats.org/officeDocument/2006/relationships/hyperlink" Target="https://doi.org/10.1007/s13042-022-01554-2" TargetMode="External" Id="rId1215"/><Relationship Type="http://schemas.openxmlformats.org/officeDocument/2006/relationships/hyperlink" Target="https://doi.org/10.1007/s11596-024-2938-3" TargetMode="External" Id="rId1216"/><Relationship Type="http://schemas.openxmlformats.org/officeDocument/2006/relationships/hyperlink" Target="https://doi.org/10.1007/s11596-024-2938-3" TargetMode="External" Id="rId1217"/><Relationship Type="http://schemas.openxmlformats.org/officeDocument/2006/relationships/hyperlink" Target="https://doi.org/10.1007/s11596-024-2938-3" TargetMode="External" Id="rId1218"/><Relationship Type="http://schemas.openxmlformats.org/officeDocument/2006/relationships/hyperlink" Target="https://doi.org/10.1007/s11596-024-2938-3" TargetMode="External" Id="rId1219"/><Relationship Type="http://schemas.openxmlformats.org/officeDocument/2006/relationships/hyperlink" Target="https://doi.org/10.1007/s11596-024-2938-3" TargetMode="External" Id="rId1220"/><Relationship Type="http://schemas.openxmlformats.org/officeDocument/2006/relationships/hyperlink" Target="https://doi.org/10.1007/s11596-024-2938-3" TargetMode="External" Id="rId1221"/><Relationship Type="http://schemas.openxmlformats.org/officeDocument/2006/relationships/hyperlink" Target="https://doi.org/10.1007/s11596-024-2938-3" TargetMode="External" Id="rId1222"/><Relationship Type="http://schemas.openxmlformats.org/officeDocument/2006/relationships/hyperlink" Target="https://doi.org/10.1007/s00521-025-11208-3" TargetMode="External" Id="rId1223"/><Relationship Type="http://schemas.openxmlformats.org/officeDocument/2006/relationships/hyperlink" Target="https://doi.org/10.1007/s00521-025-11208-3" TargetMode="External" Id="rId1224"/><Relationship Type="http://schemas.openxmlformats.org/officeDocument/2006/relationships/hyperlink" Target="https://doi.org/10.1007/s00521-025-11208-3" TargetMode="External" Id="rId1225"/><Relationship Type="http://schemas.openxmlformats.org/officeDocument/2006/relationships/hyperlink" Target="https://doi.org/10.1007/s00521-025-11208-3" TargetMode="External" Id="rId1226"/><Relationship Type="http://schemas.openxmlformats.org/officeDocument/2006/relationships/hyperlink" Target="https://doi.org/10.1186/s12859-023-05501-y" TargetMode="External" Id="rId1227"/><Relationship Type="http://schemas.openxmlformats.org/officeDocument/2006/relationships/hyperlink" Target="https://doi.org/10.1186/s12859-023-05501-y" TargetMode="External" Id="rId1228"/><Relationship Type="http://schemas.openxmlformats.org/officeDocument/2006/relationships/hyperlink" Target="https://doi.org/10.1186/s12859-023-05501-y" TargetMode="External" Id="rId1229"/><Relationship Type="http://schemas.openxmlformats.org/officeDocument/2006/relationships/hyperlink" Target="https://doi.org/10.1186/s12859-023-05501-y" TargetMode="External" Id="rId1230"/><Relationship Type="http://schemas.openxmlformats.org/officeDocument/2006/relationships/hyperlink" Target="https://doi.org/10.1186/s12859-023-05501-y" TargetMode="External" Id="rId1231"/><Relationship Type="http://schemas.openxmlformats.org/officeDocument/2006/relationships/hyperlink" Target="https://doi.org/10.1186/s12859-023-05501-y" TargetMode="External" Id="rId1232"/><Relationship Type="http://schemas.openxmlformats.org/officeDocument/2006/relationships/hyperlink" Target="https://doi.org/10.1002/aur.2595" TargetMode="External" Id="rId1233"/><Relationship Type="http://schemas.openxmlformats.org/officeDocument/2006/relationships/hyperlink" Target="https://doi.org/10.1002/aur.2595" TargetMode="External" Id="rId1234"/><Relationship Type="http://schemas.openxmlformats.org/officeDocument/2006/relationships/hyperlink" Target="https://doi.org/10.1002/aur.2595" TargetMode="External" Id="rId1235"/><Relationship Type="http://schemas.openxmlformats.org/officeDocument/2006/relationships/hyperlink" Target="https://doi.org/10.1002/aur.2595" TargetMode="External" Id="rId1236"/><Relationship Type="http://schemas.openxmlformats.org/officeDocument/2006/relationships/hyperlink" Target="https://doi.org/10.1002/aur.2595" TargetMode="External" Id="rId1237"/><Relationship Type="http://schemas.openxmlformats.org/officeDocument/2006/relationships/hyperlink" Target="https://doi.org/10.1002/aur.2595" TargetMode="External" Id="rId1238"/><Relationship Type="http://schemas.openxmlformats.org/officeDocument/2006/relationships/hyperlink" Target="https://doi.org/10.1002/cpe.7898" TargetMode="External" Id="rId1239"/><Relationship Type="http://schemas.openxmlformats.org/officeDocument/2006/relationships/hyperlink" Target="https://doi.org/10.1002/cpe.7898" TargetMode="External" Id="rId1240"/><Relationship Type="http://schemas.openxmlformats.org/officeDocument/2006/relationships/hyperlink" Target="https://doi.org/10.1002/cpe.7898" TargetMode="External" Id="rId1241"/><Relationship Type="http://schemas.openxmlformats.org/officeDocument/2006/relationships/hyperlink" Target="https://doi.org/10.1002/cpe.7898" TargetMode="External" Id="rId1242"/><Relationship Type="http://schemas.openxmlformats.org/officeDocument/2006/relationships/hyperlink" Target="https://doi.org/10.1002/cpe.7898" TargetMode="External" Id="rId1243"/><Relationship Type="http://schemas.openxmlformats.org/officeDocument/2006/relationships/hyperlink" Target="https://doi.org/10.1002/cpe.7898" TargetMode="External" Id="rId1244"/><Relationship Type="http://schemas.openxmlformats.org/officeDocument/2006/relationships/hyperlink" Target="https://doi.org/10.1002/cpe.7898" TargetMode="External" Id="rId1245"/><Relationship Type="http://schemas.openxmlformats.org/officeDocument/2006/relationships/hyperlink" Target="https://doi.org/10.1016/j.cmpb.2025.108921" TargetMode="External" Id="rId1246"/><Relationship Type="http://schemas.openxmlformats.org/officeDocument/2006/relationships/hyperlink" Target="https://doi.org/10.1016/j.cmpb.2025.108921" TargetMode="External" Id="rId1247"/><Relationship Type="http://schemas.openxmlformats.org/officeDocument/2006/relationships/hyperlink" Target="https://doi.org/10.1016/j.cmpb.2025.108921" TargetMode="External" Id="rId1248"/><Relationship Type="http://schemas.openxmlformats.org/officeDocument/2006/relationships/hyperlink" Target="https://doi.org/10.1016/j.cmpb.2025.108921" TargetMode="External" Id="rId1249"/><Relationship Type="http://schemas.openxmlformats.org/officeDocument/2006/relationships/hyperlink" Target="https://doi.org/10.1016/j.cmpb.2025.108921" TargetMode="External" Id="rId1250"/><Relationship Type="http://schemas.openxmlformats.org/officeDocument/2006/relationships/hyperlink" Target="https://doi.org/10.1007/s10803-018-3690-y" TargetMode="External" Id="rId1251"/><Relationship Type="http://schemas.openxmlformats.org/officeDocument/2006/relationships/hyperlink" Target="https://doi.org/10.1007/s10803-018-3690-y" TargetMode="External" Id="rId1252"/><Relationship Type="http://schemas.openxmlformats.org/officeDocument/2006/relationships/hyperlink" Target="https://doi.org/10.1007/s10803-018-3690-y" TargetMode="External" Id="rId1253"/><Relationship Type="http://schemas.openxmlformats.org/officeDocument/2006/relationships/hyperlink" Target="https://doi.org/10.1007/s10803-018-3690-y" TargetMode="External" Id="rId1254"/><Relationship Type="http://schemas.openxmlformats.org/officeDocument/2006/relationships/hyperlink" Target="https://doi.org/10.1007/s10803-018-3690-y" TargetMode="External" Id="rId1255"/><Relationship Type="http://schemas.openxmlformats.org/officeDocument/2006/relationships/hyperlink" Target="https://doi.org/10.1007/s10803-018-3690-y" TargetMode="External" Id="rId1256"/><Relationship Type="http://schemas.openxmlformats.org/officeDocument/2006/relationships/hyperlink" Target="https://doi.org/10.1016/j.compeleceng.2023.108720" TargetMode="External" Id="rId1257"/><Relationship Type="http://schemas.openxmlformats.org/officeDocument/2006/relationships/hyperlink" Target="https://doi.org/10.1016/j.compeleceng.2023.108720" TargetMode="External" Id="rId1258"/><Relationship Type="http://schemas.openxmlformats.org/officeDocument/2006/relationships/hyperlink" Target="https://doi.org/10.1016/j.compeleceng.2023.108720" TargetMode="External" Id="rId1259"/><Relationship Type="http://schemas.openxmlformats.org/officeDocument/2006/relationships/hyperlink" Target="https://doi.org/10.1016/j.compeleceng.2023.108720" TargetMode="External" Id="rId1260"/><Relationship Type="http://schemas.openxmlformats.org/officeDocument/2006/relationships/hyperlink" Target="https://doi.org/10.1016/j.compeleceng.2023.108720" TargetMode="External" Id="rId1261"/><Relationship Type="http://schemas.openxmlformats.org/officeDocument/2006/relationships/hyperlink" Target="https://doi.org/10.1016/j.compeleceng.2023.108720" TargetMode="External" Id="rId1262"/><Relationship Type="http://schemas.openxmlformats.org/officeDocument/2006/relationships/hyperlink" Target="https://doi.org/10.1109/tlt.2024.3409702" TargetMode="External" Id="rId1263"/><Relationship Type="http://schemas.openxmlformats.org/officeDocument/2006/relationships/hyperlink" Target="https://doi.org/10.1109/tlt.2024.3409702" TargetMode="External" Id="rId1264"/><Relationship Type="http://schemas.openxmlformats.org/officeDocument/2006/relationships/hyperlink" Target="https://doi.org/10.1109/tlt.2024.3409702" TargetMode="External" Id="rId1265"/><Relationship Type="http://schemas.openxmlformats.org/officeDocument/2006/relationships/hyperlink" Target="https://doi.org/10.1109/tlt.2024.3409702" TargetMode="External" Id="rId1266"/><Relationship Type="http://schemas.openxmlformats.org/officeDocument/2006/relationships/hyperlink" Target="https://doi.org/10.1109/tlt.2024.3409702" TargetMode="External" Id="rId1267"/><Relationship Type="http://schemas.openxmlformats.org/officeDocument/2006/relationships/hyperlink" Target="https://doi.org/10.1007/978-981-99-8558-6_35" TargetMode="External" Id="rId1268"/><Relationship Type="http://schemas.openxmlformats.org/officeDocument/2006/relationships/hyperlink" Target="https://doi.org/10.1007/978-981-99-8558-6_35" TargetMode="External" Id="rId1269"/><Relationship Type="http://schemas.openxmlformats.org/officeDocument/2006/relationships/hyperlink" Target="https://doi.org/10.1007/978-981-99-8558-6_35" TargetMode="External" Id="rId1270"/><Relationship Type="http://schemas.openxmlformats.org/officeDocument/2006/relationships/hyperlink" Target="https://doi.org/10.1007/978-981-99-8558-6_35" TargetMode="External" Id="rId1271"/><Relationship Type="http://schemas.openxmlformats.org/officeDocument/2006/relationships/hyperlink" Target="https://doi.org/10.1007/978-981-99-8558-6_35" TargetMode="External" Id="rId1272"/><Relationship Type="http://schemas.openxmlformats.org/officeDocument/2006/relationships/hyperlink" Target="https://doi.org/10.1007/978-3-030-46165-2_4" TargetMode="External" Id="rId1273"/><Relationship Type="http://schemas.openxmlformats.org/officeDocument/2006/relationships/hyperlink" Target="https://doi.org/10.1007/978-3-030-46165-2_4" TargetMode="External" Id="rId1274"/><Relationship Type="http://schemas.openxmlformats.org/officeDocument/2006/relationships/hyperlink" Target="https://doi.org/10.1007/978-3-030-46165-2_4" TargetMode="External" Id="rId1275"/><Relationship Type="http://schemas.openxmlformats.org/officeDocument/2006/relationships/hyperlink" Target="https://doi.org/10.1007/978-3-030-46165-2_4" TargetMode="External" Id="rId1276"/><Relationship Type="http://schemas.openxmlformats.org/officeDocument/2006/relationships/hyperlink" Target="https://doi.org/10.1007/978-3-030-46165-2_4" TargetMode="External" Id="rId1277"/><Relationship Type="http://schemas.openxmlformats.org/officeDocument/2006/relationships/hyperlink" Target="https://doi.org/10.1007/978-3-031-72069-7_6" TargetMode="External" Id="rId1278"/><Relationship Type="http://schemas.openxmlformats.org/officeDocument/2006/relationships/hyperlink" Target="https://doi.org/10.1007/978-3-031-72069-7_6" TargetMode="External" Id="rId1279"/><Relationship Type="http://schemas.openxmlformats.org/officeDocument/2006/relationships/hyperlink" Target="https://doi.org/10.1007/978-3-031-72069-7_6" TargetMode="External" Id="rId1280"/><Relationship Type="http://schemas.openxmlformats.org/officeDocument/2006/relationships/hyperlink" Target="https://doi.org/10.1007/978-3-031-72069-7_6" TargetMode="External" Id="rId1281"/><Relationship Type="http://schemas.openxmlformats.org/officeDocument/2006/relationships/hyperlink" Target="https://doi.org/10.1002/ar.25332" TargetMode="External" Id="rId1282"/><Relationship Type="http://schemas.openxmlformats.org/officeDocument/2006/relationships/hyperlink" Target="https://doi.org/10.1002/ar.25332" TargetMode="External" Id="rId1283"/><Relationship Type="http://schemas.openxmlformats.org/officeDocument/2006/relationships/hyperlink" Target="https://doi.org/10.1002/ar.25332" TargetMode="External" Id="rId1284"/><Relationship Type="http://schemas.openxmlformats.org/officeDocument/2006/relationships/hyperlink" Target="https://doi.org/10.1002/ar.25332" TargetMode="External" Id="rId1285"/><Relationship Type="http://schemas.openxmlformats.org/officeDocument/2006/relationships/hyperlink" Target="https://doi.org/10.1016/j.bspc.2020.101958" TargetMode="External" Id="rId1286"/><Relationship Type="http://schemas.openxmlformats.org/officeDocument/2006/relationships/hyperlink" Target="https://doi.org/10.1016/j.bspc.2020.101958" TargetMode="External" Id="rId1287"/><Relationship Type="http://schemas.openxmlformats.org/officeDocument/2006/relationships/hyperlink" Target="https://doi.org/10.1016/j.bspc.2020.101958" TargetMode="External" Id="rId1288"/><Relationship Type="http://schemas.openxmlformats.org/officeDocument/2006/relationships/hyperlink" Target="https://doi.org/10.1016/j.bspc.2020.101958" TargetMode="External" Id="rId1289"/><Relationship Type="http://schemas.openxmlformats.org/officeDocument/2006/relationships/hyperlink" Target="https://doi.org/10.1016/j.clinph.2019.12.400" TargetMode="External" Id="rId1290"/><Relationship Type="http://schemas.openxmlformats.org/officeDocument/2006/relationships/hyperlink" Target="https://doi.org/10.1016/j.clinph.2019.12.400" TargetMode="External" Id="rId1291"/><Relationship Type="http://schemas.openxmlformats.org/officeDocument/2006/relationships/hyperlink" Target="https://doi.org/10.1016/j.clinph.2019.12.400" TargetMode="External" Id="rId1292"/><Relationship Type="http://schemas.openxmlformats.org/officeDocument/2006/relationships/hyperlink" Target="https://doi.org/10.1016/j.clinph.2019.12.400" TargetMode="External" Id="rId1293"/><Relationship Type="http://schemas.openxmlformats.org/officeDocument/2006/relationships/hyperlink" Target="https://doi.org/10.1007/978-3-031-45389-2_18" TargetMode="External" Id="rId1294"/><Relationship Type="http://schemas.openxmlformats.org/officeDocument/2006/relationships/hyperlink" Target="https://doi.org/10.1007/978-3-031-45389-2_18" TargetMode="External" Id="rId1295"/><Relationship Type="http://schemas.openxmlformats.org/officeDocument/2006/relationships/hyperlink" Target="https://doi.org/10.1007/978-3-031-45389-2_18" TargetMode="External" Id="rId1296"/><Relationship Type="http://schemas.openxmlformats.org/officeDocument/2006/relationships/hyperlink" Target="https://doi.org/10.1007/978-3-031-45389-2_18" TargetMode="External" Id="rId1297"/><Relationship Type="http://schemas.openxmlformats.org/officeDocument/2006/relationships/hyperlink" Target="https://doi.org/10.1007/978-3-031-45389-2_18" TargetMode="External" Id="rId1298"/><Relationship Type="http://schemas.openxmlformats.org/officeDocument/2006/relationships/hyperlink" Target="https://doi.org/10.1016/j.media.2021.101986" TargetMode="External" Id="rId1299"/><Relationship Type="http://schemas.openxmlformats.org/officeDocument/2006/relationships/hyperlink" Target="https://doi.org/10.1016/j.media.2021.101986" TargetMode="External" Id="rId1300"/><Relationship Type="http://schemas.openxmlformats.org/officeDocument/2006/relationships/hyperlink" Target="https://doi.org/10.1016/j.media.2021.101986" TargetMode="External" Id="rId1301"/><Relationship Type="http://schemas.openxmlformats.org/officeDocument/2006/relationships/hyperlink" Target="https://doi.org/10.1016/j.media.2021.101986" TargetMode="External" Id="rId1302"/><Relationship Type="http://schemas.openxmlformats.org/officeDocument/2006/relationships/hyperlink" Target="https://doi.org/10.1016/j.media.2021.101986" TargetMode="External" Id="rId1303"/><Relationship Type="http://schemas.openxmlformats.org/officeDocument/2006/relationships/hyperlink" Target="https://doi.org/10.1038/s41598-025-97313-8" TargetMode="External" Id="rId1304"/><Relationship Type="http://schemas.openxmlformats.org/officeDocument/2006/relationships/hyperlink" Target="https://doi.org/10.1038/s41598-025-97313-8" TargetMode="External" Id="rId1305"/><Relationship Type="http://schemas.openxmlformats.org/officeDocument/2006/relationships/hyperlink" Target="https://doi.org/10.1038/s41598-025-97313-8" TargetMode="External" Id="rId1306"/><Relationship Type="http://schemas.openxmlformats.org/officeDocument/2006/relationships/hyperlink" Target="https://doi.org/10.1038/s41598-025-97313-8" TargetMode="External" Id="rId1307"/><Relationship Type="http://schemas.openxmlformats.org/officeDocument/2006/relationships/hyperlink" Target="https://doi.org/10.1038/s41598-025-97313-8" TargetMode="External" Id="rId1308"/><Relationship Type="http://schemas.openxmlformats.org/officeDocument/2006/relationships/hyperlink" Target="https://doi.org/10.1371/journal.pone.0269637" TargetMode="External" Id="rId1309"/><Relationship Type="http://schemas.openxmlformats.org/officeDocument/2006/relationships/hyperlink" Target="https://doi.org/10.1371/journal.pone.0269637" TargetMode="External" Id="rId1310"/><Relationship Type="http://schemas.openxmlformats.org/officeDocument/2006/relationships/hyperlink" Target="https://doi.org/10.1371/journal.pone.0269637" TargetMode="External" Id="rId1311"/><Relationship Type="http://schemas.openxmlformats.org/officeDocument/2006/relationships/hyperlink" Target="https://doi.org/10.1371/journal.pone.0269637" TargetMode="External" Id="rId1312"/><Relationship Type="http://schemas.openxmlformats.org/officeDocument/2006/relationships/hyperlink" Target="https://doi.org/10.1371/journal.pone.0269637" TargetMode="External" Id="rId1313"/><Relationship Type="http://schemas.openxmlformats.org/officeDocument/2006/relationships/hyperlink" Target="https://doi.org/10.1371/journal.pone.0269637" TargetMode="External" Id="rId1314"/><Relationship Type="http://schemas.openxmlformats.org/officeDocument/2006/relationships/hyperlink" Target="https://doi.org/10.1016/b978-0-12-822822-7.00006-5" TargetMode="External" Id="rId1315"/><Relationship Type="http://schemas.openxmlformats.org/officeDocument/2006/relationships/hyperlink" Target="https://doi.org/10.1016/b978-0-12-822822-7.00006-5" TargetMode="External" Id="rId1316"/><Relationship Type="http://schemas.openxmlformats.org/officeDocument/2006/relationships/hyperlink" Target="https://doi.org/10.1016/b978-0-12-822822-7.00006-5" TargetMode="External" Id="rId1317"/><Relationship Type="http://schemas.openxmlformats.org/officeDocument/2006/relationships/hyperlink" Target="https://doi.org/10.1016/b978-0-12-822822-7.00006-5" TargetMode="External" Id="rId1318"/><Relationship Type="http://schemas.openxmlformats.org/officeDocument/2006/relationships/hyperlink" Target="https://doi.org/10.1016/b978-0-12-822822-7.00006-5" TargetMode="External" Id="rId1319"/><Relationship Type="http://schemas.openxmlformats.org/officeDocument/2006/relationships/hyperlink" Target="https://doi.org/10.1016/b978-0-12-822822-7.00006-5" TargetMode="External" Id="rId1320"/><Relationship Type="http://schemas.openxmlformats.org/officeDocument/2006/relationships/hyperlink" Target="https://doi.org/10.1016/b978-0-12-822822-7.00006-5" TargetMode="External" Id="rId1321"/><Relationship Type="http://schemas.openxmlformats.org/officeDocument/2006/relationships/hyperlink" Target="https://doi.org/10.1016/b978-0-12-822822-7.00006-5" TargetMode="External" Id="rId1322"/><Relationship Type="http://schemas.openxmlformats.org/officeDocument/2006/relationships/hyperlink" Target="https://doi.org/10.1016/j.ctcp.2023.101825" TargetMode="External" Id="rId1323"/><Relationship Type="http://schemas.openxmlformats.org/officeDocument/2006/relationships/hyperlink" Target="https://doi.org/10.1016/j.ctcp.2023.101825" TargetMode="External" Id="rId1324"/><Relationship Type="http://schemas.openxmlformats.org/officeDocument/2006/relationships/hyperlink" Target="https://doi.org/10.1016/j.ctcp.2023.101825" TargetMode="External" Id="rId1325"/><Relationship Type="http://schemas.openxmlformats.org/officeDocument/2006/relationships/hyperlink" Target="https://doi.org/10.1016/j.ctcp.2023.101825" TargetMode="External" Id="rId1326"/><Relationship Type="http://schemas.openxmlformats.org/officeDocument/2006/relationships/hyperlink" Target="https://doi.org/10.1016/j.ctcp.2023.101825" TargetMode="External" Id="rId1327"/><Relationship Type="http://schemas.openxmlformats.org/officeDocument/2006/relationships/hyperlink" Target="https://doi.org/10.1016/j.ctcp.2023.101825" TargetMode="External" Id="rId1328"/><Relationship Type="http://schemas.openxmlformats.org/officeDocument/2006/relationships/hyperlink" Target="https://doi.org/10.1142/s0129065722500460" TargetMode="External" Id="rId1329"/><Relationship Type="http://schemas.openxmlformats.org/officeDocument/2006/relationships/hyperlink" Target="https://doi.org/10.1142/s0129065722500460" TargetMode="External" Id="rId1330"/><Relationship Type="http://schemas.openxmlformats.org/officeDocument/2006/relationships/hyperlink" Target="https://doi.org/10.1142/s0129065722500460" TargetMode="External" Id="rId1331"/><Relationship Type="http://schemas.openxmlformats.org/officeDocument/2006/relationships/hyperlink" Target="https://doi.org/10.1142/s0129065722500460" TargetMode="External" Id="rId1332"/><Relationship Type="http://schemas.openxmlformats.org/officeDocument/2006/relationships/hyperlink" Target="https://doi.org/10.1016/j.nicl.2018.01.014" TargetMode="External" Id="rId1333"/><Relationship Type="http://schemas.openxmlformats.org/officeDocument/2006/relationships/hyperlink" Target="https://doi.org/10.1016/j.nicl.2018.01.014" TargetMode="External" Id="rId1334"/><Relationship Type="http://schemas.openxmlformats.org/officeDocument/2006/relationships/hyperlink" Target="https://doi.org/10.1016/j.nicl.2018.01.014" TargetMode="External" Id="rId1335"/><Relationship Type="http://schemas.openxmlformats.org/officeDocument/2006/relationships/hyperlink" Target="https://doi.org/10.1016/j.nicl.2018.01.014" TargetMode="External" Id="rId1336"/><Relationship Type="http://schemas.openxmlformats.org/officeDocument/2006/relationships/hyperlink" Target="https://doi.org/10.1007/s10803-023-05922-x" TargetMode="External" Id="rId1337"/><Relationship Type="http://schemas.openxmlformats.org/officeDocument/2006/relationships/hyperlink" Target="https://doi.org/10.1007/s10803-023-05922-x" TargetMode="External" Id="rId1338"/><Relationship Type="http://schemas.openxmlformats.org/officeDocument/2006/relationships/hyperlink" Target="https://doi.org/10.1007/s10803-023-05922-x" TargetMode="External" Id="rId1339"/><Relationship Type="http://schemas.openxmlformats.org/officeDocument/2006/relationships/hyperlink" Target="https://doi.org/10.1007/s10803-023-05922-x" TargetMode="External" Id="rId1340"/><Relationship Type="http://schemas.openxmlformats.org/officeDocument/2006/relationships/hyperlink" Target="https://doi.org/10.1007/s10803-023-05922-x" TargetMode="External" Id="rId1341"/><Relationship Type="http://schemas.openxmlformats.org/officeDocument/2006/relationships/hyperlink" Target="https://doi.org/10.1007/s10803-023-05922-x" TargetMode="External" Id="rId1342"/><Relationship Type="http://schemas.openxmlformats.org/officeDocument/2006/relationships/hyperlink" Target="https://doi.org/10.1007/978-3-031-83845-3_26" TargetMode="External" Id="rId1343"/><Relationship Type="http://schemas.openxmlformats.org/officeDocument/2006/relationships/hyperlink" Target="https://doi.org/10.1007/978-3-031-83845-3_26" TargetMode="External" Id="rId1344"/><Relationship Type="http://schemas.openxmlformats.org/officeDocument/2006/relationships/hyperlink" Target="https://doi.org/10.1007/978-3-031-83845-3_26" TargetMode="External" Id="rId1345"/><Relationship Type="http://schemas.openxmlformats.org/officeDocument/2006/relationships/hyperlink" Target="https://doi.org/10.1007/978-3-031-83845-3_26" TargetMode="External" Id="rId1346"/><Relationship Type="http://schemas.openxmlformats.org/officeDocument/2006/relationships/hyperlink" Target="https://doi.org/10.1007/978-3-031-83845-3_26" TargetMode="External" Id="rId1347"/><Relationship Type="http://schemas.openxmlformats.org/officeDocument/2006/relationships/hyperlink" Target="https://doi.org/10.1109/access.2024.3351168" TargetMode="External" Id="rId1348"/><Relationship Type="http://schemas.openxmlformats.org/officeDocument/2006/relationships/hyperlink" Target="https://doi.org/10.1109/access.2024.3351168" TargetMode="External" Id="rId1349"/><Relationship Type="http://schemas.openxmlformats.org/officeDocument/2006/relationships/hyperlink" Target="https://doi.org/10.1109/access.2024.3351168" TargetMode="External" Id="rId1350"/><Relationship Type="http://schemas.openxmlformats.org/officeDocument/2006/relationships/hyperlink" Target="https://doi.org/10.1109/access.2024.3351168" TargetMode="External" Id="rId1351"/><Relationship Type="http://schemas.openxmlformats.org/officeDocument/2006/relationships/hyperlink" Target="https://doi.org/10.1109/access.2024.3351168" TargetMode="External" Id="rId1352"/><Relationship Type="http://schemas.openxmlformats.org/officeDocument/2006/relationships/hyperlink" Target="https://doi.org/10.1016/b978-0-12-822822-7.00009-0" TargetMode="External" Id="rId1353"/><Relationship Type="http://schemas.openxmlformats.org/officeDocument/2006/relationships/hyperlink" Target="https://doi.org/10.1016/b978-0-12-822822-7.00009-0" TargetMode="External" Id="rId1354"/><Relationship Type="http://schemas.openxmlformats.org/officeDocument/2006/relationships/hyperlink" Target="https://doi.org/10.1016/b978-0-12-822822-7.00009-0" TargetMode="External" Id="rId1355"/><Relationship Type="http://schemas.openxmlformats.org/officeDocument/2006/relationships/hyperlink" Target="https://doi.org/10.1016/b978-0-12-822822-7.00009-0" TargetMode="External" Id="rId1356"/><Relationship Type="http://schemas.openxmlformats.org/officeDocument/2006/relationships/hyperlink" Target="https://doi.org/10.1016/b978-0-12-822822-7.00009-0" TargetMode="External" Id="rId1357"/><Relationship Type="http://schemas.openxmlformats.org/officeDocument/2006/relationships/hyperlink" Target="https://doi.org/10.1016/b978-0-12-822822-7.00009-0" TargetMode="External" Id="rId1358"/><Relationship Type="http://schemas.openxmlformats.org/officeDocument/2006/relationships/hyperlink" Target="https://doi.org/10.1016/b978-0-12-822822-7.00009-0" TargetMode="External" Id="rId1359"/><Relationship Type="http://schemas.openxmlformats.org/officeDocument/2006/relationships/hyperlink" Target="https://doi.org/10.1109/embc40787.2023.10340852" TargetMode="External" Id="rId1360"/><Relationship Type="http://schemas.openxmlformats.org/officeDocument/2006/relationships/hyperlink" Target="https://doi.org/10.1109/embc40787.2023.10340852" TargetMode="External" Id="rId1361"/><Relationship Type="http://schemas.openxmlformats.org/officeDocument/2006/relationships/hyperlink" Target="https://doi.org/10.1109/embc40787.2023.10340852" TargetMode="External" Id="rId1362"/><Relationship Type="http://schemas.openxmlformats.org/officeDocument/2006/relationships/hyperlink" Target="https://doi.org/10.1109/embc40787.2023.10340852" TargetMode="External" Id="rId1363"/><Relationship Type="http://schemas.openxmlformats.org/officeDocument/2006/relationships/hyperlink" Target="https://doi.org/10.1109/embc40787.2023.10340852" TargetMode="External" Id="rId1364"/><Relationship Type="http://schemas.openxmlformats.org/officeDocument/2006/relationships/hyperlink" Target="https://doi.org/10.1109/embc40787.2023.10340852" TargetMode="External" Id="rId1365"/><Relationship Type="http://schemas.openxmlformats.org/officeDocument/2006/relationships/hyperlink" Target="https://doi.org/10.1109/tnsre.2024.3361935" TargetMode="External" Id="rId1366"/><Relationship Type="http://schemas.openxmlformats.org/officeDocument/2006/relationships/hyperlink" Target="https://doi.org/10.1109/tnsre.2024.3361935" TargetMode="External" Id="rId1367"/><Relationship Type="http://schemas.openxmlformats.org/officeDocument/2006/relationships/hyperlink" Target="https://doi.org/10.1109/tnsre.2024.3361935" TargetMode="External" Id="rId1368"/><Relationship Type="http://schemas.openxmlformats.org/officeDocument/2006/relationships/hyperlink" Target="https://doi.org/10.1109/tnsre.2024.3361935" TargetMode="External" Id="rId1369"/><Relationship Type="http://schemas.openxmlformats.org/officeDocument/2006/relationships/hyperlink" Target="https://doi.org/10.1109/tnsre.2024.3361935" TargetMode="External" Id="rId1370"/><Relationship Type="http://schemas.openxmlformats.org/officeDocument/2006/relationships/hyperlink" Target="https://doi.org/10.1111/jon.12280" TargetMode="External" Id="rId1371"/><Relationship Type="http://schemas.openxmlformats.org/officeDocument/2006/relationships/hyperlink" Target="https://doi.org/10.1111/jon.12280" TargetMode="External" Id="rId1372"/><Relationship Type="http://schemas.openxmlformats.org/officeDocument/2006/relationships/hyperlink" Target="https://doi.org/10.1111/jon.12280" TargetMode="External" Id="rId1373"/><Relationship Type="http://schemas.openxmlformats.org/officeDocument/2006/relationships/hyperlink" Target="https://doi.org/10.1111/jon.12280" TargetMode="External" Id="rId1374"/><Relationship Type="http://schemas.openxmlformats.org/officeDocument/2006/relationships/hyperlink" Target="https://doi.org/10.1016/j.compbiomed.2022.105854" TargetMode="External" Id="rId1375"/><Relationship Type="http://schemas.openxmlformats.org/officeDocument/2006/relationships/hyperlink" Target="https://doi.org/10.1016/j.compbiomed.2022.105854" TargetMode="External" Id="rId1376"/><Relationship Type="http://schemas.openxmlformats.org/officeDocument/2006/relationships/hyperlink" Target="https://doi.org/10.1016/j.compbiomed.2022.105854" TargetMode="External" Id="rId1377"/><Relationship Type="http://schemas.openxmlformats.org/officeDocument/2006/relationships/hyperlink" Target="https://doi.org/10.1016/j.compbiomed.2022.105854" TargetMode="External" Id="rId1378"/><Relationship Type="http://schemas.openxmlformats.org/officeDocument/2006/relationships/hyperlink" Target="https://doi.org/10.1016/j.compbiomed.2022.105854" TargetMode="External" Id="rId1379"/><Relationship Type="http://schemas.openxmlformats.org/officeDocument/2006/relationships/hyperlink" Target="https://doi.org/10.1038/s41398-023-02662-5" TargetMode="External" Id="rId1380"/><Relationship Type="http://schemas.openxmlformats.org/officeDocument/2006/relationships/hyperlink" Target="https://doi.org/10.1038/s41398-023-02662-5" TargetMode="External" Id="rId1381"/><Relationship Type="http://schemas.openxmlformats.org/officeDocument/2006/relationships/hyperlink" Target="https://doi.org/10.1038/s41398-023-02662-5" TargetMode="External" Id="rId1382"/><Relationship Type="http://schemas.openxmlformats.org/officeDocument/2006/relationships/hyperlink" Target="https://doi.org/10.1038/s41398-023-02662-5" TargetMode="External" Id="rId1383"/><Relationship Type="http://schemas.openxmlformats.org/officeDocument/2006/relationships/hyperlink" Target="https://doi.org/10.1038/s41398-023-02662-5" TargetMode="External" Id="rId1384"/><Relationship Type="http://schemas.openxmlformats.org/officeDocument/2006/relationships/hyperlink" Target="https://doi.org/10.1038/s41398-023-02662-5" TargetMode="External" Id="rId1385"/><Relationship Type="http://schemas.openxmlformats.org/officeDocument/2006/relationships/hyperlink" Target="https://doi.org/10.1016/j.irbm.2024.100838" TargetMode="External" Id="rId1386"/><Relationship Type="http://schemas.openxmlformats.org/officeDocument/2006/relationships/hyperlink" Target="https://doi.org/10.1016/j.irbm.2024.100838" TargetMode="External" Id="rId1387"/><Relationship Type="http://schemas.openxmlformats.org/officeDocument/2006/relationships/hyperlink" Target="https://doi.org/10.1016/j.irbm.2024.100838" TargetMode="External" Id="rId1388"/><Relationship Type="http://schemas.openxmlformats.org/officeDocument/2006/relationships/hyperlink" Target="https://doi.org/10.1016/j.irbm.2024.100838" TargetMode="External" Id="rId1389"/><Relationship Type="http://schemas.openxmlformats.org/officeDocument/2006/relationships/hyperlink" Target="https://doi.org/10.1016/j.irbm.2024.100838" TargetMode="External" Id="rId1390"/><Relationship Type="http://schemas.openxmlformats.org/officeDocument/2006/relationships/hyperlink" Target="https://doi.org/10.1016/j.irbm.2024.100838" TargetMode="External" Id="rId1391"/><Relationship Type="http://schemas.openxmlformats.org/officeDocument/2006/relationships/hyperlink" Target="https://doi.org/10.1007/978-3-030-00928-1_73" TargetMode="External" Id="rId1392"/><Relationship Type="http://schemas.openxmlformats.org/officeDocument/2006/relationships/hyperlink" Target="https://doi.org/10.1007/978-3-030-00928-1_73" TargetMode="External" Id="rId1393"/><Relationship Type="http://schemas.openxmlformats.org/officeDocument/2006/relationships/hyperlink" Target="https://doi.org/10.1007/978-3-030-00928-1_73" TargetMode="External" Id="rId1394"/><Relationship Type="http://schemas.openxmlformats.org/officeDocument/2006/relationships/hyperlink" Target="https://doi.org/10.1007/978-3-030-00928-1_73" TargetMode="External" Id="rId1395"/><Relationship Type="http://schemas.openxmlformats.org/officeDocument/2006/relationships/hyperlink" Target="https://doi.org/10.1007/978-3-030-00928-1_73" TargetMode="External" Id="rId1396"/><Relationship Type="http://schemas.openxmlformats.org/officeDocument/2006/relationships/hyperlink" Target="https://doi.org/10.1109/tnsre.2025.3580593" TargetMode="External" Id="rId1397"/><Relationship Type="http://schemas.openxmlformats.org/officeDocument/2006/relationships/hyperlink" Target="https://doi.org/10.1109/tnsre.2025.3580593" TargetMode="External" Id="rId1398"/><Relationship Type="http://schemas.openxmlformats.org/officeDocument/2006/relationships/hyperlink" Target="https://doi.org/10.1109/tnsre.2025.3580593" TargetMode="External" Id="rId1399"/><Relationship Type="http://schemas.openxmlformats.org/officeDocument/2006/relationships/hyperlink" Target="https://doi.org/10.1016/b978-0-12-822822-7.00008-9" TargetMode="External" Id="rId1400"/><Relationship Type="http://schemas.openxmlformats.org/officeDocument/2006/relationships/hyperlink" Target="https://doi.org/10.1016/b978-0-12-822822-7.00008-9" TargetMode="External" Id="rId1401"/><Relationship Type="http://schemas.openxmlformats.org/officeDocument/2006/relationships/hyperlink" Target="https://doi.org/10.1016/b978-0-12-822822-7.00008-9" TargetMode="External" Id="rId1402"/><Relationship Type="http://schemas.openxmlformats.org/officeDocument/2006/relationships/hyperlink" Target="https://doi.org/10.1016/b978-0-12-822822-7.00008-9" TargetMode="External" Id="rId1403"/><Relationship Type="http://schemas.openxmlformats.org/officeDocument/2006/relationships/hyperlink" Target="https://doi.org/10.1016/b978-0-12-822822-7.00008-9" TargetMode="External" Id="rId1404"/><Relationship Type="http://schemas.openxmlformats.org/officeDocument/2006/relationships/hyperlink" Target="https://doi.org/10.1016/b978-0-12-822822-7.00008-9" TargetMode="External" Id="rId1405"/><Relationship Type="http://schemas.openxmlformats.org/officeDocument/2006/relationships/hyperlink" Target="https://doi.org/10.1016/b978-0-12-822822-7.00008-9" TargetMode="External" Id="rId1406"/><Relationship Type="http://schemas.openxmlformats.org/officeDocument/2006/relationships/hyperlink" Target="https://doi.org/10.1016/b978-0-12-822822-7.00008-9" TargetMode="External" Id="rId1407"/><Relationship Type="http://schemas.openxmlformats.org/officeDocument/2006/relationships/hyperlink" Target="https://doi.org/10.1038/s41598-025-09862-7" TargetMode="External" Id="rId1408"/><Relationship Type="http://schemas.openxmlformats.org/officeDocument/2006/relationships/hyperlink" Target="https://doi.org/10.1038/s41598-025-09862-7" TargetMode="External" Id="rId1409"/><Relationship Type="http://schemas.openxmlformats.org/officeDocument/2006/relationships/hyperlink" Target="https://doi.org/10.1038/s41598-025-09862-7" TargetMode="External" Id="rId1410"/><Relationship Type="http://schemas.openxmlformats.org/officeDocument/2006/relationships/hyperlink" Target="https://doi.org/10.1038/s41598-025-09862-7" TargetMode="External" Id="rId1411"/><Relationship Type="http://schemas.openxmlformats.org/officeDocument/2006/relationships/hyperlink" Target="https://doi.org/10.1038/s41598-025-09862-7" TargetMode="External" Id="rId1412"/><Relationship Type="http://schemas.openxmlformats.org/officeDocument/2006/relationships/hyperlink" Target="https://doi.org/10.1109/embc48229.2022.9871130" TargetMode="External" Id="rId1413"/><Relationship Type="http://schemas.openxmlformats.org/officeDocument/2006/relationships/hyperlink" Target="https://doi.org/10.1109/embc48229.2022.9871130" TargetMode="External" Id="rId1414"/><Relationship Type="http://schemas.openxmlformats.org/officeDocument/2006/relationships/hyperlink" Target="https://doi.org/10.1109/embc48229.2022.9871130" TargetMode="External" Id="rId1415"/><Relationship Type="http://schemas.openxmlformats.org/officeDocument/2006/relationships/hyperlink" Target="https://doi.org/10.1109/embc48229.2022.9871130" TargetMode="External" Id="rId1416"/><Relationship Type="http://schemas.openxmlformats.org/officeDocument/2006/relationships/hyperlink" Target="https://doi.org/10.1007/978-981-99-8558-6_38" TargetMode="External" Id="rId1417"/><Relationship Type="http://schemas.openxmlformats.org/officeDocument/2006/relationships/hyperlink" Target="https://doi.org/10.1007/978-981-99-8558-6_38" TargetMode="External" Id="rId1418"/><Relationship Type="http://schemas.openxmlformats.org/officeDocument/2006/relationships/hyperlink" Target="https://doi.org/10.1007/978-981-99-8558-6_38" TargetMode="External" Id="rId1419"/><Relationship Type="http://schemas.openxmlformats.org/officeDocument/2006/relationships/hyperlink" Target="https://doi.org/10.1007/978-981-99-8558-6_38" TargetMode="External" Id="rId1420"/><Relationship Type="http://schemas.openxmlformats.org/officeDocument/2006/relationships/hyperlink" Target="https://doi.org/10.1007/978-981-99-8558-6_38" TargetMode="External" Id="rId1421"/><Relationship Type="http://schemas.openxmlformats.org/officeDocument/2006/relationships/hyperlink" Target="https://doi.org/10.1007/978-981-99-8558-6_38" TargetMode="External" Id="rId1422"/><Relationship Type="http://schemas.openxmlformats.org/officeDocument/2006/relationships/hyperlink" Target="https://doi.org/10.1007/s10916-023-02032-0" TargetMode="External" Id="rId1423"/><Relationship Type="http://schemas.openxmlformats.org/officeDocument/2006/relationships/hyperlink" Target="https://doi.org/10.1007/s10916-023-02032-0" TargetMode="External" Id="rId1424"/><Relationship Type="http://schemas.openxmlformats.org/officeDocument/2006/relationships/hyperlink" Target="https://doi.org/10.1007/s10916-023-02032-0" TargetMode="External" Id="rId1425"/><Relationship Type="http://schemas.openxmlformats.org/officeDocument/2006/relationships/hyperlink" Target="https://doi.org/10.1007/s10916-023-02032-0" TargetMode="External" Id="rId1426"/><Relationship Type="http://schemas.openxmlformats.org/officeDocument/2006/relationships/hyperlink" Target="https://doi.org/10.1016/j.compbiomed.2022.105239" TargetMode="External" Id="rId1427"/><Relationship Type="http://schemas.openxmlformats.org/officeDocument/2006/relationships/hyperlink" Target="https://doi.org/10.1016/j.compbiomed.2022.105239" TargetMode="External" Id="rId1428"/><Relationship Type="http://schemas.openxmlformats.org/officeDocument/2006/relationships/hyperlink" Target="https://doi.org/10.1016/j.compbiomed.2022.105239" TargetMode="External" Id="rId1429"/><Relationship Type="http://schemas.openxmlformats.org/officeDocument/2006/relationships/hyperlink" Target="https://doi.org/10.1016/j.compbiomed.2022.105239" TargetMode="External" Id="rId1430"/><Relationship Type="http://schemas.openxmlformats.org/officeDocument/2006/relationships/hyperlink" Target="https://doi.org/10.1016/j.compbiomed.2022.105239" TargetMode="External" Id="rId1431"/><Relationship Type="http://schemas.openxmlformats.org/officeDocument/2006/relationships/hyperlink" Target="https://doi.org/10.1016/j.compbiomed.2022.105239" TargetMode="External" Id="rId1432"/><Relationship Type="http://schemas.openxmlformats.org/officeDocument/2006/relationships/hyperlink" Target="https://doi.org/10.1038/s41380-022-01636-1" TargetMode="External" Id="rId1433"/><Relationship Type="http://schemas.openxmlformats.org/officeDocument/2006/relationships/hyperlink" Target="https://doi.org/10.1038/s41380-022-01636-1" TargetMode="External" Id="rId1434"/><Relationship Type="http://schemas.openxmlformats.org/officeDocument/2006/relationships/hyperlink" Target="https://doi.org/10.1038/s41380-022-01636-1" TargetMode="External" Id="rId1435"/><Relationship Type="http://schemas.openxmlformats.org/officeDocument/2006/relationships/hyperlink" Target="https://doi.org/10.1038/s41380-022-01636-1" TargetMode="External" Id="rId1436"/><Relationship Type="http://schemas.openxmlformats.org/officeDocument/2006/relationships/hyperlink" Target="https://doi.org/10.1038/s41380-022-01636-1" TargetMode="External" Id="rId1437"/><Relationship Type="http://schemas.openxmlformats.org/officeDocument/2006/relationships/hyperlink" Target="https://doi.org/10.1038/s41380-022-01636-1" TargetMode="External" Id="rId1438"/><Relationship Type="http://schemas.openxmlformats.org/officeDocument/2006/relationships/hyperlink" Target="https://doi.org/10.1038/s41380-022-01636-1" TargetMode="External" Id="rId1439"/><Relationship Type="http://schemas.openxmlformats.org/officeDocument/2006/relationships/hyperlink" Target="https://doi.org/10.1109/access.2022.3146719" TargetMode="External" Id="rId1440"/><Relationship Type="http://schemas.openxmlformats.org/officeDocument/2006/relationships/hyperlink" Target="https://doi.org/10.1109/access.2022.3146719" TargetMode="External" Id="rId1441"/><Relationship Type="http://schemas.openxmlformats.org/officeDocument/2006/relationships/hyperlink" Target="https://doi.org/10.1109/access.2022.3146719" TargetMode="External" Id="rId1442"/><Relationship Type="http://schemas.openxmlformats.org/officeDocument/2006/relationships/hyperlink" Target="https://doi.org/10.1109/access.2022.3146719" TargetMode="External" Id="rId1443"/><Relationship Type="http://schemas.openxmlformats.org/officeDocument/2006/relationships/hyperlink" Target="https://doi.org/10.1109/access.2022.3146719" TargetMode="External" Id="rId1444"/><Relationship Type="http://schemas.openxmlformats.org/officeDocument/2006/relationships/hyperlink" Target="https://doi.org/10.1016/j.isci.2024.110709" TargetMode="External" Id="rId1445"/><Relationship Type="http://schemas.openxmlformats.org/officeDocument/2006/relationships/hyperlink" Target="https://doi.org/10.1016/j.isci.2024.110709" TargetMode="External" Id="rId1446"/><Relationship Type="http://schemas.openxmlformats.org/officeDocument/2006/relationships/hyperlink" Target="https://doi.org/10.1016/j.isci.2024.110709" TargetMode="External" Id="rId1447"/><Relationship Type="http://schemas.openxmlformats.org/officeDocument/2006/relationships/hyperlink" Target="https://doi.org/10.1016/j.isci.2024.110709" TargetMode="External" Id="rId1448"/><Relationship Type="http://schemas.openxmlformats.org/officeDocument/2006/relationships/hyperlink" Target="https://doi.org/10.1016/j.isci.2024.110709" TargetMode="External" Id="rId1449"/><Relationship Type="http://schemas.openxmlformats.org/officeDocument/2006/relationships/hyperlink" Target="https://doi.org/10.1016/j.isci.2024.110709" TargetMode="External" Id="rId1450"/><Relationship Type="http://schemas.openxmlformats.org/officeDocument/2006/relationships/hyperlink" Target="https://doi.org/10.1016/j.isci.2024.110709" TargetMode="External" Id="rId1451"/><Relationship Type="http://schemas.openxmlformats.org/officeDocument/2006/relationships/hyperlink" Target="https://doi.org/10.1016/j.isci.2024.110709" TargetMode="External" Id="rId1452"/><Relationship Type="http://schemas.openxmlformats.org/officeDocument/2006/relationships/hyperlink" Target="https://doi.org/10.1016/j.isci.2024.110709" TargetMode="External" Id="rId1453"/><Relationship Type="http://schemas.openxmlformats.org/officeDocument/2006/relationships/hyperlink" Target="https://doi.org/10.1016/j.envint.2025.109562" TargetMode="External" Id="rId1454"/><Relationship Type="http://schemas.openxmlformats.org/officeDocument/2006/relationships/hyperlink" Target="https://doi.org/10.1016/j.envint.2025.109562" TargetMode="External" Id="rId1455"/><Relationship Type="http://schemas.openxmlformats.org/officeDocument/2006/relationships/hyperlink" Target="https://doi.org/10.1016/j.envint.2025.109562" TargetMode="External" Id="rId1456"/><Relationship Type="http://schemas.openxmlformats.org/officeDocument/2006/relationships/hyperlink" Target="https://doi.org/10.1016/j.envint.2025.109562" TargetMode="External" Id="rId1457"/><Relationship Type="http://schemas.openxmlformats.org/officeDocument/2006/relationships/hyperlink" Target="https://doi.org/10.1016/j.envint.2025.109562" TargetMode="External" Id="rId1458"/><Relationship Type="http://schemas.openxmlformats.org/officeDocument/2006/relationships/hyperlink" Target="https://doi.org/10.2196/jmir.9496" TargetMode="External" Id="rId1459"/><Relationship Type="http://schemas.openxmlformats.org/officeDocument/2006/relationships/hyperlink" Target="https://doi.org/10.2196/jmir.9496" TargetMode="External" Id="rId1460"/><Relationship Type="http://schemas.openxmlformats.org/officeDocument/2006/relationships/hyperlink" Target="https://doi.org/10.2196/jmir.9496" TargetMode="External" Id="rId1461"/><Relationship Type="http://schemas.openxmlformats.org/officeDocument/2006/relationships/hyperlink" Target="https://doi.org/10.2196/jmir.9496" TargetMode="External" Id="rId1462"/><Relationship Type="http://schemas.openxmlformats.org/officeDocument/2006/relationships/hyperlink" Target="https://doi.org/10.2196/jmir.9496" TargetMode="External" Id="rId1463"/><Relationship Type="http://schemas.openxmlformats.org/officeDocument/2006/relationships/hyperlink" Target="https://doi.org/10.2196/jmir.9496" TargetMode="External" Id="rId1464"/><Relationship Type="http://schemas.openxmlformats.org/officeDocument/2006/relationships/hyperlink" Target="https://doi.org/10.1007/s42979-023-02564-9" TargetMode="External" Id="rId1465"/><Relationship Type="http://schemas.openxmlformats.org/officeDocument/2006/relationships/hyperlink" Target="https://doi.org/10.1007/s42979-023-02564-9" TargetMode="External" Id="rId1466"/><Relationship Type="http://schemas.openxmlformats.org/officeDocument/2006/relationships/hyperlink" Target="https://doi.org/10.1007/s42979-023-02564-9" TargetMode="External" Id="rId1467"/><Relationship Type="http://schemas.openxmlformats.org/officeDocument/2006/relationships/hyperlink" Target="https://doi.org/10.1016/j.media.2020.101662" TargetMode="External" Id="rId1468"/><Relationship Type="http://schemas.openxmlformats.org/officeDocument/2006/relationships/hyperlink" Target="https://doi.org/10.1016/j.media.2020.101662" TargetMode="External" Id="rId1469"/><Relationship Type="http://schemas.openxmlformats.org/officeDocument/2006/relationships/hyperlink" Target="https://doi.org/10.1016/j.media.2020.101662" TargetMode="External" Id="rId1470"/><Relationship Type="http://schemas.openxmlformats.org/officeDocument/2006/relationships/hyperlink" Target="https://doi.org/10.1016/j.media.2020.101662" TargetMode="External" Id="rId1471"/><Relationship Type="http://schemas.openxmlformats.org/officeDocument/2006/relationships/hyperlink" Target="https://doi.org/10.1016/j.media.2020.101662" TargetMode="External" Id="rId1472"/><Relationship Type="http://schemas.openxmlformats.org/officeDocument/2006/relationships/hyperlink" Target="https://doi.org/10.1016/j.media.2020.101662" TargetMode="External" Id="rId1473"/><Relationship Type="http://schemas.openxmlformats.org/officeDocument/2006/relationships/hyperlink" Target="https://doi.org/10.1016/j.media.2020.101662" TargetMode="External" Id="rId1474"/><Relationship Type="http://schemas.openxmlformats.org/officeDocument/2006/relationships/hyperlink" Target="https://doi.org/10.1016/j.media.2020.101662" TargetMode="External" Id="rId1475"/><Relationship Type="http://schemas.openxmlformats.org/officeDocument/2006/relationships/hyperlink" Target="https://doi.org/10.1016/j.medengphy.2020.07.004" TargetMode="External" Id="rId1476"/><Relationship Type="http://schemas.openxmlformats.org/officeDocument/2006/relationships/hyperlink" Target="https://doi.org/10.1016/j.medengphy.2020.07.004" TargetMode="External" Id="rId1477"/><Relationship Type="http://schemas.openxmlformats.org/officeDocument/2006/relationships/hyperlink" Target="https://doi.org/10.1016/j.medengphy.2020.07.004" TargetMode="External" Id="rId1478"/><Relationship Type="http://schemas.openxmlformats.org/officeDocument/2006/relationships/hyperlink" Target="https://doi.org/10.1016/j.medengphy.2020.07.004" TargetMode="External" Id="rId1479"/><Relationship Type="http://schemas.openxmlformats.org/officeDocument/2006/relationships/hyperlink" Target="https://doi.org/10.1016/j.medengphy.2020.07.004" TargetMode="External" Id="rId1480"/><Relationship Type="http://schemas.openxmlformats.org/officeDocument/2006/relationships/hyperlink" Target="https://doi.org/10.1016/j.medengphy.2020.07.004" TargetMode="External" Id="rId1481"/><Relationship Type="http://schemas.openxmlformats.org/officeDocument/2006/relationships/hyperlink" Target="https://doi.org/10.1016/j.neuroimage.2017.12.044" TargetMode="External" Id="rId1482"/><Relationship Type="http://schemas.openxmlformats.org/officeDocument/2006/relationships/hyperlink" Target="https://doi.org/10.1016/j.neuroimage.2017.12.044" TargetMode="External" Id="rId1483"/><Relationship Type="http://schemas.openxmlformats.org/officeDocument/2006/relationships/hyperlink" Target="https://doi.org/10.1016/j.neuroimage.2017.12.044" TargetMode="External" Id="rId1484"/><Relationship Type="http://schemas.openxmlformats.org/officeDocument/2006/relationships/hyperlink" Target="https://doi.org/10.1016/j.neuroimage.2017.12.044" TargetMode="External" Id="rId1485"/><Relationship Type="http://schemas.openxmlformats.org/officeDocument/2006/relationships/hyperlink" Target="https://doi.org/10.1016/j.neuroimage.2017.12.044" TargetMode="External" Id="rId1486"/><Relationship Type="http://schemas.openxmlformats.org/officeDocument/2006/relationships/hyperlink" Target="https://doi.org/10.1007/978-3-030-86993-9_36" TargetMode="External" Id="rId1487"/><Relationship Type="http://schemas.openxmlformats.org/officeDocument/2006/relationships/hyperlink" Target="https://doi.org/10.1007/978-3-030-86993-9_36" TargetMode="External" Id="rId1488"/><Relationship Type="http://schemas.openxmlformats.org/officeDocument/2006/relationships/hyperlink" Target="https://doi.org/10.1007/978-3-030-86993-9_36" TargetMode="External" Id="rId1489"/><Relationship Type="http://schemas.openxmlformats.org/officeDocument/2006/relationships/hyperlink" Target="https://doi.org/10.1007/978-3-030-86993-9_36" TargetMode="External" Id="rId1490"/><Relationship Type="http://schemas.openxmlformats.org/officeDocument/2006/relationships/hyperlink" Target="https://doi.org/10.1007/978-3-030-86993-9_36" TargetMode="External" Id="rId1491"/><Relationship Type="http://schemas.openxmlformats.org/officeDocument/2006/relationships/hyperlink" Target="https://doi.org/10.3390/s22072528" TargetMode="External" Id="rId1492"/><Relationship Type="http://schemas.openxmlformats.org/officeDocument/2006/relationships/hyperlink" Target="https://doi.org/10.3390/s22072528" TargetMode="External" Id="rId1493"/><Relationship Type="http://schemas.openxmlformats.org/officeDocument/2006/relationships/hyperlink" Target="https://doi.org/10.3390/s22072528" TargetMode="External" Id="rId1494"/><Relationship Type="http://schemas.openxmlformats.org/officeDocument/2006/relationships/hyperlink" Target="https://doi.org/10.3390/s22072528" TargetMode="External" Id="rId1495"/><Relationship Type="http://schemas.openxmlformats.org/officeDocument/2006/relationships/hyperlink" Target="https://doi.org/10.1007/s10803-022-05767-w" TargetMode="External" Id="rId1496"/><Relationship Type="http://schemas.openxmlformats.org/officeDocument/2006/relationships/hyperlink" Target="https://doi.org/10.1007/s10803-022-05767-w" TargetMode="External" Id="rId1497"/><Relationship Type="http://schemas.openxmlformats.org/officeDocument/2006/relationships/hyperlink" Target="https://doi.org/10.1007/s10803-022-05767-w" TargetMode="External" Id="rId1498"/><Relationship Type="http://schemas.openxmlformats.org/officeDocument/2006/relationships/hyperlink" Target="https://doi.org/10.1016/j.eswa.2014.05.011" TargetMode="External" Id="rId1499"/><Relationship Type="http://schemas.openxmlformats.org/officeDocument/2006/relationships/hyperlink" Target="https://doi.org/10.1016/j.eswa.2014.05.011" TargetMode="External" Id="rId1500"/><Relationship Type="http://schemas.openxmlformats.org/officeDocument/2006/relationships/hyperlink" Target="https://doi.org/10.1016/j.eswa.2014.05.011" TargetMode="External" Id="rId1501"/><Relationship Type="http://schemas.openxmlformats.org/officeDocument/2006/relationships/hyperlink" Target="https://doi.org/10.1016/j.eswa.2014.05.011" TargetMode="External" Id="rId1502"/><Relationship Type="http://schemas.openxmlformats.org/officeDocument/2006/relationships/hyperlink" Target="https://doi.org/10.1016/j.eswa.2014.05.011" TargetMode="External" Id="rId1503"/><Relationship Type="http://schemas.openxmlformats.org/officeDocument/2006/relationships/hyperlink" Target="https://doi.org/10.1016/j.eswa.2014.05.011" TargetMode="External" Id="rId1504"/><Relationship Type="http://schemas.openxmlformats.org/officeDocument/2006/relationships/hyperlink" Target="https://doi.org/10.1093/cercor/bhad125" TargetMode="External" Id="rId1505"/><Relationship Type="http://schemas.openxmlformats.org/officeDocument/2006/relationships/hyperlink" Target="https://doi.org/10.1093/cercor/bhad125" TargetMode="External" Id="rId1506"/><Relationship Type="http://schemas.openxmlformats.org/officeDocument/2006/relationships/hyperlink" Target="https://doi.org/10.1093/cercor/bhad125" TargetMode="External" Id="rId1507"/><Relationship Type="http://schemas.openxmlformats.org/officeDocument/2006/relationships/hyperlink" Target="https://doi.org/10.1093/cercor/bhad125" TargetMode="External" Id="rId1508"/><Relationship Type="http://schemas.openxmlformats.org/officeDocument/2006/relationships/hyperlink" Target="https://doi.org/10.1093/cercor/bhad125" TargetMode="External" Id="rId1509"/><Relationship Type="http://schemas.openxmlformats.org/officeDocument/2006/relationships/hyperlink" Target="https://doi.org/10.1186/s12911-017-0564-8" TargetMode="External" Id="rId1510"/><Relationship Type="http://schemas.openxmlformats.org/officeDocument/2006/relationships/hyperlink" Target="https://doi.org/10.1186/s12911-017-0564-8" TargetMode="External" Id="rId1511"/><Relationship Type="http://schemas.openxmlformats.org/officeDocument/2006/relationships/hyperlink" Target="https://doi.org/10.1186/s12911-017-0564-8" TargetMode="External" Id="rId1512"/><Relationship Type="http://schemas.openxmlformats.org/officeDocument/2006/relationships/hyperlink" Target="https://doi.org/10.1186/s12911-017-0564-8" TargetMode="External" Id="rId1513"/><Relationship Type="http://schemas.openxmlformats.org/officeDocument/2006/relationships/hyperlink" Target="https://doi.org/10.1186/s12911-017-0564-8" TargetMode="External" Id="rId1514"/><Relationship Type="http://schemas.openxmlformats.org/officeDocument/2006/relationships/hyperlink" Target="https://doi.org/10.1002/cpe.6498" TargetMode="External" Id="rId1515"/><Relationship Type="http://schemas.openxmlformats.org/officeDocument/2006/relationships/hyperlink" Target="https://doi.org/10.1002/cpe.6498" TargetMode="External" Id="rId1516"/><Relationship Type="http://schemas.openxmlformats.org/officeDocument/2006/relationships/hyperlink" Target="https://doi.org/10.1002/cpe.6498" TargetMode="External" Id="rId1517"/><Relationship Type="http://schemas.openxmlformats.org/officeDocument/2006/relationships/hyperlink" Target="https://doi.org/10.1002/cpe.6498" TargetMode="External" Id="rId1518"/><Relationship Type="http://schemas.openxmlformats.org/officeDocument/2006/relationships/hyperlink" Target="https://doi.org/10.1016/j.jneumeth.2023.109901" TargetMode="External" Id="rId1519"/><Relationship Type="http://schemas.openxmlformats.org/officeDocument/2006/relationships/hyperlink" Target="https://doi.org/10.1016/j.jneumeth.2023.109901" TargetMode="External" Id="rId1520"/><Relationship Type="http://schemas.openxmlformats.org/officeDocument/2006/relationships/hyperlink" Target="https://doi.org/10.1016/j.jneumeth.2023.109901" TargetMode="External" Id="rId1521"/><Relationship Type="http://schemas.openxmlformats.org/officeDocument/2006/relationships/hyperlink" Target="https://doi.org/10.1016/j.jneumeth.2023.109901" TargetMode="External" Id="rId1522"/><Relationship Type="http://schemas.openxmlformats.org/officeDocument/2006/relationships/hyperlink" Target="https://doi.org/10.1016/j.jneumeth.2023.109901" TargetMode="External" Id="rId1523"/><Relationship Type="http://schemas.openxmlformats.org/officeDocument/2006/relationships/hyperlink" Target="https://doi.org/10.1016/j.jneumeth.2023.109901" TargetMode="External" Id="rId1524"/><Relationship Type="http://schemas.openxmlformats.org/officeDocument/2006/relationships/hyperlink" Target="https://doi.org/10.3390/ijerph191912857" TargetMode="External" Id="rId1525"/><Relationship Type="http://schemas.openxmlformats.org/officeDocument/2006/relationships/hyperlink" Target="https://doi.org/10.3390/ijerph191912857" TargetMode="External" Id="rId1526"/><Relationship Type="http://schemas.openxmlformats.org/officeDocument/2006/relationships/hyperlink" Target="https://doi.org/10.3390/ijerph191912857" TargetMode="External" Id="rId1527"/><Relationship Type="http://schemas.openxmlformats.org/officeDocument/2006/relationships/hyperlink" Target="https://doi.org/10.3390/ijerph191912857" TargetMode="External" Id="rId1528"/><Relationship Type="http://schemas.openxmlformats.org/officeDocument/2006/relationships/hyperlink" Target="https://doi.org/10.3390/ijerph191912857" TargetMode="External" Id="rId1529"/><Relationship Type="http://schemas.openxmlformats.org/officeDocument/2006/relationships/hyperlink" Target="https://doi.org/10.3390/ijerph191912857" TargetMode="External" Id="rId1530"/><Relationship Type="http://schemas.openxmlformats.org/officeDocument/2006/relationships/hyperlink" Target="https://doi.org/10.1186/s12859-023-05378-x" TargetMode="External" Id="rId1531"/><Relationship Type="http://schemas.openxmlformats.org/officeDocument/2006/relationships/hyperlink" Target="https://doi.org/10.1186/s12859-023-05378-x" TargetMode="External" Id="rId1532"/><Relationship Type="http://schemas.openxmlformats.org/officeDocument/2006/relationships/hyperlink" Target="https://doi.org/10.1186/s12859-023-05378-x" TargetMode="External" Id="rId1533"/><Relationship Type="http://schemas.openxmlformats.org/officeDocument/2006/relationships/hyperlink" Target="https://doi.org/10.1186/s12859-023-05378-x" TargetMode="External" Id="rId1534"/><Relationship Type="http://schemas.openxmlformats.org/officeDocument/2006/relationships/hyperlink" Target="https://doi.org/10.1186/s12859-023-05378-x" TargetMode="External" Id="rId1535"/><Relationship Type="http://schemas.openxmlformats.org/officeDocument/2006/relationships/hyperlink" Target="https://doi.org/10.1186/s12859-023-05378-x" TargetMode="External" Id="rId1536"/><Relationship Type="http://schemas.openxmlformats.org/officeDocument/2006/relationships/hyperlink" Target="https://doi.org/10.1155/2022/8134018" TargetMode="External" Id="rId1537"/><Relationship Type="http://schemas.openxmlformats.org/officeDocument/2006/relationships/hyperlink" Target="https://doi.org/10.1155/2022/8134018" TargetMode="External" Id="rId1538"/><Relationship Type="http://schemas.openxmlformats.org/officeDocument/2006/relationships/hyperlink" Target="https://doi.org/10.1155/2022/8134018" TargetMode="External" Id="rId1539"/><Relationship Type="http://schemas.openxmlformats.org/officeDocument/2006/relationships/hyperlink" Target="https://doi.org/10.1016/j.procs.2020.01.098" TargetMode="External" Id="rId1540"/><Relationship Type="http://schemas.openxmlformats.org/officeDocument/2006/relationships/hyperlink" Target="https://doi.org/10.1016/j.procs.2020.01.098" TargetMode="External" Id="rId1541"/><Relationship Type="http://schemas.openxmlformats.org/officeDocument/2006/relationships/hyperlink" Target="https://doi.org/10.1016/j.procs.2020.01.098" TargetMode="External" Id="rId1542"/><Relationship Type="http://schemas.openxmlformats.org/officeDocument/2006/relationships/hyperlink" Target="https://doi.org/10.1016/j.procs.2020.01.098" TargetMode="External" Id="rId1543"/><Relationship Type="http://schemas.openxmlformats.org/officeDocument/2006/relationships/hyperlink" Target="https://doi.org/10.1016/j.procs.2020.01.098" TargetMode="External" Id="rId1544"/><Relationship Type="http://schemas.openxmlformats.org/officeDocument/2006/relationships/hyperlink" Target="https://doi.org/10.1016/j.ecoenv.2025.118233" TargetMode="External" Id="rId1545"/><Relationship Type="http://schemas.openxmlformats.org/officeDocument/2006/relationships/hyperlink" Target="https://doi.org/10.1016/j.ecoenv.2025.118233" TargetMode="External" Id="rId1546"/><Relationship Type="http://schemas.openxmlformats.org/officeDocument/2006/relationships/hyperlink" Target="https://doi.org/10.1016/j.ecoenv.2025.118233" TargetMode="External" Id="rId1547"/><Relationship Type="http://schemas.openxmlformats.org/officeDocument/2006/relationships/hyperlink" Target="https://doi.org/10.1016/j.ecoenv.2025.118233" TargetMode="External" Id="rId1548"/><Relationship Type="http://schemas.openxmlformats.org/officeDocument/2006/relationships/hyperlink" Target="https://doi.org/10.1016/j.ecoenv.2025.118233" TargetMode="External" Id="rId1549"/><Relationship Type="http://schemas.openxmlformats.org/officeDocument/2006/relationships/hyperlink" Target="https://doi.org/10.1016/j.ecoenv.2025.118233" TargetMode="External" Id="rId1550"/><Relationship Type="http://schemas.openxmlformats.org/officeDocument/2006/relationships/hyperlink" Target="https://doi.org/10.1111/exsy.13040" TargetMode="External" Id="rId1551"/><Relationship Type="http://schemas.openxmlformats.org/officeDocument/2006/relationships/hyperlink" Target="https://doi.org/10.1111/exsy.13040" TargetMode="External" Id="rId1552"/><Relationship Type="http://schemas.openxmlformats.org/officeDocument/2006/relationships/hyperlink" Target="https://doi.org/10.1111/exsy.13040" TargetMode="External" Id="rId1553"/><Relationship Type="http://schemas.openxmlformats.org/officeDocument/2006/relationships/hyperlink" Target="https://doi.org/10.1111/exsy.13040" TargetMode="External" Id="rId1554"/><Relationship Type="http://schemas.openxmlformats.org/officeDocument/2006/relationships/hyperlink" Target="https://doi.org/10.1111/exsy.13040" TargetMode="External" Id="rId1555"/><Relationship Type="http://schemas.openxmlformats.org/officeDocument/2006/relationships/hyperlink" Target="https://www.nature.com/articles/s41598-020-61288-5" TargetMode="External" Id="rId1556"/><Relationship Type="http://schemas.openxmlformats.org/officeDocument/2006/relationships/hyperlink" Target="https://www.nature.com/articles/s41598-020-61288-5" TargetMode="External" Id="rId1557"/><Relationship Type="http://schemas.openxmlformats.org/officeDocument/2006/relationships/hyperlink" Target="https://www.nature.com/articles/s41598-020-61288-5" TargetMode="External" Id="rId1558"/><Relationship Type="http://schemas.openxmlformats.org/officeDocument/2006/relationships/hyperlink" Target="https://www.nature.com/articles/s41598-020-61288-5" TargetMode="External" Id="rId1559"/><Relationship Type="http://schemas.openxmlformats.org/officeDocument/2006/relationships/hyperlink" Target="https://www.nature.com/articles/s41598-020-61288-5" TargetMode="External" Id="rId1560"/><Relationship Type="http://schemas.openxmlformats.org/officeDocument/2006/relationships/hyperlink" Target="https://www.nature.com/articles/s41598-020-61288-5" TargetMode="External" Id="rId1561"/><Relationship Type="http://schemas.openxmlformats.org/officeDocument/2006/relationships/hyperlink" Target="https://www.nature.com/articles/s41598-020-61288-5" TargetMode="External" Id="rId1562"/><Relationship Type="http://schemas.openxmlformats.org/officeDocument/2006/relationships/hyperlink" Target="https://www.nature.com/articles/s41598-020-61288-5" TargetMode="External" Id="rId1563"/><Relationship Type="http://schemas.openxmlformats.org/officeDocument/2006/relationships/hyperlink" Target="https://doi.org/10.1007/s10803-021-05179-2" TargetMode="External" Id="rId1564"/><Relationship Type="http://schemas.openxmlformats.org/officeDocument/2006/relationships/hyperlink" Target="https://doi.org/10.1007/s10803-021-05179-2" TargetMode="External" Id="rId1565"/><Relationship Type="http://schemas.openxmlformats.org/officeDocument/2006/relationships/hyperlink" Target="https://doi.org/10.1007/s10803-021-05179-2" TargetMode="External" Id="rId1566"/><Relationship Type="http://schemas.openxmlformats.org/officeDocument/2006/relationships/hyperlink" Target="https://doi.org/10.1007/s10803-021-05179-2" TargetMode="External" Id="rId1567"/><Relationship Type="http://schemas.openxmlformats.org/officeDocument/2006/relationships/hyperlink" Target="https://doi.org/10.1007/s10803-021-05179-2" TargetMode="External" Id="rId1568"/><Relationship Type="http://schemas.openxmlformats.org/officeDocument/2006/relationships/hyperlink" Target="https://doi.org/10.1016/j.neuro.2018.11.015" TargetMode="External" Id="rId1569"/><Relationship Type="http://schemas.openxmlformats.org/officeDocument/2006/relationships/hyperlink" Target="https://doi.org/10.1016/j.neuro.2018.11.015" TargetMode="External" Id="rId1570"/><Relationship Type="http://schemas.openxmlformats.org/officeDocument/2006/relationships/hyperlink" Target="https://doi.org/10.1016/j.neuro.2018.11.015" TargetMode="External" Id="rId1571"/><Relationship Type="http://schemas.openxmlformats.org/officeDocument/2006/relationships/hyperlink" Target="https://doi.org/10.1016/j.neuro.2018.11.015" TargetMode="External" Id="rId1572"/><Relationship Type="http://schemas.openxmlformats.org/officeDocument/2006/relationships/hyperlink" Target="https://doi.org/10.1016/j.neuro.2018.11.015" TargetMode="External" Id="rId1573"/><Relationship Type="http://schemas.openxmlformats.org/officeDocument/2006/relationships/hyperlink" Target="https://doi.org/10.1021/acs.jcim.5c00134" TargetMode="External" Id="rId1574"/><Relationship Type="http://schemas.openxmlformats.org/officeDocument/2006/relationships/hyperlink" Target="https://doi.org/10.1021/acs.jcim.5c00134" TargetMode="External" Id="rId1575"/><Relationship Type="http://schemas.openxmlformats.org/officeDocument/2006/relationships/hyperlink" Target="https://doi.org/10.1021/acs.jcim.5c00134" TargetMode="External" Id="rId1576"/><Relationship Type="http://schemas.openxmlformats.org/officeDocument/2006/relationships/hyperlink" Target="https://doi.org/10.1021/acs.jcim.5c00134" TargetMode="External" Id="rId1577"/><Relationship Type="http://schemas.openxmlformats.org/officeDocument/2006/relationships/hyperlink" Target="https://doi.org/10.1021/acs.jcim.5c00134" TargetMode="External" Id="rId1578"/><Relationship Type="http://schemas.openxmlformats.org/officeDocument/2006/relationships/hyperlink" Target="https://doi.org/10.1021/acs.jcim.5c00134" TargetMode="External" Id="rId1579"/><Relationship Type="http://schemas.openxmlformats.org/officeDocument/2006/relationships/hyperlink" Target="https://doi.org/10.1021/acs.jcim.5c00134" TargetMode="External" Id="rId1580"/><Relationship Type="http://schemas.openxmlformats.org/officeDocument/2006/relationships/hyperlink" Target="https://doi.org/10.1021/acs.jcim.5c00134" TargetMode="External" Id="rId1581"/><Relationship Type="http://schemas.openxmlformats.org/officeDocument/2006/relationships/hyperlink" Target="https://doi.org/10.1016/j.brainresbull.2025.111290" TargetMode="External" Id="rId1582"/><Relationship Type="http://schemas.openxmlformats.org/officeDocument/2006/relationships/hyperlink" Target="https://doi.org/10.1016/j.brainresbull.2025.111290" TargetMode="External" Id="rId1583"/><Relationship Type="http://schemas.openxmlformats.org/officeDocument/2006/relationships/hyperlink" Target="https://doi.org/10.1016/j.brainresbull.2025.111290" TargetMode="External" Id="rId1584"/><Relationship Type="http://schemas.openxmlformats.org/officeDocument/2006/relationships/hyperlink" Target="https://doi.org/10.1016/j.brainresbull.2025.111290" TargetMode="External" Id="rId1585"/><Relationship Type="http://schemas.openxmlformats.org/officeDocument/2006/relationships/hyperlink" Target="https://doi.org/10.1016/j.brainresbull.2025.111290" TargetMode="External" Id="rId1586"/><Relationship Type="http://schemas.openxmlformats.org/officeDocument/2006/relationships/hyperlink" Target="https://doi.org/10.1186/1755-8794-8-s1-s7" TargetMode="External" Id="rId1587"/><Relationship Type="http://schemas.openxmlformats.org/officeDocument/2006/relationships/hyperlink" Target="https://doi.org/10.1186/1755-8794-8-s1-s7" TargetMode="External" Id="rId1588"/><Relationship Type="http://schemas.openxmlformats.org/officeDocument/2006/relationships/hyperlink" Target="https://doi.org/10.1186/1755-8794-8-s1-s7" TargetMode="External" Id="rId1589"/><Relationship Type="http://schemas.openxmlformats.org/officeDocument/2006/relationships/hyperlink" Target="https://doi.org/10.1186/1755-8794-8-s1-s7" TargetMode="External" Id="rId1590"/><Relationship Type="http://schemas.openxmlformats.org/officeDocument/2006/relationships/hyperlink" Target="https://doi.org/10.1186/1755-8794-8-s1-s7" TargetMode="External" Id="rId1591"/><Relationship Type="http://schemas.openxmlformats.org/officeDocument/2006/relationships/hyperlink" Target="https://doi.org/10.1186/1755-8794-8-s1-s7" TargetMode="External" Id="rId1592"/><Relationship Type="http://schemas.openxmlformats.org/officeDocument/2006/relationships/hyperlink" Target="https://doi.org/10.1126/scirobotics.aao6760" TargetMode="External" Id="rId1593"/><Relationship Type="http://schemas.openxmlformats.org/officeDocument/2006/relationships/hyperlink" Target="https://doi.org/10.1126/scirobotics.aao6760" TargetMode="External" Id="rId1594"/><Relationship Type="http://schemas.openxmlformats.org/officeDocument/2006/relationships/hyperlink" Target="https://doi.org/10.1126/scirobotics.aao6760" TargetMode="External" Id="rId1595"/><Relationship Type="http://schemas.openxmlformats.org/officeDocument/2006/relationships/hyperlink" Target="https://doi.org/10.1126/scirobotics.aao6760" TargetMode="External" Id="rId1596"/><Relationship Type="http://schemas.openxmlformats.org/officeDocument/2006/relationships/hyperlink" Target="https://doi.org/10.1126/scirobotics.aao6760" TargetMode="External" Id="rId1597"/><Relationship Type="http://schemas.openxmlformats.org/officeDocument/2006/relationships/hyperlink" Target="https://doi.org/10.1126/scirobotics.aao6760" TargetMode="External" Id="rId1598"/><Relationship Type="http://schemas.openxmlformats.org/officeDocument/2006/relationships/hyperlink" Target="https://doi.org/10.1126/scirobotics.aao6760" TargetMode="External" Id="rId1599"/><Relationship Type="http://schemas.openxmlformats.org/officeDocument/2006/relationships/hyperlink" Target="https://doi.org/10.1007/s10803-018-3509-x" TargetMode="External" Id="rId1600"/><Relationship Type="http://schemas.openxmlformats.org/officeDocument/2006/relationships/hyperlink" Target="https://doi.org/10.1007/s10803-018-3509-x" TargetMode="External" Id="rId1601"/><Relationship Type="http://schemas.openxmlformats.org/officeDocument/2006/relationships/hyperlink" Target="https://doi.org/10.1007/s10803-018-3509-x" TargetMode="External" Id="rId1602"/><Relationship Type="http://schemas.openxmlformats.org/officeDocument/2006/relationships/hyperlink" Target="https://doi.org/10.1007/s10803-018-3509-x" TargetMode="External" Id="rId1603"/><Relationship Type="http://schemas.openxmlformats.org/officeDocument/2006/relationships/hyperlink" Target="https://doi.org/10.1016/j.heliyon.2024.e34245" TargetMode="External" Id="rId1604"/><Relationship Type="http://schemas.openxmlformats.org/officeDocument/2006/relationships/hyperlink" Target="https://doi.org/10.1016/j.heliyon.2024.e34245" TargetMode="External" Id="rId1605"/><Relationship Type="http://schemas.openxmlformats.org/officeDocument/2006/relationships/hyperlink" Target="https://doi.org/10.1016/j.heliyon.2024.e34245" TargetMode="External" Id="rId1606"/><Relationship Type="http://schemas.openxmlformats.org/officeDocument/2006/relationships/hyperlink" Target="https://doi.org/10.1016/j.heliyon.2024.e34245" TargetMode="External" Id="rId1607"/><Relationship Type="http://schemas.openxmlformats.org/officeDocument/2006/relationships/hyperlink" Target="https://doi.org/10.1016/j.heliyon.2024.e34245" TargetMode="External" Id="rId1608"/><Relationship Type="http://schemas.openxmlformats.org/officeDocument/2006/relationships/hyperlink" Target="https://findanexpert.unimelb.edu.au/scholarlywork/1533141-three-distinct-neuroanatomical-subtypes-of-autism-spectrum-disorder--revealed-via-machine-learning--and-their-similarities-with-schizophrenia-subtypes" TargetMode="External" Id="rId1609"/><Relationship Type="http://schemas.openxmlformats.org/officeDocument/2006/relationships/hyperlink" Target="https://findanexpert.unimelb.edu.au/scholarlywork/1533141-three-distinct-neuroanatomical-subtypes-of-autism-spectrum-disorder--revealed-via-machine-learning--and-their-similarities-with-schizophrenia-subtypes" TargetMode="External" Id="rId1610"/><Relationship Type="http://schemas.openxmlformats.org/officeDocument/2006/relationships/hyperlink" Target="https://findanexpert.unimelb.edu.au/scholarlywork/1533141-three-distinct-neuroanatomical-subtypes-of-autism-spectrum-disorder--revealed-via-machine-learning--and-their-similarities-with-schizophrenia-subtypes" TargetMode="External" Id="rId1611"/><Relationship Type="http://schemas.openxmlformats.org/officeDocument/2006/relationships/hyperlink" Target="https://findanexpert.unimelb.edu.au/scholarlywork/1533141-three-distinct-neuroanatomical-subtypes-of-autism-spectrum-disorder--revealed-via-machine-learning--and-their-similarities-with-schizophrenia-subtypes" TargetMode="External" Id="rId1612"/><Relationship Type="http://schemas.openxmlformats.org/officeDocument/2006/relationships/hyperlink" Target="https://findanexpert.unimelb.edu.au/scholarlywork/1533141-three-distinct-neuroanatomical-subtypes-of-autism-spectrum-disorder--revealed-via-machine-learning--and-their-similarities-with-schizophrenia-subtypes" TargetMode="External" Id="rId1613"/><Relationship Type="http://schemas.openxmlformats.org/officeDocument/2006/relationships/hyperlink" Target="https://findanexpert.unimelb.edu.au/scholarlywork/1533141-three-distinct-neuroanatomical-subtypes-of-autism-spectrum-disorder--revealed-via-machine-learning--and-their-similarities-with-schizophrenia-subtypes" TargetMode="External" Id="rId1614"/><Relationship Type="http://schemas.openxmlformats.org/officeDocument/2006/relationships/hyperlink" Target="https://findanexpert.unimelb.edu.au/scholarlywork/1533141-three-distinct-neuroanatomical-subtypes-of-autism-spectrum-disorder--revealed-via-machine-learning--and-their-similarities-with-schizophrenia-subtypes" TargetMode="External" Id="rId1615"/><Relationship Type="http://schemas.openxmlformats.org/officeDocument/2006/relationships/hyperlink" Target="https://doi.org/10.1111/jne.70092" TargetMode="External" Id="rId1616"/><Relationship Type="http://schemas.openxmlformats.org/officeDocument/2006/relationships/hyperlink" Target="https://doi.org/10.1111/jne.70092" TargetMode="External" Id="rId1617"/><Relationship Type="http://schemas.openxmlformats.org/officeDocument/2006/relationships/hyperlink" Target="https://doi.org/10.1111/jne.70092" TargetMode="External" Id="rId1618"/><Relationship Type="http://schemas.openxmlformats.org/officeDocument/2006/relationships/hyperlink" Target="https://doi.org/10.1111/jne.70092" TargetMode="External" Id="rId1619"/><Relationship Type="http://schemas.openxmlformats.org/officeDocument/2006/relationships/hyperlink" Target="https://doi.org/10.1111/jne.70092" TargetMode="External" Id="rId1620"/><Relationship Type="http://schemas.openxmlformats.org/officeDocument/2006/relationships/hyperlink" Target="https://doi.org/10.1111/jne.70092" TargetMode="External" Id="rId1621"/><Relationship Type="http://schemas.openxmlformats.org/officeDocument/2006/relationships/hyperlink" Target="https://doi.org/10.1111/jne.70092" TargetMode="External" Id="rId1622"/><Relationship Type="http://schemas.openxmlformats.org/officeDocument/2006/relationships/hyperlink" Target="https://doi.org/10.1111/jne.70092" TargetMode="External" Id="rId1623"/><Relationship Type="http://schemas.openxmlformats.org/officeDocument/2006/relationships/hyperlink" Target="https://doi.org/10.1007/978-3-031-62273-1_36" TargetMode="External" Id="rId1624"/><Relationship Type="http://schemas.openxmlformats.org/officeDocument/2006/relationships/hyperlink" Target="https://doi.org/10.1007/978-3-031-62273-1_36" TargetMode="External" Id="rId1625"/><Relationship Type="http://schemas.openxmlformats.org/officeDocument/2006/relationships/hyperlink" Target="https://doi.org/10.1007/978-3-031-62273-1_36" TargetMode="External" Id="rId1626"/><Relationship Type="http://schemas.openxmlformats.org/officeDocument/2006/relationships/hyperlink" Target="https://doi.org/10.1007/978-3-031-62273-1_36" TargetMode="External" Id="rId1627"/><Relationship Type="http://schemas.openxmlformats.org/officeDocument/2006/relationships/hyperlink" Target="https://doi.org/10.1007/978-3-031-62273-1_36" TargetMode="External" Id="rId1628"/><Relationship Type="http://schemas.openxmlformats.org/officeDocument/2006/relationships/hyperlink" Target="https://doi.org/10.2196/80733" TargetMode="External" Id="rId1629"/><Relationship Type="http://schemas.openxmlformats.org/officeDocument/2006/relationships/hyperlink" Target="https://doi.org/10.2196/80733" TargetMode="External" Id="rId1630"/><Relationship Type="http://schemas.openxmlformats.org/officeDocument/2006/relationships/hyperlink" Target="https://doi.org/10.2196/80733" TargetMode="External" Id="rId1631"/><Relationship Type="http://schemas.openxmlformats.org/officeDocument/2006/relationships/hyperlink" Target="https://doi.org/10.2196/80733" TargetMode="External" Id="rId1632"/><Relationship Type="http://schemas.openxmlformats.org/officeDocument/2006/relationships/hyperlink" Target="https://doi.org/10.2196/80733" TargetMode="External" Id="rId1633"/><Relationship Type="http://schemas.openxmlformats.org/officeDocument/2006/relationships/hyperlink" Target="https://doi.org/10.2196/80733" TargetMode="External" Id="rId1634"/><Relationship Type="http://schemas.openxmlformats.org/officeDocument/2006/relationships/hyperlink" Target="https://doi.org/10.1016/j.csbj.2025.09.006" TargetMode="External" Id="rId1635"/><Relationship Type="http://schemas.openxmlformats.org/officeDocument/2006/relationships/hyperlink" Target="https://doi.org/10.1016/j.csbj.2025.09.006" TargetMode="External" Id="rId1636"/><Relationship Type="http://schemas.openxmlformats.org/officeDocument/2006/relationships/hyperlink" Target="https://doi.org/10.1016/j.csbj.2025.09.006" TargetMode="External" Id="rId1637"/><Relationship Type="http://schemas.openxmlformats.org/officeDocument/2006/relationships/hyperlink" Target="https://doi.org/10.1016/j.csbj.2025.09.006" TargetMode="External" Id="rId1638"/><Relationship Type="http://schemas.openxmlformats.org/officeDocument/2006/relationships/hyperlink" Target="https://doi.org/10.1016/j.csbj.2025.09.006" TargetMode="External" Id="rId1639"/><Relationship Type="http://schemas.openxmlformats.org/officeDocument/2006/relationships/hyperlink" Target="https://doi.org/10.2196/73440" TargetMode="External" Id="rId1640"/><Relationship Type="http://schemas.openxmlformats.org/officeDocument/2006/relationships/hyperlink" Target="https://doi.org/10.2196/73440" TargetMode="External" Id="rId1641"/><Relationship Type="http://schemas.openxmlformats.org/officeDocument/2006/relationships/hyperlink" Target="https://doi.org/10.2196/73440" TargetMode="External" Id="rId1642"/><Relationship Type="http://schemas.openxmlformats.org/officeDocument/2006/relationships/hyperlink" Target="https://doi.org/10.2196/73440" TargetMode="External" Id="rId1643"/><Relationship Type="http://schemas.openxmlformats.org/officeDocument/2006/relationships/hyperlink" Target="https://doi.org/10.2196/73440" TargetMode="External" Id="rId1644"/><Relationship Type="http://schemas.openxmlformats.org/officeDocument/2006/relationships/hyperlink" Target="https://doi.org/10.2196/73440" TargetMode="External" Id="rId1645"/><Relationship Type="http://schemas.openxmlformats.org/officeDocument/2006/relationships/hyperlink" Target="https://doi.org/10.2196/70589" TargetMode="External" Id="rId1646"/><Relationship Type="http://schemas.openxmlformats.org/officeDocument/2006/relationships/hyperlink" Target="https://doi.org/10.2196/70589" TargetMode="External" Id="rId1647"/><Relationship Type="http://schemas.openxmlformats.org/officeDocument/2006/relationships/hyperlink" Target="https://doi.org/10.2196/70589" TargetMode="External" Id="rId1648"/><Relationship Type="http://schemas.openxmlformats.org/officeDocument/2006/relationships/hyperlink" Target="https://doi.org/10.2196/70589" TargetMode="External" Id="rId1649"/><Relationship Type="http://schemas.openxmlformats.org/officeDocument/2006/relationships/hyperlink" Target="https://doi.org/10.2196/70589" TargetMode="External" Id="rId1650"/><Relationship Type="http://schemas.openxmlformats.org/officeDocument/2006/relationships/hyperlink" Target="https://doi.org/10.2196/70589" TargetMode="External" Id="rId1651"/><Relationship Type="http://schemas.openxmlformats.org/officeDocument/2006/relationships/hyperlink" Target="https://doi.org/10.1016/j.cell.2025.02.025" TargetMode="External" Id="rId1652"/><Relationship Type="http://schemas.openxmlformats.org/officeDocument/2006/relationships/hyperlink" Target="https://doi.org/10.1016/j.cell.2025.02.025" TargetMode="External" Id="rId1653"/><Relationship Type="http://schemas.openxmlformats.org/officeDocument/2006/relationships/hyperlink" Target="https://doi.org/10.1016/j.cell.2025.02.025" TargetMode="External" Id="rId1654"/><Relationship Type="http://schemas.openxmlformats.org/officeDocument/2006/relationships/hyperlink" Target="https://doi.org/10.1016/j.cell.2025.02.025" TargetMode="External" Id="rId1655"/><Relationship Type="http://schemas.openxmlformats.org/officeDocument/2006/relationships/hyperlink" Target="https://doi.org/10.1016/j.cell.2025.02.025" TargetMode="External" Id="rId1656"/><Relationship Type="http://schemas.openxmlformats.org/officeDocument/2006/relationships/hyperlink" Target="https://doi.org/10.32604/cmc.2025.062266" TargetMode="External" Id="rId1657"/><Relationship Type="http://schemas.openxmlformats.org/officeDocument/2006/relationships/hyperlink" Target="https://doi.org/10.32604/cmc.2025.062266" TargetMode="External" Id="rId1658"/><Relationship Type="http://schemas.openxmlformats.org/officeDocument/2006/relationships/hyperlink" Target="https://doi.org/10.32604/cmc.2025.062266" TargetMode="External" Id="rId1659"/><Relationship Type="http://schemas.openxmlformats.org/officeDocument/2006/relationships/hyperlink" Target="https://doi.org/10.32604/cmc.2025.062266" TargetMode="External" Id="rId1660"/><Relationship Type="http://schemas.openxmlformats.org/officeDocument/2006/relationships/hyperlink" Target="https://doi.org/10.32604/cmc.2025.062266" TargetMode="External" Id="rId1661"/><Relationship Type="http://schemas.openxmlformats.org/officeDocument/2006/relationships/hyperlink" Target="https://doi.org/10.32604/cmc.2025.062266" TargetMode="External" Id="rId1662"/><Relationship Type="http://schemas.openxmlformats.org/officeDocument/2006/relationships/hyperlink" Target="https://doi.org/10.32604/cmc.2025.062643" TargetMode="External" Id="rId1663"/><Relationship Type="http://schemas.openxmlformats.org/officeDocument/2006/relationships/hyperlink" Target="https://doi.org/10.32604/cmc.2025.062643" TargetMode="External" Id="rId1664"/><Relationship Type="http://schemas.openxmlformats.org/officeDocument/2006/relationships/hyperlink" Target="https://doi.org/10.32604/cmc.2025.062643" TargetMode="External" Id="rId1665"/><Relationship Type="http://schemas.openxmlformats.org/officeDocument/2006/relationships/hyperlink" Target="https://doi.org/10.32604/cmc.2025.062643" TargetMode="External" Id="rId1666"/><Relationship Type="http://schemas.openxmlformats.org/officeDocument/2006/relationships/hyperlink" Target="https://doi.org/10.32604/cmc.2025.062643" TargetMode="External" Id="rId1667"/><Relationship Type="http://schemas.openxmlformats.org/officeDocument/2006/relationships/hyperlink" Target="https://doi.org/10.32604/cmc.2025.062643" TargetMode="External" Id="rId1668"/><Relationship Type="http://schemas.openxmlformats.org/officeDocument/2006/relationships/hyperlink" Target="https://doi.org/10.32604/cmc.2025.062643" TargetMode="External" Id="rId1669"/><Relationship Type="http://schemas.openxmlformats.org/officeDocument/2006/relationships/hyperlink" Target="https://doi.org/10.1016/j.eclinm.2025.103452" TargetMode="External" Id="rId1670"/><Relationship Type="http://schemas.openxmlformats.org/officeDocument/2006/relationships/hyperlink" Target="https://doi.org/10.1016/j.eclinm.2025.103452" TargetMode="External" Id="rId1671"/><Relationship Type="http://schemas.openxmlformats.org/officeDocument/2006/relationships/hyperlink" Target="https://doi.org/10.1016/j.eclinm.2025.103452" TargetMode="External" Id="rId1672"/><Relationship Type="http://schemas.openxmlformats.org/officeDocument/2006/relationships/hyperlink" Target="https://doi.org/10.1016/j.eclinm.2025.103452" TargetMode="External" Id="rId1673"/><Relationship Type="http://schemas.openxmlformats.org/officeDocument/2006/relationships/hyperlink" Target="https://doi.org/10.1016/j.eclinm.2025.103452" TargetMode="External" Id="rId1674"/><Relationship Type="http://schemas.openxmlformats.org/officeDocument/2006/relationships/hyperlink" Target="https://doi.org/10.1016/j.jpedcp.2025.200176" TargetMode="External" Id="rId1675"/><Relationship Type="http://schemas.openxmlformats.org/officeDocument/2006/relationships/hyperlink" Target="https://doi.org/10.1016/j.jpedcp.2025.200176" TargetMode="External" Id="rId1676"/><Relationship Type="http://schemas.openxmlformats.org/officeDocument/2006/relationships/hyperlink" Target="https://doi.org/10.1016/j.jpedcp.2025.200176" TargetMode="External" Id="rId1677"/><Relationship Type="http://schemas.openxmlformats.org/officeDocument/2006/relationships/hyperlink" Target="https://doi.org/10.1016/j.jpedcp.2025.200176" TargetMode="External" Id="rId1678"/><Relationship Type="http://schemas.openxmlformats.org/officeDocument/2006/relationships/hyperlink" Target="https://doi.org/10.1016/j.jpedcp.2025.200176" TargetMode="External" Id="rId1679"/><Relationship Type="http://schemas.openxmlformats.org/officeDocument/2006/relationships/hyperlink" Target="https://doi.org/10.1016/j.jpedcp.2025.200176" TargetMode="External" Id="rId1680"/><Relationship Type="http://schemas.openxmlformats.org/officeDocument/2006/relationships/hyperlink" Target="https://doi.org/10.32604/cmes.2025.074627" TargetMode="External" Id="rId1681"/><Relationship Type="http://schemas.openxmlformats.org/officeDocument/2006/relationships/hyperlink" Target="https://doi.org/10.32604/cmes.2025.074627" TargetMode="External" Id="rId1682"/><Relationship Type="http://schemas.openxmlformats.org/officeDocument/2006/relationships/hyperlink" Target="https://doi.org/10.32604/cmes.2025.074627" TargetMode="External" Id="rId1683"/><Relationship Type="http://schemas.openxmlformats.org/officeDocument/2006/relationships/hyperlink" Target="https://doi.org/10.32604/cmes.2025.074627" TargetMode="External" Id="rId1684"/><Relationship Type="http://schemas.openxmlformats.org/officeDocument/2006/relationships/hyperlink" Target="https://doi.org/10.32604/cmes.2025.074627" TargetMode="External" Id="rId1685"/><Relationship Type="http://schemas.openxmlformats.org/officeDocument/2006/relationships/hyperlink" Target="https://doi.org/10.32604/cmes.2025.074627" TargetMode="External" Id="rId1686"/><Relationship Type="http://schemas.openxmlformats.org/officeDocument/2006/relationships/hyperlink" Target="https://www.jmir.org/2026/1/e85290" TargetMode="External" Id="rId1687"/><Relationship Type="http://schemas.openxmlformats.org/officeDocument/2006/relationships/hyperlink" Target="https://www.jmir.org/2026/1/e85290" TargetMode="External" Id="rId1688"/><Relationship Type="http://schemas.openxmlformats.org/officeDocument/2006/relationships/hyperlink" Target="https://www.jmir.org/2026/1/e85290" TargetMode="External" Id="rId1689"/><Relationship Type="http://schemas.openxmlformats.org/officeDocument/2006/relationships/hyperlink" Target="https://www.jmir.org/2026/1/e85290" TargetMode="External" Id="rId1690"/><Relationship Type="http://schemas.openxmlformats.org/officeDocument/2006/relationships/hyperlink" Target="https://www.jmir.org/2026/1/e85290" TargetMode="External" Id="rId1691"/><Relationship Type="http://schemas.openxmlformats.org/officeDocument/2006/relationships/hyperlink" Target="https://www.jmir.org/2026/1/e85290" TargetMode="External" Id="rId1692"/><Relationship Type="http://schemas.openxmlformats.org/officeDocument/2006/relationships/hyperlink" Target="https://doi.org/10.2196/85060" TargetMode="External" Id="rId1693"/><Relationship Type="http://schemas.openxmlformats.org/officeDocument/2006/relationships/hyperlink" Target="https://doi.org/10.2196/85060" TargetMode="External" Id="rId1694"/><Relationship Type="http://schemas.openxmlformats.org/officeDocument/2006/relationships/hyperlink" Target="https://doi.org/10.2196/85060" TargetMode="External" Id="rId1695"/><Relationship Type="http://schemas.openxmlformats.org/officeDocument/2006/relationships/hyperlink" Target="https://doi.org/10.2196/85060" TargetMode="External" Id="rId1696"/><Relationship Type="http://schemas.openxmlformats.org/officeDocument/2006/relationships/hyperlink" Target="https://doi.org/10.2196/85060" TargetMode="External" Id="rId1697"/><Relationship Type="http://schemas.openxmlformats.org/officeDocument/2006/relationships/hyperlink" Target="https://doi.org/10.2196/85060" TargetMode="External" Id="rId1698"/><Relationship Type="http://schemas.openxmlformats.org/officeDocument/2006/relationships/hyperlink" Target="https://doi.org/10.2196/85060" TargetMode="External" Id="rId1699"/><Relationship Type="http://schemas.openxmlformats.org/officeDocument/2006/relationships/hyperlink" Target="https://ai.jmir.org/2026/1/e89054" TargetMode="External" Id="rId1700"/><Relationship Type="http://schemas.openxmlformats.org/officeDocument/2006/relationships/hyperlink" Target="https://ai.jmir.org/2026/1/e89054" TargetMode="External" Id="rId1701"/><Relationship Type="http://schemas.openxmlformats.org/officeDocument/2006/relationships/hyperlink" Target="https://ai.jmir.org/2026/1/e89054" TargetMode="External" Id="rId1702"/><Relationship Type="http://schemas.openxmlformats.org/officeDocument/2006/relationships/hyperlink" Target="https://ai.jmir.org/2026/1/e89054" TargetMode="External" Id="rId1703"/><Relationship Type="http://schemas.openxmlformats.org/officeDocument/2006/relationships/hyperlink" Target="https://ai.jmir.org/2026/1/e89054" TargetMode="External" Id="rId1704"/><Relationship Type="http://schemas.openxmlformats.org/officeDocument/2006/relationships/hyperlink" Target="https://ai.jmir.org/2026/1/e89054" TargetMode="External" Id="rId1705"/><Relationship Type="http://schemas.openxmlformats.org/officeDocument/2006/relationships/hyperlink" Target="https://ai.jmir.org/2026/1/e89054" TargetMode="External" Id="rId1706"/><Relationship Type="http://schemas.openxmlformats.org/officeDocument/2006/relationships/hyperlink" Target="https://ai.jmir.org/2026/1/e89054" TargetMode="External" Id="rId1707"/><Relationship Type="http://schemas.openxmlformats.org/officeDocument/2006/relationships/hyperlink" Target="https://doi.org/10.2196/74440" TargetMode="External" Id="rId1708"/><Relationship Type="http://schemas.openxmlformats.org/officeDocument/2006/relationships/hyperlink" Target="https://doi.org/10.2196/74440" TargetMode="External" Id="rId1709"/><Relationship Type="http://schemas.openxmlformats.org/officeDocument/2006/relationships/hyperlink" Target="https://doi.org/10.2196/74440" TargetMode="External" Id="rId1710"/><Relationship Type="http://schemas.openxmlformats.org/officeDocument/2006/relationships/hyperlink" Target="https://doi.org/10.2196/74440" TargetMode="External" Id="rId1711"/><Relationship Type="http://schemas.openxmlformats.org/officeDocument/2006/relationships/hyperlink" Target="https://doi.org/10.2196/74440" TargetMode="External" Id="rId1712"/><Relationship Type="http://schemas.openxmlformats.org/officeDocument/2006/relationships/hyperlink" Target="https://doi.org/10.2196/74440" TargetMode="External" Id="rId1713"/><Relationship Type="http://schemas.openxmlformats.org/officeDocument/2006/relationships/hyperlink" Target="https://doi.org/10.2196/74440" TargetMode="External" Id="rId1714"/><Relationship Type="http://schemas.openxmlformats.org/officeDocument/2006/relationships/hyperlink" Target="https://doi.org/10.2196/74440" TargetMode="External" Id="rId1715"/><Relationship Type="http://schemas.openxmlformats.org/officeDocument/2006/relationships/hyperlink" Target="https://preprints.jmir.org/preprint/85196" TargetMode="External" Id="rId1716"/><Relationship Type="http://schemas.openxmlformats.org/officeDocument/2006/relationships/hyperlink" Target="https://preprints.jmir.org/preprint/85196" TargetMode="External" Id="rId1717"/><Relationship Type="http://schemas.openxmlformats.org/officeDocument/2006/relationships/hyperlink" Target="https://preprints.jmir.org/preprint/85196" TargetMode="External" Id="rId1718"/><Relationship Type="http://schemas.openxmlformats.org/officeDocument/2006/relationships/hyperlink" Target="https://preprints.jmir.org/preprint/85196" TargetMode="External" Id="rId1719"/><Relationship Type="http://schemas.openxmlformats.org/officeDocument/2006/relationships/hyperlink" Target="https://preprints.jmir.org/preprint/85196" TargetMode="External" Id="rId1720"/><Relationship Type="http://schemas.openxmlformats.org/officeDocument/2006/relationships/hyperlink" Target="https://preprints.jmir.org/preprint/85196" TargetMode="External" Id="rId1721"/><Relationship Type="http://schemas.openxmlformats.org/officeDocument/2006/relationships/hyperlink" Target="https://preprints.jmir.org/preprint/85196" TargetMode="External" Id="rId1722"/><Relationship Type="http://schemas.openxmlformats.org/officeDocument/2006/relationships/hyperlink" Target="https://doi.org/10.1002/hbm.70435" TargetMode="External" Id="rId1723"/><Relationship Type="http://schemas.openxmlformats.org/officeDocument/2006/relationships/hyperlink" Target="https://doi.org/10.1002/hbm.70435" TargetMode="External" Id="rId1724"/><Relationship Type="http://schemas.openxmlformats.org/officeDocument/2006/relationships/hyperlink" Target="https://doi.org/10.1002/hbm.70435" TargetMode="External" Id="rId1725"/><Relationship Type="http://schemas.openxmlformats.org/officeDocument/2006/relationships/hyperlink" Target="https://doi.org/10.1002/hbm.70435" TargetMode="External" Id="rId1726"/><Relationship Type="http://schemas.openxmlformats.org/officeDocument/2006/relationships/hyperlink" Target="https://doi.org/10.1002/hbm.70435" TargetMode="External" Id="rId1727"/><Relationship Type="http://schemas.openxmlformats.org/officeDocument/2006/relationships/hyperlink" Target="https://doi.org/10.3389/fpubh.2026.1881829" TargetMode="External" Id="rId1728"/><Relationship Type="http://schemas.openxmlformats.org/officeDocument/2006/relationships/hyperlink" Target="https://doi.org/10.3389/fpubh.2026.1881829" TargetMode="External" Id="rId1729"/><Relationship Type="http://schemas.openxmlformats.org/officeDocument/2006/relationships/hyperlink" Target="https://doi.org/10.3389/fpubh.2026.1881829" TargetMode="External" Id="rId1730"/><Relationship Type="http://schemas.openxmlformats.org/officeDocument/2006/relationships/hyperlink" Target="https://doi.org/10.3389/fpubh.2026.1881829" TargetMode="External" Id="rId1731"/><Relationship Type="http://schemas.openxmlformats.org/officeDocument/2006/relationships/hyperlink" Target="https://doi.org/10.3389/fpubh.2026.1881829" TargetMode="External" Id="rId1732"/><Relationship Type="http://schemas.openxmlformats.org/officeDocument/2006/relationships/hyperlink" Target="https://doi.org/10.3389/fpubh.2026.1881829" TargetMode="External" Id="rId1733"/><Relationship Type="http://schemas.openxmlformats.org/officeDocument/2006/relationships/hyperlink" Target="https://doi.org/10.1016/j.ijchp.2026.100664" TargetMode="External" Id="rId1734"/><Relationship Type="http://schemas.openxmlformats.org/officeDocument/2006/relationships/hyperlink" Target="https://doi.org/10.1016/j.ijchp.2026.100664" TargetMode="External" Id="rId1735"/><Relationship Type="http://schemas.openxmlformats.org/officeDocument/2006/relationships/hyperlink" Target="https://doi.org/10.1016/j.ijchp.2026.100664" TargetMode="External" Id="rId1736"/><Relationship Type="http://schemas.openxmlformats.org/officeDocument/2006/relationships/hyperlink" Target="https://doi.org/10.1016/j.ijchp.2026.100664" TargetMode="External" Id="rId1737"/><Relationship Type="http://schemas.openxmlformats.org/officeDocument/2006/relationships/hyperlink" Target="https://doi.org/10.1016/j.ijchp.2026.100664" TargetMode="External" Id="rId1738"/><Relationship Type="http://schemas.openxmlformats.org/officeDocument/2006/relationships/hyperlink" Target="https://doi.org/10.1016/j.ijchp.2026.100664" TargetMode="External" Id="rId1739"/><Relationship Type="http://schemas.openxmlformats.org/officeDocument/2006/relationships/hyperlink" Target="https://doi.org/10.1016/j.ijchp.2026.100664" TargetMode="External" Id="rId1740"/><Relationship Type="http://schemas.openxmlformats.org/officeDocument/2006/relationships/hyperlink" Target="https://doi.org/10.1016/j.ijchp.2026.100664" TargetMode="External" Id="rId1741"/><Relationship Type="http://schemas.openxmlformats.org/officeDocument/2006/relationships/hyperlink" Target="https://doi.org/10.1016/j.ijchp.2026.100664" TargetMode="External" Id="rId1742"/><Relationship Type="http://schemas.openxmlformats.org/officeDocument/2006/relationships/hyperlink" Target="https://doi.org/10.1136/bmjment-2026-302488" TargetMode="External" Id="rId1743"/><Relationship Type="http://schemas.openxmlformats.org/officeDocument/2006/relationships/hyperlink" Target="https://doi.org/10.1136/bmjment-2026-302488" TargetMode="External" Id="rId1744"/><Relationship Type="http://schemas.openxmlformats.org/officeDocument/2006/relationships/hyperlink" Target="https://doi.org/10.1136/bmjment-2026-302488" TargetMode="External" Id="rId1745"/><Relationship Type="http://schemas.openxmlformats.org/officeDocument/2006/relationships/hyperlink" Target="https://doi.org/10.1136/bmjment-2026-302488" TargetMode="External" Id="rId1746"/><Relationship Type="http://schemas.openxmlformats.org/officeDocument/2006/relationships/hyperlink" Target="https://doi.org/10.1136/bmjment-2026-302488" TargetMode="External" Id="rId1747"/><Relationship Type="http://schemas.openxmlformats.org/officeDocument/2006/relationships/hyperlink" Target="https://doi.org/10.1136/bmjment-2026-302488" TargetMode="External" Id="rId1748"/><Relationship Type="http://schemas.openxmlformats.org/officeDocument/2006/relationships/hyperlink" Target="https://doi.org/10.1136/bmjment-2026-302488" TargetMode="External" Id="rId1749"/><Relationship Type="http://schemas.openxmlformats.org/officeDocument/2006/relationships/hyperlink" Target="https://doi.org/10.1136/bmjment-2026-302488" TargetMode="External" Id="rId1750"/><Relationship Type="http://schemas.openxmlformats.org/officeDocument/2006/relationships/hyperlink" Target="https://doi.org/10.1016/j.neunet.2025.108295" TargetMode="External" Id="rId1751"/><Relationship Type="http://schemas.openxmlformats.org/officeDocument/2006/relationships/hyperlink" Target="https://doi.org/10.1016/j.neunet.2025.108295" TargetMode="External" Id="rId1752"/><Relationship Type="http://schemas.openxmlformats.org/officeDocument/2006/relationships/hyperlink" Target="https://doi.org/10.1016/j.neunet.2025.108295" TargetMode="External" Id="rId1753"/><Relationship Type="http://schemas.openxmlformats.org/officeDocument/2006/relationships/hyperlink" Target="https://doi.org/10.1016/j.neunet.2025.108295" TargetMode="External" Id="rId1754"/><Relationship Type="http://schemas.openxmlformats.org/officeDocument/2006/relationships/hyperlink" Target="https://doi.org/10.1016/j.neunet.2025.108295" TargetMode="External" Id="rId1755"/><Relationship Type="http://schemas.openxmlformats.org/officeDocument/2006/relationships/hyperlink" Target="https://doi.org/10.1016/j.artmed.2025.103318" TargetMode="External" Id="rId1756"/><Relationship Type="http://schemas.openxmlformats.org/officeDocument/2006/relationships/hyperlink" Target="https://doi.org/10.1016/j.artmed.2025.103318" TargetMode="External" Id="rId1757"/><Relationship Type="http://schemas.openxmlformats.org/officeDocument/2006/relationships/hyperlink" Target="https://doi.org/10.1016/j.artmed.2025.103318" TargetMode="External" Id="rId1758"/><Relationship Type="http://schemas.openxmlformats.org/officeDocument/2006/relationships/hyperlink" Target="https://doi.org/10.1016/j.artmed.2025.103318" TargetMode="External" Id="rId1759"/><Relationship Type="http://schemas.openxmlformats.org/officeDocument/2006/relationships/hyperlink" Target="https://doi.org/10.1016/j.artmed.2025.103318" TargetMode="External" Id="rId1760"/><Relationship Type="http://schemas.openxmlformats.org/officeDocument/2006/relationships/hyperlink" Target="https://doi.org/10.1016/j.artmed.2025.103318" TargetMode="External" Id="rId1761"/><Relationship Type="http://schemas.openxmlformats.org/officeDocument/2006/relationships/hyperlink" Target="https://doi.org/10.1016/j.artmed.2025.103318" TargetMode="External" Id="rId1762"/><Relationship Type="http://schemas.openxmlformats.org/officeDocument/2006/relationships/hyperlink" Target="https://doi.org/10.1038/s41398-026-03823-y" TargetMode="External" Id="rId1763"/><Relationship Type="http://schemas.openxmlformats.org/officeDocument/2006/relationships/hyperlink" Target="https://doi.org/10.1038/s41398-026-03823-y" TargetMode="External" Id="rId1764"/><Relationship Type="http://schemas.openxmlformats.org/officeDocument/2006/relationships/hyperlink" Target="https://doi.org/10.1038/s41398-026-03823-y" TargetMode="External" Id="rId1765"/><Relationship Type="http://schemas.openxmlformats.org/officeDocument/2006/relationships/hyperlink" Target="https://doi.org/10.1038/s41398-026-03823-y" TargetMode="External" Id="rId1766"/><Relationship Type="http://schemas.openxmlformats.org/officeDocument/2006/relationships/hyperlink" Target="https://doi.org/10.1038/s41398-026-03823-y" TargetMode="External" Id="rId1767"/><Relationship Type="http://schemas.openxmlformats.org/officeDocument/2006/relationships/hyperlink" Target="https://doi.org/10.3390/s26061862" TargetMode="External" Id="rId1768"/><Relationship Type="http://schemas.openxmlformats.org/officeDocument/2006/relationships/hyperlink" Target="https://doi.org/10.3390/s26061862" TargetMode="External" Id="rId1769"/><Relationship Type="http://schemas.openxmlformats.org/officeDocument/2006/relationships/hyperlink" Target="https://doi.org/10.3390/s26061862" TargetMode="External" Id="rId1770"/><Relationship Type="http://schemas.openxmlformats.org/officeDocument/2006/relationships/hyperlink" Target="https://doi.org/10.3390/s26061862" TargetMode="External" Id="rId1771"/><Relationship Type="http://schemas.openxmlformats.org/officeDocument/2006/relationships/hyperlink" Target="https://doi.org/10.3390/s26061862" TargetMode="External" Id="rId1772"/><Relationship Type="http://schemas.openxmlformats.org/officeDocument/2006/relationships/hyperlink" Target="https://doi.org/10.1371/journal.pone.0345522" TargetMode="External" Id="rId1773"/><Relationship Type="http://schemas.openxmlformats.org/officeDocument/2006/relationships/hyperlink" Target="https://doi.org/10.1371/journal.pone.0345522" TargetMode="External" Id="rId1774"/><Relationship Type="http://schemas.openxmlformats.org/officeDocument/2006/relationships/hyperlink" Target="https://doi.org/10.1371/journal.pone.0345522" TargetMode="External" Id="rId1775"/><Relationship Type="http://schemas.openxmlformats.org/officeDocument/2006/relationships/hyperlink" Target="https://doi.org/10.1371/journal.pone.0345522" TargetMode="External" Id="rId1776"/><Relationship Type="http://schemas.openxmlformats.org/officeDocument/2006/relationships/hyperlink" Target="https://doi.org/10.1371/journal.pone.0345522" TargetMode="External" Id="rId1777"/><Relationship Type="http://schemas.openxmlformats.org/officeDocument/2006/relationships/hyperlink" Target="https://doi.org/10.1002/aur.70124" TargetMode="External" Id="rId1778"/><Relationship Type="http://schemas.openxmlformats.org/officeDocument/2006/relationships/hyperlink" Target="https://doi.org/10.1002/aur.70124" TargetMode="External" Id="rId1779"/><Relationship Type="http://schemas.openxmlformats.org/officeDocument/2006/relationships/hyperlink" Target="https://doi.org/10.1002/aur.70124" TargetMode="External" Id="rId1780"/><Relationship Type="http://schemas.openxmlformats.org/officeDocument/2006/relationships/hyperlink" Target="https://doi.org/10.1002/aur.70124" TargetMode="External" Id="rId1781"/><Relationship Type="http://schemas.openxmlformats.org/officeDocument/2006/relationships/hyperlink" Target="https://doi.org/10.1002/aur.70189" TargetMode="External" Id="rId1782"/><Relationship Type="http://schemas.openxmlformats.org/officeDocument/2006/relationships/hyperlink" Target="https://doi.org/10.1002/aur.70189" TargetMode="External" Id="rId1783"/><Relationship Type="http://schemas.openxmlformats.org/officeDocument/2006/relationships/hyperlink" Target="https://doi.org/10.1002/aur.70189" TargetMode="External" Id="rId1784"/><Relationship Type="http://schemas.openxmlformats.org/officeDocument/2006/relationships/hyperlink" Target="https://doi.org/10.1002/aur.70189" TargetMode="External" Id="rId1785"/><Relationship Type="http://schemas.openxmlformats.org/officeDocument/2006/relationships/hyperlink" Target="https://doi.org/10.1002/aur.70189" TargetMode="External" Id="rId1786"/><Relationship Type="http://schemas.openxmlformats.org/officeDocument/2006/relationships/hyperlink" Target="https://doi.org/10.1002/ped4.70064" TargetMode="External" Id="rId1787"/><Relationship Type="http://schemas.openxmlformats.org/officeDocument/2006/relationships/hyperlink" Target="https://doi.org/10.1002/ped4.70064" TargetMode="External" Id="rId1788"/><Relationship Type="http://schemas.openxmlformats.org/officeDocument/2006/relationships/hyperlink" Target="https://doi.org/10.1002/ped4.70064" TargetMode="External" Id="rId1789"/><Relationship Type="http://schemas.openxmlformats.org/officeDocument/2006/relationships/hyperlink" Target="https://doi.org/10.1002/ped4.70064" TargetMode="External" Id="rId1790"/><Relationship Type="http://schemas.openxmlformats.org/officeDocument/2006/relationships/hyperlink" Target="https://doi.org/10.1002/ped4.70064" TargetMode="External" Id="rId1791"/><Relationship Type="http://schemas.openxmlformats.org/officeDocument/2006/relationships/hyperlink" Target="https://doi.org/10.1002/ped4.70064" TargetMode="External" Id="rId1792"/><Relationship Type="http://schemas.openxmlformats.org/officeDocument/2006/relationships/hyperlink" Target="https://doi.org/10.1002/ped4.70064" TargetMode="External" Id="rId1793"/><Relationship Type="http://schemas.openxmlformats.org/officeDocument/2006/relationships/hyperlink" Target="https://doi.org/10.3390/biom16030340" TargetMode="External" Id="rId1794"/><Relationship Type="http://schemas.openxmlformats.org/officeDocument/2006/relationships/hyperlink" Target="https://doi.org/10.3390/biom16030340" TargetMode="External" Id="rId1795"/><Relationship Type="http://schemas.openxmlformats.org/officeDocument/2006/relationships/hyperlink" Target="https://doi.org/10.3390/biom16030340" TargetMode="External" Id="rId1796"/><Relationship Type="http://schemas.openxmlformats.org/officeDocument/2006/relationships/hyperlink" Target="https://doi.org/10.3390/biom16030340" TargetMode="External" Id="rId1797"/><Relationship Type="http://schemas.openxmlformats.org/officeDocument/2006/relationships/hyperlink" Target="https://doi.org/10.3390/biom16030340" TargetMode="External" Id="rId1798"/><Relationship Type="http://schemas.openxmlformats.org/officeDocument/2006/relationships/hyperlink" Target="https://doi.org/10.3390/biom16030340" TargetMode="External" Id="rId1799"/><Relationship Type="http://schemas.openxmlformats.org/officeDocument/2006/relationships/hyperlink" Target="https://doi.org/10.3390/s25247485" TargetMode="External" Id="rId1800"/><Relationship Type="http://schemas.openxmlformats.org/officeDocument/2006/relationships/hyperlink" Target="https://doi.org/10.3390/s25247485" TargetMode="External" Id="rId1801"/><Relationship Type="http://schemas.openxmlformats.org/officeDocument/2006/relationships/hyperlink" Target="https://doi.org/10.3390/s25247485" TargetMode="External" Id="rId1802"/><Relationship Type="http://schemas.openxmlformats.org/officeDocument/2006/relationships/hyperlink" Target="https://doi.org/10.3390/s25247485" TargetMode="External" Id="rId1803"/><Relationship Type="http://schemas.openxmlformats.org/officeDocument/2006/relationships/hyperlink" Target="https://doi.org/10.3390/s25247485" TargetMode="External" Id="rId1804"/><Relationship Type="http://schemas.openxmlformats.org/officeDocument/2006/relationships/hyperlink" Target="https://doi.org/10.1038/s41598-025-26307-3" TargetMode="External" Id="rId1805"/><Relationship Type="http://schemas.openxmlformats.org/officeDocument/2006/relationships/hyperlink" Target="https://doi.org/10.1038/s41598-025-26307-3" TargetMode="External" Id="rId1806"/><Relationship Type="http://schemas.openxmlformats.org/officeDocument/2006/relationships/hyperlink" Target="https://doi.org/10.1038/s41598-025-26307-3" TargetMode="External" Id="rId1807"/><Relationship Type="http://schemas.openxmlformats.org/officeDocument/2006/relationships/hyperlink" Target="https://doi.org/10.1038/s41598-025-26307-3" TargetMode="External" Id="rId1808"/><Relationship Type="http://schemas.openxmlformats.org/officeDocument/2006/relationships/hyperlink" Target="https://doi.org/10.1038/s41598-025-26307-3" TargetMode="External" Id="rId1809"/><Relationship Type="http://schemas.openxmlformats.org/officeDocument/2006/relationships/hyperlink" Target="https://doi.org/10.1038/s41598-025-26307-3" TargetMode="External" Id="rId1810"/><Relationship Type="http://schemas.openxmlformats.org/officeDocument/2006/relationships/hyperlink" Target="https://doi.org/10.1038/s41598-025-26307-3" TargetMode="External" Id="rId1811"/><Relationship Type="http://schemas.openxmlformats.org/officeDocument/2006/relationships/hyperlink" Target="https://doi.org/10.3233/shti251499" TargetMode="External" Id="rId1812"/><Relationship Type="http://schemas.openxmlformats.org/officeDocument/2006/relationships/hyperlink" Target="https://doi.org/10.3233/shti251499" TargetMode="External" Id="rId1813"/><Relationship Type="http://schemas.openxmlformats.org/officeDocument/2006/relationships/hyperlink" Target="https://doi.org/10.3233/shti251499" TargetMode="External" Id="rId1814"/><Relationship Type="http://schemas.openxmlformats.org/officeDocument/2006/relationships/hyperlink" Target="https://doi.org/10.3233/shti251499" TargetMode="External" Id="rId1815"/><Relationship Type="http://schemas.openxmlformats.org/officeDocument/2006/relationships/hyperlink" Target="https://doi.org/10.3233/shti251499" TargetMode="External" Id="rId1816"/><Relationship Type="http://schemas.openxmlformats.org/officeDocument/2006/relationships/hyperlink" Target="https://doi.org/10.3233/shti251499" TargetMode="External" Id="rId1817"/><Relationship Type="http://schemas.openxmlformats.org/officeDocument/2006/relationships/hyperlink" Target="https://doi.org/10.1155/hbe2/1923339" TargetMode="External" Id="rId1818"/><Relationship Type="http://schemas.openxmlformats.org/officeDocument/2006/relationships/hyperlink" Target="https://doi.org/10.1155/hbe2/1923339" TargetMode="External" Id="rId1819"/><Relationship Type="http://schemas.openxmlformats.org/officeDocument/2006/relationships/hyperlink" Target="https://doi.org/10.1155/hbe2/1923339" TargetMode="External" Id="rId1820"/><Relationship Type="http://schemas.openxmlformats.org/officeDocument/2006/relationships/hyperlink" Target="https://doi.org/10.1155/hbe2/1923339" TargetMode="External" Id="rId1821"/><Relationship Type="http://schemas.openxmlformats.org/officeDocument/2006/relationships/hyperlink" Target="https://doi.org/10.1155/hbe2/1923339" TargetMode="External" Id="rId1822"/><Relationship Type="http://schemas.openxmlformats.org/officeDocument/2006/relationships/hyperlink" Target="https://doi.org/10.1155/hbe2/1923339" TargetMode="External" Id="rId1823"/><Relationship Type="http://schemas.openxmlformats.org/officeDocument/2006/relationships/hyperlink" Target="https://doi.org/10.1002/aur.70135" TargetMode="External" Id="rId1824"/><Relationship Type="http://schemas.openxmlformats.org/officeDocument/2006/relationships/hyperlink" Target="https://doi.org/10.1002/aur.70135" TargetMode="External" Id="rId1825"/><Relationship Type="http://schemas.openxmlformats.org/officeDocument/2006/relationships/hyperlink" Target="https://doi.org/10.1002/aur.70135" TargetMode="External" Id="rId1826"/><Relationship Type="http://schemas.openxmlformats.org/officeDocument/2006/relationships/hyperlink" Target="https://doi.org/10.1002/aur.70135" TargetMode="External" Id="rId1827"/><Relationship Type="http://schemas.openxmlformats.org/officeDocument/2006/relationships/hyperlink" Target="https://doi.org/10.1002/aur.70135" TargetMode="External" Id="rId1828"/><Relationship Type="http://schemas.openxmlformats.org/officeDocument/2006/relationships/hyperlink" Target="https://doi.org/10.1002/aur.70135" TargetMode="External" Id="rId1829"/><Relationship Type="http://schemas.openxmlformats.org/officeDocument/2006/relationships/hyperlink" Target="https://doi.org/10.1186/s12888-025-07754-8" TargetMode="External" Id="rId1830"/><Relationship Type="http://schemas.openxmlformats.org/officeDocument/2006/relationships/hyperlink" Target="https://doi.org/10.1186/s12888-025-07754-8" TargetMode="External" Id="rId1831"/><Relationship Type="http://schemas.openxmlformats.org/officeDocument/2006/relationships/hyperlink" Target="https://doi.org/10.1186/s12888-025-07754-8" TargetMode="External" Id="rId1832"/><Relationship Type="http://schemas.openxmlformats.org/officeDocument/2006/relationships/hyperlink" Target="https://doi.org/10.1186/s12888-025-07754-8" TargetMode="External" Id="rId1833"/><Relationship Type="http://schemas.openxmlformats.org/officeDocument/2006/relationships/hyperlink" Target="https://doi.org/10.1186/s12888-025-07754-8" TargetMode="External" Id="rId1834"/><Relationship Type="http://schemas.openxmlformats.org/officeDocument/2006/relationships/hyperlink" Target="https://doi.org/10.1186/s12888-025-07754-8" TargetMode="External" Id="rId1835"/><Relationship Type="http://schemas.openxmlformats.org/officeDocument/2006/relationships/hyperlink" Target="https://doi.org/10.1109/jbhi.2025.3599643" TargetMode="External" Id="rId1836"/><Relationship Type="http://schemas.openxmlformats.org/officeDocument/2006/relationships/hyperlink" Target="https://doi.org/10.1109/jbhi.2025.3599643" TargetMode="External" Id="rId1837"/><Relationship Type="http://schemas.openxmlformats.org/officeDocument/2006/relationships/hyperlink" Target="https://doi.org/10.1109/jbhi.2025.3599643" TargetMode="External" Id="rId1838"/><Relationship Type="http://schemas.openxmlformats.org/officeDocument/2006/relationships/hyperlink" Target="https://doi.org/10.1109/jbhi.2025.3599643" TargetMode="External" Id="rId1839"/><Relationship Type="http://schemas.openxmlformats.org/officeDocument/2006/relationships/hyperlink" Target="https://doi.org/10.1109/jbhi.2025.3599643" TargetMode="External" Id="rId1840"/><Relationship Type="http://schemas.openxmlformats.org/officeDocument/2006/relationships/hyperlink" Target="https://doi.org/10.1109/jbhi.2025.3599643" TargetMode="External" Id="rId1841"/><Relationship Type="http://schemas.openxmlformats.org/officeDocument/2006/relationships/hyperlink" Target="https://doi.org/10.1038/s41598-025-26131-9" TargetMode="External" Id="rId1842"/><Relationship Type="http://schemas.openxmlformats.org/officeDocument/2006/relationships/hyperlink" Target="https://doi.org/10.1038/s41598-025-26131-9" TargetMode="External" Id="rId1843"/><Relationship Type="http://schemas.openxmlformats.org/officeDocument/2006/relationships/hyperlink" Target="https://doi.org/10.1038/s41598-025-26131-9" TargetMode="External" Id="rId1844"/><Relationship Type="http://schemas.openxmlformats.org/officeDocument/2006/relationships/hyperlink" Target="https://doi.org/10.1038/s41598-025-26131-9" TargetMode="External" Id="rId1845"/><Relationship Type="http://schemas.openxmlformats.org/officeDocument/2006/relationships/hyperlink" Target="https://doi.org/10.1038/s41598-025-26131-9" TargetMode="External" Id="rId1846"/><Relationship Type="http://schemas.openxmlformats.org/officeDocument/2006/relationships/hyperlink" Target="https://doi.org/10.1038/s41598-025-26131-9" TargetMode="External" Id="rId1847"/><Relationship Type="http://schemas.openxmlformats.org/officeDocument/2006/relationships/hyperlink" Target="https://doi.org/10.1038/s41598-025-26131-9" TargetMode="External" Id="rId1848"/><Relationship Type="http://schemas.openxmlformats.org/officeDocument/2006/relationships/hyperlink" Target="https://doi.org/10.1093/biomtc/ujag099" TargetMode="External" Id="rId1849"/><Relationship Type="http://schemas.openxmlformats.org/officeDocument/2006/relationships/hyperlink" Target="https://doi.org/10.1093/biomtc/ujag099" TargetMode="External" Id="rId1850"/><Relationship Type="http://schemas.openxmlformats.org/officeDocument/2006/relationships/hyperlink" Target="https://doi.org/10.1093/biomtc/ujag099" TargetMode="External" Id="rId1851"/><Relationship Type="http://schemas.openxmlformats.org/officeDocument/2006/relationships/hyperlink" Target="https://doi.org/10.1093/biomtc/ujag099" TargetMode="External" Id="rId1852"/><Relationship Type="http://schemas.openxmlformats.org/officeDocument/2006/relationships/hyperlink" Target="https://doi.org/10.31083/jin48212" TargetMode="External" Id="rId1853"/><Relationship Type="http://schemas.openxmlformats.org/officeDocument/2006/relationships/hyperlink" Target="https://doi.org/10.31083/jin48212" TargetMode="External" Id="rId1854"/><Relationship Type="http://schemas.openxmlformats.org/officeDocument/2006/relationships/hyperlink" Target="https://doi.org/10.31083/jin48212" TargetMode="External" Id="rId1855"/><Relationship Type="http://schemas.openxmlformats.org/officeDocument/2006/relationships/hyperlink" Target="https://doi.org/10.31083/jin48212" TargetMode="External" Id="rId1856"/><Relationship Type="http://schemas.openxmlformats.org/officeDocument/2006/relationships/hyperlink" Target="https://doi.org/10.31083/jin48212" TargetMode="External" Id="rId1857"/><Relationship Type="http://schemas.openxmlformats.org/officeDocument/2006/relationships/hyperlink" Target="https://doi.org/10.1038/s41598-026-48562-8" TargetMode="External" Id="rId1858"/><Relationship Type="http://schemas.openxmlformats.org/officeDocument/2006/relationships/hyperlink" Target="https://doi.org/10.1038/s41598-026-48562-8" TargetMode="External" Id="rId1859"/><Relationship Type="http://schemas.openxmlformats.org/officeDocument/2006/relationships/hyperlink" Target="https://doi.org/10.1038/s41598-026-48562-8" TargetMode="External" Id="rId1860"/><Relationship Type="http://schemas.openxmlformats.org/officeDocument/2006/relationships/hyperlink" Target="https://doi.org/10.1038/s41598-026-48562-8" TargetMode="External" Id="rId1861"/><Relationship Type="http://schemas.openxmlformats.org/officeDocument/2006/relationships/hyperlink" Target="https://doi.org/10.1038/s41598-026-48562-8" TargetMode="External" Id="rId1862"/><Relationship Type="http://schemas.openxmlformats.org/officeDocument/2006/relationships/hyperlink" Target="https://doi.org/10.1038/s41598-026-48562-8" TargetMode="External" Id="rId1863"/><Relationship Type="http://schemas.openxmlformats.org/officeDocument/2006/relationships/hyperlink" Target="https://doi.org/10.1038/s41598-026-58789-0" TargetMode="External" Id="rId1864"/><Relationship Type="http://schemas.openxmlformats.org/officeDocument/2006/relationships/hyperlink" Target="https://doi.org/10.1038/s41598-026-58789-0" TargetMode="External" Id="rId1865"/><Relationship Type="http://schemas.openxmlformats.org/officeDocument/2006/relationships/hyperlink" Target="https://doi.org/10.1038/s41598-026-58789-0" TargetMode="External" Id="rId1866"/><Relationship Type="http://schemas.openxmlformats.org/officeDocument/2006/relationships/hyperlink" Target="https://doi.org/10.1038/s41598-026-58789-0" TargetMode="External" Id="rId1867"/><Relationship Type="http://schemas.openxmlformats.org/officeDocument/2006/relationships/hyperlink" Target="https://www.nature.com/articles/s41598-025-24662-9" TargetMode="External" Id="rId1868"/><Relationship Type="http://schemas.openxmlformats.org/officeDocument/2006/relationships/hyperlink" Target="https://www.nature.com/articles/s41598-025-24662-9" TargetMode="External" Id="rId1869"/><Relationship Type="http://schemas.openxmlformats.org/officeDocument/2006/relationships/hyperlink" Target="https://www.nature.com/articles/s41598-025-24662-9" TargetMode="External" Id="rId1870"/><Relationship Type="http://schemas.openxmlformats.org/officeDocument/2006/relationships/hyperlink" Target="https://www.nature.com/articles/s41598-025-24662-9" TargetMode="External" Id="rId1871"/><Relationship Type="http://schemas.openxmlformats.org/officeDocument/2006/relationships/hyperlink" Target="https://www.nature.com/articles/s41598-025-24662-9" TargetMode="External" Id="rId1872"/><Relationship Type="http://schemas.openxmlformats.org/officeDocument/2006/relationships/hyperlink" Target="https://www.nature.com/articles/s41598-025-24662-9" TargetMode="External" Id="rId1873"/><Relationship Type="http://schemas.openxmlformats.org/officeDocument/2006/relationships/hyperlink" Target="https://www.nature.com/articles/s41598-025-24662-9" TargetMode="External" Id="rId1874"/><Relationship Type="http://schemas.openxmlformats.org/officeDocument/2006/relationships/hyperlink" Target="https://www.nature.com/articles/s41598-025-24662-9" TargetMode="External" Id="rId1875"/><Relationship Type="http://schemas.openxmlformats.org/officeDocument/2006/relationships/hyperlink" Target="https://journals.plos.org/plosone/article?id=10.1371/journal.pone.0354652" TargetMode="External" Id="rId1876"/><Relationship Type="http://schemas.openxmlformats.org/officeDocument/2006/relationships/hyperlink" Target="https://journals.plos.org/plosone/article?id=10.1371/journal.pone.0354652" TargetMode="External" Id="rId1877"/><Relationship Type="http://schemas.openxmlformats.org/officeDocument/2006/relationships/hyperlink" Target="https://journals.plos.org/plosone/article?id=10.1371/journal.pone.0354652" TargetMode="External" Id="rId1878"/><Relationship Type="http://schemas.openxmlformats.org/officeDocument/2006/relationships/hyperlink" Target="https://journals.plos.org/plosone/article?id=10.1371/journal.pone.0354652" TargetMode="External" Id="rId1879"/><Relationship Type="http://schemas.openxmlformats.org/officeDocument/2006/relationships/hyperlink" Target="https://journals.plos.org/plosone/article?id=10.1371/journal.pone.0354652" TargetMode="External" Id="rId1880"/><Relationship Type="http://schemas.openxmlformats.org/officeDocument/2006/relationships/hyperlink" Target="https://journals.plos.org/plosone/article?id=10.1371/journal.pone.0354652" TargetMode="External" Id="rId1881"/><Relationship Type="http://schemas.openxmlformats.org/officeDocument/2006/relationships/hyperlink" Target="https://journals.plos.org/plosone/article?id=10.1371/journal.pone.0354652" TargetMode="External" Id="rId1882"/><Relationship Type="http://schemas.openxmlformats.org/officeDocument/2006/relationships/hyperlink" Target="https://journals.plos.org/plosone/article?id=10.1371/journal.pone.0354652" TargetMode="External" Id="rId1883"/><Relationship Type="http://schemas.openxmlformats.org/officeDocument/2006/relationships/hyperlink" Target="https://doi.org/10.1007/s12021-026-09782-5" TargetMode="External" Id="rId1884"/><Relationship Type="http://schemas.openxmlformats.org/officeDocument/2006/relationships/hyperlink" Target="https://doi.org/10.1007/s12021-026-09782-5" TargetMode="External" Id="rId1885"/><Relationship Type="http://schemas.openxmlformats.org/officeDocument/2006/relationships/hyperlink" Target="https://doi.org/10.1007/s12021-026-09782-5" TargetMode="External" Id="rId1886"/><Relationship Type="http://schemas.openxmlformats.org/officeDocument/2006/relationships/hyperlink" Target="https://doi.org/10.1007/s12021-026-09782-5" TargetMode="External" Id="rId1887"/><Relationship Type="http://schemas.openxmlformats.org/officeDocument/2006/relationships/hyperlink" Target="https://doi.org/10.1007/s41870-025-02987-y" TargetMode="External" Id="rId1888"/><Relationship Type="http://schemas.openxmlformats.org/officeDocument/2006/relationships/hyperlink" Target="https://doi.org/10.1007/s41870-025-02987-y" TargetMode="External" Id="rId1889"/><Relationship Type="http://schemas.openxmlformats.org/officeDocument/2006/relationships/hyperlink" Target="https://doi.org/10.1007/s41870-025-02987-y" TargetMode="External" Id="rId1890"/><Relationship Type="http://schemas.openxmlformats.org/officeDocument/2006/relationships/hyperlink" Target="https://doi.org/10.1007/s41870-025-02987-y" TargetMode="External" Id="rId1891"/><Relationship Type="http://schemas.openxmlformats.org/officeDocument/2006/relationships/hyperlink" Target="https://doi.org/10.1007/s41870-025-02987-y" TargetMode="External" Id="rId1892"/><Relationship Type="http://schemas.openxmlformats.org/officeDocument/2006/relationships/hyperlink" Target="https://doi.org/10.1007/s44163-026-01103-8" TargetMode="External" Id="rId1893"/><Relationship Type="http://schemas.openxmlformats.org/officeDocument/2006/relationships/hyperlink" Target="https://doi.org/10.1007/s44163-026-01103-8" TargetMode="External" Id="rId1894"/><Relationship Type="http://schemas.openxmlformats.org/officeDocument/2006/relationships/hyperlink" Target="https://doi.org/10.1007/s44163-026-01103-8" TargetMode="External" Id="rId1895"/><Relationship Type="http://schemas.openxmlformats.org/officeDocument/2006/relationships/hyperlink" Target="https://doi.org/10.1007/s44163-026-01103-8" TargetMode="External" Id="rId1896"/><Relationship Type="http://schemas.openxmlformats.org/officeDocument/2006/relationships/hyperlink" Target="https://doi.org/10.1007/s44163-026-01103-8" TargetMode="External" Id="rId1897"/><Relationship Type="http://schemas.openxmlformats.org/officeDocument/2006/relationships/hyperlink" Target="https://doi.org/10.1007/s44163-026-01103-8" TargetMode="External" Id="rId1898"/><Relationship Type="http://schemas.openxmlformats.org/officeDocument/2006/relationships/hyperlink" Target="https://doi.org/10.1038/s41598-025-95291-5" TargetMode="External" Id="rId1899"/><Relationship Type="http://schemas.openxmlformats.org/officeDocument/2006/relationships/hyperlink" Target="https://doi.org/10.1038/s41598-025-95291-5" TargetMode="External" Id="rId1900"/><Relationship Type="http://schemas.openxmlformats.org/officeDocument/2006/relationships/hyperlink" Target="https://doi.org/10.1038/s41598-025-95291-5" TargetMode="External" Id="rId1901"/><Relationship Type="http://schemas.openxmlformats.org/officeDocument/2006/relationships/hyperlink" Target="https://doi.org/10.1038/s41598-025-95291-5" TargetMode="External" Id="rId1902"/><Relationship Type="http://schemas.openxmlformats.org/officeDocument/2006/relationships/hyperlink" Target="https://doi.org/10.1038/s41598-025-95291-5" TargetMode="External" Id="rId1903"/><Relationship Type="http://schemas.openxmlformats.org/officeDocument/2006/relationships/hyperlink" Target="https://doi.org/10.1038/s41598-025-95291-5" TargetMode="External" Id="rId1904"/><Relationship Type="http://schemas.openxmlformats.org/officeDocument/2006/relationships/hyperlink" Target="https://doi.org/10.1038/s41598-025-95291-5" TargetMode="External" Id="rId1905"/><Relationship Type="http://schemas.openxmlformats.org/officeDocument/2006/relationships/hyperlink" Target="https://doi.org/10.3390/genes16091109" TargetMode="External" Id="rId1906"/><Relationship Type="http://schemas.openxmlformats.org/officeDocument/2006/relationships/hyperlink" Target="https://doi.org/10.3390/genes16091109" TargetMode="External" Id="rId1907"/><Relationship Type="http://schemas.openxmlformats.org/officeDocument/2006/relationships/hyperlink" Target="https://doi.org/10.3390/genes16091109" TargetMode="External" Id="rId1908"/><Relationship Type="http://schemas.openxmlformats.org/officeDocument/2006/relationships/hyperlink" Target="https://doi.org/10.3390/genes16091109" TargetMode="External" Id="rId1909"/><Relationship Type="http://schemas.openxmlformats.org/officeDocument/2006/relationships/hyperlink" Target="https://doi.org/10.1016/j.envres.2026.125213" TargetMode="External" Id="rId1910"/><Relationship Type="http://schemas.openxmlformats.org/officeDocument/2006/relationships/hyperlink" Target="https://doi.org/10.1016/j.envres.2026.125213" TargetMode="External" Id="rId1911"/><Relationship Type="http://schemas.openxmlformats.org/officeDocument/2006/relationships/hyperlink" Target="https://doi.org/10.1016/j.envres.2026.125213" TargetMode="External" Id="rId1912"/><Relationship Type="http://schemas.openxmlformats.org/officeDocument/2006/relationships/hyperlink" Target="https://doi.org/10.1016/j.envres.2026.125213" TargetMode="External" Id="rId1913"/><Relationship Type="http://schemas.openxmlformats.org/officeDocument/2006/relationships/hyperlink" Target="https://doi.org/10.1016/j.envres.2026.125213" TargetMode="External" Id="rId1914"/><Relationship Type="http://schemas.openxmlformats.org/officeDocument/2006/relationships/hyperlink" Target="https://doi.org/10.1016/j.envres.2026.125213" TargetMode="External" Id="rId1915"/><Relationship Type="http://schemas.openxmlformats.org/officeDocument/2006/relationships/hyperlink" Target="https://link.springer.com/article/10.1186/s13073-025-01552-3" TargetMode="External" Id="rId1916"/><Relationship Type="http://schemas.openxmlformats.org/officeDocument/2006/relationships/hyperlink" Target="https://link.springer.com/article/10.1186/s13073-025-01552-3" TargetMode="External" Id="rId1917"/><Relationship Type="http://schemas.openxmlformats.org/officeDocument/2006/relationships/hyperlink" Target="https://link.springer.com/article/10.1186/s13073-025-01552-3" TargetMode="External" Id="rId1918"/><Relationship Type="http://schemas.openxmlformats.org/officeDocument/2006/relationships/hyperlink" Target="https://link.springer.com/article/10.1186/s13073-025-01552-3" TargetMode="External" Id="rId1919"/><Relationship Type="http://schemas.openxmlformats.org/officeDocument/2006/relationships/hyperlink" Target="https://link.springer.com/article/10.1186/s13073-025-01552-3" TargetMode="External" Id="rId1920"/><Relationship Type="http://schemas.openxmlformats.org/officeDocument/2006/relationships/hyperlink" Target="https://link.springer.com/article/10.1186/s13073-025-01552-3" TargetMode="External" Id="rId1921"/><Relationship Type="http://schemas.openxmlformats.org/officeDocument/2006/relationships/hyperlink" Target="https://doi.org/10.1007/s41666-026-00243-x" TargetMode="External" Id="rId1922"/><Relationship Type="http://schemas.openxmlformats.org/officeDocument/2006/relationships/hyperlink" Target="https://doi.org/10.1007/s41666-026-00243-x" TargetMode="External" Id="rId1923"/><Relationship Type="http://schemas.openxmlformats.org/officeDocument/2006/relationships/hyperlink" Target="https://doi.org/10.1007/s41666-026-00243-x" TargetMode="External" Id="rId1924"/><Relationship Type="http://schemas.openxmlformats.org/officeDocument/2006/relationships/hyperlink" Target="https://doi.org/10.1007/s41666-026-00243-x" TargetMode="External" Id="rId1925"/><Relationship Type="http://schemas.openxmlformats.org/officeDocument/2006/relationships/hyperlink" Target="https://doi.org/10.1007/s41666-026-00243-x" TargetMode="External" Id="rId1926"/><Relationship Type="http://schemas.openxmlformats.org/officeDocument/2006/relationships/hyperlink" Target="https://doi.org/10.1007/s41666-026-00243-x" TargetMode="External" Id="rId1927"/><Relationship Type="http://schemas.openxmlformats.org/officeDocument/2006/relationships/hyperlink" Target="https://doi.org/10.1007/s44163-026-01299-9" TargetMode="External" Id="rId1928"/><Relationship Type="http://schemas.openxmlformats.org/officeDocument/2006/relationships/hyperlink" Target="https://doi.org/10.1007/s44163-026-01299-9" TargetMode="External" Id="rId1929"/><Relationship Type="http://schemas.openxmlformats.org/officeDocument/2006/relationships/hyperlink" Target="https://doi.org/10.1007/s44163-026-01299-9" TargetMode="External" Id="rId1930"/><Relationship Type="http://schemas.openxmlformats.org/officeDocument/2006/relationships/hyperlink" Target="https://doi.org/10.1007/s44163-026-01299-9" TargetMode="External" Id="rId1931"/><Relationship Type="http://schemas.openxmlformats.org/officeDocument/2006/relationships/hyperlink" Target="https://doi.org/10.1007/s44163-026-01299-9" TargetMode="External" Id="rId1932"/><Relationship Type="http://schemas.openxmlformats.org/officeDocument/2006/relationships/hyperlink" Target="https://doi.org/10.1002/jmri.70023" TargetMode="External" Id="rId1933"/><Relationship Type="http://schemas.openxmlformats.org/officeDocument/2006/relationships/hyperlink" Target="https://doi.org/10.1002/jmri.70023" TargetMode="External" Id="rId1934"/><Relationship Type="http://schemas.openxmlformats.org/officeDocument/2006/relationships/hyperlink" Target="https://doi.org/10.1002/jmri.70023" TargetMode="External" Id="rId1935"/><Relationship Type="http://schemas.openxmlformats.org/officeDocument/2006/relationships/hyperlink" Target="https://doi.org/10.1002/jmri.70023" TargetMode="External" Id="rId1936"/><Relationship Type="http://schemas.openxmlformats.org/officeDocument/2006/relationships/hyperlink" Target="https://doi.org/10.1038/s41598-025-93802-y" TargetMode="External" Id="rId1937"/><Relationship Type="http://schemas.openxmlformats.org/officeDocument/2006/relationships/hyperlink" Target="https://doi.org/10.1038/s41598-025-93802-y" TargetMode="External" Id="rId1938"/><Relationship Type="http://schemas.openxmlformats.org/officeDocument/2006/relationships/hyperlink" Target="https://doi.org/10.1038/s41598-025-93802-y" TargetMode="External" Id="rId1939"/><Relationship Type="http://schemas.openxmlformats.org/officeDocument/2006/relationships/hyperlink" Target="https://doi.org/10.1038/s41598-025-93802-y" TargetMode="External" Id="rId1940"/><Relationship Type="http://schemas.openxmlformats.org/officeDocument/2006/relationships/hyperlink" Target="https://doi.org/10.1038/s41598-025-93802-y" TargetMode="External" Id="rId1941"/><Relationship Type="http://schemas.openxmlformats.org/officeDocument/2006/relationships/hyperlink" Target="https://doi.org/10.1038/s41598-025-93802-y" TargetMode="External" Id="rId1942"/><Relationship Type="http://schemas.openxmlformats.org/officeDocument/2006/relationships/hyperlink" Target="https://doi.org/10.1109/access.2026.3688987" TargetMode="External" Id="rId1943"/><Relationship Type="http://schemas.openxmlformats.org/officeDocument/2006/relationships/hyperlink" Target="https://doi.org/10.1109/access.2026.3688987" TargetMode="External" Id="rId1944"/><Relationship Type="http://schemas.openxmlformats.org/officeDocument/2006/relationships/hyperlink" Target="https://doi.org/10.1109/access.2026.3688987" TargetMode="External" Id="rId1945"/><Relationship Type="http://schemas.openxmlformats.org/officeDocument/2006/relationships/hyperlink" Target="https://doi.org/10.1109/access.2026.3688987" TargetMode="External" Id="rId1946"/><Relationship Type="http://schemas.openxmlformats.org/officeDocument/2006/relationships/hyperlink" Target="https://doi.org/10.1109/access.2026.3688987" TargetMode="External" Id="rId1947"/><Relationship Type="http://schemas.openxmlformats.org/officeDocument/2006/relationships/hyperlink" Target="https://doi.org/10.1109/access.2025.3642950" TargetMode="External" Id="rId1948"/><Relationship Type="http://schemas.openxmlformats.org/officeDocument/2006/relationships/hyperlink" Target="https://doi.org/10.1109/access.2025.3642950" TargetMode="External" Id="rId1949"/><Relationship Type="http://schemas.openxmlformats.org/officeDocument/2006/relationships/hyperlink" Target="https://doi.org/10.1109/access.2025.3642950" TargetMode="External" Id="rId1950"/><Relationship Type="http://schemas.openxmlformats.org/officeDocument/2006/relationships/hyperlink" Target="https://doi.org/10.1109/access.2025.3642950" TargetMode="External" Id="rId1951"/><Relationship Type="http://schemas.openxmlformats.org/officeDocument/2006/relationships/hyperlink" Target="https://doi.org/10.1109/access.2025.3642950" TargetMode="External" Id="rId1952"/><Relationship Type="http://schemas.openxmlformats.org/officeDocument/2006/relationships/hyperlink" Target="https://doi.org/10.1109/access.2025.3642950" TargetMode="External" Id="rId1953"/><Relationship Type="http://schemas.openxmlformats.org/officeDocument/2006/relationships/hyperlink" Target="https://doi.org/10.1109/access.2025.3646589" TargetMode="External" Id="rId1954"/><Relationship Type="http://schemas.openxmlformats.org/officeDocument/2006/relationships/hyperlink" Target="https://doi.org/10.1109/access.2025.3646589" TargetMode="External" Id="rId1955"/><Relationship Type="http://schemas.openxmlformats.org/officeDocument/2006/relationships/hyperlink" Target="https://doi.org/10.1109/access.2025.3646589" TargetMode="External" Id="rId1956"/><Relationship Type="http://schemas.openxmlformats.org/officeDocument/2006/relationships/hyperlink" Target="https://doi.org/10.1109/access.2025.3646589" TargetMode="External" Id="rId1957"/><Relationship Type="http://schemas.openxmlformats.org/officeDocument/2006/relationships/hyperlink" Target="https://doi.org/10.1109/access.2025.3646589" TargetMode="External" Id="rId1958"/><Relationship Type="http://schemas.openxmlformats.org/officeDocument/2006/relationships/hyperlink" Target="https://doi.org/10.1109/access.2026.3704046" TargetMode="External" Id="rId1959"/><Relationship Type="http://schemas.openxmlformats.org/officeDocument/2006/relationships/hyperlink" Target="https://doi.org/10.1109/access.2026.3704046" TargetMode="External" Id="rId1960"/><Relationship Type="http://schemas.openxmlformats.org/officeDocument/2006/relationships/hyperlink" Target="https://doi.org/10.1109/access.2026.3704046" TargetMode="External" Id="rId1961"/><Relationship Type="http://schemas.openxmlformats.org/officeDocument/2006/relationships/hyperlink" Target="https://doi.org/10.1109/access.2026.3704046" TargetMode="External" Id="rId1962"/><Relationship Type="http://schemas.openxmlformats.org/officeDocument/2006/relationships/hyperlink" Target="https://doi.org/10.1109/access.2026.3704046" TargetMode="External" Id="rId1963"/><Relationship Type="http://schemas.openxmlformats.org/officeDocument/2006/relationships/hyperlink" Target="https://doi.org/10.1109/access.2026.3704046" TargetMode="External" Id="rId1964"/><Relationship Type="http://schemas.openxmlformats.org/officeDocument/2006/relationships/hyperlink" Target="https://doi.org/10.1109/access.2026.3686583" TargetMode="External" Id="rId1965"/><Relationship Type="http://schemas.openxmlformats.org/officeDocument/2006/relationships/hyperlink" Target="https://doi.org/10.1109/access.2026.3686583" TargetMode="External" Id="rId1966"/><Relationship Type="http://schemas.openxmlformats.org/officeDocument/2006/relationships/hyperlink" Target="https://doi.org/10.1109/access.2026.3686583" TargetMode="External" Id="rId1967"/><Relationship Type="http://schemas.openxmlformats.org/officeDocument/2006/relationships/hyperlink" Target="https://doi.org/10.1109/access.2026.3686583" TargetMode="External" Id="rId1968"/><Relationship Type="http://schemas.openxmlformats.org/officeDocument/2006/relationships/hyperlink" Target="https://doi.org/10.1109/access.2026.3686583" TargetMode="External" Id="rId1969"/><Relationship Type="http://schemas.openxmlformats.org/officeDocument/2006/relationships/hyperlink" Target="https://doi.org/10.1109/access.2026.3650856" TargetMode="External" Id="rId1970"/><Relationship Type="http://schemas.openxmlformats.org/officeDocument/2006/relationships/hyperlink" Target="https://doi.org/10.1109/access.2026.3650856" TargetMode="External" Id="rId1971"/><Relationship Type="http://schemas.openxmlformats.org/officeDocument/2006/relationships/hyperlink" Target="https://doi.org/10.1109/access.2026.3650856" TargetMode="External" Id="rId1972"/><Relationship Type="http://schemas.openxmlformats.org/officeDocument/2006/relationships/hyperlink" Target="https://doi.org/10.1109/access.2026.3650856" TargetMode="External" Id="rId1973"/><Relationship Type="http://schemas.openxmlformats.org/officeDocument/2006/relationships/hyperlink" Target="https://doi.org/10.1109/access.2026.3650856" TargetMode="External" Id="rId1974"/><Relationship Type="http://schemas.openxmlformats.org/officeDocument/2006/relationships/hyperlink" Target="https://doi.org/10.1109/access.2026.3650856" TargetMode="External" Id="rId1975"/><Relationship Type="http://schemas.openxmlformats.org/officeDocument/2006/relationships/hyperlink" Target="https://doi.org/10.1016/j.bspc.2024.107009" TargetMode="External" Id="rId1976"/><Relationship Type="http://schemas.openxmlformats.org/officeDocument/2006/relationships/hyperlink" Target="https://doi.org/10.1016/j.bspc.2024.107009" TargetMode="External" Id="rId1977"/><Relationship Type="http://schemas.openxmlformats.org/officeDocument/2006/relationships/hyperlink" Target="https://doi.org/10.1016/j.bspc.2024.107009" TargetMode="External" Id="rId1978"/><Relationship Type="http://schemas.openxmlformats.org/officeDocument/2006/relationships/hyperlink" Target="https://doi.org/10.1016/j.bspc.2024.107009" TargetMode="External" Id="rId1979"/><Relationship Type="http://schemas.openxmlformats.org/officeDocument/2006/relationships/hyperlink" Target="https://doi.org/10.1016/j.bspc.2024.107009" TargetMode="External" Id="rId1980"/><Relationship Type="http://schemas.openxmlformats.org/officeDocument/2006/relationships/hyperlink" Target="https://doi.org/10.1016/j.bspc.2024.106949" TargetMode="External" Id="rId1981"/><Relationship Type="http://schemas.openxmlformats.org/officeDocument/2006/relationships/hyperlink" Target="https://doi.org/10.1016/j.bspc.2024.106949" TargetMode="External" Id="rId1982"/><Relationship Type="http://schemas.openxmlformats.org/officeDocument/2006/relationships/hyperlink" Target="https://doi.org/10.1016/j.bspc.2024.106949" TargetMode="External" Id="rId1983"/><Relationship Type="http://schemas.openxmlformats.org/officeDocument/2006/relationships/hyperlink" Target="https://doi.org/10.1016/j.bspc.2024.106949" TargetMode="External" Id="rId1984"/><Relationship Type="http://schemas.openxmlformats.org/officeDocument/2006/relationships/hyperlink" Target="https://doi.org/10.1016/j.ijhcs.2025.103486" TargetMode="External" Id="rId1985"/><Relationship Type="http://schemas.openxmlformats.org/officeDocument/2006/relationships/hyperlink" Target="https://doi.org/10.1016/j.ijhcs.2025.103486" TargetMode="External" Id="rId1986"/><Relationship Type="http://schemas.openxmlformats.org/officeDocument/2006/relationships/hyperlink" Target="https://doi.org/10.1016/j.ijhcs.2025.103486" TargetMode="External" Id="rId1987"/><Relationship Type="http://schemas.openxmlformats.org/officeDocument/2006/relationships/hyperlink" Target="https://doi.org/10.1016/j.ijhcs.2025.103486" TargetMode="External" Id="rId1988"/><Relationship Type="http://schemas.openxmlformats.org/officeDocument/2006/relationships/hyperlink" Target="https://doi.org/10.1016/j.ijhcs.2025.103486" TargetMode="External" Id="rId1989"/><Relationship Type="http://schemas.openxmlformats.org/officeDocument/2006/relationships/hyperlink" Target="https://doi.org/10.1016/j.compbiolchem.2024.108335" TargetMode="External" Id="rId1990"/><Relationship Type="http://schemas.openxmlformats.org/officeDocument/2006/relationships/hyperlink" Target="https://doi.org/10.1016/j.compbiolchem.2024.108335" TargetMode="External" Id="rId1991"/><Relationship Type="http://schemas.openxmlformats.org/officeDocument/2006/relationships/hyperlink" Target="https://doi.org/10.1016/j.compbiolchem.2024.108335" TargetMode="External" Id="rId1992"/><Relationship Type="http://schemas.openxmlformats.org/officeDocument/2006/relationships/hyperlink" Target="https://doi.org/10.1016/j.biopsycho.2024.108976" TargetMode="External" Id="rId1993"/><Relationship Type="http://schemas.openxmlformats.org/officeDocument/2006/relationships/hyperlink" Target="https://doi.org/10.1016/j.biopsycho.2024.108976" TargetMode="External" Id="rId1994"/><Relationship Type="http://schemas.openxmlformats.org/officeDocument/2006/relationships/hyperlink" Target="https://doi.org/10.1016/j.biopsycho.2024.108976" TargetMode="External" Id="rId1995"/><Relationship Type="http://schemas.openxmlformats.org/officeDocument/2006/relationships/hyperlink" Target="https://doi.org/10.1016/j.biopsycho.2024.108976" TargetMode="External" Id="rId1996"/><Relationship Type="http://schemas.openxmlformats.org/officeDocument/2006/relationships/hyperlink" Target="https://doi.org/10.1016/j.cca.2024.120018" TargetMode="External" Id="rId1997"/><Relationship Type="http://schemas.openxmlformats.org/officeDocument/2006/relationships/hyperlink" Target="https://doi.org/10.1016/j.cca.2024.120018" TargetMode="External" Id="rId1998"/><Relationship Type="http://schemas.openxmlformats.org/officeDocument/2006/relationships/hyperlink" Target="https://doi.org/10.1016/j.cca.2024.120018" TargetMode="External" Id="rId1999"/><Relationship Type="http://schemas.openxmlformats.org/officeDocument/2006/relationships/hyperlink" Target="https://doi.org/10.1016/j.eswa.2024.126295" TargetMode="External" Id="rId2000"/><Relationship Type="http://schemas.openxmlformats.org/officeDocument/2006/relationships/hyperlink" Target="https://doi.org/10.1016/j.eswa.2024.126295" TargetMode="External" Id="rId2001"/><Relationship Type="http://schemas.openxmlformats.org/officeDocument/2006/relationships/hyperlink" Target="https://doi.org/10.1016/j.eswa.2024.126295" TargetMode="External" Id="rId2002"/><Relationship Type="http://schemas.openxmlformats.org/officeDocument/2006/relationships/hyperlink" Target="https://doi.org/10.1016/j.eswa.2024.126295" TargetMode="External" Id="rId2003"/><Relationship Type="http://schemas.openxmlformats.org/officeDocument/2006/relationships/hyperlink" Target="https://doi.org/10.1016/j.eswa.2024.125399" TargetMode="External" Id="rId2004"/><Relationship Type="http://schemas.openxmlformats.org/officeDocument/2006/relationships/hyperlink" Target="https://doi.org/10.1016/j.eswa.2024.125399" TargetMode="External" Id="rId2005"/><Relationship Type="http://schemas.openxmlformats.org/officeDocument/2006/relationships/hyperlink" Target="https://doi.org/10.1016/j.eswa.2024.125399" TargetMode="External" Id="rId2006"/><Relationship Type="http://schemas.openxmlformats.org/officeDocument/2006/relationships/hyperlink" Target="https://doi.org/10.1016/j.jneumeth.2024.110315" TargetMode="External" Id="rId2007"/><Relationship Type="http://schemas.openxmlformats.org/officeDocument/2006/relationships/hyperlink" Target="https://doi.org/10.1016/j.jneumeth.2024.110315" TargetMode="External" Id="rId2008"/><Relationship Type="http://schemas.openxmlformats.org/officeDocument/2006/relationships/hyperlink" Target="https://doi.org/10.1016/j.jneumeth.2024.110315" TargetMode="External" Id="rId2009"/><Relationship Type="http://schemas.openxmlformats.org/officeDocument/2006/relationships/hyperlink" Target="https://doi.org/10.1016/j.jneumeth.2024.110315" TargetMode="External" Id="rId2010"/><Relationship Type="http://schemas.openxmlformats.org/officeDocument/2006/relationships/hyperlink" Target="https://doi.org/10.1016/j.jneumeth.2024.110315" TargetMode="External" Id="rId2011"/><Relationship Type="http://schemas.openxmlformats.org/officeDocument/2006/relationships/hyperlink" Target="https://doi.org/10.1016/j.bspc.2024.107414" TargetMode="External" Id="rId2012"/><Relationship Type="http://schemas.openxmlformats.org/officeDocument/2006/relationships/hyperlink" Target="https://doi.org/10.1016/j.bspc.2024.107414" TargetMode="External" Id="rId2013"/><Relationship Type="http://schemas.openxmlformats.org/officeDocument/2006/relationships/hyperlink" Target="https://doi.org/10.1016/j.bspc.2024.107414" TargetMode="External" Id="rId2014"/><Relationship Type="http://schemas.openxmlformats.org/officeDocument/2006/relationships/hyperlink" Target="https://doi.org/10.1016/j.bspc.2024.107414" TargetMode="External" Id="rId2015"/><Relationship Type="http://schemas.openxmlformats.org/officeDocument/2006/relationships/hyperlink" Target="https://doi.org/10.1016/j.ijmedinf.2024.105707" TargetMode="External" Id="rId2016"/><Relationship Type="http://schemas.openxmlformats.org/officeDocument/2006/relationships/hyperlink" Target="https://doi.org/10.1016/j.ijmedinf.2024.105707" TargetMode="External" Id="rId2017"/><Relationship Type="http://schemas.openxmlformats.org/officeDocument/2006/relationships/hyperlink" Target="https://doi.org/10.1016/j.ijmedinf.2024.105707" TargetMode="External" Id="rId2018"/><Relationship Type="http://schemas.openxmlformats.org/officeDocument/2006/relationships/hyperlink" Target="https://doi.org/10.1016/j.rineng.2025.104444" TargetMode="External" Id="rId2019"/><Relationship Type="http://schemas.openxmlformats.org/officeDocument/2006/relationships/hyperlink" Target="https://doi.org/10.1016/j.rineng.2025.104444" TargetMode="External" Id="rId2020"/><Relationship Type="http://schemas.openxmlformats.org/officeDocument/2006/relationships/hyperlink" Target="https://doi.org/10.1016/j.rineng.2025.104444" TargetMode="External" Id="rId2021"/><Relationship Type="http://schemas.openxmlformats.org/officeDocument/2006/relationships/hyperlink" Target="https://doi.org/10.1016/j.rineng.2025.104444" TargetMode="External" Id="rId2022"/><Relationship Type="http://schemas.openxmlformats.org/officeDocument/2006/relationships/hyperlink" Target="https://doi.org/10.1016/j.engappai.2024.109475" TargetMode="External" Id="rId2023"/><Relationship Type="http://schemas.openxmlformats.org/officeDocument/2006/relationships/hyperlink" Target="https://doi.org/10.1016/j.engappai.2024.109475" TargetMode="External" Id="rId2024"/><Relationship Type="http://schemas.openxmlformats.org/officeDocument/2006/relationships/hyperlink" Target="https://doi.org/10.1016/j.engappai.2024.109475" TargetMode="External" Id="rId2025"/><Relationship Type="http://schemas.openxmlformats.org/officeDocument/2006/relationships/hyperlink" Target="https://doi.org/10.1016/j.engappai.2024.109475" TargetMode="External" Id="rId2026"/><Relationship Type="http://schemas.openxmlformats.org/officeDocument/2006/relationships/hyperlink" Target="https://doi.org/10.1016/j.eswa.2025.127013" TargetMode="External" Id="rId2027"/><Relationship Type="http://schemas.openxmlformats.org/officeDocument/2006/relationships/hyperlink" Target="https://doi.org/10.1016/j.eswa.2025.127013" TargetMode="External" Id="rId2028"/><Relationship Type="http://schemas.openxmlformats.org/officeDocument/2006/relationships/hyperlink" Target="https://doi.org/10.1016/j.eswa.2025.127013" TargetMode="External" Id="rId2029"/><Relationship Type="http://schemas.openxmlformats.org/officeDocument/2006/relationships/hyperlink" Target="https://doi.org/10.1016/j.eswa.2025.127013" TargetMode="External" Id="rId2030"/><Relationship Type="http://schemas.openxmlformats.org/officeDocument/2006/relationships/hyperlink" Target="https://doi.org/10.1016/j.ibmed.2025.100213" TargetMode="External" Id="rId2031"/><Relationship Type="http://schemas.openxmlformats.org/officeDocument/2006/relationships/hyperlink" Target="https://doi.org/10.1016/j.ibmed.2025.100213" TargetMode="External" Id="rId2032"/><Relationship Type="http://schemas.openxmlformats.org/officeDocument/2006/relationships/hyperlink" Target="https://doi.org/10.1016/j.ibmed.2025.100213" TargetMode="External" Id="rId2033"/><Relationship Type="http://schemas.openxmlformats.org/officeDocument/2006/relationships/hyperlink" Target="https://doi.org/10.1016/j.ibmed.2025.100213" TargetMode="External" Id="rId2034"/><Relationship Type="http://schemas.openxmlformats.org/officeDocument/2006/relationships/hyperlink" Target="https://doi.org/10.1016/j.engappai.2025.110430" TargetMode="External" Id="rId2035"/><Relationship Type="http://schemas.openxmlformats.org/officeDocument/2006/relationships/hyperlink" Target="https://doi.org/10.1016/j.engappai.2025.110430" TargetMode="External" Id="rId2036"/><Relationship Type="http://schemas.openxmlformats.org/officeDocument/2006/relationships/hyperlink" Target="https://doi.org/10.1016/j.engappai.2025.110430" TargetMode="External" Id="rId2037"/><Relationship Type="http://schemas.openxmlformats.org/officeDocument/2006/relationships/hyperlink" Target="https://doi.org/10.1016/j.engappai.2025.110430" TargetMode="External" Id="rId2038"/><Relationship Type="http://schemas.openxmlformats.org/officeDocument/2006/relationships/hyperlink" Target="https://doi.org/10.1016/j.engappai.2025.110430" TargetMode="External" Id="rId2039"/><Relationship Type="http://schemas.openxmlformats.org/officeDocument/2006/relationships/hyperlink" Target="https://doi.org/10.1016/j.lfs.2025.123531" TargetMode="External" Id="rId2040"/><Relationship Type="http://schemas.openxmlformats.org/officeDocument/2006/relationships/hyperlink" Target="https://doi.org/10.1016/j.lfs.2025.123531" TargetMode="External" Id="rId2041"/><Relationship Type="http://schemas.openxmlformats.org/officeDocument/2006/relationships/hyperlink" Target="https://doi.org/10.1016/j.lfs.2025.123531" TargetMode="External" Id="rId2042"/><Relationship Type="http://schemas.openxmlformats.org/officeDocument/2006/relationships/hyperlink" Target="https://doi.org/10.1016/j.bspc.2024.107433" TargetMode="External" Id="rId2043"/><Relationship Type="http://schemas.openxmlformats.org/officeDocument/2006/relationships/hyperlink" Target="https://doi.org/10.1016/j.bspc.2024.107433" TargetMode="External" Id="rId2044"/><Relationship Type="http://schemas.openxmlformats.org/officeDocument/2006/relationships/hyperlink" Target="https://doi.org/10.1016/j.bspc.2024.107433" TargetMode="External" Id="rId2045"/><Relationship Type="http://schemas.openxmlformats.org/officeDocument/2006/relationships/hyperlink" Target="https://doi.org/10.1016/j.bspc.2024.107433" TargetMode="External" Id="rId2046"/><Relationship Type="http://schemas.openxmlformats.org/officeDocument/2006/relationships/hyperlink" Target="https://doi.org/10.1016/j.neucom.2025.130353" TargetMode="External" Id="rId2047"/><Relationship Type="http://schemas.openxmlformats.org/officeDocument/2006/relationships/hyperlink" Target="https://doi.org/10.1016/j.neucom.2025.130353" TargetMode="External" Id="rId2048"/><Relationship Type="http://schemas.openxmlformats.org/officeDocument/2006/relationships/hyperlink" Target="https://doi.org/10.1016/j.neucom.2025.130353" TargetMode="External" Id="rId2049"/><Relationship Type="http://schemas.openxmlformats.org/officeDocument/2006/relationships/hyperlink" Target="https://doi.org/10.1016/j.compbiomed.2025.109926" TargetMode="External" Id="rId2050"/><Relationship Type="http://schemas.openxmlformats.org/officeDocument/2006/relationships/hyperlink" Target="https://doi.org/10.1016/j.compbiomed.2025.109926" TargetMode="External" Id="rId2051"/><Relationship Type="http://schemas.openxmlformats.org/officeDocument/2006/relationships/hyperlink" Target="https://doi.org/10.1016/j.compbiomed.2025.109926" TargetMode="External" Id="rId2052"/><Relationship Type="http://schemas.openxmlformats.org/officeDocument/2006/relationships/hyperlink" Target="https://doi.org/10.1016/j.compbiomed.2025.110038" TargetMode="External" Id="rId2053"/><Relationship Type="http://schemas.openxmlformats.org/officeDocument/2006/relationships/hyperlink" Target="https://doi.org/10.1016/j.compbiomed.2025.110038" TargetMode="External" Id="rId2054"/><Relationship Type="http://schemas.openxmlformats.org/officeDocument/2006/relationships/hyperlink" Target="https://doi.org/10.1016/j.compbiomed.2025.110038" TargetMode="External" Id="rId2055"/><Relationship Type="http://schemas.openxmlformats.org/officeDocument/2006/relationships/hyperlink" Target="https://doi.org/10.1016/j.compbiomed.2025.110038" TargetMode="External" Id="rId2056"/><Relationship Type="http://schemas.openxmlformats.org/officeDocument/2006/relationships/hyperlink" Target="https://doi.org/10.1016/j.compbiomed.2025.110038" TargetMode="External" Id="rId2057"/><Relationship Type="http://schemas.openxmlformats.org/officeDocument/2006/relationships/hyperlink" Target="https://doi.org/10.1016/j.neunet.2025.107337" TargetMode="External" Id="rId2058"/><Relationship Type="http://schemas.openxmlformats.org/officeDocument/2006/relationships/hyperlink" Target="https://doi.org/10.1016/j.neunet.2025.107337" TargetMode="External" Id="rId2059"/><Relationship Type="http://schemas.openxmlformats.org/officeDocument/2006/relationships/hyperlink" Target="https://doi.org/10.1016/j.neunet.2025.107337" TargetMode="External" Id="rId2060"/><Relationship Type="http://schemas.openxmlformats.org/officeDocument/2006/relationships/hyperlink" Target="https://doi.org/10.1016/j.eswa.2025.128884" TargetMode="External" Id="rId2061"/><Relationship Type="http://schemas.openxmlformats.org/officeDocument/2006/relationships/hyperlink" Target="https://doi.org/10.1016/j.eswa.2025.128884" TargetMode="External" Id="rId2062"/><Relationship Type="http://schemas.openxmlformats.org/officeDocument/2006/relationships/hyperlink" Target="https://doi.org/10.1016/j.eswa.2025.128884" TargetMode="External" Id="rId2063"/><Relationship Type="http://schemas.openxmlformats.org/officeDocument/2006/relationships/hyperlink" Target="https://doi.org/10.1016/j.eswa.2025.128884" TargetMode="External" Id="rId2064"/><Relationship Type="http://schemas.openxmlformats.org/officeDocument/2006/relationships/hyperlink" Target="https://doi.org/10.1016/j.eswa.2025.128884" TargetMode="External" Id="rId2065"/><Relationship Type="http://schemas.openxmlformats.org/officeDocument/2006/relationships/hyperlink" Target="https://doi.org/10.1016/j.pscychresns.2025.111970" TargetMode="External" Id="rId2066"/><Relationship Type="http://schemas.openxmlformats.org/officeDocument/2006/relationships/hyperlink" Target="https://doi.org/10.1016/j.pscychresns.2025.111970" TargetMode="External" Id="rId2067"/><Relationship Type="http://schemas.openxmlformats.org/officeDocument/2006/relationships/hyperlink" Target="https://doi.org/10.1016/j.pscychresns.2025.111970" TargetMode="External" Id="rId2068"/><Relationship Type="http://schemas.openxmlformats.org/officeDocument/2006/relationships/hyperlink" Target="https://doi.org/10.1016/j.etdah.2025.100176" TargetMode="External" Id="rId2069"/><Relationship Type="http://schemas.openxmlformats.org/officeDocument/2006/relationships/hyperlink" Target="https://doi.org/10.1016/j.etdah.2025.100176" TargetMode="External" Id="rId2070"/><Relationship Type="http://schemas.openxmlformats.org/officeDocument/2006/relationships/hyperlink" Target="https://doi.org/10.1016/j.etdah.2025.100176" TargetMode="External" Id="rId2071"/><Relationship Type="http://schemas.openxmlformats.org/officeDocument/2006/relationships/hyperlink" Target="https://doi.org/10.1016/j.etdah.2025.100176" TargetMode="External" Id="rId2072"/><Relationship Type="http://schemas.openxmlformats.org/officeDocument/2006/relationships/hyperlink" Target="https://doi.org/10.1016/j.etdah.2025.100176" TargetMode="External" Id="rId2073"/><Relationship Type="http://schemas.openxmlformats.org/officeDocument/2006/relationships/hyperlink" Target="https://doi.org/10.1016/j.etdah.2025.100176" TargetMode="External" Id="rId2074"/><Relationship Type="http://schemas.openxmlformats.org/officeDocument/2006/relationships/hyperlink" Target="https://doi.org/10.1016/j.etdah.2025.100176" TargetMode="External" Id="rId2075"/><Relationship Type="http://schemas.openxmlformats.org/officeDocument/2006/relationships/hyperlink" Target="https://doi.org/10.1016/j.bspc.2025.108020" TargetMode="External" Id="rId2076"/><Relationship Type="http://schemas.openxmlformats.org/officeDocument/2006/relationships/hyperlink" Target="https://doi.org/10.1016/j.bspc.2025.108020" TargetMode="External" Id="rId2077"/><Relationship Type="http://schemas.openxmlformats.org/officeDocument/2006/relationships/hyperlink" Target="https://doi.org/10.1016/j.bspc.2025.108020" TargetMode="External" Id="rId2078"/><Relationship Type="http://schemas.openxmlformats.org/officeDocument/2006/relationships/hyperlink" Target="https://doi.org/10.1016/j.bspc.2025.108020" TargetMode="External" Id="rId2079"/><Relationship Type="http://schemas.openxmlformats.org/officeDocument/2006/relationships/hyperlink" Target="https://doi.org/10.1016/j.neuroscience.2025.08.001" TargetMode="External" Id="rId2080"/><Relationship Type="http://schemas.openxmlformats.org/officeDocument/2006/relationships/hyperlink" Target="https://doi.org/10.1016/j.neuroscience.2025.08.001" TargetMode="External" Id="rId2081"/><Relationship Type="http://schemas.openxmlformats.org/officeDocument/2006/relationships/hyperlink" Target="https://doi.org/10.1016/j.neuroscience.2025.08.001" TargetMode="External" Id="rId2082"/><Relationship Type="http://schemas.openxmlformats.org/officeDocument/2006/relationships/hyperlink" Target="https://doi.org/10.1016/j.jgg.2025.07.008" TargetMode="External" Id="rId2083"/><Relationship Type="http://schemas.openxmlformats.org/officeDocument/2006/relationships/hyperlink" Target="https://doi.org/10.1016/j.jgg.2025.07.008" TargetMode="External" Id="rId2084"/><Relationship Type="http://schemas.openxmlformats.org/officeDocument/2006/relationships/hyperlink" Target="https://doi.org/10.1016/j.jgg.2025.07.008" TargetMode="External" Id="rId2085"/><Relationship Type="http://schemas.openxmlformats.org/officeDocument/2006/relationships/hyperlink" Target="https://doi.org/10.1016/j.compbiolchem.2025.108619" TargetMode="External" Id="rId2086"/><Relationship Type="http://schemas.openxmlformats.org/officeDocument/2006/relationships/hyperlink" Target="https://doi.org/10.1016/j.compbiolchem.2025.108619" TargetMode="External" Id="rId2087"/><Relationship Type="http://schemas.openxmlformats.org/officeDocument/2006/relationships/hyperlink" Target="https://doi.org/10.1016/j.compbiolchem.2025.108619" TargetMode="External" Id="rId2088"/><Relationship Type="http://schemas.openxmlformats.org/officeDocument/2006/relationships/hyperlink" Target="https://doi.org/10.1016/j.compbiolchem.2025.108619" TargetMode="External" Id="rId2089"/><Relationship Type="http://schemas.openxmlformats.org/officeDocument/2006/relationships/hyperlink" Target="https://doi.org/10.1016/j.compbiolchem.2025.108619" TargetMode="External" Id="rId2090"/><Relationship Type="http://schemas.openxmlformats.org/officeDocument/2006/relationships/hyperlink" Target="https://doi.org/10.1016/j.brainres.2025.149904" TargetMode="External" Id="rId2091"/><Relationship Type="http://schemas.openxmlformats.org/officeDocument/2006/relationships/hyperlink" Target="https://doi.org/10.1016/j.brainres.2025.149904" TargetMode="External" Id="rId2092"/><Relationship Type="http://schemas.openxmlformats.org/officeDocument/2006/relationships/hyperlink" Target="https://doi.org/10.1016/j.brainres.2025.149904" TargetMode="External" Id="rId2093"/><Relationship Type="http://schemas.openxmlformats.org/officeDocument/2006/relationships/hyperlink" Target="https://doi.org/10.32604/cmc.2025.067784" TargetMode="External" Id="rId2094"/><Relationship Type="http://schemas.openxmlformats.org/officeDocument/2006/relationships/hyperlink" Target="https://doi.org/10.32604/cmc.2025.067784" TargetMode="External" Id="rId2095"/><Relationship Type="http://schemas.openxmlformats.org/officeDocument/2006/relationships/hyperlink" Target="https://doi.org/10.32604/cmc.2025.067784" TargetMode="External" Id="rId2096"/><Relationship Type="http://schemas.openxmlformats.org/officeDocument/2006/relationships/hyperlink" Target="https://doi.org/10.32604/cmc.2025.067784" TargetMode="External" Id="rId2097"/><Relationship Type="http://schemas.openxmlformats.org/officeDocument/2006/relationships/hyperlink" Target="https://doi.org/10.1016/j.mri.2025.110492" TargetMode="External" Id="rId2098"/><Relationship Type="http://schemas.openxmlformats.org/officeDocument/2006/relationships/hyperlink" Target="https://doi.org/10.1016/j.mri.2025.110492" TargetMode="External" Id="rId2099"/><Relationship Type="http://schemas.openxmlformats.org/officeDocument/2006/relationships/hyperlink" Target="https://doi.org/10.1016/j.mri.2025.110492" TargetMode="External" Id="rId2100"/><Relationship Type="http://schemas.openxmlformats.org/officeDocument/2006/relationships/hyperlink" Target="https://doi.org/10.1016/j.patcog.2025.112906" TargetMode="External" Id="rId2101"/><Relationship Type="http://schemas.openxmlformats.org/officeDocument/2006/relationships/hyperlink" Target="https://doi.org/10.1016/j.patcog.2025.112906" TargetMode="External" Id="rId2102"/><Relationship Type="http://schemas.openxmlformats.org/officeDocument/2006/relationships/hyperlink" Target="https://doi.org/10.1016/j.patcog.2025.112906" TargetMode="External" Id="rId2103"/><Relationship Type="http://schemas.openxmlformats.org/officeDocument/2006/relationships/hyperlink" Target="https://doi.org/10.1016/j.patcog.2025.112906" TargetMode="External" Id="rId2104"/><Relationship Type="http://schemas.openxmlformats.org/officeDocument/2006/relationships/hyperlink" Target="https://doi.org/10.1016/j.ajp.2025.104798" TargetMode="External" Id="rId2105"/><Relationship Type="http://schemas.openxmlformats.org/officeDocument/2006/relationships/hyperlink" Target="https://doi.org/10.1016/j.ajp.2025.104798" TargetMode="External" Id="rId2106"/><Relationship Type="http://schemas.openxmlformats.org/officeDocument/2006/relationships/hyperlink" Target="https://doi.org/10.1016/j.ajp.2025.104798" TargetMode="External" Id="rId2107"/><Relationship Type="http://schemas.openxmlformats.org/officeDocument/2006/relationships/hyperlink" Target="https://doi.org/10.1016/j.ajp.2025.104798" TargetMode="External" Id="rId2108"/><Relationship Type="http://schemas.openxmlformats.org/officeDocument/2006/relationships/hyperlink" Target="https://doi.org/10.1016/j.ajp.2025.104798" TargetMode="External" Id="rId2109"/><Relationship Type="http://schemas.openxmlformats.org/officeDocument/2006/relationships/hyperlink" Target="https://doi.org/10.1016/j.ajp.2025.104798" TargetMode="External" Id="rId2110"/><Relationship Type="http://schemas.openxmlformats.org/officeDocument/2006/relationships/hyperlink" Target="https://doi.org/10.1016/j.compbiomed.2026.111719" TargetMode="External" Id="rId2111"/><Relationship Type="http://schemas.openxmlformats.org/officeDocument/2006/relationships/hyperlink" Target="https://doi.org/10.1016/j.compbiomed.2026.111719" TargetMode="External" Id="rId2112"/><Relationship Type="http://schemas.openxmlformats.org/officeDocument/2006/relationships/hyperlink" Target="https://doi.org/10.1016/j.compbiomed.2026.111719" TargetMode="External" Id="rId2113"/><Relationship Type="http://schemas.openxmlformats.org/officeDocument/2006/relationships/hyperlink" Target="https://doi.org/10.1016/j.compbiomed.2026.111719" TargetMode="External" Id="rId2114"/><Relationship Type="http://schemas.openxmlformats.org/officeDocument/2006/relationships/hyperlink" Target="https://doi.org/10.1016/j.compbiomed.2026.111719" TargetMode="External" Id="rId2115"/><Relationship Type="http://schemas.openxmlformats.org/officeDocument/2006/relationships/hyperlink" Target="https://doi.org/10.1016/j.bspc.2025.109180" TargetMode="External" Id="rId2116"/><Relationship Type="http://schemas.openxmlformats.org/officeDocument/2006/relationships/hyperlink" Target="https://doi.org/10.1016/j.bspc.2025.109180" TargetMode="External" Id="rId2117"/><Relationship Type="http://schemas.openxmlformats.org/officeDocument/2006/relationships/hyperlink" Target="https://doi.org/10.1016/j.bspc.2025.109180" TargetMode="External" Id="rId2118"/><Relationship Type="http://schemas.openxmlformats.org/officeDocument/2006/relationships/hyperlink" Target="https://doi.org/10.1016/j.ajp.2026.104830" TargetMode="External" Id="rId2119"/><Relationship Type="http://schemas.openxmlformats.org/officeDocument/2006/relationships/hyperlink" Target="https://doi.org/10.1016/j.ajp.2026.104830" TargetMode="External" Id="rId2120"/><Relationship Type="http://schemas.openxmlformats.org/officeDocument/2006/relationships/hyperlink" Target="https://doi.org/10.1016/j.ajp.2026.104830" TargetMode="External" Id="rId2121"/><Relationship Type="http://schemas.openxmlformats.org/officeDocument/2006/relationships/hyperlink" Target="https://doi.org/10.1016/j.ijhcs.2025.103696" TargetMode="External" Id="rId2122"/><Relationship Type="http://schemas.openxmlformats.org/officeDocument/2006/relationships/hyperlink" Target="https://doi.org/10.1016/j.ijhcs.2025.103696" TargetMode="External" Id="rId2123"/><Relationship Type="http://schemas.openxmlformats.org/officeDocument/2006/relationships/hyperlink" Target="https://doi.org/10.1016/j.ijhcs.2025.103696" TargetMode="External" Id="rId2124"/><Relationship Type="http://schemas.openxmlformats.org/officeDocument/2006/relationships/hyperlink" Target="https://doi.org/10.1016/j.ijhcs.2025.103696" TargetMode="External" Id="rId2125"/><Relationship Type="http://schemas.openxmlformats.org/officeDocument/2006/relationships/hyperlink" Target="https://doi.org/10.1016/j.ijhcs.2025.103696" TargetMode="External" Id="rId2126"/><Relationship Type="http://schemas.openxmlformats.org/officeDocument/2006/relationships/hyperlink" Target="https://doi.org/10.1016/j.procs.2026.06.363" TargetMode="External" Id="rId2127"/><Relationship Type="http://schemas.openxmlformats.org/officeDocument/2006/relationships/hyperlink" Target="https://doi.org/10.1016/j.procs.2026.06.363" TargetMode="External" Id="rId2128"/><Relationship Type="http://schemas.openxmlformats.org/officeDocument/2006/relationships/hyperlink" Target="https://doi.org/10.1016/j.procs.2026.06.363" TargetMode="External" Id="rId2129"/><Relationship Type="http://schemas.openxmlformats.org/officeDocument/2006/relationships/hyperlink" Target="https://doi.org/10.1016/j.procs.2026.06.363" TargetMode="External" Id="rId2130"/><Relationship Type="http://schemas.openxmlformats.org/officeDocument/2006/relationships/hyperlink" Target="https://doi.org/10.1016/j.procs.2026.06.363" TargetMode="External" Id="rId2131"/><Relationship Type="http://schemas.openxmlformats.org/officeDocument/2006/relationships/hyperlink" Target="https://doi.org/10.1016/j.jpsychires.2026.03.043" TargetMode="External" Id="rId2132"/><Relationship Type="http://schemas.openxmlformats.org/officeDocument/2006/relationships/hyperlink" Target="https://doi.org/10.1016/j.jpsychires.2026.03.043" TargetMode="External" Id="rId2133"/><Relationship Type="http://schemas.openxmlformats.org/officeDocument/2006/relationships/hyperlink" Target="https://doi.org/10.1016/j.jpsychires.2026.03.043" TargetMode="External" Id="rId2134"/><Relationship Type="http://schemas.openxmlformats.org/officeDocument/2006/relationships/hyperlink" Target="https://doi.org/10.1016/j.jpsychires.2026.03.043" TargetMode="External" Id="rId2135"/><Relationship Type="http://schemas.openxmlformats.org/officeDocument/2006/relationships/hyperlink" Target="https://doi.org/10.1016/j.jpsychires.2026.03.043" TargetMode="External" Id="rId2136"/><Relationship Type="http://schemas.openxmlformats.org/officeDocument/2006/relationships/hyperlink" Target="https://doi.org/10.1016/j.bspc.2025.108976" TargetMode="External" Id="rId2137"/><Relationship Type="http://schemas.openxmlformats.org/officeDocument/2006/relationships/hyperlink" Target="https://doi.org/10.1016/j.bspc.2025.108976" TargetMode="External" Id="rId2138"/><Relationship Type="http://schemas.openxmlformats.org/officeDocument/2006/relationships/hyperlink" Target="https://doi.org/10.1016/j.bspc.2025.108976" TargetMode="External" Id="rId2139"/><Relationship Type="http://schemas.openxmlformats.org/officeDocument/2006/relationships/hyperlink" Target="https://doi.org/10.1016/j.bspc.2025.108976" TargetMode="External" Id="rId2140"/><Relationship Type="http://schemas.openxmlformats.org/officeDocument/2006/relationships/hyperlink" Target="https://doi.org/10.1044/2026_ajslp-25-00469" TargetMode="External" Id="rId2141"/><Relationship Type="http://schemas.openxmlformats.org/officeDocument/2006/relationships/hyperlink" Target="https://doi.org/10.1044/2026_ajslp-25-00469" TargetMode="External" Id="rId2142"/><Relationship Type="http://schemas.openxmlformats.org/officeDocument/2006/relationships/hyperlink" Target="https://doi.org/10.1044/2026_ajslp-25-00469" TargetMode="External" Id="rId2143"/><Relationship Type="http://schemas.openxmlformats.org/officeDocument/2006/relationships/hyperlink" Target="https://doi.org/10.1044/2026_ajslp-25-00469" TargetMode="External" Id="rId2144"/><Relationship Type="http://schemas.openxmlformats.org/officeDocument/2006/relationships/hyperlink" Target="https://doi.org/10.1044/2026_ajslp-25-00469" TargetMode="External" Id="rId2145"/><Relationship Type="http://schemas.openxmlformats.org/officeDocument/2006/relationships/hyperlink" Target="https://doi.org/10.1007/s00381-025-07119-2" TargetMode="External" Id="rId2146"/><Relationship Type="http://schemas.openxmlformats.org/officeDocument/2006/relationships/hyperlink" Target="https://doi.org/10.1007/s00381-025-07119-2" TargetMode="External" Id="rId2147"/><Relationship Type="http://schemas.openxmlformats.org/officeDocument/2006/relationships/hyperlink" Target="https://doi.org/10.1007/s00381-025-07119-2" TargetMode="External" Id="rId2148"/><Relationship Type="http://schemas.openxmlformats.org/officeDocument/2006/relationships/hyperlink" Target="https://doi.org/10.1007/s00381-025-07119-2" TargetMode="External" Id="rId2149"/><Relationship Type="http://schemas.openxmlformats.org/officeDocument/2006/relationships/hyperlink" Target="https://doi.org/10.1007/s13246-025-01681-4" TargetMode="External" Id="rId2150"/><Relationship Type="http://schemas.openxmlformats.org/officeDocument/2006/relationships/hyperlink" Target="https://doi.org/10.1007/s13246-025-01681-4" TargetMode="External" Id="rId2151"/><Relationship Type="http://schemas.openxmlformats.org/officeDocument/2006/relationships/hyperlink" Target="https://doi.org/10.1007/s13246-025-01681-4" TargetMode="External" Id="rId2152"/><Relationship Type="http://schemas.openxmlformats.org/officeDocument/2006/relationships/hyperlink" Target="https://doi.org/10.1007/s13246-025-01681-4" TargetMode="External" Id="rId2153"/><Relationship Type="http://schemas.openxmlformats.org/officeDocument/2006/relationships/hyperlink" Target="https://doi.org/10.1007/s11517-026-03530-2" TargetMode="External" Id="rId2154"/><Relationship Type="http://schemas.openxmlformats.org/officeDocument/2006/relationships/hyperlink" Target="https://doi.org/10.1007/s11517-026-03530-2" TargetMode="External" Id="rId2155"/><Relationship Type="http://schemas.openxmlformats.org/officeDocument/2006/relationships/hyperlink" Target="https://doi.org/10.1007/s11517-026-03530-2" TargetMode="External" Id="rId2156"/><Relationship Type="http://schemas.openxmlformats.org/officeDocument/2006/relationships/hyperlink" Target="https://doi.org/10.1007/s11517-026-03530-2" TargetMode="External" Id="rId2157"/><Relationship Type="http://schemas.openxmlformats.org/officeDocument/2006/relationships/hyperlink" Target="https://doi.org/10.1016/j.bbr.2026.116220" TargetMode="External" Id="rId2158"/><Relationship Type="http://schemas.openxmlformats.org/officeDocument/2006/relationships/hyperlink" Target="https://doi.org/10.1016/j.bbr.2026.116220" TargetMode="External" Id="rId2159"/><Relationship Type="http://schemas.openxmlformats.org/officeDocument/2006/relationships/hyperlink" Target="https://doi.org/10.1016/j.bbr.2026.116220" TargetMode="External" Id="rId2160"/><Relationship Type="http://schemas.openxmlformats.org/officeDocument/2006/relationships/hyperlink" Target="https://doi.org/10.1016/j.eswa.2025.130671" TargetMode="External" Id="rId2161"/><Relationship Type="http://schemas.openxmlformats.org/officeDocument/2006/relationships/hyperlink" Target="https://doi.org/10.1016/j.eswa.2025.130671" TargetMode="External" Id="rId2162"/><Relationship Type="http://schemas.openxmlformats.org/officeDocument/2006/relationships/hyperlink" Target="https://doi.org/10.1016/j.eswa.2025.130671" TargetMode="External" Id="rId2163"/><Relationship Type="http://schemas.openxmlformats.org/officeDocument/2006/relationships/hyperlink" Target="https://doi.org/10.1111/pcn.70065" TargetMode="External" Id="rId2164"/><Relationship Type="http://schemas.openxmlformats.org/officeDocument/2006/relationships/hyperlink" Target="https://doi.org/10.1111/pcn.70065" TargetMode="External" Id="rId2165"/><Relationship Type="http://schemas.openxmlformats.org/officeDocument/2006/relationships/hyperlink" Target="https://doi.org/10.1111/pcn.70065" TargetMode="External" Id="rId2166"/><Relationship Type="http://schemas.openxmlformats.org/officeDocument/2006/relationships/hyperlink" Target="https://doi.org/10.1111/pcn.70065" TargetMode="External" Id="rId2167"/><Relationship Type="http://schemas.openxmlformats.org/officeDocument/2006/relationships/hyperlink" Target="https://doi.org/10.1002/dneu.70028" TargetMode="External" Id="rId2168"/><Relationship Type="http://schemas.openxmlformats.org/officeDocument/2006/relationships/hyperlink" Target="https://doi.org/10.1002/dneu.70028" TargetMode="External" Id="rId2169"/><Relationship Type="http://schemas.openxmlformats.org/officeDocument/2006/relationships/hyperlink" Target="https://doi.org/10.1002/dneu.70028" TargetMode="External" Id="rId2170"/><Relationship Type="http://schemas.openxmlformats.org/officeDocument/2006/relationships/hyperlink" Target="https://doi.org/10.1002/dneu.70028" TargetMode="External" Id="rId2171"/><Relationship Type="http://schemas.openxmlformats.org/officeDocument/2006/relationships/hyperlink" Target="https://doi.org/10.1016/j.pscychresns.2025.112109" TargetMode="External" Id="rId2172"/><Relationship Type="http://schemas.openxmlformats.org/officeDocument/2006/relationships/hyperlink" Target="https://doi.org/10.1016/j.pscychresns.2025.112109" TargetMode="External" Id="rId2173"/><Relationship Type="http://schemas.openxmlformats.org/officeDocument/2006/relationships/hyperlink" Target="https://doi.org/10.1016/j.pscychresns.2025.112109" TargetMode="External" Id="rId2174"/><Relationship Type="http://schemas.openxmlformats.org/officeDocument/2006/relationships/hyperlink" Target="https://doi.org/10.1002/ima.70326" TargetMode="External" Id="rId2175"/><Relationship Type="http://schemas.openxmlformats.org/officeDocument/2006/relationships/hyperlink" Target="https://doi.org/10.1002/ima.70326" TargetMode="External" Id="rId2176"/><Relationship Type="http://schemas.openxmlformats.org/officeDocument/2006/relationships/hyperlink" Target="https://doi.org/10.1002/ima.70326" TargetMode="External" Id="rId2177"/><Relationship Type="http://schemas.openxmlformats.org/officeDocument/2006/relationships/hyperlink" Target="https://doi.org/10.1002/ima.70326" TargetMode="External" Id="rId2178"/><Relationship Type="http://schemas.openxmlformats.org/officeDocument/2006/relationships/hyperlink" Target="https://doi.org/10.1002/ima.70326" TargetMode="External" Id="rId2179"/><Relationship Type="http://schemas.openxmlformats.org/officeDocument/2006/relationships/hyperlink" Target="https://doi.org/10.1111/coin.70158" TargetMode="External" Id="rId2180"/><Relationship Type="http://schemas.openxmlformats.org/officeDocument/2006/relationships/hyperlink" Target="https://doi.org/10.1111/coin.70158" TargetMode="External" Id="rId2181"/><Relationship Type="http://schemas.openxmlformats.org/officeDocument/2006/relationships/hyperlink" Target="https://doi.org/10.1111/coin.70158" TargetMode="External" Id="rId2182"/><Relationship Type="http://schemas.openxmlformats.org/officeDocument/2006/relationships/hyperlink" Target="https://doi.org/10.1111/coin.70158" TargetMode="External" Id="rId2183"/><Relationship Type="http://schemas.openxmlformats.org/officeDocument/2006/relationships/hyperlink" Target="https://doi.org/10.1049/cvi2.70078" TargetMode="External" Id="rId2184"/><Relationship Type="http://schemas.openxmlformats.org/officeDocument/2006/relationships/hyperlink" Target="https://doi.org/10.1049/cvi2.70078" TargetMode="External" Id="rId2185"/><Relationship Type="http://schemas.openxmlformats.org/officeDocument/2006/relationships/hyperlink" Target="https://doi.org/10.1049/cvi2.70078" TargetMode="External" Id="rId2186"/><Relationship Type="http://schemas.openxmlformats.org/officeDocument/2006/relationships/hyperlink" Target="https://doi.org/10.1049/cvi2.70078" TargetMode="External" Id="rId2187"/><Relationship Type="http://schemas.openxmlformats.org/officeDocument/2006/relationships/hyperlink" Target="https://doi.org/10.1016/j.jpsychires.2026.05.015" TargetMode="External" Id="rId2188"/><Relationship Type="http://schemas.openxmlformats.org/officeDocument/2006/relationships/hyperlink" Target="https://doi.org/10.1016/j.jpsychires.2026.05.015" TargetMode="External" Id="rId2189"/><Relationship Type="http://schemas.openxmlformats.org/officeDocument/2006/relationships/hyperlink" Target="https://doi.org/10.1016/j.jpsychires.2026.05.015" TargetMode="External" Id="rId2190"/><Relationship Type="http://schemas.openxmlformats.org/officeDocument/2006/relationships/hyperlink" Target="https://doi.org/10.1016/j.jpsychires.2026.05.015" TargetMode="External" Id="rId2191"/><Relationship Type="http://schemas.openxmlformats.org/officeDocument/2006/relationships/hyperlink" Target="https://doi.org/10.1016/j.jpsychires.2026.05.015" TargetMode="External" Id="rId2192"/><Relationship Type="http://schemas.openxmlformats.org/officeDocument/2006/relationships/hyperlink" Target="https://doi.org/10.1016/j.health.2025.100439" TargetMode="External" Id="rId2193"/><Relationship Type="http://schemas.openxmlformats.org/officeDocument/2006/relationships/hyperlink" Target="https://doi.org/10.1016/j.health.2025.100439" TargetMode="External" Id="rId2194"/><Relationship Type="http://schemas.openxmlformats.org/officeDocument/2006/relationships/hyperlink" Target="https://doi.org/10.1016/j.health.2025.100439" TargetMode="External" Id="rId2195"/><Relationship Type="http://schemas.openxmlformats.org/officeDocument/2006/relationships/hyperlink" Target="https://doi.org/10.1016/j.health.2025.100439" TargetMode="External" Id="rId2196"/><Relationship Type="http://schemas.openxmlformats.org/officeDocument/2006/relationships/hyperlink" Target="https://doi.org/10.1096/fj.202600019r" TargetMode="External" Id="rId2197"/><Relationship Type="http://schemas.openxmlformats.org/officeDocument/2006/relationships/hyperlink" Target="https://doi.org/10.1096/fj.202600019r" TargetMode="External" Id="rId2198"/><Relationship Type="http://schemas.openxmlformats.org/officeDocument/2006/relationships/hyperlink" Target="https://doi.org/10.1096/fj.202600019r" TargetMode="External" Id="rId2199"/><Relationship Type="http://schemas.openxmlformats.org/officeDocument/2006/relationships/hyperlink" Target="https://doi.org/10.1002/jdn.70158" TargetMode="External" Id="rId2200"/><Relationship Type="http://schemas.openxmlformats.org/officeDocument/2006/relationships/hyperlink" Target="https://doi.org/10.1002/jdn.70158" TargetMode="External" Id="rId2201"/><Relationship Type="http://schemas.openxmlformats.org/officeDocument/2006/relationships/hyperlink" Target="https://doi.org/10.1002/jdn.70158" TargetMode="External" Id="rId2202"/><Relationship Type="http://schemas.openxmlformats.org/officeDocument/2006/relationships/hyperlink" Target="https://doi.org/10.1002/jdn.70158" TargetMode="External" Id="rId2203"/><Relationship Type="http://schemas.openxmlformats.org/officeDocument/2006/relationships/hyperlink" Target="https://doi.org/10.1111/coin.70131" TargetMode="External" Id="rId2204"/><Relationship Type="http://schemas.openxmlformats.org/officeDocument/2006/relationships/hyperlink" Target="https://doi.org/10.1111/coin.70131" TargetMode="External" Id="rId2205"/><Relationship Type="http://schemas.openxmlformats.org/officeDocument/2006/relationships/hyperlink" Target="https://doi.org/10.1111/coin.70131" TargetMode="External" Id="rId2206"/><Relationship Type="http://schemas.openxmlformats.org/officeDocument/2006/relationships/hyperlink" Target="https://doi.org/10.1111/coin.70131" TargetMode="External" Id="rId2207"/><Relationship Type="http://schemas.openxmlformats.org/officeDocument/2006/relationships/hyperlink" Target="https://doi.org/10.1016/j.pscychresns.2026.112251" TargetMode="External" Id="rId2208"/><Relationship Type="http://schemas.openxmlformats.org/officeDocument/2006/relationships/hyperlink" Target="https://doi.org/10.1016/j.pscychresns.2026.112251" TargetMode="External" Id="rId2209"/><Relationship Type="http://schemas.openxmlformats.org/officeDocument/2006/relationships/hyperlink" Target="https://doi.org/10.1016/j.pscychresns.2026.112251" TargetMode="External" Id="rId2210"/><Relationship Type="http://schemas.openxmlformats.org/officeDocument/2006/relationships/hyperlink" Target="https://doi.org/10.1016/j.pscychresns.2026.112251" TargetMode="External" Id="rId2211"/><Relationship Type="http://schemas.openxmlformats.org/officeDocument/2006/relationships/hyperlink" Target="https://doi.org/10.1016/j.pscychresns.2026.112251" TargetMode="External" Id="rId2212"/><Relationship Type="http://schemas.openxmlformats.org/officeDocument/2006/relationships/hyperlink" Target="https://doi.org/10.1016/j.compbiomed.2025.111238" TargetMode="External" Id="rId2213"/><Relationship Type="http://schemas.openxmlformats.org/officeDocument/2006/relationships/hyperlink" Target="https://doi.org/10.1016/j.compbiomed.2025.111238" TargetMode="External" Id="rId2214"/><Relationship Type="http://schemas.openxmlformats.org/officeDocument/2006/relationships/hyperlink" Target="https://doi.org/10.1016/j.compbiomed.2025.111238" TargetMode="External" Id="rId2215"/><Relationship Type="http://schemas.openxmlformats.org/officeDocument/2006/relationships/hyperlink" Target="https://doi.org/10.1002/dneu.70047" TargetMode="External" Id="rId2216"/><Relationship Type="http://schemas.openxmlformats.org/officeDocument/2006/relationships/hyperlink" Target="https://doi.org/10.1002/dneu.70047" TargetMode="External" Id="rId2217"/><Relationship Type="http://schemas.openxmlformats.org/officeDocument/2006/relationships/hyperlink" Target="https://doi.org/10.1002/dneu.70047" TargetMode="External" Id="rId2218"/><Relationship Type="http://schemas.openxmlformats.org/officeDocument/2006/relationships/hyperlink" Target="https://doi.org/10.1002/dneu.70047" TargetMode="External" Id="rId2219"/><Relationship Type="http://schemas.openxmlformats.org/officeDocument/2006/relationships/hyperlink" Target="https://doi.org/10.1002/dneu.70047" TargetMode="External" Id="rId2220"/><Relationship Type="http://schemas.openxmlformats.org/officeDocument/2006/relationships/hyperlink" Target="https://doi.org/10.1002/aur.70105" TargetMode="External" Id="rId2221"/><Relationship Type="http://schemas.openxmlformats.org/officeDocument/2006/relationships/hyperlink" Target="https://doi.org/10.1002/aur.70105" TargetMode="External" Id="rId2222"/><Relationship Type="http://schemas.openxmlformats.org/officeDocument/2006/relationships/hyperlink" Target="https://doi.org/10.1002/aur.70105" TargetMode="External" Id="rId2223"/><Relationship Type="http://schemas.openxmlformats.org/officeDocument/2006/relationships/hyperlink" Target="https://doi.org/10.1016/j.pscychresns.2026.112204" TargetMode="External" Id="rId2224"/><Relationship Type="http://schemas.openxmlformats.org/officeDocument/2006/relationships/hyperlink" Target="https://doi.org/10.1016/j.pscychresns.2026.112204" TargetMode="External" Id="rId2225"/><Relationship Type="http://schemas.openxmlformats.org/officeDocument/2006/relationships/hyperlink" Target="https://doi.org/10.1016/j.pscychresns.2026.112204" TargetMode="External" Id="rId2226"/><Relationship Type="http://schemas.openxmlformats.org/officeDocument/2006/relationships/hyperlink" Target="https://doi.org/10.1016/j.pscychresns.2026.112204" TargetMode="External" Id="rId2227"/><Relationship Type="http://schemas.openxmlformats.org/officeDocument/2006/relationships/hyperlink" Target="https://doi.org/10.1016/j.pscychresns.2026.112204" TargetMode="External" Id="rId2228"/><Relationship Type="http://schemas.openxmlformats.org/officeDocument/2006/relationships/hyperlink" Target="https://doi.org/10.1002/aur.70179" TargetMode="External" Id="rId2229"/><Relationship Type="http://schemas.openxmlformats.org/officeDocument/2006/relationships/hyperlink" Target="https://doi.org/10.1002/aur.70179" TargetMode="External" Id="rId2230"/><Relationship Type="http://schemas.openxmlformats.org/officeDocument/2006/relationships/hyperlink" Target="https://doi.org/10.1002/aur.70179" TargetMode="External" Id="rId2231"/><Relationship Type="http://schemas.openxmlformats.org/officeDocument/2006/relationships/hyperlink" Target="https://doi.org/10.1002/aur.70179" TargetMode="External" Id="rId2232"/><Relationship Type="http://schemas.openxmlformats.org/officeDocument/2006/relationships/hyperlink" Target="https://doi.org/10.1002/aur.70179" TargetMode="External" Id="rId2233"/><Relationship Type="http://schemas.openxmlformats.org/officeDocument/2006/relationships/hyperlink" Target="https://doi.org/10.1002/aur.70179" TargetMode="External" Id="rId2234"/><Relationship Type="http://schemas.openxmlformats.org/officeDocument/2006/relationships/hyperlink" Target="https://doi.org/10.1016/j.compbiomed.2026.111470" TargetMode="External" Id="rId2235"/><Relationship Type="http://schemas.openxmlformats.org/officeDocument/2006/relationships/hyperlink" Target="https://doi.org/10.1016/j.compbiomed.2026.111470" TargetMode="External" Id="rId2236"/><Relationship Type="http://schemas.openxmlformats.org/officeDocument/2006/relationships/hyperlink" Target="https://doi.org/10.1016/j.compbiomed.2026.111470" TargetMode="External" Id="rId2237"/><Relationship Type="http://schemas.openxmlformats.org/officeDocument/2006/relationships/hyperlink" Target="https://doi.org/10.1016/j.compbiomed.2026.111470" TargetMode="External" Id="rId2238"/><Relationship Type="http://schemas.openxmlformats.org/officeDocument/2006/relationships/hyperlink" Target="https://doi.org/10.1016/j.pscychresns.2026.112230" TargetMode="External" Id="rId2239"/><Relationship Type="http://schemas.openxmlformats.org/officeDocument/2006/relationships/hyperlink" Target="https://doi.org/10.1016/j.pscychresns.2026.112230" TargetMode="External" Id="rId2240"/><Relationship Type="http://schemas.openxmlformats.org/officeDocument/2006/relationships/hyperlink" Target="https://doi.org/10.1016/j.pscychresns.2026.112230" TargetMode="External" Id="rId2241"/><Relationship Type="http://schemas.openxmlformats.org/officeDocument/2006/relationships/hyperlink" Target="https://doi.org/10.1016/j.pscychresns.2026.112230" TargetMode="External" Id="rId2242"/><Relationship Type="http://schemas.openxmlformats.org/officeDocument/2006/relationships/hyperlink" Target="https://doi.org/10.1155/ahci/1316854" TargetMode="External" Id="rId2243"/><Relationship Type="http://schemas.openxmlformats.org/officeDocument/2006/relationships/hyperlink" Target="https://doi.org/10.1155/ahci/1316854" TargetMode="External" Id="rId2244"/><Relationship Type="http://schemas.openxmlformats.org/officeDocument/2006/relationships/hyperlink" Target="https://doi.org/10.1155/ahci/1316854" TargetMode="External" Id="rId2245"/><Relationship Type="http://schemas.openxmlformats.org/officeDocument/2006/relationships/hyperlink" Target="https://doi.org/10.1155/ahci/1316854" TargetMode="External" Id="rId2246"/><Relationship Type="http://schemas.openxmlformats.org/officeDocument/2006/relationships/hyperlink" Target="https://doi.org/10.1016/j.procs.2026.06.483" TargetMode="External" Id="rId2247"/><Relationship Type="http://schemas.openxmlformats.org/officeDocument/2006/relationships/hyperlink" Target="https://doi.org/10.1016/j.procs.2026.06.483" TargetMode="External" Id="rId2248"/><Relationship Type="http://schemas.openxmlformats.org/officeDocument/2006/relationships/hyperlink" Target="https://doi.org/10.1016/j.procs.2026.06.483" TargetMode="External" Id="rId2249"/><Relationship Type="http://schemas.openxmlformats.org/officeDocument/2006/relationships/hyperlink" Target="https://doi.org/10.1016/j.procs.2026.06.483" TargetMode="External" Id="rId2250"/><Relationship Type="http://schemas.openxmlformats.org/officeDocument/2006/relationships/hyperlink" Target="https://doi.org/10.1155/acis/6410913" TargetMode="External" Id="rId2251"/><Relationship Type="http://schemas.openxmlformats.org/officeDocument/2006/relationships/hyperlink" Target="https://doi.org/10.1155/acis/6410913" TargetMode="External" Id="rId2252"/><Relationship Type="http://schemas.openxmlformats.org/officeDocument/2006/relationships/hyperlink" Target="https://doi.org/10.1155/acis/6410913" TargetMode="External" Id="rId2253"/><Relationship Type="http://schemas.openxmlformats.org/officeDocument/2006/relationships/hyperlink" Target="https://doi.org/10.1155/acis/6410913" TargetMode="External" Id="rId2254"/><Relationship Type="http://schemas.openxmlformats.org/officeDocument/2006/relationships/hyperlink" Target="https://doi.org/10.1016/j.reia.2026.202826" TargetMode="External" Id="rId2255"/><Relationship Type="http://schemas.openxmlformats.org/officeDocument/2006/relationships/hyperlink" Target="https://doi.org/10.1016/j.reia.2026.202826" TargetMode="External" Id="rId2256"/><Relationship Type="http://schemas.openxmlformats.org/officeDocument/2006/relationships/hyperlink" Target="https://doi.org/10.1016/j.reia.2026.202826" TargetMode="External" Id="rId2257"/><Relationship Type="http://schemas.openxmlformats.org/officeDocument/2006/relationships/hyperlink" Target="https://doi.org/10.1016/j.reia.2026.202826" TargetMode="External" Id="rId2258"/><Relationship Type="http://schemas.openxmlformats.org/officeDocument/2006/relationships/hyperlink" Target="https://doi.org/10.1016/j.ridd.2025.105201" TargetMode="External" Id="rId2259"/><Relationship Type="http://schemas.openxmlformats.org/officeDocument/2006/relationships/hyperlink" Target="https://doi.org/10.1016/j.ridd.2025.105201" TargetMode="External" Id="rId2260"/><Relationship Type="http://schemas.openxmlformats.org/officeDocument/2006/relationships/hyperlink" Target="https://doi.org/10.1016/j.ridd.2025.105201" TargetMode="External" Id="rId2261"/><Relationship Type="http://schemas.openxmlformats.org/officeDocument/2006/relationships/hyperlink" Target="https://doi.org/10.1016/j.ridd.2025.105201" TargetMode="External" Id="rId2262"/><Relationship Type="http://schemas.openxmlformats.org/officeDocument/2006/relationships/hyperlink" Target="https://doi.org/10.3233/shti260609" TargetMode="External" Id="rId2263"/><Relationship Type="http://schemas.openxmlformats.org/officeDocument/2006/relationships/hyperlink" Target="https://doi.org/10.3233/shti260609" TargetMode="External" Id="rId2264"/><Relationship Type="http://schemas.openxmlformats.org/officeDocument/2006/relationships/hyperlink" Target="https://doi.org/10.3233/shti260609" TargetMode="External" Id="rId2265"/><Relationship Type="http://schemas.openxmlformats.org/officeDocument/2006/relationships/hyperlink" Target="https://doi.org/10.1002/aur.70222" TargetMode="External" Id="rId2266"/><Relationship Type="http://schemas.openxmlformats.org/officeDocument/2006/relationships/hyperlink" Target="https://doi.org/10.1002/aur.70222" TargetMode="External" Id="rId2267"/><Relationship Type="http://schemas.openxmlformats.org/officeDocument/2006/relationships/hyperlink" Target="https://doi.org/10.1002/aur.70222" TargetMode="External" Id="rId2268"/><Relationship Type="http://schemas.openxmlformats.org/officeDocument/2006/relationships/hyperlink" Target="https://doi.org/10.1016/j.asoc.2026.114655" TargetMode="External" Id="rId2269"/><Relationship Type="http://schemas.openxmlformats.org/officeDocument/2006/relationships/hyperlink" Target="https://doi.org/10.1016/j.asoc.2026.114655" TargetMode="External" Id="rId2270"/><Relationship Type="http://schemas.openxmlformats.org/officeDocument/2006/relationships/hyperlink" Target="https://doi.org/10.1016/j.asoc.2026.114655" TargetMode="External" Id="rId2271"/><Relationship Type="http://schemas.openxmlformats.org/officeDocument/2006/relationships/hyperlink" Target="https://doi.org/10.1016/j.asoc.2026.114655" TargetMode="External" Id="rId2272"/><Relationship Type="http://schemas.openxmlformats.org/officeDocument/2006/relationships/hyperlink" Target="https://doi.org/10.1155/acis/1906938" TargetMode="External" Id="rId2273"/><Relationship Type="http://schemas.openxmlformats.org/officeDocument/2006/relationships/hyperlink" Target="https://doi.org/10.1155/acis/1906938" TargetMode="External" Id="rId2274"/><Relationship Type="http://schemas.openxmlformats.org/officeDocument/2006/relationships/hyperlink" Target="https://doi.org/10.1155/acis/1906938" TargetMode="External" Id="rId2275"/><Relationship Type="http://schemas.openxmlformats.org/officeDocument/2006/relationships/hyperlink" Target="https://doi.org/10.1016/j.bspc.2026.109655" TargetMode="External" Id="rId2276"/><Relationship Type="http://schemas.openxmlformats.org/officeDocument/2006/relationships/hyperlink" Target="https://doi.org/10.1016/j.bspc.2026.109655" TargetMode="External" Id="rId2277"/><Relationship Type="http://schemas.openxmlformats.org/officeDocument/2006/relationships/hyperlink" Target="https://doi.org/10.1016/j.bspc.2026.109655" TargetMode="External" Id="rId2278"/><Relationship Type="http://schemas.openxmlformats.org/officeDocument/2006/relationships/hyperlink" Target="https://doi.org/10.1016/j.ridd.2026.105249" TargetMode="External" Id="rId2279"/><Relationship Type="http://schemas.openxmlformats.org/officeDocument/2006/relationships/hyperlink" Target="https://doi.org/10.1016/j.ridd.2026.105249" TargetMode="External" Id="rId2280"/><Relationship Type="http://schemas.openxmlformats.org/officeDocument/2006/relationships/hyperlink" Target="https://doi.org/10.1016/j.ridd.2026.105249" TargetMode="External" Id="rId2281"/><Relationship Type="http://schemas.openxmlformats.org/officeDocument/2006/relationships/hyperlink" Target="https://doi.org/10.1016/j.ridd.2026.105249" TargetMode="External" Id="rId2282"/><Relationship Type="http://schemas.openxmlformats.org/officeDocument/2006/relationships/hyperlink" Target="https://doi.org/10.1016/j.ridd.2026.105249" TargetMode="External" Id="rId2283"/><Relationship Type="http://schemas.openxmlformats.org/officeDocument/2006/relationships/hyperlink" Target="https://doi.org/10.1016/j.bpsc.2025.12.013" TargetMode="External" Id="rId2284"/><Relationship Type="http://schemas.openxmlformats.org/officeDocument/2006/relationships/hyperlink" Target="https://doi.org/10.1016/j.bpsc.2025.12.013" TargetMode="External" Id="rId2285"/><Relationship Type="http://schemas.openxmlformats.org/officeDocument/2006/relationships/hyperlink" Target="https://doi.org/10.1016/j.bpsc.2025.12.013" TargetMode="External" Id="rId2286"/><Relationship Type="http://schemas.openxmlformats.org/officeDocument/2006/relationships/hyperlink" Target="https://doi.org/10.1016/j.array.2026.100753" TargetMode="External" Id="rId2287"/><Relationship Type="http://schemas.openxmlformats.org/officeDocument/2006/relationships/hyperlink" Target="https://doi.org/10.1016/j.array.2026.100753" TargetMode="External" Id="rId2288"/><Relationship Type="http://schemas.openxmlformats.org/officeDocument/2006/relationships/hyperlink" Target="https://doi.org/10.1016/j.array.2026.100753" TargetMode="External" Id="rId2289"/><Relationship Type="http://schemas.openxmlformats.org/officeDocument/2006/relationships/hyperlink" Target="https://doi.org/10.1016/j.array.2026.100753" TargetMode="External" Id="rId2290"/><Relationship Type="http://schemas.openxmlformats.org/officeDocument/2006/relationships/hyperlink" Target="https://doi.org/10.1016/j.array.2026.100753" TargetMode="External" Id="rId2291"/><Relationship Type="http://schemas.openxmlformats.org/officeDocument/2006/relationships/hyperlink" Target="https://doi.org/10.3791/68949" TargetMode="External" Id="rId2292"/><Relationship Type="http://schemas.openxmlformats.org/officeDocument/2006/relationships/hyperlink" Target="https://doi.org/10.3791/68949" TargetMode="External" Id="rId2293"/><Relationship Type="http://schemas.openxmlformats.org/officeDocument/2006/relationships/hyperlink" Target="https://doi.org/10.3791/68949" TargetMode="External" Id="rId2294"/><Relationship Type="http://schemas.openxmlformats.org/officeDocument/2006/relationships/hyperlink" Target="https://doi.org/10.1177/02841851251333974" TargetMode="External" Id="rId2295"/><Relationship Type="http://schemas.openxmlformats.org/officeDocument/2006/relationships/hyperlink" Target="https://doi.org/10.1177/02841851251333974" TargetMode="External" Id="rId2296"/><Relationship Type="http://schemas.openxmlformats.org/officeDocument/2006/relationships/hyperlink" Target="https://doi.org/10.1177/02841851251333974" TargetMode="External" Id="rId2297"/><Relationship Type="http://schemas.openxmlformats.org/officeDocument/2006/relationships/hyperlink" Target="https://doi.org/10.1177/02841851251333974" TargetMode="External" Id="rId2298"/><Relationship Type="http://schemas.openxmlformats.org/officeDocument/2006/relationships/hyperlink" Target="https://doi.org/10.1002/dneu.70011" TargetMode="External" Id="rId2299"/><Relationship Type="http://schemas.openxmlformats.org/officeDocument/2006/relationships/hyperlink" Target="https://doi.org/10.1002/dneu.70011" TargetMode="External" Id="rId2300"/><Relationship Type="http://schemas.openxmlformats.org/officeDocument/2006/relationships/hyperlink" Target="https://doi.org/10.1002/dneu.70011" TargetMode="External" Id="rId2301"/><Relationship Type="http://schemas.openxmlformats.org/officeDocument/2006/relationships/hyperlink" Target="https://doi.org/10.1002/jbio.202500138" TargetMode="External" Id="rId2302"/><Relationship Type="http://schemas.openxmlformats.org/officeDocument/2006/relationships/hyperlink" Target="https://doi.org/10.1002/jbio.202500138" TargetMode="External" Id="rId2303"/><Relationship Type="http://schemas.openxmlformats.org/officeDocument/2006/relationships/hyperlink" Target="https://doi.org/10.1002/jbio.202500138" TargetMode="External" Id="rId2304"/><Relationship Type="http://schemas.openxmlformats.org/officeDocument/2006/relationships/hyperlink" Target="https://doi.org/10.3174/ajnr.a8939" TargetMode="External" Id="rId2305"/><Relationship Type="http://schemas.openxmlformats.org/officeDocument/2006/relationships/hyperlink" Target="https://doi.org/10.3174/ajnr.a8939" TargetMode="External" Id="rId2306"/><Relationship Type="http://schemas.openxmlformats.org/officeDocument/2006/relationships/hyperlink" Target="https://doi.org/10.3174/ajnr.a8939" TargetMode="External" Id="rId2307"/><Relationship Type="http://schemas.openxmlformats.org/officeDocument/2006/relationships/hyperlink" Target="https://doi.org/10.3174/ajnr.a8939" TargetMode="External" Id="rId2308"/><Relationship Type="http://schemas.openxmlformats.org/officeDocument/2006/relationships/hyperlink" Target="https://doi.org/10.3174/ajnr.a8939" TargetMode="External" Id="rId2309"/><Relationship Type="http://schemas.openxmlformats.org/officeDocument/2006/relationships/hyperlink" Target="https://doi.org/10.1016/j.heares.2026.109654" TargetMode="External" Id="rId2310"/><Relationship Type="http://schemas.openxmlformats.org/officeDocument/2006/relationships/hyperlink" Target="https://doi.org/10.1016/j.heares.2026.109654" TargetMode="External" Id="rId2311"/><Relationship Type="http://schemas.openxmlformats.org/officeDocument/2006/relationships/hyperlink" Target="https://doi.org/10.1016/j.heares.2026.109654" TargetMode="External" Id="rId2312"/><Relationship Type="http://schemas.openxmlformats.org/officeDocument/2006/relationships/hyperlink" Target="https://doi.org/10.1016/j.heares.2026.109654" TargetMode="External" Id="rId2313"/><Relationship Type="http://schemas.openxmlformats.org/officeDocument/2006/relationships/hyperlink" Target="https://doi.org/10.1016/j.aej.2026.04.002" TargetMode="External" Id="rId2314"/><Relationship Type="http://schemas.openxmlformats.org/officeDocument/2006/relationships/hyperlink" Target="https://doi.org/10.1016/j.aej.2026.04.002" TargetMode="External" Id="rId2315"/><Relationship Type="http://schemas.openxmlformats.org/officeDocument/2006/relationships/hyperlink" Target="https://doi.org/10.1016/j.aej.2026.04.002" TargetMode="External" Id="rId2316"/><Relationship Type="http://schemas.openxmlformats.org/officeDocument/2006/relationships/hyperlink" Target="https://doi.org/10.1016/j.aej.2026.04.002" TargetMode="External" Id="rId2317"/><Relationship Type="http://schemas.openxmlformats.org/officeDocument/2006/relationships/hyperlink" Target="https://doi.org/10.1007/s11604-025-01832-3" TargetMode="External" Id="rId2318"/><Relationship Type="http://schemas.openxmlformats.org/officeDocument/2006/relationships/hyperlink" Target="https://doi.org/10.1007/s11604-025-01832-3" TargetMode="External" Id="rId2319"/><Relationship Type="http://schemas.openxmlformats.org/officeDocument/2006/relationships/hyperlink" Target="https://doi.org/10.1007/s11604-025-01832-3" TargetMode="External" Id="rId2320"/><Relationship Type="http://schemas.openxmlformats.org/officeDocument/2006/relationships/hyperlink" Target="https://doi.org/10.1016/j.pscychresns.2026.112270" TargetMode="External" Id="rId2321"/><Relationship Type="http://schemas.openxmlformats.org/officeDocument/2006/relationships/hyperlink" Target="https://doi.org/10.1016/j.pscychresns.2026.112270" TargetMode="External" Id="rId2322"/><Relationship Type="http://schemas.openxmlformats.org/officeDocument/2006/relationships/hyperlink" Target="https://doi.org/10.1016/j.pscychresns.2026.112270" TargetMode="External" Id="rId2323"/><Relationship Type="http://schemas.openxmlformats.org/officeDocument/2006/relationships/hyperlink" Target="https://doi.org/10.1016/j.pscychresns.2026.112270" TargetMode="External" Id="rId2324"/><Relationship Type="http://schemas.openxmlformats.org/officeDocument/2006/relationships/hyperlink" Target="https://doi.org/10.1016/j.asoc.2026.115959" TargetMode="External" Id="rId2325"/><Relationship Type="http://schemas.openxmlformats.org/officeDocument/2006/relationships/hyperlink" Target="https://doi.org/10.1016/j.asoc.2026.115959" TargetMode="External" Id="rId2326"/><Relationship Type="http://schemas.openxmlformats.org/officeDocument/2006/relationships/hyperlink" Target="https://doi.org/10.1016/j.asoc.2026.115959" TargetMode="External" Id="rId2327"/><Relationship Type="http://schemas.openxmlformats.org/officeDocument/2006/relationships/hyperlink" Target="https://doi.org/10.1016/j.asoc.2026.115959" TargetMode="External" Id="rId2328"/><Relationship Type="http://schemas.openxmlformats.org/officeDocument/2006/relationships/hyperlink" Target="https://doi.org/10.1016/j.array.2026.100936" TargetMode="External" Id="rId2329"/><Relationship Type="http://schemas.openxmlformats.org/officeDocument/2006/relationships/hyperlink" Target="https://doi.org/10.1016/j.array.2026.100936" TargetMode="External" Id="rId2330"/><Relationship Type="http://schemas.openxmlformats.org/officeDocument/2006/relationships/hyperlink" Target="https://doi.org/10.1016/j.array.2026.100936" TargetMode="External" Id="rId2331"/><Relationship Type="http://schemas.openxmlformats.org/officeDocument/2006/relationships/hyperlink" Target="https://doi.org/10.1016/j.array.2026.100936" TargetMode="External" Id="rId2332"/><Relationship Type="http://schemas.openxmlformats.org/officeDocument/2006/relationships/hyperlink" Target="https://doi.org/10.1016/j.array.2026.100936" TargetMode="External" Id="rId2333"/><Relationship Type="http://schemas.openxmlformats.org/officeDocument/2006/relationships/hyperlink" Target="https://doi.org/10.1007/s12065-026-01162-x" TargetMode="External" Id="rId2334"/><Relationship Type="http://schemas.openxmlformats.org/officeDocument/2006/relationships/hyperlink" Target="https://doi.org/10.1007/s12065-026-01162-x" TargetMode="External" Id="rId2335"/><Relationship Type="http://schemas.openxmlformats.org/officeDocument/2006/relationships/hyperlink" Target="https://doi.org/10.1007/s12065-026-01162-x" TargetMode="External" Id="rId2336"/><Relationship Type="http://schemas.openxmlformats.org/officeDocument/2006/relationships/hyperlink" Target="https://doi.org/10.1007/s12065-026-01162-x" TargetMode="External" Id="rId2337"/><Relationship Type="http://schemas.openxmlformats.org/officeDocument/2006/relationships/hyperlink" Target="https://doi.org/10.1016/j.ibmed.2026.100421" TargetMode="External" Id="rId2338"/><Relationship Type="http://schemas.openxmlformats.org/officeDocument/2006/relationships/hyperlink" Target="https://doi.org/10.1016/j.ibmed.2026.100421" TargetMode="External" Id="rId2339"/><Relationship Type="http://schemas.openxmlformats.org/officeDocument/2006/relationships/hyperlink" Target="https://doi.org/10.1016/j.ibmed.2026.100421" TargetMode="External" Id="rId2340"/><Relationship Type="http://schemas.openxmlformats.org/officeDocument/2006/relationships/hyperlink" Target="https://doi.org/10.1016/j.ibmed.2026.100421" TargetMode="External" Id="rId2341"/><Relationship Type="http://schemas.openxmlformats.org/officeDocument/2006/relationships/hyperlink" Target="https://doi.org/10.1016/j.ibmed.2026.100421" TargetMode="External" Id="rId2342"/><Relationship Type="http://schemas.openxmlformats.org/officeDocument/2006/relationships/hyperlink" Target="https://doi.org/10.1007/978-3-032-14531-4_4" TargetMode="External" Id="rId2343"/><Relationship Type="http://schemas.openxmlformats.org/officeDocument/2006/relationships/hyperlink" Target="https://doi.org/10.1007/978-3-032-14531-4_4" TargetMode="External" Id="rId2344"/><Relationship Type="http://schemas.openxmlformats.org/officeDocument/2006/relationships/hyperlink" Target="https://doi.org/10.1007/978-3-032-14531-4_4" TargetMode="External" Id="rId2345"/><Relationship Type="http://schemas.openxmlformats.org/officeDocument/2006/relationships/hyperlink" Target="https://doi.org/10.1016/j.bspc.2026.110970" TargetMode="External" Id="rId2346"/><Relationship Type="http://schemas.openxmlformats.org/officeDocument/2006/relationships/hyperlink" Target="https://doi.org/10.1016/j.bspc.2026.110970" TargetMode="External" Id="rId2347"/><Relationship Type="http://schemas.openxmlformats.org/officeDocument/2006/relationships/hyperlink" Target="https://doi.org/10.1016/j.bspc.2026.110970" TargetMode="External" Id="rId2348"/><Relationship Type="http://schemas.openxmlformats.org/officeDocument/2006/relationships/hyperlink" Target="https://doi.org/10.1016/j.bspc.2026.110970" TargetMode="External" Id="rId2349"/><Relationship Type="http://schemas.openxmlformats.org/officeDocument/2006/relationships/hyperlink" Target="https://doi.org/10.1016/j.bspc.2026.110970" TargetMode="External" Id="rId2350"/><Relationship Type="http://schemas.openxmlformats.org/officeDocument/2006/relationships/hyperlink" Target="https://doi.org/10.1038/s41380-025-03157-z" TargetMode="External" Id="rId2351"/><Relationship Type="http://schemas.openxmlformats.org/officeDocument/2006/relationships/hyperlink" Target="https://doi.org/10.1038/s41380-025-03157-z" TargetMode="External" Id="rId2352"/><Relationship Type="http://schemas.openxmlformats.org/officeDocument/2006/relationships/hyperlink" Target="https://doi.org/10.1038/s41380-025-03157-z" TargetMode="External" Id="rId2353"/><Relationship Type="http://schemas.openxmlformats.org/officeDocument/2006/relationships/hyperlink" Target="https://doi.org/10.1038/s41380-025-03157-z" TargetMode="External" Id="rId2354"/><Relationship Type="http://schemas.openxmlformats.org/officeDocument/2006/relationships/hyperlink" Target="https://doi.org/10.1038/s41380-025-03157-z" TargetMode="External" Id="rId2355"/><Relationship Type="http://schemas.openxmlformats.org/officeDocument/2006/relationships/hyperlink" Target="https://doi.org/10.1007/s11571-024-10202-0" TargetMode="External" Id="rId2356"/><Relationship Type="http://schemas.openxmlformats.org/officeDocument/2006/relationships/hyperlink" Target="https://doi.org/10.1007/s11571-024-10202-0" TargetMode="External" Id="rId2357"/><Relationship Type="http://schemas.openxmlformats.org/officeDocument/2006/relationships/hyperlink" Target="https://doi.org/10.1007/s11571-024-10202-0" TargetMode="External" Id="rId2358"/><Relationship Type="http://schemas.openxmlformats.org/officeDocument/2006/relationships/hyperlink" Target="https://doi.org/10.1007/s00787-025-02775-w" TargetMode="External" Id="rId2359"/><Relationship Type="http://schemas.openxmlformats.org/officeDocument/2006/relationships/hyperlink" Target="https://doi.org/10.1007/s00787-025-02775-w" TargetMode="External" Id="rId2360"/><Relationship Type="http://schemas.openxmlformats.org/officeDocument/2006/relationships/hyperlink" Target="https://doi.org/10.1007/s00787-025-02775-w" TargetMode="External" Id="rId2361"/><Relationship Type="http://schemas.openxmlformats.org/officeDocument/2006/relationships/hyperlink" Target="https://doi.org/10.1007/s10495-025-02201-1" TargetMode="External" Id="rId2362"/><Relationship Type="http://schemas.openxmlformats.org/officeDocument/2006/relationships/hyperlink" Target="https://doi.org/10.1007/s10495-025-02201-1" TargetMode="External" Id="rId2363"/><Relationship Type="http://schemas.openxmlformats.org/officeDocument/2006/relationships/hyperlink" Target="https://doi.org/10.1007/s10495-025-02201-1" TargetMode="External" Id="rId2364"/><Relationship Type="http://schemas.openxmlformats.org/officeDocument/2006/relationships/hyperlink" Target="https://doi.org/10.1007/s42454-025-00087-7" TargetMode="External" Id="rId2365"/><Relationship Type="http://schemas.openxmlformats.org/officeDocument/2006/relationships/hyperlink" Target="https://doi.org/10.1007/s42454-025-00087-7" TargetMode="External" Id="rId2366"/><Relationship Type="http://schemas.openxmlformats.org/officeDocument/2006/relationships/hyperlink" Target="https://doi.org/10.1007/s42454-025-00087-7" TargetMode="External" Id="rId2367"/><Relationship Type="http://schemas.openxmlformats.org/officeDocument/2006/relationships/hyperlink" Target="https://doi.org/10.1007/s42454-025-00087-7" TargetMode="External" Id="rId2368"/><Relationship Type="http://schemas.openxmlformats.org/officeDocument/2006/relationships/hyperlink" Target="https://doi.org/10.1007/s40846-026-01044-8" TargetMode="External" Id="rId2369"/><Relationship Type="http://schemas.openxmlformats.org/officeDocument/2006/relationships/hyperlink" Target="https://doi.org/10.1007/s40846-026-01044-8" TargetMode="External" Id="rId2370"/><Relationship Type="http://schemas.openxmlformats.org/officeDocument/2006/relationships/hyperlink" Target="https://doi.org/10.1007/s40846-026-01044-8" TargetMode="External" Id="rId2371"/><Relationship Type="http://schemas.openxmlformats.org/officeDocument/2006/relationships/hyperlink" Target="https://doi.org/10.1016/j.health.2024.100379" TargetMode="External" Id="rId2372"/><Relationship Type="http://schemas.openxmlformats.org/officeDocument/2006/relationships/hyperlink" Target="https://doi.org/10.1016/j.health.2024.100379" TargetMode="External" Id="rId2373"/><Relationship Type="http://schemas.openxmlformats.org/officeDocument/2006/relationships/hyperlink" Target="https://doi.org/10.1016/j.health.2024.100379" TargetMode="External" Id="rId2374"/><Relationship Type="http://schemas.openxmlformats.org/officeDocument/2006/relationships/hyperlink" Target="https://doi.org/10.1016/j.health.2024.100379" TargetMode="External" Id="rId2375"/><Relationship Type="http://schemas.openxmlformats.org/officeDocument/2006/relationships/hyperlink" Target="https://doi.org/10.1016/j.health.2024.100379" TargetMode="External" Id="rId2376"/><Relationship Type="http://schemas.openxmlformats.org/officeDocument/2006/relationships/hyperlink" Target="https://doi.org/10.1016/j.procs.2025.04.142" TargetMode="External" Id="rId2377"/><Relationship Type="http://schemas.openxmlformats.org/officeDocument/2006/relationships/hyperlink" Target="https://doi.org/10.1016/j.procs.2025.04.142" TargetMode="External" Id="rId2378"/><Relationship Type="http://schemas.openxmlformats.org/officeDocument/2006/relationships/hyperlink" Target="https://doi.org/10.1016/j.procs.2025.04.142" TargetMode="External" Id="rId2379"/><Relationship Type="http://schemas.openxmlformats.org/officeDocument/2006/relationships/hyperlink" Target="https://doi.org/10.1016/j.procs.2025.04.142" TargetMode="External" Id="rId2380"/><Relationship Type="http://schemas.openxmlformats.org/officeDocument/2006/relationships/hyperlink" Target="https://doi.org/10.1016/j.procs.2025.04.142" TargetMode="External" Id="rId2381"/><Relationship Type="http://schemas.openxmlformats.org/officeDocument/2006/relationships/hyperlink" Target="https://doi.org/10.1016/j.nbd.2024.106763" TargetMode="External" Id="rId2382"/><Relationship Type="http://schemas.openxmlformats.org/officeDocument/2006/relationships/hyperlink" Target="https://doi.org/10.1016/j.nbd.2024.106763" TargetMode="External" Id="rId2383"/><Relationship Type="http://schemas.openxmlformats.org/officeDocument/2006/relationships/hyperlink" Target="https://doi.org/10.1016/j.nbd.2024.106763" TargetMode="External" Id="rId2384"/><Relationship Type="http://schemas.openxmlformats.org/officeDocument/2006/relationships/hyperlink" Target="https://doi.org/10.1016/j.psychres.2025.116353" TargetMode="External" Id="rId2385"/><Relationship Type="http://schemas.openxmlformats.org/officeDocument/2006/relationships/hyperlink" Target="https://doi.org/10.1016/j.psychres.2025.116353" TargetMode="External" Id="rId2386"/><Relationship Type="http://schemas.openxmlformats.org/officeDocument/2006/relationships/hyperlink" Target="https://doi.org/10.1016/j.psychres.2025.116353" TargetMode="External" Id="rId2387"/><Relationship Type="http://schemas.openxmlformats.org/officeDocument/2006/relationships/hyperlink" Target="https://doi.org/10.1016/j.psychres.2025.116353" TargetMode="External" Id="rId2388"/><Relationship Type="http://schemas.openxmlformats.org/officeDocument/2006/relationships/hyperlink" Target="https://doi.org/10.1016/j.reia.2025.202542" TargetMode="External" Id="rId2389"/><Relationship Type="http://schemas.openxmlformats.org/officeDocument/2006/relationships/hyperlink" Target="https://doi.org/10.1016/j.reia.2025.202542" TargetMode="External" Id="rId2390"/><Relationship Type="http://schemas.openxmlformats.org/officeDocument/2006/relationships/hyperlink" Target="https://doi.org/10.1016/j.reia.2025.202542" TargetMode="External" Id="rId2391"/><Relationship Type="http://schemas.openxmlformats.org/officeDocument/2006/relationships/hyperlink" Target="https://doi.org/10.1016/j.reia.2025.202542" TargetMode="External" Id="rId2392"/><Relationship Type="http://schemas.openxmlformats.org/officeDocument/2006/relationships/hyperlink" Target="https://doi.org/10.1016/j.procs.2025.04.389" TargetMode="External" Id="rId2393"/><Relationship Type="http://schemas.openxmlformats.org/officeDocument/2006/relationships/hyperlink" Target="https://doi.org/10.1016/j.procs.2025.04.389" TargetMode="External" Id="rId2394"/><Relationship Type="http://schemas.openxmlformats.org/officeDocument/2006/relationships/hyperlink" Target="https://doi.org/10.1016/j.procs.2025.04.389" TargetMode="External" Id="rId2395"/><Relationship Type="http://schemas.openxmlformats.org/officeDocument/2006/relationships/hyperlink" Target="https://doi.org/10.1016/j.procs.2025.04.389" TargetMode="External" Id="rId2396"/><Relationship Type="http://schemas.openxmlformats.org/officeDocument/2006/relationships/hyperlink" Target="https://doi.org/10.1016/j.procs.2025.04.671" TargetMode="External" Id="rId2397"/><Relationship Type="http://schemas.openxmlformats.org/officeDocument/2006/relationships/hyperlink" Target="https://doi.org/10.1016/j.procs.2025.04.671" TargetMode="External" Id="rId2398"/><Relationship Type="http://schemas.openxmlformats.org/officeDocument/2006/relationships/hyperlink" Target="https://doi.org/10.1016/j.procs.2025.04.671" TargetMode="External" Id="rId2399"/><Relationship Type="http://schemas.openxmlformats.org/officeDocument/2006/relationships/hyperlink" Target="https://doi.org/10.1016/j.procs.2025.10.018" TargetMode="External" Id="rId2400"/><Relationship Type="http://schemas.openxmlformats.org/officeDocument/2006/relationships/hyperlink" Target="https://doi.org/10.1016/j.procs.2025.10.018" TargetMode="External" Id="rId2401"/><Relationship Type="http://schemas.openxmlformats.org/officeDocument/2006/relationships/hyperlink" Target="https://doi.org/10.1016/j.procs.2025.10.018" TargetMode="External" Id="rId2402"/><Relationship Type="http://schemas.openxmlformats.org/officeDocument/2006/relationships/hyperlink" Target="https://doi.org/10.1016/j.procs.2025.10.018" TargetMode="External" Id="rId2403"/><Relationship Type="http://schemas.openxmlformats.org/officeDocument/2006/relationships/hyperlink" Target="https://doi.org/10.1016/j.procs.2025.10.018" TargetMode="External" Id="rId2404"/><Relationship Type="http://schemas.openxmlformats.org/officeDocument/2006/relationships/hyperlink" Target="https://doi.org/10.1016/j.cca.2025.120238" TargetMode="External" Id="rId2405"/><Relationship Type="http://schemas.openxmlformats.org/officeDocument/2006/relationships/hyperlink" Target="https://doi.org/10.1016/j.cca.2025.120238" TargetMode="External" Id="rId2406"/><Relationship Type="http://schemas.openxmlformats.org/officeDocument/2006/relationships/hyperlink" Target="https://doi.org/10.1016/j.cca.2025.120238" TargetMode="External" Id="rId2407"/><Relationship Type="http://schemas.openxmlformats.org/officeDocument/2006/relationships/hyperlink" Target="https://doi.org/10.1109/jbhi.2025.3622540" TargetMode="External" Id="rId2408"/><Relationship Type="http://schemas.openxmlformats.org/officeDocument/2006/relationships/hyperlink" Target="https://doi.org/10.1109/jbhi.2025.3622540" TargetMode="External" Id="rId2409"/><Relationship Type="http://schemas.openxmlformats.org/officeDocument/2006/relationships/hyperlink" Target="https://doi.org/10.1109/jbhi.2025.3622540" TargetMode="External" Id="rId2410"/><Relationship Type="http://schemas.openxmlformats.org/officeDocument/2006/relationships/hyperlink" Target="https://doi.org/10.1002/jdn.70117" TargetMode="External" Id="rId2411"/><Relationship Type="http://schemas.openxmlformats.org/officeDocument/2006/relationships/hyperlink" Target="https://doi.org/10.1002/jdn.70117" TargetMode="External" Id="rId2412"/><Relationship Type="http://schemas.openxmlformats.org/officeDocument/2006/relationships/hyperlink" Target="https://doi.org/10.1002/jdn.70117" TargetMode="External" Id="rId2413"/><Relationship Type="http://schemas.openxmlformats.org/officeDocument/2006/relationships/hyperlink" Target="https://doi.org/10.1002/jdn.70117" TargetMode="External" Id="rId2414"/><Relationship Type="http://schemas.openxmlformats.org/officeDocument/2006/relationships/hyperlink" Target="https://doi.org/10.1002/dneu.23009" TargetMode="External" Id="rId2415"/><Relationship Type="http://schemas.openxmlformats.org/officeDocument/2006/relationships/hyperlink" Target="https://doi.org/10.1002/dneu.23009" TargetMode="External" Id="rId2416"/><Relationship Type="http://schemas.openxmlformats.org/officeDocument/2006/relationships/hyperlink" Target="https://doi.org/10.1002/dneu.23009" TargetMode="External" Id="rId2417"/><Relationship Type="http://schemas.openxmlformats.org/officeDocument/2006/relationships/hyperlink" Target="https://doi.org/10.1002/dneu.23009" TargetMode="External" Id="rId2418"/><Relationship Type="http://schemas.openxmlformats.org/officeDocument/2006/relationships/hyperlink" Target="https://doi.org/10.1007/s12035-026-05911-y" TargetMode="External" Id="rId2419"/><Relationship Type="http://schemas.openxmlformats.org/officeDocument/2006/relationships/hyperlink" Target="https://doi.org/10.1007/s12035-026-05911-y" TargetMode="External" Id="rId2420"/><Relationship Type="http://schemas.openxmlformats.org/officeDocument/2006/relationships/hyperlink" Target="https://doi.org/10.1007/s12035-026-05911-y" TargetMode="External" Id="rId2421"/><Relationship Type="http://schemas.openxmlformats.org/officeDocument/2006/relationships/hyperlink" Target="https://doi.org/10.1080/17501911.2025.2557186" TargetMode="External" Id="rId2422"/><Relationship Type="http://schemas.openxmlformats.org/officeDocument/2006/relationships/hyperlink" Target="https://doi.org/10.1080/17501911.2025.2557186" TargetMode="External" Id="rId2423"/><Relationship Type="http://schemas.openxmlformats.org/officeDocument/2006/relationships/hyperlink" Target="https://doi.org/10.1080/17501911.2025.2557186" TargetMode="External" Id="rId2424"/><Relationship Type="http://schemas.openxmlformats.org/officeDocument/2006/relationships/hyperlink" Target="https://doi.org/10.1080/17501911.2025.2557186" TargetMode="External" Id="rId2425"/><Relationship Type="http://schemas.openxmlformats.org/officeDocument/2006/relationships/hyperlink" Target="https://doi.org/10.1007/s42979-026-04806-y" TargetMode="External" Id="rId2426"/><Relationship Type="http://schemas.openxmlformats.org/officeDocument/2006/relationships/hyperlink" Target="https://doi.org/10.1007/s42979-026-04806-y" TargetMode="External" Id="rId2427"/><Relationship Type="http://schemas.openxmlformats.org/officeDocument/2006/relationships/hyperlink" Target="https://doi.org/10.1007/s42979-026-04806-y" TargetMode="External" Id="rId2428"/><Relationship Type="http://schemas.openxmlformats.org/officeDocument/2006/relationships/hyperlink" Target="https://doi.org/10.1007/s42979-026-04806-y" TargetMode="External" Id="rId2429"/><Relationship Type="http://schemas.openxmlformats.org/officeDocument/2006/relationships/hyperlink" Target="https://doi.org/10.1007/s00521-025-11553-3" TargetMode="External" Id="rId2430"/><Relationship Type="http://schemas.openxmlformats.org/officeDocument/2006/relationships/hyperlink" Target="https://doi.org/10.1007/s00521-025-11553-3" TargetMode="External" Id="rId2431"/><Relationship Type="http://schemas.openxmlformats.org/officeDocument/2006/relationships/hyperlink" Target="https://doi.org/10.1007/s00521-025-11553-3" TargetMode="External" Id="rId2432"/><Relationship Type="http://schemas.openxmlformats.org/officeDocument/2006/relationships/hyperlink" Target="https://doi.org/10.1007/s00521-025-11553-3" TargetMode="External" Id="rId2433"/><Relationship Type="http://schemas.openxmlformats.org/officeDocument/2006/relationships/hyperlink" Target="https://doi.org/10.1007/s00521-025-11553-3" TargetMode="External" Id="rId2434"/><Relationship Type="http://schemas.openxmlformats.org/officeDocument/2006/relationships/hyperlink" Target="https://doi.org/10.1007/s42452-026-08352-3" TargetMode="External" Id="rId2435"/><Relationship Type="http://schemas.openxmlformats.org/officeDocument/2006/relationships/hyperlink" Target="https://doi.org/10.1007/s42452-026-08352-3" TargetMode="External" Id="rId2436"/><Relationship Type="http://schemas.openxmlformats.org/officeDocument/2006/relationships/hyperlink" Target="https://doi.org/10.1007/s42452-026-08352-3" TargetMode="External" Id="rId2437"/><Relationship Type="http://schemas.openxmlformats.org/officeDocument/2006/relationships/hyperlink" Target="https://doi.org/10.1007/s42452-026-08352-3" TargetMode="External" Id="rId2438"/><Relationship Type="http://schemas.openxmlformats.org/officeDocument/2006/relationships/hyperlink" Target="https://doi.org/10.1007/s42452-026-08352-3" TargetMode="External" Id="rId2439"/><Relationship Type="http://schemas.openxmlformats.org/officeDocument/2006/relationships/hyperlink" Target="https://doi.org/10.1109/tmrb.2026.3680976" TargetMode="External" Id="rId2440"/><Relationship Type="http://schemas.openxmlformats.org/officeDocument/2006/relationships/hyperlink" Target="https://doi.org/10.1109/tmrb.2026.3680976" TargetMode="External" Id="rId2441"/><Relationship Type="http://schemas.openxmlformats.org/officeDocument/2006/relationships/hyperlink" Target="https://doi.org/10.1109/tmrb.2026.3680976" TargetMode="External" Id="rId2442"/><Relationship Type="http://schemas.openxmlformats.org/officeDocument/2006/relationships/hyperlink" Target="https://doi.org/10.1109/tmrb.2026.3680976" TargetMode="External" Id="rId2443"/><Relationship Type="http://schemas.openxmlformats.org/officeDocument/2006/relationships/hyperlink" Target="https://doi.org/10.1109/tmrb.2026.3680976" TargetMode="External" Id="rId2444"/><Relationship Type="http://schemas.openxmlformats.org/officeDocument/2006/relationships/hyperlink" Target="https://doi.org/10.1109/access.2026.3674057" TargetMode="External" Id="rId2445"/><Relationship Type="http://schemas.openxmlformats.org/officeDocument/2006/relationships/hyperlink" Target="https://doi.org/10.1109/access.2026.3674057" TargetMode="External" Id="rId2446"/><Relationship Type="http://schemas.openxmlformats.org/officeDocument/2006/relationships/hyperlink" Target="https://doi.org/10.1109/access.2026.3674057" TargetMode="External" Id="rId2447"/><Relationship Type="http://schemas.openxmlformats.org/officeDocument/2006/relationships/hyperlink" Target="https://doi.org/10.1109/access.2026.3674057" TargetMode="External" Id="rId2448"/><Relationship Type="http://schemas.openxmlformats.org/officeDocument/2006/relationships/hyperlink" Target="https://doi.org/10.1109/access.2026.3674057" TargetMode="External" Id="rId2449"/></Relationships>
</file>

<file path=xl/worksheets/_rels/sheet21.xml.rels><Relationships xmlns="http://schemas.openxmlformats.org/package/2006/relationships"><Relationship Type="http://schemas.openxmlformats.org/officeDocument/2006/relationships/table" Target="/xl/tables/table1.xml" Id="rId1"/></Relationships>
</file>

<file path=xl/worksheets/_rels/sheet23.xml.rels><Relationships xmlns="http://schemas.openxmlformats.org/package/2006/relationships"><Relationship Type="http://schemas.openxmlformats.org/officeDocument/2006/relationships/table" Target="/xl/tables/table2.xml" Id="rId1"/></Relationships>
</file>

<file path=xl/worksheets/_rels/sheet24.xml.rels><Relationships xmlns="http://schemas.openxmlformats.org/package/2006/relationships"><Relationship Type="http://schemas.openxmlformats.org/officeDocument/2006/relationships/table" Target="/xl/tables/table3.xml" Id="rId1"/></Relationships>
</file>

<file path=xl/worksheets/_rels/sheet25.xml.rels><Relationships xmlns="http://schemas.openxmlformats.org/package/2006/relationships"><Relationship Type="http://schemas.openxmlformats.org/officeDocument/2006/relationships/table" Target="/xl/tables/table4.xml" Id="rId1"/></Relationships>
</file>

<file path=xl/worksheets/_rels/sheet26.xml.rels><Relationships xmlns="http://schemas.openxmlformats.org/package/2006/relationships"><Relationship Type="http://schemas.openxmlformats.org/officeDocument/2006/relationships/table" Target="/xl/tables/table5.xml" Id="rId1"/></Relationships>
</file>

<file path=xl/worksheets/_rels/sheet27.xml.rels><Relationships xmlns="http://schemas.openxmlformats.org/package/2006/relationships"><Relationship Type="http://schemas.openxmlformats.org/officeDocument/2006/relationships/table" Target="/xl/tables/table6.xml" Id="rId1"/></Relationships>
</file>

<file path=xl/worksheets/_rels/sheet28.xml.rels><Relationships xmlns="http://schemas.openxmlformats.org/package/2006/relationships"><Relationship Type="http://schemas.openxmlformats.org/officeDocument/2006/relationships/table" Target="/xl/tables/table7.xml" Id="rId1"/></Relationships>
</file>

<file path=xl/worksheets/_rels/sheet30.xml.rels><Relationships xmlns="http://schemas.openxmlformats.org/package/2006/relationships"><Relationship Type="http://schemas.openxmlformats.org/officeDocument/2006/relationships/table" Target="/xl/tables/table8.xml" Id="rId1"/></Relationships>
</file>

<file path=xl/worksheets/_rels/sheet31.xml.rels><Relationships xmlns="http://schemas.openxmlformats.org/package/2006/relationships"><Relationship Type="http://schemas.openxmlformats.org/officeDocument/2006/relationships/table" Target="/xl/tables/table9.xml" Id="rId1"/></Relationships>
</file>

<file path=xl/worksheets/_rels/sheet32.xml.rels><Relationships xmlns="http://schemas.openxmlformats.org/package/2006/relationships"><Relationship Type="http://schemas.openxmlformats.org/officeDocument/2006/relationships/table" Target="/xl/tables/table10.xml" Id="rId1"/></Relationships>
</file>

<file path=xl/worksheets/_rels/sheet33.xml.rels><Relationships xmlns="http://schemas.openxmlformats.org/package/2006/relationships"><Relationship Type="http://schemas.openxmlformats.org/officeDocument/2006/relationships/table" Target="/xl/tables/table11.xml" Id="rId1"/></Relationships>
</file>

<file path=xl/worksheets/_rels/sheet34.xml.rels><Relationships xmlns="http://schemas.openxmlformats.org/package/2006/relationships"><Relationship Type="http://schemas.openxmlformats.org/officeDocument/2006/relationships/table" Target="/xl/tables/table12.xml" Id="rId1"/></Relationships>
</file>

<file path=xl/worksheets/_rels/sheet35.xml.rels><Relationships xmlns="http://schemas.openxmlformats.org/package/2006/relationships"><Relationship Type="http://schemas.openxmlformats.org/officeDocument/2006/relationships/table" Target="/xl/tables/table13.xml" Id="rId1"/></Relationships>
</file>

<file path=xl/worksheets/_rels/sheet36.xml.rels><Relationships xmlns="http://schemas.openxmlformats.org/package/2006/relationships"><Relationship Type="http://schemas.openxmlformats.org/officeDocument/2006/relationships/table" Target="/xl/tables/table14.xml" Id="rId1"/></Relationships>
</file>

<file path=xl/worksheets/_rels/sheet37.xml.rels><Relationships xmlns="http://schemas.openxmlformats.org/package/2006/relationships"><Relationship Type="http://schemas.openxmlformats.org/officeDocument/2006/relationships/table" Target="/xl/tables/table15.xml" Id="rId1"/></Relationships>
</file>

<file path=xl/worksheets/_rels/sheet38.xml.rels><Relationships xmlns="http://schemas.openxmlformats.org/package/2006/relationships"><Relationship Type="http://schemas.openxmlformats.org/officeDocument/2006/relationships/table" Target="/xl/tables/table16.xml" Id="rId1"/></Relationships>
</file>

<file path=xl/worksheets/_rels/sheet39.xml.rels><Relationships xmlns="http://schemas.openxmlformats.org/package/2006/relationships"><Relationship Type="http://schemas.openxmlformats.org/officeDocument/2006/relationships/table" Target="/xl/tables/table17.xml" Id="rId1"/></Relationships>
</file>

<file path=xl/worksheets/_rels/sheet40.xml.rels><Relationships xmlns="http://schemas.openxmlformats.org/package/2006/relationships"><Relationship Type="http://schemas.openxmlformats.org/officeDocument/2006/relationships/table" Target="/xl/tables/table18.xml" Id="rId1"/></Relationships>
</file>

<file path=xl/worksheets/_rels/sheet41.xml.rels><Relationships xmlns="http://schemas.openxmlformats.org/package/2006/relationships"><Relationship Type="http://schemas.openxmlformats.org/officeDocument/2006/relationships/table" Target="/xl/tables/table19.xml" Id="rId1"/></Relationships>
</file>

<file path=xl/worksheets/_rels/sheet42.xml.rels><Relationships xmlns="http://schemas.openxmlformats.org/package/2006/relationships"><Relationship Type="http://schemas.openxmlformats.org/officeDocument/2006/relationships/table" Target="/xl/tables/table20.xml" Id="rId1"/></Relationships>
</file>

<file path=xl/worksheets/_rels/sheet43.xml.rels><Relationships xmlns="http://schemas.openxmlformats.org/package/2006/relationships"><Relationship Type="http://schemas.openxmlformats.org/officeDocument/2006/relationships/table" Target="/xl/tables/table21.xml" Id="rId1"/></Relationships>
</file>

<file path=xl/worksheets/_rels/sheet44.xml.rels><Relationships xmlns="http://schemas.openxmlformats.org/package/2006/relationships"><Relationship Type="http://schemas.openxmlformats.org/officeDocument/2006/relationships/table" Target="/xl/tables/table22.xml" Id="rId1"/></Relationships>
</file>

<file path=xl/worksheets/_rels/sheet45.xml.rels><Relationships xmlns="http://schemas.openxmlformats.org/package/2006/relationships"><Relationship Type="http://schemas.openxmlformats.org/officeDocument/2006/relationships/table" Target="/xl/tables/table23.xml" Id="rId1"/></Relationships>
</file>

<file path=xl/worksheets/_rels/sheet46.xml.rels><Relationships xmlns="http://schemas.openxmlformats.org/package/2006/relationships"><Relationship Type="http://schemas.openxmlformats.org/officeDocument/2006/relationships/table" Target="/xl/tables/table24.xml" Id="rId1"/></Relationships>
</file>

<file path=xl/worksheets/_rels/sheet47.xml.rels><Relationships xmlns="http://schemas.openxmlformats.org/package/2006/relationships"><Relationship Type="http://schemas.openxmlformats.org/officeDocument/2006/relationships/table" Target="/xl/tables/table25.xml" Id="rId1"/></Relationships>
</file>

<file path=xl/worksheets/_rels/sheet48.xml.rels><Relationships xmlns="http://schemas.openxmlformats.org/package/2006/relationships"><Relationship Type="http://schemas.openxmlformats.org/officeDocument/2006/relationships/table" Target="/xl/tables/table26.xml" Id="rId1"/></Relationships>
</file>

<file path=xl/worksheets/sheet1.xml><?xml version="1.0" encoding="utf-8"?>
<ns0:worksheet xmlns:ns0="http://schemas.openxmlformats.org/spreadsheetml/2006/main" xmlns:ns1="http://schemas.openxmlformats.org/officeDocument/2006/relationships">
  <ns0:sheetPr>
    <ns0:tabColor rgb="00177E89"/>
    <ns0:outlinePr summaryBelow="1" summaryRight="0"/>
    <ns0:pageSetUpPr fitToPage="1"/>
  </ns0:sheetPr>
  <ns0:dimension ref="A1:C27"/>
  <ns0:sheetViews>
    <ns0:sheetView showGridLines="0" workbookViewId="0">
      <ns0:pane xSplit="2" ySplit="4" topLeftCell="C5" activePane="bottomRight" state="frozen"/>
      <ns0:selection pane="topRight"/>
      <ns0:selection pane="bottomLeft"/>
      <ns0:selection pane="bottomRight" activeCell="A1" sqref="A1"/>
    </ns0:sheetView>
  </ns0:sheetViews>
  <ns0:sheetFormatPr baseColWidth="8" defaultRowHeight="15"/>
  <ns0:cols>
    <ns0:col width="43" customWidth="1" min="1" max="1"/>
    <ns0:col width="19" customWidth="1" min="2" max="2"/>
    <ns0:col width="104" customWidth="1" min="3" max="3"/>
  </ns0:cols>
  <ns0:sheetData>
    <ns0:row r="1" ht="36" customHeight="1">
      <ns0:c r="A1" s="16" t="inlineStr">
        <ns0:is>
          <ns0:t>IA + TEA | Cierre analitico</ns0:t>
        </ns0:is>
      </ns0:c>
    </ns0:row>
    <ns0:row r="2" ht="32" customHeight="1">
      <ns0:c r="A2" s="17" t="inlineStr">
        <ns0:is>
          <ns0:t>Version congelada: 8 septiembre 2026 | Una referencia = un informe; no una cohorte independiente.</ns0:t>
        </ns0:is>
      </ns0:c>
    </ns0:row>
    <ns0:row r="4" ht="34" customHeight="1">
      <ns0:c r="A4" s="18" t="inlineStr">
        <ns0:is>
          <ns0:t>Control</ns0:t>
        </ns0:is>
      </ns0:c>
      <ns0:c r="B4" s="18" t="inlineStr">
        <ns0:is>
          <ns0:t>Valor</ns0:t>
        </ns0:is>
      </ns0:c>
      <ns0:c r="C4" s="18" t="inlineStr">
        <ns0:is>
          <ns0:t>Interpretacion</ns0:t>
        </ns0:is>
      </ns0:c>
    </ns0:row>
    <ns0:row r="5" ht="47" customHeight="1">
      <ns0:c r="A5" s="19" t="inlineStr">
        <ns0:is>
          <ns0:t>Registros conservados</ns0:t>
        </ns0:is>
      </ns0:c>
      <ns0:c r="B5" s="20">
        <ns0:f>COUNTA('BASE_CIERRE'!$A$5:$A$458)</ns0:f>
        <ns0:v>454</ns0:v>
      </ns0:c>
      <ns0:c r="C5" s="19" t="inlineStr">
        <ns0:is>
          <ns0:t>Todos los registros originales permanecen auditables; no se borraron filas.</ns0:t>
        </ns0:is>
      </ns0:c>
    </ns0:row>
    <ns0:row r="6" ht="47" customHeight="1">
      <ns0:c r="A6" s="21" t="inlineStr">
        <ns0:is>
          <ns0:t>Incluidos en sintesis principal</ns0:t>
        </ns0:is>
      </ns0:c>
      <ns0:c r="B6" s="22">
        <ns0:f>COUNTIFS('BASE_CIERRE'!$G$5:$G$458,1)</ns0:f>
        <ns0:v>428</ns0:v>
      </ns0:c>
      <ns0:c r="C6" s="21" t="inlineStr">
        <ns0:is>
          <ns0:t>Corpus ampliado tras 26 exclusiones documentadas. No equivale a 428 estudios verificados en texto completo en esta pasada.</ns0:t>
        </ns0:is>
      </ns0:c>
    </ns0:row>
    <ns0:row r="7" ht="47" customHeight="1">
      <ns0:c r="A7" s="19" t="inlineStr">
        <ns0:is>
          <ns0:t>Exclusiones de esta auditoria</ns0:t>
        </ns0:is>
      </ns0:c>
      <ns0:c r="B7" s="20">
        <ns0:f>COUNTIFS('BASE_CIERRE'!$F$5:$F$458,"Exclude")</ns0:f>
        <ns0:v>26</ns0:v>
      </ns0:c>
      <ns0:c r="C7" s="19" t="inlineStr">
        <ns0:is>
          <ns0:t>Tipos no elegibles, ausencia de IA pertinente, tema/poblacion fuera de alcance y dos retractados.</ns0:t>
        </ns0:is>
      </ns0:c>
    </ns0:row>
    <ns0:row r="8" ht="47" customHeight="1">
      <ns0:c r="A8" s="21" t="inlineStr">
        <ns0:is>
          <ns0:t>Etapa clinica resuelta</ns0:t>
        </ns0:is>
      </ns0:c>
      <ns0:c r="B8" s="22">
        <ns0:f>COUNTIFS('BASE_CIERRE'!$AF$5:$AF$458,1)</ns0:f>
        <ns0:v>397</ns0:v>
      </ns0:c>
      <ns0:c r="C8" s="21" t="inlineStr">
        <ns0:is>
          <ns0:t>Base de los porcentajes por las cinco etapas; 31 informes sin etapa unica permanecen en el corpus.</ns0:t>
        </ns0:is>
      </ns0:c>
    </ns0:row>
    <ns0:row r="9" ht="47" customHeight="1">
      <ns0:c r="A9" s="19" t="inlineStr">
        <ns0:is>
          <ns0:t>Uso de IA evaluado</ns0:t>
        </ns0:is>
      </ns0:c>
      <ns0:c r="B9" s="20">
        <ns0:f>COUNTIFS('BASE_CIERRE'!$G$5:$G$458,1,'BASE_CIERRE'!$M$5:$M$458,"Evaluated at point of use")+COUNTIFS('BASE_CIERRE'!$G$5:$G$458,1,'BASE_CIERRE'!$M$5:$M$458,"Evaluated AI-supported intervention")+COUNTIFS('BASE_CIERRE'!$G$5:$G$458,1,'BASE_CIERRE'!$M$5:$M$458,"Evaluated care-delivery platform")</ns0:f>
        <ns0:v>19</ns0:v>
      </ns0:c>
      <ns0:c r="C9" s="19" t="inlineStr">
        <ns0:is>
          <ns0:t>8 evaluaciones en punto de uso, 10 intervenciones y 1 plataforma de atencion; no implica eficacia clinica demostrada.</ns0:t>
        </ns0:is>
      </ns0:c>
    </ns0:row>
    <ns0:row r="10" ht="47" customHeight="1">
      <ns0:c r="A10" s="21" t="inlineStr">
        <ns0:is>
          <ns0:t>Sin alertas editoriales</ns0:t>
        </ns0:is>
      </ns0:c>
      <ns0:c r="B10" s="22">
        <ns0:f>COUNTIFS('BASE_CIERRE'!$AD$5:$AD$458,1)</ns0:f>
        <ns0:v>426</ns0:v>
      </ns0:c>
      <ns0:c r="C10" s="21" t="inlineStr">
        <ns0:is>
          <ns0:t>Excluye dos expresiones de preocupacion, ademas de los retractados ya excluidos.</ns0:t>
        </ns0:is>
      </ns0:c>
    </ns0:row>
    <ns0:row r="11" ht="47" customHeight="1">
      <ns0:c r="A11" s="19" t="inlineStr">
        <ns0:is>
          <ns0:t>Sensibilidad conservadora</ns0:t>
        </ns0:is>
      </ns0:c>
      <ns0:c r="B11" s="20">
        <ns0:f>COUNTIFS('BASE_CIERRE'!$AE$5:$AE$458,1)</ns0:f>
        <ns0:v>410</ns0:v>
      </ns0:c>
      <ns0:c r="C11" s="19" t="inlineStr">
        <ns0:is>
          <ns0:t>Excluye alertas editoriales y 16 cautelas adicionales de alcance/fuente.</ns0:t>
        </ns0:is>
      </ns0:c>
    </ns0:row>
    <ns0:row r="12" ht="47" customHeight="1">
      <ns0:c r="A12" s="21" t="inlineStr">
        <ns0:is>
          <ns0:t>Sensibilidad de etapa directa</ns0:t>
        </ns0:is>
      </ns0:c>
      <ns0:c r="B12" s="22">
        <ns0:f>COUNTIFS('BASE_CIERRE'!$AG$5:$AG$458,1)</ns0:f>
        <ns0:v>385</ns0:v>
      </ns0:c>
      <ns0:c r="C12" s="21" t="inlineStr">
        <ns0:is>
          <ns0:t>Subconjunto conservador con una de las cinco etapas clinicas resuelta.</ns0:t>
        </ns0:is>
      </ns0:c>
    </ns0:row>
    <ns0:row r="13" ht="47" customHeight="1">
      <ns0:c r="A13" s="23" t="inlineStr">
        <ns0:is>
          <ns0:t>Verificacion humana de esta recodificacion</ns0:t>
        </ns0:is>
      </ns0:c>
      <ns0:c r="B13" s="23" t="inlineStr">
        <ns0:is>
          <ns0:t>No documentada</ns0:t>
        </ns0:is>
      </ns0:c>
      <ns0:c r="C13" s="23" t="inlineStr">
        <ns0:is>
          <ns0:t>No atribuir esta auditoria a los dos revisores ni afirmar concordancia independiente.</ns0:t>
        </ns0:is>
      </ns0:c>
    </ns0:row>
    <ns0:row r="14" ht="47" customHeight="1">
      <ns0:c r="A14" s="23" t="inlineStr">
        <ns0:is>
          <ns0:t>PRISMA inicial</ns0:t>
        </ns0:is>
      </ns0:c>
      <ns0:c r="B14" s="23" t="inlineStr">
        <ns0:is>
          <ns0:t>No reconstruible</ns0:t>
        </ns0:is>
      </ns0:c>
      <ns0:c r="C14" s="23" t="inlineStr">
        <ns0:is>
          <ns0:t>El manuscrito informa 282; la base historica contiene 276. Falta trazabilidad de seis referencias y del flujo inicial.</ns0:t>
        </ns0:is>
      </ns0:c>
    </ns0:row>
    <ns0:row r="15" ht="47" customHeight="1">
      <ns0:c r="A15" s="19" t="inlineStr">
        <ns0:is>
          <ns0:t>Entrada de los scripts</ns0:t>
        </ns0:is>
      </ns0:c>
      <ns0:c r="B15" s="19" t="inlineStr">
        <ns0:is>
          <ns0:t>BASE_CIERRE</ns0:t>
        </ns0:is>
      </ns0:c>
      <ns0:c r="C15" s="19" t="inlineStr">
        <ns0:is>
          <ns0:t>Las hojas originales estan ocultas como archivo. No mezclar con los antiguos XLSX ni con las cifras 282/273/260.</ns0:t>
        </ns0:is>
      </ns0:c>
    </ns0:row>
    <ns0:row r="16" ht="47" customHeight="1">
      <ns0:c r="A16" s="21" t="inlineStr">
        <ns0:is>
          <ns0:t>Inicio para redactar</ns0:t>
        </ns0:is>
      </ns0:c>
      <ns0:c r="B16" s="21" t="inlineStr">
        <ns0:is>
          <ns0:t>RESULTADOS_EN</ns0:t>
        </ns0:is>
      </ns0:c>
      <ns0:c r="C16" s="21" t="inlineStr">
        <ns0:is>
          <ns0:t>Texto en ingles, tablas con denominadores, limitaciones y reemplazos numericos. No se reescribio el manuscrito original.</ns0:t>
        </ns0:is>
      </ns0:c>
    </ns0:row>
    <ns0:row r="17" ht="32" customHeight="1"/>
    <ns0:row r="18" ht="27" customHeight="1">
      <ns0:c r="A18" s="21" t="inlineStr">
        <ns0:is>
          <ns0:t>RESUMEN_CIERRE</ns0:t>
        </ns0:is>
      </ns0:c>
      <ns0:c r="B18" s="24" t="inlineStr">
        <ns0:is>
          <ns0:t>Abrir</ns0:t>
        </ns0:is>
      </ns0:c>
      <ns0:c r="C18" s="21" t="inlineStr">
        <ns0:is>
          <ns0:t>Distribuciones y denominadores recalculables.</ns0:t>
        </ns0:is>
      </ns0:c>
    </ns0:row>
    <ns0:row r="19" ht="27" customHeight="1">
      <ns0:c r="A19" s="19" t="inlineStr">
        <ns0:is>
          <ns0:t>RQ1_PERFILES</ns0:t>
        </ns0:is>
      </ns0:c>
      <ns0:c r="B19" s="25" t="inlineStr">
        <ns0:is>
          <ns0:t>Abrir</ns0:t>
        </ns0:is>
      </ns0:c>
      <ns0:c r="C19" s="19" t="inlineStr">
        <ns0:is>
          <ns0:t>Tecnica x fuente x etapa; incluye todos los perfiles.</ns0:t>
        </ns0:is>
      </ns0:c>
    </ns0:row>
    <ns0:row r="20" ht="27" customHeight="1">
      <ns0:c r="A20" s="21" t="inlineStr">
        <ns0:is>
          <ns0:t>RQ2_INTEGRACION</ns0:t>
        </ns0:is>
      </ns0:c>
      <ns0:c r="B20" s="24" t="inlineStr">
        <ns0:is>
          <ns0:t>Abrir</ns0:t>
        </ns0:is>
      </ns0:c>
      <ns0:c r="C20" s="21" t="inlineStr">
        <ns0:is>
          <ns0:t>Etapa, madurez de uso, rol y momento de decision.</ns0:t>
        </ns0:is>
      </ns0:c>
    </ns0:row>
    <ns0:row r="21" ht="27" customHeight="1">
      <ns0:c r="A21" s="19" t="inlineStr">
        <ns0:is>
          <ns0:t>RQ3_PRACTICAS</ns0:t>
        </ns0:is>
      </ns0:c>
      <ns0:c r="B21" s="25" t="inlineStr">
        <ns0:is>
          <ns0:t>Abrir</ns0:t>
        </ns0:is>
      </ns0:c>
      <ns0:c r="C21" s="19" t="inlineStr">
        <ns0:is>
          <ns0:t>Cuatro practicas principales y analisis estricto adicional.</ns0:t>
        </ns0:is>
      </ns0:c>
    </ns0:row>
    <ns0:row r="22" ht="27" customHeight="1">
      <ns0:c r="A22" s="21" t="inlineStr">
        <ns0:is>
          <ns0:t>RQ3_PERFILES</ns0:t>
        </ns0:is>
      </ns0:c>
      <ns0:c r="B22" s="24" t="inlineStr">
        <ns0:is>
          <ns0:t>Abrir</ns0:t>
        </ns0:is>
      </ns0:c>
      <ns0:c r="C22" s="21" t="inlineStr">
        <ns0:is>
          <ns0:t>Numeradores, no reportados e indeterminados en cada perfil.</ns0:t>
        </ns0:is>
      </ns0:c>
    </ns0:row>
    <ns0:row r="23" ht="27" customHeight="1">
      <ns0:c r="A23" s="19" t="inlineStr">
        <ns0:is>
          <ns0:t>SENSIBILIDAD</ns0:t>
        </ns0:is>
      </ns0:c>
      <ns0:c r="B23" s="25" t="inlineStr">
        <ns0:is>
          <ns0:t>Abrir</ns0:t>
        </ns0:is>
      </ns0:c>
      <ns0:c r="C23" s="19" t="inlineStr">
        <ns0:is>
          <ns0:t>Robustez de los conteos a alertas y criterios conservadores.</ns0:t>
        </ns0:is>
      </ns0:c>
    </ns0:row>
    <ns0:row r="24" ht="27" customHeight="1">
      <ns0:c r="A24" s="21" t="inlineStr">
        <ns0:is>
          <ns0:t>EVIDENCIA_CIERRE</ns0:t>
        </ns0:is>
      </ns0:c>
      <ns0:c r="B24" s="24" t="inlineStr">
        <ns0:is>
          <ns0:t>Abrir</ns0:t>
        </ns0:is>
      </ns0:c>
      <ns0:c r="C24" s="21" t="inlineStr">
        <ns0:is>
          <ns0:t>Fuentes, texto original, notas y procedencia de las correcciones.</ns0:t>
        </ns0:is>
      </ns0:c>
    </ns0:row>
    <ns0:row r="25" ht="27" customHeight="1">
      <ns0:c r="A25" s="19" t="inlineStr">
        <ns0:is>
          <ns0:t>CAMBIOS_CIERRE</ns0:t>
        </ns0:is>
      </ns0:c>
      <ns0:c r="B25" s="25" t="inlineStr">
        <ns0:is>
          <ns0:t>Abrir</ns0:t>
        </ns0:is>
      </ns0:c>
      <ns0:c r="C25" s="19" t="inlineStr">
        <ns0:is>
          <ns0:t>Antes/despues por campo; 2,449 cambios trazables.</ns0:t>
        </ns0:is>
      </ns0:c>
    </ns0:row>
    <ns0:row r="26" ht="27" customHeight="1">
      <ns0:c r="A26" s="21" t="inlineStr">
        <ns0:is>
          <ns0:t>PRISMA_CIERRE</ns0:t>
        </ns0:is>
      </ns0:c>
      <ns0:c r="B26" s="24" t="inlineStr">
        <ns0:is>
          <ns0:t>Abrir</ns0:t>
        </ns0:is>
      </ns0:c>
      <ns0:c r="C26" s="21" t="inlineStr">
        <ns0:is>
          <ns0:t>Flujo verificable de la actualizacion y hueco historico.</ns0:t>
        </ns0:is>
      </ns0:c>
    </ns0:row>
    <ns0:row r="27" ht="27" customHeight="1">
      <ns0:c r="A27" s="19" t="inlineStr">
        <ns0:is>
          <ns0:t>VALIDACION</ns0:t>
        </ns0:is>
      </ns0:c>
      <ns0:c r="B27" s="25" t="inlineStr">
        <ns0:is>
          <ns0:t>Abrir</ns0:t>
        </ns0:is>
      </ns0:c>
      <ns0:c r="C27" s="19" t="inlineStr">
        <ns0:is>
          <ns0:t>Controles computacionales; no auditoria humana ficticia.</ns0:t>
        </ns0:is>
      </ns0:c>
    </ns0:row>
  </ns0:sheetData>
  <ns0:autoFilter ref="A4:C27"/>
  <ns0:mergeCells count="2">
    <ns0:mergeCell ref="A1:C1"/>
    <ns0:mergeCell ref="A2:C2"/>
  </ns0:mergeCells>
  <ns0:hyperlinks>
    <ns0:hyperlink ref="B18" ns1:id="rId1"/>
    <ns0:hyperlink ref="B19" ns1:id="rId2"/>
    <ns0:hyperlink ref="B20" ns1:id="rId3"/>
    <ns0:hyperlink ref="B21" ns1:id="rId4"/>
    <ns0:hyperlink ref="B22" ns1:id="rId5"/>
    <ns0:hyperlink ref="B23" ns1:id="rId6"/>
    <ns0:hyperlink ref="B24" ns1:id="rId7"/>
    <ns0:hyperlink ref="B25" ns1:id="rId8"/>
    <ns0:hyperlink ref="B26" ns1:id="rId9"/>
    <ns0:hyperlink ref="B27" ns1:id="rId10"/>
  </ns0:hyperlinks>
  <ns0:printOptions horizontalCentered="1"/>
  <ns0:pageMargins left="0.75" right="0.75" top="1" bottom="1" header="0.5" footer="0.5"/>
  <ns0:pageSetup orientation="landscape" paperSize="8" fitToHeight="0" fitToWidth="1"/>
</ns0:worksheet>
</file>

<file path=xl/worksheets/sheet2.xml><?xml version="1.0" encoding="utf-8"?>
<ns0:worksheet xmlns:ns0="http://schemas.openxmlformats.org/spreadsheetml/2006/main" xmlns:ns1="http://schemas.openxmlformats.org/officeDocument/2006/relationships">
  <ns0:sheetPr>
    <ns0:tabColor rgb="00177E89"/>
    <ns0:outlinePr summaryBelow="1" summaryRight="0"/>
    <ns0:pageSetUpPr fitToPage="1"/>
  </ns0:sheetPr>
  <ns0:dimension ref="A1:AS458"/>
  <ns0:sheetViews>
    <ns0:sheetView showGridLines="0" workbookViewId="0">
      <ns0:pane xSplit="2" ySplit="4" topLeftCell="C5" activePane="bottomRight" state="frozen"/>
      <ns0:selection pane="topRight"/>
      <ns0:selection pane="bottomLeft"/>
      <ns0:selection pane="bottomRight" activeCell="A1" sqref="A1"/>
    </ns0:sheetView>
  </ns0:sheetViews>
  <ns0:sheetFormatPr baseColWidth="8" defaultRowHeight="15"/>
  <ns0:cols>
    <ns0:col width="13" customWidth="1" min="1" max="1"/>
    <ns0:col width="15" customWidth="1" min="2" max="2"/>
    <ns0:col width="68" customWidth="1" min="3" max="3"/>
    <ns0:col width="40" customWidth="1" min="4" max="4"/>
    <ns0:col width="10" customWidth="1" min="5" max="5"/>
    <ns0:col width="24" customWidth="1" min="6" max="6"/>
    <ns0:col width="24" customWidth="1" min="7" max="7"/>
    <ns0:col width="24" customWidth="1" min="8" max="8"/>
    <ns0:col width="24" customWidth="1" min="9" max="9"/>
    <ns0:col width="24" customWidth="1" min="10" max="10"/>
    <ns0:col width="60" customWidth="1" min="11" max="11"/>
    <ns0:col width="24" customWidth="1" min="12" max="12"/>
    <ns0:col width="24" customWidth="1" min="13" max="13"/>
    <ns0:col width="24" customWidth="1" min="14" max="14"/>
    <ns0:col width="24" customWidth="1" min="15" max="15"/>
    <ns0:col width="24" customWidth="1" min="16" max="16"/>
    <ns0:col width="24" customWidth="1" min="17" max="17"/>
    <ns0:col width="24" customWidth="1" min="18" max="18"/>
    <ns0:col width="24" customWidth="1" min="19" max="19"/>
    <ns0:col width="24" customWidth="1" min="20" max="20"/>
    <ns0:col width="24" customWidth="1" min="21" max="21"/>
    <ns0:col width="24" customWidth="1" min="22" max="22"/>
    <ns0:col width="24" customWidth="1" min="23" max="23"/>
    <ns0:col width="24" customWidth="1" min="24" max="24"/>
    <ns0:col width="24" customWidth="1" min="25" max="25"/>
    <ns0:col width="24" customWidth="1" min="26" max="26"/>
    <ns0:col width="24" customWidth="1" min="27" max="27"/>
    <ns0:col width="24" customWidth="1" min="28" max="28"/>
    <ns0:col width="24" customWidth="1" min="29" max="29"/>
    <ns0:col width="24" customWidth="1" min="30" max="30"/>
    <ns0:col width="24" customWidth="1" min="31" max="31"/>
    <ns0:col width="24" customWidth="1" min="32" max="32"/>
    <ns0:col width="24" customWidth="1" min="33" max="33"/>
    <ns0:col hidden="1" outlineLevel="1" width="55" customWidth="1" min="34" max="45"/>
  </ns0:cols>
  <ns0:sheetData>
    <ns0:row r="1" ht="36" customHeight="1">
      <ns0:c r="A1" s="16" t="inlineStr">
        <ns0:is>
          <ns0:t>Base unica de analisis</ns0:t>
        </ns0:is>
      </ns0:c>
    </ns0:row>
    <ns0:row r="2" ht="32" customHeight="1">
      <ns0:c r="A2" s="17" t="inlineStr">
        <ns0:is>
          <ns0:t>Modificar solamente codigos basados en evidencia; todos los resumenes se derivan de esta hoja. Las columnas de inclusion son formulas.</ns0:t>
        </ns0:is>
      </ns0:c>
    </ns0:row>
    <ns0:row r="4" ht="34" customHeight="1">
      <ns0:c r="A4" s="18" t="inlineStr">
        <ns0:is>
          <ns0:t>study_id</ns0:t>
        </ns0:is>
      </ns0:c>
      <ns0:c r="B4" s="18" t="inlineStr">
        <ns0:is>
          <ns0:t>cohort</ns0:t>
        </ns0:is>
      </ns0:c>
      <ns0:c r="C4" s="18" t="inlineStr">
        <ns0:is>
          <ns0:t>title</ns0:t>
        </ns0:is>
      </ns0:c>
      <ns0:c r="D4" s="18" t="inlineStr">
        <ns0:is>
          <ns0:t>doi</ns0:t>
        </ns0:is>
      </ns0:c>
      <ns0:c r="E4" s="18" t="inlineStr">
        <ns0:is>
          <ns0:t>year</ns0:t>
        </ns0:is>
      </ns0:c>
      <ns0:c r="F4" s="18" t="inlineStr">
        <ns0:is>
          <ns0:t>eligibility</ns0:t>
        </ns0:is>
      </ns0:c>
      <ns0:c r="G4" s="18" t="inlineStr">
        <ns0:is>
          <ns0:t>include_main</ns0:t>
        </ns0:is>
      </ns0:c>
      <ns0:c r="H4" s="18" t="inlineStr">
        <ns0:is>
          <ns0:t>stage_primary</ns0:t>
        </ns0:is>
      </ns0:c>
      <ns0:c r="I4" s="18" t="inlineStr">
        <ns0:is>
          <ns0:t>ai_type</ns0:t>
        </ns0:is>
      </ns0:c>
      <ns0:c r="J4" s="18" t="inlineStr">
        <ns0:is>
          <ns0:t>data_source_primary</ns0:t>
        </ns0:is>
      </ns0:c>
      <ns0:c r="K4" s="18" t="inlineStr">
        <ns0:is>
          <ns0:t>algorithm_main</ns0:t>
        </ns0:is>
      </ns0:c>
      <ns0:c r="L4" s="18" t="inlineStr">
        <ns0:is>
          <ns0:t>algorithm_family</ns0:t>
        </ns0:is>
      </ns0:c>
      <ns0:c r="M4" s="18" t="inlineStr">
        <ns0:is>
          <ns0:t>rq2_status</ns0:t>
        </ns0:is>
      </ns0:c>
      <ns0:c r="N4" s="18" t="inlineStr">
        <ns0:is>
          <ns0:t>rq2_role</ns0:t>
        </ns0:is>
      </ns0:c>
      <ns0:c r="O4" s="18" t="inlineStr">
        <ns0:is>
          <ns0:t>decision_timing_coded</ns0:t>
        </ns0:is>
      </ns0:c>
      <ns0:c r="P4" s="18" t="inlineStr">
        <ns0:is>
          <ns0:t>observed_decision_timing</ns0:t>
        </ns0:is>
      </ns0:c>
      <ns0:c r="Q4" s="18" t="inlineStr">
        <ns0:is>
          <ns0:t>external_validation</ns0:t>
        </ns0:is>
      </ns0:c>
      <ns0:c r="R4" s="18" t="inlineStr">
        <ns0:is>
          <ns0:t>multisource_integration</ns0:t>
        </ns0:is>
      </ns0:c>
      <ns0:c r="S4" s="18" t="inlineStr">
        <ns0:is>
          <ns0:t>xai_broad</ns0:t>
        </ns0:is>
      </ns0:c>
      <ns0:c r="T4" s="18" t="inlineStr">
        <ns0:is>
          <ns0:t>xai_strict</ns0:t>
        </ns0:is>
      </ns0:c>
      <ns0:c r="U4" s="18" t="inlineStr">
        <ns0:is>
          <ns0:t>cross_site_robustness</ns0:t>
        </ns0:is>
      </ns0:c>
      <ns0:c r="V4" s="18" t="inlineStr">
        <ns0:is>
          <ns0:t>multisite_dataset</ns0:t>
        </ns0:is>
      </ns0:c>
      <ns0:c r="W4" s="18" t="inlineStr">
        <ns0:is>
          <ns0:t>multisource_data</ns0:t>
        </ns0:is>
      </ns0:c>
      <ns0:c r="X4" s="18" t="inlineStr">
        <ns0:is>
          <ns0:t>prospective_evaluation</ns0:t>
        </ns0:is>
      </ns0:c>
      <ns0:c r="Y4" s="18" t="inlineStr">
        <ns0:is>
          <ns0:t>prospective_data_collection</ns0:t>
        </ns0:is>
      </ns0:c>
      <ns0:c r="Z4" s="18" t="inlineStr">
        <ns0:is>
          <ns0:t>xai_partial</ns0:t>
        </ns0:is>
      </ns0:c>
      <ns0:c r="AA4" s="18" t="inlineStr">
        <ns0:is>
          <ns0:t>integrity_status</ns0:t>
        </ns0:is>
      </ns0:c>
      <ns0:c r="AB4" s="18" t="inlineStr">
        <ns0:is>
          <ns0:t>integrity_caution</ns0:t>
        </ns0:is>
      </ns0:c>
      <ns0:c r="AC4" s="18" t="inlineStr">
        <ns0:is>
          <ns0:t>source_scope_caution</ns0:t>
        </ns0:is>
      </ns0:c>
      <ns0:c r="AD4" s="18" t="inlineStr">
        <ns0:is>
          <ns0:t>include_no_editorial_alert</ns0:t>
        </ns0:is>
      </ns0:c>
      <ns0:c r="AE4" s="18" t="inlineStr">
        <ns0:is>
          <ns0:t>include_conservative</ns0:t>
        </ns0:is>
      </ns0:c>
      <ns0:c r="AF4" s="18" t="inlineStr">
        <ns0:is>
          <ns0:t>stage_resolved</ns0:t>
        </ns0:is>
      </ns0:c>
      <ns0:c r="AG4" s="18" t="inlineStr">
        <ns0:is>
          <ns0:t>include_direct_stage_sensitivity</ns0:t>
        </ns0:is>
      </ns0:c>
      <ns0:c r="AH4" s="18" t="inlineStr">
        <ns0:is>
          <ns0:t>source_level</ns0:t>
        </ns0:is>
      </ns0:c>
      <ns0:c r="AI4" s="18" t="inlineStr">
        <ns0:is>
          <ns0:t>source_url</ns0:t>
        </ns0:is>
      </ns0:c>
      <ns0:c r="AJ4" s="18" t="inlineStr">
        <ns0:is>
          <ns0:t>source_locator</ns0:t>
        </ns0:is>
      </ns0:c>
      <ns0:c r="AK4" s="18" t="inlineStr">
        <ns0:is>
          <ns0:t>rationale</ns0:t>
        </ns0:is>
      </ns0:c>
      <ns0:c r="AL4" s="18" t="inlineStr">
        <ns0:is>
          <ns0:t>exclusion_reason</ns0:t>
        </ns0:is>
      </ns0:c>
      <ns0:c r="AM4" s="18" t="inlineStr">
        <ns0:is>
          <ns0:t>endpoint_level</ns0:t>
        </ns0:is>
      </ns0:c>
      <ns0:c r="AN4" s="18" t="inlineStr">
        <ns0:is>
          <ns0:t>source_scope_caution_detail</ns0:t>
        </ns0:is>
      </ns0:c>
      <ns0:c r="AO4" s="18" t="inlineStr">
        <ns0:is>
          <ns0:t>publication_status_update</ns0:t>
        </ns0:is>
      </ns0:c>
      <ns0:c r="AP4" s="18" t="inlineStr">
        <ns0:is>
          <ns0:t>independent_human_verification</ns0:t>
        </ns0:is>
      </ns0:c>
      <ns0:c r="AQ4" s="18" t="inlineStr">
        <ns0:is>
          <ns0:t>assessor</ns0:t>
        </ns0:is>
      </ns0:c>
      <ns0:c r="AR4" s="18" t="inlineStr">
        <ns0:is>
          <ns0:t>original_reviewer</ns0:t>
        </ns0:is>
      </ns0:c>
      <ns0:c r="AS4" s="18" t="inlineStr">
        <ns0:is>
          <ns0:t>original_access_status</ns0:t>
        </ns0:is>
      </ns0:c>
    </ns0:row>
    <ns0:row r="5" ht="50" customHeight="1">
      <ns0:c r="A5" s="19" t="inlineStr">
        <ns0:is>
          <ns0:t>1</ns0:t>
        </ns0:is>
      </ns0:c>
      <ns0:c r="B5" s="19" t="inlineStr">
        <ns0:is>
          <ns0:t>Historical</ns0:t>
        </ns0:is>
      </ns0:c>
      <ns0:c r="C5" s="19" t="inlineStr">
        <ns0:is>
          <ns0:t>A Clinically Interpretable Approach for Early Detection of Autism Using Machine Learning With Explainable AI</ns0:t>
        </ns0:is>
      </ns0:c>
      <ns0:c r="D5" s="19" t="inlineStr">
        <ns0:is>
          <ns0:t>10.1109/access.2025.3586314</ns0:t>
        </ns0:is>
      </ns0:c>
      <ns0:c r="E5" s="26" t="n">
        <ns0:v>2025</ns0:v>
      </ns0:c>
      <ns0:c r="F5" s="19" t="inlineStr">
        <ns0:is>
          <ns0:t>Include</ns0:t>
        </ns0:is>
      </ns0:c>
      <ns0:c r="G5" s="27">
        <ns0:f>IF(F5="Include",1,0)</ns0:f>
        <ns0:v>1</ns0:v>
      </ns0:c>
      <ns0:c r="H5" s="19" t="inlineStr">
        <ns0:is>
          <ns0:t>Screening</ns0:t>
        </ns0:is>
      </ns0:c>
      <ns0:c r="I5" s="19" t="inlineStr">
        <ns0:is>
          <ns0:t>Machine Learning</ns0:t>
        </ns0:is>
      </ns0:c>
      <ns0:c r="J5" s="19" t="inlineStr">
        <ns0:is>
          <ns0:t>Structured clinical/questionnaire data</ns0:t>
        </ns0:is>
      </ns0:c>
      <ns0:c r="K5" s="19" t="inlineStr">
        <ns0:is>
          <ns0:t>Random Forest</ns0:t>
        </ns0:is>
      </ns0:c>
      <ns0:c r="L5" s="19" t="inlineStr">
        <ns0:is>
          <ns0:t>Random forest</ns0:t>
        </ns0:is>
      </ns0:c>
      <ns0:c r="M5" s="19" t="inlineStr">
        <ns0:is>
          <ns0:t>Proposed only</ns0:t>
        </ns0:is>
      </ns0:c>
      <ns0:c r="N5" s="19" t="inlineStr">
        <ns0:is>
          <ns0:t>Triage/questionnaire assessment</ns0:t>
        </ns0:is>
      </ns0:c>
      <ns0:c r="O5" s="19" t="inlineStr">
        <ns0:is>
          <ns0:t>Pre-decision</ns0:t>
        </ns0:is>
      </ns0:c>
      <ns0:c r="P5" s="19" t="inlineStr">
        <ns0:is>
          <ns0:t>Not observed in assessed sources</ns0:t>
        </ns0:is>
      </ns0:c>
      <ns0:c r="Q5" s="19" t="inlineStr">
        <ns0:is>
          <ns0:t>Not reported in assessed sources</ns0:t>
        </ns0:is>
      </ns0:c>
      <ns0:c r="R5" s="19" t="inlineStr">
        <ns0:is>
          <ns0:t>Not reported in assessed sources</ns0:t>
        </ns0:is>
      </ns0:c>
      <ns0:c r="S5" s="19" t="inlineStr">
        <ns0:is>
          <ns0:t>Reported</ns0:t>
        </ns0:is>
      </ns0:c>
      <ns0:c r="T5" s="19" t="inlineStr">
        <ns0:is>
          <ns0:t>Reported</ns0:t>
        </ns0:is>
      </ns0:c>
      <ns0:c r="U5" s="19" t="inlineStr">
        <ns0:is>
          <ns0:t>Not reported in assessed sources</ns0:t>
        </ns0:is>
      </ns0:c>
      <ns0:c r="V5" s="19" t="inlineStr">
        <ns0:is>
          <ns0:t>Not reported in assessed sources</ns0:t>
        </ns0:is>
      </ns0:c>
      <ns0:c r="W5" s="19" t="inlineStr">
        <ns0:is>
          <ns0:t>Not reported in assessed sources</ns0:t>
        </ns0:is>
      </ns0:c>
      <ns0:c r="X5" s="19" t="inlineStr">
        <ns0:is>
          <ns0:t>Not reported in assessed sources</ns0:t>
        </ns0:is>
      </ns0:c>
      <ns0:c r="Y5" s="19" t="inlineStr">
        <ns0:is>
          <ns0:t>Not ascertainable</ns0:t>
        </ns0:is>
      </ns0:c>
      <ns0:c r="Z5" s="19" t="inlineStr">
        <ns0:is>
          <ns0:t>Not reported in assessed sources</ns0:t>
        </ns0:is>
      </ns0:c>
      <ns0:c r="AA5" s="19" t="inlineStr">
        <ns0:is>
          <ns0:t>Not recorded</ns0:t>
        </ns0:is>
      </ns0:c>
      <ns0:c r="AB5" s="26" t="n">
        <ns0:v>0</ns0:v>
      </ns0:c>
      <ns0:c r="AC5" s="26" t="n">
        <ns0:v>0</ns0:v>
      </ns0:c>
      <ns0:c r="AD5" s="27">
        <ns0:f>IF(AND(G5=1,AB5=0),1,0)</ns0:f>
        <ns0:v>1</ns0:v>
      </ns0:c>
      <ns0:c r="AE5" s="27">
        <ns0:f>IF(AND(AD5=1,AC5=0),1,0)</ns0:f>
        <ns0:v>1</ns0:v>
      </ns0:c>
      <ns0:c r="AF5" s="27">
        <ns0:f>IF(AND(G5=1,H5&lt;&gt;"Not specified"),1,0)</ns0:f>
        <ns0:v>1</ns0:v>
      </ns0:c>
      <ns0:c r="AG5" s="27">
        <ns0:f>IF(AND(AE5=1,AF5=1),1,0)</ns0:f>
        <ns0:v>1</ns0:v>
      </ns0:c>
      <ns0:c r="AH5" s="19" t="inlineStr">
        <ns0:is>
          <ns0:t>Supplied abstract/coding notes; no new full-text verification</ns0:t>
        </ns0:is>
      </ns0:c>
      <ns0:c r="AI5" s="19" t="inlineStr">
        <ns0:is>
          <ns0:t>https://doi.org/10.1109/access.2025.3586314</ns0:t>
        </ns0:is>
      </ns0:c>
      <ns0:c r="AJ5" s="19" t="inlineStr">
        <ns0:is>
          <ns0:t>EVIDENCIA; original abstract/coding notes and lot source trace; Historical signals: title/abstract/notes; full-text completion not independently established</ns0:t>
        </ns0:is>
      </ns0:c>
      <ns0:c r="AK5" s="19" t="inlineStr">
        <ns0:is>
          <ns0:t>Public age-specific screening datasets; five-fold CV and SHAP. Physician interpretation is proposed, not evaluated in a clinical workflow. Background mentions do not establish five clinical stages.</ns0:t>
        </ns0:is>
      </ns0:c>
      <ns0:c r="AL5" s="19" t="inlineStr">
        <ns0:is>
          <ns0:t>Not applicable</ns0:t>
        </ns0:is>
      </ns0:c>
      <ns0:c r="AM5" s="19" t="inlineStr">
        <ns0:is>
          <ns0:t>Not separately specified</ns0:t>
        </ns0:is>
      </ns0:c>
      <ns0:c r="AN5" s="19" t="inlineStr"/>
      <ns0:c r="AO5" s="19" t="inlineStr">
        <ns0:is>
          <ns0:t>No additional status determination</ns0:t>
        </ns0:is>
      </ns0:c>
      <ns0:c r="AP5" s="19" t="inlineStr">
        <ns0:is>
          <ns0:t>Not documented for this recharting</ns0:t>
        </ns0:is>
      </ns0:c>
      <ns0:c r="AQ5" s="19" t="inlineStr">
        <ns0:is>
          <ns0:t>ChatGPT-assisted evidence recharting, 2026-09-08</ns0:t>
        </ns0:is>
      </ns0:c>
      <ns0:c r="AR5" s="19" t="inlineStr"/>
      <ns0:c r="AS5" s="19" t="inlineStr">
        <ns0:is>
          <ns0:t>Not recorded; historical inclusion retained</ns0:t>
        </ns0:is>
      </ns0:c>
    </ns0:row>
    <ns0:row r="6" ht="50" customHeight="1">
      <ns0:c r="A6" s="21" t="inlineStr">
        <ns0:is>
          <ns0:t>2</ns0:t>
        </ns0:is>
      </ns0:c>
      <ns0:c r="B6" s="21" t="inlineStr">
        <ns0:is>
          <ns0:t>Historical</ns0:t>
        </ns0:is>
      </ns0:c>
      <ns0:c r="C6" s="21" t="inlineStr">
        <ns0:is>
          <ns0:t>Searching for a minimal set of behaviors for autism detection through feature selection-based machine learning</ns0:t>
        </ns0:is>
      </ns0:c>
      <ns0:c r="D6" s="21" t="inlineStr">
        <ns0:is>
          <ns0:t>10.1038/tp.2015.7</ns0:t>
        </ns0:is>
      </ns0:c>
      <ns0:c r="E6" s="28" t="n">
        <ns0:v>2015</ns0:v>
      </ns0:c>
      <ns0:c r="F6" s="21" t="inlineStr">
        <ns0:is>
          <ns0:t>Include</ns0:t>
        </ns0:is>
      </ns0:c>
      <ns0:c r="G6" s="29">
        <ns0:f>IF(F6="Include",1,0)</ns0:f>
        <ns0:v>1</ns0:v>
      </ns0:c>
      <ns0:c r="H6" s="21" t="inlineStr">
        <ns0:is>
          <ns0:t>Screening</ns0:t>
        </ns0:is>
      </ns0:c>
      <ns0:c r="I6" s="21" t="inlineStr">
        <ns0:is>
          <ns0:t>Machine Learning</ns0:t>
        </ns0:is>
      </ns0:c>
      <ns0:c r="J6" s="21" t="inlineStr">
        <ns0:is>
          <ns0:t>Structured clinical/questionnaire data</ns0:t>
        </ns0:is>
      </ns0:c>
      <ns0:c r="K6" s="21" t="inlineStr">
        <ns0:is>
          <ns0:t>Multiple algorithms compared (8; primary not specified)</ns0:t>
        </ns0:is>
      </ns0:c>
      <ns0:c r="L6" s="21" t="inlineStr">
        <ns0:is>
          <ns0:t>Multiple/not uniquely specified</ns0:t>
        </ns0:is>
      </ns0:c>
      <ns0:c r="M6" s="21" t="inlineStr">
        <ns0:is>
          <ns0:t>Proposed only</ns0:t>
        </ns0:is>
      </ns0:c>
      <ns0:c r="N6" s="21" t="inlineStr">
        <ns0:is>
          <ns0:t>Triage/questionnaire assessment</ns0:t>
        </ns0:is>
      </ns0:c>
      <ns0:c r="O6" s="21" t="inlineStr">
        <ns0:is>
          <ns0:t>Pre-decision</ns0:t>
        </ns0:is>
      </ns0:c>
      <ns0:c r="P6" s="21" t="inlineStr">
        <ns0:is>
          <ns0:t>Not observed in assessed sources</ns0:t>
        </ns0:is>
      </ns0:c>
      <ns0:c r="Q6" s="21" t="inlineStr">
        <ns0:is>
          <ns0:t>Not reported in assessed sources</ns0:t>
        </ns0:is>
      </ns0:c>
      <ns0:c r="R6" s="21" t="inlineStr">
        <ns0:is>
          <ns0:t>Not reported in assessed sources</ns0:t>
        </ns0:is>
      </ns0:c>
      <ns0:c r="S6" s="21" t="inlineStr">
        <ns0:is>
          <ns0:t>Reported</ns0:t>
        </ns0:is>
      </ns0:c>
      <ns0:c r="T6" s="21" t="inlineStr">
        <ns0:is>
          <ns0:t>Not reported in assessed sources</ns0:t>
        </ns0:is>
      </ns0:c>
      <ns0:c r="U6" s="21" t="inlineStr">
        <ns0:is>
          <ns0:t>Not reported in assessed sources</ns0:t>
        </ns0:is>
      </ns0:c>
      <ns0:c r="V6" s="21" t="inlineStr">
        <ns0:is>
          <ns0:t>Not reported in assessed sources</ns0:t>
        </ns0:is>
      </ns0:c>
      <ns0:c r="W6" s="21" t="inlineStr">
        <ns0:is>
          <ns0:t>Not reported in assessed sources</ns0:t>
        </ns0:is>
      </ns0:c>
      <ns0:c r="X6" s="21" t="inlineStr">
        <ns0:is>
          <ns0:t>Not reported in assessed sources</ns0:t>
        </ns0:is>
      </ns0:c>
      <ns0:c r="Y6" s="21" t="inlineStr">
        <ns0:is>
          <ns0:t>Not ascertainable</ns0:t>
        </ns0:is>
      </ns0:c>
      <ns0:c r="Z6" s="21" t="inlineStr">
        <ns0:is>
          <ns0:t>Reported</ns0:t>
        </ns0:is>
      </ns0:c>
      <ns0:c r="AA6" s="21" t="inlineStr">
        <ns0:is>
          <ns0:t>Not recorded</ns0:t>
        </ns0:is>
      </ns0:c>
      <ns0:c r="AB6" s="28" t="n">
        <ns0:v>0</ns0:v>
      </ns0:c>
      <ns0:c r="AC6" s="28" t="n">
        <ns0:v>0</ns0:v>
      </ns0:c>
      <ns0:c r="AD6" s="29">
        <ns0:f>IF(AND(G6=1,AB6=0),1,0)</ns0:f>
        <ns0:v>1</ns0:v>
      </ns0:c>
      <ns0:c r="AE6" s="29">
        <ns0:f>IF(AND(AD6=1,AC6=0),1,0)</ns0:f>
        <ns0:v>1</ns0:v>
      </ns0:c>
      <ns0:c r="AF6" s="29">
        <ns0:f>IF(AND(G6=1,H6&lt;&gt;"Not specified"),1,0)</ns0:f>
        <ns0:v>1</ns0:v>
      </ns0:c>
      <ns0:c r="AG6" s="29">
        <ns0:f>IF(AND(AE6=1,AF6=1),1,0)</ns0:f>
        <ns0:v>1</ns0:v>
      </ns0:c>
      <ns0:c r="AH6" s="21" t="inlineStr">
        <ns0:is>
          <ns0:t>Supplied abstract/coding notes; no new full-text verification</ns0:t>
        </ns0:is>
      </ns0:c>
      <ns0:c r="AI6" s="21" t="inlineStr">
        <ns0:is>
          <ns0:t>https://doi.org/10.1038/tp.2015.7</ns0:t>
        </ns0:is>
      </ns0:c>
      <ns0:c r="AJ6" s="21" t="inlineStr">
        <ns0:is>
          <ns0:t>EVIDENCIA; original abstract/coding notes and lot source trace; Historical signals: title/abstract/notes; full-text completion not independently established</ns0:t>
        </ns0:is>
      </ns0:c>
      <ns0:c r="AK6" s="21" t="inlineStr">
        <ns0:is>
          <ns0:t>ADOS score sheets are structured behavioral records, not unspecified data. The reduced behavioral set is proposed for preliminary triage; no prospective use of the resulting model is described.</ns0:t>
        </ns0:is>
      </ns0:c>
      <ns0:c r="AL6" s="21" t="inlineStr">
        <ns0:is>
          <ns0:t>Not applicable</ns0:t>
        </ns0:is>
      </ns0:c>
      <ns0:c r="AM6" s="21" t="inlineStr">
        <ns0:is>
          <ns0:t>Not separately specified</ns0:t>
        </ns0:is>
      </ns0:c>
      <ns0:c r="AN6" s="21" t="inlineStr"/>
      <ns0:c r="AO6" s="21" t="inlineStr">
        <ns0:is>
          <ns0:t>No additional status determination</ns0:t>
        </ns0:is>
      </ns0:c>
      <ns0:c r="AP6" s="21" t="inlineStr">
        <ns0:is>
          <ns0:t>Not documented for this recharting</ns0:t>
        </ns0:is>
      </ns0:c>
      <ns0:c r="AQ6" s="21" t="inlineStr">
        <ns0:is>
          <ns0:t>ChatGPT-assisted evidence recharting, 2026-09-08</ns0:t>
        </ns0:is>
      </ns0:c>
      <ns0:c r="AR6" s="21" t="inlineStr">
        <ns0:is>
          <ns0:t>RA</ns0:t>
        </ns0:is>
      </ns0:c>
      <ns0:c r="AS6" s="21" t="inlineStr">
        <ns0:is>
          <ns0:t>Not recorded; historical inclusion retained</ns0:t>
        </ns0:is>
      </ns0:c>
    </ns0:row>
    <ns0:row r="7" ht="50" customHeight="1">
      <ns0:c r="A7" s="19" t="inlineStr">
        <ns0:is>
          <ns0:t>3</ns0:t>
        </ns0:is>
      </ns0:c>
      <ns0:c r="B7" s="19" t="inlineStr">
        <ns0:is>
          <ns0:t>Historical</ns0:t>
        </ns0:is>
      </ns0:c>
      <ns0:c r="C7" s="19" t="inlineStr">
        <ns0:is>
          <ns0:t>The use of data independent acquisition based proteomic analysis and machine learning to reveal potential biomarkers for autism spectrum disorder</ns0:t>
        </ns0:is>
      </ns0:c>
      <ns0:c r="D7" s="19" t="inlineStr">
        <ns0:is>
          <ns0:t>10.1016/j.jprot.2023.104872</ns0:t>
        </ns0:is>
      </ns0:c>
      <ns0:c r="E7" s="26" t="n">
        <ns0:v>2023</ns0:v>
      </ns0:c>
      <ns0:c r="F7" s="19" t="inlineStr">
        <ns0:is>
          <ns0:t>Include</ns0:t>
        </ns0:is>
      </ns0:c>
      <ns0:c r="G7" s="27">
        <ns0:f>IF(F7="Include",1,0)</ns0:f>
        <ns0:v>1</ns0:v>
      </ns0:c>
      <ns0:c r="H7" s="19" t="inlineStr">
        <ns0:is>
          <ns0:t>Diagnosis</ns0:t>
        </ns0:is>
      </ns0:c>
      <ns0:c r="I7" s="19" t="inlineStr">
        <ns0:is>
          <ns0:t>Machine Learning</ns0:t>
        </ns0:is>
      </ns0:c>
      <ns0:c r="J7" s="19" t="inlineStr">
        <ns0:is>
          <ns0:t>Biological/omics</ns0:t>
        </ns0:is>
      </ns0:c>
      <ns0:c r="K7" s="19" t="inlineStr">
        <ns0:is>
          <ns0:t>Not specified</ns0:t>
        </ns0:is>
      </ns0:c>
      <ns0:c r="L7" s="19" t="inlineStr">
        <ns0:is>
          <ns0:t>Multiple/not uniquely specified</ns0:t>
        </ns0:is>
      </ns0:c>
      <ns0:c r="M7" s="19" t="inlineStr">
        <ns0:is>
          <ns0:t>Research only</ns0:t>
        </ns0:is>
      </ns0:c>
      <ns0:c r="N7" s="19" t="inlineStr">
        <ns0:is>
          <ns0:t>Automated measurement/classification</ns0:t>
        </ns0:is>
      </ns0:c>
      <ns0:c r="O7" s="19" t="inlineStr">
        <ns0:is>
          <ns0:t>Not observed in assessed sources</ns0:t>
        </ns0:is>
      </ns0:c>
      <ns0:c r="P7" s="19" t="inlineStr">
        <ns0:is>
          <ns0:t>Not observed in assessed sources</ns0:t>
        </ns0:is>
      </ns0:c>
      <ns0:c r="Q7" s="19" t="inlineStr">
        <ns0:is>
          <ns0:t>Reported</ns0:t>
        </ns0:is>
      </ns0:c>
      <ns0:c r="R7" s="19" t="inlineStr">
        <ns0:is>
          <ns0:t>Not reported in assessed sources</ns0:t>
        </ns0:is>
      </ns0:c>
      <ns0:c r="S7" s="19" t="inlineStr">
        <ns0:is>
          <ns0:t>Not reported in assessed sources</ns0:t>
        </ns0:is>
      </ns0:c>
      <ns0:c r="T7" s="19" t="inlineStr">
        <ns0:is>
          <ns0:t>Not reported in assessed sources</ns0:t>
        </ns0:is>
      </ns0:c>
      <ns0:c r="U7" s="19" t="inlineStr">
        <ns0:is>
          <ns0:t>Not reported in assessed sources</ns0:t>
        </ns0:is>
      </ns0:c>
      <ns0:c r="V7" s="19" t="inlineStr">
        <ns0:is>
          <ns0:t>Not reported in assessed sources</ns0:t>
        </ns0:is>
      </ns0:c>
      <ns0:c r="W7" s="19" t="inlineStr">
        <ns0:is>
          <ns0:t>Not reported in assessed sources</ns0:t>
        </ns0:is>
      </ns0:c>
      <ns0:c r="X7" s="19" t="inlineStr">
        <ns0:is>
          <ns0:t>Not reported in assessed sources</ns0:t>
        </ns0:is>
      </ns0:c>
      <ns0:c r="Y7" s="19" t="inlineStr">
        <ns0:is>
          <ns0:t>Not ascertainable</ns0:t>
        </ns0:is>
      </ns0:c>
      <ns0:c r="Z7" s="19" t="inlineStr">
        <ns0:is>
          <ns0:t>Not reported in assessed sources</ns0:t>
        </ns0:is>
      </ns0:c>
      <ns0:c r="AA7" s="19" t="inlineStr">
        <ns0:is>
          <ns0:t>Not recorded</ns0:t>
        </ns0:is>
      </ns0:c>
      <ns0:c r="AB7" s="26" t="n">
        <ns0:v>0</ns0:v>
      </ns0:c>
      <ns0:c r="AC7" s="26" t="n">
        <ns0:v>0</ns0:v>
      </ns0:c>
      <ns0:c r="AD7" s="27">
        <ns0:f>IF(AND(G7=1,AB7=0),1,0)</ns0:f>
        <ns0:v>1</ns0:v>
      </ns0:c>
      <ns0:c r="AE7" s="27">
        <ns0:f>IF(AND(AD7=1,AC7=0),1,0)</ns0:f>
        <ns0:v>1</ns0:v>
      </ns0:c>
      <ns0:c r="AF7" s="27">
        <ns0:f>IF(AND(G7=1,H7&lt;&gt;"Not specified"),1,0)</ns0:f>
        <ns0:v>1</ns0:v>
      </ns0:c>
      <ns0:c r="AG7" s="27">
        <ns0:f>IF(AND(AE7=1,AF7=1),1,0)</ns0:f>
        <ns0:v>1</ns0:v>
      </ns0:c>
      <ns0:c r="AH7" s="19" t="inlineStr">
        <ns0:is>
          <ns0:t>Supplied abstract/coding notes; no new full-text verification</ns0:t>
        </ns0:is>
      </ns0:c>
      <ns0:c r="AI7" s="19" t="inlineStr">
        <ns0:is>
          <ns0:t>https://doi.org/10.1016/j.jprot.2023.104872</ns0:t>
        </ns0:is>
      </ns0:c>
      <ns0:c r="AJ7" s="19" t="inlineStr">
        <ns0:is>
          <ns0:t>EVIDENCIA; original abstract/coding notes and lot source trace; Historical signals: title/abstract/notes; full-text completion not independently established</ns0:t>
        </ns0:is>
      </ns0:c>
      <ns0:c r="AK7" s="19" t="inlineStr">
        <ns0:is>
          <ns0:t>Plasma proteomics with DIA/MRM and machine-learning biomarker selection. Molecular assay verification alone does not establish external validation of the predictive model.</ns0:t>
        </ns0:is>
      </ns0:c>
      <ns0:c r="AL7" s="19" t="inlineStr">
        <ns0:is>
          <ns0:t>Not applicable</ns0:t>
        </ns0:is>
      </ns0:c>
      <ns0:c r="AM7" s="19" t="inlineStr">
        <ns0:is>
          <ns0:t>Not separately specified</ns0:t>
        </ns0:is>
      </ns0:c>
      <ns0:c r="AN7" s="19" t="inlineStr"/>
      <ns0:c r="AO7" s="19" t="inlineStr">
        <ns0:is>
          <ns0:t>No additional status determination</ns0:t>
        </ns0:is>
      </ns0:c>
      <ns0:c r="AP7" s="19" t="inlineStr">
        <ns0:is>
          <ns0:t>Not documented for this recharting</ns0:t>
        </ns0:is>
      </ns0:c>
      <ns0:c r="AQ7" s="19" t="inlineStr">
        <ns0:is>
          <ns0:t>ChatGPT-assisted evidence recharting, 2026-09-08</ns0:t>
        </ns0:is>
      </ns0:c>
      <ns0:c r="AR7" s="19" t="inlineStr">
        <ns0:is>
          <ns0:t>RA</ns0:t>
        </ns0:is>
      </ns0:c>
      <ns0:c r="AS7" s="19" t="inlineStr">
        <ns0:is>
          <ns0:t>Not recorded; historical inclusion retained</ns0:t>
        </ns0:is>
      </ns0:c>
    </ns0:row>
    <ns0:row r="8" ht="50" customHeight="1">
      <ns0:c r="A8" s="21" t="inlineStr">
        <ns0:is>
          <ns0:t>4</ns0:t>
        </ns0:is>
      </ns0:c>
      <ns0:c r="B8" s="21" t="inlineStr">
        <ns0:is>
          <ns0:t>Historical</ns0:t>
        </ns0:is>
      </ns0:c>
      <ns0:c r="C8" s="21" t="inlineStr">
        <ns0:is>
          <ns0:t>Cognitive Disorder Detection Used for Early Autism Screening Using Deep Learning</ns0:t>
        </ns0:is>
      </ns0:c>
      <ns0:c r="D8" s="21" t="inlineStr">
        <ns0:is>
          <ns0:t>10.1007/978-981-96-3942-7_18</ns0:t>
        </ns0:is>
      </ns0:c>
      <ns0:c r="E8" s="28" t="n">
        <ns0:v>2025</ns0:v>
      </ns0:c>
      <ns0:c r="F8" s="30" t="inlineStr">
        <ns0:is>
          <ns0:t>Exclude</ns0:t>
        </ns0:is>
      </ns0:c>
      <ns0:c r="G8" s="29">
        <ns0:f>IF(F8="Include",1,0)</ns0:f>
        <ns0:v>0</ns0:v>
      </ns0:c>
      <ns0:c r="H8" s="21" t="inlineStr">
        <ns0:is>
          <ns0:t>Excluded</ns0:t>
        </ns0:is>
      </ns0:c>
      <ns0:c r="I8" s="21" t="inlineStr">
        <ns0:is>
          <ns0:t>Excluded</ns0:t>
        </ns0:is>
      </ns0:c>
      <ns0:c r="J8" s="21" t="inlineStr">
        <ns0:is>
          <ns0:t>Excluded</ns0:t>
        </ns0:is>
      </ns0:c>
      <ns0:c r="K8" s="21" t="inlineStr">
        <ns0:is>
          <ns0:t>MLP</ns0:t>
        </ns0:is>
      </ns0:c>
      <ns0:c r="L8" s="21" t="inlineStr">
        <ns0:is>
          <ns0:t>MLP/ANN</ns0:t>
        </ns0:is>
      </ns0:c>
      <ns0:c r="M8" s="21" t="inlineStr">
        <ns0:is>
          <ns0:t>Excluded</ns0:t>
        </ns0:is>
      </ns0:c>
      <ns0:c r="N8" s="21" t="inlineStr">
        <ns0:is>
          <ns0:t>Excluded</ns0:t>
        </ns0:is>
      </ns0:c>
      <ns0:c r="O8" s="21" t="inlineStr">
        <ns0:is>
          <ns0:t>Not applicable - excluded</ns0:t>
        </ns0:is>
      </ns0:c>
      <ns0:c r="P8" s="21" t="inlineStr">
        <ns0:is>
          <ns0:t>Not applicable - excluded</ns0:t>
        </ns0:is>
      </ns0:c>
      <ns0:c r="Q8" s="21" t="inlineStr">
        <ns0:is>
          <ns0:t>Not reported in assessed sources</ns0:t>
        </ns0:is>
      </ns0:c>
      <ns0:c r="R8" s="21" t="inlineStr">
        <ns0:is>
          <ns0:t>Not reported in assessed sources</ns0:t>
        </ns0:is>
      </ns0:c>
      <ns0:c r="S8" s="21" t="inlineStr">
        <ns0:is>
          <ns0:t>Not reported in assessed sources</ns0:t>
        </ns0:is>
      </ns0:c>
      <ns0:c r="T8" s="21" t="inlineStr">
        <ns0:is>
          <ns0:t>Not reported in assessed sources</ns0:t>
        </ns0:is>
      </ns0:c>
      <ns0:c r="U8" s="21" t="inlineStr">
        <ns0:is>
          <ns0:t>Not reported in assessed sources</ns0:t>
        </ns0:is>
      </ns0:c>
      <ns0:c r="V8" s="21" t="inlineStr">
        <ns0:is>
          <ns0:t>Not reported in assessed sources</ns0:t>
        </ns0:is>
      </ns0:c>
      <ns0:c r="W8" s="21" t="inlineStr">
        <ns0:is>
          <ns0:t>Not reported in assessed sources</ns0:t>
        </ns0:is>
      </ns0:c>
      <ns0:c r="X8" s="21" t="inlineStr">
        <ns0:is>
          <ns0:t>Not reported in assessed sources</ns0:t>
        </ns0:is>
      </ns0:c>
      <ns0:c r="Y8" s="21" t="inlineStr">
        <ns0:is>
          <ns0:t>Not ascertainable</ns0:t>
        </ns0:is>
      </ns0:c>
      <ns0:c r="Z8" s="21" t="inlineStr">
        <ns0:is>
          <ns0:t>Not reported in assessed sources</ns0:t>
        </ns0:is>
      </ns0:c>
      <ns0:c r="AA8" s="21" t="inlineStr">
        <ns0:is>
          <ns0:t>Not recorded</ns0:t>
        </ns0:is>
      </ns0:c>
      <ns0:c r="AB8" s="28" t="n">
        <ns0:v>0</ns0:v>
      </ns0:c>
      <ns0:c r="AC8" s="28" t="n">
        <ns0:v>0</ns0:v>
      </ns0:c>
      <ns0:c r="AD8" s="29">
        <ns0:f>IF(AND(G8=1,AB8=0),1,0)</ns0:f>
        <ns0:v>0</ns0:v>
      </ns0:c>
      <ns0:c r="AE8" s="29">
        <ns0:f>IF(AND(AD8=1,AC8=0),1,0)</ns0:f>
        <ns0:v>0</ns0:v>
      </ns0:c>
      <ns0:c r="AF8" s="29">
        <ns0:f>IF(AND(G8=1,H8&lt;&gt;"Not specified"),1,0)</ns0:f>
        <ns0:v>0</ns0:v>
      </ns0:c>
      <ns0:c r="AG8" s="29">
        <ns0:f>IF(AND(AE8=1,AF8=1),1,0)</ns0:f>
        <ns0:v>0</ns0:v>
      </ns0:c>
      <ns0:c r="AH8" s="21" t="inlineStr">
        <ns0:is>
          <ns0:t>Publisher abstract and bibliographic metadata</ns0:t>
        </ns0:is>
      </ns0:c>
      <ns0:c r="AI8" s="21" t="inlineStr">
        <ns0:is>
          <ns0:t>https://link.springer.com/chapter/10.1007/978-981-96-3942-7_18</ns0:t>
        </ns0:is>
      </ns0:c>
      <ns0:c r="AJ8" s="21" t="inlineStr">
        <ns0:is>
          <ns0:t>Publisher abstract and references</ns0:t>
        </ns0:is>
      </ns0:c>
      <ns0:c r="AK8" s="21" t="inlineStr">
        <ns0:is>
          <ns0:t>The abstract describes CATest validation for mild cognitive disorder, Alzheimer disease and other neurological conditions rather than empirical ASD-specific modeling. Title wording alone does not establish eligibility.</ns0:t>
        </ns0:is>
      </ns0:c>
      <ns0:c r="AL8" s="21" t="inlineStr">
        <ns0:is>
          <ns0:t>EC2 - Wrong condition / population</ns0:t>
        </ns0:is>
      </ns0:c>
      <ns0:c r="AM8" s="21" t="inlineStr">
        <ns0:is>
          <ns0:t>Not separately specified</ns0:t>
        </ns0:is>
      </ns0:c>
      <ns0:c r="AN8" s="21" t="inlineStr"/>
      <ns0:c r="AO8" s="21" t="inlineStr">
        <ns0:is>
          <ns0:t>No additional status determination</ns0:t>
        </ns0:is>
      </ns0:c>
      <ns0:c r="AP8" s="21" t="inlineStr">
        <ns0:is>
          <ns0:t>Not documented for this recharting</ns0:t>
        </ns0:is>
      </ns0:c>
      <ns0:c r="AQ8" s="21" t="inlineStr">
        <ns0:is>
          <ns0:t>ChatGPT-assisted evidence recharting, 2026-09-08</ns0:t>
        </ns0:is>
      </ns0:c>
      <ns0:c r="AR8" s="21" t="inlineStr"/>
      <ns0:c r="AS8" s="21" t="inlineStr">
        <ns0:is>
          <ns0:t>Not recorded; historical inclusion retained</ns0:t>
        </ns0:is>
      </ns0:c>
    </ns0:row>
    <ns0:row r="9" ht="50" customHeight="1">
      <ns0:c r="A9" s="19" t="inlineStr">
        <ns0:is>
          <ns0:t>5</ns0:t>
        </ns0:is>
      </ns0:c>
      <ns0:c r="B9" s="19" t="inlineStr">
        <ns0:is>
          <ns0:t>Historical</ns0:t>
        </ns0:is>
      </ns0:c>
      <ns0:c r="C9" s="19" t="inlineStr">
        <ns0:is>
          <ns0:t>Metabolomics as a tool for discovery of biomarkers of autism spectrum disorder in the blood plasma of children</ns0:t>
        </ns0:is>
      </ns0:c>
      <ns0:c r="D9" s="19" t="inlineStr">
        <ns0:is>
          <ns0:t>10.1371/journal.pone.0112445</ns0:t>
        </ns0:is>
      </ns0:c>
      <ns0:c r="E9" s="26" t="n">
        <ns0:v>2014</ns0:v>
      </ns0:c>
      <ns0:c r="F9" s="19" t="inlineStr">
        <ns0:is>
          <ns0:t>Include</ns0:t>
        </ns0:is>
      </ns0:c>
      <ns0:c r="G9" s="27">
        <ns0:f>IF(F9="Include",1,0)</ns0:f>
        <ns0:v>1</ns0:v>
      </ns0:c>
      <ns0:c r="H9" s="19" t="inlineStr">
        <ns0:is>
          <ns0:t>Diagnosis</ns0:t>
        </ns0:is>
      </ns0:c>
      <ns0:c r="I9" s="19" t="inlineStr">
        <ns0:is>
          <ns0:t>Machine Learning</ns0:t>
        </ns0:is>
      </ns0:c>
      <ns0:c r="J9" s="19" t="inlineStr">
        <ns0:is>
          <ns0:t>Biological/omics</ns0:t>
        </ns0:is>
      </ns0:c>
      <ns0:c r="K9" s="19" t="inlineStr">
        <ns0:is>
          <ns0:t>SVM / PLS-DA</ns0:t>
        </ns0:is>
      </ns0:c>
      <ns0:c r="L9" s="19" t="inlineStr">
        <ns0:is>
          <ns0:t>SVM</ns0:t>
        </ns0:is>
      </ns0:c>
      <ns0:c r="M9" s="19" t="inlineStr">
        <ns0:is>
          <ns0:t>Research only</ns0:t>
        </ns0:is>
      </ns0:c>
      <ns0:c r="N9" s="19" t="inlineStr">
        <ns0:is>
          <ns0:t>Automated measurement/classification</ns0:t>
        </ns0:is>
      </ns0:c>
      <ns0:c r="O9" s="19" t="inlineStr">
        <ns0:is>
          <ns0:t>Not observed in assessed sources</ns0:t>
        </ns0:is>
      </ns0:c>
      <ns0:c r="P9" s="19" t="inlineStr">
        <ns0:is>
          <ns0:t>Not observed in assessed sources</ns0:t>
        </ns0:is>
      </ns0:c>
      <ns0:c r="Q9" s="19" t="inlineStr">
        <ns0:is>
          <ns0:t>Not reported in assessed sources</ns0:t>
        </ns0:is>
      </ns0:c>
      <ns0:c r="R9" s="19" t="inlineStr">
        <ns0:is>
          <ns0:t>Reported</ns0:t>
        </ns0:is>
      </ns0:c>
      <ns0:c r="S9" s="19" t="inlineStr">
        <ns0:is>
          <ns0:t>Reported</ns0:t>
        </ns0:is>
      </ns0:c>
      <ns0:c r="T9" s="19" t="inlineStr">
        <ns0:is>
          <ns0:t>Not reported in assessed sources</ns0:t>
        </ns0:is>
      </ns0:c>
      <ns0:c r="U9" s="19" t="inlineStr">
        <ns0:is>
          <ns0:t>Not reported in assessed sources</ns0:t>
        </ns0:is>
      </ns0:c>
      <ns0:c r="V9" s="19" t="inlineStr">
        <ns0:is>
          <ns0:t>Not reported in assessed sources</ns0:t>
        </ns0:is>
      </ns0:c>
      <ns0:c r="W9" s="19" t="inlineStr">
        <ns0:is>
          <ns0:t>Reported</ns0:t>
        </ns0:is>
      </ns0:c>
      <ns0:c r="X9" s="19" t="inlineStr">
        <ns0:is>
          <ns0:t>Not reported in assessed sources</ns0:t>
        </ns0:is>
      </ns0:c>
      <ns0:c r="Y9" s="19" t="inlineStr">
        <ns0:is>
          <ns0:t>Not ascertainable</ns0:t>
        </ns0:is>
      </ns0:c>
      <ns0:c r="Z9" s="19" t="inlineStr">
        <ns0:is>
          <ns0:t>Reported</ns0:t>
        </ns0:is>
      </ns0:c>
      <ns0:c r="AA9" s="19" t="inlineStr">
        <ns0:is>
          <ns0:t>Not recorded</ns0:t>
        </ns0:is>
      </ns0:c>
      <ns0:c r="AB9" s="26" t="n">
        <ns0:v>0</ns0:v>
      </ns0:c>
      <ns0:c r="AC9" s="26" t="n">
        <ns0:v>0</ns0:v>
      </ns0:c>
      <ns0:c r="AD9" s="27">
        <ns0:f>IF(AND(G9=1,AB9=0),1,0)</ns0:f>
        <ns0:v>1</ns0:v>
      </ns0:c>
      <ns0:c r="AE9" s="27">
        <ns0:f>IF(AND(AD9=1,AC9=0),1,0)</ns0:f>
        <ns0:v>1</ns0:v>
      </ns0:c>
      <ns0:c r="AF9" s="27">
        <ns0:f>IF(AND(G9=1,H9&lt;&gt;"Not specified"),1,0)</ns0:f>
        <ns0:v>1</ns0:v>
      </ns0:c>
      <ns0:c r="AG9" s="27">
        <ns0:f>IF(AND(AE9=1,AF9=1),1,0)</ns0:f>
        <ns0:v>1</ns0:v>
      </ns0:c>
      <ns0:c r="AH9" s="19" t="inlineStr">
        <ns0:is>
          <ns0:t>Primary-source full text (targeted sections)</ns0:t>
        </ns0:is>
      </ns0:c>
      <ns0:c r="AI9" s="19" t="inlineStr">
        <ns0:is>
          <ns0:t>https://journals.plos.org/plosone/article?id=10.1371/journal.pone.0112445</ns0:t>
        </ns0:is>
      </ns0:c>
      <ns0:c r="AJ9" s="19" t="inlineStr">
        <ns0:is>
          <ns0:t>Methods: Training and Independent Validation Sets; Classification Modeling; Results: Validation Set Model Performance</ns0:t>
        </ns0:is>
      </ns0:c>
      <ns0:c r="AK9" s="19" t="inlineStr">
        <ns0:is>
          <ns0:t>Metabolomic classification and feature-ranking study. The held-out 21 participants were randomly partitioned from the same 82-participant cohort; this is internal holdout validation, despite the authors' external-sample terminology.</ns0:t>
        </ns0:is>
      </ns0:c>
      <ns0:c r="AL9" s="19" t="inlineStr">
        <ns0:is>
          <ns0:t>Not applicable</ns0:t>
        </ns0:is>
      </ns0:c>
      <ns0:c r="AM9" s="19" t="inlineStr">
        <ns0:is>
          <ns0:t>Not separately specified</ns0:t>
        </ns0:is>
      </ns0:c>
      <ns0:c r="AN9" s="19" t="inlineStr"/>
      <ns0:c r="AO9" s="19" t="inlineStr">
        <ns0:is>
          <ns0:t>No additional status determination</ns0:t>
        </ns0:is>
      </ns0:c>
      <ns0:c r="AP9" s="19" t="inlineStr">
        <ns0:is>
          <ns0:t>Not documented for this recharting</ns0:t>
        </ns0:is>
      </ns0:c>
      <ns0:c r="AQ9" s="19" t="inlineStr">
        <ns0:is>
          <ns0:t>ChatGPT-assisted evidence recharting, 2026-09-08</ns0:t>
        </ns0:is>
      </ns0:c>
      <ns0:c r="AR9" s="19" t="inlineStr">
        <ns0:is>
          <ns0:t>RA</ns0:t>
        </ns0:is>
      </ns0:c>
      <ns0:c r="AS9" s="19" t="inlineStr">
        <ns0:is>
          <ns0:t>Not recorded; historical inclusion retained</ns0:t>
        </ns0:is>
      </ns0:c>
    </ns0:row>
    <ns0:row r="10" ht="50" customHeight="1">
      <ns0:c r="A10" s="21" t="inlineStr">
        <ns0:is>
          <ns0:t>6</ns0:t>
        </ns0:is>
      </ns0:c>
      <ns0:c r="B10" s="21" t="inlineStr">
        <ns0:is>
          <ns0:t>Historical</ns0:t>
        </ns0:is>
      </ns0:c>
      <ns0:c r="C10" s="21" t="inlineStr">
        <ns0:is>
          <ns0:t>Sparsifying machine learning models identify stable subsets of predictive features for behavioral detection of autism</ns0:t>
        </ns0:is>
      </ns0:c>
      <ns0:c r="D10" s="21" t="inlineStr">
        <ns0:is>
          <ns0:t>10.1186/s13229-017-0180-6</ns0:t>
        </ns0:is>
      </ns0:c>
      <ns0:c r="E10" s="28" t="n">
        <ns0:v>2017</ns0:v>
      </ns0:c>
      <ns0:c r="F10" s="21" t="inlineStr">
        <ns0:is>
          <ns0:t>Include</ns0:t>
        </ns0:is>
      </ns0:c>
      <ns0:c r="G10" s="29">
        <ns0:f>IF(F10="Include",1,0)</ns0:f>
        <ns0:v>1</ns0:v>
      </ns0:c>
      <ns0:c r="H10" s="21" t="inlineStr">
        <ns0:is>
          <ns0:t>Screening</ns0:t>
        </ns0:is>
      </ns0:c>
      <ns0:c r="I10" s="21" t="inlineStr">
        <ns0:is>
          <ns0:t>Machine Learning</ns0:t>
        </ns0:is>
      </ns0:c>
      <ns0:c r="J10" s="21" t="inlineStr">
        <ns0:is>
          <ns0:t>Structured clinical/questionnaire data</ns0:t>
        </ns0:is>
      </ns0:c>
      <ns0:c r="K10" s="21" t="inlineStr">
        <ns0:is>
          <ns0:t>Multiple sparse models (logistic regression / linear SVM)</ns0:t>
        </ns0:is>
      </ns0:c>
      <ns0:c r="L10" s="21" t="inlineStr">
        <ns0:is>
          <ns0:t>Composite/ensemble pipeline</ns0:t>
        </ns0:is>
      </ns0:c>
      <ns0:c r="M10" s="21" t="inlineStr">
        <ns0:is>
          <ns0:t>Proposed only</ns0:t>
        </ns0:is>
      </ns0:c>
      <ns0:c r="N10" s="21" t="inlineStr">
        <ns0:is>
          <ns0:t>Triage/questionnaire assessment</ns0:t>
        </ns0:is>
      </ns0:c>
      <ns0:c r="O10" s="21" t="inlineStr">
        <ns0:is>
          <ns0:t>Pre-decision</ns0:t>
        </ns0:is>
      </ns0:c>
      <ns0:c r="P10" s="21" t="inlineStr">
        <ns0:is>
          <ns0:t>Not observed in assessed sources</ns0:t>
        </ns0:is>
      </ns0:c>
      <ns0:c r="Q10" s="21" t="inlineStr">
        <ns0:is>
          <ns0:t>Not reported in assessed sources</ns0:t>
        </ns0:is>
      </ns0:c>
      <ns0:c r="R10" s="21" t="inlineStr">
        <ns0:is>
          <ns0:t>Not reported in assessed sources</ns0:t>
        </ns0:is>
      </ns0:c>
      <ns0:c r="S10" s="21" t="inlineStr">
        <ns0:is>
          <ns0:t>Reported</ns0:t>
        </ns0:is>
      </ns0:c>
      <ns0:c r="T10" s="21" t="inlineStr">
        <ns0:is>
          <ns0:t>Not reported in assessed sources</ns0:t>
        </ns0:is>
      </ns0:c>
      <ns0:c r="U10" s="21" t="inlineStr">
        <ns0:is>
          <ns0:t>Not reported in assessed sources</ns0:t>
        </ns0:is>
      </ns0:c>
      <ns0:c r="V10" s="21" t="inlineStr">
        <ns0:is>
          <ns0:t>Not reported in assessed sources</ns0:t>
        </ns0:is>
      </ns0:c>
      <ns0:c r="W10" s="21" t="inlineStr">
        <ns0:is>
          <ns0:t>Not reported in assessed sources</ns0:t>
        </ns0:is>
      </ns0:c>
      <ns0:c r="X10" s="21" t="inlineStr">
        <ns0:is>
          <ns0:t>Not reported in assessed sources</ns0:t>
        </ns0:is>
      </ns0:c>
      <ns0:c r="Y10" s="21" t="inlineStr">
        <ns0:is>
          <ns0:t>Not ascertainable</ns0:t>
        </ns0:is>
      </ns0:c>
      <ns0:c r="Z10" s="21" t="inlineStr">
        <ns0:is>
          <ns0:t>Reported</ns0:t>
        </ns0:is>
      </ns0:c>
      <ns0:c r="AA10" s="21" t="inlineStr">
        <ns0:is>
          <ns0:t>Not recorded</ns0:t>
        </ns0:is>
      </ns0:c>
      <ns0:c r="AB10" s="28" t="n">
        <ns0:v>0</ns0:v>
      </ns0:c>
      <ns0:c r="AC10" s="28" t="n">
        <ns0:v>0</ns0:v>
      </ns0:c>
      <ns0:c r="AD10" s="29">
        <ns0:f>IF(AND(G10=1,AB10=0),1,0)</ns0:f>
        <ns0:v>1</ns0:v>
      </ns0:c>
      <ns0:c r="AE10" s="29">
        <ns0:f>IF(AND(AD10=1,AC10=0),1,0)</ns0:f>
        <ns0:v>1</ns0:v>
      </ns0:c>
      <ns0:c r="AF10" s="29">
        <ns0:f>IF(AND(G10=1,H10&lt;&gt;"Not specified"),1,0)</ns0:f>
        <ns0:v>1</ns0:v>
      </ns0:c>
      <ns0:c r="AG10" s="29">
        <ns0:f>IF(AND(AE10=1,AF10=1),1,0)</ns0:f>
        <ns0:v>1</ns0:v>
      </ns0:c>
      <ns0:c r="AH10" s="21" t="inlineStr">
        <ns0:is>
          <ns0:t>Supplied abstract/coding notes; no new full-text verification</ns0:t>
        </ns0:is>
      </ns0:c>
      <ns0:c r="AI10" s="21" t="inlineStr">
        <ns0:is>
          <ns0:t>https://doi.org/10.1186/s13229-017-0180-6</ns0:t>
        </ns0:is>
      </ns0:c>
      <ns0:c r="AJ10" s="21" t="inlineStr">
        <ns0:is>
          <ns0:t>EVIDENCIA; original abstract/coding notes and lot source trace; Historical signals: title/abstract/notes; full-text completion not independently established</ns0:t>
        </ns0:is>
      </ns0:c>
      <ns0:c r="AK10" s="21" t="inlineStr">
        <ns0:is>
          <ns0:t>ADOS score sheets and demographic covariates; sparse models intended to shorten assessment. No clinical use of predictions is evaluated. Comparing ML models is not hybrid ML/DL integration.</ns0:t>
        </ns0:is>
      </ns0:c>
      <ns0:c r="AL10" s="21" t="inlineStr">
        <ns0:is>
          <ns0:t>Not applicable</ns0:t>
        </ns0:is>
      </ns0:c>
      <ns0:c r="AM10" s="21" t="inlineStr">
        <ns0:is>
          <ns0:t>Not separately specified</ns0:t>
        </ns0:is>
      </ns0:c>
      <ns0:c r="AN10" s="21" t="inlineStr"/>
      <ns0:c r="AO10" s="21" t="inlineStr">
        <ns0:is>
          <ns0:t>No additional status determination</ns0:t>
        </ns0:is>
      </ns0:c>
      <ns0:c r="AP10" s="21" t="inlineStr">
        <ns0:is>
          <ns0:t>Not documented for this recharting</ns0:t>
        </ns0:is>
      </ns0:c>
      <ns0:c r="AQ10" s="21" t="inlineStr">
        <ns0:is>
          <ns0:t>ChatGPT-assisted evidence recharting, 2026-09-08</ns0:t>
        </ns0:is>
      </ns0:c>
      <ns0:c r="AR10" s="21" t="inlineStr"/>
      <ns0:c r="AS10" s="21" t="inlineStr">
        <ns0:is>
          <ns0:t>Not recorded; historical inclusion retained</ns0:t>
        </ns0:is>
      </ns0:c>
    </ns0:row>
    <ns0:row r="11" ht="50" customHeight="1">
      <ns0:c r="A11" s="19" t="inlineStr">
        <ns0:is>
          <ns0:t>7</ns0:t>
        </ns0:is>
      </ns0:c>
      <ns0:c r="B11" s="19" t="inlineStr">
        <ns0:is>
          <ns0:t>Historical</ns0:t>
        </ns0:is>
      </ns0:c>
      <ns0:c r="C11" s="19" t="inlineStr">
        <ns0:is>
          <ns0:t>Transformer-based deep learning ensemble framework predicts autism spectrum disorder using health administrative and birth registry data</ns0:t>
        </ns0:is>
      </ns0:c>
      <ns0:c r="D11" s="19" t="inlineStr">
        <ns0:is>
          <ns0:t>10.1038/s41598-025-90216-8</ns0:t>
        </ns0:is>
      </ns0:c>
      <ns0:c r="E11" s="26" t="n">
        <ns0:v>2025</ns0:v>
      </ns0:c>
      <ns0:c r="F11" s="19" t="inlineStr">
        <ns0:is>
          <ns0:t>Include</ns0:t>
        </ns0:is>
      </ns0:c>
      <ns0:c r="G11" s="27">
        <ns0:f>IF(F11="Include",1,0)</ns0:f>
        <ns0:v>1</ns0:v>
      </ns0:c>
      <ns0:c r="H11" s="19" t="inlineStr">
        <ns0:is>
          <ns0:t>Prognosis</ns0:t>
        </ns0:is>
      </ns0:c>
      <ns0:c r="I11" s="19" t="inlineStr">
        <ns0:is>
          <ns0:t>Deep Learning</ns0:t>
        </ns0:is>
      </ns0:c>
      <ns0:c r="J11" s="19" t="inlineStr">
        <ns0:is>
          <ns0:t>Structured clinical/questionnaire data</ns0:t>
        </ns0:is>
      </ns0:c>
      <ns0:c r="K11" s="19" t="inlineStr">
        <ns0:is>
          <ns0:t>Transformer ensemble</ns0:t>
        </ns0:is>
      </ns0:c>
      <ns0:c r="L11" s="19" t="inlineStr">
        <ns0:is>
          <ns0:t>Transformer</ns0:t>
        </ns0:is>
      </ns0:c>
      <ns0:c r="M11" s="19" t="inlineStr">
        <ns0:is>
          <ns0:t>Proposed only</ns0:t>
        </ns0:is>
      </ns0:c>
      <ns0:c r="N11" s="19" t="inlineStr">
        <ns0:is>
          <ns0:t>Risk/trajectory estimation</ns0:t>
        </ns0:is>
      </ns0:c>
      <ns0:c r="O11" s="19" t="inlineStr">
        <ns0:is>
          <ns0:t>Pre-decision</ns0:t>
        </ns0:is>
      </ns0:c>
      <ns0:c r="P11" s="19" t="inlineStr">
        <ns0:is>
          <ns0:t>Not observed in assessed sources</ns0:t>
        </ns0:is>
      </ns0:c>
      <ns0:c r="Q11" s="19" t="inlineStr">
        <ns0:is>
          <ns0:t>Not reported in assessed sources</ns0:t>
        </ns0:is>
      </ns0:c>
      <ns0:c r="R11" s="19" t="inlineStr">
        <ns0:is>
          <ns0:t>Reported</ns0:t>
        </ns0:is>
      </ns0:c>
      <ns0:c r="S11" s="19" t="inlineStr">
        <ns0:is>
          <ns0:t>Reported</ns0:t>
        </ns0:is>
      </ns0:c>
      <ns0:c r="T11" s="19" t="inlineStr">
        <ns0:is>
          <ns0:t>Not ascertainable</ns0:t>
        </ns0:is>
      </ns0:c>
      <ns0:c r="U11" s="19" t="inlineStr">
        <ns0:is>
          <ns0:t>Not reported in assessed sources</ns0:t>
        </ns0:is>
      </ns0:c>
      <ns0:c r="V11" s="19" t="inlineStr">
        <ns0:is>
          <ns0:t>Not reported in assessed sources</ns0:t>
        </ns0:is>
      </ns0:c>
      <ns0:c r="W11" s="19" t="inlineStr">
        <ns0:is>
          <ns0:t>Reported</ns0:t>
        </ns0:is>
      </ns0:c>
      <ns0:c r="X11" s="19" t="inlineStr">
        <ns0:is>
          <ns0:t>Not reported in assessed sources</ns0:t>
        </ns0:is>
      </ns0:c>
      <ns0:c r="Y11" s="19" t="inlineStr">
        <ns0:is>
          <ns0:t>Not ascertainable</ns0:t>
        </ns0:is>
      </ns0:c>
      <ns0:c r="Z11" s="19" t="inlineStr">
        <ns0:is>
          <ns0:t>Reported</ns0:t>
        </ns0:is>
      </ns0:c>
      <ns0:c r="AA11" s="19" t="inlineStr">
        <ns0:is>
          <ns0:t>Not recorded</ns0:t>
        </ns0:is>
      </ns0:c>
      <ns0:c r="AB11" s="26" t="n">
        <ns0:v>0</ns0:v>
      </ns0:c>
      <ns0:c r="AC11" s="26" t="n">
        <ns0:v>0</ns0:v>
      </ns0:c>
      <ns0:c r="AD11" s="27">
        <ns0:f>IF(AND(G11=1,AB11=0),1,0)</ns0:f>
        <ns0:v>1</ns0:v>
      </ns0:c>
      <ns0:c r="AE11" s="27">
        <ns0:f>IF(AND(AD11=1,AC11=0),1,0)</ns0:f>
        <ns0:v>1</ns0:v>
      </ns0:c>
      <ns0:c r="AF11" s="27">
        <ns0:f>IF(AND(G11=1,H11&lt;&gt;"Not specified"),1,0)</ns0:f>
        <ns0:v>1</ns0:v>
      </ns0:c>
      <ns0:c r="AG11" s="27">
        <ns0:f>IF(AND(AE11=1,AF11=1),1,0)</ns0:f>
        <ns0:v>1</ns0:v>
      </ns0:c>
      <ns0:c r="AH11" s="19" t="inlineStr">
        <ns0:is>
          <ns0:t>Supplied abstract/coding notes; no new full-text verification</ns0:t>
        </ns0:is>
      </ns0:c>
      <ns0:c r="AI11" s="19" t="inlineStr">
        <ns0:is>
          <ns0:t>https://doi.org/10.1038/s41598-025-90216-8</ns0:t>
        </ns0:is>
      </ns0:c>
      <ns0:c r="AJ11" s="19" t="inlineStr">
        <ns0:is>
          <ns0:t>EVIDENCIA; original abstract/coding notes and lot source trace; Historical signals: title/abstract/notes; full-text completion not independently established</ns0:t>
        </ns0:is>
      </ns0:c>
      <ns0:c r="AK11" s="19" t="inlineStr">
        <ns0:is>
          <ns0:t>Linked maternal-newborn administrative and registry records predict a future ASD diagnosis at 18-60 months. Population prescreening is a proposed use; the implemented endpoint is prognostic.</ns0:t>
        </ns0:is>
      </ns0:c>
      <ns0:c r="AL11" s="19" t="inlineStr">
        <ns0:is>
          <ns0:t>Not applicable</ns0:t>
        </ns0:is>
      </ns0:c>
      <ns0:c r="AM11" s="19" t="inlineStr">
        <ns0:is>
          <ns0:t>Not separately specified</ns0:t>
        </ns0:is>
      </ns0:c>
      <ns0:c r="AN11" s="19" t="inlineStr"/>
      <ns0:c r="AO11" s="19" t="inlineStr">
        <ns0:is>
          <ns0:t>No additional status determination</ns0:t>
        </ns0:is>
      </ns0:c>
      <ns0:c r="AP11" s="19" t="inlineStr">
        <ns0:is>
          <ns0:t>Not documented for this recharting</ns0:t>
        </ns0:is>
      </ns0:c>
      <ns0:c r="AQ11" s="19" t="inlineStr">
        <ns0:is>
          <ns0:t>ChatGPT-assisted evidence recharting, 2026-09-08</ns0:t>
        </ns0:is>
      </ns0:c>
      <ns0:c r="AR11" s="19" t="inlineStr">
        <ns0:is>
          <ns0:t>RA</ns0:t>
        </ns0:is>
      </ns0:c>
      <ns0:c r="AS11" s="19" t="inlineStr">
        <ns0:is>
          <ns0:t>Not recorded; historical inclusion retained</ns0:t>
        </ns0:is>
      </ns0:c>
    </ns0:row>
    <ns0:row r="12" ht="50" customHeight="1">
      <ns0:c r="A12" s="21" t="inlineStr">
        <ns0:is>
          <ns0:t>8</ns0:t>
        </ns0:is>
      </ns0:c>
      <ns0:c r="B12" s="21" t="inlineStr">
        <ns0:is>
          <ns0:t>Historical</ns0:t>
        </ns0:is>
      </ns0:c>
      <ns0:c r="C12" s="21" t="inlineStr">
        <ns0:is>
          <ns0:t>A Closed-Loop Ear-Worn Wearable EEG System with Real-Time Passive Electrode Skin Impedance Measurement for Early Autism Detection †</ns0:t>
        </ns0:is>
      </ns0:c>
      <ns0:c r="D12" s="21" t="inlineStr">
        <ns0:is>
          <ns0:t>10.3390/s24237489</ns0:t>
        </ns0:is>
      </ns0:c>
      <ns0:c r="E12" s="28" t="n">
        <ns0:v>2024</ns0:v>
      </ns0:c>
      <ns0:c r="F12" s="21" t="inlineStr">
        <ns0:is>
          <ns0:t>Include</ns0:t>
        </ns0:is>
      </ns0:c>
      <ns0:c r="G12" s="29">
        <ns0:f>IF(F12="Include",1,0)</ns0:f>
        <ns0:v>1</ns0:v>
      </ns0:c>
      <ns0:c r="H12" s="21" t="inlineStr">
        <ns0:is>
          <ns0:t>Screening</ns0:t>
        </ns0:is>
      </ns0:c>
      <ns0:c r="I12" s="21" t="inlineStr">
        <ns0:is>
          <ns0:t>Machine Learning</ns0:t>
        </ns0:is>
      </ns0:c>
      <ns0:c r="J12" s="21" t="inlineStr">
        <ns0:is>
          <ns0:t>Physiological signals</ns0:t>
        </ns0:is>
      </ns0:c>
      <ns0:c r="K12" s="21" t="inlineStr">
        <ns0:is>
          <ns0:t>Not specified</ns0:t>
        </ns0:is>
      </ns0:c>
      <ns0:c r="L12" s="21" t="inlineStr">
        <ns0:is>
          <ns0:t>Multiple/not uniquely specified</ns0:t>
        </ns0:is>
      </ns0:c>
      <ns0:c r="M12" s="21" t="inlineStr">
        <ns0:is>
          <ns0:t>Proposed only</ns0:t>
        </ns0:is>
      </ns0:c>
      <ns0:c r="N12" s="21" t="inlineStr">
        <ns0:is>
          <ns0:t>Mobile assessment</ns0:t>
        </ns0:is>
      </ns0:c>
      <ns0:c r="O12" s="21" t="inlineStr">
        <ns0:is>
          <ns0:t>Pre-decision</ns0:t>
        </ns0:is>
      </ns0:c>
      <ns0:c r="P12" s="21" t="inlineStr">
        <ns0:is>
          <ns0:t>Not observed in assessed sources</ns0:t>
        </ns0:is>
      </ns0:c>
      <ns0:c r="Q12" s="21" t="inlineStr">
        <ns0:is>
          <ns0:t>Not reported in assessed sources</ns0:t>
        </ns0:is>
      </ns0:c>
      <ns0:c r="R12" s="21" t="inlineStr">
        <ns0:is>
          <ns0:t>Not reported in assessed sources</ns0:t>
        </ns0:is>
      </ns0:c>
      <ns0:c r="S12" s="21" t="inlineStr">
        <ns0:is>
          <ns0:t>Not reported in assessed sources</ns0:t>
        </ns0:is>
      </ns0:c>
      <ns0:c r="T12" s="21" t="inlineStr">
        <ns0:is>
          <ns0:t>Not reported in assessed sources</ns0:t>
        </ns0:is>
      </ns0:c>
      <ns0:c r="U12" s="21" t="inlineStr">
        <ns0:is>
          <ns0:t>Not reported in assessed sources</ns0:t>
        </ns0:is>
      </ns0:c>
      <ns0:c r="V12" s="21" t="inlineStr">
        <ns0:is>
          <ns0:t>Not reported in assessed sources</ns0:t>
        </ns0:is>
      </ns0:c>
      <ns0:c r="W12" s="21" t="inlineStr">
        <ns0:is>
          <ns0:t>Not reported in assessed sources</ns0:t>
        </ns0:is>
      </ns0:c>
      <ns0:c r="X12" s="21" t="inlineStr">
        <ns0:is>
          <ns0:t>Not reported in assessed sources</ns0:t>
        </ns0:is>
      </ns0:c>
      <ns0:c r="Y12" s="21" t="inlineStr">
        <ns0:is>
          <ns0:t>Not ascertainable</ns0:t>
        </ns0:is>
      </ns0:c>
      <ns0:c r="Z12" s="21" t="inlineStr">
        <ns0:is>
          <ns0:t>Not reported in assessed sources</ns0:t>
        </ns0:is>
      </ns0:c>
      <ns0:c r="AA12" s="21" t="inlineStr">
        <ns0:is>
          <ns0:t>Not recorded</ns0:t>
        </ns0:is>
      </ns0:c>
      <ns0:c r="AB12" s="28" t="n">
        <ns0:v>0</ns0:v>
      </ns0:c>
      <ns0:c r="AC12" s="28" t="n">
        <ns0:v>0</ns0:v>
      </ns0:c>
      <ns0:c r="AD12" s="29">
        <ns0:f>IF(AND(G12=1,AB12=0),1,0)</ns0:f>
        <ns0:v>1</ns0:v>
      </ns0:c>
      <ns0:c r="AE12" s="29">
        <ns0:f>IF(AND(AD12=1,AC12=0),1,0)</ns0:f>
        <ns0:v>1</ns0:v>
      </ns0:c>
      <ns0:c r="AF12" s="29">
        <ns0:f>IF(AND(G12=1,H12&lt;&gt;"Not specified"),1,0)</ns0:f>
        <ns0:v>1</ns0:v>
      </ns0:c>
      <ns0:c r="AG12" s="29">
        <ns0:f>IF(AND(AE12=1,AF12=1),1,0)</ns0:f>
        <ns0:v>1</ns0:v>
      </ns0:c>
      <ns0:c r="AH12" s="21" t="inlineStr">
        <ns0:is>
          <ns0:t>Supplied abstract/coding notes; no new full-text verification</ns0:t>
        </ns0:is>
      </ns0:c>
      <ns0:c r="AI12" s="21" t="inlineStr">
        <ns0:is>
          <ns0:t>https://doi.org/10.3390/s24237489</ns0:t>
        </ns0:is>
      </ns0:c>
      <ns0:c r="AJ12" s="21" t="inlineStr">
        <ns0:is>
          <ns0:t>EVIDENCIA; original abstract/coding notes and lot source trace; Historical signals: title/abstract/notes; full-text completion not independently established</ns0:t>
        </ns0:is>
      </ns0:c>
      <ns0:c r="AK12" s="21" t="inlineStr">
        <ns0:is>
          <ns0:t>Ear-worn EEG hardware with on-chip classification is bench-tested using the Old Dominion University ASD dataset. A deployed wearable screening workflow is proposed, not demonstrated by a real-time hardware benchmark.</ns0:t>
        </ns0:is>
      </ns0:c>
      <ns0:c r="AL12" s="21" t="inlineStr">
        <ns0:is>
          <ns0:t>Not applicable</ns0:t>
        </ns0:is>
      </ns0:c>
      <ns0:c r="AM12" s="21" t="inlineStr">
        <ns0:is>
          <ns0:t>Not separately specified</ns0:t>
        </ns0:is>
      </ns0:c>
      <ns0:c r="AN12" s="21" t="inlineStr"/>
      <ns0:c r="AO12" s="21" t="inlineStr">
        <ns0:is>
          <ns0:t>No additional status determination</ns0:t>
        </ns0:is>
      </ns0:c>
      <ns0:c r="AP12" s="21" t="inlineStr">
        <ns0:is>
          <ns0:t>Not documented for this recharting</ns0:t>
        </ns0:is>
      </ns0:c>
      <ns0:c r="AQ12" s="21" t="inlineStr">
        <ns0:is>
          <ns0:t>ChatGPT-assisted evidence recharting, 2026-09-08</ns0:t>
        </ns0:is>
      </ns0:c>
      <ns0:c r="AR12" s="21" t="inlineStr"/>
      <ns0:c r="AS12" s="21" t="inlineStr">
        <ns0:is>
          <ns0:t>Not recorded; historical inclusion retained</ns0:t>
        </ns0:is>
      </ns0:c>
    </ns0:row>
    <ns0:row r="13" ht="50" customHeight="1">
      <ns0:c r="A13" s="19" t="inlineStr">
        <ns0:is>
          <ns0:t>9</ns0:t>
        </ns0:is>
      </ns0:c>
      <ns0:c r="B13" s="19" t="inlineStr">
        <ns0:is>
          <ns0:t>Historical</ns0:t>
        </ns0:is>
      </ns0:c>
      <ns0:c r="C13" s="19" t="inlineStr">
        <ns0:is>
          <ns0:t>An automated assessment framework for atypical prosody and stereotyped idiosyncratic phrases related to autism spectrum disorder</ns0:t>
        </ns0:is>
      </ns0:c>
      <ns0:c r="D13" s="19" t="inlineStr">
        <ns0:is>
          <ns0:t>10.1016/j.csl.2018.11.002</ns0:t>
        </ns0:is>
      </ns0:c>
      <ns0:c r="E13" s="26" t="n">
        <ns0:v>2019</ns0:v>
      </ns0:c>
      <ns0:c r="F13" s="19" t="inlineStr">
        <ns0:is>
          <ns0:t>Include</ns0:t>
        </ns0:is>
      </ns0:c>
      <ns0:c r="G13" s="27">
        <ns0:f>IF(F13="Include",1,0)</ns0:f>
        <ns0:v>1</ns0:v>
      </ns0:c>
      <ns0:c r="H13" s="19" t="inlineStr">
        <ns0:is>
          <ns0:t>Diagnosis</ns0:t>
        </ns0:is>
      </ns0:c>
      <ns0:c r="I13" s="19" t="inlineStr">
        <ns0:is>
          <ns0:t>Hybrid</ns0:t>
        </ns0:is>
      </ns0:c>
      <ns0:c r="J13" s="19" t="inlineStr">
        <ns0:is>
          <ns0:t>Audio/voice</ns0:t>
        </ns0:is>
      </ns0:c>
      <ns0:c r="K13" s="19" t="inlineStr">
        <ns0:is>
          <ns0:t>CNN/RNN and SVM</ns0:t>
        </ns0:is>
      </ns0:c>
      <ns0:c r="L13" s="19" t="inlineStr">
        <ns0:is>
          <ns0:t>Composite/ensemble pipeline</ns0:t>
        </ns0:is>
      </ns0:c>
      <ns0:c r="M13" s="19" t="inlineStr">
        <ns0:is>
          <ns0:t>Research only</ns0:t>
        </ns0:is>
      </ns0:c>
      <ns0:c r="N13" s="19" t="inlineStr">
        <ns0:is>
          <ns0:t>Automated measurement/classification</ns0:t>
        </ns0:is>
      </ns0:c>
      <ns0:c r="O13" s="19" t="inlineStr">
        <ns0:is>
          <ns0:t>Not observed in assessed sources</ns0:t>
        </ns0:is>
      </ns0:c>
      <ns0:c r="P13" s="19" t="inlineStr">
        <ns0:is>
          <ns0:t>Not observed in assessed sources</ns0:t>
        </ns0:is>
      </ns0:c>
      <ns0:c r="Q13" s="19" t="inlineStr">
        <ns0:is>
          <ns0:t>Not reported in assessed sources</ns0:t>
        </ns0:is>
      </ns0:c>
      <ns0:c r="R13" s="19" t="inlineStr">
        <ns0:is>
          <ns0:t>Not ascertainable</ns0:t>
        </ns0:is>
      </ns0:c>
      <ns0:c r="S13" s="19" t="inlineStr">
        <ns0:is>
          <ns0:t>Not reported in assessed sources</ns0:t>
        </ns0:is>
      </ns0:c>
      <ns0:c r="T13" s="19" t="inlineStr">
        <ns0:is>
          <ns0:t>Not reported in assessed sources</ns0:t>
        </ns0:is>
      </ns0:c>
      <ns0:c r="U13" s="19" t="inlineStr">
        <ns0:is>
          <ns0:t>Not reported in assessed sources</ns0:t>
        </ns0:is>
      </ns0:c>
      <ns0:c r="V13" s="19" t="inlineStr">
        <ns0:is>
          <ns0:t>Not reported in assessed sources</ns0:t>
        </ns0:is>
      </ns0:c>
      <ns0:c r="W13" s="19" t="inlineStr">
        <ns0:is>
          <ns0:t>Reported</ns0:t>
        </ns0:is>
      </ns0:c>
      <ns0:c r="X13" s="19" t="inlineStr">
        <ns0:is>
          <ns0:t>Not reported in assessed sources</ns0:t>
        </ns0:is>
      </ns0:c>
      <ns0:c r="Y13" s="19" t="inlineStr">
        <ns0:is>
          <ns0:t>Not ascertainable</ns0:t>
        </ns0:is>
      </ns0:c>
      <ns0:c r="Z13" s="19" t="inlineStr">
        <ns0:is>
          <ns0:t>Not reported in assessed sources</ns0:t>
        </ns0:is>
      </ns0:c>
      <ns0:c r="AA13" s="19" t="inlineStr">
        <ns0:is>
          <ns0:t>Not recorded</ns0:t>
        </ns0:is>
      </ns0:c>
      <ns0:c r="AB13" s="26" t="n">
        <ns0:v>0</ns0:v>
      </ns0:c>
      <ns0:c r="AC13" s="26" t="n">
        <ns0:v>0</ns0:v>
      </ns0:c>
      <ns0:c r="AD13" s="27">
        <ns0:f>IF(AND(G13=1,AB13=0),1,0)</ns0:f>
        <ns0:v>1</ns0:v>
      </ns0:c>
      <ns0:c r="AE13" s="27">
        <ns0:f>IF(AND(AD13=1,AC13=0),1,0)</ns0:f>
        <ns0:v>1</ns0:v>
      </ns0:c>
      <ns0:c r="AF13" s="27">
        <ns0:f>IF(AND(G13=1,H13&lt;&gt;"Not specified"),1,0)</ns0:f>
        <ns0:v>1</ns0:v>
      </ns0:c>
      <ns0:c r="AG13" s="27">
        <ns0:f>IF(AND(AE13=1,AF13=1),1,0)</ns0:f>
        <ns0:v>1</ns0:v>
      </ns0:c>
      <ns0:c r="AH13" s="19" t="inlineStr">
        <ns0:is>
          <ns0:t>Supplied abstract/coding notes; no new full-text verification</ns0:t>
        </ns0:is>
      </ns0:c>
      <ns0:c r="AI13" s="19" t="inlineStr">
        <ns0:is>
          <ns0:t>https://doi.org/10.1016/j.csl.2018.11.002</ns0:t>
        </ns0:is>
      </ns0:c>
      <ns0:c r="AJ13" s="19" t="inlineStr">
        <ns0:is>
          <ns0:t>EVIDENCIA; original abstract/coding notes and lot source trace; Historical signals: title/abstract/notes; full-text completion not independently established</ns0:t>
        </ns0:is>
      </ns0:c>
      <ns0:c r="AK13" s="19" t="inlineStr">
        <ns0:is>
          <ns0:t>Acoustic and transcript-based ADOS-code prediction is evaluated offline. Audio and transcript tasks are described separately; classifier score fusion is not itself evidence of independent-source fusion.</ns0:t>
        </ns0:is>
      </ns0:c>
      <ns0:c r="AL13" s="19" t="inlineStr">
        <ns0:is>
          <ns0:t>Not applicable</ns0:t>
        </ns0:is>
      </ns0:c>
      <ns0:c r="AM13" s="19" t="inlineStr">
        <ns0:is>
          <ns0:t>Not separately specified</ns0:t>
        </ns0:is>
      </ns0:c>
      <ns0:c r="AN13" s="19" t="inlineStr"/>
      <ns0:c r="AO13" s="19" t="inlineStr">
        <ns0:is>
          <ns0:t>No additional status determination</ns0:t>
        </ns0:is>
      </ns0:c>
      <ns0:c r="AP13" s="19" t="inlineStr">
        <ns0:is>
          <ns0:t>Not documented for this recharting</ns0:t>
        </ns0:is>
      </ns0:c>
      <ns0:c r="AQ13" s="19" t="inlineStr">
        <ns0:is>
          <ns0:t>ChatGPT-assisted evidence recharting, 2026-09-08</ns0:t>
        </ns0:is>
      </ns0:c>
      <ns0:c r="AR13" s="19" t="inlineStr"/>
      <ns0:c r="AS13" s="19" t="inlineStr">
        <ns0:is>
          <ns0:t>Not recorded; historical inclusion retained</ns0:t>
        </ns0:is>
      </ns0:c>
    </ns0:row>
    <ns0:row r="14" ht="50" customHeight="1">
      <ns0:c r="A14" s="21" t="inlineStr">
        <ns0:is>
          <ns0:t>10</ns0:t>
        </ns0:is>
      </ns0:c>
      <ns0:c r="B14" s="21" t="inlineStr">
        <ns0:is>
          <ns0:t>Historical</ns0:t>
        </ns0:is>
      </ns0:c>
      <ns0:c r="C14" s="21" t="inlineStr">
        <ns0:is>
          <ns0:t>Artificial Intelligence Driven Predictive Analysis of Acoustic and Linguistic Behaviors for ASD Identification</ns0:t>
        </ns0:is>
      </ns0:c>
      <ns0:c r="D14" s="21" t="inlineStr">
        <ns0:is>
          <ns0:t>10.1109/tai.2024.3439288</ns0:t>
        </ns0:is>
      </ns0:c>
      <ns0:c r="E14" s="28" t="n">
        <ns0:v>2024</ns0:v>
      </ns0:c>
      <ns0:c r="F14" s="21" t="inlineStr">
        <ns0:is>
          <ns0:t>Include</ns0:t>
        </ns0:is>
      </ns0:c>
      <ns0:c r="G14" s="29">
        <ns0:f>IF(F14="Include",1,0)</ns0:f>
        <ns0:v>1</ns0:v>
      </ns0:c>
      <ns0:c r="H14" s="21" t="inlineStr">
        <ns0:is>
          <ns0:t>Diagnosis</ns0:t>
        </ns0:is>
      </ns0:c>
      <ns0:c r="I14" s="21" t="inlineStr">
        <ns0:is>
          <ns0:t>Not specified</ns0:t>
        </ns0:is>
      </ns0:c>
      <ns0:c r="J14" s="21" t="inlineStr">
        <ns0:is>
          <ns0:t>Audio/voice</ns0:t>
        </ns0:is>
      </ns0:c>
      <ns0:c r="K14" s="21" t="inlineStr">
        <ns0:is>
          <ns0:t>Not specified</ns0:t>
        </ns0:is>
      </ns0:c>
      <ns0:c r="L14" s="21" t="inlineStr">
        <ns0:is>
          <ns0:t>Multiple/not uniquely specified</ns0:t>
        </ns0:is>
      </ns0:c>
      <ns0:c r="M14" s="21" t="inlineStr">
        <ns0:is>
          <ns0:t>Research only</ns0:t>
        </ns0:is>
      </ns0:c>
      <ns0:c r="N14" s="21" t="inlineStr">
        <ns0:is>
          <ns0:t>Automated measurement/classification</ns0:t>
        </ns0:is>
      </ns0:c>
      <ns0:c r="O14" s="21" t="inlineStr">
        <ns0:is>
          <ns0:t>Not observed in assessed sources</ns0:t>
        </ns0:is>
      </ns0:c>
      <ns0:c r="P14" s="21" t="inlineStr">
        <ns0:is>
          <ns0:t>Not observed in assessed sources</ns0:t>
        </ns0:is>
      </ns0:c>
      <ns0:c r="Q14" s="21" t="inlineStr">
        <ns0:is>
          <ns0:t>Not reported in assessed sources</ns0:t>
        </ns0:is>
      </ns0:c>
      <ns0:c r="R14" s="21" t="inlineStr">
        <ns0:is>
          <ns0:t>Not reported in assessed sources</ns0:t>
        </ns0:is>
      </ns0:c>
      <ns0:c r="S14" s="21" t="inlineStr">
        <ns0:is>
          <ns0:t>Not reported in assessed sources</ns0:t>
        </ns0:is>
      </ns0:c>
      <ns0:c r="T14" s="21" t="inlineStr">
        <ns0:is>
          <ns0:t>Not reported in assessed sources</ns0:t>
        </ns0:is>
      </ns0:c>
      <ns0:c r="U14" s="21" t="inlineStr">
        <ns0:is>
          <ns0:t>Not reported in assessed sources</ns0:t>
        </ns0:is>
      </ns0:c>
      <ns0:c r="V14" s="21" t="inlineStr">
        <ns0:is>
          <ns0:t>Not reported in assessed sources</ns0:t>
        </ns0:is>
      </ns0:c>
      <ns0:c r="W14" s="21" t="inlineStr">
        <ns0:is>
          <ns0:t>Not reported in assessed sources</ns0:t>
        </ns0:is>
      </ns0:c>
      <ns0:c r="X14" s="21" t="inlineStr">
        <ns0:is>
          <ns0:t>Not reported in assessed sources</ns0:t>
        </ns0:is>
      </ns0:c>
      <ns0:c r="Y14" s="21" t="inlineStr">
        <ns0:is>
          <ns0:t>Not ascertainable</ns0:t>
        </ns0:is>
      </ns0:c>
      <ns0:c r="Z14" s="21" t="inlineStr">
        <ns0:is>
          <ns0:t>Not reported in assessed sources</ns0:t>
        </ns0:is>
      </ns0:c>
      <ns0:c r="AA14" s="21" t="inlineStr">
        <ns0:is>
          <ns0:t>Not recorded</ns0:t>
        </ns0:is>
      </ns0:c>
      <ns0:c r="AB14" s="28" t="n">
        <ns0:v>0</ns0:v>
      </ns0:c>
      <ns0:c r="AC14" s="28" t="n">
        <ns0:v>0</ns0:v>
      </ns0:c>
      <ns0:c r="AD14" s="29">
        <ns0:f>IF(AND(G14=1,AB14=0),1,0)</ns0:f>
        <ns0:v>1</ns0:v>
      </ns0:c>
      <ns0:c r="AE14" s="29">
        <ns0:f>IF(AND(AD14=1,AC14=0),1,0)</ns0:f>
        <ns0:v>1</ns0:v>
      </ns0:c>
      <ns0:c r="AF14" s="29">
        <ns0:f>IF(AND(G14=1,H14&lt;&gt;"Not specified"),1,0)</ns0:f>
        <ns0:v>1</ns0:v>
      </ns0:c>
      <ns0:c r="AG14" s="29">
        <ns0:f>IF(AND(AE14=1,AF14=1),1,0)</ns0:f>
        <ns0:v>1</ns0:v>
      </ns0:c>
      <ns0:c r="AH14" s="21" t="inlineStr">
        <ns0:is>
          <ns0:t>Supplied abstract/coding notes; no new full-text verification</ns0:t>
        </ns0:is>
      </ns0:c>
      <ns0:c r="AI14" s="21" t="inlineStr">
        <ns0:is>
          <ns0:t>https://doi.org/10.1109/tai.2024.3439288</ns0:t>
        </ns0:is>
      </ns0:c>
      <ns0:c r="AJ14" s="21" t="inlineStr">
        <ns0:is>
          <ns0:t>EVIDENCIA; original abstract/coding notes and lot source trace; Historical signals: title/abstract/notes; full-text completion not independently established</ns0:t>
        </ns0:is>
      </ns0:c>
      <ns0:c r="AK14" s="21" t="inlineStr">
        <ns0:is>
          <ns0:t>Speech-derived acoustic and linguistic biomarkers are evaluated in Hindi and English; no active clinician-facing workflow is documented in the assessed abstract.
Acoustic and linguistic representations from speech; language variation is not independent input modality.</ns0:t>
        </ns0:is>
      </ns0:c>
      <ns0:c r="AL14" s="21" t="inlineStr">
        <ns0:is>
          <ns0:t>Not applicable</ns0:t>
        </ns0:is>
      </ns0:c>
      <ns0:c r="AM14" s="21" t="inlineStr">
        <ns0:is>
          <ns0:t>Not separately specified</ns0:t>
        </ns0:is>
      </ns0:c>
      <ns0:c r="AN14" s="21" t="inlineStr"/>
      <ns0:c r="AO14" s="21" t="inlineStr">
        <ns0:is>
          <ns0:t>No additional status determination</ns0:t>
        </ns0:is>
      </ns0:c>
      <ns0:c r="AP14" s="21" t="inlineStr">
        <ns0:is>
          <ns0:t>Not documented for this recharting</ns0:t>
        </ns0:is>
      </ns0:c>
      <ns0:c r="AQ14" s="21" t="inlineStr">
        <ns0:is>
          <ns0:t>ChatGPT-assisted evidence recharting, 2026-09-08</ns0:t>
        </ns0:is>
      </ns0:c>
      <ns0:c r="AR14" s="21" t="inlineStr"/>
      <ns0:c r="AS14" s="21" t="inlineStr">
        <ns0:is>
          <ns0:t>Not recorded; historical inclusion retained</ns0:t>
        </ns0:is>
      </ns0:c>
    </ns0:row>
    <ns0:row r="15" ht="50" customHeight="1">
      <ns0:c r="A15" s="19" t="inlineStr">
        <ns0:is>
          <ns0:t>11</ns0:t>
        </ns0:is>
      </ns0:c>
      <ns0:c r="B15" s="19" t="inlineStr">
        <ns0:is>
          <ns0:t>Historical</ns0:t>
        </ns0:is>
      </ns0:c>
      <ns0:c r="C15" s="23" t="inlineStr">
        <ns0:is>
          <ns0:t>Data Mining-Based Model for Computer-Aided Diagnosis of Autism and Gelotophobia: Mixed Methods Deep Learning Approach.</ns0:t>
        </ns0:is>
      </ns0:c>
      <ns0:c r="D15" s="19" t="inlineStr">
        <ns0:is>
          <ns0:t>10.2196/72115</ns0:t>
        </ns0:is>
      </ns0:c>
      <ns0:c r="E15" s="26" t="n">
        <ns0:v>2025</ns0:v>
      </ns0:c>
      <ns0:c r="F15" s="19" t="inlineStr">
        <ns0:is>
          <ns0:t>Include</ns0:t>
        </ns0:is>
      </ns0:c>
      <ns0:c r="G15" s="27">
        <ns0:f>IF(F15="Include",1,0)</ns0:f>
        <ns0:v>1</ns0:v>
      </ns0:c>
      <ns0:c r="H15" s="19" t="inlineStr">
        <ns0:is>
          <ns0:t>Diagnosis</ns0:t>
        </ns0:is>
      </ns0:c>
      <ns0:c r="I15" s="19" t="inlineStr">
        <ns0:is>
          <ns0:t>Deep Learning</ns0:t>
        </ns0:is>
      </ns0:c>
      <ns0:c r="J15" s="19" t="inlineStr">
        <ns0:is>
          <ns0:t>Multiple source categories</ns0:t>
        </ns0:is>
      </ns0:c>
      <ns0:c r="K15" s="19" t="inlineStr">
        <ns0:is>
          <ns0:t>DeepFace with MLP classifier</ns0:t>
        </ns0:is>
      </ns0:c>
      <ns0:c r="L15" s="19" t="inlineStr">
        <ns0:is>
          <ns0:t>MLP/ANN</ns0:t>
        </ns0:is>
      </ns0:c>
      <ns0:c r="M15" s="19" t="inlineStr">
        <ns0:is>
          <ns0:t>Proposed only</ns0:t>
        </ns0:is>
      </ns0:c>
      <ns0:c r="N15" s="19" t="inlineStr">
        <ns0:is>
          <ns0:t>Diagnostic decision support</ns0:t>
        </ns0:is>
      </ns0:c>
      <ns0:c r="O15" s="19" t="inlineStr">
        <ns0:is>
          <ns0:t>In-decision</ns0:t>
        </ns0:is>
      </ns0:c>
      <ns0:c r="P15" s="19" t="inlineStr">
        <ns0:is>
          <ns0:t>Not observed in assessed sources</ns0:t>
        </ns0:is>
      </ns0:c>
      <ns0:c r="Q15" s="19" t="inlineStr">
        <ns0:is>
          <ns0:t>Not reported in assessed sources</ns0:t>
        </ns0:is>
      </ns0:c>
      <ns0:c r="R15" s="19" t="inlineStr">
        <ns0:is>
          <ns0:t>Reported</ns0:t>
        </ns0:is>
      </ns0:c>
      <ns0:c r="S15" s="19" t="inlineStr">
        <ns0:is>
          <ns0:t>Not reported in assessed sources</ns0:t>
        </ns0:is>
      </ns0:c>
      <ns0:c r="T15" s="19" t="inlineStr">
        <ns0:is>
          <ns0:t>Not reported in assessed sources</ns0:t>
        </ns0:is>
      </ns0:c>
      <ns0:c r="U15" s="19" t="inlineStr">
        <ns0:is>
          <ns0:t>Not reported in assessed sources</ns0:t>
        </ns0:is>
      </ns0:c>
      <ns0:c r="V15" s="19" t="inlineStr">
        <ns0:is>
          <ns0:t>Not reported in assessed sources</ns0:t>
        </ns0:is>
      </ns0:c>
      <ns0:c r="W15" s="19" t="inlineStr">
        <ns0:is>
          <ns0:t>Reported</ns0:t>
        </ns0:is>
      </ns0:c>
      <ns0:c r="X15" s="19" t="inlineStr">
        <ns0:is>
          <ns0:t>Not reported in assessed sources</ns0:t>
        </ns0:is>
      </ns0:c>
      <ns0:c r="Y15" s="19" t="inlineStr">
        <ns0:is>
          <ns0:t>Not ascertainable</ns0:t>
        </ns0:is>
      </ns0:c>
      <ns0:c r="Z15" s="19" t="inlineStr">
        <ns0:is>
          <ns0:t>Not reported in assessed sources</ns0:t>
        </ns0:is>
      </ns0:c>
      <ns0:c r="AA15" s="19" t="inlineStr">
        <ns0:is>
          <ns0:t>Expression of Concern</ns0:t>
        </ns0:is>
      </ns0:c>
      <ns0:c r="AB15" s="26" t="n">
        <ns0:v>1</ns0:v>
      </ns0:c>
      <ns0:c r="AC15" s="26" t="n">
        <ns0:v>0</ns0:v>
      </ns0:c>
      <ns0:c r="AD15" s="27">
        <ns0:f>IF(AND(G15=1,AB15=0),1,0)</ns0:f>
        <ns0:v>0</ns0:v>
      </ns0:c>
      <ns0:c r="AE15" s="27">
        <ns0:f>IF(AND(AD15=1,AC15=0),1,0)</ns0:f>
        <ns0:v>0</ns0:v>
      </ns0:c>
      <ns0:c r="AF15" s="27">
        <ns0:f>IF(AND(G15=1,H15&lt;&gt;"Not specified"),1,0)</ns0:f>
        <ns0:v>1</ns0:v>
      </ns0:c>
      <ns0:c r="AG15" s="27">
        <ns0:f>IF(AND(AE15=1,AF15=1),1,0)</ns0:f>
        <ns0:v>0</ns0:v>
      </ns0:c>
      <ns0:c r="AH15" s="19" t="inlineStr">
        <ns0:is>
          <ns0:t>Primary-source full text (targeted sections)</ns0:t>
        </ns0:is>
      </ns0:c>
      <ns0:c r="AI15" s="19" t="inlineStr">
        <ns0:is>
          <ns0:t>https://formative.jmir.org/2026/1/e91833/</ns0:t>
        </ns0:is>
      </ns0:c>
      <ns0:c r="AJ15" s="19" t="inlineStr">
        <ns0:is>
          <ns0:t>Editorial notice, 23 January 2026</ns0:t>
        </ns0:is>
      </ns0:c>
      <ns0:c r="AK15" s="19" t="inlineStr">
        <ns0:is>
          <ns0:t>Facial-image classification and questionnaire-assisted gelotophobia assessment are proposed for clinical use. Retain the expression-of-concern flag; diagnostic performance is not evidence of deployment.</ns0:t>
        </ns0:is>
      </ns0:c>
      <ns0:c r="AL15" s="19" t="inlineStr">
        <ns0:is>
          <ns0:t>Not applicable</ns0:t>
        </ns0:is>
      </ns0:c>
      <ns0:c r="AM15" s="19" t="inlineStr">
        <ns0:is>
          <ns0:t>Not separately specified</ns0:t>
        </ns0:is>
      </ns0:c>
      <ns0:c r="AN15" s="19" t="inlineStr"/>
      <ns0:c r="AO15" s="19" t="inlineStr">
        <ns0:is>
          <ns0:t>No additional status determination</ns0:t>
        </ns0:is>
      </ns0:c>
      <ns0:c r="AP15" s="19" t="inlineStr">
        <ns0:is>
          <ns0:t>Not documented for this recharting</ns0:t>
        </ns0:is>
      </ns0:c>
      <ns0:c r="AQ15" s="19" t="inlineStr">
        <ns0:is>
          <ns0:t>ChatGPT-assisted evidence recharting, 2026-09-08</ns0:t>
        </ns0:is>
      </ns0:c>
      <ns0:c r="AR15" s="19" t="inlineStr"/>
      <ns0:c r="AS15" s="19" t="inlineStr">
        <ns0:is>
          <ns0:t>Not recorded; historical inclusion retained</ns0:t>
        </ns0:is>
      </ns0:c>
    </ns0:row>
    <ns0:row r="16" ht="50" customHeight="1">
      <ns0:c r="A16" s="21" t="inlineStr">
        <ns0:is>
          <ns0:t>12</ns0:t>
        </ns0:is>
      </ns0:c>
      <ns0:c r="B16" s="21" t="inlineStr">
        <ns0:is>
          <ns0:t>Historical</ns0:t>
        </ns0:is>
      </ns0:c>
      <ns0:c r="C16" s="21" t="inlineStr">
        <ns0:is>
          <ns0:t>Effect of Wearable Digital Intervention for Improving Socialization in Children with Autism Spectrum Disorder: A Randomized Clinical Trial</ns0:t>
        </ns0:is>
      </ns0:c>
      <ns0:c r="D16" s="21" t="inlineStr">
        <ns0:is>
          <ns0:t>10.1001/jamapediatrics.2019.0285</ns0:t>
        </ns0:is>
      </ns0:c>
      <ns0:c r="E16" s="28" t="n">
        <ns0:v>2019</ns0:v>
      </ns0:c>
      <ns0:c r="F16" s="21" t="inlineStr">
        <ns0:is>
          <ns0:t>Include</ns0:t>
        </ns0:is>
      </ns0:c>
      <ns0:c r="G16" s="29">
        <ns0:f>IF(F16="Include",1,0)</ns0:f>
        <ns0:v>1</ns0:v>
      </ns0:c>
      <ns0:c r="H16" s="21" t="inlineStr">
        <ns0:is>
          <ns0:t>Monitoring/intervention</ns0:t>
        </ns0:is>
      </ns0:c>
      <ns0:c r="I16" s="21" t="inlineStr">
        <ns0:is>
          <ns0:t>Not specified</ns0:t>
        </ns0:is>
      </ns0:c>
      <ns0:c r="J16" s="21" t="inlineStr">
        <ns0:is>
          <ns0:t>Behavioral images/video/gaze/movement</ns0:t>
        </ns0:is>
      </ns0:c>
      <ns0:c r="K16" s="21" t="inlineStr">
        <ns0:is>
          <ns0:t>Computer vision classifier (family not specified)</ns0:t>
        </ns0:is>
      </ns0:c>
      <ns0:c r="L16" s="21" t="inlineStr">
        <ns0:is>
          <ns0:t>Multiple/not uniquely specified</ns0:t>
        </ns0:is>
      </ns0:c>
      <ns0:c r="M16" s="21" t="inlineStr">
        <ns0:is>
          <ns0:t>Evaluated AI-supported intervention</ns0:t>
        </ns0:is>
      </ns0:c>
      <ns0:c r="N16" s="21" t="inlineStr">
        <ns0:is>
          <ns0:t>Adaptive intervention</ns0:t>
        </ns0:is>
      </ns0:c>
      <ns0:c r="O16" s="21" t="inlineStr">
        <ns0:is>
          <ns0:t>Post-decision</ns0:t>
        </ns0:is>
      </ns0:c>
      <ns0:c r="P16" s="21" t="inlineStr">
        <ns0:is>
          <ns0:t>Post-decision</ns0:t>
        </ns0:is>
      </ns0:c>
      <ns0:c r="Q16" s="21" t="inlineStr">
        <ns0:is>
          <ns0:t>Not reported in assessed sources</ns0:t>
        </ns0:is>
      </ns0:c>
      <ns0:c r="R16" s="21" t="inlineStr">
        <ns0:is>
          <ns0:t>Not reported in assessed sources</ns0:t>
        </ns0:is>
      </ns0:c>
      <ns0:c r="S16" s="21" t="inlineStr">
        <ns0:is>
          <ns0:t>Not reported in assessed sources</ns0:t>
        </ns0:is>
      </ns0:c>
      <ns0:c r="T16" s="21" t="inlineStr">
        <ns0:is>
          <ns0:t>Not reported in assessed sources</ns0:t>
        </ns0:is>
      </ns0:c>
      <ns0:c r="U16" s="21" t="inlineStr">
        <ns0:is>
          <ns0:t>Not reported in assessed sources</ns0:t>
        </ns0:is>
      </ns0:c>
      <ns0:c r="V16" s="21" t="inlineStr">
        <ns0:is>
          <ns0:t>Not reported in assessed sources</ns0:t>
        </ns0:is>
      </ns0:c>
      <ns0:c r="W16" s="21" t="inlineStr">
        <ns0:is>
          <ns0:t>Not reported in assessed sources</ns0:t>
        </ns0:is>
      </ns0:c>
      <ns0:c r="X16" s="21" t="inlineStr">
        <ns0:is>
          <ns0:t>Reported</ns0:t>
        </ns0:is>
      </ns0:c>
      <ns0:c r="Y16" s="21" t="inlineStr">
        <ns0:is>
          <ns0:t>Not ascertainable</ns0:t>
        </ns0:is>
      </ns0:c>
      <ns0:c r="Z16" s="21" t="inlineStr">
        <ns0:is>
          <ns0:t>Not reported in assessed sources</ns0:t>
        </ns0:is>
      </ns0:c>
      <ns0:c r="AA16" s="21" t="inlineStr">
        <ns0:is>
          <ns0:t>Not recorded</ns0:t>
        </ns0:is>
      </ns0:c>
      <ns0:c r="AB16" s="28" t="n">
        <ns0:v>0</ns0:v>
      </ns0:c>
      <ns0:c r="AC16" s="28" t="n">
        <ns0:v>0</ns0:v>
      </ns0:c>
      <ns0:c r="AD16" s="29">
        <ns0:f>IF(AND(G16=1,AB16=0),1,0)</ns0:f>
        <ns0:v>1</ns0:v>
      </ns0:c>
      <ns0:c r="AE16" s="29">
        <ns0:f>IF(AND(AD16=1,AC16=0),1,0)</ns0:f>
        <ns0:v>1</ns0:v>
      </ns0:c>
      <ns0:c r="AF16" s="29">
        <ns0:f>IF(AND(G16=1,H16&lt;&gt;"Not specified"),1,0)</ns0:f>
        <ns0:v>1</ns0:v>
      </ns0:c>
      <ns0:c r="AG16" s="29">
        <ns0:f>IF(AND(AE16=1,AF16=1),1,0)</ns0:f>
        <ns0:v>1</ns0:v>
      </ns0:c>
      <ns0:c r="AH16" s="21" t="inlineStr">
        <ns0:is>
          <ns0:t>Supplied abstract/coding notes; no new full-text verification</ns0:t>
        </ns0:is>
      </ns0:c>
      <ns0:c r="AI16" s="21" t="inlineStr">
        <ns0:is>
          <ns0:t>https://doi.org/10.1001/jamapediatrics.2019.0285</ns0:t>
        </ns0:is>
      </ns0:c>
      <ns0:c r="AJ16" s="21" t="inlineStr">
        <ns0:is>
          <ns0:t>EVIDENCIA; original abstract/coding notes and lot source trace; Historical signals: title/abstract/notes; full-text completion not independently established</ns0:t>
        </ns0:is>
      </ns0:c>
      <ns0:c r="AK16" s="21" t="inlineStr">
        <ns0:is>
          <ns0:t>Superpower Glass provides AI-generated facial-expression feedback in a randomized home intervention. Standard ABA therapy and outcome scales are not additional AI input modalities.</ns0:t>
        </ns0:is>
      </ns0:c>
      <ns0:c r="AL16" s="21" t="inlineStr">
        <ns0:is>
          <ns0:t>Not applicable</ns0:t>
        </ns0:is>
      </ns0:c>
      <ns0:c r="AM16" s="21" t="inlineStr">
        <ns0:is>
          <ns0:t>Not separately specified</ns0:t>
        </ns0:is>
      </ns0:c>
      <ns0:c r="AN16" s="21" t="inlineStr"/>
      <ns0:c r="AO16" s="21" t="inlineStr">
        <ns0:is>
          <ns0:t>No additional status determination</ns0:t>
        </ns0:is>
      </ns0:c>
      <ns0:c r="AP16" s="21" t="inlineStr">
        <ns0:is>
          <ns0:t>Not documented for this recharting</ns0:t>
        </ns0:is>
      </ns0:c>
      <ns0:c r="AQ16" s="21" t="inlineStr">
        <ns0:is>
          <ns0:t>ChatGPT-assisted evidence recharting, 2026-09-08</ns0:t>
        </ns0:is>
      </ns0:c>
      <ns0:c r="AR16" s="21" t="inlineStr"/>
      <ns0:c r="AS16" s="21" t="inlineStr">
        <ns0:is>
          <ns0:t>Not recorded; historical inclusion retained</ns0:t>
        </ns0:is>
      </ns0:c>
    </ns0:row>
    <ns0:row r="17" ht="50" customHeight="1">
      <ns0:c r="A17" s="19" t="inlineStr">
        <ns0:is>
          <ns0:t>13</ns0:t>
        </ns0:is>
      </ns0:c>
      <ns0:c r="B17" s="19" t="inlineStr">
        <ns0:is>
          <ns0:t>Historical</ns0:t>
        </ns0:is>
      </ns0:c>
      <ns0:c r="C17" s="19" t="inlineStr">
        <ns0:is>
          <ns0:t>Feature Signature Discovery for Autism Detection: An Automated Machine Learning Based Feature Ranking Framework</ns0:t>
        </ns0:is>
      </ns0:c>
      <ns0:c r="D17" s="19" t="inlineStr">
        <ns0:is>
          <ns0:t>10.1155/2023/6330002</ns0:t>
        </ns0:is>
      </ns0:c>
      <ns0:c r="E17" s="26" t="n">
        <ns0:v>2023</ns0:v>
      </ns0:c>
      <ns0:c r="F17" s="19" t="inlineStr">
        <ns0:is>
          <ns0:t>Include</ns0:t>
        </ns0:is>
      </ns0:c>
      <ns0:c r="G17" s="27">
        <ns0:f>IF(F17="Include",1,0)</ns0:f>
        <ns0:v>1</ns0:v>
      </ns0:c>
      <ns0:c r="H17" s="19" t="inlineStr">
        <ns0:is>
          <ns0:t>Screening</ns0:t>
        </ns0:is>
      </ns0:c>
      <ns0:c r="I17" s="19" t="inlineStr">
        <ns0:is>
          <ns0:t>Machine Learning</ns0:t>
        </ns0:is>
      </ns0:c>
      <ns0:c r="J17" s="19" t="inlineStr">
        <ns0:is>
          <ns0:t>Structured clinical/questionnaire data</ns0:t>
        </ns0:is>
      </ns0:c>
      <ns0:c r="K17" s="19" t="inlineStr">
        <ns0:is>
          <ns0:t>AutoML / feature-ranking framework</ns0:t>
        </ns0:is>
      </ns0:c>
      <ns0:c r="L17" s="19" t="inlineStr">
        <ns0:is>
          <ns0:t>Other specified method</ns0:t>
        </ns0:is>
      </ns0:c>
      <ns0:c r="M17" s="19" t="inlineStr">
        <ns0:is>
          <ns0:t>Research only</ns0:t>
        </ns0:is>
      </ns0:c>
      <ns0:c r="N17" s="19" t="inlineStr">
        <ns0:is>
          <ns0:t>Automated measurement/classification</ns0:t>
        </ns0:is>
      </ns0:c>
      <ns0:c r="O17" s="19" t="inlineStr">
        <ns0:is>
          <ns0:t>Not observed in assessed sources</ns0:t>
        </ns0:is>
      </ns0:c>
      <ns0:c r="P17" s="19" t="inlineStr">
        <ns0:is>
          <ns0:t>Not observed in assessed sources</ns0:t>
        </ns0:is>
      </ns0:c>
      <ns0:c r="Q17" s="19" t="inlineStr">
        <ns0:is>
          <ns0:t>Not reported in assessed sources</ns0:t>
        </ns0:is>
      </ns0:c>
      <ns0:c r="R17" s="19" t="inlineStr">
        <ns0:is>
          <ns0:t>Not reported in assessed sources</ns0:t>
        </ns0:is>
      </ns0:c>
      <ns0:c r="S17" s="19" t="inlineStr">
        <ns0:is>
          <ns0:t>Reported</ns0:t>
        </ns0:is>
      </ns0:c>
      <ns0:c r="T17" s="19" t="inlineStr">
        <ns0:is>
          <ns0:t>Not reported in assessed sources</ns0:t>
        </ns0:is>
      </ns0:c>
      <ns0:c r="U17" s="19" t="inlineStr">
        <ns0:is>
          <ns0:t>Not reported in assessed sources</ns0:t>
        </ns0:is>
      </ns0:c>
      <ns0:c r="V17" s="19" t="inlineStr">
        <ns0:is>
          <ns0:t>Not reported in assessed sources</ns0:t>
        </ns0:is>
      </ns0:c>
      <ns0:c r="W17" s="19" t="inlineStr">
        <ns0:is>
          <ns0:t>Not reported in assessed sources</ns0:t>
        </ns0:is>
      </ns0:c>
      <ns0:c r="X17" s="19" t="inlineStr">
        <ns0:is>
          <ns0:t>Not reported in assessed sources</ns0:t>
        </ns0:is>
      </ns0:c>
      <ns0:c r="Y17" s="19" t="inlineStr">
        <ns0:is>
          <ns0:t>Not ascertainable</ns0:t>
        </ns0:is>
      </ns0:c>
      <ns0:c r="Z17" s="19" t="inlineStr">
        <ns0:is>
          <ns0:t>Reported</ns0:t>
        </ns0:is>
      </ns0:c>
      <ns0:c r="AA17" s="19" t="inlineStr">
        <ns0:is>
          <ns0:t>Not recorded</ns0:t>
        </ns0:is>
      </ns0:c>
      <ns0:c r="AB17" s="26" t="n">
        <ns0:v>0</ns0:v>
      </ns0:c>
      <ns0:c r="AC17" s="26" t="n">
        <ns0:v>0</ns0:v>
      </ns0:c>
      <ns0:c r="AD17" s="27">
        <ns0:f>IF(AND(G17=1,AB17=0),1,0)</ns0:f>
        <ns0:v>1</ns0:v>
      </ns0:c>
      <ns0:c r="AE17" s="27">
        <ns0:f>IF(AND(AD17=1,AC17=0),1,0)</ns0:f>
        <ns0:v>1</ns0:v>
      </ns0:c>
      <ns0:c r="AF17" s="27">
        <ns0:f>IF(AND(G17=1,H17&lt;&gt;"Not specified"),1,0)</ns0:f>
        <ns0:v>1</ns0:v>
      </ns0:c>
      <ns0:c r="AG17" s="27">
        <ns0:f>IF(AND(AE17=1,AF17=1),1,0)</ns0:f>
        <ns0:v>1</ns0:v>
      </ns0:c>
      <ns0:c r="AH17" s="19" t="inlineStr">
        <ns0:is>
          <ns0:t>Supplied abstract/coding notes; no new full-text verification</ns0:t>
        </ns0:is>
      </ns0:c>
      <ns0:c r="AI17" s="19" t="inlineStr">
        <ns0:is>
          <ns0:t>https://doi.org/10.1155/2023/6330002</ns0:t>
        </ns0:is>
      </ns0:c>
      <ns0:c r="AJ17" s="19" t="inlineStr">
        <ns0:is>
          <ns0:t>EVIDENCIA; original abstract/coding notes and lot source trace; Historical signals: title/abstract/notes; full-text completion not independently established</ns0:t>
        </ns0:is>
      </ns0:c>
      <ns0:c r="AK17" s="19" t="inlineStr">
        <ns0:is>
          <ns0:t>Q-CHAT-based tabular screening datasets and automated ML model ranking. Discussion of deep-learning comparators does not make the proposed AutoML framework deep learning.</ns0:t>
        </ns0:is>
      </ns0:c>
      <ns0:c r="AL17" s="19" t="inlineStr">
        <ns0:is>
          <ns0:t>Not applicable</ns0:t>
        </ns0:is>
      </ns0:c>
      <ns0:c r="AM17" s="19" t="inlineStr">
        <ns0:is>
          <ns0:t>Not separately specified</ns0:t>
        </ns0:is>
      </ns0:c>
      <ns0:c r="AN17" s="19" t="inlineStr"/>
      <ns0:c r="AO17" s="19" t="inlineStr">
        <ns0:is>
          <ns0:t>No additional status determination</ns0:t>
        </ns0:is>
      </ns0:c>
      <ns0:c r="AP17" s="19" t="inlineStr">
        <ns0:is>
          <ns0:t>Not documented for this recharting</ns0:t>
        </ns0:is>
      </ns0:c>
      <ns0:c r="AQ17" s="19" t="inlineStr">
        <ns0:is>
          <ns0:t>ChatGPT-assisted evidence recharting, 2026-09-08</ns0:t>
        </ns0:is>
      </ns0:c>
      <ns0:c r="AR17" s="19" t="inlineStr">
        <ns0:is>
          <ns0:t>RA</ns0:t>
        </ns0:is>
      </ns0:c>
      <ns0:c r="AS17" s="19" t="inlineStr">
        <ns0:is>
          <ns0:t>Not recorded; historical inclusion retained</ns0:t>
        </ns0:is>
      </ns0:c>
    </ns0:row>
    <ns0:row r="18" ht="50" customHeight="1">
      <ns0:c r="A18" s="21" t="inlineStr">
        <ns0:is>
          <ns0:t>14</ns0:t>
        </ns0:is>
      </ns0:c>
      <ns0:c r="B18" s="21" t="inlineStr">
        <ns0:is>
          <ns0:t>Historical</ns0:t>
        </ns0:is>
      </ns0:c>
      <ns0:c r="C18" s="21" t="inlineStr">
        <ns0:is>
          <ns0:t>Functional neuroimaging of high-risk 6-month-old infants predicts a diagnosis of autism at 24 months of age</ns0:t>
        </ns0:is>
      </ns0:c>
      <ns0:c r="D18" s="21" t="inlineStr">
        <ns0:is>
          <ns0:t>10.1126/scitranslmed.aag2882</ns0:t>
        </ns0:is>
      </ns0:c>
      <ns0:c r="E18" s="28" t="n">
        <ns0:v>2017</ns0:v>
      </ns0:c>
      <ns0:c r="F18" s="21" t="inlineStr">
        <ns0:is>
          <ns0:t>Include</ns0:t>
        </ns0:is>
      </ns0:c>
      <ns0:c r="G18" s="29">
        <ns0:f>IF(F18="Include",1,0)</ns0:f>
        <ns0:v>1</ns0:v>
      </ns0:c>
      <ns0:c r="H18" s="21" t="inlineStr">
        <ns0:is>
          <ns0:t>Prognosis</ns0:t>
        </ns0:is>
      </ns0:c>
      <ns0:c r="I18" s="21" t="inlineStr">
        <ns0:is>
          <ns0:t>Machine Learning</ns0:t>
        </ns0:is>
      </ns0:c>
      <ns0:c r="J18" s="21" t="inlineStr">
        <ns0:is>
          <ns0:t>Neuroimaging</ns0:t>
        </ns0:is>
      </ns0:c>
      <ns0:c r="K18" s="21" t="inlineStr">
        <ns0:is>
          <ns0:t>Not specified</ns0:t>
        </ns0:is>
      </ns0:c>
      <ns0:c r="L18" s="21" t="inlineStr">
        <ns0:is>
          <ns0:t>Multiple/not uniquely specified</ns0:t>
        </ns0:is>
      </ns0:c>
      <ns0:c r="M18" s="21" t="inlineStr">
        <ns0:is>
          <ns0:t>Research only</ns0:t>
        </ns0:is>
      </ns0:c>
      <ns0:c r="N18" s="21" t="inlineStr">
        <ns0:is>
          <ns0:t>Risk/trajectory estimation</ns0:t>
        </ns0:is>
      </ns0:c>
      <ns0:c r="O18" s="21" t="inlineStr">
        <ns0:is>
          <ns0:t>Not observed in assessed sources</ns0:t>
        </ns0:is>
      </ns0:c>
      <ns0:c r="P18" s="21" t="inlineStr">
        <ns0:is>
          <ns0:t>Not observed in assessed sources</ns0:t>
        </ns0:is>
      </ns0:c>
      <ns0:c r="Q18" s="21" t="inlineStr">
        <ns0:is>
          <ns0:t>Not reported in assessed sources</ns0:t>
        </ns0:is>
      </ns0:c>
      <ns0:c r="R18" s="21" t="inlineStr">
        <ns0:is>
          <ns0:t>Not reported in assessed sources</ns0:t>
        </ns0:is>
      </ns0:c>
      <ns0:c r="S18" s="21" t="inlineStr">
        <ns0:is>
          <ns0:t>Not reported in assessed sources</ns0:t>
        </ns0:is>
      </ns0:c>
      <ns0:c r="T18" s="21" t="inlineStr">
        <ns0:is>
          <ns0:t>Not reported in assessed sources</ns0:t>
        </ns0:is>
      </ns0:c>
      <ns0:c r="U18" s="21" t="inlineStr">
        <ns0:is>
          <ns0:t>Not reported in assessed sources</ns0:t>
        </ns0:is>
      </ns0:c>
      <ns0:c r="V18" s="21" t="inlineStr">
        <ns0:is>
          <ns0:t>Not reported in assessed sources</ns0:t>
        </ns0:is>
      </ns0:c>
      <ns0:c r="W18" s="21" t="inlineStr">
        <ns0:is>
          <ns0:t>Not reported in assessed sources</ns0:t>
        </ns0:is>
      </ns0:c>
      <ns0:c r="X18" s="21" t="inlineStr">
        <ns0:is>
          <ns0:t>Not reported in assessed sources</ns0:t>
        </ns0:is>
      </ns0:c>
      <ns0:c r="Y18" s="21" t="inlineStr">
        <ns0:is>
          <ns0:t>Reported</ns0:t>
        </ns0:is>
      </ns0:c>
      <ns0:c r="Z18" s="21" t="inlineStr">
        <ns0:is>
          <ns0:t>Not reported in assessed sources</ns0:t>
        </ns0:is>
      </ns0:c>
      <ns0:c r="AA18" s="21" t="inlineStr">
        <ns0:is>
          <ns0:t>Not recorded</ns0:t>
        </ns0:is>
      </ns0:c>
      <ns0:c r="AB18" s="28" t="n">
        <ns0:v>0</ns0:v>
      </ns0:c>
      <ns0:c r="AC18" s="28" t="n">
        <ns0:v>0</ns0:v>
      </ns0:c>
      <ns0:c r="AD18" s="29">
        <ns0:f>IF(AND(G18=1,AB18=0),1,0)</ns0:f>
        <ns0:v>1</ns0:v>
      </ns0:c>
      <ns0:c r="AE18" s="29">
        <ns0:f>IF(AND(AD18=1,AC18=0),1,0)</ns0:f>
        <ns0:v>1</ns0:v>
      </ns0:c>
      <ns0:c r="AF18" s="29">
        <ns0:f>IF(AND(G18=1,H18&lt;&gt;"Not specified"),1,0)</ns0:f>
        <ns0:v>1</ns0:v>
      </ns0:c>
      <ns0:c r="AG18" s="29">
        <ns0:f>IF(AND(AE18=1,AF18=1),1,0)</ns0:f>
        <ns0:v>1</ns0:v>
      </ns0:c>
      <ns0:c r="AH18" s="21" t="inlineStr">
        <ns0:is>
          <ns0:t>Supplied abstract/coding notes; no new full-text verification</ns0:t>
        </ns0:is>
      </ns0:c>
      <ns0:c r="AI18" s="21" t="inlineStr">
        <ns0:is>
          <ns0:t>https://doi.org/10.1126/scitranslmed.aag2882</ns0:t>
        </ns0:is>
      </ns0:c>
      <ns0:c r="AJ18" s="21" t="inlineStr">
        <ns0:is>
          <ns0:t>EVIDENCIA; original abstract/coding notes and lot source trace; Historical signals: title/abstract/notes; full-text completion not independently established</ns0:t>
        </ns0:is>
      </ns0:c>
      <ns0:c r="AK18" s="21" t="inlineStr">
        <ns0:is>
          <ns0:t>Prospective infant fcMRI cohort predicts research diagnosis at 24 months using internal cross-validation. Prospective data collection is not prospective clinical use of model outputs.</ns0:t>
        </ns0:is>
      </ns0:c>
      <ns0:c r="AL18" s="21" t="inlineStr">
        <ns0:is>
          <ns0:t>Not applicable</ns0:t>
        </ns0:is>
      </ns0:c>
      <ns0:c r="AM18" s="21" t="inlineStr">
        <ns0:is>
          <ns0:t>Not separately specified</ns0:t>
        </ns0:is>
      </ns0:c>
      <ns0:c r="AN18" s="21" t="inlineStr"/>
      <ns0:c r="AO18" s="21" t="inlineStr">
        <ns0:is>
          <ns0:t>No additional status determination</ns0:t>
        </ns0:is>
      </ns0:c>
      <ns0:c r="AP18" s="21" t="inlineStr">
        <ns0:is>
          <ns0:t>Not documented for this recharting</ns0:t>
        </ns0:is>
      </ns0:c>
      <ns0:c r="AQ18" s="21" t="inlineStr">
        <ns0:is>
          <ns0:t>ChatGPT-assisted evidence recharting, 2026-09-08</ns0:t>
        </ns0:is>
      </ns0:c>
      <ns0:c r="AR18" s="21" t="inlineStr">
        <ns0:is>
          <ns0:t>RA</ns0:t>
        </ns0:is>
      </ns0:c>
      <ns0:c r="AS18" s="21" t="inlineStr">
        <ns0:is>
          <ns0:t>Not recorded; historical inclusion retained</ns0:t>
        </ns0:is>
      </ns0:c>
    </ns0:row>
    <ns0:row r="19" ht="50" customHeight="1">
      <ns0:c r="A19" s="19" t="inlineStr">
        <ns0:is>
          <ns0:t>15</ns0:t>
        </ns0:is>
      </ns0:c>
      <ns0:c r="B19" s="19" t="inlineStr">
        <ns0:is>
          <ns0:t>Historical</ns0:t>
        </ns0:is>
      </ns0:c>
      <ns0:c r="C19" s="19" t="inlineStr">
        <ns0:is>
          <ns0:t>Hybrid CNN and random forest model with late fusion for detection of autism spectrum disorder in Toddlers</ns0:t>
        </ns0:is>
      </ns0:c>
      <ns0:c r="D19" s="19" t="inlineStr">
        <ns0:is>
          <ns0:t>10.1016/j.mex.2025.103278</ns0:t>
        </ns0:is>
      </ns0:c>
      <ns0:c r="E19" s="26" t="n">
        <ns0:v>2025</ns0:v>
      </ns0:c>
      <ns0:c r="F19" s="19" t="inlineStr">
        <ns0:is>
          <ns0:t>Include</ns0:t>
        </ns0:is>
      </ns0:c>
      <ns0:c r="G19" s="27">
        <ns0:f>IF(F19="Include",1,0)</ns0:f>
        <ns0:v>1</ns0:v>
      </ns0:c>
      <ns0:c r="H19" s="19" t="inlineStr">
        <ns0:is>
          <ns0:t>Screening</ns0:t>
        </ns0:is>
      </ns0:c>
      <ns0:c r="I19" s="19" t="inlineStr">
        <ns0:is>
          <ns0:t>Hybrid</ns0:t>
        </ns0:is>
      </ns0:c>
      <ns0:c r="J19" s="19" t="inlineStr">
        <ns0:is>
          <ns0:t>Multiple source categories</ns0:t>
        </ns0:is>
      </ns0:c>
      <ns0:c r="K19" s="19" t="inlineStr">
        <ns0:is>
          <ns0:t>VGG16 CNN + Random Forest (late fusion)</ns0:t>
        </ns0:is>
      </ns0:c>
      <ns0:c r="L19" s="19" t="inlineStr">
        <ns0:is>
          <ns0:t>Composite/ensemble pipeline</ns0:t>
        </ns0:is>
      </ns0:c>
      <ns0:c r="M19" s="19" t="inlineStr">
        <ns0:is>
          <ns0:t>Proposed only</ns0:t>
        </ns0:is>
      </ns0:c>
      <ns0:c r="N19" s="19" t="inlineStr">
        <ns0:is>
          <ns0:t>Triage/questionnaire assessment</ns0:t>
        </ns0:is>
      </ns0:c>
      <ns0:c r="O19" s="19" t="inlineStr">
        <ns0:is>
          <ns0:t>Pre-decision</ns0:t>
        </ns0:is>
      </ns0:c>
      <ns0:c r="P19" s="19" t="inlineStr">
        <ns0:is>
          <ns0:t>Not observed in assessed sources</ns0:t>
        </ns0:is>
      </ns0:c>
      <ns0:c r="Q19" s="19" t="inlineStr">
        <ns0:is>
          <ns0:t>Not reported in assessed sources</ns0:t>
        </ns0:is>
      </ns0:c>
      <ns0:c r="R19" s="19" t="inlineStr">
        <ns0:is>
          <ns0:t>Reported</ns0:t>
        </ns0:is>
      </ns0:c>
      <ns0:c r="S19" s="19" t="inlineStr">
        <ns0:is>
          <ns0:t>Not reported in assessed sources</ns0:t>
        </ns0:is>
      </ns0:c>
      <ns0:c r="T19" s="19" t="inlineStr">
        <ns0:is>
          <ns0:t>Not reported in assessed sources</ns0:t>
        </ns0:is>
      </ns0:c>
      <ns0:c r="U19" s="19" t="inlineStr">
        <ns0:is>
          <ns0:t>Not reported in assessed sources</ns0:t>
        </ns0:is>
      </ns0:c>
      <ns0:c r="V19" s="19" t="inlineStr">
        <ns0:is>
          <ns0:t>Not reported in assessed sources</ns0:t>
        </ns0:is>
      </ns0:c>
      <ns0:c r="W19" s="19" t="inlineStr">
        <ns0:is>
          <ns0:t>Reported</ns0:t>
        </ns0:is>
      </ns0:c>
      <ns0:c r="X19" s="19" t="inlineStr">
        <ns0:is>
          <ns0:t>Not reported in assessed sources</ns0:t>
        </ns0:is>
      </ns0:c>
      <ns0:c r="Y19" s="19" t="inlineStr">
        <ns0:is>
          <ns0:t>Not ascertainable</ns0:t>
        </ns0:is>
      </ns0:c>
      <ns0:c r="Z19" s="19" t="inlineStr">
        <ns0:is>
          <ns0:t>Not reported in assessed sources</ns0:t>
        </ns0:is>
      </ns0:c>
      <ns0:c r="AA19" s="19" t="inlineStr">
        <ns0:is>
          <ns0:t>Not recorded</ns0:t>
        </ns0:is>
      </ns0:c>
      <ns0:c r="AB19" s="26" t="n">
        <ns0:v>0</ns0:v>
      </ns0:c>
      <ns0:c r="AC19" s="26" t="n">
        <ns0:v>0</ns0:v>
      </ns0:c>
      <ns0:c r="AD19" s="27">
        <ns0:f>IF(AND(G19=1,AB19=0),1,0)</ns0:f>
        <ns0:v>1</ns0:v>
      </ns0:c>
      <ns0:c r="AE19" s="27">
        <ns0:f>IF(AND(AD19=1,AC19=0),1,0)</ns0:f>
        <ns0:v>1</ns0:v>
      </ns0:c>
      <ns0:c r="AF19" s="27">
        <ns0:f>IF(AND(G19=1,H19&lt;&gt;"Not specified"),1,0)</ns0:f>
        <ns0:v>1</ns0:v>
      </ns0:c>
      <ns0:c r="AG19" s="27">
        <ns0:f>IF(AND(AE19=1,AF19=1),1,0)</ns0:f>
        <ns0:v>1</ns0:v>
      </ns0:c>
      <ns0:c r="AH19" s="19" t="inlineStr">
        <ns0:is>
          <ns0:t>Supplied abstract/coding notes; no new full-text verification</ns0:t>
        </ns0:is>
      </ns0:c>
      <ns0:c r="AI19" s="19" t="inlineStr">
        <ns0:is>
          <ns0:t>https://doi.org/10.1016/j.mex.2025.103278</ns0:t>
        </ns0:is>
      </ns0:c>
      <ns0:c r="AJ19" s="19" t="inlineStr">
        <ns0:is>
          <ns0:t>EVIDENCIA; original abstract/coding notes and lot source trace; Historical signals: title/abstract/notes; full-text completion not independently established</ns0:t>
        </ns0:is>
      </ns0:c>
      <ns0:c r="AK19" s="19" t="inlineStr">
        <ns0:is>
          <ns0:t>The source describes facial-image and questionnaire models with late fusion. Participant-level pairing and independence of the two datasets are not established by the abstract; no evaluated clinical workflow is claimed.</ns0:t>
        </ns0:is>
      </ns0:c>
      <ns0:c r="AL19" s="19" t="inlineStr">
        <ns0:is>
          <ns0:t>Not applicable</ns0:t>
        </ns0:is>
      </ns0:c>
      <ns0:c r="AM19" s="19" t="inlineStr">
        <ns0:is>
          <ns0:t>Not separately specified</ns0:t>
        </ns0:is>
      </ns0:c>
      <ns0:c r="AN19" s="19" t="inlineStr"/>
      <ns0:c r="AO19" s="19" t="inlineStr">
        <ns0:is>
          <ns0:t>No additional status determination</ns0:t>
        </ns0:is>
      </ns0:c>
      <ns0:c r="AP19" s="19" t="inlineStr">
        <ns0:is>
          <ns0:t>Not documented for this recharting</ns0:t>
        </ns0:is>
      </ns0:c>
      <ns0:c r="AQ19" s="19" t="inlineStr">
        <ns0:is>
          <ns0:t>ChatGPT-assisted evidence recharting, 2026-09-08</ns0:t>
        </ns0:is>
      </ns0:c>
      <ns0:c r="AR19" s="19" t="inlineStr"/>
      <ns0:c r="AS19" s="19" t="inlineStr">
        <ns0:is>
          <ns0:t>Not recorded; historical inclusion retained</ns0:t>
        </ns0:is>
      </ns0:c>
    </ns0:row>
    <ns0:row r="20" ht="50" customHeight="1">
      <ns0:c r="A20" s="21" t="inlineStr">
        <ns0:is>
          <ns0:t>16</ns0:t>
        </ns0:is>
      </ns0:c>
      <ns0:c r="B20" s="21" t="inlineStr">
        <ns0:is>
          <ns0:t>Historical</ns0:t>
        </ns0:is>
      </ns0:c>
      <ns0:c r="C20" s="21" t="inlineStr">
        <ns0:is>
          <ns0:t>Machine Learning Approaches for the Early Diagnosis of Autism Spectrum Disorder: A Systematic Framework</ns0:t>
        </ns0:is>
      </ns0:c>
      <ns0:c r="D20" s="21" t="inlineStr">
        <ns0:is>
          <ns0:t>10.1007/978-3-031-81083-1_7</ns0:t>
        </ns0:is>
      </ns0:c>
      <ns0:c r="E20" s="28" t="n">
        <ns0:v>2025</ns0:v>
      </ns0:c>
      <ns0:c r="F20" s="21" t="inlineStr">
        <ns0:is>
          <ns0:t>Include</ns0:t>
        </ns0:is>
      </ns0:c>
      <ns0:c r="G20" s="29">
        <ns0:f>IF(F20="Include",1,0)</ns0:f>
        <ns0:v>1</ns0:v>
      </ns0:c>
      <ns0:c r="H20" s="21" t="inlineStr">
        <ns0:is>
          <ns0:t>Screening</ns0:t>
        </ns0:is>
      </ns0:c>
      <ns0:c r="I20" s="21" t="inlineStr">
        <ns0:is>
          <ns0:t>Machine Learning</ns0:t>
        </ns0:is>
      </ns0:c>
      <ns0:c r="J20" s="21" t="inlineStr">
        <ns0:is>
          <ns0:t>Structured clinical/questionnaire data</ns0:t>
        </ns0:is>
      </ns0:c>
      <ns0:c r="K20" s="21" t="inlineStr">
        <ns0:is>
          <ns0:t>Neural network (depth not specified)</ns0:t>
        </ns0:is>
      </ns0:c>
      <ns0:c r="L20" s="21" t="inlineStr">
        <ns0:is>
          <ns0:t>Multiple/not uniquely specified</ns0:t>
        </ns0:is>
      </ns0:c>
      <ns0:c r="M20" s="21" t="inlineStr">
        <ns0:is>
          <ns0:t>Proposed only</ns0:t>
        </ns0:is>
      </ns0:c>
      <ns0:c r="N20" s="21" t="inlineStr">
        <ns0:is>
          <ns0:t>Triage/questionnaire assessment</ns0:t>
        </ns0:is>
      </ns0:c>
      <ns0:c r="O20" s="21" t="inlineStr">
        <ns0:is>
          <ns0:t>Pre-decision</ns0:t>
        </ns0:is>
      </ns0:c>
      <ns0:c r="P20" s="21" t="inlineStr">
        <ns0:is>
          <ns0:t>Not observed in assessed sources</ns0:t>
        </ns0:is>
      </ns0:c>
      <ns0:c r="Q20" s="21" t="inlineStr">
        <ns0:is>
          <ns0:t>Not reported in assessed sources</ns0:t>
        </ns0:is>
      </ns0:c>
      <ns0:c r="R20" s="21" t="inlineStr">
        <ns0:is>
          <ns0:t>Not reported in assessed sources</ns0:t>
        </ns0:is>
      </ns0:c>
      <ns0:c r="S20" s="21" t="inlineStr">
        <ns0:is>
          <ns0:t>Not reported in assessed sources</ns0:t>
        </ns0:is>
      </ns0:c>
      <ns0:c r="T20" s="21" t="inlineStr">
        <ns0:is>
          <ns0:t>Not reported in assessed sources</ns0:t>
        </ns0:is>
      </ns0:c>
      <ns0:c r="U20" s="21" t="inlineStr">
        <ns0:is>
          <ns0:t>Not reported in assessed sources</ns0:t>
        </ns0:is>
      </ns0:c>
      <ns0:c r="V20" s="21" t="inlineStr">
        <ns0:is>
          <ns0:t>Not reported in assessed sources</ns0:t>
        </ns0:is>
      </ns0:c>
      <ns0:c r="W20" s="21" t="inlineStr">
        <ns0:is>
          <ns0:t>Not reported in assessed sources</ns0:t>
        </ns0:is>
      </ns0:c>
      <ns0:c r="X20" s="21" t="inlineStr">
        <ns0:is>
          <ns0:t>Not reported in assessed sources</ns0:t>
        </ns0:is>
      </ns0:c>
      <ns0:c r="Y20" s="21" t="inlineStr">
        <ns0:is>
          <ns0:t>Not ascertainable</ns0:t>
        </ns0:is>
      </ns0:c>
      <ns0:c r="Z20" s="21" t="inlineStr">
        <ns0:is>
          <ns0:t>Not reported in assessed sources</ns0:t>
        </ns0:is>
      </ns0:c>
      <ns0:c r="AA20" s="21" t="inlineStr">
        <ns0:is>
          <ns0:t>Not recorded</ns0:t>
        </ns0:is>
      </ns0:c>
      <ns0:c r="AB20" s="28" t="n">
        <ns0:v>0</ns0:v>
      </ns0:c>
      <ns0:c r="AC20" s="28" t="n">
        <ns0:v>0</ns0:v>
      </ns0:c>
      <ns0:c r="AD20" s="29">
        <ns0:f>IF(AND(G20=1,AB20=0),1,0)</ns0:f>
        <ns0:v>1</ns0:v>
      </ns0:c>
      <ns0:c r="AE20" s="29">
        <ns0:f>IF(AND(AD20=1,AC20=0),1,0)</ns0:f>
        <ns0:v>1</ns0:v>
      </ns0:c>
      <ns0:c r="AF20" s="29">
        <ns0:f>IF(AND(G20=1,H20&lt;&gt;"Not specified"),1,0)</ns0:f>
        <ns0:v>1</ns0:v>
      </ns0:c>
      <ns0:c r="AG20" s="29">
        <ns0:f>IF(AND(AE20=1,AF20=1),1,0)</ns0:f>
        <ns0:v>1</ns0:v>
      </ns0:c>
      <ns0:c r="AH20" s="21" t="inlineStr">
        <ns0:is>
          <ns0:t>Supplied abstract/coding notes; no new full-text verification</ns0:t>
        </ns0:is>
      </ns0:c>
      <ns0:c r="AI20" s="21" t="inlineStr">
        <ns0:is>
          <ns0:t>https://doi.org/10.1007/978-3-031-81083-1_7</ns0:t>
        </ns0:is>
      </ns0:c>
      <ns0:c r="AJ20" s="21" t="inlineStr">
        <ns0:is>
          <ns0:t>EVIDENCIA; original abstract/coding notes and lot source trace; Historical signals: title/abstract/notes; full-text completion not independently established</ns0:t>
        </ns0:is>
      </ns0:c>
      <ns0:c r="AK20" s="21" t="inlineStr">
        <ns0:is>
          <ns0:t>The abstract describes screening-assessment datasets and neural-network training, with an intended early-screening system. Detailed architecture and deployment are not established.</ns0:t>
        </ns0:is>
      </ns0:c>
      <ns0:c r="AL20" s="21" t="inlineStr">
        <ns0:is>
          <ns0:t>Not applicable</ns0:t>
        </ns0:is>
      </ns0:c>
      <ns0:c r="AM20" s="21" t="inlineStr">
        <ns0:is>
          <ns0:t>Not separately specified</ns0:t>
        </ns0:is>
      </ns0:c>
      <ns0:c r="AN20" s="21" t="inlineStr"/>
      <ns0:c r="AO20" s="21" t="inlineStr">
        <ns0:is>
          <ns0:t>No additional status determination</ns0:t>
        </ns0:is>
      </ns0:c>
      <ns0:c r="AP20" s="21" t="inlineStr">
        <ns0:is>
          <ns0:t>Not documented for this recharting</ns0:t>
        </ns0:is>
      </ns0:c>
      <ns0:c r="AQ20" s="21" t="inlineStr">
        <ns0:is>
          <ns0:t>ChatGPT-assisted evidence recharting, 2026-09-08</ns0:t>
        </ns0:is>
      </ns0:c>
      <ns0:c r="AR20" s="21" t="inlineStr"/>
      <ns0:c r="AS20" s="21" t="inlineStr">
        <ns0:is>
          <ns0:t>Not recorded; historical inclusion retained</ns0:t>
        </ns0:is>
      </ns0:c>
    </ns0:row>
    <ns0:row r="21" ht="50" customHeight="1">
      <ns0:c r="A21" s="19" t="inlineStr">
        <ns0:is>
          <ns0:t>17</ns0:t>
        </ns0:is>
      </ns0:c>
      <ns0:c r="B21" s="19" t="inlineStr">
        <ns0:is>
          <ns0:t>Historical</ns0:t>
        </ns0:is>
      </ns0:c>
      <ns0:c r="C21" s="19" t="inlineStr">
        <ns0:is>
          <ns0:t>Machine learning classification of autism spectrum disorder based on reciprocity in naturalistic social interactions</ns0:t>
        </ns0:is>
      </ns0:c>
      <ns0:c r="D21" s="19" t="inlineStr">
        <ns0:is>
          <ns0:t>10.1038/s41398-024-02802-5</ns0:t>
        </ns0:is>
      </ns0:c>
      <ns0:c r="E21" s="26" t="n">
        <ns0:v>2024</ns0:v>
      </ns0:c>
      <ns0:c r="F21" s="19" t="inlineStr">
        <ns0:is>
          <ns0:t>Include</ns0:t>
        </ns0:is>
      </ns0:c>
      <ns0:c r="G21" s="27">
        <ns0:f>IF(F21="Include",1,0)</ns0:f>
        <ns0:v>1</ns0:v>
      </ns0:c>
      <ns0:c r="H21" s="19" t="inlineStr">
        <ns0:is>
          <ns0:t>Diagnosis</ns0:t>
        </ns0:is>
      </ns0:c>
      <ns0:c r="I21" s="19" t="inlineStr">
        <ns0:is>
          <ns0:t>Machine Learning</ns0:t>
        </ns0:is>
      </ns0:c>
      <ns0:c r="J21" s="19" t="inlineStr">
        <ns0:is>
          <ns0:t>Behavioral images/video/gaze/movement</ns0:t>
        </ns0:is>
      </ns0:c>
      <ns0:c r="K21" s="19" t="inlineStr">
        <ns0:is>
          <ns0:t>SVM</ns0:t>
        </ns0:is>
      </ns0:c>
      <ns0:c r="L21" s="19" t="inlineStr">
        <ns0:is>
          <ns0:t>SVM</ns0:t>
        </ns0:is>
      </ns0:c>
      <ns0:c r="M21" s="19" t="inlineStr">
        <ns0:is>
          <ns0:t>Research only</ns0:t>
        </ns0:is>
      </ns0:c>
      <ns0:c r="N21" s="19" t="inlineStr">
        <ns0:is>
          <ns0:t>Automated measurement/classification</ns0:t>
        </ns0:is>
      </ns0:c>
      <ns0:c r="O21" s="19" t="inlineStr">
        <ns0:is>
          <ns0:t>Not observed in assessed sources</ns0:t>
        </ns0:is>
      </ns0:c>
      <ns0:c r="P21" s="19" t="inlineStr">
        <ns0:is>
          <ns0:t>Not observed in assessed sources</ns0:t>
        </ns0:is>
      </ns0:c>
      <ns0:c r="Q21" s="19" t="inlineStr">
        <ns0:is>
          <ns0:t>Not reported in assessed sources</ns0:t>
        </ns0:is>
      </ns0:c>
      <ns0:c r="R21" s="19" t="inlineStr">
        <ns0:is>
          <ns0:t>Not reported in assessed sources</ns0:t>
        </ns0:is>
      </ns0:c>
      <ns0:c r="S21" s="19" t="inlineStr">
        <ns0:is>
          <ns0:t>Not reported in assessed sources</ns0:t>
        </ns0:is>
      </ns0:c>
      <ns0:c r="T21" s="19" t="inlineStr">
        <ns0:is>
          <ns0:t>Not reported in assessed sources</ns0:t>
        </ns0:is>
      </ns0:c>
      <ns0:c r="U21" s="19" t="inlineStr">
        <ns0:is>
          <ns0:t>Not reported in assessed sources</ns0:t>
        </ns0:is>
      </ns0:c>
      <ns0:c r="V21" s="19" t="inlineStr">
        <ns0:is>
          <ns0:t>Not reported in assessed sources</ns0:t>
        </ns0:is>
      </ns0:c>
      <ns0:c r="W21" s="19" t="inlineStr">
        <ns0:is>
          <ns0:t>Not reported in assessed sources</ns0:t>
        </ns0:is>
      </ns0:c>
      <ns0:c r="X21" s="19" t="inlineStr">
        <ns0:is>
          <ns0:t>Not reported in assessed sources</ns0:t>
        </ns0:is>
      </ns0:c>
      <ns0:c r="Y21" s="19" t="inlineStr">
        <ns0:is>
          <ns0:t>Not ascertainable</ns0:t>
        </ns0:is>
      </ns0:c>
      <ns0:c r="Z21" s="19" t="inlineStr">
        <ns0:is>
          <ns0:t>Not reported in assessed sources</ns0:t>
        </ns0:is>
      </ns0:c>
      <ns0:c r="AA21" s="19" t="inlineStr">
        <ns0:is>
          <ns0:t>Not recorded</ns0:t>
        </ns0:is>
      </ns0:c>
      <ns0:c r="AB21" s="26" t="n">
        <ns0:v>0</ns0:v>
      </ns0:c>
      <ns0:c r="AC21" s="26" t="n">
        <ns0:v>0</ns0:v>
      </ns0:c>
      <ns0:c r="AD21" s="27">
        <ns0:f>IF(AND(G21=1,AB21=0),1,0)</ns0:f>
        <ns0:v>1</ns0:v>
      </ns0:c>
      <ns0:c r="AE21" s="27">
        <ns0:f>IF(AND(AD21=1,AC21=0),1,0)</ns0:f>
        <ns0:v>1</ns0:v>
      </ns0:c>
      <ns0:c r="AF21" s="27">
        <ns0:f>IF(AND(G21=1,H21&lt;&gt;"Not specified"),1,0)</ns0:f>
        <ns0:v>1</ns0:v>
      </ns0:c>
      <ns0:c r="AG21" s="27">
        <ns0:f>IF(AND(AE21=1,AF21=1),1,0)</ns0:f>
        <ns0:v>1</ns0:v>
      </ns0:c>
      <ns0:c r="AH21" s="19" t="inlineStr">
        <ns0:is>
          <ns0:t>Supplied abstract/coding notes; no new full-text verification</ns0:t>
        </ns0:is>
      </ns0:c>
      <ns0:c r="AI21" s="19" t="inlineStr">
        <ns0:is>
          <ns0:t>https://doi.org/10.1038/s41398-024-02802-5</ns0:t>
        </ns0:is>
      </ns0:c>
      <ns0:c r="AJ21" s="19" t="inlineStr">
        <ns0:is>
          <ns0:t>EVIDENCIA; original abstract/coding notes and lot source trace; Historical signals: title/abstract/notes; full-text completion not independently established</ns0:t>
        </ns0:is>
      </ns0:c>
      <ns0:c r="AK21" s="19" t="inlineStr">
        <ns0:is>
          <ns0:t>Naturalistic interaction videos are computationally annotated and classified offline; the source explicitly places routine-care generalization in future work.</ns0:t>
        </ns0:is>
      </ns0:c>
      <ns0:c r="AL21" s="19" t="inlineStr">
        <ns0:is>
          <ns0:t>Not applicable</ns0:t>
        </ns0:is>
      </ns0:c>
      <ns0:c r="AM21" s="19" t="inlineStr">
        <ns0:is>
          <ns0:t>Not separately specified</ns0:t>
        </ns0:is>
      </ns0:c>
      <ns0:c r="AN21" s="19" t="inlineStr"/>
      <ns0:c r="AO21" s="19" t="inlineStr">
        <ns0:is>
          <ns0:t>No additional status determination</ns0:t>
        </ns0:is>
      </ns0:c>
      <ns0:c r="AP21" s="19" t="inlineStr">
        <ns0:is>
          <ns0:t>Not documented for this recharting</ns0:t>
        </ns0:is>
      </ns0:c>
      <ns0:c r="AQ21" s="19" t="inlineStr">
        <ns0:is>
          <ns0:t>ChatGPT-assisted evidence recharting, 2026-09-08</ns0:t>
        </ns0:is>
      </ns0:c>
      <ns0:c r="AR21" s="19" t="inlineStr"/>
      <ns0:c r="AS21" s="19" t="inlineStr">
        <ns0:is>
          <ns0:t>Not recorded; historical inclusion retained</ns0:t>
        </ns0:is>
      </ns0:c>
    </ns0:row>
    <ns0:row r="22" ht="50" customHeight="1">
      <ns0:c r="A22" s="21" t="inlineStr">
        <ns0:is>
          <ns0:t>18</ns0:t>
        </ns0:is>
      </ns0:c>
      <ns0:c r="B22" s="21" t="inlineStr">
        <ns0:is>
          <ns0:t>Historical</ns0:t>
        </ns0:is>
      </ns0:c>
      <ns0:c r="C22" s="21" t="inlineStr">
        <ns0:is>
          <ns0:t>Multiparametric MRI characterization and prediction in autism spectrum disorder using graph theory and machine learning</ns0:t>
        </ns0:is>
      </ns0:c>
      <ns0:c r="D22" s="21" t="inlineStr">
        <ns0:is>
          <ns0:t>10.1371/journal.pone.0090405</ns0:t>
        </ns0:is>
      </ns0:c>
      <ns0:c r="E22" s="28" t="n">
        <ns0:v>2014</ns0:v>
      </ns0:c>
      <ns0:c r="F22" s="21" t="inlineStr">
        <ns0:is>
          <ns0:t>Include</ns0:t>
        </ns0:is>
      </ns0:c>
      <ns0:c r="G22" s="29">
        <ns0:f>IF(F22="Include",1,0)</ns0:f>
        <ns0:v>1</ns0:v>
      </ns0:c>
      <ns0:c r="H22" s="21" t="inlineStr">
        <ns0:is>
          <ns0:t>Diagnosis</ns0:t>
        </ns0:is>
      </ns0:c>
      <ns0:c r="I22" s="21" t="inlineStr">
        <ns0:is>
          <ns0:t>Machine Learning</ns0:t>
        </ns0:is>
      </ns0:c>
      <ns0:c r="J22" s="21" t="inlineStr">
        <ns0:is>
          <ns0:t>Neuroimaging</ns0:t>
        </ns0:is>
      </ns0:c>
      <ns0:c r="K22" s="21" t="inlineStr">
        <ns0:is>
          <ns0:t>Not specified</ns0:t>
        </ns0:is>
      </ns0:c>
      <ns0:c r="L22" s="21" t="inlineStr">
        <ns0:is>
          <ns0:t>Multiple/not uniquely specified</ns0:t>
        </ns0:is>
      </ns0:c>
      <ns0:c r="M22" s="21" t="inlineStr">
        <ns0:is>
          <ns0:t>Research only</ns0:t>
        </ns0:is>
      </ns0:c>
      <ns0:c r="N22" s="21" t="inlineStr">
        <ns0:is>
          <ns0:t>Automated measurement/classification</ns0:t>
        </ns0:is>
      </ns0:c>
      <ns0:c r="O22" s="21" t="inlineStr">
        <ns0:is>
          <ns0:t>Not observed in assessed sources</ns0:t>
        </ns0:is>
      </ns0:c>
      <ns0:c r="P22" s="21" t="inlineStr">
        <ns0:is>
          <ns0:t>Not observed in assessed sources</ns0:t>
        </ns0:is>
      </ns0:c>
      <ns0:c r="Q22" s="21" t="inlineStr">
        <ns0:is>
          <ns0:t>Not reported in assessed sources</ns0:t>
        </ns0:is>
      </ns0:c>
      <ns0:c r="R22" s="21" t="inlineStr">
        <ns0:is>
          <ns0:t>Reported</ns0:t>
        </ns0:is>
      </ns0:c>
      <ns0:c r="S22" s="21" t="inlineStr">
        <ns0:is>
          <ns0:t>Not reported in assessed sources</ns0:t>
        </ns0:is>
      </ns0:c>
      <ns0:c r="T22" s="21" t="inlineStr">
        <ns0:is>
          <ns0:t>Not reported in assessed sources</ns0:t>
        </ns0:is>
      </ns0:c>
      <ns0:c r="U22" s="21" t="inlineStr">
        <ns0:is>
          <ns0:t>Not reported in assessed sources</ns0:t>
        </ns0:is>
      </ns0:c>
      <ns0:c r="V22" s="21" t="inlineStr">
        <ns0:is>
          <ns0:t>Reported</ns0:t>
        </ns0:is>
      </ns0:c>
      <ns0:c r="W22" s="21" t="inlineStr">
        <ns0:is>
          <ns0:t>Reported</ns0:t>
        </ns0:is>
      </ns0:c>
      <ns0:c r="X22" s="21" t="inlineStr">
        <ns0:is>
          <ns0:t>Not reported in assessed sources</ns0:t>
        </ns0:is>
      </ns0:c>
      <ns0:c r="Y22" s="21" t="inlineStr">
        <ns0:is>
          <ns0:t>Not ascertainable</ns0:t>
        </ns0:is>
      </ns0:c>
      <ns0:c r="Z22" s="21" t="inlineStr">
        <ns0:is>
          <ns0:t>Not reported in assessed sources</ns0:t>
        </ns0:is>
      </ns0:c>
      <ns0:c r="AA22" s="21" t="inlineStr">
        <ns0:is>
          <ns0:t>Not recorded</ns0:t>
        </ns0:is>
      </ns0:c>
      <ns0:c r="AB22" s="28" t="n">
        <ns0:v>0</ns0:v>
      </ns0:c>
      <ns0:c r="AC22" s="28" t="n">
        <ns0:v>0</ns0:v>
      </ns0:c>
      <ns0:c r="AD22" s="29">
        <ns0:f>IF(AND(G22=1,AB22=0),1,0)</ns0:f>
        <ns0:v>1</ns0:v>
      </ns0:c>
      <ns0:c r="AE22" s="29">
        <ns0:f>IF(AND(AD22=1,AC22=0),1,0)</ns0:f>
        <ns0:v>1</ns0:v>
      </ns0:c>
      <ns0:c r="AF22" s="29">
        <ns0:f>IF(AND(G22=1,H22&lt;&gt;"Not specified"),1,0)</ns0:f>
        <ns0:v>1</ns0:v>
      </ns0:c>
      <ns0:c r="AG22" s="29">
        <ns0:f>IF(AND(AE22=1,AF22=1),1,0)</ns0:f>
        <ns0:v>1</ns0:v>
      </ns0:c>
      <ns0:c r="AH22" s="21" t="inlineStr">
        <ns0:is>
          <ns0:t>Supplied abstract/coding notes; no new full-text verification</ns0:t>
        </ns0:is>
      </ns0:c>
      <ns0:c r="AI22" s="21" t="inlineStr">
        <ns0:is>
          <ns0:t>https://doi.org/10.1371/journal.pone.0090405</ns0:t>
        </ns0:is>
      </ns0:c>
      <ns0:c r="AJ22" s="21" t="inlineStr">
        <ns0:is>
          <ns0:t>EVIDENCIA; original abstract/coding notes and lot source trace; Historical signals: title/abstract/notes; full-text completion not independently established</ns0:t>
        </ns0:is>
      </ns0:c>
      <ns0:c r="AK22" s="21" t="inlineStr">
        <ns0:is>
          <ns0:t>Multiparametric MRI and graph-theoretic features are analyzed with machine learning, not necessarily a graph neural network. Multi-center data and multiple MRI-derived feature types are reported.</ns0:t>
        </ns0:is>
      </ns0:c>
      <ns0:c r="AL22" s="21" t="inlineStr">
        <ns0:is>
          <ns0:t>Not applicable</ns0:t>
        </ns0:is>
      </ns0:c>
      <ns0:c r="AM22" s="21" t="inlineStr">
        <ns0:is>
          <ns0:t>Not separately specified</ns0:t>
        </ns0:is>
      </ns0:c>
      <ns0:c r="AN22" s="21" t="inlineStr"/>
      <ns0:c r="AO22" s="21" t="inlineStr">
        <ns0:is>
          <ns0:t>No additional status determination</ns0:t>
        </ns0:is>
      </ns0:c>
      <ns0:c r="AP22" s="21" t="inlineStr">
        <ns0:is>
          <ns0:t>Not documented for this recharting</ns0:t>
        </ns0:is>
      </ns0:c>
      <ns0:c r="AQ22" s="21" t="inlineStr">
        <ns0:is>
          <ns0:t>ChatGPT-assisted evidence recharting, 2026-09-08</ns0:t>
        </ns0:is>
      </ns0:c>
      <ns0:c r="AR22" s="21" t="inlineStr">
        <ns0:is>
          <ns0:t>RA</ns0:t>
        </ns0:is>
      </ns0:c>
      <ns0:c r="AS22" s="21" t="inlineStr">
        <ns0:is>
          <ns0:t>Not recorded; historical inclusion retained</ns0:t>
        </ns0:is>
      </ns0:c>
    </ns0:row>
    <ns0:row r="23" ht="50" customHeight="1">
      <ns0:c r="A23" s="19" t="inlineStr">
        <ns0:is>
          <ns0:t>19</ns0:t>
        </ns0:is>
      </ns0:c>
      <ns0:c r="B23" s="19" t="inlineStr">
        <ns0:is>
          <ns0:t>Historical</ns0:t>
        </ns0:is>
      </ns0:c>
      <ns0:c r="C23" s="19" t="inlineStr">
        <ns0:is>
          <ns0:t>Multivariate Neural Connectivity Patterns in Early Infancy Predict Later Autism Symptoms</ns0:t>
        </ns0:is>
      </ns0:c>
      <ns0:c r="D23" s="19" t="inlineStr">
        <ns0:is>
          <ns0:t>10.1016/j.bpsc.2020.06.003</ns0:t>
        </ns0:is>
      </ns0:c>
      <ns0:c r="E23" s="26" t="n">
        <ns0:v>2021</ns0:v>
      </ns0:c>
      <ns0:c r="F23" s="19" t="inlineStr">
        <ns0:is>
          <ns0:t>Include</ns0:t>
        </ns0:is>
      </ns0:c>
      <ns0:c r="G23" s="27">
        <ns0:f>IF(F23="Include",1,0)</ns0:f>
        <ns0:v>1</ns0:v>
      </ns0:c>
      <ns0:c r="H23" s="19" t="inlineStr">
        <ns0:is>
          <ns0:t>Prognosis</ns0:t>
        </ns0:is>
      </ns0:c>
      <ns0:c r="I23" s="19" t="inlineStr">
        <ns0:is>
          <ns0:t>Machine Learning</ns0:t>
        </ns0:is>
      </ns0:c>
      <ns0:c r="J23" s="19" t="inlineStr">
        <ns0:is>
          <ns0:t>Physiological signals</ns0:t>
        </ns0:is>
      </ns0:c>
      <ns0:c r="K23" s="19" t="inlineStr">
        <ns0:is>
          <ns0:t>Support vector regression</ns0:t>
        </ns0:is>
      </ns0:c>
      <ns0:c r="L23" s="19" t="inlineStr">
        <ns0:is>
          <ns0:t>SVM</ns0:t>
        </ns0:is>
      </ns0:c>
      <ns0:c r="M23" s="19" t="inlineStr">
        <ns0:is>
          <ns0:t>Research only</ns0:t>
        </ns0:is>
      </ns0:c>
      <ns0:c r="N23" s="19" t="inlineStr">
        <ns0:is>
          <ns0:t>Risk/trajectory estimation</ns0:t>
        </ns0:is>
      </ns0:c>
      <ns0:c r="O23" s="19" t="inlineStr">
        <ns0:is>
          <ns0:t>Not observed in assessed sources</ns0:t>
        </ns0:is>
      </ns0:c>
      <ns0:c r="P23" s="19" t="inlineStr">
        <ns0:is>
          <ns0:t>Not observed in assessed sources</ns0:t>
        </ns0:is>
      </ns0:c>
      <ns0:c r="Q23" s="19" t="inlineStr">
        <ns0:is>
          <ns0:t>Not reported in assessed sources</ns0:t>
        </ns0:is>
      </ns0:c>
      <ns0:c r="R23" s="19" t="inlineStr">
        <ns0:is>
          <ns0:t>Not reported in assessed sources</ns0:t>
        </ns0:is>
      </ns0:c>
      <ns0:c r="S23" s="19" t="inlineStr">
        <ns0:is>
          <ns0:t>Not reported in assessed sources</ns0:t>
        </ns0:is>
      </ns0:c>
      <ns0:c r="T23" s="19" t="inlineStr">
        <ns0:is>
          <ns0:t>Not reported in assessed sources</ns0:t>
        </ns0:is>
      </ns0:c>
      <ns0:c r="U23" s="19" t="inlineStr">
        <ns0:is>
          <ns0:t>Not reported in assessed sources</ns0:t>
        </ns0:is>
      </ns0:c>
      <ns0:c r="V23" s="19" t="inlineStr">
        <ns0:is>
          <ns0:t>Not reported in assessed sources</ns0:t>
        </ns0:is>
      </ns0:c>
      <ns0:c r="W23" s="19" t="inlineStr">
        <ns0:is>
          <ns0:t>Not reported in assessed sources</ns0:t>
        </ns0:is>
      </ns0:c>
      <ns0:c r="X23" s="19" t="inlineStr">
        <ns0:is>
          <ns0:t>Not reported in assessed sources</ns0:t>
        </ns0:is>
      </ns0:c>
      <ns0:c r="Y23" s="19" t="inlineStr">
        <ns0:is>
          <ns0:t>Reported</ns0:t>
        </ns0:is>
      </ns0:c>
      <ns0:c r="Z23" s="19" t="inlineStr">
        <ns0:is>
          <ns0:t>Not reported in assessed sources</ns0:t>
        </ns0:is>
      </ns0:c>
      <ns0:c r="AA23" s="19" t="inlineStr">
        <ns0:is>
          <ns0:t>Not recorded</ns0:t>
        </ns0:is>
      </ns0:c>
      <ns0:c r="AB23" s="26" t="n">
        <ns0:v>0</ns0:v>
      </ns0:c>
      <ns0:c r="AC23" s="26" t="n">
        <ns0:v>0</ns0:v>
      </ns0:c>
      <ns0:c r="AD23" s="27">
        <ns0:f>IF(AND(G23=1,AB23=0),1,0)</ns0:f>
        <ns0:v>1</ns0:v>
      </ns0:c>
      <ns0:c r="AE23" s="27">
        <ns0:f>IF(AND(AD23=1,AC23=0),1,0)</ns0:f>
        <ns0:v>1</ns0:v>
      </ns0:c>
      <ns0:c r="AF23" s="27">
        <ns0:f>IF(AND(G23=1,H23&lt;&gt;"Not specified"),1,0)</ns0:f>
        <ns0:v>1</ns0:v>
      </ns0:c>
      <ns0:c r="AG23" s="27">
        <ns0:f>IF(AND(AE23=1,AF23=1),1,0)</ns0:f>
        <ns0:v>1</ns0:v>
      </ns0:c>
      <ns0:c r="AH23" s="19" t="inlineStr">
        <ns0:is>
          <ns0:t>Supplied abstract/coding notes; no new full-text verification</ns0:t>
        </ns0:is>
      </ns0:c>
      <ns0:c r="AI23" s="19" t="inlineStr">
        <ns0:is>
          <ns0:t>https://doi.org/10.1016/j.bpsc.2020.06.003</ns0:t>
        </ns0:is>
      </ns0:c>
      <ns0:c r="AJ23" s="19" t="inlineStr">
        <ns0:is>
          <ns0:t>EVIDENCIA; original abstract/coding notes and lot source trace; Historical signals: title/abstract/notes; full-text completion not independently established</ns0:t>
        </ns0:is>
      </ns0:c>
      <ns0:c r="AK23" s="19" t="inlineStr">
        <ns0:is>
          <ns0:t>Three-month EEG predicts ADOS scores at 18 months in a longitudinal research cohort. A future clinical endpoint distinguishes prognosis from cross-sectional diagnosis.</ns0:t>
        </ns0:is>
      </ns0:c>
      <ns0:c r="AL23" s="19" t="inlineStr">
        <ns0:is>
          <ns0:t>Not applicable</ns0:t>
        </ns0:is>
      </ns0:c>
      <ns0:c r="AM23" s="19" t="inlineStr">
        <ns0:is>
          <ns0:t>Not separately specified</ns0:t>
        </ns0:is>
      </ns0:c>
      <ns0:c r="AN23" s="19" t="inlineStr"/>
      <ns0:c r="AO23" s="19" t="inlineStr">
        <ns0:is>
          <ns0:t>No additional status determination</ns0:t>
        </ns0:is>
      </ns0:c>
      <ns0:c r="AP23" s="19" t="inlineStr">
        <ns0:is>
          <ns0:t>Not documented for this recharting</ns0:t>
        </ns0:is>
      </ns0:c>
      <ns0:c r="AQ23" s="19" t="inlineStr">
        <ns0:is>
          <ns0:t>ChatGPT-assisted evidence recharting, 2026-09-08</ns0:t>
        </ns0:is>
      </ns0:c>
      <ns0:c r="AR23" s="19" t="inlineStr">
        <ns0:is>
          <ns0:t>RA</ns0:t>
        </ns0:is>
      </ns0:c>
      <ns0:c r="AS23" s="19" t="inlineStr">
        <ns0:is>
          <ns0:t>Not recorded; historical inclusion retained</ns0:t>
        </ns0:is>
      </ns0:c>
    </ns0:row>
    <ns0:row r="24" ht="50" customHeight="1">
      <ns0:c r="A24" s="21" t="inlineStr">
        <ns0:is>
          <ns0:t>20</ns0:t>
        </ns0:is>
      </ns0:c>
      <ns0:c r="B24" s="21" t="inlineStr">
        <ns0:is>
          <ns0:t>Historical</ns0:t>
        </ns0:is>
      </ns0:c>
      <ns0:c r="C24" s="21" t="inlineStr">
        <ns0:is>
          <ns0:t>Testing the accuracy of an observation-based classifier for rapid detection of autism risk.</ns0:t>
        </ns0:is>
      </ns0:c>
      <ns0:c r="D24" s="21" t="inlineStr">
        <ns0:is>
          <ns0:t>10.1038/tp.2014.65</ns0:t>
        </ns0:is>
      </ns0:c>
      <ns0:c r="E24" s="28" t="n">
        <ns0:v>2014</ns0:v>
      </ns0:c>
      <ns0:c r="F24" s="21" t="inlineStr">
        <ns0:is>
          <ns0:t>Include</ns0:t>
        </ns0:is>
      </ns0:c>
      <ns0:c r="G24" s="29">
        <ns0:f>IF(F24="Include",1,0)</ns0:f>
        <ns0:v>1</ns0:v>
      </ns0:c>
      <ns0:c r="H24" s="21" t="inlineStr">
        <ns0:is>
          <ns0:t>Screening</ns0:t>
        </ns0:is>
      </ns0:c>
      <ns0:c r="I24" s="21" t="inlineStr">
        <ns0:is>
          <ns0:t>Machine Learning</ns0:t>
        </ns0:is>
      </ns0:c>
      <ns0:c r="J24" s="21" t="inlineStr">
        <ns0:is>
          <ns0:t>Structured clinical/questionnaire data</ns0:t>
        </ns0:is>
      </ns0:c>
      <ns0:c r="K24" s="21" t="inlineStr">
        <ns0:is>
          <ns0:t>Alternating Decision Tree</ns0:t>
        </ns0:is>
      </ns0:c>
      <ns0:c r="L24" s="21" t="inlineStr">
        <ns0:is>
          <ns0:t>Decision tree/rules</ns0:t>
        </ns0:is>
      </ns0:c>
      <ns0:c r="M24" s="21" t="inlineStr">
        <ns0:is>
          <ns0:t>Proposed only</ns0:t>
        </ns0:is>
      </ns0:c>
      <ns0:c r="N24" s="21" t="inlineStr">
        <ns0:is>
          <ns0:t>Triage/questionnaire assessment</ns0:t>
        </ns0:is>
      </ns0:c>
      <ns0:c r="O24" s="21" t="inlineStr">
        <ns0:is>
          <ns0:t>Pre-decision</ns0:t>
        </ns0:is>
      </ns0:c>
      <ns0:c r="P24" s="21" t="inlineStr">
        <ns0:is>
          <ns0:t>Not observed in assessed sources</ns0:t>
        </ns0:is>
      </ns0:c>
      <ns0:c r="Q24" s="21" t="inlineStr">
        <ns0:is>
          <ns0:t>Reported</ns0:t>
        </ns0:is>
      </ns0:c>
      <ns0:c r="R24" s="21" t="inlineStr">
        <ns0:is>
          <ns0:t>Not reported in assessed sources</ns0:t>
        </ns0:is>
      </ns0:c>
      <ns0:c r="S24" s="21" t="inlineStr">
        <ns0:is>
          <ns0:t>Not reported in assessed sources</ns0:t>
        </ns0:is>
      </ns0:c>
      <ns0:c r="T24" s="21" t="inlineStr">
        <ns0:is>
          <ns0:t>Not reported in assessed sources</ns0:t>
        </ns0:is>
      </ns0:c>
      <ns0:c r="U24" s="21" t="inlineStr">
        <ns0:is>
          <ns0:t>Not reported in assessed sources</ns0:t>
        </ns0:is>
      </ns0:c>
      <ns0:c r="V24" s="21" t="inlineStr">
        <ns0:is>
          <ns0:t>Not reported in assessed sources</ns0:t>
        </ns0:is>
      </ns0:c>
      <ns0:c r="W24" s="21" t="inlineStr">
        <ns0:is>
          <ns0:t>Not reported in assessed sources</ns0:t>
        </ns0:is>
      </ns0:c>
      <ns0:c r="X24" s="21" t="inlineStr">
        <ns0:is>
          <ns0:t>Not reported in assessed sources</ns0:t>
        </ns0:is>
      </ns0:c>
      <ns0:c r="Y24" s="21" t="inlineStr">
        <ns0:is>
          <ns0:t>Not ascertainable</ns0:t>
        </ns0:is>
      </ns0:c>
      <ns0:c r="Z24" s="21" t="inlineStr">
        <ns0:is>
          <ns0:t>Not reported in assessed sources</ns0:t>
        </ns0:is>
      </ns0:c>
      <ns0:c r="AA24" s="21" t="inlineStr">
        <ns0:is>
          <ns0:t>Not recorded</ns0:t>
        </ns0:is>
      </ns0:c>
      <ns0:c r="AB24" s="28" t="n">
        <ns0:v>0</ns0:v>
      </ns0:c>
      <ns0:c r="AC24" s="28" t="n">
        <ns0:v>0</ns0:v>
      </ns0:c>
      <ns0:c r="AD24" s="29">
        <ns0:f>IF(AND(G24=1,AB24=0),1,0)</ns0:f>
        <ns0:v>1</ns0:v>
      </ns0:c>
      <ns0:c r="AE24" s="29">
        <ns0:f>IF(AND(AD24=1,AC24=0),1,0)</ns0:f>
        <ns0:v>1</ns0:v>
      </ns0:c>
      <ns0:c r="AF24" s="29">
        <ns0:f>IF(AND(G24=1,H24&lt;&gt;"Not specified"),1,0)</ns0:f>
        <ns0:v>1</ns0:v>
      </ns0:c>
      <ns0:c r="AG24" s="29">
        <ns0:f>IF(AND(AE24=1,AF24=1),1,0)</ns0:f>
        <ns0:v>1</ns0:v>
      </ns0:c>
      <ns0:c r="AH24" s="21" t="inlineStr">
        <ns0:is>
          <ns0:t>Supplied abstract/coding notes; no new full-text verification</ns0:t>
        </ns0:is>
      </ns0:c>
      <ns0:c r="AI24" s="21" t="inlineStr">
        <ns0:is>
          <ns0:t>https://doi.org/10.1038/tp.2014.65</ns0:t>
        </ns0:is>
      </ns0:c>
      <ns0:c r="AJ24" s="21" t="inlineStr">
        <ns0:is>
          <ns0:t>EVIDENCIA; original abstract/coding notes and lot source trace; Historical signals: title/abstract/notes; full-text completion not independently established</ns0:t>
        </ns0:is>
      </ns0:c>
      <ns0:c r="AK24" s="21" t="inlineStr">
        <ns0:is>
          <ns0:t>A previously developed shortened ADOS classifier is tested on an independent 2616-child sample. This is external model evaluation but not an observed clinical triage deployment.</ns0:t>
        </ns0:is>
      </ns0:c>
      <ns0:c r="AL24" s="21" t="inlineStr">
        <ns0:is>
          <ns0:t>Not applicable</ns0:t>
        </ns0:is>
      </ns0:c>
      <ns0:c r="AM24" s="21" t="inlineStr">
        <ns0:is>
          <ns0:t>Not separately specified</ns0:t>
        </ns0:is>
      </ns0:c>
      <ns0:c r="AN24" s="21" t="inlineStr"/>
      <ns0:c r="AO24" s="21" t="inlineStr">
        <ns0:is>
          <ns0:t>No additional status determination</ns0:t>
        </ns0:is>
      </ns0:c>
      <ns0:c r="AP24" s="21" t="inlineStr">
        <ns0:is>
          <ns0:t>Not documented for this recharting</ns0:t>
        </ns0:is>
      </ns0:c>
      <ns0:c r="AQ24" s="21" t="inlineStr">
        <ns0:is>
          <ns0:t>ChatGPT-assisted evidence recharting, 2026-09-08</ns0:t>
        </ns0:is>
      </ns0:c>
      <ns0:c r="AR24" s="21" t="inlineStr"/>
      <ns0:c r="AS24" s="21" t="inlineStr">
        <ns0:is>
          <ns0:t>Not recorded; historical inclusion retained</ns0:t>
        </ns0:is>
      </ns0:c>
    </ns0:row>
    <ns0:row r="25" ht="50" customHeight="1">
      <ns0:c r="A25" s="19" t="inlineStr">
        <ns0:is>
          <ns0:t>21</ns0:t>
        </ns0:is>
      </ns0:c>
      <ns0:c r="B25" s="19" t="inlineStr">
        <ns0:is>
          <ns0:t>Historical</ns0:t>
        </ns0:is>
      </ns0:c>
      <ns0:c r="C25" s="19" t="inlineStr">
        <ns0:is>
          <ns0:t>Using deep learning to classify developmental differences in reaching and placing movements in children with and without autism spectrum disorder</ns0:t>
        </ns0:is>
      </ns0:c>
      <ns0:c r="D25" s="19" t="inlineStr">
        <ns0:is>
          <ns0:t>10.1038/s41598-024-81652-z</ns0:t>
        </ns0:is>
      </ns0:c>
      <ns0:c r="E25" s="26" t="n">
        <ns0:v>2024</ns0:v>
      </ns0:c>
      <ns0:c r="F25" s="19" t="inlineStr">
        <ns0:is>
          <ns0:t>Include</ns0:t>
        </ns0:is>
      </ns0:c>
      <ns0:c r="G25" s="27">
        <ns0:f>IF(F25="Include",1,0)</ns0:f>
        <ns0:v>1</ns0:v>
      </ns0:c>
      <ns0:c r="H25" s="19" t="inlineStr">
        <ns0:is>
          <ns0:t>Diagnosis</ns0:t>
        </ns0:is>
      </ns0:c>
      <ns0:c r="I25" s="19" t="inlineStr">
        <ns0:is>
          <ns0:t>Deep Learning</ns0:t>
        </ns0:is>
      </ns0:c>
      <ns0:c r="J25" s="19" t="inlineStr">
        <ns0:is>
          <ns0:t>Behavioral images/video/gaze/movement</ns0:t>
        </ns0:is>
      </ns0:c>
      <ns0:c r="K25" s="19" t="inlineStr">
        <ns0:is>
          <ns0:t>MLP</ns0:t>
        </ns0:is>
      </ns0:c>
      <ns0:c r="L25" s="19" t="inlineStr">
        <ns0:is>
          <ns0:t>MLP/ANN</ns0:t>
        </ns0:is>
      </ns0:c>
      <ns0:c r="M25" s="19" t="inlineStr">
        <ns0:is>
          <ns0:t>Research only</ns0:t>
        </ns0:is>
      </ns0:c>
      <ns0:c r="N25" s="19" t="inlineStr">
        <ns0:is>
          <ns0:t>Automated measurement/classification</ns0:t>
        </ns0:is>
      </ns0:c>
      <ns0:c r="O25" s="19" t="inlineStr">
        <ns0:is>
          <ns0:t>Not observed in assessed sources</ns0:t>
        </ns0:is>
      </ns0:c>
      <ns0:c r="P25" s="19" t="inlineStr">
        <ns0:is>
          <ns0:t>Not observed in assessed sources</ns0:t>
        </ns0:is>
      </ns0:c>
      <ns0:c r="Q25" s="19" t="inlineStr">
        <ns0:is>
          <ns0:t>Not reported in assessed sources</ns0:t>
        </ns0:is>
      </ns0:c>
      <ns0:c r="R25" s="19" t="inlineStr">
        <ns0:is>
          <ns0:t>Not reported in assessed sources</ns0:t>
        </ns0:is>
      </ns0:c>
      <ns0:c r="S25" s="19" t="inlineStr">
        <ns0:is>
          <ns0:t>Not reported in assessed sources</ns0:t>
        </ns0:is>
      </ns0:c>
      <ns0:c r="T25" s="19" t="inlineStr">
        <ns0:is>
          <ns0:t>Not reported in assessed sources</ns0:t>
        </ns0:is>
      </ns0:c>
      <ns0:c r="U25" s="19" t="inlineStr">
        <ns0:is>
          <ns0:t>Not reported in assessed sources</ns0:t>
        </ns0:is>
      </ns0:c>
      <ns0:c r="V25" s="19" t="inlineStr">
        <ns0:is>
          <ns0:t>Not reported in assessed sources</ns0:t>
        </ns0:is>
      </ns0:c>
      <ns0:c r="W25" s="19" t="inlineStr">
        <ns0:is>
          <ns0:t>Not reported in assessed sources</ns0:t>
        </ns0:is>
      </ns0:c>
      <ns0:c r="X25" s="19" t="inlineStr">
        <ns0:is>
          <ns0:t>Not reported in assessed sources</ns0:t>
        </ns0:is>
      </ns0:c>
      <ns0:c r="Y25" s="19" t="inlineStr">
        <ns0:is>
          <ns0:t>Not ascertainable</ns0:t>
        </ns0:is>
      </ns0:c>
      <ns0:c r="Z25" s="19" t="inlineStr">
        <ns0:is>
          <ns0:t>Not reported in assessed sources</ns0:t>
        </ns0:is>
      </ns0:c>
      <ns0:c r="AA25" s="19" t="inlineStr">
        <ns0:is>
          <ns0:t>Not recorded</ns0:t>
        </ns0:is>
      </ns0:c>
      <ns0:c r="AB25" s="26" t="n">
        <ns0:v>0</ns0:v>
      </ns0:c>
      <ns0:c r="AC25" s="26" t="n">
        <ns0:v>0</ns0:v>
      </ns0:c>
      <ns0:c r="AD25" s="27">
        <ns0:f>IF(AND(G25=1,AB25=0),1,0)</ns0:f>
        <ns0:v>1</ns0:v>
      </ns0:c>
      <ns0:c r="AE25" s="27">
        <ns0:f>IF(AND(AD25=1,AC25=0),1,0)</ns0:f>
        <ns0:v>1</ns0:v>
      </ns0:c>
      <ns0:c r="AF25" s="27">
        <ns0:f>IF(AND(G25=1,H25&lt;&gt;"Not specified"),1,0)</ns0:f>
        <ns0:v>1</ns0:v>
      </ns0:c>
      <ns0:c r="AG25" s="27">
        <ns0:f>IF(AND(AE25=1,AF25=1),1,0)</ns0:f>
        <ns0:v>1</ns0:v>
      </ns0:c>
      <ns0:c r="AH25" s="19" t="inlineStr">
        <ns0:is>
          <ns0:t>Supplied abstract/coding notes; no new full-text verification</ns0:t>
        </ns0:is>
      </ns0:c>
      <ns0:c r="AI25" s="19" t="inlineStr">
        <ns0:is>
          <ns0:t>https://doi.org/10.1038/s41598-024-81652-z</ns0:t>
        </ns0:is>
      </ns0:c>
      <ns0:c r="AJ25" s="19" t="inlineStr">
        <ns0:is>
          <ns0:t>EVIDENCIA; original abstract/coding notes and lot source trace; Historical signals: title/abstract/notes; full-text completion not independently established</ns0:t>
        </ns0:is>
      </ns0:c>
      <ns0:c r="AK25" s="19" t="inlineStr">
        <ns0:is>
          <ns0:t>Deep classification uses reaching/placing movement kinematics; age groups and diagnostic labels are not separate data modalities. Clinical deployment is not evaluated.</ns0:t>
        </ns0:is>
      </ns0:c>
      <ns0:c r="AL25" s="19" t="inlineStr">
        <ns0:is>
          <ns0:t>Not applicable</ns0:t>
        </ns0:is>
      </ns0:c>
      <ns0:c r="AM25" s="19" t="inlineStr">
        <ns0:is>
          <ns0:t>Not separately specified</ns0:t>
        </ns0:is>
      </ns0:c>
      <ns0:c r="AN25" s="19" t="inlineStr"/>
      <ns0:c r="AO25" s="19" t="inlineStr">
        <ns0:is>
          <ns0:t>No additional status determination</ns0:t>
        </ns0:is>
      </ns0:c>
      <ns0:c r="AP25" s="19" t="inlineStr">
        <ns0:is>
          <ns0:t>Not documented for this recharting</ns0:t>
        </ns0:is>
      </ns0:c>
      <ns0:c r="AQ25" s="19" t="inlineStr">
        <ns0:is>
          <ns0:t>ChatGPT-assisted evidence recharting, 2026-09-08</ns0:t>
        </ns0:is>
      </ns0:c>
      <ns0:c r="AR25" s="19" t="inlineStr"/>
      <ns0:c r="AS25" s="19" t="inlineStr">
        <ns0:is>
          <ns0:t>Not recorded; historical inclusion retained</ns0:t>
        </ns0:is>
      </ns0:c>
    </ns0:row>
    <ns0:row r="26" ht="50" customHeight="1">
      <ns0:c r="A26" s="21" t="inlineStr">
        <ns0:is>
          <ns0:t>22</ns0:t>
        </ns0:is>
      </ns0:c>
      <ns0:c r="B26" s="21" t="inlineStr">
        <ns0:is>
          <ns0:t>Historical</ns0:t>
        </ns0:is>
      </ns0:c>
      <ns0:c r="C26" s="21" t="inlineStr">
        <ns0:is>
          <ns0:t>A CNN deep local and global ASD classification approach with continuous wavelet transform using task-based FMRI</ns0:t>
        </ns0:is>
      </ns0:c>
      <ns0:c r="D26" s="21" t="inlineStr">
        <ns0:is>
          <ns0:t>10.3390/s21175822</ns0:t>
        </ns0:is>
      </ns0:c>
      <ns0:c r="E26" s="28" t="n">
        <ns0:v>2021</ns0:v>
      </ns0:c>
      <ns0:c r="F26" s="21" t="inlineStr">
        <ns0:is>
          <ns0:t>Include</ns0:t>
        </ns0:is>
      </ns0:c>
      <ns0:c r="G26" s="29">
        <ns0:f>IF(F26="Include",1,0)</ns0:f>
        <ns0:v>1</ns0:v>
      </ns0:c>
      <ns0:c r="H26" s="21" t="inlineStr">
        <ns0:is>
          <ns0:t>Diagnosis</ns0:t>
        </ns0:is>
      </ns0:c>
      <ns0:c r="I26" s="21" t="inlineStr">
        <ns0:is>
          <ns0:t>Deep Learning</ns0:t>
        </ns0:is>
      </ns0:c>
      <ns0:c r="J26" s="21" t="inlineStr">
        <ns0:is>
          <ns0:t>Neuroimaging</ns0:t>
        </ns0:is>
      </ns0:c>
      <ns0:c r="K26" s="21" t="inlineStr">
        <ns0:is>
          <ns0:t>CNN</ns0:t>
        </ns0:is>
      </ns0:c>
      <ns0:c r="L26" s="21" t="inlineStr">
        <ns0:is>
          <ns0:t>CNN</ns0:t>
        </ns0:is>
      </ns0:c>
      <ns0:c r="M26" s="21" t="inlineStr">
        <ns0:is>
          <ns0:t>Proposed only</ns0:t>
        </ns0:is>
      </ns0:c>
      <ns0:c r="N26" s="21" t="inlineStr">
        <ns0:is>
          <ns0:t>Diagnostic decision support</ns0:t>
        </ns0:is>
      </ns0:c>
      <ns0:c r="O26" s="21" t="inlineStr">
        <ns0:is>
          <ns0:t>In-decision</ns0:t>
        </ns0:is>
      </ns0:c>
      <ns0:c r="P26" s="21" t="inlineStr">
        <ns0:is>
          <ns0:t>Not observed in assessed sources</ns0:t>
        </ns0:is>
      </ns0:c>
      <ns0:c r="Q26" s="21" t="inlineStr">
        <ns0:is>
          <ns0:t>Not reported in assessed sources</ns0:t>
        </ns0:is>
      </ns0:c>
      <ns0:c r="R26" s="21" t="inlineStr">
        <ns0:is>
          <ns0:t>Not reported in assessed sources</ns0:t>
        </ns0:is>
      </ns0:c>
      <ns0:c r="S26" s="21" t="inlineStr">
        <ns0:is>
          <ns0:t>Reported</ns0:t>
        </ns0:is>
      </ns0:c>
      <ns0:c r="T26" s="21" t="inlineStr">
        <ns0:is>
          <ns0:t>Not reported in assessed sources</ns0:t>
        </ns0:is>
      </ns0:c>
      <ns0:c r="U26" s="21" t="inlineStr">
        <ns0:is>
          <ns0:t>Not reported in assessed sources</ns0:t>
        </ns0:is>
      </ns0:c>
      <ns0:c r="V26" s="21" t="inlineStr">
        <ns0:is>
          <ns0:t>Not reported in assessed sources</ns0:t>
        </ns0:is>
      </ns0:c>
      <ns0:c r="W26" s="21" t="inlineStr">
        <ns0:is>
          <ns0:t>Not reported in assessed sources</ns0:t>
        </ns0:is>
      </ns0:c>
      <ns0:c r="X26" s="21" t="inlineStr">
        <ns0:is>
          <ns0:t>Not reported in assessed sources</ns0:t>
        </ns0:is>
      </ns0:c>
      <ns0:c r="Y26" s="21" t="inlineStr">
        <ns0:is>
          <ns0:t>Not ascertainable</ns0:t>
        </ns0:is>
      </ns0:c>
      <ns0:c r="Z26" s="21" t="inlineStr">
        <ns0:is>
          <ns0:t>Reported</ns0:t>
        </ns0:is>
      </ns0:c>
      <ns0:c r="AA26" s="21" t="inlineStr">
        <ns0:is>
          <ns0:t>Not recorded</ns0:t>
        </ns0:is>
      </ns0:c>
      <ns0:c r="AB26" s="28" t="n">
        <ns0:v>0</ns0:v>
      </ns0:c>
      <ns0:c r="AC26" s="28" t="n">
        <ns0:v>0</ns0:v>
      </ns0:c>
      <ns0:c r="AD26" s="29">
        <ns0:f>IF(AND(G26=1,AB26=0),1,0)</ns0:f>
        <ns0:v>1</ns0:v>
      </ns0:c>
      <ns0:c r="AE26" s="29">
        <ns0:f>IF(AND(AD26=1,AC26=0),1,0)</ns0:f>
        <ns0:v>1</ns0:v>
      </ns0:c>
      <ns0:c r="AF26" s="29">
        <ns0:f>IF(AND(G26=1,H26&lt;&gt;"Not specified"),1,0)</ns0:f>
        <ns0:v>1</ns0:v>
      </ns0:c>
      <ns0:c r="AG26" s="29">
        <ns0:f>IF(AND(AE26=1,AF26=1),1,0)</ns0:f>
        <ns0:v>1</ns0:v>
      </ns0:c>
      <ns0:c r="AH26" s="21" t="inlineStr">
        <ns0:is>
          <ns0:t>Supplied abstract/coding notes; no new full-text verification</ns0:t>
        </ns0:is>
      </ns0:c>
      <ns0:c r="AI26" s="21" t="inlineStr">
        <ns0:is>
          <ns0:t>https://doi.org/10.3390/s21175822</ns0:t>
        </ns0:is>
      </ns0:c>
      <ns0:c r="AJ26" s="21" t="inlineStr">
        <ns0:is>
          <ns0:t>EVIDENCIA; original abstract/coding notes and lot source trace; Historical signals: title/abstract/notes; full-text completion not independently established</ns0:t>
        </ns0:is>
      </ns0:c>
      <ns0:c r="AK26" s="21" t="inlineStr">
        <ns0:is>
          <ns0:t>Task-fMRI CAD with local/global CNN classifiers and a proposed severity map. Speech is the eliciting stimulus, not the model's audio input. Clinical interpretation remains proposed.</ns0:t>
        </ns0:is>
      </ns0:c>
      <ns0:c r="AL26" s="21" t="inlineStr">
        <ns0:is>
          <ns0:t>Not applicable</ns0:t>
        </ns0:is>
      </ns0:c>
      <ns0:c r="AM26" s="21" t="inlineStr">
        <ns0:is>
          <ns0:t>Not separately specified</ns0:t>
        </ns0:is>
      </ns0:c>
      <ns0:c r="AN26" s="21" t="inlineStr"/>
      <ns0:c r="AO26" s="21" t="inlineStr">
        <ns0:is>
          <ns0:t>No additional status determination</ns0:t>
        </ns0:is>
      </ns0:c>
      <ns0:c r="AP26" s="21" t="inlineStr">
        <ns0:is>
          <ns0:t>Not documented for this recharting</ns0:t>
        </ns0:is>
      </ns0:c>
      <ns0:c r="AQ26" s="21" t="inlineStr">
        <ns0:is>
          <ns0:t>ChatGPT-assisted evidence recharting, 2026-09-08</ns0:t>
        </ns0:is>
      </ns0:c>
      <ns0:c r="AR26" s="21" t="inlineStr"/>
      <ns0:c r="AS26" s="21" t="inlineStr">
        <ns0:is>
          <ns0:t>Not recorded; historical inclusion retained</ns0:t>
        </ns0:is>
      </ns0:c>
    </ns0:row>
    <ns0:row r="27" ht="50" customHeight="1">
      <ns0:c r="A27" s="19" t="inlineStr">
        <ns0:is>
          <ns0:t>23</ns0:t>
        </ns0:is>
      </ns0:c>
      <ns0:c r="B27" s="19" t="inlineStr">
        <ns0:is>
          <ns0:t>Historical</ns0:t>
        </ns0:is>
      </ns0:c>
      <ns0:c r="C27" s="19" t="inlineStr">
        <ns0:is>
          <ns0:t>A new machine learning model based on induction of rules for autism detection</ns0:t>
        </ns0:is>
      </ns0:c>
      <ns0:c r="D27" s="19" t="inlineStr">
        <ns0:is>
          <ns0:t>10.1177/1460458218824711</ns0:t>
        </ns0:is>
      </ns0:c>
      <ns0:c r="E27" s="26" t="n">
        <ns0:v>2020</ns0:v>
      </ns0:c>
      <ns0:c r="F27" s="19" t="inlineStr">
        <ns0:is>
          <ns0:t>Include</ns0:t>
        </ns0:is>
      </ns0:c>
      <ns0:c r="G27" s="27">
        <ns0:f>IF(F27="Include",1,0)</ns0:f>
        <ns0:v>1</ns0:v>
      </ns0:c>
      <ns0:c r="H27" s="19" t="inlineStr">
        <ns0:is>
          <ns0:t>Screening</ns0:t>
        </ns0:is>
      </ns0:c>
      <ns0:c r="I27" s="19" t="inlineStr">
        <ns0:is>
          <ns0:t>Machine Learning</ns0:t>
        </ns0:is>
      </ns0:c>
      <ns0:c r="J27" s="19" t="inlineStr">
        <ns0:is>
          <ns0:t>Structured clinical/questionnaire data</ns0:t>
        </ns0:is>
      </ns0:c>
      <ns0:c r="K27" s="19" t="inlineStr">
        <ns0:is>
          <ns0:t>Rule induction (Rules-Machine Learning)</ns0:t>
        </ns0:is>
      </ns0:c>
      <ns0:c r="L27" s="19" t="inlineStr">
        <ns0:is>
          <ns0:t>Decision tree/rules</ns0:t>
        </ns0:is>
      </ns0:c>
      <ns0:c r="M27" s="19" t="inlineStr">
        <ns0:is>
          <ns0:t>Proposed only</ns0:t>
        </ns0:is>
      </ns0:c>
      <ns0:c r="N27" s="19" t="inlineStr">
        <ns0:is>
          <ns0:t>Triage/questionnaire assessment</ns0:t>
        </ns0:is>
      </ns0:c>
      <ns0:c r="O27" s="19" t="inlineStr">
        <ns0:is>
          <ns0:t>Pre-decision</ns0:t>
        </ns0:is>
      </ns0:c>
      <ns0:c r="P27" s="19" t="inlineStr">
        <ns0:is>
          <ns0:t>Not observed in assessed sources</ns0:t>
        </ns0:is>
      </ns0:c>
      <ns0:c r="Q27" s="19" t="inlineStr">
        <ns0:is>
          <ns0:t>Not reported in assessed sources</ns0:t>
        </ns0:is>
      </ns0:c>
      <ns0:c r="R27" s="19" t="inlineStr">
        <ns0:is>
          <ns0:t>Not reported in assessed sources</ns0:t>
        </ns0:is>
      </ns0:c>
      <ns0:c r="S27" s="19" t="inlineStr">
        <ns0:is>
          <ns0:t>Reported</ns0:t>
        </ns0:is>
      </ns0:c>
      <ns0:c r="T27" s="19" t="inlineStr">
        <ns0:is>
          <ns0:t>Not reported in assessed sources</ns0:t>
        </ns0:is>
      </ns0:c>
      <ns0:c r="U27" s="19" t="inlineStr">
        <ns0:is>
          <ns0:t>Not reported in assessed sources</ns0:t>
        </ns0:is>
      </ns0:c>
      <ns0:c r="V27" s="19" t="inlineStr">
        <ns0:is>
          <ns0:t>Not reported in assessed sources</ns0:t>
        </ns0:is>
      </ns0:c>
      <ns0:c r="W27" s="19" t="inlineStr">
        <ns0:is>
          <ns0:t>Not reported in assessed sources</ns0:t>
        </ns0:is>
      </ns0:c>
      <ns0:c r="X27" s="19" t="inlineStr">
        <ns0:is>
          <ns0:t>Not reported in assessed sources</ns0:t>
        </ns0:is>
      </ns0:c>
      <ns0:c r="Y27" s="19" t="inlineStr">
        <ns0:is>
          <ns0:t>Not ascertainable</ns0:t>
        </ns0:is>
      </ns0:c>
      <ns0:c r="Z27" s="19" t="inlineStr">
        <ns0:is>
          <ns0:t>Reported</ns0:t>
        </ns0:is>
      </ns0:c>
      <ns0:c r="AA27" s="19" t="inlineStr">
        <ns0:is>
          <ns0:t>Not recorded</ns0:t>
        </ns0:is>
      </ns0:c>
      <ns0:c r="AB27" s="26" t="n">
        <ns0:v>0</ns0:v>
      </ns0:c>
      <ns0:c r="AC27" s="26" t="n">
        <ns0:v>0</ns0:v>
      </ns0:c>
      <ns0:c r="AD27" s="27">
        <ns0:f>IF(AND(G27=1,AB27=0),1,0)</ns0:f>
        <ns0:v>1</ns0:v>
      </ns0:c>
      <ns0:c r="AE27" s="27">
        <ns0:f>IF(AND(AD27=1,AC27=0),1,0)</ns0:f>
        <ns0:v>1</ns0:v>
      </ns0:c>
      <ns0:c r="AF27" s="27">
        <ns0:f>IF(AND(G27=1,H27&lt;&gt;"Not specified"),1,0)</ns0:f>
        <ns0:v>1</ns0:v>
      </ns0:c>
      <ns0:c r="AG27" s="27">
        <ns0:f>IF(AND(AE27=1,AF27=1),1,0)</ns0:f>
        <ns0:v>1</ns0:v>
      </ns0:c>
      <ns0:c r="AH27" s="19" t="inlineStr">
        <ns0:is>
          <ns0:t>Supplied abstract/coding notes; no new full-text verification</ns0:t>
        </ns0:is>
      </ns0:c>
      <ns0:c r="AI27" s="19" t="inlineStr">
        <ns0:is>
          <ns0:t>https://doi.org/10.1177/1460458218824711</ns0:t>
        </ns0:is>
      </ns0:c>
      <ns0:c r="AJ27" s="19" t="inlineStr">
        <ns0:is>
          <ns0:t>EVIDENCIA; original abstract/coding notes and lot source trace; Historical signals: title/abstract/notes; full-text completion not independently established</ns0:t>
        </ns0:is>
      </ns0:c>
      <ns0:c r="AK27" s="19" t="inlineStr">
        <ns0:is>
          <ns0:t>Questionnaire-derived datasets support a rule-learning classifier whose rules are intended for domain-expert interpretation. Retain the specified rule family rather than forcing a decision-tree label.</ns0:t>
        </ns0:is>
      </ns0:c>
      <ns0:c r="AL27" s="19" t="inlineStr">
        <ns0:is>
          <ns0:t>Not applicable</ns0:t>
        </ns0:is>
      </ns0:c>
      <ns0:c r="AM27" s="19" t="inlineStr">
        <ns0:is>
          <ns0:t>Not separately specified</ns0:t>
        </ns0:is>
      </ns0:c>
      <ns0:c r="AN27" s="19" t="inlineStr"/>
      <ns0:c r="AO27" s="19" t="inlineStr">
        <ns0:is>
          <ns0:t>No additional status determination</ns0:t>
        </ns0:is>
      </ns0:c>
      <ns0:c r="AP27" s="19" t="inlineStr">
        <ns0:is>
          <ns0:t>Not documented for this recharting</ns0:t>
        </ns0:is>
      </ns0:c>
      <ns0:c r="AQ27" s="19" t="inlineStr">
        <ns0:is>
          <ns0:t>ChatGPT-assisted evidence recharting, 2026-09-08</ns0:t>
        </ns0:is>
      </ns0:c>
      <ns0:c r="AR27" s="19" t="inlineStr">
        <ns0:is>
          <ns0:t>RA</ns0:t>
        </ns0:is>
      </ns0:c>
      <ns0:c r="AS27" s="19" t="inlineStr">
        <ns0:is>
          <ns0:t>Not recorded; historical inclusion retained</ns0:t>
        </ns0:is>
      </ns0:c>
    </ns0:row>
    <ns0:row r="28" ht="50" customHeight="1">
      <ns0:c r="A28" s="21" t="inlineStr">
        <ns0:is>
          <ns0:t>24</ns0:t>
        </ns0:is>
      </ns0:c>
      <ns0:c r="B28" s="21" t="inlineStr">
        <ns0:is>
          <ns0:t>Historical</ns0:t>
        </ns0:is>
      </ns0:c>
      <ns0:c r="C28" s="21" t="inlineStr">
        <ns0:is>
          <ns0:t>A Novel Grading System for Autism Severity Level Using Task-Based Functional MRI: A Response to Speech Study</ns0:t>
        </ns0:is>
      </ns0:c>
      <ns0:c r="D28" s="21" t="inlineStr">
        <ns0:is>
          <ns0:t>10.1109/access.2021.3097606</ns0:t>
        </ns0:is>
      </ns0:c>
      <ns0:c r="E28" s="28" t="n">
        <ns0:v>2021</ns0:v>
      </ns0:c>
      <ns0:c r="F28" s="21" t="inlineStr">
        <ns0:is>
          <ns0:t>Include</ns0:t>
        </ns0:is>
      </ns0:c>
      <ns0:c r="G28" s="29">
        <ns0:f>IF(F28="Include",1,0)</ns0:f>
        <ns0:v>1</ns0:v>
      </ns0:c>
      <ns0:c r="H28" s="21" t="inlineStr">
        <ns0:is>
          <ns0:t>Diagnosis</ns0:t>
        </ns0:is>
      </ns0:c>
      <ns0:c r="I28" s="21" t="inlineStr">
        <ns0:is>
          <ns0:t>Machine Learning</ns0:t>
        </ns0:is>
      </ns0:c>
      <ns0:c r="J28" s="21" t="inlineStr">
        <ns0:is>
          <ns0:t>Neuroimaging</ns0:t>
        </ns0:is>
      </ns0:c>
      <ns0:c r="K28" s="21" t="inlineStr">
        <ns0:is>
          <ns0:t>Multiple classifiers (primary not specified)</ns0:t>
        </ns0:is>
      </ns0:c>
      <ns0:c r="L28" s="21" t="inlineStr">
        <ns0:is>
          <ns0:t>Multiple/not uniquely specified</ns0:t>
        </ns0:is>
      </ns0:c>
      <ns0:c r="M28" s="21" t="inlineStr">
        <ns0:is>
          <ns0:t>Proposed only</ns0:t>
        </ns0:is>
      </ns0:c>
      <ns0:c r="N28" s="21" t="inlineStr">
        <ns0:is>
          <ns0:t>Diagnostic decision support</ns0:t>
        </ns0:is>
      </ns0:c>
      <ns0:c r="O28" s="21" t="inlineStr">
        <ns0:is>
          <ns0:t>In-decision</ns0:t>
        </ns0:is>
      </ns0:c>
      <ns0:c r="P28" s="21" t="inlineStr">
        <ns0:is>
          <ns0:t>Not observed in assessed sources</ns0:t>
        </ns0:is>
      </ns0:c>
      <ns0:c r="Q28" s="21" t="inlineStr">
        <ns0:is>
          <ns0:t>Not reported in assessed sources</ns0:t>
        </ns0:is>
      </ns0:c>
      <ns0:c r="R28" s="21" t="inlineStr">
        <ns0:is>
          <ns0:t>Not reported in assessed sources</ns0:t>
        </ns0:is>
      </ns0:c>
      <ns0:c r="S28" s="21" t="inlineStr">
        <ns0:is>
          <ns0:t>Not reported in assessed sources</ns0:t>
        </ns0:is>
      </ns0:c>
      <ns0:c r="T28" s="21" t="inlineStr">
        <ns0:is>
          <ns0:t>Not reported in assessed sources</ns0:t>
        </ns0:is>
      </ns0:c>
      <ns0:c r="U28" s="21" t="inlineStr">
        <ns0:is>
          <ns0:t>Not reported in assessed sources</ns0:t>
        </ns0:is>
      </ns0:c>
      <ns0:c r="V28" s="21" t="inlineStr">
        <ns0:is>
          <ns0:t>Not reported in assessed sources</ns0:t>
        </ns0:is>
      </ns0:c>
      <ns0:c r="W28" s="21" t="inlineStr">
        <ns0:is>
          <ns0:t>Not reported in assessed sources</ns0:t>
        </ns0:is>
      </ns0:c>
      <ns0:c r="X28" s="21" t="inlineStr">
        <ns0:is>
          <ns0:t>Not reported in assessed sources</ns0:t>
        </ns0:is>
      </ns0:c>
      <ns0:c r="Y28" s="21" t="inlineStr">
        <ns0:is>
          <ns0:t>Not ascertainable</ns0:t>
        </ns0:is>
      </ns0:c>
      <ns0:c r="Z28" s="21" t="inlineStr">
        <ns0:is>
          <ns0:t>Not reported in assessed sources</ns0:t>
        </ns0:is>
      </ns0:c>
      <ns0:c r="AA28" s="21" t="inlineStr">
        <ns0:is>
          <ns0:t>Not recorded</ns0:t>
        </ns0:is>
      </ns0:c>
      <ns0:c r="AB28" s="28" t="n">
        <ns0:v>0</ns0:v>
      </ns0:c>
      <ns0:c r="AC28" s="28" t="n">
        <ns0:v>0</ns0:v>
      </ns0:c>
      <ns0:c r="AD28" s="29">
        <ns0:f>IF(AND(G28=1,AB28=0),1,0)</ns0:f>
        <ns0:v>1</ns0:v>
      </ns0:c>
      <ns0:c r="AE28" s="29">
        <ns0:f>IF(AND(AD28=1,AC28=0),1,0)</ns0:f>
        <ns0:v>1</ns0:v>
      </ns0:c>
      <ns0:c r="AF28" s="29">
        <ns0:f>IF(AND(G28=1,H28&lt;&gt;"Not specified"),1,0)</ns0:f>
        <ns0:v>1</ns0:v>
      </ns0:c>
      <ns0:c r="AG28" s="29">
        <ns0:f>IF(AND(AE28=1,AF28=1),1,0)</ns0:f>
        <ns0:v>1</ns0:v>
      </ns0:c>
      <ns0:c r="AH28" s="21" t="inlineStr">
        <ns0:is>
          <ns0:t>Supplied abstract/coding notes; no new full-text verification</ns0:t>
        </ns0:is>
      </ns0:c>
      <ns0:c r="AI28" s="21" t="inlineStr">
        <ns0:is>
          <ns0:t>https://doi.org/10.1109/access.2021.3097606</ns0:t>
        </ns0:is>
      </ns0:c>
      <ns0:c r="AJ28" s="21" t="inlineStr">
        <ns0:is>
          <ns0:t>EVIDENCIA; original abstract/coding notes and lot source trace; Historical signals: title/abstract/notes; full-text completion not independently established</ns0:t>
        </ns0:is>
      </ns0:c>
      <ns0:c r="AK28" s="21" t="inlineStr">
        <ns0:is>
          <ns0:t>A task-fMRI framework grades contemporaneous ASD severity. Speech stimulation is not voice-data modeling; oversampling and repeated random splits are internal validation only.</ns0:t>
        </ns0:is>
      </ns0:c>
      <ns0:c r="AL28" s="21" t="inlineStr">
        <ns0:is>
          <ns0:t>Not applicable</ns0:t>
        </ns0:is>
      </ns0:c>
      <ns0:c r="AM28" s="21" t="inlineStr">
        <ns0:is>
          <ns0:t>Not separately specified</ns0:t>
        </ns0:is>
      </ns0:c>
      <ns0:c r="AN28" s="21" t="inlineStr"/>
      <ns0:c r="AO28" s="21" t="inlineStr">
        <ns0:is>
          <ns0:t>No additional status determination</ns0:t>
        </ns0:is>
      </ns0:c>
      <ns0:c r="AP28" s="21" t="inlineStr">
        <ns0:is>
          <ns0:t>Not documented for this recharting</ns0:t>
        </ns0:is>
      </ns0:c>
      <ns0:c r="AQ28" s="21" t="inlineStr">
        <ns0:is>
          <ns0:t>ChatGPT-assisted evidence recharting, 2026-09-08</ns0:t>
        </ns0:is>
      </ns0:c>
      <ns0:c r="AR28" s="21" t="inlineStr">
        <ns0:is>
          <ns0:t>RA</ns0:t>
        </ns0:is>
      </ns0:c>
      <ns0:c r="AS28" s="21" t="inlineStr">
        <ns0:is>
          <ns0:t>Not recorded; historical inclusion retained</ns0:t>
        </ns0:is>
      </ns0:c>
    </ns0:row>
    <ns0:row r="29" ht="50" customHeight="1">
      <ns0:c r="A29" s="19" t="inlineStr">
        <ns0:is>
          <ns0:t>26</ns0:t>
        </ns0:is>
      </ns0:c>
      <ns0:c r="B29" s="19" t="inlineStr">
        <ns0:is>
          <ns0:t>Historical</ns0:t>
        </ns0:is>
      </ns0:c>
      <ns0:c r="C29" s="19" t="inlineStr">
        <ns0:is>
          <ns0:t>An Analysis of the Use of Machine Learning in the Diagnosis of Autism Spectrum Disorder</ns0:t>
        </ns0:is>
      </ns0:c>
      <ns0:c r="D29" s="19" t="inlineStr">
        <ns0:is>
          <ns0:t>10.1007/978-3-031-23683-9_12</ns0:t>
        </ns0:is>
      </ns0:c>
      <ns0:c r="E29" s="26" t="n">
        <ns0:v>2023</ns0:v>
      </ns0:c>
      <ns0:c r="F29" s="30" t="inlineStr">
        <ns0:is>
          <ns0:t>Exclude</ns0:t>
        </ns0:is>
      </ns0:c>
      <ns0:c r="G29" s="27">
        <ns0:f>IF(F29="Include",1,0)</ns0:f>
        <ns0:v>0</ns0:v>
      </ns0:c>
      <ns0:c r="H29" s="19" t="inlineStr">
        <ns0:is>
          <ns0:t>Excluded</ns0:t>
        </ns0:is>
      </ns0:c>
      <ns0:c r="I29" s="19" t="inlineStr">
        <ns0:is>
          <ns0:t>Excluded</ns0:t>
        </ns0:is>
      </ns0:c>
      <ns0:c r="J29" s="19" t="inlineStr">
        <ns0:is>
          <ns0:t>Excluded</ns0:t>
        </ns0:is>
      </ns0:c>
      <ns0:c r="K29" s="19" t="inlineStr">
        <ns0:is>
          <ns0:t>Not specified</ns0:t>
        </ns0:is>
      </ns0:c>
      <ns0:c r="L29" s="19" t="inlineStr">
        <ns0:is>
          <ns0:t>Multiple/not uniquely specified</ns0:t>
        </ns0:is>
      </ns0:c>
      <ns0:c r="M29" s="19" t="inlineStr">
        <ns0:is>
          <ns0:t>Excluded</ns0:t>
        </ns0:is>
      </ns0:c>
      <ns0:c r="N29" s="19" t="inlineStr">
        <ns0:is>
          <ns0:t>Excluded</ns0:t>
        </ns0:is>
      </ns0:c>
      <ns0:c r="O29" s="19" t="inlineStr">
        <ns0:is>
          <ns0:t>Not applicable - excluded</ns0:t>
        </ns0:is>
      </ns0:c>
      <ns0:c r="P29" s="19" t="inlineStr">
        <ns0:is>
          <ns0:t>Not applicable - excluded</ns0:t>
        </ns0:is>
      </ns0:c>
      <ns0:c r="Q29" s="19" t="inlineStr">
        <ns0:is>
          <ns0:t>Not reported in assessed sources</ns0:t>
        </ns0:is>
      </ns0:c>
      <ns0:c r="R29" s="19" t="inlineStr">
        <ns0:is>
          <ns0:t>Not ascertainable</ns0:t>
        </ns0:is>
      </ns0:c>
      <ns0:c r="S29" s="19" t="inlineStr">
        <ns0:is>
          <ns0:t>Not reported in assessed sources</ns0:t>
        </ns0:is>
      </ns0:c>
      <ns0:c r="T29" s="19" t="inlineStr">
        <ns0:is>
          <ns0:t>Not reported in assessed sources</ns0:t>
        </ns0:is>
      </ns0:c>
      <ns0:c r="U29" s="19" t="inlineStr">
        <ns0:is>
          <ns0:t>Not reported in assessed sources</ns0:t>
        </ns0:is>
      </ns0:c>
      <ns0:c r="V29" s="19" t="inlineStr">
        <ns0:is>
          <ns0:t>Not reported in assessed sources</ns0:t>
        </ns0:is>
      </ns0:c>
      <ns0:c r="W29" s="19" t="inlineStr">
        <ns0:is>
          <ns0:t>Reported</ns0:t>
        </ns0:is>
      </ns0:c>
      <ns0:c r="X29" s="19" t="inlineStr">
        <ns0:is>
          <ns0:t>Not reported in assessed sources</ns0:t>
        </ns0:is>
      </ns0:c>
      <ns0:c r="Y29" s="19" t="inlineStr">
        <ns0:is>
          <ns0:t>Not ascertainable</ns0:t>
        </ns0:is>
      </ns0:c>
      <ns0:c r="Z29" s="19" t="inlineStr">
        <ns0:is>
          <ns0:t>Not reported in assessed sources</ns0:t>
        </ns0:is>
      </ns0:c>
      <ns0:c r="AA29" s="19" t="inlineStr">
        <ns0:is>
          <ns0:t>Not recorded</ns0:t>
        </ns0:is>
      </ns0:c>
      <ns0:c r="AB29" s="26" t="n">
        <ns0:v>0</ns0:v>
      </ns0:c>
      <ns0:c r="AC29" s="26" t="n">
        <ns0:v>0</ns0:v>
      </ns0:c>
      <ns0:c r="AD29" s="27">
        <ns0:f>IF(AND(G29=1,AB29=0),1,0)</ns0:f>
        <ns0:v>0</ns0:v>
      </ns0:c>
      <ns0:c r="AE29" s="27">
        <ns0:f>IF(AND(AD29=1,AC29=0),1,0)</ns0:f>
        <ns0:v>0</ns0:v>
      </ns0:c>
      <ns0:c r="AF29" s="27">
        <ns0:f>IF(AND(G29=1,H29&lt;&gt;"Not specified"),1,0)</ns0:f>
        <ns0:v>0</ns0:v>
      </ns0:c>
      <ns0:c r="AG29" s="27">
        <ns0:f>IF(AND(AE29=1,AF29=1),1,0)</ns0:f>
        <ns0:v>0</ns0:v>
      </ns0:c>
      <ns0:c r="AH29" s="19" t="inlineStr">
        <ns0:is>
          <ns0:t>Supplied abstract/coding notes; no new full-text verification</ns0:t>
        </ns0:is>
      </ns0:c>
      <ns0:c r="AI29" s="19" t="inlineStr">
        <ns0:is>
          <ns0:t>https://link.springer.com/chapter/10.1007/978-3-031-23683-9_12</ns0:t>
        </ns0:is>
      </ns0:c>
      <ns0:c r="AJ29" s="19" t="inlineStr">
        <ns0:is>
          <ns0:t>EVIDENCIA; original abstract/coding notes and lot source trace; Historical signals: title/abstract/notes; full-text completion not independently established</ns0:t>
        </ns0:is>
      </ns0:c>
      <ns0:c r="AK29" s="19" t="inlineStr">
        <ns0:is>
          <ns0:t>The publication identifies itself as a survey of machine-learning techniques and prior reported performance rather than an original empirical ASD model evaluation.</ns0:t>
        </ns0:is>
      </ns0:c>
      <ns0:c r="AL29" s="19" t="inlineStr">
        <ns0:is>
          <ns0:t>EC1 - Secondary / non-empirical publication</ns0:t>
        </ns0:is>
      </ns0:c>
      <ns0:c r="AM29" s="19" t="inlineStr">
        <ns0:is>
          <ns0:t>Not separately specified</ns0:t>
        </ns0:is>
      </ns0:c>
      <ns0:c r="AN29" s="19" t="inlineStr"/>
      <ns0:c r="AO29" s="19" t="inlineStr">
        <ns0:is>
          <ns0:t>No additional status determination</ns0:t>
        </ns0:is>
      </ns0:c>
      <ns0:c r="AP29" s="19" t="inlineStr">
        <ns0:is>
          <ns0:t>Not documented for this recharting</ns0:t>
        </ns0:is>
      </ns0:c>
      <ns0:c r="AQ29" s="19" t="inlineStr">
        <ns0:is>
          <ns0:t>ChatGPT-assisted evidence recharting, 2026-09-08</ns0:t>
        </ns0:is>
      </ns0:c>
      <ns0:c r="AR29" s="19" t="inlineStr"/>
      <ns0:c r="AS29" s="19" t="inlineStr">
        <ns0:is>
          <ns0:t>Not recorded; historical inclusion retained</ns0:t>
        </ns0:is>
      </ns0:c>
    </ns0:row>
    <ns0:row r="30" ht="50" customHeight="1">
      <ns0:c r="A30" s="21" t="inlineStr">
        <ns0:is>
          <ns0:t>27</ns0:t>
        </ns0:is>
      </ns0:c>
      <ns0:c r="B30" s="21" t="inlineStr">
        <ns0:is>
          <ns0:t>Historical</ns0:t>
        </ns0:is>
      </ns0:c>
      <ns0:c r="C30" s="21" t="inlineStr">
        <ns0:is>
          <ns0:t>An analytics-driven model for identifying autism spectrum disorder using eye tracking</ns0:t>
        </ns0:is>
      </ns0:c>
      <ns0:c r="D30" s="21" t="inlineStr">
        <ns0:is>
          <ns0:t>10.1016/j.health.2025.100409</ns0:t>
        </ns0:is>
      </ns0:c>
      <ns0:c r="E30" s="28" t="n">
        <ns0:v>2025</ns0:v>
      </ns0:c>
      <ns0:c r="F30" s="21" t="inlineStr">
        <ns0:is>
          <ns0:t>Include</ns0:t>
        </ns0:is>
      </ns0:c>
      <ns0:c r="G30" s="29">
        <ns0:f>IF(F30="Include",1,0)</ns0:f>
        <ns0:v>1</ns0:v>
      </ns0:c>
      <ns0:c r="H30" s="21" t="inlineStr">
        <ns0:is>
          <ns0:t>Screening</ns0:t>
        </ns0:is>
      </ns0:c>
      <ns0:c r="I30" s="21" t="inlineStr">
        <ns0:is>
          <ns0:t>Not specified</ns0:t>
        </ns0:is>
      </ns0:c>
      <ns0:c r="J30" s="21" t="inlineStr">
        <ns0:is>
          <ns0:t>Behavioral images/video/gaze/movement</ns0:t>
        </ns0:is>
      </ns0:c>
      <ns0:c r="K30" s="21" t="inlineStr">
        <ns0:is>
          <ns0:t>Multiple ML/DL models (primary not specified)</ns0:t>
        </ns0:is>
      </ns0:c>
      <ns0:c r="L30" s="21" t="inlineStr">
        <ns0:is>
          <ns0:t>Multiple/not uniquely specified</ns0:t>
        </ns0:is>
      </ns0:c>
      <ns0:c r="M30" s="21" t="inlineStr">
        <ns0:is>
          <ns0:t>Research only</ns0:t>
        </ns0:is>
      </ns0:c>
      <ns0:c r="N30" s="21" t="inlineStr">
        <ns0:is>
          <ns0:t>Triage/questionnaire assessment</ns0:t>
        </ns0:is>
      </ns0:c>
      <ns0:c r="O30" s="21" t="inlineStr">
        <ns0:is>
          <ns0:t>Not observed in assessed sources</ns0:t>
        </ns0:is>
      </ns0:c>
      <ns0:c r="P30" s="21" t="inlineStr">
        <ns0:is>
          <ns0:t>Not observed in assessed sources</ns0:t>
        </ns0:is>
      </ns0:c>
      <ns0:c r="Q30" s="21" t="inlineStr">
        <ns0:is>
          <ns0:t>Not reported in assessed sources</ns0:t>
        </ns0:is>
      </ns0:c>
      <ns0:c r="R30" s="21" t="inlineStr">
        <ns0:is>
          <ns0:t>Not reported in assessed sources</ns0:t>
        </ns0:is>
      </ns0:c>
      <ns0:c r="S30" s="21" t="inlineStr">
        <ns0:is>
          <ns0:t>Not reported in assessed sources</ns0:t>
        </ns0:is>
      </ns0:c>
      <ns0:c r="T30" s="21" t="inlineStr">
        <ns0:is>
          <ns0:t>Not reported in assessed sources</ns0:t>
        </ns0:is>
      </ns0:c>
      <ns0:c r="U30" s="21" t="inlineStr">
        <ns0:is>
          <ns0:t>Not reported in assessed sources</ns0:t>
        </ns0:is>
      </ns0:c>
      <ns0:c r="V30" s="21" t="inlineStr">
        <ns0:is>
          <ns0:t>Not reported in assessed sources</ns0:t>
        </ns0:is>
      </ns0:c>
      <ns0:c r="W30" s="21" t="inlineStr">
        <ns0:is>
          <ns0:t>Not reported in assessed sources</ns0:t>
        </ns0:is>
      </ns0:c>
      <ns0:c r="X30" s="21" t="inlineStr">
        <ns0:is>
          <ns0:t>Not reported in assessed sources</ns0:t>
        </ns0:is>
      </ns0:c>
      <ns0:c r="Y30" s="21" t="inlineStr">
        <ns0:is>
          <ns0:t>Not ascertainable</ns0:t>
        </ns0:is>
      </ns0:c>
      <ns0:c r="Z30" s="21" t="inlineStr">
        <ns0:is>
          <ns0:t>Not reported in assessed sources</ns0:t>
        </ns0:is>
      </ns0:c>
      <ns0:c r="AA30" s="21" t="inlineStr">
        <ns0:is>
          <ns0:t>Not recorded</ns0:t>
        </ns0:is>
      </ns0:c>
      <ns0:c r="AB30" s="28" t="n">
        <ns0:v>0</ns0:v>
      </ns0:c>
      <ns0:c r="AC30" s="28" t="n">
        <ns0:v>0</ns0:v>
      </ns0:c>
      <ns0:c r="AD30" s="29">
        <ns0:f>IF(AND(G30=1,AB30=0),1,0)</ns0:f>
        <ns0:v>1</ns0:v>
      </ns0:c>
      <ns0:c r="AE30" s="29">
        <ns0:f>IF(AND(AD30=1,AC30=0),1,0)</ns0:f>
        <ns0:v>1</ns0:v>
      </ns0:c>
      <ns0:c r="AF30" s="29">
        <ns0:f>IF(AND(G30=1,H30&lt;&gt;"Not specified"),1,0)</ns0:f>
        <ns0:v>1</ns0:v>
      </ns0:c>
      <ns0:c r="AG30" s="29">
        <ns0:f>IF(AND(AE30=1,AF30=1),1,0)</ns0:f>
        <ns0:v>1</ns0:v>
      </ns0:c>
      <ns0:c r="AH30" s="21" t="inlineStr">
        <ns0:is>
          <ns0:t>Supplied abstract/coding notes; no new full-text verification</ns0:t>
        </ns0:is>
      </ns0:c>
      <ns0:c r="AI30" s="21" t="inlineStr">
        <ns0:is>
          <ns0:t>https://doi.org/10.1016/j.health.2025.100409</ns0:t>
        </ns0:is>
      </ns0:c>
      <ns0:c r="AJ30" s="21" t="inlineStr">
        <ns0:is>
          <ns0:t>EVIDENCIA; original abstract/coding notes and lot source trace; Historical signals: title/abstract/notes; full-text completion not independently established</ns0:t>
        </ns0:is>
      </ns0:c>
      <ns0:c r="AK30" s="21" t="inlineStr">
        <ns0:is>
          <ns0:t>Saliency4ASD eye-movement features are evaluated with several ML/DL models. The assessed material does not identify one primary model; comparison alone does not establish a hybrid architecture.</ns0:t>
        </ns0:is>
      </ns0:c>
      <ns0:c r="AL30" s="21" t="inlineStr">
        <ns0:is>
          <ns0:t>Not applicable</ns0:t>
        </ns0:is>
      </ns0:c>
      <ns0:c r="AM30" s="21" t="inlineStr">
        <ns0:is>
          <ns0:t>Not separately specified</ns0:t>
        </ns0:is>
      </ns0:c>
      <ns0:c r="AN30" s="21" t="inlineStr"/>
      <ns0:c r="AO30" s="21" t="inlineStr">
        <ns0:is>
          <ns0:t>No additional status determination</ns0:t>
        </ns0:is>
      </ns0:c>
      <ns0:c r="AP30" s="21" t="inlineStr">
        <ns0:is>
          <ns0:t>Not documented for this recharting</ns0:t>
        </ns0:is>
      </ns0:c>
      <ns0:c r="AQ30" s="21" t="inlineStr">
        <ns0:is>
          <ns0:t>ChatGPT-assisted evidence recharting, 2026-09-08</ns0:t>
        </ns0:is>
      </ns0:c>
      <ns0:c r="AR30" s="21" t="inlineStr">
        <ns0:is>
          <ns0:t>RA</ns0:t>
        </ns0:is>
      </ns0:c>
      <ns0:c r="AS30" s="21" t="inlineStr">
        <ns0:is>
          <ns0:t>Not recorded; historical inclusion retained</ns0:t>
        </ns0:is>
      </ns0:c>
    </ns0:row>
    <ns0:row r="31" ht="50" customHeight="1">
      <ns0:c r="A31" s="19" t="inlineStr">
        <ns0:is>
          <ns0:t>28</ns0:t>
        </ns0:is>
      </ns0:c>
      <ns0:c r="B31" s="19" t="inlineStr">
        <ns0:is>
          <ns0:t>Historical</ns0:t>
        </ns0:is>
      </ns0:c>
      <ns0:c r="C31" s="19" t="inlineStr">
        <ns0:is>
          <ns0:t>An evaluation of machine learning approaches for early diagnosis of autism spectrum disorder</ns0:t>
        </ns0:is>
      </ns0:c>
      <ns0:c r="D31" s="19" t="inlineStr">
        <ns0:is>
          <ns0:t>10.1016/j.health.2023.100293</ns0:t>
        </ns0:is>
      </ns0:c>
      <ns0:c r="E31" s="26" t="n">
        <ns0:v>2024</ns0:v>
      </ns0:c>
      <ns0:c r="F31" s="19" t="inlineStr">
        <ns0:is>
          <ns0:t>Include</ns0:t>
        </ns0:is>
      </ns0:c>
      <ns0:c r="G31" s="27">
        <ns0:f>IF(F31="Include",1,0)</ns0:f>
        <ns0:v>1</ns0:v>
      </ns0:c>
      <ns0:c r="H31" s="19" t="inlineStr">
        <ns0:is>
          <ns0:t>Screening</ns0:t>
        </ns0:is>
      </ns0:c>
      <ns0:c r="I31" s="19" t="inlineStr">
        <ns0:is>
          <ns0:t>Machine Learning</ns0:t>
        </ns0:is>
      </ns0:c>
      <ns0:c r="J31" s="19" t="inlineStr">
        <ns0:is>
          <ns0:t>Structured clinical/questionnaire data</ns0:t>
        </ns0:is>
      </ns0:c>
      <ns0:c r="K31" s="19" t="inlineStr">
        <ns0:is>
          <ns0:t>Neural network (combined dataset); SVM/LR comparators</ns0:t>
        </ns0:is>
      </ns0:c>
      <ns0:c r="L31" s="19" t="inlineStr">
        <ns0:is>
          <ns0:t>SVM</ns0:t>
        </ns0:is>
      </ns0:c>
      <ns0:c r="M31" s="19" t="inlineStr">
        <ns0:is>
          <ns0:t>Research only</ns0:t>
        </ns0:is>
      </ns0:c>
      <ns0:c r="N31" s="19" t="inlineStr">
        <ns0:is>
          <ns0:t>Triage/questionnaire assessment</ns0:t>
        </ns0:is>
      </ns0:c>
      <ns0:c r="O31" s="19" t="inlineStr">
        <ns0:is>
          <ns0:t>Not observed in assessed sources</ns0:t>
        </ns0:is>
      </ns0:c>
      <ns0:c r="P31" s="19" t="inlineStr">
        <ns0:is>
          <ns0:t>Not observed in assessed sources</ns0:t>
        </ns0:is>
      </ns0:c>
      <ns0:c r="Q31" s="19" t="inlineStr">
        <ns0:is>
          <ns0:t>Not reported in assessed sources</ns0:t>
        </ns0:is>
      </ns0:c>
      <ns0:c r="R31" s="19" t="inlineStr">
        <ns0:is>
          <ns0:t>Not reported in assessed sources</ns0:t>
        </ns0:is>
      </ns0:c>
      <ns0:c r="S31" s="19" t="inlineStr">
        <ns0:is>
          <ns0:t>Not reported in assessed sources</ns0:t>
        </ns0:is>
      </ns0:c>
      <ns0:c r="T31" s="19" t="inlineStr">
        <ns0:is>
          <ns0:t>Not reported in assessed sources</ns0:t>
        </ns0:is>
      </ns0:c>
      <ns0:c r="U31" s="19" t="inlineStr">
        <ns0:is>
          <ns0:t>Not reported in assessed sources</ns0:t>
        </ns0:is>
      </ns0:c>
      <ns0:c r="V31" s="19" t="inlineStr">
        <ns0:is>
          <ns0:t>Not reported in assessed sources</ns0:t>
        </ns0:is>
      </ns0:c>
      <ns0:c r="W31" s="19" t="inlineStr">
        <ns0:is>
          <ns0:t>Not reported in assessed sources</ns0:t>
        </ns0:is>
      </ns0:c>
      <ns0:c r="X31" s="19" t="inlineStr">
        <ns0:is>
          <ns0:t>Not reported in assessed sources</ns0:t>
        </ns0:is>
      </ns0:c>
      <ns0:c r="Y31" s="19" t="inlineStr">
        <ns0:is>
          <ns0:t>Not ascertainable</ns0:t>
        </ns0:is>
      </ns0:c>
      <ns0:c r="Z31" s="19" t="inlineStr">
        <ns0:is>
          <ns0:t>Not reported in assessed sources</ns0:t>
        </ns0:is>
      </ns0:c>
      <ns0:c r="AA31" s="19" t="inlineStr">
        <ns0:is>
          <ns0:t>Not recorded</ns0:t>
        </ns0:is>
      </ns0:c>
      <ns0:c r="AB31" s="26" t="n">
        <ns0:v>0</ns0:v>
      </ns0:c>
      <ns0:c r="AC31" s="26" t="n">
        <ns0:v>0</ns0:v>
      </ns0:c>
      <ns0:c r="AD31" s="27">
        <ns0:f>IF(AND(G31=1,AB31=0),1,0)</ns0:f>
        <ns0:v>1</ns0:v>
      </ns0:c>
      <ns0:c r="AE31" s="27">
        <ns0:f>IF(AND(AD31=1,AC31=0),1,0)</ns0:f>
        <ns0:v>1</ns0:v>
      </ns0:c>
      <ns0:c r="AF31" s="27">
        <ns0:f>IF(AND(G31=1,H31&lt;&gt;"Not specified"),1,0)</ns0:f>
        <ns0:v>1</ns0:v>
      </ns0:c>
      <ns0:c r="AG31" s="27">
        <ns0:f>IF(AND(AE31=1,AF31=1),1,0)</ns0:f>
        <ns0:v>1</ns0:v>
      </ns0:c>
      <ns0:c r="AH31" s="19" t="inlineStr">
        <ns0:is>
          <ns0:t>Supplied abstract/coding notes; no new full-text verification</ns0:t>
        </ns0:is>
      </ns0:c>
      <ns0:c r="AI31" s="19" t="inlineStr">
        <ns0:is>
          <ns0:t>https://doi.org/10.1016/j.health.2023.100293</ns0:t>
        </ns0:is>
      </ns0:c>
      <ns0:c r="AJ31" s="19" t="inlineStr">
        <ns0:is>
          <ns0:t>EVIDENCIA; original abstract/coding notes and lot source trace; Historical signals: title/abstract/notes; full-text completion not independently established</ns0:t>
        </ns0:is>
      </ns0:c>
      <ns0:c r="AK31" s="19" t="inlineStr">
        <ns0:is>
          <ns0:t>Public age-specific screening datasets are analyzed with classification and clustering. The proposed ANN is emphasized for the pooled dataset; no prospective diagnostic use is shown.</ns0:t>
        </ns0:is>
      </ns0:c>
      <ns0:c r="AL31" s="19" t="inlineStr">
        <ns0:is>
          <ns0:t>Not applicable</ns0:t>
        </ns0:is>
      </ns0:c>
      <ns0:c r="AM31" s="19" t="inlineStr">
        <ns0:is>
          <ns0:t>Not separately specified</ns0:t>
        </ns0:is>
      </ns0:c>
      <ns0:c r="AN31" s="19" t="inlineStr"/>
      <ns0:c r="AO31" s="19" t="inlineStr">
        <ns0:is>
          <ns0:t>No additional status determination</ns0:t>
        </ns0:is>
      </ns0:c>
      <ns0:c r="AP31" s="19" t="inlineStr">
        <ns0:is>
          <ns0:t>Not documented for this recharting</ns0:t>
        </ns0:is>
      </ns0:c>
      <ns0:c r="AQ31" s="19" t="inlineStr">
        <ns0:is>
          <ns0:t>ChatGPT-assisted evidence recharting, 2026-09-08</ns0:t>
        </ns0:is>
      </ns0:c>
      <ns0:c r="AR31" s="19" t="inlineStr">
        <ns0:is>
          <ns0:t>RA</ns0:t>
        </ns0:is>
      </ns0:c>
      <ns0:c r="AS31" s="19" t="inlineStr">
        <ns0:is>
          <ns0:t>Not recorded; historical inclusion retained</ns0:t>
        </ns0:is>
      </ns0:c>
    </ns0:row>
    <ns0:row r="32" ht="50" customHeight="1">
      <ns0:c r="A32" s="21" t="inlineStr">
        <ns0:is>
          <ns0:t>29</ns0:t>
        </ns0:is>
      </ns0:c>
      <ns0:c r="B32" s="21" t="inlineStr">
        <ns0:is>
          <ns0:t>Historical</ns0:t>
        </ns0:is>
      </ns0:c>
      <ns0:c r="C32" s="21" t="inlineStr">
        <ns0:is>
          <ns0:t>An intellectual autism spectrum disorder classification framework in healthcare industry using ViT-based adaptive deep learning model</ns0:t>
        </ns0:is>
      </ns0:c>
      <ns0:c r="D32" s="21" t="inlineStr">
        <ns0:is>
          <ns0:t>10.1016/j.bspc.2025.107737</ns0:t>
        </ns0:is>
      </ns0:c>
      <ns0:c r="E32" s="28" t="n">
        <ns0:v>2025</ns0:v>
      </ns0:c>
      <ns0:c r="F32" s="21" t="inlineStr">
        <ns0:is>
          <ns0:t>Include</ns0:t>
        </ns0:is>
      </ns0:c>
      <ns0:c r="G32" s="29">
        <ns0:f>IF(F32="Include",1,0)</ns0:f>
        <ns0:v>1</ns0:v>
      </ns0:c>
      <ns0:c r="H32" s="21" t="inlineStr">
        <ns0:is>
          <ns0:t>Diagnosis</ns0:t>
        </ns0:is>
      </ns0:c>
      <ns0:c r="I32" s="21" t="inlineStr">
        <ns0:is>
          <ns0:t>Deep Learning</ns0:t>
        </ns0:is>
      </ns0:c>
      <ns0:c r="J32" s="21" t="inlineStr">
        <ns0:is>
          <ns0:t>Neuroimaging</ns0:t>
        </ns0:is>
      </ns0:c>
      <ns0:c r="K32" s="21" t="inlineStr">
        <ns0:is>
          <ns0:t>ViT-ARDNet-LSTM</ns0:t>
        </ns0:is>
      </ns0:c>
      <ns0:c r="L32" s="21" t="inlineStr">
        <ns0:is>
          <ns0:t>Composite/ensemble pipeline</ns0:t>
        </ns0:is>
      </ns0:c>
      <ns0:c r="M32" s="21" t="inlineStr">
        <ns0:is>
          <ns0:t>Proposed only</ns0:t>
        </ns0:is>
      </ns0:c>
      <ns0:c r="N32" s="21" t="inlineStr">
        <ns0:is>
          <ns0:t>Diagnostic decision support</ns0:t>
        </ns0:is>
      </ns0:c>
      <ns0:c r="O32" s="21" t="inlineStr">
        <ns0:is>
          <ns0:t>In-decision</ns0:t>
        </ns0:is>
      </ns0:c>
      <ns0:c r="P32" s="21" t="inlineStr">
        <ns0:is>
          <ns0:t>Not observed in assessed sources</ns0:t>
        </ns0:is>
      </ns0:c>
      <ns0:c r="Q32" s="21" t="inlineStr">
        <ns0:is>
          <ns0:t>Not reported in assessed sources</ns0:t>
        </ns0:is>
      </ns0:c>
      <ns0:c r="R32" s="21" t="inlineStr">
        <ns0:is>
          <ns0:t>Not reported in assessed sources</ns0:t>
        </ns0:is>
      </ns0:c>
      <ns0:c r="S32" s="21" t="inlineStr">
        <ns0:is>
          <ns0:t>Not reported in assessed sources</ns0:t>
        </ns0:is>
      </ns0:c>
      <ns0:c r="T32" s="21" t="inlineStr">
        <ns0:is>
          <ns0:t>Not reported in assessed sources</ns0:t>
        </ns0:is>
      </ns0:c>
      <ns0:c r="U32" s="21" t="inlineStr">
        <ns0:is>
          <ns0:t>Not reported in assessed sources</ns0:t>
        </ns0:is>
      </ns0:c>
      <ns0:c r="V32" s="21" t="inlineStr">
        <ns0:is>
          <ns0:t>Not reported in assessed sources</ns0:t>
        </ns0:is>
      </ns0:c>
      <ns0:c r="W32" s="21" t="inlineStr">
        <ns0:is>
          <ns0:t>Not reported in assessed sources</ns0:t>
        </ns0:is>
      </ns0:c>
      <ns0:c r="X32" s="21" t="inlineStr">
        <ns0:is>
          <ns0:t>Not reported in assessed sources</ns0:t>
        </ns0:is>
      </ns0:c>
      <ns0:c r="Y32" s="21" t="inlineStr">
        <ns0:is>
          <ns0:t>Not ascertainable</ns0:t>
        </ns0:is>
      </ns0:c>
      <ns0:c r="Z32" s="21" t="inlineStr">
        <ns0:is>
          <ns0:t>Not reported in assessed sources</ns0:t>
        </ns0:is>
      </ns0:c>
      <ns0:c r="AA32" s="21" t="inlineStr">
        <ns0:is>
          <ns0:t>Not recorded</ns0:t>
        </ns0:is>
      </ns0:c>
      <ns0:c r="AB32" s="28" t="n">
        <ns0:v>0</ns0:v>
      </ns0:c>
      <ns0:c r="AC32" s="28" t="n">
        <ns0:v>0</ns0:v>
      </ns0:c>
      <ns0:c r="AD32" s="29">
        <ns0:f>IF(AND(G32=1,AB32=0),1,0)</ns0:f>
        <ns0:v>1</ns0:v>
      </ns0:c>
      <ns0:c r="AE32" s="29">
        <ns0:f>IF(AND(AD32=1,AC32=0),1,0)</ns0:f>
        <ns0:v>1</ns0:v>
      </ns0:c>
      <ns0:c r="AF32" s="29">
        <ns0:f>IF(AND(G32=1,H32&lt;&gt;"Not specified"),1,0)</ns0:f>
        <ns0:v>1</ns0:v>
      </ns0:c>
      <ns0:c r="AG32" s="29">
        <ns0:f>IF(AND(AE32=1,AF32=1),1,0)</ns0:f>
        <ns0:v>1</ns0:v>
      </ns0:c>
      <ns0:c r="AH32" s="21" t="inlineStr">
        <ns0:is>
          <ns0:t>Supplied abstract/coding notes; no new full-text verification</ns0:t>
        </ns0:is>
      </ns0:c>
      <ns0:c r="AI32" s="21" t="inlineStr">
        <ns0:is>
          <ns0:t>https://doi.org/10.1016/j.bspc.2025.107737</ns0:t>
        </ns0:is>
      </ns0:c>
      <ns0:c r="AJ32" s="21" t="inlineStr">
        <ns0:is>
          <ns0:t>EVIDENCIA; original abstract/coding notes and lot source trace; Historical signals: title/abstract/notes; full-text completion not independently established</ns0:t>
        </ns0:is>
      </ns0:c>
      <ns0:c r="AK32" s="21" t="inlineStr">
        <ns0:is>
          <ns0:t>MRI classification uses a vision transformer, residual DenseNet and LSTM in a deep-learning architecture. Combining deep components is not ML/DL hybrid integration.</ns0:t>
        </ns0:is>
      </ns0:c>
      <ns0:c r="AL32" s="21" t="inlineStr">
        <ns0:is>
          <ns0:t>Not applicable</ns0:t>
        </ns0:is>
      </ns0:c>
      <ns0:c r="AM32" s="21" t="inlineStr">
        <ns0:is>
          <ns0:t>Not separately specified</ns0:t>
        </ns0:is>
      </ns0:c>
      <ns0:c r="AN32" s="21" t="inlineStr"/>
      <ns0:c r="AO32" s="21" t="inlineStr">
        <ns0:is>
          <ns0:t>No additional status determination</ns0:t>
        </ns0:is>
      </ns0:c>
      <ns0:c r="AP32" s="21" t="inlineStr">
        <ns0:is>
          <ns0:t>Not documented for this recharting</ns0:t>
        </ns0:is>
      </ns0:c>
      <ns0:c r="AQ32" s="21" t="inlineStr">
        <ns0:is>
          <ns0:t>ChatGPT-assisted evidence recharting, 2026-09-08</ns0:t>
        </ns0:is>
      </ns0:c>
      <ns0:c r="AR32" s="21" t="inlineStr"/>
      <ns0:c r="AS32" s="21" t="inlineStr">
        <ns0:is>
          <ns0:t>Not recorded; historical inclusion retained</ns0:t>
        </ns0:is>
      </ns0:c>
    </ns0:row>
    <ns0:row r="33" ht="50" customHeight="1">
      <ns0:c r="A33" s="19" t="inlineStr">
        <ns0:is>
          <ns0:t>30</ns0:t>
        </ns0:is>
      </ns0:c>
      <ns0:c r="B33" s="19" t="inlineStr">
        <ns0:is>
          <ns0:t>Historical</ns0:t>
        </ns0:is>
      </ns0:c>
      <ns0:c r="C33" s="19" t="inlineStr">
        <ns0:is>
          <ns0:t>Analysis and Detection of Autism Spectrum Disorder Using Machine Learning Techniques</ns0:t>
        </ns0:is>
      </ns0:c>
      <ns0:c r="D33" s="19" t="inlineStr">
        <ns0:is>
          <ns0:t>10.1016/j.procs.2020.03.399</ns0:t>
        </ns0:is>
      </ns0:c>
      <ns0:c r="E33" s="26" t="n">
        <ns0:v>2020</ns0:v>
      </ns0:c>
      <ns0:c r="F33" s="19" t="inlineStr">
        <ns0:is>
          <ns0:t>Include</ns0:t>
        </ns0:is>
      </ns0:c>
      <ns0:c r="G33" s="27">
        <ns0:f>IF(F33="Include",1,0)</ns0:f>
        <ns0:v>1</ns0:v>
      </ns0:c>
      <ns0:c r="H33" s="19" t="inlineStr">
        <ns0:is>
          <ns0:t>Screening</ns0:t>
        </ns0:is>
      </ns0:c>
      <ns0:c r="I33" s="19" t="inlineStr">
        <ns0:is>
          <ns0:t>Deep Learning</ns0:t>
        </ns0:is>
      </ns0:c>
      <ns0:c r="J33" s="19" t="inlineStr">
        <ns0:is>
          <ns0:t>Structured clinical/questionnaire data</ns0:t>
        </ns0:is>
      </ns0:c>
      <ns0:c r="K33" s="19" t="inlineStr">
        <ns0:is>
          <ns0:t>CNN</ns0:t>
        </ns0:is>
      </ns0:c>
      <ns0:c r="L33" s="19" t="inlineStr">
        <ns0:is>
          <ns0:t>CNN</ns0:t>
        </ns0:is>
      </ns0:c>
      <ns0:c r="M33" s="19" t="inlineStr">
        <ns0:is>
          <ns0:t>Research only</ns0:t>
        </ns0:is>
      </ns0:c>
      <ns0:c r="N33" s="19" t="inlineStr">
        <ns0:is>
          <ns0:t>Triage/questionnaire assessment</ns0:t>
        </ns0:is>
      </ns0:c>
      <ns0:c r="O33" s="19" t="inlineStr">
        <ns0:is>
          <ns0:t>Not observed in assessed sources</ns0:t>
        </ns0:is>
      </ns0:c>
      <ns0:c r="P33" s="19" t="inlineStr">
        <ns0:is>
          <ns0:t>Not observed in assessed sources</ns0:t>
        </ns0:is>
      </ns0:c>
      <ns0:c r="Q33" s="19" t="inlineStr">
        <ns0:is>
          <ns0:t>Not reported in assessed sources</ns0:t>
        </ns0:is>
      </ns0:c>
      <ns0:c r="R33" s="19" t="inlineStr">
        <ns0:is>
          <ns0:t>Not reported in assessed sources</ns0:t>
        </ns0:is>
      </ns0:c>
      <ns0:c r="S33" s="19" t="inlineStr">
        <ns0:is>
          <ns0:t>Not reported in assessed sources</ns0:t>
        </ns0:is>
      </ns0:c>
      <ns0:c r="T33" s="19" t="inlineStr">
        <ns0:is>
          <ns0:t>Not reported in assessed sources</ns0:t>
        </ns0:is>
      </ns0:c>
      <ns0:c r="U33" s="19" t="inlineStr">
        <ns0:is>
          <ns0:t>Not reported in assessed sources</ns0:t>
        </ns0:is>
      </ns0:c>
      <ns0:c r="V33" s="19" t="inlineStr">
        <ns0:is>
          <ns0:t>Not reported in assessed sources</ns0:t>
        </ns0:is>
      </ns0:c>
      <ns0:c r="W33" s="19" t="inlineStr">
        <ns0:is>
          <ns0:t>Not reported in assessed sources</ns0:t>
        </ns0:is>
      </ns0:c>
      <ns0:c r="X33" s="19" t="inlineStr">
        <ns0:is>
          <ns0:t>Not reported in assessed sources</ns0:t>
        </ns0:is>
      </ns0:c>
      <ns0:c r="Y33" s="19" t="inlineStr">
        <ns0:is>
          <ns0:t>Not ascertainable</ns0:t>
        </ns0:is>
      </ns0:c>
      <ns0:c r="Z33" s="19" t="inlineStr">
        <ns0:is>
          <ns0:t>Not reported in assessed sources</ns0:t>
        </ns0:is>
      </ns0:c>
      <ns0:c r="AA33" s="19" t="inlineStr">
        <ns0:is>
          <ns0:t>Not recorded</ns0:t>
        </ns0:is>
      </ns0:c>
      <ns0:c r="AB33" s="26" t="n">
        <ns0:v>0</ns0:v>
      </ns0:c>
      <ns0:c r="AC33" s="26" t="n">
        <ns0:v>0</ns0:v>
      </ns0:c>
      <ns0:c r="AD33" s="27">
        <ns0:f>IF(AND(G33=1,AB33=0),1,0)</ns0:f>
        <ns0:v>1</ns0:v>
      </ns0:c>
      <ns0:c r="AE33" s="27">
        <ns0:f>IF(AND(AD33=1,AC33=0),1,0)</ns0:f>
        <ns0:v>1</ns0:v>
      </ns0:c>
      <ns0:c r="AF33" s="27">
        <ns0:f>IF(AND(G33=1,H33&lt;&gt;"Not specified"),1,0)</ns0:f>
        <ns0:v>1</ns0:v>
      </ns0:c>
      <ns0:c r="AG33" s="27">
        <ns0:f>IF(AND(AE33=1,AF33=1),1,0)</ns0:f>
        <ns0:v>1</ns0:v>
      </ns0:c>
      <ns0:c r="AH33" s="19" t="inlineStr">
        <ns0:is>
          <ns0:t>Supplied abstract/coding notes; no new full-text verification</ns0:t>
        </ns0:is>
      </ns0:c>
      <ns0:c r="AI33" s="19" t="inlineStr">
        <ns0:is>
          <ns0:t>https://doi.org/10.1016/j.procs.2020.03.399</ns0:t>
        </ns0:is>
      </ns0:c>
      <ns0:c r="AJ33" s="19" t="inlineStr">
        <ns0:is>
          <ns0:t>EVIDENCIA; original abstract/coding notes and lot source trace; Historical signals: title/abstract/notes; full-text completion not independently established</ns0:t>
        </ns0:is>
      </ns0:c>
      <ns0:c r="AK33" s="19" t="inlineStr">
        <ns0:is>
          <ns0:t>Three public tabular screening datasets are evaluated. CNN is the reported best-performing model; evaluating conventional ML baselines does not make this a hybrid model.</ns0:t>
        </ns0:is>
      </ns0:c>
      <ns0:c r="AL33" s="19" t="inlineStr">
        <ns0:is>
          <ns0:t>Not applicable</ns0:t>
        </ns0:is>
      </ns0:c>
      <ns0:c r="AM33" s="19" t="inlineStr">
        <ns0:is>
          <ns0:t>Not separately specified</ns0:t>
        </ns0:is>
      </ns0:c>
      <ns0:c r="AN33" s="19" t="inlineStr"/>
      <ns0:c r="AO33" s="19" t="inlineStr">
        <ns0:is>
          <ns0:t>No additional status determination</ns0:t>
        </ns0:is>
      </ns0:c>
      <ns0:c r="AP33" s="19" t="inlineStr">
        <ns0:is>
          <ns0:t>Not documented for this recharting</ns0:t>
        </ns0:is>
      </ns0:c>
      <ns0:c r="AQ33" s="19" t="inlineStr">
        <ns0:is>
          <ns0:t>ChatGPT-assisted evidence recharting, 2026-09-08</ns0:t>
        </ns0:is>
      </ns0:c>
      <ns0:c r="AR33" s="19" t="inlineStr"/>
      <ns0:c r="AS33" s="19" t="inlineStr">
        <ns0:is>
          <ns0:t>Not recorded; historical inclusion retained</ns0:t>
        </ns0:is>
      </ns0:c>
    </ns0:row>
    <ns0:row r="34" ht="50" customHeight="1">
      <ns0:c r="A34" s="21" t="inlineStr">
        <ns0:is>
          <ns0:t>31</ns0:t>
        </ns0:is>
      </ns0:c>
      <ns0:c r="B34" s="21" t="inlineStr">
        <ns0:is>
          <ns0:t>Historical</ns0:t>
        </ns0:is>
      </ns0:c>
      <ns0:c r="C34" s="21" t="inlineStr">
        <ns0:is>
          <ns0:t>ASD classification for children using deep neural network</ns0:t>
        </ns0:is>
      </ns0:c>
      <ns0:c r="D34" s="21" t="inlineStr">
        <ns0:is>
          <ns0:t>10.1016/j.gltp.2021.08.042</ns0:t>
        </ns0:is>
      </ns0:c>
      <ns0:c r="E34" s="28" t="n">
        <ns0:v>2021</ns0:v>
      </ns0:c>
      <ns0:c r="F34" s="21" t="inlineStr">
        <ns0:is>
          <ns0:t>Include</ns0:t>
        </ns0:is>
      </ns0:c>
      <ns0:c r="G34" s="29">
        <ns0:f>IF(F34="Include",1,0)</ns0:f>
        <ns0:v>1</ns0:v>
      </ns0:c>
      <ns0:c r="H34" s="21" t="inlineStr">
        <ns0:is>
          <ns0:t>Screening</ns0:t>
        </ns0:is>
      </ns0:c>
      <ns0:c r="I34" s="21" t="inlineStr">
        <ns0:is>
          <ns0:t>Deep Learning</ns0:t>
        </ns0:is>
      </ns0:c>
      <ns0:c r="J34" s="21" t="inlineStr">
        <ns0:is>
          <ns0:t>Structured clinical/questionnaire data</ns0:t>
        </ns0:is>
      </ns0:c>
      <ns0:c r="K34" s="21" t="inlineStr">
        <ns0:is>
          <ns0:t>DNN with diffusion mapping</ns0:t>
        </ns0:is>
      </ns0:c>
      <ns0:c r="L34" s="21" t="inlineStr">
        <ns0:is>
          <ns0:t>Other specified method</ns0:t>
        </ns0:is>
      </ns0:c>
      <ns0:c r="M34" s="21" t="inlineStr">
        <ns0:is>
          <ns0:t>Research only</ns0:t>
        </ns0:is>
      </ns0:c>
      <ns0:c r="N34" s="21" t="inlineStr">
        <ns0:is>
          <ns0:t>Triage/questionnaire assessment</ns0:t>
        </ns0:is>
      </ns0:c>
      <ns0:c r="O34" s="21" t="inlineStr">
        <ns0:is>
          <ns0:t>Not observed in assessed sources</ns0:t>
        </ns0:is>
      </ns0:c>
      <ns0:c r="P34" s="21" t="inlineStr">
        <ns0:is>
          <ns0:t>Not observed in assessed sources</ns0:t>
        </ns0:is>
      </ns0:c>
      <ns0:c r="Q34" s="21" t="inlineStr">
        <ns0:is>
          <ns0:t>Not reported in assessed sources</ns0:t>
        </ns0:is>
      </ns0:c>
      <ns0:c r="R34" s="21" t="inlineStr">
        <ns0:is>
          <ns0:t>Not reported in assessed sources</ns0:t>
        </ns0:is>
      </ns0:c>
      <ns0:c r="S34" s="21" t="inlineStr">
        <ns0:is>
          <ns0:t>Not reported in assessed sources</ns0:t>
        </ns0:is>
      </ns0:c>
      <ns0:c r="T34" s="21" t="inlineStr">
        <ns0:is>
          <ns0:t>Not reported in assessed sources</ns0:t>
        </ns0:is>
      </ns0:c>
      <ns0:c r="U34" s="21" t="inlineStr">
        <ns0:is>
          <ns0:t>Not reported in assessed sources</ns0:t>
        </ns0:is>
      </ns0:c>
      <ns0:c r="V34" s="21" t="inlineStr">
        <ns0:is>
          <ns0:t>Not reported in assessed sources</ns0:t>
        </ns0:is>
      </ns0:c>
      <ns0:c r="W34" s="21" t="inlineStr">
        <ns0:is>
          <ns0:t>Not reported in assessed sources</ns0:t>
        </ns0:is>
      </ns0:c>
      <ns0:c r="X34" s="21" t="inlineStr">
        <ns0:is>
          <ns0:t>Not reported in assessed sources</ns0:t>
        </ns0:is>
      </ns0:c>
      <ns0:c r="Y34" s="21" t="inlineStr">
        <ns0:is>
          <ns0:t>Not ascertainable</ns0:t>
        </ns0:is>
      </ns0:c>
      <ns0:c r="Z34" s="21" t="inlineStr">
        <ns0:is>
          <ns0:t>Not reported in assessed sources</ns0:t>
        </ns0:is>
      </ns0:c>
      <ns0:c r="AA34" s="21" t="inlineStr">
        <ns0:is>
          <ns0:t>Not recorded</ns0:t>
        </ns0:is>
      </ns0:c>
      <ns0:c r="AB34" s="28" t="n">
        <ns0:v>0</ns0:v>
      </ns0:c>
      <ns0:c r="AC34" s="28" t="n">
        <ns0:v>0</ns0:v>
      </ns0:c>
      <ns0:c r="AD34" s="29">
        <ns0:f>IF(AND(G34=1,AB34=0),1,0)</ns0:f>
        <ns0:v>1</ns0:v>
      </ns0:c>
      <ns0:c r="AE34" s="29">
        <ns0:f>IF(AND(AD34=1,AC34=0),1,0)</ns0:f>
        <ns0:v>1</ns0:v>
      </ns0:c>
      <ns0:c r="AF34" s="29">
        <ns0:f>IF(AND(G34=1,H34&lt;&gt;"Not specified"),1,0)</ns0:f>
        <ns0:v>1</ns0:v>
      </ns0:c>
      <ns0:c r="AG34" s="29">
        <ns0:f>IF(AND(AE34=1,AF34=1),1,0)</ns0:f>
        <ns0:v>1</ns0:v>
      </ns0:c>
      <ns0:c r="AH34" s="21" t="inlineStr">
        <ns0:is>
          <ns0:t>Supplied abstract/coding notes; no new full-text verification</ns0:t>
        </ns0:is>
      </ns0:c>
      <ns0:c r="AI34" s="21" t="inlineStr">
        <ns0:is>
          <ns0:t>https://doi.org/10.1016/j.gltp.2021.08.042</ns0:t>
        </ns0:is>
      </ns0:c>
      <ns0:c r="AJ34" s="21" t="inlineStr">
        <ns0:is>
          <ns0:t>EVIDENCIA; original abstract/coding notes and lot source trace; Historical signals: title/abstract/notes; full-text completion not independently established</ns0:t>
        </ns0:is>
      </ns0:c>
      <ns0:c r="AK34" s="21" t="inlineStr">
        <ns0:is>
          <ns0:t>A UCI child screening dataset is classified using a DNN. The word diagnosis does not demonstrate specialist diagnostic workflow use.</ns0:t>
        </ns0:is>
      </ns0:c>
      <ns0:c r="AL34" s="21" t="inlineStr">
        <ns0:is>
          <ns0:t>Not applicable</ns0:t>
        </ns0:is>
      </ns0:c>
      <ns0:c r="AM34" s="21" t="inlineStr">
        <ns0:is>
          <ns0:t>Not separately specified</ns0:t>
        </ns0:is>
      </ns0:c>
      <ns0:c r="AN34" s="21" t="inlineStr"/>
      <ns0:c r="AO34" s="21" t="inlineStr">
        <ns0:is>
          <ns0:t>No additional status determination</ns0:t>
        </ns0:is>
      </ns0:c>
      <ns0:c r="AP34" s="21" t="inlineStr">
        <ns0:is>
          <ns0:t>Not documented for this recharting</ns0:t>
        </ns0:is>
      </ns0:c>
      <ns0:c r="AQ34" s="21" t="inlineStr">
        <ns0:is>
          <ns0:t>ChatGPT-assisted evidence recharting, 2026-09-08</ns0:t>
        </ns0:is>
      </ns0:c>
      <ns0:c r="AR34" s="21" t="inlineStr"/>
      <ns0:c r="AS34" s="21" t="inlineStr">
        <ns0:is>
          <ns0:t>Not recorded; historical inclusion retained</ns0:t>
        </ns0:is>
      </ns0:c>
    </ns0:row>
    <ns0:row r="35" ht="50" customHeight="1">
      <ns0:c r="A35" s="19" t="inlineStr">
        <ns0:is>
          <ns0:t>32</ns0:t>
        </ns0:is>
      </ns0:c>
      <ns0:c r="B35" s="19" t="inlineStr">
        <ns0:is>
          <ns0:t>Historical</ns0:t>
        </ns0:is>
      </ns0:c>
      <ns0:c r="C35" s="19" t="inlineStr">
        <ns0:is>
          <ns0:t>ASD-GraphNet: A novel graph learning approach for Autism Spectrum Disorder diagnosis using fMRI data</ns0:t>
        </ns0:is>
      </ns0:c>
      <ns0:c r="D35" s="19" t="inlineStr">
        <ns0:is>
          <ns0:t>10.1016/j.compbiomed.2025.110723</ns0:t>
        </ns0:is>
      </ns0:c>
      <ns0:c r="E35" s="26" t="n">
        <ns0:v>2025</ns0:v>
      </ns0:c>
      <ns0:c r="F35" s="19" t="inlineStr">
        <ns0:is>
          <ns0:t>Include</ns0:t>
        </ns0:is>
      </ns0:c>
      <ns0:c r="G35" s="27">
        <ns0:f>IF(F35="Include",1,0)</ns0:f>
        <ns0:v>1</ns0:v>
      </ns0:c>
      <ns0:c r="H35" s="19" t="inlineStr">
        <ns0:is>
          <ns0:t>Diagnosis</ns0:t>
        </ns0:is>
      </ns0:c>
      <ns0:c r="I35" s="19" t="inlineStr">
        <ns0:is>
          <ns0:t>Machine Learning</ns0:t>
        </ns0:is>
      </ns0:c>
      <ns0:c r="J35" s="19" t="inlineStr">
        <ns0:is>
          <ns0:t>Neuroimaging</ns0:t>
        </ns0:is>
      </ns0:c>
      <ns0:c r="K35" s="19" t="inlineStr">
        <ns0:is>
          <ns0:t>Multiple classifiers with graph-derived features</ns0:t>
        </ns0:is>
      </ns0:c>
      <ns0:c r="L35" s="19" t="inlineStr">
        <ns0:is>
          <ns0:t>Multiple/not uniquely specified</ns0:t>
        </ns0:is>
      </ns0:c>
      <ns0:c r="M35" s="19" t="inlineStr">
        <ns0:is>
          <ns0:t>Research only</ns0:t>
        </ns0:is>
      </ns0:c>
      <ns0:c r="N35" s="19" t="inlineStr">
        <ns0:is>
          <ns0:t>Automated measurement/classification</ns0:t>
        </ns0:is>
      </ns0:c>
      <ns0:c r="O35" s="19" t="inlineStr">
        <ns0:is>
          <ns0:t>Not observed in assessed sources</ns0:t>
        </ns0:is>
      </ns0:c>
      <ns0:c r="P35" s="19" t="inlineStr">
        <ns0:is>
          <ns0:t>Not observed in assessed sources</ns0:t>
        </ns0:is>
      </ns0:c>
      <ns0:c r="Q35" s="19" t="inlineStr">
        <ns0:is>
          <ns0:t>Not reported in assessed sources</ns0:t>
        </ns0:is>
      </ns0:c>
      <ns0:c r="R35" s="19" t="inlineStr">
        <ns0:is>
          <ns0:t>Not reported in assessed sources</ns0:t>
        </ns0:is>
      </ns0:c>
      <ns0:c r="S35" s="19" t="inlineStr">
        <ns0:is>
          <ns0:t>Reported</ns0:t>
        </ns0:is>
      </ns0:c>
      <ns0:c r="T35" s="19" t="inlineStr">
        <ns0:is>
          <ns0:t>Not reported in assessed sources</ns0:t>
        </ns0:is>
      </ns0:c>
      <ns0:c r="U35" s="19" t="inlineStr">
        <ns0:is>
          <ns0:t>Not reported in assessed sources</ns0:t>
        </ns0:is>
      </ns0:c>
      <ns0:c r="V35" s="19" t="inlineStr">
        <ns0:is>
          <ns0:t>Reported</ns0:t>
        </ns0:is>
      </ns0:c>
      <ns0:c r="W35" s="19" t="inlineStr">
        <ns0:is>
          <ns0:t>Not reported in assessed sources</ns0:t>
        </ns0:is>
      </ns0:c>
      <ns0:c r="X35" s="19" t="inlineStr">
        <ns0:is>
          <ns0:t>Not reported in assessed sources</ns0:t>
        </ns0:is>
      </ns0:c>
      <ns0:c r="Y35" s="19" t="inlineStr">
        <ns0:is>
          <ns0:t>Not ascertainable</ns0:t>
        </ns0:is>
      </ns0:c>
      <ns0:c r="Z35" s="19" t="inlineStr">
        <ns0:is>
          <ns0:t>Reported</ns0:t>
        </ns0:is>
      </ns0:c>
      <ns0:c r="AA35" s="19" t="inlineStr">
        <ns0:is>
          <ns0:t>Not recorded</ns0:t>
        </ns0:is>
      </ns0:c>
      <ns0:c r="AB35" s="26" t="n">
        <ns0:v>0</ns0:v>
      </ns0:c>
      <ns0:c r="AC35" s="26" t="n">
        <ns0:v>0</ns0:v>
      </ns0:c>
      <ns0:c r="AD35" s="27">
        <ns0:f>IF(AND(G35=1,AB35=0),1,0)</ns0:f>
        <ns0:v>1</ns0:v>
      </ns0:c>
      <ns0:c r="AE35" s="27">
        <ns0:f>IF(AND(AD35=1,AC35=0),1,0)</ns0:f>
        <ns0:v>1</ns0:v>
      </ns0:c>
      <ns0:c r="AF35" s="27">
        <ns0:f>IF(AND(G35=1,H35&lt;&gt;"Not specified"),1,0)</ns0:f>
        <ns0:v>1</ns0:v>
      </ns0:c>
      <ns0:c r="AG35" s="27">
        <ns0:f>IF(AND(AE35=1,AF35=1),1,0)</ns0:f>
        <ns0:v>1</ns0:v>
      </ns0:c>
      <ns0:c r="AH35" s="19" t="inlineStr">
        <ns0:is>
          <ns0:t>Supplied abstract/coding notes; no new full-text verification</ns0:t>
        </ns0:is>
      </ns0:c>
      <ns0:c r="AI35" s="19" t="inlineStr">
        <ns0:is>
          <ns0:t>https://doi.org/10.1016/j.compbiomed.2025.110723</ns0:t>
        </ns0:is>
      </ns0:c>
      <ns0:c r="AJ35" s="19" t="inlineStr">
        <ns0:is>
          <ns0:t>EVIDENCIA; original abstract/coding notes and lot source trace; Historical signals: title/abstract/notes; full-text completion not independently established</ns0:t>
        </ns0:is>
      </ns0:c>
      <ns0:c r="AK35" s="19" t="inlineStr">
        <ns0:is>
          <ns0:t>ASD-GraphNet describes engineered brain-graph features and conventional classifiers. Graph analysis is not assumed to be a graph neural network; no clinician-facing implementation is evaluated.</ns0:t>
        </ns0:is>
      </ns0:c>
      <ns0:c r="AL35" s="19" t="inlineStr">
        <ns0:is>
          <ns0:t>Not applicable</ns0:t>
        </ns0:is>
      </ns0:c>
      <ns0:c r="AM35" s="19" t="inlineStr">
        <ns0:is>
          <ns0:t>Not separately specified</ns0:t>
        </ns0:is>
      </ns0:c>
      <ns0:c r="AN35" s="19" t="inlineStr"/>
      <ns0:c r="AO35" s="19" t="inlineStr">
        <ns0:is>
          <ns0:t>No additional status determination</ns0:t>
        </ns0:is>
      </ns0:c>
      <ns0:c r="AP35" s="19" t="inlineStr">
        <ns0:is>
          <ns0:t>Not documented for this recharting</ns0:t>
        </ns0:is>
      </ns0:c>
      <ns0:c r="AQ35" s="19" t="inlineStr">
        <ns0:is>
          <ns0:t>ChatGPT-assisted evidence recharting, 2026-09-08</ns0:t>
        </ns0:is>
      </ns0:c>
      <ns0:c r="AR35" s="19" t="inlineStr"/>
      <ns0:c r="AS35" s="19" t="inlineStr">
        <ns0:is>
          <ns0:t>Not recorded; historical inclusion retained</ns0:t>
        </ns0:is>
      </ns0:c>
    </ns0:row>
    <ns0:row r="36" ht="50" customHeight="1">
      <ns0:c r="A36" s="21" t="inlineStr">
        <ns0:is>
          <ns0:t>33</ns0:t>
        </ns0:is>
      </ns0:c>
      <ns0:c r="B36" s="21" t="inlineStr">
        <ns0:is>
          <ns0:t>Historical</ns0:t>
        </ns0:is>
      </ns0:c>
      <ns0:c r="C36" s="21" t="inlineStr">
        <ns0:is>
          <ns0:t>Automated identification of postural control for children with autism spectrum disorder using a machine learning approach</ns0:t>
        </ns0:is>
      </ns0:c>
      <ns0:c r="D36" s="21" t="inlineStr">
        <ns0:is>
          <ns0:t>10.1016/j.jbiomech.2020.110073</ns0:t>
        </ns0:is>
      </ns0:c>
      <ns0:c r="E36" s="28" t="n">
        <ns0:v>2020</ns0:v>
      </ns0:c>
      <ns0:c r="F36" s="21" t="inlineStr">
        <ns0:is>
          <ns0:t>Include</ns0:t>
        </ns0:is>
      </ns0:c>
      <ns0:c r="G36" s="29">
        <ns0:f>IF(F36="Include",1,0)</ns0:f>
        <ns0:v>1</ns0:v>
      </ns0:c>
      <ns0:c r="H36" s="21" t="inlineStr">
        <ns0:is>
          <ns0:t>Diagnosis</ns0:t>
        </ns0:is>
      </ns0:c>
      <ns0:c r="I36" s="21" t="inlineStr">
        <ns0:is>
          <ns0:t>Machine Learning</ns0:t>
        </ns0:is>
      </ns0:c>
      <ns0:c r="J36" s="21" t="inlineStr">
        <ns0:is>
          <ns0:t>Behavioral images/video/gaze/movement</ns0:t>
        </ns0:is>
      </ns0:c>
      <ns0:c r="K36" s="21" t="inlineStr">
        <ns0:is>
          <ns0:t>Naive Bayes</ns0:t>
        </ns0:is>
      </ns0:c>
      <ns0:c r="L36" s="21" t="inlineStr">
        <ns0:is>
          <ns0:t>Other specified method</ns0:t>
        </ns0:is>
      </ns0:c>
      <ns0:c r="M36" s="21" t="inlineStr">
        <ns0:is>
          <ns0:t>Research only</ns0:t>
        </ns0:is>
      </ns0:c>
      <ns0:c r="N36" s="21" t="inlineStr">
        <ns0:is>
          <ns0:t>Automated measurement/classification</ns0:t>
        </ns0:is>
      </ns0:c>
      <ns0:c r="O36" s="21" t="inlineStr">
        <ns0:is>
          <ns0:t>Not observed in assessed sources</ns0:t>
        </ns0:is>
      </ns0:c>
      <ns0:c r="P36" s="21" t="inlineStr">
        <ns0:is>
          <ns0:t>Not observed in assessed sources</ns0:t>
        </ns0:is>
      </ns0:c>
      <ns0:c r="Q36" s="21" t="inlineStr">
        <ns0:is>
          <ns0:t>Not reported in assessed sources</ns0:t>
        </ns0:is>
      </ns0:c>
      <ns0:c r="R36" s="21" t="inlineStr">
        <ns0:is>
          <ns0:t>Not reported in assessed sources</ns0:t>
        </ns0:is>
      </ns0:c>
      <ns0:c r="S36" s="21" t="inlineStr">
        <ns0:is>
          <ns0:t>Not reported in assessed sources</ns0:t>
        </ns0:is>
      </ns0:c>
      <ns0:c r="T36" s="21" t="inlineStr">
        <ns0:is>
          <ns0:t>Not reported in assessed sources</ns0:t>
        </ns0:is>
      </ns0:c>
      <ns0:c r="U36" s="21" t="inlineStr">
        <ns0:is>
          <ns0:t>Not reported in assessed sources</ns0:t>
        </ns0:is>
      </ns0:c>
      <ns0:c r="V36" s="21" t="inlineStr">
        <ns0:is>
          <ns0:t>Not reported in assessed sources</ns0:t>
        </ns0:is>
      </ns0:c>
      <ns0:c r="W36" s="21" t="inlineStr">
        <ns0:is>
          <ns0:t>Not reported in assessed sources</ns0:t>
        </ns0:is>
      </ns0:c>
      <ns0:c r="X36" s="21" t="inlineStr">
        <ns0:is>
          <ns0:t>Not reported in assessed sources</ns0:t>
        </ns0:is>
      </ns0:c>
      <ns0:c r="Y36" s="21" t="inlineStr">
        <ns0:is>
          <ns0:t>Not ascertainable</ns0:t>
        </ns0:is>
      </ns0:c>
      <ns0:c r="Z36" s="21" t="inlineStr">
        <ns0:is>
          <ns0:t>Not reported in assessed sources</ns0:t>
        </ns0:is>
      </ns0:c>
      <ns0:c r="AA36" s="21" t="inlineStr">
        <ns0:is>
          <ns0:t>Not recorded</ns0:t>
        </ns0:is>
      </ns0:c>
      <ns0:c r="AB36" s="28" t="n">
        <ns0:v>0</ns0:v>
      </ns0:c>
      <ns0:c r="AC36" s="28" t="n">
        <ns0:v>0</ns0:v>
      </ns0:c>
      <ns0:c r="AD36" s="29">
        <ns0:f>IF(AND(G36=1,AB36=0),1,0)</ns0:f>
        <ns0:v>1</ns0:v>
      </ns0:c>
      <ns0:c r="AE36" s="29">
        <ns0:f>IF(AND(AD36=1,AC36=0),1,0)</ns0:f>
        <ns0:v>1</ns0:v>
      </ns0:c>
      <ns0:c r="AF36" s="29">
        <ns0:f>IF(AND(G36=1,H36&lt;&gt;"Not specified"),1,0)</ns0:f>
        <ns0:v>1</ns0:v>
      </ns0:c>
      <ns0:c r="AG36" s="29">
        <ns0:f>IF(AND(AE36=1,AF36=1),1,0)</ns0:f>
        <ns0:v>1</ns0:v>
      </ns0:c>
      <ns0:c r="AH36" s="21" t="inlineStr">
        <ns0:is>
          <ns0:t>Supplied abstract/coding notes; no new full-text verification</ns0:t>
        </ns0:is>
      </ns0:c>
      <ns0:c r="AI36" s="21" t="inlineStr">
        <ns0:is>
          <ns0:t>https://doi.org/10.1016/j.jbiomech.2020.110073</ns0:t>
        </ns0:is>
      </ns0:c>
      <ns0:c r="AJ36" s="21" t="inlineStr">
        <ns0:is>
          <ns0:t>EVIDENCIA; original abstract/coding notes and lot source trace; Historical signals: title/abstract/notes; full-text completion not independently established</ns0:t>
        </ns0:is>
      </ns0:c>
      <ns0:c r="AK36" s="21" t="inlineStr">
        <ns0:is>
          <ns0:t>Force-plate postural-control features are classified in 50 children; naive Bayes is the reported optimal classifier. This is experimental motor-phenotype classification, not deep learning.</ns0:t>
        </ns0:is>
      </ns0:c>
      <ns0:c r="AL36" s="21" t="inlineStr">
        <ns0:is>
          <ns0:t>Not applicable</ns0:t>
        </ns0:is>
      </ns0:c>
      <ns0:c r="AM36" s="21" t="inlineStr">
        <ns0:is>
          <ns0:t>Not separately specified</ns0:t>
        </ns0:is>
      </ns0:c>
      <ns0:c r="AN36" s="21" t="inlineStr"/>
      <ns0:c r="AO36" s="21" t="inlineStr">
        <ns0:is>
          <ns0:t>No additional status determination</ns0:t>
        </ns0:is>
      </ns0:c>
      <ns0:c r="AP36" s="21" t="inlineStr">
        <ns0:is>
          <ns0:t>Not documented for this recharting</ns0:t>
        </ns0:is>
      </ns0:c>
      <ns0:c r="AQ36" s="21" t="inlineStr">
        <ns0:is>
          <ns0:t>ChatGPT-assisted evidence recharting, 2026-09-08</ns0:t>
        </ns0:is>
      </ns0:c>
      <ns0:c r="AR36" s="21" t="inlineStr">
        <ns0:is>
          <ns0:t>RA</ns0:t>
        </ns0:is>
      </ns0:c>
      <ns0:c r="AS36" s="21" t="inlineStr">
        <ns0:is>
          <ns0:t>Not recorded; historical inclusion retained</ns0:t>
        </ns0:is>
      </ns0:c>
    </ns0:row>
    <ns0:row r="37" ht="50" customHeight="1">
      <ns0:c r="A37" s="19" t="inlineStr">
        <ns0:is>
          <ns0:t>34</ns0:t>
        </ns0:is>
      </ns0:c>
      <ns0:c r="B37" s="19" t="inlineStr">
        <ns0:is>
          <ns0:t>Historical</ns0:t>
        </ns0:is>
      </ns0:c>
      <ns0:c r="C37" s="19" t="inlineStr">
        <ns0:is>
          <ns0:t>Distributed Intrinsic Functional Connectivity Patterns Predict Diagnostic Status in Large Autism Cohort</ns0:t>
        </ns0:is>
      </ns0:c>
      <ns0:c r="D37" s="19" t="inlineStr">
        <ns0:is>
          <ns0:t>10.1089/brain.2017.0496</ns0:t>
        </ns0:is>
      </ns0:c>
      <ns0:c r="E37" s="26" t="n">
        <ns0:v>2017</ns0:v>
      </ns0:c>
      <ns0:c r="F37" s="19" t="inlineStr">
        <ns0:is>
          <ns0:t>Include</ns0:t>
        </ns0:is>
      </ns0:c>
      <ns0:c r="G37" s="27">
        <ns0:f>IF(F37="Include",1,0)</ns0:f>
        <ns0:v>1</ns0:v>
      </ns0:c>
      <ns0:c r="H37" s="19" t="inlineStr">
        <ns0:is>
          <ns0:t>Diagnosis</ns0:t>
        </ns0:is>
      </ns0:c>
      <ns0:c r="I37" s="19" t="inlineStr">
        <ns0:is>
          <ns0:t>Machine Learning</ns0:t>
        </ns0:is>
      </ns0:c>
      <ns0:c r="J37" s="19" t="inlineStr">
        <ns0:is>
          <ns0:t>Neuroimaging</ns0:t>
        </ns0:is>
      </ns0:c>
      <ns0:c r="K37" s="19" t="inlineStr">
        <ns0:is>
          <ns0:t>Conditional Random Forest</ns0:t>
        </ns0:is>
      </ns0:c>
      <ns0:c r="L37" s="19" t="inlineStr">
        <ns0:is>
          <ns0:t>Random forest</ns0:t>
        </ns0:is>
      </ns0:c>
      <ns0:c r="M37" s="19" t="inlineStr">
        <ns0:is>
          <ns0:t>Research only</ns0:t>
        </ns0:is>
      </ns0:c>
      <ns0:c r="N37" s="19" t="inlineStr">
        <ns0:is>
          <ns0:t>Automated measurement/classification</ns0:t>
        </ns0:is>
      </ns0:c>
      <ns0:c r="O37" s="19" t="inlineStr">
        <ns0:is>
          <ns0:t>Not observed in assessed sources</ns0:t>
        </ns0:is>
      </ns0:c>
      <ns0:c r="P37" s="19" t="inlineStr">
        <ns0:is>
          <ns0:t>Not observed in assessed sources</ns0:t>
        </ns0:is>
      </ns0:c>
      <ns0:c r="Q37" s="19" t="inlineStr">
        <ns0:is>
          <ns0:t>Reported</ns0:t>
        </ns0:is>
      </ns0:c>
      <ns0:c r="R37" s="19" t="inlineStr">
        <ns0:is>
          <ns0:t>Not reported in assessed sources</ns0:t>
        </ns0:is>
      </ns0:c>
      <ns0:c r="S37" s="19" t="inlineStr">
        <ns0:is>
          <ns0:t>Reported</ns0:t>
        </ns0:is>
      </ns0:c>
      <ns0:c r="T37" s="19" t="inlineStr">
        <ns0:is>
          <ns0:t>Not reported in assessed sources</ns0:t>
        </ns0:is>
      </ns0:c>
      <ns0:c r="U37" s="19" t="inlineStr">
        <ns0:is>
          <ns0:t>Reported</ns0:t>
        </ns0:is>
      </ns0:c>
      <ns0:c r="V37" s="19" t="inlineStr">
        <ns0:is>
          <ns0:t>Reported</ns0:t>
        </ns0:is>
      </ns0:c>
      <ns0:c r="W37" s="19" t="inlineStr">
        <ns0:is>
          <ns0:t>Not reported in assessed sources</ns0:t>
        </ns0:is>
      </ns0:c>
      <ns0:c r="X37" s="19" t="inlineStr">
        <ns0:is>
          <ns0:t>Not reported in assessed sources</ns0:t>
        </ns0:is>
      </ns0:c>
      <ns0:c r="Y37" s="19" t="inlineStr">
        <ns0:is>
          <ns0:t>Not ascertainable</ns0:t>
        </ns0:is>
      </ns0:c>
      <ns0:c r="Z37" s="19" t="inlineStr">
        <ns0:is>
          <ns0:t>Reported</ns0:t>
        </ns0:is>
      </ns0:c>
      <ns0:c r="AA37" s="19" t="inlineStr">
        <ns0:is>
          <ns0:t>Not recorded</ns0:t>
        </ns0:is>
      </ns0:c>
      <ns0:c r="AB37" s="26" t="n">
        <ns0:v>0</ns0:v>
      </ns0:c>
      <ns0:c r="AC37" s="26" t="n">
        <ns0:v>0</ns0:v>
      </ns0:c>
      <ns0:c r="AD37" s="27">
        <ns0:f>IF(AND(G37=1,AB37=0),1,0)</ns0:f>
        <ns0:v>1</ns0:v>
      </ns0:c>
      <ns0:c r="AE37" s="27">
        <ns0:f>IF(AND(AD37=1,AC37=0),1,0)</ns0:f>
        <ns0:v>1</ns0:v>
      </ns0:c>
      <ns0:c r="AF37" s="27">
        <ns0:f>IF(AND(G37=1,H37&lt;&gt;"Not specified"),1,0)</ns0:f>
        <ns0:v>1</ns0:v>
      </ns0:c>
      <ns0:c r="AG37" s="27">
        <ns0:f>IF(AND(AE37=1,AF37=1),1,0)</ns0:f>
        <ns0:v>1</ns0:v>
      </ns0:c>
      <ns0:c r="AH37" s="19" t="inlineStr">
        <ns0:is>
          <ns0:t>Supplied abstract/coding notes; no new full-text verification</ns0:t>
        </ns0:is>
      </ns0:c>
      <ns0:c r="AI37" s="19" t="inlineStr">
        <ns0:is>
          <ns0:t>https://doi.org/10.1089/brain.2017.0496</ns0:t>
        </ns0:is>
      </ns0:c>
      <ns0:c r="AJ37" s="19" t="inlineStr">
        <ns0:is>
          <ns0:t>EVIDENCIA; original abstract/coding notes and lot source trace; Historical signals: title/abstract/notes; full-text completion not independently established</ns0:t>
        </ns0:is>
      </ns0:c>
      <ns0:c r="AK37" s="19" t="inlineStr">
        <ns0:is>
          <ns0:t>ABIDE resting-state connectivity classification is externally tested in an in-house dataset with substantially lower accuracy. This supports external/cross-dataset evaluation, not stable transportability or clinical deployment.</ns0:t>
        </ns0:is>
      </ns0:c>
      <ns0:c r="AL37" s="19" t="inlineStr">
        <ns0:is>
          <ns0:t>Not applicable</ns0:t>
        </ns0:is>
      </ns0:c>
      <ns0:c r="AM37" s="19" t="inlineStr">
        <ns0:is>
          <ns0:t>Not separately specified</ns0:t>
        </ns0:is>
      </ns0:c>
      <ns0:c r="AN37" s="19" t="inlineStr"/>
      <ns0:c r="AO37" s="19" t="inlineStr">
        <ns0:is>
          <ns0:t>No additional status determination</ns0:t>
        </ns0:is>
      </ns0:c>
      <ns0:c r="AP37" s="19" t="inlineStr">
        <ns0:is>
          <ns0:t>Not documented for this recharting</ns0:t>
        </ns0:is>
      </ns0:c>
      <ns0:c r="AQ37" s="19" t="inlineStr">
        <ns0:is>
          <ns0:t>ChatGPT-assisted evidence recharting, 2026-09-08</ns0:t>
        </ns0:is>
      </ns0:c>
      <ns0:c r="AR37" s="19" t="inlineStr">
        <ns0:is>
          <ns0:t>RA</ns0:t>
        </ns0:is>
      </ns0:c>
      <ns0:c r="AS37" s="19" t="inlineStr">
        <ns0:is>
          <ns0:t>Not recorded; historical inclusion retained</ns0:t>
        </ns0:is>
      </ns0:c>
    </ns0:row>
    <ns0:row r="38" ht="50" customHeight="1">
      <ns0:c r="A38" s="21" t="inlineStr">
        <ns0:is>
          <ns0:t>35</ns0:t>
        </ns0:is>
      </ns0:c>
      <ns0:c r="B38" s="21" t="inlineStr">
        <ns0:is>
          <ns0:t>Historical</ns0:t>
        </ns0:is>
      </ns0:c>
      <ns0:c r="C38" s="21" t="inlineStr">
        <ns0:is>
          <ns0:t>Enhancing diagnosis of autism with optimized machine learning models and personal characteristic data</ns0:t>
        </ns0:is>
      </ns0:c>
      <ns0:c r="D38" s="21" t="inlineStr">
        <ns0:is>
          <ns0:t>10.3389/fncom.2019.00009</ns0:t>
        </ns0:is>
      </ns0:c>
      <ns0:c r="E38" s="28" t="n">
        <ns0:v>2019</ns0:v>
      </ns0:c>
      <ns0:c r="F38" s="21" t="inlineStr">
        <ns0:is>
          <ns0:t>Include</ns0:t>
        </ns0:is>
      </ns0:c>
      <ns0:c r="G38" s="29">
        <ns0:f>IF(F38="Include",1,0)</ns0:f>
        <ns0:v>1</ns0:v>
      </ns0:c>
      <ns0:c r="H38" s="21" t="inlineStr">
        <ns0:is>
          <ns0:t>Diagnosis</ns0:t>
        </ns0:is>
      </ns0:c>
      <ns0:c r="I38" s="21" t="inlineStr">
        <ns0:is>
          <ns0:t>Machine Learning</ns0:t>
        </ns0:is>
      </ns0:c>
      <ns0:c r="J38" s="21" t="inlineStr">
        <ns0:is>
          <ns0:t>Structured clinical/questionnaire data</ns0:t>
        </ns0:is>
      </ns0:c>
      <ns0:c r="K38" s="21" t="inlineStr">
        <ns0:is>
          <ns0:t>Neural network (personal characteristics)</ns0:t>
        </ns0:is>
      </ns0:c>
      <ns0:c r="L38" s="21" t="inlineStr">
        <ns0:is>
          <ns0:t>Other specified method</ns0:t>
        </ns0:is>
      </ns0:c>
      <ns0:c r="M38" s="21" t="inlineStr">
        <ns0:is>
          <ns0:t>Research only</ns0:t>
        </ns0:is>
      </ns0:c>
      <ns0:c r="N38" s="21" t="inlineStr">
        <ns0:is>
          <ns0:t>Automated measurement/classification</ns0:t>
        </ns0:is>
      </ns0:c>
      <ns0:c r="O38" s="21" t="inlineStr">
        <ns0:is>
          <ns0:t>Not observed in assessed sources</ns0:t>
        </ns0:is>
      </ns0:c>
      <ns0:c r="P38" s="21" t="inlineStr">
        <ns0:is>
          <ns0:t>Not observed in assessed sources</ns0:t>
        </ns0:is>
      </ns0:c>
      <ns0:c r="Q38" s="21" t="inlineStr">
        <ns0:is>
          <ns0:t>Not reported in assessed sources</ns0:t>
        </ns0:is>
      </ns0:c>
      <ns0:c r="R38" s="21" t="inlineStr">
        <ns0:is>
          <ns0:t>Not reported in assessed sources</ns0:t>
        </ns0:is>
      </ns0:c>
      <ns0:c r="S38" s="21" t="inlineStr">
        <ns0:is>
          <ns0:t>Not reported in assessed sources</ns0:t>
        </ns0:is>
      </ns0:c>
      <ns0:c r="T38" s="21" t="inlineStr">
        <ns0:is>
          <ns0:t>Not reported in assessed sources</ns0:t>
        </ns0:is>
      </ns0:c>
      <ns0:c r="U38" s="21" t="inlineStr">
        <ns0:is>
          <ns0:t>Not reported in assessed sources</ns0:t>
        </ns0:is>
      </ns0:c>
      <ns0:c r="V38" s="21" t="inlineStr">
        <ns0:is>
          <ns0:t>Reported</ns0:t>
        </ns0:is>
      </ns0:c>
      <ns0:c r="W38" s="21" t="inlineStr">
        <ns0:is>
          <ns0:t>Not reported in assessed sources</ns0:t>
        </ns0:is>
      </ns0:c>
      <ns0:c r="X38" s="21" t="inlineStr">
        <ns0:is>
          <ns0:t>Not reported in assessed sources</ns0:t>
        </ns0:is>
      </ns0:c>
      <ns0:c r="Y38" s="21" t="inlineStr">
        <ns0:is>
          <ns0:t>Not ascertainable</ns0:t>
        </ns0:is>
      </ns0:c>
      <ns0:c r="Z38" s="21" t="inlineStr">
        <ns0:is>
          <ns0:t>Not reported in assessed sources</ns0:t>
        </ns0:is>
      </ns0:c>
      <ns0:c r="AA38" s="21" t="inlineStr">
        <ns0:is>
          <ns0:t>Not recorded</ns0:t>
        </ns0:is>
      </ns0:c>
      <ns0:c r="AB38" s="28" t="n">
        <ns0:v>0</ns0:v>
      </ns0:c>
      <ns0:c r="AC38" s="28" t="n">
        <ns0:v>0</ns0:v>
      </ns0:c>
      <ns0:c r="AD38" s="29">
        <ns0:f>IF(AND(G38=1,AB38=0),1,0)</ns0:f>
        <ns0:v>1</ns0:v>
      </ns0:c>
      <ns0:c r="AE38" s="29">
        <ns0:f>IF(AND(AD38=1,AC38=0),1,0)</ns0:f>
        <ns0:v>1</ns0:v>
      </ns0:c>
      <ns0:c r="AF38" s="29">
        <ns0:f>IF(AND(G38=1,H38&lt;&gt;"Not specified"),1,0)</ns0:f>
        <ns0:v>1</ns0:v>
      </ns0:c>
      <ns0:c r="AG38" s="29">
        <ns0:f>IF(AND(AE38=1,AF38=1),1,0)</ns0:f>
        <ns0:v>1</ns0:v>
      </ns0:c>
      <ns0:c r="AH38" s="21" t="inlineStr">
        <ns0:is>
          <ns0:t>Supplied abstract/coding notes; no new full-text verification</ns0:t>
        </ns0:is>
      </ns0:c>
      <ns0:c r="AI38" s="21" t="inlineStr">
        <ns0:is>
          <ns0:t>https://doi.org/10.3389/fncom.2019.00009/full</ns0:t>
        </ns0:is>
      </ns0:c>
      <ns0:c r="AJ38" s="21" t="inlineStr">
        <ns0:is>
          <ns0:t>EVIDENCIA; original abstract/coding notes and lot source trace; Historical signals: title/abstract/notes; full-text completion not independently established</ns0:t>
        </ns0:is>
      </ns0:c>
      <ns0:c r="AK38" s="21" t="inlineStr">
        <ns0:is>
          <ns0:t>Only six demographic/IQ characteristics from ABIDE are modeled. The fact that the parent resource is a neuroimaging database does not make these MRI inputs.</ns0:t>
        </ns0:is>
      </ns0:c>
      <ns0:c r="AL38" s="21" t="inlineStr">
        <ns0:is>
          <ns0:t>Not applicable</ns0:t>
        </ns0:is>
      </ns0:c>
      <ns0:c r="AM38" s="21" t="inlineStr">
        <ns0:is>
          <ns0:t>Not separately specified</ns0:t>
        </ns0:is>
      </ns0:c>
      <ns0:c r="AN38" s="21" t="inlineStr"/>
      <ns0:c r="AO38" s="21" t="inlineStr">
        <ns0:is>
          <ns0:t>No additional status determination</ns0:t>
        </ns0:is>
      </ns0:c>
      <ns0:c r="AP38" s="21" t="inlineStr">
        <ns0:is>
          <ns0:t>Not documented for this recharting</ns0:t>
        </ns0:is>
      </ns0:c>
      <ns0:c r="AQ38" s="21" t="inlineStr">
        <ns0:is>
          <ns0:t>ChatGPT-assisted evidence recharting, 2026-09-08</ns0:t>
        </ns0:is>
      </ns0:c>
      <ns0:c r="AR38" s="21" t="inlineStr">
        <ns0:is>
          <ns0:t>RA</ns0:t>
        </ns0:is>
      </ns0:c>
      <ns0:c r="AS38" s="21" t="inlineStr">
        <ns0:is>
          <ns0:t>Not recorded; historical inclusion retained</ns0:t>
        </ns0:is>
      </ns0:c>
    </ns0:row>
    <ns0:row r="39" ht="50" customHeight="1">
      <ns0:c r="A39" s="19" t="inlineStr">
        <ns0:is>
          <ns0:t>36</ns0:t>
        </ns0:is>
      </ns0:c>
      <ns0:c r="B39" s="19" t="inlineStr">
        <ns0:is>
          <ns0:t>Historical</ns0:t>
        </ns0:is>
      </ns0:c>
      <ns0:c r="C39" s="19" t="inlineStr">
        <ns0:is>
          <ns0:t>Investigating multiclass autism spectrum disorder classification using machine learning techniques</ns0:t>
        </ns0:is>
      </ns0:c>
      <ns0:c r="D39" s="19" t="inlineStr">
        <ns0:is>
          <ns0:t>10.1016/j.prime.2024.100602</ns0:t>
        </ns0:is>
      </ns0:c>
      <ns0:c r="E39" s="26" t="n">
        <ns0:v>2024</ns0:v>
      </ns0:c>
      <ns0:c r="F39" s="19" t="inlineStr">
        <ns0:is>
          <ns0:t>Include</ns0:t>
        </ns0:is>
      </ns0:c>
      <ns0:c r="G39" s="27">
        <ns0:f>IF(F39="Include",1,0)</ns0:f>
        <ns0:v>1</ns0:v>
      </ns0:c>
      <ns0:c r="H39" s="19" t="inlineStr">
        <ns0:is>
          <ns0:t>Screening</ns0:t>
        </ns0:is>
      </ns0:c>
      <ns0:c r="I39" s="19" t="inlineStr">
        <ns0:is>
          <ns0:t>Machine Learning</ns0:t>
        </ns0:is>
      </ns0:c>
      <ns0:c r="J39" s="19" t="inlineStr">
        <ns0:is>
          <ns0:t>Structured clinical/questionnaire data</ns0:t>
        </ns0:is>
      </ns0:c>
      <ns0:c r="K39" s="19" t="inlineStr">
        <ns0:is>
          <ns0:t>Logistic regression / SVM (task-specific winners)</ns0:t>
        </ns0:is>
      </ns0:c>
      <ns0:c r="L39" s="19" t="inlineStr">
        <ns0:is>
          <ns0:t>Composite/ensemble pipeline</ns0:t>
        </ns0:is>
      </ns0:c>
      <ns0:c r="M39" s="19" t="inlineStr">
        <ns0:is>
          <ns0:t>Research only</ns0:t>
        </ns0:is>
      </ns0:c>
      <ns0:c r="N39" s="19" t="inlineStr">
        <ns0:is>
          <ns0:t>Triage/questionnaire assessment</ns0:t>
        </ns0:is>
      </ns0:c>
      <ns0:c r="O39" s="19" t="inlineStr">
        <ns0:is>
          <ns0:t>Not observed in assessed sources</ns0:t>
        </ns0:is>
      </ns0:c>
      <ns0:c r="P39" s="19" t="inlineStr">
        <ns0:is>
          <ns0:t>Not observed in assessed sources</ns0:t>
        </ns0:is>
      </ns0:c>
      <ns0:c r="Q39" s="19" t="inlineStr">
        <ns0:is>
          <ns0:t>Not reported in assessed sources</ns0:t>
        </ns0:is>
      </ns0:c>
      <ns0:c r="R39" s="19" t="inlineStr">
        <ns0:is>
          <ns0:t>Not reported in assessed sources</ns0:t>
        </ns0:is>
      </ns0:c>
      <ns0:c r="S39" s="19" t="inlineStr">
        <ns0:is>
          <ns0:t>Not reported in assessed sources</ns0:t>
        </ns0:is>
      </ns0:c>
      <ns0:c r="T39" s="19" t="inlineStr">
        <ns0:is>
          <ns0:t>Not reported in assessed sources</ns0:t>
        </ns0:is>
      </ns0:c>
      <ns0:c r="U39" s="19" t="inlineStr">
        <ns0:is>
          <ns0:t>Not reported in assessed sources</ns0:t>
        </ns0:is>
      </ns0:c>
      <ns0:c r="V39" s="19" t="inlineStr">
        <ns0:is>
          <ns0:t>Not reported in assessed sources</ns0:t>
        </ns0:is>
      </ns0:c>
      <ns0:c r="W39" s="19" t="inlineStr">
        <ns0:is>
          <ns0:t>Not reported in assessed sources</ns0:t>
        </ns0:is>
      </ns0:c>
      <ns0:c r="X39" s="19" t="inlineStr">
        <ns0:is>
          <ns0:t>Not reported in assessed sources</ns0:t>
        </ns0:is>
      </ns0:c>
      <ns0:c r="Y39" s="19" t="inlineStr">
        <ns0:is>
          <ns0:t>Not ascertainable</ns0:t>
        </ns0:is>
      </ns0:c>
      <ns0:c r="Z39" s="19" t="inlineStr">
        <ns0:is>
          <ns0:t>Not reported in assessed sources</ns0:t>
        </ns0:is>
      </ns0:c>
      <ns0:c r="AA39" s="19" t="inlineStr">
        <ns0:is>
          <ns0:t>Not recorded</ns0:t>
        </ns0:is>
      </ns0:c>
      <ns0:c r="AB39" s="26" t="n">
        <ns0:v>0</ns0:v>
      </ns0:c>
      <ns0:c r="AC39" s="26" t="n">
        <ns0:v>0</ns0:v>
      </ns0:c>
      <ns0:c r="AD39" s="27">
        <ns0:f>IF(AND(G39=1,AB39=0),1,0)</ns0:f>
        <ns0:v>1</ns0:v>
      </ns0:c>
      <ns0:c r="AE39" s="27">
        <ns0:f>IF(AND(AD39=1,AC39=0),1,0)</ns0:f>
        <ns0:v>1</ns0:v>
      </ns0:c>
      <ns0:c r="AF39" s="27">
        <ns0:f>IF(AND(G39=1,H39&lt;&gt;"Not specified"),1,0)</ns0:f>
        <ns0:v>1</ns0:v>
      </ns0:c>
      <ns0:c r="AG39" s="27">
        <ns0:f>IF(AND(AE39=1,AF39=1),1,0)</ns0:f>
        <ns0:v>1</ns0:v>
      </ns0:c>
      <ns0:c r="AH39" s="19" t="inlineStr">
        <ns0:is>
          <ns0:t>Supplied abstract/coding notes; no new full-text verification</ns0:t>
        </ns0:is>
      </ns0:c>
      <ns0:c r="AI39" s="19" t="inlineStr">
        <ns0:is>
          <ns0:t>https://doi.org/10.1016/j.prime.2024.100602</ns0:t>
        </ns0:is>
      </ns0:c>
      <ns0:c r="AJ39" s="19" t="inlineStr">
        <ns0:is>
          <ns0:t>EVIDENCIA; original abstract/coding notes and lot source trace; Historical signals: title/abstract/notes; full-text completion not independently established</ns0:t>
        </ns0:is>
      </ns0:c>
      <ns0:c r="AK39" s="19" t="inlineStr">
        <ns0:is>
          <ns0:t>Different models perform best across age-specific and pooled screening endpoints. A single universally best classifier is not identifiable from the reported comparisons.</ns0:t>
        </ns0:is>
      </ns0:c>
      <ns0:c r="AL39" s="19" t="inlineStr">
        <ns0:is>
          <ns0:t>Not applicable</ns0:t>
        </ns0:is>
      </ns0:c>
      <ns0:c r="AM39" s="19" t="inlineStr">
        <ns0:is>
          <ns0:t>Not separately specified</ns0:t>
        </ns0:is>
      </ns0:c>
      <ns0:c r="AN39" s="19" t="inlineStr"/>
      <ns0:c r="AO39" s="19" t="inlineStr">
        <ns0:is>
          <ns0:t>No additional status determination</ns0:t>
        </ns0:is>
      </ns0:c>
      <ns0:c r="AP39" s="19" t="inlineStr">
        <ns0:is>
          <ns0:t>Not documented for this recharting</ns0:t>
        </ns0:is>
      </ns0:c>
      <ns0:c r="AQ39" s="19" t="inlineStr">
        <ns0:is>
          <ns0:t>ChatGPT-assisted evidence recharting, 2026-09-08</ns0:t>
        </ns0:is>
      </ns0:c>
      <ns0:c r="AR39" s="19" t="inlineStr">
        <ns0:is>
          <ns0:t>RA</ns0:t>
        </ns0:is>
      </ns0:c>
      <ns0:c r="AS39" s="19" t="inlineStr">
        <ns0:is>
          <ns0:t>Not recorded; historical inclusion retained</ns0:t>
        </ns0:is>
      </ns0:c>
    </ns0:row>
    <ns0:row r="40" ht="50" customHeight="1">
      <ns0:c r="A40" s="21" t="inlineStr">
        <ns0:is>
          <ns0:t>37</ns0:t>
        </ns0:is>
      </ns0:c>
      <ns0:c r="B40" s="21" t="inlineStr">
        <ns0:is>
          <ns0:t>Historical</ns0:t>
        </ns0:is>
      </ns0:c>
      <ns0:c r="C40" s="21" t="inlineStr">
        <ns0:is>
          <ns0:t>Jellyfish Search Optimization with Deep Learning Driven Autism Spectrum Disorder Classification</ns0:t>
        </ns0:is>
      </ns0:c>
      <ns0:c r="D40" s="21" t="inlineStr">
        <ns0:is>
          <ns0:t>10.32604/cmc.2023.032586</ns0:t>
        </ns0:is>
      </ns0:c>
      <ns0:c r="E40" s="28" t="n">
        <ns0:v>2023</ns0:v>
      </ns0:c>
      <ns0:c r="F40" s="21" t="inlineStr">
        <ns0:is>
          <ns0:t>Include</ns0:t>
        </ns0:is>
      </ns0:c>
      <ns0:c r="G40" s="29">
        <ns0:f>IF(F40="Include",1,0)</ns0:f>
        <ns0:v>1</ns0:v>
      </ns0:c>
      <ns0:c r="H40" s="21" t="inlineStr">
        <ns0:is>
          <ns0:t>Screening</ns0:t>
        </ns0:is>
      </ns0:c>
      <ns0:c r="I40" s="21" t="inlineStr">
        <ns0:is>
          <ns0:t>Deep Learning</ns0:t>
        </ns0:is>
      </ns0:c>
      <ns0:c r="J40" s="21" t="inlineStr">
        <ns0:is>
          <ns0:t>Not specified</ns0:t>
        </ns0:is>
      </ns0:c>
      <ns0:c r="K40" s="21" t="inlineStr">
        <ns0:is>
          <ns0:t>GRU optimized with jellyfish search and bacterial foraging</ns0:t>
        </ns0:is>
      </ns0:c>
      <ns0:c r="L40" s="21" t="inlineStr">
        <ns0:is>
          <ns0:t>Recurrent network</ns0:t>
        </ns0:is>
      </ns0:c>
      <ns0:c r="M40" s="21" t="inlineStr">
        <ns0:is>
          <ns0:t>Research only</ns0:t>
        </ns0:is>
      </ns0:c>
      <ns0:c r="N40" s="21" t="inlineStr">
        <ns0:is>
          <ns0:t>Triage/questionnaire assessment</ns0:t>
        </ns0:is>
      </ns0:c>
      <ns0:c r="O40" s="21" t="inlineStr">
        <ns0:is>
          <ns0:t>Not observed in assessed sources</ns0:t>
        </ns0:is>
      </ns0:c>
      <ns0:c r="P40" s="21" t="inlineStr">
        <ns0:is>
          <ns0:t>Not observed in assessed sources</ns0:t>
        </ns0:is>
      </ns0:c>
      <ns0:c r="Q40" s="21" t="inlineStr">
        <ns0:is>
          <ns0:t>Not reported in assessed sources</ns0:t>
        </ns0:is>
      </ns0:c>
      <ns0:c r="R40" s="21" t="inlineStr">
        <ns0:is>
          <ns0:t>Not reported in assessed sources</ns0:t>
        </ns0:is>
      </ns0:c>
      <ns0:c r="S40" s="21" t="inlineStr">
        <ns0:is>
          <ns0:t>Not reported in assessed sources</ns0:t>
        </ns0:is>
      </ns0:c>
      <ns0:c r="T40" s="21" t="inlineStr">
        <ns0:is>
          <ns0:t>Not reported in assessed sources</ns0:t>
        </ns0:is>
      </ns0:c>
      <ns0:c r="U40" s="21" t="inlineStr">
        <ns0:is>
          <ns0:t>Not reported in assessed sources</ns0:t>
        </ns0:is>
      </ns0:c>
      <ns0:c r="V40" s="21" t="inlineStr">
        <ns0:is>
          <ns0:t>Not reported in assessed sources</ns0:t>
        </ns0:is>
      </ns0:c>
      <ns0:c r="W40" s="21" t="inlineStr">
        <ns0:is>
          <ns0:t>Not reported in assessed sources</ns0:t>
        </ns0:is>
      </ns0:c>
      <ns0:c r="X40" s="21" t="inlineStr">
        <ns0:is>
          <ns0:t>Not reported in assessed sources</ns0:t>
        </ns0:is>
      </ns0:c>
      <ns0:c r="Y40" s="21" t="inlineStr">
        <ns0:is>
          <ns0:t>Not ascertainable</ns0:t>
        </ns0:is>
      </ns0:c>
      <ns0:c r="Z40" s="21" t="inlineStr">
        <ns0:is>
          <ns0:t>Not reported in assessed sources</ns0:t>
        </ns0:is>
      </ns0:c>
      <ns0:c r="AA40" s="21" t="inlineStr">
        <ns0:is>
          <ns0:t>Not recorded</ns0:t>
        </ns0:is>
      </ns0:c>
      <ns0:c r="AB40" s="28" t="n">
        <ns0:v>0</ns0:v>
      </ns0:c>
      <ns0:c r="AC40" s="28" t="n">
        <ns0:v>0</ns0:v>
      </ns0:c>
      <ns0:c r="AD40" s="29">
        <ns0:f>IF(AND(G40=1,AB40=0),1,0)</ns0:f>
        <ns0:v>1</ns0:v>
      </ns0:c>
      <ns0:c r="AE40" s="29">
        <ns0:f>IF(AND(AD40=1,AC40=0),1,0)</ns0:f>
        <ns0:v>1</ns0:v>
      </ns0:c>
      <ns0:c r="AF40" s="29">
        <ns0:f>IF(AND(G40=1,H40&lt;&gt;"Not specified"),1,0)</ns0:f>
        <ns0:v>1</ns0:v>
      </ns0:c>
      <ns0:c r="AG40" s="29">
        <ns0:f>IF(AND(AE40=1,AF40=1),1,0)</ns0:f>
        <ns0:v>1</ns0:v>
      </ns0:c>
      <ns0:c r="AH40" s="21" t="inlineStr">
        <ns0:is>
          <ns0:t>Supplied abstract/coding notes; no new full-text verification</ns0:t>
        </ns0:is>
      </ns0:c>
      <ns0:c r="AI40" s="21" t="inlineStr">
        <ns0:is>
          <ns0:t>https://doi.org/10.32604/cmc.2023.032586</ns0:t>
        </ns0:is>
      </ns0:c>
      <ns0:c r="AJ40" s="21" t="inlineStr">
        <ns0:is>
          <ns0:t>EVIDENCIA; original abstract/coding notes and lot source trace; Historical signals: title/abstract/notes; full-text completion not independently established</ns0:t>
        </ns0:is>
      </ns0:c>
      <ns0:c r="AK40" s="21" t="inlineStr">
        <ns0:is>
          <ns0:t>Cross-sectional ASD classification, not temporal prognosis. Abstract identifies GRU but not the biomedical input source; distinct benchmark datasets do not establish fusion.</ns0:t>
        </ns0:is>
      </ns0:c>
      <ns0:c r="AL40" s="21" t="inlineStr">
        <ns0:is>
          <ns0:t>Not applicable</ns0:t>
        </ns0:is>
      </ns0:c>
      <ns0:c r="AM40" s="21" t="inlineStr">
        <ns0:is>
          <ns0:t>Not separately specified</ns0:t>
        </ns0:is>
      </ns0:c>
      <ns0:c r="AN40" s="21" t="inlineStr"/>
      <ns0:c r="AO40" s="21" t="inlineStr">
        <ns0:is>
          <ns0:t>No additional status determination</ns0:t>
        </ns0:is>
      </ns0:c>
      <ns0:c r="AP40" s="21" t="inlineStr">
        <ns0:is>
          <ns0:t>Not documented for this recharting</ns0:t>
        </ns0:is>
      </ns0:c>
      <ns0:c r="AQ40" s="21" t="inlineStr">
        <ns0:is>
          <ns0:t>ChatGPT-assisted evidence recharting, 2026-09-08</ns0:t>
        </ns0:is>
      </ns0:c>
      <ns0:c r="AR40" s="21" t="inlineStr"/>
      <ns0:c r="AS40" s="21" t="inlineStr">
        <ns0:is>
          <ns0:t>Not recorded; historical inclusion retained</ns0:t>
        </ns0:is>
      </ns0:c>
    </ns0:row>
    <ns0:row r="41" ht="50" customHeight="1">
      <ns0:c r="A41" s="19" t="inlineStr">
        <ns0:is>
          <ns0:t>38</ns0:t>
        </ns0:is>
      </ns0:c>
      <ns0:c r="B41" s="19" t="inlineStr">
        <ns0:is>
          <ns0:t>Historical</ns0:t>
        </ns0:is>
      </ns0:c>
      <ns0:c r="C41" s="19" t="inlineStr">
        <ns0:is>
          <ns0:t>Machine learning analysis of pregnancy data enables early identification of a subpopulation of newborns with ASD</ns0:t>
        </ns0:is>
      </ns0:c>
      <ns0:c r="D41" s="19" t="inlineStr">
        <ns0:is>
          <ns0:t>10.1038/s41598-021-86320-0</ns0:t>
        </ns0:is>
      </ns0:c>
      <ns0:c r="E41" s="26" t="n">
        <ns0:v>2021</ns0:v>
      </ns0:c>
      <ns0:c r="F41" s="19" t="inlineStr">
        <ns0:is>
          <ns0:t>Include</ns0:t>
        </ns0:is>
      </ns0:c>
      <ns0:c r="G41" s="27">
        <ns0:f>IF(F41="Include",1,0)</ns0:f>
        <ns0:v>1</ns0:v>
      </ns0:c>
      <ns0:c r="H41" s="19" t="inlineStr">
        <ns0:is>
          <ns0:t>Prognosis</ns0:t>
        </ns0:is>
      </ns0:c>
      <ns0:c r="I41" s="19" t="inlineStr">
        <ns0:is>
          <ns0:t>Machine Learning</ns0:t>
        </ns0:is>
      </ns0:c>
      <ns0:c r="J41" s="19" t="inlineStr">
        <ns0:is>
          <ns0:t>Structured clinical/questionnaire data</ns0:t>
        </ns0:is>
      </ns0:c>
      <ns0:c r="K41" s="19" t="inlineStr">
        <ns0:is>
          <ns0:t>XGBoost</ns0:t>
        </ns0:is>
      </ns0:c>
      <ns0:c r="L41" s="19" t="inlineStr">
        <ns0:is>
          <ns0:t>Gradient boosting</ns0:t>
        </ns0:is>
      </ns0:c>
      <ns0:c r="M41" s="19" t="inlineStr">
        <ns0:is>
          <ns0:t>Proposed only</ns0:t>
        </ns0:is>
      </ns0:c>
      <ns0:c r="N41" s="19" t="inlineStr">
        <ns0:is>
          <ns0:t>Risk/trajectory estimation</ns0:t>
        </ns0:is>
      </ns0:c>
      <ns0:c r="O41" s="19" t="inlineStr">
        <ns0:is>
          <ns0:t>Pre-decision</ns0:t>
        </ns0:is>
      </ns0:c>
      <ns0:c r="P41" s="19" t="inlineStr">
        <ns0:is>
          <ns0:t>Not observed in assessed sources</ns0:t>
        </ns0:is>
      </ns0:c>
      <ns0:c r="Q41" s="19" t="inlineStr">
        <ns0:is>
          <ns0:t>Not reported in assessed sources</ns0:t>
        </ns0:is>
      </ns0:c>
      <ns0:c r="R41" s="19" t="inlineStr">
        <ns0:is>
          <ns0:t>Not reported in assessed sources</ns0:t>
        </ns0:is>
      </ns0:c>
      <ns0:c r="S41" s="19" t="inlineStr">
        <ns0:is>
          <ns0:t>Reported</ns0:t>
        </ns0:is>
      </ns0:c>
      <ns0:c r="T41" s="19" t="inlineStr">
        <ns0:is>
          <ns0:t>Reported</ns0:t>
        </ns0:is>
      </ns0:c>
      <ns0:c r="U41" s="19" t="inlineStr">
        <ns0:is>
          <ns0:t>Not reported in assessed sources</ns0:t>
        </ns0:is>
      </ns0:c>
      <ns0:c r="V41" s="19" t="inlineStr">
        <ns0:is>
          <ns0:t>Not reported in assessed sources</ns0:t>
        </ns0:is>
      </ns0:c>
      <ns0:c r="W41" s="19" t="inlineStr">
        <ns0:is>
          <ns0:t>Not reported in assessed sources</ns0:t>
        </ns0:is>
      </ns0:c>
      <ns0:c r="X41" s="19" t="inlineStr">
        <ns0:is>
          <ns0:t>Not reported in assessed sources</ns0:t>
        </ns0:is>
      </ns0:c>
      <ns0:c r="Y41" s="19" t="inlineStr">
        <ns0:is>
          <ns0:t>Not ascertainable</ns0:t>
        </ns0:is>
      </ns0:c>
      <ns0:c r="Z41" s="19" t="inlineStr">
        <ns0:is>
          <ns0:t>Not reported in assessed sources</ns0:t>
        </ns0:is>
      </ns0:c>
      <ns0:c r="AA41" s="19" t="inlineStr">
        <ns0:is>
          <ns0:t>Not recorded</ns0:t>
        </ns0:is>
      </ns0:c>
      <ns0:c r="AB41" s="26" t="n">
        <ns0:v>0</ns0:v>
      </ns0:c>
      <ns0:c r="AC41" s="26" t="n">
        <ns0:v>0</ns0:v>
      </ns0:c>
      <ns0:c r="AD41" s="27">
        <ns0:f>IF(AND(G41=1,AB41=0),1,0)</ns0:f>
        <ns0:v>1</ns0:v>
      </ns0:c>
      <ns0:c r="AE41" s="27">
        <ns0:f>IF(AND(AD41=1,AC41=0),1,0)</ns0:f>
        <ns0:v>1</ns0:v>
      </ns0:c>
      <ns0:c r="AF41" s="27">
        <ns0:f>IF(AND(G41=1,H41&lt;&gt;"Not specified"),1,0)</ns0:f>
        <ns0:v>1</ns0:v>
      </ns0:c>
      <ns0:c r="AG41" s="27">
        <ns0:f>IF(AND(AE41=1,AF41=1),1,0)</ns0:f>
        <ns0:v>1</ns0:v>
      </ns0:c>
      <ns0:c r="AH41" s="19" t="inlineStr">
        <ns0:is>
          <ns0:t>Supplied abstract/coding notes; no new full-text verification</ns0:t>
        </ns0:is>
      </ns0:c>
      <ns0:c r="AI41" s="19" t="inlineStr">
        <ns0:is>
          <ns0:t>https://doi.org/10.1038/s41598-021-86320-0</ns0:t>
        </ns0:is>
      </ns0:c>
      <ns0:c r="AJ41" s="19" t="inlineStr">
        <ns0:is>
          <ns0:t>EVIDENCIA; original abstract/coding notes and lot source trace; Historical signals: title/abstract/notes; full-text completion not independently established</ns0:t>
        </ns0:is>
      </ns0:c>
      <ns0:c r="AK41" s="19" t="inlineStr">
        <ns0:is>
          <ns0:t>Retrospective pregnancy and birth measurements predict later ASD. Numeric ultrasound measurements are structured records, not raw imaging inputs. SHAP is explicitly documented in source coding notes.</ns0:t>
        </ns0:is>
      </ns0:c>
      <ns0:c r="AL41" s="19" t="inlineStr">
        <ns0:is>
          <ns0:t>Not applicable</ns0:t>
        </ns0:is>
      </ns0:c>
      <ns0:c r="AM41" s="19" t="inlineStr">
        <ns0:is>
          <ns0:t>Not separately specified</ns0:t>
        </ns0:is>
      </ns0:c>
      <ns0:c r="AN41" s="19" t="inlineStr"/>
      <ns0:c r="AO41" s="19" t="inlineStr">
        <ns0:is>
          <ns0:t>No additional status determination</ns0:t>
        </ns0:is>
      </ns0:c>
      <ns0:c r="AP41" s="19" t="inlineStr">
        <ns0:is>
          <ns0:t>Not documented for this recharting</ns0:t>
        </ns0:is>
      </ns0:c>
      <ns0:c r="AQ41" s="19" t="inlineStr">
        <ns0:is>
          <ns0:t>ChatGPT-assisted evidence recharting, 2026-09-08</ns0:t>
        </ns0:is>
      </ns0:c>
      <ns0:c r="AR41" s="19" t="inlineStr"/>
      <ns0:c r="AS41" s="19" t="inlineStr">
        <ns0:is>
          <ns0:t>Not recorded; historical inclusion retained</ns0:t>
        </ns0:is>
      </ns0:c>
    </ns0:row>
    <ns0:row r="42" ht="50" customHeight="1">
      <ns0:c r="A42" s="21" t="inlineStr">
        <ns0:is>
          <ns0:t>39</ns0:t>
        </ns0:is>
      </ns0:c>
      <ns0:c r="B42" s="21" t="inlineStr">
        <ns0:is>
          <ns0:t>Historical</ns0:t>
        </ns0:is>
      </ns0:c>
      <ns0:c r="C42" s="21" t="inlineStr">
        <ns0:is>
          <ns0:t>Machine Learning-Based Blood RNA Signature for Diagnosis of Autism Spectrum Disorder</ns0:t>
        </ns0:is>
      </ns0:c>
      <ns0:c r="D42" s="21" t="inlineStr">
        <ns0:is>
          <ns0:t>10.3390/ijms24032082</ns0:t>
        </ns0:is>
      </ns0:c>
      <ns0:c r="E42" s="28" t="n">
        <ns0:v>2023</ns0:v>
      </ns0:c>
      <ns0:c r="F42" s="21" t="inlineStr">
        <ns0:is>
          <ns0:t>Include</ns0:t>
        </ns0:is>
      </ns0:c>
      <ns0:c r="G42" s="29">
        <ns0:f>IF(F42="Include",1,0)</ns0:f>
        <ns0:v>1</ns0:v>
      </ns0:c>
      <ns0:c r="H42" s="21" t="inlineStr">
        <ns0:is>
          <ns0:t>Diagnosis</ns0:t>
        </ns0:is>
      </ns0:c>
      <ns0:c r="I42" s="21" t="inlineStr">
        <ns0:is>
          <ns0:t>Machine Learning</ns0:t>
        </ns0:is>
      </ns0:c>
      <ns0:c r="J42" s="21" t="inlineStr">
        <ns0:is>
          <ns0:t>Biological/omics</ns0:t>
        </ns0:is>
      </ns0:c>
      <ns0:c r="K42" s="21" t="inlineStr">
        <ns0:is>
          <ns0:t>Random forest</ns0:t>
        </ns0:is>
      </ns0:c>
      <ns0:c r="L42" s="21" t="inlineStr">
        <ns0:is>
          <ns0:t>Random forest</ns0:t>
        </ns0:is>
      </ns0:c>
      <ns0:c r="M42" s="21" t="inlineStr">
        <ns0:is>
          <ns0:t>Research only</ns0:t>
        </ns0:is>
      </ns0:c>
      <ns0:c r="N42" s="21" t="inlineStr">
        <ns0:is>
          <ns0:t>Automated measurement/classification</ns0:t>
        </ns0:is>
      </ns0:c>
      <ns0:c r="O42" s="21" t="inlineStr">
        <ns0:is>
          <ns0:t>Not observed in assessed sources</ns0:t>
        </ns0:is>
      </ns0:c>
      <ns0:c r="P42" s="21" t="inlineStr">
        <ns0:is>
          <ns0:t>Not observed in assessed sources</ns0:t>
        </ns0:is>
      </ns0:c>
      <ns0:c r="Q42" s="21" t="inlineStr">
        <ns0:is>
          <ns0:t>Not reported in assessed sources</ns0:t>
        </ns0:is>
      </ns0:c>
      <ns0:c r="R42" s="21" t="inlineStr">
        <ns0:is>
          <ns0:t>Not reported in assessed sources</ns0:t>
        </ns0:is>
      </ns0:c>
      <ns0:c r="S42" s="21" t="inlineStr">
        <ns0:is>
          <ns0:t>Not reported in assessed sources</ns0:t>
        </ns0:is>
      </ns0:c>
      <ns0:c r="T42" s="21" t="inlineStr">
        <ns0:is>
          <ns0:t>Not reported in assessed sources</ns0:t>
        </ns0:is>
      </ns0:c>
      <ns0:c r="U42" s="21" t="inlineStr">
        <ns0:is>
          <ns0:t>Not reported in assessed sources</ns0:t>
        </ns0:is>
      </ns0:c>
      <ns0:c r="V42" s="21" t="inlineStr">
        <ns0:is>
          <ns0:t>Not reported in assessed sources</ns0:t>
        </ns0:is>
      </ns0:c>
      <ns0:c r="W42" s="21" t="inlineStr">
        <ns0:is>
          <ns0:t>Not reported in assessed sources</ns0:t>
        </ns0:is>
      </ns0:c>
      <ns0:c r="X42" s="21" t="inlineStr">
        <ns0:is>
          <ns0:t>Not reported in assessed sources</ns0:t>
        </ns0:is>
      </ns0:c>
      <ns0:c r="Y42" s="21" t="inlineStr">
        <ns0:is>
          <ns0:t>Not ascertainable</ns0:t>
        </ns0:is>
      </ns0:c>
      <ns0:c r="Z42" s="21" t="inlineStr">
        <ns0:is>
          <ns0:t>Not reported in assessed sources</ns0:t>
        </ns0:is>
      </ns0:c>
      <ns0:c r="AA42" s="21" t="inlineStr">
        <ns0:is>
          <ns0:t>Not recorded</ns0:t>
        </ns0:is>
      </ns0:c>
      <ns0:c r="AB42" s="28" t="n">
        <ns0:v>0</ns0:v>
      </ns0:c>
      <ns0:c r="AC42" s="28" t="n">
        <ns0:v>0</ns0:v>
      </ns0:c>
      <ns0:c r="AD42" s="29">
        <ns0:f>IF(AND(G42=1,AB42=0),1,0)</ns0:f>
        <ns0:v>1</ns0:v>
      </ns0:c>
      <ns0:c r="AE42" s="29">
        <ns0:f>IF(AND(AD42=1,AC42=0),1,0)</ns0:f>
        <ns0:v>1</ns0:v>
      </ns0:c>
      <ns0:c r="AF42" s="29">
        <ns0:f>IF(AND(G42=1,H42&lt;&gt;"Not specified"),1,0)</ns0:f>
        <ns0:v>1</ns0:v>
      </ns0:c>
      <ns0:c r="AG42" s="29">
        <ns0:f>IF(AND(AE42=1,AF42=1),1,0)</ns0:f>
        <ns0:v>1</ns0:v>
      </ns0:c>
      <ns0:c r="AH42" s="21" t="inlineStr">
        <ns0:is>
          <ns0:t>Supplied abstract/coding notes; no new full-text verification</ns0:t>
        </ns0:is>
      </ns0:c>
      <ns0:c r="AI42" s="21" t="inlineStr">
        <ns0:is>
          <ns0:t>https://doi.org/10.3390/ijms24032082</ns0:t>
        </ns0:is>
      </ns0:c>
      <ns0:c r="AJ42" s="21" t="inlineStr">
        <ns0:is>
          <ns0:t>EVIDENCIA; original abstract/coding notes and lot source trace; Historical signals: title/abstract/notes; full-text completion not independently established</ns0:t>
        </ns0:is>
      </ns0:c>
      <ns0:c r="AK42" s="21" t="inlineStr">
        <ns0:is>
          <ns0:t>Blood RNA sequencing classifier; abstract calls for further independent validation, not a deployed diagnostic workflow.</ns0:t>
        </ns0:is>
      </ns0:c>
      <ns0:c r="AL42" s="21" t="inlineStr">
        <ns0:is>
          <ns0:t>Not applicable</ns0:t>
        </ns0:is>
      </ns0:c>
      <ns0:c r="AM42" s="21" t="inlineStr">
        <ns0:is>
          <ns0:t>Not separately specified</ns0:t>
        </ns0:is>
      </ns0:c>
      <ns0:c r="AN42" s="21" t="inlineStr"/>
      <ns0:c r="AO42" s="21" t="inlineStr">
        <ns0:is>
          <ns0:t>No additional status determination</ns0:t>
        </ns0:is>
      </ns0:c>
      <ns0:c r="AP42" s="21" t="inlineStr">
        <ns0:is>
          <ns0:t>Not documented for this recharting</ns0:t>
        </ns0:is>
      </ns0:c>
      <ns0:c r="AQ42" s="21" t="inlineStr">
        <ns0:is>
          <ns0:t>ChatGPT-assisted evidence recharting, 2026-09-08</ns0:t>
        </ns0:is>
      </ns0:c>
      <ns0:c r="AR42" s="21" t="inlineStr"/>
      <ns0:c r="AS42" s="21" t="inlineStr">
        <ns0:is>
          <ns0:t>Not recorded; historical inclusion retained</ns0:t>
        </ns0:is>
      </ns0:c>
    </ns0:row>
    <ns0:row r="43" ht="50" customHeight="1">
      <ns0:c r="A43" s="19" t="inlineStr">
        <ns0:is>
          <ns0:t>40</ns0:t>
        </ns0:is>
      </ns0:c>
      <ns0:c r="B43" s="19" t="inlineStr">
        <ns0:is>
          <ns0:t>Historical</ns0:t>
        </ns0:is>
      </ns0:c>
      <ns0:c r="C43" s="19" t="inlineStr">
        <ns0:is>
          <ns0:t>Metabolomic analysis of maternal mid-gestation plasma and cord blood in autism spectrum disorders</ns0:t>
        </ns0:is>
      </ns0:c>
      <ns0:c r="D43" s="19" t="inlineStr">
        <ns0:is>
          <ns0:t>10.1038/s41380-023-02051-w</ns0:t>
        </ns0:is>
      </ns0:c>
      <ns0:c r="E43" s="26" t="n">
        <ns0:v>2023</ns0:v>
      </ns0:c>
      <ns0:c r="F43" s="19" t="inlineStr">
        <ns0:is>
          <ns0:t>Include</ns0:t>
        </ns0:is>
      </ns0:c>
      <ns0:c r="G43" s="27">
        <ns0:f>IF(F43="Include",1,0)</ns0:f>
        <ns0:v>1</ns0:v>
      </ns0:c>
      <ns0:c r="H43" s="19" t="inlineStr">
        <ns0:is>
          <ns0:t>Prognosis</ns0:t>
        </ns0:is>
      </ns0:c>
      <ns0:c r="I43" s="19" t="inlineStr">
        <ns0:is>
          <ns0:t>Machine Learning</ns0:t>
        </ns0:is>
      </ns0:c>
      <ns0:c r="J43" s="19" t="inlineStr">
        <ns0:is>
          <ns0:t>Biological/omics</ns0:t>
        </ns0:is>
      </ns0:c>
      <ns0:c r="K43" s="19" t="inlineStr">
        <ns0:is>
          <ns0:t>Multiple machine-learning classifiers; principal family unresolved</ns0:t>
        </ns0:is>
      </ns0:c>
      <ns0:c r="L43" s="19" t="inlineStr">
        <ns0:is>
          <ns0:t>Multiple/not uniquely specified</ns0:t>
        </ns0:is>
      </ns0:c>
      <ns0:c r="M43" s="19" t="inlineStr">
        <ns0:is>
          <ns0:t>Research only</ns0:t>
        </ns0:is>
      </ns0:c>
      <ns0:c r="N43" s="19" t="inlineStr">
        <ns0:is>
          <ns0:t>Risk/trajectory estimation</ns0:t>
        </ns0:is>
      </ns0:c>
      <ns0:c r="O43" s="19" t="inlineStr">
        <ns0:is>
          <ns0:t>Not observed in assessed sources</ns0:t>
        </ns0:is>
      </ns0:c>
      <ns0:c r="P43" s="19" t="inlineStr">
        <ns0:is>
          <ns0:t>Not observed in assessed sources</ns0:t>
        </ns0:is>
      </ns0:c>
      <ns0:c r="Q43" s="19" t="inlineStr">
        <ns0:is>
          <ns0:t>Not reported in assessed sources</ns0:t>
        </ns0:is>
      </ns0:c>
      <ns0:c r="R43" s="19" t="inlineStr">
        <ns0:is>
          <ns0:t>Not reported in assessed sources</ns0:t>
        </ns0:is>
      </ns0:c>
      <ns0:c r="S43" s="19" t="inlineStr">
        <ns0:is>
          <ns0:t>Not reported in assessed sources</ns0:t>
        </ns0:is>
      </ns0:c>
      <ns0:c r="T43" s="19" t="inlineStr">
        <ns0:is>
          <ns0:t>Not reported in assessed sources</ns0:t>
        </ns0:is>
      </ns0:c>
      <ns0:c r="U43" s="19" t="inlineStr">
        <ns0:is>
          <ns0:t>Not reported in assessed sources</ns0:t>
        </ns0:is>
      </ns0:c>
      <ns0:c r="V43" s="19" t="inlineStr">
        <ns0:is>
          <ns0:t>Not reported in assessed sources</ns0:t>
        </ns0:is>
      </ns0:c>
      <ns0:c r="W43" s="19" t="inlineStr">
        <ns0:is>
          <ns0:t>Reported</ns0:t>
        </ns0:is>
      </ns0:c>
      <ns0:c r="X43" s="19" t="inlineStr">
        <ns0:is>
          <ns0:t>Not reported in assessed sources</ns0:t>
        </ns0:is>
      </ns0:c>
      <ns0:c r="Y43" s="19" t="inlineStr">
        <ns0:is>
          <ns0:t>Not ascertainable</ns0:t>
        </ns0:is>
      </ns0:c>
      <ns0:c r="Z43" s="19" t="inlineStr">
        <ns0:is>
          <ns0:t>Not reported in assessed sources</ns0:t>
        </ns0:is>
      </ns0:c>
      <ns0:c r="AA43" s="19" t="inlineStr">
        <ns0:is>
          <ns0:t>Not recorded</ns0:t>
        </ns0:is>
      </ns0:c>
      <ns0:c r="AB43" s="26" t="n">
        <ns0:v>0</ns0:v>
      </ns0:c>
      <ns0:c r="AC43" s="26" t="n">
        <ns0:v>0</ns0:v>
      </ns0:c>
      <ns0:c r="AD43" s="27">
        <ns0:f>IF(AND(G43=1,AB43=0),1,0)</ns0:f>
        <ns0:v>1</ns0:v>
      </ns0:c>
      <ns0:c r="AE43" s="27">
        <ns0:f>IF(AND(AD43=1,AC43=0),1,0)</ns0:f>
        <ns0:v>1</ns0:v>
      </ns0:c>
      <ns0:c r="AF43" s="27">
        <ns0:f>IF(AND(G43=1,H43&lt;&gt;"Not specified"),1,0)</ns0:f>
        <ns0:v>1</ns0:v>
      </ns0:c>
      <ns0:c r="AG43" s="27">
        <ns0:f>IF(AND(AE43=1,AF43=1),1,0)</ns0:f>
        <ns0:v>1</ns0:v>
      </ns0:c>
      <ns0:c r="AH43" s="19" t="inlineStr">
        <ns0:is>
          <ns0:t>Supplied abstract/coding notes; no new full-text verification</ns0:t>
        </ns0:is>
      </ns0:c>
      <ns0:c r="AI43" s="19" t="inlineStr">
        <ns0:is>
          <ns0:t>https://doi.org/10.1038/s41380-023-02051-w</ns0:t>
        </ns0:is>
      </ns0:c>
      <ns0:c r="AJ43" s="19" t="inlineStr">
        <ns0:is>
          <ns0:t>EVIDENCIA; original abstract/coding notes and lot source trace; Historical signals: title/abstract/notes; full-text completion not independently established</ns0:t>
        </ns0:is>
      </ns0:c>
      <ns0:c r="AK43" s="19" t="inlineStr">
        <ns0:is>
          <ns0:t>Maternal mid-gestation and cord-blood metabolomic profiles predict subsequent ASD. Source describes separate analyses, not demonstrated combined-input prediction.</ns0:t>
        </ns0:is>
      </ns0:c>
      <ns0:c r="AL43" s="19" t="inlineStr">
        <ns0:is>
          <ns0:t>Not applicable</ns0:t>
        </ns0:is>
      </ns0:c>
      <ns0:c r="AM43" s="19" t="inlineStr">
        <ns0:is>
          <ns0:t>Not separately specified</ns0:t>
        </ns0:is>
      </ns0:c>
      <ns0:c r="AN43" s="19" t="inlineStr"/>
      <ns0:c r="AO43" s="19" t="inlineStr">
        <ns0:is>
          <ns0:t>No additional status determination</ns0:t>
        </ns0:is>
      </ns0:c>
      <ns0:c r="AP43" s="19" t="inlineStr">
        <ns0:is>
          <ns0:t>Not documented for this recharting</ns0:t>
        </ns0:is>
      </ns0:c>
      <ns0:c r="AQ43" s="19" t="inlineStr">
        <ns0:is>
          <ns0:t>ChatGPT-assisted evidence recharting, 2026-09-08</ns0:t>
        </ns0:is>
      </ns0:c>
      <ns0:c r="AR43" s="19" t="inlineStr"/>
      <ns0:c r="AS43" s="19" t="inlineStr">
        <ns0:is>
          <ns0:t>Not recorded; historical inclusion retained</ns0:t>
        </ns0:is>
      </ns0:c>
    </ns0:row>
    <ns0:row r="44" ht="50" customHeight="1">
      <ns0:c r="A44" s="21" t="inlineStr">
        <ns0:is>
          <ns0:t>41</ns0:t>
        </ns0:is>
      </ns0:c>
      <ns0:c r="B44" s="21" t="inlineStr">
        <ns0:is>
          <ns0:t>Historical</ns0:t>
        </ns0:is>
      </ns0:c>
      <ns0:c r="C44" s="21" t="inlineStr">
        <ns0:is>
          <ns0:t>Predictors of age at diagnosis in autism spectrum disorders: the use of multiple regression analyses and a classification tree on a clinical sample</ns0:t>
        </ns0:is>
      </ns0:c>
      <ns0:c r="D44" s="21" t="inlineStr">
        <ns0:is>
          <ns0:t>10.1007/s00787-023-02189-6</ns0:t>
        </ns0:is>
      </ns0:c>
      <ns0:c r="E44" s="28" t="n">
        <ns0:v>2023</ns0:v>
      </ns0:c>
      <ns0:c r="F44" s="21" t="inlineStr">
        <ns0:is>
          <ns0:t>Include</ns0:t>
        </ns0:is>
      </ns0:c>
      <ns0:c r="G44" s="29">
        <ns0:f>IF(F44="Include",1,0)</ns0:f>
        <ns0:v>1</ns0:v>
      </ns0:c>
      <ns0:c r="H44" s="21" t="inlineStr">
        <ns0:is>
          <ns0:t>Not specified</ns0:t>
        </ns0:is>
      </ns0:c>
      <ns0:c r="I44" s="21" t="inlineStr">
        <ns0:is>
          <ns0:t>Machine Learning</ns0:t>
        </ns0:is>
      </ns0:c>
      <ns0:c r="J44" s="21" t="inlineStr">
        <ns0:is>
          <ns0:t>Structured clinical/questionnaire data</ns0:t>
        </ns0:is>
      </ns0:c>
      <ns0:c r="K44" s="21" t="inlineStr">
        <ns0:is>
          <ns0:t>Regression and classification tree</ns0:t>
        </ns0:is>
      </ns0:c>
      <ns0:c r="L44" s="21" t="inlineStr">
        <ns0:is>
          <ns0:t>Other specified method</ns0:t>
        </ns0:is>
      </ns0:c>
      <ns0:c r="M44" s="21" t="inlineStr">
        <ns0:is>
          <ns0:t>Research only</ns0:t>
        </ns0:is>
      </ns0:c>
      <ns0:c r="N44" s="21" t="inlineStr">
        <ns0:is>
          <ns0:t>Research characterization</ns0:t>
        </ns0:is>
      </ns0:c>
      <ns0:c r="O44" s="21" t="inlineStr">
        <ns0:is>
          <ns0:t>Not observed in assessed sources</ns0:t>
        </ns0:is>
      </ns0:c>
      <ns0:c r="P44" s="21" t="inlineStr">
        <ns0:is>
          <ns0:t>Not observed in assessed sources</ns0:t>
        </ns0:is>
      </ns0:c>
      <ns0:c r="Q44" s="21" t="inlineStr">
        <ns0:is>
          <ns0:t>Not reported in assessed sources</ns0:t>
        </ns0:is>
      </ns0:c>
      <ns0:c r="R44" s="21" t="inlineStr">
        <ns0:is>
          <ns0:t>Not reported in assessed sources</ns0:t>
        </ns0:is>
      </ns0:c>
      <ns0:c r="S44" s="21" t="inlineStr">
        <ns0:is>
          <ns0:t>Not reported in assessed sources</ns0:t>
        </ns0:is>
      </ns0:c>
      <ns0:c r="T44" s="21" t="inlineStr">
        <ns0:is>
          <ns0:t>Not reported in assessed sources</ns0:t>
        </ns0:is>
      </ns0:c>
      <ns0:c r="U44" s="21" t="inlineStr">
        <ns0:is>
          <ns0:t>Not reported in assessed sources</ns0:t>
        </ns0:is>
      </ns0:c>
      <ns0:c r="V44" s="21" t="inlineStr">
        <ns0:is>
          <ns0:t>Not reported in assessed sources</ns0:t>
        </ns0:is>
      </ns0:c>
      <ns0:c r="W44" s="21" t="inlineStr">
        <ns0:is>
          <ns0:t>Not reported in assessed sources</ns0:t>
        </ns0:is>
      </ns0:c>
      <ns0:c r="X44" s="21" t="inlineStr">
        <ns0:is>
          <ns0:t>Not reported in assessed sources</ns0:t>
        </ns0:is>
      </ns0:c>
      <ns0:c r="Y44" s="21" t="inlineStr">
        <ns0:is>
          <ns0:t>Not ascertainable</ns0:t>
        </ns0:is>
      </ns0:c>
      <ns0:c r="Z44" s="21" t="inlineStr">
        <ns0:is>
          <ns0:t>Not reported in assessed sources</ns0:t>
        </ns0:is>
      </ns0:c>
      <ns0:c r="AA44" s="21" t="inlineStr">
        <ns0:is>
          <ns0:t>Not recorded</ns0:t>
        </ns0:is>
      </ns0:c>
      <ns0:c r="AB44" s="28" t="n">
        <ns0:v>0</ns0:v>
      </ns0:c>
      <ns0:c r="AC44" s="28" t="n">
        <ns0:v>0</ns0:v>
      </ns0:c>
      <ns0:c r="AD44" s="29">
        <ns0:f>IF(AND(G44=1,AB44=0),1,0)</ns0:f>
        <ns0:v>1</ns0:v>
      </ns0:c>
      <ns0:c r="AE44" s="29">
        <ns0:f>IF(AND(AD44=1,AC44=0),1,0)</ns0:f>
        <ns0:v>1</ns0:v>
      </ns0:c>
      <ns0:c r="AF44" s="29">
        <ns0:f>IF(AND(G44=1,H44&lt;&gt;"Not specified"),1,0)</ns0:f>
        <ns0:v>0</ns0:v>
      </ns0:c>
      <ns0:c r="AG44" s="29">
        <ns0:f>IF(AND(AE44=1,AF44=1),1,0)</ns0:f>
        <ns0:v>0</ns0:v>
      </ns0:c>
      <ns0:c r="AH44" s="21" t="inlineStr">
        <ns0:is>
          <ns0:t>Supplied abstract/coding notes; no new full-text verification</ns0:t>
        </ns0:is>
      </ns0:c>
      <ns0:c r="AI44" s="21" t="inlineStr">
        <ns0:is>
          <ns0:t>https://doi.org/10.1007/s00787-023-02189-6</ns0:t>
        </ns0:is>
      </ns0:c>
      <ns0:c r="AJ44" s="21" t="inlineStr">
        <ns0:is>
          <ns0:t>EVIDENCIA; original abstract/coding notes and lot source trace; Historical signals: title/abstract/notes; full-text completion not independently established</ns0:t>
        </ns0:is>
      </ns0:c>
      <ns0:c r="AK44" s="21" t="inlineStr">
        <ns0:is>
          <ns0:t>Retrospective predictors of age at diagnosis; relevant care-pathway characterization but no uniquely supported prospective clinical stage.</ns0:t>
        </ns0:is>
      </ns0:c>
      <ns0:c r="AL44" s="21" t="inlineStr">
        <ns0:is>
          <ns0:t>Not applicable</ns0:t>
        </ns0:is>
      </ns0:c>
      <ns0:c r="AM44" s="21" t="inlineStr">
        <ns0:is>
          <ns0:t>Not separately specified</ns0:t>
        </ns0:is>
      </ns0:c>
      <ns0:c r="AN44" s="21" t="inlineStr"/>
      <ns0:c r="AO44" s="21" t="inlineStr">
        <ns0:is>
          <ns0:t>No additional status determination</ns0:t>
        </ns0:is>
      </ns0:c>
      <ns0:c r="AP44" s="21" t="inlineStr">
        <ns0:is>
          <ns0:t>Not documented for this recharting</ns0:t>
        </ns0:is>
      </ns0:c>
      <ns0:c r="AQ44" s="21" t="inlineStr">
        <ns0:is>
          <ns0:t>ChatGPT-assisted evidence recharting, 2026-09-08</ns0:t>
        </ns0:is>
      </ns0:c>
      <ns0:c r="AR44" s="21" t="inlineStr">
        <ns0:is>
          <ns0:t>RA</ns0:t>
        </ns0:is>
      </ns0:c>
      <ns0:c r="AS44" s="21" t="inlineStr">
        <ns0:is>
          <ns0:t>Not recorded; historical inclusion retained</ns0:t>
        </ns0:is>
      </ns0:c>
    </ns0:row>
    <ns0:row r="45" ht="50" customHeight="1">
      <ns0:c r="A45" s="19" t="inlineStr">
        <ns0:is>
          <ns0:t>42</ns0:t>
        </ns0:is>
      </ns0:c>
      <ns0:c r="B45" s="19" t="inlineStr">
        <ns0:is>
          <ns0:t>Historical</ns0:t>
        </ns0:is>
      </ns0:c>
      <ns0:c r="C45" s="19" t="inlineStr">
        <ns0:is>
          <ns0:t>Promoting emotional and behavioral interventions in ASD treatment: Evidence from EPIGRAM, A naturalistic, prospective and longitudinal study</ns0:t>
        </ns0:is>
      </ns0:c>
      <ns0:c r="D45" s="19" t="inlineStr">
        <ns0:is>
          <ns0:t>10.1016/j.ridd.2024.104688</ns0:t>
        </ns0:is>
      </ns0:c>
      <ns0:c r="E45" s="26" t="n">
        <ns0:v>2024</ns0:v>
      </ns0:c>
      <ns0:c r="F45" s="19" t="inlineStr">
        <ns0:is>
          <ns0:t>Include</ns0:t>
        </ns0:is>
      </ns0:c>
      <ns0:c r="G45" s="27">
        <ns0:f>IF(F45="Include",1,0)</ns0:f>
        <ns0:v>1</ns0:v>
      </ns0:c>
      <ns0:c r="H45" s="19" t="inlineStr">
        <ns0:is>
          <ns0:t>Prognosis</ns0:t>
        </ns0:is>
      </ns0:c>
      <ns0:c r="I45" s="19" t="inlineStr">
        <ns0:is>
          <ns0:t>Machine Learning</ns0:t>
        </ns0:is>
      </ns0:c>
      <ns0:c r="J45" s="19" t="inlineStr">
        <ns0:is>
          <ns0:t>Structured clinical/questionnaire data</ns0:t>
        </ns0:is>
      </ns0:c>
      <ns0:c r="K45" s="19" t="inlineStr">
        <ns0:is>
          <ns0:t>CART and multivariable regression</ns0:t>
        </ns0:is>
      </ns0:c>
      <ns0:c r="L45" s="19" t="inlineStr">
        <ns0:is>
          <ns0:t>Other specified method</ns0:t>
        </ns0:is>
      </ns0:c>
      <ns0:c r="M45" s="19" t="inlineStr">
        <ns0:is>
          <ns0:t>Research only</ns0:t>
        </ns0:is>
      </ns0:c>
      <ns0:c r="N45" s="19" t="inlineStr">
        <ns0:is>
          <ns0:t>Risk/trajectory estimation</ns0:t>
        </ns0:is>
      </ns0:c>
      <ns0:c r="O45" s="19" t="inlineStr">
        <ns0:is>
          <ns0:t>Not observed in assessed sources</ns0:t>
        </ns0:is>
      </ns0:c>
      <ns0:c r="P45" s="19" t="inlineStr">
        <ns0:is>
          <ns0:t>Not observed in assessed sources</ns0:t>
        </ns0:is>
      </ns0:c>
      <ns0:c r="Q45" s="19" t="inlineStr">
        <ns0:is>
          <ns0:t>Not reported in assessed sources</ns0:t>
        </ns0:is>
      </ns0:c>
      <ns0:c r="R45" s="19" t="inlineStr">
        <ns0:is>
          <ns0:t>Not reported in assessed sources</ns0:t>
        </ns0:is>
      </ns0:c>
      <ns0:c r="S45" s="19" t="inlineStr">
        <ns0:is>
          <ns0:t>Not reported in assessed sources</ns0:t>
        </ns0:is>
      </ns0:c>
      <ns0:c r="T45" s="19" t="inlineStr">
        <ns0:is>
          <ns0:t>Not reported in assessed sources</ns0:t>
        </ns0:is>
      </ns0:c>
      <ns0:c r="U45" s="19" t="inlineStr">
        <ns0:is>
          <ns0:t>Not reported in assessed sources</ns0:t>
        </ns0:is>
      </ns0:c>
      <ns0:c r="V45" s="19" t="inlineStr">
        <ns0:is>
          <ns0:t>Not reported in assessed sources</ns0:t>
        </ns0:is>
      </ns0:c>
      <ns0:c r="W45" s="19" t="inlineStr">
        <ns0:is>
          <ns0:t>Not reported in assessed sources</ns0:t>
        </ns0:is>
      </ns0:c>
      <ns0:c r="X45" s="19" t="inlineStr">
        <ns0:is>
          <ns0:t>Not reported in assessed sources</ns0:t>
        </ns0:is>
      </ns0:c>
      <ns0:c r="Y45" s="19" t="inlineStr">
        <ns0:is>
          <ns0:t>Reported</ns0:t>
        </ns0:is>
      </ns0:c>
      <ns0:c r="Z45" s="19" t="inlineStr">
        <ns0:is>
          <ns0:t>Not reported in assessed sources</ns0:t>
        </ns0:is>
      </ns0:c>
      <ns0:c r="AA45" s="19" t="inlineStr">
        <ns0:is>
          <ns0:t>Not recorded</ns0:t>
        </ns0:is>
      </ns0:c>
      <ns0:c r="AB45" s="26" t="n">
        <ns0:v>0</ns0:v>
      </ns0:c>
      <ns0:c r="AC45" s="26" t="n">
        <ns0:v>0</ns0:v>
      </ns0:c>
      <ns0:c r="AD45" s="27">
        <ns0:f>IF(AND(G45=1,AB45=0),1,0)</ns0:f>
        <ns0:v>1</ns0:v>
      </ns0:c>
      <ns0:c r="AE45" s="27">
        <ns0:f>IF(AND(AD45=1,AC45=0),1,0)</ns0:f>
        <ns0:v>1</ns0:v>
      </ns0:c>
      <ns0:c r="AF45" s="27">
        <ns0:f>IF(AND(G45=1,H45&lt;&gt;"Not specified"),1,0)</ns0:f>
        <ns0:v>1</ns0:v>
      </ns0:c>
      <ns0:c r="AG45" s="27">
        <ns0:f>IF(AND(AE45=1,AF45=1),1,0)</ns0:f>
        <ns0:v>1</ns0:v>
      </ns0:c>
      <ns0:c r="AH45" s="19" t="inlineStr">
        <ns0:is>
          <ns0:t>Supplied abstract/coding notes; no new full-text verification</ns0:t>
        </ns0:is>
      </ns0:c>
      <ns0:c r="AI45" s="19" t="inlineStr">
        <ns0:is>
          <ns0:t>https://doi.org/10.1016/j.ridd.2024.104688</ns0:t>
        </ns0:is>
      </ns0:c>
      <ns0:c r="AJ45" s="19" t="inlineStr">
        <ns0:is>
          <ns0:t>EVIDENCIA; original abstract/coding notes and lot source trace; Historical signals: title/abstract/notes; full-text completion not independently established</ns0:t>
        </ns0:is>
      </ns0:c>
      <ns0:c r="AK45" s="19" t="inlineStr">
        <ns0:is>
          <ns0:t>Prognostic analysis of 12-month intervention outcomes. Prospective patient follow-up is not evidence that AI selected or adapted the treatment.</ns0:t>
        </ns0:is>
      </ns0:c>
      <ns0:c r="AL45" s="19" t="inlineStr">
        <ns0:is>
          <ns0:t>Not applicable</ns0:t>
        </ns0:is>
      </ns0:c>
      <ns0:c r="AM45" s="19" t="inlineStr">
        <ns0:is>
          <ns0:t>Not separately specified</ns0:t>
        </ns0:is>
      </ns0:c>
      <ns0:c r="AN45" s="19" t="inlineStr"/>
      <ns0:c r="AO45" s="19" t="inlineStr">
        <ns0:is>
          <ns0:t>No additional status determination</ns0:t>
        </ns0:is>
      </ns0:c>
      <ns0:c r="AP45" s="19" t="inlineStr">
        <ns0:is>
          <ns0:t>Not documented for this recharting</ns0:t>
        </ns0:is>
      </ns0:c>
      <ns0:c r="AQ45" s="19" t="inlineStr">
        <ns0:is>
          <ns0:t>ChatGPT-assisted evidence recharting, 2026-09-08</ns0:t>
        </ns0:is>
      </ns0:c>
      <ns0:c r="AR45" s="19" t="inlineStr">
        <ns0:is>
          <ns0:t>RA</ns0:t>
        </ns0:is>
      </ns0:c>
      <ns0:c r="AS45" s="19" t="inlineStr">
        <ns0:is>
          <ns0:t>Not recorded; historical inclusion retained</ns0:t>
        </ns0:is>
      </ns0:c>
    </ns0:row>
    <ns0:row r="46" ht="50" customHeight="1">
      <ns0:c r="A46" s="21" t="inlineStr">
        <ns0:is>
          <ns0:t>43</ns0:t>
        </ns0:is>
      </ns0:c>
      <ns0:c r="B46" s="21" t="inlineStr">
        <ns0:is>
          <ns0:t>Historical</ns0:t>
        </ns0:is>
      </ns0:c>
      <ns0:c r="C46" s="21" t="inlineStr">
        <ns0:is>
          <ns0:t>The role of the dopamine system in autism spectrum disorder revealed using machine learning: an ABIDE database–based study</ns0:t>
        </ns0:is>
      </ns0:c>
      <ns0:c r="D46" s="21" t="inlineStr">
        <ns0:is>
          <ns0:t>10.1093/cercor/bhaf022</ns0:t>
        </ns0:is>
      </ns0:c>
      <ns0:c r="E46" s="28" t="n">
        <ns0:v>2025</ns0:v>
      </ns0:c>
      <ns0:c r="F46" s="21" t="inlineStr">
        <ns0:is>
          <ns0:t>Include</ns0:t>
        </ns0:is>
      </ns0:c>
      <ns0:c r="G46" s="29">
        <ns0:f>IF(F46="Include",1,0)</ns0:f>
        <ns0:v>1</ns0:v>
      </ns0:c>
      <ns0:c r="H46" s="21" t="inlineStr">
        <ns0:is>
          <ns0:t>Diagnosis</ns0:t>
        </ns0:is>
      </ns0:c>
      <ns0:c r="I46" s="21" t="inlineStr">
        <ns0:is>
          <ns0:t>Machine Learning</ns0:t>
        </ns0:is>
      </ns0:c>
      <ns0:c r="J46" s="21" t="inlineStr">
        <ns0:is>
          <ns0:t>Neuroimaging</ns0:t>
        </ns0:is>
      </ns0:c>
      <ns0:c r="K46" s="21" t="inlineStr">
        <ns0:is>
          <ns0:t>Classification and clustering; principal family unresolved</ns0:t>
        </ns0:is>
      </ns0:c>
      <ns0:c r="L46" s="21" t="inlineStr">
        <ns0:is>
          <ns0:t>Clustering</ns0:t>
        </ns0:is>
      </ns0:c>
      <ns0:c r="M46" s="21" t="inlineStr">
        <ns0:is>
          <ns0:t>Research only</ns0:t>
        </ns0:is>
      </ns0:c>
      <ns0:c r="N46" s="21" t="inlineStr">
        <ns0:is>
          <ns0:t>Automated measurement/classification</ns0:t>
        </ns0:is>
      </ns0:c>
      <ns0:c r="O46" s="21" t="inlineStr">
        <ns0:is>
          <ns0:t>Not observed in assessed sources</ns0:t>
        </ns0:is>
      </ns0:c>
      <ns0:c r="P46" s="21" t="inlineStr">
        <ns0:is>
          <ns0:t>Not observed in assessed sources</ns0:t>
        </ns0:is>
      </ns0:c>
      <ns0:c r="Q46" s="21" t="inlineStr">
        <ns0:is>
          <ns0:t>Not reported in assessed sources</ns0:t>
        </ns0:is>
      </ns0:c>
      <ns0:c r="R46" s="21" t="inlineStr">
        <ns0:is>
          <ns0:t>Not reported in assessed sources</ns0:t>
        </ns0:is>
      </ns0:c>
      <ns0:c r="S46" s="21" t="inlineStr">
        <ns0:is>
          <ns0:t>Not reported in assessed sources</ns0:t>
        </ns0:is>
      </ns0:c>
      <ns0:c r="T46" s="21" t="inlineStr">
        <ns0:is>
          <ns0:t>Not reported in assessed sources</ns0:t>
        </ns0:is>
      </ns0:c>
      <ns0:c r="U46" s="21" t="inlineStr">
        <ns0:is>
          <ns0:t>Not reported in assessed sources</ns0:t>
        </ns0:is>
      </ns0:c>
      <ns0:c r="V46" s="21" t="inlineStr">
        <ns0:is>
          <ns0:t>Reported</ns0:t>
        </ns0:is>
      </ns0:c>
      <ns0:c r="W46" s="21" t="inlineStr">
        <ns0:is>
          <ns0:t>Not reported in assessed sources</ns0:t>
        </ns0:is>
      </ns0:c>
      <ns0:c r="X46" s="21" t="inlineStr">
        <ns0:is>
          <ns0:t>Not reported in assessed sources</ns0:t>
        </ns0:is>
      </ns0:c>
      <ns0:c r="Y46" s="21" t="inlineStr">
        <ns0:is>
          <ns0:t>Not ascertainable</ns0:t>
        </ns0:is>
      </ns0:c>
      <ns0:c r="Z46" s="21" t="inlineStr">
        <ns0:is>
          <ns0:t>Not reported in assessed sources</ns0:t>
        </ns0:is>
      </ns0:c>
      <ns0:c r="AA46" s="21" t="inlineStr">
        <ns0:is>
          <ns0:t>Not recorded</ns0:t>
        </ns0:is>
      </ns0:c>
      <ns0:c r="AB46" s="28" t="n">
        <ns0:v>0</ns0:v>
      </ns0:c>
      <ns0:c r="AC46" s="28" t="n">
        <ns0:v>0</ns0:v>
      </ns0:c>
      <ns0:c r="AD46" s="29">
        <ns0:f>IF(AND(G46=1,AB46=0),1,0)</ns0:f>
        <ns0:v>1</ns0:v>
      </ns0:c>
      <ns0:c r="AE46" s="29">
        <ns0:f>IF(AND(AD46=1,AC46=0),1,0)</ns0:f>
        <ns0:v>1</ns0:v>
      </ns0:c>
      <ns0:c r="AF46" s="29">
        <ns0:f>IF(AND(G46=1,H46&lt;&gt;"Not specified"),1,0)</ns0:f>
        <ns0:v>1</ns0:v>
      </ns0:c>
      <ns0:c r="AG46" s="29">
        <ns0:f>IF(AND(AE46=1,AF46=1),1,0)</ns0:f>
        <ns0:v>1</ns0:v>
      </ns0:c>
      <ns0:c r="AH46" s="21" t="inlineStr">
        <ns0:is>
          <ns0:t>Supplied abstract/coding notes; no new full-text verification</ns0:t>
        </ns0:is>
      </ns0:c>
      <ns0:c r="AI46" s="21" t="inlineStr">
        <ns0:is>
          <ns0:t>https://doi.org/10.1093/cercor/bhaf022</ns0:t>
        </ns0:is>
      </ns0:c>
      <ns0:c r="AJ46" s="21" t="inlineStr">
        <ns0:is>
          <ns0:t>EVIDENCIA; original abstract/coding notes and lot source trace; Historical signals: title/abstract/notes; full-text completion not independently established</ns0:t>
        </ns0:is>
      </ns0:c>
      <ns0:c r="AK46" s="21" t="inlineStr">
        <ns0:is>
          <ns0:t>fMRI analysis of dopaminergic regions. Multiple brain regions and computational representations do not establish separate data modalities or deep learning.</ns0:t>
        </ns0:is>
      </ns0:c>
      <ns0:c r="AL46" s="21" t="inlineStr">
        <ns0:is>
          <ns0:t>Not applicable</ns0:t>
        </ns0:is>
      </ns0:c>
      <ns0:c r="AM46" s="21" t="inlineStr">
        <ns0:is>
          <ns0:t>Not separately specified</ns0:t>
        </ns0:is>
      </ns0:c>
      <ns0:c r="AN46" s="21" t="inlineStr"/>
      <ns0:c r="AO46" s="21" t="inlineStr">
        <ns0:is>
          <ns0:t>No additional status determination</ns0:t>
        </ns0:is>
      </ns0:c>
      <ns0:c r="AP46" s="21" t="inlineStr">
        <ns0:is>
          <ns0:t>Not documented for this recharting</ns0:t>
        </ns0:is>
      </ns0:c>
      <ns0:c r="AQ46" s="21" t="inlineStr">
        <ns0:is>
          <ns0:t>ChatGPT-assisted evidence recharting, 2026-09-08</ns0:t>
        </ns0:is>
      </ns0:c>
      <ns0:c r="AR46" s="21" t="inlineStr"/>
      <ns0:c r="AS46" s="21" t="inlineStr">
        <ns0:is>
          <ns0:t>Not recorded; historical inclusion retained</ns0:t>
        </ns0:is>
      </ns0:c>
    </ns0:row>
    <ns0:row r="47" ht="50" customHeight="1">
      <ns0:c r="A47" s="19" t="inlineStr">
        <ns0:is>
          <ns0:t>44</ns0:t>
        </ns0:is>
      </ns0:c>
      <ns0:c r="B47" s="19" t="inlineStr">
        <ns0:is>
          <ns0:t>Historical</ns0:t>
        </ns0:is>
      </ns0:c>
      <ns0:c r="C47" s="19" t="inlineStr">
        <ns0:is>
          <ns0:t>Using Artificial Intelligence to Identify Factors Associated with Autism Spectrum Disorder in Adolescents with Cerebral Palsy</ns0:t>
        </ns0:is>
      </ns0:c>
      <ns0:c r="D47" s="19" t="inlineStr">
        <ns0:is>
          <ns0:t>10.1055/s-0039-1685525</ns0:t>
        </ns0:is>
      </ns0:c>
      <ns0:c r="E47" s="26" t="n">
        <ns0:v>2019</ns0:v>
      </ns0:c>
      <ns0:c r="F47" s="19" t="inlineStr">
        <ns0:is>
          <ns0:t>Include</ns0:t>
        </ns0:is>
      </ns0:c>
      <ns0:c r="G47" s="27">
        <ns0:f>IF(F47="Include",1,0)</ns0:f>
        <ns0:v>1</ns0:v>
      </ns0:c>
      <ns0:c r="H47" s="19" t="inlineStr">
        <ns0:is>
          <ns0:t>Diagnosis</ns0:t>
        </ns0:is>
      </ns0:c>
      <ns0:c r="I47" s="19" t="inlineStr">
        <ns0:is>
          <ns0:t>Machine Learning</ns0:t>
        </ns0:is>
      </ns0:c>
      <ns0:c r="J47" s="19" t="inlineStr">
        <ns0:is>
          <ns0:t>Structured clinical/questionnaire data</ns0:t>
        </ns0:is>
      </ns0:c>
      <ns0:c r="K47" s="19" t="inlineStr">
        <ns0:is>
          <ns0:t>Logistic regression</ns0:t>
        </ns0:is>
      </ns0:c>
      <ns0:c r="L47" s="19" t="inlineStr">
        <ns0:is>
          <ns0:t>Logistic regression</ns0:t>
        </ns0:is>
      </ns0:c>
      <ns0:c r="M47" s="19" t="inlineStr">
        <ns0:is>
          <ns0:t>Research only</ns0:t>
        </ns0:is>
      </ns0:c>
      <ns0:c r="N47" s="19" t="inlineStr">
        <ns0:is>
          <ns0:t>Risk/trajectory estimation</ns0:t>
        </ns0:is>
      </ns0:c>
      <ns0:c r="O47" s="19" t="inlineStr">
        <ns0:is>
          <ns0:t>Not observed in assessed sources</ns0:t>
        </ns0:is>
      </ns0:c>
      <ns0:c r="P47" s="19" t="inlineStr">
        <ns0:is>
          <ns0:t>Not observed in assessed sources</ns0:t>
        </ns0:is>
      </ns0:c>
      <ns0:c r="Q47" s="19" t="inlineStr">
        <ns0:is>
          <ns0:t>Not reported in assessed sources</ns0:t>
        </ns0:is>
      </ns0:c>
      <ns0:c r="R47" s="19" t="inlineStr">
        <ns0:is>
          <ns0:t>Not reported in assessed sources</ns0:t>
        </ns0:is>
      </ns0:c>
      <ns0:c r="S47" s="19" t="inlineStr">
        <ns0:is>
          <ns0:t>Not reported in assessed sources</ns0:t>
        </ns0:is>
      </ns0:c>
      <ns0:c r="T47" s="19" t="inlineStr">
        <ns0:is>
          <ns0:t>Not reported in assessed sources</ns0:t>
        </ns0:is>
      </ns0:c>
      <ns0:c r="U47" s="19" t="inlineStr">
        <ns0:is>
          <ns0:t>Not reported in assessed sources</ns0:t>
        </ns0:is>
      </ns0:c>
      <ns0:c r="V47" s="19" t="inlineStr">
        <ns0:is>
          <ns0:t>Reported</ns0:t>
        </ns0:is>
      </ns0:c>
      <ns0:c r="W47" s="19" t="inlineStr">
        <ns0:is>
          <ns0:t>Not reported in assessed sources</ns0:t>
        </ns0:is>
      </ns0:c>
      <ns0:c r="X47" s="19" t="inlineStr">
        <ns0:is>
          <ns0:t>Not reported in assessed sources</ns0:t>
        </ns0:is>
      </ns0:c>
      <ns0:c r="Y47" s="19" t="inlineStr">
        <ns0:is>
          <ns0:t>Not ascertainable</ns0:t>
        </ns0:is>
      </ns0:c>
      <ns0:c r="Z47" s="19" t="inlineStr">
        <ns0:is>
          <ns0:t>Not reported in assessed sources</ns0:t>
        </ns0:is>
      </ns0:c>
      <ns0:c r="AA47" s="19" t="inlineStr">
        <ns0:is>
          <ns0:t>Not recorded</ns0:t>
        </ns0:is>
      </ns0:c>
      <ns0:c r="AB47" s="26" t="n">
        <ns0:v>0</ns0:v>
      </ns0:c>
      <ns0:c r="AC47" s="26" t="n">
        <ns0:v>0</ns0:v>
      </ns0:c>
      <ns0:c r="AD47" s="27">
        <ns0:f>IF(AND(G47=1,AB47=0),1,0)</ns0:f>
        <ns0:v>1</ns0:v>
      </ns0:c>
      <ns0:c r="AE47" s="27">
        <ns0:f>IF(AND(AD47=1,AC47=0),1,0)</ns0:f>
        <ns0:v>1</ns0:v>
      </ns0:c>
      <ns0:c r="AF47" s="27">
        <ns0:f>IF(AND(G47=1,H47&lt;&gt;"Not specified"),1,0)</ns0:f>
        <ns0:v>1</ns0:v>
      </ns0:c>
      <ns0:c r="AG47" s="27">
        <ns0:f>IF(AND(AE47=1,AF47=1),1,0)</ns0:f>
        <ns0:v>1</ns0:v>
      </ns0:c>
      <ns0:c r="AH47" s="19" t="inlineStr">
        <ns0:is>
          <ns0:t>Supplied abstract/coding notes; no new full-text verification</ns0:t>
        </ns0:is>
      </ns0:c>
      <ns0:c r="AI47" s="19" t="inlineStr">
        <ns0:is>
          <ns0:t>https://doi.org/10.1055/s-0039-1685525</ns0:t>
        </ns0:is>
      </ns0:c>
      <ns0:c r="AJ47" s="19" t="inlineStr">
        <ns0:is>
          <ns0:t>EVIDENCIA; original abstract/coding notes and lot source trace; Historical signals: title/abstract/notes; full-text completion not independently established</ns0:t>
        </ns0:is>
      </ns0:c>
      <ns0:c r="AK47" s="19" t="inlineStr">
        <ns0:is>
          <ns0:t>ASD co-occurrence is the model endpoint in adolescents with cerebral palsy; multicentre clinical variables, not a prospective risk forecast.</ns0:t>
        </ns0:is>
      </ns0:c>
      <ns0:c r="AL47" s="19" t="inlineStr">
        <ns0:is>
          <ns0:t>Not applicable</ns0:t>
        </ns0:is>
      </ns0:c>
      <ns0:c r="AM47" s="19" t="inlineStr">
        <ns0:is>
          <ns0:t>Not separately specified</ns0:t>
        </ns0:is>
      </ns0:c>
      <ns0:c r="AN47" s="19" t="inlineStr"/>
      <ns0:c r="AO47" s="19" t="inlineStr">
        <ns0:is>
          <ns0:t>No additional status determination</ns0:t>
        </ns0:is>
      </ns0:c>
      <ns0:c r="AP47" s="19" t="inlineStr">
        <ns0:is>
          <ns0:t>Not documented for this recharting</ns0:t>
        </ns0:is>
      </ns0:c>
      <ns0:c r="AQ47" s="19" t="inlineStr">
        <ns0:is>
          <ns0:t>ChatGPT-assisted evidence recharting, 2026-09-08</ns0:t>
        </ns0:is>
      </ns0:c>
      <ns0:c r="AR47" s="19" t="inlineStr">
        <ns0:is>
          <ns0:t>RA</ns0:t>
        </ns0:is>
      </ns0:c>
      <ns0:c r="AS47" s="19" t="inlineStr">
        <ns0:is>
          <ns0:t>Not recorded; historical inclusion retained</ns0:t>
        </ns0:is>
      </ns0:c>
    </ns0:row>
    <ns0:row r="48" ht="50" customHeight="1">
      <ns0:c r="A48" s="21" t="inlineStr">
        <ns0:is>
          <ns0:t>45</ns0:t>
        </ns0:is>
      </ns0:c>
      <ns0:c r="B48" s="21" t="inlineStr">
        <ns0:is>
          <ns0:t>Historical</ns0:t>
        </ns0:is>
      </ns0:c>
      <ns0:c r="C48" s="21" t="inlineStr">
        <ns0:is>
          <ns0:t>Using resting state functional MRI to build a personalized autism diagnosis system</ns0:t>
        </ns0:is>
      </ns0:c>
      <ns0:c r="D48" s="21" t="inlineStr">
        <ns0:is>
          <ns0:t>10.1371/journal.pone.0206351</ns0:t>
        </ns0:is>
      </ns0:c>
      <ns0:c r="E48" s="28" t="n">
        <ns0:v>2018</ns0:v>
      </ns0:c>
      <ns0:c r="F48" s="21" t="inlineStr">
        <ns0:is>
          <ns0:t>Include</ns0:t>
        </ns0:is>
      </ns0:c>
      <ns0:c r="G48" s="29">
        <ns0:f>IF(F48="Include",1,0)</ns0:f>
        <ns0:v>1</ns0:v>
      </ns0:c>
      <ns0:c r="H48" s="21" t="inlineStr">
        <ns0:is>
          <ns0:t>Diagnosis</ns0:t>
        </ns0:is>
      </ns0:c>
      <ns0:c r="I48" s="21" t="inlineStr">
        <ns0:is>
          <ns0:t>Hybrid</ns0:t>
        </ns0:is>
      </ns0:c>
      <ns0:c r="J48" s="21" t="inlineStr">
        <ns0:is>
          <ns0:t>Neuroimaging</ns0:t>
        </ns0:is>
      </ns0:c>
      <ns0:c r="K48" s="21" t="inlineStr">
        <ns0:is>
          <ns0:t>Stacked autoencoder with probabilistic SVM</ns0:t>
        </ns0:is>
      </ns0:c>
      <ns0:c r="L48" s="21" t="inlineStr">
        <ns0:is>
          <ns0:t>Composite/ensemble pipeline</ns0:t>
        </ns0:is>
      </ns0:c>
      <ns0:c r="M48" s="21" t="inlineStr">
        <ns0:is>
          <ns0:t>Proposed only</ns0:t>
        </ns0:is>
      </ns0:c>
      <ns0:c r="N48" s="21" t="inlineStr">
        <ns0:is>
          <ns0:t>Diagnostic decision support</ns0:t>
        </ns0:is>
      </ns0:c>
      <ns0:c r="O48" s="21" t="inlineStr">
        <ns0:is>
          <ns0:t>In-decision</ns0:t>
        </ns0:is>
      </ns0:c>
      <ns0:c r="P48" s="21" t="inlineStr">
        <ns0:is>
          <ns0:t>Not observed in assessed sources</ns0:t>
        </ns0:is>
      </ns0:c>
      <ns0:c r="Q48" s="21" t="inlineStr">
        <ns0:is>
          <ns0:t>Not reported in assessed sources</ns0:t>
        </ns0:is>
      </ns0:c>
      <ns0:c r="R48" s="21" t="inlineStr">
        <ns0:is>
          <ns0:t>Not reported in assessed sources</ns0:t>
        </ns0:is>
      </ns0:c>
      <ns0:c r="S48" s="21" t="inlineStr">
        <ns0:is>
          <ns0:t>Not reported in assessed sources</ns0:t>
        </ns0:is>
      </ns0:c>
      <ns0:c r="T48" s="21" t="inlineStr">
        <ns0:is>
          <ns0:t>Not reported in assessed sources</ns0:t>
        </ns0:is>
      </ns0:c>
      <ns0:c r="U48" s="21" t="inlineStr">
        <ns0:is>
          <ns0:t>Not reported in assessed sources</ns0:t>
        </ns0:is>
      </ns0:c>
      <ns0:c r="V48" s="21" t="inlineStr">
        <ns0:is>
          <ns0:t>Not reported in assessed sources</ns0:t>
        </ns0:is>
      </ns0:c>
      <ns0:c r="W48" s="21" t="inlineStr">
        <ns0:is>
          <ns0:t>Not reported in assessed sources</ns0:t>
        </ns0:is>
      </ns0:c>
      <ns0:c r="X48" s="21" t="inlineStr">
        <ns0:is>
          <ns0:t>Not reported in assessed sources</ns0:t>
        </ns0:is>
      </ns0:c>
      <ns0:c r="Y48" s="21" t="inlineStr">
        <ns0:is>
          <ns0:t>Not ascertainable</ns0:t>
        </ns0:is>
      </ns0:c>
      <ns0:c r="Z48" s="21" t="inlineStr">
        <ns0:is>
          <ns0:t>Not reported in assessed sources</ns0:t>
        </ns0:is>
      </ns0:c>
      <ns0:c r="AA48" s="21" t="inlineStr">
        <ns0:is>
          <ns0:t>Not recorded</ns0:t>
        </ns0:is>
      </ns0:c>
      <ns0:c r="AB48" s="28" t="n">
        <ns0:v>0</ns0:v>
      </ns0:c>
      <ns0:c r="AC48" s="28" t="n">
        <ns0:v>0</ns0:v>
      </ns0:c>
      <ns0:c r="AD48" s="29">
        <ns0:f>IF(AND(G48=1,AB48=0),1,0)</ns0:f>
        <ns0:v>1</ns0:v>
      </ns0:c>
      <ns0:c r="AE48" s="29">
        <ns0:f>IF(AND(AD48=1,AC48=0),1,0)</ns0:f>
        <ns0:v>1</ns0:v>
      </ns0:c>
      <ns0:c r="AF48" s="29">
        <ns0:f>IF(AND(G48=1,H48&lt;&gt;"Not specified"),1,0)</ns0:f>
        <ns0:v>1</ns0:v>
      </ns0:c>
      <ns0:c r="AG48" s="29">
        <ns0:f>IF(AND(AE48=1,AF48=1),1,0)</ns0:f>
        <ns0:v>1</ns0:v>
      </ns0:c>
      <ns0:c r="AH48" s="21" t="inlineStr">
        <ns0:is>
          <ns0:t>Supplied abstract/coding notes; no new full-text verification</ns0:t>
        </ns0:is>
      </ns0:c>
      <ns0:c r="AI48" s="21" t="inlineStr">
        <ns0:is>
          <ns0:t>https://doi.org/10.1371/journal.pone.0206351</ns0:t>
        </ns0:is>
      </ns0:c>
      <ns0:c r="AJ48" s="21" t="inlineStr">
        <ns0:is>
          <ns0:t>EVIDENCIA; original abstract/coding notes and lot source trace; Historical signals: title/abstract/notes; full-text completion not independently established</ns0:t>
        </ns0:is>
      </ns0:c>
      <ns0:c r="AK48" s="21" t="inlineStr">
        <ns0:is>
          <ns0:t>Actual ML-DL pipeline is stated; PSD features and autoencoder representations originate from the same resting-state fMRI. Personalized reports were proposed, not evaluated in clinician decisions.</ns0:t>
        </ns0:is>
      </ns0:c>
      <ns0:c r="AL48" s="21" t="inlineStr">
        <ns0:is>
          <ns0:t>Not applicable</ns0:t>
        </ns0:is>
      </ns0:c>
      <ns0:c r="AM48" s="21" t="inlineStr">
        <ns0:is>
          <ns0:t>Not separately specified</ns0:t>
        </ns0:is>
      </ns0:c>
      <ns0:c r="AN48" s="21" t="inlineStr"/>
      <ns0:c r="AO48" s="21" t="inlineStr">
        <ns0:is>
          <ns0:t>No additional status determination</ns0:t>
        </ns0:is>
      </ns0:c>
      <ns0:c r="AP48" s="21" t="inlineStr">
        <ns0:is>
          <ns0:t>Not documented for this recharting</ns0:t>
        </ns0:is>
      </ns0:c>
      <ns0:c r="AQ48" s="21" t="inlineStr">
        <ns0:is>
          <ns0:t>ChatGPT-assisted evidence recharting, 2026-09-08</ns0:t>
        </ns0:is>
      </ns0:c>
      <ns0:c r="AR48" s="21" t="inlineStr">
        <ns0:is>
          <ns0:t>RA</ns0:t>
        </ns0:is>
      </ns0:c>
      <ns0:c r="AS48" s="21" t="inlineStr">
        <ns0:is>
          <ns0:t>Not recorded; historical inclusion retained</ns0:t>
        </ns0:is>
      </ns0:c>
    </ns0:row>
    <ns0:row r="49" ht="50" customHeight="1">
      <ns0:c r="A49" s="19" t="inlineStr">
        <ns0:is>
          <ns0:t>46</ns0:t>
        </ns0:is>
      </ns0:c>
      <ns0:c r="B49" s="19" t="inlineStr">
        <ns0:is>
          <ns0:t>Historical</ns0:t>
        </ns0:is>
      </ns0:c>
      <ns0:c r="C49" s="19" t="inlineStr">
        <ns0:is>
          <ns0:t>A Model to Support the Prediction of Indicators in the Diagnosis and Intervention of Autism Spectrum Disorder</ns0:t>
        </ns0:is>
      </ns0:c>
      <ns0:c r="D49" s="19" t="inlineStr">
        <ns0:is>
          <ns0:t>10.1007/978-3-031-48642-5_7</ns0:t>
        </ns0:is>
      </ns0:c>
      <ns0:c r="E49" s="26" t="n">
        <ns0:v>2023</ns0:v>
      </ns0:c>
      <ns0:c r="F49" s="19" t="inlineStr">
        <ns0:is>
          <ns0:t>Include</ns0:t>
        </ns0:is>
      </ns0:c>
      <ns0:c r="G49" s="27">
        <ns0:f>IF(F49="Include",1,0)</ns0:f>
        <ns0:v>1</ns0:v>
      </ns0:c>
      <ns0:c r="H49" s="19" t="inlineStr">
        <ns0:is>
          <ns0:t>Monitoring/intervention</ns0:t>
        </ns0:is>
      </ns0:c>
      <ns0:c r="I49" s="19" t="inlineStr">
        <ns0:is>
          <ns0:t>Not specified</ns0:t>
        </ns0:is>
      </ns0:c>
      <ns0:c r="J49" s="19" t="inlineStr">
        <ns0:is>
          <ns0:t>Text/language</ns0:t>
        </ns0:is>
      </ns0:c>
      <ns0:c r="K49" s="19" t="inlineStr">
        <ns0:is>
          <ns0:t>Transformer or ChatGPT proposed; implemented architecture unresolved</ns0:t>
        </ns0:is>
      </ns0:c>
      <ns0:c r="L49" s="19" t="inlineStr">
        <ns0:is>
          <ns0:t>Transformer</ns0:t>
        </ns0:is>
      </ns0:c>
      <ns0:c r="M49" s="19" t="inlineStr">
        <ns0:is>
          <ns0:t>Proposed only</ns0:t>
        </ns0:is>
      </ns0:c>
      <ns0:c r="N49" s="19" t="inlineStr">
        <ns0:is>
          <ns0:t>Adaptive intervention</ns0:t>
        </ns0:is>
      </ns0:c>
      <ns0:c r="O49" s="19" t="inlineStr">
        <ns0:is>
          <ns0:t>Post-decision</ns0:t>
        </ns0:is>
      </ns0:c>
      <ns0:c r="P49" s="19" t="inlineStr">
        <ns0:is>
          <ns0:t>Not observed in assessed sources</ns0:t>
        </ns0:is>
      </ns0:c>
      <ns0:c r="Q49" s="19" t="inlineStr">
        <ns0:is>
          <ns0:t>Not reported in assessed sources</ns0:t>
        </ns0:is>
      </ns0:c>
      <ns0:c r="R49" s="19" t="inlineStr">
        <ns0:is>
          <ns0:t>Not ascertainable</ns0:t>
        </ns0:is>
      </ns0:c>
      <ns0:c r="S49" s="19" t="inlineStr">
        <ns0:is>
          <ns0:t>Not reported in assessed sources</ns0:t>
        </ns0:is>
      </ns0:c>
      <ns0:c r="T49" s="19" t="inlineStr">
        <ns0:is>
          <ns0:t>Not reported in assessed sources</ns0:t>
        </ns0:is>
      </ns0:c>
      <ns0:c r="U49" s="19" t="inlineStr">
        <ns0:is>
          <ns0:t>Not reported in assessed sources</ns0:t>
        </ns0:is>
      </ns0:c>
      <ns0:c r="V49" s="19" t="inlineStr">
        <ns0:is>
          <ns0:t>Not reported in assessed sources</ns0:t>
        </ns0:is>
      </ns0:c>
      <ns0:c r="W49" s="19" t="inlineStr">
        <ns0:is>
          <ns0:t>Reported</ns0:t>
        </ns0:is>
      </ns0:c>
      <ns0:c r="X49" s="19" t="inlineStr">
        <ns0:is>
          <ns0:t>Not reported in assessed sources</ns0:t>
        </ns0:is>
      </ns0:c>
      <ns0:c r="Y49" s="19" t="inlineStr">
        <ns0:is>
          <ns0:t>Not ascertainable</ns0:t>
        </ns0:is>
      </ns0:c>
      <ns0:c r="Z49" s="19" t="inlineStr">
        <ns0:is>
          <ns0:t>Not reported in assessed sources</ns0:t>
        </ns0:is>
      </ns0:c>
      <ns0:c r="AA49" s="19" t="inlineStr">
        <ns0:is>
          <ns0:t>Not recorded</ns0:t>
        </ns0:is>
      </ns0:c>
      <ns0:c r="AB49" s="26" t="n">
        <ns0:v>0</ns0:v>
      </ns0:c>
      <ns0:c r="AC49" s="26" t="n">
        <ns0:v>0</ns0:v>
      </ns0:c>
      <ns0:c r="AD49" s="27">
        <ns0:f>IF(AND(G49=1,AB49=0),1,0)</ns0:f>
        <ns0:v>1</ns0:v>
      </ns0:c>
      <ns0:c r="AE49" s="27">
        <ns0:f>IF(AND(AD49=1,AC49=0),1,0)</ns0:f>
        <ns0:v>1</ns0:v>
      </ns0:c>
      <ns0:c r="AF49" s="27">
        <ns0:f>IF(AND(G49=1,H49&lt;&gt;"Not specified"),1,0)</ns0:f>
        <ns0:v>1</ns0:v>
      </ns0:c>
      <ns0:c r="AG49" s="27">
        <ns0:f>IF(AND(AE49=1,AF49=1),1,0)</ns0:f>
        <ns0:v>1</ns0:v>
      </ns0:c>
      <ns0:c r="AH49" s="19" t="inlineStr">
        <ns0:is>
          <ns0:t>Supplied abstract/coding notes; no new full-text verification</ns0:t>
        </ns0:is>
      </ns0:c>
      <ns0:c r="AI49" s="19" t="inlineStr">
        <ns0:is>
          <ns0:t>https://doi.org/10.1007/978-3-031-48642-5_7</ns0:t>
        </ns0:is>
      </ns0:c>
      <ns0:c r="AJ49" s="19" t="inlineStr">
        <ns0:is>
          <ns0:t>EVIDENCIA; original abstract/coding notes and lot source trace; Historical signals: title/abstract/notes; full-text completion not independently established</ns0:t>
        </ns0:is>
      </ns0:c>
      <ns0:c r="AK49" s="19" t="inlineStr">
        <ns0:is>
          <ns0:t>Ongoing NLP project uses conversations or writing to inform intervention indicators. Proposed architecture is not sufficient to assert an implemented deep-learning family or a clinical intervention deployment.</ns0:t>
        </ns0:is>
      </ns0:c>
      <ns0:c r="AL49" s="19" t="inlineStr">
        <ns0:is>
          <ns0:t>Not applicable</ns0:t>
        </ns0:is>
      </ns0:c>
      <ns0:c r="AM49" s="19" t="inlineStr">
        <ns0:is>
          <ns0:t>Not separately specified</ns0:t>
        </ns0:is>
      </ns0:c>
      <ns0:c r="AN49" s="19" t="inlineStr"/>
      <ns0:c r="AO49" s="19" t="inlineStr">
        <ns0:is>
          <ns0:t>No additional status determination</ns0:t>
        </ns0:is>
      </ns0:c>
      <ns0:c r="AP49" s="19" t="inlineStr">
        <ns0:is>
          <ns0:t>Not documented for this recharting</ns0:t>
        </ns0:is>
      </ns0:c>
      <ns0:c r="AQ49" s="19" t="inlineStr">
        <ns0:is>
          <ns0:t>ChatGPT-assisted evidence recharting, 2026-09-08</ns0:t>
        </ns0:is>
      </ns0:c>
      <ns0:c r="AR49" s="19" t="inlineStr">
        <ns0:is>
          <ns0:t>RA</ns0:t>
        </ns0:is>
      </ns0:c>
      <ns0:c r="AS49" s="19" t="inlineStr">
        <ns0:is>
          <ns0:t>Not recorded; historical inclusion retained</ns0:t>
        </ns0:is>
      </ns0:c>
    </ns0:row>
    <ns0:row r="50" ht="50" customHeight="1">
      <ns0:c r="A50" s="21" t="inlineStr">
        <ns0:is>
          <ns0:t>47</ns0:t>
        </ns0:is>
      </ns0:c>
      <ns0:c r="B50" s="21" t="inlineStr">
        <ns0:is>
          <ns0:t>Historical</ns0:t>
        </ns0:is>
      </ns0:c>
      <ns0:c r="C50" s="21" t="inlineStr">
        <ns0:is>
          <ns0:t>A novel multi-modal model to assist the diagnosis of autism spectrum disorder using eye-tracking data</ns0:t>
        </ns0:is>
      </ns0:c>
      <ns0:c r="D50" s="21" t="inlineStr">
        <ns0:is>
          <ns0:t>10.1007/s13755-024-00299-2</ns0:t>
        </ns0:is>
      </ns0:c>
      <ns0:c r="E50" s="28" t="n">
        <ns0:v>2024</ns0:v>
      </ns0:c>
      <ns0:c r="F50" s="21" t="inlineStr">
        <ns0:is>
          <ns0:t>Include</ns0:t>
        </ns0:is>
      </ns0:c>
      <ns0:c r="G50" s="29">
        <ns0:f>IF(F50="Include",1,0)</ns0:f>
        <ns0:v>1</ns0:v>
      </ns0:c>
      <ns0:c r="H50" s="21" t="inlineStr">
        <ns0:is>
          <ns0:t>Diagnosis</ns0:t>
        </ns0:is>
      </ns0:c>
      <ns0:c r="I50" s="21" t="inlineStr">
        <ns0:is>
          <ns0:t>Deep Learning</ns0:t>
        </ns0:is>
      </ns0:c>
      <ns0:c r="J50" s="21" t="inlineStr">
        <ns0:is>
          <ns0:t>Behavioral images/video/gaze/movement</ns0:t>
        </ns0:is>
      </ns0:c>
      <ns0:c r="K50" s="21" t="inlineStr">
        <ns0:is>
          <ns0:t>CNN-GRU-ANN</ns0:t>
        </ns0:is>
      </ns0:c>
      <ns0:c r="L50" s="21" t="inlineStr">
        <ns0:is>
          <ns0:t>Composite/ensemble pipeline</ns0:t>
        </ns0:is>
      </ns0:c>
      <ns0:c r="M50" s="21" t="inlineStr">
        <ns0:is>
          <ns0:t>Research only</ns0:t>
        </ns0:is>
      </ns0:c>
      <ns0:c r="N50" s="21" t="inlineStr">
        <ns0:is>
          <ns0:t>Automated measurement/classification</ns0:t>
        </ns0:is>
      </ns0:c>
      <ns0:c r="O50" s="21" t="inlineStr">
        <ns0:is>
          <ns0:t>Not observed in assessed sources</ns0:t>
        </ns0:is>
      </ns0:c>
      <ns0:c r="P50" s="21" t="inlineStr">
        <ns0:is>
          <ns0:t>Not observed in assessed sources</ns0:t>
        </ns0:is>
      </ns0:c>
      <ns0:c r="Q50" s="21" t="inlineStr">
        <ns0:is>
          <ns0:t>Not reported in assessed sources</ns0:t>
        </ns0:is>
      </ns0:c>
      <ns0:c r="R50" s="21" t="inlineStr">
        <ns0:is>
          <ns0:t>Not reported in assessed sources</ns0:t>
        </ns0:is>
      </ns0:c>
      <ns0:c r="S50" s="21" t="inlineStr">
        <ns0:is>
          <ns0:t>Not reported in assessed sources</ns0:t>
        </ns0:is>
      </ns0:c>
      <ns0:c r="T50" s="21" t="inlineStr">
        <ns0:is>
          <ns0:t>Not reported in assessed sources</ns0:t>
        </ns0:is>
      </ns0:c>
      <ns0:c r="U50" s="21" t="inlineStr">
        <ns0:is>
          <ns0:t>Not reported in assessed sources</ns0:t>
        </ns0:is>
      </ns0:c>
      <ns0:c r="V50" s="21" t="inlineStr">
        <ns0:is>
          <ns0:t>Not reported in assessed sources</ns0:t>
        </ns0:is>
      </ns0:c>
      <ns0:c r="W50" s="21" t="inlineStr">
        <ns0:is>
          <ns0:t>Not reported in assessed sources</ns0:t>
        </ns0:is>
      </ns0:c>
      <ns0:c r="X50" s="21" t="inlineStr">
        <ns0:is>
          <ns0:t>Not reported in assessed sources</ns0:t>
        </ns0:is>
      </ns0:c>
      <ns0:c r="Y50" s="21" t="inlineStr">
        <ns0:is>
          <ns0:t>Not ascertainable</ns0:t>
        </ns0:is>
      </ns0:c>
      <ns0:c r="Z50" s="21" t="inlineStr">
        <ns0:is>
          <ns0:t>Not reported in assessed sources</ns0:t>
        </ns0:is>
      </ns0:c>
      <ns0:c r="AA50" s="21" t="inlineStr">
        <ns0:is>
          <ns0:t>Not recorded</ns0:t>
        </ns0:is>
      </ns0:c>
      <ns0:c r="AB50" s="28" t="n">
        <ns0:v>0</ns0:v>
      </ns0:c>
      <ns0:c r="AC50" s="28" t="n">
        <ns0:v>0</ns0:v>
      </ns0:c>
      <ns0:c r="AD50" s="29">
        <ns0:f>IF(AND(G50=1,AB50=0),1,0)</ns0:f>
        <ns0:v>1</ns0:v>
      </ns0:c>
      <ns0:c r="AE50" s="29">
        <ns0:f>IF(AND(AD50=1,AC50=0),1,0)</ns0:f>
        <ns0:v>1</ns0:v>
      </ns0:c>
      <ns0:c r="AF50" s="29">
        <ns0:f>IF(AND(G50=1,H50&lt;&gt;"Not specified"),1,0)</ns0:f>
        <ns0:v>1</ns0:v>
      </ns0:c>
      <ns0:c r="AG50" s="29">
        <ns0:f>IF(AND(AE50=1,AF50=1),1,0)</ns0:f>
        <ns0:v>1</ns0:v>
      </ns0:c>
      <ns0:c r="AH50" s="21" t="inlineStr">
        <ns0:is>
          <ns0:t>Supplied abstract/coding notes; no new full-text verification</ns0:t>
        </ns0:is>
      </ns0:c>
      <ns0:c r="AI50" s="21" t="inlineStr">
        <ns0:is>
          <ns0:t>https://doi.org/10.1007/s13755-024-00299-2</ns0:t>
        </ns0:is>
      </ns0:c>
      <ns0:c r="AJ50" s="21" t="inlineStr">
        <ns0:is>
          <ns0:t>EVIDENCIA; original abstract/coding notes and lot source trace; Historical signals: title/abstract/notes; full-text completion not independently established</ns0:t>
        </ns0:is>
      </ns0:c>
      <ns0:c r="AK50" s="21" t="inlineStr">
        <ns0:is>
          <ns0:t>Scanpaths, distances and fixation durations derive from eye tracking; multiple representations do not by themselves establish multisource integration. All named components are neural, not an ML-DL hybrid.</ns0:t>
        </ns0:is>
      </ns0:c>
      <ns0:c r="AL50" s="21" t="inlineStr">
        <ns0:is>
          <ns0:t>Not applicable</ns0:t>
        </ns0:is>
      </ns0:c>
      <ns0:c r="AM50" s="21" t="inlineStr">
        <ns0:is>
          <ns0:t>Not separately specified</ns0:t>
        </ns0:is>
      </ns0:c>
      <ns0:c r="AN50" s="21" t="inlineStr"/>
      <ns0:c r="AO50" s="21" t="inlineStr">
        <ns0:is>
          <ns0:t>No additional status determination</ns0:t>
        </ns0:is>
      </ns0:c>
      <ns0:c r="AP50" s="21" t="inlineStr">
        <ns0:is>
          <ns0:t>Not documented for this recharting</ns0:t>
        </ns0:is>
      </ns0:c>
      <ns0:c r="AQ50" s="21" t="inlineStr">
        <ns0:is>
          <ns0:t>ChatGPT-assisted evidence recharting, 2026-09-08</ns0:t>
        </ns0:is>
      </ns0:c>
      <ns0:c r="AR50" s="21" t="inlineStr"/>
      <ns0:c r="AS50" s="21" t="inlineStr">
        <ns0:is>
          <ns0:t>Not recorded; historical inclusion retained</ns0:t>
        </ns0:is>
      </ns0:c>
    </ns0:row>
    <ns0:row r="51" ht="50" customHeight="1">
      <ns0:c r="A51" s="19" t="inlineStr">
        <ns0:is>
          <ns0:t>48</ns0:t>
        </ns0:is>
      </ns0:c>
      <ns0:c r="B51" s="19" t="inlineStr">
        <ns0:is>
          <ns0:t>Historical</ns0:t>
        </ns0:is>
      </ns0:c>
      <ns0:c r="C51" s="19" t="inlineStr">
        <ns0:is>
          <ns0:t>A randomized controlled trial of 25 sessions comparing music therapy and music listening for children with autism spectrum disorder</ns0:t>
        </ns0:is>
      </ns0:c>
      <ns0:c r="D51" s="19" t="inlineStr">
        <ns0:is>
          <ns0:t>10.1016/j.psychres.2020.113377</ns0:t>
        </ns0:is>
      </ns0:c>
      <ns0:c r="E51" s="26" t="n">
        <ns0:v>2020</ns0:v>
      </ns0:c>
      <ns0:c r="F51" s="30" t="inlineStr">
        <ns0:is>
          <ns0:t>Exclude</ns0:t>
        </ns0:is>
      </ns0:c>
      <ns0:c r="G51" s="27">
        <ns0:f>IF(F51="Include",1,0)</ns0:f>
        <ns0:v>0</ns0:v>
      </ns0:c>
      <ns0:c r="H51" s="19" t="inlineStr">
        <ns0:is>
          <ns0:t>Excluded</ns0:t>
        </ns0:is>
      </ns0:c>
      <ns0:c r="I51" s="19" t="inlineStr">
        <ns0:is>
          <ns0:t>Excluded</ns0:t>
        </ns0:is>
      </ns0:c>
      <ns0:c r="J51" s="19" t="inlineStr">
        <ns0:is>
          <ns0:t>Excluded</ns0:t>
        </ns0:is>
      </ns0:c>
      <ns0:c r="K51" s="19" t="inlineStr">
        <ns0:is>
          <ns0:t>Other / Not clear</ns0:t>
        </ns0:is>
      </ns0:c>
      <ns0:c r="L51" s="19" t="inlineStr">
        <ns0:is>
          <ns0:t>Other specified method</ns0:t>
        </ns0:is>
      </ns0:c>
      <ns0:c r="M51" s="19" t="inlineStr">
        <ns0:is>
          <ns0:t>Excluded</ns0:t>
        </ns0:is>
      </ns0:c>
      <ns0:c r="N51" s="19" t="inlineStr">
        <ns0:is>
          <ns0:t>Excluded</ns0:t>
        </ns0:is>
      </ns0:c>
      <ns0:c r="O51" s="19" t="inlineStr">
        <ns0:is>
          <ns0:t>Not applicable - excluded</ns0:t>
        </ns0:is>
      </ns0:c>
      <ns0:c r="P51" s="19" t="inlineStr">
        <ns0:is>
          <ns0:t>Not applicable - excluded</ns0:t>
        </ns0:is>
      </ns0:c>
      <ns0:c r="Q51" s="19" t="inlineStr">
        <ns0:is>
          <ns0:t>Not reported in assessed sources</ns0:t>
        </ns0:is>
      </ns0:c>
      <ns0:c r="R51" s="19" t="inlineStr">
        <ns0:is>
          <ns0:t>Not reported in assessed sources</ns0:t>
        </ns0:is>
      </ns0:c>
      <ns0:c r="S51" s="19" t="inlineStr">
        <ns0:is>
          <ns0:t>Not reported in assessed sources</ns0:t>
        </ns0:is>
      </ns0:c>
      <ns0:c r="T51" s="19" t="inlineStr">
        <ns0:is>
          <ns0:t>Not reported in assessed sources</ns0:t>
        </ns0:is>
      </ns0:c>
      <ns0:c r="U51" s="19" t="inlineStr">
        <ns0:is>
          <ns0:t>Not reported in assessed sources</ns0:t>
        </ns0:is>
      </ns0:c>
      <ns0:c r="V51" s="19" t="inlineStr">
        <ns0:is>
          <ns0:t>Not reported in assessed sources</ns0:t>
        </ns0:is>
      </ns0:c>
      <ns0:c r="W51" s="19" t="inlineStr">
        <ns0:is>
          <ns0:t>Not reported in assessed sources</ns0:t>
        </ns0:is>
      </ns0:c>
      <ns0:c r="X51" s="19" t="inlineStr">
        <ns0:is>
          <ns0:t>Not reported in assessed sources</ns0:t>
        </ns0:is>
      </ns0:c>
      <ns0:c r="Y51" s="19" t="inlineStr">
        <ns0:is>
          <ns0:t>Not ascertainable</ns0:t>
        </ns0:is>
      </ns0:c>
      <ns0:c r="Z51" s="19" t="inlineStr">
        <ns0:is>
          <ns0:t>Not reported in assessed sources</ns0:t>
        </ns0:is>
      </ns0:c>
      <ns0:c r="AA51" s="19" t="inlineStr">
        <ns0:is>
          <ns0:t>Not recorded</ns0:t>
        </ns0:is>
      </ns0:c>
      <ns0:c r="AB51" s="26" t="n">
        <ns0:v>0</ns0:v>
      </ns0:c>
      <ns0:c r="AC51" s="26" t="n">
        <ns0:v>0</ns0:v>
      </ns0:c>
      <ns0:c r="AD51" s="27">
        <ns0:f>IF(AND(G51=1,AB51=0),1,0)</ns0:f>
        <ns0:v>0</ns0:v>
      </ns0:c>
      <ns0:c r="AE51" s="27">
        <ns0:f>IF(AND(AD51=1,AC51=0),1,0)</ns0:f>
        <ns0:v>0</ns0:v>
      </ns0:c>
      <ns0:c r="AF51" s="27">
        <ns0:f>IF(AND(G51=1,H51&lt;&gt;"Not specified"),1,0)</ns0:f>
        <ns0:v>0</ns0:v>
      </ns0:c>
      <ns0:c r="AG51" s="27">
        <ns0:f>IF(AND(AE51=1,AF51=1),1,0)</ns0:f>
        <ns0:v>0</ns0:v>
      </ns0:c>
      <ns0:c r="AH51" s="19" t="inlineStr">
        <ns0:is>
          <ns0:t>Primary-source full text (targeted sections)</ns0:t>
        </ns0:is>
      </ns0:c>
      <ns0:c r="AI51" s="19" t="inlineStr">
        <ns0:is>
          <ns0:t>https://extradoc.univ-nantes.fr/pluginfile.php/412199/mod_folder/content/0/article%20Bonnot-Vrait-Carasco-Rabeyron....pdf</ns0:t>
        </ns0:is>
      </ns0:c>
      <ns0:c r="AJ51" s="19" t="inlineStr">
        <ns0:is>
          <ns0:t>Abstract and Methods, pp. 1-3</ns0:t>
        </ns0:is>
      </ns0:c>
      <ns0:c r="AK51" s="19" t="inlineStr">
        <ns0:is>
          <ns0:t>Verified original music-therapy RCT uses ML as music listening, not machine learning. The stored eye-tracking abstract belongs to a different report and is quarantined.</ns0:t>
        </ns0:is>
      </ns0:c>
      <ns0:c r="AL51" s="19" t="inlineStr">
        <ns0:is>
          <ns0:t>EC3 No qualifying AI evaluation</ns0:t>
        </ns0:is>
      </ns0:c>
      <ns0:c r="AM51" s="19" t="inlineStr">
        <ns0:is>
          <ns0:t>Not separately specified</ns0:t>
        </ns0:is>
      </ns0:c>
      <ns0:c r="AN51" s="19" t="inlineStr"/>
      <ns0:c r="AO51" s="19" t="inlineStr">
        <ns0:is>
          <ns0:t>No additional status determination</ns0:t>
        </ns0:is>
      </ns0:c>
      <ns0:c r="AP51" s="19" t="inlineStr">
        <ns0:is>
          <ns0:t>Not documented for this recharting</ns0:t>
        </ns0:is>
      </ns0:c>
      <ns0:c r="AQ51" s="19" t="inlineStr">
        <ns0:is>
          <ns0:t>ChatGPT-assisted evidence recharting, 2026-09-08</ns0:t>
        </ns0:is>
      </ns0:c>
      <ns0:c r="AR51" s="19" t="inlineStr">
        <ns0:is>
          <ns0:t>RA</ns0:t>
        </ns0:is>
      </ns0:c>
      <ns0:c r="AS51" s="19" t="inlineStr">
        <ns0:is>
          <ns0:t>Not recorded; historical inclusion retained</ns0:t>
        </ns0:is>
      </ns0:c>
    </ns0:row>
    <ns0:row r="52" ht="50" customHeight="1">
      <ns0:c r="A52" s="21" t="inlineStr">
        <ns0:is>
          <ns0:t>49</ns0:t>
        </ns0:is>
      </ns0:c>
      <ns0:c r="B52" s="21" t="inlineStr">
        <ns0:is>
          <ns0:t>Historical</ns0:t>
        </ns0:is>
      </ns0:c>
      <ns0:c r="C52" s="21" t="inlineStr">
        <ns0:is>
          <ns0:t>A Triple-Pooling Graph Neural Network for\&amp;#xa0;Multi-scale Topological Learning of\&amp;#xa0;Brain Functional Connectivity: Application to\&amp;#xa0;ASD Diagnosis</ns0:t>
        </ns0:is>
      </ns0:c>
      <ns0:c r="D52" s="21" t="inlineStr">
        <ns0:is>
          <ns0:t>10.1007/978-3-030-93049-3_30</ns0:t>
        </ns0:is>
      </ns0:c>
      <ns0:c r="E52" s="28" t="n">
        <ns0:v>2021</ns0:v>
      </ns0:c>
      <ns0:c r="F52" s="21" t="inlineStr">
        <ns0:is>
          <ns0:t>Include</ns0:t>
        </ns0:is>
      </ns0:c>
      <ns0:c r="G52" s="29">
        <ns0:f>IF(F52="Include",1,0)</ns0:f>
        <ns0:v>1</ns0:v>
      </ns0:c>
      <ns0:c r="H52" s="21" t="inlineStr">
        <ns0:is>
          <ns0:t>Diagnosis</ns0:t>
        </ns0:is>
      </ns0:c>
      <ns0:c r="I52" s="21" t="inlineStr">
        <ns0:is>
          <ns0:t>Deep Learning</ns0:t>
        </ns0:is>
      </ns0:c>
      <ns0:c r="J52" s="21" t="inlineStr">
        <ns0:is>
          <ns0:t>Neuroimaging</ns0:t>
        </ns0:is>
      </ns0:c>
      <ns0:c r="K52" s="21" t="inlineStr">
        <ns0:is>
          <ns0:t>Triple-pooling graph neural network</ns0:t>
        </ns0:is>
      </ns0:c>
      <ns0:c r="L52" s="21" t="inlineStr">
        <ns0:is>
          <ns0:t>GNN</ns0:t>
        </ns0:is>
      </ns0:c>
      <ns0:c r="M52" s="21" t="inlineStr">
        <ns0:is>
          <ns0:t>Research only</ns0:t>
        </ns0:is>
      </ns0:c>
      <ns0:c r="N52" s="21" t="inlineStr">
        <ns0:is>
          <ns0:t>Automated measurement/classification</ns0:t>
        </ns0:is>
      </ns0:c>
      <ns0:c r="O52" s="21" t="inlineStr">
        <ns0:is>
          <ns0:t>Not observed in assessed sources</ns0:t>
        </ns0:is>
      </ns0:c>
      <ns0:c r="P52" s="21" t="inlineStr">
        <ns0:is>
          <ns0:t>Not observed in assessed sources</ns0:t>
        </ns0:is>
      </ns0:c>
      <ns0:c r="Q52" s="21" t="inlineStr">
        <ns0:is>
          <ns0:t>Not reported in assessed sources</ns0:t>
        </ns0:is>
      </ns0:c>
      <ns0:c r="R52" s="21" t="inlineStr">
        <ns0:is>
          <ns0:t>Not reported in assessed sources</ns0:t>
        </ns0:is>
      </ns0:c>
      <ns0:c r="S52" s="21" t="inlineStr">
        <ns0:is>
          <ns0:t>Not reported in assessed sources</ns0:t>
        </ns0:is>
      </ns0:c>
      <ns0:c r="T52" s="21" t="inlineStr">
        <ns0:is>
          <ns0:t>Not reported in assessed sources</ns0:t>
        </ns0:is>
      </ns0:c>
      <ns0:c r="U52" s="21" t="inlineStr">
        <ns0:is>
          <ns0:t>Not reported in assessed sources</ns0:t>
        </ns0:is>
      </ns0:c>
      <ns0:c r="V52" s="21" t="inlineStr">
        <ns0:is>
          <ns0:t>Not reported in assessed sources</ns0:t>
        </ns0:is>
      </ns0:c>
      <ns0:c r="W52" s="21" t="inlineStr">
        <ns0:is>
          <ns0:t>Not reported in assessed sources</ns0:t>
        </ns0:is>
      </ns0:c>
      <ns0:c r="X52" s="21" t="inlineStr">
        <ns0:is>
          <ns0:t>Not reported in assessed sources</ns0:t>
        </ns0:is>
      </ns0:c>
      <ns0:c r="Y52" s="21" t="inlineStr">
        <ns0:is>
          <ns0:t>Not ascertainable</ns0:t>
        </ns0:is>
      </ns0:c>
      <ns0:c r="Z52" s="21" t="inlineStr">
        <ns0:is>
          <ns0:t>Not reported in assessed sources</ns0:t>
        </ns0:is>
      </ns0:c>
      <ns0:c r="AA52" s="21" t="inlineStr">
        <ns0:is>
          <ns0:t>Not recorded</ns0:t>
        </ns0:is>
      </ns0:c>
      <ns0:c r="AB52" s="28" t="n">
        <ns0:v>0</ns0:v>
      </ns0:c>
      <ns0:c r="AC52" s="28" t="n">
        <ns0:v>0</ns0:v>
      </ns0:c>
      <ns0:c r="AD52" s="29">
        <ns0:f>IF(AND(G52=1,AB52=0),1,0)</ns0:f>
        <ns0:v>1</ns0:v>
      </ns0:c>
      <ns0:c r="AE52" s="29">
        <ns0:f>IF(AND(AD52=1,AC52=0),1,0)</ns0:f>
        <ns0:v>1</ns0:v>
      </ns0:c>
      <ns0:c r="AF52" s="29">
        <ns0:f>IF(AND(G52=1,H52&lt;&gt;"Not specified"),1,0)</ns0:f>
        <ns0:v>1</ns0:v>
      </ns0:c>
      <ns0:c r="AG52" s="29">
        <ns0:f>IF(AND(AE52=1,AF52=1),1,0)</ns0:f>
        <ns0:v>1</ns0:v>
      </ns0:c>
      <ns0:c r="AH52" s="21" t="inlineStr">
        <ns0:is>
          <ns0:t>Supplied abstract/coding notes; no new full-text verification</ns0:t>
        </ns0:is>
      </ns0:c>
      <ns0:c r="AI52" s="21" t="inlineStr">
        <ns0:is>
          <ns0:t>https://doi.org/10.1007/978-3-030-93049-3_30</ns0:t>
        </ns0:is>
      </ns0:c>
      <ns0:c r="AJ52" s="21" t="inlineStr">
        <ns0:is>
          <ns0:t>EVIDENCIA; original abstract/coding notes and lot source trace; Historical signals: title/abstract/notes; full-text completion not independently established</ns0:t>
        </ns0:is>
      </ns0:c>
      <ns0:c r="AK52" s="21" t="inlineStr">
        <ns0:is>
          <ns0:t>Functional brain-connectivity graphs are derived from resting-state fMRI; graph neural network is retained as its own family rather than Other or conventional CNN.</ns0:t>
        </ns0:is>
      </ns0:c>
      <ns0:c r="AL52" s="21" t="inlineStr">
        <ns0:is>
          <ns0:t>Not applicable</ns0:t>
        </ns0:is>
      </ns0:c>
      <ns0:c r="AM52" s="21" t="inlineStr">
        <ns0:is>
          <ns0:t>Not separately specified</ns0:t>
        </ns0:is>
      </ns0:c>
      <ns0:c r="AN52" s="21" t="inlineStr"/>
      <ns0:c r="AO52" s="21" t="inlineStr">
        <ns0:is>
          <ns0:t>No additional status determination</ns0:t>
        </ns0:is>
      </ns0:c>
      <ns0:c r="AP52" s="21" t="inlineStr">
        <ns0:is>
          <ns0:t>Not documented for this recharting</ns0:t>
        </ns0:is>
      </ns0:c>
      <ns0:c r="AQ52" s="21" t="inlineStr">
        <ns0:is>
          <ns0:t>ChatGPT-assisted evidence recharting, 2026-09-08</ns0:t>
        </ns0:is>
      </ns0:c>
      <ns0:c r="AR52" s="21" t="inlineStr"/>
      <ns0:c r="AS52" s="21" t="inlineStr">
        <ns0:is>
          <ns0:t>Not recorded; historical inclusion retained</ns0:t>
        </ns0:is>
      </ns0:c>
    </ns0:row>
    <ns0:row r="53" ht="50" customHeight="1">
      <ns0:c r="A53" s="19" t="inlineStr">
        <ns0:is>
          <ns0:t>51</ns0:t>
        </ns0:is>
      </ns0:c>
      <ns0:c r="B53" s="19" t="inlineStr">
        <ns0:is>
          <ns0:t>Historical</ns0:t>
        </ns0:is>
      </ns0:c>
      <ns0:c r="C53" s="19" t="inlineStr">
        <ns0:is>
          <ns0:t>Bilinear Perceptual Fusion Algorithm Based on Brain Functional and Structural Data for ASD Diagnosis and Regions of Interest Identification</ns0:t>
        </ns0:is>
      </ns0:c>
      <ns0:c r="D53" s="19" t="inlineStr">
        <ns0:is>
          <ns0:t>10.1007/s12539-024-00651-w</ns0:t>
        </ns0:is>
      </ns0:c>
      <ns0:c r="E53" s="26" t="n">
        <ns0:v>2024</ns0:v>
      </ns0:c>
      <ns0:c r="F53" s="19" t="inlineStr">
        <ns0:is>
          <ns0:t>Include</ns0:t>
        </ns0:is>
      </ns0:c>
      <ns0:c r="G53" s="27">
        <ns0:f>IF(F53="Include",1,0)</ns0:f>
        <ns0:v>1</ns0:v>
      </ns0:c>
      <ns0:c r="H53" s="19" t="inlineStr">
        <ns0:is>
          <ns0:t>Diagnosis</ns0:t>
        </ns0:is>
      </ns0:c>
      <ns0:c r="I53" s="19" t="inlineStr">
        <ns0:is>
          <ns0:t>Deep Learning</ns0:t>
        </ns0:is>
      </ns0:c>
      <ns0:c r="J53" s="19" t="inlineStr">
        <ns0:is>
          <ns0:t>Neuroimaging</ns0:t>
        </ns0:is>
      </ns0:c>
      <ns0:c r="K53" s="19" t="inlineStr">
        <ns0:is>
          <ns0:t>Bilinear perceptual fusion GCN</ns0:t>
        </ns0:is>
      </ns0:c>
      <ns0:c r="L53" s="19" t="inlineStr">
        <ns0:is>
          <ns0:t>GNN</ns0:t>
        </ns0:is>
      </ns0:c>
      <ns0:c r="M53" s="19" t="inlineStr">
        <ns0:is>
          <ns0:t>Proposed only</ns0:t>
        </ns0:is>
      </ns0:c>
      <ns0:c r="N53" s="19" t="inlineStr">
        <ns0:is>
          <ns0:t>Diagnostic decision support</ns0:t>
        </ns0:is>
      </ns0:c>
      <ns0:c r="O53" s="19" t="inlineStr">
        <ns0:is>
          <ns0:t>In-decision</ns0:t>
        </ns0:is>
      </ns0:c>
      <ns0:c r="P53" s="19" t="inlineStr">
        <ns0:is>
          <ns0:t>Not observed in assessed sources</ns0:t>
        </ns0:is>
      </ns0:c>
      <ns0:c r="Q53" s="19" t="inlineStr">
        <ns0:is>
          <ns0:t>Not reported in assessed sources</ns0:t>
        </ns0:is>
      </ns0:c>
      <ns0:c r="R53" s="19" t="inlineStr">
        <ns0:is>
          <ns0:t>Reported</ns0:t>
        </ns0:is>
      </ns0:c>
      <ns0:c r="S53" s="19" t="inlineStr">
        <ns0:is>
          <ns0:t>Not reported in assessed sources</ns0:t>
        </ns0:is>
      </ns0:c>
      <ns0:c r="T53" s="19" t="inlineStr">
        <ns0:is>
          <ns0:t>Not reported in assessed sources</ns0:t>
        </ns0:is>
      </ns0:c>
      <ns0:c r="U53" s="19" t="inlineStr">
        <ns0:is>
          <ns0:t>Not reported in assessed sources</ns0:t>
        </ns0:is>
      </ns0:c>
      <ns0:c r="V53" s="19" t="inlineStr">
        <ns0:is>
          <ns0:t>Not reported in assessed sources</ns0:t>
        </ns0:is>
      </ns0:c>
      <ns0:c r="W53" s="19" t="inlineStr">
        <ns0:is>
          <ns0:t>Reported</ns0:t>
        </ns0:is>
      </ns0:c>
      <ns0:c r="X53" s="19" t="inlineStr">
        <ns0:is>
          <ns0:t>Not reported in assessed sources</ns0:t>
        </ns0:is>
      </ns0:c>
      <ns0:c r="Y53" s="19" t="inlineStr">
        <ns0:is>
          <ns0:t>Not ascertainable</ns0:t>
        </ns0:is>
      </ns0:c>
      <ns0:c r="Z53" s="19" t="inlineStr">
        <ns0:is>
          <ns0:t>Not reported in assessed sources</ns0:t>
        </ns0:is>
      </ns0:c>
      <ns0:c r="AA53" s="19" t="inlineStr">
        <ns0:is>
          <ns0:t>Not recorded</ns0:t>
        </ns0:is>
      </ns0:c>
      <ns0:c r="AB53" s="26" t="n">
        <ns0:v>0</ns0:v>
      </ns0:c>
      <ns0:c r="AC53" s="26" t="n">
        <ns0:v>0</ns0:v>
      </ns0:c>
      <ns0:c r="AD53" s="27">
        <ns0:f>IF(AND(G53=1,AB53=0),1,0)</ns0:f>
        <ns0:v>1</ns0:v>
      </ns0:c>
      <ns0:c r="AE53" s="27">
        <ns0:f>IF(AND(AD53=1,AC53=0),1,0)</ns0:f>
        <ns0:v>1</ns0:v>
      </ns0:c>
      <ns0:c r="AF53" s="27">
        <ns0:f>IF(AND(G53=1,H53&lt;&gt;"Not specified"),1,0)</ns0:f>
        <ns0:v>1</ns0:v>
      </ns0:c>
      <ns0:c r="AG53" s="27">
        <ns0:f>IF(AND(AE53=1,AF53=1),1,0)</ns0:f>
        <ns0:v>1</ns0:v>
      </ns0:c>
      <ns0:c r="AH53" s="19" t="inlineStr">
        <ns0:is>
          <ns0:t>Supplied abstract/coding notes; no new full-text verification</ns0:t>
        </ns0:is>
      </ns0:c>
      <ns0:c r="AI53" s="19" t="inlineStr">
        <ns0:is>
          <ns0:t>https://doi.org/10.1007/s12539-024-00651-w</ns0:t>
        </ns0:is>
      </ns0:c>
      <ns0:c r="AJ53" s="19" t="inlineStr">
        <ns0:is>
          <ns0:t>EVIDENCIA; original abstract/coding notes and lot source trace; Historical signals: title/abstract/notes; full-text completion not independently established</ns0:t>
        </ns0:is>
      </ns0:c>
      <ns0:c r="AK53" s="19" t="inlineStr">
        <ns0:is>
          <ns0:t>Explicit deep graph architecture fuses structural and functional brain data; within-neuroimaging multimodal integration is retained.</ns0:t>
        </ns0:is>
      </ns0:c>
      <ns0:c r="AL53" s="19" t="inlineStr">
        <ns0:is>
          <ns0:t>Not applicable</ns0:t>
        </ns0:is>
      </ns0:c>
      <ns0:c r="AM53" s="19" t="inlineStr">
        <ns0:is>
          <ns0:t>Not separately specified</ns0:t>
        </ns0:is>
      </ns0:c>
      <ns0:c r="AN53" s="19" t="inlineStr"/>
      <ns0:c r="AO53" s="19" t="inlineStr">
        <ns0:is>
          <ns0:t>No additional status determination</ns0:t>
        </ns0:is>
      </ns0:c>
      <ns0:c r="AP53" s="19" t="inlineStr">
        <ns0:is>
          <ns0:t>Not documented for this recharting</ns0:t>
        </ns0:is>
      </ns0:c>
      <ns0:c r="AQ53" s="19" t="inlineStr">
        <ns0:is>
          <ns0:t>ChatGPT-assisted evidence recharting, 2026-09-08</ns0:t>
        </ns0:is>
      </ns0:c>
      <ns0:c r="AR53" s="19" t="inlineStr">
        <ns0:is>
          <ns0:t>RA</ns0:t>
        </ns0:is>
      </ns0:c>
      <ns0:c r="AS53" s="19" t="inlineStr">
        <ns0:is>
          <ns0:t>Not recorded; historical inclusion retained</ns0:t>
        </ns0:is>
      </ns0:c>
    </ns0:row>
    <ns0:row r="54" ht="50" customHeight="1">
      <ns0:c r="A54" s="21" t="inlineStr">
        <ns0:is>
          <ns0:t>52</ns0:t>
        </ns0:is>
      </ns0:c>
      <ns0:c r="B54" s="21" t="inlineStr">
        <ns0:is>
          <ns0:t>Historical</ns0:t>
        </ns0:is>
      </ns0:c>
      <ns0:c r="C54" s="21" t="inlineStr">
        <ns0:is>
          <ns0:t>Computer-aided diagnosis of autism spectrum disorder from EEG signals using deep learning with FAWT and multiscale permutation entropy features</ns0:t>
        </ns0:is>
      </ns0:c>
      <ns0:c r="D54" s="21" t="inlineStr">
        <ns0:is>
          <ns0:t>10.1177/09544119221141751</ns0:t>
        </ns0:is>
      </ns0:c>
      <ns0:c r="E54" s="28" t="n">
        <ns0:v>2023</ns0:v>
      </ns0:c>
      <ns0:c r="F54" s="21" t="inlineStr">
        <ns0:is>
          <ns0:t>Include</ns0:t>
        </ns0:is>
      </ns0:c>
      <ns0:c r="G54" s="29">
        <ns0:f>IF(F54="Include",1,0)</ns0:f>
        <ns0:v>1</ns0:v>
      </ns0:c>
      <ns0:c r="H54" s="21" t="inlineStr">
        <ns0:is>
          <ns0:t>Diagnosis</ns0:t>
        </ns0:is>
      </ns0:c>
      <ns0:c r="I54" s="21" t="inlineStr">
        <ns0:is>
          <ns0:t>Deep Learning</ns0:t>
        </ns0:is>
      </ns0:c>
      <ns0:c r="J54" s="21" t="inlineStr">
        <ns0:is>
          <ns0:t>Physiological signals</ns0:t>
        </ns0:is>
      </ns0:c>
      <ns0:c r="K54" s="21" t="inlineStr">
        <ns0:is>
          <ns0:t>CNN</ns0:t>
        </ns0:is>
      </ns0:c>
      <ns0:c r="L54" s="21" t="inlineStr">
        <ns0:is>
          <ns0:t>CNN</ns0:t>
        </ns0:is>
      </ns0:c>
      <ns0:c r="M54" s="21" t="inlineStr">
        <ns0:is>
          <ns0:t>Proposed only</ns0:t>
        </ns0:is>
      </ns0:c>
      <ns0:c r="N54" s="21" t="inlineStr">
        <ns0:is>
          <ns0:t>Diagnostic decision support</ns0:t>
        </ns0:is>
      </ns0:c>
      <ns0:c r="O54" s="21" t="inlineStr">
        <ns0:is>
          <ns0:t>In-decision</ns0:t>
        </ns0:is>
      </ns0:c>
      <ns0:c r="P54" s="21" t="inlineStr">
        <ns0:is>
          <ns0:t>Not observed in assessed sources</ns0:t>
        </ns0:is>
      </ns0:c>
      <ns0:c r="Q54" s="21" t="inlineStr">
        <ns0:is>
          <ns0:t>Not reported in assessed sources</ns0:t>
        </ns0:is>
      </ns0:c>
      <ns0:c r="R54" s="21" t="inlineStr">
        <ns0:is>
          <ns0:t>Not reported in assessed sources</ns0:t>
        </ns0:is>
      </ns0:c>
      <ns0:c r="S54" s="21" t="inlineStr">
        <ns0:is>
          <ns0:t>Not reported in assessed sources</ns0:t>
        </ns0:is>
      </ns0:c>
      <ns0:c r="T54" s="21" t="inlineStr">
        <ns0:is>
          <ns0:t>Not reported in assessed sources</ns0:t>
        </ns0:is>
      </ns0:c>
      <ns0:c r="U54" s="21" t="inlineStr">
        <ns0:is>
          <ns0:t>Not reported in assessed sources</ns0:t>
        </ns0:is>
      </ns0:c>
      <ns0:c r="V54" s="21" t="inlineStr">
        <ns0:is>
          <ns0:t>Not reported in assessed sources</ns0:t>
        </ns0:is>
      </ns0:c>
      <ns0:c r="W54" s="21" t="inlineStr">
        <ns0:is>
          <ns0:t>Not reported in assessed sources</ns0:t>
        </ns0:is>
      </ns0:c>
      <ns0:c r="X54" s="21" t="inlineStr">
        <ns0:is>
          <ns0:t>Not reported in assessed sources</ns0:t>
        </ns0:is>
      </ns0:c>
      <ns0:c r="Y54" s="21" t="inlineStr">
        <ns0:is>
          <ns0:t>Not ascertainable</ns0:t>
        </ns0:is>
      </ns0:c>
      <ns0:c r="Z54" s="21" t="inlineStr">
        <ns0:is>
          <ns0:t>Not reported in assessed sources</ns0:t>
        </ns0:is>
      </ns0:c>
      <ns0:c r="AA54" s="21" t="inlineStr">
        <ns0:is>
          <ns0:t>Not recorded</ns0:t>
        </ns0:is>
      </ns0:c>
      <ns0:c r="AB54" s="28" t="n">
        <ns0:v>0</ns0:v>
      </ns0:c>
      <ns0:c r="AC54" s="28" t="n">
        <ns0:v>0</ns0:v>
      </ns0:c>
      <ns0:c r="AD54" s="29">
        <ns0:f>IF(AND(G54=1,AB54=0),1,0)</ns0:f>
        <ns0:v>1</ns0:v>
      </ns0:c>
      <ns0:c r="AE54" s="29">
        <ns0:f>IF(AND(AD54=1,AC54=0),1,0)</ns0:f>
        <ns0:v>1</ns0:v>
      </ns0:c>
      <ns0:c r="AF54" s="29">
        <ns0:f>IF(AND(G54=1,H54&lt;&gt;"Not specified"),1,0)</ns0:f>
        <ns0:v>1</ns0:v>
      </ns0:c>
      <ns0:c r="AG54" s="29">
        <ns0:f>IF(AND(AE54=1,AF54=1),1,0)</ns0:f>
        <ns0:v>1</ns0:v>
      </ns0:c>
      <ns0:c r="AH54" s="21" t="inlineStr">
        <ns0:is>
          <ns0:t>Supplied abstract/coding notes; no new full-text verification</ns0:t>
        </ns0:is>
      </ns0:c>
      <ns0:c r="AI54" s="21" t="inlineStr">
        <ns0:is>
          <ns0:t>https://doi.org/10.1177/09544119221141751</ns0:t>
        </ns0:is>
      </ns0:c>
      <ns0:c r="AJ54" s="21" t="inlineStr">
        <ns0:is>
          <ns0:t>EVIDENCIA; original abstract/coding notes and lot source trace; Historical signals: title/abstract/notes; full-text completion not independently established</ns0:t>
        </ns0:is>
      </ns0:c>
      <ns0:c r="AK54" s="21" t="inlineStr">
        <ns0:is>
          <ns0:t>EEG wavelet and entropy preprocessing followed by CNN; comparison with conventional classifiers is not an integrated ML-DL hybrid or demonstrated clinician use.</ns0:t>
        </ns0:is>
      </ns0:c>
      <ns0:c r="AL54" s="21" t="inlineStr">
        <ns0:is>
          <ns0:t>Not applicable</ns0:t>
        </ns0:is>
      </ns0:c>
      <ns0:c r="AM54" s="21" t="inlineStr">
        <ns0:is>
          <ns0:t>Not separately specified</ns0:t>
        </ns0:is>
      </ns0:c>
      <ns0:c r="AN54" s="21" t="inlineStr"/>
      <ns0:c r="AO54" s="21" t="inlineStr">
        <ns0:is>
          <ns0:t>No additional status determination</ns0:t>
        </ns0:is>
      </ns0:c>
      <ns0:c r="AP54" s="21" t="inlineStr">
        <ns0:is>
          <ns0:t>Not documented for this recharting</ns0:t>
        </ns0:is>
      </ns0:c>
      <ns0:c r="AQ54" s="21" t="inlineStr">
        <ns0:is>
          <ns0:t>ChatGPT-assisted evidence recharting, 2026-09-08</ns0:t>
        </ns0:is>
      </ns0:c>
      <ns0:c r="AR54" s="21" t="inlineStr">
        <ns0:is>
          <ns0:t>RA</ns0:t>
        </ns0:is>
      </ns0:c>
      <ns0:c r="AS54" s="21" t="inlineStr">
        <ns0:is>
          <ns0:t>Not recorded; historical inclusion retained</ns0:t>
        </ns0:is>
      </ns0:c>
    </ns0:row>
    <ns0:row r="55" ht="50" customHeight="1">
      <ns0:c r="A55" s="19" t="inlineStr">
        <ns0:is>
          <ns0:t>53</ns0:t>
        </ns0:is>
      </ns0:c>
      <ns0:c r="B55" s="19" t="inlineStr">
        <ns0:is>
          <ns0:t>Historical</ns0:t>
        </ns0:is>
      </ns0:c>
      <ns0:c r="C55" s="19" t="inlineStr">
        <ns0:is>
          <ns0:t>Development and validation of a machine learning-based tool to predict autism among children</ns0:t>
        </ns0:is>
      </ns0:c>
      <ns0:c r="D55" s="19" t="inlineStr">
        <ns0:is>
          <ns0:t>10.1002/aur.2912</ns0:t>
        </ns0:is>
      </ns0:c>
      <ns0:c r="E55" s="26" t="n">
        <ns0:v>2023</ns0:v>
      </ns0:c>
      <ns0:c r="F55" s="19" t="inlineStr">
        <ns0:is>
          <ns0:t>Include</ns0:t>
        </ns0:is>
      </ns0:c>
      <ns0:c r="G55" s="27">
        <ns0:f>IF(F55="Include",1,0)</ns0:f>
        <ns0:v>1</ns0:v>
      </ns0:c>
      <ns0:c r="H55" s="19" t="inlineStr">
        <ns0:is>
          <ns0:t>Prognosis</ns0:t>
        </ns0:is>
      </ns0:c>
      <ns0:c r="I55" s="19" t="inlineStr">
        <ns0:is>
          <ns0:t>Machine Learning</ns0:t>
        </ns0:is>
      </ns0:c>
      <ns0:c r="J55" s="19" t="inlineStr">
        <ns0:is>
          <ns0:t>Structured clinical/questionnaire data</ns0:t>
        </ns0:is>
      </ns0:c>
      <ns0:c r="K55" s="19" t="inlineStr">
        <ns0:is>
          <ns0:t>Logistic regression and gradient-boosted trees</ns0:t>
        </ns0:is>
      </ns0:c>
      <ns0:c r="L55" s="19" t="inlineStr">
        <ns0:is>
          <ns0:t>Composite/ensemble pipeline</ns0:t>
        </ns0:is>
      </ns0:c>
      <ns0:c r="M55" s="19" t="inlineStr">
        <ns0:is>
          <ns0:t>Proposed only</ns0:t>
        </ns0:is>
      </ns0:c>
      <ns0:c r="N55" s="19" t="inlineStr">
        <ns0:is>
          <ns0:t>Risk/trajectory estimation</ns0:t>
        </ns0:is>
      </ns0:c>
      <ns0:c r="O55" s="19" t="inlineStr">
        <ns0:is>
          <ns0:t>Pre-decision</ns0:t>
        </ns0:is>
      </ns0:c>
      <ns0:c r="P55" s="19" t="inlineStr">
        <ns0:is>
          <ns0:t>Not observed in assessed sources</ns0:t>
        </ns0:is>
      </ns0:c>
      <ns0:c r="Q55" s="19" t="inlineStr">
        <ns0:is>
          <ns0:t>Not reported in assessed sources</ns0:t>
        </ns0:is>
      </ns0:c>
      <ns0:c r="R55" s="19" t="inlineStr">
        <ns0:is>
          <ns0:t>Reported</ns0:t>
        </ns0:is>
      </ns0:c>
      <ns0:c r="S55" s="19" t="inlineStr">
        <ns0:is>
          <ns0:t>Not reported in assessed sources</ns0:t>
        </ns0:is>
      </ns0:c>
      <ns0:c r="T55" s="19" t="inlineStr">
        <ns0:is>
          <ns0:t>Not reported in assessed sources</ns0:t>
        </ns0:is>
      </ns0:c>
      <ns0:c r="U55" s="19" t="inlineStr">
        <ns0:is>
          <ns0:t>Not reported in assessed sources</ns0:t>
        </ns0:is>
      </ns0:c>
      <ns0:c r="V55" s="19" t="inlineStr">
        <ns0:is>
          <ns0:t>Not reported in assessed sources</ns0:t>
        </ns0:is>
      </ns0:c>
      <ns0:c r="W55" s="19" t="inlineStr">
        <ns0:is>
          <ns0:t>Reported</ns0:t>
        </ns0:is>
      </ns0:c>
      <ns0:c r="X55" s="19" t="inlineStr">
        <ns0:is>
          <ns0:t>Not reported in assessed sources</ns0:t>
        </ns0:is>
      </ns0:c>
      <ns0:c r="Y55" s="19" t="inlineStr">
        <ns0:is>
          <ns0:t>Not ascertainable</ns0:t>
        </ns0:is>
      </ns0:c>
      <ns0:c r="Z55" s="19" t="inlineStr">
        <ns0:is>
          <ns0:t>Not reported in assessed sources</ns0:t>
        </ns0:is>
      </ns0:c>
      <ns0:c r="AA55" s="19" t="inlineStr">
        <ns0:is>
          <ns0:t>Not recorded</ns0:t>
        </ns0:is>
      </ns0:c>
      <ns0:c r="AB55" s="26" t="n">
        <ns0:v>0</ns0:v>
      </ns0:c>
      <ns0:c r="AC55" s="26" t="n">
        <ns0:v>0</ns0:v>
      </ns0:c>
      <ns0:c r="AD55" s="27">
        <ns0:f>IF(AND(G55=1,AB55=0),1,0)</ns0:f>
        <ns0:v>1</ns0:v>
      </ns0:c>
      <ns0:c r="AE55" s="27">
        <ns0:f>IF(AND(AD55=1,AC55=0),1,0)</ns0:f>
        <ns0:v>1</ns0:v>
      </ns0:c>
      <ns0:c r="AF55" s="27">
        <ns0:f>IF(AND(G55=1,H55&lt;&gt;"Not specified"),1,0)</ns0:f>
        <ns0:v>1</ns0:v>
      </ns0:c>
      <ns0:c r="AG55" s="27">
        <ns0:f>IF(AND(AE55=1,AF55=1),1,0)</ns0:f>
        <ns0:v>1</ns0:v>
      </ns0:c>
      <ns0:c r="AH55" s="19" t="inlineStr">
        <ns0:is>
          <ns0:t>Supplied abstract/coding notes; no new full-text verification</ns0:t>
        </ns0:is>
      </ns0:c>
      <ns0:c r="AI55" s="19" t="inlineStr">
        <ns0:is>
          <ns0:t>https://doi.org/10.1002/aur.2912</ns0:t>
        </ns0:is>
      </ns0:c>
      <ns0:c r="AJ55" s="19" t="inlineStr">
        <ns0:is>
          <ns0:t>EVIDENCIA; original abstract/coding notes and lot source trace; Historical signals: title/abstract/notes; full-text completion not independently established</ns0:t>
        </ns0:is>
      </ns0:c>
      <ns0:c r="AK55" s="19" t="inlineStr">
        <ns0:is>
          <ns0:t>Linked maternal and infant administrative records predict later ASD; not a contemporaneous diagnostic or deployed clinical tool.</ns0:t>
        </ns0:is>
      </ns0:c>
      <ns0:c r="AL55" s="19" t="inlineStr">
        <ns0:is>
          <ns0:t>Not applicable</ns0:t>
        </ns0:is>
      </ns0:c>
      <ns0:c r="AM55" s="19" t="inlineStr">
        <ns0:is>
          <ns0:t>Not separately specified</ns0:t>
        </ns0:is>
      </ns0:c>
      <ns0:c r="AN55" s="19" t="inlineStr"/>
      <ns0:c r="AO55" s="19" t="inlineStr">
        <ns0:is>
          <ns0:t>No additional status determination</ns0:t>
        </ns0:is>
      </ns0:c>
      <ns0:c r="AP55" s="19" t="inlineStr">
        <ns0:is>
          <ns0:t>Not documented for this recharting</ns0:t>
        </ns0:is>
      </ns0:c>
      <ns0:c r="AQ55" s="19" t="inlineStr">
        <ns0:is>
          <ns0:t>ChatGPT-assisted evidence recharting, 2026-09-08</ns0:t>
        </ns0:is>
      </ns0:c>
      <ns0:c r="AR55" s="19" t="inlineStr"/>
      <ns0:c r="AS55" s="19" t="inlineStr">
        <ns0:is>
          <ns0:t>Not recorded; historical inclusion retained</ns0:t>
        </ns0:is>
      </ns0:c>
    </ns0:row>
    <ns0:row r="56" ht="50" customHeight="1">
      <ns0:c r="A56" s="21" t="inlineStr">
        <ns0:is>
          <ns0:t>54</ns0:t>
        </ns0:is>
      </ns0:c>
      <ns0:c r="B56" s="21" t="inlineStr">
        <ns0:is>
          <ns0:t>Historical</ns0:t>
        </ns0:is>
      </ns0:c>
      <ns0:c r="C56" s="21" t="inlineStr">
        <ns0:is>
          <ns0:t>Diagnostic classification of intrinsic functional connectivity highlights somatosensory, default mode, and visual regions in autism</ns0:t>
        </ns0:is>
      </ns0:c>
      <ns0:c r="D56" s="21" t="inlineStr">
        <ns0:is>
          <ns0:t>10.1016/j.nicl.2015.04.002</ns0:t>
        </ns0:is>
      </ns0:c>
      <ns0:c r="E56" s="28" t="n">
        <ns0:v>2015</ns0:v>
      </ns0:c>
      <ns0:c r="F56" s="21" t="inlineStr">
        <ns0:is>
          <ns0:t>Include</ns0:t>
        </ns0:is>
      </ns0:c>
      <ns0:c r="G56" s="29">
        <ns0:f>IF(F56="Include",1,0)</ns0:f>
        <ns0:v>1</ns0:v>
      </ns0:c>
      <ns0:c r="H56" s="21" t="inlineStr">
        <ns0:is>
          <ns0:t>Diagnosis</ns0:t>
        </ns0:is>
      </ns0:c>
      <ns0:c r="I56" s="21" t="inlineStr">
        <ns0:is>
          <ns0:t>Machine Learning</ns0:t>
        </ns0:is>
      </ns0:c>
      <ns0:c r="J56" s="21" t="inlineStr">
        <ns0:is>
          <ns0:t>Neuroimaging</ns0:t>
        </ns0:is>
      </ns0:c>
      <ns0:c r="K56" s="21" t="inlineStr">
        <ns0:is>
          <ns0:t>Random forest</ns0:t>
        </ns0:is>
      </ns0:c>
      <ns0:c r="L56" s="21" t="inlineStr">
        <ns0:is>
          <ns0:t>Random forest</ns0:t>
        </ns0:is>
      </ns0:c>
      <ns0:c r="M56" s="21" t="inlineStr">
        <ns0:is>
          <ns0:t>Research only</ns0:t>
        </ns0:is>
      </ns0:c>
      <ns0:c r="N56" s="21" t="inlineStr">
        <ns0:is>
          <ns0:t>Automated measurement/classification</ns0:t>
        </ns0:is>
      </ns0:c>
      <ns0:c r="O56" s="21" t="inlineStr">
        <ns0:is>
          <ns0:t>Not observed in assessed sources</ns0:t>
        </ns0:is>
      </ns0:c>
      <ns0:c r="P56" s="21" t="inlineStr">
        <ns0:is>
          <ns0:t>Not observed in assessed sources</ns0:t>
        </ns0:is>
      </ns0:c>
      <ns0:c r="Q56" s="21" t="inlineStr">
        <ns0:is>
          <ns0:t>Not reported in assessed sources</ns0:t>
        </ns0:is>
      </ns0:c>
      <ns0:c r="R56" s="21" t="inlineStr">
        <ns0:is>
          <ns0:t>Not reported in assessed sources</ns0:t>
        </ns0:is>
      </ns0:c>
      <ns0:c r="S56" s="21" t="inlineStr">
        <ns0:is>
          <ns0:t>Reported</ns0:t>
        </ns0:is>
      </ns0:c>
      <ns0:c r="T56" s="21" t="inlineStr">
        <ns0:is>
          <ns0:t>Not reported in assessed sources</ns0:t>
        </ns0:is>
      </ns0:c>
      <ns0:c r="U56" s="21" t="inlineStr">
        <ns0:is>
          <ns0:t>Not reported in assessed sources</ns0:t>
        </ns0:is>
      </ns0:c>
      <ns0:c r="V56" s="21" t="inlineStr">
        <ns0:is>
          <ns0:t>Reported</ns0:t>
        </ns0:is>
      </ns0:c>
      <ns0:c r="W56" s="21" t="inlineStr">
        <ns0:is>
          <ns0:t>Not reported in assessed sources</ns0:t>
        </ns0:is>
      </ns0:c>
      <ns0:c r="X56" s="21" t="inlineStr">
        <ns0:is>
          <ns0:t>Not reported in assessed sources</ns0:t>
        </ns0:is>
      </ns0:c>
      <ns0:c r="Y56" s="21" t="inlineStr">
        <ns0:is>
          <ns0:t>Not ascertainable</ns0:t>
        </ns0:is>
      </ns0:c>
      <ns0:c r="Z56" s="21" t="inlineStr">
        <ns0:is>
          <ns0:t>Reported</ns0:t>
        </ns0:is>
      </ns0:c>
      <ns0:c r="AA56" s="21" t="inlineStr">
        <ns0:is>
          <ns0:t>Not recorded</ns0:t>
        </ns0:is>
      </ns0:c>
      <ns0:c r="AB56" s="28" t="n">
        <ns0:v>0</ns0:v>
      </ns0:c>
      <ns0:c r="AC56" s="28" t="n">
        <ns0:v>0</ns0:v>
      </ns0:c>
      <ns0:c r="AD56" s="29">
        <ns0:f>IF(AND(G56=1,AB56=0),1,0)</ns0:f>
        <ns0:v>1</ns0:v>
      </ns0:c>
      <ns0:c r="AE56" s="29">
        <ns0:f>IF(AND(AD56=1,AC56=0),1,0)</ns0:f>
        <ns0:v>1</ns0:v>
      </ns0:c>
      <ns0:c r="AF56" s="29">
        <ns0:f>IF(AND(G56=1,H56&lt;&gt;"Not specified"),1,0)</ns0:f>
        <ns0:v>1</ns0:v>
      </ns0:c>
      <ns0:c r="AG56" s="29">
        <ns0:f>IF(AND(AE56=1,AF56=1),1,0)</ns0:f>
        <ns0:v>1</ns0:v>
      </ns0:c>
      <ns0:c r="AH56" s="21" t="inlineStr">
        <ns0:is>
          <ns0:t>Supplied abstract/coding notes; no new full-text verification</ns0:t>
        </ns0:is>
      </ns0:c>
      <ns0:c r="AI56" s="21" t="inlineStr">
        <ns0:is>
          <ns0:t>https://doi.org/10.1016/j.nicl.2015.04.002</ns0:t>
        </ns0:is>
      </ns0:c>
      <ns0:c r="AJ56" s="21" t="inlineStr">
        <ns0:is>
          <ns0:t>EVIDENCIA; original abstract/coding notes and lot source trace; Historical signals: title/abstract/notes; full-text completion not independently established</ns0:t>
        </ns0:is>
      </ns0:c>
      <ns0:c r="AK56" s="21" t="inlineStr">
        <ns0:is>
          <ns0:t>ABIDE resting-state fMRI classification. Identification of informative functional connections provides partial interpretability; multisite data alone are not cross-site testing.</ns0:t>
        </ns0:is>
      </ns0:c>
      <ns0:c r="AL56" s="21" t="inlineStr">
        <ns0:is>
          <ns0:t>Not applicable</ns0:t>
        </ns0:is>
      </ns0:c>
      <ns0:c r="AM56" s="21" t="inlineStr">
        <ns0:is>
          <ns0:t>Not separately specified</ns0:t>
        </ns0:is>
      </ns0:c>
      <ns0:c r="AN56" s="21" t="inlineStr"/>
      <ns0:c r="AO56" s="21" t="inlineStr">
        <ns0:is>
          <ns0:t>No additional status determination</ns0:t>
        </ns0:is>
      </ns0:c>
      <ns0:c r="AP56" s="21" t="inlineStr">
        <ns0:is>
          <ns0:t>Not documented for this recharting</ns0:t>
        </ns0:is>
      </ns0:c>
      <ns0:c r="AQ56" s="21" t="inlineStr">
        <ns0:is>
          <ns0:t>ChatGPT-assisted evidence recharting, 2026-09-08</ns0:t>
        </ns0:is>
      </ns0:c>
      <ns0:c r="AR56" s="21" t="inlineStr"/>
      <ns0:c r="AS56" s="21" t="inlineStr">
        <ns0:is>
          <ns0:t>Not recorded; historical inclusion retained</ns0:t>
        </ns0:is>
      </ns0:c>
    </ns0:row>
    <ns0:row r="57" ht="50" customHeight="1">
      <ns0:c r="A57" s="19" t="inlineStr">
        <ns0:is>
          <ns0:t>56</ns0:t>
        </ns0:is>
      </ns0:c>
      <ns0:c r="B57" s="19" t="inlineStr">
        <ns0:is>
          <ns0:t>Historical</ns0:t>
        </ns0:is>
      </ns0:c>
      <ns0:c r="C57" s="19" t="inlineStr">
        <ns0:is>
          <ns0:t>Epigenomic signatures reveal mechanistic clues and predictive markers for autism spectrum disorder</ns0:t>
        </ns0:is>
      </ns0:c>
      <ns0:c r="D57" s="19" t="inlineStr">
        <ns0:is>
          <ns0:t>10.1038/s41380-022-01917-9</ns0:t>
        </ns0:is>
      </ns0:c>
      <ns0:c r="E57" s="26" t="n">
        <ns0:v>2023</ns0:v>
      </ns0:c>
      <ns0:c r="F57" s="30" t="inlineStr">
        <ns0:is>
          <ns0:t>Exclude</ns0:t>
        </ns0:is>
      </ns0:c>
      <ns0:c r="G57" s="27">
        <ns0:f>IF(F57="Include",1,0)</ns0:f>
        <ns0:v>0</ns0:v>
      </ns0:c>
      <ns0:c r="H57" s="19" t="inlineStr">
        <ns0:is>
          <ns0:t>Excluded</ns0:t>
        </ns0:is>
      </ns0:c>
      <ns0:c r="I57" s="19" t="inlineStr">
        <ns0:is>
          <ns0:t>Excluded</ns0:t>
        </ns0:is>
      </ns0:c>
      <ns0:c r="J57" s="19" t="inlineStr">
        <ns0:is>
          <ns0:t>Excluded</ns0:t>
        </ns0:is>
      </ns0:c>
      <ns0:c r="K57" s="19" t="inlineStr">
        <ns0:is>
          <ns0:t>Not specified</ns0:t>
        </ns0:is>
      </ns0:c>
      <ns0:c r="L57" s="19" t="inlineStr">
        <ns0:is>
          <ns0:t>Multiple/not uniquely specified</ns0:t>
        </ns0:is>
      </ns0:c>
      <ns0:c r="M57" s="19" t="inlineStr">
        <ns0:is>
          <ns0:t>Excluded</ns0:t>
        </ns0:is>
      </ns0:c>
      <ns0:c r="N57" s="19" t="inlineStr">
        <ns0:is>
          <ns0:t>Excluded</ns0:t>
        </ns0:is>
      </ns0:c>
      <ns0:c r="O57" s="19" t="inlineStr">
        <ns0:is>
          <ns0:t>Not applicable - excluded</ns0:t>
        </ns0:is>
      </ns0:c>
      <ns0:c r="P57" s="19" t="inlineStr">
        <ns0:is>
          <ns0:t>Not applicable - excluded</ns0:t>
        </ns0:is>
      </ns0:c>
      <ns0:c r="Q57" s="19" t="inlineStr">
        <ns0:is>
          <ns0:t>Not reported in assessed sources</ns0:t>
        </ns0:is>
      </ns0:c>
      <ns0:c r="R57" s="19" t="inlineStr">
        <ns0:is>
          <ns0:t>Not reported in assessed sources</ns0:t>
        </ns0:is>
      </ns0:c>
      <ns0:c r="S57" s="19" t="inlineStr">
        <ns0:is>
          <ns0:t>Not reported in assessed sources</ns0:t>
        </ns0:is>
      </ns0:c>
      <ns0:c r="T57" s="19" t="inlineStr">
        <ns0:is>
          <ns0:t>Not reported in assessed sources</ns0:t>
        </ns0:is>
      </ns0:c>
      <ns0:c r="U57" s="19" t="inlineStr">
        <ns0:is>
          <ns0:t>Not reported in assessed sources</ns0:t>
        </ns0:is>
      </ns0:c>
      <ns0:c r="V57" s="19" t="inlineStr">
        <ns0:is>
          <ns0:t>Not reported in assessed sources</ns0:t>
        </ns0:is>
      </ns0:c>
      <ns0:c r="W57" s="19" t="inlineStr">
        <ns0:is>
          <ns0:t>Not reported in assessed sources</ns0:t>
        </ns0:is>
      </ns0:c>
      <ns0:c r="X57" s="19" t="inlineStr">
        <ns0:is>
          <ns0:t>Not reported in assessed sources</ns0:t>
        </ns0:is>
      </ns0:c>
      <ns0:c r="Y57" s="19" t="inlineStr">
        <ns0:is>
          <ns0:t>Not ascertainable</ns0:t>
        </ns0:is>
      </ns0:c>
      <ns0:c r="Z57" s="19" t="inlineStr">
        <ns0:is>
          <ns0:t>Not reported in assessed sources</ns0:t>
        </ns0:is>
      </ns0:c>
      <ns0:c r="AA57" s="19" t="inlineStr">
        <ns0:is>
          <ns0:t>Not recorded</ns0:t>
        </ns0:is>
      </ns0:c>
      <ns0:c r="AB57" s="26" t="n">
        <ns0:v>0</ns0:v>
      </ns0:c>
      <ns0:c r="AC57" s="26" t="n">
        <ns0:v>0</ns0:v>
      </ns0:c>
      <ns0:c r="AD57" s="27">
        <ns0:f>IF(AND(G57=1,AB57=0),1,0)</ns0:f>
        <ns0:v>0</ns0:v>
      </ns0:c>
      <ns0:c r="AE57" s="27">
        <ns0:f>IF(AND(AD57=1,AC57=0),1,0)</ns0:f>
        <ns0:v>0</ns0:v>
      </ns0:c>
      <ns0:c r="AF57" s="27">
        <ns0:f>IF(AND(G57=1,H57&lt;&gt;"Not specified"),1,0)</ns0:f>
        <ns0:v>0</ns0:v>
      </ns0:c>
      <ns0:c r="AG57" s="27">
        <ns0:f>IF(AND(AE57=1,AF57=1),1,0)</ns0:f>
        <ns0:v>0</ns0:v>
      </ns0:c>
      <ns0:c r="AH57" s="19" t="inlineStr">
        <ns0:is>
          <ns0:t>Supplied abstract/coding notes; no new full-text verification</ns0:t>
        </ns0:is>
      </ns0:c>
      <ns0:c r="AI57" s="19" t="inlineStr">
        <ns0:is>
          <ns0:t>https://doi.org/10.1038/s41380-022-01917-9</ns0:t>
        </ns0:is>
      </ns0:c>
      <ns0:c r="AJ57" s="19" t="inlineStr">
        <ns0:is>
          <ns0:t>EVIDENCIA; original abstract/coding notes and lot source trace; Historical signals: title/abstract/notes; full-text completion not independently established</ns0:t>
        </ns0:is>
      </ns0:c>
      <ns0:c r="AK57" s="19" t="inlineStr">
        <ns0:is>
          <ns0:t>Narrative synthesis of epigenomic signatures and anticipated future ML applications, not an original evaluated AI method.</ns0:t>
        </ns0:is>
      </ns0:c>
      <ns0:c r="AL57" s="19" t="inlineStr">
        <ns0:is>
          <ns0:t>EC1 Non-primary review</ns0:t>
        </ns0:is>
      </ns0:c>
      <ns0:c r="AM57" s="19" t="inlineStr">
        <ns0:is>
          <ns0:t>Not separately specified</ns0:t>
        </ns0:is>
      </ns0:c>
      <ns0:c r="AN57" s="19" t="inlineStr"/>
      <ns0:c r="AO57" s="19" t="inlineStr">
        <ns0:is>
          <ns0:t>No additional status determination</ns0:t>
        </ns0:is>
      </ns0:c>
      <ns0:c r="AP57" s="19" t="inlineStr">
        <ns0:is>
          <ns0:t>Not documented for this recharting</ns0:t>
        </ns0:is>
      </ns0:c>
      <ns0:c r="AQ57" s="19" t="inlineStr">
        <ns0:is>
          <ns0:t>ChatGPT-assisted evidence recharting, 2026-09-08</ns0:t>
        </ns0:is>
      </ns0:c>
      <ns0:c r="AR57" s="19" t="inlineStr"/>
      <ns0:c r="AS57" s="19" t="inlineStr">
        <ns0:is>
          <ns0:t>Not recorded; historical inclusion retained</ns0:t>
        </ns0:is>
      </ns0:c>
    </ns0:row>
    <ns0:row r="58" ht="50" customHeight="1">
      <ns0:c r="A58" s="21" t="inlineStr">
        <ns0:is>
          <ns0:t>57</ns0:t>
        </ns0:is>
      </ns0:c>
      <ns0:c r="B58" s="21" t="inlineStr">
        <ns0:is>
          <ns0:t>Historical</ns0:t>
        </ns0:is>
      </ns0:c>
      <ns0:c r="C58" s="21" t="inlineStr">
        <ns0:is>
          <ns0:t>Evaluation and benchmarking of hybrid machine learning models for autism spectrum disorder diagnosis using a 2-tuple linguistic neutrosophic fuzzy sets-based decision-making model</ns0:t>
        </ns0:is>
      </ns0:c>
      <ns0:c r="D58" s="21" t="inlineStr">
        <ns0:is>
          <ns0:t>10.1007/s00521-024-09905-6</ns0:t>
        </ns0:is>
      </ns0:c>
      <ns0:c r="E58" s="28" t="n">
        <ns0:v>2024</ns0:v>
      </ns0:c>
      <ns0:c r="F58" s="21" t="inlineStr">
        <ns0:is>
          <ns0:t>Include</ns0:t>
        </ns0:is>
      </ns0:c>
      <ns0:c r="G58" s="29">
        <ns0:f>IF(F58="Include",1,0)</ns0:f>
        <ns0:v>1</ns0:v>
      </ns0:c>
      <ns0:c r="H58" s="21" t="inlineStr">
        <ns0:is>
          <ns0:t>Diagnosis</ns0:t>
        </ns0:is>
      </ns0:c>
      <ns0:c r="I58" s="21" t="inlineStr">
        <ns0:is>
          <ns0:t>Machine Learning</ns0:t>
        </ns0:is>
      </ns0:c>
      <ns0:c r="J58" s="21" t="inlineStr">
        <ns0:is>
          <ns0:t>Structured clinical/questionnaire data</ns0:t>
        </ns0:is>
      </ns0:c>
      <ns0:c r="K58" s="21" t="inlineStr">
        <ns0:is>
          <ns0:t>Feature selection, multiple ML models and fuzzy multicriteria ranking</ns0:t>
        </ns0:is>
      </ns0:c>
      <ns0:c r="L58" s="21" t="inlineStr">
        <ns0:is>
          <ns0:t>Multiple/not uniquely specified</ns0:t>
        </ns0:is>
      </ns0:c>
      <ns0:c r="M58" s="21" t="inlineStr">
        <ns0:is>
          <ns0:t>Research only</ns0:t>
        </ns0:is>
      </ns0:c>
      <ns0:c r="N58" s="21" t="inlineStr">
        <ns0:is>
          <ns0:t>Diagnostic decision support</ns0:t>
        </ns0:is>
      </ns0:c>
      <ns0:c r="O58" s="21" t="inlineStr">
        <ns0:is>
          <ns0:t>Not observed in assessed sources</ns0:t>
        </ns0:is>
      </ns0:c>
      <ns0:c r="P58" s="21" t="inlineStr">
        <ns0:is>
          <ns0:t>Not observed in assessed sources</ns0:t>
        </ns0:is>
      </ns0:c>
      <ns0:c r="Q58" s="21" t="inlineStr">
        <ns0:is>
          <ns0:t>Not reported in assessed sources</ns0:t>
        </ns0:is>
      </ns0:c>
      <ns0:c r="R58" s="21" t="inlineStr">
        <ns0:is>
          <ns0:t>Not reported in assessed sources</ns0:t>
        </ns0:is>
      </ns0:c>
      <ns0:c r="S58" s="21" t="inlineStr">
        <ns0:is>
          <ns0:t>Not reported in assessed sources</ns0:t>
        </ns0:is>
      </ns0:c>
      <ns0:c r="T58" s="21" t="inlineStr">
        <ns0:is>
          <ns0:t>Not reported in assessed sources</ns0:t>
        </ns0:is>
      </ns0:c>
      <ns0:c r="U58" s="21" t="inlineStr">
        <ns0:is>
          <ns0:t>Not reported in assessed sources</ns0:t>
        </ns0:is>
      </ns0:c>
      <ns0:c r="V58" s="21" t="inlineStr">
        <ns0:is>
          <ns0:t>Not reported in assessed sources</ns0:t>
        </ns0:is>
      </ns0:c>
      <ns0:c r="W58" s="21" t="inlineStr">
        <ns0:is>
          <ns0:t>Not reported in assessed sources</ns0:t>
        </ns0:is>
      </ns0:c>
      <ns0:c r="X58" s="21" t="inlineStr">
        <ns0:is>
          <ns0:t>Not reported in assessed sources</ns0:t>
        </ns0:is>
      </ns0:c>
      <ns0:c r="Y58" s="21" t="inlineStr">
        <ns0:is>
          <ns0:t>Not ascertainable</ns0:t>
        </ns0:is>
      </ns0:c>
      <ns0:c r="Z58" s="21" t="inlineStr">
        <ns0:is>
          <ns0:t>Not reported in assessed sources</ns0:t>
        </ns0:is>
      </ns0:c>
      <ns0:c r="AA58" s="21" t="inlineStr">
        <ns0:is>
          <ns0:t>Not recorded</ns0:t>
        </ns0:is>
      </ns0:c>
      <ns0:c r="AB58" s="28" t="n">
        <ns0:v>0</ns0:v>
      </ns0:c>
      <ns0:c r="AC58" s="28" t="n">
        <ns0:v>0</ns0:v>
      </ns0:c>
      <ns0:c r="AD58" s="29">
        <ns0:f>IF(AND(G58=1,AB58=0),1,0)</ns0:f>
        <ns0:v>1</ns0:v>
      </ns0:c>
      <ns0:c r="AE58" s="29">
        <ns0:f>IF(AND(AD58=1,AC58=0),1,0)</ns0:f>
        <ns0:v>1</ns0:v>
      </ns0:c>
      <ns0:c r="AF58" s="29">
        <ns0:f>IF(AND(G58=1,H58&lt;&gt;"Not specified"),1,0)</ns0:f>
        <ns0:v>1</ns0:v>
      </ns0:c>
      <ns0:c r="AG58" s="29">
        <ns0:f>IF(AND(AE58=1,AF58=1),1,0)</ns0:f>
        <ns0:v>1</ns0:v>
      </ns0:c>
      <ns0:c r="AH58" s="21" t="inlineStr">
        <ns0:is>
          <ns0:t>Supplied abstract/coding notes; no new full-text verification</ns0:t>
        </ns0:is>
      </ns0:c>
      <ns0:c r="AI58" s="21" t="inlineStr">
        <ns0:is>
          <ns0:t>https://doi.org/10.1007/s00521-024-09905-6</ns0:t>
        </ns0:is>
      </ns0:c>
      <ns0:c r="AJ58" s="21" t="inlineStr">
        <ns0:is>
          <ns0:t>EVIDENCIA; original abstract/coding notes and lot source trace; Historical signals: title/abstract/notes; full-text completion not independently established</ns0:t>
        </ns0:is>
      </ns0:c>
      <ns0:c r="AK58" s="21" t="inlineStr">
        <ns0:is>
          <ns0:t>Linguistic neutrosophic sets are the ranking representation, not patient natural-language inputs. Empirical data comprise medical and sociodemographic variables.</ns0:t>
        </ns0:is>
      </ns0:c>
      <ns0:c r="AL58" s="21" t="inlineStr">
        <ns0:is>
          <ns0:t>Not applicable</ns0:t>
        </ns0:is>
      </ns0:c>
      <ns0:c r="AM58" s="21" t="inlineStr">
        <ns0:is>
          <ns0:t>Not separately specified</ns0:t>
        </ns0:is>
      </ns0:c>
      <ns0:c r="AN58" s="21" t="inlineStr"/>
      <ns0:c r="AO58" s="21" t="inlineStr">
        <ns0:is>
          <ns0:t>No additional status determination</ns0:t>
        </ns0:is>
      </ns0:c>
      <ns0:c r="AP58" s="21" t="inlineStr">
        <ns0:is>
          <ns0:t>Not documented for this recharting</ns0:t>
        </ns0:is>
      </ns0:c>
      <ns0:c r="AQ58" s="21" t="inlineStr">
        <ns0:is>
          <ns0:t>ChatGPT-assisted evidence recharting, 2026-09-08</ns0:t>
        </ns0:is>
      </ns0:c>
      <ns0:c r="AR58" s="21" t="inlineStr">
        <ns0:is>
          <ns0:t>RA</ns0:t>
        </ns0:is>
      </ns0:c>
      <ns0:c r="AS58" s="21" t="inlineStr">
        <ns0:is>
          <ns0:t>Not recorded; historical inclusion retained</ns0:t>
        </ns0:is>
      </ns0:c>
    </ns0:row>
    <ns0:row r="59" ht="50" customHeight="1">
      <ns0:c r="A59" s="19" t="inlineStr">
        <ns0:is>
          <ns0:t>58</ns0:t>
        </ns0:is>
      </ns0:c>
      <ns0:c r="B59" s="19" t="inlineStr">
        <ns0:is>
          <ns0:t>Historical</ns0:t>
        </ns0:is>
      </ns0:c>
      <ns0:c r="C59" s="19" t="inlineStr">
        <ns0:is>
          <ns0:t>Event Related Potential Analysis Using Machine Learning to Predict Diagnostic Outcome of Autism Spectrum Disorder</ns0:t>
        </ns0:is>
      </ns0:c>
      <ns0:c r="D59" s="19" t="inlineStr">
        <ns0:is>
          <ns0:t>10.1007/978-3-030-88163-4_7</ns0:t>
        </ns0:is>
      </ns0:c>
      <ns0:c r="E59" s="26" t="n">
        <ns0:v>2021</ns0:v>
      </ns0:c>
      <ns0:c r="F59" s="19" t="inlineStr">
        <ns0:is>
          <ns0:t>Include</ns0:t>
        </ns0:is>
      </ns0:c>
      <ns0:c r="G59" s="27">
        <ns0:f>IF(F59="Include",1,0)</ns0:f>
        <ns0:v>1</ns0:v>
      </ns0:c>
      <ns0:c r="H59" s="19" t="inlineStr">
        <ns0:is>
          <ns0:t>Prognosis</ns0:t>
        </ns0:is>
      </ns0:c>
      <ns0:c r="I59" s="19" t="inlineStr">
        <ns0:is>
          <ns0:t>Machine Learning</ns0:t>
        </ns0:is>
      </ns0:c>
      <ns0:c r="J59" s="19" t="inlineStr">
        <ns0:is>
          <ns0:t>Physiological signals</ns0:t>
        </ns0:is>
      </ns0:c>
      <ns0:c r="K59" s="19" t="inlineStr">
        <ns0:is>
          <ns0:t>Decision tree</ns0:t>
        </ns0:is>
      </ns0:c>
      <ns0:c r="L59" s="19" t="inlineStr">
        <ns0:is>
          <ns0:t>Decision tree/rules</ns0:t>
        </ns0:is>
      </ns0:c>
      <ns0:c r="M59" s="19" t="inlineStr">
        <ns0:is>
          <ns0:t>Research only</ns0:t>
        </ns0:is>
      </ns0:c>
      <ns0:c r="N59" s="19" t="inlineStr">
        <ns0:is>
          <ns0:t>Risk/trajectory estimation</ns0:t>
        </ns0:is>
      </ns0:c>
      <ns0:c r="O59" s="19" t="inlineStr">
        <ns0:is>
          <ns0:t>Not observed in assessed sources</ns0:t>
        </ns0:is>
      </ns0:c>
      <ns0:c r="P59" s="19" t="inlineStr">
        <ns0:is>
          <ns0:t>Not observed in assessed sources</ns0:t>
        </ns0:is>
      </ns0:c>
      <ns0:c r="Q59" s="19" t="inlineStr">
        <ns0:is>
          <ns0:t>Not reported in assessed sources</ns0:t>
        </ns0:is>
      </ns0:c>
      <ns0:c r="R59" s="19" t="inlineStr">
        <ns0:is>
          <ns0:t>Not reported in assessed sources</ns0:t>
        </ns0:is>
      </ns0:c>
      <ns0:c r="S59" s="19" t="inlineStr">
        <ns0:is>
          <ns0:t>Not reported in assessed sources</ns0:t>
        </ns0:is>
      </ns0:c>
      <ns0:c r="T59" s="19" t="inlineStr">
        <ns0:is>
          <ns0:t>Not reported in assessed sources</ns0:t>
        </ns0:is>
      </ns0:c>
      <ns0:c r="U59" s="19" t="inlineStr">
        <ns0:is>
          <ns0:t>Not reported in assessed sources</ns0:t>
        </ns0:is>
      </ns0:c>
      <ns0:c r="V59" s="19" t="inlineStr">
        <ns0:is>
          <ns0:t>Not reported in assessed sources</ns0:t>
        </ns0:is>
      </ns0:c>
      <ns0:c r="W59" s="19" t="inlineStr">
        <ns0:is>
          <ns0:t>Not reported in assessed sources</ns0:t>
        </ns0:is>
      </ns0:c>
      <ns0:c r="X59" s="19" t="inlineStr">
        <ns0:is>
          <ns0:t>Not reported in assessed sources</ns0:t>
        </ns0:is>
      </ns0:c>
      <ns0:c r="Y59" s="19" t="inlineStr">
        <ns0:is>
          <ns0:t>Reported</ns0:t>
        </ns0:is>
      </ns0:c>
      <ns0:c r="Z59" s="19" t="inlineStr">
        <ns0:is>
          <ns0:t>Not reported in assessed sources</ns0:t>
        </ns0:is>
      </ns0:c>
      <ns0:c r="AA59" s="19" t="inlineStr">
        <ns0:is>
          <ns0:t>Not recorded</ns0:t>
        </ns0:is>
      </ns0:c>
      <ns0:c r="AB59" s="26" t="n">
        <ns0:v>0</ns0:v>
      </ns0:c>
      <ns0:c r="AC59" s="26" t="n">
        <ns0:v>0</ns0:v>
      </ns0:c>
      <ns0:c r="AD59" s="27">
        <ns0:f>IF(AND(G59=1,AB59=0),1,0)</ns0:f>
        <ns0:v>1</ns0:v>
      </ns0:c>
      <ns0:c r="AE59" s="27">
        <ns0:f>IF(AND(AD59=1,AC59=0),1,0)</ns0:f>
        <ns0:v>1</ns0:v>
      </ns0:c>
      <ns0:c r="AF59" s="27">
        <ns0:f>IF(AND(G59=1,H59&lt;&gt;"Not specified"),1,0)</ns0:f>
        <ns0:v>1</ns0:v>
      </ns0:c>
      <ns0:c r="AG59" s="27">
        <ns0:f>IF(AND(AE59=1,AF59=1),1,0)</ns0:f>
        <ns0:v>1</ns0:v>
      </ns0:c>
      <ns0:c r="AH59" s="19" t="inlineStr">
        <ns0:is>
          <ns0:t>Supplied abstract/coding notes; no new full-text verification</ns0:t>
        </ns0:is>
      </ns0:c>
      <ns0:c r="AI59" s="19" t="inlineStr">
        <ns0:is>
          <ns0:t>https://doi.org/10.1007/978-3-030-88163-4_7</ns0:t>
        </ns0:is>
      </ns0:c>
      <ns0:c r="AJ59" s="19" t="inlineStr">
        <ns0:is>
          <ns0:t>EVIDENCIA; original abstract/coding notes and lot source trace; Historical signals: title/abstract/notes; full-text completion not independently established</ns0:t>
        </ns0:is>
      </ns0:c>
      <ns0:c r="AK59" s="19" t="inlineStr">
        <ns0:is>
          <ns0:t>Six-month infant EEG event-related potentials predict subsequent diagnostic outcome; visual stimuli are not image inputs to the model.</ns0:t>
        </ns0:is>
      </ns0:c>
      <ns0:c r="AL59" s="19" t="inlineStr">
        <ns0:is>
          <ns0:t>Not applicable</ns0:t>
        </ns0:is>
      </ns0:c>
      <ns0:c r="AM59" s="19" t="inlineStr">
        <ns0:is>
          <ns0:t>Not separately specified</ns0:t>
        </ns0:is>
      </ns0:c>
      <ns0:c r="AN59" s="19" t="inlineStr"/>
      <ns0:c r="AO59" s="19" t="inlineStr">
        <ns0:is>
          <ns0:t>No additional status determination</ns0:t>
        </ns0:is>
      </ns0:c>
      <ns0:c r="AP59" s="19" t="inlineStr">
        <ns0:is>
          <ns0:t>Not documented for this recharting</ns0:t>
        </ns0:is>
      </ns0:c>
      <ns0:c r="AQ59" s="19" t="inlineStr">
        <ns0:is>
          <ns0:t>ChatGPT-assisted evidence recharting, 2026-09-08</ns0:t>
        </ns0:is>
      </ns0:c>
      <ns0:c r="AR59" s="19" t="inlineStr"/>
      <ns0:c r="AS59" s="19" t="inlineStr">
        <ns0:is>
          <ns0:t>Not recorded; historical inclusion retained</ns0:t>
        </ns0:is>
      </ns0:c>
    </ns0:row>
    <ns0:row r="60" ht="50" customHeight="1">
      <ns0:c r="A60" s="21" t="inlineStr">
        <ns0:is>
          <ns0:t>59</ns0:t>
        </ns0:is>
      </ns0:c>
      <ns0:c r="B60" s="21" t="inlineStr">
        <ns0:is>
          <ns0:t>Historical</ns0:t>
        </ns0:is>
      </ns0:c>
      <ns0:c r="C60" s="21" t="inlineStr">
        <ns0:is>
          <ns0:t>Functional Connectivities Are More Informative Than Anatomical Variables in Diagnostic Classification of Autism</ns0:t>
        </ns0:is>
      </ns0:c>
      <ns0:c r="D60" s="21" t="inlineStr">
        <ns0:is>
          <ns0:t>10.1089/brain.2019.0689</ns0:t>
        </ns0:is>
      </ns0:c>
      <ns0:c r="E60" s="28" t="n">
        <ns0:v>2019</ns0:v>
      </ns0:c>
      <ns0:c r="F60" s="21" t="inlineStr">
        <ns0:is>
          <ns0:t>Include</ns0:t>
        </ns0:is>
      </ns0:c>
      <ns0:c r="G60" s="29">
        <ns0:f>IF(F60="Include",1,0)</ns0:f>
        <ns0:v>1</ns0:v>
      </ns0:c>
      <ns0:c r="H60" s="21" t="inlineStr">
        <ns0:is>
          <ns0:t>Diagnosis</ns0:t>
        </ns0:is>
      </ns0:c>
      <ns0:c r="I60" s="21" t="inlineStr">
        <ns0:is>
          <ns0:t>Machine Learning</ns0:t>
        </ns0:is>
      </ns0:c>
      <ns0:c r="J60" s="21" t="inlineStr">
        <ns0:is>
          <ns0:t>Neuroimaging</ns0:t>
        </ns0:is>
      </ns0:c>
      <ns0:c r="K60" s="21" t="inlineStr">
        <ns0:is>
          <ns0:t>Conditional random forest</ns0:t>
        </ns0:is>
      </ns0:c>
      <ns0:c r="L60" s="21" t="inlineStr">
        <ns0:is>
          <ns0:t>Random forest</ns0:t>
        </ns0:is>
      </ns0:c>
      <ns0:c r="M60" s="21" t="inlineStr">
        <ns0:is>
          <ns0:t>Research only</ns0:t>
        </ns0:is>
      </ns0:c>
      <ns0:c r="N60" s="21" t="inlineStr">
        <ns0:is>
          <ns0:t>Automated measurement/classification</ns0:t>
        </ns0:is>
      </ns0:c>
      <ns0:c r="O60" s="21" t="inlineStr">
        <ns0:is>
          <ns0:t>Not observed in assessed sources</ns0:t>
        </ns0:is>
      </ns0:c>
      <ns0:c r="P60" s="21" t="inlineStr">
        <ns0:is>
          <ns0:t>Not observed in assessed sources</ns0:t>
        </ns0:is>
      </ns0:c>
      <ns0:c r="Q60" s="21" t="inlineStr">
        <ns0:is>
          <ns0:t>Not reported in assessed sources</ns0:t>
        </ns0:is>
      </ns0:c>
      <ns0:c r="R60" s="21" t="inlineStr">
        <ns0:is>
          <ns0:t>Reported</ns0:t>
        </ns0:is>
      </ns0:c>
      <ns0:c r="S60" s="21" t="inlineStr">
        <ns0:is>
          <ns0:t>Not reported in assessed sources</ns0:t>
        </ns0:is>
      </ns0:c>
      <ns0:c r="T60" s="21" t="inlineStr">
        <ns0:is>
          <ns0:t>Not reported in assessed sources</ns0:t>
        </ns0:is>
      </ns0:c>
      <ns0:c r="U60" s="21" t="inlineStr">
        <ns0:is>
          <ns0:t>Not reported in assessed sources</ns0:t>
        </ns0:is>
      </ns0:c>
      <ns0:c r="V60" s="21" t="inlineStr">
        <ns0:is>
          <ns0:t>Not reported in assessed sources</ns0:t>
        </ns0:is>
      </ns0:c>
      <ns0:c r="W60" s="21" t="inlineStr">
        <ns0:is>
          <ns0:t>Reported</ns0:t>
        </ns0:is>
      </ns0:c>
      <ns0:c r="X60" s="21" t="inlineStr">
        <ns0:is>
          <ns0:t>Not reported in assessed sources</ns0:t>
        </ns0:is>
      </ns0:c>
      <ns0:c r="Y60" s="21" t="inlineStr">
        <ns0:is>
          <ns0:t>Not ascertainable</ns0:t>
        </ns0:is>
      </ns0:c>
      <ns0:c r="Z60" s="21" t="inlineStr">
        <ns0:is>
          <ns0:t>Not reported in assessed sources</ns0:t>
        </ns0:is>
      </ns0:c>
      <ns0:c r="AA60" s="21" t="inlineStr">
        <ns0:is>
          <ns0:t>Not recorded</ns0:t>
        </ns0:is>
      </ns0:c>
      <ns0:c r="AB60" s="28" t="n">
        <ns0:v>0</ns0:v>
      </ns0:c>
      <ns0:c r="AC60" s="28" t="n">
        <ns0:v>0</ns0:v>
      </ns0:c>
      <ns0:c r="AD60" s="29">
        <ns0:f>IF(AND(G60=1,AB60=0),1,0)</ns0:f>
        <ns0:v>1</ns0:v>
      </ns0:c>
      <ns0:c r="AE60" s="29">
        <ns0:f>IF(AND(AD60=1,AC60=0),1,0)</ns0:f>
        <ns0:v>1</ns0:v>
      </ns0:c>
      <ns0:c r="AF60" s="29">
        <ns0:f>IF(AND(G60=1,H60&lt;&gt;"Not specified"),1,0)</ns0:f>
        <ns0:v>1</ns0:v>
      </ns0:c>
      <ns0:c r="AG60" s="29">
        <ns0:f>IF(AND(AE60=1,AF60=1),1,0)</ns0:f>
        <ns0:v>1</ns0:v>
      </ns0:c>
      <ns0:c r="AH60" s="21" t="inlineStr">
        <ns0:is>
          <ns0:t>Supplied abstract/coding notes; no new full-text verification</ns0:t>
        </ns0:is>
      </ns0:c>
      <ns0:c r="AI60" s="21" t="inlineStr">
        <ns0:is>
          <ns0:t>https://doi.org/10.1089/brain.2019.0689</ns0:t>
        </ns0:is>
      </ns0:c>
      <ns0:c r="AJ60" s="21" t="inlineStr">
        <ns0:is>
          <ns0:t>EVIDENCIA; original abstract/coding notes and lot source trace; Historical signals: title/abstract/notes; full-text completion not independently established</ns0:t>
        </ns0:is>
      </ns0:c>
      <ns0:c r="AK60" s="21" t="inlineStr">
        <ns0:is>
          <ns0:t>Diagnostic comparison and explicit fusion of anatomical MRI, DWI and functional MRI; not monitoring or intervention.</ns0:t>
        </ns0:is>
      </ns0:c>
      <ns0:c r="AL60" s="21" t="inlineStr">
        <ns0:is>
          <ns0:t>Not applicable</ns0:t>
        </ns0:is>
      </ns0:c>
      <ns0:c r="AM60" s="21" t="inlineStr">
        <ns0:is>
          <ns0:t>Not separately specified</ns0:t>
        </ns0:is>
      </ns0:c>
      <ns0:c r="AN60" s="21" t="inlineStr"/>
      <ns0:c r="AO60" s="21" t="inlineStr">
        <ns0:is>
          <ns0:t>No additional status determination</ns0:t>
        </ns0:is>
      </ns0:c>
      <ns0:c r="AP60" s="21" t="inlineStr">
        <ns0:is>
          <ns0:t>Not documented for this recharting</ns0:t>
        </ns0:is>
      </ns0:c>
      <ns0:c r="AQ60" s="21" t="inlineStr">
        <ns0:is>
          <ns0:t>ChatGPT-assisted evidence recharting, 2026-09-08</ns0:t>
        </ns0:is>
      </ns0:c>
      <ns0:c r="AR60" s="21" t="inlineStr"/>
      <ns0:c r="AS60" s="21" t="inlineStr">
        <ns0:is>
          <ns0:t>Not recorded; historical inclusion retained</ns0:t>
        </ns0:is>
      </ns0:c>
    </ns0:row>
    <ns0:row r="61" ht="50" customHeight="1">
      <ns0:c r="A61" s="19" t="inlineStr">
        <ns0:is>
          <ns0:t>60</ns0:t>
        </ns0:is>
      </ns0:c>
      <ns0:c r="B61" s="19" t="inlineStr">
        <ns0:is>
          <ns0:t>Historical</ns0:t>
        </ns0:is>
      </ns0:c>
      <ns0:c r="C61" s="19" t="inlineStr">
        <ns0:is>
          <ns0:t>Hyperuricemia and Metabolic Adverse Effect in Children and Adolescents with Autism Spectrum Disorder Treated with Risperidone</ns0:t>
        </ns0:is>
      </ns0:c>
      <ns0:c r="D61" s="19" t="inlineStr">
        <ns0:is>
          <ns0:t>10.1016/j.eurpsy.2017.02.198</ns0:t>
        </ns0:is>
      </ns0:c>
      <ns0:c r="E61" s="26" t="n">
        <ns0:v>2017</ns0:v>
      </ns0:c>
      <ns0:c r="F61" s="30" t="inlineStr">
        <ns0:is>
          <ns0:t>Exclude</ns0:t>
        </ns0:is>
      </ns0:c>
      <ns0:c r="G61" s="27">
        <ns0:f>IF(F61="Include",1,0)</ns0:f>
        <ns0:v>0</ns0:v>
      </ns0:c>
      <ns0:c r="H61" s="19" t="inlineStr">
        <ns0:is>
          <ns0:t>Excluded</ns0:t>
        </ns0:is>
      </ns0:c>
      <ns0:c r="I61" s="19" t="inlineStr">
        <ns0:is>
          <ns0:t>Excluded</ns0:t>
        </ns0:is>
      </ns0:c>
      <ns0:c r="J61" s="19" t="inlineStr">
        <ns0:is>
          <ns0:t>Excluded</ns0:t>
        </ns0:is>
      </ns0:c>
      <ns0:c r="K61" s="19" t="inlineStr">
        <ns0:is>
          <ns0:t>Other / Not clear</ns0:t>
        </ns0:is>
      </ns0:c>
      <ns0:c r="L61" s="19" t="inlineStr">
        <ns0:is>
          <ns0:t>Other specified method</ns0:t>
        </ns0:is>
      </ns0:c>
      <ns0:c r="M61" s="19" t="inlineStr">
        <ns0:is>
          <ns0:t>Excluded</ns0:t>
        </ns0:is>
      </ns0:c>
      <ns0:c r="N61" s="19" t="inlineStr">
        <ns0:is>
          <ns0:t>Excluded</ns0:t>
        </ns0:is>
      </ns0:c>
      <ns0:c r="O61" s="19" t="inlineStr">
        <ns0:is>
          <ns0:t>Not applicable - excluded</ns0:t>
        </ns0:is>
      </ns0:c>
      <ns0:c r="P61" s="19" t="inlineStr">
        <ns0:is>
          <ns0:t>Not applicable - excluded</ns0:t>
        </ns0:is>
      </ns0:c>
      <ns0:c r="Q61" s="19" t="inlineStr">
        <ns0:is>
          <ns0:t>Not reported in assessed sources</ns0:t>
        </ns0:is>
      </ns0:c>
      <ns0:c r="R61" s="19" t="inlineStr">
        <ns0:is>
          <ns0:t>Not ascertainable</ns0:t>
        </ns0:is>
      </ns0:c>
      <ns0:c r="S61" s="19" t="inlineStr">
        <ns0:is>
          <ns0:t>Not reported in assessed sources</ns0:t>
        </ns0:is>
      </ns0:c>
      <ns0:c r="T61" s="19" t="inlineStr">
        <ns0:is>
          <ns0:t>Not reported in assessed sources</ns0:t>
        </ns0:is>
      </ns0:c>
      <ns0:c r="U61" s="19" t="inlineStr">
        <ns0:is>
          <ns0:t>Not reported in assessed sources</ns0:t>
        </ns0:is>
      </ns0:c>
      <ns0:c r="V61" s="19" t="inlineStr">
        <ns0:is>
          <ns0:t>Not reported in assessed sources</ns0:t>
        </ns0:is>
      </ns0:c>
      <ns0:c r="W61" s="19" t="inlineStr">
        <ns0:is>
          <ns0:t>Reported</ns0:t>
        </ns0:is>
      </ns0:c>
      <ns0:c r="X61" s="19" t="inlineStr">
        <ns0:is>
          <ns0:t>Not reported in assessed sources</ns0:t>
        </ns0:is>
      </ns0:c>
      <ns0:c r="Y61" s="19" t="inlineStr">
        <ns0:is>
          <ns0:t>Not ascertainable</ns0:t>
        </ns0:is>
      </ns0:c>
      <ns0:c r="Z61" s="19" t="inlineStr">
        <ns0:is>
          <ns0:t>Not reported in assessed sources</ns0:t>
        </ns0:is>
      </ns0:c>
      <ns0:c r="AA61" s="19" t="inlineStr">
        <ns0:is>
          <ns0:t>Not recorded</ns0:t>
        </ns0:is>
      </ns0:c>
      <ns0:c r="AB61" s="26" t="n">
        <ns0:v>0</ns0:v>
      </ns0:c>
      <ns0:c r="AC61" s="26" t="n">
        <ns0:v>0</ns0:v>
      </ns0:c>
      <ns0:c r="AD61" s="27">
        <ns0:f>IF(AND(G61=1,AB61=0),1,0)</ns0:f>
        <ns0:v>0</ns0:v>
      </ns0:c>
      <ns0:c r="AE61" s="27">
        <ns0:f>IF(AND(AD61=1,AC61=0),1,0)</ns0:f>
        <ns0:v>0</ns0:v>
      </ns0:c>
      <ns0:c r="AF61" s="27">
        <ns0:f>IF(AND(G61=1,H61&lt;&gt;"Not specified"),1,0)</ns0:f>
        <ns0:v>0</ns0:v>
      </ns0:c>
      <ns0:c r="AG61" s="27">
        <ns0:f>IF(AND(AE61=1,AF61=1),1,0)</ns0:f>
        <ns0:v>0</ns0:v>
      </ns0:c>
      <ns0:c r="AH61" s="19" t="inlineStr">
        <ns0:is>
          <ns0:t>Supplied abstract/coding notes; no new full-text verification</ns0:t>
        </ns0:is>
      </ns0:c>
      <ns0:c r="AI61" s="19" t="inlineStr">
        <ns0:is>
          <ns0:t>https://doi.org/10.1016/j.eurpsy.2017.02.198</ns0:t>
        </ns0:is>
      </ns0:c>
      <ns0:c r="AJ61" s="19" t="inlineStr">
        <ns0:is>
          <ns0:t>EVIDENCIA; original abstract/coding notes and lot source trace; Historical signals: title/abstract/notes; full-text completion not independently established</ns0:t>
        </ns0:is>
      </ns0:c>
      <ns0:c r="AK61" s="19" t="inlineStr">
        <ns0:is>
          <ns0:t>Cross-sectional biochemical adverse-effect prevalence/correlation study, with no computational predictive model in the supplied report description.</ns0:t>
        </ns0:is>
      </ns0:c>
      <ns0:c r="AL61" s="19" t="inlineStr">
        <ns0:is>
          <ns0:t>EC3 No qualifying AI evaluation</ns0:t>
        </ns0:is>
      </ns0:c>
      <ns0:c r="AM61" s="19" t="inlineStr">
        <ns0:is>
          <ns0:t>Not separately specified</ns0:t>
        </ns0:is>
      </ns0:c>
      <ns0:c r="AN61" s="19" t="inlineStr"/>
      <ns0:c r="AO61" s="19" t="inlineStr">
        <ns0:is>
          <ns0:t>No additional status determination</ns0:t>
        </ns0:is>
      </ns0:c>
      <ns0:c r="AP61" s="19" t="inlineStr">
        <ns0:is>
          <ns0:t>Not documented for this recharting</ns0:t>
        </ns0:is>
      </ns0:c>
      <ns0:c r="AQ61" s="19" t="inlineStr">
        <ns0:is>
          <ns0:t>ChatGPT-assisted evidence recharting, 2026-09-08</ns0:t>
        </ns0:is>
      </ns0:c>
      <ns0:c r="AR61" s="19" t="inlineStr">
        <ns0:is>
          <ns0:t>RA</ns0:t>
        </ns0:is>
      </ns0:c>
      <ns0:c r="AS61" s="19" t="inlineStr">
        <ns0:is>
          <ns0:t>Not recorded; historical inclusion retained</ns0:t>
        </ns0:is>
      </ns0:c>
    </ns0:row>
    <ns0:row r="62" ht="50" customHeight="1">
      <ns0:c r="A62" s="21" t="inlineStr">
        <ns0:is>
          <ns0:t>61</ns0:t>
        </ns0:is>
      </ns0:c>
      <ns0:c r="B62" s="21" t="inlineStr">
        <ns0:is>
          <ns0:t>Historical</ns0:t>
        </ns0:is>
      </ns0:c>
      <ns0:c r="C62" s="21" t="inlineStr">
        <ns0:is>
          <ns0:t>Identifying Visual Attention Features Accurately Discerning Between Autism and Typically Developing: a Deep Learning Framework</ns0:t>
        </ns0:is>
      </ns0:c>
      <ns0:c r="D62" s="21" t="inlineStr">
        <ns0:is>
          <ns0:t>10.1007/s12539-022-00510-6</ns0:t>
        </ns0:is>
      </ns0:c>
      <ns0:c r="E62" s="28" t="n">
        <ns0:v>2022</ns0:v>
      </ns0:c>
      <ns0:c r="F62" s="21" t="inlineStr">
        <ns0:is>
          <ns0:t>Include</ns0:t>
        </ns0:is>
      </ns0:c>
      <ns0:c r="G62" s="29">
        <ns0:f>IF(F62="Include",1,0)</ns0:f>
        <ns0:v>1</ns0:v>
      </ns0:c>
      <ns0:c r="H62" s="21" t="inlineStr">
        <ns0:is>
          <ns0:t>Diagnosis</ns0:t>
        </ns0:is>
      </ns0:c>
      <ns0:c r="I62" s="21" t="inlineStr">
        <ns0:is>
          <ns0:t>Deep Learning</ns0:t>
        </ns0:is>
      </ns0:c>
      <ns0:c r="J62" s="21" t="inlineStr">
        <ns0:is>
          <ns0:t>Behavioral images/video/gaze/movement</ns0:t>
        </ns0:is>
      </ns0:c>
      <ns0:c r="K62" s="21" t="inlineStr">
        <ns0:is>
          <ns0:t>Two-stream VGG16 framework</ns0:t>
        </ns0:is>
      </ns0:c>
      <ns0:c r="L62" s="21" t="inlineStr">
        <ns0:is>
          <ns0:t>CNN</ns0:t>
        </ns0:is>
      </ns0:c>
      <ns0:c r="M62" s="21" t="inlineStr">
        <ns0:is>
          <ns0:t>Proposed only</ns0:t>
        </ns0:is>
      </ns0:c>
      <ns0:c r="N62" s="21" t="inlineStr">
        <ns0:is>
          <ns0:t>Diagnostic decision support</ns0:t>
        </ns0:is>
      </ns0:c>
      <ns0:c r="O62" s="21" t="inlineStr">
        <ns0:is>
          <ns0:t>In-decision</ns0:t>
        </ns0:is>
      </ns0:c>
      <ns0:c r="P62" s="21" t="inlineStr">
        <ns0:is>
          <ns0:t>Not observed in assessed sources</ns0:t>
        </ns0:is>
      </ns0:c>
      <ns0:c r="Q62" s="21" t="inlineStr">
        <ns0:is>
          <ns0:t>Not reported in assessed sources</ns0:t>
        </ns0:is>
      </ns0:c>
      <ns0:c r="R62" s="21" t="inlineStr">
        <ns0:is>
          <ns0:t>Not reported in assessed sources</ns0:t>
        </ns0:is>
      </ns0:c>
      <ns0:c r="S62" s="21" t="inlineStr">
        <ns0:is>
          <ns0:t>Not ascertainable</ns0:t>
        </ns0:is>
      </ns0:c>
      <ns0:c r="T62" s="21" t="inlineStr">
        <ns0:is>
          <ns0:t>Not ascertainable</ns0:t>
        </ns0:is>
      </ns0:c>
      <ns0:c r="U62" s="21" t="inlineStr">
        <ns0:is>
          <ns0:t>Not reported in assessed sources</ns0:t>
        </ns0:is>
      </ns0:c>
      <ns0:c r="V62" s="21" t="inlineStr">
        <ns0:is>
          <ns0:t>Not reported in assessed sources</ns0:t>
        </ns0:is>
      </ns0:c>
      <ns0:c r="W62" s="21" t="inlineStr">
        <ns0:is>
          <ns0:t>Not reported in assessed sources</ns0:t>
        </ns0:is>
      </ns0:c>
      <ns0:c r="X62" s="21" t="inlineStr">
        <ns0:is>
          <ns0:t>Not reported in assessed sources</ns0:t>
        </ns0:is>
      </ns0:c>
      <ns0:c r="Y62" s="21" t="inlineStr">
        <ns0:is>
          <ns0:t>Not ascertainable</ns0:t>
        </ns0:is>
      </ns0:c>
      <ns0:c r="Z62" s="21" t="inlineStr">
        <ns0:is>
          <ns0:t>Not ascertainable</ns0:t>
        </ns0:is>
      </ns0:c>
      <ns0:c r="AA62" s="21" t="inlineStr">
        <ns0:is>
          <ns0:t>Not recorded</ns0:t>
        </ns0:is>
      </ns0:c>
      <ns0:c r="AB62" s="28" t="n">
        <ns0:v>0</ns0:v>
      </ns0:c>
      <ns0:c r="AC62" s="28" t="n">
        <ns0:v>0</ns0:v>
      </ns0:c>
      <ns0:c r="AD62" s="29">
        <ns0:f>IF(AND(G62=1,AB62=0),1,0)</ns0:f>
        <ns0:v>1</ns0:v>
      </ns0:c>
      <ns0:c r="AE62" s="29">
        <ns0:f>IF(AND(AD62=1,AC62=0),1,0)</ns0:f>
        <ns0:v>1</ns0:v>
      </ns0:c>
      <ns0:c r="AF62" s="29">
        <ns0:f>IF(AND(G62=1,H62&lt;&gt;"Not specified"),1,0)</ns0:f>
        <ns0:v>1</ns0:v>
      </ns0:c>
      <ns0:c r="AG62" s="29">
        <ns0:f>IF(AND(AE62=1,AF62=1),1,0)</ns0:f>
        <ns0:v>1</ns0:v>
      </ns0:c>
      <ns0:c r="AH62" s="21" t="inlineStr">
        <ns0:is>
          <ns0:t>Supplied abstract/coding notes; no new full-text verification</ns0:t>
        </ns0:is>
      </ns0:c>
      <ns0:c r="AI62" s="21" t="inlineStr">
        <ns0:is>
          <ns0:t>https://doi.org/10.1007/s12539-022-00510-6</ns0:t>
        </ns0:is>
      </ns0:c>
      <ns0:c r="AJ62" s="21" t="inlineStr">
        <ns0:is>
          <ns0:t>EVIDENCIA; original abstract/coding notes and lot source trace; Historical signals: title/abstract/notes; full-text completion not independently established</ns0:t>
        </ns0:is>
      </ns0:c>
      <ns0:c r="AK62" s="21" t="inlineStr">
        <ns0:is>
          <ns0:t>Visual-attention classification and explicit feature-dissection by segmentation and image ablation. No longitudinal intervention was evaluated.</ns0:t>
        </ns0:is>
      </ns0:c>
      <ns0:c r="AL62" s="21" t="inlineStr">
        <ns0:is>
          <ns0:t>Not applicable</ns0:t>
        </ns0:is>
      </ns0:c>
      <ns0:c r="AM62" s="21" t="inlineStr">
        <ns0:is>
          <ns0:t>Not separately specified</ns0:t>
        </ns0:is>
      </ns0:c>
      <ns0:c r="AN62" s="21" t="inlineStr"/>
      <ns0:c r="AO62" s="21" t="inlineStr">
        <ns0:is>
          <ns0:t>No additional status determination</ns0:t>
        </ns0:is>
      </ns0:c>
      <ns0:c r="AP62" s="21" t="inlineStr">
        <ns0:is>
          <ns0:t>Not documented for this recharting</ns0:t>
        </ns0:is>
      </ns0:c>
      <ns0:c r="AQ62" s="21" t="inlineStr">
        <ns0:is>
          <ns0:t>ChatGPT-assisted evidence recharting, 2026-09-08</ns0:t>
        </ns0:is>
      </ns0:c>
      <ns0:c r="AR62" s="21" t="inlineStr"/>
      <ns0:c r="AS62" s="21" t="inlineStr">
        <ns0:is>
          <ns0:t>Not recorded; historical inclusion retained</ns0:t>
        </ns0:is>
      </ns0:c>
    </ns0:row>
    <ns0:row r="63" ht="50" customHeight="1">
      <ns0:c r="A63" s="19" t="inlineStr">
        <ns0:is>
          <ns0:t>62</ns0:t>
        </ns0:is>
      </ns0:c>
      <ns0:c r="B63" s="19" t="inlineStr">
        <ns0:is>
          <ns0:t>Historical</ns0:t>
        </ns0:is>
      </ns0:c>
      <ns0:c r="C63" s="19" t="inlineStr">
        <ns0:is>
          <ns0:t>Impact of DRD2 polymorphisms on prolactin level in risperidone-treated Thai children and adolescent with autism spectrum disorders</ns0:t>
        </ns0:is>
      </ns0:c>
      <ns0:c r="D63" s="19" t="inlineStr">
        <ns0:is>
          <ns0:t>10.1016/j.eurpsy.2016.01.060</ns0:t>
        </ns0:is>
      </ns0:c>
      <ns0:c r="E63" s="26" t="n">
        <ns0:v>2016</ns0:v>
      </ns0:c>
      <ns0:c r="F63" s="30" t="inlineStr">
        <ns0:is>
          <ns0:t>Exclude</ns0:t>
        </ns0:is>
      </ns0:c>
      <ns0:c r="G63" s="27">
        <ns0:f>IF(F63="Include",1,0)</ns0:f>
        <ns0:v>0</ns0:v>
      </ns0:c>
      <ns0:c r="H63" s="19" t="inlineStr">
        <ns0:is>
          <ns0:t>Excluded</ns0:t>
        </ns0:is>
      </ns0:c>
      <ns0:c r="I63" s="19" t="inlineStr">
        <ns0:is>
          <ns0:t>Excluded</ns0:t>
        </ns0:is>
      </ns0:c>
      <ns0:c r="J63" s="19" t="inlineStr">
        <ns0:is>
          <ns0:t>Excluded</ns0:t>
        </ns0:is>
      </ns0:c>
      <ns0:c r="K63" s="19" t="inlineStr">
        <ns0:is>
          <ns0:t>Other / Not clear</ns0:t>
        </ns0:is>
      </ns0:c>
      <ns0:c r="L63" s="19" t="inlineStr">
        <ns0:is>
          <ns0:t>Other specified method</ns0:t>
        </ns0:is>
      </ns0:c>
      <ns0:c r="M63" s="19" t="inlineStr">
        <ns0:is>
          <ns0:t>Excluded</ns0:t>
        </ns0:is>
      </ns0:c>
      <ns0:c r="N63" s="19" t="inlineStr">
        <ns0:is>
          <ns0:t>Excluded</ns0:t>
        </ns0:is>
      </ns0:c>
      <ns0:c r="O63" s="19" t="inlineStr">
        <ns0:is>
          <ns0:t>Not applicable - excluded</ns0:t>
        </ns0:is>
      </ns0:c>
      <ns0:c r="P63" s="19" t="inlineStr">
        <ns0:is>
          <ns0:t>Not applicable - excluded</ns0:t>
        </ns0:is>
      </ns0:c>
      <ns0:c r="Q63" s="19" t="inlineStr">
        <ns0:is>
          <ns0:t>Not reported in assessed sources</ns0:t>
        </ns0:is>
      </ns0:c>
      <ns0:c r="R63" s="19" t="inlineStr">
        <ns0:is>
          <ns0:t>Not ascertainable</ns0:t>
        </ns0:is>
      </ns0:c>
      <ns0:c r="S63" s="19" t="inlineStr">
        <ns0:is>
          <ns0:t>Not reported in assessed sources</ns0:t>
        </ns0:is>
      </ns0:c>
      <ns0:c r="T63" s="19" t="inlineStr">
        <ns0:is>
          <ns0:t>Not reported in assessed sources</ns0:t>
        </ns0:is>
      </ns0:c>
      <ns0:c r="U63" s="19" t="inlineStr">
        <ns0:is>
          <ns0:t>Not reported in assessed sources</ns0:t>
        </ns0:is>
      </ns0:c>
      <ns0:c r="V63" s="19" t="inlineStr">
        <ns0:is>
          <ns0:t>Not reported in assessed sources</ns0:t>
        </ns0:is>
      </ns0:c>
      <ns0:c r="W63" s="19" t="inlineStr">
        <ns0:is>
          <ns0:t>Reported</ns0:t>
        </ns0:is>
      </ns0:c>
      <ns0:c r="X63" s="19" t="inlineStr">
        <ns0:is>
          <ns0:t>Not reported in assessed sources</ns0:t>
        </ns0:is>
      </ns0:c>
      <ns0:c r="Y63" s="19" t="inlineStr">
        <ns0:is>
          <ns0:t>Not ascertainable</ns0:t>
        </ns0:is>
      </ns0:c>
      <ns0:c r="Z63" s="19" t="inlineStr">
        <ns0:is>
          <ns0:t>Not reported in assessed sources</ns0:t>
        </ns0:is>
      </ns0:c>
      <ns0:c r="AA63" s="19" t="inlineStr">
        <ns0:is>
          <ns0:t>Not recorded</ns0:t>
        </ns0:is>
      </ns0:c>
      <ns0:c r="AB63" s="26" t="n">
        <ns0:v>0</ns0:v>
      </ns0:c>
      <ns0:c r="AC63" s="26" t="n">
        <ns0:v>0</ns0:v>
      </ns0:c>
      <ns0:c r="AD63" s="27">
        <ns0:f>IF(AND(G63=1,AB63=0),1,0)</ns0:f>
        <ns0:v>0</ns0:v>
      </ns0:c>
      <ns0:c r="AE63" s="27">
        <ns0:f>IF(AND(AD63=1,AC63=0),1,0)</ns0:f>
        <ns0:v>0</ns0:v>
      </ns0:c>
      <ns0:c r="AF63" s="27">
        <ns0:f>IF(AND(G63=1,H63&lt;&gt;"Not specified"),1,0)</ns0:f>
        <ns0:v>0</ns0:v>
      </ns0:c>
      <ns0:c r="AG63" s="27">
        <ns0:f>IF(AND(AE63=1,AF63=1),1,0)</ns0:f>
        <ns0:v>0</ns0:v>
      </ns0:c>
      <ns0:c r="AH63" s="19" t="inlineStr">
        <ns0:is>
          <ns0:t>Supplied abstract/coding notes; no new full-text verification</ns0:t>
        </ns0:is>
      </ns0:c>
      <ns0:c r="AI63" s="19" t="inlineStr">
        <ns0:is>
          <ns0:t>https://doi.org/10.1016/j.eurpsy.2016.01.060</ns0:t>
        </ns0:is>
      </ns0:c>
      <ns0:c r="AJ63" s="19" t="inlineStr">
        <ns0:is>
          <ns0:t>EVIDENCIA; original abstract/coding notes and lot source trace; Historical signals: title/abstract/notes; full-text completion not independently established</ns0:t>
        </ns0:is>
      </ns0:c>
      <ns0:c r="AK63" s="19" t="inlineStr">
        <ns0:is>
          <ns0:t>Pharmacogenetic group comparison of prolactin; reported PCR genotyping and inferential tests do not establish ML.</ns0:t>
        </ns0:is>
      </ns0:c>
      <ns0:c r="AL63" s="19" t="inlineStr">
        <ns0:is>
          <ns0:t>EC3 No qualifying AI evaluation</ns0:t>
        </ns0:is>
      </ns0:c>
      <ns0:c r="AM63" s="19" t="inlineStr">
        <ns0:is>
          <ns0:t>Not separately specified</ns0:t>
        </ns0:is>
      </ns0:c>
      <ns0:c r="AN63" s="19" t="inlineStr"/>
      <ns0:c r="AO63" s="19" t="inlineStr">
        <ns0:is>
          <ns0:t>No additional status determination</ns0:t>
        </ns0:is>
      </ns0:c>
      <ns0:c r="AP63" s="19" t="inlineStr">
        <ns0:is>
          <ns0:t>Not documented for this recharting</ns0:t>
        </ns0:is>
      </ns0:c>
      <ns0:c r="AQ63" s="19" t="inlineStr">
        <ns0:is>
          <ns0:t>ChatGPT-assisted evidence recharting, 2026-09-08</ns0:t>
        </ns0:is>
      </ns0:c>
      <ns0:c r="AR63" s="19" t="inlineStr">
        <ns0:is>
          <ns0:t>RA</ns0:t>
        </ns0:is>
      </ns0:c>
      <ns0:c r="AS63" s="19" t="inlineStr">
        <ns0:is>
          <ns0:t>Not recorded; historical inclusion retained</ns0:t>
        </ns0:is>
      </ns0:c>
    </ns0:row>
    <ns0:row r="64" ht="50" customHeight="1">
      <ns0:c r="A64" s="21" t="inlineStr">
        <ns0:is>
          <ns0:t>63</ns0:t>
        </ns0:is>
      </ns0:c>
      <ns0:c r="B64" s="21" t="inlineStr">
        <ns0:is>
          <ns0:t>Historical</ns0:t>
        </ns0:is>
      </ns0:c>
      <ns0:c r="C64" s="21" t="inlineStr">
        <ns0:is>
          <ns0:t>Improving fMRI-Based Autism Severity Identification via Brain Network Distance and Adaptive Label Distribution Learning</ns0:t>
        </ns0:is>
      </ns0:c>
      <ns0:c r="D64" s="21" t="inlineStr">
        <ns0:is>
          <ns0:t>10.1109/tnsre.2024.3516216</ns0:t>
        </ns0:is>
      </ns0:c>
      <ns0:c r="E64" s="28" t="n">
        <ns0:v>2025</ns0:v>
      </ns0:c>
      <ns0:c r="F64" s="21" t="inlineStr">
        <ns0:is>
          <ns0:t>Include</ns0:t>
        </ns0:is>
      </ns0:c>
      <ns0:c r="G64" s="29">
        <ns0:f>IF(F64="Include",1,0)</ns0:f>
        <ns0:v>1</ns0:v>
      </ns0:c>
      <ns0:c r="H64" s="21" t="inlineStr">
        <ns0:is>
          <ns0:t>Diagnosis</ns0:t>
        </ns0:is>
      </ns0:c>
      <ns0:c r="I64" s="21" t="inlineStr">
        <ns0:is>
          <ns0:t>Machine Learning</ns0:t>
        </ns0:is>
      </ns0:c>
      <ns0:c r="J64" s="21" t="inlineStr">
        <ns0:is>
          <ns0:t>Neuroimaging</ns0:t>
        </ns0:is>
      </ns0:c>
      <ns0:c r="K64" s="21" t="inlineStr">
        <ns0:is>
          <ns0:t>HBFND-AMLD adaptive label-distribution learning</ns0:t>
        </ns0:is>
      </ns0:c>
      <ns0:c r="L64" s="21" t="inlineStr">
        <ns0:is>
          <ns0:t>Other specified method</ns0:t>
        </ns0:is>
      </ns0:c>
      <ns0:c r="M64" s="21" t="inlineStr">
        <ns0:is>
          <ns0:t>Proposed only</ns0:t>
        </ns0:is>
      </ns0:c>
      <ns0:c r="N64" s="21" t="inlineStr">
        <ns0:is>
          <ns0:t>Diagnostic decision support</ns0:t>
        </ns0:is>
      </ns0:c>
      <ns0:c r="O64" s="21" t="inlineStr">
        <ns0:is>
          <ns0:t>In-decision</ns0:t>
        </ns0:is>
      </ns0:c>
      <ns0:c r="P64" s="21" t="inlineStr">
        <ns0:is>
          <ns0:t>Not observed in assessed sources</ns0:t>
        </ns0:is>
      </ns0:c>
      <ns0:c r="Q64" s="21" t="inlineStr">
        <ns0:is>
          <ns0:t>Not reported in assessed sources</ns0:t>
        </ns0:is>
      </ns0:c>
      <ns0:c r="R64" s="21" t="inlineStr">
        <ns0:is>
          <ns0:t>Not reported in assessed sources</ns0:t>
        </ns0:is>
      </ns0:c>
      <ns0:c r="S64" s="21" t="inlineStr">
        <ns0:is>
          <ns0:t>Not reported in assessed sources</ns0:t>
        </ns0:is>
      </ns0:c>
      <ns0:c r="T64" s="21" t="inlineStr">
        <ns0:is>
          <ns0:t>Not reported in assessed sources</ns0:t>
        </ns0:is>
      </ns0:c>
      <ns0:c r="U64" s="21" t="inlineStr">
        <ns0:is>
          <ns0:t>Not reported in assessed sources</ns0:t>
        </ns0:is>
      </ns0:c>
      <ns0:c r="V64" s="21" t="inlineStr">
        <ns0:is>
          <ns0:t>Reported</ns0:t>
        </ns0:is>
      </ns0:c>
      <ns0:c r="W64" s="21" t="inlineStr">
        <ns0:is>
          <ns0:t>Not reported in assessed sources</ns0:t>
        </ns0:is>
      </ns0:c>
      <ns0:c r="X64" s="21" t="inlineStr">
        <ns0:is>
          <ns0:t>Not reported in assessed sources</ns0:t>
        </ns0:is>
      </ns0:c>
      <ns0:c r="Y64" s="21" t="inlineStr">
        <ns0:is>
          <ns0:t>Not ascertainable</ns0:t>
        </ns0:is>
      </ns0:c>
      <ns0:c r="Z64" s="21" t="inlineStr">
        <ns0:is>
          <ns0:t>Not reported in assessed sources</ns0:t>
        </ns0:is>
      </ns0:c>
      <ns0:c r="AA64" s="21" t="inlineStr">
        <ns0:is>
          <ns0:t>Not recorded</ns0:t>
        </ns0:is>
      </ns0:c>
      <ns0:c r="AB64" s="28" t="n">
        <ns0:v>0</ns0:v>
      </ns0:c>
      <ns0:c r="AC64" s="28" t="n">
        <ns0:v>0</ns0:v>
      </ns0:c>
      <ns0:c r="AD64" s="29">
        <ns0:f>IF(AND(G64=1,AB64=0),1,0)</ns0:f>
        <ns0:v>1</ns0:v>
      </ns0:c>
      <ns0:c r="AE64" s="29">
        <ns0:f>IF(AND(AD64=1,AC64=0),1,0)</ns0:f>
        <ns0:v>1</ns0:v>
      </ns0:c>
      <ns0:c r="AF64" s="29">
        <ns0:f>IF(AND(G64=1,H64&lt;&gt;"Not specified"),1,0)</ns0:f>
        <ns0:v>1</ns0:v>
      </ns0:c>
      <ns0:c r="AG64" s="29">
        <ns0:f>IF(AND(AE64=1,AF64=1),1,0)</ns0:f>
        <ns0:v>1</ns0:v>
      </ns0:c>
      <ns0:c r="AH64" s="21" t="inlineStr">
        <ns0:is>
          <ns0:t>Supplied abstract/coding notes; no new full-text verification</ns0:t>
        </ns0:is>
      </ns0:c>
      <ns0:c r="AI64" s="21" t="inlineStr">
        <ns0:is>
          <ns0:t>https://doi.org/10.1109/tnsre.2024.3516216</ns0:t>
        </ns0:is>
      </ns0:c>
      <ns0:c r="AJ64" s="21" t="inlineStr">
        <ns0:is>
          <ns0:t>EVIDENCIA; original abstract/coding notes and lot source trace; Historical signals: title/abstract/notes; full-text completion not independently established</ns0:t>
        </ns0:is>
      </ns0:c>
      <ns0:c r="AK64" s="21" t="inlineStr">
        <ns0:is>
          <ns0:t>Current symptom-severity identification from fMRI, not prediction of future course. The named method is retained rather than forcing it into an unsupported MLP family.</ns0:t>
        </ns0:is>
      </ns0:c>
      <ns0:c r="AL64" s="21" t="inlineStr">
        <ns0:is>
          <ns0:t>Not applicable</ns0:t>
        </ns0:is>
      </ns0:c>
      <ns0:c r="AM64" s="21" t="inlineStr">
        <ns0:is>
          <ns0:t>Not separately specified</ns0:t>
        </ns0:is>
      </ns0:c>
      <ns0:c r="AN64" s="21" t="inlineStr"/>
      <ns0:c r="AO64" s="21" t="inlineStr">
        <ns0:is>
          <ns0:t>No additional status determination</ns0:t>
        </ns0:is>
      </ns0:c>
      <ns0:c r="AP64" s="21" t="inlineStr">
        <ns0:is>
          <ns0:t>Not documented for this recharting</ns0:t>
        </ns0:is>
      </ns0:c>
      <ns0:c r="AQ64" s="21" t="inlineStr">
        <ns0:is>
          <ns0:t>ChatGPT-assisted evidence recharting, 2026-09-08</ns0:t>
        </ns0:is>
      </ns0:c>
      <ns0:c r="AR64" s="21" t="inlineStr">
        <ns0:is>
          <ns0:t>RA</ns0:t>
        </ns0:is>
      </ns0:c>
      <ns0:c r="AS64" s="21" t="inlineStr">
        <ns0:is>
          <ns0:t>Not recorded; historical inclusion retained</ns0:t>
        </ns0:is>
      </ns0:c>
    </ns0:row>
    <ns0:row r="65" ht="50" customHeight="1">
      <ns0:c r="A65" s="19" t="inlineStr">
        <ns0:is>
          <ns0:t>64</ns0:t>
        </ns0:is>
      </ns0:c>
      <ns0:c r="B65" s="19" t="inlineStr">
        <ns0:is>
          <ns0:t>Historical</ns0:t>
        </ns0:is>
      </ns0:c>
      <ns0:c r="C65" s="19" t="inlineStr">
        <ns0:is>
          <ns0:t>Leveraging hybrid model of ConvNextBase and LightGBM for early ASD detection via eye-gaze analysis</ns0:t>
        </ns0:is>
      </ns0:c>
      <ns0:c r="D65" s="19" t="inlineStr">
        <ns0:is>
          <ns0:t>10.1016/j.mex.2025.103166</ns0:t>
        </ns0:is>
      </ns0:c>
      <ns0:c r="E65" s="26" t="n">
        <ns0:v>2025</ns0:v>
      </ns0:c>
      <ns0:c r="F65" s="19" t="inlineStr">
        <ns0:is>
          <ns0:t>Include</ns0:t>
        </ns0:is>
      </ns0:c>
      <ns0:c r="G65" s="27">
        <ns0:f>IF(F65="Include",1,0)</ns0:f>
        <ns0:v>1</ns0:v>
      </ns0:c>
      <ns0:c r="H65" s="19" t="inlineStr">
        <ns0:is>
          <ns0:t>Screening</ns0:t>
        </ns0:is>
      </ns0:c>
      <ns0:c r="I65" s="19" t="inlineStr">
        <ns0:is>
          <ns0:t>Hybrid</ns0:t>
        </ns0:is>
      </ns0:c>
      <ns0:c r="J65" s="19" t="inlineStr">
        <ns0:is>
          <ns0:t>Behavioral images/video/gaze/movement</ns0:t>
        </ns0:is>
      </ns0:c>
      <ns0:c r="K65" s="19" t="inlineStr">
        <ns0:is>
          <ns0:t>ConvNeXtBase with LightGBM</ns0:t>
        </ns0:is>
      </ns0:c>
      <ns0:c r="L65" s="19" t="inlineStr">
        <ns0:is>
          <ns0:t>Gradient boosting</ns0:t>
        </ns0:is>
      </ns0:c>
      <ns0:c r="M65" s="19" t="inlineStr">
        <ns0:is>
          <ns0:t>Research only</ns0:t>
        </ns0:is>
      </ns0:c>
      <ns0:c r="N65" s="19" t="inlineStr">
        <ns0:is>
          <ns0:t>Automated measurement/classification</ns0:t>
        </ns0:is>
      </ns0:c>
      <ns0:c r="O65" s="19" t="inlineStr">
        <ns0:is>
          <ns0:t>Not observed in assessed sources</ns0:t>
        </ns0:is>
      </ns0:c>
      <ns0:c r="P65" s="19" t="inlineStr">
        <ns0:is>
          <ns0:t>Not observed in assessed sources</ns0:t>
        </ns0:is>
      </ns0:c>
      <ns0:c r="Q65" s="19" t="inlineStr">
        <ns0:is>
          <ns0:t>Not reported in assessed sources</ns0:t>
        </ns0:is>
      </ns0:c>
      <ns0:c r="R65" s="19" t="inlineStr">
        <ns0:is>
          <ns0:t>Not reported in assessed sources</ns0:t>
        </ns0:is>
      </ns0:c>
      <ns0:c r="S65" s="19" t="inlineStr">
        <ns0:is>
          <ns0:t>Not reported in assessed sources</ns0:t>
        </ns0:is>
      </ns0:c>
      <ns0:c r="T65" s="19" t="inlineStr">
        <ns0:is>
          <ns0:t>Not reported in assessed sources</ns0:t>
        </ns0:is>
      </ns0:c>
      <ns0:c r="U65" s="19" t="inlineStr">
        <ns0:is>
          <ns0:t>Not reported in assessed sources</ns0:t>
        </ns0:is>
      </ns0:c>
      <ns0:c r="V65" s="19" t="inlineStr">
        <ns0:is>
          <ns0:t>Not reported in assessed sources</ns0:t>
        </ns0:is>
      </ns0:c>
      <ns0:c r="W65" s="19" t="inlineStr">
        <ns0:is>
          <ns0:t>Not reported in assessed sources</ns0:t>
        </ns0:is>
      </ns0:c>
      <ns0:c r="X65" s="19" t="inlineStr">
        <ns0:is>
          <ns0:t>Not reported in assessed sources</ns0:t>
        </ns0:is>
      </ns0:c>
      <ns0:c r="Y65" s="19" t="inlineStr">
        <ns0:is>
          <ns0:t>Not ascertainable</ns0:t>
        </ns0:is>
      </ns0:c>
      <ns0:c r="Z65" s="19" t="inlineStr">
        <ns0:is>
          <ns0:t>Not reported in assessed sources</ns0:t>
        </ns0:is>
      </ns0:c>
      <ns0:c r="AA65" s="19" t="inlineStr">
        <ns0:is>
          <ns0:t>Not recorded</ns0:t>
        </ns0:is>
      </ns0:c>
      <ns0:c r="AB65" s="26" t="n">
        <ns0:v>0</ns0:v>
      </ns0:c>
      <ns0:c r="AC65" s="26" t="n">
        <ns0:v>0</ns0:v>
      </ns0:c>
      <ns0:c r="AD65" s="27">
        <ns0:f>IF(AND(G65=1,AB65=0),1,0)</ns0:f>
        <ns0:v>1</ns0:v>
      </ns0:c>
      <ns0:c r="AE65" s="27">
        <ns0:f>IF(AND(AD65=1,AC65=0),1,0)</ns0:f>
        <ns0:v>1</ns0:v>
      </ns0:c>
      <ns0:c r="AF65" s="27">
        <ns0:f>IF(AND(G65=1,H65&lt;&gt;"Not specified"),1,0)</ns0:f>
        <ns0:v>1</ns0:v>
      </ns0:c>
      <ns0:c r="AG65" s="27">
        <ns0:f>IF(AND(AE65=1,AF65=1),1,0)</ns0:f>
        <ns0:v>1</ns0:v>
      </ns0:c>
      <ns0:c r="AH65" s="19" t="inlineStr">
        <ns0:is>
          <ns0:t>Supplied abstract/coding notes; no new full-text verification</ns0:t>
        </ns0:is>
      </ns0:c>
      <ns0:c r="AI65" s="19" t="inlineStr">
        <ns0:is>
          <ns0:t>https://doi.org/10.1016/j.mex.2025.103166</ns0:t>
        </ns0:is>
      </ns0:c>
      <ns0:c r="AJ65" s="19" t="inlineStr">
        <ns0:is>
          <ns0:t>EVIDENCIA; original abstract/coding notes and lot source trace; Historical signals: title/abstract/notes; full-text completion not independently established</ns0:t>
        </ns0:is>
      </ns0:c>
      <ns0:c r="AK65" s="19" t="inlineStr">
        <ns0:is>
          <ns0:t>True neural feature extractor plus conventional boosted-tree classifier; public eye-gaze image benchmark, not clinical screening deployment.</ns0:t>
        </ns0:is>
      </ns0:c>
      <ns0:c r="AL65" s="19" t="inlineStr">
        <ns0:is>
          <ns0:t>Not applicable</ns0:t>
        </ns0:is>
      </ns0:c>
      <ns0:c r="AM65" s="19" t="inlineStr">
        <ns0:is>
          <ns0:t>Not separately specified</ns0:t>
        </ns0:is>
      </ns0:c>
      <ns0:c r="AN65" s="19" t="inlineStr"/>
      <ns0:c r="AO65" s="19" t="inlineStr">
        <ns0:is>
          <ns0:t>No additional status determination</ns0:t>
        </ns0:is>
      </ns0:c>
      <ns0:c r="AP65" s="19" t="inlineStr">
        <ns0:is>
          <ns0:t>Not documented for this recharting</ns0:t>
        </ns0:is>
      </ns0:c>
      <ns0:c r="AQ65" s="19" t="inlineStr">
        <ns0:is>
          <ns0:t>ChatGPT-assisted evidence recharting, 2026-09-08</ns0:t>
        </ns0:is>
      </ns0:c>
      <ns0:c r="AR65" s="19" t="inlineStr"/>
      <ns0:c r="AS65" s="19" t="inlineStr">
        <ns0:is>
          <ns0:t>Not recorded; historical inclusion retained</ns0:t>
        </ns0:is>
      </ns0:c>
    </ns0:row>
    <ns0:row r="66" ht="50" customHeight="1">
      <ns0:c r="A66" s="21" t="inlineStr">
        <ns0:is>
          <ns0:t>65</ns0:t>
        </ns0:is>
      </ns0:c>
      <ns0:c r="B66" s="21" t="inlineStr">
        <ns0:is>
          <ns0:t>Historical</ns0:t>
        </ns0:is>
      </ns0:c>
      <ns0:c r="C66" s="21" t="inlineStr">
        <ns0:is>
          <ns0:t>Modified Grasshopper Optimization Algorithm for detection of Autism Spectrum Disorder</ns0:t>
        </ns0:is>
      </ns0:c>
      <ns0:c r="D66" s="21" t="inlineStr">
        <ns0:is>
          <ns0:t>10.1016/j.phycom.2020.101115</ns0:t>
        </ns0:is>
      </ns0:c>
      <ns0:c r="E66" s="28" t="n">
        <ns0:v>2020</ns0:v>
      </ns0:c>
      <ns0:c r="F66" s="21" t="inlineStr">
        <ns0:is>
          <ns0:t>Include</ns0:t>
        </ns0:is>
      </ns0:c>
      <ns0:c r="G66" s="29">
        <ns0:f>IF(F66="Include",1,0)</ns0:f>
        <ns0:v>1</ns0:v>
      </ns0:c>
      <ns0:c r="H66" s="21" t="inlineStr">
        <ns0:is>
          <ns0:t>Screening</ns0:t>
        </ns0:is>
      </ns0:c>
      <ns0:c r="I66" s="21" t="inlineStr">
        <ns0:is>
          <ns0:t>Machine Learning</ns0:t>
        </ns0:is>
      </ns0:c>
      <ns0:c r="J66" s="21" t="inlineStr">
        <ns0:is>
          <ns0:t>Structured clinical/questionnaire data</ns0:t>
        </ns0:is>
      </ns0:c>
      <ns0:c r="K66" s="21" t="inlineStr">
        <ns0:is>
          <ns0:t>Random forest with modified grasshopper optimization</ns0:t>
        </ns0:is>
      </ns0:c>
      <ns0:c r="L66" s="21" t="inlineStr">
        <ns0:is>
          <ns0:t>Random forest</ns0:t>
        </ns0:is>
      </ns0:c>
      <ns0:c r="M66" s="21" t="inlineStr">
        <ns0:is>
          <ns0:t>Research only</ns0:t>
        </ns0:is>
      </ns0:c>
      <ns0:c r="N66" s="21" t="inlineStr">
        <ns0:is>
          <ns0:t>Triage/questionnaire assessment</ns0:t>
        </ns0:is>
      </ns0:c>
      <ns0:c r="O66" s="21" t="inlineStr">
        <ns0:is>
          <ns0:t>Not observed in assessed sources</ns0:t>
        </ns0:is>
      </ns0:c>
      <ns0:c r="P66" s="21" t="inlineStr">
        <ns0:is>
          <ns0:t>Not observed in assessed sources</ns0:t>
        </ns0:is>
      </ns0:c>
      <ns0:c r="Q66" s="21" t="inlineStr">
        <ns0:is>
          <ns0:t>Not reported in assessed sources</ns0:t>
        </ns0:is>
      </ns0:c>
      <ns0:c r="R66" s="21" t="inlineStr">
        <ns0:is>
          <ns0:t>Not reported in assessed sources</ns0:t>
        </ns0:is>
      </ns0:c>
      <ns0:c r="S66" s="21" t="inlineStr">
        <ns0:is>
          <ns0:t>Not reported in assessed sources</ns0:t>
        </ns0:is>
      </ns0:c>
      <ns0:c r="T66" s="21" t="inlineStr">
        <ns0:is>
          <ns0:t>Not reported in assessed sources</ns0:t>
        </ns0:is>
      </ns0:c>
      <ns0:c r="U66" s="21" t="inlineStr">
        <ns0:is>
          <ns0:t>Not reported in assessed sources</ns0:t>
        </ns0:is>
      </ns0:c>
      <ns0:c r="V66" s="21" t="inlineStr">
        <ns0:is>
          <ns0:t>Not reported in assessed sources</ns0:t>
        </ns0:is>
      </ns0:c>
      <ns0:c r="W66" s="21" t="inlineStr">
        <ns0:is>
          <ns0:t>Not reported in assessed sources</ns0:t>
        </ns0:is>
      </ns0:c>
      <ns0:c r="X66" s="21" t="inlineStr">
        <ns0:is>
          <ns0:t>Not reported in assessed sources</ns0:t>
        </ns0:is>
      </ns0:c>
      <ns0:c r="Y66" s="21" t="inlineStr">
        <ns0:is>
          <ns0:t>Not ascertainable</ns0:t>
        </ns0:is>
      </ns0:c>
      <ns0:c r="Z66" s="21" t="inlineStr">
        <ns0:is>
          <ns0:t>Not reported in assessed sources</ns0:t>
        </ns0:is>
      </ns0:c>
      <ns0:c r="AA66" s="21" t="inlineStr">
        <ns0:is>
          <ns0:t>Not recorded</ns0:t>
        </ns0:is>
      </ns0:c>
      <ns0:c r="AB66" s="28" t="n">
        <ns0:v>0</ns0:v>
      </ns0:c>
      <ns0:c r="AC66" s="28" t="n">
        <ns0:v>0</ns0:v>
      </ns0:c>
      <ns0:c r="AD66" s="29">
        <ns0:f>IF(AND(G66=1,AB66=0),1,0)</ns0:f>
        <ns0:v>1</ns0:v>
      </ns0:c>
      <ns0:c r="AE66" s="29">
        <ns0:f>IF(AND(AD66=1,AC66=0),1,0)</ns0:f>
        <ns0:v>1</ns0:v>
      </ns0:c>
      <ns0:c r="AF66" s="29">
        <ns0:f>IF(AND(G66=1,H66&lt;&gt;"Not specified"),1,0)</ns0:f>
        <ns0:v>1</ns0:v>
      </ns0:c>
      <ns0:c r="AG66" s="29">
        <ns0:f>IF(AND(AE66=1,AF66=1),1,0)</ns0:f>
        <ns0:v>1</ns0:v>
      </ns0:c>
      <ns0:c r="AH66" s="21" t="inlineStr">
        <ns0:is>
          <ns0:t>Supplied abstract/coding notes; no new full-text verification</ns0:t>
        </ns0:is>
      </ns0:c>
      <ns0:c r="AI66" s="21" t="inlineStr">
        <ns0:is>
          <ns0:t>https://doi.org/10.1016/j.phycom.2020.101115</ns0:t>
        </ns0:is>
      </ns0:c>
      <ns0:c r="AJ66" s="21" t="inlineStr">
        <ns0:is>
          <ns0:t>EVIDENCIA; original abstract/coding notes and lot source trace; Historical signals: title/abstract/notes; full-text completion not independently established</ns0:t>
        </ns0:is>
      </ns0:c>
      <ns0:c r="AK66" s="21" t="inlineStr">
        <ns0:is>
          <ns0:t>Three age-specific questionnaire screening datasets; repeated model evaluation on different cohorts does not establish external validation or fused data.</ns0:t>
        </ns0:is>
      </ns0:c>
      <ns0:c r="AL66" s="21" t="inlineStr">
        <ns0:is>
          <ns0:t>Not applicable</ns0:t>
        </ns0:is>
      </ns0:c>
      <ns0:c r="AM66" s="21" t="inlineStr">
        <ns0:is>
          <ns0:t>Not separately specified</ns0:t>
        </ns0:is>
      </ns0:c>
      <ns0:c r="AN66" s="21" t="inlineStr"/>
      <ns0:c r="AO66" s="21" t="inlineStr">
        <ns0:is>
          <ns0:t>No additional status determination</ns0:t>
        </ns0:is>
      </ns0:c>
      <ns0:c r="AP66" s="21" t="inlineStr">
        <ns0:is>
          <ns0:t>Not documented for this recharting</ns0:t>
        </ns0:is>
      </ns0:c>
      <ns0:c r="AQ66" s="21" t="inlineStr">
        <ns0:is>
          <ns0:t>ChatGPT-assisted evidence recharting, 2026-09-08</ns0:t>
        </ns0:is>
      </ns0:c>
      <ns0:c r="AR66" s="21" t="inlineStr">
        <ns0:is>
          <ns0:t>RA</ns0:t>
        </ns0:is>
      </ns0:c>
      <ns0:c r="AS66" s="21" t="inlineStr">
        <ns0:is>
          <ns0:t>Not recorded; historical inclusion retained</ns0:t>
        </ns0:is>
      </ns0:c>
    </ns0:row>
    <ns0:row r="67" ht="50" customHeight="1">
      <ns0:c r="A67" s="19" t="inlineStr">
        <ns0:is>
          <ns0:t>66</ns0:t>
        </ns0:is>
      </ns0:c>
      <ns0:c r="B67" s="19" t="inlineStr">
        <ns0:is>
          <ns0:t>Historical</ns0:t>
        </ns0:is>
      </ns0:c>
      <ns0:c r="C67" s="19" t="inlineStr">
        <ns0:is>
          <ns0:t>Motor Signature Differences Between Autism Spectrum Disorder and Developmental Coordination Disorder, and Their Neural Mechanisms</ns0:t>
        </ns0:is>
      </ns0:c>
      <ns0:c r="D67" s="19" t="inlineStr">
        <ns0:is>
          <ns0:t>10.1007/s10803-023-06171-8</ns0:t>
        </ns0:is>
      </ns0:c>
      <ns0:c r="E67" s="26" t="n">
        <ns0:v>2023</ns0:v>
      </ns0:c>
      <ns0:c r="F67" s="19" t="inlineStr">
        <ns0:is>
          <ns0:t>Include</ns0:t>
        </ns0:is>
      </ns0:c>
      <ns0:c r="G67" s="27">
        <ns0:f>IF(F67="Include",1,0)</ns0:f>
        <ns0:v>1</ns0:v>
      </ns0:c>
      <ns0:c r="H67" s="19" t="inlineStr">
        <ns0:is>
          <ns0:t>Diagnosis</ns0:t>
        </ns0:is>
      </ns0:c>
      <ns0:c r="I67" s="19" t="inlineStr">
        <ns0:is>
          <ns0:t>Machine Learning</ns0:t>
        </ns0:is>
      </ns0:c>
      <ns0:c r="J67" s="19" t="inlineStr">
        <ns0:is>
          <ns0:t>Behavioral images/video/gaze/movement</ns0:t>
        </ns0:is>
      </ns0:c>
      <ns0:c r="K67" s="19" t="inlineStr">
        <ns0:is>
          <ns0:t>Kinematic machine-learning classifier; family unresolved</ns0:t>
        </ns0:is>
      </ns0:c>
      <ns0:c r="L67" s="19" t="inlineStr">
        <ns0:is>
          <ns0:t>Other specified method</ns0:t>
        </ns0:is>
      </ns0:c>
      <ns0:c r="M67" s="19" t="inlineStr">
        <ns0:is>
          <ns0:t>Research only</ns0:t>
        </ns0:is>
      </ns0:c>
      <ns0:c r="N67" s="19" t="inlineStr">
        <ns0:is>
          <ns0:t>Automated measurement/classification</ns0:t>
        </ns0:is>
      </ns0:c>
      <ns0:c r="O67" s="19" t="inlineStr">
        <ns0:is>
          <ns0:t>Not observed in assessed sources</ns0:t>
        </ns0:is>
      </ns0:c>
      <ns0:c r="P67" s="19" t="inlineStr">
        <ns0:is>
          <ns0:t>Not observed in assessed sources</ns0:t>
        </ns0:is>
      </ns0:c>
      <ns0:c r="Q67" s="19" t="inlineStr">
        <ns0:is>
          <ns0:t>Not reported in assessed sources</ns0:t>
        </ns0:is>
      </ns0:c>
      <ns0:c r="R67" s="19" t="inlineStr">
        <ns0:is>
          <ns0:t>Not reported in assessed sources</ns0:t>
        </ns0:is>
      </ns0:c>
      <ns0:c r="S67" s="19" t="inlineStr">
        <ns0:is>
          <ns0:t>Not reported in assessed sources</ns0:t>
        </ns0:is>
      </ns0:c>
      <ns0:c r="T67" s="19" t="inlineStr">
        <ns0:is>
          <ns0:t>Not reported in assessed sources</ns0:t>
        </ns0:is>
      </ns0:c>
      <ns0:c r="U67" s="19" t="inlineStr">
        <ns0:is>
          <ns0:t>Not reported in assessed sources</ns0:t>
        </ns0:is>
      </ns0:c>
      <ns0:c r="V67" s="19" t="inlineStr">
        <ns0:is>
          <ns0:t>Not reported in assessed sources</ns0:t>
        </ns0:is>
      </ns0:c>
      <ns0:c r="W67" s="19" t="inlineStr">
        <ns0:is>
          <ns0:t>Reported</ns0:t>
        </ns0:is>
      </ns0:c>
      <ns0:c r="X67" s="19" t="inlineStr">
        <ns0:is>
          <ns0:t>Not reported in assessed sources</ns0:t>
        </ns0:is>
      </ns0:c>
      <ns0:c r="Y67" s="19" t="inlineStr">
        <ns0:is>
          <ns0:t>Not ascertainable</ns0:t>
        </ns0:is>
      </ns0:c>
      <ns0:c r="Z67" s="19" t="inlineStr">
        <ns0:is>
          <ns0:t>Not reported in assessed sources</ns0:t>
        </ns0:is>
      </ns0:c>
      <ns0:c r="AA67" s="19" t="inlineStr">
        <ns0:is>
          <ns0:t>Not recorded</ns0:t>
        </ns0:is>
      </ns0:c>
      <ns0:c r="AB67" s="26" t="n">
        <ns0:v>0</ns0:v>
      </ns0:c>
      <ns0:c r="AC67" s="26" t="n">
        <ns0:v>0</ns0:v>
      </ns0:c>
      <ns0:c r="AD67" s="27">
        <ns0:f>IF(AND(G67=1,AB67=0),1,0)</ns0:f>
        <ns0:v>1</ns0:v>
      </ns0:c>
      <ns0:c r="AE67" s="27">
        <ns0:f>IF(AND(AD67=1,AC67=0),1,0)</ns0:f>
        <ns0:v>1</ns0:v>
      </ns0:c>
      <ns0:c r="AF67" s="27">
        <ns0:f>IF(AND(G67=1,H67&lt;&gt;"Not specified"),1,0)</ns0:f>
        <ns0:v>1</ns0:v>
      </ns0:c>
      <ns0:c r="AG67" s="27">
        <ns0:f>IF(AND(AE67=1,AF67=1),1,0)</ns0:f>
        <ns0:v>1</ns0:v>
      </ns0:c>
      <ns0:c r="AH67" s="19" t="inlineStr">
        <ns0:is>
          <ns0:t>Supplied abstract/coding notes; no new full-text verification</ns0:t>
        </ns0:is>
      </ns0:c>
      <ns0:c r="AI67" s="19" t="inlineStr">
        <ns0:is>
          <ns0:t>https://doi.org/10.1007/s10803-023-06171-8</ns0:t>
        </ns0:is>
      </ns0:c>
      <ns0:c r="AJ67" s="19" t="inlineStr">
        <ns0:is>
          <ns0:t>EVIDENCIA; original abstract/coding notes and lot source trace; Historical signals: title/abstract/notes; full-text completion not independently established</ns0:t>
        </ns0:is>
      </ns0:c>
      <ns0:c r="AK67" s="19" t="inlineStr">
        <ns0:is>
          <ns0:t>Tablet movement classification with ancillary fMRI correlations; principal prediction uses kinematics, not a demonstrated multimodal fused network.</ns0:t>
        </ns0:is>
      </ns0:c>
      <ns0:c r="AL67" s="19" t="inlineStr">
        <ns0:is>
          <ns0:t>Not applicable</ns0:t>
        </ns0:is>
      </ns0:c>
      <ns0:c r="AM67" s="19" t="inlineStr">
        <ns0:is>
          <ns0:t>Not separately specified</ns0:t>
        </ns0:is>
      </ns0:c>
      <ns0:c r="AN67" s="19" t="inlineStr"/>
      <ns0:c r="AO67" s="19" t="inlineStr">
        <ns0:is>
          <ns0:t>No additional status determination</ns0:t>
        </ns0:is>
      </ns0:c>
      <ns0:c r="AP67" s="19" t="inlineStr">
        <ns0:is>
          <ns0:t>Not documented for this recharting</ns0:t>
        </ns0:is>
      </ns0:c>
      <ns0:c r="AQ67" s="19" t="inlineStr">
        <ns0:is>
          <ns0:t>ChatGPT-assisted evidence recharting, 2026-09-08</ns0:t>
        </ns0:is>
      </ns0:c>
      <ns0:c r="AR67" s="19" t="inlineStr">
        <ns0:is>
          <ns0:t>RA</ns0:t>
        </ns0:is>
      </ns0:c>
      <ns0:c r="AS67" s="19" t="inlineStr">
        <ns0:is>
          <ns0:t>Not recorded; historical inclusion retained</ns0:t>
        </ns0:is>
      </ns0:c>
    </ns0:row>
    <ns0:row r="68" ht="50" customHeight="1">
      <ns0:c r="A68" s="21" t="inlineStr">
        <ns0:is>
          <ns0:t>67</ns0:t>
        </ns0:is>
      </ns0:c>
      <ns0:c r="B68" s="21" t="inlineStr">
        <ns0:is>
          <ns0:t>Historical</ns0:t>
        </ns0:is>
      </ns0:c>
      <ns0:c r="C68" s="21" t="inlineStr">
        <ns0:is>
          <ns0:t>Novelty detection using deep normative modeling for imu-based abnormal movement monitoring in parkinson’s disease and autism spectrum disorders</ns0:t>
        </ns0:is>
      </ns0:c>
      <ns0:c r="D68" s="21" t="inlineStr">
        <ns0:is>
          <ns0:t>10.3390/s18103533</ns0:t>
        </ns0:is>
      </ns0:c>
      <ns0:c r="E68" s="28" t="n">
        <ns0:v>2018</ns0:v>
      </ns0:c>
      <ns0:c r="F68" s="21" t="inlineStr">
        <ns0:is>
          <ns0:t>Include</ns0:t>
        </ns0:is>
      </ns0:c>
      <ns0:c r="G68" s="29">
        <ns0:f>IF(F68="Include",1,0)</ns0:f>
        <ns0:v>1</ns0:v>
      </ns0:c>
      <ns0:c r="H68" s="21" t="inlineStr">
        <ns0:is>
          <ns0:t>Monitoring/intervention</ns0:t>
        </ns0:is>
      </ns0:c>
      <ns0:c r="I68" s="21" t="inlineStr">
        <ns0:is>
          <ns0:t>Deep Learning</ns0:t>
        </ns0:is>
      </ns0:c>
      <ns0:c r="J68" s="21" t="inlineStr">
        <ns0:is>
          <ns0:t>Behavioral images/video/gaze/movement</ns0:t>
        </ns0:is>
      </ns0:c>
      <ns0:c r="K68" s="21" t="inlineStr">
        <ns0:is>
          <ns0:t>Deep normative generative model</ns0:t>
        </ns0:is>
      </ns0:c>
      <ns0:c r="L68" s="21" t="inlineStr">
        <ns0:is>
          <ns0:t>Other specified method</ns0:t>
        </ns0:is>
      </ns0:c>
      <ns0:c r="M68" s="21" t="inlineStr">
        <ns0:is>
          <ns0:t>Proposed only</ns0:t>
        </ns0:is>
      </ns0:c>
      <ns0:c r="N68" s="21" t="inlineStr">
        <ns0:is>
          <ns0:t>Monitoring/longitudinal analysis</ns0:t>
        </ns0:is>
      </ns0:c>
      <ns0:c r="O68" s="21" t="inlineStr">
        <ns0:is>
          <ns0:t>Post-decision</ns0:t>
        </ns0:is>
      </ns0:c>
      <ns0:c r="P68" s="21" t="inlineStr">
        <ns0:is>
          <ns0:t>Not observed in assessed sources</ns0:t>
        </ns0:is>
      </ns0:c>
      <ns0:c r="Q68" s="21" t="inlineStr">
        <ns0:is>
          <ns0:t>Not reported in assessed sources</ns0:t>
        </ns0:is>
      </ns0:c>
      <ns0:c r="R68" s="21" t="inlineStr">
        <ns0:is>
          <ns0:t>Not reported in assessed sources</ns0:t>
        </ns0:is>
      </ns0:c>
      <ns0:c r="S68" s="21" t="inlineStr">
        <ns0:is>
          <ns0:t>Not reported in assessed sources</ns0:t>
        </ns0:is>
      </ns0:c>
      <ns0:c r="T68" s="21" t="inlineStr">
        <ns0:is>
          <ns0:t>Not reported in assessed sources</ns0:t>
        </ns0:is>
      </ns0:c>
      <ns0:c r="U68" s="21" t="inlineStr">
        <ns0:is>
          <ns0:t>Not reported in assessed sources</ns0:t>
        </ns0:is>
      </ns0:c>
      <ns0:c r="V68" s="21" t="inlineStr">
        <ns0:is>
          <ns0:t>Not reported in assessed sources</ns0:t>
        </ns0:is>
      </ns0:c>
      <ns0:c r="W68" s="21" t="inlineStr">
        <ns0:is>
          <ns0:t>Not reported in assessed sources</ns0:t>
        </ns0:is>
      </ns0:c>
      <ns0:c r="X68" s="21" t="inlineStr">
        <ns0:is>
          <ns0:t>Not reported in assessed sources</ns0:t>
        </ns0:is>
      </ns0:c>
      <ns0:c r="Y68" s="21" t="inlineStr">
        <ns0:is>
          <ns0:t>Not ascertainable</ns0:t>
        </ns0:is>
      </ns0:c>
      <ns0:c r="Z68" s="21" t="inlineStr">
        <ns0:is>
          <ns0:t>Not reported in assessed sources</ns0:t>
        </ns0:is>
      </ns0:c>
      <ns0:c r="AA68" s="21" t="inlineStr">
        <ns0:is>
          <ns0:t>Not recorded</ns0:t>
        </ns0:is>
      </ns0:c>
      <ns0:c r="AB68" s="28" t="n">
        <ns0:v>0</ns0:v>
      </ns0:c>
      <ns0:c r="AC68" s="28" t="n">
        <ns0:v>0</ns0:v>
      </ns0:c>
      <ns0:c r="AD68" s="29">
        <ns0:f>IF(AND(G68=1,AB68=0),1,0)</ns0:f>
        <ns0:v>1</ns0:v>
      </ns0:c>
      <ns0:c r="AE68" s="29">
        <ns0:f>IF(AND(AD68=1,AC68=0),1,0)</ns0:f>
        <ns0:v>1</ns0:v>
      </ns0:c>
      <ns0:c r="AF68" s="29">
        <ns0:f>IF(AND(G68=1,H68&lt;&gt;"Not specified"),1,0)</ns0:f>
        <ns0:v>1</ns0:v>
      </ns0:c>
      <ns0:c r="AG68" s="29">
        <ns0:f>IF(AND(AE68=1,AF68=1),1,0)</ns0:f>
        <ns0:v>1</ns0:v>
      </ns0:c>
      <ns0:c r="AH68" s="21" t="inlineStr">
        <ns0:is>
          <ns0:t>Supplied abstract/coding notes; no new full-text verification</ns0:t>
        </ns0:is>
      </ns0:c>
      <ns0:c r="AI68" s="21" t="inlineStr">
        <ns0:is>
          <ns0:t>https://doi.org/10.3390/s18103533</ns0:t>
        </ns0:is>
      </ns0:c>
      <ns0:c r="AJ68" s="21" t="inlineStr">
        <ns0:is>
          <ns0:t>EVIDENCIA; original abstract/coding notes and lot source trace; Historical signals: title/abstract/notes; full-text completion not independently established</ns0:t>
        </ns0:is>
      </ns0:c>
      <ns0:c r="AK68" s="21" t="inlineStr">
        <ns0:is>
          <ns0:t>Wearable IMU movement novelty detection is behavioral kinematics rather than electrophysiology. Evaluation is on benchmark datasets, not prospective patient-facing monitoring.</ns0:t>
        </ns0:is>
      </ns0:c>
      <ns0:c r="AL68" s="21" t="inlineStr">
        <ns0:is>
          <ns0:t>Not applicable</ns0:t>
        </ns0:is>
      </ns0:c>
      <ns0:c r="AM68" s="21" t="inlineStr">
        <ns0:is>
          <ns0:t>Not separately specified</ns0:t>
        </ns0:is>
      </ns0:c>
      <ns0:c r="AN68" s="21" t="inlineStr"/>
      <ns0:c r="AO68" s="21" t="inlineStr">
        <ns0:is>
          <ns0:t>No additional status determination</ns0:t>
        </ns0:is>
      </ns0:c>
      <ns0:c r="AP68" s="21" t="inlineStr">
        <ns0:is>
          <ns0:t>Not documented for this recharting</ns0:t>
        </ns0:is>
      </ns0:c>
      <ns0:c r="AQ68" s="21" t="inlineStr">
        <ns0:is>
          <ns0:t>ChatGPT-assisted evidence recharting, 2026-09-08</ns0:t>
        </ns0:is>
      </ns0:c>
      <ns0:c r="AR68" s="21" t="inlineStr">
        <ns0:is>
          <ns0:t>RA</ns0:t>
        </ns0:is>
      </ns0:c>
      <ns0:c r="AS68" s="21" t="inlineStr">
        <ns0:is>
          <ns0:t>Not recorded; historical inclusion retained</ns0:t>
        </ns0:is>
      </ns0:c>
    </ns0:row>
    <ns0:row r="69" ht="50" customHeight="1">
      <ns0:c r="A69" s="19" t="inlineStr">
        <ns0:is>
          <ns0:t>68</ns0:t>
        </ns0:is>
      </ns0:c>
      <ns0:c r="B69" s="19" t="inlineStr">
        <ns0:is>
          <ns0:t>Historical</ns0:t>
        </ns0:is>
      </ns0:c>
      <ns0:c r="C69" s="19" t="inlineStr">
        <ns0:is>
          <ns0:t>Perceived social support in adults with autism spectrum disorder and attention-deficit/hyperactivity disorder</ns0:t>
        </ns0:is>
      </ns0:c>
      <ns0:c r="D69" s="19" t="inlineStr">
        <ns0:is>
          <ns0:t>10.1002/aur.1735</ns0:t>
        </ns0:is>
      </ns0:c>
      <ns0:c r="E69" s="26" t="n">
        <ns0:v>2017</ns0:v>
      </ns0:c>
      <ns0:c r="F69" s="19" t="inlineStr">
        <ns0:is>
          <ns0:t>Include</ns0:t>
        </ns0:is>
      </ns0:c>
      <ns0:c r="G69" s="27">
        <ns0:f>IF(F69="Include",1,0)</ns0:f>
        <ns0:v>1</ns0:v>
      </ns0:c>
      <ns0:c r="H69" s="19" t="inlineStr">
        <ns0:is>
          <ns0:t>Not specified</ns0:t>
        </ns0:is>
      </ns0:c>
      <ns0:c r="I69" s="19" t="inlineStr">
        <ns0:is>
          <ns0:t>Machine Learning</ns0:t>
        </ns0:is>
      </ns0:c>
      <ns0:c r="J69" s="19" t="inlineStr">
        <ns0:is>
          <ns0:t>Structured clinical/questionnaire data</ns0:t>
        </ns0:is>
      </ns0:c>
      <ns0:c r="K69" s="19" t="inlineStr">
        <ns0:is>
          <ns0:t>Random forest</ns0:t>
        </ns0:is>
      </ns0:c>
      <ns0:c r="L69" s="19" t="inlineStr">
        <ns0:is>
          <ns0:t>Random forest</ns0:t>
        </ns0:is>
      </ns0:c>
      <ns0:c r="M69" s="19" t="inlineStr">
        <ns0:is>
          <ns0:t>Research only</ns0:t>
        </ns0:is>
      </ns0:c>
      <ns0:c r="N69" s="19" t="inlineStr">
        <ns0:is>
          <ns0:t>Research characterization</ns0:t>
        </ns0:is>
      </ns0:c>
      <ns0:c r="O69" s="19" t="inlineStr">
        <ns0:is>
          <ns0:t>Not observed in assessed sources</ns0:t>
        </ns0:is>
      </ns0:c>
      <ns0:c r="P69" s="19" t="inlineStr">
        <ns0:is>
          <ns0:t>Not observed in assessed sources</ns0:t>
        </ns0:is>
      </ns0:c>
      <ns0:c r="Q69" s="19" t="inlineStr">
        <ns0:is>
          <ns0:t>Not reported in assessed sources</ns0:t>
        </ns0:is>
      </ns0:c>
      <ns0:c r="R69" s="19" t="inlineStr">
        <ns0:is>
          <ns0:t>Not reported in assessed sources</ns0:t>
        </ns0:is>
      </ns0:c>
      <ns0:c r="S69" s="19" t="inlineStr">
        <ns0:is>
          <ns0:t>Not reported in assessed sources</ns0:t>
        </ns0:is>
      </ns0:c>
      <ns0:c r="T69" s="19" t="inlineStr">
        <ns0:is>
          <ns0:t>Not reported in assessed sources</ns0:t>
        </ns0:is>
      </ns0:c>
      <ns0:c r="U69" s="19" t="inlineStr">
        <ns0:is>
          <ns0:t>Not reported in assessed sources</ns0:t>
        </ns0:is>
      </ns0:c>
      <ns0:c r="V69" s="19" t="inlineStr">
        <ns0:is>
          <ns0:t>Not reported in assessed sources</ns0:t>
        </ns0:is>
      </ns0:c>
      <ns0:c r="W69" s="19" t="inlineStr">
        <ns0:is>
          <ns0:t>Not reported in assessed sources</ns0:t>
        </ns0:is>
      </ns0:c>
      <ns0:c r="X69" s="19" t="inlineStr">
        <ns0:is>
          <ns0:t>Not reported in assessed sources</ns0:t>
        </ns0:is>
      </ns0:c>
      <ns0:c r="Y69" s="19" t="inlineStr">
        <ns0:is>
          <ns0:t>Not ascertainable</ns0:t>
        </ns0:is>
      </ns0:c>
      <ns0:c r="Z69" s="19" t="inlineStr">
        <ns0:is>
          <ns0:t>Not reported in assessed sources</ns0:t>
        </ns0:is>
      </ns0:c>
      <ns0:c r="AA69" s="19" t="inlineStr">
        <ns0:is>
          <ns0:t>Not recorded</ns0:t>
        </ns0:is>
      </ns0:c>
      <ns0:c r="AB69" s="26" t="n">
        <ns0:v>0</ns0:v>
      </ns0:c>
      <ns0:c r="AC69" s="26" t="n">
        <ns0:v>0</ns0:v>
      </ns0:c>
      <ns0:c r="AD69" s="27">
        <ns0:f>IF(AND(G69=1,AB69=0),1,0)</ns0:f>
        <ns0:v>1</ns0:v>
      </ns0:c>
      <ns0:c r="AE69" s="27">
        <ns0:f>IF(AND(AD69=1,AC69=0),1,0)</ns0:f>
        <ns0:v>1</ns0:v>
      </ns0:c>
      <ns0:c r="AF69" s="27">
        <ns0:f>IF(AND(G69=1,H69&lt;&gt;"Not specified"),1,0)</ns0:f>
        <ns0:v>0</ns0:v>
      </ns0:c>
      <ns0:c r="AG69" s="27">
        <ns0:f>IF(AND(AE69=1,AF69=1),1,0)</ns0:f>
        <ns0:v>0</ns0:v>
      </ns0:c>
      <ns0:c r="AH69" s="19" t="inlineStr">
        <ns0:is>
          <ns0:t>Supplied abstract/coding notes; no new full-text verification</ns0:t>
        </ns0:is>
      </ns0:c>
      <ns0:c r="AI69" s="19" t="inlineStr">
        <ns0:is>
          <ns0:t>https://doi.org/10.1002/aur.1735</ns0:t>
        </ns0:is>
      </ns0:c>
      <ns0:c r="AJ69" s="19" t="inlineStr">
        <ns0:is>
          <ns0:t>EVIDENCIA; original abstract/coding notes and lot source trace; Historical signals: title/abstract/notes; full-text completion not independently established</ns0:t>
        </ns0:is>
      </ns0:c>
      <ns0:c r="AK69" s="19" t="inlineStr">
        <ns0:is>
          <ns0:t>Cross-sectional prediction of perceived social support in ASD/ADHD; relevant care characterization but not ASD diagnostic classification or future prognosis.</ns0:t>
        </ns0:is>
      </ns0:c>
      <ns0:c r="AL69" s="19" t="inlineStr">
        <ns0:is>
          <ns0:t>Not applicable</ns0:t>
        </ns0:is>
      </ns0:c>
      <ns0:c r="AM69" s="19" t="inlineStr">
        <ns0:is>
          <ns0:t>Not separately specified</ns0:t>
        </ns0:is>
      </ns0:c>
      <ns0:c r="AN69" s="19" t="inlineStr"/>
      <ns0:c r="AO69" s="19" t="inlineStr">
        <ns0:is>
          <ns0:t>No additional status determination</ns0:t>
        </ns0:is>
      </ns0:c>
      <ns0:c r="AP69" s="19" t="inlineStr">
        <ns0:is>
          <ns0:t>Not documented for this recharting</ns0:t>
        </ns0:is>
      </ns0:c>
      <ns0:c r="AQ69" s="19" t="inlineStr">
        <ns0:is>
          <ns0:t>ChatGPT-assisted evidence recharting, 2026-09-08</ns0:t>
        </ns0:is>
      </ns0:c>
      <ns0:c r="AR69" s="19" t="inlineStr"/>
      <ns0:c r="AS69" s="19" t="inlineStr">
        <ns0:is>
          <ns0:t>Not recorded; historical inclusion retained</ns0:t>
        </ns0:is>
      </ns0:c>
    </ns0:row>
    <ns0:row r="70" ht="50" customHeight="1">
      <ns0:c r="A70" s="21" t="inlineStr">
        <ns0:is>
          <ns0:t>69</ns0:t>
        </ns0:is>
      </ns0:c>
      <ns0:c r="B70" s="21" t="inlineStr">
        <ns0:is>
          <ns0:t>Historical</ns0:t>
        </ns0:is>
      </ns0:c>
      <ns0:c r="C70" s="21" t="inlineStr">
        <ns0:is>
          <ns0:t>Regional-Asymmetric Adaptive Graph Convolutional Neural Network for Diagnosis of Autism in Children with Resting-State EEG</ns0:t>
        </ns0:is>
      </ns0:c>
      <ns0:c r="D70" s="21" t="inlineStr">
        <ns0:is>
          <ns0:t>10.1109/tnsre.2023.3347134</ns0:t>
        </ns0:is>
      </ns0:c>
      <ns0:c r="E70" s="28" t="n">
        <ns0:v>2024</ns0:v>
      </ns0:c>
      <ns0:c r="F70" s="21" t="inlineStr">
        <ns0:is>
          <ns0:t>Include</ns0:t>
        </ns0:is>
      </ns0:c>
      <ns0:c r="G70" s="29">
        <ns0:f>IF(F70="Include",1,0)</ns0:f>
        <ns0:v>1</ns0:v>
      </ns0:c>
      <ns0:c r="H70" s="21" t="inlineStr">
        <ns0:is>
          <ns0:t>Diagnosis</ns0:t>
        </ns0:is>
      </ns0:c>
      <ns0:c r="I70" s="21" t="inlineStr">
        <ns0:is>
          <ns0:t>Deep Learning</ns0:t>
        </ns0:is>
      </ns0:c>
      <ns0:c r="J70" s="21" t="inlineStr">
        <ns0:is>
          <ns0:t>Physiological signals</ns0:t>
        </ns0:is>
      </ns0:c>
      <ns0:c r="K70" s="21" t="inlineStr">
        <ns0:is>
          <ns0:t>Regional-asymmetric adaptive GCN</ns0:t>
        </ns0:is>
      </ns0:c>
      <ns0:c r="L70" s="21" t="inlineStr">
        <ns0:is>
          <ns0:t>GNN</ns0:t>
        </ns0:is>
      </ns0:c>
      <ns0:c r="M70" s="21" t="inlineStr">
        <ns0:is>
          <ns0:t>Research only</ns0:t>
        </ns0:is>
      </ns0:c>
      <ns0:c r="N70" s="21" t="inlineStr">
        <ns0:is>
          <ns0:t>Automated measurement/classification</ns0:t>
        </ns0:is>
      </ns0:c>
      <ns0:c r="O70" s="21" t="inlineStr">
        <ns0:is>
          <ns0:t>Not observed in assessed sources</ns0:t>
        </ns0:is>
      </ns0:c>
      <ns0:c r="P70" s="21" t="inlineStr">
        <ns0:is>
          <ns0:t>Not observed in assessed sources</ns0:t>
        </ns0:is>
      </ns0:c>
      <ns0:c r="Q70" s="21" t="inlineStr">
        <ns0:is>
          <ns0:t>Not reported in assessed sources</ns0:t>
        </ns0:is>
      </ns0:c>
      <ns0:c r="R70" s="21" t="inlineStr">
        <ns0:is>
          <ns0:t>Not reported in assessed sources</ns0:t>
        </ns0:is>
      </ns0:c>
      <ns0:c r="S70" s="21" t="inlineStr">
        <ns0:is>
          <ns0:t>Not reported in assessed sources</ns0:t>
        </ns0:is>
      </ns0:c>
      <ns0:c r="T70" s="21" t="inlineStr">
        <ns0:is>
          <ns0:t>Not reported in assessed sources</ns0:t>
        </ns0:is>
      </ns0:c>
      <ns0:c r="U70" s="21" t="inlineStr">
        <ns0:is>
          <ns0:t>Not reported in assessed sources</ns0:t>
        </ns0:is>
      </ns0:c>
      <ns0:c r="V70" s="21" t="inlineStr">
        <ns0:is>
          <ns0:t>Not reported in assessed sources</ns0:t>
        </ns0:is>
      </ns0:c>
      <ns0:c r="W70" s="21" t="inlineStr">
        <ns0:is>
          <ns0:t>Not reported in assessed sources</ns0:t>
        </ns0:is>
      </ns0:c>
      <ns0:c r="X70" s="21" t="inlineStr">
        <ns0:is>
          <ns0:t>Not reported in assessed sources</ns0:t>
        </ns0:is>
      </ns0:c>
      <ns0:c r="Y70" s="21" t="inlineStr">
        <ns0:is>
          <ns0:t>Not ascertainable</ns0:t>
        </ns0:is>
      </ns0:c>
      <ns0:c r="Z70" s="21" t="inlineStr">
        <ns0:is>
          <ns0:t>Not reported in assessed sources</ns0:t>
        </ns0:is>
      </ns0:c>
      <ns0:c r="AA70" s="21" t="inlineStr">
        <ns0:is>
          <ns0:t>Not recorded</ns0:t>
        </ns0:is>
      </ns0:c>
      <ns0:c r="AB70" s="28" t="n">
        <ns0:v>0</ns0:v>
      </ns0:c>
      <ns0:c r="AC70" s="28" t="n">
        <ns0:v>0</ns0:v>
      </ns0:c>
      <ns0:c r="AD70" s="29">
        <ns0:f>IF(AND(G70=1,AB70=0),1,0)</ns0:f>
        <ns0:v>1</ns0:v>
      </ns0:c>
      <ns0:c r="AE70" s="29">
        <ns0:f>IF(AND(AD70=1,AC70=0),1,0)</ns0:f>
        <ns0:v>1</ns0:v>
      </ns0:c>
      <ns0:c r="AF70" s="29">
        <ns0:f>IF(AND(G70=1,H70&lt;&gt;"Not specified"),1,0)</ns0:f>
        <ns0:v>1</ns0:v>
      </ns0:c>
      <ns0:c r="AG70" s="29">
        <ns0:f>IF(AND(AE70=1,AF70=1),1,0)</ns0:f>
        <ns0:v>1</ns0:v>
      </ns0:c>
      <ns0:c r="AH70" s="21" t="inlineStr">
        <ns0:is>
          <ns0:t>Supplied abstract/coding notes; no new full-text verification</ns0:t>
        </ns0:is>
      </ns0:c>
      <ns0:c r="AI70" s="21" t="inlineStr">
        <ns0:is>
          <ns0:t>https://doi.org/10.1109/tnsre.2023.3347134</ns0:t>
        </ns0:is>
      </ns0:c>
      <ns0:c r="AJ70" s="21" t="inlineStr">
        <ns0:is>
          <ns0:t>EVIDENCIA; original abstract/coding notes and lot source trace; Historical signals: title/abstract/notes; full-text completion not independently established</ns0:t>
        </ns0:is>
      </ns0:c>
      <ns0:c r="AK70" s="21" t="inlineStr">
        <ns0:is>
          <ns0:t>Subject-independent internal cross-validation on resting EEG. Graph convolutional architecture is explicitly identified; no external cohort is described.</ns0:t>
        </ns0:is>
      </ns0:c>
      <ns0:c r="AL70" s="21" t="inlineStr">
        <ns0:is>
          <ns0:t>Not applicable</ns0:t>
        </ns0:is>
      </ns0:c>
      <ns0:c r="AM70" s="21" t="inlineStr">
        <ns0:is>
          <ns0:t>Not separately specified</ns0:t>
        </ns0:is>
      </ns0:c>
      <ns0:c r="AN70" s="21" t="inlineStr"/>
      <ns0:c r="AO70" s="21" t="inlineStr">
        <ns0:is>
          <ns0:t>No additional status determination</ns0:t>
        </ns0:is>
      </ns0:c>
      <ns0:c r="AP70" s="21" t="inlineStr">
        <ns0:is>
          <ns0:t>Not documented for this recharting</ns0:t>
        </ns0:is>
      </ns0:c>
      <ns0:c r="AQ70" s="21" t="inlineStr">
        <ns0:is>
          <ns0:t>ChatGPT-assisted evidence recharting, 2026-09-08</ns0:t>
        </ns0:is>
      </ns0:c>
      <ns0:c r="AR70" s="21" t="inlineStr">
        <ns0:is>
          <ns0:t>RA</ns0:t>
        </ns0:is>
      </ns0:c>
      <ns0:c r="AS70" s="21" t="inlineStr">
        <ns0:is>
          <ns0:t>Not recorded; historical inclusion retained</ns0:t>
        </ns0:is>
      </ns0:c>
    </ns0:row>
    <ns0:row r="71" ht="50" customHeight="1">
      <ns0:c r="A71" s="19" t="inlineStr">
        <ns0:is>
          <ns0:t>70</ns0:t>
        </ns0:is>
      </ns0:c>
      <ns0:c r="B71" s="19" t="inlineStr">
        <ns0:is>
          <ns0:t>Historical</ns0:t>
        </ns0:is>
      </ns0:c>
      <ns0:c r="C71" s="19" t="inlineStr">
        <ns0:is>
          <ns0:t>Relationship between abnormal intrinsic functional connectivity of subcortices and autism symptoms in high-functioning adults with autism spectrum disorder</ns0:t>
        </ns0:is>
      </ns0:c>
      <ns0:c r="D71" s="19" t="inlineStr">
        <ns0:is>
          <ns0:t>10.1016/j.pscychresns.2023.111762</ns0:t>
        </ns0:is>
      </ns0:c>
      <ns0:c r="E71" s="26" t="n">
        <ns0:v>2024</ns0:v>
      </ns0:c>
      <ns0:c r="F71" s="19" t="inlineStr">
        <ns0:is>
          <ns0:t>Include</ns0:t>
        </ns0:is>
      </ns0:c>
      <ns0:c r="G71" s="27">
        <ns0:f>IF(F71="Include",1,0)</ns0:f>
        <ns0:v>1</ns0:v>
      </ns0:c>
      <ns0:c r="H71" s="19" t="inlineStr">
        <ns0:is>
          <ns0:t>Diagnosis</ns0:t>
        </ns0:is>
      </ns0:c>
      <ns0:c r="I71" s="19" t="inlineStr">
        <ns0:is>
          <ns0:t>Machine Learning</ns0:t>
        </ns0:is>
      </ns0:c>
      <ns0:c r="J71" s="19" t="inlineStr">
        <ns0:is>
          <ns0:t>Neuroimaging</ns0:t>
        </ns0:is>
      </ns0:c>
      <ns0:c r="K71" s="19" t="inlineStr">
        <ns0:is>
          <ns0:t>Multivariate classifier; family unresolved</ns0:t>
        </ns0:is>
      </ns0:c>
      <ns0:c r="L71" s="19" t="inlineStr">
        <ns0:is>
          <ns0:t>Other specified method</ns0:t>
        </ns0:is>
      </ns0:c>
      <ns0:c r="M71" s="19" t="inlineStr">
        <ns0:is>
          <ns0:t>Research only</ns0:t>
        </ns0:is>
      </ns0:c>
      <ns0:c r="N71" s="19" t="inlineStr">
        <ns0:is>
          <ns0:t>Automated measurement/classification</ns0:t>
        </ns0:is>
      </ns0:c>
      <ns0:c r="O71" s="19" t="inlineStr">
        <ns0:is>
          <ns0:t>Not observed in assessed sources</ns0:t>
        </ns0:is>
      </ns0:c>
      <ns0:c r="P71" s="19" t="inlineStr">
        <ns0:is>
          <ns0:t>Not observed in assessed sources</ns0:t>
        </ns0:is>
      </ns0:c>
      <ns0:c r="Q71" s="19" t="inlineStr">
        <ns0:is>
          <ns0:t>Not reported in assessed sources</ns0:t>
        </ns0:is>
      </ns0:c>
      <ns0:c r="R71" s="19" t="inlineStr">
        <ns0:is>
          <ns0:t>Not reported in assessed sources</ns0:t>
        </ns0:is>
      </ns0:c>
      <ns0:c r="S71" s="19" t="inlineStr">
        <ns0:is>
          <ns0:t>Not reported in assessed sources</ns0:t>
        </ns0:is>
      </ns0:c>
      <ns0:c r="T71" s="19" t="inlineStr">
        <ns0:is>
          <ns0:t>Not reported in assessed sources</ns0:t>
        </ns0:is>
      </ns0:c>
      <ns0:c r="U71" s="19" t="inlineStr">
        <ns0:is>
          <ns0:t>Not reported in assessed sources</ns0:t>
        </ns0:is>
      </ns0:c>
      <ns0:c r="V71" s="19" t="inlineStr">
        <ns0:is>
          <ns0:t>Not reported in assessed sources</ns0:t>
        </ns0:is>
      </ns0:c>
      <ns0:c r="W71" s="19" t="inlineStr">
        <ns0:is>
          <ns0:t>Reported</ns0:t>
        </ns0:is>
      </ns0:c>
      <ns0:c r="X71" s="19" t="inlineStr">
        <ns0:is>
          <ns0:t>Not reported in assessed sources</ns0:t>
        </ns0:is>
      </ns0:c>
      <ns0:c r="Y71" s="19" t="inlineStr">
        <ns0:is>
          <ns0:t>Not ascertainable</ns0:t>
        </ns0:is>
      </ns0:c>
      <ns0:c r="Z71" s="19" t="inlineStr">
        <ns0:is>
          <ns0:t>Not reported in assessed sources</ns0:t>
        </ns0:is>
      </ns0:c>
      <ns0:c r="AA71" s="19" t="inlineStr">
        <ns0:is>
          <ns0:t>Not recorded</ns0:t>
        </ns0:is>
      </ns0:c>
      <ns0:c r="AB71" s="26" t="n">
        <ns0:v>0</ns0:v>
      </ns0:c>
      <ns0:c r="AC71" s="26" t="n">
        <ns0:v>0</ns0:v>
      </ns0:c>
      <ns0:c r="AD71" s="27">
        <ns0:f>IF(AND(G71=1,AB71=0),1,0)</ns0:f>
        <ns0:v>1</ns0:v>
      </ns0:c>
      <ns0:c r="AE71" s="27">
        <ns0:f>IF(AND(AD71=1,AC71=0),1,0)</ns0:f>
        <ns0:v>1</ns0:v>
      </ns0:c>
      <ns0:c r="AF71" s="27">
        <ns0:f>IF(AND(G71=1,H71&lt;&gt;"Not specified"),1,0)</ns0:f>
        <ns0:v>1</ns0:v>
      </ns0:c>
      <ns0:c r="AG71" s="27">
        <ns0:f>IF(AND(AE71=1,AF71=1),1,0)</ns0:f>
        <ns0:v>1</ns0:v>
      </ns0:c>
      <ns0:c r="AH71" s="19" t="inlineStr">
        <ns0:is>
          <ns0:t>Supplied abstract/coding notes; no new full-text verification</ns0:t>
        </ns0:is>
      </ns0:c>
      <ns0:c r="AI71" s="19" t="inlineStr">
        <ns0:is>
          <ns0:t>https://doi.org/10.1016/j.pscychresns.2023.111762</ns0:t>
        </ns0:is>
      </ns0:c>
      <ns0:c r="AJ71" s="19" t="inlineStr">
        <ns0:is>
          <ns0:t>EVIDENCIA; original abstract/coding notes and lot source trace; Historical signals: title/abstract/notes; full-text completion not independently established</ns0:t>
        </ns0:is>
      </ns0:c>
      <ns0:c r="AK71" s="19" t="inlineStr">
        <ns0:is>
          <ns0:t>Concurrent ASD classification from fMRI or clinical scores. Separate predictors and correlations do not establish temporal prognosis or deep learning.</ns0:t>
        </ns0:is>
      </ns0:c>
      <ns0:c r="AL71" s="19" t="inlineStr">
        <ns0:is>
          <ns0:t>Not applicable</ns0:t>
        </ns0:is>
      </ns0:c>
      <ns0:c r="AM71" s="19" t="inlineStr">
        <ns0:is>
          <ns0:t>Not separately specified</ns0:t>
        </ns0:is>
      </ns0:c>
      <ns0:c r="AN71" s="19" t="inlineStr"/>
      <ns0:c r="AO71" s="19" t="inlineStr">
        <ns0:is>
          <ns0:t>No additional status determination</ns0:t>
        </ns0:is>
      </ns0:c>
      <ns0:c r="AP71" s="19" t="inlineStr">
        <ns0:is>
          <ns0:t>Not documented for this recharting</ns0:t>
        </ns0:is>
      </ns0:c>
      <ns0:c r="AQ71" s="19" t="inlineStr">
        <ns0:is>
          <ns0:t>ChatGPT-assisted evidence recharting, 2026-09-08</ns0:t>
        </ns0:is>
      </ns0:c>
      <ns0:c r="AR71" s="19" t="inlineStr"/>
      <ns0:c r="AS71" s="19" t="inlineStr">
        <ns0:is>
          <ns0:t>Not recorded; historical inclusion retained</ns0:t>
        </ns0:is>
      </ns0:c>
    </ns0:row>
    <ns0:row r="72" ht="50" customHeight="1">
      <ns0:c r="A72" s="21" t="inlineStr">
        <ns0:is>
          <ns0:t>72</ns0:t>
        </ns0:is>
      </ns0:c>
      <ns0:c r="B72" s="21" t="inlineStr">
        <ns0:is>
          <ns0:t>Historical</ns0:t>
        </ns0:is>
      </ns0:c>
      <ns0:c r="C72" s="21" t="inlineStr">
        <ns0:is>
          <ns0:t>Transdiagnostic symptom subtypes across autism spectrum disorders and attention deficit hyperactivity disorder: validated by measures of neurocognition and structural connectivity</ns0:t>
        </ns0:is>
      </ns0:c>
      <ns0:c r="D72" s="21" t="inlineStr">
        <ns0:is>
          <ns0:t>10.1186/s12888-022-03734-4</ns0:t>
        </ns0:is>
      </ns0:c>
      <ns0:c r="E72" s="28" t="n">
        <ns0:v>2022</ns0:v>
      </ns0:c>
      <ns0:c r="F72" s="21" t="inlineStr">
        <ns0:is>
          <ns0:t>Include</ns0:t>
        </ns0:is>
      </ns0:c>
      <ns0:c r="G72" s="29">
        <ns0:f>IF(F72="Include",1,0)</ns0:f>
        <ns0:v>1</ns0:v>
      </ns0:c>
      <ns0:c r="H72" s="21" t="inlineStr">
        <ns0:is>
          <ns0:t>Diagnosis</ns0:t>
        </ns0:is>
      </ns0:c>
      <ns0:c r="I72" s="21" t="inlineStr">
        <ns0:is>
          <ns0:t>Machine Learning</ns0:t>
        </ns0:is>
      </ns0:c>
      <ns0:c r="J72" s="21" t="inlineStr">
        <ns0:is>
          <ns0:t>Structured clinical/questionnaire data</ns0:t>
        </ns0:is>
      </ns0:c>
      <ns0:c r="K72" s="21" t="inlineStr">
        <ns0:is>
          <ns0:t>Clustering; principal family unresolved</ns0:t>
        </ns0:is>
      </ns0:c>
      <ns0:c r="L72" s="21" t="inlineStr">
        <ns0:is>
          <ns0:t>Clustering</ns0:t>
        </ns0:is>
      </ns0:c>
      <ns0:c r="M72" s="21" t="inlineStr">
        <ns0:is>
          <ns0:t>Research only</ns0:t>
        </ns0:is>
      </ns0:c>
      <ns0:c r="N72" s="21" t="inlineStr">
        <ns0:is>
          <ns0:t>Automated measurement/classification</ns0:t>
        </ns0:is>
      </ns0:c>
      <ns0:c r="O72" s="21" t="inlineStr">
        <ns0:is>
          <ns0:t>Not observed in assessed sources</ns0:t>
        </ns0:is>
      </ns0:c>
      <ns0:c r="P72" s="21" t="inlineStr">
        <ns0:is>
          <ns0:t>Not observed in assessed sources</ns0:t>
        </ns0:is>
      </ns0:c>
      <ns0:c r="Q72" s="21" t="inlineStr">
        <ns0:is>
          <ns0:t>Not reported in assessed sources</ns0:t>
        </ns0:is>
      </ns0:c>
      <ns0:c r="R72" s="21" t="inlineStr">
        <ns0:is>
          <ns0:t>Not reported in assessed sources</ns0:t>
        </ns0:is>
      </ns0:c>
      <ns0:c r="S72" s="21" t="inlineStr">
        <ns0:is>
          <ns0:t>Not reported in assessed sources</ns0:t>
        </ns0:is>
      </ns0:c>
      <ns0:c r="T72" s="21" t="inlineStr">
        <ns0:is>
          <ns0:t>Not reported in assessed sources</ns0:t>
        </ns0:is>
      </ns0:c>
      <ns0:c r="U72" s="21" t="inlineStr">
        <ns0:is>
          <ns0:t>Not reported in assessed sources</ns0:t>
        </ns0:is>
      </ns0:c>
      <ns0:c r="V72" s="21" t="inlineStr">
        <ns0:is>
          <ns0:t>Not reported in assessed sources</ns0:t>
        </ns0:is>
      </ns0:c>
      <ns0:c r="W72" s="21" t="inlineStr">
        <ns0:is>
          <ns0:t>Reported</ns0:t>
        </ns0:is>
      </ns0:c>
      <ns0:c r="X72" s="21" t="inlineStr">
        <ns0:is>
          <ns0:t>Not reported in assessed sources</ns0:t>
        </ns0:is>
      </ns0:c>
      <ns0:c r="Y72" s="21" t="inlineStr">
        <ns0:is>
          <ns0:t>Not ascertainable</ns0:t>
        </ns0:is>
      </ns0:c>
      <ns0:c r="Z72" s="21" t="inlineStr">
        <ns0:is>
          <ns0:t>Not reported in assessed sources</ns0:t>
        </ns0:is>
      </ns0:c>
      <ns0:c r="AA72" s="21" t="inlineStr">
        <ns0:is>
          <ns0:t>Not recorded</ns0:t>
        </ns0:is>
      </ns0:c>
      <ns0:c r="AB72" s="28" t="n">
        <ns0:v>0</ns0:v>
      </ns0:c>
      <ns0:c r="AC72" s="28" t="n">
        <ns0:v>0</ns0:v>
      </ns0:c>
      <ns0:c r="AD72" s="29">
        <ns0:f>IF(AND(G72=1,AB72=0),1,0)</ns0:f>
        <ns0:v>1</ns0:v>
      </ns0:c>
      <ns0:c r="AE72" s="29">
        <ns0:f>IF(AND(AD72=1,AC72=0),1,0)</ns0:f>
        <ns0:v>1</ns0:v>
      </ns0:c>
      <ns0:c r="AF72" s="29">
        <ns0:f>IF(AND(G72=1,H72&lt;&gt;"Not specified"),1,0)</ns0:f>
        <ns0:v>1</ns0:v>
      </ns0:c>
      <ns0:c r="AG72" s="29">
        <ns0:f>IF(AND(AE72=1,AF72=1),1,0)</ns0:f>
        <ns0:v>1</ns0:v>
      </ns0:c>
      <ns0:c r="AH72" s="21" t="inlineStr">
        <ns0:is>
          <ns0:t>Supplied abstract/coding notes; no new full-text verification</ns0:t>
        </ns0:is>
      </ns0:c>
      <ns0:c r="AI72" s="21" t="inlineStr">
        <ns0:is>
          <ns0:t>https://doi.org/10.1186/s12888-022-03734-4</ns0:t>
        </ns0:is>
      </ns0:c>
      <ns0:c r="AJ72" s="21" t="inlineStr">
        <ns0:is>
          <ns0:t>EVIDENCIA; original abstract/coding notes and lot source trace; Historical signals: title/abstract/notes; full-text completion not independently established</ns0:t>
        </ns0:is>
      </ns0:c>
      <ns0:c r="AK72" s="21" t="inlineStr">
        <ns0:is>
          <ns0:t>Symptom-defined transdiagnostic subtyping with ancillary cognitive and structural-connectivity validation. Clustering is not automatically deep learning; validation of cluster correlates is not external predictive validation.</ns0:t>
        </ns0:is>
      </ns0:c>
      <ns0:c r="AL72" s="21" t="inlineStr">
        <ns0:is>
          <ns0:t>Not applicable</ns0:t>
        </ns0:is>
      </ns0:c>
      <ns0:c r="AM72" s="21" t="inlineStr">
        <ns0:is>
          <ns0:t>Not separately specified</ns0:t>
        </ns0:is>
      </ns0:c>
      <ns0:c r="AN72" s="21" t="inlineStr"/>
      <ns0:c r="AO72" s="21" t="inlineStr">
        <ns0:is>
          <ns0:t>No additional status determination</ns0:t>
        </ns0:is>
      </ns0:c>
      <ns0:c r="AP72" s="21" t="inlineStr">
        <ns0:is>
          <ns0:t>Not documented for this recharting</ns0:t>
        </ns0:is>
      </ns0:c>
      <ns0:c r="AQ72" s="21" t="inlineStr">
        <ns0:is>
          <ns0:t>ChatGPT-assisted evidence recharting, 2026-09-08</ns0:t>
        </ns0:is>
      </ns0:c>
      <ns0:c r="AR72" s="21" t="inlineStr">
        <ns0:is>
          <ns0:t>RA</ns0:t>
        </ns0:is>
      </ns0:c>
      <ns0:c r="AS72" s="21" t="inlineStr">
        <ns0:is>
          <ns0:t>Not recorded; historical inclusion retained</ns0:t>
        </ns0:is>
      </ns0:c>
    </ns0:row>
    <ns0:row r="73" ht="50" customHeight="1">
      <ns0:c r="A73" s="19" t="inlineStr">
        <ns0:is>
          <ns0:t>73</ns0:t>
        </ns0:is>
      </ns0:c>
      <ns0:c r="B73" s="19" t="inlineStr">
        <ns0:is>
          <ns0:t>Historical</ns0:t>
        </ns0:is>
      </ns0:c>
      <ns0:c r="C73" s="19" t="inlineStr">
        <ns0:is>
          <ns0:t>A Convolutional Neural Network Combined With Prototype Learning Framework for Brain Functional Network Classification of Autism Spectrum Disorder</ns0:t>
        </ns0:is>
      </ns0:c>
      <ns0:c r="D73" s="19" t="inlineStr">
        <ns0:is>
          <ns0:t>10.1109/tnsre.2021.3120024</ns0:t>
        </ns0:is>
      </ns0:c>
      <ns0:c r="E73" s="26" t="n">
        <ns0:v>2021</ns0:v>
      </ns0:c>
      <ns0:c r="F73" s="19" t="inlineStr">
        <ns0:is>
          <ns0:t>Include</ns0:t>
        </ns0:is>
      </ns0:c>
      <ns0:c r="G73" s="27">
        <ns0:f>IF(F73="Include",1,0)</ns0:f>
        <ns0:v>1</ns0:v>
      </ns0:c>
      <ns0:c r="H73" s="19" t="inlineStr">
        <ns0:is>
          <ns0:t>Diagnosis</ns0:t>
        </ns0:is>
      </ns0:c>
      <ns0:c r="I73" s="19" t="inlineStr">
        <ns0:is>
          <ns0:t>Deep Learning</ns0:t>
        </ns0:is>
      </ns0:c>
      <ns0:c r="J73" s="19" t="inlineStr">
        <ns0:is>
          <ns0:t>Neuroimaging</ns0:t>
        </ns0:is>
      </ns0:c>
      <ns0:c r="K73" s="19" t="inlineStr">
        <ns0:is>
          <ns0:t>CNN with prototype learning</ns0:t>
        </ns0:is>
      </ns0:c>
      <ns0:c r="L73" s="19" t="inlineStr">
        <ns0:is>
          <ns0:t>CNN</ns0:t>
        </ns0:is>
      </ns0:c>
      <ns0:c r="M73" s="19" t="inlineStr">
        <ns0:is>
          <ns0:t>Research only</ns0:t>
        </ns0:is>
      </ns0:c>
      <ns0:c r="N73" s="19" t="inlineStr">
        <ns0:is>
          <ns0:t>Automated measurement/classification</ns0:t>
        </ns0:is>
      </ns0:c>
      <ns0:c r="O73" s="19" t="inlineStr">
        <ns0:is>
          <ns0:t>Not observed in assessed sources</ns0:t>
        </ns0:is>
      </ns0:c>
      <ns0:c r="P73" s="19" t="inlineStr">
        <ns0:is>
          <ns0:t>Not observed in assessed sources</ns0:t>
        </ns0:is>
      </ns0:c>
      <ns0:c r="Q73" s="19" t="inlineStr">
        <ns0:is>
          <ns0:t>Not reported in assessed sources</ns0:t>
        </ns0:is>
      </ns0:c>
      <ns0:c r="R73" s="19" t="inlineStr">
        <ns0:is>
          <ns0:t>Not reported in assessed sources</ns0:t>
        </ns0:is>
      </ns0:c>
      <ns0:c r="S73" s="19" t="inlineStr">
        <ns0:is>
          <ns0:t>Reported</ns0:t>
        </ns0:is>
      </ns0:c>
      <ns0:c r="T73" s="19" t="inlineStr">
        <ns0:is>
          <ns0:t>Not reported in assessed sources</ns0:t>
        </ns0:is>
      </ns0:c>
      <ns0:c r="U73" s="19" t="inlineStr">
        <ns0:is>
          <ns0:t>Not reported in assessed sources</ns0:t>
        </ns0:is>
      </ns0:c>
      <ns0:c r="V73" s="19" t="inlineStr">
        <ns0:is>
          <ns0:t>Reported</ns0:t>
        </ns0:is>
      </ns0:c>
      <ns0:c r="W73" s="19" t="inlineStr">
        <ns0:is>
          <ns0:t>Not reported in assessed sources</ns0:t>
        </ns0:is>
      </ns0:c>
      <ns0:c r="X73" s="19" t="inlineStr">
        <ns0:is>
          <ns0:t>Not reported in assessed sources</ns0:t>
        </ns0:is>
      </ns0:c>
      <ns0:c r="Y73" s="19" t="inlineStr">
        <ns0:is>
          <ns0:t>Not ascertainable</ns0:t>
        </ns0:is>
      </ns0:c>
      <ns0:c r="Z73" s="19" t="inlineStr">
        <ns0:is>
          <ns0:t>Reported</ns0:t>
        </ns0:is>
      </ns0:c>
      <ns0:c r="AA73" s="19" t="inlineStr">
        <ns0:is>
          <ns0:t>Not recorded</ns0:t>
        </ns0:is>
      </ns0:c>
      <ns0:c r="AB73" s="26" t="n">
        <ns0:v>0</ns0:v>
      </ns0:c>
      <ns0:c r="AC73" s="26" t="n">
        <ns0:v>0</ns0:v>
      </ns0:c>
      <ns0:c r="AD73" s="27">
        <ns0:f>IF(AND(G73=1,AB73=0),1,0)</ns0:f>
        <ns0:v>1</ns0:v>
      </ns0:c>
      <ns0:c r="AE73" s="27">
        <ns0:f>IF(AND(AD73=1,AC73=0),1,0)</ns0:f>
        <ns0:v>1</ns0:v>
      </ns0:c>
      <ns0:c r="AF73" s="27">
        <ns0:f>IF(AND(G73=1,H73&lt;&gt;"Not specified"),1,0)</ns0:f>
        <ns0:v>1</ns0:v>
      </ns0:c>
      <ns0:c r="AG73" s="27">
        <ns0:f>IF(AND(AE73=1,AF73=1),1,0)</ns0:f>
        <ns0:v>1</ns0:v>
      </ns0:c>
      <ns0:c r="AH73" s="19" t="inlineStr">
        <ns0:is>
          <ns0:t>Supplied abstract/coding notes; no new full-text verification</ns0:t>
        </ns0:is>
      </ns0:c>
      <ns0:c r="AI73" s="19" t="inlineStr">
        <ns0:is>
          <ns0:t>https://doi.org/10.1109/tnsre.2021.3120024</ns0:t>
        </ns0:is>
      </ns0:c>
      <ns0:c r="AJ73" s="19" t="inlineStr">
        <ns0:is>
          <ns0:t>EVIDENCIA; original abstract/coding notes and lot source trace; Historical signals: title/abstract/notes; full-text completion not independently established</ns0:t>
        </ns0:is>
      </ns0:c>
      <ns0:c r="AK73" s="19" t="inlineStr">
        <ns0:is>
          <ns0:t>Multisite fMRI benchmark is explicitly described. Inter-site biomarker claims alone do not establish a held-out-site experiment.</ns0:t>
        </ns0:is>
      </ns0:c>
      <ns0:c r="AL73" s="19" t="inlineStr">
        <ns0:is>
          <ns0:t>Not applicable</ns0:t>
        </ns0:is>
      </ns0:c>
      <ns0:c r="AM73" s="19" t="inlineStr">
        <ns0:is>
          <ns0:t>Not separately specified</ns0:t>
        </ns0:is>
      </ns0:c>
      <ns0:c r="AN73" s="19" t="inlineStr"/>
      <ns0:c r="AO73" s="19" t="inlineStr">
        <ns0:is>
          <ns0:t>No additional status determination</ns0:t>
        </ns0:is>
      </ns0:c>
      <ns0:c r="AP73" s="19" t="inlineStr">
        <ns0:is>
          <ns0:t>Not documented for this recharting</ns0:t>
        </ns0:is>
      </ns0:c>
      <ns0:c r="AQ73" s="19" t="inlineStr">
        <ns0:is>
          <ns0:t>ChatGPT-assisted evidence recharting, 2026-09-08</ns0:t>
        </ns0:is>
      </ns0:c>
      <ns0:c r="AR73" s="19" t="inlineStr"/>
      <ns0:c r="AS73" s="19" t="inlineStr">
        <ns0:is>
          <ns0:t>Not recorded; historical inclusion retained</ns0:t>
        </ns0:is>
      </ns0:c>
    </ns0:row>
    <ns0:row r="74" ht="50" customHeight="1">
      <ns0:c r="A74" s="21" t="inlineStr">
        <ns0:is>
          <ns0:t>74</ns0:t>
        </ns0:is>
      </ns0:c>
      <ns0:c r="B74" s="21" t="inlineStr">
        <ns0:is>
          <ns0:t>Historical</ns0:t>
        </ns0:is>
      </ns0:c>
      <ns0:c r="C74" s="21" t="inlineStr">
        <ns0:is>
          <ns0:t>A heterogeneous graph convolutional attention network method for classification of autism spectrum disorder</ns0:t>
        </ns0:is>
      </ns0:c>
      <ns0:c r="D74" s="21" t="inlineStr">
        <ns0:is>
          <ns0:t>10.1186/s12859-023-05495-7</ns0:t>
        </ns0:is>
      </ns0:c>
      <ns0:c r="E74" s="28" t="n">
        <ns0:v>2023</ns0:v>
      </ns0:c>
      <ns0:c r="F74" s="21" t="inlineStr">
        <ns0:is>
          <ns0:t>Include</ns0:t>
        </ns0:is>
      </ns0:c>
      <ns0:c r="G74" s="29">
        <ns0:f>IF(F74="Include",1,0)</ns0:f>
        <ns0:v>1</ns0:v>
      </ns0:c>
      <ns0:c r="H74" s="21" t="inlineStr">
        <ns0:is>
          <ns0:t>Diagnosis</ns0:t>
        </ns0:is>
      </ns0:c>
      <ns0:c r="I74" s="21" t="inlineStr">
        <ns0:is>
          <ns0:t>Deep Learning</ns0:t>
        </ns0:is>
      </ns0:c>
      <ns0:c r="J74" s="21" t="inlineStr">
        <ns0:is>
          <ns0:t>Multiple source categories</ns0:t>
        </ns0:is>
      </ns0:c>
      <ns0:c r="K74" s="21" t="inlineStr">
        <ns0:is>
          <ns0:t>Heterogeneous graph convolutional attention network</ns0:t>
        </ns0:is>
      </ns0:c>
      <ns0:c r="L74" s="21" t="inlineStr">
        <ns0:is>
          <ns0:t>GNN</ns0:t>
        </ns0:is>
      </ns0:c>
      <ns0:c r="M74" s="21" t="inlineStr">
        <ns0:is>
          <ns0:t>Research only</ns0:t>
        </ns0:is>
      </ns0:c>
      <ns0:c r="N74" s="21" t="inlineStr">
        <ns0:is>
          <ns0:t>Automated measurement/classification</ns0:t>
        </ns0:is>
      </ns0:c>
      <ns0:c r="O74" s="21" t="inlineStr">
        <ns0:is>
          <ns0:t>Not observed in assessed sources</ns0:t>
        </ns0:is>
      </ns0:c>
      <ns0:c r="P74" s="21" t="inlineStr">
        <ns0:is>
          <ns0:t>Not observed in assessed sources</ns0:t>
        </ns0:is>
      </ns0:c>
      <ns0:c r="Q74" s="21" t="inlineStr">
        <ns0:is>
          <ns0:t>Not reported in assessed sources</ns0:t>
        </ns0:is>
      </ns0:c>
      <ns0:c r="R74" s="21" t="inlineStr">
        <ns0:is>
          <ns0:t>Reported</ns0:t>
        </ns0:is>
      </ns0:c>
      <ns0:c r="S74" s="21" t="inlineStr">
        <ns0:is>
          <ns0:t>Reported</ns0:t>
        </ns0:is>
      </ns0:c>
      <ns0:c r="T74" s="21" t="inlineStr">
        <ns0:is>
          <ns0:t>Not reported in assessed sources</ns0:t>
        </ns0:is>
      </ns0:c>
      <ns0:c r="U74" s="21" t="inlineStr">
        <ns0:is>
          <ns0:t>Not reported in assessed sources</ns0:t>
        </ns0:is>
      </ns0:c>
      <ns0:c r="V74" s="21" t="inlineStr">
        <ns0:is>
          <ns0:t>Reported</ns0:t>
        </ns0:is>
      </ns0:c>
      <ns0:c r="W74" s="21" t="inlineStr">
        <ns0:is>
          <ns0:t>Reported</ns0:t>
        </ns0:is>
      </ns0:c>
      <ns0:c r="X74" s="21" t="inlineStr">
        <ns0:is>
          <ns0:t>Not reported in assessed sources</ns0:t>
        </ns0:is>
      </ns0:c>
      <ns0:c r="Y74" s="21" t="inlineStr">
        <ns0:is>
          <ns0:t>Not ascertainable</ns0:t>
        </ns0:is>
      </ns0:c>
      <ns0:c r="Z74" s="21" t="inlineStr">
        <ns0:is>
          <ns0:t>Reported</ns0:t>
        </ns0:is>
      </ns0:c>
      <ns0:c r="AA74" s="21" t="inlineStr">
        <ns0:is>
          <ns0:t>Not recorded</ns0:t>
        </ns0:is>
      </ns0:c>
      <ns0:c r="AB74" s="28" t="n">
        <ns0:v>0</ns0:v>
      </ns0:c>
      <ns0:c r="AC74" s="28" t="n">
        <ns0:v>0</ns0:v>
      </ns0:c>
      <ns0:c r="AD74" s="29">
        <ns0:f>IF(AND(G74=1,AB74=0),1,0)</ns0:f>
        <ns0:v>1</ns0:v>
      </ns0:c>
      <ns0:c r="AE74" s="29">
        <ns0:f>IF(AND(AD74=1,AC74=0),1,0)</ns0:f>
        <ns0:v>1</ns0:v>
      </ns0:c>
      <ns0:c r="AF74" s="29">
        <ns0:f>IF(AND(G74=1,H74&lt;&gt;"Not specified"),1,0)</ns0:f>
        <ns0:v>1</ns0:v>
      </ns0:c>
      <ns0:c r="AG74" s="29">
        <ns0:f>IF(AND(AE74=1,AF74=1),1,0)</ns0:f>
        <ns0:v>1</ns0:v>
      </ns0:c>
      <ns0:c r="AH74" s="21" t="inlineStr">
        <ns0:is>
          <ns0:t>Supplied abstract/coding notes; no new full-text verification</ns0:t>
        </ns0:is>
      </ns0:c>
      <ns0:c r="AI74" s="21" t="inlineStr">
        <ns0:is>
          <ns0:t>https://doi.org/10.1186/s12859-023-05495-7</ns0:t>
        </ns0:is>
      </ns0:c>
      <ns0:c r="AJ74" s="21" t="inlineStr">
        <ns0:is>
          <ns0:t>EVIDENCIA; original abstract/coding notes and lot source trace; Historical signals: title/abstract/notes; full-text completion not independently established</ns0:t>
        </ns0:is>
      </ns0:c>
      <ns0:c r="AK74" s="21" t="inlineStr">
        <ns0:is>
          <ns0:t>Graph framework combines fMRI connectivity and phenotype information; semantic attention is not itself proof of a validated explanation method.</ns0:t>
        </ns0:is>
      </ns0:c>
      <ns0:c r="AL74" s="21" t="inlineStr">
        <ns0:is>
          <ns0:t>Not applicable</ns0:t>
        </ns0:is>
      </ns0:c>
      <ns0:c r="AM74" s="21" t="inlineStr">
        <ns0:is>
          <ns0:t>Not separately specified</ns0:t>
        </ns0:is>
      </ns0:c>
      <ns0:c r="AN74" s="21" t="inlineStr"/>
      <ns0:c r="AO74" s="21" t="inlineStr">
        <ns0:is>
          <ns0:t>No additional status determination</ns0:t>
        </ns0:is>
      </ns0:c>
      <ns0:c r="AP74" s="21" t="inlineStr">
        <ns0:is>
          <ns0:t>Not documented for this recharting</ns0:t>
        </ns0:is>
      </ns0:c>
      <ns0:c r="AQ74" s="21" t="inlineStr">
        <ns0:is>
          <ns0:t>ChatGPT-assisted evidence recharting, 2026-09-08</ns0:t>
        </ns0:is>
      </ns0:c>
      <ns0:c r="AR74" s="21" t="inlineStr">
        <ns0:is>
          <ns0:t>RA</ns0:t>
        </ns0:is>
      </ns0:c>
      <ns0:c r="AS74" s="21" t="inlineStr">
        <ns0:is>
          <ns0:t>Not recorded; historical inclusion retained</ns0:t>
        </ns0:is>
      </ns0:c>
    </ns0:row>
    <ns0:row r="75" ht="50" customHeight="1">
      <ns0:c r="A75" s="19" t="inlineStr">
        <ns0:is>
          <ns0:t>75</ns0:t>
        </ns0:is>
      </ns0:c>
      <ns0:c r="B75" s="19" t="inlineStr">
        <ns0:is>
          <ns0:t>Historical</ns0:t>
        </ns0:is>
      </ns0:c>
      <ns0:c r="C75" s="23" t="inlineStr">
        <ns0:is>
          <ns0:t>A monitoring system for patients of autism spectrum disorder using artificial intelligence</ns0:t>
        </ns0:is>
      </ns0:c>
      <ns0:c r="D75" s="19" t="inlineStr">
        <ns0:is>
          <ns0:t>10.1007/978-3-030-59277-6_23</ns0:t>
        </ns0:is>
      </ns0:c>
      <ns0:c r="E75" s="26" t="n">
        <ns0:v>2020</ns0:v>
      </ns0:c>
      <ns0:c r="F75" s="19" t="inlineStr">
        <ns0:is>
          <ns0:t>Include</ns0:t>
        </ns0:is>
      </ns0:c>
      <ns0:c r="G75" s="27">
        <ns0:f>IF(F75="Include",1,0)</ns0:f>
        <ns0:v>1</ns0:v>
      </ns0:c>
      <ns0:c r="H75" s="19" t="inlineStr">
        <ns0:is>
          <ns0:t>Monitoring/intervention</ns0:t>
        </ns0:is>
      </ns0:c>
      <ns0:c r="I75" s="19" t="inlineStr">
        <ns0:is>
          <ns0:t>Not specified</ns0:t>
        </ns0:is>
      </ns0:c>
      <ns0:c r="J75" s="19" t="inlineStr">
        <ns0:is>
          <ns0:t>Multiple source categories</ns0:t>
        </ns0:is>
      </ns0:c>
      <ns0:c r="K75" s="19" t="inlineStr">
        <ns0:is>
          <ns0:t>AI monitoring and adaptive learning system; implementation unspecified</ns0:t>
        </ns0:is>
      </ns0:c>
      <ns0:c r="L75" s="19" t="inlineStr">
        <ns0:is>
          <ns0:t>Multiple/not uniquely specified</ns0:t>
        </ns0:is>
      </ns0:c>
      <ns0:c r="M75" s="19" t="inlineStr">
        <ns0:is>
          <ns0:t>Proposed only</ns0:t>
        </ns0:is>
      </ns0:c>
      <ns0:c r="N75" s="19" t="inlineStr">
        <ns0:is>
          <ns0:t>Monitoring/longitudinal analysis</ns0:t>
        </ns0:is>
      </ns0:c>
      <ns0:c r="O75" s="19" t="inlineStr">
        <ns0:is>
          <ns0:t>Post-decision</ns0:t>
        </ns0:is>
      </ns0:c>
      <ns0:c r="P75" s="19" t="inlineStr">
        <ns0:is>
          <ns0:t>Not observed in assessed sources</ns0:t>
        </ns0:is>
      </ns0:c>
      <ns0:c r="Q75" s="19" t="inlineStr">
        <ns0:is>
          <ns0:t>Not reported in assessed sources</ns0:t>
        </ns0:is>
      </ns0:c>
      <ns0:c r="R75" s="19" t="inlineStr">
        <ns0:is>
          <ns0:t>Not ascertainable</ns0:t>
        </ns0:is>
      </ns0:c>
      <ns0:c r="S75" s="19" t="inlineStr">
        <ns0:is>
          <ns0:t>Not reported in assessed sources</ns0:t>
        </ns0:is>
      </ns0:c>
      <ns0:c r="T75" s="19" t="inlineStr">
        <ns0:is>
          <ns0:t>Not reported in assessed sources</ns0:t>
        </ns0:is>
      </ns0:c>
      <ns0:c r="U75" s="19" t="inlineStr">
        <ns0:is>
          <ns0:t>Not reported in assessed sources</ns0:t>
        </ns0:is>
      </ns0:c>
      <ns0:c r="V75" s="19" t="inlineStr">
        <ns0:is>
          <ns0:t>Not reported in assessed sources</ns0:t>
        </ns0:is>
      </ns0:c>
      <ns0:c r="W75" s="19" t="inlineStr">
        <ns0:is>
          <ns0:t>Not reported in assessed sources</ns0:t>
        </ns0:is>
      </ns0:c>
      <ns0:c r="X75" s="19" t="inlineStr">
        <ns0:is>
          <ns0:t>Not reported in assessed sources</ns0:t>
        </ns0:is>
      </ns0:c>
      <ns0:c r="Y75" s="19" t="inlineStr">
        <ns0:is>
          <ns0:t>Not ascertainable</ns0:t>
        </ns0:is>
      </ns0:c>
      <ns0:c r="Z75" s="19" t="inlineStr">
        <ns0:is>
          <ns0:t>Not reported in assessed sources</ns0:t>
        </ns0:is>
      </ns0:c>
      <ns0:c r="AA75" s="19" t="inlineStr">
        <ns0:is>
          <ns0:t>Not recorded</ns0:t>
        </ns0:is>
      </ns0:c>
      <ns0:c r="AB75" s="26" t="n">
        <ns0:v>0</ns0:v>
      </ns0:c>
      <ns0:c r="AC75" s="26" t="n">
        <ns0:v>1</ns0:v>
      </ns0:c>
      <ns0:c r="AD75" s="27">
        <ns0:f>IF(AND(G75=1,AB75=0),1,0)</ns0:f>
        <ns0:v>1</ns0:v>
      </ns0:c>
      <ns0:c r="AE75" s="27">
        <ns0:f>IF(AND(AD75=1,AC75=0),1,0)</ns0:f>
        <ns0:v>0</ns0:v>
      </ns0:c>
      <ns0:c r="AF75" s="27">
        <ns0:f>IF(AND(G75=1,H75&lt;&gt;"Not specified"),1,0)</ns0:f>
        <ns0:v>1</ns0:v>
      </ns0:c>
      <ns0:c r="AG75" s="27">
        <ns0:f>IF(AND(AE75=1,AF75=1),1,0)</ns0:f>
        <ns0:v>0</ns0:v>
      </ns0:c>
      <ns0:c r="AH75" s="19" t="inlineStr">
        <ns0:is>
          <ns0:t>Publisher abstract and bibliographic metadata</ns0:t>
        </ns0:is>
      </ns0:c>
      <ns0:c r="AI75" s="19" t="inlineStr">
        <ns0:is>
          <ns0:t>https://link.springer.com/chapter/10.1007/978-3-030-59277-6_23</ns0:t>
        </ns0:is>
      </ns0:c>
      <ns0:c r="AJ75" s="19" t="inlineStr">
        <ns0:is>
          <ns0:t>Publisher abstract; conference publication metadata</ns0:t>
        </ns0:is>
      </ns0:c>
      <ns0:c r="AK75" s="19" t="inlineStr">
        <ns0:is>
          <ns0:t>Proposed sensor and facial-expression monitoring with caregiver alerts. Accessible description does not document a participant-facing empirical evaluation.
Accessible abstract proposes a system but does not establish original empirical AI evaluation; retain inherited inclusion with uncertainty and exclude in stricter-evidence sensitivity.</ns0:t>
        </ns0:is>
      </ns0:c>
      <ns0:c r="AL75" s="19" t="inlineStr">
        <ns0:is>
          <ns0:t>Not applicable</ns0:t>
        </ns0:is>
      </ns0:c>
      <ns0:c r="AM75" s="19" t="inlineStr">
        <ns0:is>
          <ns0:t>Not separately specified</ns0:t>
        </ns0:is>
      </ns0:c>
      <ns0:c r="AN75" s="19" t="inlineStr">
        <ns0:is>
          <ns0:t>Accessible abstract proposes a system but does not establish original empirical AI evaluation; retain inherited inclusion with uncertainty and exclude in stricter-evidence sensitivity.</ns0:t>
        </ns0:is>
      </ns0:c>
      <ns0:c r="AO75" s="19" t="inlineStr">
        <ns0:is>
          <ns0:t>No additional status determination</ns0:t>
        </ns0:is>
      </ns0:c>
      <ns0:c r="AP75" s="19" t="inlineStr">
        <ns0:is>
          <ns0:t>Not documented for this recharting</ns0:t>
        </ns0:is>
      </ns0:c>
      <ns0:c r="AQ75" s="19" t="inlineStr">
        <ns0:is>
          <ns0:t>ChatGPT-assisted evidence recharting, 2026-09-08</ns0:t>
        </ns0:is>
      </ns0:c>
      <ns0:c r="AR75" s="19" t="inlineStr"/>
      <ns0:c r="AS75" s="19" t="inlineStr">
        <ns0:is>
          <ns0:t>Not recorded; historical inclusion retained</ns0:t>
        </ns0:is>
      </ns0:c>
    </ns0:row>
    <ns0:row r="76" ht="50" customHeight="1">
      <ns0:c r="A76" s="21" t="inlineStr">
        <ns0:is>
          <ns0:t>77</ns0:t>
        </ns0:is>
      </ns0:c>
      <ns0:c r="B76" s="21" t="inlineStr">
        <ns0:is>
          <ns0:t>Historical</ns0:t>
        </ns0:is>
      </ns0:c>
      <ns0:c r="C76" s="21" t="inlineStr">
        <ns0:is>
          <ns0:t>Age-Specific Diagnostic Classification of ASD Using Deep Learning Approaches</ns0:t>
        </ns0:is>
      </ns0:c>
      <ns0:c r="D76" s="21" t="inlineStr">
        <ns0:is>
          <ns0:t>10.3233/shti230794</ns0:t>
        </ns0:is>
      </ns0:c>
      <ns0:c r="E76" s="28" t="n">
        <ns0:v>2023</ns0:v>
      </ns0:c>
      <ns0:c r="F76" s="21" t="inlineStr">
        <ns0:is>
          <ns0:t>Include</ns0:t>
        </ns0:is>
      </ns0:c>
      <ns0:c r="G76" s="29">
        <ns0:f>IF(F76="Include",1,0)</ns0:f>
        <ns0:v>1</ns0:v>
      </ns0:c>
      <ns0:c r="H76" s="21" t="inlineStr">
        <ns0:is>
          <ns0:t>Diagnosis</ns0:t>
        </ns0:is>
      </ns0:c>
      <ns0:c r="I76" s="21" t="inlineStr">
        <ns0:is>
          <ns0:t>Deep Learning</ns0:t>
        </ns0:is>
      </ns0:c>
      <ns0:c r="J76" s="21" t="inlineStr">
        <ns0:is>
          <ns0:t>Neuroimaging</ns0:t>
        </ns0:is>
      </ns0:c>
      <ns0:c r="K76" s="21" t="inlineStr">
        <ns0:is>
          <ns0:t>DenseNet201</ns0:t>
        </ns0:is>
      </ns0:c>
      <ns0:c r="L76" s="21" t="inlineStr">
        <ns0:is>
          <ns0:t>CNN</ns0:t>
        </ns0:is>
      </ns0:c>
      <ns0:c r="M76" s="21" t="inlineStr">
        <ns0:is>
          <ns0:t>Research only</ns0:t>
        </ns0:is>
      </ns0:c>
      <ns0:c r="N76" s="21" t="inlineStr">
        <ns0:is>
          <ns0:t>Automated measurement/classification</ns0:t>
        </ns0:is>
      </ns0:c>
      <ns0:c r="O76" s="21" t="inlineStr">
        <ns0:is>
          <ns0:t>Not observed in assessed sources</ns0:t>
        </ns0:is>
      </ns0:c>
      <ns0:c r="P76" s="21" t="inlineStr">
        <ns0:is>
          <ns0:t>Not observed in assessed sources</ns0:t>
        </ns0:is>
      </ns0:c>
      <ns0:c r="Q76" s="21" t="inlineStr">
        <ns0:is>
          <ns0:t>Not reported in assessed sources</ns0:t>
        </ns0:is>
      </ns0:c>
      <ns0:c r="R76" s="21" t="inlineStr">
        <ns0:is>
          <ns0:t>Not reported in assessed sources</ns0:t>
        </ns0:is>
      </ns0:c>
      <ns0:c r="S76" s="21" t="inlineStr">
        <ns0:is>
          <ns0:t>Not reported in assessed sources</ns0:t>
        </ns0:is>
      </ns0:c>
      <ns0:c r="T76" s="21" t="inlineStr">
        <ns0:is>
          <ns0:t>Not reported in assessed sources</ns0:t>
        </ns0:is>
      </ns0:c>
      <ns0:c r="U76" s="21" t="inlineStr">
        <ns0:is>
          <ns0:t>Not reported in assessed sources</ns0:t>
        </ns0:is>
      </ns0:c>
      <ns0:c r="V76" s="21" t="inlineStr">
        <ns0:is>
          <ns0:t>Reported</ns0:t>
        </ns0:is>
      </ns0:c>
      <ns0:c r="W76" s="21" t="inlineStr">
        <ns0:is>
          <ns0:t>Not reported in assessed sources</ns0:t>
        </ns0:is>
      </ns0:c>
      <ns0:c r="X76" s="21" t="inlineStr">
        <ns0:is>
          <ns0:t>Not reported in assessed sources</ns0:t>
        </ns0:is>
      </ns0:c>
      <ns0:c r="Y76" s="21" t="inlineStr">
        <ns0:is>
          <ns0:t>Not ascertainable</ns0:t>
        </ns0:is>
      </ns0:c>
      <ns0:c r="Z76" s="21" t="inlineStr">
        <ns0:is>
          <ns0:t>Not reported in assessed sources</ns0:t>
        </ns0:is>
      </ns0:c>
      <ns0:c r="AA76" s="21" t="inlineStr">
        <ns0:is>
          <ns0:t>Not recorded</ns0:t>
        </ns0:is>
      </ns0:c>
      <ns0:c r="AB76" s="28" t="n">
        <ns0:v>0</ns0:v>
      </ns0:c>
      <ns0:c r="AC76" s="28" t="n">
        <ns0:v>0</ns0:v>
      </ns0:c>
      <ns0:c r="AD76" s="29">
        <ns0:f>IF(AND(G76=1,AB76=0),1,0)</ns0:f>
        <ns0:v>1</ns0:v>
      </ns0:c>
      <ns0:c r="AE76" s="29">
        <ns0:f>IF(AND(AD76=1,AC76=0),1,0)</ns0:f>
        <ns0:v>1</ns0:v>
      </ns0:c>
      <ns0:c r="AF76" s="29">
        <ns0:f>IF(AND(G76=1,H76&lt;&gt;"Not specified"),1,0)</ns0:f>
        <ns0:v>1</ns0:v>
      </ns0:c>
      <ns0:c r="AG76" s="29">
        <ns0:f>IF(AND(AE76=1,AF76=1),1,0)</ns0:f>
        <ns0:v>1</ns0:v>
      </ns0:c>
      <ns0:c r="AH76" s="21" t="inlineStr">
        <ns0:is>
          <ns0:t>Supplied abstract/coding notes; no new full-text verification</ns0:t>
        </ns0:is>
      </ns0:c>
      <ns0:c r="AI76" s="21" t="inlineStr">
        <ns0:is>
          <ns0:t>https://doi.org/10.3233/shti230794</ns0:t>
        </ns0:is>
      </ns0:c>
      <ns0:c r="AJ76" s="21" t="inlineStr">
        <ns0:is>
          <ns0:t>EVIDENCIA; original abstract/coding notes and lot source trace; Historical signals: title/abstract/notes; full-text completion not independently established</ns0:t>
        </ns0:is>
      </ns0:c>
      <ns0:c r="AK76" s="21" t="inlineStr">
        <ns0:is>
          <ns0:t>Functional-connectivity matrices from fMRI are represented as heatmaps; they remain neuroimaging, not EEG or photographs. ABIDE I and II use does not specify independent train-test separation.</ns0:t>
        </ns0:is>
      </ns0:c>
      <ns0:c r="AL76" s="21" t="inlineStr">
        <ns0:is>
          <ns0:t>Not applicable</ns0:t>
        </ns0:is>
      </ns0:c>
      <ns0:c r="AM76" s="21" t="inlineStr">
        <ns0:is>
          <ns0:t>Not separately specified</ns0:t>
        </ns0:is>
      </ns0:c>
      <ns0:c r="AN76" s="21" t="inlineStr"/>
      <ns0:c r="AO76" s="21" t="inlineStr">
        <ns0:is>
          <ns0:t>No additional status determination</ns0:t>
        </ns0:is>
      </ns0:c>
      <ns0:c r="AP76" s="21" t="inlineStr">
        <ns0:is>
          <ns0:t>Not documented for this recharting</ns0:t>
        </ns0:is>
      </ns0:c>
      <ns0:c r="AQ76" s="21" t="inlineStr">
        <ns0:is>
          <ns0:t>ChatGPT-assisted evidence recharting, 2026-09-08</ns0:t>
        </ns0:is>
      </ns0:c>
      <ns0:c r="AR76" s="21" t="inlineStr">
        <ns0:is>
          <ns0:t>RA</ns0:t>
        </ns0:is>
      </ns0:c>
      <ns0:c r="AS76" s="21" t="inlineStr">
        <ns0:is>
          <ns0:t>Not recorded; historical inclusion retained</ns0:t>
        </ns0:is>
      </ns0:c>
    </ns0:row>
    <ns0:row r="77" ht="50" customHeight="1">
      <ns0:c r="A77" s="19" t="inlineStr">
        <ns0:is>
          <ns0:t>78</ns0:t>
        </ns0:is>
      </ns0:c>
      <ns0:c r="B77" s="19" t="inlineStr">
        <ns0:is>
          <ns0:t>Historical</ns0:t>
        </ns0:is>
      </ns0:c>
      <ns0:c r="C77" s="19" t="inlineStr">
        <ns0:is>
          <ns0:t>An Automatic Framework for Detecting Autism Spectrum Disorder From EEG Signals Using TFD</ns0:t>
        </ns0:is>
      </ns0:c>
      <ns0:c r="D77" s="19" t="inlineStr">
        <ns0:is>
          <ns0:t>10.1109/jsen.2024.3362341</ns0:t>
        </ns0:is>
      </ns0:c>
      <ns0:c r="E77" s="26" t="n">
        <ns0:v>2024</ns0:v>
      </ns0:c>
      <ns0:c r="F77" s="19" t="inlineStr">
        <ns0:is>
          <ns0:t>Include</ns0:t>
        </ns0:is>
      </ns0:c>
      <ns0:c r="G77" s="27">
        <ns0:f>IF(F77="Include",1,0)</ns0:f>
        <ns0:v>1</ns0:v>
      </ns0:c>
      <ns0:c r="H77" s="19" t="inlineStr">
        <ns0:is>
          <ns0:t>Diagnosis</ns0:t>
        </ns0:is>
      </ns0:c>
      <ns0:c r="I77" s="19" t="inlineStr">
        <ns0:is>
          <ns0:t>Deep Learning</ns0:t>
        </ns0:is>
      </ns0:c>
      <ns0:c r="J77" s="19" t="inlineStr">
        <ns0:is>
          <ns0:t>Physiological signals</ns0:t>
        </ns0:is>
      </ns0:c>
      <ns0:c r="K77" s="19" t="inlineStr">
        <ns0:is>
          <ns0:t>ASD-Net CNN</ns0:t>
        </ns0:is>
      </ns0:c>
      <ns0:c r="L77" s="19" t="inlineStr">
        <ns0:is>
          <ns0:t>CNN</ns0:t>
        </ns0:is>
      </ns0:c>
      <ns0:c r="M77" s="19" t="inlineStr">
        <ns0:is>
          <ns0:t>Research only</ns0:t>
        </ns0:is>
      </ns0:c>
      <ns0:c r="N77" s="19" t="inlineStr">
        <ns0:is>
          <ns0:t>Automated measurement/classification</ns0:t>
        </ns0:is>
      </ns0:c>
      <ns0:c r="O77" s="19" t="inlineStr">
        <ns0:is>
          <ns0:t>Not observed in assessed sources</ns0:t>
        </ns0:is>
      </ns0:c>
      <ns0:c r="P77" s="19" t="inlineStr">
        <ns0:is>
          <ns0:t>Not observed in assessed sources</ns0:t>
        </ns0:is>
      </ns0:c>
      <ns0:c r="Q77" s="19" t="inlineStr">
        <ns0:is>
          <ns0:t>Not reported in assessed sources</ns0:t>
        </ns0:is>
      </ns0:c>
      <ns0:c r="R77" s="19" t="inlineStr">
        <ns0:is>
          <ns0:t>Not reported in assessed sources</ns0:t>
        </ns0:is>
      </ns0:c>
      <ns0:c r="S77" s="19" t="inlineStr">
        <ns0:is>
          <ns0:t>Not reported in assessed sources</ns0:t>
        </ns0:is>
      </ns0:c>
      <ns0:c r="T77" s="19" t="inlineStr">
        <ns0:is>
          <ns0:t>Not reported in assessed sources</ns0:t>
        </ns0:is>
      </ns0:c>
      <ns0:c r="U77" s="19" t="inlineStr">
        <ns0:is>
          <ns0:t>Not reported in assessed sources</ns0:t>
        </ns0:is>
      </ns0:c>
      <ns0:c r="V77" s="19" t="inlineStr">
        <ns0:is>
          <ns0:t>Not reported in assessed sources</ns0:t>
        </ns0:is>
      </ns0:c>
      <ns0:c r="W77" s="19" t="inlineStr">
        <ns0:is>
          <ns0:t>Not reported in assessed sources</ns0:t>
        </ns0:is>
      </ns0:c>
      <ns0:c r="X77" s="19" t="inlineStr">
        <ns0:is>
          <ns0:t>Not reported in assessed sources</ns0:t>
        </ns0:is>
      </ns0:c>
      <ns0:c r="Y77" s="19" t="inlineStr">
        <ns0:is>
          <ns0:t>Not ascertainable</ns0:t>
        </ns0:is>
      </ns0:c>
      <ns0:c r="Z77" s="19" t="inlineStr">
        <ns0:is>
          <ns0:t>Not reported in assessed sources</ns0:t>
        </ns0:is>
      </ns0:c>
      <ns0:c r="AA77" s="19" t="inlineStr">
        <ns0:is>
          <ns0:t>Not recorded</ns0:t>
        </ns0:is>
      </ns0:c>
      <ns0:c r="AB77" s="26" t="n">
        <ns0:v>0</ns0:v>
      </ns0:c>
      <ns0:c r="AC77" s="26" t="n">
        <ns0:v>0</ns0:v>
      </ns0:c>
      <ns0:c r="AD77" s="27">
        <ns0:f>IF(AND(G77=1,AB77=0),1,0)</ns0:f>
        <ns0:v>1</ns0:v>
      </ns0:c>
      <ns0:c r="AE77" s="27">
        <ns0:f>IF(AND(AD77=1,AC77=0),1,0)</ns0:f>
        <ns0:v>1</ns0:v>
      </ns0:c>
      <ns0:c r="AF77" s="27">
        <ns0:f>IF(AND(G77=1,H77&lt;&gt;"Not specified"),1,0)</ns0:f>
        <ns0:v>1</ns0:v>
      </ns0:c>
      <ns0:c r="AG77" s="27">
        <ns0:f>IF(AND(AE77=1,AF77=1),1,0)</ns0:f>
        <ns0:v>1</ns0:v>
      </ns0:c>
      <ns0:c r="AH77" s="19" t="inlineStr">
        <ns0:is>
          <ns0:t>Supplied abstract/coding notes; no new full-text verification</ns0:t>
        </ns0:is>
      </ns0:c>
      <ns0:c r="AI77" s="19" t="inlineStr">
        <ns0:is>
          <ns0:t>https://doi.org/10.1109/jsen.2024.3362341</ns0:t>
        </ns0:is>
      </ns0:c>
      <ns0:c r="AJ77" s="19" t="inlineStr">
        <ns0:is>
          <ns0:t>EVIDENCIA; original abstract/coding notes and lot source trace; Historical signals: title/abstract/notes; full-text completion not independently established</ns0:t>
        </ns0:is>
      </ns0:c>
      <ns0:c r="AK77" s="19" t="inlineStr">
        <ns0:is>
          <ns0:t>Time-frequency image representations originate from EEG and remain physiological data; alternative transforms do not establish additional sources.</ns0:t>
        </ns0:is>
      </ns0:c>
      <ns0:c r="AL77" s="19" t="inlineStr">
        <ns0:is>
          <ns0:t>Not applicable</ns0:t>
        </ns0:is>
      </ns0:c>
      <ns0:c r="AM77" s="19" t="inlineStr">
        <ns0:is>
          <ns0:t>Not separately specified</ns0:t>
        </ns0:is>
      </ns0:c>
      <ns0:c r="AN77" s="19" t="inlineStr"/>
      <ns0:c r="AO77" s="19" t="inlineStr">
        <ns0:is>
          <ns0:t>No additional status determination</ns0:t>
        </ns0:is>
      </ns0:c>
      <ns0:c r="AP77" s="19" t="inlineStr">
        <ns0:is>
          <ns0:t>Not documented for this recharting</ns0:t>
        </ns0:is>
      </ns0:c>
      <ns0:c r="AQ77" s="19" t="inlineStr">
        <ns0:is>
          <ns0:t>ChatGPT-assisted evidence recharting, 2026-09-08</ns0:t>
        </ns0:is>
      </ns0:c>
      <ns0:c r="AR77" s="19" t="inlineStr">
        <ns0:is>
          <ns0:t>RA</ns0:t>
        </ns0:is>
      </ns0:c>
      <ns0:c r="AS77" s="19" t="inlineStr">
        <ns0:is>
          <ns0:t>Not recorded; historical inclusion retained</ns0:t>
        </ns0:is>
      </ns0:c>
    </ns0:row>
    <ns0:row r="78" ht="50" customHeight="1">
      <ns0:c r="A78" s="21" t="inlineStr">
        <ns0:is>
          <ns0:t>79</ns0:t>
        </ns0:is>
      </ns0:c>
      <ns0:c r="B78" s="21" t="inlineStr">
        <ns0:is>
          <ns0:t>Historical</ns0:t>
        </ns0:is>
      </ns0:c>
      <ns0:c r="C78" s="21" t="inlineStr">
        <ns0:is>
          <ns0:t>Applying Machine Learning to Kinematic and Eye Movement Features of a Movement Imitation Task to Predict Autism Diagnosis</ns0:t>
        </ns0:is>
      </ns0:c>
      <ns0:c r="D78" s="21" t="inlineStr">
        <ns0:is>
          <ns0:t>10.1038/s41598-020-65384-4</ns0:t>
        </ns0:is>
      </ns0:c>
      <ns0:c r="E78" s="28" t="n">
        <ns0:v>2020</ns0:v>
      </ns0:c>
      <ns0:c r="F78" s="21" t="inlineStr">
        <ns0:is>
          <ns0:t>Include</ns0:t>
        </ns0:is>
      </ns0:c>
      <ns0:c r="G78" s="29">
        <ns0:f>IF(F78="Include",1,0)</ns0:f>
        <ns0:v>1</ns0:v>
      </ns0:c>
      <ns0:c r="H78" s="21" t="inlineStr">
        <ns0:is>
          <ns0:t>Diagnosis</ns0:t>
        </ns0:is>
      </ns0:c>
      <ns0:c r="I78" s="21" t="inlineStr">
        <ns0:is>
          <ns0:t>Machine Learning</ns0:t>
        </ns0:is>
      </ns0:c>
      <ns0:c r="J78" s="21" t="inlineStr">
        <ns0:is>
          <ns0:t>Behavioral images/video/gaze/movement</ns0:t>
        </ns0:is>
      </ns0:c>
      <ns0:c r="K78" s="21" t="inlineStr">
        <ns0:is>
          <ns0:t>Supervised classifier; family unresolved</ns0:t>
        </ns0:is>
      </ns0:c>
      <ns0:c r="L78" s="21" t="inlineStr">
        <ns0:is>
          <ns0:t>Other specified method</ns0:t>
        </ns0:is>
      </ns0:c>
      <ns0:c r="M78" s="21" t="inlineStr">
        <ns0:is>
          <ns0:t>Research only</ns0:t>
        </ns0:is>
      </ns0:c>
      <ns0:c r="N78" s="21" t="inlineStr">
        <ns0:is>
          <ns0:t>Automated measurement/classification</ns0:t>
        </ns0:is>
      </ns0:c>
      <ns0:c r="O78" s="21" t="inlineStr">
        <ns0:is>
          <ns0:t>Not observed in assessed sources</ns0:t>
        </ns0:is>
      </ns0:c>
      <ns0:c r="P78" s="21" t="inlineStr">
        <ns0:is>
          <ns0:t>Not observed in assessed sources</ns0:t>
        </ns0:is>
      </ns0:c>
      <ns0:c r="Q78" s="21" t="inlineStr">
        <ns0:is>
          <ns0:t>Reported</ns0:t>
        </ns0:is>
      </ns0:c>
      <ns0:c r="R78" s="21" t="inlineStr">
        <ns0:is>
          <ns0:t>Reported</ns0:t>
        </ns0:is>
      </ns0:c>
      <ns0:c r="S78" s="21" t="inlineStr">
        <ns0:is>
          <ns0:t>Reported</ns0:t>
        </ns0:is>
      </ns0:c>
      <ns0:c r="T78" s="21" t="inlineStr">
        <ns0:is>
          <ns0:t>Not reported in assessed sources</ns0:t>
        </ns0:is>
      </ns0:c>
      <ns0:c r="U78" s="21" t="inlineStr">
        <ns0:is>
          <ns0:t>Not reported in assessed sources</ns0:t>
        </ns0:is>
      </ns0:c>
      <ns0:c r="V78" s="21" t="inlineStr">
        <ns0:is>
          <ns0:t>Not reported in assessed sources</ns0:t>
        </ns0:is>
      </ns0:c>
      <ns0:c r="W78" s="21" t="inlineStr">
        <ns0:is>
          <ns0:t>Reported</ns0:t>
        </ns0:is>
      </ns0:c>
      <ns0:c r="X78" s="21" t="inlineStr">
        <ns0:is>
          <ns0:t>Not reported in assessed sources</ns0:t>
        </ns0:is>
      </ns0:c>
      <ns0:c r="Y78" s="21" t="inlineStr">
        <ns0:is>
          <ns0:t>Not ascertainable</ns0:t>
        </ns0:is>
      </ns0:c>
      <ns0:c r="Z78" s="21" t="inlineStr">
        <ns0:is>
          <ns0:t>Reported</ns0:t>
        </ns0:is>
      </ns0:c>
      <ns0:c r="AA78" s="21" t="inlineStr">
        <ns0:is>
          <ns0:t>Not recorded</ns0:t>
        </ns0:is>
      </ns0:c>
      <ns0:c r="AB78" s="28" t="n">
        <ns0:v>0</ns0:v>
      </ns0:c>
      <ns0:c r="AC78" s="28" t="n">
        <ns0:v>0</ns0:v>
      </ns0:c>
      <ns0:c r="AD78" s="29">
        <ns0:f>IF(AND(G78=1,AB78=0),1,0)</ns0:f>
        <ns0:v>1</ns0:v>
      </ns0:c>
      <ns0:c r="AE78" s="29">
        <ns0:f>IF(AND(AD78=1,AC78=0),1,0)</ns0:f>
        <ns0:v>1</ns0:v>
      </ns0:c>
      <ns0:c r="AF78" s="29">
        <ns0:f>IF(AND(G78=1,H78&lt;&gt;"Not specified"),1,0)</ns0:f>
        <ns0:v>1</ns0:v>
      </ns0:c>
      <ns0:c r="AG78" s="29">
        <ns0:f>IF(AND(AE78=1,AF78=1),1,0)</ns0:f>
        <ns0:v>1</ns0:v>
      </ns0:c>
      <ns0:c r="AH78" s="21" t="inlineStr">
        <ns0:is>
          <ns0:t>Supplied abstract/coding notes; no new full-text verification</ns0:t>
        </ns0:is>
      </ns0:c>
      <ns0:c r="AI78" s="21" t="inlineStr">
        <ns0:is>
          <ns0:t>https://doi.org/10.1038/s41598-020-65384-4</ns0:t>
        </ns0:is>
      </ns0:c>
      <ns0:c r="AJ78" s="21" t="inlineStr">
        <ns0:is>
          <ns0:t>EVIDENCIA; original abstract/coding notes and lot source trace; Historical signals: title/abstract/notes; full-text completion not independently established</ns0:t>
        </ns0:is>
      </ns0:c>
      <ns0:c r="AK78" s="21" t="inlineStr">
        <ns0:is>
          <ns0:t>Motion tracking and eye tracking are explicitly combined and an independent sample is tested; multisource integration can occur within the behavioral domain.</ns0:t>
        </ns0:is>
      </ns0:c>
      <ns0:c r="AL78" s="21" t="inlineStr">
        <ns0:is>
          <ns0:t>Not applicable</ns0:t>
        </ns0:is>
      </ns0:c>
      <ns0:c r="AM78" s="21" t="inlineStr">
        <ns0:is>
          <ns0:t>Not separately specified</ns0:t>
        </ns0:is>
      </ns0:c>
      <ns0:c r="AN78" s="21" t="inlineStr"/>
      <ns0:c r="AO78" s="21" t="inlineStr">
        <ns0:is>
          <ns0:t>No additional status determination</ns0:t>
        </ns0:is>
      </ns0:c>
      <ns0:c r="AP78" s="21" t="inlineStr">
        <ns0:is>
          <ns0:t>Not documented for this recharting</ns0:t>
        </ns0:is>
      </ns0:c>
      <ns0:c r="AQ78" s="21" t="inlineStr">
        <ns0:is>
          <ns0:t>ChatGPT-assisted evidence recharting, 2026-09-08</ns0:t>
        </ns0:is>
      </ns0:c>
      <ns0:c r="AR78" s="21" t="inlineStr">
        <ns0:is>
          <ns0:t>RA</ns0:t>
        </ns0:is>
      </ns0:c>
      <ns0:c r="AS78" s="21" t="inlineStr">
        <ns0:is>
          <ns0:t>Not recorded; historical inclusion retained</ns0:t>
        </ns0:is>
      </ns0:c>
    </ns0:row>
    <ns0:row r="79" ht="50" customHeight="1">
      <ns0:c r="A79" s="19" t="inlineStr">
        <ns0:is>
          <ns0:t>80</ns0:t>
        </ns0:is>
      </ns0:c>
      <ns0:c r="B79" s="19" t="inlineStr">
        <ns0:is>
          <ns0:t>Historical</ns0:t>
        </ns0:is>
      </ns0:c>
      <ns0:c r="C79" s="19" t="inlineStr">
        <ns0:is>
          <ns0:t>Artificial intelligence analysis of newborn leucocyte epigenomic markers for the prediction of autism</ns0:t>
        </ns0:is>
      </ns0:c>
      <ns0:c r="D79" s="19" t="inlineStr">
        <ns0:is>
          <ns0:t>10.1016/j.brainres.2019.146457</ns0:t>
        </ns0:is>
      </ns0:c>
      <ns0:c r="E79" s="26" t="n">
        <ns0:v>2019</ns0:v>
      </ns0:c>
      <ns0:c r="F79" s="19" t="inlineStr">
        <ns0:is>
          <ns0:t>Include</ns0:t>
        </ns0:is>
      </ns0:c>
      <ns0:c r="G79" s="27">
        <ns0:f>IF(F79="Include",1,0)</ns0:f>
        <ns0:v>1</ns0:v>
      </ns0:c>
      <ns0:c r="H79" s="19" t="inlineStr">
        <ns0:is>
          <ns0:t>Prognosis</ns0:t>
        </ns0:is>
      </ns0:c>
      <ns0:c r="I79" s="19" t="inlineStr">
        <ns0:is>
          <ns0:t>Deep Learning</ns0:t>
        </ns0:is>
      </ns0:c>
      <ns0:c r="J79" s="19" t="inlineStr">
        <ns0:is>
          <ns0:t>Biological/omics</ns0:t>
        </ns0:is>
      </ns0:c>
      <ns0:c r="K79" s="19" t="inlineStr">
        <ns0:is>
          <ns0:t>Deep neural network; architecture unresolved</ns0:t>
        </ns0:is>
      </ns0:c>
      <ns0:c r="L79" s="19" t="inlineStr">
        <ns0:is>
          <ns0:t>Other specified method</ns0:t>
        </ns0:is>
      </ns0:c>
      <ns0:c r="M79" s="19" t="inlineStr">
        <ns0:is>
          <ns0:t>Research only</ns0:t>
        </ns0:is>
      </ns0:c>
      <ns0:c r="N79" s="19" t="inlineStr">
        <ns0:is>
          <ns0:t>Risk/trajectory estimation</ns0:t>
        </ns0:is>
      </ns0:c>
      <ns0:c r="O79" s="19" t="inlineStr">
        <ns0:is>
          <ns0:t>Not observed in assessed sources</ns0:t>
        </ns0:is>
      </ns0:c>
      <ns0:c r="P79" s="19" t="inlineStr">
        <ns0:is>
          <ns0:t>Not observed in assessed sources</ns0:t>
        </ns0:is>
      </ns0:c>
      <ns0:c r="Q79" s="19" t="inlineStr">
        <ns0:is>
          <ns0:t>Not reported in assessed sources</ns0:t>
        </ns0:is>
      </ns0:c>
      <ns0:c r="R79" s="19" t="inlineStr">
        <ns0:is>
          <ns0:t>Not reported in assessed sources</ns0:t>
        </ns0:is>
      </ns0:c>
      <ns0:c r="S79" s="19" t="inlineStr">
        <ns0:is>
          <ns0:t>Not reported in assessed sources</ns0:t>
        </ns0:is>
      </ns0:c>
      <ns0:c r="T79" s="19" t="inlineStr">
        <ns0:is>
          <ns0:t>Not reported in assessed sources</ns0:t>
        </ns0:is>
      </ns0:c>
      <ns0:c r="U79" s="19" t="inlineStr">
        <ns0:is>
          <ns0:t>Not reported in assessed sources</ns0:t>
        </ns0:is>
      </ns0:c>
      <ns0:c r="V79" s="19" t="inlineStr">
        <ns0:is>
          <ns0:t>Not reported in assessed sources</ns0:t>
        </ns0:is>
      </ns0:c>
      <ns0:c r="W79" s="19" t="inlineStr">
        <ns0:is>
          <ns0:t>Not reported in assessed sources</ns0:t>
        </ns0:is>
      </ns0:c>
      <ns0:c r="X79" s="19" t="inlineStr">
        <ns0:is>
          <ns0:t>Not reported in assessed sources</ns0:t>
        </ns0:is>
      </ns0:c>
      <ns0:c r="Y79" s="19" t="inlineStr">
        <ns0:is>
          <ns0:t>Not ascertainable</ns0:t>
        </ns0:is>
      </ns0:c>
      <ns0:c r="Z79" s="19" t="inlineStr">
        <ns0:is>
          <ns0:t>Not reported in assessed sources</ns0:t>
        </ns0:is>
      </ns0:c>
      <ns0:c r="AA79" s="19" t="inlineStr">
        <ns0:is>
          <ns0:t>Not recorded</ns0:t>
        </ns0:is>
      </ns0:c>
      <ns0:c r="AB79" s="26" t="n">
        <ns0:v>0</ns0:v>
      </ns0:c>
      <ns0:c r="AC79" s="26" t="n">
        <ns0:v>0</ns0:v>
      </ns0:c>
      <ns0:c r="AD79" s="27">
        <ns0:f>IF(AND(G79=1,AB79=0),1,0)</ns0:f>
        <ns0:v>1</ns0:v>
      </ns0:c>
      <ns0:c r="AE79" s="27">
        <ns0:f>IF(AND(AD79=1,AC79=0),1,0)</ns0:f>
        <ns0:v>1</ns0:v>
      </ns0:c>
      <ns0:c r="AF79" s="27">
        <ns0:f>IF(AND(G79=1,H79&lt;&gt;"Not specified"),1,0)</ns0:f>
        <ns0:v>1</ns0:v>
      </ns0:c>
      <ns0:c r="AG79" s="27">
        <ns0:f>IF(AND(AE79=1,AF79=1),1,0)</ns0:f>
        <ns0:v>1</ns0:v>
      </ns0:c>
      <ns0:c r="AH79" s="19" t="inlineStr">
        <ns0:is>
          <ns0:t>Supplied abstract/coding notes; no new full-text verification</ns0:t>
        </ns0:is>
      </ns0:c>
      <ns0:c r="AI79" s="19" t="inlineStr">
        <ns0:is>
          <ns0:t>https://doi.org/10.1016/j.brainres.2019.146457</ns0:t>
        </ns0:is>
      </ns0:c>
      <ns0:c r="AJ79" s="19" t="inlineStr">
        <ns0:is>
          <ns0:t>EVIDENCIA; original abstract/coding notes and lot source trace; Historical signals: title/abstract/notes; full-text completion not independently established</ns0:t>
        </ns0:is>
      </ns0:c>
      <ns0:c r="AK79" s="19" t="inlineStr">
        <ns0:is>
          <ns0:t>Newborn leukocyte methylation predicts subsequent ASD; biological input, not electrophysiological signal. Main neural architecture is not supplied in abstract.</ns0:t>
        </ns0:is>
      </ns0:c>
      <ns0:c r="AL79" s="19" t="inlineStr">
        <ns0:is>
          <ns0:t>Not applicable</ns0:t>
        </ns0:is>
      </ns0:c>
      <ns0:c r="AM79" s="19" t="inlineStr">
        <ns0:is>
          <ns0:t>Not separately specified</ns0:t>
        </ns0:is>
      </ns0:c>
      <ns0:c r="AN79" s="19" t="inlineStr"/>
      <ns0:c r="AO79" s="19" t="inlineStr">
        <ns0:is>
          <ns0:t>No additional status determination</ns0:t>
        </ns0:is>
      </ns0:c>
      <ns0:c r="AP79" s="19" t="inlineStr">
        <ns0:is>
          <ns0:t>Not documented for this recharting</ns0:t>
        </ns0:is>
      </ns0:c>
      <ns0:c r="AQ79" s="19" t="inlineStr">
        <ns0:is>
          <ns0:t>ChatGPT-assisted evidence recharting, 2026-09-08</ns0:t>
        </ns0:is>
      </ns0:c>
      <ns0:c r="AR79" s="19" t="inlineStr">
        <ns0:is>
          <ns0:t>RA</ns0:t>
        </ns0:is>
      </ns0:c>
      <ns0:c r="AS79" s="19" t="inlineStr">
        <ns0:is>
          <ns0:t>Not recorded; historical inclusion retained</ns0:t>
        </ns0:is>
      </ns0:c>
    </ns0:row>
    <ns0:row r="80" ht="50" customHeight="1">
      <ns0:c r="A80" s="21" t="inlineStr">
        <ns0:is>
          <ns0:t>81</ns0:t>
        </ns0:is>
      </ns0:c>
      <ns0:c r="B80" s="21" t="inlineStr">
        <ns0:is>
          <ns0:t>Historical</ns0:t>
        </ns0:is>
      </ns0:c>
      <ns0:c r="C80" s="21" t="inlineStr">
        <ns0:is>
          <ns0:t>Autism Detection in Children using Common Spatial Patterns of MEG Signals</ns0:t>
        </ns0:is>
      </ns0:c>
      <ns0:c r="D80" s="21" t="inlineStr">
        <ns0:is>
          <ns0:t>10.1109/embc40787.2023.10340449</ns0:t>
        </ns0:is>
      </ns0:c>
      <ns0:c r="E80" s="28" t="n">
        <ns0:v>2023</ns0:v>
      </ns0:c>
      <ns0:c r="F80" s="21" t="inlineStr">
        <ns0:is>
          <ns0:t>Include</ns0:t>
        </ns0:is>
      </ns0:c>
      <ns0:c r="G80" s="29">
        <ns0:f>IF(F80="Include",1,0)</ns0:f>
        <ns0:v>1</ns0:v>
      </ns0:c>
      <ns0:c r="H80" s="21" t="inlineStr">
        <ns0:is>
          <ns0:t>Diagnosis</ns0:t>
        </ns0:is>
      </ns0:c>
      <ns0:c r="I80" s="21" t="inlineStr">
        <ns0:is>
          <ns0:t>Machine Learning</ns0:t>
        </ns0:is>
      </ns0:c>
      <ns0:c r="J80" s="21" t="inlineStr">
        <ns0:is>
          <ns0:t>Physiological signals</ns0:t>
        </ns0:is>
      </ns0:c>
      <ns0:c r="K80" s="21" t="inlineStr">
        <ns0:is>
          <ns0:t>Common spatial patterns with supervised classifier</ns0:t>
        </ns0:is>
      </ns0:c>
      <ns0:c r="L80" s="21" t="inlineStr">
        <ns0:is>
          <ns0:t>Other specified method</ns0:t>
        </ns0:is>
      </ns0:c>
      <ns0:c r="M80" s="21" t="inlineStr">
        <ns0:is>
          <ns0:t>Research only</ns0:t>
        </ns0:is>
      </ns0:c>
      <ns0:c r="N80" s="21" t="inlineStr">
        <ns0:is>
          <ns0:t>Automated measurement/classification</ns0:t>
        </ns0:is>
      </ns0:c>
      <ns0:c r="O80" s="21" t="inlineStr">
        <ns0:is>
          <ns0:t>Not observed in assessed sources</ns0:t>
        </ns0:is>
      </ns0:c>
      <ns0:c r="P80" s="21" t="inlineStr">
        <ns0:is>
          <ns0:t>Not observed in assessed sources</ns0:t>
        </ns0:is>
      </ns0:c>
      <ns0:c r="Q80" s="21" t="inlineStr">
        <ns0:is>
          <ns0:t>Not reported in assessed sources</ns0:t>
        </ns0:is>
      </ns0:c>
      <ns0:c r="R80" s="21" t="inlineStr">
        <ns0:is>
          <ns0:t>Not reported in assessed sources</ns0:t>
        </ns0:is>
      </ns0:c>
      <ns0:c r="S80" s="21" t="inlineStr">
        <ns0:is>
          <ns0:t>Not reported in assessed sources</ns0:t>
        </ns0:is>
      </ns0:c>
      <ns0:c r="T80" s="21" t="inlineStr">
        <ns0:is>
          <ns0:t>Not reported in assessed sources</ns0:t>
        </ns0:is>
      </ns0:c>
      <ns0:c r="U80" s="21" t="inlineStr">
        <ns0:is>
          <ns0:t>Not reported in assessed sources</ns0:t>
        </ns0:is>
      </ns0:c>
      <ns0:c r="V80" s="21" t="inlineStr">
        <ns0:is>
          <ns0:t>Not reported in assessed sources</ns0:t>
        </ns0:is>
      </ns0:c>
      <ns0:c r="W80" s="21" t="inlineStr">
        <ns0:is>
          <ns0:t>Not reported in assessed sources</ns0:t>
        </ns0:is>
      </ns0:c>
      <ns0:c r="X80" s="21" t="inlineStr">
        <ns0:is>
          <ns0:t>Not reported in assessed sources</ns0:t>
        </ns0:is>
      </ns0:c>
      <ns0:c r="Y80" s="21" t="inlineStr">
        <ns0:is>
          <ns0:t>Not ascertainable</ns0:t>
        </ns0:is>
      </ns0:c>
      <ns0:c r="Z80" s="21" t="inlineStr">
        <ns0:is>
          <ns0:t>Not reported in assessed sources</ns0:t>
        </ns0:is>
      </ns0:c>
      <ns0:c r="AA80" s="21" t="inlineStr">
        <ns0:is>
          <ns0:t>Not recorded</ns0:t>
        </ns0:is>
      </ns0:c>
      <ns0:c r="AB80" s="28" t="n">
        <ns0:v>0</ns0:v>
      </ns0:c>
      <ns0:c r="AC80" s="28" t="n">
        <ns0:v>0</ns0:v>
      </ns0:c>
      <ns0:c r="AD80" s="29">
        <ns0:f>IF(AND(G80=1,AB80=0),1,0)</ns0:f>
        <ns0:v>1</ns0:v>
      </ns0:c>
      <ns0:c r="AE80" s="29">
        <ns0:f>IF(AND(AD80=1,AC80=0),1,0)</ns0:f>
        <ns0:v>1</ns0:v>
      </ns0:c>
      <ns0:c r="AF80" s="29">
        <ns0:f>IF(AND(G80=1,H80&lt;&gt;"Not specified"),1,0)</ns0:f>
        <ns0:v>1</ns0:v>
      </ns0:c>
      <ns0:c r="AG80" s="29">
        <ns0:f>IF(AND(AE80=1,AF80=1),1,0)</ns0:f>
        <ns0:v>1</ns0:v>
      </ns0:c>
      <ns0:c r="AH80" s="21" t="inlineStr">
        <ns0:is>
          <ns0:t>Supplied abstract/coding notes; no new full-text verification</ns0:t>
        </ns0:is>
      </ns0:c>
      <ns0:c r="AI80" s="21" t="inlineStr">
        <ns0:is>
          <ns0:t>https://doi.org/10.1109/embc40787.2023.10340449</ns0:t>
        </ns0:is>
      </ns0:c>
      <ns0:c r="AJ80" s="21" t="inlineStr">
        <ns0:is>
          <ns0:t>EVIDENCIA; original abstract/coding notes and lot source trace; Historical signals: title/abstract/notes; full-text completion not independently established</ns0:t>
        </ns0:is>
      </ns0:c>
      <ns0:c r="AK80" s="21" t="inlineStr">
        <ns0:is>
          <ns0:t>MEG band-power classification; spatial patterns are described as putative biomarkers, with no clinician-facing deployment.</ns0:t>
        </ns0:is>
      </ns0:c>
      <ns0:c r="AL80" s="21" t="inlineStr">
        <ns0:is>
          <ns0:t>Not applicable</ns0:t>
        </ns0:is>
      </ns0:c>
      <ns0:c r="AM80" s="21" t="inlineStr">
        <ns0:is>
          <ns0:t>Not separately specified</ns0:t>
        </ns0:is>
      </ns0:c>
      <ns0:c r="AN80" s="21" t="inlineStr"/>
      <ns0:c r="AO80" s="21" t="inlineStr">
        <ns0:is>
          <ns0:t>No additional status determination</ns0:t>
        </ns0:is>
      </ns0:c>
      <ns0:c r="AP80" s="21" t="inlineStr">
        <ns0:is>
          <ns0:t>Not documented for this recharting</ns0:t>
        </ns0:is>
      </ns0:c>
      <ns0:c r="AQ80" s="21" t="inlineStr">
        <ns0:is>
          <ns0:t>ChatGPT-assisted evidence recharting, 2026-09-08</ns0:t>
        </ns0:is>
      </ns0:c>
      <ns0:c r="AR80" s="21" t="inlineStr">
        <ns0:is>
          <ns0:t>RA</ns0:t>
        </ns0:is>
      </ns0:c>
      <ns0:c r="AS80" s="21" t="inlineStr">
        <ns0:is>
          <ns0:t>Not recorded; historical inclusion retained</ns0:t>
        </ns0:is>
      </ns0:c>
    </ns0:row>
    <ns0:row r="81" ht="50" customHeight="1">
      <ns0:c r="A81" s="19" t="inlineStr">
        <ns0:is>
          <ns0:t>82</ns0:t>
        </ns0:is>
      </ns0:c>
      <ns0:c r="B81" s="19" t="inlineStr">
        <ns0:is>
          <ns0:t>Historical</ns0:t>
        </ns0:is>
      </ns0:c>
      <ns0:c r="C81" s="23" t="inlineStr">
        <ns0:is>
          <ns0:t>Autism Spectrum Disorder detection framework for children based on federated learning integrated CNN-LSTM</ns0:t>
        </ns0:is>
      </ns0:c>
      <ns0:c r="D81" s="19" t="inlineStr">
        <ns0:is>
          <ns0:t>10.1016/j.compbiomed.2023.107539</ns0:t>
        </ns0:is>
      </ns0:c>
      <ns0:c r="E81" s="26" t="n">
        <ns0:v>2023</ns0:v>
      </ns0:c>
      <ns0:c r="F81" s="19" t="inlineStr">
        <ns0:is>
          <ns0:t>Include</ns0:t>
        </ns0:is>
      </ns0:c>
      <ns0:c r="G81" s="27">
        <ns0:f>IF(F81="Include",1,0)</ns0:f>
        <ns0:v>1</ns0:v>
      </ns0:c>
      <ns0:c r="H81" s="19" t="inlineStr">
        <ns0:is>
          <ns0:t>Screening</ns0:t>
        </ns0:is>
      </ns0:c>
      <ns0:c r="I81" s="19" t="inlineStr">
        <ns0:is>
          <ns0:t>Deep Learning</ns0:t>
        </ns0:is>
      </ns0:c>
      <ns0:c r="J81" s="19" t="inlineStr">
        <ns0:is>
          <ns0:t>Structured clinical/questionnaire data</ns0:t>
        </ns0:is>
      </ns0:c>
      <ns0:c r="K81" s="19" t="inlineStr">
        <ns0:is>
          <ns0:t>Federated CNN-LSTM with decision aggregation</ns0:t>
        </ns0:is>
      </ns0:c>
      <ns0:c r="L81" s="19" t="inlineStr">
        <ns0:is>
          <ns0:t>Composite/ensemble pipeline</ns0:t>
        </ns0:is>
      </ns0:c>
      <ns0:c r="M81" s="19" t="inlineStr">
        <ns0:is>
          <ns0:t>Proposed only</ns0:t>
        </ns0:is>
      </ns0:c>
      <ns0:c r="N81" s="19" t="inlineStr">
        <ns0:is>
          <ns0:t>Triage/questionnaire assessment</ns0:t>
        </ns0:is>
      </ns0:c>
      <ns0:c r="O81" s="19" t="inlineStr">
        <ns0:is>
          <ns0:t>Pre-decision</ns0:t>
        </ns0:is>
      </ns0:c>
      <ns0:c r="P81" s="19" t="inlineStr">
        <ns0:is>
          <ns0:t>Not observed in assessed sources</ns0:t>
        </ns0:is>
      </ns0:c>
      <ns0:c r="Q81" s="19" t="inlineStr">
        <ns0:is>
          <ns0:t>Not reported in assessed sources</ns0:t>
        </ns0:is>
      </ns0:c>
      <ns0:c r="R81" s="19" t="inlineStr">
        <ns0:is>
          <ns0:t>Not ascertainable</ns0:t>
        </ns0:is>
      </ns0:c>
      <ns0:c r="S81" s="19" t="inlineStr">
        <ns0:is>
          <ns0:t>Not reported in assessed sources</ns0:t>
        </ns0:is>
      </ns0:c>
      <ns0:c r="T81" s="19" t="inlineStr">
        <ns0:is>
          <ns0:t>Not reported in assessed sources</ns0:t>
        </ns0:is>
      </ns0:c>
      <ns0:c r="U81" s="19" t="inlineStr">
        <ns0:is>
          <ns0:t>Not reported in assessed sources</ns0:t>
        </ns0:is>
      </ns0:c>
      <ns0:c r="V81" s="19" t="inlineStr">
        <ns0:is>
          <ns0:t>Not reported in assessed sources</ns0:t>
        </ns0:is>
      </ns0:c>
      <ns0:c r="W81" s="19" t="inlineStr">
        <ns0:is>
          <ns0:t>Reported</ns0:t>
        </ns0:is>
      </ns0:c>
      <ns0:c r="X81" s="19" t="inlineStr">
        <ns0:is>
          <ns0:t>Not reported in assessed sources</ns0:t>
        </ns0:is>
      </ns0:c>
      <ns0:c r="Y81" s="19" t="inlineStr">
        <ns0:is>
          <ns0:t>Not ascertainable</ns0:t>
        </ns0:is>
      </ns0:c>
      <ns0:c r="Z81" s="19" t="inlineStr">
        <ns0:is>
          <ns0:t>Not reported in assessed sources</ns0:t>
        </ns0:is>
      </ns0:c>
      <ns0:c r="AA81" s="19" t="inlineStr">
        <ns0:is>
          <ns0:t>Not recorded</ns0:t>
        </ns0:is>
      </ns0:c>
      <ns0:c r="AB81" s="26" t="n">
        <ns0:v>0</ns0:v>
      </ns0:c>
      <ns0:c r="AC81" s="26" t="n">
        <ns0:v>1</ns0:v>
      </ns0:c>
      <ns0:c r="AD81" s="27">
        <ns0:f>IF(AND(G81=1,AB81=0),1,0)</ns0:f>
        <ns0:v>1</ns0:v>
      </ns0:c>
      <ns0:c r="AE81" s="27">
        <ns0:f>IF(AND(AD81=1,AC81=0),1,0)</ns0:f>
        <ns0:v>0</ns0:v>
      </ns0:c>
      <ns0:c r="AF81" s="27">
        <ns0:f>IF(AND(G81=1,H81&lt;&gt;"Not specified"),1,0)</ns0:f>
        <ns0:v>1</ns0:v>
      </ns0:c>
      <ns0:c r="AG81" s="27">
        <ns0:f>IF(AND(AE81=1,AF81=1),1,0)</ns0:f>
        <ns0:v>0</ns0:v>
      </ns0:c>
      <ns0:c r="AH81" s="19" t="inlineStr">
        <ns0:is>
          <ns0:t>Supplied abstract/coding notes; no new full-text verification</ns0:t>
        </ns0:is>
      </ns0:c>
      <ns0:c r="AI81" s="19" t="inlineStr">
        <ns0:is>
          <ns0:t>https://doi.org/10.1016/j.compbiomed.2023.107539</ns0:t>
        </ns0:is>
      </ns0:c>
      <ns0:c r="AJ81" s="19" t="inlineStr">
        <ns0:is>
          <ns0:t>EVIDENCIA; original abstract/coding notes and lot source trace; Historical signals: title/abstract/notes; full-text completion not independently established</ns0:t>
        </ns0:is>
      </ns0:c>
      <ns0:c r="AK81" s="19" t="inlineStr">
        <ns0:is>
          <ns0:t>Named inputs are structured developmental screening instruments. Federated simulation does not demonstrate deployment, independent clinical sites, or held-out-site generalization; actual cross-instrument patient pairing remains unverified.
Federated simulation claims across named instruments; participant linkage and provenance are not established in accessible evidence.</ns0:t>
        </ns0:is>
      </ns0:c>
      <ns0:c r="AL81" s="19" t="inlineStr">
        <ns0:is>
          <ns0:t>Not applicable</ns0:t>
        </ns0:is>
      </ns0:c>
      <ns0:c r="AM81" s="19" t="inlineStr">
        <ns0:is>
          <ns0:t>Not separately specified</ns0:t>
        </ns0:is>
      </ns0:c>
      <ns0:c r="AN81" s="19" t="inlineStr">
        <ns0:is>
          <ns0:t>Federated simulation claims across named instruments; participant linkage and provenance are not established in accessible evidence.</ns0:t>
        </ns0:is>
      </ns0:c>
      <ns0:c r="AO81" s="19" t="inlineStr">
        <ns0:is>
          <ns0:t>No additional status determination</ns0:t>
        </ns0:is>
      </ns0:c>
      <ns0:c r="AP81" s="19" t="inlineStr">
        <ns0:is>
          <ns0:t>Not documented for this recharting</ns0:t>
        </ns0:is>
      </ns0:c>
      <ns0:c r="AQ81" s="19" t="inlineStr">
        <ns0:is>
          <ns0:t>ChatGPT-assisted evidence recharting, 2026-09-08</ns0:t>
        </ns0:is>
      </ns0:c>
      <ns0:c r="AR81" s="19" t="inlineStr">
        <ns0:is>
          <ns0:t>RA</ns0:t>
        </ns0:is>
      </ns0:c>
      <ns0:c r="AS81" s="19" t="inlineStr">
        <ns0:is>
          <ns0:t>Not recorded; historical inclusion retained</ns0:t>
        </ns0:is>
      </ns0:c>
    </ns0:row>
    <ns0:row r="82" ht="50" customHeight="1">
      <ns0:c r="A82" s="21" t="inlineStr">
        <ns0:is>
          <ns0:t>83</ns0:t>
        </ns0:is>
      </ns0:c>
      <ns0:c r="B82" s="21" t="inlineStr">
        <ns0:is>
          <ns0:t>Historical</ns0:t>
        </ns0:is>
      </ns0:c>
      <ns0:c r="C82" s="21" t="inlineStr">
        <ns0:is>
          <ns0:t>Converging Representations of Attention-Deficit/Hyperactivity Disorder and Autism on Social Media: Linguistic and Topic Analysis of Trends in Reddit Data</ns0:t>
        </ns0:is>
      </ns0:c>
      <ns0:c r="D82" s="21" t="inlineStr">
        <ns0:is>
          <ns0:t>10.2196/70914</ns0:t>
        </ns0:is>
      </ns0:c>
      <ns0:c r="E82" s="28" t="n">
        <ns0:v>2025</ns0:v>
      </ns0:c>
      <ns0:c r="F82" s="30" t="inlineStr">
        <ns0:is>
          <ns0:t>Exclude</ns0:t>
        </ns0:is>
      </ns0:c>
      <ns0:c r="G82" s="29">
        <ns0:f>IF(F82="Include",1,0)</ns0:f>
        <ns0:v>0</ns0:v>
      </ns0:c>
      <ns0:c r="H82" s="21" t="inlineStr">
        <ns0:is>
          <ns0:t>Excluded</ns0:t>
        </ns0:is>
      </ns0:c>
      <ns0:c r="I82" s="21" t="inlineStr">
        <ns0:is>
          <ns0:t>Excluded</ns0:t>
        </ns0:is>
      </ns0:c>
      <ns0:c r="J82" s="21" t="inlineStr">
        <ns0:is>
          <ns0:t>Excluded</ns0:t>
        </ns0:is>
      </ns0:c>
      <ns0:c r="K82" s="21" t="inlineStr">
        <ns0:is>
          <ns0:t>Not specified</ns0:t>
        </ns0:is>
      </ns0:c>
      <ns0:c r="L82" s="21" t="inlineStr">
        <ns0:is>
          <ns0:t>Multiple/not uniquely specified</ns0:t>
        </ns0:is>
      </ns0:c>
      <ns0:c r="M82" s="21" t="inlineStr">
        <ns0:is>
          <ns0:t>Excluded</ns0:t>
        </ns0:is>
      </ns0:c>
      <ns0:c r="N82" s="21" t="inlineStr">
        <ns0:is>
          <ns0:t>Excluded</ns0:t>
        </ns0:is>
      </ns0:c>
      <ns0:c r="O82" s="21" t="inlineStr">
        <ns0:is>
          <ns0:t>Not applicable - excluded</ns0:t>
        </ns0:is>
      </ns0:c>
      <ns0:c r="P82" s="21" t="inlineStr">
        <ns0:is>
          <ns0:t>Not applicable - excluded</ns0:t>
        </ns0:is>
      </ns0:c>
      <ns0:c r="Q82" s="21" t="inlineStr">
        <ns0:is>
          <ns0:t>Not reported in assessed sources</ns0:t>
        </ns0:is>
      </ns0:c>
      <ns0:c r="R82" s="21" t="inlineStr">
        <ns0:is>
          <ns0:t>Not reported in assessed sources</ns0:t>
        </ns0:is>
      </ns0:c>
      <ns0:c r="S82" s="21" t="inlineStr">
        <ns0:is>
          <ns0:t>Not reported in assessed sources</ns0:t>
        </ns0:is>
      </ns0:c>
      <ns0:c r="T82" s="21" t="inlineStr">
        <ns0:is>
          <ns0:t>Not reported in assessed sources</ns0:t>
        </ns0:is>
      </ns0:c>
      <ns0:c r="U82" s="21" t="inlineStr">
        <ns0:is>
          <ns0:t>Not reported in assessed sources</ns0:t>
        </ns0:is>
      </ns0:c>
      <ns0:c r="V82" s="21" t="inlineStr">
        <ns0:is>
          <ns0:t>Not reported in assessed sources</ns0:t>
        </ns0:is>
      </ns0:c>
      <ns0:c r="W82" s="21" t="inlineStr">
        <ns0:is>
          <ns0:t>Not reported in assessed sources</ns0:t>
        </ns0:is>
      </ns0:c>
      <ns0:c r="X82" s="21" t="inlineStr">
        <ns0:is>
          <ns0:t>Not reported in assessed sources</ns0:t>
        </ns0:is>
      </ns0:c>
      <ns0:c r="Y82" s="21" t="inlineStr">
        <ns0:is>
          <ns0:t>Not ascertainable</ns0:t>
        </ns0:is>
      </ns0:c>
      <ns0:c r="Z82" s="21" t="inlineStr">
        <ns0:is>
          <ns0:t>Not reported in assessed sources</ns0:t>
        </ns0:is>
      </ns0:c>
      <ns0:c r="AA82" s="21" t="inlineStr">
        <ns0:is>
          <ns0:t>Not recorded</ns0:t>
        </ns0:is>
      </ns0:c>
      <ns0:c r="AB82" s="28" t="n">
        <ns0:v>0</ns0:v>
      </ns0:c>
      <ns0:c r="AC82" s="28" t="n">
        <ns0:v>0</ns0:v>
      </ns0:c>
      <ns0:c r="AD82" s="29">
        <ns0:f>IF(AND(G82=1,AB82=0),1,0)</ns0:f>
        <ns0:v>0</ns0:v>
      </ns0:c>
      <ns0:c r="AE82" s="29">
        <ns0:f>IF(AND(AD82=1,AC82=0),1,0)</ns0:f>
        <ns0:v>0</ns0:v>
      </ns0:c>
      <ns0:c r="AF82" s="29">
        <ns0:f>IF(AND(G82=1,H82&lt;&gt;"Not specified"),1,0)</ns0:f>
        <ns0:v>0</ns0:v>
      </ns0:c>
      <ns0:c r="AG82" s="29">
        <ns0:f>IF(AND(AE82=1,AF82=1),1,0)</ns0:f>
        <ns0:v>0</ns0:v>
      </ns0:c>
      <ns0:c r="AH82" s="21" t="inlineStr">
        <ns0:is>
          <ns0:t>Supplied abstract/coding notes; no new full-text verification</ns0:t>
        </ns0:is>
      </ns0:c>
      <ns0:c r="AI82" s="21" t="inlineStr">
        <ns0:is>
          <ns0:t>https://doi.org/10.2196/70914</ns0:t>
        </ns0:is>
      </ns0:c>
      <ns0:c r="AJ82" s="21" t="inlineStr">
        <ns0:is>
          <ns0:t>EVIDENCIA; original abstract/coding notes and lot source trace; Historical signals: title/abstract/notes; full-text completion not independently established</ns0:t>
        </ns0:is>
      </ns0:c>
      <ns0:c r="AK82" s="21" t="inlineStr">
        <ns0:is>
          <ns0:t>Public discourse convergence on Reddit is the primary endpoint; topic modeling does not classify, assess, monitor, predict care outcomes or provide an ASD intervention.</ns0:t>
        </ns0:is>
      </ns0:c>
      <ns0:c r="AL82" s="21" t="inlineStr">
        <ns0:is>
          <ns0:t>EC4 No clinical or care-process model</ns0:t>
        </ns0:is>
      </ns0:c>
      <ns0:c r="AM82" s="21" t="inlineStr">
        <ns0:is>
          <ns0:t>Not separately specified</ns0:t>
        </ns0:is>
      </ns0:c>
      <ns0:c r="AN82" s="21" t="inlineStr"/>
      <ns0:c r="AO82" s="21" t="inlineStr">
        <ns0:is>
          <ns0:t>No additional status determination</ns0:t>
        </ns0:is>
      </ns0:c>
      <ns0:c r="AP82" s="21" t="inlineStr">
        <ns0:is>
          <ns0:t>Not documented for this recharting</ns0:t>
        </ns0:is>
      </ns0:c>
      <ns0:c r="AQ82" s="21" t="inlineStr">
        <ns0:is>
          <ns0:t>ChatGPT-assisted evidence recharting, 2026-09-08</ns0:t>
        </ns0:is>
      </ns0:c>
      <ns0:c r="AR82" s="21" t="inlineStr"/>
      <ns0:c r="AS82" s="21" t="inlineStr">
        <ns0:is>
          <ns0:t>Not recorded; historical inclusion retained</ns0:t>
        </ns0:is>
      </ns0:c>
    </ns0:row>
    <ns0:row r="83" ht="50" customHeight="1">
      <ns0:c r="A83" s="19" t="inlineStr">
        <ns0:is>
          <ns0:t>84</ns0:t>
        </ns0:is>
      </ns0:c>
      <ns0:c r="B83" s="19" t="inlineStr">
        <ns0:is>
          <ns0:t>Historical</ns0:t>
        </ns0:is>
      </ns0:c>
      <ns0:c r="C83" s="19" t="inlineStr">
        <ns0:is>
          <ns0:t>Creating a diagnostic assessment model for autism spectrum disorder by differentiating lexicogrammatical choices through machine learning</ns0:t>
        </ns0:is>
      </ns0:c>
      <ns0:c r="D83" s="19" t="inlineStr">
        <ns0:is>
          <ns0:t>10.1371/journal.pone.0311209</ns0:t>
        </ns0:is>
      </ns0:c>
      <ns0:c r="E83" s="26" t="n">
        <ns0:v>2024</ns0:v>
      </ns0:c>
      <ns0:c r="F83" s="19" t="inlineStr">
        <ns0:is>
          <ns0:t>Include</ns0:t>
        </ns0:is>
      </ns0:c>
      <ns0:c r="G83" s="27">
        <ns0:f>IF(F83="Include",1,0)</ns0:f>
        <ns0:v>1</ns0:v>
      </ns0:c>
      <ns0:c r="H83" s="19" t="inlineStr">
        <ns0:is>
          <ns0:t>Diagnosis</ns0:t>
        </ns0:is>
      </ns0:c>
      <ns0:c r="I83" s="19" t="inlineStr">
        <ns0:is>
          <ns0:t>Deep Learning</ns0:t>
        </ns0:is>
      </ns0:c>
      <ns0:c r="J83" s="19" t="inlineStr">
        <ns0:is>
          <ns0:t>Text/language</ns0:t>
        </ns0:is>
      </ns0:c>
      <ns0:c r="K83" s="19" t="inlineStr">
        <ns0:is>
          <ns0:t>DNN for lexicogrammatical and text features</ns0:t>
        </ns0:is>
      </ns0:c>
      <ns0:c r="L83" s="19" t="inlineStr">
        <ns0:is>
          <ns0:t>Other specified method</ns0:t>
        </ns0:is>
      </ns0:c>
      <ns0:c r="M83" s="19" t="inlineStr">
        <ns0:is>
          <ns0:t>Proposed only</ns0:t>
        </ns0:is>
      </ns0:c>
      <ns0:c r="N83" s="19" t="inlineStr">
        <ns0:is>
          <ns0:t>Diagnostic decision support</ns0:t>
        </ns0:is>
      </ns0:c>
      <ns0:c r="O83" s="19" t="inlineStr">
        <ns0:is>
          <ns0:t>In-decision</ns0:t>
        </ns0:is>
      </ns0:c>
      <ns0:c r="P83" s="19" t="inlineStr">
        <ns0:is>
          <ns0:t>Not observed in assessed sources</ns0:t>
        </ns0:is>
      </ns0:c>
      <ns0:c r="Q83" s="19" t="inlineStr">
        <ns0:is>
          <ns0:t>Not reported in assessed sources</ns0:t>
        </ns0:is>
      </ns0:c>
      <ns0:c r="R83" s="19" t="inlineStr">
        <ns0:is>
          <ns0:t>Not reported in assessed sources</ns0:t>
        </ns0:is>
      </ns0:c>
      <ns0:c r="S83" s="19" t="inlineStr">
        <ns0:is>
          <ns0:t>Reported</ns0:t>
        </ns0:is>
      </ns0:c>
      <ns0:c r="T83" s="19" t="inlineStr">
        <ns0:is>
          <ns0:t>Not reported in assessed sources</ns0:t>
        </ns0:is>
      </ns0:c>
      <ns0:c r="U83" s="19" t="inlineStr">
        <ns0:is>
          <ns0:t>Not reported in assessed sources</ns0:t>
        </ns0:is>
      </ns0:c>
      <ns0:c r="V83" s="19" t="inlineStr">
        <ns0:is>
          <ns0:t>Not reported in assessed sources</ns0:t>
        </ns0:is>
      </ns0:c>
      <ns0:c r="W83" s="19" t="inlineStr">
        <ns0:is>
          <ns0:t>Not reported in assessed sources</ns0:t>
        </ns0:is>
      </ns0:c>
      <ns0:c r="X83" s="19" t="inlineStr">
        <ns0:is>
          <ns0:t>Not reported in assessed sources</ns0:t>
        </ns0:is>
      </ns0:c>
      <ns0:c r="Y83" s="19" t="inlineStr">
        <ns0:is>
          <ns0:t>Not ascertainable</ns0:t>
        </ns0:is>
      </ns0:c>
      <ns0:c r="Z83" s="19" t="inlineStr">
        <ns0:is>
          <ns0:t>Reported</ns0:t>
        </ns0:is>
      </ns0:c>
      <ns0:c r="AA83" s="19" t="inlineStr">
        <ns0:is>
          <ns0:t>Not recorded</ns0:t>
        </ns0:is>
      </ns0:c>
      <ns0:c r="AB83" s="26" t="n">
        <ns0:v>0</ns0:v>
      </ns0:c>
      <ns0:c r="AC83" s="26" t="n">
        <ns0:v>0</ns0:v>
      </ns0:c>
      <ns0:c r="AD83" s="27">
        <ns0:f>IF(AND(G83=1,AB83=0),1,0)</ns0:f>
        <ns0:v>1</ns0:v>
      </ns0:c>
      <ns0:c r="AE83" s="27">
        <ns0:f>IF(AND(AD83=1,AC83=0),1,0)</ns0:f>
        <ns0:v>1</ns0:v>
      </ns0:c>
      <ns0:c r="AF83" s="27">
        <ns0:f>IF(AND(G83=1,H83&lt;&gt;"Not specified"),1,0)</ns0:f>
        <ns0:v>1</ns0:v>
      </ns0:c>
      <ns0:c r="AG83" s="27">
        <ns0:f>IF(AND(AE83=1,AF83=1),1,0)</ns0:f>
        <ns0:v>1</ns0:v>
      </ns0:c>
      <ns0:c r="AH83" s="19" t="inlineStr">
        <ns0:is>
          <ns0:t>Supplied abstract/coding notes; no new full-text verification</ns0:t>
        </ns0:is>
      </ns0:c>
      <ns0:c r="AI83" s="19" t="inlineStr">
        <ns0:is>
          <ns0:t>https://doi.org/10.1371/journal.pone.0311209</ns0:t>
        </ns0:is>
      </ns0:c>
      <ns0:c r="AJ83" s="19" t="inlineStr">
        <ns0:is>
          <ns0:t>EVIDENCIA; original abstract/coding notes and lot source trace; Historical signals: title/abstract/notes; full-text completion not independently established</ns0:t>
        </ns0:is>
      </ns0:c>
      <ns0:c r="AK83" s="19" t="inlineStr">
        <ns0:is>
          <ns0:t>Spoken language is transcribed and modeled as text; comparison with an interpretable logistic baseline does not establish an RNN architecture.</ns0:t>
        </ns0:is>
      </ns0:c>
      <ns0:c r="AL83" s="19" t="inlineStr">
        <ns0:is>
          <ns0:t>Not applicable</ns0:t>
        </ns0:is>
      </ns0:c>
      <ns0:c r="AM83" s="19" t="inlineStr">
        <ns0:is>
          <ns0:t>Not separately specified</ns0:t>
        </ns0:is>
      </ns0:c>
      <ns0:c r="AN83" s="19" t="inlineStr"/>
      <ns0:c r="AO83" s="19" t="inlineStr">
        <ns0:is>
          <ns0:t>No additional status determination</ns0:t>
        </ns0:is>
      </ns0:c>
      <ns0:c r="AP83" s="19" t="inlineStr">
        <ns0:is>
          <ns0:t>Not documented for this recharting</ns0:t>
        </ns0:is>
      </ns0:c>
      <ns0:c r="AQ83" s="19" t="inlineStr">
        <ns0:is>
          <ns0:t>ChatGPT-assisted evidence recharting, 2026-09-08</ns0:t>
        </ns0:is>
      </ns0:c>
      <ns0:c r="AR83" s="19" t="inlineStr"/>
      <ns0:c r="AS83" s="19" t="inlineStr">
        <ns0:is>
          <ns0:t>Not recorded; historical inclusion retained</ns0:t>
        </ns0:is>
      </ns0:c>
    </ns0:row>
    <ns0:row r="84" ht="50" customHeight="1">
      <ns0:c r="A84" s="21" t="inlineStr">
        <ns0:is>
          <ns0:t>85</ns0:t>
        </ns0:is>
      </ns0:c>
      <ns0:c r="B84" s="21" t="inlineStr">
        <ns0:is>
          <ns0:t>Historical</ns0:t>
        </ns0:is>
      </ns0:c>
      <ns0:c r="C84" s="21" t="inlineStr">
        <ns0:is>
          <ns0:t>Diagnosing autism spectrum disorder in children using conventional MRI and apparent diffusion coefficient based deep learning algorithms</ns0:t>
        </ns0:is>
      </ns0:c>
      <ns0:c r="D84" s="21" t="inlineStr">
        <ns0:is>
          <ns0:t>10.1007/s00330-021-08239-4</ns0:t>
        </ns0:is>
      </ns0:c>
      <ns0:c r="E84" s="28" t="n">
        <ns0:v>2022</ns0:v>
      </ns0:c>
      <ns0:c r="F84" s="21" t="inlineStr">
        <ns0:is>
          <ns0:t>Include</ns0:t>
        </ns0:is>
      </ns0:c>
      <ns0:c r="G84" s="29">
        <ns0:f>IF(F84="Include",1,0)</ns0:f>
        <ns0:v>1</ns0:v>
      </ns0:c>
      <ns0:c r="H84" s="21" t="inlineStr">
        <ns0:is>
          <ns0:t>Diagnosis</ns0:t>
        </ns0:is>
      </ns0:c>
      <ns0:c r="I84" s="21" t="inlineStr">
        <ns0:is>
          <ns0:t>Deep Learning</ns0:t>
        </ns0:is>
      </ns0:c>
      <ns0:c r="J84" s="21" t="inlineStr">
        <ns0:is>
          <ns0:t>Neuroimaging</ns0:t>
        </ns0:is>
      </ns0:c>
      <ns0:c r="K84" s="21" t="inlineStr">
        <ns0:is>
          <ns0:t>Dual-stream CNN with attention</ns0:t>
        </ns0:is>
      </ns0:c>
      <ns0:c r="L84" s="21" t="inlineStr">
        <ns0:is>
          <ns0:t>CNN</ns0:t>
        </ns0:is>
      </ns0:c>
      <ns0:c r="M84" s="21" t="inlineStr">
        <ns0:is>
          <ns0:t>Research only</ns0:t>
        </ns0:is>
      </ns0:c>
      <ns0:c r="N84" s="21" t="inlineStr">
        <ns0:is>
          <ns0:t>Automated measurement/classification</ns0:t>
        </ns0:is>
      </ns0:c>
      <ns0:c r="O84" s="21" t="inlineStr">
        <ns0:is>
          <ns0:t>Not observed in assessed sources</ns0:t>
        </ns0:is>
      </ns0:c>
      <ns0:c r="P84" s="21" t="inlineStr">
        <ns0:is>
          <ns0:t>Not observed in assessed sources</ns0:t>
        </ns0:is>
      </ns0:c>
      <ns0:c r="Q84" s="21" t="inlineStr">
        <ns0:is>
          <ns0:t>Reported</ns0:t>
        </ns0:is>
      </ns0:c>
      <ns0:c r="R84" s="21" t="inlineStr">
        <ns0:is>
          <ns0:t>Reported</ns0:t>
        </ns0:is>
      </ns0:c>
      <ns0:c r="S84" s="21" t="inlineStr">
        <ns0:is>
          <ns0:t>Not reported in assessed sources</ns0:t>
        </ns0:is>
      </ns0:c>
      <ns0:c r="T84" s="21" t="inlineStr">
        <ns0:is>
          <ns0:t>Not reported in assessed sources</ns0:t>
        </ns0:is>
      </ns0:c>
      <ns0:c r="U84" s="21" t="inlineStr">
        <ns0:is>
          <ns0:t>Not reported in assessed sources</ns0:t>
        </ns0:is>
      </ns0:c>
      <ns0:c r="V84" s="21" t="inlineStr">
        <ns0:is>
          <ns0:t>Not reported in assessed sources</ns0:t>
        </ns0:is>
      </ns0:c>
      <ns0:c r="W84" s="21" t="inlineStr">
        <ns0:is>
          <ns0:t>Reported</ns0:t>
        </ns0:is>
      </ns0:c>
      <ns0:c r="X84" s="21" t="inlineStr">
        <ns0:is>
          <ns0:t>Not reported in assessed sources</ns0:t>
        </ns0:is>
      </ns0:c>
      <ns0:c r="Y84" s="21" t="inlineStr">
        <ns0:is>
          <ns0:t>Not ascertainable</ns0:t>
        </ns0:is>
      </ns0:c>
      <ns0:c r="Z84" s="21" t="inlineStr">
        <ns0:is>
          <ns0:t>Not reported in assessed sources</ns0:t>
        </ns0:is>
      </ns0:c>
      <ns0:c r="AA84" s="21" t="inlineStr">
        <ns0:is>
          <ns0:t>Not recorded</ns0:t>
        </ns0:is>
      </ns0:c>
      <ns0:c r="AB84" s="28" t="n">
        <ns0:v>0</ns0:v>
      </ns0:c>
      <ns0:c r="AC84" s="28" t="n">
        <ns0:v>0</ns0:v>
      </ns0:c>
      <ns0:c r="AD84" s="29">
        <ns0:f>IF(AND(G84=1,AB84=0),1,0)</ns0:f>
        <ns0:v>1</ns0:v>
      </ns0:c>
      <ns0:c r="AE84" s="29">
        <ns0:f>IF(AND(AD84=1,AC84=0),1,0)</ns0:f>
        <ns0:v>1</ns0:v>
      </ns0:c>
      <ns0:c r="AF84" s="29">
        <ns0:f>IF(AND(G84=1,H84&lt;&gt;"Not specified"),1,0)</ns0:f>
        <ns0:v>1</ns0:v>
      </ns0:c>
      <ns0:c r="AG84" s="29">
        <ns0:f>IF(AND(AE84=1,AF84=1),1,0)</ns0:f>
        <ns0:v>1</ns0:v>
      </ns0:c>
      <ns0:c r="AH84" s="21" t="inlineStr">
        <ns0:is>
          <ns0:t>Supplied abstract/coding notes; no new full-text verification</ns0:t>
        </ns0:is>
      </ns0:c>
      <ns0:c r="AI84" s="21" t="inlineStr">
        <ns0:is>
          <ns0:t>https://doi.org/10.1007/s00330-021-08239-4</ns0:t>
        </ns0:is>
      </ns0:c>
      <ns0:c r="AJ84" s="21" t="inlineStr">
        <ns0:is>
          <ns0:t>EVIDENCIA; original abstract/coding notes and lot source trace; Historical signals: title/abstract/notes; full-text completion not independently established</ns0:t>
        </ns0:is>
      </ns0:c>
      <ns0:c r="AK84" s="21" t="inlineStr">
        <ns0:is>
          <ns0:t>Additional independently acquired subjects form a test cohort. FLAIR and ADC are explicitly combined; attention as architecture is not sufficient for strict explainability.</ns0:t>
        </ns0:is>
      </ns0:c>
      <ns0:c r="AL84" s="21" t="inlineStr">
        <ns0:is>
          <ns0:t>Not applicable</ns0:t>
        </ns0:is>
      </ns0:c>
      <ns0:c r="AM84" s="21" t="inlineStr">
        <ns0:is>
          <ns0:t>Not separately specified</ns0:t>
        </ns0:is>
      </ns0:c>
      <ns0:c r="AN84" s="21" t="inlineStr"/>
      <ns0:c r="AO84" s="21" t="inlineStr">
        <ns0:is>
          <ns0:t>No additional status determination</ns0:t>
        </ns0:is>
      </ns0:c>
      <ns0:c r="AP84" s="21" t="inlineStr">
        <ns0:is>
          <ns0:t>Not documented for this recharting</ns0:t>
        </ns0:is>
      </ns0:c>
      <ns0:c r="AQ84" s="21" t="inlineStr">
        <ns0:is>
          <ns0:t>ChatGPT-assisted evidence recharting, 2026-09-08</ns0:t>
        </ns0:is>
      </ns0:c>
      <ns0:c r="AR84" s="21" t="inlineStr">
        <ns0:is>
          <ns0:t>RA</ns0:t>
        </ns0:is>
      </ns0:c>
      <ns0:c r="AS84" s="21" t="inlineStr">
        <ns0:is>
          <ns0:t>Not recorded; historical inclusion retained</ns0:t>
        </ns0:is>
      </ns0:c>
    </ns0:row>
    <ns0:row r="85" ht="50" customHeight="1">
      <ns0:c r="A85" s="19" t="inlineStr">
        <ns0:is>
          <ns0:t>86</ns0:t>
        </ns0:is>
      </ns0:c>
      <ns0:c r="B85" s="19" t="inlineStr">
        <ns0:is>
          <ns0:t>Historical</ns0:t>
        </ns0:is>
      </ns0:c>
      <ns0:c r="C85" s="19" t="inlineStr">
        <ns0:is>
          <ns0:t>Dissecting the heterogeneity of autism spectrum disorder with sensory behavior, brain, and epigenetic factors</ns0:t>
        </ns0:is>
      </ns0:c>
      <ns0:c r="D85" s="19" t="inlineStr">
        <ns0:is>
          <ns0:t>10.1038/s41398-025-03566-2</ns0:t>
        </ns0:is>
      </ns0:c>
      <ns0:c r="E85" s="26" t="n">
        <ns0:v>2025</ns0:v>
      </ns0:c>
      <ns0:c r="F85" s="19" t="inlineStr">
        <ns0:is>
          <ns0:t>Include</ns0:t>
        </ns0:is>
      </ns0:c>
      <ns0:c r="G85" s="27">
        <ns0:f>IF(F85="Include",1,0)</ns0:f>
        <ns0:v>1</ns0:v>
      </ns0:c>
      <ns0:c r="H85" s="19" t="inlineStr">
        <ns0:is>
          <ns0:t>Diagnosis</ns0:t>
        </ns0:is>
      </ns0:c>
      <ns0:c r="I85" s="19" t="inlineStr">
        <ns0:is>
          <ns0:t>Machine Learning</ns0:t>
        </ns0:is>
      </ns0:c>
      <ns0:c r="J85" s="19" t="inlineStr">
        <ns0:is>
          <ns0:t>Multiple source categories</ns0:t>
        </ns0:is>
      </ns0:c>
      <ns0:c r="K85" s="19" t="inlineStr">
        <ns0:is>
          <ns0:t>XGBoost</ns0:t>
        </ns0:is>
      </ns0:c>
      <ns0:c r="L85" s="19" t="inlineStr">
        <ns0:is>
          <ns0:t>Gradient boosting</ns0:t>
        </ns0:is>
      </ns0:c>
      <ns0:c r="M85" s="19" t="inlineStr">
        <ns0:is>
          <ns0:t>Research only</ns0:t>
        </ns0:is>
      </ns0:c>
      <ns0:c r="N85" s="19" t="inlineStr">
        <ns0:is>
          <ns0:t>Automated measurement/classification</ns0:t>
        </ns0:is>
      </ns0:c>
      <ns0:c r="O85" s="19" t="inlineStr">
        <ns0:is>
          <ns0:t>Not observed in assessed sources</ns0:t>
        </ns0:is>
      </ns0:c>
      <ns0:c r="P85" s="19" t="inlineStr">
        <ns0:is>
          <ns0:t>Not observed in assessed sources</ns0:t>
        </ns0:is>
      </ns0:c>
      <ns0:c r="Q85" s="19" t="inlineStr">
        <ns0:is>
          <ns0:t>Not reported in assessed sources</ns0:t>
        </ns0:is>
      </ns0:c>
      <ns0:c r="R85" s="19" t="inlineStr">
        <ns0:is>
          <ns0:t>Reported</ns0:t>
        </ns0:is>
      </ns0:c>
      <ns0:c r="S85" s="19" t="inlineStr">
        <ns0:is>
          <ns0:t>Not reported in assessed sources</ns0:t>
        </ns0:is>
      </ns0:c>
      <ns0:c r="T85" s="19" t="inlineStr">
        <ns0:is>
          <ns0:t>Not reported in assessed sources</ns0:t>
        </ns0:is>
      </ns0:c>
      <ns0:c r="U85" s="19" t="inlineStr">
        <ns0:is>
          <ns0:t>Not reported in assessed sources</ns0:t>
        </ns0:is>
      </ns0:c>
      <ns0:c r="V85" s="19" t="inlineStr">
        <ns0:is>
          <ns0:t>Not reported in assessed sources</ns0:t>
        </ns0:is>
      </ns0:c>
      <ns0:c r="W85" s="19" t="inlineStr">
        <ns0:is>
          <ns0:t>Reported</ns0:t>
        </ns0:is>
      </ns0:c>
      <ns0:c r="X85" s="19" t="inlineStr">
        <ns0:is>
          <ns0:t>Not reported in assessed sources</ns0:t>
        </ns0:is>
      </ns0:c>
      <ns0:c r="Y85" s="19" t="inlineStr">
        <ns0:is>
          <ns0:t>Not ascertainable</ns0:t>
        </ns0:is>
      </ns0:c>
      <ns0:c r="Z85" s="19" t="inlineStr">
        <ns0:is>
          <ns0:t>Not reported in assessed sources</ns0:t>
        </ns0:is>
      </ns0:c>
      <ns0:c r="AA85" s="19" t="inlineStr">
        <ns0:is>
          <ns0:t>Not recorded</ns0:t>
        </ns0:is>
      </ns0:c>
      <ns0:c r="AB85" s="26" t="n">
        <ns0:v>0</ns0:v>
      </ns0:c>
      <ns0:c r="AC85" s="26" t="n">
        <ns0:v>0</ns0:v>
      </ns0:c>
      <ns0:c r="AD85" s="27">
        <ns0:f>IF(AND(G85=1,AB85=0),1,0)</ns0:f>
        <ns0:v>1</ns0:v>
      </ns0:c>
      <ns0:c r="AE85" s="27">
        <ns0:f>IF(AND(AD85=1,AC85=0),1,0)</ns0:f>
        <ns0:v>1</ns0:v>
      </ns0:c>
      <ns0:c r="AF85" s="27">
        <ns0:f>IF(AND(G85=1,H85&lt;&gt;"Not specified"),1,0)</ns0:f>
        <ns0:v>1</ns0:v>
      </ns0:c>
      <ns0:c r="AG85" s="27">
        <ns0:f>IF(AND(AE85=1,AF85=1),1,0)</ns0:f>
        <ns0:v>1</ns0:v>
      </ns0:c>
      <ns0:c r="AH85" s="19" t="inlineStr">
        <ns0:is>
          <ns0:t>Supplied abstract/coding notes; no new full-text verification</ns0:t>
        </ns0:is>
      </ns0:c>
      <ns0:c r="AI85" s="19" t="inlineStr">
        <ns0:is>
          <ns0:t>https://doi.org/10.1038/s41398-025-03566-2</ns0:t>
        </ns0:is>
      </ns0:c>
      <ns0:c r="AJ85" s="19" t="inlineStr">
        <ns0:is>
          <ns0:t>EVIDENCIA; original abstract/coding notes and lot source trace; Historical signals: title/abstract/notes; full-text completion not independently established</ns0:t>
        </ns0:is>
      </ns0:c>
      <ns0:c r="AK85" s="19" t="inlineStr">
        <ns0:is>
          <ns0:t>Integrated sensory behavior, neuroimaging and saliva methylation; XGBoost is conventional machine learning, not deep learning.</ns0:t>
        </ns0:is>
      </ns0:c>
      <ns0:c r="AL85" s="19" t="inlineStr">
        <ns0:is>
          <ns0:t>Not applicable</ns0:t>
        </ns0:is>
      </ns0:c>
      <ns0:c r="AM85" s="19" t="inlineStr">
        <ns0:is>
          <ns0:t>Not separately specified</ns0:t>
        </ns0:is>
      </ns0:c>
      <ns0:c r="AN85" s="19" t="inlineStr"/>
      <ns0:c r="AO85" s="19" t="inlineStr">
        <ns0:is>
          <ns0:t>No additional status determination</ns0:t>
        </ns0:is>
      </ns0:c>
      <ns0:c r="AP85" s="19" t="inlineStr">
        <ns0:is>
          <ns0:t>Not documented for this recharting</ns0:t>
        </ns0:is>
      </ns0:c>
      <ns0:c r="AQ85" s="19" t="inlineStr">
        <ns0:is>
          <ns0:t>ChatGPT-assisted evidence recharting, 2026-09-08</ns0:t>
        </ns0:is>
      </ns0:c>
      <ns0:c r="AR85" s="19" t="inlineStr"/>
      <ns0:c r="AS85" s="19" t="inlineStr">
        <ns0:is>
          <ns0:t>Not recorded; historical inclusion retained</ns0:t>
        </ns0:is>
      </ns0:c>
    </ns0:row>
    <ns0:row r="86" ht="50" customHeight="1">
      <ns0:c r="A86" s="21" t="inlineStr">
        <ns0:is>
          <ns0:t>88</ns0:t>
        </ns0:is>
      </ns0:c>
      <ns0:c r="B86" s="21" t="inlineStr">
        <ns0:is>
          <ns0:t>Historical</ns0:t>
        </ns0:is>
      </ns0:c>
      <ns0:c r="C86" s="21" t="inlineStr">
        <ns0:is>
          <ns0:t>Facial Emotions Are Accurately Encoded in the Neural Signal of Those With Autism Spectrum Disorder: A Deep Learning Approach</ns0:t>
        </ns0:is>
      </ns0:c>
      <ns0:c r="D86" s="21" t="inlineStr">
        <ns0:is>
          <ns0:t>10.1016/j.bpsc.2021.03.015</ns0:t>
        </ns0:is>
      </ns0:c>
      <ns0:c r="E86" s="28" t="n">
        <ns0:v>2022</ns0:v>
      </ns0:c>
      <ns0:c r="F86" s="21" t="inlineStr">
        <ns0:is>
          <ns0:t>Include</ns0:t>
        </ns0:is>
      </ns0:c>
      <ns0:c r="G86" s="29">
        <ns0:f>IF(F86="Include",1,0)</ns0:f>
        <ns0:v>1</ns0:v>
      </ns0:c>
      <ns0:c r="H86" s="21" t="inlineStr">
        <ns0:is>
          <ns0:t>Not specified</ns0:t>
        </ns0:is>
      </ns0:c>
      <ns0:c r="I86" s="21" t="inlineStr">
        <ns0:is>
          <ns0:t>Deep Learning</ns0:t>
        </ns0:is>
      </ns0:c>
      <ns0:c r="J86" s="21" t="inlineStr">
        <ns0:is>
          <ns0:t>Physiological signals</ns0:t>
        </ns0:is>
      </ns0:c>
      <ns0:c r="K86" s="21" t="inlineStr">
        <ns0:is>
          <ns0:t>CNN emotion decoder</ns0:t>
        </ns0:is>
      </ns0:c>
      <ns0:c r="L86" s="21" t="inlineStr">
        <ns0:is>
          <ns0:t>CNN</ns0:t>
        </ns0:is>
      </ns0:c>
      <ns0:c r="M86" s="21" t="inlineStr">
        <ns0:is>
          <ns0:t>Research only</ns0:t>
        </ns0:is>
      </ns0:c>
      <ns0:c r="N86" s="21" t="inlineStr">
        <ns0:is>
          <ns0:t>Research characterization</ns0:t>
        </ns0:is>
      </ns0:c>
      <ns0:c r="O86" s="21" t="inlineStr">
        <ns0:is>
          <ns0:t>Not observed in assessed sources</ns0:t>
        </ns0:is>
      </ns0:c>
      <ns0:c r="P86" s="21" t="inlineStr">
        <ns0:is>
          <ns0:t>Not observed in assessed sources</ns0:t>
        </ns0:is>
      </ns0:c>
      <ns0:c r="Q86" s="21" t="inlineStr">
        <ns0:is>
          <ns0:t>Not ascertainable</ns0:t>
        </ns0:is>
      </ns0:c>
      <ns0:c r="R86" s="21" t="inlineStr">
        <ns0:is>
          <ns0:t>Not reported in assessed sources</ns0:t>
        </ns0:is>
      </ns0:c>
      <ns0:c r="S86" s="21" t="inlineStr">
        <ns0:is>
          <ns0:t>Reported</ns0:t>
        </ns0:is>
      </ns0:c>
      <ns0:c r="T86" s="21" t="inlineStr">
        <ns0:is>
          <ns0:t>Not reported in assessed sources</ns0:t>
        </ns0:is>
      </ns0:c>
      <ns0:c r="U86" s="21" t="inlineStr">
        <ns0:is>
          <ns0:t>Not reported in assessed sources</ns0:t>
        </ns0:is>
      </ns0:c>
      <ns0:c r="V86" s="21" t="inlineStr">
        <ns0:is>
          <ns0:t>Not reported in assessed sources</ns0:t>
        </ns0:is>
      </ns0:c>
      <ns0:c r="W86" s="21" t="inlineStr">
        <ns0:is>
          <ns0:t>Not reported in assessed sources</ns0:t>
        </ns0:is>
      </ns0:c>
      <ns0:c r="X86" s="21" t="inlineStr">
        <ns0:is>
          <ns0:t>Not reported in assessed sources</ns0:t>
        </ns0:is>
      </ns0:c>
      <ns0:c r="Y86" s="21" t="inlineStr">
        <ns0:is>
          <ns0:t>Not ascertainable</ns0:t>
        </ns0:is>
      </ns0:c>
      <ns0:c r="Z86" s="21" t="inlineStr">
        <ns0:is>
          <ns0:t>Reported</ns0:t>
        </ns0:is>
      </ns0:c>
      <ns0:c r="AA86" s="21" t="inlineStr">
        <ns0:is>
          <ns0:t>Not recorded</ns0:t>
        </ns0:is>
      </ns0:c>
      <ns0:c r="AB86" s="28" t="n">
        <ns0:v>0</ns0:v>
      </ns0:c>
      <ns0:c r="AC86" s="28" t="n">
        <ns0:v>0</ns0:v>
      </ns0:c>
      <ns0:c r="AD86" s="29">
        <ns0:f>IF(AND(G86=1,AB86=0),1,0)</ns0:f>
        <ns0:v>1</ns0:v>
      </ns0:c>
      <ns0:c r="AE86" s="29">
        <ns0:f>IF(AND(AD86=1,AC86=0),1,0)</ns0:f>
        <ns0:v>1</ns0:v>
      </ns0:c>
      <ns0:c r="AF86" s="29">
        <ns0:f>IF(AND(G86=1,H86&lt;&gt;"Not specified"),1,0)</ns0:f>
        <ns0:v>0</ns0:v>
      </ns0:c>
      <ns0:c r="AG86" s="29">
        <ns0:f>IF(AND(AE86=1,AF86=1),1,0)</ns0:f>
        <ns0:v>0</ns0:v>
      </ns0:c>
      <ns0:c r="AH86" s="21" t="inlineStr">
        <ns0:is>
          <ns0:t>Supplied abstract/coding notes; no new full-text verification</ns0:t>
        </ns0:is>
      </ns0:c>
      <ns0:c r="AI86" s="21" t="inlineStr">
        <ns0:is>
          <ns0:t>https://doi.org/10.1016/j.bpsc.2021.03.015</ns0:t>
        </ns0:is>
      </ns0:c>
      <ns0:c r="AJ86" s="21" t="inlineStr">
        <ns0:is>
          <ns0:t>EVIDENCIA; original abstract/coding notes and lot source trace; Historical signals: title/abstract/notes; full-text completion not independently established</ns0:t>
        </ns0:is>
      </ns0:c>
      <ns0:c r="AK86" s="21" t="inlineStr">
        <ns0:is>
          <ns0:t>EEG emotion decoding across ASD and non-ASD samples is mechanistic characterization, not an evaluated intervention. Replication across samples does not alone establish transfer of a frozen classifier.
Independent sample replication reported; a trained-model transfer test is not established in accessible abstract.</ns0:t>
        </ns0:is>
      </ns0:c>
      <ns0:c r="AL86" s="21" t="inlineStr">
        <ns0:is>
          <ns0:t>Not applicable</ns0:t>
        </ns0:is>
      </ns0:c>
      <ns0:c r="AM86" s="21" t="inlineStr">
        <ns0:is>
          <ns0:t>Not separately specified</ns0:t>
        </ns0:is>
      </ns0:c>
      <ns0:c r="AN86" s="21" t="inlineStr"/>
      <ns0:c r="AO86" s="21" t="inlineStr">
        <ns0:is>
          <ns0:t>No additional status determination</ns0:t>
        </ns0:is>
      </ns0:c>
      <ns0:c r="AP86" s="21" t="inlineStr">
        <ns0:is>
          <ns0:t>Not documented for this recharting</ns0:t>
        </ns0:is>
      </ns0:c>
      <ns0:c r="AQ86" s="21" t="inlineStr">
        <ns0:is>
          <ns0:t>ChatGPT-assisted evidence recharting, 2026-09-08</ns0:t>
        </ns0:is>
      </ns0:c>
      <ns0:c r="AR86" s="21" t="inlineStr">
        <ns0:is>
          <ns0:t>RA</ns0:t>
        </ns0:is>
      </ns0:c>
      <ns0:c r="AS86" s="21" t="inlineStr">
        <ns0:is>
          <ns0:t>Not recorded; historical inclusion retained</ns0:t>
        </ns0:is>
      </ns0:c>
    </ns0:row>
    <ns0:row r="87" ht="50" customHeight="1">
      <ns0:c r="A87" s="19" t="inlineStr">
        <ns0:is>
          <ns0:t>89</ns0:t>
        </ns0:is>
      </ns0:c>
      <ns0:c r="B87" s="19" t="inlineStr">
        <ns0:is>
          <ns0:t>Historical</ns0:t>
        </ns0:is>
      </ns0:c>
      <ns0:c r="C87" s="19" t="inlineStr">
        <ns0:is>
          <ns0:t>Feasibility Testing of a Wearable Behavioral Aid for Social Learning in Children with Autism</ns0:t>
        </ns0:is>
      </ns0:c>
      <ns0:c r="D87" s="19" t="inlineStr">
        <ns0:is>
          <ns0:t>10.1055/s-0038-1626727</ns0:t>
        </ns0:is>
      </ns0:c>
      <ns0:c r="E87" s="26" t="n">
        <ns0:v>2018</ns0:v>
      </ns0:c>
      <ns0:c r="F87" s="19" t="inlineStr">
        <ns0:is>
          <ns0:t>Include</ns0:t>
        </ns0:is>
      </ns0:c>
      <ns0:c r="G87" s="27">
        <ns0:f>IF(F87="Include",1,0)</ns0:f>
        <ns0:v>1</ns0:v>
      </ns0:c>
      <ns0:c r="H87" s="19" t="inlineStr">
        <ns0:is>
          <ns0:t>Monitoring/intervention</ns0:t>
        </ns0:is>
      </ns0:c>
      <ns0:c r="I87" s="19" t="inlineStr">
        <ns0:is>
          <ns0:t>Machine Learning</ns0:t>
        </ns0:is>
      </ns0:c>
      <ns0:c r="J87" s="19" t="inlineStr">
        <ns0:is>
          <ns0:t>Behavioral images/video/gaze/movement</ns0:t>
        </ns0:is>
      </ns0:c>
      <ns0:c r="K87" s="19" t="inlineStr">
        <ns0:is>
          <ns0:t>Logistic regression ancillary classifier; wearable labeling system</ns0:t>
        </ns0:is>
      </ns0:c>
      <ns0:c r="L87" s="19" t="inlineStr">
        <ns0:is>
          <ns0:t>Logistic regression</ns0:t>
        </ns0:is>
      </ns0:c>
      <ns0:c r="M87" s="19" t="inlineStr">
        <ns0:is>
          <ns0:t>Evaluated AI-supported intervention</ns0:t>
        </ns0:is>
      </ns0:c>
      <ns0:c r="N87" s="19" t="inlineStr">
        <ns0:is>
          <ns0:t>Assistive support</ns0:t>
        </ns0:is>
      </ns0:c>
      <ns0:c r="O87" s="19" t="inlineStr">
        <ns0:is>
          <ns0:t>Post-decision</ns0:t>
        </ns0:is>
      </ns0:c>
      <ns0:c r="P87" s="19" t="inlineStr">
        <ns0:is>
          <ns0:t>Post-decision</ns0:t>
        </ns0:is>
      </ns0:c>
      <ns0:c r="Q87" s="19" t="inlineStr">
        <ns0:is>
          <ns0:t>Not reported in assessed sources</ns0:t>
        </ns0:is>
      </ns0:c>
      <ns0:c r="R87" s="19" t="inlineStr">
        <ns0:is>
          <ns0:t>Not reported in assessed sources</ns0:t>
        </ns0:is>
      </ns0:c>
      <ns0:c r="S87" s="19" t="inlineStr">
        <ns0:is>
          <ns0:t>Not reported in assessed sources</ns0:t>
        </ns0:is>
      </ns0:c>
      <ns0:c r="T87" s="19" t="inlineStr">
        <ns0:is>
          <ns0:t>Not reported in assessed sources</ns0:t>
        </ns0:is>
      </ns0:c>
      <ns0:c r="U87" s="19" t="inlineStr">
        <ns0:is>
          <ns0:t>Not reported in assessed sources</ns0:t>
        </ns0:is>
      </ns0:c>
      <ns0:c r="V87" s="19" t="inlineStr">
        <ns0:is>
          <ns0:t>Not reported in assessed sources</ns0:t>
        </ns0:is>
      </ns0:c>
      <ns0:c r="W87" s="19" t="inlineStr">
        <ns0:is>
          <ns0:t>Not reported in assessed sources</ns0:t>
        </ns0:is>
      </ns0:c>
      <ns0:c r="X87" s="19" t="inlineStr">
        <ns0:is>
          <ns0:t>Reported</ns0:t>
        </ns0:is>
      </ns0:c>
      <ns0:c r="Y87" s="19" t="inlineStr">
        <ns0:is>
          <ns0:t>Reported</ns0:t>
        </ns0:is>
      </ns0:c>
      <ns0:c r="Z87" s="19" t="inlineStr">
        <ns0:is>
          <ns0:t>Not reported in assessed sources</ns0:t>
        </ns0:is>
      </ns0:c>
      <ns0:c r="AA87" s="19" t="inlineStr">
        <ns0:is>
          <ns0:t>Not recorded</ns0:t>
        </ns0:is>
      </ns0:c>
      <ns0:c r="AB87" s="26" t="n">
        <ns0:v>0</ns0:v>
      </ns0:c>
      <ns0:c r="AC87" s="26" t="n">
        <ns0:v>0</ns0:v>
      </ns0:c>
      <ns0:c r="AD87" s="27">
        <ns0:f>IF(AND(G87=1,AB87=0),1,0)</ns0:f>
        <ns0:v>1</ns0:v>
      </ns0:c>
      <ns0:c r="AE87" s="27">
        <ns0:f>IF(AND(AD87=1,AC87=0),1,0)</ns0:f>
        <ns0:v>1</ns0:v>
      </ns0:c>
      <ns0:c r="AF87" s="27">
        <ns0:f>IF(AND(G87=1,H87&lt;&gt;"Not specified"),1,0)</ns0:f>
        <ns0:v>1</ns0:v>
      </ns0:c>
      <ns0:c r="AG87" s="27">
        <ns0:f>IF(AND(AE87=1,AF87=1),1,0)</ns0:f>
        <ns0:v>1</ns0:v>
      </ns0:c>
      <ns0:c r="AH87" s="19" t="inlineStr">
        <ns0:is>
          <ns0:t>Supplied abstract/coding notes; no new full-text verification</ns0:t>
        </ns0:is>
      </ns0:c>
      <ns0:c r="AI87" s="19" t="inlineStr">
        <ns0:is>
          <ns0:t>https://doi.org/10.1055/s-0038-1626727</ns0:t>
        </ns0:is>
      </ns0:c>
      <ns0:c r="AJ87" s="19" t="inlineStr">
        <ns0:is>
          <ns0:t>EVIDENCIA; original abstract/coding notes and lot source trace; Historical signals: title/abstract/notes; full-text completion not independently established</ns0:t>
        </ns0:is>
      </ns0:c>
      <ns0:c r="AK87" s="19" t="inlineStr">
        <ns0:is>
          <ns0:t>Controlled feasibility experiment supplied emotion labels via wearable glasses to participants. The separate ASD classifier is an ancillary analysis, not proof of clinical ASD diagnosis using glasses.
Wearable feedback was evaluated in a laboratory; not routine care and not an external validation of ASD diagnosis.</ns0:t>
        </ns0:is>
      </ns0:c>
      <ns0:c r="AL87" s="19" t="inlineStr">
        <ns0:is>
          <ns0:t>Not applicable</ns0:t>
        </ns0:is>
      </ns0:c>
      <ns0:c r="AM87" s="19" t="inlineStr">
        <ns0:is>
          <ns0:t>Not separately specified</ns0:t>
        </ns0:is>
      </ns0:c>
      <ns0:c r="AN87" s="19" t="inlineStr"/>
      <ns0:c r="AO87" s="19" t="inlineStr">
        <ns0:is>
          <ns0:t>No additional status determination</ns0:t>
        </ns0:is>
      </ns0:c>
      <ns0:c r="AP87" s="19" t="inlineStr">
        <ns0:is>
          <ns0:t>Not documented for this recharting</ns0:t>
        </ns0:is>
      </ns0:c>
      <ns0:c r="AQ87" s="19" t="inlineStr">
        <ns0:is>
          <ns0:t>ChatGPT-assisted evidence recharting, 2026-09-08</ns0:t>
        </ns0:is>
      </ns0:c>
      <ns0:c r="AR87" s="19" t="inlineStr"/>
      <ns0:c r="AS87" s="19" t="inlineStr">
        <ns0:is>
          <ns0:t>Not recorded; historical inclusion retained</ns0:t>
        </ns0:is>
      </ns0:c>
    </ns0:row>
    <ns0:row r="88" ht="50" customHeight="1">
      <ns0:c r="A88" s="21" t="inlineStr">
        <ns0:is>
          <ns0:t>90</ns0:t>
        </ns0:is>
      </ns0:c>
      <ns0:c r="B88" s="21" t="inlineStr">
        <ns0:is>
          <ns0:t>Historical</ns0:t>
        </ns0:is>
      </ns0:c>
      <ns0:c r="C88" s="21" t="inlineStr">
        <ns0:is>
          <ns0:t>Handwriting-Based ADHD Detection for Children Having ASD Using Machine Learning Approaches</ns0:t>
        </ns0:is>
      </ns0:c>
      <ns0:c r="D88" s="21" t="inlineStr">
        <ns0:is>
          <ns0:t>10.1109/access.2023.3302903</ns0:t>
        </ns0:is>
      </ns0:c>
      <ns0:c r="E88" s="28" t="n">
        <ns0:v>2023</ns0:v>
      </ns0:c>
      <ns0:c r="F88" s="21" t="inlineStr">
        <ns0:is>
          <ns0:t>Include</ns0:t>
        </ns0:is>
      </ns0:c>
      <ns0:c r="G88" s="29">
        <ns0:f>IF(F88="Include",1,0)</ns0:f>
        <ns0:v>1</ns0:v>
      </ns0:c>
      <ns0:c r="H88" s="21" t="inlineStr">
        <ns0:is>
          <ns0:t>Diagnosis</ns0:t>
        </ns0:is>
      </ns0:c>
      <ns0:c r="I88" s="21" t="inlineStr">
        <ns0:is>
          <ns0:t>Machine Learning</ns0:t>
        </ns0:is>
      </ns0:c>
      <ns0:c r="J88" s="21" t="inlineStr">
        <ns0:is>
          <ns0:t>Behavioral images/video/gaze/movement</ns0:t>
        </ns0:is>
      </ns0:c>
      <ns0:c r="K88" s="21" t="inlineStr">
        <ns0:is>
          <ns0:t>Random forest</ns0:t>
        </ns0:is>
      </ns0:c>
      <ns0:c r="L88" s="21" t="inlineStr">
        <ns0:is>
          <ns0:t>Random forest</ns0:t>
        </ns0:is>
      </ns0:c>
      <ns0:c r="M88" s="21" t="inlineStr">
        <ns0:is>
          <ns0:t>Research only</ns0:t>
        </ns0:is>
      </ns0:c>
      <ns0:c r="N88" s="21" t="inlineStr">
        <ns0:is>
          <ns0:t>Automated measurement/classification</ns0:t>
        </ns0:is>
      </ns0:c>
      <ns0:c r="O88" s="21" t="inlineStr">
        <ns0:is>
          <ns0:t>Not observed in assessed sources</ns0:t>
        </ns0:is>
      </ns0:c>
      <ns0:c r="P88" s="21" t="inlineStr">
        <ns0:is>
          <ns0:t>Not observed in assessed sources</ns0:t>
        </ns0:is>
      </ns0:c>
      <ns0:c r="Q88" s="21" t="inlineStr">
        <ns0:is>
          <ns0:t>Not reported in assessed sources</ns0:t>
        </ns0:is>
      </ns0:c>
      <ns0:c r="R88" s="21" t="inlineStr">
        <ns0:is>
          <ns0:t>Not reported in assessed sources</ns0:t>
        </ns0:is>
      </ns0:c>
      <ns0:c r="S88" s="21" t="inlineStr">
        <ns0:is>
          <ns0:t>Reported</ns0:t>
        </ns0:is>
      </ns0:c>
      <ns0:c r="T88" s="21" t="inlineStr">
        <ns0:is>
          <ns0:t>Not reported in assessed sources</ns0:t>
        </ns0:is>
      </ns0:c>
      <ns0:c r="U88" s="21" t="inlineStr">
        <ns0:is>
          <ns0:t>Not reported in assessed sources</ns0:t>
        </ns0:is>
      </ns0:c>
      <ns0:c r="V88" s="21" t="inlineStr">
        <ns0:is>
          <ns0:t>Not reported in assessed sources</ns0:t>
        </ns0:is>
      </ns0:c>
      <ns0:c r="W88" s="21" t="inlineStr">
        <ns0:is>
          <ns0:t>Not reported in assessed sources</ns0:t>
        </ns0:is>
      </ns0:c>
      <ns0:c r="X88" s="21" t="inlineStr">
        <ns0:is>
          <ns0:t>Not reported in assessed sources</ns0:t>
        </ns0:is>
      </ns0:c>
      <ns0:c r="Y88" s="21" t="inlineStr">
        <ns0:is>
          <ns0:t>Not ascertainable</ns0:t>
        </ns0:is>
      </ns0:c>
      <ns0:c r="Z88" s="21" t="inlineStr">
        <ns0:is>
          <ns0:t>Reported</ns0:t>
        </ns0:is>
      </ns0:c>
      <ns0:c r="AA88" s="21" t="inlineStr">
        <ns0:is>
          <ns0:t>Not recorded</ns0:t>
        </ns0:is>
      </ns0:c>
      <ns0:c r="AB88" s="28" t="n">
        <ns0:v>0</ns0:v>
      </ns0:c>
      <ns0:c r="AC88" s="28" t="n">
        <ns0:v>0</ns0:v>
      </ns0:c>
      <ns0:c r="AD88" s="29">
        <ns0:f>IF(AND(G88=1,AB88=0),1,0)</ns0:f>
        <ns0:v>1</ns0:v>
      </ns0:c>
      <ns0:c r="AE88" s="29">
        <ns0:f>IF(AND(AD88=1,AC88=0),1,0)</ns0:f>
        <ns0:v>1</ns0:v>
      </ns0:c>
      <ns0:c r="AF88" s="29">
        <ns0:f>IF(AND(G88=1,H88&lt;&gt;"Not specified"),1,0)</ns0:f>
        <ns0:v>1</ns0:v>
      </ns0:c>
      <ns0:c r="AG88" s="29">
        <ns0:f>IF(AND(AE88=1,AF88=1),1,0)</ns0:f>
        <ns0:v>1</ns0:v>
      </ns0:c>
      <ns0:c r="AH88" s="21" t="inlineStr">
        <ns0:is>
          <ns0:t>Supplied abstract/coding notes; no new full-text verification</ns0:t>
        </ns0:is>
      </ns0:c>
      <ns0:c r="AI88" s="21" t="inlineStr">
        <ns0:is>
          <ns0:t>https://doi.org/10.1109/access.2023.3302903</ns0:t>
        </ns0:is>
      </ns0:c>
      <ns0:c r="AJ88" s="21" t="inlineStr">
        <ns0:is>
          <ns0:t>EVIDENCIA; original abstract/coding notes and lot source trace; Historical signals: title/abstract/notes; full-text completion not independently established</ns0:t>
        </ns0:is>
      </ns0:c>
      <ns0:c r="AK88" s="21" t="inlineStr">
        <ns0:is>
          <ns0:t>Tablet handwriting features classify ADHD with co-occurring ASD versus healthy controls. Included as ASD-related differential assessment; specificity for ASD alone cannot be inferred.</ns0:t>
        </ns0:is>
      </ns0:c>
      <ns0:c r="AL88" s="21" t="inlineStr">
        <ns0:is>
          <ns0:t>Not applicable</ns0:t>
        </ns0:is>
      </ns0:c>
      <ns0:c r="AM88" s="21" t="inlineStr">
        <ns0:is>
          <ns0:t>Not separately specified</ns0:t>
        </ns0:is>
      </ns0:c>
      <ns0:c r="AN88" s="21" t="inlineStr"/>
      <ns0:c r="AO88" s="21" t="inlineStr">
        <ns0:is>
          <ns0:t>No additional status determination</ns0:t>
        </ns0:is>
      </ns0:c>
      <ns0:c r="AP88" s="21" t="inlineStr">
        <ns0:is>
          <ns0:t>Not documented for this recharting</ns0:t>
        </ns0:is>
      </ns0:c>
      <ns0:c r="AQ88" s="21" t="inlineStr">
        <ns0:is>
          <ns0:t>ChatGPT-assisted evidence recharting, 2026-09-08</ns0:t>
        </ns0:is>
      </ns0:c>
      <ns0:c r="AR88" s="21" t="inlineStr"/>
      <ns0:c r="AS88" s="21" t="inlineStr">
        <ns0:is>
          <ns0:t>Not recorded; historical inclusion retained</ns0:t>
        </ns0:is>
      </ns0:c>
    </ns0:row>
    <ns0:row r="89" ht="50" customHeight="1">
      <ns0:c r="A89" s="19" t="inlineStr">
        <ns0:is>
          <ns0:t>91</ns0:t>
        </ns0:is>
      </ns0:c>
      <ns0:c r="B89" s="19" t="inlineStr">
        <ns0:is>
          <ns0:t>Historical</ns0:t>
        </ns0:is>
      </ns0:c>
      <ns0:c r="C89" s="19" t="inlineStr">
        <ns0:is>
          <ns0:t>Integrating Graph Convolutional Networks (GCNNs) and Long Short-Term Memory (LSTM) for Efficient Diagnosis of Autism</ns0:t>
        </ns0:is>
      </ns0:c>
      <ns0:c r="D89" s="19" t="inlineStr">
        <ns0:is>
          <ns0:t>10.1007/978-3-031-09342-5_11</ns0:t>
        </ns0:is>
      </ns0:c>
      <ns0:c r="E89" s="26" t="n">
        <ns0:v>2022</ns0:v>
      </ns0:c>
      <ns0:c r="F89" s="19" t="inlineStr">
        <ns0:is>
          <ns0:t>Include</ns0:t>
        </ns0:is>
      </ns0:c>
      <ns0:c r="G89" s="27">
        <ns0:f>IF(F89="Include",1,0)</ns0:f>
        <ns0:v>1</ns0:v>
      </ns0:c>
      <ns0:c r="H89" s="19" t="inlineStr">
        <ns0:is>
          <ns0:t>Diagnosis</ns0:t>
        </ns0:is>
      </ns0:c>
      <ns0:c r="I89" s="19" t="inlineStr">
        <ns0:is>
          <ns0:t>Deep Learning</ns0:t>
        </ns0:is>
      </ns0:c>
      <ns0:c r="J89" s="19" t="inlineStr">
        <ns0:is>
          <ns0:t>Neuroimaging</ns0:t>
        </ns0:is>
      </ns0:c>
      <ns0:c r="K89" s="19" t="inlineStr">
        <ns0:is>
          <ns0:t>GCN-LSTM</ns0:t>
        </ns0:is>
      </ns0:c>
      <ns0:c r="L89" s="19" t="inlineStr">
        <ns0:is>
          <ns0:t>Composite/ensemble pipeline</ns0:t>
        </ns0:is>
      </ns0:c>
      <ns0:c r="M89" s="19" t="inlineStr">
        <ns0:is>
          <ns0:t>Research only</ns0:t>
        </ns0:is>
      </ns0:c>
      <ns0:c r="N89" s="19" t="inlineStr">
        <ns0:is>
          <ns0:t>Automated measurement/classification</ns0:t>
        </ns0:is>
      </ns0:c>
      <ns0:c r="O89" s="19" t="inlineStr">
        <ns0:is>
          <ns0:t>Not observed in assessed sources</ns0:t>
        </ns0:is>
      </ns0:c>
      <ns0:c r="P89" s="19" t="inlineStr">
        <ns0:is>
          <ns0:t>Not observed in assessed sources</ns0:t>
        </ns0:is>
      </ns0:c>
      <ns0:c r="Q89" s="19" t="inlineStr">
        <ns0:is>
          <ns0:t>Not reported in assessed sources</ns0:t>
        </ns0:is>
      </ns0:c>
      <ns0:c r="R89" s="19" t="inlineStr">
        <ns0:is>
          <ns0:t>Not reported in assessed sources</ns0:t>
        </ns0:is>
      </ns0:c>
      <ns0:c r="S89" s="19" t="inlineStr">
        <ns0:is>
          <ns0:t>Not reported in assessed sources</ns0:t>
        </ns0:is>
      </ns0:c>
      <ns0:c r="T89" s="19" t="inlineStr">
        <ns0:is>
          <ns0:t>Not reported in assessed sources</ns0:t>
        </ns0:is>
      </ns0:c>
      <ns0:c r="U89" s="19" t="inlineStr">
        <ns0:is>
          <ns0:t>Not reported in assessed sources</ns0:t>
        </ns0:is>
      </ns0:c>
      <ns0:c r="V89" s="19" t="inlineStr">
        <ns0:is>
          <ns0:t>Reported</ns0:t>
        </ns0:is>
      </ns0:c>
      <ns0:c r="W89" s="19" t="inlineStr">
        <ns0:is>
          <ns0:t>Not reported in assessed sources</ns0:t>
        </ns0:is>
      </ns0:c>
      <ns0:c r="X89" s="19" t="inlineStr">
        <ns0:is>
          <ns0:t>Not reported in assessed sources</ns0:t>
        </ns0:is>
      </ns0:c>
      <ns0:c r="Y89" s="19" t="inlineStr">
        <ns0:is>
          <ns0:t>Not ascertainable</ns0:t>
        </ns0:is>
      </ns0:c>
      <ns0:c r="Z89" s="19" t="inlineStr">
        <ns0:is>
          <ns0:t>Not reported in assessed sources</ns0:t>
        </ns0:is>
      </ns0:c>
      <ns0:c r="AA89" s="19" t="inlineStr">
        <ns0:is>
          <ns0:t>Not recorded</ns0:t>
        </ns0:is>
      </ns0:c>
      <ns0:c r="AB89" s="26" t="n">
        <ns0:v>0</ns0:v>
      </ns0:c>
      <ns0:c r="AC89" s="26" t="n">
        <ns0:v>0</ns0:v>
      </ns0:c>
      <ns0:c r="AD89" s="27">
        <ns0:f>IF(AND(G89=1,AB89=0),1,0)</ns0:f>
        <ns0:v>1</ns0:v>
      </ns0:c>
      <ns0:c r="AE89" s="27">
        <ns0:f>IF(AND(AD89=1,AC89=0),1,0)</ns0:f>
        <ns0:v>1</ns0:v>
      </ns0:c>
      <ns0:c r="AF89" s="27">
        <ns0:f>IF(AND(G89=1,H89&lt;&gt;"Not specified"),1,0)</ns0:f>
        <ns0:v>1</ns0:v>
      </ns0:c>
      <ns0:c r="AG89" s="27">
        <ns0:f>IF(AND(AE89=1,AF89=1),1,0)</ns0:f>
        <ns0:v>1</ns0:v>
      </ns0:c>
      <ns0:c r="AH89" s="19" t="inlineStr">
        <ns0:is>
          <ns0:t>Supplied abstract/coding notes; no new full-text verification</ns0:t>
        </ns0:is>
      </ns0:c>
      <ns0:c r="AI89" s="19" t="inlineStr">
        <ns0:is>
          <ns0:t>https://doi.org/10.1007/978-3-031-09342-5_11</ns0:t>
        </ns0:is>
      </ns0:c>
      <ns0:c r="AJ89" s="19" t="inlineStr">
        <ns0:is>
          <ns0:t>EVIDENCIA; original abstract/coding notes and lot source trace; Historical signals: title/abstract/notes; full-text completion not independently established</ns0:t>
        </ns0:is>
      </ns0:c>
      <ns0:c r="AK89" s="19" t="inlineStr">
        <ns0:is>
          <ns0:t>ABIDE fMRI; combining graph and recurrent neural networks remains deep learning, not a conventional-ML/DL hybrid.</ns0:t>
        </ns0:is>
      </ns0:c>
      <ns0:c r="AL89" s="19" t="inlineStr">
        <ns0:is>
          <ns0:t>Not applicable</ns0:t>
        </ns0:is>
      </ns0:c>
      <ns0:c r="AM89" s="19" t="inlineStr">
        <ns0:is>
          <ns0:t>Not separately specified</ns0:t>
        </ns0:is>
      </ns0:c>
      <ns0:c r="AN89" s="19" t="inlineStr"/>
      <ns0:c r="AO89" s="19" t="inlineStr">
        <ns0:is>
          <ns0:t>No additional status determination</ns0:t>
        </ns0:is>
      </ns0:c>
      <ns0:c r="AP89" s="19" t="inlineStr">
        <ns0:is>
          <ns0:t>Not documented for this recharting</ns0:t>
        </ns0:is>
      </ns0:c>
      <ns0:c r="AQ89" s="19" t="inlineStr">
        <ns0:is>
          <ns0:t>ChatGPT-assisted evidence recharting, 2026-09-08</ns0:t>
        </ns0:is>
      </ns0:c>
      <ns0:c r="AR89" s="19" t="inlineStr"/>
      <ns0:c r="AS89" s="19" t="inlineStr">
        <ns0:is>
          <ns0:t>Not recorded; historical inclusion retained</ns0:t>
        </ns0:is>
      </ns0:c>
    </ns0:row>
    <ns0:row r="90" ht="50" customHeight="1">
      <ns0:c r="A90" s="21" t="inlineStr">
        <ns0:is>
          <ns0:t>92</ns0:t>
        </ns0:is>
      </ns0:c>
      <ns0:c r="B90" s="21" t="inlineStr">
        <ns0:is>
          <ns0:t>Historical</ns0:t>
        </ns0:is>
      </ns0:c>
      <ns0:c r="C90" s="21" t="inlineStr">
        <ns0:is>
          <ns0:t>Learning discriminative functional connectivity networks for identifying Autism spectrum disorder</ns0:t>
        </ns0:is>
      </ns0:c>
      <ns0:c r="D90" s="21" t="inlineStr">
        <ns0:is>
          <ns0:t>10.1016/j.bspc.2024.107466</ns0:t>
        </ns0:is>
      </ns0:c>
      <ns0:c r="E90" s="28" t="n">
        <ns0:v>2025</ns0:v>
      </ns0:c>
      <ns0:c r="F90" s="21" t="inlineStr">
        <ns0:is>
          <ns0:t>Include</ns0:t>
        </ns0:is>
      </ns0:c>
      <ns0:c r="G90" s="29">
        <ns0:f>IF(F90="Include",1,0)</ns0:f>
        <ns0:v>1</ns0:v>
      </ns0:c>
      <ns0:c r="H90" s="21" t="inlineStr">
        <ns0:is>
          <ns0:t>Diagnosis</ns0:t>
        </ns0:is>
      </ns0:c>
      <ns0:c r="I90" s="21" t="inlineStr">
        <ns0:is>
          <ns0:t>Machine Learning</ns0:t>
        </ns0:is>
      </ns0:c>
      <ns0:c r="J90" s="21" t="inlineStr">
        <ns0:is>
          <ns0:t>Neuroimaging</ns0:t>
        </ns0:is>
      </ns0:c>
      <ns0:c r="K90" s="21" t="inlineStr">
        <ns0:is>
          <ns0:t>Supervised functional-connectivity network learning</ns0:t>
        </ns0:is>
      </ns0:c>
      <ns0:c r="L90" s="21" t="inlineStr">
        <ns0:is>
          <ns0:t>Other specified method</ns0:t>
        </ns0:is>
      </ns0:c>
      <ns0:c r="M90" s="21" t="inlineStr">
        <ns0:is>
          <ns0:t>Research only</ns0:t>
        </ns0:is>
      </ns0:c>
      <ns0:c r="N90" s="21" t="inlineStr">
        <ns0:is>
          <ns0:t>Automated measurement/classification</ns0:t>
        </ns0:is>
      </ns0:c>
      <ns0:c r="O90" s="21" t="inlineStr">
        <ns0:is>
          <ns0:t>Not observed in assessed sources</ns0:t>
        </ns0:is>
      </ns0:c>
      <ns0:c r="P90" s="21" t="inlineStr">
        <ns0:is>
          <ns0:t>Not observed in assessed sources</ns0:t>
        </ns0:is>
      </ns0:c>
      <ns0:c r="Q90" s="21" t="inlineStr">
        <ns0:is>
          <ns0:t>Not reported in assessed sources</ns0:t>
        </ns0:is>
      </ns0:c>
      <ns0:c r="R90" s="21" t="inlineStr">
        <ns0:is>
          <ns0:t>Not reported in assessed sources</ns0:t>
        </ns0:is>
      </ns0:c>
      <ns0:c r="S90" s="21" t="inlineStr">
        <ns0:is>
          <ns0:t>Not reported in assessed sources</ns0:t>
        </ns0:is>
      </ns0:c>
      <ns0:c r="T90" s="21" t="inlineStr">
        <ns0:is>
          <ns0:t>Not reported in assessed sources</ns0:t>
        </ns0:is>
      </ns0:c>
      <ns0:c r="U90" s="21" t="inlineStr">
        <ns0:is>
          <ns0:t>Not reported in assessed sources</ns0:t>
        </ns0:is>
      </ns0:c>
      <ns0:c r="V90" s="21" t="inlineStr">
        <ns0:is>
          <ns0:t>Reported</ns0:t>
        </ns0:is>
      </ns0:c>
      <ns0:c r="W90" s="21" t="inlineStr">
        <ns0:is>
          <ns0:t>Not reported in assessed sources</ns0:t>
        </ns0:is>
      </ns0:c>
      <ns0:c r="X90" s="21" t="inlineStr">
        <ns0:is>
          <ns0:t>Not reported in assessed sources</ns0:t>
        </ns0:is>
      </ns0:c>
      <ns0:c r="Y90" s="21" t="inlineStr">
        <ns0:is>
          <ns0:t>Not ascertainable</ns0:t>
        </ns0:is>
      </ns0:c>
      <ns0:c r="Z90" s="21" t="inlineStr">
        <ns0:is>
          <ns0:t>Not reported in assessed sources</ns0:t>
        </ns0:is>
      </ns0:c>
      <ns0:c r="AA90" s="21" t="inlineStr">
        <ns0:is>
          <ns0:t>Not recorded</ns0:t>
        </ns0:is>
      </ns0:c>
      <ns0:c r="AB90" s="28" t="n">
        <ns0:v>0</ns0:v>
      </ns0:c>
      <ns0:c r="AC90" s="28" t="n">
        <ns0:v>0</ns0:v>
      </ns0:c>
      <ns0:c r="AD90" s="29">
        <ns0:f>IF(AND(G90=1,AB90=0),1,0)</ns0:f>
        <ns0:v>1</ns0:v>
      </ns0:c>
      <ns0:c r="AE90" s="29">
        <ns0:f>IF(AND(AD90=1,AC90=0),1,0)</ns0:f>
        <ns0:v>1</ns0:v>
      </ns0:c>
      <ns0:c r="AF90" s="29">
        <ns0:f>IF(AND(G90=1,H90&lt;&gt;"Not specified"),1,0)</ns0:f>
        <ns0:v>1</ns0:v>
      </ns0:c>
      <ns0:c r="AG90" s="29">
        <ns0:f>IF(AND(AE90=1,AF90=1),1,0)</ns0:f>
        <ns0:v>1</ns0:v>
      </ns0:c>
      <ns0:c r="AH90" s="21" t="inlineStr">
        <ns0:is>
          <ns0:t>Supplied abstract/coding notes; no new full-text verification</ns0:t>
        </ns0:is>
      </ns0:c>
      <ns0:c r="AI90" s="21" t="inlineStr">
        <ns0:is>
          <ns0:t>https://doi.org/10.1016/j.bspc.2024.107466</ns0:t>
        </ns0:is>
      </ns0:c>
      <ns0:c r="AJ90" s="21" t="inlineStr">
        <ns0:is>
          <ns0:t>EVIDENCIA; original abstract/coding notes and lot source trace; Historical signals: title/abstract/notes; full-text completion not independently established</ns0:t>
        </ns0:is>
      </ns0:c>
      <ns0:c r="AK90" s="21" t="inlineStr">
        <ns0:is>
          <ns0:t>Projection-matrix and connectivity learning, with no deep architecture specified in accessible source. A mathematical brain network is not automatically a neural network.</ns0:t>
        </ns0:is>
      </ns0:c>
      <ns0:c r="AL90" s="21" t="inlineStr">
        <ns0:is>
          <ns0:t>Not applicable</ns0:t>
        </ns0:is>
      </ns0:c>
      <ns0:c r="AM90" s="21" t="inlineStr">
        <ns0:is>
          <ns0:t>Not separately specified</ns0:t>
        </ns0:is>
      </ns0:c>
      <ns0:c r="AN90" s="21" t="inlineStr"/>
      <ns0:c r="AO90" s="21" t="inlineStr">
        <ns0:is>
          <ns0:t>No additional status determination</ns0:t>
        </ns0:is>
      </ns0:c>
      <ns0:c r="AP90" s="21" t="inlineStr">
        <ns0:is>
          <ns0:t>Not documented for this recharting</ns0:t>
        </ns0:is>
      </ns0:c>
      <ns0:c r="AQ90" s="21" t="inlineStr">
        <ns0:is>
          <ns0:t>ChatGPT-assisted evidence recharting, 2026-09-08</ns0:t>
        </ns0:is>
      </ns0:c>
      <ns0:c r="AR90" s="21" t="inlineStr">
        <ns0:is>
          <ns0:t>RA</ns0:t>
        </ns0:is>
      </ns0:c>
      <ns0:c r="AS90" s="21" t="inlineStr">
        <ns0:is>
          <ns0:t>Not recorded; historical inclusion retained</ns0:t>
        </ns0:is>
      </ns0:c>
    </ns0:row>
    <ns0:row r="91" ht="50" customHeight="1">
      <ns0:c r="A91" s="19" t="inlineStr">
        <ns0:is>
          <ns0:t>94</ns0:t>
        </ns0:is>
      </ns0:c>
      <ns0:c r="B91" s="19" t="inlineStr">
        <ns0:is>
          <ns0:t>Historical</ns0:t>
        </ns0:is>
      </ns0:c>
      <ns0:c r="C91" s="19" t="inlineStr">
        <ns0:is>
          <ns0:t>Optimizing a de novo artificial intelligence-based medical device under a predetermined change control plan: Improved ability to detect or rule out pediatric autism</ns0:t>
        </ns0:is>
      </ns0:c>
      <ns0:c r="D91" s="19" t="inlineStr">
        <ns0:is>
          <ns0:t>10.1016/j.ibmed.2023.100102</ns0:t>
        </ns0:is>
      </ns0:c>
      <ns0:c r="E91" s="26" t="n">
        <ns0:v>2023</ns0:v>
      </ns0:c>
      <ns0:c r="F91" s="19" t="inlineStr">
        <ns0:is>
          <ns0:t>Include</ns0:t>
        </ns0:is>
      </ns0:c>
      <ns0:c r="G91" s="27">
        <ns0:f>IF(F91="Include",1,0)</ns0:f>
        <ns0:v>1</ns0:v>
      </ns0:c>
      <ns0:c r="H91" s="19" t="inlineStr">
        <ns0:is>
          <ns0:t>Diagnosis</ns0:t>
        </ns0:is>
      </ns0:c>
      <ns0:c r="I91" s="19" t="inlineStr">
        <ns0:is>
          <ns0:t>Not specified</ns0:t>
        </ns0:is>
      </ns0:c>
      <ns0:c r="J91" s="19" t="inlineStr">
        <ns0:is>
          <ns0:t>Not specified</ns0:t>
        </ns0:is>
      </ns0:c>
      <ns0:c r="K91" s="19" t="inlineStr">
        <ns0:is>
          <ns0:t>Device threshold-optimization framework; model family unresolved</ns0:t>
        </ns0:is>
      </ns0:c>
      <ns0:c r="L91" s="19" t="inlineStr">
        <ns0:is>
          <ns0:t>Other specified method</ns0:t>
        </ns0:is>
      </ns0:c>
      <ns0:c r="M91" s="19" t="inlineStr">
        <ns0:is>
          <ns0:t>Proposed only</ns0:t>
        </ns0:is>
      </ns0:c>
      <ns0:c r="N91" s="19" t="inlineStr">
        <ns0:is>
          <ns0:t>Diagnostic decision support</ns0:t>
        </ns0:is>
      </ns0:c>
      <ns0:c r="O91" s="19" t="inlineStr">
        <ns0:is>
          <ns0:t>In-decision</ns0:t>
        </ns0:is>
      </ns0:c>
      <ns0:c r="P91" s="19" t="inlineStr">
        <ns0:is>
          <ns0:t>Not observed in assessed sources</ns0:t>
        </ns0:is>
      </ns0:c>
      <ns0:c r="Q91" s="19" t="inlineStr">
        <ns0:is>
          <ns0:t>Not reported in assessed sources</ns0:t>
        </ns0:is>
      </ns0:c>
      <ns0:c r="R91" s="19" t="inlineStr">
        <ns0:is>
          <ns0:t>Not reported in assessed sources</ns0:t>
        </ns0:is>
      </ns0:c>
      <ns0:c r="S91" s="19" t="inlineStr">
        <ns0:is>
          <ns0:t>Not reported in assessed sources</ns0:t>
        </ns0:is>
      </ns0:c>
      <ns0:c r="T91" s="19" t="inlineStr">
        <ns0:is>
          <ns0:t>Not reported in assessed sources</ns0:t>
        </ns0:is>
      </ns0:c>
      <ns0:c r="U91" s="19" t="inlineStr">
        <ns0:is>
          <ns0:t>Not reported in assessed sources</ns0:t>
        </ns0:is>
      </ns0:c>
      <ns0:c r="V91" s="19" t="inlineStr">
        <ns0:is>
          <ns0:t>Not reported in assessed sources</ns0:t>
        </ns0:is>
      </ns0:c>
      <ns0:c r="W91" s="19" t="inlineStr">
        <ns0:is>
          <ns0:t>Not reported in assessed sources</ns0:t>
        </ns0:is>
      </ns0:c>
      <ns0:c r="X91" s="19" t="inlineStr">
        <ns0:is>
          <ns0:t>Not reported in assessed sources</ns0:t>
        </ns0:is>
      </ns0:c>
      <ns0:c r="Y91" s="19" t="inlineStr">
        <ns0:is>
          <ns0:t>Not ascertainable</ns0:t>
        </ns0:is>
      </ns0:c>
      <ns0:c r="Z91" s="19" t="inlineStr">
        <ns0:is>
          <ns0:t>Not reported in assessed sources</ns0:t>
        </ns0:is>
      </ns0:c>
      <ns0:c r="AA91" s="19" t="inlineStr">
        <ns0:is>
          <ns0:t>Not recorded</ns0:t>
        </ns0:is>
      </ns0:c>
      <ns0:c r="AB91" s="26" t="n">
        <ns0:v>0</ns0:v>
      </ns0:c>
      <ns0:c r="AC91" s="26" t="n">
        <ns0:v>0</ns0:v>
      </ns0:c>
      <ns0:c r="AD91" s="27">
        <ns0:f>IF(AND(G91=1,AB91=0),1,0)</ns0:f>
        <ns0:v>1</ns0:v>
      </ns0:c>
      <ns0:c r="AE91" s="27">
        <ns0:f>IF(AND(AD91=1,AC91=0),1,0)</ns0:f>
        <ns0:v>1</ns0:v>
      </ns0:c>
      <ns0:c r="AF91" s="27">
        <ns0:f>IF(AND(G91=1,H91&lt;&gt;"Not specified"),1,0)</ns0:f>
        <ns0:v>1</ns0:v>
      </ns0:c>
      <ns0:c r="AG91" s="27">
        <ns0:f>IF(AND(AE91=1,AF91=1),1,0)</ns0:f>
        <ns0:v>1</ns0:v>
      </ns0:c>
      <ns0:c r="AH91" s="19" t="inlineStr">
        <ns0:is>
          <ns0:t>Supplied abstract/coding notes; no new full-text verification</ns0:t>
        </ns0:is>
      </ns0:c>
      <ns0:c r="AI91" s="19" t="inlineStr">
        <ns0:is>
          <ns0:t>https://doi.org/10.1016/j.ibmed.2023.100102</ns0:t>
        </ns0:is>
      </ns0:c>
      <ns0:c r="AJ91" s="19" t="inlineStr">
        <ns0:is>
          <ns0:t>EVIDENCIA; original abstract/coding notes and lot source trace; Historical signals: title/abstract/notes; full-text completion not independently established</ns0:t>
        </ns0:is>
      </ns0:c>
      <ns0:c r="AK91" s="19" t="inlineStr">
        <ns0:is>
          <ns0:t>Authorized device algorithm update is not itself evidence of prospective physician use of the new version. Source describes diagnostic threshold optimization, not general screening or an explicit deep architecture.</ns0:t>
        </ns0:is>
      </ns0:c>
      <ns0:c r="AL91" s="19" t="inlineStr">
        <ns0:is>
          <ns0:t>Not applicable</ns0:t>
        </ns0:is>
      </ns0:c>
      <ns0:c r="AM91" s="19" t="inlineStr">
        <ns0:is>
          <ns0:t>Not separately specified</ns0:t>
        </ns0:is>
      </ns0:c>
      <ns0:c r="AN91" s="19" t="inlineStr"/>
      <ns0:c r="AO91" s="19" t="inlineStr">
        <ns0:is>
          <ns0:t>No additional status determination</ns0:t>
        </ns0:is>
      </ns0:c>
      <ns0:c r="AP91" s="19" t="inlineStr">
        <ns0:is>
          <ns0:t>Not documented for this recharting</ns0:t>
        </ns0:is>
      </ns0:c>
      <ns0:c r="AQ91" s="19" t="inlineStr">
        <ns0:is>
          <ns0:t>ChatGPT-assisted evidence recharting, 2026-09-08</ns0:t>
        </ns0:is>
      </ns0:c>
      <ns0:c r="AR91" s="19" t="inlineStr">
        <ns0:is>
          <ns0:t>RA</ns0:t>
        </ns0:is>
      </ns0:c>
      <ns0:c r="AS91" s="19" t="inlineStr">
        <ns0:is>
          <ns0:t>Not recorded; historical inclusion retained</ns0:t>
        </ns0:is>
      </ns0:c>
    </ns0:row>
    <ns0:row r="92" ht="50" customHeight="1">
      <ns0:c r="A92" s="21" t="inlineStr">
        <ns0:is>
          <ns0:t>95</ns0:t>
        </ns0:is>
      </ns0:c>
      <ns0:c r="B92" s="21" t="inlineStr">
        <ns0:is>
          <ns0:t>Historical</ns0:t>
        </ns0:is>
      </ns0:c>
      <ns0:c r="C92" s="21" t="inlineStr">
        <ns0:is>
          <ns0:t>Physician Versus Large Language Model Chatbot Responses to Web-Based Questions From Autistic Patients in Chinese: Cross-Sectional Comparative Analysis</ns0:t>
        </ns0:is>
      </ns0:c>
      <ns0:c r="D92" s="21" t="inlineStr">
        <ns0:is>
          <ns0:t>10.2196/54706</ns0:t>
        </ns0:is>
      </ns0:c>
      <ns0:c r="E92" s="28" t="n">
        <ns0:v>2024</ns0:v>
      </ns0:c>
      <ns0:c r="F92" s="21" t="inlineStr">
        <ns0:is>
          <ns0:t>Include</ns0:t>
        </ns0:is>
      </ns0:c>
      <ns0:c r="G92" s="29">
        <ns0:f>IF(F92="Include",1,0)</ns0:f>
        <ns0:v>1</ns0:v>
      </ns0:c>
      <ns0:c r="H92" s="21" t="inlineStr">
        <ns0:is>
          <ns0:t>Monitoring/intervention</ns0:t>
        </ns0:is>
      </ns0:c>
      <ns0:c r="I92" s="21" t="inlineStr">
        <ns0:is>
          <ns0:t>Deep Learning</ns0:t>
        </ns0:is>
      </ns0:c>
      <ns0:c r="J92" s="21" t="inlineStr">
        <ns0:is>
          <ns0:t>Text/language</ns0:t>
        </ns0:is>
      </ns0:c>
      <ns0:c r="K92" s="21" t="inlineStr">
        <ns0:is>
          <ns0:t>GPT-4 and ERNIE Bot language models</ns0:t>
        </ns0:is>
      </ns0:c>
      <ns0:c r="L92" s="21" t="inlineStr">
        <ns0:is>
          <ns0:t>Transformer</ns0:t>
        </ns0:is>
      </ns0:c>
      <ns0:c r="M92" s="21" t="inlineStr">
        <ns0:is>
          <ns0:t>Research only</ns0:t>
        </ns0:is>
      </ns0:c>
      <ns0:c r="N92" s="21" t="inlineStr">
        <ns0:is>
          <ns0:t>Assistive support</ns0:t>
        </ns0:is>
      </ns0:c>
      <ns0:c r="O92" s="21" t="inlineStr">
        <ns0:is>
          <ns0:t>Not observed in assessed sources</ns0:t>
        </ns0:is>
      </ns0:c>
      <ns0:c r="P92" s="21" t="inlineStr">
        <ns0:is>
          <ns0:t>Not observed in assessed sources</ns0:t>
        </ns0:is>
      </ns0:c>
      <ns0:c r="Q92" s="21" t="inlineStr">
        <ns0:is>
          <ns0:t>Not reported in assessed sources</ns0:t>
        </ns0:is>
      </ns0:c>
      <ns0:c r="R92" s="21" t="inlineStr">
        <ns0:is>
          <ns0:t>Not reported in assessed sources</ns0:t>
        </ns0:is>
      </ns0:c>
      <ns0:c r="S92" s="21" t="inlineStr">
        <ns0:is>
          <ns0:t>Not reported in assessed sources</ns0:t>
        </ns0:is>
      </ns0:c>
      <ns0:c r="T92" s="21" t="inlineStr">
        <ns0:is>
          <ns0:t>Not reported in assessed sources</ns0:t>
        </ns0:is>
      </ns0:c>
      <ns0:c r="U92" s="21" t="inlineStr">
        <ns0:is>
          <ns0:t>Not reported in assessed sources</ns0:t>
        </ns0:is>
      </ns0:c>
      <ns0:c r="V92" s="21" t="inlineStr">
        <ns0:is>
          <ns0:t>Not reported in assessed sources</ns0:t>
        </ns0:is>
      </ns0:c>
      <ns0:c r="W92" s="21" t="inlineStr">
        <ns0:is>
          <ns0:t>Not reported in assessed sources</ns0:t>
        </ns0:is>
      </ns0:c>
      <ns0:c r="X92" s="21" t="inlineStr">
        <ns0:is>
          <ns0:t>Not reported in assessed sources</ns0:t>
        </ns0:is>
      </ns0:c>
      <ns0:c r="Y92" s="21" t="inlineStr">
        <ns0:is>
          <ns0:t>Not ascertainable</ns0:t>
        </ns0:is>
      </ns0:c>
      <ns0:c r="Z92" s="21" t="inlineStr">
        <ns0:is>
          <ns0:t>Not reported in assessed sources</ns0:t>
        </ns0:is>
      </ns0:c>
      <ns0:c r="AA92" s="21" t="inlineStr">
        <ns0:is>
          <ns0:t>Not recorded</ns0:t>
        </ns0:is>
      </ns0:c>
      <ns0:c r="AB92" s="28" t="n">
        <ns0:v>0</ns0:v>
      </ns0:c>
      <ns0:c r="AC92" s="28" t="n">
        <ns0:v>0</ns0:v>
      </ns0:c>
      <ns0:c r="AD92" s="29">
        <ns0:f>IF(AND(G92=1,AB92=0),1,0)</ns0:f>
        <ns0:v>1</ns0:v>
      </ns0:c>
      <ns0:c r="AE92" s="29">
        <ns0:f>IF(AND(AD92=1,AC92=0),1,0)</ns0:f>
        <ns0:v>1</ns0:v>
      </ns0:c>
      <ns0:c r="AF92" s="29">
        <ns0:f>IF(AND(G92=1,H92&lt;&gt;"Not specified"),1,0)</ns0:f>
        <ns0:v>1</ns0:v>
      </ns0:c>
      <ns0:c r="AG92" s="29">
        <ns0:f>IF(AND(AE92=1,AF92=1),1,0)</ns0:f>
        <ns0:v>1</ns0:v>
      </ns0:c>
      <ns0:c r="AH92" s="21" t="inlineStr">
        <ns0:is>
          <ns0:t>Supplied abstract/coding notes; no new full-text verification</ns0:t>
        </ns0:is>
      </ns0:c>
      <ns0:c r="AI92" s="21" t="inlineStr">
        <ns0:is>
          <ns0:t>https://doi.org/10.2196/54706</ns0:t>
        </ns0:is>
      </ns0:c>
      <ns0:c r="AJ92" s="21" t="inlineStr">
        <ns0:is>
          <ns0:t>EVIDENCIA; original abstract/coding notes and lot source trace; Historical signals: title/abstract/notes; full-text completion not independently established</ns0:t>
        </ns0:is>
      </ns0:c>
      <ns0:c r="AK92" s="21" t="inlineStr">
        <ns0:is>
          <ns0:t>Comparison of generated versus physician answers to archived patient questions; no real-time clinical advice delivery or intervention is evaluated.</ns0:t>
        </ns0:is>
      </ns0:c>
      <ns0:c r="AL92" s="21" t="inlineStr">
        <ns0:is>
          <ns0:t>Not applicable</ns0:t>
        </ns0:is>
      </ns0:c>
      <ns0:c r="AM92" s="21" t="inlineStr">
        <ns0:is>
          <ns0:t>Not separately specified</ns0:t>
        </ns0:is>
      </ns0:c>
      <ns0:c r="AN92" s="21" t="inlineStr"/>
      <ns0:c r="AO92" s="21" t="inlineStr">
        <ns0:is>
          <ns0:t>No additional status determination</ns0:t>
        </ns0:is>
      </ns0:c>
      <ns0:c r="AP92" s="21" t="inlineStr">
        <ns0:is>
          <ns0:t>Not documented for this recharting</ns0:t>
        </ns0:is>
      </ns0:c>
      <ns0:c r="AQ92" s="21" t="inlineStr">
        <ns0:is>
          <ns0:t>ChatGPT-assisted evidence recharting, 2026-09-08</ns0:t>
        </ns0:is>
      </ns0:c>
      <ns0:c r="AR92" s="21" t="inlineStr">
        <ns0:is>
          <ns0:t>RA</ns0:t>
        </ns0:is>
      </ns0:c>
      <ns0:c r="AS92" s="21" t="inlineStr">
        <ns0:is>
          <ns0:t>Not recorded; historical inclusion retained</ns0:t>
        </ns0:is>
      </ns0:c>
    </ns0:row>
    <ns0:row r="93" ht="50" customHeight="1">
      <ns0:c r="A93" s="19" t="inlineStr">
        <ns0:is>
          <ns0:t>96</ns0:t>
        </ns0:is>
      </ns0:c>
      <ns0:c r="B93" s="19" t="inlineStr">
        <ns0:is>
          <ns0:t>Historical</ns0:t>
        </ns0:is>
      </ns0:c>
      <ns0:c r="C93" s="19" t="inlineStr">
        <ns0:is>
          <ns0:t>Polychlorinated biphenyls influence on autism spectrum disorder risk in the MARBLES cohort</ns0:t>
        </ns0:is>
      </ns0:c>
      <ns0:c r="D93" s="19" t="inlineStr">
        <ns0:is>
          <ns0:t>10.1016/j.envres.2018.12.061</ns0:t>
        </ns0:is>
      </ns0:c>
      <ns0:c r="E93" s="26" t="n">
        <ns0:v>2019</ns0:v>
      </ns0:c>
      <ns0:c r="F93" s="30" t="inlineStr">
        <ns0:is>
          <ns0:t>Exclude</ns0:t>
        </ns0:is>
      </ns0:c>
      <ns0:c r="G93" s="27">
        <ns0:f>IF(F93="Include",1,0)</ns0:f>
        <ns0:v>0</ns0:v>
      </ns0:c>
      <ns0:c r="H93" s="19" t="inlineStr">
        <ns0:is>
          <ns0:t>Excluded</ns0:t>
        </ns0:is>
      </ns0:c>
      <ns0:c r="I93" s="19" t="inlineStr">
        <ns0:is>
          <ns0:t>Excluded</ns0:t>
        </ns0:is>
      </ns0:c>
      <ns0:c r="J93" s="19" t="inlineStr">
        <ns0:is>
          <ns0:t>Excluded</ns0:t>
        </ns0:is>
      </ns0:c>
      <ns0:c r="K93" s="19" t="inlineStr">
        <ns0:is>
          <ns0:t>Logistic Regression</ns0:t>
        </ns0:is>
      </ns0:c>
      <ns0:c r="L93" s="19" t="inlineStr">
        <ns0:is>
          <ns0:t>Logistic regression</ns0:t>
        </ns0:is>
      </ns0:c>
      <ns0:c r="M93" s="19" t="inlineStr">
        <ns0:is>
          <ns0:t>Excluded</ns0:t>
        </ns0:is>
      </ns0:c>
      <ns0:c r="N93" s="19" t="inlineStr">
        <ns0:is>
          <ns0:t>Excluded</ns0:t>
        </ns0:is>
      </ns0:c>
      <ns0:c r="O93" s="19" t="inlineStr">
        <ns0:is>
          <ns0:t>Not applicable - excluded</ns0:t>
        </ns0:is>
      </ns0:c>
      <ns0:c r="P93" s="19" t="inlineStr">
        <ns0:is>
          <ns0:t>Not applicable - excluded</ns0:t>
        </ns0:is>
      </ns0:c>
      <ns0:c r="Q93" s="19" t="inlineStr">
        <ns0:is>
          <ns0:t>Not reported in assessed sources</ns0:t>
        </ns0:is>
      </ns0:c>
      <ns0:c r="R93" s="19" t="inlineStr">
        <ns0:is>
          <ns0:t>Not ascertainable</ns0:t>
        </ns0:is>
      </ns0:c>
      <ns0:c r="S93" s="19" t="inlineStr">
        <ns0:is>
          <ns0:t>Not reported in assessed sources</ns0:t>
        </ns0:is>
      </ns0:c>
      <ns0:c r="T93" s="19" t="inlineStr">
        <ns0:is>
          <ns0:t>Not reported in assessed sources</ns0:t>
        </ns0:is>
      </ns0:c>
      <ns0:c r="U93" s="19" t="inlineStr">
        <ns0:is>
          <ns0:t>Not reported in assessed sources</ns0:t>
        </ns0:is>
      </ns0:c>
      <ns0:c r="V93" s="19" t="inlineStr">
        <ns0:is>
          <ns0:t>Not reported in assessed sources</ns0:t>
        </ns0:is>
      </ns0:c>
      <ns0:c r="W93" s="19" t="inlineStr">
        <ns0:is>
          <ns0:t>Reported</ns0:t>
        </ns0:is>
      </ns0:c>
      <ns0:c r="X93" s="19" t="inlineStr">
        <ns0:is>
          <ns0:t>Not reported in assessed sources</ns0:t>
        </ns0:is>
      </ns0:c>
      <ns0:c r="Y93" s="19" t="inlineStr">
        <ns0:is>
          <ns0:t>Not ascertainable</ns0:t>
        </ns0:is>
      </ns0:c>
      <ns0:c r="Z93" s="19" t="inlineStr">
        <ns0:is>
          <ns0:t>Not reported in assessed sources</ns0:t>
        </ns0:is>
      </ns0:c>
      <ns0:c r="AA93" s="19" t="inlineStr">
        <ns0:is>
          <ns0:t>Not recorded</ns0:t>
        </ns0:is>
      </ns0:c>
      <ns0:c r="AB93" s="26" t="n">
        <ns0:v>0</ns0:v>
      </ns0:c>
      <ns0:c r="AC93" s="26" t="n">
        <ns0:v>0</ns0:v>
      </ns0:c>
      <ns0:c r="AD93" s="27">
        <ns0:f>IF(AND(G93=1,AB93=0),1,0)</ns0:f>
        <ns0:v>0</ns0:v>
      </ns0:c>
      <ns0:c r="AE93" s="27">
        <ns0:f>IF(AND(AD93=1,AC93=0),1,0)</ns0:f>
        <ns0:v>0</ns0:v>
      </ns0:c>
      <ns0:c r="AF93" s="27">
        <ns0:f>IF(AND(G93=1,H93&lt;&gt;"Not specified"),1,0)</ns0:f>
        <ns0:v>0</ns0:v>
      </ns0:c>
      <ns0:c r="AG93" s="27">
        <ns0:f>IF(AND(AE93=1,AF93=1),1,0)</ns0:f>
        <ns0:v>0</ns0:v>
      </ns0:c>
      <ns0:c r="AH93" s="19" t="inlineStr">
        <ns0:is>
          <ns0:t>Supplied abstract/coding notes; no new full-text verification</ns0:t>
        </ns0:is>
      </ns0:c>
      <ns0:c r="AI93" s="19" t="inlineStr">
        <ns0:is>
          <ns0:t>https://doi.org/10.1016/j.envres.2018.12.061</ns0:t>
        </ns0:is>
      </ns0:c>
      <ns0:c r="AJ93" s="19" t="inlineStr">
        <ns0:is>
          <ns0:t>EVIDENCIA; original abstract/coding notes and lot source trace; Historical signals: title/abstract/notes; full-text completion not independently established</ns0:t>
        </ns0:is>
      </ns0:c>
      <ns0:c r="AK93" s="19" t="inlineStr">
        <ns0:is>
          <ns0:t>Exposure-association epidemiology with multinomial odds ratios. DL denotes dioxin-like PCB, not deep learning; source notes explicitly identify non-ML analysis.</ns0:t>
        </ns0:is>
      </ns0:c>
      <ns0:c r="AL93" s="19" t="inlineStr">
        <ns0:is>
          <ns0:t>EC3 No qualifying AI evaluation</ns0:t>
        </ns0:is>
      </ns0:c>
      <ns0:c r="AM93" s="19" t="inlineStr">
        <ns0:is>
          <ns0:t>Not separately specified</ns0:t>
        </ns0:is>
      </ns0:c>
      <ns0:c r="AN93" s="19" t="inlineStr"/>
      <ns0:c r="AO93" s="19" t="inlineStr">
        <ns0:is>
          <ns0:t>No additional status determination</ns0:t>
        </ns0:is>
      </ns0:c>
      <ns0:c r="AP93" s="19" t="inlineStr">
        <ns0:is>
          <ns0:t>Not documented for this recharting</ns0:t>
        </ns0:is>
      </ns0:c>
      <ns0:c r="AQ93" s="19" t="inlineStr">
        <ns0:is>
          <ns0:t>ChatGPT-assisted evidence recharting, 2026-09-08</ns0:t>
        </ns0:is>
      </ns0:c>
      <ns0:c r="AR93" s="19" t="inlineStr"/>
      <ns0:c r="AS93" s="19" t="inlineStr">
        <ns0:is>
          <ns0:t>Not recorded; historical inclusion retained</ns0:t>
        </ns0:is>
      </ns0:c>
    </ns0:row>
    <ns0:row r="94" ht="50" customHeight="1">
      <ns0:c r="A94" s="21" t="inlineStr">
        <ns0:is>
          <ns0:t>97</ns0:t>
        </ns0:is>
      </ns0:c>
      <ns0:c r="B94" s="21" t="inlineStr">
        <ns0:is>
          <ns0:t>Historical</ns0:t>
        </ns0:is>
      </ns0:c>
      <ns0:c r="C94" s="21" t="inlineStr">
        <ns0:is>
          <ns0:t>Predicting Core Characteristics of ASD Through Facial Emotion Recognition and Eye Tracking in Youth.</ns0:t>
        </ns0:is>
      </ns0:c>
      <ns0:c r="D94" s="21" t="inlineStr">
        <ns0:is>
          <ns0:t>10.1109/embc44109.2020.9176843</ns0:t>
        </ns0:is>
      </ns0:c>
      <ns0:c r="E94" s="28" t="n">
        <ns0:v>2020</ns0:v>
      </ns0:c>
      <ns0:c r="F94" s="21" t="inlineStr">
        <ns0:is>
          <ns0:t>Include</ns0:t>
        </ns0:is>
      </ns0:c>
      <ns0:c r="G94" s="29">
        <ns0:f>IF(F94="Include",1,0)</ns0:f>
        <ns0:v>1</ns0:v>
      </ns0:c>
      <ns0:c r="H94" s="21" t="inlineStr">
        <ns0:is>
          <ns0:t>Diagnosis</ns0:t>
        </ns0:is>
      </ns0:c>
      <ns0:c r="I94" s="21" t="inlineStr">
        <ns0:is>
          <ns0:t>Machine Learning</ns0:t>
        </ns0:is>
      </ns0:c>
      <ns0:c r="J94" s="21" t="inlineStr">
        <ns0:is>
          <ns0:t>Behavioral images/video/gaze/movement</ns0:t>
        </ns0:is>
      </ns0:c>
      <ns0:c r="K94" s="21" t="inlineStr">
        <ns0:is>
          <ns0:t>Random forest regressor</ns0:t>
        </ns0:is>
      </ns0:c>
      <ns0:c r="L94" s="21" t="inlineStr">
        <ns0:is>
          <ns0:t>Random forest</ns0:t>
        </ns0:is>
      </ns0:c>
      <ns0:c r="M94" s="21" t="inlineStr">
        <ns0:is>
          <ns0:t>Research only</ns0:t>
        </ns0:is>
      </ns0:c>
      <ns0:c r="N94" s="21" t="inlineStr">
        <ns0:is>
          <ns0:t>Automated measurement/classification</ns0:t>
        </ns0:is>
      </ns0:c>
      <ns0:c r="O94" s="21" t="inlineStr">
        <ns0:is>
          <ns0:t>Not observed in assessed sources</ns0:t>
        </ns0:is>
      </ns0:c>
      <ns0:c r="P94" s="21" t="inlineStr">
        <ns0:is>
          <ns0:t>Not observed in assessed sources</ns0:t>
        </ns0:is>
      </ns0:c>
      <ns0:c r="Q94" s="21" t="inlineStr">
        <ns0:is>
          <ns0:t>Not reported in assessed sources</ns0:t>
        </ns0:is>
      </ns0:c>
      <ns0:c r="R94" s="21" t="inlineStr">
        <ns0:is>
          <ns0:t>Reported</ns0:t>
        </ns0:is>
      </ns0:c>
      <ns0:c r="S94" s="21" t="inlineStr">
        <ns0:is>
          <ns0:t>Not reported in assessed sources</ns0:t>
        </ns0:is>
      </ns0:c>
      <ns0:c r="T94" s="21" t="inlineStr">
        <ns0:is>
          <ns0:t>Not reported in assessed sources</ns0:t>
        </ns0:is>
      </ns0:c>
      <ns0:c r="U94" s="21" t="inlineStr">
        <ns0:is>
          <ns0:t>Not reported in assessed sources</ns0:t>
        </ns0:is>
      </ns0:c>
      <ns0:c r="V94" s="21" t="inlineStr">
        <ns0:is>
          <ns0:t>Not reported in assessed sources</ns0:t>
        </ns0:is>
      </ns0:c>
      <ns0:c r="W94" s="21" t="inlineStr">
        <ns0:is>
          <ns0:t>Reported</ns0:t>
        </ns0:is>
      </ns0:c>
      <ns0:c r="X94" s="21" t="inlineStr">
        <ns0:is>
          <ns0:t>Not reported in assessed sources</ns0:t>
        </ns0:is>
      </ns0:c>
      <ns0:c r="Y94" s="21" t="inlineStr">
        <ns0:is>
          <ns0:t>Not ascertainable</ns0:t>
        </ns0:is>
      </ns0:c>
      <ns0:c r="Z94" s="21" t="inlineStr">
        <ns0:is>
          <ns0:t>Not reported in assessed sources</ns0:t>
        </ns0:is>
      </ns0:c>
      <ns0:c r="AA94" s="21" t="inlineStr">
        <ns0:is>
          <ns0:t>Not recorded</ns0:t>
        </ns0:is>
      </ns0:c>
      <ns0:c r="AB94" s="28" t="n">
        <ns0:v>0</ns0:v>
      </ns0:c>
      <ns0:c r="AC94" s="28" t="n">
        <ns0:v>0</ns0:v>
      </ns0:c>
      <ns0:c r="AD94" s="29">
        <ns0:f>IF(AND(G94=1,AB94=0),1,0)</ns0:f>
        <ns0:v>1</ns0:v>
      </ns0:c>
      <ns0:c r="AE94" s="29">
        <ns0:f>IF(AND(AD94=1,AC94=0),1,0)</ns0:f>
        <ns0:v>1</ns0:v>
      </ns0:c>
      <ns0:c r="AF94" s="29">
        <ns0:f>IF(AND(G94=1,H94&lt;&gt;"Not specified"),1,0)</ns0:f>
        <ns0:v>1</ns0:v>
      </ns0:c>
      <ns0:c r="AG94" s="29">
        <ns0:f>IF(AND(AE94=1,AF94=1),1,0)</ns0:f>
        <ns0:v>1</ns0:v>
      </ns0:c>
      <ns0:c r="AH94" s="21" t="inlineStr">
        <ns0:is>
          <ns0:t>Supplied abstract/coding notes; no new full-text verification</ns0:t>
        </ns0:is>
      </ns0:c>
      <ns0:c r="AI94" s="21" t="inlineStr">
        <ns0:is>
          <ns0:t>https://doi.org/10.1109/embc44109.2020.9176843</ns0:t>
        </ns0:is>
      </ns0:c>
      <ns0:c r="AJ94" s="21" t="inlineStr">
        <ns0:is>
          <ns0:t>EVIDENCIA; original abstract/coding notes and lot source trace; Historical signals: title/abstract/notes; full-text completion not independently established</ns0:t>
        </ns0:is>
      </ns0:c>
      <ns0:c r="AK94" s="21" t="inlineStr">
        <ns0:is>
          <ns0:t>Predicts contemporaneous SRS-2/RBS-R scores from emotion-task performance and eye tracking; diagnostic characterization, not a longitudinal prognostic endpoint.</ns0:t>
        </ns0:is>
      </ns0:c>
      <ns0:c r="AL94" s="21" t="inlineStr">
        <ns0:is>
          <ns0:t>Not applicable</ns0:t>
        </ns0:is>
      </ns0:c>
      <ns0:c r="AM94" s="21" t="inlineStr">
        <ns0:is>
          <ns0:t>Not separately specified</ns0:t>
        </ns0:is>
      </ns0:c>
      <ns0:c r="AN94" s="21" t="inlineStr"/>
      <ns0:c r="AO94" s="21" t="inlineStr">
        <ns0:is>
          <ns0:t>No additional status determination</ns0:t>
        </ns0:is>
      </ns0:c>
      <ns0:c r="AP94" s="21" t="inlineStr">
        <ns0:is>
          <ns0:t>Not documented for this recharting</ns0:t>
        </ns0:is>
      </ns0:c>
      <ns0:c r="AQ94" s="21" t="inlineStr">
        <ns0:is>
          <ns0:t>ChatGPT-assisted evidence recharting, 2026-09-08</ns0:t>
        </ns0:is>
      </ns0:c>
      <ns0:c r="AR94" s="21" t="inlineStr"/>
      <ns0:c r="AS94" s="21" t="inlineStr">
        <ns0:is>
          <ns0:t>Not recorded; historical inclusion retained</ns0:t>
        </ns0:is>
      </ns0:c>
    </ns0:row>
    <ns0:row r="95" ht="50" customHeight="1">
      <ns0:c r="A95" s="19" t="inlineStr">
        <ns0:is>
          <ns0:t>98</ns0:t>
        </ns0:is>
      </ns0:c>
      <ns0:c r="B95" s="19" t="inlineStr">
        <ns0:is>
          <ns0:t>Historical</ns0:t>
        </ns0:is>
      </ns0:c>
      <ns0:c r="C95" s="19" t="inlineStr">
        <ns0:is>
          <ns0:t>Self-supervised machine learning approach for autism detection in young children using MEG signals</ns0:t>
        </ns0:is>
      </ns0:c>
      <ns0:c r="D95" s="19" t="inlineStr">
        <ns0:is>
          <ns0:t>10.1016/j.bspc.2024.106671</ns0:t>
        </ns0:is>
      </ns0:c>
      <ns0:c r="E95" s="26" t="n">
        <ns0:v>2024</ns0:v>
      </ns0:c>
      <ns0:c r="F95" s="19" t="inlineStr">
        <ns0:is>
          <ns0:t>Include</ns0:t>
        </ns0:is>
      </ns0:c>
      <ns0:c r="G95" s="27">
        <ns0:f>IF(F95="Include",1,0)</ns0:f>
        <ns0:v>1</ns0:v>
      </ns0:c>
      <ns0:c r="H95" s="19" t="inlineStr">
        <ns0:is>
          <ns0:t>Diagnosis</ns0:t>
        </ns0:is>
      </ns0:c>
      <ns0:c r="I95" s="19" t="inlineStr">
        <ns0:is>
          <ns0:t>Deep Learning</ns0:t>
        </ns0:is>
      </ns0:c>
      <ns0:c r="J95" s="19" t="inlineStr">
        <ns0:is>
          <ns0:t>Physiological signals</ns0:t>
        </ns0:is>
      </ns0:c>
      <ns0:c r="K95" s="19" t="inlineStr">
        <ns0:is>
          <ns0:t>wav2vec 2.0 transformer embeddings with ANN</ns0:t>
        </ns0:is>
      </ns0:c>
      <ns0:c r="L95" s="19" t="inlineStr">
        <ns0:is>
          <ns0:t>Composite/ensemble pipeline</ns0:t>
        </ns0:is>
      </ns0:c>
      <ns0:c r="M95" s="19" t="inlineStr">
        <ns0:is>
          <ns0:t>Research only</ns0:t>
        </ns0:is>
      </ns0:c>
      <ns0:c r="N95" s="19" t="inlineStr">
        <ns0:is>
          <ns0:t>Automated measurement/classification</ns0:t>
        </ns0:is>
      </ns0:c>
      <ns0:c r="O95" s="19" t="inlineStr">
        <ns0:is>
          <ns0:t>Not observed in assessed sources</ns0:t>
        </ns0:is>
      </ns0:c>
      <ns0:c r="P95" s="19" t="inlineStr">
        <ns0:is>
          <ns0:t>Not observed in assessed sources</ns0:t>
        </ns0:is>
      </ns0:c>
      <ns0:c r="Q95" s="19" t="inlineStr">
        <ns0:is>
          <ns0:t>Not reported in assessed sources</ns0:t>
        </ns0:is>
      </ns0:c>
      <ns0:c r="R95" s="19" t="inlineStr">
        <ns0:is>
          <ns0:t>Not reported in assessed sources</ns0:t>
        </ns0:is>
      </ns0:c>
      <ns0:c r="S95" s="19" t="inlineStr">
        <ns0:is>
          <ns0:t>Not reported in assessed sources</ns0:t>
        </ns0:is>
      </ns0:c>
      <ns0:c r="T95" s="19" t="inlineStr">
        <ns0:is>
          <ns0:t>Not reported in assessed sources</ns0:t>
        </ns0:is>
      </ns0:c>
      <ns0:c r="U95" s="19" t="inlineStr">
        <ns0:is>
          <ns0:t>Not reported in assessed sources</ns0:t>
        </ns0:is>
      </ns0:c>
      <ns0:c r="V95" s="19" t="inlineStr">
        <ns0:is>
          <ns0:t>Not reported in assessed sources</ns0:t>
        </ns0:is>
      </ns0:c>
      <ns0:c r="W95" s="19" t="inlineStr">
        <ns0:is>
          <ns0:t>Not reported in assessed sources</ns0:t>
        </ns0:is>
      </ns0:c>
      <ns0:c r="X95" s="19" t="inlineStr">
        <ns0:is>
          <ns0:t>Not reported in assessed sources</ns0:t>
        </ns0:is>
      </ns0:c>
      <ns0:c r="Y95" s="19" t="inlineStr">
        <ns0:is>
          <ns0:t>Not ascertainable</ns0:t>
        </ns0:is>
      </ns0:c>
      <ns0:c r="Z95" s="19" t="inlineStr">
        <ns0:is>
          <ns0:t>Not reported in assessed sources</ns0:t>
        </ns0:is>
      </ns0:c>
      <ns0:c r="AA95" s="19" t="inlineStr">
        <ns0:is>
          <ns0:t>Not recorded</ns0:t>
        </ns0:is>
      </ns0:c>
      <ns0:c r="AB95" s="26" t="n">
        <ns0:v>0</ns0:v>
      </ns0:c>
      <ns0:c r="AC95" s="26" t="n">
        <ns0:v>0</ns0:v>
      </ns0:c>
      <ns0:c r="AD95" s="27">
        <ns0:f>IF(AND(G95=1,AB95=0),1,0)</ns0:f>
        <ns0:v>1</ns0:v>
      </ns0:c>
      <ns0:c r="AE95" s="27">
        <ns0:f>IF(AND(AD95=1,AC95=0),1,0)</ns0:f>
        <ns0:v>1</ns0:v>
      </ns0:c>
      <ns0:c r="AF95" s="27">
        <ns0:f>IF(AND(G95=1,H95&lt;&gt;"Not specified"),1,0)</ns0:f>
        <ns0:v>1</ns0:v>
      </ns0:c>
      <ns0:c r="AG95" s="27">
        <ns0:f>IF(AND(AE95=1,AF95=1),1,0)</ns0:f>
        <ns0:v>1</ns0:v>
      </ns0:c>
      <ns0:c r="AH95" s="19" t="inlineStr">
        <ns0:is>
          <ns0:t>Supplied abstract/coding notes; no new full-text verification</ns0:t>
        </ns0:is>
      </ns0:c>
      <ns0:c r="AI95" s="19" t="inlineStr">
        <ns0:is>
          <ns0:t>https://doi.org/10.1016/j.bspc.2024.106671</ns0:t>
        </ns0:is>
      </ns0:c>
      <ns0:c r="AJ95" s="19" t="inlineStr">
        <ns0:is>
          <ns0:t>EVIDENCIA; original abstract/coding notes and lot source trace; Historical signals: title/abstract/notes; full-text completion not independently established</ns0:t>
        </ns0:is>
      </ns0:c>
      <ns0:c r="AK95" s="19" t="inlineStr">
        <ns0:is>
          <ns0:t>MEG remains the input despite speech pretraining; best reported classifier is neural. An alternative SVM branch is documented but not substituted for the principal pipeline.</ns0:t>
        </ns0:is>
      </ns0:c>
      <ns0:c r="AL95" s="19" t="inlineStr">
        <ns0:is>
          <ns0:t>Not applicable</ns0:t>
        </ns0:is>
      </ns0:c>
      <ns0:c r="AM95" s="19" t="inlineStr">
        <ns0:is>
          <ns0:t>Not separately specified</ns0:t>
        </ns0:is>
      </ns0:c>
      <ns0:c r="AN95" s="19" t="inlineStr"/>
      <ns0:c r="AO95" s="19" t="inlineStr">
        <ns0:is>
          <ns0:t>No additional status determination</ns0:t>
        </ns0:is>
      </ns0:c>
      <ns0:c r="AP95" s="19" t="inlineStr">
        <ns0:is>
          <ns0:t>Not documented for this recharting</ns0:t>
        </ns0:is>
      </ns0:c>
      <ns0:c r="AQ95" s="19" t="inlineStr">
        <ns0:is>
          <ns0:t>ChatGPT-assisted evidence recharting, 2026-09-08</ns0:t>
        </ns0:is>
      </ns0:c>
      <ns0:c r="AR95" s="19" t="inlineStr">
        <ns0:is>
          <ns0:t>RA</ns0:t>
        </ns0:is>
      </ns0:c>
      <ns0:c r="AS95" s="19" t="inlineStr">
        <ns0:is>
          <ns0:t>Not recorded; historical inclusion retained</ns0:t>
        </ns0:is>
      </ns0:c>
    </ns0:row>
    <ns0:row r="96" ht="50" customHeight="1">
      <ns0:c r="A96" s="21" t="inlineStr">
        <ns0:is>
          <ns0:t>99</ns0:t>
        </ns0:is>
      </ns0:c>
      <ns0:c r="B96" s="21" t="inlineStr">
        <ns0:is>
          <ns0:t>Historical</ns0:t>
        </ns0:is>
      </ns0:c>
      <ns0:c r="C96" s="21" t="inlineStr">
        <ns0:is>
          <ns0:t>Serum Brain-derived neurotrophic factor levels in Chinese children with autism spectrum disorders: A pilot study</ns0:t>
        </ns0:is>
      </ns0:c>
      <ns0:c r="D96" s="21" t="inlineStr">
        <ns0:is>
          <ns0:t>10.1016/j.ijdevneu.2014.06.013</ns0:t>
        </ns0:is>
      </ns0:c>
      <ns0:c r="E96" s="28" t="n">
        <ns0:v>2014</ns0:v>
      </ns0:c>
      <ns0:c r="F96" s="30" t="inlineStr">
        <ns0:is>
          <ns0:t>Exclude</ns0:t>
        </ns0:is>
      </ns0:c>
      <ns0:c r="G96" s="29">
        <ns0:f>IF(F96="Include",1,0)</ns0:f>
        <ns0:v>0</ns0:v>
      </ns0:c>
      <ns0:c r="H96" s="21" t="inlineStr">
        <ns0:is>
          <ns0:t>Excluded</ns0:t>
        </ns0:is>
      </ns0:c>
      <ns0:c r="I96" s="21" t="inlineStr">
        <ns0:is>
          <ns0:t>Excluded</ns0:t>
        </ns0:is>
      </ns0:c>
      <ns0:c r="J96" s="21" t="inlineStr">
        <ns0:is>
          <ns0:t>Excluded</ns0:t>
        </ns0:is>
      </ns0:c>
      <ns0:c r="K96" s="21" t="inlineStr">
        <ns0:is>
          <ns0:t>Other / Not clear</ns0:t>
        </ns0:is>
      </ns0:c>
      <ns0:c r="L96" s="21" t="inlineStr">
        <ns0:is>
          <ns0:t>Other specified method</ns0:t>
        </ns0:is>
      </ns0:c>
      <ns0:c r="M96" s="21" t="inlineStr">
        <ns0:is>
          <ns0:t>Excluded</ns0:t>
        </ns0:is>
      </ns0:c>
      <ns0:c r="N96" s="21" t="inlineStr">
        <ns0:is>
          <ns0:t>Excluded</ns0:t>
        </ns0:is>
      </ns0:c>
      <ns0:c r="O96" s="21" t="inlineStr">
        <ns0:is>
          <ns0:t>Not applicable - excluded</ns0:t>
        </ns0:is>
      </ns0:c>
      <ns0:c r="P96" s="21" t="inlineStr">
        <ns0:is>
          <ns0:t>Not applicable - excluded</ns0:t>
        </ns0:is>
      </ns0:c>
      <ns0:c r="Q96" s="21" t="inlineStr">
        <ns0:is>
          <ns0:t>Not reported in assessed sources</ns0:t>
        </ns0:is>
      </ns0:c>
      <ns0:c r="R96" s="21" t="inlineStr">
        <ns0:is>
          <ns0:t>Not reported in assessed sources</ns0:t>
        </ns0:is>
      </ns0:c>
      <ns0:c r="S96" s="21" t="inlineStr">
        <ns0:is>
          <ns0:t>Not reported in assessed sources</ns0:t>
        </ns0:is>
      </ns0:c>
      <ns0:c r="T96" s="21" t="inlineStr">
        <ns0:is>
          <ns0:t>Not reported in assessed sources</ns0:t>
        </ns0:is>
      </ns0:c>
      <ns0:c r="U96" s="21" t="inlineStr">
        <ns0:is>
          <ns0:t>Not reported in assessed sources</ns0:t>
        </ns0:is>
      </ns0:c>
      <ns0:c r="V96" s="21" t="inlineStr">
        <ns0:is>
          <ns0:t>Not reported in assessed sources</ns0:t>
        </ns0:is>
      </ns0:c>
      <ns0:c r="W96" s="21" t="inlineStr">
        <ns0:is>
          <ns0:t>Not reported in assessed sources</ns0:t>
        </ns0:is>
      </ns0:c>
      <ns0:c r="X96" s="21" t="inlineStr">
        <ns0:is>
          <ns0:t>Not reported in assessed sources</ns0:t>
        </ns0:is>
      </ns0:c>
      <ns0:c r="Y96" s="21" t="inlineStr">
        <ns0:is>
          <ns0:t>Not ascertainable</ns0:t>
        </ns0:is>
      </ns0:c>
      <ns0:c r="Z96" s="21" t="inlineStr">
        <ns0:is>
          <ns0:t>Not reported in assessed sources</ns0:t>
        </ns0:is>
      </ns0:c>
      <ns0:c r="AA96" s="21" t="inlineStr">
        <ns0:is>
          <ns0:t>Not recorded</ns0:t>
        </ns0:is>
      </ns0:c>
      <ns0:c r="AB96" s="28" t="n">
        <ns0:v>0</ns0:v>
      </ns0:c>
      <ns0:c r="AC96" s="28" t="n">
        <ns0:v>0</ns0:v>
      </ns0:c>
      <ns0:c r="AD96" s="29">
        <ns0:f>IF(AND(G96=1,AB96=0),1,0)</ns0:f>
        <ns0:v>0</ns0:v>
      </ns0:c>
      <ns0:c r="AE96" s="29">
        <ns0:f>IF(AND(AD96=1,AC96=0),1,0)</ns0:f>
        <ns0:v>0</ns0:v>
      </ns0:c>
      <ns0:c r="AF96" s="29">
        <ns0:f>IF(AND(G96=1,H96&lt;&gt;"Not specified"),1,0)</ns0:f>
        <ns0:v>0</ns0:v>
      </ns0:c>
      <ns0:c r="AG96" s="29">
        <ns0:f>IF(AND(AE96=1,AF96=1),1,0)</ns0:f>
        <ns0:v>0</ns0:v>
      </ns0:c>
      <ns0:c r="AH96" s="21" t="inlineStr">
        <ns0:is>
          <ns0:t>Supplied abstract/coding notes; no new full-text verification</ns0:t>
        </ns0:is>
      </ns0:c>
      <ns0:c r="AI96" s="21" t="inlineStr">
        <ns0:is>
          <ns0:t>https://doi.org/10.1016/j.ijdevneu.2014.06.013</ns0:t>
        </ns0:is>
      </ns0:c>
      <ns0:c r="AJ96" s="21" t="inlineStr">
        <ns0:is>
          <ns0:t>EVIDENCIA; original abstract/coding notes and lot source trace; Historical signals: title/abstract/notes; full-text completion not independently established</ns0:t>
        </ns0:is>
      </ns0:c>
      <ns0:c r="AK96" s="21" t="inlineStr">
        <ns0:is>
          <ns0:t>Serum BDNF association and ROC threshold analysis; no AI model is described and the prior RQ2 adjudication explicitly found no AI/ML system.</ns0:t>
        </ns0:is>
      </ns0:c>
      <ns0:c r="AL96" s="21" t="inlineStr">
        <ns0:is>
          <ns0:t>EC3 No qualifying AI evaluation</ns0:t>
        </ns0:is>
      </ns0:c>
      <ns0:c r="AM96" s="21" t="inlineStr">
        <ns0:is>
          <ns0:t>Not separately specified</ns0:t>
        </ns0:is>
      </ns0:c>
      <ns0:c r="AN96" s="21" t="inlineStr"/>
      <ns0:c r="AO96" s="21" t="inlineStr">
        <ns0:is>
          <ns0:t>No additional status determination</ns0:t>
        </ns0:is>
      </ns0:c>
      <ns0:c r="AP96" s="21" t="inlineStr">
        <ns0:is>
          <ns0:t>Not documented for this recharting</ns0:t>
        </ns0:is>
      </ns0:c>
      <ns0:c r="AQ96" s="21" t="inlineStr">
        <ns0:is>
          <ns0:t>ChatGPT-assisted evidence recharting, 2026-09-08</ns0:t>
        </ns0:is>
      </ns0:c>
      <ns0:c r="AR96" s="21" t="inlineStr">
        <ns0:is>
          <ns0:t>RA</ns0:t>
        </ns0:is>
      </ns0:c>
      <ns0:c r="AS96" s="21" t="inlineStr">
        <ns0:is>
          <ns0:t>Not recorded; historical inclusion retained</ns0:t>
        </ns0:is>
      </ns0:c>
    </ns0:row>
    <ns0:row r="97" ht="50" customHeight="1">
      <ns0:c r="A97" s="19" t="inlineStr">
        <ns0:is>
          <ns0:t>100</ns0:t>
        </ns0:is>
      </ns0:c>
      <ns0:c r="B97" s="19" t="inlineStr">
        <ns0:is>
          <ns0:t>Historical</ns0:t>
        </ns0:is>
      </ns0:c>
      <ns0:c r="C97" s="19" t="inlineStr">
        <ns0:is>
          <ns0:t>Sex Differences in Functional Gradients and Dynamic Functional Connectivity in Preschool-Aged Children With ASD</ns0:t>
        </ns0:is>
      </ns0:c>
      <ns0:c r="D97" s="19" t="inlineStr">
        <ns0:is>
          <ns0:t>10.1111/cns.70562</ns0:t>
        </ns0:is>
      </ns0:c>
      <ns0:c r="E97" s="26" t="n">
        <ns0:v>2025</ns0:v>
      </ns0:c>
      <ns0:c r="F97" s="19" t="inlineStr">
        <ns0:is>
          <ns0:t>Include</ns0:t>
        </ns0:is>
      </ns0:c>
      <ns0:c r="G97" s="27">
        <ns0:f>IF(F97="Include",1,0)</ns0:f>
        <ns0:v>1</ns0:v>
      </ns0:c>
      <ns0:c r="H97" s="19" t="inlineStr">
        <ns0:is>
          <ns0:t>Diagnosis</ns0:t>
        </ns0:is>
      </ns0:c>
      <ns0:c r="I97" s="19" t="inlineStr">
        <ns0:is>
          <ns0:t>Machine Learning</ns0:t>
        </ns0:is>
      </ns0:c>
      <ns0:c r="J97" s="19" t="inlineStr">
        <ns0:is>
          <ns0:t>Neuroimaging</ns0:t>
        </ns0:is>
      </ns0:c>
      <ns0:c r="K97" s="19" t="inlineStr">
        <ns0:is>
          <ns0:t>Multiple classifiers; principal family unresolved</ns0:t>
        </ns0:is>
      </ns0:c>
      <ns0:c r="L97" s="19" t="inlineStr">
        <ns0:is>
          <ns0:t>Multiple/not uniquely specified</ns0:t>
        </ns0:is>
      </ns0:c>
      <ns0:c r="M97" s="19" t="inlineStr">
        <ns0:is>
          <ns0:t>Research only</ns0:t>
        </ns0:is>
      </ns0:c>
      <ns0:c r="N97" s="19" t="inlineStr">
        <ns0:is>
          <ns0:t>Automated measurement/classification</ns0:t>
        </ns0:is>
      </ns0:c>
      <ns0:c r="O97" s="19" t="inlineStr">
        <ns0:is>
          <ns0:t>Not observed in assessed sources</ns0:t>
        </ns0:is>
      </ns0:c>
      <ns0:c r="P97" s="19" t="inlineStr">
        <ns0:is>
          <ns0:t>Not observed in assessed sources</ns0:t>
        </ns0:is>
      </ns0:c>
      <ns0:c r="Q97" s="19" t="inlineStr">
        <ns0:is>
          <ns0:t>Not reported in assessed sources</ns0:t>
        </ns0:is>
      </ns0:c>
      <ns0:c r="R97" s="19" t="inlineStr">
        <ns0:is>
          <ns0:t>Not reported in assessed sources</ns0:t>
        </ns0:is>
      </ns0:c>
      <ns0:c r="S97" s="19" t="inlineStr">
        <ns0:is>
          <ns0:t>Not reported in assessed sources</ns0:t>
        </ns0:is>
      </ns0:c>
      <ns0:c r="T97" s="19" t="inlineStr">
        <ns0:is>
          <ns0:t>Not reported in assessed sources</ns0:t>
        </ns0:is>
      </ns0:c>
      <ns0:c r="U97" s="19" t="inlineStr">
        <ns0:is>
          <ns0:t>Not reported in assessed sources</ns0:t>
        </ns0:is>
      </ns0:c>
      <ns0:c r="V97" s="19" t="inlineStr">
        <ns0:is>
          <ns0:t>Not reported in assessed sources</ns0:t>
        </ns0:is>
      </ns0:c>
      <ns0:c r="W97" s="19" t="inlineStr">
        <ns0:is>
          <ns0:t>Not reported in assessed sources</ns0:t>
        </ns0:is>
      </ns0:c>
      <ns0:c r="X97" s="19" t="inlineStr">
        <ns0:is>
          <ns0:t>Not reported in assessed sources</ns0:t>
        </ns0:is>
      </ns0:c>
      <ns0:c r="Y97" s="19" t="inlineStr">
        <ns0:is>
          <ns0:t>Not ascertainable</ns0:t>
        </ns0:is>
      </ns0:c>
      <ns0:c r="Z97" s="19" t="inlineStr">
        <ns0:is>
          <ns0:t>Not reported in assessed sources</ns0:t>
        </ns0:is>
      </ns0:c>
      <ns0:c r="AA97" s="19" t="inlineStr">
        <ns0:is>
          <ns0:t>Not recorded</ns0:t>
        </ns0:is>
      </ns0:c>
      <ns0:c r="AB97" s="26" t="n">
        <ns0:v>0</ns0:v>
      </ns0:c>
      <ns0:c r="AC97" s="26" t="n">
        <ns0:v>0</ns0:v>
      </ns0:c>
      <ns0:c r="AD97" s="27">
        <ns0:f>IF(AND(G97=1,AB97=0),1,0)</ns0:f>
        <ns0:v>1</ns0:v>
      </ns0:c>
      <ns0:c r="AE97" s="27">
        <ns0:f>IF(AND(AD97=1,AC97=0),1,0)</ns0:f>
        <ns0:v>1</ns0:v>
      </ns0:c>
      <ns0:c r="AF97" s="27">
        <ns0:f>IF(AND(G97=1,H97&lt;&gt;"Not specified"),1,0)</ns0:f>
        <ns0:v>1</ns0:v>
      </ns0:c>
      <ns0:c r="AG97" s="27">
        <ns0:f>IF(AND(AE97=1,AF97=1),1,0)</ns0:f>
        <ns0:v>1</ns0:v>
      </ns0:c>
      <ns0:c r="AH97" s="19" t="inlineStr">
        <ns0:is>
          <ns0:t>Supplied abstract/coding notes; no new full-text verification</ns0:t>
        </ns0:is>
      </ns0:c>
      <ns0:c r="AI97" s="19" t="inlineStr">
        <ns0:is>
          <ns0:t>https://doi.org/10.1111/cns.70562</ns0:t>
        </ns0:is>
      </ns0:c>
      <ns0:c r="AJ97" s="19" t="inlineStr">
        <ns0:is>
          <ns0:t>EVIDENCIA; original abstract/coding notes and lot source trace; Historical signals: title/abstract/notes; full-text completion not independently established</ns0:t>
        </ns0:is>
      </ns0:c>
      <ns0:c r="AK97" s="19" t="inlineStr">
        <ns0:is>
          <ns0:t>Functional-gradient and dynamic-connectivity MRI features classify ASD versus TD; no deep classifier is specified in the accessible abstract.</ns0:t>
        </ns0:is>
      </ns0:c>
      <ns0:c r="AL97" s="19" t="inlineStr">
        <ns0:is>
          <ns0:t>Not applicable</ns0:t>
        </ns0:is>
      </ns0:c>
      <ns0:c r="AM97" s="19" t="inlineStr">
        <ns0:is>
          <ns0:t>Not separately specified</ns0:t>
        </ns0:is>
      </ns0:c>
      <ns0:c r="AN97" s="19" t="inlineStr"/>
      <ns0:c r="AO97" s="19" t="inlineStr">
        <ns0:is>
          <ns0:t>No additional status determination</ns0:t>
        </ns0:is>
      </ns0:c>
      <ns0:c r="AP97" s="19" t="inlineStr">
        <ns0:is>
          <ns0:t>Not documented for this recharting</ns0:t>
        </ns0:is>
      </ns0:c>
      <ns0:c r="AQ97" s="19" t="inlineStr">
        <ns0:is>
          <ns0:t>ChatGPT-assisted evidence recharting, 2026-09-08</ns0:t>
        </ns0:is>
      </ns0:c>
      <ns0:c r="AR97" s="19" t="inlineStr">
        <ns0:is>
          <ns0:t>RA</ns0:t>
        </ns0:is>
      </ns0:c>
      <ns0:c r="AS97" s="19" t="inlineStr">
        <ns0:is>
          <ns0:t>Not recorded; historical inclusion retained</ns0:t>
        </ns0:is>
      </ns0:c>
    </ns0:row>
    <ns0:row r="98" ht="50" customHeight="1">
      <ns0:c r="A98" s="21" t="inlineStr">
        <ns0:is>
          <ns0:t>102</ns0:t>
        </ns0:is>
      </ns0:c>
      <ns0:c r="B98" s="21" t="inlineStr">
        <ns0:is>
          <ns0:t>Historical</ns0:t>
        </ns0:is>
      </ns0:c>
      <ns0:c r="C98" s="21" t="inlineStr">
        <ns0:is>
          <ns0:t>Toward continuous social phenotyping: Analyzing gaze patterns in an emotion recognition task for children with autism through wearable smart glasses</ns0:t>
        </ns0:is>
      </ns0:c>
      <ns0:c r="D98" s="21" t="inlineStr">
        <ns0:is>
          <ns0:t>10.2196/13810</ns0:t>
        </ns0:is>
      </ns0:c>
      <ns0:c r="E98" s="28" t="n">
        <ns0:v>2020</ns0:v>
      </ns0:c>
      <ns0:c r="F98" s="21" t="inlineStr">
        <ns0:is>
          <ns0:t>Include</ns0:t>
        </ns0:is>
      </ns0:c>
      <ns0:c r="G98" s="29">
        <ns0:f>IF(F98="Include",1,0)</ns0:f>
        <ns0:v>1</ns0:v>
      </ns0:c>
      <ns0:c r="H98" s="21" t="inlineStr">
        <ns0:is>
          <ns0:t>Screening</ns0:t>
        </ns0:is>
      </ns0:c>
      <ns0:c r="I98" s="21" t="inlineStr">
        <ns0:is>
          <ns0:t>Machine Learning</ns0:t>
        </ns0:is>
      </ns0:c>
      <ns0:c r="J98" s="21" t="inlineStr">
        <ns0:is>
          <ns0:t>Behavioral images/video/gaze/movement</ns0:t>
        </ns0:is>
      </ns0:c>
      <ns0:c r="K98" s="21" t="inlineStr">
        <ns0:is>
          <ns0:t>Gaze and emotion-response classifier; family unresolved</ns0:t>
        </ns0:is>
      </ns0:c>
      <ns0:c r="L98" s="21" t="inlineStr">
        <ns0:is>
          <ns0:t>Other specified method</ns0:t>
        </ns0:is>
      </ns0:c>
      <ns0:c r="M98" s="21" t="inlineStr">
        <ns0:is>
          <ns0:t>Research only</ns0:t>
        </ns0:is>
      </ns0:c>
      <ns0:c r="N98" s="21" t="inlineStr">
        <ns0:is>
          <ns0:t>Automated measurement/classification</ns0:t>
        </ns0:is>
      </ns0:c>
      <ns0:c r="O98" s="21" t="inlineStr">
        <ns0:is>
          <ns0:t>Not observed in assessed sources</ns0:t>
        </ns0:is>
      </ns0:c>
      <ns0:c r="P98" s="21" t="inlineStr">
        <ns0:is>
          <ns0:t>Not observed in assessed sources</ns0:t>
        </ns0:is>
      </ns0:c>
      <ns0:c r="Q98" s="21" t="inlineStr">
        <ns0:is>
          <ns0:t>Not reported in assessed sources</ns0:t>
        </ns0:is>
      </ns0:c>
      <ns0:c r="R98" s="21" t="inlineStr">
        <ns0:is>
          <ns0:t>Reported</ns0:t>
        </ns0:is>
      </ns0:c>
      <ns0:c r="S98" s="21" t="inlineStr">
        <ns0:is>
          <ns0:t>Not reported in assessed sources</ns0:t>
        </ns0:is>
      </ns0:c>
      <ns0:c r="T98" s="21" t="inlineStr">
        <ns0:is>
          <ns0:t>Not reported in assessed sources</ns0:t>
        </ns0:is>
      </ns0:c>
      <ns0:c r="U98" s="21" t="inlineStr">
        <ns0:is>
          <ns0:t>Not reported in assessed sources</ns0:t>
        </ns0:is>
      </ns0:c>
      <ns0:c r="V98" s="21" t="inlineStr">
        <ns0:is>
          <ns0:t>Not reported in assessed sources</ns0:t>
        </ns0:is>
      </ns0:c>
      <ns0:c r="W98" s="21" t="inlineStr">
        <ns0:is>
          <ns0:t>Reported</ns0:t>
        </ns0:is>
      </ns0:c>
      <ns0:c r="X98" s="21" t="inlineStr">
        <ns0:is>
          <ns0:t>Not reported in assessed sources</ns0:t>
        </ns0:is>
      </ns0:c>
      <ns0:c r="Y98" s="21" t="inlineStr">
        <ns0:is>
          <ns0:t>Not ascertainable</ns0:t>
        </ns0:is>
      </ns0:c>
      <ns0:c r="Z98" s="21" t="inlineStr">
        <ns0:is>
          <ns0:t>Not reported in assessed sources</ns0:t>
        </ns0:is>
      </ns0:c>
      <ns0:c r="AA98" s="21" t="inlineStr">
        <ns0:is>
          <ns0:t>Not recorded</ns0:t>
        </ns0:is>
      </ns0:c>
      <ns0:c r="AB98" s="28" t="n">
        <ns0:v>0</ns0:v>
      </ns0:c>
      <ns0:c r="AC98" s="28" t="n">
        <ns0:v>0</ns0:v>
      </ns0:c>
      <ns0:c r="AD98" s="29">
        <ns0:f>IF(AND(G98=1,AB98=0),1,0)</ns0:f>
        <ns0:v>1</ns0:v>
      </ns0:c>
      <ns0:c r="AE98" s="29">
        <ns0:f>IF(AND(AD98=1,AC98=0),1,0)</ns0:f>
        <ns0:v>1</ns0:v>
      </ns0:c>
      <ns0:c r="AF98" s="29">
        <ns0:f>IF(AND(G98=1,H98&lt;&gt;"Not specified"),1,0)</ns0:f>
        <ns0:v>1</ns0:v>
      </ns0:c>
      <ns0:c r="AG98" s="29">
        <ns0:f>IF(AND(AE98=1,AF98=1),1,0)</ns0:f>
        <ns0:v>1</ns0:v>
      </ns0:c>
      <ns0:c r="AH98" s="21" t="inlineStr">
        <ns0:is>
          <ns0:t>Supplied abstract/coding notes; no new full-text verification</ns0:t>
        </ns0:is>
      </ns0:c>
      <ns0:c r="AI98" s="21" t="inlineStr">
        <ns0:is>
          <ns0:t>https://doi.org/10.2196/13810</ns0:t>
        </ns0:is>
      </ns0:c>
      <ns0:c r="AJ98" s="21" t="inlineStr">
        <ns0:is>
          <ns0:t>EVIDENCIA; original abstract/coding notes and lot source trace; Historical signals: title/abstract/notes; full-text completion not independently established</ns0:t>
        </ns0:is>
      </ns0:c>
      <ns0:c r="AK98" s="21" t="inlineStr">
        <ns0:is>
          <ns0:t>Wearable gaze collection is tested, but diagnostic model performance is investigated offline; a wearable form factor alone does not establish clinical integration.</ns0:t>
        </ns0:is>
      </ns0:c>
      <ns0:c r="AL98" s="21" t="inlineStr">
        <ns0:is>
          <ns0:t>Not applicable</ns0:t>
        </ns0:is>
      </ns0:c>
      <ns0:c r="AM98" s="21" t="inlineStr">
        <ns0:is>
          <ns0:t>Not separately specified</ns0:t>
        </ns0:is>
      </ns0:c>
      <ns0:c r="AN98" s="21" t="inlineStr"/>
      <ns0:c r="AO98" s="21" t="inlineStr">
        <ns0:is>
          <ns0:t>No additional status determination</ns0:t>
        </ns0:is>
      </ns0:c>
      <ns0:c r="AP98" s="21" t="inlineStr">
        <ns0:is>
          <ns0:t>Not documented for this recharting</ns0:t>
        </ns0:is>
      </ns0:c>
      <ns0:c r="AQ98" s="21" t="inlineStr">
        <ns0:is>
          <ns0:t>ChatGPT-assisted evidence recharting, 2026-09-08</ns0:t>
        </ns0:is>
      </ns0:c>
      <ns0:c r="AR98" s="21" t="inlineStr">
        <ns0:is>
          <ns0:t>RA</ns0:t>
        </ns0:is>
      </ns0:c>
      <ns0:c r="AS98" s="21" t="inlineStr">
        <ns0:is>
          <ns0:t>Not recorded; historical inclusion retained</ns0:t>
        </ns0:is>
      </ns0:c>
    </ns0:row>
    <ns0:row r="99" ht="50" customHeight="1">
      <ns0:c r="A99" s="19" t="inlineStr">
        <ns0:is>
          <ns0:t>103</ns0:t>
        </ns0:is>
      </ns0:c>
      <ns0:c r="B99" s="19" t="inlineStr">
        <ns0:is>
          <ns0:t>Historical</ns0:t>
        </ns0:is>
      </ns0:c>
      <ns0:c r="C99" s="19" t="inlineStr">
        <ns0:is>
          <ns0:t>Using machine learning to identify patterns of lifetime health problems in decedents with autism spectrum disorder</ns0:t>
        </ns0:is>
      </ns0:c>
      <ns0:c r="D99" s="19" t="inlineStr">
        <ns0:is>
          <ns0:t>10.1002/aur.1960</ns0:t>
        </ns0:is>
      </ns0:c>
      <ns0:c r="E99" s="26" t="n">
        <ns0:v>2018</ns0:v>
      </ns0:c>
      <ns0:c r="F99" s="19" t="inlineStr">
        <ns0:is>
          <ns0:t>Include</ns0:t>
        </ns0:is>
      </ns0:c>
      <ns0:c r="G99" s="27">
        <ns0:f>IF(F99="Include",1,0)</ns0:f>
        <ns0:v>1</ns0:v>
      </ns0:c>
      <ns0:c r="H99" s="19" t="inlineStr">
        <ns0:is>
          <ns0:t>Not specified</ns0:t>
        </ns0:is>
      </ns0:c>
      <ns0:c r="I99" s="19" t="inlineStr">
        <ns0:is>
          <ns0:t>Machine Learning</ns0:t>
        </ns0:is>
      </ns0:c>
      <ns0:c r="J99" s="19" t="inlineStr">
        <ns0:is>
          <ns0:t>Structured clinical/questionnaire data</ns0:t>
        </ns0:is>
      </ns0:c>
      <ns0:c r="K99" s="19" t="inlineStr">
        <ns0:is>
          <ns0:t>Random forest</ns0:t>
        </ns0:is>
      </ns0:c>
      <ns0:c r="L99" s="19" t="inlineStr">
        <ns0:is>
          <ns0:t>Random forest</ns0:t>
        </ns0:is>
      </ns0:c>
      <ns0:c r="M99" s="19" t="inlineStr">
        <ns0:is>
          <ns0:t>Research only</ns0:t>
        </ns0:is>
      </ns0:c>
      <ns0:c r="N99" s="19" t="inlineStr">
        <ns0:is>
          <ns0:t>Research characterization</ns0:t>
        </ns0:is>
      </ns0:c>
      <ns0:c r="O99" s="19" t="inlineStr">
        <ns0:is>
          <ns0:t>Not observed in assessed sources</ns0:t>
        </ns0:is>
      </ns0:c>
      <ns0:c r="P99" s="19" t="inlineStr">
        <ns0:is>
          <ns0:t>Not observed in assessed sources</ns0:t>
        </ns0:is>
      </ns0:c>
      <ns0:c r="Q99" s="19" t="inlineStr">
        <ns0:is>
          <ns0:t>Not reported in assessed sources</ns0:t>
        </ns0:is>
      </ns0:c>
      <ns0:c r="R99" s="19" t="inlineStr">
        <ns0:is>
          <ns0:t>Not reported in assessed sources</ns0:t>
        </ns0:is>
      </ns0:c>
      <ns0:c r="S99" s="19" t="inlineStr">
        <ns0:is>
          <ns0:t>Not reported in assessed sources</ns0:t>
        </ns0:is>
      </ns0:c>
      <ns0:c r="T99" s="19" t="inlineStr">
        <ns0:is>
          <ns0:t>Not reported in assessed sources</ns0:t>
        </ns0:is>
      </ns0:c>
      <ns0:c r="U99" s="19" t="inlineStr">
        <ns0:is>
          <ns0:t>Not reported in assessed sources</ns0:t>
        </ns0:is>
      </ns0:c>
      <ns0:c r="V99" s="19" t="inlineStr">
        <ns0:is>
          <ns0:t>Not reported in assessed sources</ns0:t>
        </ns0:is>
      </ns0:c>
      <ns0:c r="W99" s="19" t="inlineStr">
        <ns0:is>
          <ns0:t>Not reported in assessed sources</ns0:t>
        </ns0:is>
      </ns0:c>
      <ns0:c r="X99" s="19" t="inlineStr">
        <ns0:is>
          <ns0:t>Not reported in assessed sources</ns0:t>
        </ns0:is>
      </ns0:c>
      <ns0:c r="Y99" s="19" t="inlineStr">
        <ns0:is>
          <ns0:t>Not ascertainable</ns0:t>
        </ns0:is>
      </ns0:c>
      <ns0:c r="Z99" s="19" t="inlineStr">
        <ns0:is>
          <ns0:t>Not reported in assessed sources</ns0:t>
        </ns0:is>
      </ns0:c>
      <ns0:c r="AA99" s="19" t="inlineStr">
        <ns0:is>
          <ns0:t>Not recorded</ns0:t>
        </ns0:is>
      </ns0:c>
      <ns0:c r="AB99" s="26" t="n">
        <ns0:v>0</ns0:v>
      </ns0:c>
      <ns0:c r="AC99" s="26" t="n">
        <ns0:v>0</ns0:v>
      </ns0:c>
      <ns0:c r="AD99" s="27">
        <ns0:f>IF(AND(G99=1,AB99=0),1,0)</ns0:f>
        <ns0:v>1</ns0:v>
      </ns0:c>
      <ns0:c r="AE99" s="27">
        <ns0:f>IF(AND(AD99=1,AC99=0),1,0)</ns0:f>
        <ns0:v>1</ns0:v>
      </ns0:c>
      <ns0:c r="AF99" s="27">
        <ns0:f>IF(AND(G99=1,H99&lt;&gt;"Not specified"),1,0)</ns0:f>
        <ns0:v>0</ns0:v>
      </ns0:c>
      <ns0:c r="AG99" s="27">
        <ns0:f>IF(AND(AE99=1,AF99=1),1,0)</ns0:f>
        <ns0:v>0</ns0:v>
      </ns0:c>
      <ns0:c r="AH99" s="19" t="inlineStr">
        <ns0:is>
          <ns0:t>Supplied abstract/coding notes; no new full-text verification</ns0:t>
        </ns0:is>
      </ns0:c>
      <ns0:c r="AI99" s="19" t="inlineStr">
        <ns0:is>
          <ns0:t>https://doi.org/10.1002/aur.1960</ns0:t>
        </ns0:is>
      </ns0:c>
      <ns0:c r="AJ99" s="19" t="inlineStr">
        <ns0:is>
          <ns0:t>EVIDENCIA; original abstract/coding notes and lot source trace; Historical signals: title/abstract/notes; full-text completion not independently established</ns0:t>
        </ns0:is>
      </ns0:c>
      <ns0:c r="AK99" s="19" t="inlineStr">
        <ns0:is>
          <ns0:t>Lifetime diagnostic-code patterns in decedents are retrospective care characterization, not prospective monitoring or multisource sensor integration.</ns0:t>
        </ns0:is>
      </ns0:c>
      <ns0:c r="AL99" s="19" t="inlineStr">
        <ns0:is>
          <ns0:t>Not applicable</ns0:t>
        </ns0:is>
      </ns0:c>
      <ns0:c r="AM99" s="19" t="inlineStr">
        <ns0:is>
          <ns0:t>Not separately specified</ns0:t>
        </ns0:is>
      </ns0:c>
      <ns0:c r="AN99" s="19" t="inlineStr"/>
      <ns0:c r="AO99" s="19" t="inlineStr">
        <ns0:is>
          <ns0:t>No additional status determination</ns0:t>
        </ns0:is>
      </ns0:c>
      <ns0:c r="AP99" s="19" t="inlineStr">
        <ns0:is>
          <ns0:t>Not documented for this recharting</ns0:t>
        </ns0:is>
      </ns0:c>
      <ns0:c r="AQ99" s="19" t="inlineStr">
        <ns0:is>
          <ns0:t>ChatGPT-assisted evidence recharting, 2026-09-08</ns0:t>
        </ns0:is>
      </ns0:c>
      <ns0:c r="AR99" s="19" t="inlineStr"/>
      <ns0:c r="AS99" s="19" t="inlineStr">
        <ns0:is>
          <ns0:t>Not recorded; historical inclusion retained</ns0:t>
        </ns0:is>
      </ns0:c>
    </ns0:row>
    <ns0:row r="100" ht="50" customHeight="1">
      <ns0:c r="A100" s="21" t="inlineStr">
        <ns0:is>
          <ns0:t>104</ns0:t>
        </ns0:is>
      </ns0:c>
      <ns0:c r="B100" s="21" t="inlineStr">
        <ns0:is>
          <ns0:t>Historical</ns0:t>
        </ns0:is>
      </ns0:c>
      <ns0:c r="C100" s="21" t="inlineStr">
        <ns0:is>
          <ns0:t>A Framework for Comparison and Interpretation of Machine Learning Classifiers to Predict Autism on the ABIDE Dataset</ns0:t>
        </ns0:is>
      </ns0:c>
      <ns0:c r="D100" s="21" t="inlineStr">
        <ns0:is>
          <ns0:t>10.1002/hbm.70190</ns0:t>
        </ns0:is>
      </ns0:c>
      <ns0:c r="E100" s="28" t="n">
        <ns0:v>2025</ns0:v>
      </ns0:c>
      <ns0:c r="F100" s="21" t="inlineStr">
        <ns0:is>
          <ns0:t>Include</ns0:t>
        </ns0:is>
      </ns0:c>
      <ns0:c r="G100" s="29">
        <ns0:f>IF(F100="Include",1,0)</ns0:f>
        <ns0:v>1</ns0:v>
      </ns0:c>
      <ns0:c r="H100" s="21" t="inlineStr">
        <ns0:is>
          <ns0:t>Diagnosis</ns0:t>
        </ns0:is>
      </ns0:c>
      <ns0:c r="I100" s="21" t="inlineStr">
        <ns0:is>
          <ns0:t>Not specified</ns0:t>
        </ns0:is>
      </ns0:c>
      <ns0:c r="J100" s="21" t="inlineStr">
        <ns0:is>
          <ns0:t>Multiple source categories</ns0:t>
        </ns0:is>
      </ns0:c>
      <ns0:c r="K100" s="21" t="inlineStr">
        <ns0:is>
          <ns0:t>Ensemble and multiple neural/SVM benchmarks</ns0:t>
        </ns0:is>
      </ns0:c>
      <ns0:c r="L100" s="21" t="inlineStr">
        <ns0:is>
          <ns0:t>SVM</ns0:t>
        </ns0:is>
      </ns0:c>
      <ns0:c r="M100" s="21" t="inlineStr">
        <ns0:is>
          <ns0:t>Research only</ns0:t>
        </ns0:is>
      </ns0:c>
      <ns0:c r="N100" s="21" t="inlineStr">
        <ns0:is>
          <ns0:t>Automated measurement/classification</ns0:t>
        </ns0:is>
      </ns0:c>
      <ns0:c r="O100" s="21" t="inlineStr">
        <ns0:is>
          <ns0:t>Not observed in assessed sources</ns0:t>
        </ns0:is>
      </ns0:c>
      <ns0:c r="P100" s="21" t="inlineStr">
        <ns0:is>
          <ns0:t>Not observed in assessed sources</ns0:t>
        </ns0:is>
      </ns0:c>
      <ns0:c r="Q100" s="21" t="inlineStr">
        <ns0:is>
          <ns0:t>Not reported in assessed sources</ns0:t>
        </ns0:is>
      </ns0:c>
      <ns0:c r="R100" s="21" t="inlineStr">
        <ns0:is>
          <ns0:t>Reported</ns0:t>
        </ns0:is>
      </ns0:c>
      <ns0:c r="S100" s="21" t="inlineStr">
        <ns0:is>
          <ns0:t>Reported</ns0:t>
        </ns0:is>
      </ns0:c>
      <ns0:c r="T100" s="21" t="inlineStr">
        <ns0:is>
          <ns0:t>Reported</ns0:t>
        </ns0:is>
      </ns0:c>
      <ns0:c r="U100" s="21" t="inlineStr">
        <ns0:is>
          <ns0:t>Not reported in assessed sources</ns0:t>
        </ns0:is>
      </ns0:c>
      <ns0:c r="V100" s="21" t="inlineStr">
        <ns0:is>
          <ns0:t>Reported</ns0:t>
        </ns0:is>
      </ns0:c>
      <ns0:c r="W100" s="21" t="inlineStr">
        <ns0:is>
          <ns0:t>Reported</ns0:t>
        </ns0:is>
      </ns0:c>
      <ns0:c r="X100" s="21" t="inlineStr">
        <ns0:is>
          <ns0:t>Not reported in assessed sources</ns0:t>
        </ns0:is>
      </ns0:c>
      <ns0:c r="Y100" s="21" t="inlineStr">
        <ns0:is>
          <ns0:t>Not ascertainable</ns0:t>
        </ns0:is>
      </ns0:c>
      <ns0:c r="Z100" s="21" t="inlineStr">
        <ns0:is>
          <ns0:t>Not reported in assessed sources</ns0:t>
        </ns0:is>
      </ns0:c>
      <ns0:c r="AA100" s="21" t="inlineStr">
        <ns0:is>
          <ns0:t>Not recorded</ns0:t>
        </ns0:is>
      </ns0:c>
      <ns0:c r="AB100" s="28" t="n">
        <ns0:v>0</ns0:v>
      </ns0:c>
      <ns0:c r="AC100" s="28" t="n">
        <ns0:v>0</ns0:v>
      </ns0:c>
      <ns0:c r="AD100" s="29">
        <ns0:f>IF(AND(G100=1,AB100=0),1,0)</ns0:f>
        <ns0:v>1</ns0:v>
      </ns0:c>
      <ns0:c r="AE100" s="29">
        <ns0:f>IF(AND(AD100=1,AC100=0),1,0)</ns0:f>
        <ns0:v>1</ns0:v>
      </ns0:c>
      <ns0:c r="AF100" s="29">
        <ns0:f>IF(AND(G100=1,H100&lt;&gt;"Not specified"),1,0)</ns0:f>
        <ns0:v>1</ns0:v>
      </ns0:c>
      <ns0:c r="AG100" s="29">
        <ns0:f>IF(AND(AE100=1,AF100=1),1,0)</ns0:f>
        <ns0:v>1</ns0:v>
      </ns0:c>
      <ns0:c r="AH100" s="21" t="inlineStr">
        <ns0:is>
          <ns0:t>Supplied abstract/coding notes; no new full-text verification</ns0:t>
        </ns0:is>
      </ns0:c>
      <ns0:c r="AI100" s="21" t="inlineStr">
        <ns0:is>
          <ns0:t>https://doi.org/10.1002/hbm.70190</ns0:t>
        </ns0:is>
      </ns0:c>
      <ns0:c r="AJ100" s="21" t="inlineStr">
        <ns0:is>
          <ns0:t>EVIDENCIA; original abstract/coding notes and lot source trace; Historical signals: title/abstract/notes; full-text completion not independently established</ns0:t>
        </ns0:is>
      </ns0:c>
      <ns0:c r="AK100" s="21" t="inlineStr">
        <ns0:is>
          <ns0:t>Explicit benchmark compares heterogeneous models under equal testing conditions. Do not call comparison itself a hybrid pipeline; retain ensemble/multiple-model status and explicit SmoothGrad explanations.</ns0:t>
        </ns0:is>
      </ns0:c>
      <ns0:c r="AL100" s="21" t="inlineStr">
        <ns0:is>
          <ns0:t>Not applicable</ns0:t>
        </ns0:is>
      </ns0:c>
      <ns0:c r="AM100" s="21" t="inlineStr">
        <ns0:is>
          <ns0:t>Not separately specified</ns0:t>
        </ns0:is>
      </ns0:c>
      <ns0:c r="AN100" s="21" t="inlineStr"/>
      <ns0:c r="AO100" s="21" t="inlineStr">
        <ns0:is>
          <ns0:t>No additional status determination</ns0:t>
        </ns0:is>
      </ns0:c>
      <ns0:c r="AP100" s="21" t="inlineStr">
        <ns0:is>
          <ns0:t>Not documented for this recharting</ns0:t>
        </ns0:is>
      </ns0:c>
      <ns0:c r="AQ100" s="21" t="inlineStr">
        <ns0:is>
          <ns0:t>ChatGPT-assisted evidence recharting, 2026-09-08</ns0:t>
        </ns0:is>
      </ns0:c>
      <ns0:c r="AR100" s="21" t="inlineStr"/>
      <ns0:c r="AS100" s="21" t="inlineStr">
        <ns0:is>
          <ns0:t>Not recorded; historical inclusion retained</ns0:t>
        </ns0:is>
      </ns0:c>
    </ns0:row>
    <ns0:row r="101" ht="50" customHeight="1">
      <ns0:c r="A101" s="19" t="inlineStr">
        <ns0:is>
          <ns0:t>105</ns0:t>
        </ns0:is>
      </ns0:c>
      <ns0:c r="B101" s="19" t="inlineStr">
        <ns0:is>
          <ns0:t>Historical</ns0:t>
        </ns0:is>
      </ns0:c>
      <ns0:c r="C101" s="19" t="inlineStr">
        <ns0:is>
          <ns0:t>A Novel Deep Learning Approach for Recognizing Stereotypical Motor Movements within and across Subjects on the Autism Spectrum Disorder</ns0:t>
        </ns0:is>
      </ns0:c>
      <ns0:c r="D101" s="19" t="inlineStr">
        <ns0:is>
          <ns0:t>10.1155/2018/7186762</ns0:t>
        </ns0:is>
      </ns0:c>
      <ns0:c r="E101" s="26" t="n">
        <ns0:v>2018</ns0:v>
      </ns0:c>
      <ns0:c r="F101" s="19" t="inlineStr">
        <ns0:is>
          <ns0:t>Include</ns0:t>
        </ns0:is>
      </ns0:c>
      <ns0:c r="G101" s="27">
        <ns0:f>IF(F101="Include",1,0)</ns0:f>
        <ns0:v>1</ns0:v>
      </ns0:c>
      <ns0:c r="H101" s="19" t="inlineStr">
        <ns0:is>
          <ns0:t>Monitoring/intervention</ns0:t>
        </ns0:is>
      </ns0:c>
      <ns0:c r="I101" s="19" t="inlineStr">
        <ns0:is>
          <ns0:t>Hybrid</ns0:t>
        </ns0:is>
      </ns0:c>
      <ns0:c r="J101" s="19" t="inlineStr">
        <ns0:is>
          <ns0:t>Behavioral images/video/gaze/movement</ns0:t>
        </ns0:is>
      </ns0:c>
      <ns0:c r="K101" s="19" t="inlineStr">
        <ns0:is>
          <ns0:t>CNN transfer features with SVM</ns0:t>
        </ns0:is>
      </ns0:c>
      <ns0:c r="L101" s="19" t="inlineStr">
        <ns0:is>
          <ns0:t>Composite/ensemble pipeline</ns0:t>
        </ns0:is>
      </ns0:c>
      <ns0:c r="M101" s="19" t="inlineStr">
        <ns0:is>
          <ns0:t>Research only</ns0:t>
        </ns0:is>
      </ns0:c>
      <ns0:c r="N101" s="19" t="inlineStr">
        <ns0:is>
          <ns0:t>Monitoring/longitudinal analysis</ns0:t>
        </ns0:is>
      </ns0:c>
      <ns0:c r="O101" s="19" t="inlineStr">
        <ns0:is>
          <ns0:t>Not observed in assessed sources</ns0:t>
        </ns0:is>
      </ns0:c>
      <ns0:c r="P101" s="19" t="inlineStr">
        <ns0:is>
          <ns0:t>Not observed in assessed sources</ns0:t>
        </ns0:is>
      </ns0:c>
      <ns0:c r="Q101" s="19" t="inlineStr">
        <ns0:is>
          <ns0:t>Not reported in assessed sources</ns0:t>
        </ns0:is>
      </ns0:c>
      <ns0:c r="R101" s="19" t="inlineStr">
        <ns0:is>
          <ns0:t>Not reported in assessed sources</ns0:t>
        </ns0:is>
      </ns0:c>
      <ns0:c r="S101" s="19" t="inlineStr">
        <ns0:is>
          <ns0:t>Not reported in assessed sources</ns0:t>
        </ns0:is>
      </ns0:c>
      <ns0:c r="T101" s="19" t="inlineStr">
        <ns0:is>
          <ns0:t>Not reported in assessed sources</ns0:t>
        </ns0:is>
      </ns0:c>
      <ns0:c r="U101" s="19" t="inlineStr">
        <ns0:is>
          <ns0:t>Not reported in assessed sources</ns0:t>
        </ns0:is>
      </ns0:c>
      <ns0:c r="V101" s="19" t="inlineStr">
        <ns0:is>
          <ns0:t>Not reported in assessed sources</ns0:t>
        </ns0:is>
      </ns0:c>
      <ns0:c r="W101" s="19" t="inlineStr">
        <ns0:is>
          <ns0:t>Not reported in assessed sources</ns0:t>
        </ns0:is>
      </ns0:c>
      <ns0:c r="X101" s="19" t="inlineStr">
        <ns0:is>
          <ns0:t>Not reported in assessed sources</ns0:t>
        </ns0:is>
      </ns0:c>
      <ns0:c r="Y101" s="19" t="inlineStr">
        <ns0:is>
          <ns0:t>Not ascertainable</ns0:t>
        </ns0:is>
      </ns0:c>
      <ns0:c r="Z101" s="19" t="inlineStr">
        <ns0:is>
          <ns0:t>Not reported in assessed sources</ns0:t>
        </ns0:is>
      </ns0:c>
      <ns0:c r="AA101" s="19" t="inlineStr">
        <ns0:is>
          <ns0:t>Not recorded</ns0:t>
        </ns0:is>
      </ns0:c>
      <ns0:c r="AB101" s="26" t="n">
        <ns0:v>0</ns0:v>
      </ns0:c>
      <ns0:c r="AC101" s="26" t="n">
        <ns0:v>0</ns0:v>
      </ns0:c>
      <ns0:c r="AD101" s="27">
        <ns0:f>IF(AND(G101=1,AB101=0),1,0)</ns0:f>
        <ns0:v>1</ns0:v>
      </ns0:c>
      <ns0:c r="AE101" s="27">
        <ns0:f>IF(AND(AD101=1,AC101=0),1,0)</ns0:f>
        <ns0:v>1</ns0:v>
      </ns0:c>
      <ns0:c r="AF101" s="27">
        <ns0:f>IF(AND(G101=1,H101&lt;&gt;"Not specified"),1,0)</ns0:f>
        <ns0:v>1</ns0:v>
      </ns0:c>
      <ns0:c r="AG101" s="27">
        <ns0:f>IF(AND(AE101=1,AF101=1),1,0)</ns0:f>
        <ns0:v>1</ns0:v>
      </ns0:c>
      <ns0:c r="AH101" s="19" t="inlineStr">
        <ns0:is>
          <ns0:t>Supplied abstract/coding notes; no new full-text verification</ns0:t>
        </ns0:is>
      </ns0:c>
      <ns0:c r="AI101" s="19" t="inlineStr">
        <ns0:is>
          <ns0:t>https://doi.org/10.1155/2018/7186762</ns0:t>
        </ns0:is>
      </ns0:c>
      <ns0:c r="AJ101" s="19" t="inlineStr">
        <ns0:is>
          <ns0:t>EVIDENCIA; original abstract/coding notes and lot source trace; Historical signals: title/abstract/notes; full-text completion not independently established</ns0:t>
        </ns0:is>
      </ns0:c>
      <ns0:c r="AK101" s="19" t="inlineStr">
        <ns0:is>
          <ns0:t>Stereotyped-movement recognition from wearable kinematics, including cross-subject transfer. Cross-subject testing is not cross-site robustness.</ns0:t>
        </ns0:is>
      </ns0:c>
      <ns0:c r="AL101" s="19" t="inlineStr">
        <ns0:is>
          <ns0:t>Not applicable</ns0:t>
        </ns0:is>
      </ns0:c>
      <ns0:c r="AM101" s="19" t="inlineStr">
        <ns0:is>
          <ns0:t>Not separately specified</ns0:t>
        </ns0:is>
      </ns0:c>
      <ns0:c r="AN101" s="19" t="inlineStr"/>
      <ns0:c r="AO101" s="19" t="inlineStr">
        <ns0:is>
          <ns0:t>No additional status determination</ns0:t>
        </ns0:is>
      </ns0:c>
      <ns0:c r="AP101" s="19" t="inlineStr">
        <ns0:is>
          <ns0:t>Not documented for this recharting</ns0:t>
        </ns0:is>
      </ns0:c>
      <ns0:c r="AQ101" s="19" t="inlineStr">
        <ns0:is>
          <ns0:t>ChatGPT-assisted evidence recharting, 2026-09-08</ns0:t>
        </ns0:is>
      </ns0:c>
      <ns0:c r="AR101" s="19" t="inlineStr"/>
      <ns0:c r="AS101" s="19" t="inlineStr">
        <ns0:is>
          <ns0:t>Not recorded; historical inclusion retained</ns0:t>
        </ns0:is>
      </ns0:c>
    </ns0:row>
    <ns0:row r="102" ht="50" customHeight="1">
      <ns0:c r="A102" s="21" t="inlineStr">
        <ns0:is>
          <ns0:t>106</ns0:t>
        </ns0:is>
      </ns0:c>
      <ns0:c r="B102" s="21" t="inlineStr">
        <ns0:is>
          <ns0:t>Historical</ns0:t>
        </ns0:is>
      </ns0:c>
      <ns0:c r="C102" s="21" t="inlineStr">
        <ns0:is>
          <ns0:t>Analysis of variant interactions in families with autism points to genes involved in the development of the central nervous system</ns0:t>
        </ns0:is>
      </ns0:c>
      <ns0:c r="D102" s="21" t="inlineStr">
        <ns0:is>
          <ns0:t>10.1371/journal.pone.0326022</ns0:t>
        </ns0:is>
      </ns0:c>
      <ns0:c r="E102" s="28" t="n">
        <ns0:v>2025</ns0:v>
      </ns0:c>
      <ns0:c r="F102" s="21" t="inlineStr">
        <ns0:is>
          <ns0:t>Include</ns0:t>
        </ns0:is>
      </ns0:c>
      <ns0:c r="G102" s="29">
        <ns0:f>IF(F102="Include",1,0)</ns0:f>
        <ns0:v>1</ns0:v>
      </ns0:c>
      <ns0:c r="H102" s="21" t="inlineStr">
        <ns0:is>
          <ns0:t>Diagnosis</ns0:t>
        </ns0:is>
      </ns0:c>
      <ns0:c r="I102" s="21" t="inlineStr">
        <ns0:is>
          <ns0:t>Machine Learning</ns0:t>
        </ns0:is>
      </ns0:c>
      <ns0:c r="J102" s="21" t="inlineStr">
        <ns0:is>
          <ns0:t>Biological/omics</ns0:t>
        </ns0:is>
      </ns0:c>
      <ns0:c r="K102" s="21" t="inlineStr">
        <ns0:is>
          <ns0:t>SVM predictor with variant-based clustering</ns0:t>
        </ns0:is>
      </ns0:c>
      <ns0:c r="L102" s="21" t="inlineStr">
        <ns0:is>
          <ns0:t>Composite/ensemble pipeline</ns0:t>
        </ns0:is>
      </ns0:c>
      <ns0:c r="M102" s="21" t="inlineStr">
        <ns0:is>
          <ns0:t>Research only</ns0:t>
        </ns0:is>
      </ns0:c>
      <ns0:c r="N102" s="21" t="inlineStr">
        <ns0:is>
          <ns0:t>Automated measurement/classification</ns0:t>
        </ns0:is>
      </ns0:c>
      <ns0:c r="O102" s="21" t="inlineStr">
        <ns0:is>
          <ns0:t>Not observed in assessed sources</ns0:t>
        </ns0:is>
      </ns0:c>
      <ns0:c r="P102" s="21" t="inlineStr">
        <ns0:is>
          <ns0:t>Not observed in assessed sources</ns0:t>
        </ns0:is>
      </ns0:c>
      <ns0:c r="Q102" s="21" t="inlineStr">
        <ns0:is>
          <ns0:t>Not reported in assessed sources</ns0:t>
        </ns0:is>
      </ns0:c>
      <ns0:c r="R102" s="21" t="inlineStr">
        <ns0:is>
          <ns0:t>Not reported in assessed sources</ns0:t>
        </ns0:is>
      </ns0:c>
      <ns0:c r="S102" s="21" t="inlineStr">
        <ns0:is>
          <ns0:t>Not reported in assessed sources</ns0:t>
        </ns0:is>
      </ns0:c>
      <ns0:c r="T102" s="21" t="inlineStr">
        <ns0:is>
          <ns0:t>Not reported in assessed sources</ns0:t>
        </ns0:is>
      </ns0:c>
      <ns0:c r="U102" s="21" t="inlineStr">
        <ns0:is>
          <ns0:t>Not reported in assessed sources</ns0:t>
        </ns0:is>
      </ns0:c>
      <ns0:c r="V102" s="21" t="inlineStr">
        <ns0:is>
          <ns0:t>Not reported in assessed sources</ns0:t>
        </ns0:is>
      </ns0:c>
      <ns0:c r="W102" s="21" t="inlineStr">
        <ns0:is>
          <ns0:t>Not reported in assessed sources</ns0:t>
        </ns0:is>
      </ns0:c>
      <ns0:c r="X102" s="21" t="inlineStr">
        <ns0:is>
          <ns0:t>Not reported in assessed sources</ns0:t>
        </ns0:is>
      </ns0:c>
      <ns0:c r="Y102" s="21" t="inlineStr">
        <ns0:is>
          <ns0:t>Not ascertainable</ns0:t>
        </ns0:is>
      </ns0:c>
      <ns0:c r="Z102" s="21" t="inlineStr">
        <ns0:is>
          <ns0:t>Not reported in assessed sources</ns0:t>
        </ns0:is>
      </ns0:c>
      <ns0:c r="AA102" s="21" t="inlineStr">
        <ns0:is>
          <ns0:t>Not recorded</ns0:t>
        </ns0:is>
      </ns0:c>
      <ns0:c r="AB102" s="28" t="n">
        <ns0:v>0</ns0:v>
      </ns0:c>
      <ns0:c r="AC102" s="28" t="n">
        <ns0:v>0</ns0:v>
      </ns0:c>
      <ns0:c r="AD102" s="29">
        <ns0:f>IF(AND(G102=1,AB102=0),1,0)</ns0:f>
        <ns0:v>1</ns0:v>
      </ns0:c>
      <ns0:c r="AE102" s="29">
        <ns0:f>IF(AND(AD102=1,AC102=0),1,0)</ns0:f>
        <ns0:v>1</ns0:v>
      </ns0:c>
      <ns0:c r="AF102" s="29">
        <ns0:f>IF(AND(G102=1,H102&lt;&gt;"Not specified"),1,0)</ns0:f>
        <ns0:v>1</ns0:v>
      </ns0:c>
      <ns0:c r="AG102" s="29">
        <ns0:f>IF(AND(AE102=1,AF102=1),1,0)</ns0:f>
        <ns0:v>1</ns0:v>
      </ns0:c>
      <ns0:c r="AH102" s="21" t="inlineStr">
        <ns0:is>
          <ns0:t>Supplied abstract/coding notes; no new full-text verification</ns0:t>
        </ns0:is>
      </ns0:c>
      <ns0:c r="AI102" s="21" t="inlineStr">
        <ns0:is>
          <ns0:t>https://doi.org/10.1371/journal.pone.0326022</ns0:t>
        </ns0:is>
      </ns0:c>
      <ns0:c r="AJ102" s="21" t="inlineStr">
        <ns0:is>
          <ns0:t>EVIDENCIA; original abstract/coding notes and lot source trace; Historical signals: title/abstract/notes; full-text completion not independently established</ns0:t>
        </ns0:is>
      </ns0:c>
      <ns0:c r="AK102" s="21" t="inlineStr">
        <ns0:is>
          <ns0:t>Human whole-genome family data explicitly support an ASD predictive classifier in addition to gene-enrichment analysis; retained as an original computational diagnostic study.</ns0:t>
        </ns0:is>
      </ns0:c>
      <ns0:c r="AL102" s="21" t="inlineStr">
        <ns0:is>
          <ns0:t>Not applicable</ns0:t>
        </ns0:is>
      </ns0:c>
      <ns0:c r="AM102" s="21" t="inlineStr">
        <ns0:is>
          <ns0:t>Not separately specified</ns0:t>
        </ns0:is>
      </ns0:c>
      <ns0:c r="AN102" s="21" t="inlineStr"/>
      <ns0:c r="AO102" s="21" t="inlineStr">
        <ns0:is>
          <ns0:t>No additional status determination</ns0:t>
        </ns0:is>
      </ns0:c>
      <ns0:c r="AP102" s="21" t="inlineStr">
        <ns0:is>
          <ns0:t>Not documented for this recharting</ns0:t>
        </ns0:is>
      </ns0:c>
      <ns0:c r="AQ102" s="21" t="inlineStr">
        <ns0:is>
          <ns0:t>ChatGPT-assisted evidence recharting, 2026-09-08</ns0:t>
        </ns0:is>
      </ns0:c>
      <ns0:c r="AR102" s="21" t="inlineStr"/>
      <ns0:c r="AS102" s="21" t="inlineStr">
        <ns0:is>
          <ns0:t>Not recorded; historical inclusion retained</ns0:t>
        </ns0:is>
      </ns0:c>
    </ns0:row>
    <ns0:row r="103" ht="50" customHeight="1">
      <ns0:c r="A103" s="19" t="inlineStr">
        <ns0:is>
          <ns0:t>107</ns0:t>
        </ns0:is>
      </ns0:c>
      <ns0:c r="B103" s="19" t="inlineStr">
        <ns0:is>
          <ns0:t>Historical</ns0:t>
        </ns0:is>
      </ns0:c>
      <ns0:c r="C103" s="19" t="inlineStr">
        <ns0:is>
          <ns0:t>Detecting High-Functioning Autism in Adults Using Eye Tracking and Machine Learning</ns0:t>
        </ns0:is>
      </ns0:c>
      <ns0:c r="D103" s="19" t="inlineStr">
        <ns0:is>
          <ns0:t>10.1109/tnsre.2020.2991675</ns0:t>
        </ns0:is>
      </ns0:c>
      <ns0:c r="E103" s="26" t="n">
        <ns0:v>2020</ns0:v>
      </ns0:c>
      <ns0:c r="F103" s="19" t="inlineStr">
        <ns0:is>
          <ns0:t>Include</ns0:t>
        </ns0:is>
      </ns0:c>
      <ns0:c r="G103" s="27">
        <ns0:f>IF(F103="Include",1,0)</ns0:f>
        <ns0:v>1</ns0:v>
      </ns0:c>
      <ns0:c r="H103" s="19" t="inlineStr">
        <ns0:is>
          <ns0:t>Screening</ns0:t>
        </ns0:is>
      </ns0:c>
      <ns0:c r="I103" s="19" t="inlineStr">
        <ns0:is>
          <ns0:t>Machine Learning</ns0:t>
        </ns0:is>
      </ns0:c>
      <ns0:c r="J103" s="19" t="inlineStr">
        <ns0:is>
          <ns0:t>Behavioral images/video/gaze/movement</ns0:t>
        </ns0:is>
      </ns0:c>
      <ns0:c r="K103" s="19" t="inlineStr">
        <ns0:is>
          <ns0:t>Logistic regression</ns0:t>
        </ns0:is>
      </ns0:c>
      <ns0:c r="L103" s="19" t="inlineStr">
        <ns0:is>
          <ns0:t>Logistic regression</ns0:t>
        </ns0:is>
      </ns0:c>
      <ns0:c r="M103" s="19" t="inlineStr">
        <ns0:is>
          <ns0:t>Research only</ns0:t>
        </ns0:is>
      </ns0:c>
      <ns0:c r="N103" s="19" t="inlineStr">
        <ns0:is>
          <ns0:t>Automated measurement/classification</ns0:t>
        </ns0:is>
      </ns0:c>
      <ns0:c r="O103" s="19" t="inlineStr">
        <ns0:is>
          <ns0:t>Not observed in assessed sources</ns0:t>
        </ns0:is>
      </ns0:c>
      <ns0:c r="P103" s="19" t="inlineStr">
        <ns0:is>
          <ns0:t>Not observed in assessed sources</ns0:t>
        </ns0:is>
      </ns0:c>
      <ns0:c r="Q103" s="19" t="inlineStr">
        <ns0:is>
          <ns0:t>Not reported in assessed sources</ns0:t>
        </ns0:is>
      </ns0:c>
      <ns0:c r="R103" s="19" t="inlineStr">
        <ns0:is>
          <ns0:t>Not reported in assessed sources</ns0:t>
        </ns0:is>
      </ns0:c>
      <ns0:c r="S103" s="19" t="inlineStr">
        <ns0:is>
          <ns0:t>Not reported in assessed sources</ns0:t>
        </ns0:is>
      </ns0:c>
      <ns0:c r="T103" s="19" t="inlineStr">
        <ns0:is>
          <ns0:t>Not reported in assessed sources</ns0:t>
        </ns0:is>
      </ns0:c>
      <ns0:c r="U103" s="19" t="inlineStr">
        <ns0:is>
          <ns0:t>Not reported in assessed sources</ns0:t>
        </ns0:is>
      </ns0:c>
      <ns0:c r="V103" s="19" t="inlineStr">
        <ns0:is>
          <ns0:t>Not reported in assessed sources</ns0:t>
        </ns0:is>
      </ns0:c>
      <ns0:c r="W103" s="19" t="inlineStr">
        <ns0:is>
          <ns0:t>Not reported in assessed sources</ns0:t>
        </ns0:is>
      </ns0:c>
      <ns0:c r="X103" s="19" t="inlineStr">
        <ns0:is>
          <ns0:t>Not reported in assessed sources</ns0:t>
        </ns0:is>
      </ns0:c>
      <ns0:c r="Y103" s="19" t="inlineStr">
        <ns0:is>
          <ns0:t>Not ascertainable</ns0:t>
        </ns0:is>
      </ns0:c>
      <ns0:c r="Z103" s="19" t="inlineStr">
        <ns0:is>
          <ns0:t>Not reported in assessed sources</ns0:t>
        </ns0:is>
      </ns0:c>
      <ns0:c r="AA103" s="19" t="inlineStr">
        <ns0:is>
          <ns0:t>Not recorded</ns0:t>
        </ns0:is>
      </ns0:c>
      <ns0:c r="AB103" s="26" t="n">
        <ns0:v>0</ns0:v>
      </ns0:c>
      <ns0:c r="AC103" s="26" t="n">
        <ns0:v>0</ns0:v>
      </ns0:c>
      <ns0:c r="AD103" s="27">
        <ns0:f>IF(AND(G103=1,AB103=0),1,0)</ns0:f>
        <ns0:v>1</ns0:v>
      </ns0:c>
      <ns0:c r="AE103" s="27">
        <ns0:f>IF(AND(AD103=1,AC103=0),1,0)</ns0:f>
        <ns0:v>1</ns0:v>
      </ns0:c>
      <ns0:c r="AF103" s="27">
        <ns0:f>IF(AND(G103=1,H103&lt;&gt;"Not specified"),1,0)</ns0:f>
        <ns0:v>1</ns0:v>
      </ns0:c>
      <ns0:c r="AG103" s="27">
        <ns0:f>IF(AND(AE103=1,AF103=1),1,0)</ns0:f>
        <ns0:v>1</ns0:v>
      </ns0:c>
      <ns0:c r="AH103" s="19" t="inlineStr">
        <ns0:is>
          <ns0:t>Supplied abstract/coding notes; no new full-text verification</ns0:t>
        </ns0:is>
      </ns0:c>
      <ns0:c r="AI103" s="19" t="inlineStr">
        <ns0:is>
          <ns0:t>https://doi.org/10.1109/tnsre.2020.2991675</ns0:t>
        </ns0:is>
      </ns0:c>
      <ns0:c r="AJ103" s="19" t="inlineStr">
        <ns0:is>
          <ns0:t>EVIDENCIA; original abstract/coding notes and lot source trace; Historical signals: title/abstract/notes; full-text completion not independently established</ns0:t>
        </ns0:is>
      </ns0:c>
      <ns0:c r="AK103" s="19" t="inlineStr">
        <ns0:is>
          <ns0:t>Eye tracking across two tasks/studies; separate evaluation groups are not sufficient to assert a trained-model external transfer test. Different stimuli remain a single sensor modality.</ns0:t>
        </ns0:is>
      </ns0:c>
      <ns0:c r="AL103" s="19" t="inlineStr">
        <ns0:is>
          <ns0:t>Not applicable</ns0:t>
        </ns0:is>
      </ns0:c>
      <ns0:c r="AM103" s="19" t="inlineStr">
        <ns0:is>
          <ns0:t>Not separately specified</ns0:t>
        </ns0:is>
      </ns0:c>
      <ns0:c r="AN103" s="19" t="inlineStr"/>
      <ns0:c r="AO103" s="19" t="inlineStr">
        <ns0:is>
          <ns0:t>No additional status determination</ns0:t>
        </ns0:is>
      </ns0:c>
      <ns0:c r="AP103" s="19" t="inlineStr">
        <ns0:is>
          <ns0:t>Not documented for this recharting</ns0:t>
        </ns0:is>
      </ns0:c>
      <ns0:c r="AQ103" s="19" t="inlineStr">
        <ns0:is>
          <ns0:t>ChatGPT-assisted evidence recharting, 2026-09-08</ns0:t>
        </ns0:is>
      </ns0:c>
      <ns0:c r="AR103" s="19" t="inlineStr"/>
      <ns0:c r="AS103" s="19" t="inlineStr">
        <ns0:is>
          <ns0:t>Not recorded; historical inclusion retained</ns0:t>
        </ns0:is>
      </ns0:c>
    </ns0:row>
    <ns0:row r="104" ht="50" customHeight="1">
      <ns0:c r="A104" s="21" t="inlineStr">
        <ns0:is>
          <ns0:t>108</ns0:t>
        </ns0:is>
      </ns0:c>
      <ns0:c r="B104" s="21" t="inlineStr">
        <ns0:is>
          <ns0:t>Historical</ns0:t>
        </ns0:is>
      </ns0:c>
      <ns0:c r="C104" s="21" t="inlineStr">
        <ns0:is>
          <ns0:t>Identification of neural connectivity signatures of autism using machine learning</ns0:t>
        </ns0:is>
      </ns0:c>
      <ns0:c r="D104" s="21" t="inlineStr">
        <ns0:is>
          <ns0:t>10.3389/fnhum.2013.00670</ns0:t>
        </ns0:is>
      </ns0:c>
      <ns0:c r="E104" s="28" t="n">
        <ns0:v>2013</ns0:v>
      </ns0:c>
      <ns0:c r="F104" s="21" t="inlineStr">
        <ns0:is>
          <ns0:t>Include</ns0:t>
        </ns0:is>
      </ns0:c>
      <ns0:c r="G104" s="29">
        <ns0:f>IF(F104="Include",1,0)</ns0:f>
        <ns0:v>1</ns0:v>
      </ns0:c>
      <ns0:c r="H104" s="21" t="inlineStr">
        <ns0:is>
          <ns0:t>Diagnosis</ns0:t>
        </ns0:is>
      </ns0:c>
      <ns0:c r="I104" s="21" t="inlineStr">
        <ns0:is>
          <ns0:t>Machine Learning</ns0:t>
        </ns0:is>
      </ns0:c>
      <ns0:c r="J104" s="21" t="inlineStr">
        <ns0:is>
          <ns0:t>Multiple source categories</ns0:t>
        </ns0:is>
      </ns0:c>
      <ns0:c r="K104" s="21" t="inlineStr">
        <ns0:is>
          <ns0:t>SVM with recursive cluster elimination</ns0:t>
        </ns0:is>
      </ns0:c>
      <ns0:c r="L104" s="21" t="inlineStr">
        <ns0:is>
          <ns0:t>SVM</ns0:t>
        </ns0:is>
      </ns0:c>
      <ns0:c r="M104" s="21" t="inlineStr">
        <ns0:is>
          <ns0:t>Research only</ns0:t>
        </ns0:is>
      </ns0:c>
      <ns0:c r="N104" s="21" t="inlineStr">
        <ns0:is>
          <ns0:t>Automated measurement/classification</ns0:t>
        </ns0:is>
      </ns0:c>
      <ns0:c r="O104" s="21" t="inlineStr">
        <ns0:is>
          <ns0:t>Not observed in assessed sources</ns0:t>
        </ns0:is>
      </ns0:c>
      <ns0:c r="P104" s="21" t="inlineStr">
        <ns0:is>
          <ns0:t>Not observed in assessed sources</ns0:t>
        </ns0:is>
      </ns0:c>
      <ns0:c r="Q104" s="21" t="inlineStr">
        <ns0:is>
          <ns0:t>Not reported in assessed sources</ns0:t>
        </ns0:is>
      </ns0:c>
      <ns0:c r="R104" s="21" t="inlineStr">
        <ns0:is>
          <ns0:t>Reported</ns0:t>
        </ns0:is>
      </ns0:c>
      <ns0:c r="S104" s="21" t="inlineStr">
        <ns0:is>
          <ns0:t>Reported</ns0:t>
        </ns0:is>
      </ns0:c>
      <ns0:c r="T104" s="21" t="inlineStr">
        <ns0:is>
          <ns0:t>Not reported in assessed sources</ns0:t>
        </ns0:is>
      </ns0:c>
      <ns0:c r="U104" s="21" t="inlineStr">
        <ns0:is>
          <ns0:t>Not reported in assessed sources</ns0:t>
        </ns0:is>
      </ns0:c>
      <ns0:c r="V104" s="21" t="inlineStr">
        <ns0:is>
          <ns0:t>Not reported in assessed sources</ns0:t>
        </ns0:is>
      </ns0:c>
      <ns0:c r="W104" s="21" t="inlineStr">
        <ns0:is>
          <ns0:t>Reported</ns0:t>
        </ns0:is>
      </ns0:c>
      <ns0:c r="X104" s="21" t="inlineStr">
        <ns0:is>
          <ns0:t>Not reported in assessed sources</ns0:t>
        </ns0:is>
      </ns0:c>
      <ns0:c r="Y104" s="21" t="inlineStr">
        <ns0:is>
          <ns0:t>Not ascertainable</ns0:t>
        </ns0:is>
      </ns0:c>
      <ns0:c r="Z104" s="21" t="inlineStr">
        <ns0:is>
          <ns0:t>Reported</ns0:t>
        </ns0:is>
      </ns0:c>
      <ns0:c r="AA104" s="21" t="inlineStr">
        <ns0:is>
          <ns0:t>Not recorded</ns0:t>
        </ns0:is>
      </ns0:c>
      <ns0:c r="AB104" s="28" t="n">
        <ns0:v>0</ns0:v>
      </ns0:c>
      <ns0:c r="AC104" s="28" t="n">
        <ns0:v>0</ns0:v>
      </ns0:c>
      <ns0:c r="AD104" s="29">
        <ns0:f>IF(AND(G104=1,AB104=0),1,0)</ns0:f>
        <ns0:v>1</ns0:v>
      </ns0:c>
      <ns0:c r="AE104" s="29">
        <ns0:f>IF(AND(AD104=1,AC104=0),1,0)</ns0:f>
        <ns0:v>1</ns0:v>
      </ns0:c>
      <ns0:c r="AF104" s="29">
        <ns0:f>IF(AND(G104=1,H104&lt;&gt;"Not specified"),1,0)</ns0:f>
        <ns0:v>1</ns0:v>
      </ns0:c>
      <ns0:c r="AG104" s="29">
        <ns0:f>IF(AND(AE104=1,AF104=1),1,0)</ns0:f>
        <ns0:v>1</ns0:v>
      </ns0:c>
      <ns0:c r="AH104" s="21" t="inlineStr">
        <ns0:is>
          <ns0:t>Supplied abstract/coding notes; no new full-text verification</ns0:t>
        </ns0:is>
      </ns0:c>
      <ns0:c r="AI104" s="21" t="inlineStr">
        <ns0:is>
          <ns0:t>https://doi.org/10.3389/fnhum.2013.00670/full</ns0:t>
        </ns0:is>
      </ns0:c>
      <ns0:c r="AJ104" s="21" t="inlineStr">
        <ns0:is>
          <ns0:t>EVIDENCIA; original abstract/coding notes and lot source trace; Historical signals: title/abstract/notes; full-text completion not independently established</ns0:t>
        </ns0:is>
      </ns0:c>
      <ns0:c r="AK104" s="21" t="inlineStr">
        <ns0:is>
          <ns0:t>fMRI effective/functional connectivity, DTI and assessment scores were submitted jointly. Imaging stimuli are not behavioral-image inputs; explanatory paths are explicit.</ns0:t>
        </ns0:is>
      </ns0:c>
      <ns0:c r="AL104" s="21" t="inlineStr">
        <ns0:is>
          <ns0:t>Not applicable</ns0:t>
        </ns0:is>
      </ns0:c>
      <ns0:c r="AM104" s="21" t="inlineStr">
        <ns0:is>
          <ns0:t>Not separately specified</ns0:t>
        </ns0:is>
      </ns0:c>
      <ns0:c r="AN104" s="21" t="inlineStr"/>
      <ns0:c r="AO104" s="21" t="inlineStr">
        <ns0:is>
          <ns0:t>No additional status determination</ns0:t>
        </ns0:is>
      </ns0:c>
      <ns0:c r="AP104" s="21" t="inlineStr">
        <ns0:is>
          <ns0:t>Not documented for this recharting</ns0:t>
        </ns0:is>
      </ns0:c>
      <ns0:c r="AQ104" s="21" t="inlineStr">
        <ns0:is>
          <ns0:t>ChatGPT-assisted evidence recharting, 2026-09-08</ns0:t>
        </ns0:is>
      </ns0:c>
      <ns0:c r="AR104" s="21" t="inlineStr">
        <ns0:is>
          <ns0:t>RA</ns0:t>
        </ns0:is>
      </ns0:c>
      <ns0:c r="AS104" s="21" t="inlineStr">
        <ns0:is>
          <ns0:t>Not recorded; historical inclusion retained</ns0:t>
        </ns0:is>
      </ns0:c>
    </ns0:row>
    <ns0:row r="105" ht="50" customHeight="1">
      <ns0:c r="A105" s="19" t="inlineStr">
        <ns0:is>
          <ns0:t>109</ns0:t>
        </ns0:is>
      </ns0:c>
      <ns0:c r="B105" s="19" t="inlineStr">
        <ns0:is>
          <ns0:t>Historical</ns0:t>
        </ns0:is>
      </ns0:c>
      <ns0:c r="C105" s="19" t="inlineStr">
        <ns0:is>
          <ns0:t>Identifying autism from neural representations of social interactions: Neurocognitive markers of autism</ns0:t>
        </ns0:is>
      </ns0:c>
      <ns0:c r="D105" s="19" t="inlineStr">
        <ns0:is>
          <ns0:t>10.1371/journal.pone.0113879</ns0:t>
        </ns0:is>
      </ns0:c>
      <ns0:c r="E105" s="26" t="n">
        <ns0:v>2014</ns0:v>
      </ns0:c>
      <ns0:c r="F105" s="19" t="inlineStr">
        <ns0:is>
          <ns0:t>Include</ns0:t>
        </ns0:is>
      </ns0:c>
      <ns0:c r="G105" s="27">
        <ns0:f>IF(F105="Include",1,0)</ns0:f>
        <ns0:v>1</ns0:v>
      </ns0:c>
      <ns0:c r="H105" s="19" t="inlineStr">
        <ns0:is>
          <ns0:t>Diagnosis</ns0:t>
        </ns0:is>
      </ns0:c>
      <ns0:c r="I105" s="19" t="inlineStr">
        <ns0:is>
          <ns0:t>Machine Learning</ns0:t>
        </ns0:is>
      </ns0:c>
      <ns0:c r="J105" s="19" t="inlineStr">
        <ns0:is>
          <ns0:t>Neuroimaging</ns0:t>
        </ns0:is>
      </ns0:c>
      <ns0:c r="K105" s="19" t="inlineStr">
        <ns0:is>
          <ns0:t>Factor-analysis features with supervised classifier</ns0:t>
        </ns0:is>
      </ns0:c>
      <ns0:c r="L105" s="19" t="inlineStr">
        <ns0:is>
          <ns0:t>Other specified method</ns0:t>
        </ns0:is>
      </ns0:c>
      <ns0:c r="M105" s="19" t="inlineStr">
        <ns0:is>
          <ns0:t>Research only</ns0:t>
        </ns0:is>
      </ns0:c>
      <ns0:c r="N105" s="19" t="inlineStr">
        <ns0:is>
          <ns0:t>Automated measurement/classification</ns0:t>
        </ns0:is>
      </ns0:c>
      <ns0:c r="O105" s="19" t="inlineStr">
        <ns0:is>
          <ns0:t>Not observed in assessed sources</ns0:t>
        </ns0:is>
      </ns0:c>
      <ns0:c r="P105" s="19" t="inlineStr">
        <ns0:is>
          <ns0:t>Not observed in assessed sources</ns0:t>
        </ns0:is>
      </ns0:c>
      <ns0:c r="Q105" s="19" t="inlineStr">
        <ns0:is>
          <ns0:t>Not reported in assessed sources</ns0:t>
        </ns0:is>
      </ns0:c>
      <ns0:c r="R105" s="19" t="inlineStr">
        <ns0:is>
          <ns0:t>Not reported in assessed sources</ns0:t>
        </ns0:is>
      </ns0:c>
      <ns0:c r="S105" s="19" t="inlineStr">
        <ns0:is>
          <ns0:t>Not reported in assessed sources</ns0:t>
        </ns0:is>
      </ns0:c>
      <ns0:c r="T105" s="19" t="inlineStr">
        <ns0:is>
          <ns0:t>Not reported in assessed sources</ns0:t>
        </ns0:is>
      </ns0:c>
      <ns0:c r="U105" s="19" t="inlineStr">
        <ns0:is>
          <ns0:t>Not reported in assessed sources</ns0:t>
        </ns0:is>
      </ns0:c>
      <ns0:c r="V105" s="19" t="inlineStr">
        <ns0:is>
          <ns0:t>Not reported in assessed sources</ns0:t>
        </ns0:is>
      </ns0:c>
      <ns0:c r="W105" s="19" t="inlineStr">
        <ns0:is>
          <ns0:t>Not reported in assessed sources</ns0:t>
        </ns0:is>
      </ns0:c>
      <ns0:c r="X105" s="19" t="inlineStr">
        <ns0:is>
          <ns0:t>Not reported in assessed sources</ns0:t>
        </ns0:is>
      </ns0:c>
      <ns0:c r="Y105" s="19" t="inlineStr">
        <ns0:is>
          <ns0:t>Not ascertainable</ns0:t>
        </ns0:is>
      </ns0:c>
      <ns0:c r="Z105" s="19" t="inlineStr">
        <ns0:is>
          <ns0:t>Not reported in assessed sources</ns0:t>
        </ns0:is>
      </ns0:c>
      <ns0:c r="AA105" s="19" t="inlineStr">
        <ns0:is>
          <ns0:t>Not recorded</ns0:t>
        </ns0:is>
      </ns0:c>
      <ns0:c r="AB105" s="26" t="n">
        <ns0:v>0</ns0:v>
      </ns0:c>
      <ns0:c r="AC105" s="26" t="n">
        <ns0:v>0</ns0:v>
      </ns0:c>
      <ns0:c r="AD105" s="27">
        <ns0:f>IF(AND(G105=1,AB105=0),1,0)</ns0:f>
        <ns0:v>1</ns0:v>
      </ns0:c>
      <ns0:c r="AE105" s="27">
        <ns0:f>IF(AND(AD105=1,AC105=0),1,0)</ns0:f>
        <ns0:v>1</ns0:v>
      </ns0:c>
      <ns0:c r="AF105" s="27">
        <ns0:f>IF(AND(G105=1,H105&lt;&gt;"Not specified"),1,0)</ns0:f>
        <ns0:v>1</ns0:v>
      </ns0:c>
      <ns0:c r="AG105" s="27">
        <ns0:f>IF(AND(AE105=1,AF105=1),1,0)</ns0:f>
        <ns0:v>1</ns0:v>
      </ns0:c>
      <ns0:c r="AH105" s="19" t="inlineStr">
        <ns0:is>
          <ns0:t>Supplied abstract/coding notes; no new full-text verification</ns0:t>
        </ns0:is>
      </ns0:c>
      <ns0:c r="AI105" s="19" t="inlineStr">
        <ns0:is>
          <ns0:t>https://doi.org/10.1371/journal.pone.0113879</ns0:t>
        </ns0:is>
      </ns0:c>
      <ns0:c r="AJ105" s="19" t="inlineStr">
        <ns0:is>
          <ns0:t>EVIDENCIA; original abstract/coding notes and lot source trace; Historical signals: title/abstract/notes; full-text completion not independently established</ns0:t>
        </ns0:is>
      </ns0:c>
      <ns0:c r="AK105" s="19" t="inlineStr">
        <ns0:is>
          <ns0:t>fMRI social-concept representations discriminate ASD. Principal classifier family is not named in accessible abstract.</ns0:t>
        </ns0:is>
      </ns0:c>
      <ns0:c r="AL105" s="19" t="inlineStr">
        <ns0:is>
          <ns0:t>Not applicable</ns0:t>
        </ns0:is>
      </ns0:c>
      <ns0:c r="AM105" s="19" t="inlineStr">
        <ns0:is>
          <ns0:t>Not separately specified</ns0:t>
        </ns0:is>
      </ns0:c>
      <ns0:c r="AN105" s="19" t="inlineStr"/>
      <ns0:c r="AO105" s="19" t="inlineStr">
        <ns0:is>
          <ns0:t>No additional status determination</ns0:t>
        </ns0:is>
      </ns0:c>
      <ns0:c r="AP105" s="19" t="inlineStr">
        <ns0:is>
          <ns0:t>Not documented for this recharting</ns0:t>
        </ns0:is>
      </ns0:c>
      <ns0:c r="AQ105" s="19" t="inlineStr">
        <ns0:is>
          <ns0:t>ChatGPT-assisted evidence recharting, 2026-09-08</ns0:t>
        </ns0:is>
      </ns0:c>
      <ns0:c r="AR105" s="19" t="inlineStr">
        <ns0:is>
          <ns0:t>RA</ns0:t>
        </ns0:is>
      </ns0:c>
      <ns0:c r="AS105" s="19" t="inlineStr">
        <ns0:is>
          <ns0:t>Not recorded; historical inclusion retained</ns0:t>
        </ns0:is>
      </ns0:c>
    </ns0:row>
    <ns0:row r="106" ht="50" customHeight="1">
      <ns0:c r="A106" s="21" t="inlineStr">
        <ns0:is>
          <ns0:t>110</ns0:t>
        </ns0:is>
      </ns0:c>
      <ns0:c r="B106" s="21" t="inlineStr">
        <ns0:is>
          <ns0:t>Historical</ns0:t>
        </ns0:is>
      </ns0:c>
      <ns0:c r="C106" s="21" t="inlineStr">
        <ns0:is>
          <ns0:t>Identifying Language and Cognitive Profiles in Children With ASD via a Cluster Analysis Exploration: Implications for the New ICD-11</ns0:t>
        </ns0:is>
      </ns0:c>
      <ns0:c r="D106" s="21" t="inlineStr">
        <ns0:is>
          <ns0:t>10.1002/aur.2268</ns0:t>
        </ns0:is>
      </ns0:c>
      <ns0:c r="E106" s="28" t="n">
        <ns0:v>2020</ns0:v>
      </ns0:c>
      <ns0:c r="F106" s="21" t="inlineStr">
        <ns0:is>
          <ns0:t>Include</ns0:t>
        </ns0:is>
      </ns0:c>
      <ns0:c r="G106" s="29">
        <ns0:f>IF(F106="Include",1,0)</ns0:f>
        <ns0:v>1</ns0:v>
      </ns0:c>
      <ns0:c r="H106" s="21" t="inlineStr">
        <ns0:is>
          <ns0:t>Diagnosis</ns0:t>
        </ns0:is>
      </ns0:c>
      <ns0:c r="I106" s="21" t="inlineStr">
        <ns0:is>
          <ns0:t>Machine Learning</ns0:t>
        </ns0:is>
      </ns0:c>
      <ns0:c r="J106" s="21" t="inlineStr">
        <ns0:is>
          <ns0:t>Structured clinical/questionnaire data</ns0:t>
        </ns0:is>
      </ns0:c>
      <ns0:c r="K106" s="21" t="inlineStr">
        <ns0:is>
          <ns0:t>Cluster analysis</ns0:t>
        </ns0:is>
      </ns0:c>
      <ns0:c r="L106" s="21" t="inlineStr">
        <ns0:is>
          <ns0:t>Other specified method</ns0:t>
        </ns0:is>
      </ns0:c>
      <ns0:c r="M106" s="21" t="inlineStr">
        <ns0:is>
          <ns0:t>Research only</ns0:t>
        </ns0:is>
      </ns0:c>
      <ns0:c r="N106" s="21" t="inlineStr">
        <ns0:is>
          <ns0:t>Automated measurement/classification</ns0:t>
        </ns0:is>
      </ns0:c>
      <ns0:c r="O106" s="21" t="inlineStr">
        <ns0:is>
          <ns0:t>Not observed in assessed sources</ns0:t>
        </ns0:is>
      </ns0:c>
      <ns0:c r="P106" s="21" t="inlineStr">
        <ns0:is>
          <ns0:t>Not observed in assessed sources</ns0:t>
        </ns0:is>
      </ns0:c>
      <ns0:c r="Q106" s="21" t="inlineStr">
        <ns0:is>
          <ns0:t>Not reported in assessed sources</ns0:t>
        </ns0:is>
      </ns0:c>
      <ns0:c r="R106" s="21" t="inlineStr">
        <ns0:is>
          <ns0:t>Reported</ns0:t>
        </ns0:is>
      </ns0:c>
      <ns0:c r="S106" s="21" t="inlineStr">
        <ns0:is>
          <ns0:t>Not reported in assessed sources</ns0:t>
        </ns0:is>
      </ns0:c>
      <ns0:c r="T106" s="21" t="inlineStr">
        <ns0:is>
          <ns0:t>Not reported in assessed sources</ns0:t>
        </ns0:is>
      </ns0:c>
      <ns0:c r="U106" s="21" t="inlineStr">
        <ns0:is>
          <ns0:t>Not reported in assessed sources</ns0:t>
        </ns0:is>
      </ns0:c>
      <ns0:c r="V106" s="21" t="inlineStr">
        <ns0:is>
          <ns0:t>Not reported in assessed sources</ns0:t>
        </ns0:is>
      </ns0:c>
      <ns0:c r="W106" s="21" t="inlineStr">
        <ns0:is>
          <ns0:t>Reported</ns0:t>
        </ns0:is>
      </ns0:c>
      <ns0:c r="X106" s="21" t="inlineStr">
        <ns0:is>
          <ns0:t>Not reported in assessed sources</ns0:t>
        </ns0:is>
      </ns0:c>
      <ns0:c r="Y106" s="21" t="inlineStr">
        <ns0:is>
          <ns0:t>Not ascertainable</ns0:t>
        </ns0:is>
      </ns0:c>
      <ns0:c r="Z106" s="21" t="inlineStr">
        <ns0:is>
          <ns0:t>Not reported in assessed sources</ns0:t>
        </ns0:is>
      </ns0:c>
      <ns0:c r="AA106" s="21" t="inlineStr">
        <ns0:is>
          <ns0:t>Not recorded</ns0:t>
        </ns0:is>
      </ns0:c>
      <ns0:c r="AB106" s="28" t="n">
        <ns0:v>0</ns0:v>
      </ns0:c>
      <ns0:c r="AC106" s="28" t="n">
        <ns0:v>0</ns0:v>
      </ns0:c>
      <ns0:c r="AD106" s="29">
        <ns0:f>IF(AND(G106=1,AB106=0),1,0)</ns0:f>
        <ns0:v>1</ns0:v>
      </ns0:c>
      <ns0:c r="AE106" s="29">
        <ns0:f>IF(AND(AD106=1,AC106=0),1,0)</ns0:f>
        <ns0:v>1</ns0:v>
      </ns0:c>
      <ns0:c r="AF106" s="29">
        <ns0:f>IF(AND(G106=1,H106&lt;&gt;"Not specified"),1,0)</ns0:f>
        <ns0:v>1</ns0:v>
      </ns0:c>
      <ns0:c r="AG106" s="29">
        <ns0:f>IF(AND(AE106=1,AF106=1),1,0)</ns0:f>
        <ns0:v>1</ns0:v>
      </ns0:c>
      <ns0:c r="AH106" s="21" t="inlineStr">
        <ns0:is>
          <ns0:t>Supplied abstract/coding notes; no new full-text verification</ns0:t>
        </ns0:is>
      </ns0:c>
      <ns0:c r="AI106" s="21" t="inlineStr">
        <ns0:is>
          <ns0:t>https://doi.org/10.1002/aur.2268</ns0:t>
        </ns0:is>
      </ns0:c>
      <ns0:c r="AJ106" s="21" t="inlineStr">
        <ns0:is>
          <ns0:t>EVIDENCIA; original abstract/coding notes and lot source trace; Historical signals: title/abstract/notes; full-text completion not independently established</ns0:t>
        </ns0:is>
      </ns0:c>
      <ns0:c r="AK106" s="21" t="inlineStr">
        <ns0:is>
          <ns0:t>Language-task and nonverbal test scores define cognitive/linguistic clinical profiles, not NLP text classification or deep learning.</ns0:t>
        </ns0:is>
      </ns0:c>
      <ns0:c r="AL106" s="21" t="inlineStr">
        <ns0:is>
          <ns0:t>Not applicable</ns0:t>
        </ns0:is>
      </ns0:c>
      <ns0:c r="AM106" s="21" t="inlineStr">
        <ns0:is>
          <ns0:t>Not separately specified</ns0:t>
        </ns0:is>
      </ns0:c>
      <ns0:c r="AN106" s="21" t="inlineStr"/>
      <ns0:c r="AO106" s="21" t="inlineStr">
        <ns0:is>
          <ns0:t>No additional status determination</ns0:t>
        </ns0:is>
      </ns0:c>
      <ns0:c r="AP106" s="21" t="inlineStr">
        <ns0:is>
          <ns0:t>Not documented for this recharting</ns0:t>
        </ns0:is>
      </ns0:c>
      <ns0:c r="AQ106" s="21" t="inlineStr">
        <ns0:is>
          <ns0:t>ChatGPT-assisted evidence recharting, 2026-09-08</ns0:t>
        </ns0:is>
      </ns0:c>
      <ns0:c r="AR106" s="21" t="inlineStr"/>
      <ns0:c r="AS106" s="21" t="inlineStr">
        <ns0:is>
          <ns0:t>Not recorded; historical inclusion retained</ns0:t>
        </ns0:is>
      </ns0:c>
    </ns0:row>
    <ns0:row r="107" ht="50" customHeight="1">
      <ns0:c r="A107" s="19" t="inlineStr">
        <ns0:is>
          <ns0:t>111</ns0:t>
        </ns0:is>
      </ns0:c>
      <ns0:c r="B107" s="19" t="inlineStr">
        <ns0:is>
          <ns0:t>Historical</ns0:t>
        </ns0:is>
      </ns0:c>
      <ns0:c r="C107" s="19" t="inlineStr">
        <ns0:is>
          <ns0:t>On the Utility of Parents' Historical Data to Investigate the Causes of Autism Spectrum Disorder: A Data Mining-Based Framework</ns0:t>
        </ns0:is>
      </ns0:c>
      <ns0:c r="D107" s="19" t="inlineStr">
        <ns0:is>
          <ns0:t>10.1016/j.irbm.2023.100780</ns0:t>
        </ns0:is>
      </ns0:c>
      <ns0:c r="E107" s="26" t="n">
        <ns0:v>2023</ns0:v>
      </ns0:c>
      <ns0:c r="F107" s="19" t="inlineStr">
        <ns0:is>
          <ns0:t>Include</ns0:t>
        </ns0:is>
      </ns0:c>
      <ns0:c r="G107" s="27">
        <ns0:f>IF(F107="Include",1,0)</ns0:f>
        <ns0:v>1</ns0:v>
      </ns0:c>
      <ns0:c r="H107" s="19" t="inlineStr">
        <ns0:is>
          <ns0:t>Prescreening</ns0:t>
        </ns0:is>
      </ns0:c>
      <ns0:c r="I107" s="19" t="inlineStr">
        <ns0:is>
          <ns0:t>Machine Learning</ns0:t>
        </ns0:is>
      </ns0:c>
      <ns0:c r="J107" s="19" t="inlineStr">
        <ns0:is>
          <ns0:t>Structured clinical/questionnaire data</ns0:t>
        </ns0:is>
      </ns0:c>
      <ns0:c r="K107" s="19" t="inlineStr">
        <ns0:is>
          <ns0:t>SVM</ns0:t>
        </ns0:is>
      </ns0:c>
      <ns0:c r="L107" s="19" t="inlineStr">
        <ns0:is>
          <ns0:t>SVM</ns0:t>
        </ns0:is>
      </ns0:c>
      <ns0:c r="M107" s="19" t="inlineStr">
        <ns0:is>
          <ns0:t>Research only</ns0:t>
        </ns0:is>
      </ns0:c>
      <ns0:c r="N107" s="19" t="inlineStr">
        <ns0:is>
          <ns0:t>Risk/trajectory estimation</ns0:t>
        </ns0:is>
      </ns0:c>
      <ns0:c r="O107" s="19" t="inlineStr">
        <ns0:is>
          <ns0:t>Not observed in assessed sources</ns0:t>
        </ns0:is>
      </ns0:c>
      <ns0:c r="P107" s="19" t="inlineStr">
        <ns0:is>
          <ns0:t>Not observed in assessed sources</ns0:t>
        </ns0:is>
      </ns0:c>
      <ns0:c r="Q107" s="19" t="inlineStr">
        <ns0:is>
          <ns0:t>Not reported in assessed sources</ns0:t>
        </ns0:is>
      </ns0:c>
      <ns0:c r="R107" s="19" t="inlineStr">
        <ns0:is>
          <ns0:t>Not reported in assessed sources</ns0:t>
        </ns0:is>
      </ns0:c>
      <ns0:c r="S107" s="19" t="inlineStr">
        <ns0:is>
          <ns0:t>Reported</ns0:t>
        </ns0:is>
      </ns0:c>
      <ns0:c r="T107" s="19" t="inlineStr">
        <ns0:is>
          <ns0:t>Not reported in assessed sources</ns0:t>
        </ns0:is>
      </ns0:c>
      <ns0:c r="U107" s="19" t="inlineStr">
        <ns0:is>
          <ns0:t>Not reported in assessed sources</ns0:t>
        </ns0:is>
      </ns0:c>
      <ns0:c r="V107" s="19" t="inlineStr">
        <ns0:is>
          <ns0:t>Not reported in assessed sources</ns0:t>
        </ns0:is>
      </ns0:c>
      <ns0:c r="W107" s="19" t="inlineStr">
        <ns0:is>
          <ns0:t>Not reported in assessed sources</ns0:t>
        </ns0:is>
      </ns0:c>
      <ns0:c r="X107" s="19" t="inlineStr">
        <ns0:is>
          <ns0:t>Not reported in assessed sources</ns0:t>
        </ns0:is>
      </ns0:c>
      <ns0:c r="Y107" s="19" t="inlineStr">
        <ns0:is>
          <ns0:t>Not ascertainable</ns0:t>
        </ns0:is>
      </ns0:c>
      <ns0:c r="Z107" s="19" t="inlineStr">
        <ns0:is>
          <ns0:t>Reported</ns0:t>
        </ns0:is>
      </ns0:c>
      <ns0:c r="AA107" s="19" t="inlineStr">
        <ns0:is>
          <ns0:t>Not recorded</ns0:t>
        </ns0:is>
      </ns0:c>
      <ns0:c r="AB107" s="26" t="n">
        <ns0:v>0</ns0:v>
      </ns0:c>
      <ns0:c r="AC107" s="26" t="n">
        <ns0:v>0</ns0:v>
      </ns0:c>
      <ns0:c r="AD107" s="27">
        <ns0:f>IF(AND(G107=1,AB107=0),1,0)</ns0:f>
        <ns0:v>1</ns0:v>
      </ns0:c>
      <ns0:c r="AE107" s="27">
        <ns0:f>IF(AND(AD107=1,AC107=0),1,0)</ns0:f>
        <ns0:v>1</ns0:v>
      </ns0:c>
      <ns0:c r="AF107" s="27">
        <ns0:f>IF(AND(G107=1,H107&lt;&gt;"Not specified"),1,0)</ns0:f>
        <ns0:v>1</ns0:v>
      </ns0:c>
      <ns0:c r="AG107" s="27">
        <ns0:f>IF(AND(AE107=1,AF107=1),1,0)</ns0:f>
        <ns0:v>1</ns0:v>
      </ns0:c>
      <ns0:c r="AH107" s="19" t="inlineStr">
        <ns0:is>
          <ns0:t>Supplied abstract/coding notes; no new full-text verification</ns0:t>
        </ns0:is>
      </ns0:c>
      <ns0:c r="AI107" s="19" t="inlineStr">
        <ns0:is>
          <ns0:t>https://doi.org/10.1016/j.irbm.2023.100780</ns0:t>
        </ns0:is>
      </ns0:c>
      <ns0:c r="AJ107" s="19" t="inlineStr">
        <ns0:is>
          <ns0:t>EVIDENCIA; original abstract/coding notes and lot source trace; Historical signals: title/abstract/notes; full-text completion not independently established</ns0:t>
        </ns0:is>
      </ns0:c>
      <ns0:c r="AK107" s="19" t="inlineStr">
        <ns0:is>
          <ns0:t>Parent-history tabular data and data-mining feature selection; SVM is the principal predictive classifier. Combining clustering and SVM is not a deep-learning hybrid.</ns0:t>
        </ns0:is>
      </ns0:c>
      <ns0:c r="AL107" s="19" t="inlineStr">
        <ns0:is>
          <ns0:t>Not applicable</ns0:t>
        </ns0:is>
      </ns0:c>
      <ns0:c r="AM107" s="19" t="inlineStr">
        <ns0:is>
          <ns0:t>Not separately specified</ns0:t>
        </ns0:is>
      </ns0:c>
      <ns0:c r="AN107" s="19" t="inlineStr"/>
      <ns0:c r="AO107" s="19" t="inlineStr">
        <ns0:is>
          <ns0:t>No additional status determination</ns0:t>
        </ns0:is>
      </ns0:c>
      <ns0:c r="AP107" s="19" t="inlineStr">
        <ns0:is>
          <ns0:t>Not documented for this recharting</ns0:t>
        </ns0:is>
      </ns0:c>
      <ns0:c r="AQ107" s="19" t="inlineStr">
        <ns0:is>
          <ns0:t>ChatGPT-assisted evidence recharting, 2026-09-08</ns0:t>
        </ns0:is>
      </ns0:c>
      <ns0:c r="AR107" s="19" t="inlineStr">
        <ns0:is>
          <ns0:t>RA</ns0:t>
        </ns0:is>
      </ns0:c>
      <ns0:c r="AS107" s="19" t="inlineStr">
        <ns0:is>
          <ns0:t>Not recorded; historical inclusion retained</ns0:t>
        </ns0:is>
      </ns0:c>
    </ns0:row>
    <ns0:row r="108" ht="50" customHeight="1">
      <ns0:c r="A108" s="21" t="inlineStr">
        <ns0:is>
          <ns0:t>112</ns0:t>
        </ns0:is>
      </ns0:c>
      <ns0:c r="B108" s="21" t="inlineStr">
        <ns0:is>
          <ns0:t>Historical</ns0:t>
        </ns0:is>
      </ns0:c>
      <ns0:c r="C108" s="21" t="inlineStr">
        <ns0:is>
          <ns0:t>Structural variants identified using non-Mendelian inheritance patterns advance the mechanistic understanding of autism spectrum disorder</ns0:t>
        </ns0:is>
      </ns0:c>
      <ns0:c r="D108" s="21" t="inlineStr">
        <ns0:is>
          <ns0:t>10.1016/j.xhgg.2022.100150</ns0:t>
        </ns0:is>
      </ns0:c>
      <ns0:c r="E108" s="28" t="n">
        <ns0:v>2023</ns0:v>
      </ns0:c>
      <ns0:c r="F108" s="21" t="inlineStr">
        <ns0:is>
          <ns0:t>Include</ns0:t>
        </ns0:is>
      </ns0:c>
      <ns0:c r="G108" s="29">
        <ns0:f>IF(F108="Include",1,0)</ns0:f>
        <ns0:v>1</ns0:v>
      </ns0:c>
      <ns0:c r="H108" s="21" t="inlineStr">
        <ns0:is>
          <ns0:t>Diagnosis</ns0:t>
        </ns0:is>
      </ns0:c>
      <ns0:c r="I108" s="21" t="inlineStr">
        <ns0:is>
          <ns0:t>Machine Learning</ns0:t>
        </ns0:is>
      </ns0:c>
      <ns0:c r="J108" s="21" t="inlineStr">
        <ns0:is>
          <ns0:t>Biological/omics</ns0:t>
        </ns0:is>
      </ns0:c>
      <ns0:c r="K108" s="21" t="inlineStr">
        <ns0:is>
          <ns0:t>Explainable AI subgrouping; architecture unresolved</ns0:t>
        </ns0:is>
      </ns0:c>
      <ns0:c r="L108" s="21" t="inlineStr">
        <ns0:is>
          <ns0:t>Other specified method</ns0:t>
        </ns0:is>
      </ns0:c>
      <ns0:c r="M108" s="21" t="inlineStr">
        <ns0:is>
          <ns0:t>Research only</ns0:t>
        </ns0:is>
      </ns0:c>
      <ns0:c r="N108" s="21" t="inlineStr">
        <ns0:is>
          <ns0:t>Automated measurement/classification</ns0:t>
        </ns0:is>
      </ns0:c>
      <ns0:c r="O108" s="21" t="inlineStr">
        <ns0:is>
          <ns0:t>Not observed in assessed sources</ns0:t>
        </ns0:is>
      </ns0:c>
      <ns0:c r="P108" s="21" t="inlineStr">
        <ns0:is>
          <ns0:t>Not observed in assessed sources</ns0:t>
        </ns0:is>
      </ns0:c>
      <ns0:c r="Q108" s="21" t="inlineStr">
        <ns0:is>
          <ns0:t>Not reported in assessed sources</ns0:t>
        </ns0:is>
      </ns0:c>
      <ns0:c r="R108" s="21" t="inlineStr">
        <ns0:is>
          <ns0:t>Not reported in assessed sources</ns0:t>
        </ns0:is>
      </ns0:c>
      <ns0:c r="S108" s="21" t="inlineStr">
        <ns0:is>
          <ns0:t>Reported</ns0:t>
        </ns0:is>
      </ns0:c>
      <ns0:c r="T108" s="21" t="inlineStr">
        <ns0:is>
          <ns0:t>Not ascertainable</ns0:t>
        </ns0:is>
      </ns0:c>
      <ns0:c r="U108" s="21" t="inlineStr">
        <ns0:is>
          <ns0:t>Not reported in assessed sources</ns0:t>
        </ns0:is>
      </ns0:c>
      <ns0:c r="V108" s="21" t="inlineStr">
        <ns0:is>
          <ns0:t>Not reported in assessed sources</ns0:t>
        </ns0:is>
      </ns0:c>
      <ns0:c r="W108" s="21" t="inlineStr">
        <ns0:is>
          <ns0:t>Not reported in assessed sources</ns0:t>
        </ns0:is>
      </ns0:c>
      <ns0:c r="X108" s="21" t="inlineStr">
        <ns0:is>
          <ns0:t>Not reported in assessed sources</ns0:t>
        </ns0:is>
      </ns0:c>
      <ns0:c r="Y108" s="21" t="inlineStr">
        <ns0:is>
          <ns0:t>Not ascertainable</ns0:t>
        </ns0:is>
      </ns0:c>
      <ns0:c r="Z108" s="21" t="inlineStr">
        <ns0:is>
          <ns0:t>Reported</ns0:t>
        </ns0:is>
      </ns0:c>
      <ns0:c r="AA108" s="21" t="inlineStr">
        <ns0:is>
          <ns0:t>Not recorded</ns0:t>
        </ns0:is>
      </ns0:c>
      <ns0:c r="AB108" s="28" t="n">
        <ns0:v>0</ns0:v>
      </ns0:c>
      <ns0:c r="AC108" s="28" t="n">
        <ns0:v>0</ns0:v>
      </ns0:c>
      <ns0:c r="AD108" s="29">
        <ns0:f>IF(AND(G108=1,AB108=0),1,0)</ns0:f>
        <ns0:v>1</ns0:v>
      </ns0:c>
      <ns0:c r="AE108" s="29">
        <ns0:f>IF(AND(AD108=1,AC108=0),1,0)</ns0:f>
        <ns0:v>1</ns0:v>
      </ns0:c>
      <ns0:c r="AF108" s="29">
        <ns0:f>IF(AND(G108=1,H108&lt;&gt;"Not specified"),1,0)</ns0:f>
        <ns0:v>1</ns0:v>
      </ns0:c>
      <ns0:c r="AG108" s="29">
        <ns0:f>IF(AND(AE108=1,AF108=1),1,0)</ns0:f>
        <ns0:v>1</ns0:v>
      </ns0:c>
      <ns0:c r="AH108" s="21" t="inlineStr">
        <ns0:is>
          <ns0:t>Supplied abstract/coding notes; no new full-text verification</ns0:t>
        </ns0:is>
      </ns0:c>
      <ns0:c r="AI108" s="21" t="inlineStr">
        <ns0:is>
          <ns0:t>https://doi.org/10.1016/j.xhgg.2022.100150</ns0:t>
        </ns0:is>
      </ns0:c>
      <ns0:c r="AJ108" s="21" t="inlineStr">
        <ns0:is>
          <ns0:t>EVIDENCIA; original abstract/coding notes and lot source trace; Historical signals: title/abstract/notes; full-text completion not independently established</ns0:t>
        </ns0:is>
      </ns0:c>
      <ns0:c r="AK108" s="21" t="inlineStr">
        <ns0:is>
          <ns0:t>Human family genotypes and structural-variant subgroups linked to ASD phenotypes. Not natural-language data; explicit explainable AI analysis is retained without inventing a family.</ns0:t>
        </ns0:is>
      </ns0:c>
      <ns0:c r="AL108" s="21" t="inlineStr">
        <ns0:is>
          <ns0:t>Not applicable</ns0:t>
        </ns0:is>
      </ns0:c>
      <ns0:c r="AM108" s="21" t="inlineStr">
        <ns0:is>
          <ns0:t>Not separately specified</ns0:t>
        </ns0:is>
      </ns0:c>
      <ns0:c r="AN108" s="21" t="inlineStr"/>
      <ns0:c r="AO108" s="21" t="inlineStr">
        <ns0:is>
          <ns0:t>No additional status determination</ns0:t>
        </ns0:is>
      </ns0:c>
      <ns0:c r="AP108" s="21" t="inlineStr">
        <ns0:is>
          <ns0:t>Not documented for this recharting</ns0:t>
        </ns0:is>
      </ns0:c>
      <ns0:c r="AQ108" s="21" t="inlineStr">
        <ns0:is>
          <ns0:t>ChatGPT-assisted evidence recharting, 2026-09-08</ns0:t>
        </ns0:is>
      </ns0:c>
      <ns0:c r="AR108" s="21" t="inlineStr">
        <ns0:is>
          <ns0:t>RA</ns0:t>
        </ns0:is>
      </ns0:c>
      <ns0:c r="AS108" s="21" t="inlineStr">
        <ns0:is>
          <ns0:t>Not recorded; historical inclusion retained</ns0:t>
        </ns0:is>
      </ns0:c>
    </ns0:row>
    <ns0:row r="109" ht="50" customHeight="1">
      <ns0:c r="A109" s="19" t="inlineStr">
        <ns0:is>
          <ns0:t>113</ns0:t>
        </ns0:is>
      </ns0:c>
      <ns0:c r="B109" s="19" t="inlineStr">
        <ns0:is>
          <ns0:t>Historical</ns0:t>
        </ns0:is>
      </ns0:c>
      <ns0:c r="C109" s="19" t="inlineStr">
        <ns0:is>
          <ns0:t>Transient hearing abnormalities precede social deficits in a mouse model of autism</ns0:t>
        </ns0:is>
      </ns0:c>
      <ns0:c r="D109" s="19" t="inlineStr">
        <ns0:is>
          <ns0:t>10.1016/j.bbr.2022.114149</ns0:t>
        </ns0:is>
      </ns0:c>
      <ns0:c r="E109" s="26" t="n">
        <ns0:v>2023</ns0:v>
      </ns0:c>
      <ns0:c r="F109" s="30" t="inlineStr">
        <ns0:is>
          <ns0:t>Exclude</ns0:t>
        </ns0:is>
      </ns0:c>
      <ns0:c r="G109" s="27">
        <ns0:f>IF(F109="Include",1,0)</ns0:f>
        <ns0:v>0</ns0:v>
      </ns0:c>
      <ns0:c r="H109" s="19" t="inlineStr">
        <ns0:is>
          <ns0:t>Excluded</ns0:t>
        </ns0:is>
      </ns0:c>
      <ns0:c r="I109" s="19" t="inlineStr">
        <ns0:is>
          <ns0:t>Excluded</ns0:t>
        </ns0:is>
      </ns0:c>
      <ns0:c r="J109" s="19" t="inlineStr">
        <ns0:is>
          <ns0:t>Excluded</ns0:t>
        </ns0:is>
      </ns0:c>
      <ns0:c r="K109" s="19" t="inlineStr">
        <ns0:is>
          <ns0:t>SVM</ns0:t>
        </ns0:is>
      </ns0:c>
      <ns0:c r="L109" s="19" t="inlineStr">
        <ns0:is>
          <ns0:t>SVM</ns0:t>
        </ns0:is>
      </ns0:c>
      <ns0:c r="M109" s="19" t="inlineStr">
        <ns0:is>
          <ns0:t>Excluded</ns0:t>
        </ns0:is>
      </ns0:c>
      <ns0:c r="N109" s="19" t="inlineStr">
        <ns0:is>
          <ns0:t>Excluded</ns0:t>
        </ns0:is>
      </ns0:c>
      <ns0:c r="O109" s="19" t="inlineStr">
        <ns0:is>
          <ns0:t>Not applicable - excluded</ns0:t>
        </ns0:is>
      </ns0:c>
      <ns0:c r="P109" s="19" t="inlineStr">
        <ns0:is>
          <ns0:t>Not applicable - excluded</ns0:t>
        </ns0:is>
      </ns0:c>
      <ns0:c r="Q109" s="19" t="inlineStr">
        <ns0:is>
          <ns0:t>Not reported in assessed sources</ns0:t>
        </ns0:is>
      </ns0:c>
      <ns0:c r="R109" s="19" t="inlineStr">
        <ns0:is>
          <ns0:t>Not reported in assessed sources</ns0:t>
        </ns0:is>
      </ns0:c>
      <ns0:c r="S109" s="19" t="inlineStr">
        <ns0:is>
          <ns0:t>Not reported in assessed sources</ns0:t>
        </ns0:is>
      </ns0:c>
      <ns0:c r="T109" s="19" t="inlineStr">
        <ns0:is>
          <ns0:t>Not reported in assessed sources</ns0:t>
        </ns0:is>
      </ns0:c>
      <ns0:c r="U109" s="19" t="inlineStr">
        <ns0:is>
          <ns0:t>Not reported in assessed sources</ns0:t>
        </ns0:is>
      </ns0:c>
      <ns0:c r="V109" s="19" t="inlineStr">
        <ns0:is>
          <ns0:t>Not reported in assessed sources</ns0:t>
        </ns0:is>
      </ns0:c>
      <ns0:c r="W109" s="19" t="inlineStr">
        <ns0:is>
          <ns0:t>Not reported in assessed sources</ns0:t>
        </ns0:is>
      </ns0:c>
      <ns0:c r="X109" s="19" t="inlineStr">
        <ns0:is>
          <ns0:t>Not reported in assessed sources</ns0:t>
        </ns0:is>
      </ns0:c>
      <ns0:c r="Y109" s="19" t="inlineStr">
        <ns0:is>
          <ns0:t>Not ascertainable</ns0:t>
        </ns0:is>
      </ns0:c>
      <ns0:c r="Z109" s="19" t="inlineStr">
        <ns0:is>
          <ns0:t>Not reported in assessed sources</ns0:t>
        </ns0:is>
      </ns0:c>
      <ns0:c r="AA109" s="19" t="inlineStr">
        <ns0:is>
          <ns0:t>Not recorded</ns0:t>
        </ns0:is>
      </ns0:c>
      <ns0:c r="AB109" s="26" t="n">
        <ns0:v>0</ns0:v>
      </ns0:c>
      <ns0:c r="AC109" s="26" t="n">
        <ns0:v>0</ns0:v>
      </ns0:c>
      <ns0:c r="AD109" s="27">
        <ns0:f>IF(AND(G109=1,AB109=0),1,0)</ns0:f>
        <ns0:v>0</ns0:v>
      </ns0:c>
      <ns0:c r="AE109" s="27">
        <ns0:f>IF(AND(AD109=1,AC109=0),1,0)</ns0:f>
        <ns0:v>0</ns0:v>
      </ns0:c>
      <ns0:c r="AF109" s="27">
        <ns0:f>IF(AND(G109=1,H109&lt;&gt;"Not specified"),1,0)</ns0:f>
        <ns0:v>0</ns0:v>
      </ns0:c>
      <ns0:c r="AG109" s="27">
        <ns0:f>IF(AND(AE109=1,AF109=1),1,0)</ns0:f>
        <ns0:v>0</ns0:v>
      </ns0:c>
      <ns0:c r="AH109" s="19" t="inlineStr">
        <ns0:is>
          <ns0:t>Supplied abstract/coding notes; no new full-text verification</ns0:t>
        </ns0:is>
      </ns0:c>
      <ns0:c r="AI109" s="19" t="inlineStr">
        <ns0:is>
          <ns0:t>https://doi.org/10.1016/j.bbr.2022.114149</ns0:t>
        </ns0:is>
      </ns0:c>
      <ns0:c r="AJ109" s="19" t="inlineStr">
        <ns0:is>
          <ns0:t>EVIDENCIA; original abstract/coding notes and lot source trace; Historical signals: title/abstract/notes; full-text completion not independently established</ns0:t>
        </ns0:is>
      </ns0:c>
      <ns0:c r="AK109" s="19" t="inlineStr">
        <ns0:is>
          <ns0:t>Shank3B knockout mouse auditory-response/genotype prediction; no human ASD model evaluated.</ns0:t>
        </ns0:is>
      </ns0:c>
      <ns0:c r="AL109" s="19" t="inlineStr">
        <ns0:is>
          <ns0:t>EC6 Non-human study</ns0:t>
        </ns0:is>
      </ns0:c>
      <ns0:c r="AM109" s="19" t="inlineStr">
        <ns0:is>
          <ns0:t>Not separately specified</ns0:t>
        </ns0:is>
      </ns0:c>
      <ns0:c r="AN109" s="19" t="inlineStr"/>
      <ns0:c r="AO109" s="19" t="inlineStr">
        <ns0:is>
          <ns0:t>No additional status determination</ns0:t>
        </ns0:is>
      </ns0:c>
      <ns0:c r="AP109" s="19" t="inlineStr">
        <ns0:is>
          <ns0:t>Not documented for this recharting</ns0:t>
        </ns0:is>
      </ns0:c>
      <ns0:c r="AQ109" s="19" t="inlineStr">
        <ns0:is>
          <ns0:t>ChatGPT-assisted evidence recharting, 2026-09-08</ns0:t>
        </ns0:is>
      </ns0:c>
      <ns0:c r="AR109" s="19" t="inlineStr"/>
      <ns0:c r="AS109" s="19" t="inlineStr">
        <ns0:is>
          <ns0:t>Not recorded; historical inclusion retained</ns0:t>
        </ns0:is>
      </ns0:c>
    </ns0:row>
    <ns0:row r="110" ht="50" customHeight="1">
      <ns0:c r="A110" s="21" t="inlineStr">
        <ns0:is>
          <ns0:t>114</ns0:t>
        </ns0:is>
      </ns0:c>
      <ns0:c r="B110" s="21" t="inlineStr">
        <ns0:is>
          <ns0:t>Historical</ns0:t>
        </ns0:is>
      </ns0:c>
      <ns0:c r="C110" s="21" t="inlineStr">
        <ns0:is>
          <ns0:t>Early-stage identification of autism in children using gesture monitoring based on artificial intelligence</ns0:t>
        </ns0:is>
      </ns0:c>
      <ns0:c r="D110" s="21" t="inlineStr">
        <ns0:is>
          <ns0:t>10.1016/b978-0-443-19073-5.00018-5</ns0:t>
        </ns0:is>
      </ns0:c>
      <ns0:c r="E110" s="28" t="n">
        <ns0:v>2024</ns0:v>
      </ns0:c>
      <ns0:c r="F110" s="30" t="inlineStr">
        <ns0:is>
          <ns0:t>Exclude</ns0:t>
        </ns0:is>
      </ns0:c>
      <ns0:c r="G110" s="29">
        <ns0:f>IF(F110="Include",1,0)</ns0:f>
        <ns0:v>0</ns0:v>
      </ns0:c>
      <ns0:c r="H110" s="21" t="inlineStr">
        <ns0:is>
          <ns0:t>Excluded</ns0:t>
        </ns0:is>
      </ns0:c>
      <ns0:c r="I110" s="21" t="inlineStr">
        <ns0:is>
          <ns0:t>Excluded</ns0:t>
        </ns0:is>
      </ns0:c>
      <ns0:c r="J110" s="21" t="inlineStr">
        <ns0:is>
          <ns0:t>Excluded</ns0:t>
        </ns0:is>
      </ns0:c>
      <ns0:c r="K110" s="21" t="inlineStr">
        <ns0:is>
          <ns0:t>Not specified</ns0:t>
        </ns0:is>
      </ns0:c>
      <ns0:c r="L110" s="21" t="inlineStr">
        <ns0:is>
          <ns0:t>Multiple/not uniquely specified</ns0:t>
        </ns0:is>
      </ns0:c>
      <ns0:c r="M110" s="21" t="inlineStr">
        <ns0:is>
          <ns0:t>Excluded</ns0:t>
        </ns0:is>
      </ns0:c>
      <ns0:c r="N110" s="21" t="inlineStr">
        <ns0:is>
          <ns0:t>Excluded</ns0:t>
        </ns0:is>
      </ns0:c>
      <ns0:c r="O110" s="21" t="inlineStr">
        <ns0:is>
          <ns0:t>Not applicable - excluded</ns0:t>
        </ns0:is>
      </ns0:c>
      <ns0:c r="P110" s="21" t="inlineStr">
        <ns0:is>
          <ns0:t>Not applicable - excluded</ns0:t>
        </ns0:is>
      </ns0:c>
      <ns0:c r="Q110" s="21" t="inlineStr">
        <ns0:is>
          <ns0:t>Not reported in assessed sources</ns0:t>
        </ns0:is>
      </ns0:c>
      <ns0:c r="R110" s="21" t="inlineStr">
        <ns0:is>
          <ns0:t>Not reported in assessed sources</ns0:t>
        </ns0:is>
      </ns0:c>
      <ns0:c r="S110" s="21" t="inlineStr">
        <ns0:is>
          <ns0:t>Not reported in assessed sources</ns0:t>
        </ns0:is>
      </ns0:c>
      <ns0:c r="T110" s="21" t="inlineStr">
        <ns0:is>
          <ns0:t>Not reported in assessed sources</ns0:t>
        </ns0:is>
      </ns0:c>
      <ns0:c r="U110" s="21" t="inlineStr">
        <ns0:is>
          <ns0:t>Not reported in assessed sources</ns0:t>
        </ns0:is>
      </ns0:c>
      <ns0:c r="V110" s="21" t="inlineStr">
        <ns0:is>
          <ns0:t>Not reported in assessed sources</ns0:t>
        </ns0:is>
      </ns0:c>
      <ns0:c r="W110" s="21" t="inlineStr">
        <ns0:is>
          <ns0:t>Not reported in assessed sources</ns0:t>
        </ns0:is>
      </ns0:c>
      <ns0:c r="X110" s="21" t="inlineStr">
        <ns0:is>
          <ns0:t>Not reported in assessed sources</ns0:t>
        </ns0:is>
      </ns0:c>
      <ns0:c r="Y110" s="21" t="inlineStr">
        <ns0:is>
          <ns0:t>Not ascertainable</ns0:t>
        </ns0:is>
      </ns0:c>
      <ns0:c r="Z110" s="21" t="inlineStr">
        <ns0:is>
          <ns0:t>Not reported in assessed sources</ns0:t>
        </ns0:is>
      </ns0:c>
      <ns0:c r="AA110" s="21" t="inlineStr">
        <ns0:is>
          <ns0:t>Not recorded</ns0:t>
        </ns0:is>
      </ns0:c>
      <ns0:c r="AB110" s="28" t="n">
        <ns0:v>0</ns0:v>
      </ns0:c>
      <ns0:c r="AC110" s="28" t="n">
        <ns0:v>0</ns0:v>
      </ns0:c>
      <ns0:c r="AD110" s="29">
        <ns0:f>IF(AND(G110=1,AB110=0),1,0)</ns0:f>
        <ns0:v>0</ns0:v>
      </ns0:c>
      <ns0:c r="AE110" s="29">
        <ns0:f>IF(AND(AD110=1,AC110=0),1,0)</ns0:f>
        <ns0:v>0</ns0:v>
      </ns0:c>
      <ns0:c r="AF110" s="29">
        <ns0:f>IF(AND(G110=1,H110&lt;&gt;"Not specified"),1,0)</ns0:f>
        <ns0:v>0</ns0:v>
      </ns0:c>
      <ns0:c r="AG110" s="29">
        <ns0:f>IF(AND(AE110=1,AF110=1),1,0)</ns0:f>
        <ns0:v>0</ns0:v>
      </ns0:c>
      <ns0:c r="AH110" s="21" t="inlineStr">
        <ns0:is>
          <ns0:t>Supplied abstract/coding notes; no new full-text verification</ns0:t>
        </ns0:is>
      </ns0:c>
      <ns0:c r="AI110" s="21" t="inlineStr">
        <ns0:is>
          <ns0:t>https://doi.org/10.1016/b978-0-443-19073-5.00018-5</ns0:t>
        </ns0:is>
      </ns0:c>
      <ns0:c r="AJ110" s="21" t="inlineStr">
        <ns0:is>
          <ns0:t>EVIDENCIA; original abstract/coding notes and lot source trace; Historical signals: title/abstract/notes; full-text completion not independently established</ns0:t>
        </ns0:is>
      </ns0:c>
      <ns0:c r="AK110" s="21" t="inlineStr">
        <ns0:is>
          <ns0:t>Standalone edited-book chapter (Elsevier book DOI B978...) rather than an eligible journal article or identified full conference proceeding; inherited update criteria exclude standalone chapters.</ns0:t>
        </ns0:is>
      </ns0:c>
      <ns0:c r="AL110" s="21" t="inlineStr">
        <ns0:is>
          <ns0:t>EC1 Ineligible publication type</ns0:t>
        </ns0:is>
      </ns0:c>
      <ns0:c r="AM110" s="21" t="inlineStr">
        <ns0:is>
          <ns0:t>Not separately specified</ns0:t>
        </ns0:is>
      </ns0:c>
      <ns0:c r="AN110" s="21" t="inlineStr"/>
      <ns0:c r="AO110" s="21" t="inlineStr">
        <ns0:is>
          <ns0:t>No additional status determination</ns0:t>
        </ns0:is>
      </ns0:c>
      <ns0:c r="AP110" s="21" t="inlineStr">
        <ns0:is>
          <ns0:t>Not documented for this recharting</ns0:t>
        </ns0:is>
      </ns0:c>
      <ns0:c r="AQ110" s="21" t="inlineStr">
        <ns0:is>
          <ns0:t>ChatGPT-assisted evidence recharting, 2026-09-08</ns0:t>
        </ns0:is>
      </ns0:c>
      <ns0:c r="AR110" s="21" t="inlineStr"/>
      <ns0:c r="AS110" s="21" t="inlineStr">
        <ns0:is>
          <ns0:t>Not recorded; historical inclusion retained</ns0:t>
        </ns0:is>
      </ns0:c>
    </ns0:row>
    <ns0:row r="111" ht="50" customHeight="1">
      <ns0:c r="A111" s="19" t="inlineStr">
        <ns0:is>
          <ns0:t>115</ns0:t>
        </ns0:is>
      </ns0:c>
      <ns0:c r="B111" s="19" t="inlineStr">
        <ns0:is>
          <ns0:t>Historical</ns0:t>
        </ns0:is>
      </ns0:c>
      <ns0:c r="C111" s="19" t="inlineStr">
        <ns0:is>
          <ns0:t>Electromagnetic Interaction Algorithm (EIA)-Based Feature Selection With Adaptive Kernel Attention Network (AKAttNet) for Autism Spectrum Disorder Classification</ns0:t>
        </ns0:is>
      </ns0:c>
      <ns0:c r="D111" s="19" t="inlineStr">
        <ns0:is>
          <ns0:t>10.1002/jdn.70034</ns0:t>
        </ns0:is>
      </ns0:c>
      <ns0:c r="E111" s="26" t="n">
        <ns0:v>2025</ns0:v>
      </ns0:c>
      <ns0:c r="F111" s="19" t="inlineStr">
        <ns0:is>
          <ns0:t>Include</ns0:t>
        </ns0:is>
      </ns0:c>
      <ns0:c r="G111" s="27">
        <ns0:f>IF(F111="Include",1,0)</ns0:f>
        <ns0:v>1</ns0:v>
      </ns0:c>
      <ns0:c r="H111" s="19" t="inlineStr">
        <ns0:is>
          <ns0:t>Screening</ns0:t>
        </ns0:is>
      </ns0:c>
      <ns0:c r="I111" s="19" t="inlineStr">
        <ns0:is>
          <ns0:t>Deep Learning</ns0:t>
        </ns0:is>
      </ns0:c>
      <ns0:c r="J111" s="19" t="inlineStr">
        <ns0:is>
          <ns0:t>Not specified</ns0:t>
        </ns0:is>
      </ns0:c>
      <ns0:c r="K111" s="19" t="inlineStr">
        <ns0:is>
          <ns0:t>Adaptive kernel attention network with EIA feature selection</ns0:t>
        </ns0:is>
      </ns0:c>
      <ns0:c r="L111" s="19" t="inlineStr">
        <ns0:is>
          <ns0:t>Other specified method</ns0:t>
        </ns0:is>
      </ns0:c>
      <ns0:c r="M111" s="19" t="inlineStr">
        <ns0:is>
          <ns0:t>Research only</ns0:t>
        </ns0:is>
      </ns0:c>
      <ns0:c r="N111" s="19" t="inlineStr">
        <ns0:is>
          <ns0:t>Triage/questionnaire assessment</ns0:t>
        </ns0:is>
      </ns0:c>
      <ns0:c r="O111" s="19" t="inlineStr">
        <ns0:is>
          <ns0:t>Not observed in assessed sources</ns0:t>
        </ns0:is>
      </ns0:c>
      <ns0:c r="P111" s="19" t="inlineStr">
        <ns0:is>
          <ns0:t>Not observed in assessed sources</ns0:t>
        </ns0:is>
      </ns0:c>
      <ns0:c r="Q111" s="19" t="inlineStr">
        <ns0:is>
          <ns0:t>Not reported in assessed sources</ns0:t>
        </ns0:is>
      </ns0:c>
      <ns0:c r="R111" s="19" t="inlineStr">
        <ns0:is>
          <ns0:t>Not reported in assessed sources</ns0:t>
        </ns0:is>
      </ns0:c>
      <ns0:c r="S111" s="19" t="inlineStr">
        <ns0:is>
          <ns0:t>Not reported in assessed sources</ns0:t>
        </ns0:is>
      </ns0:c>
      <ns0:c r="T111" s="19" t="inlineStr">
        <ns0:is>
          <ns0:t>Not reported in assessed sources</ns0:t>
        </ns0:is>
      </ns0:c>
      <ns0:c r="U111" s="19" t="inlineStr">
        <ns0:is>
          <ns0:t>Not reported in assessed sources</ns0:t>
        </ns0:is>
      </ns0:c>
      <ns0:c r="V111" s="19" t="inlineStr">
        <ns0:is>
          <ns0:t>Not reported in assessed sources</ns0:t>
        </ns0:is>
      </ns0:c>
      <ns0:c r="W111" s="19" t="inlineStr">
        <ns0:is>
          <ns0:t>Not reported in assessed sources</ns0:t>
        </ns0:is>
      </ns0:c>
      <ns0:c r="X111" s="19" t="inlineStr">
        <ns0:is>
          <ns0:t>Not reported in assessed sources</ns0:t>
        </ns0:is>
      </ns0:c>
      <ns0:c r="Y111" s="19" t="inlineStr">
        <ns0:is>
          <ns0:t>Not ascertainable</ns0:t>
        </ns0:is>
      </ns0:c>
      <ns0:c r="Z111" s="19" t="inlineStr">
        <ns0:is>
          <ns0:t>Not reported in assessed sources</ns0:t>
        </ns0:is>
      </ns0:c>
      <ns0:c r="AA111" s="19" t="inlineStr">
        <ns0:is>
          <ns0:t>Not recorded</ns0:t>
        </ns0:is>
      </ns0:c>
      <ns0:c r="AB111" s="26" t="n">
        <ns0:v>0</ns0:v>
      </ns0:c>
      <ns0:c r="AC111" s="26" t="n">
        <ns0:v>0</ns0:v>
      </ns0:c>
      <ns0:c r="AD111" s="27">
        <ns0:f>IF(AND(G111=1,AB111=0),1,0)</ns0:f>
        <ns0:v>1</ns0:v>
      </ns0:c>
      <ns0:c r="AE111" s="27">
        <ns0:f>IF(AND(AD111=1,AC111=0),1,0)</ns0:f>
        <ns0:v>1</ns0:v>
      </ns0:c>
      <ns0:c r="AF111" s="27">
        <ns0:f>IF(AND(G111=1,H111&lt;&gt;"Not specified"),1,0)</ns0:f>
        <ns0:v>1</ns0:v>
      </ns0:c>
      <ns0:c r="AG111" s="27">
        <ns0:f>IF(AND(AE111=1,AF111=1),1,0)</ns0:f>
        <ns0:v>1</ns0:v>
      </ns0:c>
      <ns0:c r="AH111" s="19" t="inlineStr">
        <ns0:is>
          <ns0:t>Supplied abstract/coding notes; no new full-text verification</ns0:t>
        </ns0:is>
      </ns0:c>
      <ns0:c r="AI111" s="19" t="inlineStr">
        <ns0:is>
          <ns0:t>https://doi.org/10.1002/jdn.70034</ns0:t>
        </ns0:is>
      </ns0:c>
      <ns0:c r="AJ111" s="19" t="inlineStr">
        <ns0:is>
          <ns0:t>EVIDENCIA; original abstract/coding notes and lot source trace; Historical signals: title/abstract/notes; full-text completion not independently established</ns0:t>
        </ns0:is>
      </ns0:c>
      <ns0:c r="AK111" s="19" t="inlineStr">
        <ns0:is>
          <ns0:t>Kernel-attention architecture and optimization are stated; a metaheuristic plus neural classifier is not automatically a conventional ML-DL hybrid. Input source remains unresolved.</ns0:t>
        </ns0:is>
      </ns0:c>
      <ns0:c r="AL111" s="19" t="inlineStr">
        <ns0:is>
          <ns0:t>Not applicable</ns0:t>
        </ns0:is>
      </ns0:c>
      <ns0:c r="AM111" s="19" t="inlineStr">
        <ns0:is>
          <ns0:t>Not separately specified</ns0:t>
        </ns0:is>
      </ns0:c>
      <ns0:c r="AN111" s="19" t="inlineStr"/>
      <ns0:c r="AO111" s="19" t="inlineStr">
        <ns0:is>
          <ns0:t>No additional status determination</ns0:t>
        </ns0:is>
      </ns0:c>
      <ns0:c r="AP111" s="19" t="inlineStr">
        <ns0:is>
          <ns0:t>Not documented for this recharting</ns0:t>
        </ns0:is>
      </ns0:c>
      <ns0:c r="AQ111" s="19" t="inlineStr">
        <ns0:is>
          <ns0:t>ChatGPT-assisted evidence recharting, 2026-09-08</ns0:t>
        </ns0:is>
      </ns0:c>
      <ns0:c r="AR111" s="19" t="inlineStr">
        <ns0:is>
          <ns0:t>RA</ns0:t>
        </ns0:is>
      </ns0:c>
      <ns0:c r="AS111" s="19" t="inlineStr">
        <ns0:is>
          <ns0:t>Not recorded; historical inclusion retained</ns0:t>
        </ns0:is>
      </ns0:c>
    </ns0:row>
    <ns0:row r="112" ht="50" customHeight="1">
      <ns0:c r="A112" s="21" t="inlineStr">
        <ns0:is>
          <ns0:t>116</ns0:t>
        </ns0:is>
      </ns0:c>
      <ns0:c r="B112" s="21" t="inlineStr">
        <ns0:is>
          <ns0:t>Historical</ns0:t>
        </ns0:is>
      </ns0:c>
      <ns0:c r="C112" s="21" t="inlineStr">
        <ns0:is>
          <ns0:t>Use of machine learning for behavioral distinction of autism and ADHD</ns0:t>
        </ns0:is>
      </ns0:c>
      <ns0:c r="D112" s="21" t="inlineStr">
        <ns0:is>
          <ns0:t>10.1038/tp.2015.221</ns0:t>
        </ns0:is>
      </ns0:c>
      <ns0:c r="E112" s="28" t="n">
        <ns0:v>2016</ns0:v>
      </ns0:c>
      <ns0:c r="F112" s="21" t="inlineStr">
        <ns0:is>
          <ns0:t>Include</ns0:t>
        </ns0:is>
      </ns0:c>
      <ns0:c r="G112" s="29">
        <ns0:f>IF(F112="Include",1,0)</ns0:f>
        <ns0:v>1</ns0:v>
      </ns0:c>
      <ns0:c r="H112" s="21" t="inlineStr">
        <ns0:is>
          <ns0:t>Screening</ns0:t>
        </ns0:is>
      </ns0:c>
      <ns0:c r="I112" s="21" t="inlineStr">
        <ns0:is>
          <ns0:t>Machine Learning</ns0:t>
        </ns0:is>
      </ns0:c>
      <ns0:c r="J112" s="21" t="inlineStr">
        <ns0:is>
          <ns0:t>Structured clinical/questionnaire data</ns0:t>
        </ns0:is>
      </ns0:c>
      <ns0:c r="K112" s="21" t="inlineStr">
        <ns0:is>
          <ns0:t>Multiple classifiers with forward feature selection</ns0:t>
        </ns0:is>
      </ns0:c>
      <ns0:c r="L112" s="21" t="inlineStr">
        <ns0:is>
          <ns0:t>Multiple/not uniquely specified</ns0:t>
        </ns0:is>
      </ns0:c>
      <ns0:c r="M112" s="21" t="inlineStr">
        <ns0:is>
          <ns0:t>Proposed only</ns0:t>
        </ns0:is>
      </ns0:c>
      <ns0:c r="N112" s="21" t="inlineStr">
        <ns0:is>
          <ns0:t>Triage/questionnaire assessment</ns0:t>
        </ns0:is>
      </ns0:c>
      <ns0:c r="O112" s="21" t="inlineStr">
        <ns0:is>
          <ns0:t>Pre-decision</ns0:t>
        </ns0:is>
      </ns0:c>
      <ns0:c r="P112" s="21" t="inlineStr">
        <ns0:is>
          <ns0:t>Not observed in assessed sources</ns0:t>
        </ns0:is>
      </ns0:c>
      <ns0:c r="Q112" s="21" t="inlineStr">
        <ns0:is>
          <ns0:t>Not reported in assessed sources</ns0:t>
        </ns0:is>
      </ns0:c>
      <ns0:c r="R112" s="21" t="inlineStr">
        <ns0:is>
          <ns0:t>Not reported in assessed sources</ns0:t>
        </ns0:is>
      </ns0:c>
      <ns0:c r="S112" s="21" t="inlineStr">
        <ns0:is>
          <ns0:t>Not reported in assessed sources</ns0:t>
        </ns0:is>
      </ns0:c>
      <ns0:c r="T112" s="21" t="inlineStr">
        <ns0:is>
          <ns0:t>Not reported in assessed sources</ns0:t>
        </ns0:is>
      </ns0:c>
      <ns0:c r="U112" s="21" t="inlineStr">
        <ns0:is>
          <ns0:t>Not reported in assessed sources</ns0:t>
        </ns0:is>
      </ns0:c>
      <ns0:c r="V112" s="21" t="inlineStr">
        <ns0:is>
          <ns0:t>Not reported in assessed sources</ns0:t>
        </ns0:is>
      </ns0:c>
      <ns0:c r="W112" s="21" t="inlineStr">
        <ns0:is>
          <ns0:t>Not reported in assessed sources</ns0:t>
        </ns0:is>
      </ns0:c>
      <ns0:c r="X112" s="21" t="inlineStr">
        <ns0:is>
          <ns0:t>Not reported in assessed sources</ns0:t>
        </ns0:is>
      </ns0:c>
      <ns0:c r="Y112" s="21" t="inlineStr">
        <ns0:is>
          <ns0:t>Not ascertainable</ns0:t>
        </ns0:is>
      </ns0:c>
      <ns0:c r="Z112" s="21" t="inlineStr">
        <ns0:is>
          <ns0:t>Not reported in assessed sources</ns0:t>
        </ns0:is>
      </ns0:c>
      <ns0:c r="AA112" s="21" t="inlineStr">
        <ns0:is>
          <ns0:t>Not recorded</ns0:t>
        </ns0:is>
      </ns0:c>
      <ns0:c r="AB112" s="28" t="n">
        <ns0:v>0</ns0:v>
      </ns0:c>
      <ns0:c r="AC112" s="28" t="n">
        <ns0:v>0</ns0:v>
      </ns0:c>
      <ns0:c r="AD112" s="29">
        <ns0:f>IF(AND(G112=1,AB112=0),1,0)</ns0:f>
        <ns0:v>1</ns0:v>
      </ns0:c>
      <ns0:c r="AE112" s="29">
        <ns0:f>IF(AND(AD112=1,AC112=0),1,0)</ns0:f>
        <ns0:v>1</ns0:v>
      </ns0:c>
      <ns0:c r="AF112" s="29">
        <ns0:f>IF(AND(G112=1,H112&lt;&gt;"Not specified"),1,0)</ns0:f>
        <ns0:v>1</ns0:v>
      </ns0:c>
      <ns0:c r="AG112" s="29">
        <ns0:f>IF(AND(AE112=1,AF112=1),1,0)</ns0:f>
        <ns0:v>1</ns0:v>
      </ns0:c>
      <ns0:c r="AH112" s="21" t="inlineStr">
        <ns0:is>
          <ns0:t>Supplied abstract/coding notes; no new full-text verification</ns0:t>
        </ns0:is>
      </ns0:c>
      <ns0:c r="AI112" s="21" t="inlineStr">
        <ns0:is>
          <ns0:t>https://doi.org/10.1038/tp.2015.221</ns0:t>
        </ns0:is>
      </ns0:c>
      <ns0:c r="AJ112" s="21" t="inlineStr">
        <ns0:is>
          <ns0:t>EVIDENCIA; original abstract/coding notes and lot source trace; Historical signals: title/abstract/notes; full-text completion not independently established</ns0:t>
        </ns0:is>
      </ns0:c>
      <ns0:c r="AK112" s="21" t="inlineStr">
        <ns0:is>
          <ns0:t>SRS item reduction for caregiver-directed preclinical screening/triage is explicitly proposed; no clinical deployment. Differential ASD/ADHD classification uses structured instrument scores.</ns0:t>
        </ns0:is>
      </ns0:c>
      <ns0:c r="AL112" s="21" t="inlineStr">
        <ns0:is>
          <ns0:t>Not applicable</ns0:t>
        </ns0:is>
      </ns0:c>
      <ns0:c r="AM112" s="21" t="inlineStr">
        <ns0:is>
          <ns0:t>Not separately specified</ns0:t>
        </ns0:is>
      </ns0:c>
      <ns0:c r="AN112" s="21" t="inlineStr"/>
      <ns0:c r="AO112" s="21" t="inlineStr">
        <ns0:is>
          <ns0:t>No additional status determination</ns0:t>
        </ns0:is>
      </ns0:c>
      <ns0:c r="AP112" s="21" t="inlineStr">
        <ns0:is>
          <ns0:t>Not documented for this recharting</ns0:t>
        </ns0:is>
      </ns0:c>
      <ns0:c r="AQ112" s="21" t="inlineStr">
        <ns0:is>
          <ns0:t>ChatGPT-assisted evidence recharting, 2026-09-08</ns0:t>
        </ns0:is>
      </ns0:c>
      <ns0:c r="AR112" s="21" t="inlineStr">
        <ns0:is>
          <ns0:t>RA</ns0:t>
        </ns0:is>
      </ns0:c>
      <ns0:c r="AS112" s="21" t="inlineStr">
        <ns0:is>
          <ns0:t>Not recorded; historical inclusion retained</ns0:t>
        </ns0:is>
      </ns0:c>
    </ns0:row>
    <ns0:row r="113" ht="50" customHeight="1">
      <ns0:c r="A113" s="19" t="inlineStr">
        <ns0:is>
          <ns0:t>117</ns0:t>
        </ns0:is>
      </ns0:c>
      <ns0:c r="B113" s="19" t="inlineStr">
        <ns0:is>
          <ns0:t>Historical</ns0:t>
        </ns0:is>
      </ns0:c>
      <ns0:c r="C113" s="19" t="inlineStr">
        <ns0:is>
          <ns0:t>A Machine Learning Strategy for Autism Screening in Toddlers</ns0:t>
        </ns0:is>
      </ns0:c>
      <ns0:c r="D113" s="19" t="inlineStr">
        <ns0:is>
          <ns0:t>10.1097/dbp.0000000000000668</ns0:t>
        </ns0:is>
      </ns0:c>
      <ns0:c r="E113" s="26" t="n">
        <ns0:v>2019</ns0:v>
      </ns0:c>
      <ns0:c r="F113" s="19" t="inlineStr">
        <ns0:is>
          <ns0:t>Include</ns0:t>
        </ns0:is>
      </ns0:c>
      <ns0:c r="G113" s="27">
        <ns0:f>IF(F113="Include",1,0)</ns0:f>
        <ns0:v>1</ns0:v>
      </ns0:c>
      <ns0:c r="H113" s="19" t="inlineStr">
        <ns0:is>
          <ns0:t>Screening</ns0:t>
        </ns0:is>
      </ns0:c>
      <ns0:c r="I113" s="19" t="inlineStr">
        <ns0:is>
          <ns0:t>Machine Learning</ns0:t>
        </ns0:is>
      </ns0:c>
      <ns0:c r="J113" s="19" t="inlineStr">
        <ns0:is>
          <ns0:t>Structured clinical/questionnaire data</ns0:t>
        </ns0:is>
      </ns0:c>
      <ns0:c r="K113" s="19" t="inlineStr">
        <ns0:is>
          <ns0:t>Feedforward neural network</ns0:t>
        </ns0:is>
      </ns0:c>
      <ns0:c r="L113" s="19" t="inlineStr">
        <ns0:is>
          <ns0:t>Other specified method</ns0:t>
        </ns0:is>
      </ns0:c>
      <ns0:c r="M113" s="19" t="inlineStr">
        <ns0:is>
          <ns0:t>Proposed only</ns0:t>
        </ns0:is>
      </ns0:c>
      <ns0:c r="N113" s="19" t="inlineStr">
        <ns0:is>
          <ns0:t>Triage/questionnaire assessment</ns0:t>
        </ns0:is>
      </ns0:c>
      <ns0:c r="O113" s="19" t="inlineStr">
        <ns0:is>
          <ns0:t>Pre-decision</ns0:t>
        </ns0:is>
      </ns0:c>
      <ns0:c r="P113" s="19" t="inlineStr">
        <ns0:is>
          <ns0:t>Not observed in assessed sources</ns0:t>
        </ns0:is>
      </ns0:c>
      <ns0:c r="Q113" s="19" t="inlineStr">
        <ns0:is>
          <ns0:t>Not reported in assessed sources</ns0:t>
        </ns0:is>
      </ns0:c>
      <ns0:c r="R113" s="19" t="inlineStr">
        <ns0:is>
          <ns0:t>Not reported in assessed sources</ns0:t>
        </ns0:is>
      </ns0:c>
      <ns0:c r="S113" s="19" t="inlineStr">
        <ns0:is>
          <ns0:t>Reported</ns0:t>
        </ns0:is>
      </ns0:c>
      <ns0:c r="T113" s="19" t="inlineStr">
        <ns0:is>
          <ns0:t>Not reported in assessed sources</ns0:t>
        </ns0:is>
      </ns0:c>
      <ns0:c r="U113" s="19" t="inlineStr">
        <ns0:is>
          <ns0:t>Not reported in assessed sources</ns0:t>
        </ns0:is>
      </ns0:c>
      <ns0:c r="V113" s="19" t="inlineStr">
        <ns0:is>
          <ns0:t>Not reported in assessed sources</ns0:t>
        </ns0:is>
      </ns0:c>
      <ns0:c r="W113" s="19" t="inlineStr">
        <ns0:is>
          <ns0:t>Not reported in assessed sources</ns0:t>
        </ns0:is>
      </ns0:c>
      <ns0:c r="X113" s="19" t="inlineStr">
        <ns0:is>
          <ns0:t>Not reported in assessed sources</ns0:t>
        </ns0:is>
      </ns0:c>
      <ns0:c r="Y113" s="19" t="inlineStr">
        <ns0:is>
          <ns0:t>Not ascertainable</ns0:t>
        </ns0:is>
      </ns0:c>
      <ns0:c r="Z113" s="19" t="inlineStr">
        <ns0:is>
          <ns0:t>Reported</ns0:t>
        </ns0:is>
      </ns0:c>
      <ns0:c r="AA113" s="19" t="inlineStr">
        <ns0:is>
          <ns0:t>Not recorded</ns0:t>
        </ns0:is>
      </ns0:c>
      <ns0:c r="AB113" s="26" t="n">
        <ns0:v>0</ns0:v>
      </ns0:c>
      <ns0:c r="AC113" s="26" t="n">
        <ns0:v>0</ns0:v>
      </ns0:c>
      <ns0:c r="AD113" s="27">
        <ns0:f>IF(AND(G113=1,AB113=0),1,0)</ns0:f>
        <ns0:v>1</ns0:v>
      </ns0:c>
      <ns0:c r="AE113" s="27">
        <ns0:f>IF(AND(AD113=1,AC113=0),1,0)</ns0:f>
        <ns0:v>1</ns0:v>
      </ns0:c>
      <ns0:c r="AF113" s="27">
        <ns0:f>IF(AND(G113=1,H113&lt;&gt;"Not specified"),1,0)</ns0:f>
        <ns0:v>1</ns0:v>
      </ns0:c>
      <ns0:c r="AG113" s="27">
        <ns0:f>IF(AND(AE113=1,AF113=1),1,0)</ns0:f>
        <ns0:v>1</ns0:v>
      </ns0:c>
      <ns0:c r="AH113" s="19" t="inlineStr">
        <ns0:is>
          <ns0:t>Supplied abstract/coding notes; no new full-text verification</ns0:t>
        </ns0:is>
      </ns0:c>
      <ns0:c r="AI113" s="19" t="inlineStr">
        <ns0:is>
          <ns0:t>https://doi.org/10.1097/dbp.0000000000000668</ns0:t>
        </ns0:is>
      </ns0:c>
      <ns0:c r="AJ113" s="19" t="inlineStr">
        <ns0:is>
          <ns0:t>EVIDENCIA; original abstract/coding notes and lot source trace; Historical signals: title/abstract/notes; full-text completion not independently established</ns0:t>
        </ns0:is>
      </ns0:c>
      <ns0:c r="AK113" s="19" t="inlineStr">
        <ns0:is>
          <ns0:t>Archival M-CHAT-R item scoring; depth is not established, so do not label as deep learning. Future automatic scoring is proposed, not deployed in the evaluated workflow.</ns0:t>
        </ns0:is>
      </ns0:c>
      <ns0:c r="AL113" s="19" t="inlineStr">
        <ns0:is>
          <ns0:t>Not applicable</ns0:t>
        </ns0:is>
      </ns0:c>
      <ns0:c r="AM113" s="19" t="inlineStr">
        <ns0:is>
          <ns0:t>Not separately specified</ns0:t>
        </ns0:is>
      </ns0:c>
      <ns0:c r="AN113" s="19" t="inlineStr"/>
      <ns0:c r="AO113" s="19" t="inlineStr">
        <ns0:is>
          <ns0:t>No additional status determination</ns0:t>
        </ns0:is>
      </ns0:c>
      <ns0:c r="AP113" s="19" t="inlineStr">
        <ns0:is>
          <ns0:t>Not documented for this recharting</ns0:t>
        </ns0:is>
      </ns0:c>
      <ns0:c r="AQ113" s="19" t="inlineStr">
        <ns0:is>
          <ns0:t>ChatGPT-assisted evidence recharting, 2026-09-08</ns0:t>
        </ns0:is>
      </ns0:c>
      <ns0:c r="AR113" s="19" t="inlineStr">
        <ns0:is>
          <ns0:t>RA</ns0:t>
        </ns0:is>
      </ns0:c>
      <ns0:c r="AS113" s="19" t="inlineStr">
        <ns0:is>
          <ns0:t>Not recorded; historical inclusion retained</ns0:t>
        </ns0:is>
      </ns0:c>
    </ns0:row>
    <ns0:row r="114" ht="50" customHeight="1">
      <ns0:c r="A114" s="21" t="inlineStr">
        <ns0:is>
          <ns0:t>118</ns0:t>
        </ns0:is>
      </ns0:c>
      <ns0:c r="B114" s="21" t="inlineStr">
        <ns0:is>
          <ns0:t>Historical</ns0:t>
        </ns0:is>
      </ns0:c>
      <ns0:c r="C114" s="21" t="inlineStr">
        <ns0:is>
          <ns0:t>Early detection of autism using digital behavioral phenotyping</ns0:t>
        </ns0:is>
      </ns0:c>
      <ns0:c r="D114" s="21" t="inlineStr">
        <ns0:is>
          <ns0:t>10.1038/s41591-023-02574-3</ns0:t>
        </ns0:is>
      </ns0:c>
      <ns0:c r="E114" s="28" t="n">
        <ns0:v>2023</ns0:v>
      </ns0:c>
      <ns0:c r="F114" s="21" t="inlineStr">
        <ns0:is>
          <ns0:t>Include</ns0:t>
        </ns0:is>
      </ns0:c>
      <ns0:c r="G114" s="29">
        <ns0:f>IF(F114="Include",1,0)</ns0:f>
        <ns0:v>1</ns0:v>
      </ns0:c>
      <ns0:c r="H114" s="21" t="inlineStr">
        <ns0:is>
          <ns0:t>Screening</ns0:t>
        </ns0:is>
      </ns0:c>
      <ns0:c r="I114" s="21" t="inlineStr">
        <ns0:is>
          <ns0:t>Hybrid</ns0:t>
        </ns0:is>
      </ns0:c>
      <ns0:c r="J114" s="21" t="inlineStr">
        <ns0:is>
          <ns0:t>Behavioral images/video/gaze/movement</ns0:t>
        </ns0:is>
      </ns0:c>
      <ns0:c r="K114" s="21" t="inlineStr">
        <ns0:is>
          <ns0:t>Digital-phenotype feature pipeline with gradient-boosted classifier</ns0:t>
        </ns0:is>
      </ns0:c>
      <ns0:c r="L114" s="21" t="inlineStr">
        <ns0:is>
          <ns0:t>Gradient boosting</ns0:t>
        </ns0:is>
      </ns0:c>
      <ns0:c r="M114" s="21" t="inlineStr">
        <ns0:is>
          <ns0:t>Evaluated at point of use</ns0:t>
        </ns0:is>
      </ns0:c>
      <ns0:c r="N114" s="21" t="inlineStr">
        <ns0:is>
          <ns0:t>Mobile assessment</ns0:t>
        </ns0:is>
      </ns0:c>
      <ns0:c r="O114" s="21" t="inlineStr">
        <ns0:is>
          <ns0:t>Pre-decision</ns0:t>
        </ns0:is>
      </ns0:c>
      <ns0:c r="P114" s="21" t="inlineStr">
        <ns0:is>
          <ns0:t>Pre-decision</ns0:t>
        </ns0:is>
      </ns0:c>
      <ns0:c r="Q114" s="21" t="inlineStr">
        <ns0:is>
          <ns0:t>Not ascertainable</ns0:t>
        </ns0:is>
      </ns0:c>
      <ns0:c r="R114" s="21" t="inlineStr">
        <ns0:is>
          <ns0:t>Reported</ns0:t>
        </ns0:is>
      </ns0:c>
      <ns0:c r="S114" s="21" t="inlineStr">
        <ns0:is>
          <ns0:t>Not reported in assessed sources</ns0:t>
        </ns0:is>
      </ns0:c>
      <ns0:c r="T114" s="21" t="inlineStr">
        <ns0:is>
          <ns0:t>Not reported in assessed sources</ns0:t>
        </ns0:is>
      </ns0:c>
      <ns0:c r="U114" s="21" t="inlineStr">
        <ns0:is>
          <ns0:t>Not reported in assessed sources</ns0:t>
        </ns0:is>
      </ns0:c>
      <ns0:c r="V114" s="21" t="inlineStr">
        <ns0:is>
          <ns0:t>Reported</ns0:t>
        </ns0:is>
      </ns0:c>
      <ns0:c r="W114" s="21" t="inlineStr">
        <ns0:is>
          <ns0:t>Reported</ns0:t>
        </ns0:is>
      </ns0:c>
      <ns0:c r="X114" s="21" t="inlineStr">
        <ns0:is>
          <ns0:t>Reported</ns0:t>
        </ns0:is>
      </ns0:c>
      <ns0:c r="Y114" s="21" t="inlineStr">
        <ns0:is>
          <ns0:t>Reported</ns0:t>
        </ns0:is>
      </ns0:c>
      <ns0:c r="Z114" s="21" t="inlineStr">
        <ns0:is>
          <ns0:t>Not reported in assessed sources</ns0:t>
        </ns0:is>
      </ns0:c>
      <ns0:c r="AA114" s="21" t="inlineStr">
        <ns0:is>
          <ns0:t>Not recorded</ns0:t>
        </ns0:is>
      </ns0:c>
      <ns0:c r="AB114" s="28" t="n">
        <ns0:v>0</ns0:v>
      </ns0:c>
      <ns0:c r="AC114" s="28" t="n">
        <ns0:v>0</ns0:v>
      </ns0:c>
      <ns0:c r="AD114" s="29">
        <ns0:f>IF(AND(G114=1,AB114=0),1,0)</ns0:f>
        <ns0:v>1</ns0:v>
      </ns0:c>
      <ns0:c r="AE114" s="29">
        <ns0:f>IF(AND(AD114=1,AC114=0),1,0)</ns0:f>
        <ns0:v>1</ns0:v>
      </ns0:c>
      <ns0:c r="AF114" s="29">
        <ns0:f>IF(AND(G114=1,H114&lt;&gt;"Not specified"),1,0)</ns0:f>
        <ns0:v>1</ns0:v>
      </ns0:c>
      <ns0:c r="AG114" s="29">
        <ns0:f>IF(AND(AE114=1,AF114=1),1,0)</ns0:f>
        <ns0:v>1</ns0:v>
      </ns0:c>
      <ns0:c r="AH114" s="21" t="inlineStr">
        <ns0:is>
          <ns0:t>Supplied abstract/coding notes; no new full-text verification</ns0:t>
        </ns0:is>
      </ns0:c>
      <ns0:c r="AI114" s="21" t="inlineStr">
        <ns0:is>
          <ns0:t>https://doi.org/10.1038/s41591-023-02574-3</ns0:t>
        </ns0:is>
      </ns0:c>
      <ns0:c r="AJ114" s="21" t="inlineStr">
        <ns0:is>
          <ns0:t>EVIDENCIA; original abstract/coding notes and lot source trace; Historical signals: title/abstract/notes; full-text completion not independently established</ns0:t>
        </ns0:is>
      </ns0:c>
      <ns0:c r="AK114" s="21" t="inlineStr">
        <ns0:is>
          <ns0:t>Tablet behavioral app administered prospectively during pediatric well-child visits. Real point-of-use evaluation is explicit, but prospective recruitment is distinct from external frozen-model testing.</ns0:t>
        </ns0:is>
      </ns0:c>
      <ns0:c r="AL114" s="21" t="inlineStr">
        <ns0:is>
          <ns0:t>Not applicable</ns0:t>
        </ns0:is>
      </ns0:c>
      <ns0:c r="AM114" s="21" t="inlineStr">
        <ns0:is>
          <ns0:t>Not separately specified</ns0:t>
        </ns0:is>
      </ns0:c>
      <ns0:c r="AN114" s="21" t="inlineStr"/>
      <ns0:c r="AO114" s="21" t="inlineStr">
        <ns0:is>
          <ns0:t>No additional status determination</ns0:t>
        </ns0:is>
      </ns0:c>
      <ns0:c r="AP114" s="21" t="inlineStr">
        <ns0:is>
          <ns0:t>Not documented for this recharting</ns0:t>
        </ns0:is>
      </ns0:c>
      <ns0:c r="AQ114" s="21" t="inlineStr">
        <ns0:is>
          <ns0:t>ChatGPT-assisted evidence recharting, 2026-09-08</ns0:t>
        </ns0:is>
      </ns0:c>
      <ns0:c r="AR114" s="21" t="inlineStr"/>
      <ns0:c r="AS114" s="21" t="inlineStr">
        <ns0:is>
          <ns0:t>Not recorded; historical inclusion retained</ns0:t>
        </ns0:is>
      </ns0:c>
    </ns0:row>
    <ns0:row r="115" ht="50" customHeight="1">
      <ns0:c r="A115" s="19" t="inlineStr">
        <ns0:is>
          <ns0:t>119</ns0:t>
        </ns0:is>
      </ns0:c>
      <ns0:c r="B115" s="19" t="inlineStr">
        <ns0:is>
          <ns0:t>Historical</ns0:t>
        </ns0:is>
      </ns0:c>
      <ns0:c r="C115" s="19" t="inlineStr">
        <ns0:is>
          <ns0:t>Ensemble statistical and subspace clustering model for analysis of autism spectrum disorder phenotypes</ns0:t>
        </ns0:is>
      </ns0:c>
      <ns0:c r="D115" s="19" t="inlineStr">
        <ns0:is>
          <ns0:t>10.1109/embc.2016.7591440</ns0:t>
        </ns0:is>
      </ns0:c>
      <ns0:c r="E115" s="26" t="n">
        <ns0:v>2016</ns0:v>
      </ns0:c>
      <ns0:c r="F115" s="19" t="inlineStr">
        <ns0:is>
          <ns0:t>Include</ns0:t>
        </ns0:is>
      </ns0:c>
      <ns0:c r="G115" s="27">
        <ns0:f>IF(F115="Include",1,0)</ns0:f>
        <ns0:v>1</ns0:v>
      </ns0:c>
      <ns0:c r="H115" s="19" t="inlineStr">
        <ns0:is>
          <ns0:t>Diagnosis</ns0:t>
        </ns0:is>
      </ns0:c>
      <ns0:c r="I115" s="19" t="inlineStr">
        <ns0:is>
          <ns0:t>Machine Learning</ns0:t>
        </ns0:is>
      </ns0:c>
      <ns0:c r="J115" s="19" t="inlineStr">
        <ns0:is>
          <ns0:t>Structured clinical/questionnaire data</ns0:t>
        </ns0:is>
      </ns0:c>
      <ns0:c r="K115" s="19" t="inlineStr">
        <ns0:is>
          <ns0:t>Ensemble subspace clustering</ns0:t>
        </ns0:is>
      </ns0:c>
      <ns0:c r="L115" s="19" t="inlineStr">
        <ns0:is>
          <ns0:t>Clustering</ns0:t>
        </ns0:is>
      </ns0:c>
      <ns0:c r="M115" s="19" t="inlineStr">
        <ns0:is>
          <ns0:t>Research only</ns0:t>
        </ns0:is>
      </ns0:c>
      <ns0:c r="N115" s="19" t="inlineStr">
        <ns0:is>
          <ns0:t>Automated measurement/classification</ns0:t>
        </ns0:is>
      </ns0:c>
      <ns0:c r="O115" s="19" t="inlineStr">
        <ns0:is>
          <ns0:t>Not observed in assessed sources</ns0:t>
        </ns0:is>
      </ns0:c>
      <ns0:c r="P115" s="19" t="inlineStr">
        <ns0:is>
          <ns0:t>Not observed in assessed sources</ns0:t>
        </ns0:is>
      </ns0:c>
      <ns0:c r="Q115" s="19" t="inlineStr">
        <ns0:is>
          <ns0:t>Not reported in assessed sources</ns0:t>
        </ns0:is>
      </ns0:c>
      <ns0:c r="R115" s="19" t="inlineStr">
        <ns0:is>
          <ns0:t>Reported</ns0:t>
        </ns0:is>
      </ns0:c>
      <ns0:c r="S115" s="19" t="inlineStr">
        <ns0:is>
          <ns0:t>Not reported in assessed sources</ns0:t>
        </ns0:is>
      </ns0:c>
      <ns0:c r="T115" s="19" t="inlineStr">
        <ns0:is>
          <ns0:t>Not reported in assessed sources</ns0:t>
        </ns0:is>
      </ns0:c>
      <ns0:c r="U115" s="19" t="inlineStr">
        <ns0:is>
          <ns0:t>Not reported in assessed sources</ns0:t>
        </ns0:is>
      </ns0:c>
      <ns0:c r="V115" s="19" t="inlineStr">
        <ns0:is>
          <ns0:t>Not reported in assessed sources</ns0:t>
        </ns0:is>
      </ns0:c>
      <ns0:c r="W115" s="19" t="inlineStr">
        <ns0:is>
          <ns0:t>Reported</ns0:t>
        </ns0:is>
      </ns0:c>
      <ns0:c r="X115" s="19" t="inlineStr">
        <ns0:is>
          <ns0:t>Not reported in assessed sources</ns0:t>
        </ns0:is>
      </ns0:c>
      <ns0:c r="Y115" s="19" t="inlineStr">
        <ns0:is>
          <ns0:t>Not ascertainable</ns0:t>
        </ns0:is>
      </ns0:c>
      <ns0:c r="Z115" s="19" t="inlineStr">
        <ns0:is>
          <ns0:t>Not reported in assessed sources</ns0:t>
        </ns0:is>
      </ns0:c>
      <ns0:c r="AA115" s="19" t="inlineStr">
        <ns0:is>
          <ns0:t>Not recorded</ns0:t>
        </ns0:is>
      </ns0:c>
      <ns0:c r="AB115" s="26" t="n">
        <ns0:v>0</ns0:v>
      </ns0:c>
      <ns0:c r="AC115" s="26" t="n">
        <ns0:v>0</ns0:v>
      </ns0:c>
      <ns0:c r="AD115" s="27">
        <ns0:f>IF(AND(G115=1,AB115=0),1,0)</ns0:f>
        <ns0:v>1</ns0:v>
      </ns0:c>
      <ns0:c r="AE115" s="27">
        <ns0:f>IF(AND(AD115=1,AC115=0),1,0)</ns0:f>
        <ns0:v>1</ns0:v>
      </ns0:c>
      <ns0:c r="AF115" s="27">
        <ns0:f>IF(AND(G115=1,H115&lt;&gt;"Not specified"),1,0)</ns0:f>
        <ns0:v>1</ns0:v>
      </ns0:c>
      <ns0:c r="AG115" s="27">
        <ns0:f>IF(AND(AE115=1,AF115=1),1,0)</ns0:f>
        <ns0:v>1</ns0:v>
      </ns0:c>
      <ns0:c r="AH115" s="19" t="inlineStr">
        <ns0:is>
          <ns0:t>Supplied abstract/coding notes; no new full-text verification</ns0:t>
        </ns0:is>
      </ns0:c>
      <ns0:c r="AI115" s="19" t="inlineStr">
        <ns0:is>
          <ns0:t>https://doi.org/10.1109/embc.2016.7591440</ns0:t>
        </ns0:is>
      </ns0:c>
      <ns0:c r="AJ115" s="19" t="inlineStr">
        <ns0:is>
          <ns0:t>EVIDENCIA; original abstract/coding notes and lot source trace; Historical signals: title/abstract/notes; full-text completion not independently established</ns0:t>
        </ns0:is>
      </ns0:c>
      <ns0:c r="AK115" s="19" t="inlineStr">
        <ns0:is>
          <ns0:t>ADI-R/ADOS behavioral phenotyping in a single ASD cohort; diagnostic subtyping, not ongoing intervention or multiple acquisition sites.</ns0:t>
        </ns0:is>
      </ns0:c>
      <ns0:c r="AL115" s="19" t="inlineStr">
        <ns0:is>
          <ns0:t>Not applicable</ns0:t>
        </ns0:is>
      </ns0:c>
      <ns0:c r="AM115" s="19" t="inlineStr">
        <ns0:is>
          <ns0:t>Not separately specified</ns0:t>
        </ns0:is>
      </ns0:c>
      <ns0:c r="AN115" s="19" t="inlineStr"/>
      <ns0:c r="AO115" s="19" t="inlineStr">
        <ns0:is>
          <ns0:t>No additional status determination</ns0:t>
        </ns0:is>
      </ns0:c>
      <ns0:c r="AP115" s="19" t="inlineStr">
        <ns0:is>
          <ns0:t>Not documented for this recharting</ns0:t>
        </ns0:is>
      </ns0:c>
      <ns0:c r="AQ115" s="19" t="inlineStr">
        <ns0:is>
          <ns0:t>ChatGPT-assisted evidence recharting, 2026-09-08</ns0:t>
        </ns0:is>
      </ns0:c>
      <ns0:c r="AR115" s="19" t="inlineStr"/>
      <ns0:c r="AS115" s="19" t="inlineStr">
        <ns0:is>
          <ns0:t>Not recorded; historical inclusion retained</ns0:t>
        </ns0:is>
      </ns0:c>
    </ns0:row>
    <ns0:row r="116" ht="50" customHeight="1">
      <ns0:c r="A116" s="21" t="inlineStr">
        <ns0:is>
          <ns0:t>120</ns0:t>
        </ns0:is>
      </ns0:c>
      <ns0:c r="B116" s="21" t="inlineStr">
        <ns0:is>
          <ns0:t>Historical</ns0:t>
        </ns0:is>
      </ns0:c>
      <ns0:c r="C116" s="21" t="inlineStr">
        <ns0:is>
          <ns0:t>Screening autism spectrum disorder in children using machine learning on speech transcripts</ns0:t>
        </ns0:is>
      </ns0:c>
      <ns0:c r="D116" s="21" t="inlineStr">
        <ns0:is>
          <ns0:t>10.1038/s41598-025-01500-6</ns0:t>
        </ns0:is>
      </ns0:c>
      <ns0:c r="E116" s="28" t="n">
        <ns0:v>2025</ns0:v>
      </ns0:c>
      <ns0:c r="F116" s="21" t="inlineStr">
        <ns0:is>
          <ns0:t>Include</ns0:t>
        </ns0:is>
      </ns0:c>
      <ns0:c r="G116" s="29">
        <ns0:f>IF(F116="Include",1,0)</ns0:f>
        <ns0:v>1</ns0:v>
      </ns0:c>
      <ns0:c r="H116" s="21" t="inlineStr">
        <ns0:is>
          <ns0:t>Screening</ns0:t>
        </ns0:is>
      </ns0:c>
      <ns0:c r="I116" s="21" t="inlineStr">
        <ns0:is>
          <ns0:t>Machine Learning</ns0:t>
        </ns0:is>
      </ns0:c>
      <ns0:c r="J116" s="21" t="inlineStr">
        <ns0:is>
          <ns0:t>Text/language</ns0:t>
        </ns0:is>
      </ns0:c>
      <ns0:c r="K116" s="21" t="inlineStr">
        <ns0:is>
          <ns0:t>Linguistic-feature classifiers; principal family unresolved</ns0:t>
        </ns0:is>
      </ns0:c>
      <ns0:c r="L116" s="21" t="inlineStr">
        <ns0:is>
          <ns0:t>Other specified method</ns0:t>
        </ns0:is>
      </ns0:c>
      <ns0:c r="M116" s="21" t="inlineStr">
        <ns0:is>
          <ns0:t>Research only</ns0:t>
        </ns0:is>
      </ns0:c>
      <ns0:c r="N116" s="21" t="inlineStr">
        <ns0:is>
          <ns0:t>Automated measurement/classification</ns0:t>
        </ns0:is>
      </ns0:c>
      <ns0:c r="O116" s="21" t="inlineStr">
        <ns0:is>
          <ns0:t>Not observed in assessed sources</ns0:t>
        </ns0:is>
      </ns0:c>
      <ns0:c r="P116" s="21" t="inlineStr">
        <ns0:is>
          <ns0:t>Not observed in assessed sources</ns0:t>
        </ns0:is>
      </ns0:c>
      <ns0:c r="Q116" s="21" t="inlineStr">
        <ns0:is>
          <ns0:t>Not reported in assessed sources</ns0:t>
        </ns0:is>
      </ns0:c>
      <ns0:c r="R116" s="21" t="inlineStr">
        <ns0:is>
          <ns0:t>Not reported in assessed sources</ns0:t>
        </ns0:is>
      </ns0:c>
      <ns0:c r="S116" s="21" t="inlineStr">
        <ns0:is>
          <ns0:t>Not reported in assessed sources</ns0:t>
        </ns0:is>
      </ns0:c>
      <ns0:c r="T116" s="21" t="inlineStr">
        <ns0:is>
          <ns0:t>Not reported in assessed sources</ns0:t>
        </ns0:is>
      </ns0:c>
      <ns0:c r="U116" s="21" t="inlineStr">
        <ns0:is>
          <ns0:t>Not reported in assessed sources</ns0:t>
        </ns0:is>
      </ns0:c>
      <ns0:c r="V116" s="21" t="inlineStr">
        <ns0:is>
          <ns0:t>Not reported in assessed sources</ns0:t>
        </ns0:is>
      </ns0:c>
      <ns0:c r="W116" s="21" t="inlineStr">
        <ns0:is>
          <ns0:t>Not reported in assessed sources</ns0:t>
        </ns0:is>
      </ns0:c>
      <ns0:c r="X116" s="21" t="inlineStr">
        <ns0:is>
          <ns0:t>Not reported in assessed sources</ns0:t>
        </ns0:is>
      </ns0:c>
      <ns0:c r="Y116" s="21" t="inlineStr">
        <ns0:is>
          <ns0:t>Not ascertainable</ns0:t>
        </ns0:is>
      </ns0:c>
      <ns0:c r="Z116" s="21" t="inlineStr">
        <ns0:is>
          <ns0:t>Not reported in assessed sources</ns0:t>
        </ns0:is>
      </ns0:c>
      <ns0:c r="AA116" s="21" t="inlineStr">
        <ns0:is>
          <ns0:t>Not recorded</ns0:t>
        </ns0:is>
      </ns0:c>
      <ns0:c r="AB116" s="28" t="n">
        <ns0:v>0</ns0:v>
      </ns0:c>
      <ns0:c r="AC116" s="28" t="n">
        <ns0:v>0</ns0:v>
      </ns0:c>
      <ns0:c r="AD116" s="29">
        <ns0:f>IF(AND(G116=1,AB116=0),1,0)</ns0:f>
        <ns0:v>1</ns0:v>
      </ns0:c>
      <ns0:c r="AE116" s="29">
        <ns0:f>IF(AND(AD116=1,AC116=0),1,0)</ns0:f>
        <ns0:v>1</ns0:v>
      </ns0:c>
      <ns0:c r="AF116" s="29">
        <ns0:f>IF(AND(G116=1,H116&lt;&gt;"Not specified"),1,0)</ns0:f>
        <ns0:v>1</ns0:v>
      </ns0:c>
      <ns0:c r="AG116" s="29">
        <ns0:f>IF(AND(AE116=1,AF116=1),1,0)</ns0:f>
        <ns0:v>1</ns0:v>
      </ns0:c>
      <ns0:c r="AH116" s="21" t="inlineStr">
        <ns0:is>
          <ns0:t>Supplied abstract/coding notes; no new full-text verification</ns0:t>
        </ns0:is>
      </ns0:c>
      <ns0:c r="AI116" s="21" t="inlineStr">
        <ns0:is>
          <ns0:t>https://doi.org/10.1038/s41598-025-01500-6</ns0:t>
        </ns0:is>
      </ns0:c>
      <ns0:c r="AJ116" s="21" t="inlineStr">
        <ns0:is>
          <ns0:t>EVIDENCIA; original abstract/coding notes and lot source trace; Historical signals: title/abstract/notes; full-text completion not independently established</ns0:t>
        </ns0:is>
      </ns0:c>
      <ns0:c r="AK116" s="21" t="inlineStr">
        <ns0:is>
          <ns0:t>Explicitly text-only speech transcripts; excludes raw video/audio. Two transcript datasets are not fused data modalities.</ns0:t>
        </ns0:is>
      </ns0:c>
      <ns0:c r="AL116" s="21" t="inlineStr">
        <ns0:is>
          <ns0:t>Not applicable</ns0:t>
        </ns0:is>
      </ns0:c>
      <ns0:c r="AM116" s="21" t="inlineStr">
        <ns0:is>
          <ns0:t>Not separately specified</ns0:t>
        </ns0:is>
      </ns0:c>
      <ns0:c r="AN116" s="21" t="inlineStr"/>
      <ns0:c r="AO116" s="21" t="inlineStr">
        <ns0:is>
          <ns0:t>No additional status determination</ns0:t>
        </ns0:is>
      </ns0:c>
      <ns0:c r="AP116" s="21" t="inlineStr">
        <ns0:is>
          <ns0:t>Not documented for this recharting</ns0:t>
        </ns0:is>
      </ns0:c>
      <ns0:c r="AQ116" s="21" t="inlineStr">
        <ns0:is>
          <ns0:t>ChatGPT-assisted evidence recharting, 2026-09-08</ns0:t>
        </ns0:is>
      </ns0:c>
      <ns0:c r="AR116" s="21" t="inlineStr">
        <ns0:is>
          <ns0:t>RA</ns0:t>
        </ns0:is>
      </ns0:c>
      <ns0:c r="AS116" s="21" t="inlineStr">
        <ns0:is>
          <ns0:t>Not recorded; historical inclusion retained</ns0:t>
        </ns0:is>
      </ns0:c>
    </ns0:row>
    <ns0:row r="117" ht="50" customHeight="1">
      <ns0:c r="A117" s="19" t="inlineStr">
        <ns0:is>
          <ns0:t>121</ns0:t>
        </ns0:is>
      </ns0:c>
      <ns0:c r="B117" s="19" t="inlineStr">
        <ns0:is>
          <ns0:t>Historical</ns0:t>
        </ns0:is>
      </ns0:c>
      <ns0:c r="C117" s="19" t="inlineStr">
        <ns0:is>
          <ns0:t>46.3 ARTIFICIAL INTELLIGENCE: UTILIZING GOOGLE GLASS AND OTHER MOBILE APPLICATIONS FOR SOCIAL SKILLS TRAINING IN AUTISM SPECTRUM DISORDERS</ns0:t>
        </ns0:is>
      </ns0:c>
      <ns0:c r="D117" s="19" t="inlineStr">
        <ns0:is>
          <ns0:t>10.1016/j.jaac.2016.07.715</ns0:t>
        </ns0:is>
      </ns0:c>
      <ns0:c r="E117" s="26" t="n">
        <ns0:v>2016</ns0:v>
      </ns0:c>
      <ns0:c r="F117" s="30" t="inlineStr">
        <ns0:is>
          <ns0:t>Exclude</ns0:t>
        </ns0:is>
      </ns0:c>
      <ns0:c r="G117" s="27">
        <ns0:f>IF(F117="Include",1,0)</ns0:f>
        <ns0:v>0</ns0:v>
      </ns0:c>
      <ns0:c r="H117" s="19" t="inlineStr">
        <ns0:is>
          <ns0:t>Excluded</ns0:t>
        </ns0:is>
      </ns0:c>
      <ns0:c r="I117" s="19" t="inlineStr">
        <ns0:is>
          <ns0:t>Excluded</ns0:t>
        </ns0:is>
      </ns0:c>
      <ns0:c r="J117" s="19" t="inlineStr">
        <ns0:is>
          <ns0:t>Excluded</ns0:t>
        </ns0:is>
      </ns0:c>
      <ns0:c r="K117" s="19" t="inlineStr">
        <ns0:is>
          <ns0:t>Not specified</ns0:t>
        </ns0:is>
      </ns0:c>
      <ns0:c r="L117" s="19" t="inlineStr">
        <ns0:is>
          <ns0:t>Multiple/not uniquely specified</ns0:t>
        </ns0:is>
      </ns0:c>
      <ns0:c r="M117" s="19" t="inlineStr">
        <ns0:is>
          <ns0:t>Excluded</ns0:t>
        </ns0:is>
      </ns0:c>
      <ns0:c r="N117" s="19" t="inlineStr">
        <ns0:is>
          <ns0:t>Excluded</ns0:t>
        </ns0:is>
      </ns0:c>
      <ns0:c r="O117" s="19" t="inlineStr">
        <ns0:is>
          <ns0:t>Not applicable - excluded</ns0:t>
        </ns0:is>
      </ns0:c>
      <ns0:c r="P117" s="19" t="inlineStr">
        <ns0:is>
          <ns0:t>Not applicable - excluded</ns0:t>
        </ns0:is>
      </ns0:c>
      <ns0:c r="Q117" s="19" t="inlineStr">
        <ns0:is>
          <ns0:t>Not reported in assessed sources</ns0:t>
        </ns0:is>
      </ns0:c>
      <ns0:c r="R117" s="19" t="inlineStr">
        <ns0:is>
          <ns0:t>Not reported in assessed sources</ns0:t>
        </ns0:is>
      </ns0:c>
      <ns0:c r="S117" s="19" t="inlineStr">
        <ns0:is>
          <ns0:t>Not reported in assessed sources</ns0:t>
        </ns0:is>
      </ns0:c>
      <ns0:c r="T117" s="19" t="inlineStr">
        <ns0:is>
          <ns0:t>Not reported in assessed sources</ns0:t>
        </ns0:is>
      </ns0:c>
      <ns0:c r="U117" s="19" t="inlineStr">
        <ns0:is>
          <ns0:t>Not reported in assessed sources</ns0:t>
        </ns0:is>
      </ns0:c>
      <ns0:c r="V117" s="19" t="inlineStr">
        <ns0:is>
          <ns0:t>Not reported in assessed sources</ns0:t>
        </ns0:is>
      </ns0:c>
      <ns0:c r="W117" s="19" t="inlineStr">
        <ns0:is>
          <ns0:t>Not reported in assessed sources</ns0:t>
        </ns0:is>
      </ns0:c>
      <ns0:c r="X117" s="19" t="inlineStr">
        <ns0:is>
          <ns0:t>Not reported in assessed sources</ns0:t>
        </ns0:is>
      </ns0:c>
      <ns0:c r="Y117" s="19" t="inlineStr">
        <ns0:is>
          <ns0:t>Not ascertainable</ns0:t>
        </ns0:is>
      </ns0:c>
      <ns0:c r="Z117" s="19" t="inlineStr">
        <ns0:is>
          <ns0:t>Not reported in assessed sources</ns0:t>
        </ns0:is>
      </ns0:c>
      <ns0:c r="AA117" s="19" t="inlineStr">
        <ns0:is>
          <ns0:t>Not recorded</ns0:t>
        </ns0:is>
      </ns0:c>
      <ns0:c r="AB117" s="26" t="n">
        <ns0:v>0</ns0:v>
      </ns0:c>
      <ns0:c r="AC117" s="26" t="n">
        <ns0:v>0</ns0:v>
      </ns0:c>
      <ns0:c r="AD117" s="27">
        <ns0:f>IF(AND(G117=1,AB117=0),1,0)</ns0:f>
        <ns0:v>0</ns0:v>
      </ns0:c>
      <ns0:c r="AE117" s="27">
        <ns0:f>IF(AND(AD117=1,AC117=0),1,0)</ns0:f>
        <ns0:v>0</ns0:v>
      </ns0:c>
      <ns0:c r="AF117" s="27">
        <ns0:f>IF(AND(G117=1,H117&lt;&gt;"Not specified"),1,0)</ns0:f>
        <ns0:v>0</ns0:v>
      </ns0:c>
      <ns0:c r="AG117" s="27">
        <ns0:f>IF(AND(AE117=1,AF117=1),1,0)</ns0:f>
        <ns0:v>0</ns0:v>
      </ns0:c>
      <ns0:c r="AH117" s="19" t="inlineStr">
        <ns0:is>
          <ns0:t>Supplied abstract/coding notes; no new full-text verification</ns0:t>
        </ns0:is>
      </ns0:c>
      <ns0:c r="AI117" s="19" t="inlineStr">
        <ns0:is>
          <ns0:t>https://doi.org/10.1016/j.jaac.2016.07.715</ns0:t>
        </ns0:is>
      </ns0:c>
      <ns0:c r="AJ117" s="19" t="inlineStr">
        <ns0:is>
          <ns0:t>EVIDENCIA; original abstract/coding notes and lot source trace; Historical signals: title/abstract/notes; full-text completion not independently established</ns0:t>
        </ns0:is>
      </ns0:c>
      <ns0:c r="AK117" s="19" t="inlineStr">
        <ns0:is>
          <ns0:t>Numbered conference-session abstract in JAAC supplement, not a full eligible peer-reviewed conference report.</ns0:t>
        </ns0:is>
      </ns0:c>
      <ns0:c r="AL117" s="19" t="inlineStr">
        <ns0:is>
          <ns0:t>EC1 Ineligible publication type</ns0:t>
        </ns0:is>
      </ns0:c>
      <ns0:c r="AM117" s="19" t="inlineStr">
        <ns0:is>
          <ns0:t>Not separately specified</ns0:t>
        </ns0:is>
      </ns0:c>
      <ns0:c r="AN117" s="19" t="inlineStr"/>
      <ns0:c r="AO117" s="19" t="inlineStr">
        <ns0:is>
          <ns0:t>No additional status determination</ns0:t>
        </ns0:is>
      </ns0:c>
      <ns0:c r="AP117" s="19" t="inlineStr">
        <ns0:is>
          <ns0:t>Not documented for this recharting</ns0:t>
        </ns0:is>
      </ns0:c>
      <ns0:c r="AQ117" s="19" t="inlineStr">
        <ns0:is>
          <ns0:t>ChatGPT-assisted evidence recharting, 2026-09-08</ns0:t>
        </ns0:is>
      </ns0:c>
      <ns0:c r="AR117" s="19" t="inlineStr"/>
      <ns0:c r="AS117" s="19" t="inlineStr">
        <ns0:is>
          <ns0:t>Not recorded; historical inclusion retained</ns0:t>
        </ns0:is>
      </ns0:c>
    </ns0:row>
    <ns0:row r="118" ht="50" customHeight="1">
      <ns0:c r="A118" s="21" t="inlineStr">
        <ns0:is>
          <ns0:t>122</ns0:t>
        </ns0:is>
      </ns0:c>
      <ns0:c r="B118" s="21" t="inlineStr">
        <ns0:is>
          <ns0:t>Historical</ns0:t>
        </ns0:is>
      </ns0:c>
      <ns0:c r="C118" s="21" t="inlineStr">
        <ns0:is>
          <ns0:t>A Quantum-Based Machine Learning Approach for Autism Detection Using Common Spatial Patterns of EEG Signals</ns0:t>
        </ns0:is>
      </ns0:c>
      <ns0:c r="D118" s="21" t="inlineStr">
        <ns0:is>
          <ns0:t>10.1109/access.2025.3531979</ns0:t>
        </ns0:is>
      </ns0:c>
      <ns0:c r="E118" s="28" t="n">
        <ns0:v>2025</ns0:v>
      </ns0:c>
      <ns0:c r="F118" s="21" t="inlineStr">
        <ns0:is>
          <ns0:t>Include</ns0:t>
        </ns0:is>
      </ns0:c>
      <ns0:c r="G118" s="29">
        <ns0:f>IF(F118="Include",1,0)</ns0:f>
        <ns0:v>1</ns0:v>
      </ns0:c>
      <ns0:c r="H118" s="21" t="inlineStr">
        <ns0:is>
          <ns0:t>Diagnosis</ns0:t>
        </ns0:is>
      </ns0:c>
      <ns0:c r="I118" s="21" t="inlineStr">
        <ns0:is>
          <ns0:t>Machine Learning</ns0:t>
        </ns0:is>
      </ns0:c>
      <ns0:c r="J118" s="21" t="inlineStr">
        <ns0:is>
          <ns0:t>Physiological signals</ns0:t>
        </ns0:is>
      </ns0:c>
      <ns0:c r="K118" s="21" t="inlineStr">
        <ns0:is>
          <ns0:t>Quantum SVM</ns0:t>
        </ns0:is>
      </ns0:c>
      <ns0:c r="L118" s="21" t="inlineStr">
        <ns0:is>
          <ns0:t>SVM</ns0:t>
        </ns0:is>
      </ns0:c>
      <ns0:c r="M118" s="21" t="inlineStr">
        <ns0:is>
          <ns0:t>Research only</ns0:t>
        </ns0:is>
      </ns0:c>
      <ns0:c r="N118" s="21" t="inlineStr">
        <ns0:is>
          <ns0:t>Automated measurement/classification</ns0:t>
        </ns0:is>
      </ns0:c>
      <ns0:c r="O118" s="21" t="inlineStr">
        <ns0:is>
          <ns0:t>Not observed in assessed sources</ns0:t>
        </ns0:is>
      </ns0:c>
      <ns0:c r="P118" s="21" t="inlineStr">
        <ns0:is>
          <ns0:t>Not observed in assessed sources</ns0:t>
        </ns0:is>
      </ns0:c>
      <ns0:c r="Q118" s="21" t="inlineStr">
        <ns0:is>
          <ns0:t>Not reported in assessed sources</ns0:t>
        </ns0:is>
      </ns0:c>
      <ns0:c r="R118" s="21" t="inlineStr">
        <ns0:is>
          <ns0:t>Not reported in assessed sources</ns0:t>
        </ns0:is>
      </ns0:c>
      <ns0:c r="S118" s="21" t="inlineStr">
        <ns0:is>
          <ns0:t>Not reported in assessed sources</ns0:t>
        </ns0:is>
      </ns0:c>
      <ns0:c r="T118" s="21" t="inlineStr">
        <ns0:is>
          <ns0:t>Not reported in assessed sources</ns0:t>
        </ns0:is>
      </ns0:c>
      <ns0:c r="U118" s="21" t="inlineStr">
        <ns0:is>
          <ns0:t>Not reported in assessed sources</ns0:t>
        </ns0:is>
      </ns0:c>
      <ns0:c r="V118" s="21" t="inlineStr">
        <ns0:is>
          <ns0:t>Not reported in assessed sources</ns0:t>
        </ns0:is>
      </ns0:c>
      <ns0:c r="W118" s="21" t="inlineStr">
        <ns0:is>
          <ns0:t>Not reported in assessed sources</ns0:t>
        </ns0:is>
      </ns0:c>
      <ns0:c r="X118" s="21" t="inlineStr">
        <ns0:is>
          <ns0:t>Not reported in assessed sources</ns0:t>
        </ns0:is>
      </ns0:c>
      <ns0:c r="Y118" s="21" t="inlineStr">
        <ns0:is>
          <ns0:t>Not ascertainable</ns0:t>
        </ns0:is>
      </ns0:c>
      <ns0:c r="Z118" s="21" t="inlineStr">
        <ns0:is>
          <ns0:t>Not reported in assessed sources</ns0:t>
        </ns0:is>
      </ns0:c>
      <ns0:c r="AA118" s="21" t="inlineStr">
        <ns0:is>
          <ns0:t>Not recorded</ns0:t>
        </ns0:is>
      </ns0:c>
      <ns0:c r="AB118" s="28" t="n">
        <ns0:v>0</ns0:v>
      </ns0:c>
      <ns0:c r="AC118" s="28" t="n">
        <ns0:v>0</ns0:v>
      </ns0:c>
      <ns0:c r="AD118" s="29">
        <ns0:f>IF(AND(G118=1,AB118=0),1,0)</ns0:f>
        <ns0:v>1</ns0:v>
      </ns0:c>
      <ns0:c r="AE118" s="29">
        <ns0:f>IF(AND(AD118=1,AC118=0),1,0)</ns0:f>
        <ns0:v>1</ns0:v>
      </ns0:c>
      <ns0:c r="AF118" s="29">
        <ns0:f>IF(AND(G118=1,H118&lt;&gt;"Not specified"),1,0)</ns0:f>
        <ns0:v>1</ns0:v>
      </ns0:c>
      <ns0:c r="AG118" s="29">
        <ns0:f>IF(AND(AE118=1,AF118=1),1,0)</ns0:f>
        <ns0:v>1</ns0:v>
      </ns0:c>
      <ns0:c r="AH118" s="21" t="inlineStr">
        <ns0:is>
          <ns0:t>Supplied abstract/coding notes; no new full-text verification</ns0:t>
        </ns0:is>
      </ns0:c>
      <ns0:c r="AI118" s="21" t="inlineStr">
        <ns0:is>
          <ns0:t>https://doi.org/10.1109/access.2025.3531979</ns0:t>
        </ns0:is>
      </ns0:c>
      <ns0:c r="AJ118" s="21" t="inlineStr">
        <ns0:is>
          <ns0:t>EVIDENCIA; original abstract/coding notes and lot source trace; Historical signals: title/abstract/notes; full-text completion not independently established</ns0:t>
        </ns0:is>
      </ns0:c>
      <ns0:c r="AK118" s="21" t="inlineStr">
        <ns0:is>
          <ns0:t>Quantum kernel SVM is machine learning, not a deep-learning hybrid. EEG channels and CSP features remain one source.</ns0:t>
        </ns0:is>
      </ns0:c>
      <ns0:c r="AL118" s="21" t="inlineStr">
        <ns0:is>
          <ns0:t>Not applicable</ns0:t>
        </ns0:is>
      </ns0:c>
      <ns0:c r="AM118" s="21" t="inlineStr">
        <ns0:is>
          <ns0:t>Not separately specified</ns0:t>
        </ns0:is>
      </ns0:c>
      <ns0:c r="AN118" s="21" t="inlineStr"/>
      <ns0:c r="AO118" s="21" t="inlineStr">
        <ns0:is>
          <ns0:t>No additional status determination</ns0:t>
        </ns0:is>
      </ns0:c>
      <ns0:c r="AP118" s="21" t="inlineStr">
        <ns0:is>
          <ns0:t>Not documented for this recharting</ns0:t>
        </ns0:is>
      </ns0:c>
      <ns0:c r="AQ118" s="21" t="inlineStr">
        <ns0:is>
          <ns0:t>ChatGPT-assisted evidence recharting, 2026-09-08</ns0:t>
        </ns0:is>
      </ns0:c>
      <ns0:c r="AR118" s="21" t="inlineStr"/>
      <ns0:c r="AS118" s="21" t="inlineStr">
        <ns0:is>
          <ns0:t>Not recorded; historical inclusion retained</ns0:t>
        </ns0:is>
      </ns0:c>
    </ns0:row>
    <ns0:row r="119" ht="50" customHeight="1">
      <ns0:c r="A119" s="19" t="inlineStr">
        <ns0:is>
          <ns0:t>124</ns0:t>
        </ns0:is>
      </ns0:c>
      <ns0:c r="B119" s="19" t="inlineStr">
        <ns0:is>
          <ns0:t>Historical</ns0:t>
        </ns0:is>
      </ns0:c>
      <ns0:c r="C119" s="19" t="inlineStr">
        <ns0:is>
          <ns0:t>ASD2-TL∗ GTO: Autism spectrum disorders detection via transfer learning with gorilla troops optimizer framework</ns0:t>
        </ns0:is>
      </ns0:c>
      <ns0:c r="D119" s="19" t="inlineStr">
        <ns0:is>
          <ns0:t>10.1016/j.heliyon.2023.e21530</ns0:t>
        </ns0:is>
      </ns0:c>
      <ns0:c r="E119" s="26" t="n">
        <ns0:v>2023</ns0:v>
      </ns0:c>
      <ns0:c r="F119" s="19" t="inlineStr">
        <ns0:is>
          <ns0:t>Include</ns0:t>
        </ns0:is>
      </ns0:c>
      <ns0:c r="G119" s="27">
        <ns0:f>IF(F119="Include",1,0)</ns0:f>
        <ns0:v>1</ns0:v>
      </ns0:c>
      <ns0:c r="H119" s="19" t="inlineStr">
        <ns0:is>
          <ns0:t>Screening</ns0:t>
        </ns0:is>
      </ns0:c>
      <ns0:c r="I119" s="19" t="inlineStr">
        <ns0:is>
          <ns0:t>Deep Learning</ns0:t>
        </ns0:is>
      </ns0:c>
      <ns0:c r="J119" s="19" t="inlineStr">
        <ns0:is>
          <ns0:t>Behavioral images/video/gaze/movement</ns0:t>
        </ns0:is>
      </ns0:c>
      <ns0:c r="K119" s="19" t="inlineStr">
        <ns0:is>
          <ns0:t>DenseNet169 with gorilla-troops optimization</ns0:t>
        </ns0:is>
      </ns0:c>
      <ns0:c r="L119" s="19" t="inlineStr">
        <ns0:is>
          <ns0:t>CNN</ns0:t>
        </ns0:is>
      </ns0:c>
      <ns0:c r="M119" s="19" t="inlineStr">
        <ns0:is>
          <ns0:t>Research only</ns0:t>
        </ns0:is>
      </ns0:c>
      <ns0:c r="N119" s="19" t="inlineStr">
        <ns0:is>
          <ns0:t>Automated measurement/classification</ns0:t>
        </ns0:is>
      </ns0:c>
      <ns0:c r="O119" s="19" t="inlineStr">
        <ns0:is>
          <ns0:t>Not observed in assessed sources</ns0:t>
        </ns0:is>
      </ns0:c>
      <ns0:c r="P119" s="19" t="inlineStr">
        <ns0:is>
          <ns0:t>Not observed in assessed sources</ns0:t>
        </ns0:is>
      </ns0:c>
      <ns0:c r="Q119" s="19" t="inlineStr">
        <ns0:is>
          <ns0:t>Not reported in assessed sources</ns0:t>
        </ns0:is>
      </ns0:c>
      <ns0:c r="R119" s="19" t="inlineStr">
        <ns0:is>
          <ns0:t>Not reported in assessed sources</ns0:t>
        </ns0:is>
      </ns0:c>
      <ns0:c r="S119" s="19" t="inlineStr">
        <ns0:is>
          <ns0:t>Not reported in assessed sources</ns0:t>
        </ns0:is>
      </ns0:c>
      <ns0:c r="T119" s="19" t="inlineStr">
        <ns0:is>
          <ns0:t>Not reported in assessed sources</ns0:t>
        </ns0:is>
      </ns0:c>
      <ns0:c r="U119" s="19" t="inlineStr">
        <ns0:is>
          <ns0:t>Not reported in assessed sources</ns0:t>
        </ns0:is>
      </ns0:c>
      <ns0:c r="V119" s="19" t="inlineStr">
        <ns0:is>
          <ns0:t>Not reported in assessed sources</ns0:t>
        </ns0:is>
      </ns0:c>
      <ns0:c r="W119" s="19" t="inlineStr">
        <ns0:is>
          <ns0:t>Reported</ns0:t>
        </ns0:is>
      </ns0:c>
      <ns0:c r="X119" s="19" t="inlineStr">
        <ns0:is>
          <ns0:t>Not reported in assessed sources</ns0:t>
        </ns0:is>
      </ns0:c>
      <ns0:c r="Y119" s="19" t="inlineStr">
        <ns0:is>
          <ns0:t>Not ascertainable</ns0:t>
        </ns0:is>
      </ns0:c>
      <ns0:c r="Z119" s="19" t="inlineStr">
        <ns0:is>
          <ns0:t>Not reported in assessed sources</ns0:t>
        </ns0:is>
      </ns0:c>
      <ns0:c r="AA119" s="19" t="inlineStr">
        <ns0:is>
          <ns0:t>Not recorded</ns0:t>
        </ns0:is>
      </ns0:c>
      <ns0:c r="AB119" s="26" t="n">
        <ns0:v>0</ns0:v>
      </ns0:c>
      <ns0:c r="AC119" s="26" t="n">
        <ns0:v>0</ns0:v>
      </ns0:c>
      <ns0:c r="AD119" s="27">
        <ns0:f>IF(AND(G119=1,AB119=0),1,0)</ns0:f>
        <ns0:v>1</ns0:v>
      </ns0:c>
      <ns0:c r="AE119" s="27">
        <ns0:f>IF(AND(AD119=1,AC119=0),1,0)</ns0:f>
        <ns0:v>1</ns0:v>
      </ns0:c>
      <ns0:c r="AF119" s="27">
        <ns0:f>IF(AND(G119=1,H119&lt;&gt;"Not specified"),1,0)</ns0:f>
        <ns0:v>1</ns0:v>
      </ns0:c>
      <ns0:c r="AG119" s="27">
        <ns0:f>IF(AND(AE119=1,AF119=1),1,0)</ns0:f>
        <ns0:v>1</ns0:v>
      </ns0:c>
      <ns0:c r="AH119" s="19" t="inlineStr">
        <ns0:is>
          <ns0:t>Supplied abstract/coding notes; no new full-text verification</ns0:t>
        </ns0:is>
      </ns0:c>
      <ns0:c r="AI119" s="19" t="inlineStr">
        <ns0:is>
          <ns0:t>https://doi.org/10.1016/j.heliyon.2023.e21530</ns0:t>
        </ns0:is>
      </ns0:c>
      <ns0:c r="AJ119" s="19" t="inlineStr">
        <ns0:is>
          <ns0:t>EVIDENCIA; original abstract/coding notes and lot source trace; Historical signals: title/abstract/notes; full-text completion not independently established</ns0:t>
        </ns0:is>
      </ns0:c>
      <ns0:c r="AK119" s="19" t="inlineStr">
        <ns0:is>
          <ns0:t>Primary transfer-learning experiment uses facial images; parallel numeric questionnaire experiments are retained as secondary sources but not fused multimodal inputs.</ns0:t>
        </ns0:is>
      </ns0:c>
      <ns0:c r="AL119" s="19" t="inlineStr">
        <ns0:is>
          <ns0:t>Not applicable</ns0:t>
        </ns0:is>
      </ns0:c>
      <ns0:c r="AM119" s="19" t="inlineStr">
        <ns0:is>
          <ns0:t>Not separately specified</ns0:t>
        </ns0:is>
      </ns0:c>
      <ns0:c r="AN119" s="19" t="inlineStr"/>
      <ns0:c r="AO119" s="19" t="inlineStr">
        <ns0:is>
          <ns0:t>No additional status determination</ns0:t>
        </ns0:is>
      </ns0:c>
      <ns0:c r="AP119" s="19" t="inlineStr">
        <ns0:is>
          <ns0:t>Not documented for this recharting</ns0:t>
        </ns0:is>
      </ns0:c>
      <ns0:c r="AQ119" s="19" t="inlineStr">
        <ns0:is>
          <ns0:t>ChatGPT-assisted evidence recharting, 2026-09-08</ns0:t>
        </ns0:is>
      </ns0:c>
      <ns0:c r="AR119" s="19" t="inlineStr"/>
      <ns0:c r="AS119" s="19" t="inlineStr">
        <ns0:is>
          <ns0:t>Not recorded; historical inclusion retained</ns0:t>
        </ns0:is>
      </ns0:c>
    </ns0:row>
    <ns0:row r="120" ht="50" customHeight="1">
      <ns0:c r="A120" s="21" t="inlineStr">
        <ns0:is>
          <ns0:t>125</ns0:t>
        </ns0:is>
      </ns0:c>
      <ns0:c r="B120" s="21" t="inlineStr">
        <ns0:is>
          <ns0:t>Historical</ns0:t>
        </ns0:is>
      </ns0:c>
      <ns0:c r="C120" s="21" t="inlineStr">
        <ns0:is>
          <ns0:t>Diagnosis of Autism Spectrum Disorders in Young Children Based on Resting-State Functional Magnetic Resonance Imaging Data Using Convolutional Neural Networks</ns0:t>
        </ns0:is>
      </ns0:c>
      <ns0:c r="D120" s="21" t="inlineStr">
        <ns0:is>
          <ns0:t>10.1007/s10278-019-00196-1</ns0:t>
        </ns0:is>
      </ns0:c>
      <ns0:c r="E120" s="28" t="n">
        <ns0:v>2019</ns0:v>
      </ns0:c>
      <ns0:c r="F120" s="21" t="inlineStr">
        <ns0:is>
          <ns0:t>Include</ns0:t>
        </ns0:is>
      </ns0:c>
      <ns0:c r="G120" s="29">
        <ns0:f>IF(F120="Include",1,0)</ns0:f>
        <ns0:v>1</ns0:v>
      </ns0:c>
      <ns0:c r="H120" s="21" t="inlineStr">
        <ns0:is>
          <ns0:t>Diagnosis</ns0:t>
        </ns0:is>
      </ns0:c>
      <ns0:c r="I120" s="21" t="inlineStr">
        <ns0:is>
          <ns0:t>Deep Learning</ns0:t>
        </ns0:is>
      </ns0:c>
      <ns0:c r="J120" s="21" t="inlineStr">
        <ns0:is>
          <ns0:t>Neuroimaging</ns0:t>
        </ns0:is>
      </ns0:c>
      <ns0:c r="K120" s="21" t="inlineStr">
        <ns0:is>
          <ns0:t>CNN</ns0:t>
        </ns0:is>
      </ns0:c>
      <ns0:c r="L120" s="21" t="inlineStr">
        <ns0:is>
          <ns0:t>CNN</ns0:t>
        </ns0:is>
      </ns0:c>
      <ns0:c r="M120" s="21" t="inlineStr">
        <ns0:is>
          <ns0:t>Proposed only</ns0:t>
        </ns0:is>
      </ns0:c>
      <ns0:c r="N120" s="21" t="inlineStr">
        <ns0:is>
          <ns0:t>Diagnostic decision support</ns0:t>
        </ns0:is>
      </ns0:c>
      <ns0:c r="O120" s="21" t="inlineStr">
        <ns0:is>
          <ns0:t>In-decision</ns0:t>
        </ns0:is>
      </ns0:c>
      <ns0:c r="P120" s="21" t="inlineStr">
        <ns0:is>
          <ns0:t>Not observed in assessed sources</ns0:t>
        </ns0:is>
      </ns0:c>
      <ns0:c r="Q120" s="21" t="inlineStr">
        <ns0:is>
          <ns0:t>Not reported in assessed sources</ns0:t>
        </ns0:is>
      </ns0:c>
      <ns0:c r="R120" s="21" t="inlineStr">
        <ns0:is>
          <ns0:t>Not reported in assessed sources</ns0:t>
        </ns0:is>
      </ns0:c>
      <ns0:c r="S120" s="21" t="inlineStr">
        <ns0:is>
          <ns0:t>Not reported in assessed sources</ns0:t>
        </ns0:is>
      </ns0:c>
      <ns0:c r="T120" s="21" t="inlineStr">
        <ns0:is>
          <ns0:t>Not reported in assessed sources</ns0:t>
        </ns0:is>
      </ns0:c>
      <ns0:c r="U120" s="21" t="inlineStr">
        <ns0:is>
          <ns0:t>Not reported in assessed sources</ns0:t>
        </ns0:is>
      </ns0:c>
      <ns0:c r="V120" s="21" t="inlineStr">
        <ns0:is>
          <ns0:t>Reported</ns0:t>
        </ns0:is>
      </ns0:c>
      <ns0:c r="W120" s="21" t="inlineStr">
        <ns0:is>
          <ns0:t>Not reported in assessed sources</ns0:t>
        </ns0:is>
      </ns0:c>
      <ns0:c r="X120" s="21" t="inlineStr">
        <ns0:is>
          <ns0:t>Not reported in assessed sources</ns0:t>
        </ns0:is>
      </ns0:c>
      <ns0:c r="Y120" s="21" t="inlineStr">
        <ns0:is>
          <ns0:t>Not ascertainable</ns0:t>
        </ns0:is>
      </ns0:c>
      <ns0:c r="Z120" s="21" t="inlineStr">
        <ns0:is>
          <ns0:t>Not reported in assessed sources</ns0:t>
        </ns0:is>
      </ns0:c>
      <ns0:c r="AA120" s="21" t="inlineStr">
        <ns0:is>
          <ns0:t>Not recorded</ns0:t>
        </ns0:is>
      </ns0:c>
      <ns0:c r="AB120" s="28" t="n">
        <ns0:v>0</ns0:v>
      </ns0:c>
      <ns0:c r="AC120" s="28" t="n">
        <ns0:v>0</ns0:v>
      </ns0:c>
      <ns0:c r="AD120" s="29">
        <ns0:f>IF(AND(G120=1,AB120=0),1,0)</ns0:f>
        <ns0:v>1</ns0:v>
      </ns0:c>
      <ns0:c r="AE120" s="29">
        <ns0:f>IF(AND(AD120=1,AC120=0),1,0)</ns0:f>
        <ns0:v>1</ns0:v>
      </ns0:c>
      <ns0:c r="AF120" s="29">
        <ns0:f>IF(AND(G120=1,H120&lt;&gt;"Not specified"),1,0)</ns0:f>
        <ns0:v>1</ns0:v>
      </ns0:c>
      <ns0:c r="AG120" s="29">
        <ns0:f>IF(AND(AE120=1,AF120=1),1,0)</ns0:f>
        <ns0:v>1</ns0:v>
      </ns0:c>
      <ns0:c r="AH120" s="21" t="inlineStr">
        <ns0:is>
          <ns0:t>Supplied abstract/coding notes; no new full-text verification</ns0:t>
        </ns0:is>
      </ns0:c>
      <ns0:c r="AI120" s="21" t="inlineStr">
        <ns0:is>
          <ns0:t>https://doi.org/10.1007/s10278-019-00196-1</ns0:t>
        </ns0:is>
      </ns0:c>
      <ns0:c r="AJ120" s="21" t="inlineStr">
        <ns0:is>
          <ns0:t>EVIDENCIA; original abstract/coding notes and lot source trace; Historical signals: title/abstract/notes; full-text completion not independently established</ns0:t>
        </ns0:is>
      </ns0:c>
      <ns0:c r="AK120" s="21" t="inlineStr">
        <ns0:is>
          <ns0:t>Resting-state fMRI classifier proposed for diagnosis; no observed clinician decision pathway in supplied material.</ns0:t>
        </ns0:is>
      </ns0:c>
      <ns0:c r="AL120" s="21" t="inlineStr">
        <ns0:is>
          <ns0:t>Not applicable</ns0:t>
        </ns0:is>
      </ns0:c>
      <ns0:c r="AM120" s="21" t="inlineStr">
        <ns0:is>
          <ns0:t>Not separately specified</ns0:t>
        </ns0:is>
      </ns0:c>
      <ns0:c r="AN120" s="21" t="inlineStr"/>
      <ns0:c r="AO120" s="21" t="inlineStr">
        <ns0:is>
          <ns0:t>No additional status determination</ns0:t>
        </ns0:is>
      </ns0:c>
      <ns0:c r="AP120" s="21" t="inlineStr">
        <ns0:is>
          <ns0:t>Not documented for this recharting</ns0:t>
        </ns0:is>
      </ns0:c>
      <ns0:c r="AQ120" s="21" t="inlineStr">
        <ns0:is>
          <ns0:t>ChatGPT-assisted evidence recharting, 2026-09-08</ns0:t>
        </ns0:is>
      </ns0:c>
      <ns0:c r="AR120" s="21" t="inlineStr"/>
      <ns0:c r="AS120" s="21" t="inlineStr">
        <ns0:is>
          <ns0:t>Not recorded; historical inclusion retained</ns0:t>
        </ns0:is>
      </ns0:c>
    </ns0:row>
    <ns0:row r="121" ht="50" customHeight="1">
      <ns0:c r="A121" s="19" t="inlineStr">
        <ns0:is>
          <ns0:t>128</ns0:t>
        </ns0:is>
      </ns0:c>
      <ns0:c r="B121" s="19" t="inlineStr">
        <ns0:is>
          <ns0:t>Historical</ns0:t>
        </ns0:is>
      </ns0:c>
      <ns0:c r="C121" s="19" t="inlineStr">
        <ns0:is>
          <ns0:t>Improvement of attention-deficit/hyperactivity disorder symptoms in school-aged children, adolescents, and young adults with autism via a digital smartglasses-based socioemotional coaching aid: Short-term, uncontrolled pilot study</ns0:t>
        </ns0:is>
      </ns0:c>
      <ns0:c r="D121" s="19" t="inlineStr">
        <ns0:is>
          <ns0:t>10.2196/mental.9631</ns0:t>
        </ns0:is>
      </ns0:c>
      <ns0:c r="E121" s="26" t="n">
        <ns0:v>2018</ns0:v>
      </ns0:c>
      <ns0:c r="F121" s="19" t="inlineStr">
        <ns0:is>
          <ns0:t>Include</ns0:t>
        </ns0:is>
      </ns0:c>
      <ns0:c r="G121" s="27">
        <ns0:f>IF(F121="Include",1,0)</ns0:f>
        <ns0:v>1</ns0:v>
      </ns0:c>
      <ns0:c r="H121" s="19" t="inlineStr">
        <ns0:is>
          <ns0:t>Monitoring/intervention</ns0:t>
        </ns0:is>
      </ns0:c>
      <ns0:c r="I121" s="19" t="inlineStr">
        <ns0:is>
          <ns0:t>Not specified</ns0:t>
        </ns0:is>
      </ns0:c>
      <ns0:c r="J121" s="19" t="inlineStr">
        <ns0:is>
          <ns0:t>Behavioral images/video/gaze/movement</ns0:t>
        </ns0:is>
      </ns0:c>
      <ns0:c r="K121" s="19" t="inlineStr">
        <ns0:is>
          <ns0:t>Empowered Brain smartglasses; underlying algorithm unresolved</ns0:t>
        </ns0:is>
      </ns0:c>
      <ns0:c r="L121" s="19" t="inlineStr">
        <ns0:is>
          <ns0:t>Other specified method</ns0:t>
        </ns0:is>
      </ns0:c>
      <ns0:c r="M121" s="19" t="inlineStr">
        <ns0:is>
          <ns0:t>Evaluated AI-supported intervention</ns0:t>
        </ns0:is>
      </ns0:c>
      <ns0:c r="N121" s="19" t="inlineStr">
        <ns0:is>
          <ns0:t>Assistive support</ns0:t>
        </ns0:is>
      </ns0:c>
      <ns0:c r="O121" s="19" t="inlineStr">
        <ns0:is>
          <ns0:t>Post-decision</ns0:t>
        </ns0:is>
      </ns0:c>
      <ns0:c r="P121" s="19" t="inlineStr">
        <ns0:is>
          <ns0:t>Post-decision</ns0:t>
        </ns0:is>
      </ns0:c>
      <ns0:c r="Q121" s="19" t="inlineStr">
        <ns0:is>
          <ns0:t>Not reported in assessed sources</ns0:t>
        </ns0:is>
      </ns0:c>
      <ns0:c r="R121" s="19" t="inlineStr">
        <ns0:is>
          <ns0:t>Not reported in assessed sources</ns0:t>
        </ns0:is>
      </ns0:c>
      <ns0:c r="S121" s="19" t="inlineStr">
        <ns0:is>
          <ns0:t>Not reported in assessed sources</ns0:t>
        </ns0:is>
      </ns0:c>
      <ns0:c r="T121" s="19" t="inlineStr">
        <ns0:is>
          <ns0:t>Not reported in assessed sources</ns0:t>
        </ns0:is>
      </ns0:c>
      <ns0:c r="U121" s="19" t="inlineStr">
        <ns0:is>
          <ns0:t>Not reported in assessed sources</ns0:t>
        </ns0:is>
      </ns0:c>
      <ns0:c r="V121" s="19" t="inlineStr">
        <ns0:is>
          <ns0:t>Not reported in assessed sources</ns0:t>
        </ns0:is>
      </ns0:c>
      <ns0:c r="W121" s="19" t="inlineStr">
        <ns0:is>
          <ns0:t>Not reported in assessed sources</ns0:t>
        </ns0:is>
      </ns0:c>
      <ns0:c r="X121" s="19" t="inlineStr">
        <ns0:is>
          <ns0:t>Reported</ns0:t>
        </ns0:is>
      </ns0:c>
      <ns0:c r="Y121" s="19" t="inlineStr">
        <ns0:is>
          <ns0:t>Reported</ns0:t>
        </ns0:is>
      </ns0:c>
      <ns0:c r="Z121" s="19" t="inlineStr">
        <ns0:is>
          <ns0:t>Not reported in assessed sources</ns0:t>
        </ns0:is>
      </ns0:c>
      <ns0:c r="AA121" s="19" t="inlineStr">
        <ns0:is>
          <ns0:t>Not recorded</ns0:t>
        </ns0:is>
      </ns0:c>
      <ns0:c r="AB121" s="26" t="n">
        <ns0:v>0</ns0:v>
      </ns0:c>
      <ns0:c r="AC121" s="26" t="n">
        <ns0:v>0</ns0:v>
      </ns0:c>
      <ns0:c r="AD121" s="27">
        <ns0:f>IF(AND(G121=1,AB121=0),1,0)</ns0:f>
        <ns0:v>1</ns0:v>
      </ns0:c>
      <ns0:c r="AE121" s="27">
        <ns0:f>IF(AND(AD121=1,AC121=0),1,0)</ns0:f>
        <ns0:v>1</ns0:v>
      </ns0:c>
      <ns0:c r="AF121" s="27">
        <ns0:f>IF(AND(G121=1,H121&lt;&gt;"Not specified"),1,0)</ns0:f>
        <ns0:v>1</ns0:v>
      </ns0:c>
      <ns0:c r="AG121" s="27">
        <ns0:f>IF(AND(AE121=1,AF121=1),1,0)</ns0:f>
        <ns0:v>1</ns0:v>
      </ns0:c>
      <ns0:c r="AH121" s="19" t="inlineStr">
        <ns0:is>
          <ns0:t>Supplied abstract/coding notes; no new full-text verification</ns0:t>
        </ns0:is>
      </ns0:c>
      <ns0:c r="AI121" s="19" t="inlineStr">
        <ns0:is>
          <ns0:t>https://doi.org/10.2196/mental.9631</ns0:t>
        </ns0:is>
      </ns0:c>
      <ns0:c r="AJ121" s="19" t="inlineStr">
        <ns0:is>
          <ns0:t>EVIDENCIA; original abstract/coding notes and lot source trace; Historical signals: title/abstract/notes; full-text completion not independently established</ns0:t>
        </ns0:is>
      </ns0:c>
      <ns0:c r="AK121" s="19" t="inlineStr">
        <ns0:is>
          <ns0:t>Actual uncontrolled participant-facing smartglasses intervention; not screening. Architecture is not inferred from the product being AI-enabled.</ns0:t>
        </ns0:is>
      </ns0:c>
      <ns0:c r="AL121" s="19" t="inlineStr">
        <ns0:is>
          <ns0:t>Not applicable</ns0:t>
        </ns0:is>
      </ns0:c>
      <ns0:c r="AM121" s="19" t="inlineStr">
        <ns0:is>
          <ns0:t>Not separately specified</ns0:t>
        </ns0:is>
      </ns0:c>
      <ns0:c r="AN121" s="19" t="inlineStr"/>
      <ns0:c r="AO121" s="19" t="inlineStr">
        <ns0:is>
          <ns0:t>No additional status determination</ns0:t>
        </ns0:is>
      </ns0:c>
      <ns0:c r="AP121" s="19" t="inlineStr">
        <ns0:is>
          <ns0:t>Not documented for this recharting</ns0:t>
        </ns0:is>
      </ns0:c>
      <ns0:c r="AQ121" s="19" t="inlineStr">
        <ns0:is>
          <ns0:t>ChatGPT-assisted evidence recharting, 2026-09-08</ns0:t>
        </ns0:is>
      </ns0:c>
      <ns0:c r="AR121" s="19" t="inlineStr"/>
      <ns0:c r="AS121" s="19" t="inlineStr">
        <ns0:is>
          <ns0:t>Not recorded; historical inclusion retained</ns0:t>
        </ns0:is>
      </ns0:c>
    </ns0:row>
    <ns0:row r="122" ht="50" customHeight="1">
      <ns0:c r="A122" s="21" t="inlineStr">
        <ns0:is>
          <ns0:t>129</ns0:t>
        </ns0:is>
      </ns0:c>
      <ns0:c r="B122" s="21" t="inlineStr">
        <ns0:is>
          <ns0:t>Historical</ns0:t>
        </ns0:is>
      </ns0:c>
      <ns0:c r="C122" s="21" t="inlineStr">
        <ns0:is>
          <ns0:t>Investigating Diagnostic Data and Performance Implications in the Autism AI Dataset</ns0:t>
        </ns0:is>
      </ns0:c>
      <ns0:c r="D122" s="21" t="inlineStr">
        <ns0:is>
          <ns0:t>10.1007/978-981-96-6960-8_26</ns0:t>
        </ns0:is>
      </ns0:c>
      <ns0:c r="E122" s="28" t="n">
        <ns0:v>2025</ns0:v>
      </ns0:c>
      <ns0:c r="F122" s="21" t="inlineStr">
        <ns0:is>
          <ns0:t>Include</ns0:t>
        </ns0:is>
      </ns0:c>
      <ns0:c r="G122" s="29">
        <ns0:f>IF(F122="Include",1,0)</ns0:f>
        <ns0:v>1</ns0:v>
      </ns0:c>
      <ns0:c r="H122" s="21" t="inlineStr">
        <ns0:is>
          <ns0:t>Screening</ns0:t>
        </ns0:is>
      </ns0:c>
      <ns0:c r="I122" s="21" t="inlineStr">
        <ns0:is>
          <ns0:t>Machine Learning</ns0:t>
        </ns0:is>
      </ns0:c>
      <ns0:c r="J122" s="21" t="inlineStr">
        <ns0:is>
          <ns0:t>Structured clinical/questionnaire data</ns0:t>
        </ns0:is>
      </ns0:c>
      <ns0:c r="K122" s="21" t="inlineStr">
        <ns0:is>
          <ns0:t>Random forest</ns0:t>
        </ns0:is>
      </ns0:c>
      <ns0:c r="L122" s="21" t="inlineStr">
        <ns0:is>
          <ns0:t>Random forest</ns0:t>
        </ns0:is>
      </ns0:c>
      <ns0:c r="M122" s="21" t="inlineStr">
        <ns0:is>
          <ns0:t>Research only</ns0:t>
        </ns0:is>
      </ns0:c>
      <ns0:c r="N122" s="21" t="inlineStr">
        <ns0:is>
          <ns0:t>Triage/questionnaire assessment</ns0:t>
        </ns0:is>
      </ns0:c>
      <ns0:c r="O122" s="21" t="inlineStr">
        <ns0:is>
          <ns0:t>Not observed in assessed sources</ns0:t>
        </ns0:is>
      </ns0:c>
      <ns0:c r="P122" s="21" t="inlineStr">
        <ns0:is>
          <ns0:t>Not observed in assessed sources</ns0:t>
        </ns0:is>
      </ns0:c>
      <ns0:c r="Q122" s="21" t="inlineStr">
        <ns0:is>
          <ns0:t>Not reported in assessed sources</ns0:t>
        </ns0:is>
      </ns0:c>
      <ns0:c r="R122" s="21" t="inlineStr">
        <ns0:is>
          <ns0:t>Not reported in assessed sources</ns0:t>
        </ns0:is>
      </ns0:c>
      <ns0:c r="S122" s="21" t="inlineStr">
        <ns0:is>
          <ns0:t>Not reported in assessed sources</ns0:t>
        </ns0:is>
      </ns0:c>
      <ns0:c r="T122" s="21" t="inlineStr">
        <ns0:is>
          <ns0:t>Not reported in assessed sources</ns0:t>
        </ns0:is>
      </ns0:c>
      <ns0:c r="U122" s="21" t="inlineStr">
        <ns0:is>
          <ns0:t>Not reported in assessed sources</ns0:t>
        </ns0:is>
      </ns0:c>
      <ns0:c r="V122" s="21" t="inlineStr">
        <ns0:is>
          <ns0:t>Not reported in assessed sources</ns0:t>
        </ns0:is>
      </ns0:c>
      <ns0:c r="W122" s="21" t="inlineStr">
        <ns0:is>
          <ns0:t>Not reported in assessed sources</ns0:t>
        </ns0:is>
      </ns0:c>
      <ns0:c r="X122" s="21" t="inlineStr">
        <ns0:is>
          <ns0:t>Not reported in assessed sources</ns0:t>
        </ns0:is>
      </ns0:c>
      <ns0:c r="Y122" s="21" t="inlineStr">
        <ns0:is>
          <ns0:t>Not ascertainable</ns0:t>
        </ns0:is>
      </ns0:c>
      <ns0:c r="Z122" s="21" t="inlineStr">
        <ns0:is>
          <ns0:t>Not reported in assessed sources</ns0:t>
        </ns0:is>
      </ns0:c>
      <ns0:c r="AA122" s="21" t="inlineStr">
        <ns0:is>
          <ns0:t>Not recorded</ns0:t>
        </ns0:is>
      </ns0:c>
      <ns0:c r="AB122" s="28" t="n">
        <ns0:v>0</ns0:v>
      </ns0:c>
      <ns0:c r="AC122" s="28" t="n">
        <ns0:v>0</ns0:v>
      </ns0:c>
      <ns0:c r="AD122" s="29">
        <ns0:f>IF(AND(G122=1,AB122=0),1,0)</ns0:f>
        <ns0:v>1</ns0:v>
      </ns0:c>
      <ns0:c r="AE122" s="29">
        <ns0:f>IF(AND(AD122=1,AC122=0),1,0)</ns0:f>
        <ns0:v>1</ns0:v>
      </ns0:c>
      <ns0:c r="AF122" s="29">
        <ns0:f>IF(AND(G122=1,H122&lt;&gt;"Not specified"),1,0)</ns0:f>
        <ns0:v>1</ns0:v>
      </ns0:c>
      <ns0:c r="AG122" s="29">
        <ns0:f>IF(AND(AE122=1,AF122=1),1,0)</ns0:f>
        <ns0:v>1</ns0:v>
      </ns0:c>
      <ns0:c r="AH122" s="21" t="inlineStr">
        <ns0:is>
          <ns0:t>Supplied abstract/coding notes; no new full-text verification</ns0:t>
        </ns0:is>
      </ns0:c>
      <ns0:c r="AI122" s="21" t="inlineStr">
        <ns0:is>
          <ns0:t>https://doi.org/10.1007/978-981-96-6960-8_26</ns0:t>
        </ns0:is>
      </ns0:c>
      <ns0:c r="AJ122" s="21" t="inlineStr">
        <ns0:is>
          <ns0:t>EVIDENCIA; original abstract/coding notes and lot source trace; Historical signals: title/abstract/notes; full-text completion not independently established</ns0:t>
        </ns0:is>
      </ns0:c>
      <ns0:c r="AK122" s="21" t="inlineStr">
        <ns0:is>
          <ns0:t>Questionnaire-derived labels and imbalance adjustments in a trait-screening dataset. Screening-rule labels are not independent clinical diagnoses.
Outcome labels were partly derived from screening-score rules; model agreement cannot be interpreted as externally validated clinical diagnostic accuracy.</ns0:t>
        </ns0:is>
      </ns0:c>
      <ns0:c r="AL122" s="21" t="inlineStr">
        <ns0:is>
          <ns0:t>Not applicable</ns0:t>
        </ns0:is>
      </ns0:c>
      <ns0:c r="AM122" s="21" t="inlineStr">
        <ns0:is>
          <ns0:t>Not separately specified</ns0:t>
        </ns0:is>
      </ns0:c>
      <ns0:c r="AN122" s="21" t="inlineStr"/>
      <ns0:c r="AO122" s="21" t="inlineStr">
        <ns0:is>
          <ns0:t>No additional status determination</ns0:t>
        </ns0:is>
      </ns0:c>
      <ns0:c r="AP122" s="21" t="inlineStr">
        <ns0:is>
          <ns0:t>Not documented for this recharting</ns0:t>
        </ns0:is>
      </ns0:c>
      <ns0:c r="AQ122" s="21" t="inlineStr">
        <ns0:is>
          <ns0:t>ChatGPT-assisted evidence recharting, 2026-09-08</ns0:t>
        </ns0:is>
      </ns0:c>
      <ns0:c r="AR122" s="21" t="inlineStr"/>
      <ns0:c r="AS122" s="21" t="inlineStr">
        <ns0:is>
          <ns0:t>Not recorded; historical inclusion retained</ns0:t>
        </ns0:is>
      </ns0:c>
    </ns0:row>
    <ns0:row r="123" ht="50" customHeight="1">
      <ns0:c r="A123" s="19" t="inlineStr">
        <ns0:is>
          <ns0:t>130</ns0:t>
        </ns0:is>
      </ns0:c>
      <ns0:c r="B123" s="19" t="inlineStr">
        <ns0:is>
          <ns0:t>Historical</ns0:t>
        </ns0:is>
      </ns0:c>
      <ns0:c r="C123" s="19" t="inlineStr">
        <ns0:is>
          <ns0:t>Large-scale examination of early-age sex differences in neurotypical toddlers and those with autism spectrum disorder or other developmental conditions</ns0:t>
        </ns0:is>
      </ns0:c>
      <ns0:c r="D123" s="19" t="inlineStr">
        <ns0:is>
          <ns0:t>10.1038/s41562-025-02132-6</ns0:t>
        </ns0:is>
      </ns0:c>
      <ns0:c r="E123" s="26" t="n">
        <ns0:v>2025</ns0:v>
      </ns0:c>
      <ns0:c r="F123" s="19" t="inlineStr">
        <ns0:is>
          <ns0:t>Include</ns0:t>
        </ns0:is>
      </ns0:c>
      <ns0:c r="G123" s="27">
        <ns0:f>IF(F123="Include",1,0)</ns0:f>
        <ns0:v>1</ns0:v>
      </ns0:c>
      <ns0:c r="H123" s="19" t="inlineStr">
        <ns0:is>
          <ns0:t>Not specified</ns0:t>
        </ns0:is>
      </ns0:c>
      <ns0:c r="I123" s="19" t="inlineStr">
        <ns0:is>
          <ns0:t>Machine Learning</ns0:t>
        </ns0:is>
      </ns0:c>
      <ns0:c r="J123" s="19" t="inlineStr">
        <ns0:is>
          <ns0:t>Multiple source categories</ns0:t>
        </ns0:is>
      </ns0:c>
      <ns0:c r="K123" s="19" t="inlineStr">
        <ns0:is>
          <ns0:t>Clustering and statistical analyses</ns0:t>
        </ns0:is>
      </ns0:c>
      <ns0:c r="L123" s="19" t="inlineStr">
        <ns0:is>
          <ns0:t>Clustering</ns0:t>
        </ns0:is>
      </ns0:c>
      <ns0:c r="M123" s="19" t="inlineStr">
        <ns0:is>
          <ns0:t>Research only</ns0:t>
        </ns0:is>
      </ns0:c>
      <ns0:c r="N123" s="19" t="inlineStr">
        <ns0:is>
          <ns0:t>Research characterization</ns0:t>
        </ns0:is>
      </ns0:c>
      <ns0:c r="O123" s="19" t="inlineStr">
        <ns0:is>
          <ns0:t>Not observed in assessed sources</ns0:t>
        </ns0:is>
      </ns0:c>
      <ns0:c r="P123" s="19" t="inlineStr">
        <ns0:is>
          <ns0:t>Not observed in assessed sources</ns0:t>
        </ns0:is>
      </ns0:c>
      <ns0:c r="Q123" s="19" t="inlineStr">
        <ns0:is>
          <ns0:t>Not reported in assessed sources</ns0:t>
        </ns0:is>
      </ns0:c>
      <ns0:c r="R123" s="19" t="inlineStr">
        <ns0:is>
          <ns0:t>Not ascertainable</ns0:t>
        </ns0:is>
      </ns0:c>
      <ns0:c r="S123" s="19" t="inlineStr">
        <ns0:is>
          <ns0:t>Not reported in assessed sources</ns0:t>
        </ns0:is>
      </ns0:c>
      <ns0:c r="T123" s="19" t="inlineStr">
        <ns0:is>
          <ns0:t>Not reported in assessed sources</ns0:t>
        </ns0:is>
      </ns0:c>
      <ns0:c r="U123" s="19" t="inlineStr">
        <ns0:is>
          <ns0:t>Not reported in assessed sources</ns0:t>
        </ns0:is>
      </ns0:c>
      <ns0:c r="V123" s="19" t="inlineStr">
        <ns0:is>
          <ns0:t>Not reported in assessed sources</ns0:t>
        </ns0:is>
      </ns0:c>
      <ns0:c r="W123" s="19" t="inlineStr">
        <ns0:is>
          <ns0:t>Reported</ns0:t>
        </ns0:is>
      </ns0:c>
      <ns0:c r="X123" s="19" t="inlineStr">
        <ns0:is>
          <ns0:t>Not reported in assessed sources</ns0:t>
        </ns0:is>
      </ns0:c>
      <ns0:c r="Y123" s="19" t="inlineStr">
        <ns0:is>
          <ns0:t>Reported</ns0:t>
        </ns0:is>
      </ns0:c>
      <ns0:c r="Z123" s="19" t="inlineStr">
        <ns0:is>
          <ns0:t>Not reported in assessed sources</ns0:t>
        </ns0:is>
      </ns0:c>
      <ns0:c r="AA123" s="19" t="inlineStr">
        <ns0:is>
          <ns0:t>Not recorded</ns0:t>
        </ns0:is>
      </ns0:c>
      <ns0:c r="AB123" s="26" t="n">
        <ns0:v>0</ns0:v>
      </ns0:c>
      <ns0:c r="AC123" s="26" t="n">
        <ns0:v>0</ns0:v>
      </ns0:c>
      <ns0:c r="AD123" s="27">
        <ns0:f>IF(AND(G123=1,AB123=0),1,0)</ns0:f>
        <ns0:v>1</ns0:v>
      </ns0:c>
      <ns0:c r="AE123" s="27">
        <ns0:f>IF(AND(AD123=1,AC123=0),1,0)</ns0:f>
        <ns0:v>1</ns0:v>
      </ns0:c>
      <ns0:c r="AF123" s="27">
        <ns0:f>IF(AND(G123=1,H123&lt;&gt;"Not specified"),1,0)</ns0:f>
        <ns0:v>0</ns0:v>
      </ns0:c>
      <ns0:c r="AG123" s="27">
        <ns0:f>IF(AND(AE123=1,AF123=1),1,0)</ns0:f>
        <ns0:v>0</ns0:v>
      </ns0:c>
      <ns0:c r="AH123" s="19" t="inlineStr">
        <ns0:is>
          <ns0:t>Supplied abstract/coding notes; no new full-text verification</ns0:t>
        </ns0:is>
      </ns0:c>
      <ns0:c r="AI123" s="19" t="inlineStr">
        <ns0:is>
          <ns0:t>https://doi.org/10.1038/s41562-025-02132-6</ns0:t>
        </ns0:is>
      </ns0:c>
      <ns0:c r="AJ123" s="19" t="inlineStr">
        <ns0:is>
          <ns0:t>EVIDENCIA; original abstract/coding notes and lot source trace; Historical signals: title/abstract/notes; full-text completion not independently established</ns0:t>
        </ns0:is>
      </ns0:c>
      <ns0:c r="AK123" s="19" t="inlineStr">
        <ns0:is>
          <ns0:t>Sex/age developmental phenotyping using standardized assessments and eye tracking. Longitudinal data collection alone is not an evaluated prognostic or monitoring AI system.</ns0:t>
        </ns0:is>
      </ns0:c>
      <ns0:c r="AL123" s="19" t="inlineStr">
        <ns0:is>
          <ns0:t>Not applicable</ns0:t>
        </ns0:is>
      </ns0:c>
      <ns0:c r="AM123" s="19" t="inlineStr">
        <ns0:is>
          <ns0:t>Not separately specified</ns0:t>
        </ns0:is>
      </ns0:c>
      <ns0:c r="AN123" s="19" t="inlineStr"/>
      <ns0:c r="AO123" s="19" t="inlineStr">
        <ns0:is>
          <ns0:t>No additional status determination</ns0:t>
        </ns0:is>
      </ns0:c>
      <ns0:c r="AP123" s="19" t="inlineStr">
        <ns0:is>
          <ns0:t>Not documented for this recharting</ns0:t>
        </ns0:is>
      </ns0:c>
      <ns0:c r="AQ123" s="19" t="inlineStr">
        <ns0:is>
          <ns0:t>ChatGPT-assisted evidence recharting, 2026-09-08</ns0:t>
        </ns0:is>
      </ns0:c>
      <ns0:c r="AR123" s="19" t="inlineStr">
        <ns0:is>
          <ns0:t>RA</ns0:t>
        </ns0:is>
      </ns0:c>
      <ns0:c r="AS123" s="19" t="inlineStr">
        <ns0:is>
          <ns0:t>Not recorded; historical inclusion retained</ns0:t>
        </ns0:is>
      </ns0:c>
    </ns0:row>
    <ns0:row r="124" ht="50" customHeight="1">
      <ns0:c r="A124" s="21" t="inlineStr">
        <ns0:is>
          <ns0:t>131</ns0:t>
        </ns0:is>
      </ns0:c>
      <ns0:c r="B124" s="21" t="inlineStr">
        <ns0:is>
          <ns0:t>Historical</ns0:t>
        </ns0:is>
      </ns0:c>
      <ns0:c r="C124" s="21" t="inlineStr">
        <ns0:is>
          <ns0:t>Online concerns of parents suspecting autism spectrum disorder in their child: Content analysis of signs and automated prediction of risk</ns0:t>
        </ns0:is>
      </ns0:c>
      <ns0:c r="D124" s="21" t="inlineStr">
        <ns0:is>
          <ns0:t>10.2196/jmir.5439</ns0:t>
        </ns0:is>
      </ns0:c>
      <ns0:c r="E124" s="28" t="n">
        <ns0:v>2016</ns0:v>
      </ns0:c>
      <ns0:c r="F124" s="21" t="inlineStr">
        <ns0:is>
          <ns0:t>Include</ns0:t>
        </ns0:is>
      </ns0:c>
      <ns0:c r="G124" s="29">
        <ns0:f>IF(F124="Include",1,0)</ns0:f>
        <ns0:v>1</ns0:v>
      </ns0:c>
      <ns0:c r="H124" s="21" t="inlineStr">
        <ns0:is>
          <ns0:t>Prescreening</ns0:t>
        </ns0:is>
      </ns0:c>
      <ns0:c r="I124" s="21" t="inlineStr">
        <ns0:is>
          <ns0:t>Machine Learning</ns0:t>
        </ns0:is>
      </ns0:c>
      <ns0:c r="J124" s="21" t="inlineStr">
        <ns0:is>
          <ns0:t>Text/language</ns0:t>
        </ns0:is>
      </ns0:c>
      <ns0:c r="K124" s="21" t="inlineStr">
        <ns0:is>
          <ns0:t>Decision tree</ns0:t>
        </ns0:is>
      </ns0:c>
      <ns0:c r="L124" s="21" t="inlineStr">
        <ns0:is>
          <ns0:t>Decision tree/rules</ns0:t>
        </ns0:is>
      </ns0:c>
      <ns0:c r="M124" s="21" t="inlineStr">
        <ns0:is>
          <ns0:t>Research only</ns0:t>
        </ns0:is>
      </ns0:c>
      <ns0:c r="N124" s="21" t="inlineStr">
        <ns0:is>
          <ns0:t>Risk/trajectory estimation</ns0:t>
        </ns0:is>
      </ns0:c>
      <ns0:c r="O124" s="21" t="inlineStr">
        <ns0:is>
          <ns0:t>Not observed in assessed sources</ns0:t>
        </ns0:is>
      </ns0:c>
      <ns0:c r="P124" s="21" t="inlineStr">
        <ns0:is>
          <ns0:t>Not observed in assessed sources</ns0:t>
        </ns0:is>
      </ns0:c>
      <ns0:c r="Q124" s="21" t="inlineStr">
        <ns0:is>
          <ns0:t>Not reported in assessed sources</ns0:t>
        </ns0:is>
      </ns0:c>
      <ns0:c r="R124" s="21" t="inlineStr">
        <ns0:is>
          <ns0:t>Not reported in assessed sources</ns0:t>
        </ns0:is>
      </ns0:c>
      <ns0:c r="S124" s="21" t="inlineStr">
        <ns0:is>
          <ns0:t>Not reported in assessed sources</ns0:t>
        </ns0:is>
      </ns0:c>
      <ns0:c r="T124" s="21" t="inlineStr">
        <ns0:is>
          <ns0:t>Not reported in assessed sources</ns0:t>
        </ns0:is>
      </ns0:c>
      <ns0:c r="U124" s="21" t="inlineStr">
        <ns0:is>
          <ns0:t>Not reported in assessed sources</ns0:t>
        </ns0:is>
      </ns0:c>
      <ns0:c r="V124" s="21" t="inlineStr">
        <ns0:is>
          <ns0:t>Not reported in assessed sources</ns0:t>
        </ns0:is>
      </ns0:c>
      <ns0:c r="W124" s="21" t="inlineStr">
        <ns0:is>
          <ns0:t>Not reported in assessed sources</ns0:t>
        </ns0:is>
      </ns0:c>
      <ns0:c r="X124" s="21" t="inlineStr">
        <ns0:is>
          <ns0:t>Not reported in assessed sources</ns0:t>
        </ns0:is>
      </ns0:c>
      <ns0:c r="Y124" s="21" t="inlineStr">
        <ns0:is>
          <ns0:t>Not ascertainable</ns0:t>
        </ns0:is>
      </ns0:c>
      <ns0:c r="Z124" s="21" t="inlineStr">
        <ns0:is>
          <ns0:t>Not reported in assessed sources</ns0:t>
        </ns0:is>
      </ns0:c>
      <ns0:c r="AA124" s="21" t="inlineStr">
        <ns0:is>
          <ns0:t>Not recorded</ns0:t>
        </ns0:is>
      </ns0:c>
      <ns0:c r="AB124" s="28" t="n">
        <ns0:v>0</ns0:v>
      </ns0:c>
      <ns0:c r="AC124" s="28" t="n">
        <ns0:v>0</ns0:v>
      </ns0:c>
      <ns0:c r="AD124" s="29">
        <ns0:f>IF(AND(G124=1,AB124=0),1,0)</ns0:f>
        <ns0:v>1</ns0:v>
      </ns0:c>
      <ns0:c r="AE124" s="29">
        <ns0:f>IF(AND(AD124=1,AC124=0),1,0)</ns0:f>
        <ns0:v>1</ns0:v>
      </ns0:c>
      <ns0:c r="AF124" s="29">
        <ns0:f>IF(AND(G124=1,H124&lt;&gt;"Not specified"),1,0)</ns0:f>
        <ns0:v>1</ns0:v>
      </ns0:c>
      <ns0:c r="AG124" s="29">
        <ns0:f>IF(AND(AE124=1,AF124=1),1,0)</ns0:f>
        <ns0:v>1</ns0:v>
      </ns0:c>
      <ns0:c r="AH124" s="21" t="inlineStr">
        <ns0:is>
          <ns0:t>Supplied abstract/coding notes; no new full-text verification</ns0:t>
        </ns0:is>
      </ns0:c>
      <ns0:c r="AI124" s="21" t="inlineStr">
        <ns0:is>
          <ns0:t>https://doi.org/10.2196/jmir.5439</ns0:t>
        </ns0:is>
      </ns0:c>
      <ns0:c r="AJ124" s="21" t="inlineStr">
        <ns0:is>
          <ns0:t>EVIDENCIA; original abstract/coding notes and lot source trace; Historical signals: title/abstract/notes; full-text completion not independently established</ns0:t>
        </ns0:is>
      </ns0:c>
      <ns0:c r="AK124" s="21" t="inlineStr">
        <ns0:is>
          <ns0:t>Clinical experts label risk from parental online concerns; multiple annotated categories from the same text do not establish multiple data sources.</ns0:t>
        </ns0:is>
      </ns0:c>
      <ns0:c r="AL124" s="21" t="inlineStr">
        <ns0:is>
          <ns0:t>Not applicable</ns0:t>
        </ns0:is>
      </ns0:c>
      <ns0:c r="AM124" s="21" t="inlineStr">
        <ns0:is>
          <ns0:t>Not separately specified</ns0:t>
        </ns0:is>
      </ns0:c>
      <ns0:c r="AN124" s="21" t="inlineStr"/>
      <ns0:c r="AO124" s="21" t="inlineStr">
        <ns0:is>
          <ns0:t>No additional status determination</ns0:t>
        </ns0:is>
      </ns0:c>
      <ns0:c r="AP124" s="21" t="inlineStr">
        <ns0:is>
          <ns0:t>Not documented for this recharting</ns0:t>
        </ns0:is>
      </ns0:c>
      <ns0:c r="AQ124" s="21" t="inlineStr">
        <ns0:is>
          <ns0:t>ChatGPT-assisted evidence recharting, 2026-09-08</ns0:t>
        </ns0:is>
      </ns0:c>
      <ns0:c r="AR124" s="21" t="inlineStr">
        <ns0:is>
          <ns0:t>RA</ns0:t>
        </ns0:is>
      </ns0:c>
      <ns0:c r="AS124" s="21" t="inlineStr">
        <ns0:is>
          <ns0:t>Not recorded; historical inclusion retained</ns0:t>
        </ns0:is>
      </ns0:c>
    </ns0:row>
    <ns0:row r="125" ht="50" customHeight="1">
      <ns0:c r="A125" s="19" t="inlineStr">
        <ns0:is>
          <ns0:t>132</ns0:t>
        </ns0:is>
      </ns0:c>
      <ns0:c r="B125" s="19" t="inlineStr">
        <ns0:is>
          <ns0:t>Historical</ns0:t>
        </ns0:is>
      </ns0:c>
      <ns0:c r="C125" s="19" t="inlineStr">
        <ns0:is>
          <ns0:t>Use of machine learning to improve autism screening and diagnostic instruments: Effectiveness, efficiency, and multi‐instrument fusion</ns0:t>
        </ns0:is>
      </ns0:c>
      <ns0:c r="D125" s="19" t="inlineStr">
        <ns0:is>
          <ns0:t>10.1111/jcpp.12559</ns0:t>
        </ns0:is>
      </ns0:c>
      <ns0:c r="E125" s="26" t="n">
        <ns0:v>2016</ns0:v>
      </ns0:c>
      <ns0:c r="F125" s="19" t="inlineStr">
        <ns0:is>
          <ns0:t>Include</ns0:t>
        </ns0:is>
      </ns0:c>
      <ns0:c r="G125" s="27">
        <ns0:f>IF(F125="Include",1,0)</ns0:f>
        <ns0:v>1</ns0:v>
      </ns0:c>
      <ns0:c r="H125" s="19" t="inlineStr">
        <ns0:is>
          <ns0:t>Screening</ns0:t>
        </ns0:is>
      </ns0:c>
      <ns0:c r="I125" s="19" t="inlineStr">
        <ns0:is>
          <ns0:t>Machine Learning</ns0:t>
        </ns0:is>
      </ns0:c>
      <ns0:c r="J125" s="19" t="inlineStr">
        <ns0:is>
          <ns0:t>Structured clinical/questionnaire data</ns0:t>
        </ns0:is>
      </ns0:c>
      <ns0:c r="K125" s="19" t="inlineStr">
        <ns0:is>
          <ns0:t>SVM</ns0:t>
        </ns0:is>
      </ns0:c>
      <ns0:c r="L125" s="19" t="inlineStr">
        <ns0:is>
          <ns0:t>SVM</ns0:t>
        </ns0:is>
      </ns0:c>
      <ns0:c r="M125" s="19" t="inlineStr">
        <ns0:is>
          <ns0:t>Proposed only</ns0:t>
        </ns0:is>
      </ns0:c>
      <ns0:c r="N125" s="19" t="inlineStr">
        <ns0:is>
          <ns0:t>Triage/questionnaire assessment</ns0:t>
        </ns0:is>
      </ns0:c>
      <ns0:c r="O125" s="19" t="inlineStr">
        <ns0:is>
          <ns0:t>Pre-decision</ns0:t>
        </ns0:is>
      </ns0:c>
      <ns0:c r="P125" s="19" t="inlineStr">
        <ns0:is>
          <ns0:t>Not observed in assessed sources</ns0:t>
        </ns0:is>
      </ns0:c>
      <ns0:c r="Q125" s="19" t="inlineStr">
        <ns0:is>
          <ns0:t>Not reported in assessed sources</ns0:t>
        </ns0:is>
      </ns0:c>
      <ns0:c r="R125" s="19" t="inlineStr">
        <ns0:is>
          <ns0:t>Reported</ns0:t>
        </ns0:is>
      </ns0:c>
      <ns0:c r="S125" s="19" t="inlineStr">
        <ns0:is>
          <ns0:t>Not reported in assessed sources</ns0:t>
        </ns0:is>
      </ns0:c>
      <ns0:c r="T125" s="19" t="inlineStr">
        <ns0:is>
          <ns0:t>Not reported in assessed sources</ns0:t>
        </ns0:is>
      </ns0:c>
      <ns0:c r="U125" s="19" t="inlineStr">
        <ns0:is>
          <ns0:t>Not reported in assessed sources</ns0:t>
        </ns0:is>
      </ns0:c>
      <ns0:c r="V125" s="19" t="inlineStr">
        <ns0:is>
          <ns0:t>Not reported in assessed sources</ns0:t>
        </ns0:is>
      </ns0:c>
      <ns0:c r="W125" s="19" t="inlineStr">
        <ns0:is>
          <ns0:t>Reported</ns0:t>
        </ns0:is>
      </ns0:c>
      <ns0:c r="X125" s="19" t="inlineStr">
        <ns0:is>
          <ns0:t>Not reported in assessed sources</ns0:t>
        </ns0:is>
      </ns0:c>
      <ns0:c r="Y125" s="19" t="inlineStr">
        <ns0:is>
          <ns0:t>Not ascertainable</ns0:t>
        </ns0:is>
      </ns0:c>
      <ns0:c r="Z125" s="19" t="inlineStr">
        <ns0:is>
          <ns0:t>Not reported in assessed sources</ns0:t>
        </ns0:is>
      </ns0:c>
      <ns0:c r="AA125" s="19" t="inlineStr">
        <ns0:is>
          <ns0:t>Not recorded</ns0:t>
        </ns0:is>
      </ns0:c>
      <ns0:c r="AB125" s="26" t="n">
        <ns0:v>0</ns0:v>
      </ns0:c>
      <ns0:c r="AC125" s="26" t="n">
        <ns0:v>0</ns0:v>
      </ns0:c>
      <ns0:c r="AD125" s="27">
        <ns0:f>IF(AND(G125=1,AB125=0),1,0)</ns0:f>
        <ns0:v>1</ns0:v>
      </ns0:c>
      <ns0:c r="AE125" s="27">
        <ns0:f>IF(AND(AD125=1,AC125=0),1,0)</ns0:f>
        <ns0:v>1</ns0:v>
      </ns0:c>
      <ns0:c r="AF125" s="27">
        <ns0:f>IF(AND(G125=1,H125&lt;&gt;"Not specified"),1,0)</ns0:f>
        <ns0:v>1</ns0:v>
      </ns0:c>
      <ns0:c r="AG125" s="27">
        <ns0:f>IF(AND(AE125=1,AF125=1),1,0)</ns0:f>
        <ns0:v>1</ns0:v>
      </ns0:c>
      <ns0:c r="AH125" s="19" t="inlineStr">
        <ns0:is>
          <ns0:t>Supplied abstract/coding notes; no new full-text verification</ns0:t>
        </ns0:is>
      </ns0:c>
      <ns0:c r="AI125" s="19" t="inlineStr">
        <ns0:is>
          <ns0:t>https://doi.org/10.1111/jcpp.12559</ns0:t>
        </ns0:is>
      </ns0:c>
      <ns0:c r="AJ125" s="19" t="inlineStr">
        <ns0:is>
          <ns0:t>EVIDENCIA; original abstract/coding notes and lot source trace; Historical signals: title/abstract/notes; full-text completion not independently established</ns0:t>
        </ns0:is>
      </ns0:c>
      <ns0:c r="AK125" s="19" t="inlineStr">
        <ns0:is>
          <ns0:t>Structured ADI-R and SRS codes with explicitly evaluated multi-instrument fusion; not natural-language text input or external validation.</ns0:t>
        </ns0:is>
      </ns0:c>
      <ns0:c r="AL125" s="19" t="inlineStr">
        <ns0:is>
          <ns0:t>Not applicable</ns0:t>
        </ns0:is>
      </ns0:c>
      <ns0:c r="AM125" s="19" t="inlineStr">
        <ns0:is>
          <ns0:t>Not separately specified</ns0:t>
        </ns0:is>
      </ns0:c>
      <ns0:c r="AN125" s="19" t="inlineStr"/>
      <ns0:c r="AO125" s="19" t="inlineStr">
        <ns0:is>
          <ns0:t>No additional status determination</ns0:t>
        </ns0:is>
      </ns0:c>
      <ns0:c r="AP125" s="19" t="inlineStr">
        <ns0:is>
          <ns0:t>Not documented for this recharting</ns0:t>
        </ns0:is>
      </ns0:c>
      <ns0:c r="AQ125" s="19" t="inlineStr">
        <ns0:is>
          <ns0:t>ChatGPT-assisted evidence recharting, 2026-09-08</ns0:t>
        </ns0:is>
      </ns0:c>
      <ns0:c r="AR125" s="19" t="inlineStr"/>
      <ns0:c r="AS125" s="19" t="inlineStr">
        <ns0:is>
          <ns0:t>Not recorded; historical inclusion retained</ns0:t>
        </ns0:is>
      </ns0:c>
    </ns0:row>
    <ns0:row r="126" ht="50" customHeight="1">
      <ns0:c r="A126" s="21" t="inlineStr">
        <ns0:is>
          <ns0:t>133</ns0:t>
        </ns0:is>
      </ns0:c>
      <ns0:c r="B126" s="21" t="inlineStr">
        <ns0:is>
          <ns0:t>Historical</ns0:t>
        </ns0:is>
      </ns0:c>
      <ns0:c r="C126" s="21" t="inlineStr">
        <ns0:is>
          <ns0:t>A data driven machine learning approach to differentiate between autism spectrum disorder and attention-deficit/hyperactivity disorder based on the best-practice diagnostic instruments for autism</ns0:t>
        </ns0:is>
      </ns0:c>
      <ns0:c r="D126" s="21" t="inlineStr">
        <ns0:is>
          <ns0:t>10.1038/s41598-022-21719-x</ns0:t>
        </ns0:is>
      </ns0:c>
      <ns0:c r="E126" s="28" t="n">
        <ns0:v>2022</ns0:v>
      </ns0:c>
      <ns0:c r="F126" s="21" t="inlineStr">
        <ns0:is>
          <ns0:t>Include</ns0:t>
        </ns0:is>
      </ns0:c>
      <ns0:c r="G126" s="29">
        <ns0:f>IF(F126="Include",1,0)</ns0:f>
        <ns0:v>1</ns0:v>
      </ns0:c>
      <ns0:c r="H126" s="21" t="inlineStr">
        <ns0:is>
          <ns0:t>Diagnosis</ns0:t>
        </ns0:is>
      </ns0:c>
      <ns0:c r="I126" s="21" t="inlineStr">
        <ns0:is>
          <ns0:t>Machine Learning</ns0:t>
        </ns0:is>
      </ns0:c>
      <ns0:c r="J126" s="21" t="inlineStr">
        <ns0:is>
          <ns0:t>Structured clinical/questionnaire data</ns0:t>
        </ns0:is>
      </ns0:c>
      <ns0:c r="K126" s="21" t="inlineStr">
        <ns0:is>
          <ns0:t>SVM</ns0:t>
        </ns0:is>
      </ns0:c>
      <ns0:c r="L126" s="21" t="inlineStr">
        <ns0:is>
          <ns0:t>SVM</ns0:t>
        </ns0:is>
      </ns0:c>
      <ns0:c r="M126" s="21" t="inlineStr">
        <ns0:is>
          <ns0:t>Proposed only</ns0:t>
        </ns0:is>
      </ns0:c>
      <ns0:c r="N126" s="21" t="inlineStr">
        <ns0:is>
          <ns0:t>Diagnostic decision support</ns0:t>
        </ns0:is>
      </ns0:c>
      <ns0:c r="O126" s="21" t="inlineStr">
        <ns0:is>
          <ns0:t>In-decision</ns0:t>
        </ns0:is>
      </ns0:c>
      <ns0:c r="P126" s="21" t="inlineStr">
        <ns0:is>
          <ns0:t>Not observed in assessed sources</ns0:t>
        </ns0:is>
      </ns0:c>
      <ns0:c r="Q126" s="21" t="inlineStr">
        <ns0:is>
          <ns0:t>Not reported in assessed sources</ns0:t>
        </ns0:is>
      </ns0:c>
      <ns0:c r="R126" s="21" t="inlineStr">
        <ns0:is>
          <ns0:t>Reported</ns0:t>
        </ns0:is>
      </ns0:c>
      <ns0:c r="S126" s="21" t="inlineStr">
        <ns0:is>
          <ns0:t>Not reported in assessed sources</ns0:t>
        </ns0:is>
      </ns0:c>
      <ns0:c r="T126" s="21" t="inlineStr">
        <ns0:is>
          <ns0:t>Not reported in assessed sources</ns0:t>
        </ns0:is>
      </ns0:c>
      <ns0:c r="U126" s="21" t="inlineStr">
        <ns0:is>
          <ns0:t>Not reported in assessed sources</ns0:t>
        </ns0:is>
      </ns0:c>
      <ns0:c r="V126" s="21" t="inlineStr">
        <ns0:is>
          <ns0:t>Not reported in assessed sources</ns0:t>
        </ns0:is>
      </ns0:c>
      <ns0:c r="W126" s="21" t="inlineStr">
        <ns0:is>
          <ns0:t>Reported</ns0:t>
        </ns0:is>
      </ns0:c>
      <ns0:c r="X126" s="21" t="inlineStr">
        <ns0:is>
          <ns0:t>Not reported in assessed sources</ns0:t>
        </ns0:is>
      </ns0:c>
      <ns0:c r="Y126" s="21" t="inlineStr">
        <ns0:is>
          <ns0:t>Not ascertainable</ns0:t>
        </ns0:is>
      </ns0:c>
      <ns0:c r="Z126" s="21" t="inlineStr">
        <ns0:is>
          <ns0:t>Not reported in assessed sources</ns0:t>
        </ns0:is>
      </ns0:c>
      <ns0:c r="AA126" s="21" t="inlineStr">
        <ns0:is>
          <ns0:t>Not recorded</ns0:t>
        </ns0:is>
      </ns0:c>
      <ns0:c r="AB126" s="28" t="n">
        <ns0:v>0</ns0:v>
      </ns0:c>
      <ns0:c r="AC126" s="28" t="n">
        <ns0:v>0</ns0:v>
      </ns0:c>
      <ns0:c r="AD126" s="29">
        <ns0:f>IF(AND(G126=1,AB126=0),1,0)</ns0:f>
        <ns0:v>1</ns0:v>
      </ns0:c>
      <ns0:c r="AE126" s="29">
        <ns0:f>IF(AND(AD126=1,AC126=0),1,0)</ns0:f>
        <ns0:v>1</ns0:v>
      </ns0:c>
      <ns0:c r="AF126" s="29">
        <ns0:f>IF(AND(G126=1,H126&lt;&gt;"Not specified"),1,0)</ns0:f>
        <ns0:v>1</ns0:v>
      </ns0:c>
      <ns0:c r="AG126" s="29">
        <ns0:f>IF(AND(AE126=1,AF126=1),1,0)</ns0:f>
        <ns0:v>1</ns0:v>
      </ns0:c>
      <ns0:c r="AH126" s="21" t="inlineStr">
        <ns0:is>
          <ns0:t>Supplied abstract/coding notes; no new full-text verification</ns0:t>
        </ns0:is>
      </ns0:c>
      <ns0:c r="AI126" s="21" t="inlineStr">
        <ns0:is>
          <ns0:t>https://doi.org/10.1038/s41598-022-21719-x</ns0:t>
        </ns0:is>
      </ns0:c>
      <ns0:c r="AJ126" s="21" t="inlineStr">
        <ns0:is>
          <ns0:t>EVIDENCIA; original abstract/coding notes and lot source trace; Historical signals: title/abstract/notes; full-text completion not independently established</ns0:t>
        </ns0:is>
      </ns0:c>
      <ns0:c r="AK126" s="21" t="inlineStr">
        <ns0:is>
          <ns0:t>ADOS and ADI-R items jointly support differential ASD/ADHD diagnostic classification; scale scores are structured records.</ns0:t>
        </ns0:is>
      </ns0:c>
      <ns0:c r="AL126" s="21" t="inlineStr">
        <ns0:is>
          <ns0:t>Not applicable</ns0:t>
        </ns0:is>
      </ns0:c>
      <ns0:c r="AM126" s="21" t="inlineStr">
        <ns0:is>
          <ns0:t>Not separately specified</ns0:t>
        </ns0:is>
      </ns0:c>
      <ns0:c r="AN126" s="21" t="inlineStr"/>
      <ns0:c r="AO126" s="21" t="inlineStr">
        <ns0:is>
          <ns0:t>No additional status determination</ns0:t>
        </ns0:is>
      </ns0:c>
      <ns0:c r="AP126" s="21" t="inlineStr">
        <ns0:is>
          <ns0:t>Not documented for this recharting</ns0:t>
        </ns0:is>
      </ns0:c>
      <ns0:c r="AQ126" s="21" t="inlineStr">
        <ns0:is>
          <ns0:t>ChatGPT-assisted evidence recharting, 2026-09-08</ns0:t>
        </ns0:is>
      </ns0:c>
      <ns0:c r="AR126" s="21" t="inlineStr">
        <ns0:is>
          <ns0:t>RA</ns0:t>
        </ns0:is>
      </ns0:c>
      <ns0:c r="AS126" s="21" t="inlineStr">
        <ns0:is>
          <ns0:t>Not recorded; historical inclusion retained</ns0:t>
        </ns0:is>
      </ns0:c>
    </ns0:row>
    <ns0:row r="127" ht="50" customHeight="1">
      <ns0:c r="A127" s="19" t="inlineStr">
        <ns0:is>
          <ns0:t>134</ns0:t>
        </ns0:is>
      </ns0:c>
      <ns0:c r="B127" s="19" t="inlineStr">
        <ns0:is>
          <ns0:t>Historical</ns0:t>
        </ns0:is>
      </ns0:c>
      <ns0:c r="C127" s="19" t="inlineStr">
        <ns0:is>
          <ns0:t>A deep learning predictive classifier for autism screening and diagnosis</ns0:t>
        </ns0:is>
      </ns0:c>
      <ns0:c r="D127" s="19" t="inlineStr">
        <ns0:is>
          <ns0:t>10.1016/b978-0-12-822822-7.00011-9</ns0:t>
        </ns0:is>
      </ns0:c>
      <ns0:c r="E127" s="26" t="n">
        <ns0:v>2021</ns0:v>
      </ns0:c>
      <ns0:c r="F127" s="30" t="inlineStr">
        <ns0:is>
          <ns0:t>Exclude</ns0:t>
        </ns0:is>
      </ns0:c>
      <ns0:c r="G127" s="27">
        <ns0:f>IF(F127="Include",1,0)</ns0:f>
        <ns0:v>0</ns0:v>
      </ns0:c>
      <ns0:c r="H127" s="19" t="inlineStr">
        <ns0:is>
          <ns0:t>Excluded</ns0:t>
        </ns0:is>
      </ns0:c>
      <ns0:c r="I127" s="19" t="inlineStr">
        <ns0:is>
          <ns0:t>Excluded</ns0:t>
        </ns0:is>
      </ns0:c>
      <ns0:c r="J127" s="19" t="inlineStr">
        <ns0:is>
          <ns0:t>Excluded</ns0:t>
        </ns0:is>
      </ns0:c>
      <ns0:c r="K127" s="19" t="inlineStr">
        <ns0:is>
          <ns0:t>MLP</ns0:t>
        </ns0:is>
      </ns0:c>
      <ns0:c r="L127" s="19" t="inlineStr">
        <ns0:is>
          <ns0:t>MLP/ANN</ns0:t>
        </ns0:is>
      </ns0:c>
      <ns0:c r="M127" s="19" t="inlineStr">
        <ns0:is>
          <ns0:t>Excluded</ns0:t>
        </ns0:is>
      </ns0:c>
      <ns0:c r="N127" s="19" t="inlineStr">
        <ns0:is>
          <ns0:t>Excluded</ns0:t>
        </ns0:is>
      </ns0:c>
      <ns0:c r="O127" s="19" t="inlineStr">
        <ns0:is>
          <ns0:t>Not applicable - excluded</ns0:t>
        </ns0:is>
      </ns0:c>
      <ns0:c r="P127" s="19" t="inlineStr">
        <ns0:is>
          <ns0:t>Not applicable - excluded</ns0:t>
        </ns0:is>
      </ns0:c>
      <ns0:c r="Q127" s="19" t="inlineStr">
        <ns0:is>
          <ns0:t>Not reported in assessed sources</ns0:t>
        </ns0:is>
      </ns0:c>
      <ns0:c r="R127" s="19" t="inlineStr">
        <ns0:is>
          <ns0:t>Not reported in assessed sources</ns0:t>
        </ns0:is>
      </ns0:c>
      <ns0:c r="S127" s="19" t="inlineStr">
        <ns0:is>
          <ns0:t>Not reported in assessed sources</ns0:t>
        </ns0:is>
      </ns0:c>
      <ns0:c r="T127" s="19" t="inlineStr">
        <ns0:is>
          <ns0:t>Not reported in assessed sources</ns0:t>
        </ns0:is>
      </ns0:c>
      <ns0:c r="U127" s="19" t="inlineStr">
        <ns0:is>
          <ns0:t>Not reported in assessed sources</ns0:t>
        </ns0:is>
      </ns0:c>
      <ns0:c r="V127" s="19" t="inlineStr">
        <ns0:is>
          <ns0:t>Not reported in assessed sources</ns0:t>
        </ns0:is>
      </ns0:c>
      <ns0:c r="W127" s="19" t="inlineStr">
        <ns0:is>
          <ns0:t>Not reported in assessed sources</ns0:t>
        </ns0:is>
      </ns0:c>
      <ns0:c r="X127" s="19" t="inlineStr">
        <ns0:is>
          <ns0:t>Not reported in assessed sources</ns0:t>
        </ns0:is>
      </ns0:c>
      <ns0:c r="Y127" s="19" t="inlineStr">
        <ns0:is>
          <ns0:t>Not ascertainable</ns0:t>
        </ns0:is>
      </ns0:c>
      <ns0:c r="Z127" s="19" t="inlineStr">
        <ns0:is>
          <ns0:t>Not reported in assessed sources</ns0:t>
        </ns0:is>
      </ns0:c>
      <ns0:c r="AA127" s="19" t="inlineStr">
        <ns0:is>
          <ns0:t>Not recorded</ns0:t>
        </ns0:is>
      </ns0:c>
      <ns0:c r="AB127" s="26" t="n">
        <ns0:v>0</ns0:v>
      </ns0:c>
      <ns0:c r="AC127" s="26" t="n">
        <ns0:v>0</ns0:v>
      </ns0:c>
      <ns0:c r="AD127" s="27">
        <ns0:f>IF(AND(G127=1,AB127=0),1,0)</ns0:f>
        <ns0:v>0</ns0:v>
      </ns0:c>
      <ns0:c r="AE127" s="27">
        <ns0:f>IF(AND(AD127=1,AC127=0),1,0)</ns0:f>
        <ns0:v>0</ns0:v>
      </ns0:c>
      <ns0:c r="AF127" s="27">
        <ns0:f>IF(AND(G127=1,H127&lt;&gt;"Not specified"),1,0)</ns0:f>
        <ns0:v>0</ns0:v>
      </ns0:c>
      <ns0:c r="AG127" s="27">
        <ns0:f>IF(AND(AE127=1,AF127=1),1,0)</ns0:f>
        <ns0:v>0</ns0:v>
      </ns0:c>
      <ns0:c r="AH127" s="19" t="inlineStr">
        <ns0:is>
          <ns0:t>Supplied abstract/coding notes; no new full-text verification</ns0:t>
        </ns0:is>
      </ns0:c>
      <ns0:c r="AI127" s="19" t="inlineStr">
        <ns0:is>
          <ns0:t>https://doi.org/10.1016/b978-0-12-822822-7.00011-9</ns0:t>
        </ns0:is>
      </ns0:c>
      <ns0:c r="AJ127" s="19" t="inlineStr">
        <ns0:is>
          <ns0:t>EVIDENCIA; original abstract/coding notes and lot source trace; Historical signals: title/abstract/notes; full-text completion not independently established</ns0:t>
        </ns0:is>
      </ns0:c>
      <ns0:c r="AK127" s="19" t="inlineStr">
        <ns0:is>
          <ns0:t>Standalone edited-book chapter, explicitly described as a chapter; not an eligible identified conference proceeding or journal article.</ns0:t>
        </ns0:is>
      </ns0:c>
      <ns0:c r="AL127" s="19" t="inlineStr">
        <ns0:is>
          <ns0:t>EC1 Ineligible publication type</ns0:t>
        </ns0:is>
      </ns0:c>
      <ns0:c r="AM127" s="19" t="inlineStr">
        <ns0:is>
          <ns0:t>Not separately specified</ns0:t>
        </ns0:is>
      </ns0:c>
      <ns0:c r="AN127" s="19" t="inlineStr"/>
      <ns0:c r="AO127" s="19" t="inlineStr">
        <ns0:is>
          <ns0:t>No additional status determination</ns0:t>
        </ns0:is>
      </ns0:c>
      <ns0:c r="AP127" s="19" t="inlineStr">
        <ns0:is>
          <ns0:t>Not documented for this recharting</ns0:t>
        </ns0:is>
      </ns0:c>
      <ns0:c r="AQ127" s="19" t="inlineStr">
        <ns0:is>
          <ns0:t>ChatGPT-assisted evidence recharting, 2026-09-08</ns0:t>
        </ns0:is>
      </ns0:c>
      <ns0:c r="AR127" s="19" t="inlineStr">
        <ns0:is>
          <ns0:t>RA</ns0:t>
        </ns0:is>
      </ns0:c>
      <ns0:c r="AS127" s="19" t="inlineStr">
        <ns0:is>
          <ns0:t>Not recorded; historical inclusion retained</ns0:t>
        </ns0:is>
      </ns0:c>
    </ns0:row>
    <ns0:row r="128" ht="50" customHeight="1">
      <ns0:c r="A128" s="21" t="inlineStr">
        <ns0:is>
          <ns0:t>135</ns0:t>
        </ns0:is>
      </ns0:c>
      <ns0:c r="B128" s="21" t="inlineStr">
        <ns0:is>
          <ns0:t>Historical</ns0:t>
        </ns0:is>
      </ns0:c>
      <ns0:c r="C128" s="21" t="inlineStr">
        <ns0:is>
          <ns0:t>A Deep Neural Network-Based Model for Screening Autism Spectrum Disorder Using the Quantitative Checklist for Autism in Toddlers (QCHAT)</ns0:t>
        </ns0:is>
      </ns0:c>
      <ns0:c r="D128" s="21" t="inlineStr">
        <ns0:is>
          <ns0:t>10.1007/s10803-021-05141-2</ns0:t>
        </ns0:is>
      </ns0:c>
      <ns0:c r="E128" s="28" t="n">
        <ns0:v>2022</ns0:v>
      </ns0:c>
      <ns0:c r="F128" s="21" t="inlineStr">
        <ns0:is>
          <ns0:t>Include</ns0:t>
        </ns0:is>
      </ns0:c>
      <ns0:c r="G128" s="29">
        <ns0:f>IF(F128="Include",1,0)</ns0:f>
        <ns0:v>1</ns0:v>
      </ns0:c>
      <ns0:c r="H128" s="21" t="inlineStr">
        <ns0:is>
          <ns0:t>Screening</ns0:t>
        </ns0:is>
      </ns0:c>
      <ns0:c r="I128" s="21" t="inlineStr">
        <ns0:is>
          <ns0:t>Deep Learning</ns0:t>
        </ns0:is>
      </ns0:c>
      <ns0:c r="J128" s="21" t="inlineStr">
        <ns0:is>
          <ns0:t>Structured clinical/questionnaire data</ns0:t>
        </ns0:is>
      </ns0:c>
      <ns0:c r="K128" s="21" t="inlineStr">
        <ns0:is>
          <ns0:t>DNN</ns0:t>
        </ns0:is>
      </ns0:c>
      <ns0:c r="L128" s="21" t="inlineStr">
        <ns0:is>
          <ns0:t>Other specified method</ns0:t>
        </ns0:is>
      </ns0:c>
      <ns0:c r="M128" s="21" t="inlineStr">
        <ns0:is>
          <ns0:t>Research only</ns0:t>
        </ns0:is>
      </ns0:c>
      <ns0:c r="N128" s="21" t="inlineStr">
        <ns0:is>
          <ns0:t>Triage/questionnaire assessment</ns0:t>
        </ns0:is>
      </ns0:c>
      <ns0:c r="O128" s="21" t="inlineStr">
        <ns0:is>
          <ns0:t>Not observed in assessed sources</ns0:t>
        </ns0:is>
      </ns0:c>
      <ns0:c r="P128" s="21" t="inlineStr">
        <ns0:is>
          <ns0:t>Not observed in assessed sources</ns0:t>
        </ns0:is>
      </ns0:c>
      <ns0:c r="Q128" s="21" t="inlineStr">
        <ns0:is>
          <ns0:t>Not reported in assessed sources</ns0:t>
        </ns0:is>
      </ns0:c>
      <ns0:c r="R128" s="21" t="inlineStr">
        <ns0:is>
          <ns0:t>Not reported in assessed sources</ns0:t>
        </ns0:is>
      </ns0:c>
      <ns0:c r="S128" s="21" t="inlineStr">
        <ns0:is>
          <ns0:t>Not reported in assessed sources</ns0:t>
        </ns0:is>
      </ns0:c>
      <ns0:c r="T128" s="21" t="inlineStr">
        <ns0:is>
          <ns0:t>Not reported in assessed sources</ns0:t>
        </ns0:is>
      </ns0:c>
      <ns0:c r="U128" s="21" t="inlineStr">
        <ns0:is>
          <ns0:t>Not reported in assessed sources</ns0:t>
        </ns0:is>
      </ns0:c>
      <ns0:c r="V128" s="21" t="inlineStr">
        <ns0:is>
          <ns0:t>Not reported in assessed sources</ns0:t>
        </ns0:is>
      </ns0:c>
      <ns0:c r="W128" s="21" t="inlineStr">
        <ns0:is>
          <ns0:t>Not reported in assessed sources</ns0:t>
        </ns0:is>
      </ns0:c>
      <ns0:c r="X128" s="21" t="inlineStr">
        <ns0:is>
          <ns0:t>Not reported in assessed sources</ns0:t>
        </ns0:is>
      </ns0:c>
      <ns0:c r="Y128" s="21" t="inlineStr">
        <ns0:is>
          <ns0:t>Not ascertainable</ns0:t>
        </ns0:is>
      </ns0:c>
      <ns0:c r="Z128" s="21" t="inlineStr">
        <ns0:is>
          <ns0:t>Not reported in assessed sources</ns0:t>
        </ns0:is>
      </ns0:c>
      <ns0:c r="AA128" s="21" t="inlineStr">
        <ns0:is>
          <ns0:t>Not recorded</ns0:t>
        </ns0:is>
      </ns0:c>
      <ns0:c r="AB128" s="28" t="n">
        <ns0:v>0</ns0:v>
      </ns0:c>
      <ns0:c r="AC128" s="28" t="n">
        <ns0:v>0</ns0:v>
      </ns0:c>
      <ns0:c r="AD128" s="29">
        <ns0:f>IF(AND(G128=1,AB128=0),1,0)</ns0:f>
        <ns0:v>1</ns0:v>
      </ns0:c>
      <ns0:c r="AE128" s="29">
        <ns0:f>IF(AND(AD128=1,AC128=0),1,0)</ns0:f>
        <ns0:v>1</ns0:v>
      </ns0:c>
      <ns0:c r="AF128" s="29">
        <ns0:f>IF(AND(G128=1,H128&lt;&gt;"Not specified"),1,0)</ns0:f>
        <ns0:v>1</ns0:v>
      </ns0:c>
      <ns0:c r="AG128" s="29">
        <ns0:f>IF(AND(AE128=1,AF128=1),1,0)</ns0:f>
        <ns0:v>1</ns0:v>
      </ns0:c>
      <ns0:c r="AH128" s="21" t="inlineStr">
        <ns0:is>
          <ns0:t>Supplied abstract/coding notes; no new full-text verification</ns0:t>
        </ns0:is>
      </ns0:c>
      <ns0:c r="AI128" s="21" t="inlineStr">
        <ns0:is>
          <ns0:t>https://doi.org/10.1007/s10803-021-05141-2</ns0:t>
        </ns0:is>
      </ns0:c>
      <ns0:c r="AJ128" s="21" t="inlineStr">
        <ns0:is>
          <ns0:t>EVIDENCIA; original abstract/coding notes and lot source trace; Historical signals: title/abstract/notes; full-text completion not independently established</ns0:t>
        </ns0:is>
      </ns0:c>
      <ns0:c r="AK128" s="21" t="inlineStr">
        <ns0:is>
          <ns0:t>QCHAT/QCHAT-10 questionnaire data, not voice. Separate full and short instruments do not establish simultaneous fusion.</ns0:t>
        </ns0:is>
      </ns0:c>
      <ns0:c r="AL128" s="21" t="inlineStr">
        <ns0:is>
          <ns0:t>Not applicable</ns0:t>
        </ns0:is>
      </ns0:c>
      <ns0:c r="AM128" s="21" t="inlineStr">
        <ns0:is>
          <ns0:t>Not separately specified</ns0:t>
        </ns0:is>
      </ns0:c>
      <ns0:c r="AN128" s="21" t="inlineStr"/>
      <ns0:c r="AO128" s="21" t="inlineStr">
        <ns0:is>
          <ns0:t>No additional status determination</ns0:t>
        </ns0:is>
      </ns0:c>
      <ns0:c r="AP128" s="21" t="inlineStr">
        <ns0:is>
          <ns0:t>Not documented for this recharting</ns0:t>
        </ns0:is>
      </ns0:c>
      <ns0:c r="AQ128" s="21" t="inlineStr">
        <ns0:is>
          <ns0:t>ChatGPT-assisted evidence recharting, 2026-09-08</ns0:t>
        </ns0:is>
      </ns0:c>
      <ns0:c r="AR128" s="21" t="inlineStr">
        <ns0:is>
          <ns0:t>RA</ns0:t>
        </ns0:is>
      </ns0:c>
      <ns0:c r="AS128" s="21" t="inlineStr">
        <ns0:is>
          <ns0:t>Not recorded; historical inclusion retained</ns0:t>
        </ns0:is>
      </ns0:c>
    </ns0:row>
    <ns0:row r="129" ht="50" customHeight="1">
      <ns0:c r="A129" s="19" t="inlineStr">
        <ns0:is>
          <ns0:t>136</ns0:t>
        </ns0:is>
      </ns0:c>
      <ns0:c r="B129" s="19" t="inlineStr">
        <ns0:is>
          <ns0:t>Historical</ns0:t>
        </ns0:is>
      </ns0:c>
      <ns0:c r="C129" s="19" t="inlineStr">
        <ns0:is>
          <ns0:t>A semi-supervised autoencoder for autism disease diagnosis</ns0:t>
        </ns0:is>
      </ns0:c>
      <ns0:c r="D129" s="19" t="inlineStr">
        <ns0:is>
          <ns0:t>10.1016/j.neucom.2022.02.017</ns0:t>
        </ns0:is>
      </ns0:c>
      <ns0:c r="E129" s="26" t="n">
        <ns0:v>2022</ns0:v>
      </ns0:c>
      <ns0:c r="F129" s="19" t="inlineStr">
        <ns0:is>
          <ns0:t>Include</ns0:t>
        </ns0:is>
      </ns0:c>
      <ns0:c r="G129" s="27">
        <ns0:f>IF(F129="Include",1,0)</ns0:f>
        <ns0:v>1</ns0:v>
      </ns0:c>
      <ns0:c r="H129" s="19" t="inlineStr">
        <ns0:is>
          <ns0:t>Diagnosis</ns0:t>
        </ns0:is>
      </ns0:c>
      <ns0:c r="I129" s="19" t="inlineStr">
        <ns0:is>
          <ns0:t>Deep Learning</ns0:t>
        </ns0:is>
      </ns0:c>
      <ns0:c r="J129" s="19" t="inlineStr">
        <ns0:is>
          <ns0:t>Neuroimaging</ns0:t>
        </ns0:is>
      </ns0:c>
      <ns0:c r="K129" s="19" t="inlineStr">
        <ns0:is>
          <ns0:t>Semi-supervised autoencoder</ns0:t>
        </ns0:is>
      </ns0:c>
      <ns0:c r="L129" s="19" t="inlineStr">
        <ns0:is>
          <ns0:t>Autoencoder</ns0:t>
        </ns0:is>
      </ns0:c>
      <ns0:c r="M129" s="19" t="inlineStr">
        <ns0:is>
          <ns0:t>Research only</ns0:t>
        </ns0:is>
      </ns0:c>
      <ns0:c r="N129" s="19" t="inlineStr">
        <ns0:is>
          <ns0:t>Automated measurement/classification</ns0:t>
        </ns0:is>
      </ns0:c>
      <ns0:c r="O129" s="19" t="inlineStr">
        <ns0:is>
          <ns0:t>Not observed in assessed sources</ns0:t>
        </ns0:is>
      </ns0:c>
      <ns0:c r="P129" s="19" t="inlineStr">
        <ns0:is>
          <ns0:t>Not observed in assessed sources</ns0:t>
        </ns0:is>
      </ns0:c>
      <ns0:c r="Q129" s="19" t="inlineStr">
        <ns0:is>
          <ns0:t>Not reported in assessed sources</ns0:t>
        </ns0:is>
      </ns0:c>
      <ns0:c r="R129" s="19" t="inlineStr">
        <ns0:is>
          <ns0:t>Not reported in assessed sources</ns0:t>
        </ns0:is>
      </ns0:c>
      <ns0:c r="S129" s="19" t="inlineStr">
        <ns0:is>
          <ns0:t>Not reported in assessed sources</ns0:t>
        </ns0:is>
      </ns0:c>
      <ns0:c r="T129" s="19" t="inlineStr">
        <ns0:is>
          <ns0:t>Not reported in assessed sources</ns0:t>
        </ns0:is>
      </ns0:c>
      <ns0:c r="U129" s="19" t="inlineStr">
        <ns0:is>
          <ns0:t>Not reported in assessed sources</ns0:t>
        </ns0:is>
      </ns0:c>
      <ns0:c r="V129" s="19" t="inlineStr">
        <ns0:is>
          <ns0:t>Reported</ns0:t>
        </ns0:is>
      </ns0:c>
      <ns0:c r="W129" s="19" t="inlineStr">
        <ns0:is>
          <ns0:t>Not reported in assessed sources</ns0:t>
        </ns0:is>
      </ns0:c>
      <ns0:c r="X129" s="19" t="inlineStr">
        <ns0:is>
          <ns0:t>Not reported in assessed sources</ns0:t>
        </ns0:is>
      </ns0:c>
      <ns0:c r="Y129" s="19" t="inlineStr">
        <ns0:is>
          <ns0:t>Not ascertainable</ns0:t>
        </ns0:is>
      </ns0:c>
      <ns0:c r="Z129" s="19" t="inlineStr">
        <ns0:is>
          <ns0:t>Not reported in assessed sources</ns0:t>
        </ns0:is>
      </ns0:c>
      <ns0:c r="AA129" s="19" t="inlineStr">
        <ns0:is>
          <ns0:t>Not recorded</ns0:t>
        </ns0:is>
      </ns0:c>
      <ns0:c r="AB129" s="26" t="n">
        <ns0:v>0</ns0:v>
      </ns0:c>
      <ns0:c r="AC129" s="26" t="n">
        <ns0:v>0</ns0:v>
      </ns0:c>
      <ns0:c r="AD129" s="27">
        <ns0:f>IF(AND(G129=1,AB129=0),1,0)</ns0:f>
        <ns0:v>1</ns0:v>
      </ns0:c>
      <ns0:c r="AE129" s="27">
        <ns0:f>IF(AND(AD129=1,AC129=0),1,0)</ns0:f>
        <ns0:v>1</ns0:v>
      </ns0:c>
      <ns0:c r="AF129" s="27">
        <ns0:f>IF(AND(G129=1,H129&lt;&gt;"Not specified"),1,0)</ns0:f>
        <ns0:v>1</ns0:v>
      </ns0:c>
      <ns0:c r="AG129" s="27">
        <ns0:f>IF(AND(AE129=1,AF129=1),1,0)</ns0:f>
        <ns0:v>1</ns0:v>
      </ns0:c>
      <ns0:c r="AH129" s="19" t="inlineStr">
        <ns0:is>
          <ns0:t>Supplied abstract/coding notes; no new full-text verification</ns0:t>
        </ns0:is>
      </ns0:c>
      <ns0:c r="AI129" s="19" t="inlineStr">
        <ns0:is>
          <ns0:t>https://doi.org/10.1016/j.neucom.2022.02.017</ns0:t>
        </ns0:is>
      </ns0:c>
      <ns0:c r="AJ129" s="19" t="inlineStr">
        <ns0:is>
          <ns0:t>EVIDENCIA; original abstract/coding notes and lot source trace; Historical signals: title/abstract/notes; full-text completion not independently established</ns0:t>
        </ns0:is>
      </ns0:c>
      <ns0:c r="AK129" s="19" t="inlineStr">
        <ns0:is>
          <ns0:t>Resting-state fMRI connectivity in ABIDE; internal cross-validation, not external or site-held-out validation.</ns0:t>
        </ns0:is>
      </ns0:c>
      <ns0:c r="AL129" s="19" t="inlineStr">
        <ns0:is>
          <ns0:t>Not applicable</ns0:t>
        </ns0:is>
      </ns0:c>
      <ns0:c r="AM129" s="19" t="inlineStr">
        <ns0:is>
          <ns0:t>Not separately specified</ns0:t>
        </ns0:is>
      </ns0:c>
      <ns0:c r="AN129" s="19" t="inlineStr"/>
      <ns0:c r="AO129" s="19" t="inlineStr">
        <ns0:is>
          <ns0:t>No additional status determination</ns0:t>
        </ns0:is>
      </ns0:c>
      <ns0:c r="AP129" s="19" t="inlineStr">
        <ns0:is>
          <ns0:t>Not documented for this recharting</ns0:t>
        </ns0:is>
      </ns0:c>
      <ns0:c r="AQ129" s="19" t="inlineStr">
        <ns0:is>
          <ns0:t>ChatGPT-assisted evidence recharting, 2026-09-08</ns0:t>
        </ns0:is>
      </ns0:c>
      <ns0:c r="AR129" s="19" t="inlineStr"/>
      <ns0:c r="AS129" s="19" t="inlineStr">
        <ns0:is>
          <ns0:t>Not recorded; historical inclusion retained</ns0:t>
        </ns0:is>
      </ns0:c>
    </ns0:row>
    <ns0:row r="130" ht="50" customHeight="1">
      <ns0:c r="A130" s="21" t="inlineStr">
        <ns0:is>
          <ns0:t>137</ns0:t>
        </ns0:is>
      </ns0:c>
      <ns0:c r="B130" s="21" t="inlineStr">
        <ns0:is>
          <ns0:t>Historical</ns0:t>
        </ns0:is>
      </ns0:c>
      <ns0:c r="C130" s="21" t="inlineStr">
        <ns0:is>
          <ns0:t>Applying machine learning on home videos for remote autism diagnosis: Further study and analysis</ns0:t>
        </ns0:is>
      </ns0:c>
      <ns0:c r="D130" s="21" t="inlineStr">
        <ns0:is>
          <ns0:t>10.1177/1460458221991882</ns0:t>
        </ns0:is>
      </ns0:c>
      <ns0:c r="E130" s="28" t="n">
        <ns0:v>2021</ns0:v>
      </ns0:c>
      <ns0:c r="F130" s="21" t="inlineStr">
        <ns0:is>
          <ns0:t>Include</ns0:t>
        </ns0:is>
      </ns0:c>
      <ns0:c r="G130" s="29">
        <ns0:f>IF(F130="Include",1,0)</ns0:f>
        <ns0:v>1</ns0:v>
      </ns0:c>
      <ns0:c r="H130" s="21" t="inlineStr">
        <ns0:is>
          <ns0:t>Screening</ns0:t>
        </ns0:is>
      </ns0:c>
      <ns0:c r="I130" s="21" t="inlineStr">
        <ns0:is>
          <ns0:t>Machine Learning</ns0:t>
        </ns0:is>
      </ns0:c>
      <ns0:c r="J130" s="21" t="inlineStr">
        <ns0:is>
          <ns0:t>Structured clinical/questionnaire data</ns0:t>
        </ns0:is>
      </ns0:c>
      <ns0:c r="K130" s="21" t="inlineStr">
        <ns0:is>
          <ns0:t>SVM with backward feature selection</ns0:t>
        </ns0:is>
      </ns0:c>
      <ns0:c r="L130" s="21" t="inlineStr">
        <ns0:is>
          <ns0:t>SVM</ns0:t>
        </ns0:is>
      </ns0:c>
      <ns0:c r="M130" s="21" t="inlineStr">
        <ns0:is>
          <ns0:t>Proposed only</ns0:t>
        </ns0:is>
      </ns0:c>
      <ns0:c r="N130" s="21" t="inlineStr">
        <ns0:is>
          <ns0:t>Diagnostic decision support</ns0:t>
        </ns0:is>
      </ns0:c>
      <ns0:c r="O130" s="21" t="inlineStr">
        <ns0:is>
          <ns0:t>In-decision</ns0:t>
        </ns0:is>
      </ns0:c>
      <ns0:c r="P130" s="21" t="inlineStr">
        <ns0:is>
          <ns0:t>Not observed in assessed sources</ns0:t>
        </ns0:is>
      </ns0:c>
      <ns0:c r="Q130" s="21" t="inlineStr">
        <ns0:is>
          <ns0:t>Not reported in assessed sources</ns0:t>
        </ns0:is>
      </ns0:c>
      <ns0:c r="R130" s="21" t="inlineStr">
        <ns0:is>
          <ns0:t>Not reported in assessed sources</ns0:t>
        </ns0:is>
      </ns0:c>
      <ns0:c r="S130" s="21" t="inlineStr">
        <ns0:is>
          <ns0:t>Reported</ns0:t>
        </ns0:is>
      </ns0:c>
      <ns0:c r="T130" s="21" t="inlineStr">
        <ns0:is>
          <ns0:t>Not reported in assessed sources</ns0:t>
        </ns0:is>
      </ns0:c>
      <ns0:c r="U130" s="21" t="inlineStr">
        <ns0:is>
          <ns0:t>Not reported in assessed sources</ns0:t>
        </ns0:is>
      </ns0:c>
      <ns0:c r="V130" s="21" t="inlineStr">
        <ns0:is>
          <ns0:t>Not reported in assessed sources</ns0:t>
        </ns0:is>
      </ns0:c>
      <ns0:c r="W130" s="21" t="inlineStr">
        <ns0:is>
          <ns0:t>Not reported in assessed sources</ns0:t>
        </ns0:is>
      </ns0:c>
      <ns0:c r="X130" s="21" t="inlineStr">
        <ns0:is>
          <ns0:t>Not reported in assessed sources</ns0:t>
        </ns0:is>
      </ns0:c>
      <ns0:c r="Y130" s="21" t="inlineStr">
        <ns0:is>
          <ns0:t>Not ascertainable</ns0:t>
        </ns0:is>
      </ns0:c>
      <ns0:c r="Z130" s="21" t="inlineStr">
        <ns0:is>
          <ns0:t>Reported</ns0:t>
        </ns0:is>
      </ns0:c>
      <ns0:c r="AA130" s="21" t="inlineStr">
        <ns0:is>
          <ns0:t>Not recorded</ns0:t>
        </ns0:is>
      </ns0:c>
      <ns0:c r="AB130" s="28" t="n">
        <ns0:v>0</ns0:v>
      </ns0:c>
      <ns0:c r="AC130" s="28" t="n">
        <ns0:v>0</ns0:v>
      </ns0:c>
      <ns0:c r="AD130" s="29">
        <ns0:f>IF(AND(G130=1,AB130=0),1,0)</ns0:f>
        <ns0:v>1</ns0:v>
      </ns0:c>
      <ns0:c r="AE130" s="29">
        <ns0:f>IF(AND(AD130=1,AC130=0),1,0)</ns0:f>
        <ns0:v>1</ns0:v>
      </ns0:c>
      <ns0:c r="AF130" s="29">
        <ns0:f>IF(AND(G130=1,H130&lt;&gt;"Not specified"),1,0)</ns0:f>
        <ns0:v>1</ns0:v>
      </ns0:c>
      <ns0:c r="AG130" s="29">
        <ns0:f>IF(AND(AE130=1,AF130=1),1,0)</ns0:f>
        <ns0:v>1</ns0:v>
      </ns0:c>
      <ns0:c r="AH130" s="21" t="inlineStr">
        <ns0:is>
          <ns0:t>Supplied abstract/coding notes; no new full-text verification</ns0:t>
        </ns0:is>
      </ns0:c>
      <ns0:c r="AI130" s="21" t="inlineStr">
        <ns0:is>
          <ns0:t>https://doi.org/10.1177/1460458221991882</ns0:t>
        </ns0:is>
      </ns0:c>
      <ns0:c r="AJ130" s="21" t="inlineStr">
        <ns0:is>
          <ns0:t>EVIDENCIA; original abstract/coding notes and lot source trace; Historical signals: title/abstract/notes; full-text completion not independently established</ns0:t>
        </ns0:is>
      </ns0:c>
      <ns0:c r="AK130" s="21" t="inlineStr">
        <ns0:is>
          <ns0:t>Non-clinicians provide structured ratings of home videos; classifier consumes ratings, not raw video pixels. Explicit interpretable companion models support explanation coding.</ns0:t>
        </ns0:is>
      </ns0:c>
      <ns0:c r="AL130" s="21" t="inlineStr">
        <ns0:is>
          <ns0:t>Not applicable</ns0:t>
        </ns0:is>
      </ns0:c>
      <ns0:c r="AM130" s="21" t="inlineStr">
        <ns0:is>
          <ns0:t>Not separately specified</ns0:t>
        </ns0:is>
      </ns0:c>
      <ns0:c r="AN130" s="21" t="inlineStr"/>
      <ns0:c r="AO130" s="21" t="inlineStr">
        <ns0:is>
          <ns0:t>No additional status determination</ns0:t>
        </ns0:is>
      </ns0:c>
      <ns0:c r="AP130" s="21" t="inlineStr">
        <ns0:is>
          <ns0:t>Not documented for this recharting</ns0:t>
        </ns0:is>
      </ns0:c>
      <ns0:c r="AQ130" s="21" t="inlineStr">
        <ns0:is>
          <ns0:t>ChatGPT-assisted evidence recharting, 2026-09-08</ns0:t>
        </ns0:is>
      </ns0:c>
      <ns0:c r="AR130" s="21" t="inlineStr">
        <ns0:is>
          <ns0:t>RA</ns0:t>
        </ns0:is>
      </ns0:c>
      <ns0:c r="AS130" s="21" t="inlineStr">
        <ns0:is>
          <ns0:t>Not recorded; historical inclusion retained</ns0:t>
        </ns0:is>
      </ns0:c>
    </ns0:row>
    <ns0:row r="131" ht="50" customHeight="1">
      <ns0:c r="A131" s="19" t="inlineStr">
        <ns0:is>
          <ns0:t>138</ns0:t>
        </ns0:is>
      </ns0:c>
      <ns0:c r="B131" s="19" t="inlineStr">
        <ns0:is>
          <ns0:t>Historical</ns0:t>
        </ns0:is>
      </ns0:c>
      <ns0:c r="C131" s="19" t="inlineStr">
        <ns0:is>
          <ns0:t>ASD-SWNet: a novel shared-weight feature extraction and classification network for autism spectrum disorder diagnosis</ns0:t>
        </ns0:is>
      </ns0:c>
      <ns0:c r="D131" s="19" t="inlineStr">
        <ns0:is>
          <ns0:t>10.1038/s41598-024-64299-8</ns0:t>
        </ns0:is>
      </ns0:c>
      <ns0:c r="E131" s="26" t="n">
        <ns0:v>2024</ns0:v>
      </ns0:c>
      <ns0:c r="F131" s="19" t="inlineStr">
        <ns0:is>
          <ns0:t>Include</ns0:t>
        </ns0:is>
      </ns0:c>
      <ns0:c r="G131" s="27">
        <ns0:f>IF(F131="Include",1,0)</ns0:f>
        <ns0:v>1</ns0:v>
      </ns0:c>
      <ns0:c r="H131" s="19" t="inlineStr">
        <ns0:is>
          <ns0:t>Diagnosis</ns0:t>
        </ns0:is>
      </ns0:c>
      <ns0:c r="I131" s="19" t="inlineStr">
        <ns0:is>
          <ns0:t>Deep Learning</ns0:t>
        </ns0:is>
      </ns0:c>
      <ns0:c r="J131" s="19" t="inlineStr">
        <ns0:is>
          <ns0:t>Neuroimaging</ns0:t>
        </ns0:is>
      </ns0:c>
      <ns0:c r="K131" s="19" t="inlineStr">
        <ns0:is>
          <ns0:t>Shared-weight autoencoder-CNN</ns0:t>
        </ns0:is>
      </ns0:c>
      <ns0:c r="L131" s="19" t="inlineStr">
        <ns0:is>
          <ns0:t>Composite/ensemble pipeline</ns0:t>
        </ns0:is>
      </ns0:c>
      <ns0:c r="M131" s="19" t="inlineStr">
        <ns0:is>
          <ns0:t>Research only</ns0:t>
        </ns0:is>
      </ns0:c>
      <ns0:c r="N131" s="19" t="inlineStr">
        <ns0:is>
          <ns0:t>Automated measurement/classification</ns0:t>
        </ns0:is>
      </ns0:c>
      <ns0:c r="O131" s="19" t="inlineStr">
        <ns0:is>
          <ns0:t>Not observed in assessed sources</ns0:t>
        </ns0:is>
      </ns0:c>
      <ns0:c r="P131" s="19" t="inlineStr">
        <ns0:is>
          <ns0:t>Not observed in assessed sources</ns0:t>
        </ns0:is>
      </ns0:c>
      <ns0:c r="Q131" s="19" t="inlineStr">
        <ns0:is>
          <ns0:t>Not reported in assessed sources</ns0:t>
        </ns0:is>
      </ns0:c>
      <ns0:c r="R131" s="19" t="inlineStr">
        <ns0:is>
          <ns0:t>Not reported in assessed sources</ns0:t>
        </ns0:is>
      </ns0:c>
      <ns0:c r="S131" s="19" t="inlineStr">
        <ns0:is>
          <ns0:t>Not reported in assessed sources</ns0:t>
        </ns0:is>
      </ns0:c>
      <ns0:c r="T131" s="19" t="inlineStr">
        <ns0:is>
          <ns0:t>Not reported in assessed sources</ns0:t>
        </ns0:is>
      </ns0:c>
      <ns0:c r="U131" s="19" t="inlineStr">
        <ns0:is>
          <ns0:t>Not reported in assessed sources</ns0:t>
        </ns0:is>
      </ns0:c>
      <ns0:c r="V131" s="19" t="inlineStr">
        <ns0:is>
          <ns0:t>Reported</ns0:t>
        </ns0:is>
      </ns0:c>
      <ns0:c r="W131" s="19" t="inlineStr">
        <ns0:is>
          <ns0:t>Not reported in assessed sources</ns0:t>
        </ns0:is>
      </ns0:c>
      <ns0:c r="X131" s="19" t="inlineStr">
        <ns0:is>
          <ns0:t>Not reported in assessed sources</ns0:t>
        </ns0:is>
      </ns0:c>
      <ns0:c r="Y131" s="19" t="inlineStr">
        <ns0:is>
          <ns0:t>Not ascertainable</ns0:t>
        </ns0:is>
      </ns0:c>
      <ns0:c r="Z131" s="19" t="inlineStr">
        <ns0:is>
          <ns0:t>Not reported in assessed sources</ns0:t>
        </ns0:is>
      </ns0:c>
      <ns0:c r="AA131" s="19" t="inlineStr">
        <ns0:is>
          <ns0:t>Not recorded</ns0:t>
        </ns0:is>
      </ns0:c>
      <ns0:c r="AB131" s="26" t="n">
        <ns0:v>0</ns0:v>
      </ns0:c>
      <ns0:c r="AC131" s="26" t="n">
        <ns0:v>0</ns0:v>
      </ns0:c>
      <ns0:c r="AD131" s="27">
        <ns0:f>IF(AND(G131=1,AB131=0),1,0)</ns0:f>
        <ns0:v>1</ns0:v>
      </ns0:c>
      <ns0:c r="AE131" s="27">
        <ns0:f>IF(AND(AD131=1,AC131=0),1,0)</ns0:f>
        <ns0:v>1</ns0:v>
      </ns0:c>
      <ns0:c r="AF131" s="27">
        <ns0:f>IF(AND(G131=1,H131&lt;&gt;"Not specified"),1,0)</ns0:f>
        <ns0:v>1</ns0:v>
      </ns0:c>
      <ns0:c r="AG131" s="27">
        <ns0:f>IF(AND(AE131=1,AF131=1),1,0)</ns0:f>
        <ns0:v>1</ns0:v>
      </ns0:c>
      <ns0:c r="AH131" s="19" t="inlineStr">
        <ns0:is>
          <ns0:t>Supplied abstract/coding notes; no new full-text verification</ns0:t>
        </ns0:is>
      </ns0:c>
      <ns0:c r="AI131" s="19" t="inlineStr">
        <ns0:is>
          <ns0:t>https://doi.org/10.1038/s41598-024-64299-8</ns0:t>
        </ns0:is>
      </ns0:c>
      <ns0:c r="AJ131" s="19" t="inlineStr">
        <ns0:is>
          <ns0:t>EVIDENCIA; original abstract/coding notes and lot source trace; Historical signals: title/abstract/notes; full-text completion not independently established</ns0:t>
        </ns0:is>
      </ns0:c>
      <ns0:c r="AK131" s="19" t="inlineStr">
        <ns0:is>
          <ns0:t>Explicit joint deep architecture using fMRI; nested ten-fold internal cross-validation. Two neural components are not an ML-DL hybrid.</ns0:t>
        </ns0:is>
      </ns0:c>
      <ns0:c r="AL131" s="19" t="inlineStr">
        <ns0:is>
          <ns0:t>Not applicable</ns0:t>
        </ns0:is>
      </ns0:c>
      <ns0:c r="AM131" s="19" t="inlineStr">
        <ns0:is>
          <ns0:t>Not separately specified</ns0:t>
        </ns0:is>
      </ns0:c>
      <ns0:c r="AN131" s="19" t="inlineStr"/>
      <ns0:c r="AO131" s="19" t="inlineStr">
        <ns0:is>
          <ns0:t>No additional status determination</ns0:t>
        </ns0:is>
      </ns0:c>
      <ns0:c r="AP131" s="19" t="inlineStr">
        <ns0:is>
          <ns0:t>Not documented for this recharting</ns0:t>
        </ns0:is>
      </ns0:c>
      <ns0:c r="AQ131" s="19" t="inlineStr">
        <ns0:is>
          <ns0:t>ChatGPT-assisted evidence recharting, 2026-09-08</ns0:t>
        </ns0:is>
      </ns0:c>
      <ns0:c r="AR131" s="19" t="inlineStr">
        <ns0:is>
          <ns0:t>RA</ns0:t>
        </ns0:is>
      </ns0:c>
      <ns0:c r="AS131" s="19" t="inlineStr">
        <ns0:is>
          <ns0:t>Not recorded; historical inclusion retained</ns0:t>
        </ns0:is>
      </ns0:c>
    </ns0:row>
    <ns0:row r="132" ht="50" customHeight="1">
      <ns0:c r="A132" s="21" t="inlineStr">
        <ns0:is>
          <ns0:t>140</ns0:t>
        </ns0:is>
      </ns0:c>
      <ns0:c r="B132" s="21" t="inlineStr">
        <ns0:is>
          <ns0:t>Historical</ns0:t>
        </ns0:is>
      </ns0:c>
      <ns0:c r="C132" s="21" t="inlineStr">
        <ns0:is>
          <ns0:t>Autism spectrum disorder diagnosis based on deep unrolling-based spatial constraint representation.</ns0:t>
        </ns0:is>
      </ns0:c>
      <ns0:c r="D132" s="21" t="inlineStr">
        <ns0:is>
          <ns0:t>10.1007/s11517-023-02859-2</ns0:t>
        </ns0:is>
      </ns0:c>
      <ns0:c r="E132" s="28" t="n">
        <ns0:v>2023</ns0:v>
      </ns0:c>
      <ns0:c r="F132" s="21" t="inlineStr">
        <ns0:is>
          <ns0:t>Include</ns0:t>
        </ns0:is>
      </ns0:c>
      <ns0:c r="G132" s="29">
        <ns0:f>IF(F132="Include",1,0)</ns0:f>
        <ns0:v>1</ns0:v>
      </ns0:c>
      <ns0:c r="H132" s="21" t="inlineStr">
        <ns0:is>
          <ns0:t>Diagnosis</ns0:t>
        </ns0:is>
      </ns0:c>
      <ns0:c r="I132" s="21" t="inlineStr">
        <ns0:is>
          <ns0:t>Deep Learning</ns0:t>
        </ns0:is>
      </ns0:c>
      <ns0:c r="J132" s="21" t="inlineStr">
        <ns0:is>
          <ns0:t>Neuroimaging</ns0:t>
        </ns0:is>
      </ns0:c>
      <ns0:c r="K132" s="21" t="inlineStr">
        <ns0:is>
          <ns0:t>Deep unrolling with convolutional prototype classifier</ns0:t>
        </ns0:is>
      </ns0:c>
      <ns0:c r="L132" s="21" t="inlineStr">
        <ns0:is>
          <ns0:t>Other specified method</ns0:t>
        </ns0:is>
      </ns0:c>
      <ns0:c r="M132" s="21" t="inlineStr">
        <ns0:is>
          <ns0:t>Research only</ns0:t>
        </ns0:is>
      </ns0:c>
      <ns0:c r="N132" s="21" t="inlineStr">
        <ns0:is>
          <ns0:t>Automated measurement/classification</ns0:t>
        </ns0:is>
      </ns0:c>
      <ns0:c r="O132" s="21" t="inlineStr">
        <ns0:is>
          <ns0:t>Not observed in assessed sources</ns0:t>
        </ns0:is>
      </ns0:c>
      <ns0:c r="P132" s="21" t="inlineStr">
        <ns0:is>
          <ns0:t>Not observed in assessed sources</ns0:t>
        </ns0:is>
      </ns0:c>
      <ns0:c r="Q132" s="21" t="inlineStr">
        <ns0:is>
          <ns0:t>Not reported in assessed sources</ns0:t>
        </ns0:is>
      </ns0:c>
      <ns0:c r="R132" s="21" t="inlineStr">
        <ns0:is>
          <ns0:t>Not reported in assessed sources</ns0:t>
        </ns0:is>
      </ns0:c>
      <ns0:c r="S132" s="21" t="inlineStr">
        <ns0:is>
          <ns0:t>Not reported in assessed sources</ns0:t>
        </ns0:is>
      </ns0:c>
      <ns0:c r="T132" s="21" t="inlineStr">
        <ns0:is>
          <ns0:t>Not reported in assessed sources</ns0:t>
        </ns0:is>
      </ns0:c>
      <ns0:c r="U132" s="21" t="inlineStr">
        <ns0:is>
          <ns0:t>Not reported in assessed sources</ns0:t>
        </ns0:is>
      </ns0:c>
      <ns0:c r="V132" s="21" t="inlineStr">
        <ns0:is>
          <ns0:t>Reported</ns0:t>
        </ns0:is>
      </ns0:c>
      <ns0:c r="W132" s="21" t="inlineStr">
        <ns0:is>
          <ns0:t>Not reported in assessed sources</ns0:t>
        </ns0:is>
      </ns0:c>
      <ns0:c r="X132" s="21" t="inlineStr">
        <ns0:is>
          <ns0:t>Not reported in assessed sources</ns0:t>
        </ns0:is>
      </ns0:c>
      <ns0:c r="Y132" s="21" t="inlineStr">
        <ns0:is>
          <ns0:t>Not ascertainable</ns0:t>
        </ns0:is>
      </ns0:c>
      <ns0:c r="Z132" s="21" t="inlineStr">
        <ns0:is>
          <ns0:t>Not reported in assessed sources</ns0:t>
        </ns0:is>
      </ns0:c>
      <ns0:c r="AA132" s="21" t="inlineStr">
        <ns0:is>
          <ns0:t>Not recorded</ns0:t>
        </ns0:is>
      </ns0:c>
      <ns0:c r="AB132" s="28" t="n">
        <ns0:v>0</ns0:v>
      </ns0:c>
      <ns0:c r="AC132" s="28" t="n">
        <ns0:v>0</ns0:v>
      </ns0:c>
      <ns0:c r="AD132" s="29">
        <ns0:f>IF(AND(G132=1,AB132=0),1,0)</ns0:f>
        <ns0:v>1</ns0:v>
      </ns0:c>
      <ns0:c r="AE132" s="29">
        <ns0:f>IF(AND(AD132=1,AC132=0),1,0)</ns0:f>
        <ns0:v>1</ns0:v>
      </ns0:c>
      <ns0:c r="AF132" s="29">
        <ns0:f>IF(AND(G132=1,H132&lt;&gt;"Not specified"),1,0)</ns0:f>
        <ns0:v>1</ns0:v>
      </ns0:c>
      <ns0:c r="AG132" s="29">
        <ns0:f>IF(AND(AE132=1,AF132=1),1,0)</ns0:f>
        <ns0:v>1</ns0:v>
      </ns0:c>
      <ns0:c r="AH132" s="21" t="inlineStr">
        <ns0:is>
          <ns0:t>Supplied abstract/coding notes; no new full-text verification</ns0:t>
        </ns0:is>
      </ns0:c>
      <ns0:c r="AI132" s="21" t="inlineStr">
        <ns0:is>
          <ns0:t>https://doi.org/10.1007/s11517-023-02859-2</ns0:t>
        </ns0:is>
      </ns0:c>
      <ns0:c r="AJ132" s="21" t="inlineStr">
        <ns0:is>
          <ns0:t>EVIDENCIA; original abstract/coding notes and lot source trace; Historical signals: title/abstract/notes; full-text completion not independently established</ns0:t>
        </ns0:is>
      </ns0:c>
      <ns0:c r="AK132" s="21" t="inlineStr">
        <ns0:is>
          <ns0:t>End-to-end fMRI brain-network learning and classification; deep unrolling is an explicit architecture, not a generic unspecified method.</ns0:t>
        </ns0:is>
      </ns0:c>
      <ns0:c r="AL132" s="21" t="inlineStr">
        <ns0:is>
          <ns0:t>Not applicable</ns0:t>
        </ns0:is>
      </ns0:c>
      <ns0:c r="AM132" s="21" t="inlineStr">
        <ns0:is>
          <ns0:t>Not separately specified</ns0:t>
        </ns0:is>
      </ns0:c>
      <ns0:c r="AN132" s="21" t="inlineStr"/>
      <ns0:c r="AO132" s="21" t="inlineStr">
        <ns0:is>
          <ns0:t>No additional status determination</ns0:t>
        </ns0:is>
      </ns0:c>
      <ns0:c r="AP132" s="21" t="inlineStr">
        <ns0:is>
          <ns0:t>Not documented for this recharting</ns0:t>
        </ns0:is>
      </ns0:c>
      <ns0:c r="AQ132" s="21" t="inlineStr">
        <ns0:is>
          <ns0:t>ChatGPT-assisted evidence recharting, 2026-09-08</ns0:t>
        </ns0:is>
      </ns0:c>
      <ns0:c r="AR132" s="21" t="inlineStr"/>
      <ns0:c r="AS132" s="21" t="inlineStr">
        <ns0:is>
          <ns0:t>Not recorded; historical inclusion retained</ns0:t>
        </ns0:is>
      </ns0:c>
    </ns0:row>
    <ns0:row r="133" ht="50" customHeight="1">
      <ns0:c r="A133" s="19" t="inlineStr">
        <ns0:is>
          <ns0:t>141</ns0:t>
        </ns0:is>
      </ns0:c>
      <ns0:c r="B133" s="19" t="inlineStr">
        <ns0:is>
          <ns0:t>Historical</ns0:t>
        </ns0:is>
      </ns0:c>
      <ns0:c r="C133" s="19" t="inlineStr">
        <ns0:is>
          <ns0:t>Automatic Cry Analysis: Deep Learning for Screening of Autism Spectrum Disorder in Early Childhood</ns0:t>
        </ns0:is>
      </ns0:c>
      <ns0:c r="D133" s="19" t="inlineStr">
        <ns0:is>
          <ns0:t>10.1007/s10803-025-06811-1</ns0:t>
        </ns0:is>
      </ns0:c>
      <ns0:c r="E133" s="26" t="n">
        <ns0:v>2025</ns0:v>
      </ns0:c>
      <ns0:c r="F133" s="19" t="inlineStr">
        <ns0:is>
          <ns0:t>Include</ns0:t>
        </ns0:is>
      </ns0:c>
      <ns0:c r="G133" s="27">
        <ns0:f>IF(F133="Include",1,0)</ns0:f>
        <ns0:v>1</ns0:v>
      </ns0:c>
      <ns0:c r="H133" s="19" t="inlineStr">
        <ns0:is>
          <ns0:t>Screening</ns0:t>
        </ns0:is>
      </ns0:c>
      <ns0:c r="I133" s="19" t="inlineStr">
        <ns0:is>
          <ns0:t>Deep Learning</ns0:t>
        </ns0:is>
      </ns0:c>
      <ns0:c r="J133" s="19" t="inlineStr">
        <ns0:is>
          <ns0:t>Audio/voice</ns0:t>
        </ns0:is>
      </ns0:c>
      <ns0:c r="K133" s="19" t="inlineStr">
        <ns0:is>
          <ns0:t>Recursive convolutional neural network</ns0:t>
        </ns0:is>
      </ns0:c>
      <ns0:c r="L133" s="19" t="inlineStr">
        <ns0:is>
          <ns0:t>Other specified method</ns0:t>
        </ns0:is>
      </ns0:c>
      <ns0:c r="M133" s="19" t="inlineStr">
        <ns0:is>
          <ns0:t>Proposed only</ns0:t>
        </ns0:is>
      </ns0:c>
      <ns0:c r="N133" s="19" t="inlineStr">
        <ns0:is>
          <ns0:t>Automated measurement/classification</ns0:t>
        </ns0:is>
      </ns0:c>
      <ns0:c r="O133" s="19" t="inlineStr">
        <ns0:is>
          <ns0:t>Pre-decision</ns0:t>
        </ns0:is>
      </ns0:c>
      <ns0:c r="P133" s="19" t="inlineStr">
        <ns0:is>
          <ns0:t>Not observed in assessed sources</ns0:t>
        </ns0:is>
      </ns0:c>
      <ns0:c r="Q133" s="19" t="inlineStr">
        <ns0:is>
          <ns0:t>Not reported in assessed sources</ns0:t>
        </ns0:is>
      </ns0:c>
      <ns0:c r="R133" s="19" t="inlineStr">
        <ns0:is>
          <ns0:t>Not reported in assessed sources</ns0:t>
        </ns0:is>
      </ns0:c>
      <ns0:c r="S133" s="19" t="inlineStr">
        <ns0:is>
          <ns0:t>Not reported in assessed sources</ns0:t>
        </ns0:is>
      </ns0:c>
      <ns0:c r="T133" s="19" t="inlineStr">
        <ns0:is>
          <ns0:t>Not reported in assessed sources</ns0:t>
        </ns0:is>
      </ns0:c>
      <ns0:c r="U133" s="19" t="inlineStr">
        <ns0:is>
          <ns0:t>Not reported in assessed sources</ns0:t>
        </ns0:is>
      </ns0:c>
      <ns0:c r="V133" s="19" t="inlineStr">
        <ns0:is>
          <ns0:t>Not reported in assessed sources</ns0:t>
        </ns0:is>
      </ns0:c>
      <ns0:c r="W133" s="19" t="inlineStr">
        <ns0:is>
          <ns0:t>Not reported in assessed sources</ns0:t>
        </ns0:is>
      </ns0:c>
      <ns0:c r="X133" s="19" t="inlineStr">
        <ns0:is>
          <ns0:t>Not reported in assessed sources</ns0:t>
        </ns0:is>
      </ns0:c>
      <ns0:c r="Y133" s="19" t="inlineStr">
        <ns0:is>
          <ns0:t>Not ascertainable</ns0:t>
        </ns0:is>
      </ns0:c>
      <ns0:c r="Z133" s="19" t="inlineStr">
        <ns0:is>
          <ns0:t>Not reported in assessed sources</ns0:t>
        </ns0:is>
      </ns0:c>
      <ns0:c r="AA133" s="19" t="inlineStr">
        <ns0:is>
          <ns0:t>Not recorded</ns0:t>
        </ns0:is>
      </ns0:c>
      <ns0:c r="AB133" s="26" t="n">
        <ns0:v>0</ns0:v>
      </ns0:c>
      <ns0:c r="AC133" s="26" t="n">
        <ns0:v>0</ns0:v>
      </ns0:c>
      <ns0:c r="AD133" s="27">
        <ns0:f>IF(AND(G133=1,AB133=0),1,0)</ns0:f>
        <ns0:v>1</ns0:v>
      </ns0:c>
      <ns0:c r="AE133" s="27">
        <ns0:f>IF(AND(AD133=1,AC133=0),1,0)</ns0:f>
        <ns0:v>1</ns0:v>
      </ns0:c>
      <ns0:c r="AF133" s="27">
        <ns0:f>IF(AND(G133=1,H133&lt;&gt;"Not specified"),1,0)</ns0:f>
        <ns0:v>1</ns0:v>
      </ns0:c>
      <ns0:c r="AG133" s="27">
        <ns0:f>IF(AND(AE133=1,AF133=1),1,0)</ns0:f>
        <ns0:v>1</ns0:v>
      </ns0:c>
      <ns0:c r="AH133" s="19" t="inlineStr">
        <ns0:is>
          <ns0:t>Supplied abstract/coding notes; no new full-text verification</ns0:t>
        </ns0:is>
      </ns0:c>
      <ns0:c r="AI133" s="19" t="inlineStr">
        <ns0:is>
          <ns0:t>https://doi.org/10.1007/s10803-025-06811-1</ns0:t>
        </ns0:is>
      </ns0:c>
      <ns0:c r="AJ133" s="19" t="inlineStr">
        <ns0:is>
          <ns0:t>EVIDENCIA; original abstract/coding notes and lot source trace; Historical signals: title/abstract/notes; full-text completion not independently established</ns0:t>
        </ns0:is>
      </ns0:c>
      <ns0:c r="AK133" s="19" t="inlineStr">
        <ns0:is>
          <ns0:t>Acoustic cry classification of already characterized children; screening intent is explicit, but it is not prospective newborn prescreening or multisource integration.</ns0:t>
        </ns0:is>
      </ns0:c>
      <ns0:c r="AL133" s="19" t="inlineStr">
        <ns0:is>
          <ns0:t>Not applicable</ns0:t>
        </ns0:is>
      </ns0:c>
      <ns0:c r="AM133" s="19" t="inlineStr">
        <ns0:is>
          <ns0:t>Not separately specified</ns0:t>
        </ns0:is>
      </ns0:c>
      <ns0:c r="AN133" s="19" t="inlineStr"/>
      <ns0:c r="AO133" s="19" t="inlineStr">
        <ns0:is>
          <ns0:t>No additional status determination</ns0:t>
        </ns0:is>
      </ns0:c>
      <ns0:c r="AP133" s="19" t="inlineStr">
        <ns0:is>
          <ns0:t>Not documented for this recharting</ns0:t>
        </ns0:is>
      </ns0:c>
      <ns0:c r="AQ133" s="19" t="inlineStr">
        <ns0:is>
          <ns0:t>ChatGPT-assisted evidence recharting, 2026-09-08</ns0:t>
        </ns0:is>
      </ns0:c>
      <ns0:c r="AR133" s="19" t="inlineStr"/>
      <ns0:c r="AS133" s="19" t="inlineStr">
        <ns0:is>
          <ns0:t>Not recorded; historical inclusion retained</ns0:t>
        </ns0:is>
      </ns0:c>
    </ns0:row>
    <ns0:row r="134" ht="50" customHeight="1">
      <ns0:c r="A134" s="21" t="inlineStr">
        <ns0:is>
          <ns0:t>142</ns0:t>
        </ns0:is>
      </ns0:c>
      <ns0:c r="B134" s="21" t="inlineStr">
        <ns0:is>
          <ns0:t>Historical</ns0:t>
        </ns0:is>
      </ns0:c>
      <ns0:c r="C134" s="21" t="inlineStr">
        <ns0:is>
          <ns0:t>AV-FOS: Transformer-Based Audio-Visual Multimodal Interaction Style Recognition for Children With Autism Using the Revised Family Observation Schedule 3rd Edition (FOS-R-III)</ns0:t>
        </ns0:is>
      </ns0:c>
      <ns0:c r="D134" s="21" t="inlineStr">
        <ns0:is>
          <ns0:t>10.1109/jbhi.2025.3542066</ns0:t>
        </ns0:is>
      </ns0:c>
      <ns0:c r="E134" s="28" t="n">
        <ns0:v>2025</ns0:v>
      </ns0:c>
      <ns0:c r="F134" s="21" t="inlineStr">
        <ns0:is>
          <ns0:t>Include</ns0:t>
        </ns0:is>
      </ns0:c>
      <ns0:c r="G134" s="29">
        <ns0:f>IF(F134="Include",1,0)</ns0:f>
        <ns0:v>1</ns0:v>
      </ns0:c>
      <ns0:c r="H134" s="21" t="inlineStr">
        <ns0:is>
          <ns0:t>Monitoring/intervention</ns0:t>
        </ns0:is>
      </ns0:c>
      <ns0:c r="I134" s="21" t="inlineStr">
        <ns0:is>
          <ns0:t>Deep Learning</ns0:t>
        </ns0:is>
      </ns0:c>
      <ns0:c r="J134" s="21" t="inlineStr">
        <ns0:is>
          <ns0:t>Multiple source categories</ns0:t>
        </ns0:is>
      </ns0:c>
      <ns0:c r="K134" s="21" t="inlineStr">
        <ns0:is>
          <ns0:t>Audio-visual transformer</ns0:t>
        </ns0:is>
      </ns0:c>
      <ns0:c r="L134" s="21" t="inlineStr">
        <ns0:is>
          <ns0:t>Transformer</ns0:t>
        </ns0:is>
      </ns0:c>
      <ns0:c r="M134" s="21" t="inlineStr">
        <ns0:is>
          <ns0:t>Proposed only</ns0:t>
        </ns0:is>
      </ns0:c>
      <ns0:c r="N134" s="21" t="inlineStr">
        <ns0:is>
          <ns0:t>Automated measurement/classification</ns0:t>
        </ns0:is>
      </ns0:c>
      <ns0:c r="O134" s="21" t="inlineStr">
        <ns0:is>
          <ns0:t>Post-decision</ns0:t>
        </ns0:is>
      </ns0:c>
      <ns0:c r="P134" s="21" t="inlineStr">
        <ns0:is>
          <ns0:t>Not observed in assessed sources</ns0:t>
        </ns0:is>
      </ns0:c>
      <ns0:c r="Q134" s="21" t="inlineStr">
        <ns0:is>
          <ns0:t>Not reported in assessed sources</ns0:t>
        </ns0:is>
      </ns0:c>
      <ns0:c r="R134" s="21" t="inlineStr">
        <ns0:is>
          <ns0:t>Reported</ns0:t>
        </ns0:is>
      </ns0:c>
      <ns0:c r="S134" s="21" t="inlineStr">
        <ns0:is>
          <ns0:t>Not reported in assessed sources</ns0:t>
        </ns0:is>
      </ns0:c>
      <ns0:c r="T134" s="21" t="inlineStr">
        <ns0:is>
          <ns0:t>Not reported in assessed sources</ns0:t>
        </ns0:is>
      </ns0:c>
      <ns0:c r="U134" s="21" t="inlineStr">
        <ns0:is>
          <ns0:t>Not reported in assessed sources</ns0:t>
        </ns0:is>
      </ns0:c>
      <ns0:c r="V134" s="21" t="inlineStr">
        <ns0:is>
          <ns0:t>Not reported in assessed sources</ns0:t>
        </ns0:is>
      </ns0:c>
      <ns0:c r="W134" s="21" t="inlineStr">
        <ns0:is>
          <ns0:t>Reported</ns0:t>
        </ns0:is>
      </ns0:c>
      <ns0:c r="X134" s="21" t="inlineStr">
        <ns0:is>
          <ns0:t>Not reported in assessed sources</ns0:t>
        </ns0:is>
      </ns0:c>
      <ns0:c r="Y134" s="21" t="inlineStr">
        <ns0:is>
          <ns0:t>Not ascertainable</ns0:t>
        </ns0:is>
      </ns0:c>
      <ns0:c r="Z134" s="21" t="inlineStr">
        <ns0:is>
          <ns0:t>Not reported in assessed sources</ns0:t>
        </ns0:is>
      </ns0:c>
      <ns0:c r="AA134" s="21" t="inlineStr">
        <ns0:is>
          <ns0:t>Not recorded</ns0:t>
        </ns0:is>
      </ns0:c>
      <ns0:c r="AB134" s="28" t="n">
        <ns0:v>0</ns0:v>
      </ns0:c>
      <ns0:c r="AC134" s="28" t="n">
        <ns0:v>0</ns0:v>
      </ns0:c>
      <ns0:c r="AD134" s="29">
        <ns0:f>IF(AND(G134=1,AB134=0),1,0)</ns0:f>
        <ns0:v>1</ns0:v>
      </ns0:c>
      <ns0:c r="AE134" s="29">
        <ns0:f>IF(AND(AD134=1,AC134=0),1,0)</ns0:f>
        <ns0:v>1</ns0:v>
      </ns0:c>
      <ns0:c r="AF134" s="29">
        <ns0:f>IF(AND(G134=1,H134&lt;&gt;"Not specified"),1,0)</ns0:f>
        <ns0:v>1</ns0:v>
      </ns0:c>
      <ns0:c r="AG134" s="29">
        <ns0:f>IF(AND(AE134=1,AF134=1),1,0)</ns0:f>
        <ns0:v>1</ns0:v>
      </ns0:c>
      <ns0:c r="AH134" s="21" t="inlineStr">
        <ns0:is>
          <ns0:t>Supplied abstract/coding notes; no new full-text verification</ns0:t>
        </ns0:is>
      </ns0:c>
      <ns0:c r="AI134" s="21" t="inlineStr">
        <ns0:is>
          <ns0:t>https://doi.org/10.1109/jbhi.2025.3542066</ns0:t>
        </ns0:is>
      </ns0:c>
      <ns0:c r="AJ134" s="21" t="inlineStr">
        <ns0:is>
          <ns0:t>EVIDENCIA; original abstract/coding notes and lot source trace; Historical signals: title/abstract/notes; full-text completion not independently established</ns0:t>
        </ns0:is>
      </ns0:c>
      <ns0:c r="AK134" s="21" t="inlineStr">
        <ns0:is>
          <ns0:t>Explicit audio-visual fusion for automated family-interaction coding; clinically annotated recordings are not proof of deployment in live care.</ns0:t>
        </ns0:is>
      </ns0:c>
      <ns0:c r="AL134" s="21" t="inlineStr">
        <ns0:is>
          <ns0:t>Not applicable</ns0:t>
        </ns0:is>
      </ns0:c>
      <ns0:c r="AM134" s="21" t="inlineStr">
        <ns0:is>
          <ns0:t>Not separately specified</ns0:t>
        </ns0:is>
      </ns0:c>
      <ns0:c r="AN134" s="21" t="inlineStr"/>
      <ns0:c r="AO134" s="21" t="inlineStr">
        <ns0:is>
          <ns0:t>No additional status determination</ns0:t>
        </ns0:is>
      </ns0:c>
      <ns0:c r="AP134" s="21" t="inlineStr">
        <ns0:is>
          <ns0:t>Not documented for this recharting</ns0:t>
        </ns0:is>
      </ns0:c>
      <ns0:c r="AQ134" s="21" t="inlineStr">
        <ns0:is>
          <ns0:t>ChatGPT-assisted evidence recharting, 2026-09-08</ns0:t>
        </ns0:is>
      </ns0:c>
      <ns0:c r="AR134" s="21" t="inlineStr">
        <ns0:is>
          <ns0:t>RA</ns0:t>
        </ns0:is>
      </ns0:c>
      <ns0:c r="AS134" s="21" t="inlineStr">
        <ns0:is>
          <ns0:t>Not recorded; historical inclusion retained</ns0:t>
        </ns0:is>
      </ns0:c>
    </ns0:row>
    <ns0:row r="135" ht="50" customHeight="1">
      <ns0:c r="A135" s="19" t="inlineStr">
        <ns0:is>
          <ns0:t>143</ns0:t>
        </ns0:is>
      </ns0:c>
      <ns0:c r="B135" s="19" t="inlineStr">
        <ns0:is>
          <ns0:t>Historical</ns0:t>
        </ns0:is>
      </ns0:c>
      <ns0:c r="C135" s="19" t="inlineStr">
        <ns0:is>
          <ns0:t>Biomarker prediction in autism spectrum disorder using a network-based approach</ns0:t>
        </ns0:is>
      </ns0:c>
      <ns0:c r="D135" s="19" t="inlineStr">
        <ns0:is>
          <ns0:t>10.1186/s12920-023-01439-5</ns0:t>
        </ns0:is>
      </ns0:c>
      <ns0:c r="E135" s="26" t="n">
        <ns0:v>2023</ns0:v>
      </ns0:c>
      <ns0:c r="F135" s="19" t="inlineStr">
        <ns0:is>
          <ns0:t>Include</ns0:t>
        </ns0:is>
      </ns0:c>
      <ns0:c r="G135" s="27">
        <ns0:f>IF(F135="Include",1,0)</ns0:f>
        <ns0:v>1</ns0:v>
      </ns0:c>
      <ns0:c r="H135" s="19" t="inlineStr">
        <ns0:is>
          <ns0:t>Diagnosis</ns0:t>
        </ns0:is>
      </ns0:c>
      <ns0:c r="I135" s="19" t="inlineStr">
        <ns0:is>
          <ns0:t>Machine Learning</ns0:t>
        </ns0:is>
      </ns0:c>
      <ns0:c r="J135" s="19" t="inlineStr">
        <ns0:is>
          <ns0:t>Biological/omics</ns0:t>
        </ns0:is>
      </ns0:c>
      <ns0:c r="K135" s="19" t="inlineStr">
        <ns0:is>
          <ns0:t>Network-based gene and miRNA prioritization</ns0:t>
        </ns0:is>
      </ns0:c>
      <ns0:c r="L135" s="19" t="inlineStr">
        <ns0:is>
          <ns0:t>Other specified method</ns0:t>
        </ns0:is>
      </ns0:c>
      <ns0:c r="M135" s="19" t="inlineStr">
        <ns0:is>
          <ns0:t>Research only</ns0:t>
        </ns0:is>
      </ns0:c>
      <ns0:c r="N135" s="19" t="inlineStr">
        <ns0:is>
          <ns0:t>Automated measurement/classification</ns0:t>
        </ns0:is>
      </ns0:c>
      <ns0:c r="O135" s="19" t="inlineStr">
        <ns0:is>
          <ns0:t>Not observed in assessed sources</ns0:t>
        </ns0:is>
      </ns0:c>
      <ns0:c r="P135" s="19" t="inlineStr">
        <ns0:is>
          <ns0:t>Not observed in assessed sources</ns0:t>
        </ns0:is>
      </ns0:c>
      <ns0:c r="Q135" s="19" t="inlineStr">
        <ns0:is>
          <ns0:t>Not reported in assessed sources</ns0:t>
        </ns0:is>
      </ns0:c>
      <ns0:c r="R135" s="19" t="inlineStr">
        <ns0:is>
          <ns0:t>Not reported in assessed sources</ns0:t>
        </ns0:is>
      </ns0:c>
      <ns0:c r="S135" s="19" t="inlineStr">
        <ns0:is>
          <ns0:t>Not reported in assessed sources</ns0:t>
        </ns0:is>
      </ns0:c>
      <ns0:c r="T135" s="19" t="inlineStr">
        <ns0:is>
          <ns0:t>Not reported in assessed sources</ns0:t>
        </ns0:is>
      </ns0:c>
      <ns0:c r="U135" s="19" t="inlineStr">
        <ns0:is>
          <ns0:t>Not reported in assessed sources</ns0:t>
        </ns0:is>
      </ns0:c>
      <ns0:c r="V135" s="19" t="inlineStr">
        <ns0:is>
          <ns0:t>Not reported in assessed sources</ns0:t>
        </ns0:is>
      </ns0:c>
      <ns0:c r="W135" s="19" t="inlineStr">
        <ns0:is>
          <ns0:t>Not reported in assessed sources</ns0:t>
        </ns0:is>
      </ns0:c>
      <ns0:c r="X135" s="19" t="inlineStr">
        <ns0:is>
          <ns0:t>Not reported in assessed sources</ns0:t>
        </ns0:is>
      </ns0:c>
      <ns0:c r="Y135" s="19" t="inlineStr">
        <ns0:is>
          <ns0:t>Not ascertainable</ns0:t>
        </ns0:is>
      </ns0:c>
      <ns0:c r="Z135" s="19" t="inlineStr">
        <ns0:is>
          <ns0:t>Not reported in assessed sources</ns0:t>
        </ns0:is>
      </ns0:c>
      <ns0:c r="AA135" s="19" t="inlineStr">
        <ns0:is>
          <ns0:t>Not recorded</ns0:t>
        </ns0:is>
      </ns0:c>
      <ns0:c r="AB135" s="26" t="n">
        <ns0:v>0</ns0:v>
      </ns0:c>
      <ns0:c r="AC135" s="26" t="n">
        <ns0:v>0</ns0:v>
      </ns0:c>
      <ns0:c r="AD135" s="27">
        <ns0:f>IF(AND(G135=1,AB135=0),1,0)</ns0:f>
        <ns0:v>1</ns0:v>
      </ns0:c>
      <ns0:c r="AE135" s="27">
        <ns0:f>IF(AND(AD135=1,AC135=0),1,0)</ns0:f>
        <ns0:v>1</ns0:v>
      </ns0:c>
      <ns0:c r="AF135" s="27">
        <ns0:f>IF(AND(G135=1,H135&lt;&gt;"Not specified"),1,0)</ns0:f>
        <ns0:v>1</ns0:v>
      </ns0:c>
      <ns0:c r="AG135" s="27">
        <ns0:f>IF(AND(AE135=1,AF135=1),1,0)</ns0:f>
        <ns0:v>1</ns0:v>
      </ns0:c>
      <ns0:c r="AH135" s="19" t="inlineStr">
        <ns0:is>
          <ns0:t>Supplied abstract/coding notes; no new full-text verification</ns0:t>
        </ns0:is>
      </ns0:c>
      <ns0:c r="AI135" s="19" t="inlineStr">
        <ns0:is>
          <ns0:t>https://doi.org/10.1186/s12920-023-01439-5</ns0:t>
        </ns0:is>
      </ns0:c>
      <ns0:c r="AJ135" s="19" t="inlineStr">
        <ns0:is>
          <ns0:t>EVIDENCIA; original abstract/coding notes and lot source trace; Historical signals: title/abstract/notes; full-text completion not independently established</ns0:t>
        </ns0:is>
      </ns0:c>
      <ns0:c r="AK135" s="19" t="inlineStr">
        <ns0:is>
          <ns0:t>Human molecular biomarker-discovery algorithms, not deep learning. Clinical interpretation is limited to candidate-feature discovery, not patient-level diagnostic accuracy.</ns0:t>
        </ns0:is>
      </ns0:c>
      <ns0:c r="AL135" s="19" t="inlineStr">
        <ns0:is>
          <ns0:t>Not applicable</ns0:t>
        </ns0:is>
      </ns0:c>
      <ns0:c r="AM135" s="19" t="inlineStr">
        <ns0:is>
          <ns0:t>Molecular feature prioritization; not patient-level classification</ns0:t>
        </ns0:is>
      </ns0:c>
      <ns0:c r="AN135" s="19" t="inlineStr"/>
      <ns0:c r="AO135" s="19" t="inlineStr">
        <ns0:is>
          <ns0:t>No additional status determination</ns0:t>
        </ns0:is>
      </ns0:c>
      <ns0:c r="AP135" s="19" t="inlineStr">
        <ns0:is>
          <ns0:t>Not documented for this recharting</ns0:t>
        </ns0:is>
      </ns0:c>
      <ns0:c r="AQ135" s="19" t="inlineStr">
        <ns0:is>
          <ns0:t>ChatGPT-assisted evidence recharting, 2026-09-08</ns0:t>
        </ns0:is>
      </ns0:c>
      <ns0:c r="AR135" s="19" t="inlineStr">
        <ns0:is>
          <ns0:t>RA</ns0:t>
        </ns0:is>
      </ns0:c>
      <ns0:c r="AS135" s="19" t="inlineStr">
        <ns0:is>
          <ns0:t>Not recorded; historical inclusion retained</ns0:t>
        </ns0:is>
      </ns0:c>
    </ns0:row>
    <ns0:row r="136" ht="50" customHeight="1">
      <ns0:c r="A136" s="21" t="inlineStr">
        <ns0:is>
          <ns0:t>144</ns0:t>
        </ns0:is>
      </ns0:c>
      <ns0:c r="B136" s="21" t="inlineStr">
        <ns0:is>
          <ns0:t>Historical</ns0:t>
        </ns0:is>
      </ns0:c>
      <ns0:c r="C136" s="21" t="inlineStr">
        <ns0:is>
          <ns0:t>Classifying autism in a clinical population based on motion synchrony: a proof-of-concept study using real-life diagnostic interviews</ns0:t>
        </ns0:is>
      </ns0:c>
      <ns0:c r="D136" s="21" t="inlineStr">
        <ns0:is>
          <ns0:t>10.1038/s41598-024-56098-y</ns0:t>
        </ns0:is>
      </ns0:c>
      <ns0:c r="E136" s="28" t="n">
        <ns0:v>2024</ns0:v>
      </ns0:c>
      <ns0:c r="F136" s="21" t="inlineStr">
        <ns0:is>
          <ns0:t>Include</ns0:t>
        </ns0:is>
      </ns0:c>
      <ns0:c r="G136" s="29">
        <ns0:f>IF(F136="Include",1,0)</ns0:f>
        <ns0:v>1</ns0:v>
      </ns0:c>
      <ns0:c r="H136" s="21" t="inlineStr">
        <ns0:is>
          <ns0:t>Diagnosis</ns0:t>
        </ns0:is>
      </ns0:c>
      <ns0:c r="I136" s="21" t="inlineStr">
        <ns0:is>
          <ns0:t>Machine Learning</ns0:t>
        </ns0:is>
      </ns0:c>
      <ns0:c r="J136" s="21" t="inlineStr">
        <ns0:is>
          <ns0:t>Behavioral images/video/gaze/movement</ns0:t>
        </ns0:is>
      </ns0:c>
      <ns0:c r="K136" s="21" t="inlineStr">
        <ns0:is>
          <ns0:t>SVM</ns0:t>
        </ns0:is>
      </ns0:c>
      <ns0:c r="L136" s="21" t="inlineStr">
        <ns0:is>
          <ns0:t>SVM</ns0:t>
        </ns0:is>
      </ns0:c>
      <ns0:c r="M136" s="21" t="inlineStr">
        <ns0:is>
          <ns0:t>Research only</ns0:t>
        </ns0:is>
      </ns0:c>
      <ns0:c r="N136" s="21" t="inlineStr">
        <ns0:is>
          <ns0:t>Automated measurement/classification</ns0:t>
        </ns0:is>
      </ns0:c>
      <ns0:c r="O136" s="21" t="inlineStr">
        <ns0:is>
          <ns0:t>Not observed in assessed sources</ns0:t>
        </ns0:is>
      </ns0:c>
      <ns0:c r="P136" s="21" t="inlineStr">
        <ns0:is>
          <ns0:t>Not observed in assessed sources</ns0:t>
        </ns0:is>
      </ns0:c>
      <ns0:c r="Q136" s="21" t="inlineStr">
        <ns0:is>
          <ns0:t>Not reported in assessed sources</ns0:t>
        </ns0:is>
      </ns0:c>
      <ns0:c r="R136" s="21" t="inlineStr">
        <ns0:is>
          <ns0:t>Not reported in assessed sources</ns0:t>
        </ns0:is>
      </ns0:c>
      <ns0:c r="S136" s="21" t="inlineStr">
        <ns0:is>
          <ns0:t>Not reported in assessed sources</ns0:t>
        </ns0:is>
      </ns0:c>
      <ns0:c r="T136" s="21" t="inlineStr">
        <ns0:is>
          <ns0:t>Not reported in assessed sources</ns0:t>
        </ns0:is>
      </ns0:c>
      <ns0:c r="U136" s="21" t="inlineStr">
        <ns0:is>
          <ns0:t>Not reported in assessed sources</ns0:t>
        </ns0:is>
      </ns0:c>
      <ns0:c r="V136" s="21" t="inlineStr">
        <ns0:is>
          <ns0:t>Not reported in assessed sources</ns0:t>
        </ns0:is>
      </ns0:c>
      <ns0:c r="W136" s="21" t="inlineStr">
        <ns0:is>
          <ns0:t>Not reported in assessed sources</ns0:t>
        </ns0:is>
      </ns0:c>
      <ns0:c r="X136" s="21" t="inlineStr">
        <ns0:is>
          <ns0:t>Not reported in assessed sources</ns0:t>
        </ns0:is>
      </ns0:c>
      <ns0:c r="Y136" s="21" t="inlineStr">
        <ns0:is>
          <ns0:t>Not ascertainable</ns0:t>
        </ns0:is>
      </ns0:c>
      <ns0:c r="Z136" s="21" t="inlineStr">
        <ns0:is>
          <ns0:t>Not reported in assessed sources</ns0:t>
        </ns0:is>
      </ns0:c>
      <ns0:c r="AA136" s="21" t="inlineStr">
        <ns0:is>
          <ns0:t>Not recorded</ns0:t>
        </ns0:is>
      </ns0:c>
      <ns0:c r="AB136" s="28" t="n">
        <ns0:v>0</ns0:v>
      </ns0:c>
      <ns0:c r="AC136" s="28" t="n">
        <ns0:v>0</ns0:v>
      </ns0:c>
      <ns0:c r="AD136" s="29">
        <ns0:f>IF(AND(G136=1,AB136=0),1,0)</ns0:f>
        <ns0:v>1</ns0:v>
      </ns0:c>
      <ns0:c r="AE136" s="29">
        <ns0:f>IF(AND(AD136=1,AC136=0),1,0)</ns0:f>
        <ns0:v>1</ns0:v>
      </ns0:c>
      <ns0:c r="AF136" s="29">
        <ns0:f>IF(AND(G136=1,H136&lt;&gt;"Not specified"),1,0)</ns0:f>
        <ns0:v>1</ns0:v>
      </ns0:c>
      <ns0:c r="AG136" s="29">
        <ns0:f>IF(AND(AE136=1,AF136=1),1,0)</ns0:f>
        <ns0:v>1</ns0:v>
      </ns0:c>
      <ns0:c r="AH136" s="21" t="inlineStr">
        <ns0:is>
          <ns0:t>Supplied abstract/coding notes; no new full-text verification</ns0:t>
        </ns0:is>
      </ns0:c>
      <ns0:c r="AI136" s="21" t="inlineStr">
        <ns0:is>
          <ns0:t>https://doi.org/10.1038/s41598-024-56098-y</ns0:t>
        </ns0:is>
      </ns0:c>
      <ns0:c r="AJ136" s="21" t="inlineStr">
        <ns0:is>
          <ns0:t>EVIDENCIA; original abstract/coding notes and lot source trace; Historical signals: title/abstract/notes; full-text completion not independently established</ns0:t>
        </ns0:is>
      </ns0:c>
      <ns0:c r="AK136" s="21" t="inlineStr">
        <ns0:is>
          <ns0:t>Classifier is trained offline on recorded real-life diagnostic interviews. Clinical provenance of recordings does not mean model outputs supported the clinical decisions.</ns0:t>
        </ns0:is>
      </ns0:c>
      <ns0:c r="AL136" s="21" t="inlineStr">
        <ns0:is>
          <ns0:t>Not applicable</ns0:t>
        </ns0:is>
      </ns0:c>
      <ns0:c r="AM136" s="21" t="inlineStr">
        <ns0:is>
          <ns0:t>Not separately specified</ns0:t>
        </ns0:is>
      </ns0:c>
      <ns0:c r="AN136" s="21" t="inlineStr"/>
      <ns0:c r="AO136" s="21" t="inlineStr">
        <ns0:is>
          <ns0:t>No additional status determination</ns0:t>
        </ns0:is>
      </ns0:c>
      <ns0:c r="AP136" s="21" t="inlineStr">
        <ns0:is>
          <ns0:t>Not documented for this recharting</ns0:t>
        </ns0:is>
      </ns0:c>
      <ns0:c r="AQ136" s="21" t="inlineStr">
        <ns0:is>
          <ns0:t>ChatGPT-assisted evidence recharting, 2026-09-08</ns0:t>
        </ns0:is>
      </ns0:c>
      <ns0:c r="AR136" s="21" t="inlineStr">
        <ns0:is>
          <ns0:t>RA</ns0:t>
        </ns0:is>
      </ns0:c>
      <ns0:c r="AS136" s="21" t="inlineStr">
        <ns0:is>
          <ns0:t>Not recorded; historical inclusion retained</ns0:t>
        </ns0:is>
      </ns0:c>
    </ns0:row>
    <ns0:row r="137" ht="50" customHeight="1">
      <ns0:c r="A137" s="19" t="inlineStr">
        <ns0:is>
          <ns0:t>145</ns0:t>
        </ns0:is>
      </ns0:c>
      <ns0:c r="B137" s="19" t="inlineStr">
        <ns0:is>
          <ns0:t>Historical</ns0:t>
        </ns0:is>
      </ns0:c>
      <ns0:c r="C137" s="19" t="inlineStr">
        <ns0:is>
          <ns0:t>Clinical Evaluation of a Novel and Mobile Autism Risk Assessment</ns0:t>
        </ns0:is>
      </ns0:c>
      <ns0:c r="D137" s="19" t="inlineStr">
        <ns0:is>
          <ns0:t>10.1007/s10803-016-2718-4</ns0:t>
        </ns0:is>
      </ns0:c>
      <ns0:c r="E137" s="26" t="n">
        <ns0:v>2016</ns0:v>
      </ns0:c>
      <ns0:c r="F137" s="19" t="inlineStr">
        <ns0:is>
          <ns0:t>Include</ns0:t>
        </ns0:is>
      </ns0:c>
      <ns0:c r="G137" s="27">
        <ns0:f>IF(F137="Include",1,0)</ns0:f>
        <ns0:v>1</ns0:v>
      </ns0:c>
      <ns0:c r="H137" s="19" t="inlineStr">
        <ns0:is>
          <ns0:t>Screening</ns0:t>
        </ns0:is>
      </ns0:c>
      <ns0:c r="I137" s="19" t="inlineStr">
        <ns0:is>
          <ns0:t>Machine Learning</ns0:t>
        </ns0:is>
      </ns0:c>
      <ns0:c r="J137" s="19" t="inlineStr">
        <ns0:is>
          <ns0:t>Structured clinical/questionnaire data</ns0:t>
        </ns0:is>
      </ns0:c>
      <ns0:c r="K137" s="19" t="inlineStr">
        <ns0:is>
          <ns0:t>Alternating decision tree</ns0:t>
        </ns0:is>
      </ns0:c>
      <ns0:c r="L137" s="19" t="inlineStr">
        <ns0:is>
          <ns0:t>Decision tree/rules</ns0:t>
        </ns0:is>
      </ns0:c>
      <ns0:c r="M137" s="19" t="inlineStr">
        <ns0:is>
          <ns0:t>Evaluated at point of use</ns0:t>
        </ns0:is>
      </ns0:c>
      <ns0:c r="N137" s="19" t="inlineStr">
        <ns0:is>
          <ns0:t>Mobile assessment</ns0:t>
        </ns0:is>
      </ns0:c>
      <ns0:c r="O137" s="19" t="inlineStr">
        <ns0:is>
          <ns0:t>Pre-decision</ns0:t>
        </ns0:is>
      </ns0:c>
      <ns0:c r="P137" s="19" t="inlineStr">
        <ns0:is>
          <ns0:t>Pre-decision</ns0:t>
        </ns0:is>
      </ns0:c>
      <ns0:c r="Q137" s="19" t="inlineStr">
        <ns0:is>
          <ns0:t>Reported</ns0:t>
        </ns0:is>
      </ns0:c>
      <ns0:c r="R137" s="19" t="inlineStr">
        <ns0:is>
          <ns0:t>Not reported in assessed sources</ns0:t>
        </ns0:is>
      </ns0:c>
      <ns0:c r="S137" s="19" t="inlineStr">
        <ns0:is>
          <ns0:t>Not reported in assessed sources</ns0:t>
        </ns0:is>
      </ns0:c>
      <ns0:c r="T137" s="19" t="inlineStr">
        <ns0:is>
          <ns0:t>Not reported in assessed sources</ns0:t>
        </ns0:is>
      </ns0:c>
      <ns0:c r="U137" s="19" t="inlineStr">
        <ns0:is>
          <ns0:t>Not reported in assessed sources</ns0:t>
        </ns0:is>
      </ns0:c>
      <ns0:c r="V137" s="19" t="inlineStr">
        <ns0:is>
          <ns0:t>Not reported in assessed sources</ns0:t>
        </ns0:is>
      </ns0:c>
      <ns0:c r="W137" s="19" t="inlineStr">
        <ns0:is>
          <ns0:t>Not reported in assessed sources</ns0:t>
        </ns0:is>
      </ns0:c>
      <ns0:c r="X137" s="19" t="inlineStr">
        <ns0:is>
          <ns0:t>Reported</ns0:t>
        </ns0:is>
      </ns0:c>
      <ns0:c r="Y137" s="19" t="inlineStr">
        <ns0:is>
          <ns0:t>Reported</ns0:t>
        </ns0:is>
      </ns0:c>
      <ns0:c r="Z137" s="19" t="inlineStr">
        <ns0:is>
          <ns0:t>Not reported in assessed sources</ns0:t>
        </ns0:is>
      </ns0:c>
      <ns0:c r="AA137" s="19" t="inlineStr">
        <ns0:is>
          <ns0:t>Not recorded</ns0:t>
        </ns0:is>
      </ns0:c>
      <ns0:c r="AB137" s="26" t="n">
        <ns0:v>0</ns0:v>
      </ns0:c>
      <ns0:c r="AC137" s="26" t="n">
        <ns0:v>0</ns0:v>
      </ns0:c>
      <ns0:c r="AD137" s="27">
        <ns0:f>IF(AND(G137=1,AB137=0),1,0)</ns0:f>
        <ns0:v>1</ns0:v>
      </ns0:c>
      <ns0:c r="AE137" s="27">
        <ns0:f>IF(AND(AD137=1,AC137=0),1,0)</ns0:f>
        <ns0:v>1</ns0:v>
      </ns0:c>
      <ns0:c r="AF137" s="27">
        <ns0:f>IF(AND(G137=1,H137&lt;&gt;"Not specified"),1,0)</ns0:f>
        <ns0:v>1</ns0:v>
      </ns0:c>
      <ns0:c r="AG137" s="27">
        <ns0:f>IF(AND(AE137=1,AF137=1),1,0)</ns0:f>
        <ns0:v>1</ns0:v>
      </ns0:c>
      <ns0:c r="AH137" s="19" t="inlineStr">
        <ns0:is>
          <ns0:t>Supplied abstract/coding notes; no new full-text verification</ns0:t>
        </ns0:is>
      </ns0:c>
      <ns0:c r="AI137" s="19" t="inlineStr">
        <ns0:is>
          <ns0:t>https://doi.org/10.1007/s10803-016-2718-4</ns0:t>
        </ns0:is>
      </ns0:c>
      <ns0:c r="AJ137" s="19" t="inlineStr">
        <ns0:is>
          <ns0:t>EVIDENCIA; original abstract/coding notes and lot source trace; Historical signals: title/abstract/notes; full-text completion not independently established</ns0:t>
        </ns0:is>
      </ns0:c>
      <ns0:c r="AK137" s="19" t="inlineStr">
        <ns0:is>
          <ns0:t>Mobile risk assessment was administered at the first developmental-behavioral clinic visit and compared with the encounter diagnosis. This establishes point-of-use evaluation, not proof of improved clinical decisions.</ns0:t>
        </ns0:is>
      </ns0:c>
      <ns0:c r="AL137" s="19" t="inlineStr">
        <ns0:is>
          <ns0:t>Not applicable</ns0:t>
        </ns0:is>
      </ns0:c>
      <ns0:c r="AM137" s="19" t="inlineStr">
        <ns0:is>
          <ns0:t>Not separately specified</ns0:t>
        </ns0:is>
      </ns0:c>
      <ns0:c r="AN137" s="19" t="inlineStr"/>
      <ns0:c r="AO137" s="19" t="inlineStr">
        <ns0:is>
          <ns0:t>No additional status determination</ns0:t>
        </ns0:is>
      </ns0:c>
      <ns0:c r="AP137" s="19" t="inlineStr">
        <ns0:is>
          <ns0:t>Not documented for this recharting</ns0:t>
        </ns0:is>
      </ns0:c>
      <ns0:c r="AQ137" s="19" t="inlineStr">
        <ns0:is>
          <ns0:t>ChatGPT-assisted evidence recharting, 2026-09-08</ns0:t>
        </ns0:is>
      </ns0:c>
      <ns0:c r="AR137" s="19" t="inlineStr"/>
      <ns0:c r="AS137" s="19" t="inlineStr">
        <ns0:is>
          <ns0:t>Not recorded; historical inclusion retained</ns0:t>
        </ns0:is>
      </ns0:c>
    </ns0:row>
    <ns0:row r="138" ht="50" customHeight="1">
      <ns0:c r="A138" s="21" t="inlineStr">
        <ns0:is>
          <ns0:t>146</ns0:t>
        </ns0:is>
      </ns0:c>
      <ns0:c r="B138" s="21" t="inlineStr">
        <ns0:is>
          <ns0:t>Historical</ns0:t>
        </ns0:is>
      </ns0:c>
      <ns0:c r="C138" s="21" t="inlineStr">
        <ns0:is>
          <ns0:t>Comparison of classification algorithms for predicting autistic spectrum disorder using WEKA modeler</ns0:t>
        </ns0:is>
      </ns0:c>
      <ns0:c r="D138" s="21" t="inlineStr">
        <ns0:is>
          <ns0:t>10.1186/s12911-022-02050-x</ns0:t>
        </ns0:is>
      </ns0:c>
      <ns0:c r="E138" s="28" t="n">
        <ns0:v>2022</ns0:v>
      </ns0:c>
      <ns0:c r="F138" s="21" t="inlineStr">
        <ns0:is>
          <ns0:t>Include</ns0:t>
        </ns0:is>
      </ns0:c>
      <ns0:c r="G138" s="29">
        <ns0:f>IF(F138="Include",1,0)</ns0:f>
        <ns0:v>1</ns0:v>
      </ns0:c>
      <ns0:c r="H138" s="21" t="inlineStr">
        <ns0:is>
          <ns0:t>Screening</ns0:t>
        </ns0:is>
      </ns0:c>
      <ns0:c r="I138" s="21" t="inlineStr">
        <ns0:is>
          <ns0:t>Machine Learning</ns0:t>
        </ns0:is>
      </ns0:c>
      <ns0:c r="J138" s="21" t="inlineStr">
        <ns0:is>
          <ns0:t>Structured clinical/questionnaire data</ns0:t>
        </ns0:is>
      </ns0:c>
      <ns0:c r="K138" s="21" t="inlineStr">
        <ns0:is>
          <ns0:t>J48 decision tree</ns0:t>
        </ns0:is>
      </ns0:c>
      <ns0:c r="L138" s="21" t="inlineStr">
        <ns0:is>
          <ns0:t>Decision tree/rules</ns0:t>
        </ns0:is>
      </ns0:c>
      <ns0:c r="M138" s="21" t="inlineStr">
        <ns0:is>
          <ns0:t>Research only</ns0:t>
        </ns0:is>
      </ns0:c>
      <ns0:c r="N138" s="21" t="inlineStr">
        <ns0:is>
          <ns0:t>Triage/questionnaire assessment</ns0:t>
        </ns0:is>
      </ns0:c>
      <ns0:c r="O138" s="21" t="inlineStr">
        <ns0:is>
          <ns0:t>Not observed in assessed sources</ns0:t>
        </ns0:is>
      </ns0:c>
      <ns0:c r="P138" s="21" t="inlineStr">
        <ns0:is>
          <ns0:t>Not observed in assessed sources</ns0:t>
        </ns0:is>
      </ns0:c>
      <ns0:c r="Q138" s="21" t="inlineStr">
        <ns0:is>
          <ns0:t>Not reported in assessed sources</ns0:t>
        </ns0:is>
      </ns0:c>
      <ns0:c r="R138" s="21" t="inlineStr">
        <ns0:is>
          <ns0:t>Not reported in assessed sources</ns0:t>
        </ns0:is>
      </ns0:c>
      <ns0:c r="S138" s="21" t="inlineStr">
        <ns0:is>
          <ns0:t>Not reported in assessed sources</ns0:t>
        </ns0:is>
      </ns0:c>
      <ns0:c r="T138" s="21" t="inlineStr">
        <ns0:is>
          <ns0:t>Not reported in assessed sources</ns0:t>
        </ns0:is>
      </ns0:c>
      <ns0:c r="U138" s="21" t="inlineStr">
        <ns0:is>
          <ns0:t>Not reported in assessed sources</ns0:t>
        </ns0:is>
      </ns0:c>
      <ns0:c r="V138" s="21" t="inlineStr">
        <ns0:is>
          <ns0:t>Not reported in assessed sources</ns0:t>
        </ns0:is>
      </ns0:c>
      <ns0:c r="W138" s="21" t="inlineStr">
        <ns0:is>
          <ns0:t>Not reported in assessed sources</ns0:t>
        </ns0:is>
      </ns0:c>
      <ns0:c r="X138" s="21" t="inlineStr">
        <ns0:is>
          <ns0:t>Not reported in assessed sources</ns0:t>
        </ns0:is>
      </ns0:c>
      <ns0:c r="Y138" s="21" t="inlineStr">
        <ns0:is>
          <ns0:t>Not ascertainable</ns0:t>
        </ns0:is>
      </ns0:c>
      <ns0:c r="Z138" s="21" t="inlineStr">
        <ns0:is>
          <ns0:t>Not reported in assessed sources</ns0:t>
        </ns0:is>
      </ns0:c>
      <ns0:c r="AA138" s="21" t="inlineStr">
        <ns0:is>
          <ns0:t>Not recorded</ns0:t>
        </ns0:is>
      </ns0:c>
      <ns0:c r="AB138" s="28" t="n">
        <ns0:v>0</ns0:v>
      </ns0:c>
      <ns0:c r="AC138" s="28" t="n">
        <ns0:v>0</ns0:v>
      </ns0:c>
      <ns0:c r="AD138" s="29">
        <ns0:f>IF(AND(G138=1,AB138=0),1,0)</ns0:f>
        <ns0:v>1</ns0:v>
      </ns0:c>
      <ns0:c r="AE138" s="29">
        <ns0:f>IF(AND(AD138=1,AC138=0),1,0)</ns0:f>
        <ns0:v>1</ns0:v>
      </ns0:c>
      <ns0:c r="AF138" s="29">
        <ns0:f>IF(AND(G138=1,H138&lt;&gt;"Not specified"),1,0)</ns0:f>
        <ns0:v>1</ns0:v>
      </ns0:c>
      <ns0:c r="AG138" s="29">
        <ns0:f>IF(AND(AE138=1,AF138=1),1,0)</ns0:f>
        <ns0:v>1</ns0:v>
      </ns0:c>
      <ns0:c r="AH138" s="21" t="inlineStr">
        <ns0:is>
          <ns0:t>Supplied abstract/coding notes; no new full-text verification</ns0:t>
        </ns0:is>
      </ns0:c>
      <ns0:c r="AI138" s="21" t="inlineStr">
        <ns0:is>
          <ns0:t>https://doi.org/10.1186/s12911-022-02050-x</ns0:t>
        </ns0:is>
      </ns0:c>
      <ns0:c r="AJ138" s="21" t="inlineStr">
        <ns0:is>
          <ns0:t>EVIDENCIA; original abstract/coding notes and lot source trace; Historical signals: title/abstract/notes; full-text completion not independently established</ns0:t>
        </ns0:is>
      </ns0:c>
      <ns0:c r="AK138" s="21" t="inlineStr">
        <ns0:is>
          <ns0:t>Explicit best-performing J48 in classifier comparison; not SVM or a hybrid architecture. Missing-value imputation is preprocessing, not another modality.</ns0:t>
        </ns0:is>
      </ns0:c>
      <ns0:c r="AL138" s="21" t="inlineStr">
        <ns0:is>
          <ns0:t>Not applicable</ns0:t>
        </ns0:is>
      </ns0:c>
      <ns0:c r="AM138" s="21" t="inlineStr">
        <ns0:is>
          <ns0:t>Not separately specified</ns0:t>
        </ns0:is>
      </ns0:c>
      <ns0:c r="AN138" s="21" t="inlineStr"/>
      <ns0:c r="AO138" s="21" t="inlineStr">
        <ns0:is>
          <ns0:t>No additional status determination</ns0:t>
        </ns0:is>
      </ns0:c>
      <ns0:c r="AP138" s="21" t="inlineStr">
        <ns0:is>
          <ns0:t>Not documented for this recharting</ns0:t>
        </ns0:is>
      </ns0:c>
      <ns0:c r="AQ138" s="21" t="inlineStr">
        <ns0:is>
          <ns0:t>ChatGPT-assisted evidence recharting, 2026-09-08</ns0:t>
        </ns0:is>
      </ns0:c>
      <ns0:c r="AR138" s="21" t="inlineStr">
        <ns0:is>
          <ns0:t>RA</ns0:t>
        </ns0:is>
      </ns0:c>
      <ns0:c r="AS138" s="21" t="inlineStr">
        <ns0:is>
          <ns0:t>Not recorded; historical inclusion retained</ns0:t>
        </ns0:is>
      </ns0:c>
    </ns0:row>
    <ns0:row r="139" ht="50" customHeight="1">
      <ns0:c r="A139" s="19" t="inlineStr">
        <ns0:is>
          <ns0:t>147</ns0:t>
        </ns0:is>
      </ns0:c>
      <ns0:c r="B139" s="19" t="inlineStr">
        <ns0:is>
          <ns0:t>Historical</ns0:t>
        </ns0:is>
      </ns0:c>
      <ns0:c r="C139" s="19" t="inlineStr">
        <ns0:is>
          <ns0:t>DALNN: Dual Attention Learning Neural Network for Diagnosis of Autism Spectrum Disorders and Exploration of Lesion Brain Regions</ns0:t>
        </ns0:is>
      </ns0:c>
      <ns0:c r="D139" s="19" t="inlineStr">
        <ns0:is>
          <ns0:t>10.1109/tcss.2025.3593119</ns0:t>
        </ns0:is>
      </ns0:c>
      <ns0:c r="E139" s="26" t="n">
        <ns0:v>2025</ns0:v>
      </ns0:c>
      <ns0:c r="F139" s="19" t="inlineStr">
        <ns0:is>
          <ns0:t>Include</ns0:t>
        </ns0:is>
      </ns0:c>
      <ns0:c r="G139" s="27">
        <ns0:f>IF(F139="Include",1,0)</ns0:f>
        <ns0:v>1</ns0:v>
      </ns0:c>
      <ns0:c r="H139" s="19" t="inlineStr">
        <ns0:is>
          <ns0:t>Diagnosis</ns0:t>
        </ns0:is>
      </ns0:c>
      <ns0:c r="I139" s="19" t="inlineStr">
        <ns0:is>
          <ns0:t>Deep Learning</ns0:t>
        </ns0:is>
      </ns0:c>
      <ns0:c r="J139" s="19" t="inlineStr">
        <ns0:is>
          <ns0:t>Multiple source categories</ns0:t>
        </ns0:is>
      </ns0:c>
      <ns0:c r="K139" s="19" t="inlineStr">
        <ns0:is>
          <ns0:t>Dual-attention learning neural network</ns0:t>
        </ns0:is>
      </ns0:c>
      <ns0:c r="L139" s="19" t="inlineStr">
        <ns0:is>
          <ns0:t>Other specified method</ns0:t>
        </ns0:is>
      </ns0:c>
      <ns0:c r="M139" s="19" t="inlineStr">
        <ns0:is>
          <ns0:t>Research only</ns0:t>
        </ns0:is>
      </ns0:c>
      <ns0:c r="N139" s="19" t="inlineStr">
        <ns0:is>
          <ns0:t>Automated measurement/classification</ns0:t>
        </ns0:is>
      </ns0:c>
      <ns0:c r="O139" s="19" t="inlineStr">
        <ns0:is>
          <ns0:t>Not observed in assessed sources</ns0:t>
        </ns0:is>
      </ns0:c>
      <ns0:c r="P139" s="19" t="inlineStr">
        <ns0:is>
          <ns0:t>Not observed in assessed sources</ns0:t>
        </ns0:is>
      </ns0:c>
      <ns0:c r="Q139" s="19" t="inlineStr">
        <ns0:is>
          <ns0:t>Not reported in assessed sources</ns0:t>
        </ns0:is>
      </ns0:c>
      <ns0:c r="R139" s="19" t="inlineStr">
        <ns0:is>
          <ns0:t>Reported</ns0:t>
        </ns0:is>
      </ns0:c>
      <ns0:c r="S139" s="19" t="inlineStr">
        <ns0:is>
          <ns0:t>Reported</ns0:t>
        </ns0:is>
      </ns0:c>
      <ns0:c r="T139" s="19" t="inlineStr">
        <ns0:is>
          <ns0:t>Not reported in assessed sources</ns0:t>
        </ns0:is>
      </ns0:c>
      <ns0:c r="U139" s="19" t="inlineStr">
        <ns0:is>
          <ns0:t>Not reported in assessed sources</ns0:t>
        </ns0:is>
      </ns0:c>
      <ns0:c r="V139" s="19" t="inlineStr">
        <ns0:is>
          <ns0:t>Reported</ns0:t>
        </ns0:is>
      </ns0:c>
      <ns0:c r="W139" s="19" t="inlineStr">
        <ns0:is>
          <ns0:t>Reported</ns0:t>
        </ns0:is>
      </ns0:c>
      <ns0:c r="X139" s="19" t="inlineStr">
        <ns0:is>
          <ns0:t>Not reported in assessed sources</ns0:t>
        </ns0:is>
      </ns0:c>
      <ns0:c r="Y139" s="19" t="inlineStr">
        <ns0:is>
          <ns0:t>Not ascertainable</ns0:t>
        </ns0:is>
      </ns0:c>
      <ns0:c r="Z139" s="19" t="inlineStr">
        <ns0:is>
          <ns0:t>Reported</ns0:t>
        </ns0:is>
      </ns0:c>
      <ns0:c r="AA139" s="19" t="inlineStr">
        <ns0:is>
          <ns0:t>Not recorded</ns0:t>
        </ns0:is>
      </ns0:c>
      <ns0:c r="AB139" s="26" t="n">
        <ns0:v>0</ns0:v>
      </ns0:c>
      <ns0:c r="AC139" s="26" t="n">
        <ns0:v>0</ns0:v>
      </ns0:c>
      <ns0:c r="AD139" s="27">
        <ns0:f>IF(AND(G139=1,AB139=0),1,0)</ns0:f>
        <ns0:v>1</ns0:v>
      </ns0:c>
      <ns0:c r="AE139" s="27">
        <ns0:f>IF(AND(AD139=1,AC139=0),1,0)</ns0:f>
        <ns0:v>1</ns0:v>
      </ns0:c>
      <ns0:c r="AF139" s="27">
        <ns0:f>IF(AND(G139=1,H139&lt;&gt;"Not specified"),1,0)</ns0:f>
        <ns0:v>1</ns0:v>
      </ns0:c>
      <ns0:c r="AG139" s="27">
        <ns0:f>IF(AND(AE139=1,AF139=1),1,0)</ns0:f>
        <ns0:v>1</ns0:v>
      </ns0:c>
      <ns0:c r="AH139" s="19" t="inlineStr">
        <ns0:is>
          <ns0:t>Supplied abstract/coding notes; no new full-text verification</ns0:t>
        </ns0:is>
      </ns0:c>
      <ns0:c r="AI139" s="19" t="inlineStr">
        <ns0:is>
          <ns0:t>https://doi.org/10.1109/tcss.2025.3593119</ns0:t>
        </ns0:is>
      </ns0:c>
      <ns0:c r="AJ139" s="19" t="inlineStr">
        <ns0:is>
          <ns0:t>EVIDENCIA; original abstract/coding notes and lot source trace; Historical signals: title/abstract/notes; full-text completion not independently established</ns0:t>
        </ns0:is>
      </ns0:c>
      <ns0:c r="AK139" s="19" t="inlineStr">
        <ns0:is>
          <ns0:t>Explicit multimodal fusion and region-of-interest extraction in ABIDE. Site aggregation does not establish cross-site held-out testing.</ns0:t>
        </ns0:is>
      </ns0:c>
      <ns0:c r="AL139" s="19" t="inlineStr">
        <ns0:is>
          <ns0:t>Not applicable</ns0:t>
        </ns0:is>
      </ns0:c>
      <ns0:c r="AM139" s="19" t="inlineStr">
        <ns0:is>
          <ns0:t>Not separately specified</ns0:t>
        </ns0:is>
      </ns0:c>
      <ns0:c r="AN139" s="19" t="inlineStr"/>
      <ns0:c r="AO139" s="19" t="inlineStr">
        <ns0:is>
          <ns0:t>No additional status determination</ns0:t>
        </ns0:is>
      </ns0:c>
      <ns0:c r="AP139" s="19" t="inlineStr">
        <ns0:is>
          <ns0:t>Not documented for this recharting</ns0:t>
        </ns0:is>
      </ns0:c>
      <ns0:c r="AQ139" s="19" t="inlineStr">
        <ns0:is>
          <ns0:t>ChatGPT-assisted evidence recharting, 2026-09-08</ns0:t>
        </ns0:is>
      </ns0:c>
      <ns0:c r="AR139" s="19" t="inlineStr">
        <ns0:is>
          <ns0:t>RA</ns0:t>
        </ns0:is>
      </ns0:c>
      <ns0:c r="AS139" s="19" t="inlineStr">
        <ns0:is>
          <ns0:t>Not recorded; historical inclusion retained</ns0:t>
        </ns0:is>
      </ns0:c>
    </ns0:row>
    <ns0:row r="140" ht="50" customHeight="1">
      <ns0:c r="A140" s="21" t="inlineStr">
        <ns0:is>
          <ns0:t>148</ns0:t>
        </ns0:is>
      </ns0:c>
      <ns0:c r="B140" s="21" t="inlineStr">
        <ns0:is>
          <ns0:t>Historical</ns0:t>
        </ns0:is>
      </ns0:c>
      <ns0:c r="C140" s="21" t="inlineStr">
        <ns0:is>
          <ns0:t>Detecting Autism Spectrum Disorder and Attention Deficit Hyperactivity Disorder Using Multimodal Time-Frequency Analysis with Machine Learning Using the Electroretinogram from Two Flash Strengths</ns0:t>
        </ns0:is>
      </ns0:c>
      <ns0:c r="D140" s="21" t="inlineStr">
        <ns0:is>
          <ns0:t>10.1007/s10803-024-06290-w</ns0:t>
        </ns0:is>
      </ns0:c>
      <ns0:c r="E140" s="28" t="n">
        <ns0:v>2025</ns0:v>
      </ns0:c>
      <ns0:c r="F140" s="21" t="inlineStr">
        <ns0:is>
          <ns0:t>Include</ns0:t>
        </ns0:is>
      </ns0:c>
      <ns0:c r="G140" s="29">
        <ns0:f>IF(F140="Include",1,0)</ns0:f>
        <ns0:v>1</ns0:v>
      </ns0:c>
      <ns0:c r="H140" s="21" t="inlineStr">
        <ns0:is>
          <ns0:t>Screening</ns0:t>
        </ns0:is>
      </ns0:c>
      <ns0:c r="I140" s="21" t="inlineStr">
        <ns0:is>
          <ns0:t>Machine Learning</ns0:t>
        </ns0:is>
      </ns0:c>
      <ns0:c r="J140" s="21" t="inlineStr">
        <ns0:is>
          <ns0:t>Physiological signals</ns0:t>
        </ns0:is>
      </ns0:c>
      <ns0:c r="K140" s="21" t="inlineStr">
        <ns0:is>
          <ns0:t>Time-frequency feature classifiers; family unresolved</ns0:t>
        </ns0:is>
      </ns0:c>
      <ns0:c r="L140" s="21" t="inlineStr">
        <ns0:is>
          <ns0:t>Other specified method</ns0:t>
        </ns0:is>
      </ns0:c>
      <ns0:c r="M140" s="21" t="inlineStr">
        <ns0:is>
          <ns0:t>Research only</ns0:t>
        </ns0:is>
      </ns0:c>
      <ns0:c r="N140" s="21" t="inlineStr">
        <ns0:is>
          <ns0:t>Automated measurement/classification</ns0:t>
        </ns0:is>
      </ns0:c>
      <ns0:c r="O140" s="21" t="inlineStr">
        <ns0:is>
          <ns0:t>Not observed in assessed sources</ns0:t>
        </ns0:is>
      </ns0:c>
      <ns0:c r="P140" s="21" t="inlineStr">
        <ns0:is>
          <ns0:t>Not observed in assessed sources</ns0:t>
        </ns0:is>
      </ns0:c>
      <ns0:c r="Q140" s="21" t="inlineStr">
        <ns0:is>
          <ns0:t>Not reported in assessed sources</ns0:t>
        </ns0:is>
      </ns0:c>
      <ns0:c r="R140" s="21" t="inlineStr">
        <ns0:is>
          <ns0:t>Not reported in assessed sources</ns0:t>
        </ns0:is>
      </ns0:c>
      <ns0:c r="S140" s="21" t="inlineStr">
        <ns0:is>
          <ns0:t>Not reported in assessed sources</ns0:t>
        </ns0:is>
      </ns0:c>
      <ns0:c r="T140" s="21" t="inlineStr">
        <ns0:is>
          <ns0:t>Not reported in assessed sources</ns0:t>
        </ns0:is>
      </ns0:c>
      <ns0:c r="U140" s="21" t="inlineStr">
        <ns0:is>
          <ns0:t>Not reported in assessed sources</ns0:t>
        </ns0:is>
      </ns0:c>
      <ns0:c r="V140" s="21" t="inlineStr">
        <ns0:is>
          <ns0:t>Not reported in assessed sources</ns0:t>
        </ns0:is>
      </ns0:c>
      <ns0:c r="W140" s="21" t="inlineStr">
        <ns0:is>
          <ns0:t>Not reported in assessed sources</ns0:t>
        </ns0:is>
      </ns0:c>
      <ns0:c r="X140" s="21" t="inlineStr">
        <ns0:is>
          <ns0:t>Not reported in assessed sources</ns0:t>
        </ns0:is>
      </ns0:c>
      <ns0:c r="Y140" s="21" t="inlineStr">
        <ns0:is>
          <ns0:t>Not ascertainable</ns0:t>
        </ns0:is>
      </ns0:c>
      <ns0:c r="Z140" s="21" t="inlineStr">
        <ns0:is>
          <ns0:t>Not reported in assessed sources</ns0:t>
        </ns0:is>
      </ns0:c>
      <ns0:c r="AA140" s="21" t="inlineStr">
        <ns0:is>
          <ns0:t>Not recorded</ns0:t>
        </ns0:is>
      </ns0:c>
      <ns0:c r="AB140" s="28" t="n">
        <ns0:v>0</ns0:v>
      </ns0:c>
      <ns0:c r="AC140" s="28" t="n">
        <ns0:v>0</ns0:v>
      </ns0:c>
      <ns0:c r="AD140" s="29">
        <ns0:f>IF(AND(G140=1,AB140=0),1,0)</ns0:f>
        <ns0:v>1</ns0:v>
      </ns0:c>
      <ns0:c r="AE140" s="29">
        <ns0:f>IF(AND(AD140=1,AC140=0),1,0)</ns0:f>
        <ns0:v>1</ns0:v>
      </ns0:c>
      <ns0:c r="AF140" s="29">
        <ns0:f>IF(AND(G140=1,H140&lt;&gt;"Not specified"),1,0)</ns0:f>
        <ns0:v>1</ns0:v>
      </ns0:c>
      <ns0:c r="AG140" s="29">
        <ns0:f>IF(AND(AE140=1,AF140=1),1,0)</ns0:f>
        <ns0:v>1</ns0:v>
      </ns0:c>
      <ns0:c r="AH140" s="21" t="inlineStr">
        <ns0:is>
          <ns0:t>Supplied abstract/coding notes; no new full-text verification</ns0:t>
        </ns0:is>
      </ns0:c>
      <ns0:c r="AI140" s="21" t="inlineStr">
        <ns0:is>
          <ns0:t>https://doi.org/10.1007/s10803-024-06290-w</ns0:t>
        </ns0:is>
      </ns0:c>
      <ns0:c r="AJ140" s="21" t="inlineStr">
        <ns0:is>
          <ns0:t>EVIDENCIA; original abstract/coding notes and lot source trace; Historical signals: title/abstract/notes; full-text completion not independently established</ns0:t>
        </ns0:is>
      </ns0:c>
      <ns0:c r="AK140" s="21" t="inlineStr">
        <ns0:is>
          <ns0:t>ERG at two flash strengths and two transforms remains a single physiological modality; no deep architecture is identified.</ns0:t>
        </ns0:is>
      </ns0:c>
      <ns0:c r="AL140" s="21" t="inlineStr">
        <ns0:is>
          <ns0:t>Not applicable</ns0:t>
        </ns0:is>
      </ns0:c>
      <ns0:c r="AM140" s="21" t="inlineStr">
        <ns0:is>
          <ns0:t>Not separately specified</ns0:t>
        </ns0:is>
      </ns0:c>
      <ns0:c r="AN140" s="21" t="inlineStr"/>
      <ns0:c r="AO140" s="21" t="inlineStr">
        <ns0:is>
          <ns0:t>No additional status determination</ns0:t>
        </ns0:is>
      </ns0:c>
      <ns0:c r="AP140" s="21" t="inlineStr">
        <ns0:is>
          <ns0:t>Not documented for this recharting</ns0:t>
        </ns0:is>
      </ns0:c>
      <ns0:c r="AQ140" s="21" t="inlineStr">
        <ns0:is>
          <ns0:t>ChatGPT-assisted evidence recharting, 2026-09-08</ns0:t>
        </ns0:is>
      </ns0:c>
      <ns0:c r="AR140" s="21" t="inlineStr"/>
      <ns0:c r="AS140" s="21" t="inlineStr">
        <ns0:is>
          <ns0:t>Not recorded; historical inclusion retained</ns0:t>
        </ns0:is>
      </ns0:c>
    </ns0:row>
    <ns0:row r="141" ht="50" customHeight="1">
      <ns0:c r="A141" s="19" t="inlineStr">
        <ns0:is>
          <ns0:t>149</ns0:t>
        </ns0:is>
      </ns0:c>
      <ns0:c r="B141" s="19" t="inlineStr">
        <ns0:is>
          <ns0:t>Historical</ns0:t>
        </ns0:is>
      </ns0:c>
      <ns0:c r="C141" s="19" t="inlineStr">
        <ns0:is>
          <ns0:t>Diagnostic classification for human autism and obsessive-compulsive disorder based on machine learning from a primate genetic model</ns0:t>
        </ns0:is>
      </ns0:c>
      <ns0:c r="D141" s="19" t="inlineStr">
        <ns0:is>
          <ns0:t>10.1176/appi.ajp.2020.19101091</ns0:t>
        </ns0:is>
      </ns0:c>
      <ns0:c r="E141" s="26" t="n">
        <ns0:v>2021</ns0:v>
      </ns0:c>
      <ns0:c r="F141" s="19" t="inlineStr">
        <ns0:is>
          <ns0:t>Include</ns0:t>
        </ns0:is>
      </ns0:c>
      <ns0:c r="G141" s="27">
        <ns0:f>IF(F141="Include",1,0)</ns0:f>
        <ns0:v>1</ns0:v>
      </ns0:c>
      <ns0:c r="H141" s="19" t="inlineStr">
        <ns0:is>
          <ns0:t>Diagnosis</ns0:t>
        </ns0:is>
      </ns0:c>
      <ns0:c r="I141" s="19" t="inlineStr">
        <ns0:is>
          <ns0:t>Machine Learning</ns0:t>
        </ns0:is>
      </ns0:c>
      <ns0:c r="J141" s="19" t="inlineStr">
        <ns0:is>
          <ns0:t>Neuroimaging</ns0:t>
        </ns0:is>
      </ns0:c>
      <ns0:c r="K141" s="19" t="inlineStr">
        <ns0:is>
          <ns0:t>Primate-informed functional-connectivity classifiers</ns0:t>
        </ns0:is>
      </ns0:c>
      <ns0:c r="L141" s="19" t="inlineStr">
        <ns0:is>
          <ns0:t>Other specified method</ns0:t>
        </ns0:is>
      </ns0:c>
      <ns0:c r="M141" s="19" t="inlineStr">
        <ns0:is>
          <ns0:t>Research only</ns0:t>
        </ns0:is>
      </ns0:c>
      <ns0:c r="N141" s="19" t="inlineStr">
        <ns0:is>
          <ns0:t>Automated measurement/classification</ns0:t>
        </ns0:is>
      </ns0:c>
      <ns0:c r="O141" s="19" t="inlineStr">
        <ns0:is>
          <ns0:t>Not observed in assessed sources</ns0:t>
        </ns0:is>
      </ns0:c>
      <ns0:c r="P141" s="19" t="inlineStr">
        <ns0:is>
          <ns0:t>Not observed in assessed sources</ns0:t>
        </ns0:is>
      </ns0:c>
      <ns0:c r="Q141" s="19" t="inlineStr">
        <ns0:is>
          <ns0:t>Not reported in assessed sources</ns0:t>
        </ns0:is>
      </ns0:c>
      <ns0:c r="R141" s="19" t="inlineStr">
        <ns0:is>
          <ns0:t>Not reported in assessed sources</ns0:t>
        </ns0:is>
      </ns0:c>
      <ns0:c r="S141" s="19" t="inlineStr">
        <ns0:is>
          <ns0:t>Not reported in assessed sources</ns0:t>
        </ns0:is>
      </ns0:c>
      <ns0:c r="T141" s="19" t="inlineStr">
        <ns0:is>
          <ns0:t>Not reported in assessed sources</ns0:t>
        </ns0:is>
      </ns0:c>
      <ns0:c r="U141" s="19" t="inlineStr">
        <ns0:is>
          <ns0:t>Not reported in assessed sources</ns0:t>
        </ns0:is>
      </ns0:c>
      <ns0:c r="V141" s="19" t="inlineStr">
        <ns0:is>
          <ns0:t>Reported</ns0:t>
        </ns0:is>
      </ns0:c>
      <ns0:c r="W141" s="19" t="inlineStr">
        <ns0:is>
          <ns0:t>Not reported in assessed sources</ns0:t>
        </ns0:is>
      </ns0:c>
      <ns0:c r="X141" s="19" t="inlineStr">
        <ns0:is>
          <ns0:t>Not reported in assessed sources</ns0:t>
        </ns0:is>
      </ns0:c>
      <ns0:c r="Y141" s="19" t="inlineStr">
        <ns0:is>
          <ns0:t>Not ascertainable</ns0:t>
        </ns0:is>
      </ns0:c>
      <ns0:c r="Z141" s="19" t="inlineStr">
        <ns0:is>
          <ns0:t>Not reported in assessed sources</ns0:t>
        </ns0:is>
      </ns0:c>
      <ns0:c r="AA141" s="19" t="inlineStr">
        <ns0:is>
          <ns0:t>Not recorded</ns0:t>
        </ns0:is>
      </ns0:c>
      <ns0:c r="AB141" s="26" t="n">
        <ns0:v>0</ns0:v>
      </ns0:c>
      <ns0:c r="AC141" s="26" t="n">
        <ns0:v>0</ns0:v>
      </ns0:c>
      <ns0:c r="AD141" s="27">
        <ns0:f>IF(AND(G141=1,AB141=0),1,0)</ns0:f>
        <ns0:v>1</ns0:v>
      </ns0:c>
      <ns0:c r="AE141" s="27">
        <ns0:f>IF(AND(AD141=1,AC141=0),1,0)</ns0:f>
        <ns0:v>1</ns0:v>
      </ns0:c>
      <ns0:c r="AF141" s="27">
        <ns0:f>IF(AND(G141=1,H141&lt;&gt;"Not specified"),1,0)</ns0:f>
        <ns0:v>1</ns0:v>
      </ns0:c>
      <ns0:c r="AG141" s="27">
        <ns0:f>IF(AND(AE141=1,AF141=1),1,0)</ns0:f>
        <ns0:v>1</ns0:v>
      </ns0:c>
      <ns0:c r="AH141" s="19" t="inlineStr">
        <ns0:is>
          <ns0:t>Supplied abstract/coding notes; no new full-text verification</ns0:t>
        </ns0:is>
      </ns0:c>
      <ns0:c r="AI141" s="19" t="inlineStr">
        <ns0:is>
          <ns0:t>https://doi.org/10.1176/appi.ajp.2020.19101091</ns0:t>
        </ns0:is>
      </ns0:c>
      <ns0:c r="AJ141" s="19" t="inlineStr">
        <ns0:is>
          <ns0:t>EVIDENCIA; original abstract/coding notes and lot source trace; Historical signals: title/abstract/notes; full-text completion not independently established</ns0:t>
        </ns0:is>
      </ns0:c>
      <ns0:c r="AK141" s="19" t="inlineStr">
        <ns0:is>
          <ns0:t>Retained because the computational method is explicitly evaluated on human ASD datasets, despite its animal-derived prior. Genetically selected brain regions do not constitute human genetic inputs.
Animal-derived feature prior; human ASD evaluation is present. Keep separate from purely non-human studies.</ns0:t>
        </ns0:is>
      </ns0:c>
      <ns0:c r="AL141" s="19" t="inlineStr">
        <ns0:is>
          <ns0:t>Not applicable</ns0:t>
        </ns0:is>
      </ns0:c>
      <ns0:c r="AM141" s="19" t="inlineStr">
        <ns0:is>
          <ns0:t>Not separately specified</ns0:t>
        </ns0:is>
      </ns0:c>
      <ns0:c r="AN141" s="19" t="inlineStr"/>
      <ns0:c r="AO141" s="19" t="inlineStr">
        <ns0:is>
          <ns0:t>No additional status determination</ns0:t>
        </ns0:is>
      </ns0:c>
      <ns0:c r="AP141" s="19" t="inlineStr">
        <ns0:is>
          <ns0:t>Not documented for this recharting</ns0:t>
        </ns0:is>
      </ns0:c>
      <ns0:c r="AQ141" s="19" t="inlineStr">
        <ns0:is>
          <ns0:t>ChatGPT-assisted evidence recharting, 2026-09-08</ns0:t>
        </ns0:is>
      </ns0:c>
      <ns0:c r="AR141" s="19" t="inlineStr">
        <ns0:is>
          <ns0:t>RA</ns0:t>
        </ns0:is>
      </ns0:c>
      <ns0:c r="AS141" s="19" t="inlineStr">
        <ns0:is>
          <ns0:t>Not recorded; historical inclusion retained</ns0:t>
        </ns0:is>
      </ns0:c>
    </ns0:row>
    <ns0:row r="142" ht="50" customHeight="1">
      <ns0:c r="A142" s="21" t="inlineStr">
        <ns0:is>
          <ns0:t>150</ns0:t>
        </ns0:is>
      </ns0:c>
      <ns0:c r="B142" s="21" t="inlineStr">
        <ns0:is>
          <ns0:t>Historical</ns0:t>
        </ns0:is>
      </ns0:c>
      <ns0:c r="C142" s="21" t="inlineStr">
        <ns0:is>
          <ns0:t>Diagnostic shifts in autism spectrum disorder can be linked to the fuzzy nature of the diagnostic boundary: a data-driven approach</ns0:t>
        </ns0:is>
      </ns0:c>
      <ns0:c r="D142" s="21" t="inlineStr">
        <ns0:is>
          <ns0:t>10.1111/jcpp.13406</ns0:t>
        </ns0:is>
      </ns0:c>
      <ns0:c r="E142" s="28" t="n">
        <ns0:v>2021</ns0:v>
      </ns0:c>
      <ns0:c r="F142" s="21" t="inlineStr">
        <ns0:is>
          <ns0:t>Include</ns0:t>
        </ns0:is>
      </ns0:c>
      <ns0:c r="G142" s="29">
        <ns0:f>IF(F142="Include",1,0)</ns0:f>
        <ns0:v>1</ns0:v>
      </ns0:c>
      <ns0:c r="H142" s="21" t="inlineStr">
        <ns0:is>
          <ns0:t>Diagnosis</ns0:t>
        </ns0:is>
      </ns0:c>
      <ns0:c r="I142" s="21" t="inlineStr">
        <ns0:is>
          <ns0:t>Machine Learning</ns0:t>
        </ns0:is>
      </ns0:c>
      <ns0:c r="J142" s="21" t="inlineStr">
        <ns0:is>
          <ns0:t>Structured clinical/questionnaire data</ns0:t>
        </ns0:is>
      </ns0:c>
      <ns0:c r="K142" s="21" t="inlineStr">
        <ns0:is>
          <ns0:t>Diagnostic-boundary classifier; family unresolved</ns0:t>
        </ns0:is>
      </ns0:c>
      <ns0:c r="L142" s="21" t="inlineStr">
        <ns0:is>
          <ns0:t>Other specified method</ns0:t>
        </ns0:is>
      </ns0:c>
      <ns0:c r="M142" s="21" t="inlineStr">
        <ns0:is>
          <ns0:t>Research only</ns0:t>
        </ns0:is>
      </ns0:c>
      <ns0:c r="N142" s="21" t="inlineStr">
        <ns0:is>
          <ns0:t>Automated measurement/classification</ns0:t>
        </ns0:is>
      </ns0:c>
      <ns0:c r="O142" s="21" t="inlineStr">
        <ns0:is>
          <ns0:t>Not observed in assessed sources</ns0:t>
        </ns0:is>
      </ns0:c>
      <ns0:c r="P142" s="21" t="inlineStr">
        <ns0:is>
          <ns0:t>Not observed in assessed sources</ns0:t>
        </ns0:is>
      </ns0:c>
      <ns0:c r="Q142" s="21" t="inlineStr">
        <ns0:is>
          <ns0:t>Not reported in assessed sources</ns0:t>
        </ns0:is>
      </ns0:c>
      <ns0:c r="R142" s="21" t="inlineStr">
        <ns0:is>
          <ns0:t>Not reported in assessed sources</ns0:t>
        </ns0:is>
      </ns0:c>
      <ns0:c r="S142" s="21" t="inlineStr">
        <ns0:is>
          <ns0:t>Reported</ns0:t>
        </ns0:is>
      </ns0:c>
      <ns0:c r="T142" s="21" t="inlineStr">
        <ns0:is>
          <ns0:t>Not reported in assessed sources</ns0:t>
        </ns0:is>
      </ns0:c>
      <ns0:c r="U142" s="21" t="inlineStr">
        <ns0:is>
          <ns0:t>Not reported in assessed sources</ns0:t>
        </ns0:is>
      </ns0:c>
      <ns0:c r="V142" s="21" t="inlineStr">
        <ns0:is>
          <ns0:t>Not reported in assessed sources</ns0:t>
        </ns0:is>
      </ns0:c>
      <ns0:c r="W142" s="21" t="inlineStr">
        <ns0:is>
          <ns0:t>Not reported in assessed sources</ns0:t>
        </ns0:is>
      </ns0:c>
      <ns0:c r="X142" s="21" t="inlineStr">
        <ns0:is>
          <ns0:t>Not reported in assessed sources</ns0:t>
        </ns0:is>
      </ns0:c>
      <ns0:c r="Y142" s="21" t="inlineStr">
        <ns0:is>
          <ns0:t>Reported</ns0:t>
        </ns0:is>
      </ns0:c>
      <ns0:c r="Z142" s="21" t="inlineStr">
        <ns0:is>
          <ns0:t>Reported</ns0:t>
        </ns0:is>
      </ns0:c>
      <ns0:c r="AA142" s="21" t="inlineStr">
        <ns0:is>
          <ns0:t>Not recorded</ns0:t>
        </ns0:is>
      </ns0:c>
      <ns0:c r="AB142" s="28" t="n">
        <ns0:v>0</ns0:v>
      </ns0:c>
      <ns0:c r="AC142" s="28" t="n">
        <ns0:v>0</ns0:v>
      </ns0:c>
      <ns0:c r="AD142" s="29">
        <ns0:f>IF(AND(G142=1,AB142=0),1,0)</ns0:f>
        <ns0:v>1</ns0:v>
      </ns0:c>
      <ns0:c r="AE142" s="29">
        <ns0:f>IF(AND(AD142=1,AC142=0),1,0)</ns0:f>
        <ns0:v>1</ns0:v>
      </ns0:c>
      <ns0:c r="AF142" s="29">
        <ns0:f>IF(AND(G142=1,H142&lt;&gt;"Not specified"),1,0)</ns0:f>
        <ns0:v>1</ns0:v>
      </ns0:c>
      <ns0:c r="AG142" s="29">
        <ns0:f>IF(AND(AE142=1,AF142=1),1,0)</ns0:f>
        <ns0:v>1</ns0:v>
      </ns0:c>
      <ns0:c r="AH142" s="21" t="inlineStr">
        <ns0:is>
          <ns0:t>Supplied abstract/coding notes; no new full-text verification</ns0:t>
        </ns0:is>
      </ns0:c>
      <ns0:c r="AI142" s="21" t="inlineStr">
        <ns0:is>
          <ns0:t>https://doi.org/10.1111/jcpp.13406</ns0:t>
        </ns0:is>
      </ns0:c>
      <ns0:c r="AJ142" s="21" t="inlineStr">
        <ns0:is>
          <ns0:t>EVIDENCIA; original abstract/coding notes and lot source trace; Historical signals: title/abstract/notes; full-text completion not independently established</ns0:t>
        </ns0:is>
      </ns0:c>
      <ns0:c r="AK142" s="21" t="inlineStr">
        <ns0:is>
          <ns0:t>Repeated developmental/adaptive scores explain diagnostic instability; no physiological input or deep architecture is supported. Longitudinal characterization is not a prospectively used prediction tool.</ns0:t>
        </ns0:is>
      </ns0:c>
      <ns0:c r="AL142" s="21" t="inlineStr">
        <ns0:is>
          <ns0:t>Not applicable</ns0:t>
        </ns0:is>
      </ns0:c>
      <ns0:c r="AM142" s="21" t="inlineStr">
        <ns0:is>
          <ns0:t>Not separately specified</ns0:t>
        </ns0:is>
      </ns0:c>
      <ns0:c r="AN142" s="21" t="inlineStr"/>
      <ns0:c r="AO142" s="21" t="inlineStr">
        <ns0:is>
          <ns0:t>No additional status determination</ns0:t>
        </ns0:is>
      </ns0:c>
      <ns0:c r="AP142" s="21" t="inlineStr">
        <ns0:is>
          <ns0:t>Not documented for this recharting</ns0:t>
        </ns0:is>
      </ns0:c>
      <ns0:c r="AQ142" s="21" t="inlineStr">
        <ns0:is>
          <ns0:t>ChatGPT-assisted evidence recharting, 2026-09-08</ns0:t>
        </ns0:is>
      </ns0:c>
      <ns0:c r="AR142" s="21" t="inlineStr">
        <ns0:is>
          <ns0:t>RA</ns0:t>
        </ns0:is>
      </ns0:c>
      <ns0:c r="AS142" s="21" t="inlineStr">
        <ns0:is>
          <ns0:t>Not recorded; historical inclusion retained</ns0:t>
        </ns0:is>
      </ns0:c>
    </ns0:row>
    <ns0:row r="143" ht="50" customHeight="1">
      <ns0:c r="A143" s="19" t="inlineStr">
        <ns0:is>
          <ns0:t>151</ns0:t>
        </ns0:is>
      </ns0:c>
      <ns0:c r="B143" s="19" t="inlineStr">
        <ns0:is>
          <ns0:t>Historical</ns0:t>
        </ns0:is>
      </ns0:c>
      <ns0:c r="C143" s="19" t="inlineStr">
        <ns0:is>
          <ns0:t>Early identification of autism spectrum disorder by multi-instrument fusion: A clinically applicable machine learning approach</ns0:t>
        </ns0:is>
      </ns0:c>
      <ns0:c r="D143" s="19" t="inlineStr">
        <ns0:is>
          <ns0:t>10.1016/j.psychres.2023.115050</ns0:t>
        </ns0:is>
      </ns0:c>
      <ns0:c r="E143" s="26" t="n">
        <ns0:v>2023</ns0:v>
      </ns0:c>
      <ns0:c r="F143" s="19" t="inlineStr">
        <ns0:is>
          <ns0:t>Include</ns0:t>
        </ns0:is>
      </ns0:c>
      <ns0:c r="G143" s="27">
        <ns0:f>IF(F143="Include",1,0)</ns0:f>
        <ns0:v>1</ns0:v>
      </ns0:c>
      <ns0:c r="H143" s="19" t="inlineStr">
        <ns0:is>
          <ns0:t>Diagnosis</ns0:t>
        </ns0:is>
      </ns0:c>
      <ns0:c r="I143" s="19" t="inlineStr">
        <ns0:is>
          <ns0:t>Machine Learning</ns0:t>
        </ns0:is>
      </ns0:c>
      <ns0:c r="J143" s="19" t="inlineStr">
        <ns0:is>
          <ns0:t>Structured clinical/questionnaire data</ns0:t>
        </ns0:is>
      </ns0:c>
      <ns0:c r="K143" s="19" t="inlineStr">
        <ns0:is>
          <ns0:t>XGBoost and interpretable two-stage decision model</ns0:t>
        </ns0:is>
      </ns0:c>
      <ns0:c r="L143" s="19" t="inlineStr">
        <ns0:is>
          <ns0:t>Gradient boosting</ns0:t>
        </ns0:is>
      </ns0:c>
      <ns0:c r="M143" s="19" t="inlineStr">
        <ns0:is>
          <ns0:t>Proposed only</ns0:t>
        </ns0:is>
      </ns0:c>
      <ns0:c r="N143" s="19" t="inlineStr">
        <ns0:is>
          <ns0:t>Diagnostic decision support</ns0:t>
        </ns0:is>
      </ns0:c>
      <ns0:c r="O143" s="19" t="inlineStr">
        <ns0:is>
          <ns0:t>In-decision</ns0:t>
        </ns0:is>
      </ns0:c>
      <ns0:c r="P143" s="19" t="inlineStr">
        <ns0:is>
          <ns0:t>Not observed in assessed sources</ns0:t>
        </ns0:is>
      </ns0:c>
      <ns0:c r="Q143" s="19" t="inlineStr">
        <ns0:is>
          <ns0:t>Reported</ns0:t>
        </ns0:is>
      </ns0:c>
      <ns0:c r="R143" s="19" t="inlineStr">
        <ns0:is>
          <ns0:t>Reported</ns0:t>
        </ns0:is>
      </ns0:c>
      <ns0:c r="S143" s="19" t="inlineStr">
        <ns0:is>
          <ns0:t>Reported</ns0:t>
        </ns0:is>
      </ns0:c>
      <ns0:c r="T143" s="19" t="inlineStr">
        <ns0:is>
          <ns0:t>Not reported in assessed sources</ns0:t>
        </ns0:is>
      </ns0:c>
      <ns0:c r="U143" s="19" t="inlineStr">
        <ns0:is>
          <ns0:t>Not reported in assessed sources</ns0:t>
        </ns0:is>
      </ns0:c>
      <ns0:c r="V143" s="19" t="inlineStr">
        <ns0:is>
          <ns0:t>Not reported in assessed sources</ns0:t>
        </ns0:is>
      </ns0:c>
      <ns0:c r="W143" s="19" t="inlineStr">
        <ns0:is>
          <ns0:t>Reported</ns0:t>
        </ns0:is>
      </ns0:c>
      <ns0:c r="X143" s="19" t="inlineStr">
        <ns0:is>
          <ns0:t>Not reported in assessed sources</ns0:t>
        </ns0:is>
      </ns0:c>
      <ns0:c r="Y143" s="19" t="inlineStr">
        <ns0:is>
          <ns0:t>Not ascertainable</ns0:t>
        </ns0:is>
      </ns0:c>
      <ns0:c r="Z143" s="19" t="inlineStr">
        <ns0:is>
          <ns0:t>Reported</ns0:t>
        </ns0:is>
      </ns0:c>
      <ns0:c r="AA143" s="19" t="inlineStr">
        <ns0:is>
          <ns0:t>Not recorded</ns0:t>
        </ns0:is>
      </ns0:c>
      <ns0:c r="AB143" s="26" t="n">
        <ns0:v>0</ns0:v>
      </ns0:c>
      <ns0:c r="AC143" s="26" t="n">
        <ns0:v>0</ns0:v>
      </ns0:c>
      <ns0:c r="AD143" s="27">
        <ns0:f>IF(AND(G143=1,AB143=0),1,0)</ns0:f>
        <ns0:v>1</ns0:v>
      </ns0:c>
      <ns0:c r="AE143" s="27">
        <ns0:f>IF(AND(AD143=1,AC143=0),1,0)</ns0:f>
        <ns0:v>1</ns0:v>
      </ns0:c>
      <ns0:c r="AF143" s="27">
        <ns0:f>IF(AND(G143=1,H143&lt;&gt;"Not specified"),1,0)</ns0:f>
        <ns0:v>1</ns0:v>
      </ns0:c>
      <ns0:c r="AG143" s="27">
        <ns0:f>IF(AND(AE143=1,AF143=1),1,0)</ns0:f>
        <ns0:v>1</ns0:v>
      </ns0:c>
      <ns0:c r="AH143" s="19" t="inlineStr">
        <ns0:is>
          <ns0:t>Supplied abstract/coding notes; no new full-text verification</ns0:t>
        </ns0:is>
      </ns0:c>
      <ns0:c r="AI143" s="19" t="inlineStr">
        <ns0:is>
          <ns0:t>https://doi.org/10.1016/j.psychres.2023.115050</ns0:t>
        </ns0:is>
      </ns0:c>
      <ns0:c r="AJ143" s="19" t="inlineStr">
        <ns0:is>
          <ns0:t>EVIDENCIA; original abstract/coding notes and lot source trace; Historical signals: title/abstract/notes; full-text completion not independently established</ns0:t>
        </ns0:is>
      </ns0:c>
      <ns0:c r="AK143" s="19" t="inlineStr">
        <ns0:is>
          <ns0:t>External 60-child test and comparison with pediatricians are explicit. Separate human-versus-model benchmarking does not establish clinicians using AI in decisions.</ns0:t>
        </ns0:is>
      </ns0:c>
      <ns0:c r="AL143" s="19" t="inlineStr">
        <ns0:is>
          <ns0:t>Not applicable</ns0:t>
        </ns0:is>
      </ns0:c>
      <ns0:c r="AM143" s="19" t="inlineStr">
        <ns0:is>
          <ns0:t>Not separately specified</ns0:t>
        </ns0:is>
      </ns0:c>
      <ns0:c r="AN143" s="19" t="inlineStr"/>
      <ns0:c r="AO143" s="19" t="inlineStr">
        <ns0:is>
          <ns0:t>No additional status determination</ns0:t>
        </ns0:is>
      </ns0:c>
      <ns0:c r="AP143" s="19" t="inlineStr">
        <ns0:is>
          <ns0:t>Not documented for this recharting</ns0:t>
        </ns0:is>
      </ns0:c>
      <ns0:c r="AQ143" s="19" t="inlineStr">
        <ns0:is>
          <ns0:t>ChatGPT-assisted evidence recharting, 2026-09-08</ns0:t>
        </ns0:is>
      </ns0:c>
      <ns0:c r="AR143" s="19" t="inlineStr">
        <ns0:is>
          <ns0:t>RA</ns0:t>
        </ns0:is>
      </ns0:c>
      <ns0:c r="AS143" s="19" t="inlineStr">
        <ns0:is>
          <ns0:t>Not recorded; historical inclusion retained</ns0:t>
        </ns0:is>
      </ns0:c>
    </ns0:row>
    <ns0:row r="144" ht="50" customHeight="1">
      <ns0:c r="A144" s="21" t="inlineStr">
        <ns0:is>
          <ns0:t>152</ns0:t>
        </ns0:is>
      </ns0:c>
      <ns0:c r="B144" s="21" t="inlineStr">
        <ns0:is>
          <ns0:t>Historical</ns0:t>
        </ns0:is>
      </ns0:c>
      <ns0:c r="C144" s="21" t="inlineStr">
        <ns0:is>
          <ns0:t>Early screening of autism spectrum disorder diagnoses of children using artificial intelligence</ns0:t>
        </ns0:is>
      </ns0:c>
      <ns0:c r="D144" s="21" t="inlineStr">
        <ns0:is>
          <ns0:t>10.57197/jdr-2023-0004</ns0:t>
        </ns0:is>
      </ns0:c>
      <ns0:c r="E144" s="28" t="n">
        <ns0:v>2023</ns0:v>
      </ns0:c>
      <ns0:c r="F144" s="21" t="inlineStr">
        <ns0:is>
          <ns0:t>Include</ns0:t>
        </ns0:is>
      </ns0:c>
      <ns0:c r="G144" s="29">
        <ns0:f>IF(F144="Include",1,0)</ns0:f>
        <ns0:v>1</ns0:v>
      </ns0:c>
      <ns0:c r="H144" s="21" t="inlineStr">
        <ns0:is>
          <ns0:t>Screening</ns0:t>
        </ns0:is>
      </ns0:c>
      <ns0:c r="I144" s="21" t="inlineStr">
        <ns0:is>
          <ns0:t>Machine Learning</ns0:t>
        </ns0:is>
      </ns0:c>
      <ns0:c r="J144" s="21" t="inlineStr">
        <ns0:is>
          <ns0:t>Structured clinical/questionnaire data</ns0:t>
        </ns0:is>
      </ns0:c>
      <ns0:c r="K144" s="21" t="inlineStr">
        <ns0:is>
          <ns0:t>SVM and random forest</ns0:t>
        </ns0:is>
      </ns0:c>
      <ns0:c r="L144" s="21" t="inlineStr">
        <ns0:is>
          <ns0:t>Composite/ensemble pipeline</ns0:t>
        </ns0:is>
      </ns0:c>
      <ns0:c r="M144" s="21" t="inlineStr">
        <ns0:is>
          <ns0:t>Research only</ns0:t>
        </ns0:is>
      </ns0:c>
      <ns0:c r="N144" s="21" t="inlineStr">
        <ns0:is>
          <ns0:t>Triage/questionnaire assessment</ns0:t>
        </ns0:is>
      </ns0:c>
      <ns0:c r="O144" s="21" t="inlineStr">
        <ns0:is>
          <ns0:t>Not observed in assessed sources</ns0:t>
        </ns0:is>
      </ns0:c>
      <ns0:c r="P144" s="21" t="inlineStr">
        <ns0:is>
          <ns0:t>Not observed in assessed sources</ns0:t>
        </ns0:is>
      </ns0:c>
      <ns0:c r="Q144" s="21" t="inlineStr">
        <ns0:is>
          <ns0:t>Not reported in assessed sources</ns0:t>
        </ns0:is>
      </ns0:c>
      <ns0:c r="R144" s="21" t="inlineStr">
        <ns0:is>
          <ns0:t>Not reported in assessed sources</ns0:t>
        </ns0:is>
      </ns0:c>
      <ns0:c r="S144" s="21" t="inlineStr">
        <ns0:is>
          <ns0:t>Not reported in assessed sources</ns0:t>
        </ns0:is>
      </ns0:c>
      <ns0:c r="T144" s="21" t="inlineStr">
        <ns0:is>
          <ns0:t>Not reported in assessed sources</ns0:t>
        </ns0:is>
      </ns0:c>
      <ns0:c r="U144" s="21" t="inlineStr">
        <ns0:is>
          <ns0:t>Not reported in assessed sources</ns0:t>
        </ns0:is>
      </ns0:c>
      <ns0:c r="V144" s="21" t="inlineStr">
        <ns0:is>
          <ns0:t>Not reported in assessed sources</ns0:t>
        </ns0:is>
      </ns0:c>
      <ns0:c r="W144" s="21" t="inlineStr">
        <ns0:is>
          <ns0:t>Not reported in assessed sources</ns0:t>
        </ns0:is>
      </ns0:c>
      <ns0:c r="X144" s="21" t="inlineStr">
        <ns0:is>
          <ns0:t>Not reported in assessed sources</ns0:t>
        </ns0:is>
      </ns0:c>
      <ns0:c r="Y144" s="21" t="inlineStr">
        <ns0:is>
          <ns0:t>Not ascertainable</ns0:t>
        </ns0:is>
      </ns0:c>
      <ns0:c r="Z144" s="21" t="inlineStr">
        <ns0:is>
          <ns0:t>Not reported in assessed sources</ns0:t>
        </ns0:is>
      </ns0:c>
      <ns0:c r="AA144" s="21" t="inlineStr">
        <ns0:is>
          <ns0:t>Not recorded</ns0:t>
        </ns0:is>
      </ns0:c>
      <ns0:c r="AB144" s="28" t="n">
        <ns0:v>0</ns0:v>
      </ns0:c>
      <ns0:c r="AC144" s="28" t="n">
        <ns0:v>0</ns0:v>
      </ns0:c>
      <ns0:c r="AD144" s="29">
        <ns0:f>IF(AND(G144=1,AB144=0),1,0)</ns0:f>
        <ns0:v>1</ns0:v>
      </ns0:c>
      <ns0:c r="AE144" s="29">
        <ns0:f>IF(AND(AD144=1,AC144=0),1,0)</ns0:f>
        <ns0:v>1</ns0:v>
      </ns0:c>
      <ns0:c r="AF144" s="29">
        <ns0:f>IF(AND(G144=1,H144&lt;&gt;"Not specified"),1,0)</ns0:f>
        <ns0:v>1</ns0:v>
      </ns0:c>
      <ns0:c r="AG144" s="29">
        <ns0:f>IF(AND(AE144=1,AF144=1),1,0)</ns0:f>
        <ns0:v>1</ns0:v>
      </ns0:c>
      <ns0:c r="AH144" s="21" t="inlineStr">
        <ns0:is>
          <ns0:t>Supplied abstract/coding notes; no new full-text verification</ns0:t>
        </ns0:is>
      </ns0:c>
      <ns0:c r="AI144" s="21" t="inlineStr">
        <ns0:is>
          <ns0:t>https://doi.org/10.57197/jdr-2023-0004</ns0:t>
        </ns0:is>
      </ns0:c>
      <ns0:c r="AJ144" s="21" t="inlineStr">
        <ns0:is>
          <ns0:t>EVIDENCIA; original abstract/coding notes and lot source trace; Historical signals: title/abstract/notes; full-text completion not independently established</ns0:t>
        </ns0:is>
      </ns0:c>
      <ns0:c r="AK144" s="21" t="inlineStr">
        <ns0:is>
          <ns0:t>Repository screening dataset with random 80/20 split; tied reported winners retained. Internal holdout is not external validation.</ns0:t>
        </ns0:is>
      </ns0:c>
      <ns0:c r="AL144" s="21" t="inlineStr">
        <ns0:is>
          <ns0:t>Not applicable</ns0:t>
        </ns0:is>
      </ns0:c>
      <ns0:c r="AM144" s="21" t="inlineStr">
        <ns0:is>
          <ns0:t>Not separately specified</ns0:t>
        </ns0:is>
      </ns0:c>
      <ns0:c r="AN144" s="21" t="inlineStr"/>
      <ns0:c r="AO144" s="21" t="inlineStr">
        <ns0:is>
          <ns0:t>No additional status determination</ns0:t>
        </ns0:is>
      </ns0:c>
      <ns0:c r="AP144" s="21" t="inlineStr">
        <ns0:is>
          <ns0:t>Not documented for this recharting</ns0:t>
        </ns0:is>
      </ns0:c>
      <ns0:c r="AQ144" s="21" t="inlineStr">
        <ns0:is>
          <ns0:t>ChatGPT-assisted evidence recharting, 2026-09-08</ns0:t>
        </ns0:is>
      </ns0:c>
      <ns0:c r="AR144" s="21" t="inlineStr"/>
      <ns0:c r="AS144" s="21" t="inlineStr">
        <ns0:is>
          <ns0:t>Not recorded; historical inclusion retained</ns0:t>
        </ns0:is>
      </ns0:c>
    </ns0:row>
    <ns0:row r="145" ht="50" customHeight="1">
      <ns0:c r="A145" s="19" t="inlineStr">
        <ns0:is>
          <ns0:t>153</ns0:t>
        </ns0:is>
      </ns0:c>
      <ns0:c r="B145" s="19" t="inlineStr">
        <ns0:is>
          <ns0:t>Historical</ns0:t>
        </ns0:is>
      </ns0:c>
      <ns0:c r="C145" s="19" t="inlineStr">
        <ns0:is>
          <ns0:t>Enhanced Special Needs Assessment: A Multimodal Approach for Autism Prediction</ns0:t>
        </ns0:is>
      </ns0:c>
      <ns0:c r="D145" s="19" t="inlineStr">
        <ns0:is>
          <ns0:t>10.1109/access.2024.3453440</ns0:t>
        </ns0:is>
      </ns0:c>
      <ns0:c r="E145" s="26" t="n">
        <ns0:v>2024</ns0:v>
      </ns0:c>
      <ns0:c r="F145" s="19" t="inlineStr">
        <ns0:is>
          <ns0:t>Include</ns0:t>
        </ns0:is>
      </ns0:c>
      <ns0:c r="G145" s="27">
        <ns0:f>IF(F145="Include",1,0)</ns0:f>
        <ns0:v>1</ns0:v>
      </ns0:c>
      <ns0:c r="H145" s="19" t="inlineStr">
        <ns0:is>
          <ns0:t>Screening</ns0:t>
        </ns0:is>
      </ns0:c>
      <ns0:c r="I145" s="19" t="inlineStr">
        <ns0:is>
          <ns0:t>Deep Learning</ns0:t>
        </ns0:is>
      </ns0:c>
      <ns0:c r="J145" s="19" t="inlineStr">
        <ns0:is>
          <ns0:t>Multiple source categories</ns0:t>
        </ns0:is>
      </ns0:c>
      <ns0:c r="K145" s="19" t="inlineStr">
        <ns0:is>
          <ns0:t>Multimodal concatenation CNN</ns0:t>
        </ns0:is>
      </ns0:c>
      <ns0:c r="L145" s="19" t="inlineStr">
        <ns0:is>
          <ns0:t>CNN</ns0:t>
        </ns0:is>
      </ns0:c>
      <ns0:c r="M145" s="19" t="inlineStr">
        <ns0:is>
          <ns0:t>Research only</ns0:t>
        </ns0:is>
      </ns0:c>
      <ns0:c r="N145" s="19" t="inlineStr">
        <ns0:is>
          <ns0:t>Automated measurement/classification</ns0:t>
        </ns0:is>
      </ns0:c>
      <ns0:c r="O145" s="19" t="inlineStr">
        <ns0:is>
          <ns0:t>Not observed in assessed sources</ns0:t>
        </ns0:is>
      </ns0:c>
      <ns0:c r="P145" s="19" t="inlineStr">
        <ns0:is>
          <ns0:t>Not observed in assessed sources</ns0:t>
        </ns0:is>
      </ns0:c>
      <ns0:c r="Q145" s="19" t="inlineStr">
        <ns0:is>
          <ns0:t>Not reported in assessed sources</ns0:t>
        </ns0:is>
      </ns0:c>
      <ns0:c r="R145" s="19" t="inlineStr">
        <ns0:is>
          <ns0:t>Reported</ns0:t>
        </ns0:is>
      </ns0:c>
      <ns0:c r="S145" s="19" t="inlineStr">
        <ns0:is>
          <ns0:t>Not reported in assessed sources</ns0:t>
        </ns0:is>
      </ns0:c>
      <ns0:c r="T145" s="19" t="inlineStr">
        <ns0:is>
          <ns0:t>Not reported in assessed sources</ns0:t>
        </ns0:is>
      </ns0:c>
      <ns0:c r="U145" s="19" t="inlineStr">
        <ns0:is>
          <ns0:t>Not reported in assessed sources</ns0:t>
        </ns0:is>
      </ns0:c>
      <ns0:c r="V145" s="19" t="inlineStr">
        <ns0:is>
          <ns0:t>Not reported in assessed sources</ns0:t>
        </ns0:is>
      </ns0:c>
      <ns0:c r="W145" s="19" t="inlineStr">
        <ns0:is>
          <ns0:t>Reported</ns0:t>
        </ns0:is>
      </ns0:c>
      <ns0:c r="X145" s="19" t="inlineStr">
        <ns0:is>
          <ns0:t>Not reported in assessed sources</ns0:t>
        </ns0:is>
      </ns0:c>
      <ns0:c r="Y145" s="19" t="inlineStr">
        <ns0:is>
          <ns0:t>Not ascertainable</ns0:t>
        </ns0:is>
      </ns0:c>
      <ns0:c r="Z145" s="19" t="inlineStr">
        <ns0:is>
          <ns0:t>Not reported in assessed sources</ns0:t>
        </ns0:is>
      </ns0:c>
      <ns0:c r="AA145" s="19" t="inlineStr">
        <ns0:is>
          <ns0:t>Not recorded</ns0:t>
        </ns0:is>
      </ns0:c>
      <ns0:c r="AB145" s="26" t="n">
        <ns0:v>0</ns0:v>
      </ns0:c>
      <ns0:c r="AC145" s="26" t="n">
        <ns0:v>0</ns0:v>
      </ns0:c>
      <ns0:c r="AD145" s="27">
        <ns0:f>IF(AND(G145=1,AB145=0),1,0)</ns0:f>
        <ns0:v>1</ns0:v>
      </ns0:c>
      <ns0:c r="AE145" s="27">
        <ns0:f>IF(AND(AD145=1,AC145=0),1,0)</ns0:f>
        <ns0:v>1</ns0:v>
      </ns0:c>
      <ns0:c r="AF145" s="27">
        <ns0:f>IF(AND(G145=1,H145&lt;&gt;"Not specified"),1,0)</ns0:f>
        <ns0:v>1</ns0:v>
      </ns0:c>
      <ns0:c r="AG145" s="27">
        <ns0:f>IF(AND(AE145=1,AF145=1),1,0)</ns0:f>
        <ns0:v>1</ns0:v>
      </ns0:c>
      <ns0:c r="AH145" s="19" t="inlineStr">
        <ns0:is>
          <ns0:t>Supplied abstract/coding notes; no new full-text verification</ns0:t>
        </ns0:is>
      </ns0:c>
      <ns0:c r="AI145" s="19" t="inlineStr">
        <ns0:is>
          <ns0:t>https://doi.org/10.1109/access.2024.3453440</ns0:t>
        </ns0:is>
      </ns0:c>
      <ns0:c r="AJ145" s="19" t="inlineStr">
        <ns0:is>
          <ns0:t>EVIDENCIA; original abstract/coding notes and lot source trace; Historical signals: title/abstract/notes; full-text completion not independently established</ns0:t>
        </ns0:is>
      </ns0:c>
      <ns0:c r="AK145" s="19" t="inlineStr">
        <ns0:is>
          <ns0:t>Explicit facial-image and ADOS-score concatenation. Pairing and label provenance remain relevant validity limitations, not assumptions to fill from performance claims.</ns0:t>
        </ns0:is>
      </ns0:c>
      <ns0:c r="AL145" s="19" t="inlineStr">
        <ns0:is>
          <ns0:t>Not applicable</ns0:t>
        </ns0:is>
      </ns0:c>
      <ns0:c r="AM145" s="19" t="inlineStr">
        <ns0:is>
          <ns0:t>Not separately specified</ns0:t>
        </ns0:is>
      </ns0:c>
      <ns0:c r="AN145" s="19" t="inlineStr"/>
      <ns0:c r="AO145" s="19" t="inlineStr">
        <ns0:is>
          <ns0:t>No additional status determination</ns0:t>
        </ns0:is>
      </ns0:c>
      <ns0:c r="AP145" s="19" t="inlineStr">
        <ns0:is>
          <ns0:t>Not documented for this recharting</ns0:t>
        </ns0:is>
      </ns0:c>
      <ns0:c r="AQ145" s="19" t="inlineStr">
        <ns0:is>
          <ns0:t>ChatGPT-assisted evidence recharting, 2026-09-08</ns0:t>
        </ns0:is>
      </ns0:c>
      <ns0:c r="AR145" s="19" t="inlineStr"/>
      <ns0:c r="AS145" s="19" t="inlineStr">
        <ns0:is>
          <ns0:t>Not recorded; historical inclusion retained</ns0:t>
        </ns0:is>
      </ns0:c>
    </ns0:row>
    <ns0:row r="146" ht="50" customHeight="1">
      <ns0:c r="A146" s="21" t="inlineStr">
        <ns0:is>
          <ns0:t>154</ns0:t>
        </ns0:is>
      </ns0:c>
      <ns0:c r="B146" s="21" t="inlineStr">
        <ns0:is>
          <ns0:t>Historical</ns0:t>
        </ns0:is>
      </ns0:c>
      <ns0:c r="C146" s="21" t="inlineStr">
        <ns0:is>
          <ns0:t>Enhancing Early Diagnosis of Autism Spectrum Disorder in Children: A Comparative Analysis of Machine Learning Techniques</ns0:t>
        </ns0:is>
      </ns0:c>
      <ns0:c r="D146" s="21" t="inlineStr">
        <ns0:is>
          <ns0:t>10.1007/978-981-97-6995-7_34</ns0:t>
        </ns0:is>
      </ns0:c>
      <ns0:c r="E146" s="28" t="n">
        <ns0:v>2024</ns0:v>
      </ns0:c>
      <ns0:c r="F146" s="21" t="inlineStr">
        <ns0:is>
          <ns0:t>Include</ns0:t>
        </ns0:is>
      </ns0:c>
      <ns0:c r="G146" s="29">
        <ns0:f>IF(F146="Include",1,0)</ns0:f>
        <ns0:v>1</ns0:v>
      </ns0:c>
      <ns0:c r="H146" s="21" t="inlineStr">
        <ns0:is>
          <ns0:t>Diagnosis</ns0:t>
        </ns0:is>
      </ns0:c>
      <ns0:c r="I146" s="21" t="inlineStr">
        <ns0:is>
          <ns0:t>Machine Learning</ns0:t>
        </ns0:is>
      </ns0:c>
      <ns0:c r="J146" s="21" t="inlineStr">
        <ns0:is>
          <ns0:t>Not specified</ns0:t>
        </ns0:is>
      </ns0:c>
      <ns0:c r="K146" s="21" t="inlineStr">
        <ns0:is>
          <ns0:t>Multiple conventional classifiers; no primary winner</ns0:t>
        </ns0:is>
      </ns0:c>
      <ns0:c r="L146" s="21" t="inlineStr">
        <ns0:is>
          <ns0:t>Multiple/not uniquely specified</ns0:t>
        </ns0:is>
      </ns0:c>
      <ns0:c r="M146" s="21" t="inlineStr">
        <ns0:is>
          <ns0:t>Research only</ns0:t>
        </ns0:is>
      </ns0:c>
      <ns0:c r="N146" s="21" t="inlineStr">
        <ns0:is>
          <ns0:t>Automated measurement/classification</ns0:t>
        </ns0:is>
      </ns0:c>
      <ns0:c r="O146" s="21" t="inlineStr">
        <ns0:is>
          <ns0:t>Not observed in assessed sources</ns0:t>
        </ns0:is>
      </ns0:c>
      <ns0:c r="P146" s="21" t="inlineStr">
        <ns0:is>
          <ns0:t>Not observed in assessed sources</ns0:t>
        </ns0:is>
      </ns0:c>
      <ns0:c r="Q146" s="21" t="inlineStr">
        <ns0:is>
          <ns0:t>Not reported in assessed sources</ns0:t>
        </ns0:is>
      </ns0:c>
      <ns0:c r="R146" s="21" t="inlineStr">
        <ns0:is>
          <ns0:t>Not ascertainable</ns0:t>
        </ns0:is>
      </ns0:c>
      <ns0:c r="S146" s="21" t="inlineStr">
        <ns0:is>
          <ns0:t>Not reported in assessed sources</ns0:t>
        </ns0:is>
      </ns0:c>
      <ns0:c r="T146" s="21" t="inlineStr">
        <ns0:is>
          <ns0:t>Not reported in assessed sources</ns0:t>
        </ns0:is>
      </ns0:c>
      <ns0:c r="U146" s="21" t="inlineStr">
        <ns0:is>
          <ns0:t>Not reported in assessed sources</ns0:t>
        </ns0:is>
      </ns0:c>
      <ns0:c r="V146" s="21" t="inlineStr">
        <ns0:is>
          <ns0:t>Not reported in assessed sources</ns0:t>
        </ns0:is>
      </ns0:c>
      <ns0:c r="W146" s="21" t="inlineStr">
        <ns0:is>
          <ns0:t>Not ascertainable</ns0:t>
        </ns0:is>
      </ns0:c>
      <ns0:c r="X146" s="21" t="inlineStr">
        <ns0:is>
          <ns0:t>Not reported in assessed sources</ns0:t>
        </ns0:is>
      </ns0:c>
      <ns0:c r="Y146" s="21" t="inlineStr">
        <ns0:is>
          <ns0:t>Not ascertainable</ns0:t>
        </ns0:is>
      </ns0:c>
      <ns0:c r="Z146" s="21" t="inlineStr">
        <ns0:is>
          <ns0:t>Not reported in assessed sources</ns0:t>
        </ns0:is>
      </ns0:c>
      <ns0:c r="AA146" s="21" t="inlineStr">
        <ns0:is>
          <ns0:t>Not recorded</ns0:t>
        </ns0:is>
      </ns0:c>
      <ns0:c r="AB146" s="28" t="n">
        <ns0:v>0</ns0:v>
      </ns0:c>
      <ns0:c r="AC146" s="28" t="n">
        <ns0:v>0</ns0:v>
      </ns0:c>
      <ns0:c r="AD146" s="29">
        <ns0:f>IF(AND(G146=1,AB146=0),1,0)</ns0:f>
        <ns0:v>1</ns0:v>
      </ns0:c>
      <ns0:c r="AE146" s="29">
        <ns0:f>IF(AND(AD146=1,AC146=0),1,0)</ns0:f>
        <ns0:v>1</ns0:v>
      </ns0:c>
      <ns0:c r="AF146" s="29">
        <ns0:f>IF(AND(G146=1,H146&lt;&gt;"Not specified"),1,0)</ns0:f>
        <ns0:v>1</ns0:v>
      </ns0:c>
      <ns0:c r="AG146" s="29">
        <ns0:f>IF(AND(AE146=1,AF146=1),1,0)</ns0:f>
        <ns0:v>1</ns0:v>
      </ns0:c>
      <ns0:c r="AH146" s="21" t="inlineStr">
        <ns0:is>
          <ns0:t>Supplied abstract/coding notes; no new full-text verification</ns0:t>
        </ns0:is>
      </ns0:c>
      <ns0:c r="AI146" s="21" t="inlineStr">
        <ns0:is>
          <ns0:t>https://doi.org/10.1007/978-981-97-6995-7_34</ns0:t>
        </ns0:is>
      </ns0:c>
      <ns0:c r="AJ146" s="21" t="inlineStr">
        <ns0:is>
          <ns0:t>EVIDENCIA; original abstract/coding notes and lot source trace; Historical signals: title/abstract/notes; full-text completion not independently established</ns0:t>
        </ns0:is>
      </ns0:c>
      <ns0:c r="AK146" s="21" t="inlineStr">
        <ns0:is>
          <ns0:t>Comparative study names algorithms but not a unique best model or specific data source in the abstract. Preserve multiple-model category rather than inventing a principal family.</ns0:t>
        </ns0:is>
      </ns0:c>
      <ns0:c r="AL146" s="21" t="inlineStr">
        <ns0:is>
          <ns0:t>Not applicable</ns0:t>
        </ns0:is>
      </ns0:c>
      <ns0:c r="AM146" s="21" t="inlineStr">
        <ns0:is>
          <ns0:t>Not separately specified</ns0:t>
        </ns0:is>
      </ns0:c>
      <ns0:c r="AN146" s="21" t="inlineStr"/>
      <ns0:c r="AO146" s="21" t="inlineStr">
        <ns0:is>
          <ns0:t>No additional status determination</ns0:t>
        </ns0:is>
      </ns0:c>
      <ns0:c r="AP146" s="21" t="inlineStr">
        <ns0:is>
          <ns0:t>Not documented for this recharting</ns0:t>
        </ns0:is>
      </ns0:c>
      <ns0:c r="AQ146" s="21" t="inlineStr">
        <ns0:is>
          <ns0:t>ChatGPT-assisted evidence recharting, 2026-09-08</ns0:t>
        </ns0:is>
      </ns0:c>
      <ns0:c r="AR146" s="21" t="inlineStr"/>
      <ns0:c r="AS146" s="21" t="inlineStr">
        <ns0:is>
          <ns0:t>Not recorded; historical inclusion retained</ns0:t>
        </ns0:is>
      </ns0:c>
    </ns0:row>
    <ns0:row r="147" ht="50" customHeight="1">
      <ns0:c r="A147" s="19" t="inlineStr">
        <ns0:is>
          <ns0:t>155</ns0:t>
        </ns0:is>
      </ns0:c>
      <ns0:c r="B147" s="19" t="inlineStr">
        <ns0:is>
          <ns0:t>Historical</ns0:t>
        </ns0:is>
      </ns0:c>
      <ns0:c r="C147" s="19" t="inlineStr">
        <ns0:is>
          <ns0:t>Evaluation of AI tools for healthcare networks at the cloud-edge interaction to diagnose autism in educational environments</ns0:t>
        </ns0:is>
      </ns0:c>
      <ns0:c r="D147" s="19" t="inlineStr">
        <ns0:is>
          <ns0:t>10.1186/s13677-023-00558-9</ns0:t>
        </ns0:is>
      </ns0:c>
      <ns0:c r="E147" s="26" t="n">
        <ns0:v>2024</ns0:v>
      </ns0:c>
      <ns0:c r="F147" s="19" t="inlineStr">
        <ns0:is>
          <ns0:t>Include</ns0:t>
        </ns0:is>
      </ns0:c>
      <ns0:c r="G147" s="27">
        <ns0:f>IF(F147="Include",1,0)</ns0:f>
        <ns0:v>1</ns0:v>
      </ns0:c>
      <ns0:c r="H147" s="19" t="inlineStr">
        <ns0:is>
          <ns0:t>Screening</ns0:t>
        </ns0:is>
      </ns0:c>
      <ns0:c r="I147" s="19" t="inlineStr">
        <ns0:is>
          <ns0:t>Deep Learning</ns0:t>
        </ns0:is>
      </ns0:c>
      <ns0:c r="J147" s="19" t="inlineStr">
        <ns0:is>
          <ns0:t>Behavioral images/video/gaze/movement</ns0:t>
        </ns0:is>
      </ns0:c>
      <ns0:c r="K147" s="19" t="inlineStr">
        <ns0:is>
          <ns0:t>AlexNet</ns0:t>
        </ns0:is>
      </ns0:c>
      <ns0:c r="L147" s="19" t="inlineStr">
        <ns0:is>
          <ns0:t>Other specified method</ns0:t>
        </ns0:is>
      </ns0:c>
      <ns0:c r="M147" s="19" t="inlineStr">
        <ns0:is>
          <ns0:t>Proposed only</ns0:t>
        </ns0:is>
      </ns0:c>
      <ns0:c r="N147" s="19" t="inlineStr">
        <ns0:is>
          <ns0:t>Diagnostic decision support</ns0:t>
        </ns0:is>
      </ns0:c>
      <ns0:c r="O147" s="19" t="inlineStr">
        <ns0:is>
          <ns0:t>Pre-decision</ns0:t>
        </ns0:is>
      </ns0:c>
      <ns0:c r="P147" s="19" t="inlineStr">
        <ns0:is>
          <ns0:t>Not observed in assessed sources</ns0:t>
        </ns0:is>
      </ns0:c>
      <ns0:c r="Q147" s="19" t="inlineStr">
        <ns0:is>
          <ns0:t>Not reported in assessed sources</ns0:t>
        </ns0:is>
      </ns0:c>
      <ns0:c r="R147" s="19" t="inlineStr">
        <ns0:is>
          <ns0:t>Not reported in assessed sources</ns0:t>
        </ns0:is>
      </ns0:c>
      <ns0:c r="S147" s="19" t="inlineStr">
        <ns0:is>
          <ns0:t>Not reported in assessed sources</ns0:t>
        </ns0:is>
      </ns0:c>
      <ns0:c r="T147" s="19" t="inlineStr">
        <ns0:is>
          <ns0:t>Not reported in assessed sources</ns0:t>
        </ns0:is>
      </ns0:c>
      <ns0:c r="U147" s="19" t="inlineStr">
        <ns0:is>
          <ns0:t>Not reported in assessed sources</ns0:t>
        </ns0:is>
      </ns0:c>
      <ns0:c r="V147" s="19" t="inlineStr">
        <ns0:is>
          <ns0:t>Not reported in assessed sources</ns0:t>
        </ns0:is>
      </ns0:c>
      <ns0:c r="W147" s="19" t="inlineStr">
        <ns0:is>
          <ns0:t>Not reported in assessed sources</ns0:t>
        </ns0:is>
      </ns0:c>
      <ns0:c r="X147" s="19" t="inlineStr">
        <ns0:is>
          <ns0:t>Not reported in assessed sources</ns0:t>
        </ns0:is>
      </ns0:c>
      <ns0:c r="Y147" s="19" t="inlineStr">
        <ns0:is>
          <ns0:t>Not ascertainable</ns0:t>
        </ns0:is>
      </ns0:c>
      <ns0:c r="Z147" s="19" t="inlineStr">
        <ns0:is>
          <ns0:t>Not reported in assessed sources</ns0:t>
        </ns0:is>
      </ns0:c>
      <ns0:c r="AA147" s="19" t="inlineStr">
        <ns0:is>
          <ns0:t>Not recorded</ns0:t>
        </ns0:is>
      </ns0:c>
      <ns0:c r="AB147" s="26" t="n">
        <ns0:v>0</ns0:v>
      </ns0:c>
      <ns0:c r="AC147" s="26" t="n">
        <ns0:v>0</ns0:v>
      </ns0:c>
      <ns0:c r="AD147" s="27">
        <ns0:f>IF(AND(G147=1,AB147=0),1,0)</ns0:f>
        <ns0:v>1</ns0:v>
      </ns0:c>
      <ns0:c r="AE147" s="27">
        <ns0:f>IF(AND(AD147=1,AC147=0),1,0)</ns0:f>
        <ns0:v>1</ns0:v>
      </ns0:c>
      <ns0:c r="AF147" s="27">
        <ns0:f>IF(AND(G147=1,H147&lt;&gt;"Not specified"),1,0)</ns0:f>
        <ns0:v>1</ns0:v>
      </ns0:c>
      <ns0:c r="AG147" s="27">
        <ns0:f>IF(AND(AE147=1,AF147=1),1,0)</ns0:f>
        <ns0:v>1</ns0:v>
      </ns0:c>
      <ns0:c r="AH147" s="19" t="inlineStr">
        <ns0:is>
          <ns0:t>Supplied abstract/coding notes; no new full-text verification</ns0:t>
        </ns0:is>
      </ns0:c>
      <ns0:c r="AI147" s="19" t="inlineStr">
        <ns0:is>
          <ns0:t>https://doi.org/10.1186/s13677-023-00558-9</ns0:t>
        </ns0:is>
      </ns0:c>
      <ns0:c r="AJ147" s="19" t="inlineStr">
        <ns0:is>
          <ns0:t>EVIDENCIA; original abstract/coding notes and lot source trace; Historical signals: title/abstract/notes; full-text completion not independently established</ns0:t>
        </ns0:is>
      </ns0:c>
      <ns0:c r="AK147" s="19" t="inlineStr">
        <ns0:is>
          <ns0:t>Actual described application is facial-image analysis with edge computing. Discussion of EEG, speech and imaging literature is not multisource input to the evaluated system.</ns0:t>
        </ns0:is>
      </ns0:c>
      <ns0:c r="AL147" s="19" t="inlineStr">
        <ns0:is>
          <ns0:t>Not applicable</ns0:t>
        </ns0:is>
      </ns0:c>
      <ns0:c r="AM147" s="19" t="inlineStr">
        <ns0:is>
          <ns0:t>Not separately specified</ns0:t>
        </ns0:is>
      </ns0:c>
      <ns0:c r="AN147" s="19" t="inlineStr"/>
      <ns0:c r="AO147" s="19" t="inlineStr">
        <ns0:is>
          <ns0:t>No additional status determination</ns0:t>
        </ns0:is>
      </ns0:c>
      <ns0:c r="AP147" s="19" t="inlineStr">
        <ns0:is>
          <ns0:t>Not documented for this recharting</ns0:t>
        </ns0:is>
      </ns0:c>
      <ns0:c r="AQ147" s="19" t="inlineStr">
        <ns0:is>
          <ns0:t>ChatGPT-assisted evidence recharting, 2026-09-08</ns0:t>
        </ns0:is>
      </ns0:c>
      <ns0:c r="AR147" s="19" t="inlineStr">
        <ns0:is>
          <ns0:t>RA</ns0:t>
        </ns0:is>
      </ns0:c>
      <ns0:c r="AS147" s="19" t="inlineStr">
        <ns0:is>
          <ns0:t>Not recorded; historical inclusion retained</ns0:t>
        </ns0:is>
      </ns0:c>
    </ns0:row>
    <ns0:row r="148" ht="50" customHeight="1">
      <ns0:c r="A148" s="21" t="inlineStr">
        <ns0:is>
          <ns0:t>156</ns0:t>
        </ns0:is>
      </ns0:c>
      <ns0:c r="B148" s="21" t="inlineStr">
        <ns0:is>
          <ns0:t>Historical</ns0:t>
        </ns0:is>
      </ns0:c>
      <ns0:c r="C148" s="21" t="inlineStr">
        <ns0:is>
          <ns0:t>Exploring sMRI Biomarkers for Diagnosis of Autism Spectrum Disorders Based on Multi Class Activation Mapping Models</ns0:t>
        </ns0:is>
      </ns0:c>
      <ns0:c r="D148" s="21" t="inlineStr">
        <ns0:is>
          <ns0:t>10.1109/access.2021.3069211</ns0:t>
        </ns0:is>
      </ns0:c>
      <ns0:c r="E148" s="28" t="n">
        <ns0:v>2021</ns0:v>
      </ns0:c>
      <ns0:c r="F148" s="21" t="inlineStr">
        <ns0:is>
          <ns0:t>Include</ns0:t>
        </ns0:is>
      </ns0:c>
      <ns0:c r="G148" s="29">
        <ns0:f>IF(F148="Include",1,0)</ns0:f>
        <ns0:v>1</ns0:v>
      </ns0:c>
      <ns0:c r="H148" s="21" t="inlineStr">
        <ns0:is>
          <ns0:t>Diagnosis</ns0:t>
        </ns0:is>
      </ns0:c>
      <ns0:c r="I148" s="21" t="inlineStr">
        <ns0:is>
          <ns0:t>Deep Learning</ns0:t>
        </ns0:is>
      </ns0:c>
      <ns0:c r="J148" s="21" t="inlineStr">
        <ns0:is>
          <ns0:t>Neuroimaging</ns0:t>
        </ns0:is>
      </ns0:c>
      <ns0:c r="K148" s="21" t="inlineStr">
        <ns0:is>
          <ns0:t>CNN with CAM and Grad-CAM</ns0:t>
        </ns0:is>
      </ns0:c>
      <ns0:c r="L148" s="21" t="inlineStr">
        <ns0:is>
          <ns0:t>CNN</ns0:t>
        </ns0:is>
      </ns0:c>
      <ns0:c r="M148" s="21" t="inlineStr">
        <ns0:is>
          <ns0:t>Proposed only</ns0:t>
        </ns0:is>
      </ns0:c>
      <ns0:c r="N148" s="21" t="inlineStr">
        <ns0:is>
          <ns0:t>Diagnostic decision support</ns0:t>
        </ns0:is>
      </ns0:c>
      <ns0:c r="O148" s="21" t="inlineStr">
        <ns0:is>
          <ns0:t>In-decision</ns0:t>
        </ns0:is>
      </ns0:c>
      <ns0:c r="P148" s="21" t="inlineStr">
        <ns0:is>
          <ns0:t>Not observed in assessed sources</ns0:t>
        </ns0:is>
      </ns0:c>
      <ns0:c r="Q148" s="21" t="inlineStr">
        <ns0:is>
          <ns0:t>Not reported in assessed sources</ns0:t>
        </ns0:is>
      </ns0:c>
      <ns0:c r="R148" s="21" t="inlineStr">
        <ns0:is>
          <ns0:t>Not reported in assessed sources</ns0:t>
        </ns0:is>
      </ns0:c>
      <ns0:c r="S148" s="21" t="inlineStr">
        <ns0:is>
          <ns0:t>Reported</ns0:t>
        </ns0:is>
      </ns0:c>
      <ns0:c r="T148" s="21" t="inlineStr">
        <ns0:is>
          <ns0:t>Reported</ns0:t>
        </ns0:is>
      </ns0:c>
      <ns0:c r="U148" s="21" t="inlineStr">
        <ns0:is>
          <ns0:t>Not reported in assessed sources</ns0:t>
        </ns0:is>
      </ns0:c>
      <ns0:c r="V148" s="21" t="inlineStr">
        <ns0:is>
          <ns0:t>Not reported in assessed sources</ns0:t>
        </ns0:is>
      </ns0:c>
      <ns0:c r="W148" s="21" t="inlineStr">
        <ns0:is>
          <ns0:t>Not reported in assessed sources</ns0:t>
        </ns0:is>
      </ns0:c>
      <ns0:c r="X148" s="21" t="inlineStr">
        <ns0:is>
          <ns0:t>Not reported in assessed sources</ns0:t>
        </ns0:is>
      </ns0:c>
      <ns0:c r="Y148" s="21" t="inlineStr">
        <ns0:is>
          <ns0:t>Not ascertainable</ns0:t>
        </ns0:is>
      </ns0:c>
      <ns0:c r="Z148" s="21" t="inlineStr">
        <ns0:is>
          <ns0:t>Not reported in assessed sources</ns0:t>
        </ns0:is>
      </ns0:c>
      <ns0:c r="AA148" s="21" t="inlineStr">
        <ns0:is>
          <ns0:t>Not recorded</ns0:t>
        </ns0:is>
      </ns0:c>
      <ns0:c r="AB148" s="28" t="n">
        <ns0:v>0</ns0:v>
      </ns0:c>
      <ns0:c r="AC148" s="28" t="n">
        <ns0:v>0</ns0:v>
      </ns0:c>
      <ns0:c r="AD148" s="29">
        <ns0:f>IF(AND(G148=1,AB148=0),1,0)</ns0:f>
        <ns0:v>1</ns0:v>
      </ns0:c>
      <ns0:c r="AE148" s="29">
        <ns0:f>IF(AND(AD148=1,AC148=0),1,0)</ns0:f>
        <ns0:v>1</ns0:v>
      </ns0:c>
      <ns0:c r="AF148" s="29">
        <ns0:f>IF(AND(G148=1,H148&lt;&gt;"Not specified"),1,0)</ns0:f>
        <ns0:v>1</ns0:v>
      </ns0:c>
      <ns0:c r="AG148" s="29">
        <ns0:f>IF(AND(AE148=1,AF148=1),1,0)</ns0:f>
        <ns0:v>1</ns0:v>
      </ns0:c>
      <ns0:c r="AH148" s="21" t="inlineStr">
        <ns0:is>
          <ns0:t>Supplied abstract/coding notes; no new full-text verification</ns0:t>
        </ns0:is>
      </ns0:c>
      <ns0:c r="AI148" s="21" t="inlineStr">
        <ns0:is>
          <ns0:t>https://doi.org/10.1109/access.2021.3069211</ns0:t>
        </ns0:is>
      </ns0:c>
      <ns0:c r="AJ148" s="21" t="inlineStr">
        <ns0:is>
          <ns0:t>EVIDENCIA; original abstract/coding notes and lot source trace; Historical signals: title/abstract/notes; full-text completion not independently established</ns0:t>
        </ns0:is>
      </ns0:c>
      <ns0:c r="AK148" s="21" t="inlineStr">
        <ns0:is>
          <ns0:t>Structural MRI classification with explicitly evaluated visual attribution methods; explanation supports proposed interpretation, not demonstrated clinical use.</ns0:t>
        </ns0:is>
      </ns0:c>
      <ns0:c r="AL148" s="21" t="inlineStr">
        <ns0:is>
          <ns0:t>Not applicable</ns0:t>
        </ns0:is>
      </ns0:c>
      <ns0:c r="AM148" s="21" t="inlineStr">
        <ns0:is>
          <ns0:t>Not separately specified</ns0:t>
        </ns0:is>
      </ns0:c>
      <ns0:c r="AN148" s="21" t="inlineStr"/>
      <ns0:c r="AO148" s="21" t="inlineStr">
        <ns0:is>
          <ns0:t>No additional status determination</ns0:t>
        </ns0:is>
      </ns0:c>
      <ns0:c r="AP148" s="21" t="inlineStr">
        <ns0:is>
          <ns0:t>Not documented for this recharting</ns0:t>
        </ns0:is>
      </ns0:c>
      <ns0:c r="AQ148" s="21" t="inlineStr">
        <ns0:is>
          <ns0:t>ChatGPT-assisted evidence recharting, 2026-09-08</ns0:t>
        </ns0:is>
      </ns0:c>
      <ns0:c r="AR148" s="21" t="inlineStr">
        <ns0:is>
          <ns0:t>RA</ns0:t>
        </ns0:is>
      </ns0:c>
      <ns0:c r="AS148" s="21" t="inlineStr">
        <ns0:is>
          <ns0:t>Not recorded; historical inclusion retained</ns0:t>
        </ns0:is>
      </ns0:c>
    </ns0:row>
    <ns0:row r="149" ht="50" customHeight="1">
      <ns0:c r="A149" s="19" t="inlineStr">
        <ns0:is>
          <ns0:t>157</ns0:t>
        </ns0:is>
      </ns0:c>
      <ns0:c r="B149" s="19" t="inlineStr">
        <ns0:is>
          <ns0:t>Historical</ns0:t>
        </ns0:is>
      </ns0:c>
      <ns0:c r="C149" s="19" t="inlineStr">
        <ns0:is>
          <ns0:t>Functional connectivity classification of autism identifies highly predictive brain features but falls short of biomarker standards</ns0:t>
        </ns0:is>
      </ns0:c>
      <ns0:c r="D149" s="19" t="inlineStr">
        <ns0:is>
          <ns0:t>10.1016/j.nicl.2014.12.013</ns0:t>
        </ns0:is>
      </ns0:c>
      <ns0:c r="E149" s="26" t="n">
        <ns0:v>2015</ns0:v>
      </ns0:c>
      <ns0:c r="F149" s="19" t="inlineStr">
        <ns0:is>
          <ns0:t>Include</ns0:t>
        </ns0:is>
      </ns0:c>
      <ns0:c r="G149" s="27">
        <ns0:f>IF(F149="Include",1,0)</ns0:f>
        <ns0:v>1</ns0:v>
      </ns0:c>
      <ns0:c r="H149" s="19" t="inlineStr">
        <ns0:is>
          <ns0:t>Diagnosis</ns0:t>
        </ns0:is>
      </ns0:c>
      <ns0:c r="I149" s="19" t="inlineStr">
        <ns0:is>
          <ns0:t>Machine Learning</ns0:t>
        </ns0:is>
      </ns0:c>
      <ns0:c r="J149" s="19" t="inlineStr">
        <ns0:is>
          <ns0:t>Neuroimaging</ns0:t>
        </ns0:is>
      </ns0:c>
      <ns0:c r="K149" s="19" t="inlineStr">
        <ns0:is>
          <ns0:t>Regularized logistic regression</ns0:t>
        </ns0:is>
      </ns0:c>
      <ns0:c r="L149" s="19" t="inlineStr">
        <ns0:is>
          <ns0:t>Logistic regression</ns0:t>
        </ns0:is>
      </ns0:c>
      <ns0:c r="M149" s="19" t="inlineStr">
        <ns0:is>
          <ns0:t>Research only</ns0:t>
        </ns0:is>
      </ns0:c>
      <ns0:c r="N149" s="19" t="inlineStr">
        <ns0:is>
          <ns0:t>Automated measurement/classification</ns0:t>
        </ns0:is>
      </ns0:c>
      <ns0:c r="O149" s="19" t="inlineStr">
        <ns0:is>
          <ns0:t>Not observed in assessed sources</ns0:t>
        </ns0:is>
      </ns0:c>
      <ns0:c r="P149" s="19" t="inlineStr">
        <ns0:is>
          <ns0:t>Not observed in assessed sources</ns0:t>
        </ns0:is>
      </ns0:c>
      <ns0:c r="Q149" s="19" t="inlineStr">
        <ns0:is>
          <ns0:t>Not reported in assessed sources</ns0:t>
        </ns0:is>
      </ns0:c>
      <ns0:c r="R149" s="19" t="inlineStr">
        <ns0:is>
          <ns0:t>Not reported in assessed sources</ns0:t>
        </ns0:is>
      </ns0:c>
      <ns0:c r="S149" s="19" t="inlineStr">
        <ns0:is>
          <ns0:t>Reported</ns0:t>
        </ns0:is>
      </ns0:c>
      <ns0:c r="T149" s="19" t="inlineStr">
        <ns0:is>
          <ns0:t>Not reported in assessed sources</ns0:t>
        </ns0:is>
      </ns0:c>
      <ns0:c r="U149" s="19" t="inlineStr">
        <ns0:is>
          <ns0:t>Not reported in assessed sources</ns0:t>
        </ns0:is>
      </ns0:c>
      <ns0:c r="V149" s="19" t="inlineStr">
        <ns0:is>
          <ns0:t>Reported</ns0:t>
        </ns0:is>
      </ns0:c>
      <ns0:c r="W149" s="19" t="inlineStr">
        <ns0:is>
          <ns0:t>Reported</ns0:t>
        </ns0:is>
      </ns0:c>
      <ns0:c r="X149" s="19" t="inlineStr">
        <ns0:is>
          <ns0:t>Not reported in assessed sources</ns0:t>
        </ns0:is>
      </ns0:c>
      <ns0:c r="Y149" s="19" t="inlineStr">
        <ns0:is>
          <ns0:t>Not ascertainable</ns0:t>
        </ns0:is>
      </ns0:c>
      <ns0:c r="Z149" s="19" t="inlineStr">
        <ns0:is>
          <ns0:t>Reported</ns0:t>
        </ns0:is>
      </ns0:c>
      <ns0:c r="AA149" s="19" t="inlineStr">
        <ns0:is>
          <ns0:t>Not recorded</ns0:t>
        </ns0:is>
      </ns0:c>
      <ns0:c r="AB149" s="26" t="n">
        <ns0:v>0</ns0:v>
      </ns0:c>
      <ns0:c r="AC149" s="26" t="n">
        <ns0:v>0</ns0:v>
      </ns0:c>
      <ns0:c r="AD149" s="27">
        <ns0:f>IF(AND(G149=1,AB149=0),1,0)</ns0:f>
        <ns0:v>1</ns0:v>
      </ns0:c>
      <ns0:c r="AE149" s="27">
        <ns0:f>IF(AND(AD149=1,AC149=0),1,0)</ns0:f>
        <ns0:v>1</ns0:v>
      </ns0:c>
      <ns0:c r="AF149" s="27">
        <ns0:f>IF(AND(G149=1,H149&lt;&gt;"Not specified"),1,0)</ns0:f>
        <ns0:v>1</ns0:v>
      </ns0:c>
      <ns0:c r="AG149" s="27">
        <ns0:f>IF(AND(AE149=1,AF149=1),1,0)</ns0:f>
        <ns0:v>1</ns0:v>
      </ns0:c>
      <ns0:c r="AH149" s="19" t="inlineStr">
        <ns0:is>
          <ns0:t>Supplied abstract/coding notes; no new full-text verification</ns0:t>
        </ns0:is>
      </ns0:c>
      <ns0:c r="AI149" s="19" t="inlineStr">
        <ns0:is>
          <ns0:t>https://doi.org/10.1016/j.nicl.2014.12.013</ns0:t>
        </ns0:is>
      </ns0:c>
      <ns0:c r="AJ149" s="19" t="inlineStr">
        <ns0:is>
          <ns0:t>EVIDENCIA; original abstract/coding notes and lot source trace; Historical signals: title/abstract/notes; full-text completion not independently established</ns0:t>
        </ns0:is>
      </ns0:c>
      <ns0:c r="AK149" s="19" t="inlineStr">
        <ns0:is>
          <ns0:t>fMRI versus behavioral classifiers are evaluated separately. Independent replication cohort is described, but trained-model transport must not be assumed from replication alone.</ns0:t>
        </ns0:is>
      </ns0:c>
      <ns0:c r="AL149" s="19" t="inlineStr">
        <ns0:is>
          <ns0:t>Not applicable</ns0:t>
        </ns0:is>
      </ns0:c>
      <ns0:c r="AM149" s="19" t="inlineStr">
        <ns0:is>
          <ns0:t>Not separately specified</ns0:t>
        </ns0:is>
      </ns0:c>
      <ns0:c r="AN149" s="19" t="inlineStr"/>
      <ns0:c r="AO149" s="19" t="inlineStr">
        <ns0:is>
          <ns0:t>No additional status determination</ns0:t>
        </ns0:is>
      </ns0:c>
      <ns0:c r="AP149" s="19" t="inlineStr">
        <ns0:is>
          <ns0:t>Not documented for this recharting</ns0:t>
        </ns0:is>
      </ns0:c>
      <ns0:c r="AQ149" s="19" t="inlineStr">
        <ns0:is>
          <ns0:t>ChatGPT-assisted evidence recharting, 2026-09-08</ns0:t>
        </ns0:is>
      </ns0:c>
      <ns0:c r="AR149" s="19" t="inlineStr"/>
      <ns0:c r="AS149" s="19" t="inlineStr">
        <ns0:is>
          <ns0:t>Not recorded; historical inclusion retained</ns0:t>
        </ns0:is>
      </ns0:c>
    </ns0:row>
    <ns0:row r="150" ht="50" customHeight="1">
      <ns0:c r="A150" s="21" t="inlineStr">
        <ns0:is>
          <ns0:t>158</ns0:t>
        </ns0:is>
      </ns0:c>
      <ns0:c r="B150" s="21" t="inlineStr">
        <ns0:is>
          <ns0:t>Historical</ns0:t>
        </ns0:is>
      </ns0:c>
      <ns0:c r="C150" s="21" t="inlineStr">
        <ns0:is>
          <ns0:t>Graph Convolutional Networks Based on\&amp;#xa0;Relational Attention Mechanism for\&amp;#xa0;Autism Spectrum Disorders Diagnosis</ns0:t>
        </ns0:is>
      </ns0:c>
      <ns0:c r="D150" s="21" t="inlineStr">
        <ns0:is>
          <ns0:t>10.1007/978-3-031-13844-7_33</ns0:t>
        </ns0:is>
      </ns0:c>
      <ns0:c r="E150" s="28" t="n">
        <ns0:v>2022</ns0:v>
      </ns0:c>
      <ns0:c r="F150" s="21" t="inlineStr">
        <ns0:is>
          <ns0:t>Include</ns0:t>
        </ns0:is>
      </ns0:c>
      <ns0:c r="G150" s="29">
        <ns0:f>IF(F150="Include",1,0)</ns0:f>
        <ns0:v>1</ns0:v>
      </ns0:c>
      <ns0:c r="H150" s="21" t="inlineStr">
        <ns0:is>
          <ns0:t>Diagnosis</ns0:t>
        </ns0:is>
      </ns0:c>
      <ns0:c r="I150" s="21" t="inlineStr">
        <ns0:is>
          <ns0:t>Deep Learning</ns0:t>
        </ns0:is>
      </ns0:c>
      <ns0:c r="J150" s="21" t="inlineStr">
        <ns0:is>
          <ns0:t>Neuroimaging</ns0:t>
        </ns0:is>
      </ns0:c>
      <ns0:c r="K150" s="21" t="inlineStr">
        <ns0:is>
          <ns0:t>Relational-attention GCN</ns0:t>
        </ns0:is>
      </ns0:c>
      <ns0:c r="L150" s="21" t="inlineStr">
        <ns0:is>
          <ns0:t>GNN</ns0:t>
        </ns0:is>
      </ns0:c>
      <ns0:c r="M150" s="21" t="inlineStr">
        <ns0:is>
          <ns0:t>Research only</ns0:t>
        </ns0:is>
      </ns0:c>
      <ns0:c r="N150" s="21" t="inlineStr">
        <ns0:is>
          <ns0:t>Automated measurement/classification</ns0:t>
        </ns0:is>
      </ns0:c>
      <ns0:c r="O150" s="21" t="inlineStr">
        <ns0:is>
          <ns0:t>Not observed in assessed sources</ns0:t>
        </ns0:is>
      </ns0:c>
      <ns0:c r="P150" s="21" t="inlineStr">
        <ns0:is>
          <ns0:t>Not observed in assessed sources</ns0:t>
        </ns0:is>
      </ns0:c>
      <ns0:c r="Q150" s="21" t="inlineStr">
        <ns0:is>
          <ns0:t>Not reported in assessed sources</ns0:t>
        </ns0:is>
      </ns0:c>
      <ns0:c r="R150" s="21" t="inlineStr">
        <ns0:is>
          <ns0:t>Not reported in assessed sources</ns0:t>
        </ns0:is>
      </ns0:c>
      <ns0:c r="S150" s="21" t="inlineStr">
        <ns0:is>
          <ns0:t>Not reported in assessed sources</ns0:t>
        </ns0:is>
      </ns0:c>
      <ns0:c r="T150" s="21" t="inlineStr">
        <ns0:is>
          <ns0:t>Not reported in assessed sources</ns0:t>
        </ns0:is>
      </ns0:c>
      <ns0:c r="U150" s="21" t="inlineStr">
        <ns0:is>
          <ns0:t>Not reported in assessed sources</ns0:t>
        </ns0:is>
      </ns0:c>
      <ns0:c r="V150" s="21" t="inlineStr">
        <ns0:is>
          <ns0:t>Reported</ns0:t>
        </ns0:is>
      </ns0:c>
      <ns0:c r="W150" s="21" t="inlineStr">
        <ns0:is>
          <ns0:t>Not reported in assessed sources</ns0:t>
        </ns0:is>
      </ns0:c>
      <ns0:c r="X150" s="21" t="inlineStr">
        <ns0:is>
          <ns0:t>Not reported in assessed sources</ns0:t>
        </ns0:is>
      </ns0:c>
      <ns0:c r="Y150" s="21" t="inlineStr">
        <ns0:is>
          <ns0:t>Not ascertainable</ns0:t>
        </ns0:is>
      </ns0:c>
      <ns0:c r="Z150" s="21" t="inlineStr">
        <ns0:is>
          <ns0:t>Not reported in assessed sources</ns0:t>
        </ns0:is>
      </ns0:c>
      <ns0:c r="AA150" s="21" t="inlineStr">
        <ns0:is>
          <ns0:t>Not recorded</ns0:t>
        </ns0:is>
      </ns0:c>
      <ns0:c r="AB150" s="28" t="n">
        <ns0:v>0</ns0:v>
      </ns0:c>
      <ns0:c r="AC150" s="28" t="n">
        <ns0:v>0</ns0:v>
      </ns0:c>
      <ns0:c r="AD150" s="29">
        <ns0:f>IF(AND(G150=1,AB150=0),1,0)</ns0:f>
        <ns0:v>1</ns0:v>
      </ns0:c>
      <ns0:c r="AE150" s="29">
        <ns0:f>IF(AND(AD150=1,AC150=0),1,0)</ns0:f>
        <ns0:v>1</ns0:v>
      </ns0:c>
      <ns0:c r="AF150" s="29">
        <ns0:f>IF(AND(G150=1,H150&lt;&gt;"Not specified"),1,0)</ns0:f>
        <ns0:v>1</ns0:v>
      </ns0:c>
      <ns0:c r="AG150" s="29">
        <ns0:f>IF(AND(AE150=1,AF150=1),1,0)</ns0:f>
        <ns0:v>1</ns0:v>
      </ns0:c>
      <ns0:c r="AH150" s="21" t="inlineStr">
        <ns0:is>
          <ns0:t>Supplied abstract/coding notes; no new full-text verification</ns0:t>
        </ns0:is>
      </ns0:c>
      <ns0:c r="AI150" s="21" t="inlineStr">
        <ns0:is>
          <ns0:t>https://doi.org/10.1007/978-3-031-13844-7_33</ns0:t>
        </ns0:is>
      </ns0:c>
      <ns0:c r="AJ150" s="21" t="inlineStr">
        <ns0:is>
          <ns0:t>EVIDENCIA; original abstract/coding notes and lot source trace; Historical signals: title/abstract/notes; full-text completion not independently established</ns0:t>
        </ns0:is>
      </ns0:c>
      <ns0:c r="AK150" s="21" t="inlineStr">
        <ns0:is>
          <ns0:t>ABIDE fMRI functional-connectivity graph classifier; no unspecified modality or generic Other family is needed.</ns0:t>
        </ns0:is>
      </ns0:c>
      <ns0:c r="AL150" s="21" t="inlineStr">
        <ns0:is>
          <ns0:t>Not applicable</ns0:t>
        </ns0:is>
      </ns0:c>
      <ns0:c r="AM150" s="21" t="inlineStr">
        <ns0:is>
          <ns0:t>Not separately specified</ns0:t>
        </ns0:is>
      </ns0:c>
      <ns0:c r="AN150" s="21" t="inlineStr"/>
      <ns0:c r="AO150" s="21" t="inlineStr">
        <ns0:is>
          <ns0:t>No additional status determination</ns0:t>
        </ns0:is>
      </ns0:c>
      <ns0:c r="AP150" s="21" t="inlineStr">
        <ns0:is>
          <ns0:t>Not documented for this recharting</ns0:t>
        </ns0:is>
      </ns0:c>
      <ns0:c r="AQ150" s="21" t="inlineStr">
        <ns0:is>
          <ns0:t>ChatGPT-assisted evidence recharting, 2026-09-08</ns0:t>
        </ns0:is>
      </ns0:c>
      <ns0:c r="AR150" s="21" t="inlineStr">
        <ns0:is>
          <ns0:t>RA</ns0:t>
        </ns0:is>
      </ns0:c>
      <ns0:c r="AS150" s="21" t="inlineStr">
        <ns0:is>
          <ns0:t>Not recorded; historical inclusion retained</ns0:t>
        </ns0:is>
      </ns0:c>
    </ns0:row>
    <ns0:row r="151" ht="50" customHeight="1">
      <ns0:c r="A151" s="19" t="inlineStr">
        <ns0:is>
          <ns0:t>159</ns0:t>
        </ns0:is>
      </ns0:c>
      <ns0:c r="B151" s="19" t="inlineStr">
        <ns0:is>
          <ns0:t>Historical</ns0:t>
        </ns0:is>
      </ns0:c>
      <ns0:c r="C151" s="19" t="inlineStr">
        <ns0:is>
          <ns0:t>Hybrid similarity based feature selection and cascade deep maxout fuzzy network for Autism Spectrum Disorder detection using EEG signal</ns0:t>
        </ns0:is>
      </ns0:c>
      <ns0:c r="D151" s="19" t="inlineStr">
        <ns0:is>
          <ns0:t>10.1016/j.compbiolchem.2024.108177</ns0:t>
        </ns0:is>
      </ns0:c>
      <ns0:c r="E151" s="26" t="n">
        <ns0:v>2024</ns0:v>
      </ns0:c>
      <ns0:c r="F151" s="19" t="inlineStr">
        <ns0:is>
          <ns0:t>Include</ns0:t>
        </ns0:is>
      </ns0:c>
      <ns0:c r="G151" s="27">
        <ns0:f>IF(F151="Include",1,0)</ns0:f>
        <ns0:v>1</ns0:v>
      </ns0:c>
      <ns0:c r="H151" s="19" t="inlineStr">
        <ns0:is>
          <ns0:t>Diagnosis</ns0:t>
        </ns0:is>
      </ns0:c>
      <ns0:c r="I151" s="19" t="inlineStr">
        <ns0:is>
          <ns0:t>Hybrid</ns0:t>
        </ns0:is>
      </ns0:c>
      <ns0:c r="J151" s="19" t="inlineStr">
        <ns0:is>
          <ns0:t>Physiological signals</ns0:t>
        </ns0:is>
      </ns0:c>
      <ns0:c r="K151" s="19" t="inlineStr">
        <ns0:is>
          <ns0:t>Deep maxout network with cascade neuro-fuzzy model</ns0:t>
        </ns0:is>
      </ns0:c>
      <ns0:c r="L151" s="19" t="inlineStr">
        <ns0:is>
          <ns0:t>Other specified method</ns0:t>
        </ns0:is>
      </ns0:c>
      <ns0:c r="M151" s="19" t="inlineStr">
        <ns0:is>
          <ns0:t>Research only</ns0:t>
        </ns0:is>
      </ns0:c>
      <ns0:c r="N151" s="19" t="inlineStr">
        <ns0:is>
          <ns0:t>Automated measurement/classification</ns0:t>
        </ns0:is>
      </ns0:c>
      <ns0:c r="O151" s="19" t="inlineStr">
        <ns0:is>
          <ns0:t>Not observed in assessed sources</ns0:t>
        </ns0:is>
      </ns0:c>
      <ns0:c r="P151" s="19" t="inlineStr">
        <ns0:is>
          <ns0:t>Not observed in assessed sources</ns0:t>
        </ns0:is>
      </ns0:c>
      <ns0:c r="Q151" s="19" t="inlineStr">
        <ns0:is>
          <ns0:t>Not reported in assessed sources</ns0:t>
        </ns0:is>
      </ns0:c>
      <ns0:c r="R151" s="19" t="inlineStr">
        <ns0:is>
          <ns0:t>Not reported in assessed sources</ns0:t>
        </ns0:is>
      </ns0:c>
      <ns0:c r="S151" s="19" t="inlineStr">
        <ns0:is>
          <ns0:t>Not reported in assessed sources</ns0:t>
        </ns0:is>
      </ns0:c>
      <ns0:c r="T151" s="19" t="inlineStr">
        <ns0:is>
          <ns0:t>Not reported in assessed sources</ns0:t>
        </ns0:is>
      </ns0:c>
      <ns0:c r="U151" s="19" t="inlineStr">
        <ns0:is>
          <ns0:t>Not reported in assessed sources</ns0:t>
        </ns0:is>
      </ns0:c>
      <ns0:c r="V151" s="19" t="inlineStr">
        <ns0:is>
          <ns0:t>Not reported in assessed sources</ns0:t>
        </ns0:is>
      </ns0:c>
      <ns0:c r="W151" s="19" t="inlineStr">
        <ns0:is>
          <ns0:t>Not reported in assessed sources</ns0:t>
        </ns0:is>
      </ns0:c>
      <ns0:c r="X151" s="19" t="inlineStr">
        <ns0:is>
          <ns0:t>Not reported in assessed sources</ns0:t>
        </ns0:is>
      </ns0:c>
      <ns0:c r="Y151" s="19" t="inlineStr">
        <ns0:is>
          <ns0:t>Not ascertainable</ns0:t>
        </ns0:is>
      </ns0:c>
      <ns0:c r="Z151" s="19" t="inlineStr">
        <ns0:is>
          <ns0:t>Not reported in assessed sources</ns0:t>
        </ns0:is>
      </ns0:c>
      <ns0:c r="AA151" s="19" t="inlineStr">
        <ns0:is>
          <ns0:t>Not recorded</ns0:t>
        </ns0:is>
      </ns0:c>
      <ns0:c r="AB151" s="26" t="n">
        <ns0:v>0</ns0:v>
      </ns0:c>
      <ns0:c r="AC151" s="26" t="n">
        <ns0:v>0</ns0:v>
      </ns0:c>
      <ns0:c r="AD151" s="27">
        <ns0:f>IF(AND(G151=1,AB151=0),1,0)</ns0:f>
        <ns0:v>1</ns0:v>
      </ns0:c>
      <ns0:c r="AE151" s="27">
        <ns0:f>IF(AND(AD151=1,AC151=0),1,0)</ns0:f>
        <ns0:v>1</ns0:v>
      </ns0:c>
      <ns0:c r="AF151" s="27">
        <ns0:f>IF(AND(G151=1,H151&lt;&gt;"Not specified"),1,0)</ns0:f>
        <ns0:v>1</ns0:v>
      </ns0:c>
      <ns0:c r="AG151" s="27">
        <ns0:f>IF(AND(AE151=1,AF151=1),1,0)</ns0:f>
        <ns0:v>1</ns0:v>
      </ns0:c>
      <ns0:c r="AH151" s="19" t="inlineStr">
        <ns0:is>
          <ns0:t>Supplied abstract/coding notes; no new full-text verification</ns0:t>
        </ns0:is>
      </ns0:c>
      <ns0:c r="AI151" s="19" t="inlineStr">
        <ns0:is>
          <ns0:t>https://doi.org/10.1016/j.compbiolchem.2024.108177</ns0:t>
        </ns0:is>
      </ns0:c>
      <ns0:c r="AJ151" s="19" t="inlineStr">
        <ns0:is>
          <ns0:t>EVIDENCIA; original abstract/coding notes and lot source trace; Historical signals: title/abstract/notes; full-text completion not independently established</ns0:t>
        </ns0:is>
      </ns0:c>
      <ns0:c r="AK151" s="19" t="inlineStr">
        <ns0:is>
          <ns0:t>Explicit neural and fuzzy-system integration; EEG benchmarks remain a single data modality.</ns0:t>
        </ns0:is>
      </ns0:c>
      <ns0:c r="AL151" s="19" t="inlineStr">
        <ns0:is>
          <ns0:t>Not applicable</ns0:t>
        </ns0:is>
      </ns0:c>
      <ns0:c r="AM151" s="19" t="inlineStr">
        <ns0:is>
          <ns0:t>Not separately specified</ns0:t>
        </ns0:is>
      </ns0:c>
      <ns0:c r="AN151" s="19" t="inlineStr"/>
      <ns0:c r="AO151" s="19" t="inlineStr">
        <ns0:is>
          <ns0:t>No additional status determination</ns0:t>
        </ns0:is>
      </ns0:c>
      <ns0:c r="AP151" s="19" t="inlineStr">
        <ns0:is>
          <ns0:t>Not documented for this recharting</ns0:t>
        </ns0:is>
      </ns0:c>
      <ns0:c r="AQ151" s="19" t="inlineStr">
        <ns0:is>
          <ns0:t>ChatGPT-assisted evidence recharting, 2026-09-08</ns0:t>
        </ns0:is>
      </ns0:c>
      <ns0:c r="AR151" s="19" t="inlineStr"/>
      <ns0:c r="AS151" s="19" t="inlineStr">
        <ns0:is>
          <ns0:t>Not recorded; historical inclusion retained</ns0:t>
        </ns0:is>
      </ns0:c>
    </ns0:row>
    <ns0:row r="152" ht="50" customHeight="1">
      <ns0:c r="A152" s="21" t="inlineStr">
        <ns0:is>
          <ns0:t>160</ns0:t>
        </ns0:is>
      </ns0:c>
      <ns0:c r="B152" s="21" t="inlineStr">
        <ns0:is>
          <ns0:t>Historical</ns0:t>
        </ns0:is>
      </ns0:c>
      <ns0:c r="C152" s="21" t="inlineStr">
        <ns0:is>
          <ns0:t>Imputing cognitive impairment in SPARK, a large autism cohort</ns0:t>
        </ns0:is>
      </ns0:c>
      <ns0:c r="D152" s="21" t="inlineStr">
        <ns0:is>
          <ns0:t>10.1002/aur.2622</ns0:t>
        </ns0:is>
      </ns0:c>
      <ns0:c r="E152" s="28" t="n">
        <ns0:v>2022</ns0:v>
      </ns0:c>
      <ns0:c r="F152" s="21" t="inlineStr">
        <ns0:is>
          <ns0:t>Include</ns0:t>
        </ns0:is>
      </ns0:c>
      <ns0:c r="G152" s="29">
        <ns0:f>IF(F152="Include",1,0)</ns0:f>
        <ns0:v>1</ns0:v>
      </ns0:c>
      <ns0:c r="H152" s="21" t="inlineStr">
        <ns0:is>
          <ns0:t>Not specified</ns0:t>
        </ns0:is>
      </ns0:c>
      <ns0:c r="I152" s="21" t="inlineStr">
        <ns0:is>
          <ns0:t>Machine Learning</ns0:t>
        </ns0:is>
      </ns0:c>
      <ns0:c r="J152" s="21" t="inlineStr">
        <ns0:is>
          <ns0:t>Structured clinical/questionnaire data</ns0:t>
        </ns0:is>
      </ns0:c>
      <ns0:c r="K152" s="21" t="inlineStr">
        <ns0:is>
          <ns0:t>Elastic-net regression/classification</ns0:t>
        </ns0:is>
      </ns0:c>
      <ns0:c r="L152" s="21" t="inlineStr">
        <ns0:is>
          <ns0:t>Other specified method</ns0:t>
        </ns0:is>
      </ns0:c>
      <ns0:c r="M152" s="21" t="inlineStr">
        <ns0:is>
          <ns0:t>Research only</ns0:t>
        </ns0:is>
      </ns0:c>
      <ns0:c r="N152" s="21" t="inlineStr">
        <ns0:is>
          <ns0:t>Research characterization</ns0:t>
        </ns0:is>
      </ns0:c>
      <ns0:c r="O152" s="21" t="inlineStr">
        <ns0:is>
          <ns0:t>Not observed in assessed sources</ns0:t>
        </ns0:is>
      </ns0:c>
      <ns0:c r="P152" s="21" t="inlineStr">
        <ns0:is>
          <ns0:t>Not observed in assessed sources</ns0:t>
        </ns0:is>
      </ns0:c>
      <ns0:c r="Q152" s="21" t="inlineStr">
        <ns0:is>
          <ns0:t>Reported</ns0:t>
        </ns0:is>
      </ns0:c>
      <ns0:c r="R152" s="21" t="inlineStr">
        <ns0:is>
          <ns0:t>Not reported in assessed sources</ns0:t>
        </ns0:is>
      </ns0:c>
      <ns0:c r="S152" s="21" t="inlineStr">
        <ns0:is>
          <ns0:t>Not reported in assessed sources</ns0:t>
        </ns0:is>
      </ns0:c>
      <ns0:c r="T152" s="21" t="inlineStr">
        <ns0:is>
          <ns0:t>Not reported in assessed sources</ns0:t>
        </ns0:is>
      </ns0:c>
      <ns0:c r="U152" s="21" t="inlineStr">
        <ns0:is>
          <ns0:t>Not reported in assessed sources</ns0:t>
        </ns0:is>
      </ns0:c>
      <ns0:c r="V152" s="21" t="inlineStr">
        <ns0:is>
          <ns0:t>Not reported in assessed sources</ns0:t>
        </ns0:is>
      </ns0:c>
      <ns0:c r="W152" s="21" t="inlineStr">
        <ns0:is>
          <ns0:t>Not reported in assessed sources</ns0:t>
        </ns0:is>
      </ns0:c>
      <ns0:c r="X152" s="21" t="inlineStr">
        <ns0:is>
          <ns0:t>Not reported in assessed sources</ns0:t>
        </ns0:is>
      </ns0:c>
      <ns0:c r="Y152" s="21" t="inlineStr">
        <ns0:is>
          <ns0:t>Not ascertainable</ns0:t>
        </ns0:is>
      </ns0:c>
      <ns0:c r="Z152" s="21" t="inlineStr">
        <ns0:is>
          <ns0:t>Not reported in assessed sources</ns0:t>
        </ns0:is>
      </ns0:c>
      <ns0:c r="AA152" s="21" t="inlineStr">
        <ns0:is>
          <ns0:t>Not recorded</ns0:t>
        </ns0:is>
      </ns0:c>
      <ns0:c r="AB152" s="28" t="n">
        <ns0:v>0</ns0:v>
      </ns0:c>
      <ns0:c r="AC152" s="28" t="n">
        <ns0:v>0</ns0:v>
      </ns0:c>
      <ns0:c r="AD152" s="29">
        <ns0:f>IF(AND(G152=1,AB152=0),1,0)</ns0:f>
        <ns0:v>1</ns0:v>
      </ns0:c>
      <ns0:c r="AE152" s="29">
        <ns0:f>IF(AND(AD152=1,AC152=0),1,0)</ns0:f>
        <ns0:v>1</ns0:v>
      </ns0:c>
      <ns0:c r="AF152" s="29">
        <ns0:f>IF(AND(G152=1,H152&lt;&gt;"Not specified"),1,0)</ns0:f>
        <ns0:v>0</ns0:v>
      </ns0:c>
      <ns0:c r="AG152" s="29">
        <ns0:f>IF(AND(AE152=1,AF152=1),1,0)</ns0:f>
        <ns0:v>0</ns0:v>
      </ns0:c>
      <ns0:c r="AH152" s="21" t="inlineStr">
        <ns0:is>
          <ns0:t>Supplied abstract/coding notes; no new full-text verification</ns0:t>
        </ns0:is>
      </ns0:c>
      <ns0:c r="AI152" s="21" t="inlineStr">
        <ns0:is>
          <ns0:t>https://doi.org/10.1002/aur.2622</ns0:t>
        </ns0:is>
      </ns0:c>
      <ns0:c r="AJ152" s="21" t="inlineStr">
        <ns0:is>
          <ns0:t>EVIDENCIA; original abstract/coding notes and lot source trace; Historical signals: title/abstract/notes; full-text completion not independently established</ns0:t>
        </ns0:is>
      </ns0:c>
      <ns0:c r="AK152" s="21" t="inlineStr">
        <ns0:is>
          <ns0:t>Cognitive-impairment imputation within ASD from parent-reported surveys, with independent evaluation sample. Not ASD detection, deep learning or NLP.</ns0:t>
        </ns0:is>
      </ns0:c>
      <ns0:c r="AL152" s="21" t="inlineStr">
        <ns0:is>
          <ns0:t>Not applicable</ns0:t>
        </ns0:is>
      </ns0:c>
      <ns0:c r="AM152" s="21" t="inlineStr">
        <ns0:is>
          <ns0:t>Not separately specified</ns0:t>
        </ns0:is>
      </ns0:c>
      <ns0:c r="AN152" s="21" t="inlineStr"/>
      <ns0:c r="AO152" s="21" t="inlineStr">
        <ns0:is>
          <ns0:t>No additional status determination</ns0:t>
        </ns0:is>
      </ns0:c>
      <ns0:c r="AP152" s="21" t="inlineStr">
        <ns0:is>
          <ns0:t>Not documented for this recharting</ns0:t>
        </ns0:is>
      </ns0:c>
      <ns0:c r="AQ152" s="21" t="inlineStr">
        <ns0:is>
          <ns0:t>ChatGPT-assisted evidence recharting, 2026-09-08</ns0:t>
        </ns0:is>
      </ns0:c>
      <ns0:c r="AR152" s="21" t="inlineStr"/>
      <ns0:c r="AS152" s="21" t="inlineStr">
        <ns0:is>
          <ns0:t>Not recorded; historical inclusion retained</ns0:t>
        </ns0:is>
      </ns0:c>
    </ns0:row>
    <ns0:row r="153" ht="50" customHeight="1">
      <ns0:c r="A153" s="19" t="inlineStr">
        <ns0:is>
          <ns0:t>162</ns0:t>
        </ns0:is>
      </ns0:c>
      <ns0:c r="B153" s="19" t="inlineStr">
        <ns0:is>
          <ns0:t>Historical</ns0:t>
        </ns0:is>
      </ns0:c>
      <ns0:c r="C153" s="19" t="inlineStr">
        <ns0:is>
          <ns0:t>Machine Learning in ASD: An Intensive Study of Automated Disease Prediction System</ns0:t>
        </ns0:is>
      </ns0:c>
      <ns0:c r="D153" s="19" t="inlineStr">
        <ns0:is>
          <ns0:t>10.1002/9781119896838.ch18</ns0:t>
        </ns0:is>
      </ns0:c>
      <ns0:c r="E153" s="26" t="n">
        <ns0:v>2023</ns0:v>
      </ns0:c>
      <ns0:c r="F153" s="30" t="inlineStr">
        <ns0:is>
          <ns0:t>Exclude</ns0:t>
        </ns0:is>
      </ns0:c>
      <ns0:c r="G153" s="27">
        <ns0:f>IF(F153="Include",1,0)</ns0:f>
        <ns0:v>0</ns0:v>
      </ns0:c>
      <ns0:c r="H153" s="19" t="inlineStr">
        <ns0:is>
          <ns0:t>Excluded</ns0:t>
        </ns0:is>
      </ns0:c>
      <ns0:c r="I153" s="19" t="inlineStr">
        <ns0:is>
          <ns0:t>Excluded</ns0:t>
        </ns0:is>
      </ns0:c>
      <ns0:c r="J153" s="19" t="inlineStr">
        <ns0:is>
          <ns0:t>Excluded</ns0:t>
        </ns0:is>
      </ns0:c>
      <ns0:c r="K153" s="19" t="inlineStr">
        <ns0:is>
          <ns0:t>Not specified</ns0:t>
        </ns0:is>
      </ns0:c>
      <ns0:c r="L153" s="19" t="inlineStr">
        <ns0:is>
          <ns0:t>Multiple/not uniquely specified</ns0:t>
        </ns0:is>
      </ns0:c>
      <ns0:c r="M153" s="19" t="inlineStr">
        <ns0:is>
          <ns0:t>Excluded</ns0:t>
        </ns0:is>
      </ns0:c>
      <ns0:c r="N153" s="19" t="inlineStr">
        <ns0:is>
          <ns0:t>Excluded</ns0:t>
        </ns0:is>
      </ns0:c>
      <ns0:c r="O153" s="19" t="inlineStr">
        <ns0:is>
          <ns0:t>Not applicable - excluded</ns0:t>
        </ns0:is>
      </ns0:c>
      <ns0:c r="P153" s="19" t="inlineStr">
        <ns0:is>
          <ns0:t>Not applicable - excluded</ns0:t>
        </ns0:is>
      </ns0:c>
      <ns0:c r="Q153" s="19" t="inlineStr">
        <ns0:is>
          <ns0:t>Not reported in assessed sources</ns0:t>
        </ns0:is>
      </ns0:c>
      <ns0:c r="R153" s="19" t="inlineStr">
        <ns0:is>
          <ns0:t>Not reported in assessed sources</ns0:t>
        </ns0:is>
      </ns0:c>
      <ns0:c r="S153" s="19" t="inlineStr">
        <ns0:is>
          <ns0:t>Not reported in assessed sources</ns0:t>
        </ns0:is>
      </ns0:c>
      <ns0:c r="T153" s="19" t="inlineStr">
        <ns0:is>
          <ns0:t>Not reported in assessed sources</ns0:t>
        </ns0:is>
      </ns0:c>
      <ns0:c r="U153" s="19" t="inlineStr">
        <ns0:is>
          <ns0:t>Not reported in assessed sources</ns0:t>
        </ns0:is>
      </ns0:c>
      <ns0:c r="V153" s="19" t="inlineStr">
        <ns0:is>
          <ns0:t>Not reported in assessed sources</ns0:t>
        </ns0:is>
      </ns0:c>
      <ns0:c r="W153" s="19" t="inlineStr">
        <ns0:is>
          <ns0:t>Not reported in assessed sources</ns0:t>
        </ns0:is>
      </ns0:c>
      <ns0:c r="X153" s="19" t="inlineStr">
        <ns0:is>
          <ns0:t>Not reported in assessed sources</ns0:t>
        </ns0:is>
      </ns0:c>
      <ns0:c r="Y153" s="19" t="inlineStr">
        <ns0:is>
          <ns0:t>Not ascertainable</ns0:t>
        </ns0:is>
      </ns0:c>
      <ns0:c r="Z153" s="19" t="inlineStr">
        <ns0:is>
          <ns0:t>Not reported in assessed sources</ns0:t>
        </ns0:is>
      </ns0:c>
      <ns0:c r="AA153" s="19" t="inlineStr">
        <ns0:is>
          <ns0:t>Not recorded</ns0:t>
        </ns0:is>
      </ns0:c>
      <ns0:c r="AB153" s="26" t="n">
        <ns0:v>0</ns0:v>
      </ns0:c>
      <ns0:c r="AC153" s="26" t="n">
        <ns0:v>0</ns0:v>
      </ns0:c>
      <ns0:c r="AD153" s="27">
        <ns0:f>IF(AND(G153=1,AB153=0),1,0)</ns0:f>
        <ns0:v>0</ns0:v>
      </ns0:c>
      <ns0:c r="AE153" s="27">
        <ns0:f>IF(AND(AD153=1,AC153=0),1,0)</ns0:f>
        <ns0:v>0</ns0:v>
      </ns0:c>
      <ns0:c r="AF153" s="27">
        <ns0:f>IF(AND(G153=1,H153&lt;&gt;"Not specified"),1,0)</ns0:f>
        <ns0:v>0</ns0:v>
      </ns0:c>
      <ns0:c r="AG153" s="27">
        <ns0:f>IF(AND(AE153=1,AF153=1),1,0)</ns0:f>
        <ns0:v>0</ns0:v>
      </ns0:c>
      <ns0:c r="AH153" s="19" t="inlineStr">
        <ns0:is>
          <ns0:t>Supplied abstract/coding notes; no new full-text verification</ns0:t>
        </ns0:is>
      </ns0:c>
      <ns0:c r="AI153" s="19" t="inlineStr">
        <ns0:is>
          <ns0:t>https://doi.org/10.1002/9781119896838.ch18</ns0:t>
        </ns0:is>
      </ns0:c>
      <ns0:c r="AJ153" s="19" t="inlineStr">
        <ns0:is>
          <ns0:t>EVIDENCIA; original abstract/coding notes and lot source trace; Historical signals: title/abstract/notes; full-text completion not independently established</ns0:t>
        </ns0:is>
      </ns0:c>
      <ns0:c r="AK153" s="19" t="inlineStr">
        <ns0:is>
          <ns0:t>Standalone Wiley edited-book chapter; source framework excludes standalone chapters while retaining identified conference proceedings.</ns0:t>
        </ns0:is>
      </ns0:c>
      <ns0:c r="AL153" s="19" t="inlineStr">
        <ns0:is>
          <ns0:t>EC1 Ineligible publication type</ns0:t>
        </ns0:is>
      </ns0:c>
      <ns0:c r="AM153" s="19" t="inlineStr">
        <ns0:is>
          <ns0:t>Not separately specified</ns0:t>
        </ns0:is>
      </ns0:c>
      <ns0:c r="AN153" s="19" t="inlineStr"/>
      <ns0:c r="AO153" s="19" t="inlineStr">
        <ns0:is>
          <ns0:t>No additional status determination</ns0:t>
        </ns0:is>
      </ns0:c>
      <ns0:c r="AP153" s="19" t="inlineStr">
        <ns0:is>
          <ns0:t>Not documented for this recharting</ns0:t>
        </ns0:is>
      </ns0:c>
      <ns0:c r="AQ153" s="19" t="inlineStr">
        <ns0:is>
          <ns0:t>ChatGPT-assisted evidence recharting, 2026-09-08</ns0:t>
        </ns0:is>
      </ns0:c>
      <ns0:c r="AR153" s="19" t="inlineStr"/>
      <ns0:c r="AS153" s="19" t="inlineStr">
        <ns0:is>
          <ns0:t>Not recorded; historical inclusion retained</ns0:t>
        </ns0:is>
      </ns0:c>
    </ns0:row>
    <ns0:row r="154" ht="50" customHeight="1">
      <ns0:c r="A154" s="21" t="inlineStr">
        <ns0:is>
          <ns0:t>163</ns0:t>
        </ns0:is>
      </ns0:c>
      <ns0:c r="B154" s="21" t="inlineStr">
        <ns0:is>
          <ns0:t>Historical</ns0:t>
        </ns0:is>
      </ns0:c>
      <ns0:c r="C154" s="21" t="inlineStr">
        <ns0:is>
          <ns0:t>Multichannel Deep Attention Neural Networks for the Classification of Autism Spectrum Disorder Using Neuroimaging and Personal Characteristic Data</ns0:t>
        </ns0:is>
      </ns0:c>
      <ns0:c r="D154" s="21" t="inlineStr">
        <ns0:is>
          <ns0:t>10.1155/2020/1357853</ns0:t>
        </ns0:is>
      </ns0:c>
      <ns0:c r="E154" s="28" t="n">
        <ns0:v>2020</ns0:v>
      </ns0:c>
      <ns0:c r="F154" s="21" t="inlineStr">
        <ns0:is>
          <ns0:t>Include</ns0:t>
        </ns0:is>
      </ns0:c>
      <ns0:c r="G154" s="29">
        <ns0:f>IF(F154="Include",1,0)</ns0:f>
        <ns0:v>1</ns0:v>
      </ns0:c>
      <ns0:c r="H154" s="21" t="inlineStr">
        <ns0:is>
          <ns0:t>Diagnosis</ns0:t>
        </ns0:is>
      </ns0:c>
      <ns0:c r="I154" s="21" t="inlineStr">
        <ns0:is>
          <ns0:t>Deep Learning</ns0:t>
        </ns0:is>
      </ns0:c>
      <ns0:c r="J154" s="21" t="inlineStr">
        <ns0:is>
          <ns0:t>Multiple source categories</ns0:t>
        </ns0:is>
      </ns0:c>
      <ns0:c r="K154" s="21" t="inlineStr">
        <ns0:is>
          <ns0:t>Multichannel deep attention neural network</ns0:t>
        </ns0:is>
      </ns0:c>
      <ns0:c r="L154" s="21" t="inlineStr">
        <ns0:is>
          <ns0:t>Other specified method</ns0:t>
        </ns0:is>
      </ns0:c>
      <ns0:c r="M154" s="21" t="inlineStr">
        <ns0:is>
          <ns0:t>Research only</ns0:t>
        </ns0:is>
      </ns0:c>
      <ns0:c r="N154" s="21" t="inlineStr">
        <ns0:is>
          <ns0:t>Automated measurement/classification</ns0:t>
        </ns0:is>
      </ns0:c>
      <ns0:c r="O154" s="21" t="inlineStr">
        <ns0:is>
          <ns0:t>Not observed in assessed sources</ns0:t>
        </ns0:is>
      </ns0:c>
      <ns0:c r="P154" s="21" t="inlineStr">
        <ns0:is>
          <ns0:t>Not observed in assessed sources</ns0:t>
        </ns0:is>
      </ns0:c>
      <ns0:c r="Q154" s="21" t="inlineStr">
        <ns0:is>
          <ns0:t>Reported</ns0:t>
        </ns0:is>
      </ns0:c>
      <ns0:c r="R154" s="21" t="inlineStr">
        <ns0:is>
          <ns0:t>Reported</ns0:t>
        </ns0:is>
      </ns0:c>
      <ns0:c r="S154" s="21" t="inlineStr">
        <ns0:is>
          <ns0:t>Not reported in assessed sources</ns0:t>
        </ns0:is>
      </ns0:c>
      <ns0:c r="T154" s="21" t="inlineStr">
        <ns0:is>
          <ns0:t>Not reported in assessed sources</ns0:t>
        </ns0:is>
      </ns0:c>
      <ns0:c r="U154" s="21" t="inlineStr">
        <ns0:is>
          <ns0:t>Reported</ns0:t>
        </ns0:is>
      </ns0:c>
      <ns0:c r="V154" s="21" t="inlineStr">
        <ns0:is>
          <ns0:t>Reported</ns0:t>
        </ns0:is>
      </ns0:c>
      <ns0:c r="W154" s="21" t="inlineStr">
        <ns0:is>
          <ns0:t>Reported</ns0:t>
        </ns0:is>
      </ns0:c>
      <ns0:c r="X154" s="21" t="inlineStr">
        <ns0:is>
          <ns0:t>Not reported in assessed sources</ns0:t>
        </ns0:is>
      </ns0:c>
      <ns0:c r="Y154" s="21" t="inlineStr">
        <ns0:is>
          <ns0:t>Not ascertainable</ns0:t>
        </ns0:is>
      </ns0:c>
      <ns0:c r="Z154" s="21" t="inlineStr">
        <ns0:is>
          <ns0:t>Not reported in assessed sources</ns0:t>
        </ns0:is>
      </ns0:c>
      <ns0:c r="AA154" s="21" t="inlineStr">
        <ns0:is>
          <ns0:t>Not recorded</ns0:t>
        </ns0:is>
      </ns0:c>
      <ns0:c r="AB154" s="28" t="n">
        <ns0:v>0</ns0:v>
      </ns0:c>
      <ns0:c r="AC154" s="28" t="n">
        <ns0:v>0</ns0:v>
      </ns0:c>
      <ns0:c r="AD154" s="29">
        <ns0:f>IF(AND(G154=1,AB154=0),1,0)</ns0:f>
        <ns0:v>1</ns0:v>
      </ns0:c>
      <ns0:c r="AE154" s="29">
        <ns0:f>IF(AND(AD154=1,AC154=0),1,0)</ns0:f>
        <ns0:v>1</ns0:v>
      </ns0:c>
      <ns0:c r="AF154" s="29">
        <ns0:f>IF(AND(G154=1,H154&lt;&gt;"Not specified"),1,0)</ns0:f>
        <ns0:v>1</ns0:v>
      </ns0:c>
      <ns0:c r="AG154" s="29">
        <ns0:f>IF(AND(AE154=1,AF154=1),1,0)</ns0:f>
        <ns0:v>1</ns0:v>
      </ns0:c>
      <ns0:c r="AH154" s="21" t="inlineStr">
        <ns0:is>
          <ns0:t>Supplied abstract/coding notes; no new full-text verification</ns0:t>
        </ns0:is>
      </ns0:c>
      <ns0:c r="AI154" s="21" t="inlineStr">
        <ns0:is>
          <ns0:t>https://doi.org/10.1155/2020/1357853</ns0:t>
        </ns0:is>
      </ns0:c>
      <ns0:c r="AJ154" s="21" t="inlineStr">
        <ns0:is>
          <ns0:t>EVIDENCIA; original abstract/coding notes and lot source trace; Historical signals: title/abstract/notes; full-text completion not independently established</ns0:t>
        </ns0:is>
      </ns0:c>
      <ns0:c r="AK154" s="21" t="inlineStr">
        <ns0:is>
          <ns0:t>Functional connectomes and personal characteristics are fused. Leave-one-site-out testing is explicit and supports cross-site robustness and site-held-out external validation.</ns0:t>
        </ns0:is>
      </ns0:c>
      <ns0:c r="AL154" s="21" t="inlineStr">
        <ns0:is>
          <ns0:t>Not applicable</ns0:t>
        </ns0:is>
      </ns0:c>
      <ns0:c r="AM154" s="21" t="inlineStr">
        <ns0:is>
          <ns0:t>Not separately specified</ns0:t>
        </ns0:is>
      </ns0:c>
      <ns0:c r="AN154" s="21" t="inlineStr"/>
      <ns0:c r="AO154" s="21" t="inlineStr">
        <ns0:is>
          <ns0:t>No additional status determination</ns0:t>
        </ns0:is>
      </ns0:c>
      <ns0:c r="AP154" s="21" t="inlineStr">
        <ns0:is>
          <ns0:t>Not documented for this recharting</ns0:t>
        </ns0:is>
      </ns0:c>
      <ns0:c r="AQ154" s="21" t="inlineStr">
        <ns0:is>
          <ns0:t>ChatGPT-assisted evidence recharting, 2026-09-08</ns0:t>
        </ns0:is>
      </ns0:c>
      <ns0:c r="AR154" s="21" t="inlineStr">
        <ns0:is>
          <ns0:t>RA</ns0:t>
        </ns0:is>
      </ns0:c>
      <ns0:c r="AS154" s="21" t="inlineStr">
        <ns0:is>
          <ns0:t>Not recorded; historical inclusion retained</ns0:t>
        </ns0:is>
      </ns0:c>
    </ns0:row>
    <ns0:row r="155" ht="50" customHeight="1">
      <ns0:c r="A155" s="19" t="inlineStr">
        <ns0:is>
          <ns0:t>164</ns0:t>
        </ns0:is>
      </ns0:c>
      <ns0:c r="B155" s="19" t="inlineStr">
        <ns0:is>
          <ns0:t>Historical</ns0:t>
        </ns0:is>
      </ns0:c>
      <ns0:c r="C155" s="19" t="inlineStr">
        <ns0:is>
          <ns0:t>Multimodal Kernel-based discriminant correlation analysis data-fusion approach: an automated autism spectrum disorder diagnostic system</ns0:t>
        </ns0:is>
      </ns0:c>
      <ns0:c r="D155" s="19" t="inlineStr">
        <ns0:is>
          <ns0:t>10.1007/s13246-023-01350-4</ns0:t>
        </ns0:is>
      </ns0:c>
      <ns0:c r="E155" s="26" t="n">
        <ns0:v>2024</ns0:v>
      </ns0:c>
      <ns0:c r="F155" s="19" t="inlineStr">
        <ns0:is>
          <ns0:t>Include</ns0:t>
        </ns0:is>
      </ns0:c>
      <ns0:c r="G155" s="27">
        <ns0:f>IF(F155="Include",1,0)</ns0:f>
        <ns0:v>1</ns0:v>
      </ns0:c>
      <ns0:c r="H155" s="19" t="inlineStr">
        <ns0:is>
          <ns0:t>Diagnosis</ns0:t>
        </ns0:is>
      </ns0:c>
      <ns0:c r="I155" s="19" t="inlineStr">
        <ns0:is>
          <ns0:t>Machine Learning</ns0:t>
        </ns0:is>
      </ns0:c>
      <ns0:c r="J155" s="19" t="inlineStr">
        <ns0:is>
          <ns0:t>Multiple source categories</ns0:t>
        </ns0:is>
      </ns0:c>
      <ns0:c r="K155" s="19" t="inlineStr">
        <ns0:is>
          <ns0:t>MKDCA fusion with SVM</ns0:t>
        </ns0:is>
      </ns0:c>
      <ns0:c r="L155" s="19" t="inlineStr">
        <ns0:is>
          <ns0:t>SVM</ns0:t>
        </ns0:is>
      </ns0:c>
      <ns0:c r="M155" s="19" t="inlineStr">
        <ns0:is>
          <ns0:t>Proposed only</ns0:t>
        </ns0:is>
      </ns0:c>
      <ns0:c r="N155" s="19" t="inlineStr">
        <ns0:is>
          <ns0:t>Diagnostic decision support</ns0:t>
        </ns0:is>
      </ns0:c>
      <ns0:c r="O155" s="19" t="inlineStr">
        <ns0:is>
          <ns0:t>In-decision</ns0:t>
        </ns0:is>
      </ns0:c>
      <ns0:c r="P155" s="19" t="inlineStr">
        <ns0:is>
          <ns0:t>Not observed in assessed sources</ns0:t>
        </ns0:is>
      </ns0:c>
      <ns0:c r="Q155" s="19" t="inlineStr">
        <ns0:is>
          <ns0:t>Not reported in assessed sources</ns0:t>
        </ns0:is>
      </ns0:c>
      <ns0:c r="R155" s="19" t="inlineStr">
        <ns0:is>
          <ns0:t>Reported</ns0:t>
        </ns0:is>
      </ns0:c>
      <ns0:c r="S155" s="19" t="inlineStr">
        <ns0:is>
          <ns0:t>Not reported in assessed sources</ns0:t>
        </ns0:is>
      </ns0:c>
      <ns0:c r="T155" s="19" t="inlineStr">
        <ns0:is>
          <ns0:t>Not reported in assessed sources</ns0:t>
        </ns0:is>
      </ns0:c>
      <ns0:c r="U155" s="19" t="inlineStr">
        <ns0:is>
          <ns0:t>Not reported in assessed sources</ns0:t>
        </ns0:is>
      </ns0:c>
      <ns0:c r="V155" s="19" t="inlineStr">
        <ns0:is>
          <ns0:t>Not reported in assessed sources</ns0:t>
        </ns0:is>
      </ns0:c>
      <ns0:c r="W155" s="19" t="inlineStr">
        <ns0:is>
          <ns0:t>Reported</ns0:t>
        </ns0:is>
      </ns0:c>
      <ns0:c r="X155" s="19" t="inlineStr">
        <ns0:is>
          <ns0:t>Not reported in assessed sources</ns0:t>
        </ns0:is>
      </ns0:c>
      <ns0:c r="Y155" s="19" t="inlineStr">
        <ns0:is>
          <ns0:t>Not ascertainable</ns0:t>
        </ns0:is>
      </ns0:c>
      <ns0:c r="Z155" s="19" t="inlineStr">
        <ns0:is>
          <ns0:t>Not reported in assessed sources</ns0:t>
        </ns0:is>
      </ns0:c>
      <ns0:c r="AA155" s="19" t="inlineStr">
        <ns0:is>
          <ns0:t>Not recorded</ns0:t>
        </ns0:is>
      </ns0:c>
      <ns0:c r="AB155" s="26" t="n">
        <ns0:v>0</ns0:v>
      </ns0:c>
      <ns0:c r="AC155" s="26" t="n">
        <ns0:v>0</ns0:v>
      </ns0:c>
      <ns0:c r="AD155" s="27">
        <ns0:f>IF(AND(G155=1,AB155=0),1,0)</ns0:f>
        <ns0:v>1</ns0:v>
      </ns0:c>
      <ns0:c r="AE155" s="27">
        <ns0:f>IF(AND(AD155=1,AC155=0),1,0)</ns0:f>
        <ns0:v>1</ns0:v>
      </ns0:c>
      <ns0:c r="AF155" s="27">
        <ns0:f>IF(AND(G155=1,H155&lt;&gt;"Not specified"),1,0)</ns0:f>
        <ns0:v>1</ns0:v>
      </ns0:c>
      <ns0:c r="AG155" s="27">
        <ns0:f>IF(AND(AE155=1,AF155=1),1,0)</ns0:f>
        <ns0:v>1</ns0:v>
      </ns0:c>
      <ns0:c r="AH155" s="19" t="inlineStr">
        <ns0:is>
          <ns0:t>Supplied abstract/coding notes; no new full-text verification</ns0:t>
        </ns0:is>
      </ns0:c>
      <ns0:c r="AI155" s="19" t="inlineStr">
        <ns0:is>
          <ns0:t>https://doi.org/10.1007/s13246-023-01350-4</ns0:t>
        </ns0:is>
      </ns0:c>
      <ns0:c r="AJ155" s="19" t="inlineStr">
        <ns0:is>
          <ns0:t>EVIDENCIA; original abstract/coding notes and lot source trace; Historical signals: title/abstract/notes; full-text completion not independently established</ns0:t>
        </ns0:is>
      </ns0:c>
      <ns0:c r="AK155" s="19" t="inlineStr">
        <ns0:is>
          <ns0:t>Reported EEG, eye-tracking and computational data fusion. Distinct sample cardinalities and ordering require caution: paired-patient multimodal validity is not established by classification accuracy.
Fusion across different sample cardinalities is reported; matched participant-level acquisition is not established in the available abstract.</ns0:t>
        </ns0:is>
      </ns0:c>
      <ns0:c r="AL155" s="19" t="inlineStr">
        <ns0:is>
          <ns0:t>Not applicable</ns0:t>
        </ns0:is>
      </ns0:c>
      <ns0:c r="AM155" s="19" t="inlineStr">
        <ns0:is>
          <ns0:t>Not separately specified</ns0:t>
        </ns0:is>
      </ns0:c>
      <ns0:c r="AN155" s="19" t="inlineStr"/>
      <ns0:c r="AO155" s="19" t="inlineStr">
        <ns0:is>
          <ns0:t>No additional status determination</ns0:t>
        </ns0:is>
      </ns0:c>
      <ns0:c r="AP155" s="19" t="inlineStr">
        <ns0:is>
          <ns0:t>Not documented for this recharting</ns0:t>
        </ns0:is>
      </ns0:c>
      <ns0:c r="AQ155" s="19" t="inlineStr">
        <ns0:is>
          <ns0:t>ChatGPT-assisted evidence recharting, 2026-09-08</ns0:t>
        </ns0:is>
      </ns0:c>
      <ns0:c r="AR155" s="19" t="inlineStr"/>
      <ns0:c r="AS155" s="19" t="inlineStr">
        <ns0:is>
          <ns0:t>Not recorded; historical inclusion retained</ns0:t>
        </ns0:is>
      </ns0:c>
    </ns0:row>
    <ns0:row r="156" ht="50" customHeight="1">
      <ns0:c r="A156" s="21" t="inlineStr">
        <ns0:is>
          <ns0:t>165</ns0:t>
        </ns0:is>
      </ns0:c>
      <ns0:c r="B156" s="21" t="inlineStr">
        <ns0:is>
          <ns0:t>Historical</ns0:t>
        </ns0:is>
      </ns0:c>
      <ns0:c r="C156" s="21" t="inlineStr">
        <ns0:is>
          <ns0:t>Phase 3 diagnostic evaluation of a smart tablet serious game to identify autism in 760 children 3-5 years old in Sweden and the United Kingdom</ns0:t>
        </ns0:is>
      </ns0:c>
      <ns0:c r="D156" s="21" t="inlineStr">
        <ns0:is>
          <ns0:t>10.1136/bmjopen-2018-026226</ns0:t>
        </ns0:is>
      </ns0:c>
      <ns0:c r="E156" s="28" t="n">
        <ns0:v>2019</ns0:v>
      </ns0:c>
      <ns0:c r="F156" s="30" t="inlineStr">
        <ns0:is>
          <ns0:t>Exclude</ns0:t>
        </ns0:is>
      </ns0:c>
      <ns0:c r="G156" s="29">
        <ns0:f>IF(F156="Include",1,0)</ns0:f>
        <ns0:v>0</ns0:v>
      </ns0:c>
      <ns0:c r="H156" s="21" t="inlineStr">
        <ns0:is>
          <ns0:t>Excluded</ns0:t>
        </ns0:is>
      </ns0:c>
      <ns0:c r="I156" s="21" t="inlineStr">
        <ns0:is>
          <ns0:t>Excluded</ns0:t>
        </ns0:is>
      </ns0:c>
      <ns0:c r="J156" s="21" t="inlineStr">
        <ns0:is>
          <ns0:t>Excluded</ns0:t>
        </ns0:is>
      </ns0:c>
      <ns0:c r="K156" s="21" t="inlineStr">
        <ns0:is>
          <ns0:t>Other</ns0:t>
        </ns0:is>
      </ns0:c>
      <ns0:c r="L156" s="21" t="inlineStr">
        <ns0:is>
          <ns0:t>Other specified method</ns0:t>
        </ns0:is>
      </ns0:c>
      <ns0:c r="M156" s="21" t="inlineStr">
        <ns0:is>
          <ns0:t>Excluded</ns0:t>
        </ns0:is>
      </ns0:c>
      <ns0:c r="N156" s="21" t="inlineStr">
        <ns0:is>
          <ns0:t>Excluded</ns0:t>
        </ns0:is>
      </ns0:c>
      <ns0:c r="O156" s="21" t="inlineStr">
        <ns0:is>
          <ns0:t>Not applicable - excluded</ns0:t>
        </ns0:is>
      </ns0:c>
      <ns0:c r="P156" s="21" t="inlineStr">
        <ns0:is>
          <ns0:t>Not applicable - excluded</ns0:t>
        </ns0:is>
      </ns0:c>
      <ns0:c r="Q156" s="21" t="inlineStr">
        <ns0:is>
          <ns0:t>Not reported in assessed sources</ns0:t>
        </ns0:is>
      </ns0:c>
      <ns0:c r="R156" s="21" t="inlineStr">
        <ns0:is>
          <ns0:t>Not reported in assessed sources</ns0:t>
        </ns0:is>
      </ns0:c>
      <ns0:c r="S156" s="21" t="inlineStr">
        <ns0:is>
          <ns0:t>Not reported in assessed sources</ns0:t>
        </ns0:is>
      </ns0:c>
      <ns0:c r="T156" s="21" t="inlineStr">
        <ns0:is>
          <ns0:t>Not reported in assessed sources</ns0:t>
        </ns0:is>
      </ns0:c>
      <ns0:c r="U156" s="21" t="inlineStr">
        <ns0:is>
          <ns0:t>Not reported in assessed sources</ns0:t>
        </ns0:is>
      </ns0:c>
      <ns0:c r="V156" s="21" t="inlineStr">
        <ns0:is>
          <ns0:t>Not reported in assessed sources</ns0:t>
        </ns0:is>
      </ns0:c>
      <ns0:c r="W156" s="21" t="inlineStr">
        <ns0:is>
          <ns0:t>Not reported in assessed sources</ns0:t>
        </ns0:is>
      </ns0:c>
      <ns0:c r="X156" s="21" t="inlineStr">
        <ns0:is>
          <ns0:t>Reported</ns0:t>
        </ns0:is>
      </ns0:c>
      <ns0:c r="Y156" s="21" t="inlineStr">
        <ns0:is>
          <ns0:t>Not ascertainable</ns0:t>
        </ns0:is>
      </ns0:c>
      <ns0:c r="Z156" s="21" t="inlineStr">
        <ns0:is>
          <ns0:t>Not reported in assessed sources</ns0:t>
        </ns0:is>
      </ns0:c>
      <ns0:c r="AA156" s="21" t="inlineStr">
        <ns0:is>
          <ns0:t>Not recorded</ns0:t>
        </ns0:is>
      </ns0:c>
      <ns0:c r="AB156" s="28" t="n">
        <ns0:v>0</ns0:v>
      </ns0:c>
      <ns0:c r="AC156" s="28" t="n">
        <ns0:v>0</ns0:v>
      </ns0:c>
      <ns0:c r="AD156" s="29">
        <ns0:f>IF(AND(G156=1,AB156=0),1,0)</ns0:f>
        <ns0:v>0</ns0:v>
      </ns0:c>
      <ns0:c r="AE156" s="29">
        <ns0:f>IF(AND(AD156=1,AC156=0),1,0)</ns0:f>
        <ns0:v>0</ns0:v>
      </ns0:c>
      <ns0:c r="AF156" s="29">
        <ns0:f>IF(AND(G156=1,H156&lt;&gt;"Not specified"),1,0)</ns0:f>
        <ns0:v>0</ns0:v>
      </ns0:c>
      <ns0:c r="AG156" s="29">
        <ns0:f>IF(AND(AE156=1,AF156=1),1,0)</ns0:f>
        <ns0:v>0</ns0:v>
      </ns0:c>
      <ns0:c r="AH156" s="21" t="inlineStr">
        <ns0:is>
          <ns0:t>Supplied abstract/coding notes; no new full-text verification</ns0:t>
        </ns0:is>
      </ns0:c>
      <ns0:c r="AI156" s="21" t="inlineStr">
        <ns0:is>
          <ns0:t>https://doi.org/10.1136/bmjopen-2018-026226</ns0:t>
        </ns0:is>
      </ns0:c>
      <ns0:c r="AJ156" s="21" t="inlineStr">
        <ns0:is>
          <ns0:t>EVIDENCIA; original abstract/coding notes and lot source trace; Historical signals: title/abstract/notes; full-text completion not independently established</ns0:t>
        </ns0:is>
      </ns0:c>
      <ns0:c r="AK156" s="21" t="inlineStr">
        <ns0:is>
          <ns0:t>Explicit phase-III study protocol, recruitment targets and pre-results registration, not results from the planned 760-child evaluation.</ns0:t>
        </ns0:is>
      </ns0:c>
      <ns0:c r="AL156" s="21" t="inlineStr">
        <ns0:is>
          <ns0:t>EC1 Protocol without primary results</ns0:t>
        </ns0:is>
      </ns0:c>
      <ns0:c r="AM156" s="21" t="inlineStr">
        <ns0:is>
          <ns0:t>Not separately specified</ns0:t>
        </ns0:is>
      </ns0:c>
      <ns0:c r="AN156" s="21" t="inlineStr"/>
      <ns0:c r="AO156" s="21" t="inlineStr">
        <ns0:is>
          <ns0:t>No additional status determination</ns0:t>
        </ns0:is>
      </ns0:c>
      <ns0:c r="AP156" s="21" t="inlineStr">
        <ns0:is>
          <ns0:t>Not documented for this recharting</ns0:t>
        </ns0:is>
      </ns0:c>
      <ns0:c r="AQ156" s="21" t="inlineStr">
        <ns0:is>
          <ns0:t>ChatGPT-assisted evidence recharting, 2026-09-08</ns0:t>
        </ns0:is>
      </ns0:c>
      <ns0:c r="AR156" s="21" t="inlineStr"/>
      <ns0:c r="AS156" s="21" t="inlineStr">
        <ns0:is>
          <ns0:t>Not recorded; historical inclusion retained</ns0:t>
        </ns0:is>
      </ns0:c>
    </ns0:row>
    <ns0:row r="157" ht="50" customHeight="1">
      <ns0:c r="A157" s="19" t="inlineStr">
        <ns0:is>
          <ns0:t>166</ns0:t>
        </ns0:is>
      </ns0:c>
      <ns0:c r="B157" s="19" t="inlineStr">
        <ns0:is>
          <ns0:t>Historical</ns0:t>
        </ns0:is>
      </ns0:c>
      <ns0:c r="C157" s="23" t="inlineStr">
        <ns0:is>
          <ns0:t>Research and development of autism diagnosis information system based on deep convolution neural network and facial expression data</ns0:t>
        </ns0:is>
      </ns0:c>
      <ns0:c r="D157" s="19" t="inlineStr">
        <ns0:is>
          <ns0:t>10.1108/lht-08-2019-0176</ns0:t>
        </ns0:is>
      </ns0:c>
      <ns0:c r="E157" s="26" t="n">
        <ns0:v>2020</ns0:v>
      </ns0:c>
      <ns0:c r="F157" s="19" t="inlineStr">
        <ns0:is>
          <ns0:t>Include</ns0:t>
        </ns0:is>
      </ns0:c>
      <ns0:c r="G157" s="27">
        <ns0:f>IF(F157="Include",1,0)</ns0:f>
        <ns0:v>1</ns0:v>
      </ns0:c>
      <ns0:c r="H157" s="19" t="inlineStr">
        <ns0:is>
          <ns0:t>Screening</ns0:t>
        </ns0:is>
      </ns0:c>
      <ns0:c r="I157" s="19" t="inlineStr">
        <ns0:is>
          <ns0:t>Deep Learning</ns0:t>
        </ns0:is>
      </ns0:c>
      <ns0:c r="J157" s="19" t="inlineStr">
        <ns0:is>
          <ns0:t>Behavioral images/video/gaze/movement</ns0:t>
        </ns0:is>
      </ns0:c>
      <ns0:c r="K157" s="19" t="inlineStr">
        <ns0:is>
          <ns0:t>CNN facial-expression system</ns0:t>
        </ns0:is>
      </ns0:c>
      <ns0:c r="L157" s="19" t="inlineStr">
        <ns0:is>
          <ns0:t>CNN</ns0:t>
        </ns0:is>
      </ns0:c>
      <ns0:c r="M157" s="19" t="inlineStr">
        <ns0:is>
          <ns0:t>Proposed only</ns0:t>
        </ns0:is>
      </ns0:c>
      <ns0:c r="N157" s="19" t="inlineStr">
        <ns0:is>
          <ns0:t>Diagnostic decision support</ns0:t>
        </ns0:is>
      </ns0:c>
      <ns0:c r="O157" s="19" t="inlineStr">
        <ns0:is>
          <ns0:t>Pre-decision</ns0:t>
        </ns0:is>
      </ns0:c>
      <ns0:c r="P157" s="19" t="inlineStr">
        <ns0:is>
          <ns0:t>Not observed in assessed sources</ns0:t>
        </ns0:is>
      </ns0:c>
      <ns0:c r="Q157" s="19" t="inlineStr">
        <ns0:is>
          <ns0:t>Not reported in assessed sources</ns0:t>
        </ns0:is>
      </ns0:c>
      <ns0:c r="R157" s="19" t="inlineStr">
        <ns0:is>
          <ns0:t>Not reported in assessed sources</ns0:t>
        </ns0:is>
      </ns0:c>
      <ns0:c r="S157" s="19" t="inlineStr">
        <ns0:is>
          <ns0:t>Not reported in assessed sources</ns0:t>
        </ns0:is>
      </ns0:c>
      <ns0:c r="T157" s="19" t="inlineStr">
        <ns0:is>
          <ns0:t>Not reported in assessed sources</ns0:t>
        </ns0:is>
      </ns0:c>
      <ns0:c r="U157" s="19" t="inlineStr">
        <ns0:is>
          <ns0:t>Not reported in assessed sources</ns0:t>
        </ns0:is>
      </ns0:c>
      <ns0:c r="V157" s="19" t="inlineStr">
        <ns0:is>
          <ns0:t>Not reported in assessed sources</ns0:t>
        </ns0:is>
      </ns0:c>
      <ns0:c r="W157" s="19" t="inlineStr">
        <ns0:is>
          <ns0:t>Not reported in assessed sources</ns0:t>
        </ns0:is>
      </ns0:c>
      <ns0:c r="X157" s="19" t="inlineStr">
        <ns0:is>
          <ns0:t>Not reported in assessed sources</ns0:t>
        </ns0:is>
      </ns0:c>
      <ns0:c r="Y157" s="19" t="inlineStr">
        <ns0:is>
          <ns0:t>Not ascertainable</ns0:t>
        </ns0:is>
      </ns0:c>
      <ns0:c r="Z157" s="19" t="inlineStr">
        <ns0:is>
          <ns0:t>Not reported in assessed sources</ns0:t>
        </ns0:is>
      </ns0:c>
      <ns0:c r="AA157" s="19" t="inlineStr">
        <ns0:is>
          <ns0:t>Not recorded</ns0:t>
        </ns0:is>
      </ns0:c>
      <ns0:c r="AB157" s="26" t="n">
        <ns0:v>0</ns0:v>
      </ns0:c>
      <ns0:c r="AC157" s="26" t="n">
        <ns0:v>1</ns0:v>
      </ns0:c>
      <ns0:c r="AD157" s="27">
        <ns0:f>IF(AND(G157=1,AB157=0),1,0)</ns0:f>
        <ns0:v>1</ns0:v>
      </ns0:c>
      <ns0:c r="AE157" s="27">
        <ns0:f>IF(AND(AD157=1,AC157=0),1,0)</ns0:f>
        <ns0:v>0</ns0:v>
      </ns0:c>
      <ns0:c r="AF157" s="27">
        <ns0:f>IF(AND(G157=1,H157&lt;&gt;"Not specified"),1,0)</ns0:f>
        <ns0:v>1</ns0:v>
      </ns0:c>
      <ns0:c r="AG157" s="27">
        <ns0:f>IF(AND(AE157=1,AF157=1),1,0)</ns0:f>
        <ns0:v>0</ns0:v>
      </ns0:c>
      <ns0:c r="AH157" s="19" t="inlineStr">
        <ns0:is>
          <ns0:t>Supplied abstract/coding notes; no new full-text verification</ns0:t>
        </ns0:is>
      </ns0:c>
      <ns0:c r="AI157" s="19" t="inlineStr">
        <ns0:is>
          <ns0:t>https://doi.org/10.1108/lht-08-2019-0176</ns0:t>
        </ns0:is>
      </ns0:c>
      <ns0:c r="AJ157" s="19" t="inlineStr">
        <ns0:is>
          <ns0:t>EVIDENCIA; original abstract/coding notes and lot source trace; Historical signals: title/abstract/notes; full-text completion not independently established</ns0:t>
        </ns0:is>
      </ns0:c>
      <ns0:c r="AK157" s="19" t="inlineStr">
        <ns0:is>
          <ns0:t>Facial-expression CNN, including public expression datasets and a small additional child sample. No conventional-ML/DL hybrid is identified; diagnostic label validity is insufficiently described.
Original evaluation is reported, but autism-specific labels and diagnostic endpoint versus facial-emotion recognition are not sufficiently clear in accessible description.</ns0:t>
        </ns0:is>
      </ns0:c>
      <ns0:c r="AL157" s="19" t="inlineStr">
        <ns0:is>
          <ns0:t>Not applicable</ns0:t>
        </ns0:is>
      </ns0:c>
      <ns0:c r="AM157" s="19" t="inlineStr">
        <ns0:is>
          <ns0:t>Not separately specified</ns0:t>
        </ns0:is>
      </ns0:c>
      <ns0:c r="AN157" s="19" t="inlineStr">
        <ns0:is>
          <ns0:t>Original evaluation is reported, but autism-specific labels and diagnostic endpoint versus facial-emotion recognition are not sufficiently clear in accessible description.</ns0:t>
        </ns0:is>
      </ns0:c>
      <ns0:c r="AO157" s="19" t="inlineStr">
        <ns0:is>
          <ns0:t>No additional status determination</ns0:t>
        </ns0:is>
      </ns0:c>
      <ns0:c r="AP157" s="19" t="inlineStr">
        <ns0:is>
          <ns0:t>Not documented for this recharting</ns0:t>
        </ns0:is>
      </ns0:c>
      <ns0:c r="AQ157" s="19" t="inlineStr">
        <ns0:is>
          <ns0:t>ChatGPT-assisted evidence recharting, 2026-09-08</ns0:t>
        </ns0:is>
      </ns0:c>
      <ns0:c r="AR157" s="19" t="inlineStr">
        <ns0:is>
          <ns0:t>RA</ns0:t>
        </ns0:is>
      </ns0:c>
      <ns0:c r="AS157" s="19" t="inlineStr">
        <ns0:is>
          <ns0:t>Not recorded; historical inclusion retained</ns0:t>
        </ns0:is>
      </ns0:c>
    </ns0:row>
    <ns0:row r="158" ht="50" customHeight="1">
      <ns0:c r="A158" s="21" t="inlineStr">
        <ns0:is>
          <ns0:t>168</ns0:t>
        </ns0:is>
      </ns0:c>
      <ns0:c r="B158" s="21" t="inlineStr">
        <ns0:is>
          <ns0:t>Historical</ns0:t>
        </ns0:is>
      </ns0:c>
      <ns0:c r="C158" s="21" t="inlineStr">
        <ns0:is>
          <ns0:t>Stratification of Children with Autism Spectrum Disorder Through Fusion of Temporal Information in Eye-gaze Scan-Paths</ns0:t>
        </ns0:is>
      </ns0:c>
      <ns0:c r="D158" s="21" t="inlineStr">
        <ns0:is>
          <ns0:t>10.1145/3539226</ns0:t>
        </ns0:is>
      </ns0:c>
      <ns0:c r="E158" s="28" t="n">
        <ns0:v>2023</ns0:v>
      </ns0:c>
      <ns0:c r="F158" s="21" t="inlineStr">
        <ns0:is>
          <ns0:t>Include</ns0:t>
        </ns0:is>
      </ns0:c>
      <ns0:c r="G158" s="29">
        <ns0:f>IF(F158="Include",1,0)</ns0:f>
        <ns0:v>1</ns0:v>
      </ns0:c>
      <ns0:c r="H158" s="21" t="inlineStr">
        <ns0:is>
          <ns0:t>Diagnosis</ns0:t>
        </ns0:is>
      </ns0:c>
      <ns0:c r="I158" s="21" t="inlineStr">
        <ns0:is>
          <ns0:t>Deep Learning</ns0:t>
        </ns0:is>
      </ns0:c>
      <ns0:c r="J158" s="21" t="inlineStr">
        <ns0:is>
          <ns0:t>Behavioral images/video/gaze/movement</ns0:t>
        </ns0:is>
      </ns0:c>
      <ns0:c r="K158" s="21" t="inlineStr">
        <ns0:is>
          <ns0:t>CNN scanpath classifier</ns0:t>
        </ns0:is>
      </ns0:c>
      <ns0:c r="L158" s="21" t="inlineStr">
        <ns0:is>
          <ns0:t>CNN</ns0:t>
        </ns0:is>
      </ns0:c>
      <ns0:c r="M158" s="21" t="inlineStr">
        <ns0:is>
          <ns0:t>Research only</ns0:t>
        </ns0:is>
      </ns0:c>
      <ns0:c r="N158" s="21" t="inlineStr">
        <ns0:is>
          <ns0:t>Automated measurement/classification</ns0:t>
        </ns0:is>
      </ns0:c>
      <ns0:c r="O158" s="21" t="inlineStr">
        <ns0:is>
          <ns0:t>Not observed in assessed sources</ns0:t>
        </ns0:is>
      </ns0:c>
      <ns0:c r="P158" s="21" t="inlineStr">
        <ns0:is>
          <ns0:t>Not observed in assessed sources</ns0:t>
        </ns0:is>
      </ns0:c>
      <ns0:c r="Q158" s="21" t="inlineStr">
        <ns0:is>
          <ns0:t>Not reported in assessed sources</ns0:t>
        </ns0:is>
      </ns0:c>
      <ns0:c r="R158" s="21" t="inlineStr">
        <ns0:is>
          <ns0:t>Not reported in assessed sources</ns0:t>
        </ns0:is>
      </ns0:c>
      <ns0:c r="S158" s="21" t="inlineStr">
        <ns0:is>
          <ns0:t>Not reported in assessed sources</ns0:t>
        </ns0:is>
      </ns0:c>
      <ns0:c r="T158" s="21" t="inlineStr">
        <ns0:is>
          <ns0:t>Not reported in assessed sources</ns0:t>
        </ns0:is>
      </ns0:c>
      <ns0:c r="U158" s="21" t="inlineStr">
        <ns0:is>
          <ns0:t>Not reported in assessed sources</ns0:t>
        </ns0:is>
      </ns0:c>
      <ns0:c r="V158" s="21" t="inlineStr">
        <ns0:is>
          <ns0:t>Not reported in assessed sources</ns0:t>
        </ns0:is>
      </ns0:c>
      <ns0:c r="W158" s="21" t="inlineStr">
        <ns0:is>
          <ns0:t>Not reported in assessed sources</ns0:t>
        </ns0:is>
      </ns0:c>
      <ns0:c r="X158" s="21" t="inlineStr">
        <ns0:is>
          <ns0:t>Not reported in assessed sources</ns0:t>
        </ns0:is>
      </ns0:c>
      <ns0:c r="Y158" s="21" t="inlineStr">
        <ns0:is>
          <ns0:t>Not ascertainable</ns0:t>
        </ns0:is>
      </ns0:c>
      <ns0:c r="Z158" s="21" t="inlineStr">
        <ns0:is>
          <ns0:t>Not reported in assessed sources</ns0:t>
        </ns0:is>
      </ns0:c>
      <ns0:c r="AA158" s="21" t="inlineStr">
        <ns0:is>
          <ns0:t>Not recorded</ns0:t>
        </ns0:is>
      </ns0:c>
      <ns0:c r="AB158" s="28" t="n">
        <ns0:v>0</ns0:v>
      </ns0:c>
      <ns0:c r="AC158" s="28" t="n">
        <ns0:v>0</ns0:v>
      </ns0:c>
      <ns0:c r="AD158" s="29">
        <ns0:f>IF(AND(G158=1,AB158=0),1,0)</ns0:f>
        <ns0:v>1</ns0:v>
      </ns0:c>
      <ns0:c r="AE158" s="29">
        <ns0:f>IF(AND(AD158=1,AC158=0),1,0)</ns0:f>
        <ns0:v>1</ns0:v>
      </ns0:c>
      <ns0:c r="AF158" s="29">
        <ns0:f>IF(AND(G158=1,H158&lt;&gt;"Not specified"),1,0)</ns0:f>
        <ns0:v>1</ns0:v>
      </ns0:c>
      <ns0:c r="AG158" s="29">
        <ns0:f>IF(AND(AE158=1,AF158=1),1,0)</ns0:f>
        <ns0:v>1</ns0:v>
      </ns0:c>
      <ns0:c r="AH158" s="21" t="inlineStr">
        <ns0:is>
          <ns0:t>Supplied abstract/coding notes; no new full-text verification</ns0:t>
        </ns0:is>
      </ns0:c>
      <ns0:c r="AI158" s="21" t="inlineStr">
        <ns0:is>
          <ns0:t>https://doi.org/10.1145/3539226</ns0:t>
        </ns0:is>
      </ns0:c>
      <ns0:c r="AJ158" s="21" t="inlineStr">
        <ns0:is>
          <ns0:t>EVIDENCIA; original abstract/coding notes and lot source trace; Historical signals: title/abstract/notes; full-text completion not independently established</ns0:t>
        </ns0:is>
      </ns0:c>
      <ns0:c r="AK158" s="21" t="inlineStr">
        <ns0:is>
          <ns0:t>Endpoint is ASD versus TD diagnosis, not within-ASD subgrouping. Spatial, temporal and velocity representations originate from the same gaze stream.</ns0:t>
        </ns0:is>
      </ns0:c>
      <ns0:c r="AL158" s="21" t="inlineStr">
        <ns0:is>
          <ns0:t>Not applicable</ns0:t>
        </ns0:is>
      </ns0:c>
      <ns0:c r="AM158" s="21" t="inlineStr">
        <ns0:is>
          <ns0:t>Not separately specified</ns0:t>
        </ns0:is>
      </ns0:c>
      <ns0:c r="AN158" s="21" t="inlineStr"/>
      <ns0:c r="AO158" s="21" t="inlineStr">
        <ns0:is>
          <ns0:t>No additional status determination</ns0:t>
        </ns0:is>
      </ns0:c>
      <ns0:c r="AP158" s="21" t="inlineStr">
        <ns0:is>
          <ns0:t>Not documented for this recharting</ns0:t>
        </ns0:is>
      </ns0:c>
      <ns0:c r="AQ158" s="21" t="inlineStr">
        <ns0:is>
          <ns0:t>ChatGPT-assisted evidence recharting, 2026-09-08</ns0:t>
        </ns0:is>
      </ns0:c>
      <ns0:c r="AR158" s="21" t="inlineStr">
        <ns0:is>
          <ns0:t>RA</ns0:t>
        </ns0:is>
      </ns0:c>
      <ns0:c r="AS158" s="21" t="inlineStr">
        <ns0:is>
          <ns0:t>Not recorded; historical inclusion retained</ns0:t>
        </ns0:is>
      </ns0:c>
    </ns0:row>
    <ns0:row r="159" ht="50" customHeight="1">
      <ns0:c r="A159" s="19" t="inlineStr">
        <ns0:is>
          <ns0:t>169</ns0:t>
        </ns0:is>
      </ns0:c>
      <ns0:c r="B159" s="19" t="inlineStr">
        <ns0:is>
          <ns0:t>Historical</ns0:t>
        </ns0:is>
      </ns0:c>
      <ns0:c r="C159" s="19" t="inlineStr">
        <ns0:is>
          <ns0:t>The Classification of Abnormal Hand Movement to Aid in Autism Detection: Machine Learning Study</ns0:t>
        </ns0:is>
      </ns0:c>
      <ns0:c r="D159" s="19" t="inlineStr">
        <ns0:is>
          <ns0:t>10.2196/33771</ns0:t>
        </ns0:is>
      </ns0:c>
      <ns0:c r="E159" s="26" t="n">
        <ns0:v>2022</ns0:v>
      </ns0:c>
      <ns0:c r="F159" s="19" t="inlineStr">
        <ns0:is>
          <ns0:t>Include</ns0:t>
        </ns0:is>
      </ns0:c>
      <ns0:c r="G159" s="27">
        <ns0:f>IF(F159="Include",1,0)</ns0:f>
        <ns0:v>1</ns0:v>
      </ns0:c>
      <ns0:c r="H159" s="19" t="inlineStr">
        <ns0:is>
          <ns0:t>Screening</ns0:t>
        </ns0:is>
      </ns0:c>
      <ns0:c r="I159" s="19" t="inlineStr">
        <ns0:is>
          <ns0:t>Deep Learning</ns0:t>
        </ns0:is>
      </ns0:c>
      <ns0:c r="J159" s="19" t="inlineStr">
        <ns0:is>
          <ns0:t>Behavioral images/video/gaze/movement</ns0:t>
        </ns0:is>
      </ns0:c>
      <ns0:c r="K159" s="19" t="inlineStr">
        <ns0:is>
          <ns0:t>MobileNetV2-based CNN</ns0:t>
        </ns0:is>
      </ns0:c>
      <ns0:c r="L159" s="19" t="inlineStr">
        <ns0:is>
          <ns0:t>CNN</ns0:t>
        </ns0:is>
      </ns0:c>
      <ns0:c r="M159" s="19" t="inlineStr">
        <ns0:is>
          <ns0:t>Research only</ns0:t>
        </ns0:is>
      </ns0:c>
      <ns0:c r="N159" s="19" t="inlineStr">
        <ns0:is>
          <ns0:t>Automated measurement/classification</ns0:t>
        </ns0:is>
      </ns0:c>
      <ns0:c r="O159" s="19" t="inlineStr">
        <ns0:is>
          <ns0:t>Not observed in assessed sources</ns0:t>
        </ns0:is>
      </ns0:c>
      <ns0:c r="P159" s="19" t="inlineStr">
        <ns0:is>
          <ns0:t>Not observed in assessed sources</ns0:t>
        </ns0:is>
      </ns0:c>
      <ns0:c r="Q159" s="19" t="inlineStr">
        <ns0:is>
          <ns0:t>Not reported in assessed sources</ns0:t>
        </ns0:is>
      </ns0:c>
      <ns0:c r="R159" s="19" t="inlineStr">
        <ns0:is>
          <ns0:t>Not reported in assessed sources</ns0:t>
        </ns0:is>
      </ns0:c>
      <ns0:c r="S159" s="19" t="inlineStr">
        <ns0:is>
          <ns0:t>Not reported in assessed sources</ns0:t>
        </ns0:is>
      </ns0:c>
      <ns0:c r="T159" s="19" t="inlineStr">
        <ns0:is>
          <ns0:t>Not reported in assessed sources</ns0:t>
        </ns0:is>
      </ns0:c>
      <ns0:c r="U159" s="19" t="inlineStr">
        <ns0:is>
          <ns0:t>Not reported in assessed sources</ns0:t>
        </ns0:is>
      </ns0:c>
      <ns0:c r="V159" s="19" t="inlineStr">
        <ns0:is>
          <ns0:t>Not reported in assessed sources</ns0:t>
        </ns0:is>
      </ns0:c>
      <ns0:c r="W159" s="19" t="inlineStr">
        <ns0:is>
          <ns0:t>Not reported in assessed sources</ns0:t>
        </ns0:is>
      </ns0:c>
      <ns0:c r="X159" s="19" t="inlineStr">
        <ns0:is>
          <ns0:t>Not reported in assessed sources</ns0:t>
        </ns0:is>
      </ns0:c>
      <ns0:c r="Y159" s="19" t="inlineStr">
        <ns0:is>
          <ns0:t>Not ascertainable</ns0:t>
        </ns0:is>
      </ns0:c>
      <ns0:c r="Z159" s="19" t="inlineStr">
        <ns0:is>
          <ns0:t>Not reported in assessed sources</ns0:t>
        </ns0:is>
      </ns0:c>
      <ns0:c r="AA159" s="19" t="inlineStr">
        <ns0:is>
          <ns0:t>Not recorded</ns0:t>
        </ns0:is>
      </ns0:c>
      <ns0:c r="AB159" s="26" t="n">
        <ns0:v>0</ns0:v>
      </ns0:c>
      <ns0:c r="AC159" s="26" t="n">
        <ns0:v>0</ns0:v>
      </ns0:c>
      <ns0:c r="AD159" s="27">
        <ns0:f>IF(AND(G159=1,AB159=0),1,0)</ns0:f>
        <ns0:v>1</ns0:v>
      </ns0:c>
      <ns0:c r="AE159" s="27">
        <ns0:f>IF(AND(AD159=1,AC159=0),1,0)</ns0:f>
        <ns0:v>1</ns0:v>
      </ns0:c>
      <ns0:c r="AF159" s="27">
        <ns0:f>IF(AND(G159=1,H159&lt;&gt;"Not specified"),1,0)</ns0:f>
        <ns0:v>1</ns0:v>
      </ns0:c>
      <ns0:c r="AG159" s="27">
        <ns0:f>IF(AND(AE159=1,AF159=1),1,0)</ns0:f>
        <ns0:v>1</ns0:v>
      </ns0:c>
      <ns0:c r="AH159" s="19" t="inlineStr">
        <ns0:is>
          <ns0:t>Supplied abstract/coding notes; no new full-text verification</ns0:t>
        </ns0:is>
      </ns0:c>
      <ns0:c r="AI159" s="19" t="inlineStr">
        <ns0:is>
          <ns0:t>https://doi.org/10.2196/33771</ns0:t>
        </ns0:is>
      </ns0:c>
      <ns0:c r="AJ159" s="19" t="inlineStr">
        <ns0:is>
          <ns0:t>EVIDENCIA; original abstract/coding notes and lot source trace; Historical signals: title/abstract/notes; full-text completion not independently established</ns0:t>
        </ns0:is>
      </ns0:c>
      <ns0:c r="AK159" s="19" t="inlineStr">
        <ns0:is>
          <ns0:t>Detects hand flapping from home videos as a candidate screening component; activity recognition is not validated ASD diagnosis or live caregiver support.</ns0:t>
        </ns0:is>
      </ns0:c>
      <ns0:c r="AL159" s="19" t="inlineStr">
        <ns0:is>
          <ns0:t>Not applicable</ns0:t>
        </ns0:is>
      </ns0:c>
      <ns0:c r="AM159" s="19" t="inlineStr">
        <ns0:is>
          <ns0:t>Not separately specified</ns0:t>
        </ns0:is>
      </ns0:c>
      <ns0:c r="AN159" s="19" t="inlineStr"/>
      <ns0:c r="AO159" s="19" t="inlineStr">
        <ns0:is>
          <ns0:t>No additional status determination</ns0:t>
        </ns0:is>
      </ns0:c>
      <ns0:c r="AP159" s="19" t="inlineStr">
        <ns0:is>
          <ns0:t>Not documented for this recharting</ns0:t>
        </ns0:is>
      </ns0:c>
      <ns0:c r="AQ159" s="19" t="inlineStr">
        <ns0:is>
          <ns0:t>ChatGPT-assisted evidence recharting, 2026-09-08</ns0:t>
        </ns0:is>
      </ns0:c>
      <ns0:c r="AR159" s="19" t="inlineStr">
        <ns0:is>
          <ns0:t>RA</ns0:t>
        </ns0:is>
      </ns0:c>
      <ns0:c r="AS159" s="19" t="inlineStr">
        <ns0:is>
          <ns0:t>Not recorded; historical inclusion retained</ns0:t>
        </ns0:is>
      </ns0:c>
    </ns0:row>
    <ns0:row r="160" ht="50" customHeight="1">
      <ns0:c r="A160" s="21" t="inlineStr">
        <ns0:is>
          <ns0:t>170</ns0:t>
        </ns0:is>
      </ns0:c>
      <ns0:c r="B160" s="21" t="inlineStr">
        <ns0:is>
          <ns0:t>Historical</ns0:t>
        </ns0:is>
      </ns0:c>
      <ns0:c r="C160" s="21" t="inlineStr">
        <ns0:is>
          <ns0:t>The development of a practical artificial intelligence tool for diagnosing and evaluating autism spectrum disorder: Multicenter study</ns0:t>
        </ns0:is>
      </ns0:c>
      <ns0:c r="D160" s="21" t="inlineStr">
        <ns0:is>
          <ns0:t>10.2196/15767</ns0:t>
        </ns0:is>
      </ns0:c>
      <ns0:c r="E160" s="28" t="n">
        <ns0:v>2020</ns0:v>
      </ns0:c>
      <ns0:c r="F160" s="21" t="inlineStr">
        <ns0:is>
          <ns0:t>Include</ns0:t>
        </ns0:is>
      </ns0:c>
      <ns0:c r="G160" s="29">
        <ns0:f>IF(F160="Include",1,0)</ns0:f>
        <ns0:v>1</ns0:v>
      </ns0:c>
      <ns0:c r="H160" s="21" t="inlineStr">
        <ns0:is>
          <ns0:t>Diagnosis</ns0:t>
        </ns0:is>
      </ns0:c>
      <ns0:c r="I160" s="21" t="inlineStr">
        <ns0:is>
          <ns0:t>Machine Learning</ns0:t>
        </ns0:is>
      </ns0:c>
      <ns0:c r="J160" s="21" t="inlineStr">
        <ns0:is>
          <ns0:t>Neuroimaging</ns0:t>
        </ns0:is>
      </ns0:c>
      <ns0:c r="K160" s="21" t="inlineStr">
        <ns0:is>
          <ns0:t>Histogram-based morphometry with classifier</ns0:t>
        </ns0:is>
      </ns0:c>
      <ns0:c r="L160" s="21" t="inlineStr">
        <ns0:is>
          <ns0:t>Other specified method</ns0:t>
        </ns0:is>
      </ns0:c>
      <ns0:c r="M160" s="21" t="inlineStr">
        <ns0:is>
          <ns0:t>Proposed only</ns0:t>
        </ns0:is>
      </ns0:c>
      <ns0:c r="N160" s="21" t="inlineStr">
        <ns0:is>
          <ns0:t>Diagnostic decision support</ns0:t>
        </ns0:is>
      </ns0:c>
      <ns0:c r="O160" s="21" t="inlineStr">
        <ns0:is>
          <ns0:t>In-decision</ns0:t>
        </ns0:is>
      </ns0:c>
      <ns0:c r="P160" s="21" t="inlineStr">
        <ns0:is>
          <ns0:t>Not observed in assessed sources</ns0:t>
        </ns0:is>
      </ns0:c>
      <ns0:c r="Q160" s="21" t="inlineStr">
        <ns0:is>
          <ns0:t>Not reported in assessed sources</ns0:t>
        </ns0:is>
      </ns0:c>
      <ns0:c r="R160" s="21" t="inlineStr">
        <ns0:is>
          <ns0:t>Not reported in assessed sources</ns0:t>
        </ns0:is>
      </ns0:c>
      <ns0:c r="S160" s="21" t="inlineStr">
        <ns0:is>
          <ns0:t>Not reported in assessed sources</ns0:t>
        </ns0:is>
      </ns0:c>
      <ns0:c r="T160" s="21" t="inlineStr">
        <ns0:is>
          <ns0:t>Not reported in assessed sources</ns0:t>
        </ns0:is>
      </ns0:c>
      <ns0:c r="U160" s="21" t="inlineStr">
        <ns0:is>
          <ns0:t>Not reported in assessed sources</ns0:t>
        </ns0:is>
      </ns0:c>
      <ns0:c r="V160" s="21" t="inlineStr">
        <ns0:is>
          <ns0:t>Reported</ns0:t>
        </ns0:is>
      </ns0:c>
      <ns0:c r="W160" s="21" t="inlineStr">
        <ns0:is>
          <ns0:t>Not reported in assessed sources</ns0:t>
        </ns0:is>
      </ns0:c>
      <ns0:c r="X160" s="21" t="inlineStr">
        <ns0:is>
          <ns0:t>Not reported in assessed sources</ns0:t>
        </ns0:is>
      </ns0:c>
      <ns0:c r="Y160" s="21" t="inlineStr">
        <ns0:is>
          <ns0:t>Not ascertainable</ns0:t>
        </ns0:is>
      </ns0:c>
      <ns0:c r="Z160" s="21" t="inlineStr">
        <ns0:is>
          <ns0:t>Not reported in assessed sources</ns0:t>
        </ns0:is>
      </ns0:c>
      <ns0:c r="AA160" s="21" t="inlineStr">
        <ns0:is>
          <ns0:t>Not recorded</ns0:t>
        </ns0:is>
      </ns0:c>
      <ns0:c r="AB160" s="28" t="n">
        <ns0:v>0</ns0:v>
      </ns0:c>
      <ns0:c r="AC160" s="28" t="n">
        <ns0:v>0</ns0:v>
      </ns0:c>
      <ns0:c r="AD160" s="29">
        <ns0:f>IF(AND(G160=1,AB160=0),1,0)</ns0:f>
        <ns0:v>1</ns0:v>
      </ns0:c>
      <ns0:c r="AE160" s="29">
        <ns0:f>IF(AND(AD160=1,AC160=0),1,0)</ns0:f>
        <ns0:v>1</ns0:v>
      </ns0:c>
      <ns0:c r="AF160" s="29">
        <ns0:f>IF(AND(G160=1,H160&lt;&gt;"Not specified"),1,0)</ns0:f>
        <ns0:v>1</ns0:v>
      </ns0:c>
      <ns0:c r="AG160" s="29">
        <ns0:f>IF(AND(AE160=1,AF160=1),1,0)</ns0:f>
        <ns0:v>1</ns0:v>
      </ns0:c>
      <ns0:c r="AH160" s="21" t="inlineStr">
        <ns0:is>
          <ns0:t>Supplied abstract/coding notes; no new full-text verification</ns0:t>
        </ns0:is>
      </ns0:c>
      <ns0:c r="AI160" s="21" t="inlineStr">
        <ns0:is>
          <ns0:t>https://doi.org/10.2196/15767</ns0:t>
        </ns0:is>
      </ns0:c>
      <ns0:c r="AJ160" s="21" t="inlineStr">
        <ns0:is>
          <ns0:t>EVIDENCIA; original abstract/coding notes and lot source trace; Historical signals: title/abstract/notes; full-text completion not independently established</ns0:t>
        </ns0:is>
      </ns0:c>
      <ns0:c r="AK160" s="21" t="inlineStr">
        <ns0:is>
          <ns0:t>Structural MRI HOG features; algorithmic classification and clinical potential do not establish actual workflow use or deep learning.</ns0:t>
        </ns0:is>
      </ns0:c>
      <ns0:c r="AL160" s="21" t="inlineStr">
        <ns0:is>
          <ns0:t>Not applicable</ns0:t>
        </ns0:is>
      </ns0:c>
      <ns0:c r="AM160" s="21" t="inlineStr">
        <ns0:is>
          <ns0:t>Not separately specified</ns0:t>
        </ns0:is>
      </ns0:c>
      <ns0:c r="AN160" s="21" t="inlineStr"/>
      <ns0:c r="AO160" s="21" t="inlineStr">
        <ns0:is>
          <ns0:t>No additional status determination</ns0:t>
        </ns0:is>
      </ns0:c>
      <ns0:c r="AP160" s="21" t="inlineStr">
        <ns0:is>
          <ns0:t>Not documented for this recharting</ns0:t>
        </ns0:is>
      </ns0:c>
      <ns0:c r="AQ160" s="21" t="inlineStr">
        <ns0:is>
          <ns0:t>ChatGPT-assisted evidence recharting, 2026-09-08</ns0:t>
        </ns0:is>
      </ns0:c>
      <ns0:c r="AR160" s="21" t="inlineStr">
        <ns0:is>
          <ns0:t>RA</ns0:t>
        </ns0:is>
      </ns0:c>
      <ns0:c r="AS160" s="21" t="inlineStr">
        <ns0:is>
          <ns0:t>Not recorded; historical inclusion retained</ns0:t>
        </ns0:is>
      </ns0:c>
    </ns0:row>
    <ns0:row r="161" ht="50" customHeight="1">
      <ns0:c r="A161" s="19" t="inlineStr">
        <ns0:is>
          <ns0:t>171</ns0:t>
        </ns0:is>
      </ns0:c>
      <ns0:c r="B161" s="19" t="inlineStr">
        <ns0:is>
          <ns0:t>Historical</ns0:t>
        </ns0:is>
      </ns0:c>
      <ns0:c r="C161" s="19" t="inlineStr">
        <ns0:is>
          <ns0:t>Toward the Autism Motor Signature: Gesture patterns during smart tablet gameplay identify children with autism</ns0:t>
        </ns0:is>
      </ns0:c>
      <ns0:c r="D161" s="19" t="inlineStr">
        <ns0:is>
          <ns0:t>10.1038/srep31107</ns0:t>
        </ns0:is>
      </ns0:c>
      <ns0:c r="E161" s="26" t="n">
        <ns0:v>2016</ns0:v>
      </ns0:c>
      <ns0:c r="F161" s="19" t="inlineStr">
        <ns0:is>
          <ns0:t>Include</ns0:t>
        </ns0:is>
      </ns0:c>
      <ns0:c r="G161" s="27">
        <ns0:f>IF(F161="Include",1,0)</ns0:f>
        <ns0:v>1</ns0:v>
      </ns0:c>
      <ns0:c r="H161" s="19" t="inlineStr">
        <ns0:is>
          <ns0:t>Screening</ns0:t>
        </ns0:is>
      </ns0:c>
      <ns0:c r="I161" s="19" t="inlineStr">
        <ns0:is>
          <ns0:t>Machine Learning</ns0:t>
        </ns0:is>
      </ns0:c>
      <ns0:c r="J161" s="19" t="inlineStr">
        <ns0:is>
          <ns0:t>Behavioral images/video/gaze/movement</ns0:t>
        </ns0:is>
      </ns0:c>
      <ns0:c r="K161" s="19" t="inlineStr">
        <ns0:is>
          <ns0:t>Tablet-kinematics classifier; family unresolved</ns0:t>
        </ns0:is>
      </ns0:c>
      <ns0:c r="L161" s="19" t="inlineStr">
        <ns0:is>
          <ns0:t>Other specified method</ns0:t>
        </ns0:is>
      </ns0:c>
      <ns0:c r="M161" s="19" t="inlineStr">
        <ns0:is>
          <ns0:t>Research only</ns0:t>
        </ns0:is>
      </ns0:c>
      <ns0:c r="N161" s="19" t="inlineStr">
        <ns0:is>
          <ns0:t>Automated measurement/classification</ns0:t>
        </ns0:is>
      </ns0:c>
      <ns0:c r="O161" s="19" t="inlineStr">
        <ns0:is>
          <ns0:t>Not observed in assessed sources</ns0:t>
        </ns0:is>
      </ns0:c>
      <ns0:c r="P161" s="19" t="inlineStr">
        <ns0:is>
          <ns0:t>Not observed in assessed sources</ns0:t>
        </ns0:is>
      </ns0:c>
      <ns0:c r="Q161" s="19" t="inlineStr">
        <ns0:is>
          <ns0:t>Not reported in assessed sources</ns0:t>
        </ns0:is>
      </ns0:c>
      <ns0:c r="R161" s="19" t="inlineStr">
        <ns0:is>
          <ns0:t>Reported</ns0:t>
        </ns0:is>
      </ns0:c>
      <ns0:c r="S161" s="19" t="inlineStr">
        <ns0:is>
          <ns0:t>Not reported in assessed sources</ns0:t>
        </ns0:is>
      </ns0:c>
      <ns0:c r="T161" s="19" t="inlineStr">
        <ns0:is>
          <ns0:t>Not reported in assessed sources</ns0:t>
        </ns0:is>
      </ns0:c>
      <ns0:c r="U161" s="19" t="inlineStr">
        <ns0:is>
          <ns0:t>Not reported in assessed sources</ns0:t>
        </ns0:is>
      </ns0:c>
      <ns0:c r="V161" s="19" t="inlineStr">
        <ns0:is>
          <ns0:t>Not reported in assessed sources</ns0:t>
        </ns0:is>
      </ns0:c>
      <ns0:c r="W161" s="19" t="inlineStr">
        <ns0:is>
          <ns0:t>Reported</ns0:t>
        </ns0:is>
      </ns0:c>
      <ns0:c r="X161" s="19" t="inlineStr">
        <ns0:is>
          <ns0:t>Not reported in assessed sources</ns0:t>
        </ns0:is>
      </ns0:c>
      <ns0:c r="Y161" s="19" t="inlineStr">
        <ns0:is>
          <ns0:t>Not ascertainable</ns0:t>
        </ns0:is>
      </ns0:c>
      <ns0:c r="Z161" s="19" t="inlineStr">
        <ns0:is>
          <ns0:t>Not reported in assessed sources</ns0:t>
        </ns0:is>
      </ns0:c>
      <ns0:c r="AA161" s="19" t="inlineStr">
        <ns0:is>
          <ns0:t>Not recorded</ns0:t>
        </ns0:is>
      </ns0:c>
      <ns0:c r="AB161" s="26" t="n">
        <ns0:v>0</ns0:v>
      </ns0:c>
      <ns0:c r="AC161" s="26" t="n">
        <ns0:v>0</ns0:v>
      </ns0:c>
      <ns0:c r="AD161" s="27">
        <ns0:f>IF(AND(G161=1,AB161=0),1,0)</ns0:f>
        <ns0:v>1</ns0:v>
      </ns0:c>
      <ns0:c r="AE161" s="27">
        <ns0:f>IF(AND(AD161=1,AC161=0),1,0)</ns0:f>
        <ns0:v>1</ns0:v>
      </ns0:c>
      <ns0:c r="AF161" s="27">
        <ns0:f>IF(AND(G161=1,H161&lt;&gt;"Not specified"),1,0)</ns0:f>
        <ns0:v>1</ns0:v>
      </ns0:c>
      <ns0:c r="AG161" s="27">
        <ns0:f>IF(AND(AE161=1,AF161=1),1,0)</ns0:f>
        <ns0:v>1</ns0:v>
      </ns0:c>
      <ns0:c r="AH161" s="19" t="inlineStr">
        <ns0:is>
          <ns0:t>Supplied abstract/coding notes; no new full-text verification</ns0:t>
        </ns0:is>
      </ns0:c>
      <ns0:c r="AI161" s="19" t="inlineStr">
        <ns0:is>
          <ns0:t>https://doi.org/10.1038/srep31107</ns0:t>
        </ns0:is>
      </ns0:c>
      <ns0:c r="AJ161" s="19" t="inlineStr">
        <ns0:is>
          <ns0:t>EVIDENCIA; original abstract/coding notes and lot source trace; Historical signals: title/abstract/notes; full-text completion not independently established</ns0:t>
        </ns0:is>
      </ns0:c>
      <ns0:c r="AK161" s="19" t="inlineStr">
        <ns0:is>
          <ns0:t>Touch-screen and inertial movement measurements are behavioral motor data, not physiological brain signals. Feasibility classification, not observed clinical screening decisions.</ns0:t>
        </ns0:is>
      </ns0:c>
      <ns0:c r="AL161" s="19" t="inlineStr">
        <ns0:is>
          <ns0:t>Not applicable</ns0:t>
        </ns0:is>
      </ns0:c>
      <ns0:c r="AM161" s="19" t="inlineStr">
        <ns0:is>
          <ns0:t>Not separately specified</ns0:t>
        </ns0:is>
      </ns0:c>
      <ns0:c r="AN161" s="19" t="inlineStr"/>
      <ns0:c r="AO161" s="19" t="inlineStr">
        <ns0:is>
          <ns0:t>No additional status determination</ns0:t>
        </ns0:is>
      </ns0:c>
      <ns0:c r="AP161" s="19" t="inlineStr">
        <ns0:is>
          <ns0:t>Not documented for this recharting</ns0:t>
        </ns0:is>
      </ns0:c>
      <ns0:c r="AQ161" s="19" t="inlineStr">
        <ns0:is>
          <ns0:t>ChatGPT-assisted evidence recharting, 2026-09-08</ns0:t>
        </ns0:is>
      </ns0:c>
      <ns0:c r="AR161" s="19" t="inlineStr">
        <ns0:is>
          <ns0:t>RA</ns0:t>
        </ns0:is>
      </ns0:c>
      <ns0:c r="AS161" s="19" t="inlineStr">
        <ns0:is>
          <ns0:t>Not recorded; historical inclusion retained</ns0:t>
        </ns0:is>
      </ns0:c>
    </ns0:row>
    <ns0:row r="162" ht="50" customHeight="1">
      <ns0:c r="A162" s="21" t="inlineStr">
        <ns0:is>
          <ns0:t>172</ns0:t>
        </ns0:is>
      </ns0:c>
      <ns0:c r="B162" s="21" t="inlineStr">
        <ns0:is>
          <ns0:t>Historical</ns0:t>
        </ns0:is>
      </ns0:c>
      <ns0:c r="C162" s="21" t="inlineStr">
        <ns0:is>
          <ns0:t>Using #ActuallyAutistic on Twitter for Precision Diagnosis of Autism Spectrum Disorder: Machine Learning Study</ns0:t>
        </ns0:is>
      </ns0:c>
      <ns0:c r="D162" s="21" t="inlineStr">
        <ns0:is>
          <ns0:t>10.2196/52660</ns0:t>
        </ns0:is>
      </ns0:c>
      <ns0:c r="E162" s="28" t="n">
        <ns0:v>2024</ns0:v>
      </ns0:c>
      <ns0:c r="F162" s="21" t="inlineStr">
        <ns0:is>
          <ns0:t>Include</ns0:t>
        </ns0:is>
      </ns0:c>
      <ns0:c r="G162" s="29">
        <ns0:f>IF(F162="Include",1,0)</ns0:f>
        <ns0:v>1</ns0:v>
      </ns0:c>
      <ns0:c r="H162" s="21" t="inlineStr">
        <ns0:is>
          <ns0:t>Screening</ns0:t>
        </ns0:is>
      </ns0:c>
      <ns0:c r="I162" s="21" t="inlineStr">
        <ns0:is>
          <ns0:t>Machine Learning</ns0:t>
        </ns0:is>
      </ns0:c>
      <ns0:c r="J162" s="21" t="inlineStr">
        <ns0:is>
          <ns0:t>Text/language</ns0:t>
        </ns0:is>
      </ns0:c>
      <ns0:c r="K162" s="21" t="inlineStr">
        <ns0:is>
          <ns0:t>Logistic regression</ns0:t>
        </ns0:is>
      </ns0:c>
      <ns0:c r="L162" s="21" t="inlineStr">
        <ns0:is>
          <ns0:t>Logistic regression</ns0:t>
        </ns0:is>
      </ns0:c>
      <ns0:c r="M162" s="21" t="inlineStr">
        <ns0:is>
          <ns0:t>Research only</ns0:t>
        </ns0:is>
      </ns0:c>
      <ns0:c r="N162" s="21" t="inlineStr">
        <ns0:is>
          <ns0:t>Automated measurement/classification</ns0:t>
        </ns0:is>
      </ns0:c>
      <ns0:c r="O162" s="21" t="inlineStr">
        <ns0:is>
          <ns0:t>Not observed in assessed sources</ns0:t>
        </ns0:is>
      </ns0:c>
      <ns0:c r="P162" s="21" t="inlineStr">
        <ns0:is>
          <ns0:t>Not observed in assessed sources</ns0:t>
        </ns0:is>
      </ns0:c>
      <ns0:c r="Q162" s="21" t="inlineStr">
        <ns0:is>
          <ns0:t>Not reported in assessed sources</ns0:t>
        </ns0:is>
      </ns0:c>
      <ns0:c r="R162" s="21" t="inlineStr">
        <ns0:is>
          <ns0:t>Not reported in assessed sources</ns0:t>
        </ns0:is>
      </ns0:c>
      <ns0:c r="S162" s="21" t="inlineStr">
        <ns0:is>
          <ns0:t>Not reported in assessed sources</ns0:t>
        </ns0:is>
      </ns0:c>
      <ns0:c r="T162" s="21" t="inlineStr">
        <ns0:is>
          <ns0:t>Not reported in assessed sources</ns0:t>
        </ns0:is>
      </ns0:c>
      <ns0:c r="U162" s="21" t="inlineStr">
        <ns0:is>
          <ns0:t>Not reported in assessed sources</ns0:t>
        </ns0:is>
      </ns0:c>
      <ns0:c r="V162" s="21" t="inlineStr">
        <ns0:is>
          <ns0:t>Not reported in assessed sources</ns0:t>
        </ns0:is>
      </ns0:c>
      <ns0:c r="W162" s="21" t="inlineStr">
        <ns0:is>
          <ns0:t>Not reported in assessed sources</ns0:t>
        </ns0:is>
      </ns0:c>
      <ns0:c r="X162" s="21" t="inlineStr">
        <ns0:is>
          <ns0:t>Not reported in assessed sources</ns0:t>
        </ns0:is>
      </ns0:c>
      <ns0:c r="Y162" s="21" t="inlineStr">
        <ns0:is>
          <ns0:t>Not ascertainable</ns0:t>
        </ns0:is>
      </ns0:c>
      <ns0:c r="Z162" s="21" t="inlineStr">
        <ns0:is>
          <ns0:t>Not reported in assessed sources</ns0:t>
        </ns0:is>
      </ns0:c>
      <ns0:c r="AA162" s="21" t="inlineStr">
        <ns0:is>
          <ns0:t>Not recorded</ns0:t>
        </ns0:is>
      </ns0:c>
      <ns0:c r="AB162" s="28" t="n">
        <ns0:v>0</ns0:v>
      </ns0:c>
      <ns0:c r="AC162" s="28" t="n">
        <ns0:v>0</ns0:v>
      </ns0:c>
      <ns0:c r="AD162" s="29">
        <ns0:f>IF(AND(G162=1,AB162=0),1,0)</ns0:f>
        <ns0:v>1</ns0:v>
      </ns0:c>
      <ns0:c r="AE162" s="29">
        <ns0:f>IF(AND(AD162=1,AC162=0),1,0)</ns0:f>
        <ns0:v>1</ns0:v>
      </ns0:c>
      <ns0:c r="AF162" s="29">
        <ns0:f>IF(AND(G162=1,H162&lt;&gt;"Not specified"),1,0)</ns0:f>
        <ns0:v>1</ns0:v>
      </ns0:c>
      <ns0:c r="AG162" s="29">
        <ns0:f>IF(AND(AE162=1,AF162=1),1,0)</ns0:f>
        <ns0:v>1</ns0:v>
      </ns0:c>
      <ns0:c r="AH162" s="21" t="inlineStr">
        <ns0:is>
          <ns0:t>Supplied abstract/coding notes; no new full-text verification</ns0:t>
        </ns0:is>
      </ns0:c>
      <ns0:c r="AI162" s="21" t="inlineStr">
        <ns0:is>
          <ns0:t>https://doi.org/10.2196/52660</ns0:t>
        </ns0:is>
      </ns0:c>
      <ns0:c r="AJ162" s="21" t="inlineStr">
        <ns0:is>
          <ns0:t>EVIDENCIA; original abstract/coding notes and lot source trace; Historical signals: title/abstract/notes; full-text completion not independently established</ns0:t>
        </ns0:is>
      </ns0:c>
      <ns0:c r="AK162" s="21" t="inlineStr">
        <ns0:is>
          <ns0:t>Social-media language classifier uses self-identified autism status; this is a screening-oriented research proxy, not precision clinical diagnosis.
Self-identification or hashtag-derived status is a proxy label, not independent standardized clinical diagnosis.</ns0:t>
        </ns0:is>
      </ns0:c>
      <ns0:c r="AL162" s="21" t="inlineStr">
        <ns0:is>
          <ns0:t>Not applicable</ns0:t>
        </ns0:is>
      </ns0:c>
      <ns0:c r="AM162" s="21" t="inlineStr">
        <ns0:is>
          <ns0:t>Not separately specified</ns0:t>
        </ns0:is>
      </ns0:c>
      <ns0:c r="AN162" s="21" t="inlineStr"/>
      <ns0:c r="AO162" s="21" t="inlineStr">
        <ns0:is>
          <ns0:t>No additional status determination</ns0:t>
        </ns0:is>
      </ns0:c>
      <ns0:c r="AP162" s="21" t="inlineStr">
        <ns0:is>
          <ns0:t>Not documented for this recharting</ns0:t>
        </ns0:is>
      </ns0:c>
      <ns0:c r="AQ162" s="21" t="inlineStr">
        <ns0:is>
          <ns0:t>ChatGPT-assisted evidence recharting, 2026-09-08</ns0:t>
        </ns0:is>
      </ns0:c>
      <ns0:c r="AR162" s="21" t="inlineStr">
        <ns0:is>
          <ns0:t>RA</ns0:t>
        </ns0:is>
      </ns0:c>
      <ns0:c r="AS162" s="21" t="inlineStr">
        <ns0:is>
          <ns0:t>Not recorded; historical inclusion retained</ns0:t>
        </ns0:is>
      </ns0:c>
    </ns0:row>
    <ns0:row r="163" ht="50" customHeight="1">
      <ns0:c r="A163" s="19" t="inlineStr">
        <ns0:is>
          <ns0:t>173</ns0:t>
        </ns0:is>
      </ns0:c>
      <ns0:c r="B163" s="19" t="inlineStr">
        <ns0:is>
          <ns0:t>Historical</ns0:t>
        </ns0:is>
      </ns0:c>
      <ns0:c r="C163" s="19" t="inlineStr">
        <ns0:is>
          <ns0:t>Using machine learning to improve diagnostic assessment of ASD in the light of specific differential and co-occurring diagnoses</ns0:t>
        </ns0:is>
      </ns0:c>
      <ns0:c r="D163" s="19" t="inlineStr">
        <ns0:is>
          <ns0:t>10.1111/jcpp.13650</ns0:t>
        </ns0:is>
      </ns0:c>
      <ns0:c r="E163" s="26" t="n">
        <ns0:v>2023</ns0:v>
      </ns0:c>
      <ns0:c r="F163" s="19" t="inlineStr">
        <ns0:is>
          <ns0:t>Include</ns0:t>
        </ns0:is>
      </ns0:c>
      <ns0:c r="G163" s="27">
        <ns0:f>IF(F163="Include",1,0)</ns0:f>
        <ns0:v>1</ns0:v>
      </ns0:c>
      <ns0:c r="H163" s="19" t="inlineStr">
        <ns0:is>
          <ns0:t>Diagnosis</ns0:t>
        </ns0:is>
      </ns0:c>
      <ns0:c r="I163" s="19" t="inlineStr">
        <ns0:is>
          <ns0:t>Machine Learning</ns0:t>
        </ns0:is>
      </ns0:c>
      <ns0:c r="J163" s="19" t="inlineStr">
        <ns0:is>
          <ns0:t>Structured clinical/questionnaire data</ns0:t>
        </ns0:is>
      </ns0:c>
      <ns0:c r="K163" s="19" t="inlineStr">
        <ns0:is>
          <ns0:t>Random forest</ns0:t>
        </ns0:is>
      </ns0:c>
      <ns0:c r="L163" s="19" t="inlineStr">
        <ns0:is>
          <ns0:t>Random forest</ns0:t>
        </ns0:is>
      </ns0:c>
      <ns0:c r="M163" s="19" t="inlineStr">
        <ns0:is>
          <ns0:t>Proposed only</ns0:t>
        </ns0:is>
      </ns0:c>
      <ns0:c r="N163" s="19" t="inlineStr">
        <ns0:is>
          <ns0:t>Diagnostic decision support</ns0:t>
        </ns0:is>
      </ns0:c>
      <ns0:c r="O163" s="19" t="inlineStr">
        <ns0:is>
          <ns0:t>In-decision</ns0:t>
        </ns0:is>
      </ns0:c>
      <ns0:c r="P163" s="19" t="inlineStr">
        <ns0:is>
          <ns0:t>Not observed in assessed sources</ns0:t>
        </ns0:is>
      </ns0:c>
      <ns0:c r="Q163" s="19" t="inlineStr">
        <ns0:is>
          <ns0:t>Not reported in assessed sources</ns0:t>
        </ns0:is>
      </ns0:c>
      <ns0:c r="R163" s="19" t="inlineStr">
        <ns0:is>
          <ns0:t>Not reported in assessed sources</ns0:t>
        </ns0:is>
      </ns0:c>
      <ns0:c r="S163" s="19" t="inlineStr">
        <ns0:is>
          <ns0:t>Reported</ns0:t>
        </ns0:is>
      </ns0:c>
      <ns0:c r="T163" s="19" t="inlineStr">
        <ns0:is>
          <ns0:t>Not reported in assessed sources</ns0:t>
        </ns0:is>
      </ns0:c>
      <ns0:c r="U163" s="19" t="inlineStr">
        <ns0:is>
          <ns0:t>Not reported in assessed sources</ns0:t>
        </ns0:is>
      </ns0:c>
      <ns0:c r="V163" s="19" t="inlineStr">
        <ns0:is>
          <ns0:t>Not reported in assessed sources</ns0:t>
        </ns0:is>
      </ns0:c>
      <ns0:c r="W163" s="19" t="inlineStr">
        <ns0:is>
          <ns0:t>Not reported in assessed sources</ns0:t>
        </ns0:is>
      </ns0:c>
      <ns0:c r="X163" s="19" t="inlineStr">
        <ns0:is>
          <ns0:t>Not reported in assessed sources</ns0:t>
        </ns0:is>
      </ns0:c>
      <ns0:c r="Y163" s="19" t="inlineStr">
        <ns0:is>
          <ns0:t>Not ascertainable</ns0:t>
        </ns0:is>
      </ns0:c>
      <ns0:c r="Z163" s="19" t="inlineStr">
        <ns0:is>
          <ns0:t>Reported</ns0:t>
        </ns0:is>
      </ns0:c>
      <ns0:c r="AA163" s="19" t="inlineStr">
        <ns0:is>
          <ns0:t>Not recorded</ns0:t>
        </ns0:is>
      </ns0:c>
      <ns0:c r="AB163" s="26" t="n">
        <ns0:v>0</ns0:v>
      </ns0:c>
      <ns0:c r="AC163" s="26" t="n">
        <ns0:v>0</ns0:v>
      </ns0:c>
      <ns0:c r="AD163" s="27">
        <ns0:f>IF(AND(G163=1,AB163=0),1,0)</ns0:f>
        <ns0:v>1</ns0:v>
      </ns0:c>
      <ns0:c r="AE163" s="27">
        <ns0:f>IF(AND(AD163=1,AC163=0),1,0)</ns0:f>
        <ns0:v>1</ns0:v>
      </ns0:c>
      <ns0:c r="AF163" s="27">
        <ns0:f>IF(AND(G163=1,H163&lt;&gt;"Not specified"),1,0)</ns0:f>
        <ns0:v>1</ns0:v>
      </ns0:c>
      <ns0:c r="AG163" s="27">
        <ns0:f>IF(AND(AE163=1,AF163=1),1,0)</ns0:f>
        <ns0:v>1</ns0:v>
      </ns0:c>
      <ns0:c r="AH163" s="19" t="inlineStr">
        <ns0:is>
          <ns0:t>Supplied abstract/coding notes; no new full-text verification</ns0:t>
        </ns0:is>
      </ns0:c>
      <ns0:c r="AI163" s="19" t="inlineStr">
        <ns0:is>
          <ns0:t>https://doi.org/10.1111/jcpp.13650</ns0:t>
        </ns0:is>
      </ns0:c>
      <ns0:c r="AJ163" s="19" t="inlineStr">
        <ns0:is>
          <ns0:t>EVIDENCIA; original abstract/coding notes and lot source trace; Historical signals: title/abstract/notes; full-text completion not independently established</ns0:t>
        </ns0:is>
      </ns0:c>
      <ns0:c r="AK163" s="19" t="inlineStr">
        <ns0:is>
          <ns0:t>ADOS item scores with an illustrative web app; named deployment platform is not proof of clinical use. Item importance is explicitly examined.</ns0:t>
        </ns0:is>
      </ns0:c>
      <ns0:c r="AL163" s="19" t="inlineStr">
        <ns0:is>
          <ns0:t>Not applicable</ns0:t>
        </ns0:is>
      </ns0:c>
      <ns0:c r="AM163" s="19" t="inlineStr">
        <ns0:is>
          <ns0:t>Not separately specified</ns0:t>
        </ns0:is>
      </ns0:c>
      <ns0:c r="AN163" s="19" t="inlineStr"/>
      <ns0:c r="AO163" s="19" t="inlineStr">
        <ns0:is>
          <ns0:t>No additional status determination</ns0:t>
        </ns0:is>
      </ns0:c>
      <ns0:c r="AP163" s="19" t="inlineStr">
        <ns0:is>
          <ns0:t>Not documented for this recharting</ns0:t>
        </ns0:is>
      </ns0:c>
      <ns0:c r="AQ163" s="19" t="inlineStr">
        <ns0:is>
          <ns0:t>ChatGPT-assisted evidence recharting, 2026-09-08</ns0:t>
        </ns0:is>
      </ns0:c>
      <ns0:c r="AR163" s="19" t="inlineStr">
        <ns0:is>
          <ns0:t>RA</ns0:t>
        </ns0:is>
      </ns0:c>
      <ns0:c r="AS163" s="19" t="inlineStr">
        <ns0:is>
          <ns0:t>Not recorded; historical inclusion retained</ns0:t>
        </ns0:is>
      </ns0:c>
    </ns0:row>
    <ns0:row r="164" ht="50" customHeight="1">
      <ns0:c r="A164" s="21" t="inlineStr">
        <ns0:is>
          <ns0:t>174</ns0:t>
        </ns0:is>
      </ns0:c>
      <ns0:c r="B164" s="21" t="inlineStr">
        <ns0:is>
          <ns0:t>Historical</ns0:t>
        </ns0:is>
      </ns0:c>
      <ns0:c r="C164" s="21" t="inlineStr">
        <ns0:is>
          <ns0:t>A Framework to Diagnose Autism Spectrum Disorder Using Morphological Connectivity of sMRI and XGBoost</ns0:t>
        </ns0:is>
      </ns0:c>
      <ns0:c r="D164" s="21" t="inlineStr">
        <ns0:is>
          <ns0:t>10.3233/shti230734</ns0:t>
        </ns0:is>
      </ns0:c>
      <ns0:c r="E164" s="28" t="n">
        <ns0:v>2023</ns0:v>
      </ns0:c>
      <ns0:c r="F164" s="21" t="inlineStr">
        <ns0:is>
          <ns0:t>Include</ns0:t>
        </ns0:is>
      </ns0:c>
      <ns0:c r="G164" s="29">
        <ns0:f>IF(F164="Include",1,0)</ns0:f>
        <ns0:v>1</ns0:v>
      </ns0:c>
      <ns0:c r="H164" s="21" t="inlineStr">
        <ns0:is>
          <ns0:t>Diagnosis</ns0:t>
        </ns0:is>
      </ns0:c>
      <ns0:c r="I164" s="21" t="inlineStr">
        <ns0:is>
          <ns0:t>Machine Learning</ns0:t>
        </ns0:is>
      </ns0:c>
      <ns0:c r="J164" s="21" t="inlineStr">
        <ns0:is>
          <ns0:t>Neuroimaging</ns0:t>
        </ns0:is>
      </ns0:c>
      <ns0:c r="K164" s="21" t="inlineStr">
        <ns0:is>
          <ns0:t>XGBoost</ns0:t>
        </ns0:is>
      </ns0:c>
      <ns0:c r="L164" s="21" t="inlineStr">
        <ns0:is>
          <ns0:t>Gradient boosting</ns0:t>
        </ns0:is>
      </ns0:c>
      <ns0:c r="M164" s="21" t="inlineStr">
        <ns0:is>
          <ns0:t>Research only</ns0:t>
        </ns0:is>
      </ns0:c>
      <ns0:c r="N164" s="21" t="inlineStr">
        <ns0:is>
          <ns0:t>Automated measurement/classification</ns0:t>
        </ns0:is>
      </ns0:c>
      <ns0:c r="O164" s="21" t="inlineStr">
        <ns0:is>
          <ns0:t>Not observed in assessed sources</ns0:t>
        </ns0:is>
      </ns0:c>
      <ns0:c r="P164" s="21" t="inlineStr">
        <ns0:is>
          <ns0:t>Not observed in assessed sources</ns0:t>
        </ns0:is>
      </ns0:c>
      <ns0:c r="Q164" s="21" t="inlineStr">
        <ns0:is>
          <ns0:t>Not reported in assessed sources</ns0:t>
        </ns0:is>
      </ns0:c>
      <ns0:c r="R164" s="21" t="inlineStr">
        <ns0:is>
          <ns0:t>Not reported in assessed sources</ns0:t>
        </ns0:is>
      </ns0:c>
      <ns0:c r="S164" s="21" t="inlineStr">
        <ns0:is>
          <ns0:t>Not reported in assessed sources</ns0:t>
        </ns0:is>
      </ns0:c>
      <ns0:c r="T164" s="21" t="inlineStr">
        <ns0:is>
          <ns0:t>Not reported in assessed sources</ns0:t>
        </ns0:is>
      </ns0:c>
      <ns0:c r="U164" s="21" t="inlineStr">
        <ns0:is>
          <ns0:t>Not reported in assessed sources</ns0:t>
        </ns0:is>
      </ns0:c>
      <ns0:c r="V164" s="21" t="inlineStr">
        <ns0:is>
          <ns0:t>Not reported in assessed sources</ns0:t>
        </ns0:is>
      </ns0:c>
      <ns0:c r="W164" s="21" t="inlineStr">
        <ns0:is>
          <ns0:t>Not reported in assessed sources</ns0:t>
        </ns0:is>
      </ns0:c>
      <ns0:c r="X164" s="21" t="inlineStr">
        <ns0:is>
          <ns0:t>Not reported in assessed sources</ns0:t>
        </ns0:is>
      </ns0:c>
      <ns0:c r="Y164" s="21" t="inlineStr">
        <ns0:is>
          <ns0:t>Not ascertainable</ns0:t>
        </ns0:is>
      </ns0:c>
      <ns0:c r="Z164" s="21" t="inlineStr">
        <ns0:is>
          <ns0:t>Not reported in assessed sources</ns0:t>
        </ns0:is>
      </ns0:c>
      <ns0:c r="AA164" s="21" t="inlineStr">
        <ns0:is>
          <ns0:t>Not recorded</ns0:t>
        </ns0:is>
      </ns0:c>
      <ns0:c r="AB164" s="28" t="n">
        <ns0:v>0</ns0:v>
      </ns0:c>
      <ns0:c r="AC164" s="28" t="n">
        <ns0:v>0</ns0:v>
      </ns0:c>
      <ns0:c r="AD164" s="29">
        <ns0:f>IF(AND(G164=1,AB164=0),1,0)</ns0:f>
        <ns0:v>1</ns0:v>
      </ns0:c>
      <ns0:c r="AE164" s="29">
        <ns0:f>IF(AND(AD164=1,AC164=0),1,0)</ns0:f>
        <ns0:v>1</ns0:v>
      </ns0:c>
      <ns0:c r="AF164" s="29">
        <ns0:f>IF(AND(G164=1,H164&lt;&gt;"Not specified"),1,0)</ns0:f>
        <ns0:v>1</ns0:v>
      </ns0:c>
      <ns0:c r="AG164" s="29">
        <ns0:f>IF(AND(AE164=1,AF164=1),1,0)</ns0:f>
        <ns0:v>1</ns0:v>
      </ns0:c>
      <ns0:c r="AH164" s="21" t="inlineStr">
        <ns0:is>
          <ns0:t>Supplied abstract/coding notes; no new full-text verification</ns0:t>
        </ns0:is>
      </ns0:c>
      <ns0:c r="AI164" s="21" t="inlineStr">
        <ns0:is>
          <ns0:t>https://doi.org/10.3233/shti230734</ns0:t>
        </ns0:is>
      </ns0:c>
      <ns0:c r="AJ164" s="21" t="inlineStr">
        <ns0:is>
          <ns0:t>EVIDENCIA; original abstract/coding notes and lot source trace; Historical signals: title/abstract/notes; full-text completion not independently established</ns0:t>
        </ns0:is>
      </ns0:c>
      <ns0:c r="AK164" s="21" t="inlineStr">
        <ns0:is>
          <ns0:t>sMRI morphological features and Pearson connectivity feed a boosted-tree classifier; no neural component justifies Hybrid.</ns0:t>
        </ns0:is>
      </ns0:c>
      <ns0:c r="AL164" s="21" t="inlineStr">
        <ns0:is>
          <ns0:t>Not applicable</ns0:t>
        </ns0:is>
      </ns0:c>
      <ns0:c r="AM164" s="21" t="inlineStr">
        <ns0:is>
          <ns0:t>Not separately specified</ns0:t>
        </ns0:is>
      </ns0:c>
      <ns0:c r="AN164" s="21" t="inlineStr"/>
      <ns0:c r="AO164" s="21" t="inlineStr">
        <ns0:is>
          <ns0:t>No additional status determination</ns0:t>
        </ns0:is>
      </ns0:c>
      <ns0:c r="AP164" s="21" t="inlineStr">
        <ns0:is>
          <ns0:t>Not documented for this recharting</ns0:t>
        </ns0:is>
      </ns0:c>
      <ns0:c r="AQ164" s="21" t="inlineStr">
        <ns0:is>
          <ns0:t>ChatGPT-assisted evidence recharting, 2026-09-08</ns0:t>
        </ns0:is>
      </ns0:c>
      <ns0:c r="AR164" s="21" t="inlineStr">
        <ns0:is>
          <ns0:t>RA</ns0:t>
        </ns0:is>
      </ns0:c>
      <ns0:c r="AS164" s="21" t="inlineStr">
        <ns0:is>
          <ns0:t>Not recorded; historical inclusion retained</ns0:t>
        </ns0:is>
      </ns0:c>
    </ns0:row>
    <ns0:row r="165" ht="50" customHeight="1">
      <ns0:c r="A165" s="19" t="inlineStr">
        <ns0:is>
          <ns0:t>175</ns0:t>
        </ns0:is>
      </ns0:c>
      <ns0:c r="B165" s="19" t="inlineStr">
        <ns0:is>
          <ns0:t>Historical</ns0:t>
        </ns0:is>
      </ns0:c>
      <ns0:c r="C165" s="19" t="inlineStr">
        <ns0:is>
          <ns0:t>A machine learning approach for understanding the metabolomics response of children with autism spectrum disorder to medical cannabis treatment</ns0:t>
        </ns0:is>
      </ns0:c>
      <ns0:c r="D165" s="19" t="inlineStr">
        <ns0:is>
          <ns0:t>10.1038/s41598-023-40073-0</ns0:t>
        </ns0:is>
      </ns0:c>
      <ns0:c r="E165" s="26" t="n">
        <ns0:v>2023</ns0:v>
      </ns0:c>
      <ns0:c r="F165" s="19" t="inlineStr">
        <ns0:is>
          <ns0:t>Include</ns0:t>
        </ns0:is>
      </ns0:c>
      <ns0:c r="G165" s="27">
        <ns0:f>IF(F165="Include",1,0)</ns0:f>
        <ns0:v>1</ns0:v>
      </ns0:c>
      <ns0:c r="H165" s="19" t="inlineStr">
        <ns0:is>
          <ns0:t>Monitoring/intervention</ns0:t>
        </ns0:is>
      </ns0:c>
      <ns0:c r="I165" s="19" t="inlineStr">
        <ns0:is>
          <ns0:t>Machine Learning</ns0:t>
        </ns0:is>
      </ns0:c>
      <ns0:c r="J165" s="19" t="inlineStr">
        <ns0:is>
          <ns0:t>Biological/omics</ns0:t>
        </ns0:is>
      </ns0:c>
      <ns0:c r="K165" s="19" t="inlineStr">
        <ns0:is>
          <ns0:t>Metabolomic-response machine learning; family unresolved</ns0:t>
        </ns0:is>
      </ns0:c>
      <ns0:c r="L165" s="19" t="inlineStr">
        <ns0:is>
          <ns0:t>Other specified method</ns0:t>
        </ns0:is>
      </ns0:c>
      <ns0:c r="M165" s="19" t="inlineStr">
        <ns0:is>
          <ns0:t>Research only</ns0:t>
        </ns0:is>
      </ns0:c>
      <ns0:c r="N165" s="19" t="inlineStr">
        <ns0:is>
          <ns0:t>Monitoring/longitudinal analysis</ns0:t>
        </ns0:is>
      </ns0:c>
      <ns0:c r="O165" s="19" t="inlineStr">
        <ns0:is>
          <ns0:t>Not observed in assessed sources</ns0:t>
        </ns0:is>
      </ns0:c>
      <ns0:c r="P165" s="19" t="inlineStr">
        <ns0:is>
          <ns0:t>Not observed in assessed sources</ns0:t>
        </ns0:is>
      </ns0:c>
      <ns0:c r="Q165" s="19" t="inlineStr">
        <ns0:is>
          <ns0:t>Not reported in assessed sources</ns0:t>
        </ns0:is>
      </ns0:c>
      <ns0:c r="R165" s="19" t="inlineStr">
        <ns0:is>
          <ns0:t>Not reported in assessed sources</ns0:t>
        </ns0:is>
      </ns0:c>
      <ns0:c r="S165" s="19" t="inlineStr">
        <ns0:is>
          <ns0:t>Not reported in assessed sources</ns0:t>
        </ns0:is>
      </ns0:c>
      <ns0:c r="T165" s="19" t="inlineStr">
        <ns0:is>
          <ns0:t>Not reported in assessed sources</ns0:t>
        </ns0:is>
      </ns0:c>
      <ns0:c r="U165" s="19" t="inlineStr">
        <ns0:is>
          <ns0:t>Not reported in assessed sources</ns0:t>
        </ns0:is>
      </ns0:c>
      <ns0:c r="V165" s="19" t="inlineStr">
        <ns0:is>
          <ns0:t>Not reported in assessed sources</ns0:t>
        </ns0:is>
      </ns0:c>
      <ns0:c r="W165" s="19" t="inlineStr">
        <ns0:is>
          <ns0:t>Not reported in assessed sources</ns0:t>
        </ns0:is>
      </ns0:c>
      <ns0:c r="X165" s="19" t="inlineStr">
        <ns0:is>
          <ns0:t>Not reported in assessed sources</ns0:t>
        </ns0:is>
      </ns0:c>
      <ns0:c r="Y165" s="19" t="inlineStr">
        <ns0:is>
          <ns0:t>Not ascertainable</ns0:t>
        </ns0:is>
      </ns0:c>
      <ns0:c r="Z165" s="19" t="inlineStr">
        <ns0:is>
          <ns0:t>Not reported in assessed sources</ns0:t>
        </ns0:is>
      </ns0:c>
      <ns0:c r="AA165" s="19" t="inlineStr">
        <ns0:is>
          <ns0:t>Not recorded</ns0:t>
        </ns0:is>
      </ns0:c>
      <ns0:c r="AB165" s="26" t="n">
        <ns0:v>0</ns0:v>
      </ns0:c>
      <ns0:c r="AC165" s="26" t="n">
        <ns0:v>0</ns0:v>
      </ns0:c>
      <ns0:c r="AD165" s="27">
        <ns0:f>IF(AND(G165=1,AB165=0),1,0)</ns0:f>
        <ns0:v>1</ns0:v>
      </ns0:c>
      <ns0:c r="AE165" s="27">
        <ns0:f>IF(AND(AD165=1,AC165=0),1,0)</ns0:f>
        <ns0:v>1</ns0:v>
      </ns0:c>
      <ns0:c r="AF165" s="27">
        <ns0:f>IF(AND(G165=1,H165&lt;&gt;"Not specified"),1,0)</ns0:f>
        <ns0:v>1</ns0:v>
      </ns0:c>
      <ns0:c r="AG165" s="27">
        <ns0:f>IF(AND(AE165=1,AF165=1),1,0)</ns0:f>
        <ns0:v>1</ns0:v>
      </ns0:c>
      <ns0:c r="AH165" s="19" t="inlineStr">
        <ns0:is>
          <ns0:t>Supplied abstract/coding notes; no new full-text verification</ns0:t>
        </ns0:is>
      </ns0:c>
      <ns0:c r="AI165" s="19" t="inlineStr">
        <ns0:is>
          <ns0:t>https://doi.org/10.1038/s41598-023-40073-0</ns0:t>
        </ns0:is>
      </ns0:c>
      <ns0:c r="AJ165" s="19" t="inlineStr">
        <ns0:is>
          <ns0:t>EVIDENCIA; original abstract/coding notes and lot source trace; Historical signals: title/abstract/notes; full-text completion not independently established</ns0:t>
        </ns0:is>
      </ns0:c>
      <ns0:c r="AK165" s="19" t="inlineStr">
        <ns0:is>
          <ns0:t>Post hoc before/after treatment biomarker analysis; AI was not shown to prescribe cannabis, adapt treatment, or improve clinical outcomes.</ns0:t>
        </ns0:is>
      </ns0:c>
      <ns0:c r="AL165" s="19" t="inlineStr">
        <ns0:is>
          <ns0:t>Not applicable</ns0:t>
        </ns0:is>
      </ns0:c>
      <ns0:c r="AM165" s="19" t="inlineStr">
        <ns0:is>
          <ns0:t>Not separately specified</ns0:t>
        </ns0:is>
      </ns0:c>
      <ns0:c r="AN165" s="19" t="inlineStr"/>
      <ns0:c r="AO165" s="19" t="inlineStr">
        <ns0:is>
          <ns0:t>No additional status determination</ns0:t>
        </ns0:is>
      </ns0:c>
      <ns0:c r="AP165" s="19" t="inlineStr">
        <ns0:is>
          <ns0:t>Not documented for this recharting</ns0:t>
        </ns0:is>
      </ns0:c>
      <ns0:c r="AQ165" s="19" t="inlineStr">
        <ns0:is>
          <ns0:t>ChatGPT-assisted evidence recharting, 2026-09-08</ns0:t>
        </ns0:is>
      </ns0:c>
      <ns0:c r="AR165" s="19" t="inlineStr">
        <ns0:is>
          <ns0:t>RA</ns0:t>
        </ns0:is>
      </ns0:c>
      <ns0:c r="AS165" s="19" t="inlineStr">
        <ns0:is>
          <ns0:t>Not recorded; historical inclusion retained</ns0:t>
        </ns0:is>
      </ns0:c>
    </ns0:row>
    <ns0:row r="166" ht="50" customHeight="1">
      <ns0:c r="A166" s="21" t="inlineStr">
        <ns0:is>
          <ns0:t>177</ns0:t>
        </ns0:is>
      </ns0:c>
      <ns0:c r="B166" s="21" t="inlineStr">
        <ns0:is>
          <ns0:t>Historical</ns0:t>
        </ns0:is>
      </ns0:c>
      <ns0:c r="C166" s="21" t="inlineStr">
        <ns0:is>
          <ns0:t>Aided Diagnosis of\&amp;#xa0;Autism Spectrum Disorder Based on\&amp;#xa0;a\&amp;#xa0;Mixed Neural Network Model</ns0:t>
        </ns0:is>
      </ns0:c>
      <ns0:c r="D166" s="21" t="inlineStr">
        <ns0:is>
          <ns0:t>10.1007/978-981-99-8141-0_12</ns0:t>
        </ns0:is>
      </ns0:c>
      <ns0:c r="E166" s="28" t="n">
        <ns0:v>2024</ns0:v>
      </ns0:c>
      <ns0:c r="F166" s="21" t="inlineStr">
        <ns0:is>
          <ns0:t>Include</ns0:t>
        </ns0:is>
      </ns0:c>
      <ns0:c r="G166" s="29">
        <ns0:f>IF(F166="Include",1,0)</ns0:f>
        <ns0:v>1</ns0:v>
      </ns0:c>
      <ns0:c r="H166" s="21" t="inlineStr">
        <ns0:is>
          <ns0:t>Diagnosis</ns0:t>
        </ns0:is>
      </ns0:c>
      <ns0:c r="I166" s="21" t="inlineStr">
        <ns0:is>
          <ns0:t>Deep Learning</ns0:t>
        </ns0:is>
      </ns0:c>
      <ns0:c r="J166" s="21" t="inlineStr">
        <ns0:is>
          <ns0:t>Neuroimaging</ns0:t>
        </ns0:is>
      </ns0:c>
      <ns0:c r="K166" s="21" t="inlineStr">
        <ns0:is>
          <ns0:t>Mixed CNN-GNN (MCG-Net)</ns0:t>
        </ns0:is>
      </ns0:c>
      <ns0:c r="L166" s="21" t="inlineStr">
        <ns0:is>
          <ns0:t>Composite/ensemble pipeline</ns0:t>
        </ns0:is>
      </ns0:c>
      <ns0:c r="M166" s="21" t="inlineStr">
        <ns0:is>
          <ns0:t>Research only</ns0:t>
        </ns0:is>
      </ns0:c>
      <ns0:c r="N166" s="21" t="inlineStr">
        <ns0:is>
          <ns0:t>Automated measurement/classification</ns0:t>
        </ns0:is>
      </ns0:c>
      <ns0:c r="O166" s="21" t="inlineStr">
        <ns0:is>
          <ns0:t>Not observed in assessed sources</ns0:t>
        </ns0:is>
      </ns0:c>
      <ns0:c r="P166" s="21" t="inlineStr">
        <ns0:is>
          <ns0:t>Not observed in assessed sources</ns0:t>
        </ns0:is>
      </ns0:c>
      <ns0:c r="Q166" s="21" t="inlineStr">
        <ns0:is>
          <ns0:t>Not reported in assessed sources</ns0:t>
        </ns0:is>
      </ns0:c>
      <ns0:c r="R166" s="21" t="inlineStr">
        <ns0:is>
          <ns0:t>Not reported in assessed sources</ns0:t>
        </ns0:is>
      </ns0:c>
      <ns0:c r="S166" s="21" t="inlineStr">
        <ns0:is>
          <ns0:t>Not reported in assessed sources</ns0:t>
        </ns0:is>
      </ns0:c>
      <ns0:c r="T166" s="21" t="inlineStr">
        <ns0:is>
          <ns0:t>Not reported in assessed sources</ns0:t>
        </ns0:is>
      </ns0:c>
      <ns0:c r="U166" s="21" t="inlineStr">
        <ns0:is>
          <ns0:t>Not reported in assessed sources</ns0:t>
        </ns0:is>
      </ns0:c>
      <ns0:c r="V166" s="21" t="inlineStr">
        <ns0:is>
          <ns0:t>Reported</ns0:t>
        </ns0:is>
      </ns0:c>
      <ns0:c r="W166" s="21" t="inlineStr">
        <ns0:is>
          <ns0:t>Not reported in assessed sources</ns0:t>
        </ns0:is>
      </ns0:c>
      <ns0:c r="X166" s="21" t="inlineStr">
        <ns0:is>
          <ns0:t>Not reported in assessed sources</ns0:t>
        </ns0:is>
      </ns0:c>
      <ns0:c r="Y166" s="21" t="inlineStr">
        <ns0:is>
          <ns0:t>Not ascertainable</ns0:t>
        </ns0:is>
      </ns0:c>
      <ns0:c r="Z166" s="21" t="inlineStr">
        <ns0:is>
          <ns0:t>Not reported in assessed sources</ns0:t>
        </ns0:is>
      </ns0:c>
      <ns0:c r="AA166" s="21" t="inlineStr">
        <ns0:is>
          <ns0:t>Not recorded</ns0:t>
        </ns0:is>
      </ns0:c>
      <ns0:c r="AB166" s="28" t="n">
        <ns0:v>0</ns0:v>
      </ns0:c>
      <ns0:c r="AC166" s="28" t="n">
        <ns0:v>0</ns0:v>
      </ns0:c>
      <ns0:c r="AD166" s="29">
        <ns0:f>IF(AND(G166=1,AB166=0),1,0)</ns0:f>
        <ns0:v>1</ns0:v>
      </ns0:c>
      <ns0:c r="AE166" s="29">
        <ns0:f>IF(AND(AD166=1,AC166=0),1,0)</ns0:f>
        <ns0:v>1</ns0:v>
      </ns0:c>
      <ns0:c r="AF166" s="29">
        <ns0:f>IF(AND(G166=1,H166&lt;&gt;"Not specified"),1,0)</ns0:f>
        <ns0:v>1</ns0:v>
      </ns0:c>
      <ns0:c r="AG166" s="29">
        <ns0:f>IF(AND(AE166=1,AF166=1),1,0)</ns0:f>
        <ns0:v>1</ns0:v>
      </ns0:c>
      <ns0:c r="AH166" s="21" t="inlineStr">
        <ns0:is>
          <ns0:t>Supplied abstract/coding notes; no new full-text verification</ns0:t>
        </ns0:is>
      </ns0:c>
      <ns0:c r="AI166" s="21" t="inlineStr">
        <ns0:is>
          <ns0:t>https://doi.org/10.1007/978-981-99-8141-0_12</ns0:t>
        </ns0:is>
      </ns0:c>
      <ns0:c r="AJ166" s="21" t="inlineStr">
        <ns0:is>
          <ns0:t>EVIDENCIA; original abstract/coding notes and lot source trace; Historical signals: title/abstract/notes; full-text completion not independently established</ns0:t>
        </ns0:is>
      </ns0:c>
      <ns0:c r="AK166" s="21" t="inlineStr">
        <ns0:is>
          <ns0:t>fMRI connectivity and gradient features are derived from the same imaging source; multiple representations do not constitute multisource integration.</ns0:t>
        </ns0:is>
      </ns0:c>
      <ns0:c r="AL166" s="21" t="inlineStr">
        <ns0:is>
          <ns0:t>Not applicable</ns0:t>
        </ns0:is>
      </ns0:c>
      <ns0:c r="AM166" s="21" t="inlineStr">
        <ns0:is>
          <ns0:t>Not separately specified</ns0:t>
        </ns0:is>
      </ns0:c>
      <ns0:c r="AN166" s="21" t="inlineStr"/>
      <ns0:c r="AO166" s="21" t="inlineStr">
        <ns0:is>
          <ns0:t>No additional status determination</ns0:t>
        </ns0:is>
      </ns0:c>
      <ns0:c r="AP166" s="21" t="inlineStr">
        <ns0:is>
          <ns0:t>Not documented for this recharting</ns0:t>
        </ns0:is>
      </ns0:c>
      <ns0:c r="AQ166" s="21" t="inlineStr">
        <ns0:is>
          <ns0:t>ChatGPT-assisted evidence recharting, 2026-09-08</ns0:t>
        </ns0:is>
      </ns0:c>
      <ns0:c r="AR166" s="21" t="inlineStr">
        <ns0:is>
          <ns0:t>RA</ns0:t>
        </ns0:is>
      </ns0:c>
      <ns0:c r="AS166" s="21" t="inlineStr">
        <ns0:is>
          <ns0:t>Not recorded; historical inclusion retained</ns0:t>
        </ns0:is>
      </ns0:c>
    </ns0:row>
    <ns0:row r="167" ht="50" customHeight="1">
      <ns0:c r="A167" s="19" t="inlineStr">
        <ns0:is>
          <ns0:t>178</ns0:t>
        </ns0:is>
      </ns0:c>
      <ns0:c r="B167" s="19" t="inlineStr">
        <ns0:is>
          <ns0:t>Historical</ns0:t>
        </ns0:is>
      </ns0:c>
      <ns0:c r="C167" s="19" t="inlineStr">
        <ns0:is>
          <ns0:t>Application of Single-Nucleotide Polymorphisms in the Diagnosis of Autism Spectrum Disorders: A Preliminary Study with Artificial Neural Networks</ns0:t>
        </ns0:is>
      </ns0:c>
      <ns0:c r="D167" s="19" t="inlineStr">
        <ns0:is>
          <ns0:t>10.1007/s12031-019-01311-1</ns0:t>
        </ns0:is>
      </ns0:c>
      <ns0:c r="E167" s="26" t="n">
        <ns0:v>2019</ns0:v>
      </ns0:c>
      <ns0:c r="F167" s="19" t="inlineStr">
        <ns0:is>
          <ns0:t>Include</ns0:t>
        </ns0:is>
      </ns0:c>
      <ns0:c r="G167" s="27">
        <ns0:f>IF(F167="Include",1,0)</ns0:f>
        <ns0:v>1</ns0:v>
      </ns0:c>
      <ns0:c r="H167" s="19" t="inlineStr">
        <ns0:is>
          <ns0:t>Diagnosis</ns0:t>
        </ns0:is>
      </ns0:c>
      <ns0:c r="I167" s="19" t="inlineStr">
        <ns0:is>
          <ns0:t>Machine Learning</ns0:t>
        </ns0:is>
      </ns0:c>
      <ns0:c r="J167" s="19" t="inlineStr">
        <ns0:is>
          <ns0:t>Biological/omics</ns0:t>
        </ns0:is>
      </ns0:c>
      <ns0:c r="K167" s="19" t="inlineStr">
        <ns0:is>
          <ns0:t>Artificial neural network; depth unresolved</ns0:t>
        </ns0:is>
      </ns0:c>
      <ns0:c r="L167" s="19" t="inlineStr">
        <ns0:is>
          <ns0:t>MLP/ANN</ns0:t>
        </ns0:is>
      </ns0:c>
      <ns0:c r="M167" s="19" t="inlineStr">
        <ns0:is>
          <ns0:t>Research only</ns0:t>
        </ns0:is>
      </ns0:c>
      <ns0:c r="N167" s="19" t="inlineStr">
        <ns0:is>
          <ns0:t>Automated measurement/classification</ns0:t>
        </ns0:is>
      </ns0:c>
      <ns0:c r="O167" s="19" t="inlineStr">
        <ns0:is>
          <ns0:t>Not observed in assessed sources</ns0:t>
        </ns0:is>
      </ns0:c>
      <ns0:c r="P167" s="19" t="inlineStr">
        <ns0:is>
          <ns0:t>Not observed in assessed sources</ns0:t>
        </ns0:is>
      </ns0:c>
      <ns0:c r="Q167" s="19" t="inlineStr">
        <ns0:is>
          <ns0:t>Not reported in assessed sources</ns0:t>
        </ns0:is>
      </ns0:c>
      <ns0:c r="R167" s="19" t="inlineStr">
        <ns0:is>
          <ns0:t>Not reported in assessed sources</ns0:t>
        </ns0:is>
      </ns0:c>
      <ns0:c r="S167" s="19" t="inlineStr">
        <ns0:is>
          <ns0:t>Reported</ns0:t>
        </ns0:is>
      </ns0:c>
      <ns0:c r="T167" s="19" t="inlineStr">
        <ns0:is>
          <ns0:t>Reported</ns0:t>
        </ns0:is>
      </ns0:c>
      <ns0:c r="U167" s="19" t="inlineStr">
        <ns0:is>
          <ns0:t>Not reported in assessed sources</ns0:t>
        </ns0:is>
      </ns0:c>
      <ns0:c r="V167" s="19" t="inlineStr">
        <ns0:is>
          <ns0:t>Not reported in assessed sources</ns0:t>
        </ns0:is>
      </ns0:c>
      <ns0:c r="W167" s="19" t="inlineStr">
        <ns0:is>
          <ns0:t>Not reported in assessed sources</ns0:t>
        </ns0:is>
      </ns0:c>
      <ns0:c r="X167" s="19" t="inlineStr">
        <ns0:is>
          <ns0:t>Not reported in assessed sources</ns0:t>
        </ns0:is>
      </ns0:c>
      <ns0:c r="Y167" s="19" t="inlineStr">
        <ns0:is>
          <ns0:t>Not ascertainable</ns0:t>
        </ns0:is>
      </ns0:c>
      <ns0:c r="Z167" s="19" t="inlineStr">
        <ns0:is>
          <ns0:t>Not reported in assessed sources</ns0:t>
        </ns0:is>
      </ns0:c>
      <ns0:c r="AA167" s="19" t="inlineStr">
        <ns0:is>
          <ns0:t>Not recorded</ns0:t>
        </ns0:is>
      </ns0:c>
      <ns0:c r="AB167" s="26" t="n">
        <ns0:v>0</ns0:v>
      </ns0:c>
      <ns0:c r="AC167" s="26" t="n">
        <ns0:v>0</ns0:v>
      </ns0:c>
      <ns0:c r="AD167" s="27">
        <ns0:f>IF(AND(G167=1,AB167=0),1,0)</ns0:f>
        <ns0:v>1</ns0:v>
      </ns0:c>
      <ns0:c r="AE167" s="27">
        <ns0:f>IF(AND(AD167=1,AC167=0),1,0)</ns0:f>
        <ns0:v>1</ns0:v>
      </ns0:c>
      <ns0:c r="AF167" s="27">
        <ns0:f>IF(AND(G167=1,H167&lt;&gt;"Not specified"),1,0)</ns0:f>
        <ns0:v>1</ns0:v>
      </ns0:c>
      <ns0:c r="AG167" s="27">
        <ns0:f>IF(AND(AE167=1,AF167=1),1,0)</ns0:f>
        <ns0:v>1</ns0:v>
      </ns0:c>
      <ns0:c r="AH167" s="19" t="inlineStr">
        <ns0:is>
          <ns0:t>Supplied abstract/coding notes; no new full-text verification</ns0:t>
        </ns0:is>
      </ns0:c>
      <ns0:c r="AI167" s="19" t="inlineStr">
        <ns0:is>
          <ns0:t>https://doi.org/10.1007/s12031-019-01311-1</ns0:t>
        </ns0:is>
      </ns0:c>
      <ns0:c r="AJ167" s="19" t="inlineStr">
        <ns0:is>
          <ns0:t>EVIDENCIA; original abstract/coding notes and lot source trace; Historical signals: title/abstract/notes; full-text completion not independently established</ns0:t>
        </ns0:is>
      </ns0:c>
      <ns0:c r="AK167" s="19" t="inlineStr">
        <ns0:is>
          <ns0:t>Human SNP classification with explicit LIME explanations and internal ten-fold validation. Use of Keras alone does not establish deep architecture.</ns0:t>
        </ns0:is>
      </ns0:c>
      <ns0:c r="AL167" s="19" t="inlineStr">
        <ns0:is>
          <ns0:t>Not applicable</ns0:t>
        </ns0:is>
      </ns0:c>
      <ns0:c r="AM167" s="19" t="inlineStr">
        <ns0:is>
          <ns0:t>Not separately specified</ns0:t>
        </ns0:is>
      </ns0:c>
      <ns0:c r="AN167" s="19" t="inlineStr"/>
      <ns0:c r="AO167" s="19" t="inlineStr">
        <ns0:is>
          <ns0:t>No additional status determination</ns0:t>
        </ns0:is>
      </ns0:c>
      <ns0:c r="AP167" s="19" t="inlineStr">
        <ns0:is>
          <ns0:t>Not documented for this recharting</ns0:t>
        </ns0:is>
      </ns0:c>
      <ns0:c r="AQ167" s="19" t="inlineStr">
        <ns0:is>
          <ns0:t>ChatGPT-assisted evidence recharting, 2026-09-08</ns0:t>
        </ns0:is>
      </ns0:c>
      <ns0:c r="AR167" s="19" t="inlineStr"/>
      <ns0:c r="AS167" s="19" t="inlineStr">
        <ns0:is>
          <ns0:t>Not recorded; historical inclusion retained</ns0:t>
        </ns0:is>
      </ns0:c>
    </ns0:row>
    <ns0:row r="168" ht="50" customHeight="1">
      <ns0:c r="A168" s="21" t="inlineStr">
        <ns0:is>
          <ns0:t>179</ns0:t>
        </ns0:is>
      </ns0:c>
      <ns0:c r="B168" s="21" t="inlineStr">
        <ns0:is>
          <ns0:t>Historical</ns0:t>
        </ns0:is>
      </ns0:c>
      <ns0:c r="C168" s="21" t="inlineStr">
        <ns0:is>
          <ns0:t>Autism spectrum disorder detection with machine learning methods</ns0:t>
        </ns0:is>
      </ns0:c>
      <ns0:c r="D168" s="21" t="inlineStr">
        <ns0:is>
          <ns0:t>10.2174/2666082215666191111121115</ns0:t>
        </ns0:is>
      </ns0:c>
      <ns0:c r="E168" s="28" t="n">
        <ns0:v>2019</ns0:v>
      </ns0:c>
      <ns0:c r="F168" s="21" t="inlineStr">
        <ns0:is>
          <ns0:t>Include</ns0:t>
        </ns0:is>
      </ns0:c>
      <ns0:c r="G168" s="29">
        <ns0:f>IF(F168="Include",1,0)</ns0:f>
        <ns0:v>1</ns0:v>
      </ns0:c>
      <ns0:c r="H168" s="21" t="inlineStr">
        <ns0:is>
          <ns0:t>Screening</ns0:t>
        </ns0:is>
      </ns0:c>
      <ns0:c r="I168" s="21" t="inlineStr">
        <ns0:is>
          <ns0:t>Machine Learning</ns0:t>
        </ns0:is>
      </ns0:c>
      <ns0:c r="J168" s="21" t="inlineStr">
        <ns0:is>
          <ns0:t>Structured clinical/questionnaire data</ns0:t>
        </ns0:is>
      </ns0:c>
      <ns0:c r="K168" s="21" t="inlineStr">
        <ns0:is>
          <ns0:t>Random forest</ns0:t>
        </ns0:is>
      </ns0:c>
      <ns0:c r="L168" s="21" t="inlineStr">
        <ns0:is>
          <ns0:t>Random forest</ns0:t>
        </ns0:is>
      </ns0:c>
      <ns0:c r="M168" s="21" t="inlineStr">
        <ns0:is>
          <ns0:t>Research only</ns0:t>
        </ns0:is>
      </ns0:c>
      <ns0:c r="N168" s="21" t="inlineStr">
        <ns0:is>
          <ns0:t>Triage/questionnaire assessment</ns0:t>
        </ns0:is>
      </ns0:c>
      <ns0:c r="O168" s="21" t="inlineStr">
        <ns0:is>
          <ns0:t>Not observed in assessed sources</ns0:t>
        </ns0:is>
      </ns0:c>
      <ns0:c r="P168" s="21" t="inlineStr">
        <ns0:is>
          <ns0:t>Not observed in assessed sources</ns0:t>
        </ns0:is>
      </ns0:c>
      <ns0:c r="Q168" s="21" t="inlineStr">
        <ns0:is>
          <ns0:t>Not reported in assessed sources</ns0:t>
        </ns0:is>
      </ns0:c>
      <ns0:c r="R168" s="21" t="inlineStr">
        <ns0:is>
          <ns0:t>Not reported in assessed sources</ns0:t>
        </ns0:is>
      </ns0:c>
      <ns0:c r="S168" s="21" t="inlineStr">
        <ns0:is>
          <ns0:t>Not reported in assessed sources</ns0:t>
        </ns0:is>
      </ns0:c>
      <ns0:c r="T168" s="21" t="inlineStr">
        <ns0:is>
          <ns0:t>Not reported in assessed sources</ns0:t>
        </ns0:is>
      </ns0:c>
      <ns0:c r="U168" s="21" t="inlineStr">
        <ns0:is>
          <ns0:t>Not reported in assessed sources</ns0:t>
        </ns0:is>
      </ns0:c>
      <ns0:c r="V168" s="21" t="inlineStr">
        <ns0:is>
          <ns0:t>Not reported in assessed sources</ns0:t>
        </ns0:is>
      </ns0:c>
      <ns0:c r="W168" s="21" t="inlineStr">
        <ns0:is>
          <ns0:t>Not reported in assessed sources</ns0:t>
        </ns0:is>
      </ns0:c>
      <ns0:c r="X168" s="21" t="inlineStr">
        <ns0:is>
          <ns0:t>Not reported in assessed sources</ns0:t>
        </ns0:is>
      </ns0:c>
      <ns0:c r="Y168" s="21" t="inlineStr">
        <ns0:is>
          <ns0:t>Not ascertainable</ns0:t>
        </ns0:is>
      </ns0:c>
      <ns0:c r="Z168" s="21" t="inlineStr">
        <ns0:is>
          <ns0:t>Not reported in assessed sources</ns0:t>
        </ns0:is>
      </ns0:c>
      <ns0:c r="AA168" s="21" t="inlineStr">
        <ns0:is>
          <ns0:t>Not recorded</ns0:t>
        </ns0:is>
      </ns0:c>
      <ns0:c r="AB168" s="28" t="n">
        <ns0:v>0</ns0:v>
      </ns0:c>
      <ns0:c r="AC168" s="28" t="n">
        <ns0:v>0</ns0:v>
      </ns0:c>
      <ns0:c r="AD168" s="29">
        <ns0:f>IF(AND(G168=1,AB168=0),1,0)</ns0:f>
        <ns0:v>1</ns0:v>
      </ns0:c>
      <ns0:c r="AE168" s="29">
        <ns0:f>IF(AND(AD168=1,AC168=0),1,0)</ns0:f>
        <ns0:v>1</ns0:v>
      </ns0:c>
      <ns0:c r="AF168" s="29">
        <ns0:f>IF(AND(G168=1,H168&lt;&gt;"Not specified"),1,0)</ns0:f>
        <ns0:v>1</ns0:v>
      </ns0:c>
      <ns0:c r="AG168" s="29">
        <ns0:f>IF(AND(AE168=1,AF168=1),1,0)</ns0:f>
        <ns0:v>1</ns0:v>
      </ns0:c>
      <ns0:c r="AH168" s="21" t="inlineStr">
        <ns0:is>
          <ns0:t>Supplied abstract/coding notes; no new full-text verification</ns0:t>
        </ns0:is>
      </ns0:c>
      <ns0:c r="AI168" s="21" t="inlineStr">
        <ns0:is>
          <ns0:t>https://doi.org/10.2174/2666082215666191111121115</ns0:t>
        </ns0:is>
      </ns0:c>
      <ns0:c r="AJ168" s="21" t="inlineStr">
        <ns0:is>
          <ns0:t>EVIDENCIA; original abstract/coding notes and lot source trace; Historical signals: title/abstract/notes; full-text completion not independently established</ns0:t>
        </ns0:is>
      </ns0:c>
      <ns0:c r="AK168" s="21" t="inlineStr">
        <ns0:is>
          <ns0:t>Age-specific questionnaire screening datasets; random holdout repeated 100 times is internal validation. RF is the reported best performer.</ns0:t>
        </ns0:is>
      </ns0:c>
      <ns0:c r="AL168" s="21" t="inlineStr">
        <ns0:is>
          <ns0:t>Not applicable</ns0:t>
        </ns0:is>
      </ns0:c>
      <ns0:c r="AM168" s="21" t="inlineStr">
        <ns0:is>
          <ns0:t>Not separately specified</ns0:t>
        </ns0:is>
      </ns0:c>
      <ns0:c r="AN168" s="21" t="inlineStr"/>
      <ns0:c r="AO168" s="21" t="inlineStr">
        <ns0:is>
          <ns0:t>No additional status determination</ns0:t>
        </ns0:is>
      </ns0:c>
      <ns0:c r="AP168" s="21" t="inlineStr">
        <ns0:is>
          <ns0:t>Not documented for this recharting</ns0:t>
        </ns0:is>
      </ns0:c>
      <ns0:c r="AQ168" s="21" t="inlineStr">
        <ns0:is>
          <ns0:t>ChatGPT-assisted evidence recharting, 2026-09-08</ns0:t>
        </ns0:is>
      </ns0:c>
      <ns0:c r="AR168" s="21" t="inlineStr">
        <ns0:is>
          <ns0:t>RA</ns0:t>
        </ns0:is>
      </ns0:c>
      <ns0:c r="AS168" s="21" t="inlineStr">
        <ns0:is>
          <ns0:t>Not recorded; historical inclusion retained</ns0:t>
        </ns0:is>
      </ns0:c>
    </ns0:row>
    <ns0:row r="169" ht="50" customHeight="1">
      <ns0:c r="A169" s="19" t="inlineStr">
        <ns0:is>
          <ns0:t>180</ns0:t>
        </ns0:is>
      </ns0:c>
      <ns0:c r="B169" s="19" t="inlineStr">
        <ns0:is>
          <ns0:t>Historical</ns0:t>
        </ns0:is>
      </ns0:c>
      <ns0:c r="C169" s="19" t="inlineStr">
        <ns0:is>
          <ns0:t>Biosignal comparison for autism assessment using machine learning models and virtual reality</ns0:t>
        </ns0:is>
      </ns0:c>
      <ns0:c r="D169" s="19" t="inlineStr">
        <ns0:is>
          <ns0:t>10.1016/j.compbiomed.2024.108194</ns0:t>
        </ns0:is>
      </ns0:c>
      <ns0:c r="E169" s="26" t="n">
        <ns0:v>2024</ns0:v>
      </ns0:c>
      <ns0:c r="F169" s="19" t="inlineStr">
        <ns0:is>
          <ns0:t>Include</ns0:t>
        </ns0:is>
      </ns0:c>
      <ns0:c r="G169" s="27">
        <ns0:f>IF(F169="Include",1,0)</ns0:f>
        <ns0:v>1</ns0:v>
      </ns0:c>
      <ns0:c r="H169" s="19" t="inlineStr">
        <ns0:is>
          <ns0:t>Screening</ns0:t>
        </ns0:is>
      </ns0:c>
      <ns0:c r="I169" s="19" t="inlineStr">
        <ns0:is>
          <ns0:t>Machine Learning</ns0:t>
        </ns0:is>
      </ns0:c>
      <ns0:c r="J169" s="19" t="inlineStr">
        <ns0:is>
          <ns0:t>Behavioral images/video/gaze/movement</ns0:t>
        </ns0:is>
      </ns0:c>
      <ns0:c r="K169" s="19" t="inlineStr">
        <ns0:is>
          <ns0:t>Linear SVC with recursive feature elimination</ns0:t>
        </ns0:is>
      </ns0:c>
      <ns0:c r="L169" s="19" t="inlineStr">
        <ns0:is>
          <ns0:t>SVM</ns0:t>
        </ns0:is>
      </ns0:c>
      <ns0:c r="M169" s="19" t="inlineStr">
        <ns0:is>
          <ns0:t>Research only</ns0:t>
        </ns0:is>
      </ns0:c>
      <ns0:c r="N169" s="19" t="inlineStr">
        <ns0:is>
          <ns0:t>Automated measurement/classification</ns0:t>
        </ns0:is>
      </ns0:c>
      <ns0:c r="O169" s="19" t="inlineStr">
        <ns0:is>
          <ns0:t>Not observed in assessed sources</ns0:t>
        </ns0:is>
      </ns0:c>
      <ns0:c r="P169" s="19" t="inlineStr">
        <ns0:is>
          <ns0:t>Not observed in assessed sources</ns0:t>
        </ns0:is>
      </ns0:c>
      <ns0:c r="Q169" s="19" t="inlineStr">
        <ns0:is>
          <ns0:t>Not reported in assessed sources</ns0:t>
        </ns0:is>
      </ns0:c>
      <ns0:c r="R169" s="19" t="inlineStr">
        <ns0:is>
          <ns0:t>Not reported in assessed sources</ns0:t>
        </ns0:is>
      </ns0:c>
      <ns0:c r="S169" s="19" t="inlineStr">
        <ns0:is>
          <ns0:t>Not reported in assessed sources</ns0:t>
        </ns0:is>
      </ns0:c>
      <ns0:c r="T169" s="19" t="inlineStr">
        <ns0:is>
          <ns0:t>Not reported in assessed sources</ns0:t>
        </ns0:is>
      </ns0:c>
      <ns0:c r="U169" s="19" t="inlineStr">
        <ns0:is>
          <ns0:t>Not reported in assessed sources</ns0:t>
        </ns0:is>
      </ns0:c>
      <ns0:c r="V169" s="19" t="inlineStr">
        <ns0:is>
          <ns0:t>Not reported in assessed sources</ns0:t>
        </ns0:is>
      </ns0:c>
      <ns0:c r="W169" s="19" t="inlineStr">
        <ns0:is>
          <ns0:t>Reported</ns0:t>
        </ns0:is>
      </ns0:c>
      <ns0:c r="X169" s="19" t="inlineStr">
        <ns0:is>
          <ns0:t>Not reported in assessed sources</ns0:t>
        </ns0:is>
      </ns0:c>
      <ns0:c r="Y169" s="19" t="inlineStr">
        <ns0:is>
          <ns0:t>Not ascertainable</ns0:t>
        </ns0:is>
      </ns0:c>
      <ns0:c r="Z169" s="19" t="inlineStr">
        <ns0:is>
          <ns0:t>Not reported in assessed sources</ns0:t>
        </ns0:is>
      </ns0:c>
      <ns0:c r="AA169" s="19" t="inlineStr">
        <ns0:is>
          <ns0:t>Not recorded</ns0:t>
        </ns0:is>
      </ns0:c>
      <ns0:c r="AB169" s="26" t="n">
        <ns0:v>0</ns0:v>
      </ns0:c>
      <ns0:c r="AC169" s="26" t="n">
        <ns0:v>0</ns0:v>
      </ns0:c>
      <ns0:c r="AD169" s="27">
        <ns0:f>IF(AND(G169=1,AB169=0),1,0)</ns0:f>
        <ns0:v>1</ns0:v>
      </ns0:c>
      <ns0:c r="AE169" s="27">
        <ns0:f>IF(AND(AD169=1,AC169=0),1,0)</ns0:f>
        <ns0:v>1</ns0:v>
      </ns0:c>
      <ns0:c r="AF169" s="27">
        <ns0:f>IF(AND(G169=1,H169&lt;&gt;"Not specified"),1,0)</ns0:f>
        <ns0:v>1</ns0:v>
      </ns0:c>
      <ns0:c r="AG169" s="27">
        <ns0:f>IF(AND(AE169=1,AF169=1),1,0)</ns0:f>
        <ns0:v>1</ns0:v>
      </ns0:c>
      <ns0:c r="AH169" s="19" t="inlineStr">
        <ns0:is>
          <ns0:t>Supplied abstract/coding notes; no new full-text verification</ns0:t>
        </ns0:is>
      </ns0:c>
      <ns0:c r="AI169" s="19" t="inlineStr">
        <ns0:is>
          <ns0:t>https://doi.org/10.1016/j.compbiomed.2024.108194</ns0:t>
        </ns0:is>
      </ns0:c>
      <ns0:c r="AJ169" s="19" t="inlineStr">
        <ns0:is>
          <ns0:t>EVIDENCIA; original abstract/coding notes and lot source trace; Historical signals: title/abstract/notes; full-text completion not independently established</ns0:t>
        </ns0:is>
      </ns0:c>
      <ns0:c r="AK169" s="19" t="inlineStr">
        <ns0:is>
          <ns0:t>Motor, gaze and task responses in VR are behavioral measurements. Separate modality-specific models are compared; scenes within a modality are combined, not necessarily cross-modality fusion.</ns0:t>
        </ns0:is>
      </ns0:c>
      <ns0:c r="AL169" s="19" t="inlineStr">
        <ns0:is>
          <ns0:t>Not applicable</ns0:t>
        </ns0:is>
      </ns0:c>
      <ns0:c r="AM169" s="19" t="inlineStr">
        <ns0:is>
          <ns0:t>Not separately specified</ns0:t>
        </ns0:is>
      </ns0:c>
      <ns0:c r="AN169" s="19" t="inlineStr"/>
      <ns0:c r="AO169" s="19" t="inlineStr">
        <ns0:is>
          <ns0:t>No additional status determination</ns0:t>
        </ns0:is>
      </ns0:c>
      <ns0:c r="AP169" s="19" t="inlineStr">
        <ns0:is>
          <ns0:t>Not documented for this recharting</ns0:t>
        </ns0:is>
      </ns0:c>
      <ns0:c r="AQ169" s="19" t="inlineStr">
        <ns0:is>
          <ns0:t>ChatGPT-assisted evidence recharting, 2026-09-08</ns0:t>
        </ns0:is>
      </ns0:c>
      <ns0:c r="AR169" s="19" t="inlineStr">
        <ns0:is>
          <ns0:t>RA</ns0:t>
        </ns0:is>
      </ns0:c>
      <ns0:c r="AS169" s="19" t="inlineStr">
        <ns0:is>
          <ns0:t>Not recorded; historical inclusion retained</ns0:t>
        </ns0:is>
      </ns0:c>
    </ns0:row>
    <ns0:row r="170" ht="50" customHeight="1">
      <ns0:c r="A170" s="21" t="inlineStr">
        <ns0:is>
          <ns0:t>182</ns0:t>
        </ns0:is>
      </ns0:c>
      <ns0:c r="B170" s="21" t="inlineStr">
        <ns0:is>
          <ns0:t>Historical</ns0:t>
        </ns0:is>
      </ns0:c>
      <ns0:c r="C170" s="21" t="inlineStr">
        <ns0:is>
          <ns0:t>COMBINED ANALYSIS OF THE ORAL MICROBIOME AND MICROTRANSCRIPTOME OF AUTISM SPECTRUM DISORDER</ns0:t>
        </ns0:is>
      </ns0:c>
      <ns0:c r="D170" s="21" t="inlineStr">
        <ns0:is>
          <ns0:t>10.1016/j.euroneuro.2017.08.321</ns0:t>
        </ns0:is>
      </ns0:c>
      <ns0:c r="E170" s="28" t="n">
        <ns0:v>2019</ns0:v>
      </ns0:c>
      <ns0:c r="F170" s="30" t="inlineStr">
        <ns0:is>
          <ns0:t>Exclude</ns0:t>
        </ns0:is>
      </ns0:c>
      <ns0:c r="G170" s="29">
        <ns0:f>IF(F170="Include",1,0)</ns0:f>
        <ns0:v>0</ns0:v>
      </ns0:c>
      <ns0:c r="H170" s="21" t="inlineStr">
        <ns0:is>
          <ns0:t>Excluded</ns0:t>
        </ns0:is>
      </ns0:c>
      <ns0:c r="I170" s="21" t="inlineStr">
        <ns0:is>
          <ns0:t>Excluded</ns0:t>
        </ns0:is>
      </ns0:c>
      <ns0:c r="J170" s="21" t="inlineStr">
        <ns0:is>
          <ns0:t>Excluded</ns0:t>
        </ns0:is>
      </ns0:c>
      <ns0:c r="K170" s="21" t="inlineStr">
        <ns0:is>
          <ns0:t>Not clear</ns0:t>
        </ns0:is>
      </ns0:c>
      <ns0:c r="L170" s="21" t="inlineStr">
        <ns0:is>
          <ns0:t>Other specified method</ns0:t>
        </ns0:is>
      </ns0:c>
      <ns0:c r="M170" s="21" t="inlineStr">
        <ns0:is>
          <ns0:t>Excluded</ns0:t>
        </ns0:is>
      </ns0:c>
      <ns0:c r="N170" s="21" t="inlineStr">
        <ns0:is>
          <ns0:t>Excluded</ns0:t>
        </ns0:is>
      </ns0:c>
      <ns0:c r="O170" s="21" t="inlineStr">
        <ns0:is>
          <ns0:t>Not applicable - excluded</ns0:t>
        </ns0:is>
      </ns0:c>
      <ns0:c r="P170" s="21" t="inlineStr">
        <ns0:is>
          <ns0:t>Not applicable - excluded</ns0:t>
        </ns0:is>
      </ns0:c>
      <ns0:c r="Q170" s="21" t="inlineStr">
        <ns0:is>
          <ns0:t>Not reported in assessed sources</ns0:t>
        </ns0:is>
      </ns0:c>
      <ns0:c r="R170" s="21" t="inlineStr">
        <ns0:is>
          <ns0:t>Not ascertainable</ns0:t>
        </ns0:is>
      </ns0:c>
      <ns0:c r="S170" s="21" t="inlineStr">
        <ns0:is>
          <ns0:t>Not reported in assessed sources</ns0:t>
        </ns0:is>
      </ns0:c>
      <ns0:c r="T170" s="21" t="inlineStr">
        <ns0:is>
          <ns0:t>Not reported in assessed sources</ns0:t>
        </ns0:is>
      </ns0:c>
      <ns0:c r="U170" s="21" t="inlineStr">
        <ns0:is>
          <ns0:t>Not reported in assessed sources</ns0:t>
        </ns0:is>
      </ns0:c>
      <ns0:c r="V170" s="21" t="inlineStr">
        <ns0:is>
          <ns0:t>Not reported in assessed sources</ns0:t>
        </ns0:is>
      </ns0:c>
      <ns0:c r="W170" s="21" t="inlineStr">
        <ns0:is>
          <ns0:t>Reported</ns0:t>
        </ns0:is>
      </ns0:c>
      <ns0:c r="X170" s="21" t="inlineStr">
        <ns0:is>
          <ns0:t>Not reported in assessed sources</ns0:t>
        </ns0:is>
      </ns0:c>
      <ns0:c r="Y170" s="21" t="inlineStr">
        <ns0:is>
          <ns0:t>Not ascertainable</ns0:t>
        </ns0:is>
      </ns0:c>
      <ns0:c r="Z170" s="21" t="inlineStr">
        <ns0:is>
          <ns0:t>Not reported in assessed sources</ns0:t>
        </ns0:is>
      </ns0:c>
      <ns0:c r="AA170" s="21" t="inlineStr">
        <ns0:is>
          <ns0:t>Not recorded</ns0:t>
        </ns0:is>
      </ns0:c>
      <ns0:c r="AB170" s="28" t="n">
        <ns0:v>0</ns0:v>
      </ns0:c>
      <ns0:c r="AC170" s="28" t="n">
        <ns0:v>0</ns0:v>
      </ns0:c>
      <ns0:c r="AD170" s="29">
        <ns0:f>IF(AND(G170=1,AB170=0),1,0)</ns0:f>
        <ns0:v>0</ns0:v>
      </ns0:c>
      <ns0:c r="AE170" s="29">
        <ns0:f>IF(AND(AD170=1,AC170=0),1,0)</ns0:f>
        <ns0:v>0</ns0:v>
      </ns0:c>
      <ns0:c r="AF170" s="29">
        <ns0:f>IF(AND(G170=1,H170&lt;&gt;"Not specified"),1,0)</ns0:f>
        <ns0:v>0</ns0:v>
      </ns0:c>
      <ns0:c r="AG170" s="29">
        <ns0:f>IF(AND(AE170=1,AF170=1),1,0)</ns0:f>
        <ns0:v>0</ns0:v>
      </ns0:c>
      <ns0:c r="AH170" s="21" t="inlineStr">
        <ns0:is>
          <ns0:t>Supplied abstract/coding notes; no new full-text verification</ns0:t>
        </ns0:is>
      </ns0:c>
      <ns0:c r="AI170" s="21" t="inlineStr">
        <ns0:is>
          <ns0:t>https://doi.org/10.1016/j.euroneuro.2017.08.321</ns0:t>
        </ns0:is>
      </ns0:c>
      <ns0:c r="AJ170" s="21" t="inlineStr">
        <ns0:is>
          <ns0:t>EVIDENCIA; original abstract/coding notes and lot source trace; Historical signals: title/abstract/notes; full-text completion not independently established</ns0:t>
        </ns0:is>
      </ns0:c>
      <ns0:c r="AK170" s="21" t="inlineStr">
        <ns0:is>
          <ns0:t>Conference-supplement abstract in European Neuropsychopharmacology, not a full eligible primary report.</ns0:t>
        </ns0:is>
      </ns0:c>
      <ns0:c r="AL170" s="21" t="inlineStr">
        <ns0:is>
          <ns0:t>EC1 Ineligible publication type</ns0:t>
        </ns0:is>
      </ns0:c>
      <ns0:c r="AM170" s="21" t="inlineStr">
        <ns0:is>
          <ns0:t>Not separately specified</ns0:t>
        </ns0:is>
      </ns0:c>
      <ns0:c r="AN170" s="21" t="inlineStr"/>
      <ns0:c r="AO170" s="21" t="inlineStr">
        <ns0:is>
          <ns0:t>No additional status determination</ns0:t>
        </ns0:is>
      </ns0:c>
      <ns0:c r="AP170" s="21" t="inlineStr">
        <ns0:is>
          <ns0:t>Not documented for this recharting</ns0:t>
        </ns0:is>
      </ns0:c>
      <ns0:c r="AQ170" s="21" t="inlineStr">
        <ns0:is>
          <ns0:t>ChatGPT-assisted evidence recharting, 2026-09-08</ns0:t>
        </ns0:is>
      </ns0:c>
      <ns0:c r="AR170" s="21" t="inlineStr"/>
      <ns0:c r="AS170" s="21" t="inlineStr">
        <ns0:is>
          <ns0:t>Not recorded; historical inclusion retained</ns0:t>
        </ns0:is>
      </ns0:c>
    </ns0:row>
    <ns0:row r="171" ht="50" customHeight="1">
      <ns0:c r="A171" s="19" t="inlineStr">
        <ns0:is>
          <ns0:t>183</ns0:t>
        </ns0:is>
      </ns0:c>
      <ns0:c r="B171" s="19" t="inlineStr">
        <ns0:is>
          <ns0:t>Historical</ns0:t>
        </ns0:is>
      </ns0:c>
      <ns0:c r="C171" s="19" t="inlineStr">
        <ns0:is>
          <ns0:t>Computational Methods to Measure Patterns of Gaze in Toddlers with Autism Spectrum Disorder</ns0:t>
        </ns0:is>
      </ns0:c>
      <ns0:c r="D171" s="19" t="inlineStr">
        <ns0:is>
          <ns0:t>10.1001/jamapediatrics.2021.0530</ns0:t>
        </ns0:is>
      </ns0:c>
      <ns0:c r="E171" s="26" t="n">
        <ns0:v>2021</ns0:v>
      </ns0:c>
      <ns0:c r="F171" s="19" t="inlineStr">
        <ns0:is>
          <ns0:t>Include</ns0:t>
        </ns0:is>
      </ns0:c>
      <ns0:c r="G171" s="27">
        <ns0:f>IF(F171="Include",1,0)</ns0:f>
        <ns0:v>1</ns0:v>
      </ns0:c>
      <ns0:c r="H171" s="19" t="inlineStr">
        <ns0:is>
          <ns0:t>Screening</ns0:t>
        </ns0:is>
      </ns0:c>
      <ns0:c r="I171" s="19" t="inlineStr">
        <ns0:is>
          <ns0:t>Not specified</ns0:t>
        </ns0:is>
      </ns0:c>
      <ns0:c r="J171" s="19" t="inlineStr">
        <ns0:is>
          <ns0:t>Behavioral images/video/gaze/movement</ns0:t>
        </ns0:is>
      </ns0:c>
      <ns0:c r="K171" s="19" t="inlineStr">
        <ns0:is>
          <ns0:t>Computer-vision gaze quantification; architecture unresolved</ns0:t>
        </ns0:is>
      </ns0:c>
      <ns0:c r="L171" s="19" t="inlineStr">
        <ns0:is>
          <ns0:t>Other specified method</ns0:t>
        </ns0:is>
      </ns0:c>
      <ns0:c r="M171" s="19" t="inlineStr">
        <ns0:is>
          <ns0:t>Evaluated at point of use</ns0:t>
        </ns0:is>
      </ns0:c>
      <ns0:c r="N171" s="19" t="inlineStr">
        <ns0:is>
          <ns0:t>Mobile assessment</ns0:t>
        </ns0:is>
      </ns0:c>
      <ns0:c r="O171" s="19" t="inlineStr">
        <ns0:is>
          <ns0:t>Pre-decision</ns0:t>
        </ns0:is>
      </ns0:c>
      <ns0:c r="P171" s="19" t="inlineStr">
        <ns0:is>
          <ns0:t>Pre-decision</ns0:t>
        </ns0:is>
      </ns0:c>
      <ns0:c r="Q171" s="19" t="inlineStr">
        <ns0:is>
          <ns0:t>Not reported in assessed sources</ns0:t>
        </ns0:is>
      </ns0:c>
      <ns0:c r="R171" s="19" t="inlineStr">
        <ns0:is>
          <ns0:t>Not reported in assessed sources</ns0:t>
        </ns0:is>
      </ns0:c>
      <ns0:c r="S171" s="19" t="inlineStr">
        <ns0:is>
          <ns0:t>Reported</ns0:t>
        </ns0:is>
      </ns0:c>
      <ns0:c r="T171" s="19" t="inlineStr">
        <ns0:is>
          <ns0:t>Not reported in assessed sources</ns0:t>
        </ns0:is>
      </ns0:c>
      <ns0:c r="U171" s="19" t="inlineStr">
        <ns0:is>
          <ns0:t>Not reported in assessed sources</ns0:t>
        </ns0:is>
      </ns0:c>
      <ns0:c r="V171" s="19" t="inlineStr">
        <ns0:is>
          <ns0:t>Not reported in assessed sources</ns0:t>
        </ns0:is>
      </ns0:c>
      <ns0:c r="W171" s="19" t="inlineStr">
        <ns0:is>
          <ns0:t>Not reported in assessed sources</ns0:t>
        </ns0:is>
      </ns0:c>
      <ns0:c r="X171" s="19" t="inlineStr">
        <ns0:is>
          <ns0:t>Reported</ns0:t>
        </ns0:is>
      </ns0:c>
      <ns0:c r="Y171" s="19" t="inlineStr">
        <ns0:is>
          <ns0:t>Reported</ns0:t>
        </ns0:is>
      </ns0:c>
      <ns0:c r="Z171" s="19" t="inlineStr">
        <ns0:is>
          <ns0:t>Reported</ns0:t>
        </ns0:is>
      </ns0:c>
      <ns0:c r="AA171" s="19" t="inlineStr">
        <ns0:is>
          <ns0:t>Not recorded</ns0:t>
        </ns0:is>
      </ns0:c>
      <ns0:c r="AB171" s="26" t="n">
        <ns0:v>0</ns0:v>
      </ns0:c>
      <ns0:c r="AC171" s="26" t="n">
        <ns0:v>0</ns0:v>
      </ns0:c>
      <ns0:c r="AD171" s="27">
        <ns0:f>IF(AND(G171=1,AB171=0),1,0)</ns0:f>
        <ns0:v>1</ns0:v>
      </ns0:c>
      <ns0:c r="AE171" s="27">
        <ns0:f>IF(AND(AD171=1,AC171=0),1,0)</ns0:f>
        <ns0:v>1</ns0:v>
      </ns0:c>
      <ns0:c r="AF171" s="27">
        <ns0:f>IF(AND(G171=1,H171&lt;&gt;"Not specified"),1,0)</ns0:f>
        <ns0:v>1</ns0:v>
      </ns0:c>
      <ns0:c r="AG171" s="27">
        <ns0:f>IF(AND(AE171=1,AF171=1),1,0)</ns0:f>
        <ns0:v>1</ns0:v>
      </ns0:c>
      <ns0:c r="AH171" s="19" t="inlineStr">
        <ns0:is>
          <ns0:t>Supplied abstract/coding notes; no new full-text verification</ns0:t>
        </ns0:is>
      </ns0:c>
      <ns0:c r="AI171" s="19" t="inlineStr">
        <ns0:is>
          <ns0:t>https://doi.org/10.1001/jamapediatrics.2021.0530</ns0:t>
        </ns0:is>
      </ns0:c>
      <ns0:c r="AJ171" s="19" t="inlineStr">
        <ns0:is>
          <ns0:t>EVIDENCIA; original abstract/coding notes and lot source trace; Historical signals: title/abstract/notes; full-text completion not independently established</ns0:t>
        </ns0:is>
      </ns0:c>
      <ns0:c r="AK171" s="19" t="inlineStr">
        <ns0:is>
          <ns0:t>Prospective pediatric well-child app measurement is explicit. Gaze quantification and group comparison are not necessarily external validation of a trained ASD classifier.</ns0:t>
        </ns0:is>
      </ns0:c>
      <ns0:c r="AL171" s="19" t="inlineStr">
        <ns0:is>
          <ns0:t>Not applicable</ns0:t>
        </ns0:is>
      </ns0:c>
      <ns0:c r="AM171" s="19" t="inlineStr">
        <ns0:is>
          <ns0:t>Not separately specified</ns0:t>
        </ns0:is>
      </ns0:c>
      <ns0:c r="AN171" s="19" t="inlineStr"/>
      <ns0:c r="AO171" s="19" t="inlineStr">
        <ns0:is>
          <ns0:t>No additional status determination</ns0:t>
        </ns0:is>
      </ns0:c>
      <ns0:c r="AP171" s="19" t="inlineStr">
        <ns0:is>
          <ns0:t>Not documented for this recharting</ns0:t>
        </ns0:is>
      </ns0:c>
      <ns0:c r="AQ171" s="19" t="inlineStr">
        <ns0:is>
          <ns0:t>ChatGPT-assisted evidence recharting, 2026-09-08</ns0:t>
        </ns0:is>
      </ns0:c>
      <ns0:c r="AR171" s="19" t="inlineStr"/>
      <ns0:c r="AS171" s="19" t="inlineStr">
        <ns0:is>
          <ns0:t>Not recorded; historical inclusion retained</ns0:t>
        </ns0:is>
      </ns0:c>
    </ns0:row>
    <ns0:row r="172" ht="50" customHeight="1">
      <ns0:c r="A172" s="21" t="inlineStr">
        <ns0:is>
          <ns0:t>184</ns0:t>
        </ns0:is>
      </ns0:c>
      <ns0:c r="B172" s="21" t="inlineStr">
        <ns0:is>
          <ns0:t>Historical</ns0:t>
        </ns0:is>
      </ns0:c>
      <ns0:c r="C172" s="21" t="inlineStr">
        <ns0:is>
          <ns0:t>Computerized Assessment of Motor Imitation as a Scalable Method for Distinguishing Children With Autism</ns0:t>
        </ns0:is>
      </ns0:c>
      <ns0:c r="D172" s="21" t="inlineStr">
        <ns0:is>
          <ns0:t>10.1016/j.bpsc.2020.09.001</ns0:t>
        </ns0:is>
      </ns0:c>
      <ns0:c r="E172" s="28" t="n">
        <ns0:v>2021</ns0:v>
      </ns0:c>
      <ns0:c r="F172" s="21" t="inlineStr">
        <ns0:is>
          <ns0:t>Include</ns0:t>
        </ns0:is>
      </ns0:c>
      <ns0:c r="G172" s="29">
        <ns0:f>IF(F172="Include",1,0)</ns0:f>
        <ns0:v>1</ns0:v>
      </ns0:c>
      <ns0:c r="H172" s="21" t="inlineStr">
        <ns0:is>
          <ns0:t>Diagnosis</ns0:t>
        </ns0:is>
      </ns0:c>
      <ns0:c r="I172" s="21" t="inlineStr">
        <ns0:is>
          <ns0:t>Machine Learning</ns0:t>
        </ns0:is>
      </ns0:c>
      <ns0:c r="J172" s="21" t="inlineStr">
        <ns0:is>
          <ns0:t>Behavioral images/video/gaze/movement</ns0:t>
        </ns0:is>
      </ns0:c>
      <ns0:c r="K172" s="21" t="inlineStr">
        <ns0:is>
          <ns0:t>Metric learning with dynamic time warping (CAMI)</ns0:t>
        </ns0:is>
      </ns0:c>
      <ns0:c r="L172" s="21" t="inlineStr">
        <ns0:is>
          <ns0:t>Other specified method</ns0:t>
        </ns0:is>
      </ns0:c>
      <ns0:c r="M172" s="21" t="inlineStr">
        <ns0:is>
          <ns0:t>Proposed only</ns0:t>
        </ns0:is>
      </ns0:c>
      <ns0:c r="N172" s="21" t="inlineStr">
        <ns0:is>
          <ns0:t>Automated measurement/classification</ns0:t>
        </ns0:is>
      </ns0:c>
      <ns0:c r="O172" s="21" t="inlineStr">
        <ns0:is>
          <ns0:t>In-decision</ns0:t>
        </ns0:is>
      </ns0:c>
      <ns0:c r="P172" s="21" t="inlineStr">
        <ns0:is>
          <ns0:t>Not observed in assessed sources</ns0:t>
        </ns0:is>
      </ns0:c>
      <ns0:c r="Q172" s="21" t="inlineStr">
        <ns0:is>
          <ns0:t>Not reported in assessed sources</ns0:t>
        </ns0:is>
      </ns0:c>
      <ns0:c r="R172" s="21" t="inlineStr">
        <ns0:is>
          <ns0:t>Not reported in assessed sources</ns0:t>
        </ns0:is>
      </ns0:c>
      <ns0:c r="S172" s="21" t="inlineStr">
        <ns0:is>
          <ns0:t>Reported</ns0:t>
        </ns0:is>
      </ns0:c>
      <ns0:c r="T172" s="21" t="inlineStr">
        <ns0:is>
          <ns0:t>Not reported in assessed sources</ns0:t>
        </ns0:is>
      </ns0:c>
      <ns0:c r="U172" s="21" t="inlineStr">
        <ns0:is>
          <ns0:t>Not reported in assessed sources</ns0:t>
        </ns0:is>
      </ns0:c>
      <ns0:c r="V172" s="21" t="inlineStr">
        <ns0:is>
          <ns0:t>Not reported in assessed sources</ns0:t>
        </ns0:is>
      </ns0:c>
      <ns0:c r="W172" s="21" t="inlineStr">
        <ns0:is>
          <ns0:t>Not reported in assessed sources</ns0:t>
        </ns0:is>
      </ns0:c>
      <ns0:c r="X172" s="21" t="inlineStr">
        <ns0:is>
          <ns0:t>Not reported in assessed sources</ns0:t>
        </ns0:is>
      </ns0:c>
      <ns0:c r="Y172" s="21" t="inlineStr">
        <ns0:is>
          <ns0:t>Not ascertainable</ns0:t>
        </ns0:is>
      </ns0:c>
      <ns0:c r="Z172" s="21" t="inlineStr">
        <ns0:is>
          <ns0:t>Reported</ns0:t>
        </ns0:is>
      </ns0:c>
      <ns0:c r="AA172" s="21" t="inlineStr">
        <ns0:is>
          <ns0:t>Not recorded</ns0:t>
        </ns0:is>
      </ns0:c>
      <ns0:c r="AB172" s="28" t="n">
        <ns0:v>0</ns0:v>
      </ns0:c>
      <ns0:c r="AC172" s="28" t="n">
        <ns0:v>0</ns0:v>
      </ns0:c>
      <ns0:c r="AD172" s="29">
        <ns0:f>IF(AND(G172=1,AB172=0),1,0)</ns0:f>
        <ns0:v>1</ns0:v>
      </ns0:c>
      <ns0:c r="AE172" s="29">
        <ns0:f>IF(AND(AD172=1,AC172=0),1,0)</ns0:f>
        <ns0:v>1</ns0:v>
      </ns0:c>
      <ns0:c r="AF172" s="29">
        <ns0:f>IF(AND(G172=1,H172&lt;&gt;"Not specified"),1,0)</ns0:f>
        <ns0:v>1</ns0:v>
      </ns0:c>
      <ns0:c r="AG172" s="29">
        <ns0:f>IF(AND(AE172=1,AF172=1),1,0)</ns0:f>
        <ns0:v>1</ns0:v>
      </ns0:c>
      <ns0:c r="AH172" s="21" t="inlineStr">
        <ns0:is>
          <ns0:t>Supplied abstract/coding notes; no new full-text verification</ns0:t>
        </ns0:is>
      </ns0:c>
      <ns0:c r="AI172" s="21" t="inlineStr">
        <ns0:is>
          <ns0:t>https://doi.org/10.1016/j.bpsc.2020.09.001</ns0:t>
        </ns0:is>
      </ns0:c>
      <ns0:c r="AJ172" s="21" t="inlineStr">
        <ns0:is>
          <ns0:t>EVIDENCIA; original abstract/coding notes and lot source trace; Historical signals: title/abstract/notes; full-text completion not independently established</ns0:t>
        </ns0:is>
      </ns0:c>
      <ns0:c r="AK172" s="21" t="inlineStr">
        <ns0:is>
          <ns0:t>Objective motor imitation measurement with interpretable similarity scores, compared with human coding; not neural image classification or a tested intervention.</ns0:t>
        </ns0:is>
      </ns0:c>
      <ns0:c r="AL172" s="21" t="inlineStr">
        <ns0:is>
          <ns0:t>Not applicable</ns0:t>
        </ns0:is>
      </ns0:c>
      <ns0:c r="AM172" s="21" t="inlineStr">
        <ns0:is>
          <ns0:t>Not separately specified</ns0:t>
        </ns0:is>
      </ns0:c>
      <ns0:c r="AN172" s="21" t="inlineStr"/>
      <ns0:c r="AO172" s="21" t="inlineStr">
        <ns0:is>
          <ns0:t>No additional status determination</ns0:t>
        </ns0:is>
      </ns0:c>
      <ns0:c r="AP172" s="21" t="inlineStr">
        <ns0:is>
          <ns0:t>Not documented for this recharting</ns0:t>
        </ns0:is>
      </ns0:c>
      <ns0:c r="AQ172" s="21" t="inlineStr">
        <ns0:is>
          <ns0:t>ChatGPT-assisted evidence recharting, 2026-09-08</ns0:t>
        </ns0:is>
      </ns0:c>
      <ns0:c r="AR172" s="21" t="inlineStr">
        <ns0:is>
          <ns0:t>RA</ns0:t>
        </ns0:is>
      </ns0:c>
      <ns0:c r="AS172" s="21" t="inlineStr">
        <ns0:is>
          <ns0:t>Not recorded; historical inclusion retained</ns0:t>
        </ns0:is>
      </ns0:c>
    </ns0:row>
    <ns0:row r="173" ht="50" customHeight="1">
      <ns0:c r="A173" s="19" t="inlineStr">
        <ns0:is>
          <ns0:t>185</ns0:t>
        </ns0:is>
      </ns0:c>
      <ns0:c r="B173" s="19" t="inlineStr">
        <ns0:is>
          <ns0:t>Historical</ns0:t>
        </ns0:is>
      </ns0:c>
      <ns0:c r="C173" s="19" t="inlineStr">
        <ns0:is>
          <ns0:t>Construction of ASD Intervention System Based On Neural Network Model</ns0:t>
        </ns0:is>
      </ns0:c>
      <ns0:c r="D173" s="19" t="inlineStr">
        <ns0:is>
          <ns0:t>10.1016/j.procs.2025.05.032</ns0:t>
        </ns0:is>
      </ns0:c>
      <ns0:c r="E173" s="26" t="n">
        <ns0:v>2025</ns0:v>
      </ns0:c>
      <ns0:c r="F173" s="19" t="inlineStr">
        <ns0:is>
          <ns0:t>Include</ns0:t>
        </ns0:is>
      </ns0:c>
      <ns0:c r="G173" s="27">
        <ns0:f>IF(F173="Include",1,0)</ns0:f>
        <ns0:v>1</ns0:v>
      </ns0:c>
      <ns0:c r="H173" s="19" t="inlineStr">
        <ns0:is>
          <ns0:t>Monitoring/intervention</ns0:t>
        </ns0:is>
      </ns0:c>
      <ns0:c r="I173" s="19" t="inlineStr">
        <ns0:is>
          <ns0:t>Deep Learning</ns0:t>
        </ns0:is>
      </ns0:c>
      <ns0:c r="J173" s="19" t="inlineStr">
        <ns0:is>
          <ns0:t>Multiple source categories</ns0:t>
        </ns0:is>
      </ns0:c>
      <ns0:c r="K173" s="19" t="inlineStr">
        <ns0:is>
          <ns0:t>CNN-LSTM</ns0:t>
        </ns0:is>
      </ns0:c>
      <ns0:c r="L173" s="19" t="inlineStr">
        <ns0:is>
          <ns0:t>Composite/ensemble pipeline</ns0:t>
        </ns0:is>
      </ns0:c>
      <ns0:c r="M173" s="19" t="inlineStr">
        <ns0:is>
          <ns0:t>Proposed only</ns0:t>
        </ns0:is>
      </ns0:c>
      <ns0:c r="N173" s="19" t="inlineStr">
        <ns0:is>
          <ns0:t>Adaptive intervention</ns0:t>
        </ns0:is>
      </ns0:c>
      <ns0:c r="O173" s="19" t="inlineStr">
        <ns0:is>
          <ns0:t>Post-decision</ns0:t>
        </ns0:is>
      </ns0:c>
      <ns0:c r="P173" s="19" t="inlineStr">
        <ns0:is>
          <ns0:t>Not observed in assessed sources</ns0:t>
        </ns0:is>
      </ns0:c>
      <ns0:c r="Q173" s="19" t="inlineStr">
        <ns0:is>
          <ns0:t>Not reported in assessed sources</ns0:t>
        </ns0:is>
      </ns0:c>
      <ns0:c r="R173" s="19" t="inlineStr">
        <ns0:is>
          <ns0:t>Reported</ns0:t>
        </ns0:is>
      </ns0:c>
      <ns0:c r="S173" s="19" t="inlineStr">
        <ns0:is>
          <ns0:t>Not reported in assessed sources</ns0:t>
        </ns0:is>
      </ns0:c>
      <ns0:c r="T173" s="19" t="inlineStr">
        <ns0:is>
          <ns0:t>Not reported in assessed sources</ns0:t>
        </ns0:is>
      </ns0:c>
      <ns0:c r="U173" s="19" t="inlineStr">
        <ns0:is>
          <ns0:t>Not reported in assessed sources</ns0:t>
        </ns0:is>
      </ns0:c>
      <ns0:c r="V173" s="19" t="inlineStr">
        <ns0:is>
          <ns0:t>Not reported in assessed sources</ns0:t>
        </ns0:is>
      </ns0:c>
      <ns0:c r="W173" s="19" t="inlineStr">
        <ns0:is>
          <ns0:t>Reported</ns0:t>
        </ns0:is>
      </ns0:c>
      <ns0:c r="X173" s="19" t="inlineStr">
        <ns0:is>
          <ns0:t>Not reported in assessed sources</ns0:t>
        </ns0:is>
      </ns0:c>
      <ns0:c r="Y173" s="19" t="inlineStr">
        <ns0:is>
          <ns0:t>Not ascertainable</ns0:t>
        </ns0:is>
      </ns0:c>
      <ns0:c r="Z173" s="19" t="inlineStr">
        <ns0:is>
          <ns0:t>Not reported in assessed sources</ns0:t>
        </ns0:is>
      </ns0:c>
      <ns0:c r="AA173" s="19" t="inlineStr">
        <ns0:is>
          <ns0:t>Not recorded</ns0:t>
        </ns0:is>
      </ns0:c>
      <ns0:c r="AB173" s="26" t="n">
        <ns0:v>0</ns0:v>
      </ns0:c>
      <ns0:c r="AC173" s="26" t="n">
        <ns0:v>0</ns0:v>
      </ns0:c>
      <ns0:c r="AD173" s="27">
        <ns0:f>IF(AND(G173=1,AB173=0),1,0)</ns0:f>
        <ns0:v>1</ns0:v>
      </ns0:c>
      <ns0:c r="AE173" s="27">
        <ns0:f>IF(AND(AD173=1,AC173=0),1,0)</ns0:f>
        <ns0:v>1</ns0:v>
      </ns0:c>
      <ns0:c r="AF173" s="27">
        <ns0:f>IF(AND(G173=1,H173&lt;&gt;"Not specified"),1,0)</ns0:f>
        <ns0:v>1</ns0:v>
      </ns0:c>
      <ns0:c r="AG173" s="27">
        <ns0:f>IF(AND(AE173=1,AF173=1),1,0)</ns0:f>
        <ns0:v>1</ns0:v>
      </ns0:c>
      <ns0:c r="AH173" s="19" t="inlineStr">
        <ns0:is>
          <ns0:t>Supplied abstract/coding notes; no new full-text verification</ns0:t>
        </ns0:is>
      </ns0:c>
      <ns0:c r="AI173" s="19" t="inlineStr">
        <ns0:is>
          <ns0:t>https://doi.org/10.1016/j.procs.2025.05.032</ns0:t>
        </ns0:is>
      </ns0:c>
      <ns0:c r="AJ173" s="19" t="inlineStr">
        <ns0:is>
          <ns0:t>EVIDENCIA; original abstract/coding notes and lot source trace; Historical signals: title/abstract/notes; full-text completion not independently established</ns0:t>
        </ns0:is>
      </ns0:c>
      <ns0:c r="AK173" s="19" t="inlineStr">
        <ns0:is>
          <ns0:t>Reported video/sensor behavior prediction and designed adaptive intervention. Prediction accuracy alone does not demonstrate that AI-guided treatment was delivered or effective.
Real-time adaptive system is designed; patient-level delivery, allocation, outcomes and decision impact are not established by the supplied prediction metrics.</ns0:t>
        </ns0:is>
      </ns0:c>
      <ns0:c r="AL173" s="19" t="inlineStr">
        <ns0:is>
          <ns0:t>Not applicable</ns0:t>
        </ns0:is>
      </ns0:c>
      <ns0:c r="AM173" s="19" t="inlineStr">
        <ns0:is>
          <ns0:t>Not separately specified</ns0:t>
        </ns0:is>
      </ns0:c>
      <ns0:c r="AN173" s="19" t="inlineStr"/>
      <ns0:c r="AO173" s="19" t="inlineStr">
        <ns0:is>
          <ns0:t>No additional status determination</ns0:t>
        </ns0:is>
      </ns0:c>
      <ns0:c r="AP173" s="19" t="inlineStr">
        <ns0:is>
          <ns0:t>Not documented for this recharting</ns0:t>
        </ns0:is>
      </ns0:c>
      <ns0:c r="AQ173" s="19" t="inlineStr">
        <ns0:is>
          <ns0:t>ChatGPT-assisted evidence recharting, 2026-09-08</ns0:t>
        </ns0:is>
      </ns0:c>
      <ns0:c r="AR173" s="19" t="inlineStr">
        <ns0:is>
          <ns0:t>RA</ns0:t>
        </ns0:is>
      </ns0:c>
      <ns0:c r="AS173" s="19" t="inlineStr">
        <ns0:is>
          <ns0:t>Not recorded; historical inclusion retained</ns0:t>
        </ns0:is>
      </ns0:c>
    </ns0:row>
    <ns0:row r="174" ht="50" customHeight="1">
      <ns0:c r="A174" s="21" t="inlineStr">
        <ns0:is>
          <ns0:t>186</ns0:t>
        </ns0:is>
      </ns0:c>
      <ns0:c r="B174" s="21" t="inlineStr">
        <ns0:is>
          <ns0:t>Historical</ns0:t>
        </ns0:is>
      </ns0:c>
      <ns0:c r="C174" s="21" t="inlineStr">
        <ns0:is>
          <ns0:t>Decoding Autism: Uncovering patterns in brain connectivity through sparsity analysis with rs-fMRI data</ns0:t>
        </ns0:is>
      </ns0:c>
      <ns0:c r="D174" s="21" t="inlineStr">
        <ns0:is>
          <ns0:t>10.1016/j.jneumeth.2024.110100</ns0:t>
        </ns0:is>
      </ns0:c>
      <ns0:c r="E174" s="28" t="n">
        <ns0:v>2024</ns0:v>
      </ns0:c>
      <ns0:c r="F174" s="21" t="inlineStr">
        <ns0:is>
          <ns0:t>Include</ns0:t>
        </ns0:is>
      </ns0:c>
      <ns0:c r="G174" s="29">
        <ns0:f>IF(F174="Include",1,0)</ns0:f>
        <ns0:v>1</ns0:v>
      </ns0:c>
      <ns0:c r="H174" s="21" t="inlineStr">
        <ns0:is>
          <ns0:t>Diagnosis</ns0:t>
        </ns0:is>
      </ns0:c>
      <ns0:c r="I174" s="21" t="inlineStr">
        <ns0:is>
          <ns0:t>Deep Learning</ns0:t>
        </ns0:is>
      </ns0:c>
      <ns0:c r="J174" s="21" t="inlineStr">
        <ns0:is>
          <ns0:t>Neuroimaging</ns0:t>
        </ns0:is>
      </ns0:c>
      <ns0:c r="K174" s="21" t="inlineStr">
        <ns0:is>
          <ns0:t>1D CNN</ns0:t>
        </ns0:is>
      </ns0:c>
      <ns0:c r="L174" s="21" t="inlineStr">
        <ns0:is>
          <ns0:t>CNN</ns0:t>
        </ns0:is>
      </ns0:c>
      <ns0:c r="M174" s="21" t="inlineStr">
        <ns0:is>
          <ns0:t>Research only</ns0:t>
        </ns0:is>
      </ns0:c>
      <ns0:c r="N174" s="21" t="inlineStr">
        <ns0:is>
          <ns0:t>Automated measurement/classification</ns0:t>
        </ns0:is>
      </ns0:c>
      <ns0:c r="O174" s="21" t="inlineStr">
        <ns0:is>
          <ns0:t>Not observed in assessed sources</ns0:t>
        </ns0:is>
      </ns0:c>
      <ns0:c r="P174" s="21" t="inlineStr">
        <ns0:is>
          <ns0:t>Not observed in assessed sources</ns0:t>
        </ns0:is>
      </ns0:c>
      <ns0:c r="Q174" s="21" t="inlineStr">
        <ns0:is>
          <ns0:t>Not reported in assessed sources</ns0:t>
        </ns0:is>
      </ns0:c>
      <ns0:c r="R174" s="21" t="inlineStr">
        <ns0:is>
          <ns0:t>Not reported in assessed sources</ns0:t>
        </ns0:is>
      </ns0:c>
      <ns0:c r="S174" s="21" t="inlineStr">
        <ns0:is>
          <ns0:t>Not reported in assessed sources</ns0:t>
        </ns0:is>
      </ns0:c>
      <ns0:c r="T174" s="21" t="inlineStr">
        <ns0:is>
          <ns0:t>Not reported in assessed sources</ns0:t>
        </ns0:is>
      </ns0:c>
      <ns0:c r="U174" s="21" t="inlineStr">
        <ns0:is>
          <ns0:t>Not reported in assessed sources</ns0:t>
        </ns0:is>
      </ns0:c>
      <ns0:c r="V174" s="21" t="inlineStr">
        <ns0:is>
          <ns0:t>Not reported in assessed sources</ns0:t>
        </ns0:is>
      </ns0:c>
      <ns0:c r="W174" s="21" t="inlineStr">
        <ns0:is>
          <ns0:t>Not reported in assessed sources</ns0:t>
        </ns0:is>
      </ns0:c>
      <ns0:c r="X174" s="21" t="inlineStr">
        <ns0:is>
          <ns0:t>Not reported in assessed sources</ns0:t>
        </ns0:is>
      </ns0:c>
      <ns0:c r="Y174" s="21" t="inlineStr">
        <ns0:is>
          <ns0:t>Not ascertainable</ns0:t>
        </ns0:is>
      </ns0:c>
      <ns0:c r="Z174" s="21" t="inlineStr">
        <ns0:is>
          <ns0:t>Not reported in assessed sources</ns0:t>
        </ns0:is>
      </ns0:c>
      <ns0:c r="AA174" s="21" t="inlineStr">
        <ns0:is>
          <ns0:t>Not recorded</ns0:t>
        </ns0:is>
      </ns0:c>
      <ns0:c r="AB174" s="28" t="n">
        <ns0:v>0</ns0:v>
      </ns0:c>
      <ns0:c r="AC174" s="28" t="n">
        <ns0:v>0</ns0:v>
      </ns0:c>
      <ns0:c r="AD174" s="29">
        <ns0:f>IF(AND(G174=1,AB174=0),1,0)</ns0:f>
        <ns0:v>1</ns0:v>
      </ns0:c>
      <ns0:c r="AE174" s="29">
        <ns0:f>IF(AND(AD174=1,AC174=0),1,0)</ns0:f>
        <ns0:v>1</ns0:v>
      </ns0:c>
      <ns0:c r="AF174" s="29">
        <ns0:f>IF(AND(G174=1,H174&lt;&gt;"Not specified"),1,0)</ns0:f>
        <ns0:v>1</ns0:v>
      </ns0:c>
      <ns0:c r="AG174" s="29">
        <ns0:f>IF(AND(AE174=1,AF174=1),1,0)</ns0:f>
        <ns0:v>1</ns0:v>
      </ns0:c>
      <ns0:c r="AH174" s="21" t="inlineStr">
        <ns0:is>
          <ns0:t>Supplied abstract/coding notes; no new full-text verification</ns0:t>
        </ns0:is>
      </ns0:c>
      <ns0:c r="AI174" s="21" t="inlineStr">
        <ns0:is>
          <ns0:t>https://doi.org/10.1016/j.jneumeth.2024.110100</ns0:t>
        </ns0:is>
      </ns0:c>
      <ns0:c r="AJ174" s="21" t="inlineStr">
        <ns0:is>
          <ns0:t>EVIDENCIA; original abstract/coding notes and lot source trace; Historical signals: title/abstract/notes; full-text completion not independently established</ns0:t>
        </ns0:is>
      </ns0:c>
      <ns0:c r="AK174" s="21" t="inlineStr">
        <ns0:is>
          <ns0:t>Best reported full-feature classifier is a 1D CNN on sparse fMRI connectivity. The word prognostic does not establish a future outcome in this cross-sectional classification experiment.</ns0:t>
        </ns0:is>
      </ns0:c>
      <ns0:c r="AL174" s="21" t="inlineStr">
        <ns0:is>
          <ns0:t>Not applicable</ns0:t>
        </ns0:is>
      </ns0:c>
      <ns0:c r="AM174" s="21" t="inlineStr">
        <ns0:is>
          <ns0:t>Not separately specified</ns0:t>
        </ns0:is>
      </ns0:c>
      <ns0:c r="AN174" s="21" t="inlineStr"/>
      <ns0:c r="AO174" s="21" t="inlineStr">
        <ns0:is>
          <ns0:t>No additional status determination</ns0:t>
        </ns0:is>
      </ns0:c>
      <ns0:c r="AP174" s="21" t="inlineStr">
        <ns0:is>
          <ns0:t>Not documented for this recharting</ns0:t>
        </ns0:is>
      </ns0:c>
      <ns0:c r="AQ174" s="21" t="inlineStr">
        <ns0:is>
          <ns0:t>ChatGPT-assisted evidence recharting, 2026-09-08</ns0:t>
        </ns0:is>
      </ns0:c>
      <ns0:c r="AR174" s="21" t="inlineStr">
        <ns0:is>
          <ns0:t>RA</ns0:t>
        </ns0:is>
      </ns0:c>
      <ns0:c r="AS174" s="21" t="inlineStr">
        <ns0:is>
          <ns0:t>Not recorded; historical inclusion retained</ns0:t>
        </ns0:is>
      </ns0:c>
    </ns0:row>
    <ns0:row r="175" ht="50" customHeight="1">
      <ns0:c r="A175" s="19" t="inlineStr">
        <ns0:is>
          <ns0:t>187</ns0:t>
        </ns0:is>
      </ns0:c>
      <ns0:c r="B175" s="19" t="inlineStr">
        <ns0:is>
          <ns0:t>Historical</ns0:t>
        </ns0:is>
      </ns0:c>
      <ns0:c r="C175" s="19" t="inlineStr">
        <ns0:is>
          <ns0:t>Deep Radiomics for Autism Diagnosis and Age Prediction</ns0:t>
        </ns0:is>
      </ns0:c>
      <ns0:c r="D175" s="19" t="inlineStr">
        <ns0:is>
          <ns0:t>10.1109/thms.2025.3526957</ns0:t>
        </ns0:is>
      </ns0:c>
      <ns0:c r="E175" s="26" t="n">
        <ns0:v>2025</ns0:v>
      </ns0:c>
      <ns0:c r="F175" s="19" t="inlineStr">
        <ns0:is>
          <ns0:t>Include</ns0:t>
        </ns0:is>
      </ns0:c>
      <ns0:c r="G175" s="27">
        <ns0:f>IF(F175="Include",1,0)</ns0:f>
        <ns0:v>1</ns0:v>
      </ns0:c>
      <ns0:c r="H175" s="19" t="inlineStr">
        <ns0:is>
          <ns0:t>Diagnosis</ns0:t>
        </ns0:is>
      </ns0:c>
      <ns0:c r="I175" s="19" t="inlineStr">
        <ns0:is>
          <ns0:t>Hybrid</ns0:t>
        </ns0:is>
      </ns0:c>
      <ns0:c r="J175" s="19" t="inlineStr">
        <ns0:is>
          <ns0:t>Neuroimaging</ns0:t>
        </ns0:is>
      </ns0:c>
      <ns0:c r="K175" s="19" t="inlineStr">
        <ns0:is>
          <ns0:t>CNN radiomic features with random forest</ns0:t>
        </ns0:is>
      </ns0:c>
      <ns0:c r="L175" s="19" t="inlineStr">
        <ns0:is>
          <ns0:t>Composite/ensemble pipeline</ns0:t>
        </ns0:is>
      </ns0:c>
      <ns0:c r="M175" s="19" t="inlineStr">
        <ns0:is>
          <ns0:t>Research only</ns0:t>
        </ns0:is>
      </ns0:c>
      <ns0:c r="N175" s="19" t="inlineStr">
        <ns0:is>
          <ns0:t>Automated measurement/classification</ns0:t>
        </ns0:is>
      </ns0:c>
      <ns0:c r="O175" s="19" t="inlineStr">
        <ns0:is>
          <ns0:t>Not observed in assessed sources</ns0:t>
        </ns0:is>
      </ns0:c>
      <ns0:c r="P175" s="19" t="inlineStr">
        <ns0:is>
          <ns0:t>Not observed in assessed sources</ns0:t>
        </ns0:is>
      </ns0:c>
      <ns0:c r="Q175" s="19" t="inlineStr">
        <ns0:is>
          <ns0:t>Not reported in assessed sources</ns0:t>
        </ns0:is>
      </ns0:c>
      <ns0:c r="R175" s="19" t="inlineStr">
        <ns0:is>
          <ns0:t>Not reported in assessed sources</ns0:t>
        </ns0:is>
      </ns0:c>
      <ns0:c r="S175" s="19" t="inlineStr">
        <ns0:is>
          <ns0:t>Reported</ns0:t>
        </ns0:is>
      </ns0:c>
      <ns0:c r="T175" s="19" t="inlineStr">
        <ns0:is>
          <ns0:t>Not reported in assessed sources</ns0:t>
        </ns0:is>
      </ns0:c>
      <ns0:c r="U175" s="19" t="inlineStr">
        <ns0:is>
          <ns0:t>Not reported in assessed sources</ns0:t>
        </ns0:is>
      </ns0:c>
      <ns0:c r="V175" s="19" t="inlineStr">
        <ns0:is>
          <ns0:t>Reported</ns0:t>
        </ns0:is>
      </ns0:c>
      <ns0:c r="W175" s="19" t="inlineStr">
        <ns0:is>
          <ns0:t>Not reported in assessed sources</ns0:t>
        </ns0:is>
      </ns0:c>
      <ns0:c r="X175" s="19" t="inlineStr">
        <ns0:is>
          <ns0:t>Not reported in assessed sources</ns0:t>
        </ns0:is>
      </ns0:c>
      <ns0:c r="Y175" s="19" t="inlineStr">
        <ns0:is>
          <ns0:t>Not ascertainable</ns0:t>
        </ns0:is>
      </ns0:c>
      <ns0:c r="Z175" s="19" t="inlineStr">
        <ns0:is>
          <ns0:t>Reported</ns0:t>
        </ns0:is>
      </ns0:c>
      <ns0:c r="AA175" s="19" t="inlineStr">
        <ns0:is>
          <ns0:t>Not recorded</ns0:t>
        </ns0:is>
      </ns0:c>
      <ns0:c r="AB175" s="26" t="n">
        <ns0:v>0</ns0:v>
      </ns0:c>
      <ns0:c r="AC175" s="26" t="n">
        <ns0:v>0</ns0:v>
      </ns0:c>
      <ns0:c r="AD175" s="27">
        <ns0:f>IF(AND(G175=1,AB175=0),1,0)</ns0:f>
        <ns0:v>1</ns0:v>
      </ns0:c>
      <ns0:c r="AE175" s="27">
        <ns0:f>IF(AND(AD175=1,AC175=0),1,0)</ns0:f>
        <ns0:v>1</ns0:v>
      </ns0:c>
      <ns0:c r="AF175" s="27">
        <ns0:f>IF(AND(G175=1,H175&lt;&gt;"Not specified"),1,0)</ns0:f>
        <ns0:v>1</ns0:v>
      </ns0:c>
      <ns0:c r="AG175" s="27">
        <ns0:f>IF(AND(AE175=1,AF175=1),1,0)</ns0:f>
        <ns0:v>1</ns0:v>
      </ns0:c>
      <ns0:c r="AH175" s="19" t="inlineStr">
        <ns0:is>
          <ns0:t>Supplied abstract/coding notes; no new full-text verification</ns0:t>
        </ns0:is>
      </ns0:c>
      <ns0:c r="AI175" s="19" t="inlineStr">
        <ns0:is>
          <ns0:t>https://doi.org/10.1109/thms.2025.3526957</ns0:t>
        </ns0:is>
      </ns0:c>
      <ns0:c r="AJ175" s="19" t="inlineStr">
        <ns0:is>
          <ns0:t>EVIDENCIA; original abstract/coding notes and lot source trace; Historical signals: title/abstract/notes; full-text completion not independently established</ns0:t>
        </ns0:is>
      </ns0:c>
      <ns0:c r="AK175" s="19" t="inlineStr">
        <ns0:is>
          <ns0:t>Site-specific and pooled cross-validation are described; these differ from training on some sites and testing on unseen sites. Age classification is secondary, not future prognosis.</ns0:t>
        </ns0:is>
      </ns0:c>
      <ns0:c r="AL175" s="19" t="inlineStr">
        <ns0:is>
          <ns0:t>Not applicable</ns0:t>
        </ns0:is>
      </ns0:c>
      <ns0:c r="AM175" s="19" t="inlineStr">
        <ns0:is>
          <ns0:t>Not separately specified</ns0:t>
        </ns0:is>
      </ns0:c>
      <ns0:c r="AN175" s="19" t="inlineStr"/>
      <ns0:c r="AO175" s="19" t="inlineStr">
        <ns0:is>
          <ns0:t>No additional status determination</ns0:t>
        </ns0:is>
      </ns0:c>
      <ns0:c r="AP175" s="19" t="inlineStr">
        <ns0:is>
          <ns0:t>Not documented for this recharting</ns0:t>
        </ns0:is>
      </ns0:c>
      <ns0:c r="AQ175" s="19" t="inlineStr">
        <ns0:is>
          <ns0:t>ChatGPT-assisted evidence recharting, 2026-09-08</ns0:t>
        </ns0:is>
      </ns0:c>
      <ns0:c r="AR175" s="19" t="inlineStr"/>
      <ns0:c r="AS175" s="19" t="inlineStr">
        <ns0:is>
          <ns0:t>Not recorded; historical inclusion retained</ns0:t>
        </ns0:is>
      </ns0:c>
    </ns0:row>
    <ns0:row r="176" ht="50" customHeight="1">
      <ns0:c r="A176" s="21" t="inlineStr">
        <ns0:is>
          <ns0:t>188</ns0:t>
        </ns0:is>
      </ns0:c>
      <ns0:c r="B176" s="21" t="inlineStr">
        <ns0:is>
          <ns0:t>Historical</ns0:t>
        </ns0:is>
      </ns0:c>
      <ns0:c r="C176" s="21" t="inlineStr">
        <ns0:is>
          <ns0:t>Deep-learning-based detection of infants with autism spectrum disorder using auto-encoder feature representation</ns0:t>
        </ns0:is>
      </ns0:c>
      <ns0:c r="D176" s="21" t="inlineStr">
        <ns0:is>
          <ns0:t>10.3390/s20236762</ns0:t>
        </ns0:is>
      </ns0:c>
      <ns0:c r="E176" s="28" t="n">
        <ns0:v>2020</ns0:v>
      </ns0:c>
      <ns0:c r="F176" s="21" t="inlineStr">
        <ns0:is>
          <ns0:t>Include</ns0:t>
        </ns0:is>
      </ns0:c>
      <ns0:c r="G176" s="29">
        <ns0:f>IF(F176="Include",1,0)</ns0:f>
        <ns0:v>1</ns0:v>
      </ns0:c>
      <ns0:c r="H176" s="21" t="inlineStr">
        <ns0:is>
          <ns0:t>Screening</ns0:t>
        </ns0:is>
      </ns0:c>
      <ns0:c r="I176" s="21" t="inlineStr">
        <ns0:is>
          <ns0:t>Deep Learning</ns0:t>
        </ns0:is>
      </ns0:c>
      <ns0:c r="J176" s="21" t="inlineStr">
        <ns0:is>
          <ns0:t>Audio/voice</ns0:t>
        </ns0:is>
      </ns0:c>
      <ns0:c r="K176" s="21" t="inlineStr">
        <ns0:is>
          <ns0:t>Autoencoder feature representation</ns0:t>
        </ns0:is>
      </ns0:c>
      <ns0:c r="L176" s="21" t="inlineStr">
        <ns0:is>
          <ns0:t>Autoencoder</ns0:t>
        </ns0:is>
      </ns0:c>
      <ns0:c r="M176" s="21" t="inlineStr">
        <ns0:is>
          <ns0:t>Research only</ns0:t>
        </ns0:is>
      </ns0:c>
      <ns0:c r="N176" s="21" t="inlineStr">
        <ns0:is>
          <ns0:t>Automated measurement/classification</ns0:t>
        </ns0:is>
      </ns0:c>
      <ns0:c r="O176" s="21" t="inlineStr">
        <ns0:is>
          <ns0:t>Not observed in assessed sources</ns0:t>
        </ns0:is>
      </ns0:c>
      <ns0:c r="P176" s="21" t="inlineStr">
        <ns0:is>
          <ns0:t>Not observed in assessed sources</ns0:t>
        </ns0:is>
      </ns0:c>
      <ns0:c r="Q176" s="21" t="inlineStr">
        <ns0:is>
          <ns0:t>Not reported in assessed sources</ns0:t>
        </ns0:is>
      </ns0:c>
      <ns0:c r="R176" s="21" t="inlineStr">
        <ns0:is>
          <ns0:t>Not reported in assessed sources</ns0:t>
        </ns0:is>
      </ns0:c>
      <ns0:c r="S176" s="21" t="inlineStr">
        <ns0:is>
          <ns0:t>Not reported in assessed sources</ns0:t>
        </ns0:is>
      </ns0:c>
      <ns0:c r="T176" s="21" t="inlineStr">
        <ns0:is>
          <ns0:t>Not reported in assessed sources</ns0:t>
        </ns0:is>
      </ns0:c>
      <ns0:c r="U176" s="21" t="inlineStr">
        <ns0:is>
          <ns0:t>Not reported in assessed sources</ns0:t>
        </ns0:is>
      </ns0:c>
      <ns0:c r="V176" s="21" t="inlineStr">
        <ns0:is>
          <ns0:t>Not reported in assessed sources</ns0:t>
        </ns0:is>
      </ns0:c>
      <ns0:c r="W176" s="21" t="inlineStr">
        <ns0:is>
          <ns0:t>Not reported in assessed sources</ns0:t>
        </ns0:is>
      </ns0:c>
      <ns0:c r="X176" s="21" t="inlineStr">
        <ns0:is>
          <ns0:t>Not reported in assessed sources</ns0:t>
        </ns0:is>
      </ns0:c>
      <ns0:c r="Y176" s="21" t="inlineStr">
        <ns0:is>
          <ns0:t>Not ascertainable</ns0:t>
        </ns0:is>
      </ns0:c>
      <ns0:c r="Z176" s="21" t="inlineStr">
        <ns0:is>
          <ns0:t>Not reported in assessed sources</ns0:t>
        </ns0:is>
      </ns0:c>
      <ns0:c r="AA176" s="21" t="inlineStr">
        <ns0:is>
          <ns0:t>Not recorded</ns0:t>
        </ns0:is>
      </ns0:c>
      <ns0:c r="AB176" s="28" t="n">
        <ns0:v>0</ns0:v>
      </ns0:c>
      <ns0:c r="AC176" s="28" t="n">
        <ns0:v>0</ns0:v>
      </ns0:c>
      <ns0:c r="AD176" s="29">
        <ns0:f>IF(AND(G176=1,AB176=0),1,0)</ns0:f>
        <ns0:v>1</ns0:v>
      </ns0:c>
      <ns0:c r="AE176" s="29">
        <ns0:f>IF(AND(AD176=1,AC176=0),1,0)</ns0:f>
        <ns0:v>1</ns0:v>
      </ns0:c>
      <ns0:c r="AF176" s="29">
        <ns0:f>IF(AND(G176=1,H176&lt;&gt;"Not specified"),1,0)</ns0:f>
        <ns0:v>1</ns0:v>
      </ns0:c>
      <ns0:c r="AG176" s="29">
        <ns0:f>IF(AND(AE176=1,AF176=1),1,0)</ns0:f>
        <ns0:v>1</ns0:v>
      </ns0:c>
      <ns0:c r="AH176" s="21" t="inlineStr">
        <ns0:is>
          <ns0:t>Supplied abstract/coding notes; no new full-text verification</ns0:t>
        </ns0:is>
      </ns0:c>
      <ns0:c r="AI176" s="21" t="inlineStr">
        <ns0:is>
          <ns0:t>https://doi.org/10.3390/s20236762</ns0:t>
        </ns0:is>
      </ns0:c>
      <ns0:c r="AJ176" s="21" t="inlineStr">
        <ns0:is>
          <ns0:t>EVIDENCIA; original abstract/coding notes and lot source trace; Historical signals: title/abstract/notes; full-text completion not independently established</ns0:t>
        </ns0:is>
      </ns0:c>
      <ns0:c r="AK176" s="21" t="inlineStr">
        <ns0:is>
          <ns0:t>Vocal acoustic eGeMAPS inputs are explicitly described; no unresolved imaging source is needed.</ns0:t>
        </ns0:is>
      </ns0:c>
      <ns0:c r="AL176" s="21" t="inlineStr">
        <ns0:is>
          <ns0:t>Not applicable</ns0:t>
        </ns0:is>
      </ns0:c>
      <ns0:c r="AM176" s="21" t="inlineStr">
        <ns0:is>
          <ns0:t>Not separately specified</ns0:t>
        </ns0:is>
      </ns0:c>
      <ns0:c r="AN176" s="21" t="inlineStr"/>
      <ns0:c r="AO176" s="21" t="inlineStr">
        <ns0:is>
          <ns0:t>No additional status determination</ns0:t>
        </ns0:is>
      </ns0:c>
      <ns0:c r="AP176" s="21" t="inlineStr">
        <ns0:is>
          <ns0:t>Not documented for this recharting</ns0:t>
        </ns0:is>
      </ns0:c>
      <ns0:c r="AQ176" s="21" t="inlineStr">
        <ns0:is>
          <ns0:t>ChatGPT-assisted evidence recharting, 2026-09-08</ns0:t>
        </ns0:is>
      </ns0:c>
      <ns0:c r="AR176" s="21" t="inlineStr">
        <ns0:is>
          <ns0:t>RA</ns0:t>
        </ns0:is>
      </ns0:c>
      <ns0:c r="AS176" s="21" t="inlineStr">
        <ns0:is>
          <ns0:t>Not recorded; historical inclusion retained</ns0:t>
        </ns0:is>
      </ns0:c>
    </ns0:row>
    <ns0:row r="177" ht="50" customHeight="1">
      <ns0:c r="A177" s="19" t="inlineStr">
        <ns0:is>
          <ns0:t>189</ns0:t>
        </ns0:is>
      </ns0:c>
      <ns0:c r="B177" s="19" t="inlineStr">
        <ns0:is>
          <ns0:t>Historical</ns0:t>
        </ns0:is>
      </ns0:c>
      <ns0:c r="C177" s="19" t="inlineStr">
        <ns0:is>
          <ns0:t>Early identification of autism spectrum disorder based on machine learning with eye-tracking data</ns0:t>
        </ns0:is>
      </ns0:c>
      <ns0:c r="D177" s="19" t="inlineStr">
        <ns0:is>
          <ns0:t>10.1016/j.jad.2024.04.049</ns0:t>
        </ns0:is>
      </ns0:c>
      <ns0:c r="E177" s="26" t="n">
        <ns0:v>2024</ns0:v>
      </ns0:c>
      <ns0:c r="F177" s="19" t="inlineStr">
        <ns0:is>
          <ns0:t>Include</ns0:t>
        </ns0:is>
      </ns0:c>
      <ns0:c r="G177" s="27">
        <ns0:f>IF(F177="Include",1,0)</ns0:f>
        <ns0:v>1</ns0:v>
      </ns0:c>
      <ns0:c r="H177" s="19" t="inlineStr">
        <ns0:is>
          <ns0:t>Screening</ns0:t>
        </ns0:is>
      </ns0:c>
      <ns0:c r="I177" s="19" t="inlineStr">
        <ns0:is>
          <ns0:t>Machine Learning</ns0:t>
        </ns0:is>
      </ns0:c>
      <ns0:c r="J177" s="19" t="inlineStr">
        <ns0:is>
          <ns0:t>Behavioral images/video/gaze/movement</ns0:t>
        </ns0:is>
      </ns0:c>
      <ns0:c r="K177" s="19" t="inlineStr">
        <ns0:is>
          <ns0:t>Random forest</ns0:t>
        </ns0:is>
      </ns0:c>
      <ns0:c r="L177" s="19" t="inlineStr">
        <ns0:is>
          <ns0:t>Random forest</ns0:t>
        </ns0:is>
      </ns0:c>
      <ns0:c r="M177" s="19" t="inlineStr">
        <ns0:is>
          <ns0:t>Research only</ns0:t>
        </ns0:is>
      </ns0:c>
      <ns0:c r="N177" s="19" t="inlineStr">
        <ns0:is>
          <ns0:t>Automated measurement/classification</ns0:t>
        </ns0:is>
      </ns0:c>
      <ns0:c r="O177" s="19" t="inlineStr">
        <ns0:is>
          <ns0:t>Not observed in assessed sources</ns0:t>
        </ns0:is>
      </ns0:c>
      <ns0:c r="P177" s="19" t="inlineStr">
        <ns0:is>
          <ns0:t>Not observed in assessed sources</ns0:t>
        </ns0:is>
      </ns0:c>
      <ns0:c r="Q177" s="19" t="inlineStr">
        <ns0:is>
          <ns0:t>Reported</ns0:t>
        </ns0:is>
      </ns0:c>
      <ns0:c r="R177" s="19" t="inlineStr">
        <ns0:is>
          <ns0:t>Not reported in assessed sources</ns0:t>
        </ns0:is>
      </ns0:c>
      <ns0:c r="S177" s="19" t="inlineStr">
        <ns0:is>
          <ns0:t>Reported</ns0:t>
        </ns0:is>
      </ns0:c>
      <ns0:c r="T177" s="19" t="inlineStr">
        <ns0:is>
          <ns0:t>Reported</ns0:t>
        </ns0:is>
      </ns0:c>
      <ns0:c r="U177" s="19" t="inlineStr">
        <ns0:is>
          <ns0:t>Not reported in assessed sources</ns0:t>
        </ns0:is>
      </ns0:c>
      <ns0:c r="V177" s="19" t="inlineStr">
        <ns0:is>
          <ns0:t>Not reported in assessed sources</ns0:t>
        </ns0:is>
      </ns0:c>
      <ns0:c r="W177" s="19" t="inlineStr">
        <ns0:is>
          <ns0:t>Not reported in assessed sources</ns0:t>
        </ns0:is>
      </ns0:c>
      <ns0:c r="X177" s="19" t="inlineStr">
        <ns0:is>
          <ns0:t>Reported</ns0:t>
        </ns0:is>
      </ns0:c>
      <ns0:c r="Y177" s="19" t="inlineStr">
        <ns0:is>
          <ns0:t>Reported</ns0:t>
        </ns0:is>
      </ns0:c>
      <ns0:c r="Z177" s="19" t="inlineStr">
        <ns0:is>
          <ns0:t>Not reported in assessed sources</ns0:t>
        </ns0:is>
      </ns0:c>
      <ns0:c r="AA177" s="19" t="inlineStr">
        <ns0:is>
          <ns0:t>Not recorded</ns0:t>
        </ns0:is>
      </ns0:c>
      <ns0:c r="AB177" s="26" t="n">
        <ns0:v>0</ns0:v>
      </ns0:c>
      <ns0:c r="AC177" s="26" t="n">
        <ns0:v>0</ns0:v>
      </ns0:c>
      <ns0:c r="AD177" s="27">
        <ns0:f>IF(AND(G177=1,AB177=0),1,0)</ns0:f>
        <ns0:v>1</ns0:v>
      </ns0:c>
      <ns0:c r="AE177" s="27">
        <ns0:f>IF(AND(AD177=1,AC177=0),1,0)</ns0:f>
        <ns0:v>1</ns0:v>
      </ns0:c>
      <ns0:c r="AF177" s="27">
        <ns0:f>IF(AND(G177=1,H177&lt;&gt;"Not specified"),1,0)</ns0:f>
        <ns0:v>1</ns0:v>
      </ns0:c>
      <ns0:c r="AG177" s="27">
        <ns0:f>IF(AND(AE177=1,AF177=1),1,0)</ns0:f>
        <ns0:v>1</ns0:v>
      </ns0:c>
      <ns0:c r="AH177" s="19" t="inlineStr">
        <ns0:is>
          <ns0:t>Supplied abstract/coding notes; no new full-text verification</ns0:t>
        </ns0:is>
      </ns0:c>
      <ns0:c r="AI177" s="19" t="inlineStr">
        <ns0:is>
          <ns0:t>https://doi.org/10.1016/j.jad.2024.04.049</ns0:t>
        </ns0:is>
      </ns0:c>
      <ns0:c r="AJ177" s="19" t="inlineStr">
        <ns0:is>
          <ns0:t>EVIDENCIA; original abstract/coding notes and lot source trace; Historical signals: title/abstract/notes; full-text completion not independently established</ns0:t>
        </ns0:is>
      </ns0:c>
      <ns0:c r="AK177" s="19" t="inlineStr">
        <ns0:is>
          <ns0:t>Eye-tracking classifier with independent prospective 80-child validation and SHAP. Comparison of conventional/neural candidates is not a hybrid final RF model or proof of clinical decision use.</ns0:t>
        </ns0:is>
      </ns0:c>
      <ns0:c r="AL177" s="19" t="inlineStr">
        <ns0:is>
          <ns0:t>Not applicable</ns0:t>
        </ns0:is>
      </ns0:c>
      <ns0:c r="AM177" s="19" t="inlineStr">
        <ns0:is>
          <ns0:t>Not separately specified</ns0:t>
        </ns0:is>
      </ns0:c>
      <ns0:c r="AN177" s="19" t="inlineStr"/>
      <ns0:c r="AO177" s="19" t="inlineStr">
        <ns0:is>
          <ns0:t>No additional status determination</ns0:t>
        </ns0:is>
      </ns0:c>
      <ns0:c r="AP177" s="19" t="inlineStr">
        <ns0:is>
          <ns0:t>Not documented for this recharting</ns0:t>
        </ns0:is>
      </ns0:c>
      <ns0:c r="AQ177" s="19" t="inlineStr">
        <ns0:is>
          <ns0:t>ChatGPT-assisted evidence recharting, 2026-09-08</ns0:t>
        </ns0:is>
      </ns0:c>
      <ns0:c r="AR177" s="19" t="inlineStr">
        <ns0:is>
          <ns0:t>RA</ns0:t>
        </ns0:is>
      </ns0:c>
      <ns0:c r="AS177" s="19" t="inlineStr">
        <ns0:is>
          <ns0:t>Not recorded; historical inclusion retained</ns0:t>
        </ns0:is>
      </ns0:c>
    </ns0:row>
    <ns0:row r="178" ht="50" customHeight="1">
      <ns0:c r="A178" s="21" t="inlineStr">
        <ns0:is>
          <ns0:t>190</ns0:t>
        </ns0:is>
      </ns0:c>
      <ns0:c r="B178" s="21" t="inlineStr">
        <ns0:is>
          <ns0:t>Historical</ns0:t>
        </ns0:is>
      </ns0:c>
      <ns0:c r="C178" s="21" t="inlineStr">
        <ns0:is>
          <ns0:t>Examining overlap and homogeneity in ASD, ADHD, and OCD: a data-driven, diagnosis-agnostic approach</ns0:t>
        </ns0:is>
      </ns0:c>
      <ns0:c r="D178" s="21" t="inlineStr">
        <ns0:is>
          <ns0:t>10.1038/s41398-019-0631-2</ns0:t>
        </ns0:is>
      </ns0:c>
      <ns0:c r="E178" s="28" t="n">
        <ns0:v>2019</ns0:v>
      </ns0:c>
      <ns0:c r="F178" s="21" t="inlineStr">
        <ns0:is>
          <ns0:t>Include</ns0:t>
        </ns0:is>
      </ns0:c>
      <ns0:c r="G178" s="29">
        <ns0:f>IF(F178="Include",1,0)</ns0:f>
        <ns0:v>1</ns0:v>
      </ns0:c>
      <ns0:c r="H178" s="21" t="inlineStr">
        <ns0:is>
          <ns0:t>Diagnosis</ns0:t>
        </ns0:is>
      </ns0:c>
      <ns0:c r="I178" s="21" t="inlineStr">
        <ns0:is>
          <ns0:t>Machine Learning</ns0:t>
        </ns0:is>
      </ns0:c>
      <ns0:c r="J178" s="21" t="inlineStr">
        <ns0:is>
          <ns0:t>Multiple source categories</ns0:t>
        </ns0:is>
      </ns0:c>
      <ns0:c r="K178" s="21" t="inlineStr">
        <ns0:is>
          <ns0:t>Bagged multiview spectral clustering</ns0:t>
        </ns0:is>
      </ns0:c>
      <ns0:c r="L178" s="21" t="inlineStr">
        <ns0:is>
          <ns0:t>Clustering</ns0:t>
        </ns0:is>
      </ns0:c>
      <ns0:c r="M178" s="21" t="inlineStr">
        <ns0:is>
          <ns0:t>Research only</ns0:t>
        </ns0:is>
      </ns0:c>
      <ns0:c r="N178" s="21" t="inlineStr">
        <ns0:is>
          <ns0:t>Automated measurement/classification</ns0:t>
        </ns0:is>
      </ns0:c>
      <ns0:c r="O178" s="21" t="inlineStr">
        <ns0:is>
          <ns0:t>Not observed in assessed sources</ns0:t>
        </ns0:is>
      </ns0:c>
      <ns0:c r="P178" s="21" t="inlineStr">
        <ns0:is>
          <ns0:t>Not observed in assessed sources</ns0:t>
        </ns0:is>
      </ns0:c>
      <ns0:c r="Q178" s="21" t="inlineStr">
        <ns0:is>
          <ns0:t>Not reported in assessed sources</ns0:t>
        </ns0:is>
      </ns0:c>
      <ns0:c r="R178" s="21" t="inlineStr">
        <ns0:is>
          <ns0:t>Reported</ns0:t>
        </ns0:is>
      </ns0:c>
      <ns0:c r="S178" s="21" t="inlineStr">
        <ns0:is>
          <ns0:t>Reported</ns0:t>
        </ns0:is>
      </ns0:c>
      <ns0:c r="T178" s="21" t="inlineStr">
        <ns0:is>
          <ns0:t>Not reported in assessed sources</ns0:t>
        </ns0:is>
      </ns0:c>
      <ns0:c r="U178" s="21" t="inlineStr">
        <ns0:is>
          <ns0:t>Not reported in assessed sources</ns0:t>
        </ns0:is>
      </ns0:c>
      <ns0:c r="V178" s="21" t="inlineStr">
        <ns0:is>
          <ns0:t>Reported</ns0:t>
        </ns0:is>
      </ns0:c>
      <ns0:c r="W178" s="21" t="inlineStr">
        <ns0:is>
          <ns0:t>Reported</ns0:t>
        </ns0:is>
      </ns0:c>
      <ns0:c r="X178" s="21" t="inlineStr">
        <ns0:is>
          <ns0:t>Not reported in assessed sources</ns0:t>
        </ns0:is>
      </ns0:c>
      <ns0:c r="Y178" s="21" t="inlineStr">
        <ns0:is>
          <ns0:t>Not ascertainable</ns0:t>
        </ns0:is>
      </ns0:c>
      <ns0:c r="Z178" s="21" t="inlineStr">
        <ns0:is>
          <ns0:t>Reported</ns0:t>
        </ns0:is>
      </ns0:c>
      <ns0:c r="AA178" s="21" t="inlineStr">
        <ns0:is>
          <ns0:t>Not recorded</ns0:t>
        </ns0:is>
      </ns0:c>
      <ns0:c r="AB178" s="28" t="n">
        <ns0:v>0</ns0:v>
      </ns0:c>
      <ns0:c r="AC178" s="28" t="n">
        <ns0:v>0</ns0:v>
      </ns0:c>
      <ns0:c r="AD178" s="29">
        <ns0:f>IF(AND(G178=1,AB178=0),1,0)</ns0:f>
        <ns0:v>1</ns0:v>
      </ns0:c>
      <ns0:c r="AE178" s="29">
        <ns0:f>IF(AND(AD178=1,AC178=0),1,0)</ns0:f>
        <ns0:v>1</ns0:v>
      </ns0:c>
      <ns0:c r="AF178" s="29">
        <ns0:f>IF(AND(G178=1,H178&lt;&gt;"Not specified"),1,0)</ns0:f>
        <ns0:v>1</ns0:v>
      </ns0:c>
      <ns0:c r="AG178" s="29">
        <ns0:f>IF(AND(AE178=1,AF178=1),1,0)</ns0:f>
        <ns0:v>1</ns0:v>
      </ns0:c>
      <ns0:c r="AH178" s="21" t="inlineStr">
        <ns0:is>
          <ns0:t>Supplied abstract/coding notes; no new full-text verification</ns0:t>
        </ns0:is>
      </ns0:c>
      <ns0:c r="AI178" s="21" t="inlineStr">
        <ns0:is>
          <ns0:t>https://doi.org/10.1038/s41398-019-0631-2</ns0:t>
        </ns0:is>
      </ns0:c>
      <ns0:c r="AJ178" s="21" t="inlineStr">
        <ns0:is>
          <ns0:t>EVIDENCIA; original abstract/coding notes and lot source trace; Historical signals: title/abstract/notes; full-text completion not independently established</ns0:t>
        </ns0:is>
      </ns0:c>
      <ns0:c r="AK178" s="21" t="inlineStr">
        <ns0:is>
          <ns0:t>Integrated cortical morphology and phenotypic features form diagnostic-agnostic subgroups; clustering is not deep learning.</ns0:t>
        </ns0:is>
      </ns0:c>
      <ns0:c r="AL178" s="21" t="inlineStr">
        <ns0:is>
          <ns0:t>Not applicable</ns0:t>
        </ns0:is>
      </ns0:c>
      <ns0:c r="AM178" s="21" t="inlineStr">
        <ns0:is>
          <ns0:t>Not separately specified</ns0:t>
        </ns0:is>
      </ns0:c>
      <ns0:c r="AN178" s="21" t="inlineStr"/>
      <ns0:c r="AO178" s="21" t="inlineStr">
        <ns0:is>
          <ns0:t>No additional status determination</ns0:t>
        </ns0:is>
      </ns0:c>
      <ns0:c r="AP178" s="21" t="inlineStr">
        <ns0:is>
          <ns0:t>Not documented for this recharting</ns0:t>
        </ns0:is>
      </ns0:c>
      <ns0:c r="AQ178" s="21" t="inlineStr">
        <ns0:is>
          <ns0:t>ChatGPT-assisted evidence recharting, 2026-09-08</ns0:t>
        </ns0:is>
      </ns0:c>
      <ns0:c r="AR178" s="21" t="inlineStr"/>
      <ns0:c r="AS178" s="21" t="inlineStr">
        <ns0:is>
          <ns0:t>Not recorded; historical inclusion retained</ns0:t>
        </ns0:is>
      </ns0:c>
    </ns0:row>
    <ns0:row r="179" ht="50" customHeight="1">
      <ns0:c r="A179" s="19" t="inlineStr">
        <ns0:is>
          <ns0:t>191</ns0:t>
        </ns0:is>
      </ns0:c>
      <ns0:c r="B179" s="19" t="inlineStr">
        <ns0:is>
          <ns0:t>Historical</ns0:t>
        </ns0:is>
      </ns0:c>
      <ns0:c r="C179" s="19" t="inlineStr">
        <ns0:is>
          <ns0:t>Explainable and scalable machine learning algorithms for detection of autism spectrum disorder using fMRI data</ns0:t>
        </ns0:is>
      </ns0:c>
      <ns0:c r="D179" s="19" t="inlineStr">
        <ns0:is>
          <ns0:t>10.1016/b978-0-12-822822-7.00004-1</ns0:t>
        </ns0:is>
      </ns0:c>
      <ns0:c r="E179" s="26" t="n">
        <ns0:v>2021</ns0:v>
      </ns0:c>
      <ns0:c r="F179" s="30" t="inlineStr">
        <ns0:is>
          <ns0:t>Exclude</ns0:t>
        </ns0:is>
      </ns0:c>
      <ns0:c r="G179" s="27">
        <ns0:f>IF(F179="Include",1,0)</ns0:f>
        <ns0:v>0</ns0:v>
      </ns0:c>
      <ns0:c r="H179" s="19" t="inlineStr">
        <ns0:is>
          <ns0:t>Excluded</ns0:t>
        </ns0:is>
      </ns0:c>
      <ns0:c r="I179" s="19" t="inlineStr">
        <ns0:is>
          <ns0:t>Excluded</ns0:t>
        </ns0:is>
      </ns0:c>
      <ns0:c r="J179" s="19" t="inlineStr">
        <ns0:is>
          <ns0:t>Excluded</ns0:t>
        </ns0:is>
      </ns0:c>
      <ns0:c r="K179" s="19" t="inlineStr">
        <ns0:is>
          <ns0:t>Not specified</ns0:t>
        </ns0:is>
      </ns0:c>
      <ns0:c r="L179" s="19" t="inlineStr">
        <ns0:is>
          <ns0:t>Multiple/not uniquely specified</ns0:t>
        </ns0:is>
      </ns0:c>
      <ns0:c r="M179" s="19" t="inlineStr">
        <ns0:is>
          <ns0:t>Excluded</ns0:t>
        </ns0:is>
      </ns0:c>
      <ns0:c r="N179" s="19" t="inlineStr">
        <ns0:is>
          <ns0:t>Excluded</ns0:t>
        </ns0:is>
      </ns0:c>
      <ns0:c r="O179" s="19" t="inlineStr">
        <ns0:is>
          <ns0:t>Not applicable - excluded</ns0:t>
        </ns0:is>
      </ns0:c>
      <ns0:c r="P179" s="19" t="inlineStr">
        <ns0:is>
          <ns0:t>Not applicable - excluded</ns0:t>
        </ns0:is>
      </ns0:c>
      <ns0:c r="Q179" s="19" t="inlineStr">
        <ns0:is>
          <ns0:t>Not reported in assessed sources</ns0:t>
        </ns0:is>
      </ns0:c>
      <ns0:c r="R179" s="19" t="inlineStr">
        <ns0:is>
          <ns0:t>Not reported in assessed sources</ns0:t>
        </ns0:is>
      </ns0:c>
      <ns0:c r="S179" s="19" t="inlineStr">
        <ns0:is>
          <ns0:t>Reported</ns0:t>
        </ns0:is>
      </ns0:c>
      <ns0:c r="T179" s="19" t="inlineStr">
        <ns0:is>
          <ns0:t>Reported</ns0:t>
        </ns0:is>
      </ns0:c>
      <ns0:c r="U179" s="19" t="inlineStr">
        <ns0:is>
          <ns0:t>Not reported in assessed sources</ns0:t>
        </ns0:is>
      </ns0:c>
      <ns0:c r="V179" s="19" t="inlineStr">
        <ns0:is>
          <ns0:t>Not reported in assessed sources</ns0:t>
        </ns0:is>
      </ns0:c>
      <ns0:c r="W179" s="19" t="inlineStr">
        <ns0:is>
          <ns0:t>Not reported in assessed sources</ns0:t>
        </ns0:is>
      </ns0:c>
      <ns0:c r="X179" s="19" t="inlineStr">
        <ns0:is>
          <ns0:t>Not reported in assessed sources</ns0:t>
        </ns0:is>
      </ns0:c>
      <ns0:c r="Y179" s="19" t="inlineStr">
        <ns0:is>
          <ns0:t>Not ascertainable</ns0:t>
        </ns0:is>
      </ns0:c>
      <ns0:c r="Z179" s="19" t="inlineStr">
        <ns0:is>
          <ns0:t>Not reported in assessed sources</ns0:t>
        </ns0:is>
      </ns0:c>
      <ns0:c r="AA179" s="19" t="inlineStr">
        <ns0:is>
          <ns0:t>Not recorded</ns0:t>
        </ns0:is>
      </ns0:c>
      <ns0:c r="AB179" s="26" t="n">
        <ns0:v>0</ns0:v>
      </ns0:c>
      <ns0:c r="AC179" s="26" t="n">
        <ns0:v>0</ns0:v>
      </ns0:c>
      <ns0:c r="AD179" s="27">
        <ns0:f>IF(AND(G179=1,AB179=0),1,0)</ns0:f>
        <ns0:v>0</ns0:v>
      </ns0:c>
      <ns0:c r="AE179" s="27">
        <ns0:f>IF(AND(AD179=1,AC179=0),1,0)</ns0:f>
        <ns0:v>0</ns0:v>
      </ns0:c>
      <ns0:c r="AF179" s="27">
        <ns0:f>IF(AND(G179=1,H179&lt;&gt;"Not specified"),1,0)</ns0:f>
        <ns0:v>0</ns0:v>
      </ns0:c>
      <ns0:c r="AG179" s="27">
        <ns0:f>IF(AND(AE179=1,AF179=1),1,0)</ns0:f>
        <ns0:v>0</ns0:v>
      </ns0:c>
      <ns0:c r="AH179" s="19" t="inlineStr">
        <ns0:is>
          <ns0:t>Supplied abstract/coding notes; no new full-text verification</ns0:t>
        </ns0:is>
      </ns0:c>
      <ns0:c r="AI179" s="19" t="inlineStr">
        <ns0:is>
          <ns0:t>https://doi.org/10.1016/b978-0-12-822822-7.00004-1</ns0:t>
        </ns0:is>
      </ns0:c>
      <ns0:c r="AJ179" s="19" t="inlineStr">
        <ns0:is>
          <ns0:t>EVIDENCIA; original abstract/coding notes and lot source trace; Historical signals: title/abstract/notes; full-text completion not independently established</ns0:t>
        </ns0:is>
      </ns0:c>
      <ns0:c r="AK179" s="19" t="inlineStr">
        <ns0:is>
          <ns0:t>Standalone edited-book chapter, not a journal article or identified conference proceeding.</ns0:t>
        </ns0:is>
      </ns0:c>
      <ns0:c r="AL179" s="19" t="inlineStr">
        <ns0:is>
          <ns0:t>EC1 Ineligible publication type</ns0:t>
        </ns0:is>
      </ns0:c>
      <ns0:c r="AM179" s="19" t="inlineStr">
        <ns0:is>
          <ns0:t>Not separately specified</ns0:t>
        </ns0:is>
      </ns0:c>
      <ns0:c r="AN179" s="19" t="inlineStr"/>
      <ns0:c r="AO179" s="19" t="inlineStr">
        <ns0:is>
          <ns0:t>No additional status determination</ns0:t>
        </ns0:is>
      </ns0:c>
      <ns0:c r="AP179" s="19" t="inlineStr">
        <ns0:is>
          <ns0:t>Not documented for this recharting</ns0:t>
        </ns0:is>
      </ns0:c>
      <ns0:c r="AQ179" s="19" t="inlineStr">
        <ns0:is>
          <ns0:t>ChatGPT-assisted evidence recharting, 2026-09-08</ns0:t>
        </ns0:is>
      </ns0:c>
      <ns0:c r="AR179" s="19" t="inlineStr"/>
      <ns0:c r="AS179" s="19" t="inlineStr">
        <ns0:is>
          <ns0:t>Not recorded; historical inclusion retained</ns0:t>
        </ns0:is>
      </ns0:c>
    </ns0:row>
    <ns0:row r="180" ht="50" customHeight="1">
      <ns0:c r="A180" s="21" t="inlineStr">
        <ns0:is>
          <ns0:t>193</ns0:t>
        </ns0:is>
      </ns0:c>
      <ns0:c r="B180" s="21" t="inlineStr">
        <ns0:is>
          <ns0:t>Historical</ns0:t>
        </ns0:is>
      </ns0:c>
      <ns0:c r="C180" s="21" t="inlineStr">
        <ns0:is>
          <ns0:t>Feasibility Study of\&amp;#xa0;a\&amp;#xa0;ML-Based ASD Monitoring System</ns0:t>
        </ns0:is>
      </ns0:c>
      <ns0:c r="D180" s="21" t="inlineStr">
        <ns0:is>
          <ns0:t>10.1007/978-3-031-06242-1_27</ns0:t>
        </ns0:is>
      </ns0:c>
      <ns0:c r="E180" s="28" t="n">
        <ns0:v>2022</ns0:v>
      </ns0:c>
      <ns0:c r="F180" s="21" t="inlineStr">
        <ns0:is>
          <ns0:t>Include</ns0:t>
        </ns0:is>
      </ns0:c>
      <ns0:c r="G180" s="29">
        <ns0:f>IF(F180="Include",1,0)</ns0:f>
        <ns0:v>1</ns0:v>
      </ns0:c>
      <ns0:c r="H180" s="21" t="inlineStr">
        <ns0:is>
          <ns0:t>Monitoring/intervention</ns0:t>
        </ns0:is>
      </ns0:c>
      <ns0:c r="I180" s="21" t="inlineStr">
        <ns0:is>
          <ns0:t>Machine Learning</ns0:t>
        </ns0:is>
      </ns0:c>
      <ns0:c r="J180" s="21" t="inlineStr">
        <ns0:is>
          <ns0:t>Not specified</ns0:t>
        </ns0:is>
      </ns0:c>
      <ns0:c r="K180" s="21" t="inlineStr">
        <ns0:is>
          <ns0:t>Sensor-feature machine learning; family unresolved</ns0:t>
        </ns0:is>
      </ns0:c>
      <ns0:c r="L180" s="21" t="inlineStr">
        <ns0:is>
          <ns0:t>Other specified method</ns0:t>
        </ns0:is>
      </ns0:c>
      <ns0:c r="M180" s="21" t="inlineStr">
        <ns0:is>
          <ns0:t>Research only</ns0:t>
        </ns0:is>
      </ns0:c>
      <ns0:c r="N180" s="21" t="inlineStr">
        <ns0:is>
          <ns0:t>Monitoring/longitudinal analysis</ns0:t>
        </ns0:is>
      </ns0:c>
      <ns0:c r="O180" s="21" t="inlineStr">
        <ns0:is>
          <ns0:t>Not observed in assessed sources</ns0:t>
        </ns0:is>
      </ns0:c>
      <ns0:c r="P180" s="21" t="inlineStr">
        <ns0:is>
          <ns0:t>Not observed in assessed sources</ns0:t>
        </ns0:is>
      </ns0:c>
      <ns0:c r="Q180" s="21" t="inlineStr">
        <ns0:is>
          <ns0:t>Not reported in assessed sources</ns0:t>
        </ns0:is>
      </ns0:c>
      <ns0:c r="R180" s="21" t="inlineStr">
        <ns0:is>
          <ns0:t>Not ascertainable</ns0:t>
        </ns0:is>
      </ns0:c>
      <ns0:c r="S180" s="21" t="inlineStr">
        <ns0:is>
          <ns0:t>Not reported in assessed sources</ns0:t>
        </ns0:is>
      </ns0:c>
      <ns0:c r="T180" s="21" t="inlineStr">
        <ns0:is>
          <ns0:t>Not reported in assessed sources</ns0:t>
        </ns0:is>
      </ns0:c>
      <ns0:c r="U180" s="21" t="inlineStr">
        <ns0:is>
          <ns0:t>Not reported in assessed sources</ns0:t>
        </ns0:is>
      </ns0:c>
      <ns0:c r="V180" s="21" t="inlineStr">
        <ns0:is>
          <ns0:t>Not reported in assessed sources</ns0:t>
        </ns0:is>
      </ns0:c>
      <ns0:c r="W180" s="21" t="inlineStr">
        <ns0:is>
          <ns0:t>Reported</ns0:t>
        </ns0:is>
      </ns0:c>
      <ns0:c r="X180" s="21" t="inlineStr">
        <ns0:is>
          <ns0:t>Not reported in assessed sources</ns0:t>
        </ns0:is>
      </ns0:c>
      <ns0:c r="Y180" s="21" t="inlineStr">
        <ns0:is>
          <ns0:t>Not ascertainable</ns0:t>
        </ns0:is>
      </ns0:c>
      <ns0:c r="Z180" s="21" t="inlineStr">
        <ns0:is>
          <ns0:t>Not reported in assessed sources</ns0:t>
        </ns0:is>
      </ns0:c>
      <ns0:c r="AA180" s="21" t="inlineStr">
        <ns0:is>
          <ns0:t>Not recorded</ns0:t>
        </ns0:is>
      </ns0:c>
      <ns0:c r="AB180" s="28" t="n">
        <ns0:v>0</ns0:v>
      </ns0:c>
      <ns0:c r="AC180" s="28" t="n">
        <ns0:v>0</ns0:v>
      </ns0:c>
      <ns0:c r="AD180" s="29">
        <ns0:f>IF(AND(G180=1,AB180=0),1,0)</ns0:f>
        <ns0:v>1</ns0:v>
      </ns0:c>
      <ns0:c r="AE180" s="29">
        <ns0:f>IF(AND(AD180=1,AC180=0),1,0)</ns0:f>
        <ns0:v>1</ns0:v>
      </ns0:c>
      <ns0:c r="AF180" s="29">
        <ns0:f>IF(AND(G180=1,H180&lt;&gt;"Not specified"),1,0)</ns0:f>
        <ns0:v>1</ns0:v>
      </ns0:c>
      <ns0:c r="AG180" s="29">
        <ns0:f>IF(AND(AE180=1,AF180=1),1,0)</ns0:f>
        <ns0:v>1</ns0:v>
      </ns0:c>
      <ns0:c r="AH180" s="21" t="inlineStr">
        <ns0:is>
          <ns0:t>Supplied abstract/coding notes; no new full-text verification</ns0:t>
        </ns0:is>
      </ns0:c>
      <ns0:c r="AI180" s="21" t="inlineStr">
        <ns0:is>
          <ns0:t>https://doi.org/10.1007/978-3-031-06242-1_27</ns0:t>
        </ns0:is>
      </ns0:c>
      <ns0:c r="AJ180" s="21" t="inlineStr">
        <ns0:is>
          <ns0:t>EVIDENCIA; original abstract/coding notes and lot source trace; Historical signals: title/abstract/notes; full-text completion not independently established</ns0:t>
        </ns0:is>
      </ns0:c>
      <ns0:c r="AK180" s="21" t="inlineStr">
        <ns0:is>
          <ns0:t>Signals collected in clinical tasks were analyzed to relate state changes to stimuli. Clinical recording context does not establish AI feedback or decision integration.</ns0:t>
        </ns0:is>
      </ns0:c>
      <ns0:c r="AL180" s="21" t="inlineStr">
        <ns0:is>
          <ns0:t>Not applicable</ns0:t>
        </ns0:is>
      </ns0:c>
      <ns0:c r="AM180" s="21" t="inlineStr">
        <ns0:is>
          <ns0:t>Not separately specified</ns0:t>
        </ns0:is>
      </ns0:c>
      <ns0:c r="AN180" s="21" t="inlineStr"/>
      <ns0:c r="AO180" s="21" t="inlineStr">
        <ns0:is>
          <ns0:t>No additional status determination</ns0:t>
        </ns0:is>
      </ns0:c>
      <ns0:c r="AP180" s="21" t="inlineStr">
        <ns0:is>
          <ns0:t>Not documented for this recharting</ns0:t>
        </ns0:is>
      </ns0:c>
      <ns0:c r="AQ180" s="21" t="inlineStr">
        <ns0:is>
          <ns0:t>ChatGPT-assisted evidence recharting, 2026-09-08</ns0:t>
        </ns0:is>
      </ns0:c>
      <ns0:c r="AR180" s="21" t="inlineStr"/>
      <ns0:c r="AS180" s="21" t="inlineStr">
        <ns0:is>
          <ns0:t>Not recorded; historical inclusion retained</ns0:t>
        </ns0:is>
      </ns0:c>
    </ns0:row>
    <ns0:row r="181" ht="50" customHeight="1">
      <ns0:c r="A181" s="19" t="inlineStr">
        <ns0:is>
          <ns0:t>194</ns0:t>
        </ns0:is>
      </ns0:c>
      <ns0:c r="B181" s="19" t="inlineStr">
        <ns0:is>
          <ns0:t>Historical</ns0:t>
        </ns0:is>
      </ns0:c>
      <ns0:c r="C181" s="19" t="inlineStr">
        <ns0:is>
          <ns0:t>Feature replacement methods enable reliable home video analysis for machine learning detection of autism</ns0:t>
        </ns0:is>
      </ns0:c>
      <ns0:c r="D181" s="19" t="inlineStr">
        <ns0:is>
          <ns0:t>10.1038/s41598-020-76874-w</ns0:t>
        </ns0:is>
      </ns0:c>
      <ns0:c r="E181" s="26" t="n">
        <ns0:v>2020</ns0:v>
      </ns0:c>
      <ns0:c r="F181" s="19" t="inlineStr">
        <ns0:is>
          <ns0:t>Include</ns0:t>
        </ns0:is>
      </ns0:c>
      <ns0:c r="G181" s="27">
        <ns0:f>IF(F181="Include",1,0)</ns0:f>
        <ns0:v>1</ns0:v>
      </ns0:c>
      <ns0:c r="H181" s="19" t="inlineStr">
        <ns0:is>
          <ns0:t>Diagnosis</ns0:t>
        </ns0:is>
      </ns0:c>
      <ns0:c r="I181" s="19" t="inlineStr">
        <ns0:is>
          <ns0:t>Machine Learning</ns0:t>
        </ns0:is>
      </ns0:c>
      <ns0:c r="J181" s="19" t="inlineStr">
        <ns0:is>
          <ns0:t>Structured clinical/questionnaire data</ns0:t>
        </ns0:is>
      </ns0:c>
      <ns0:c r="K181" s="19" t="inlineStr">
        <ns0:is>
          <ns0:t>Logistic regression and alternating decision tree</ns0:t>
        </ns0:is>
      </ns0:c>
      <ns0:c r="L181" s="19" t="inlineStr">
        <ns0:is>
          <ns0:t>Composite/ensemble pipeline</ns0:t>
        </ns0:is>
      </ns0:c>
      <ns0:c r="M181" s="19" t="inlineStr">
        <ns0:is>
          <ns0:t>Research only</ns0:t>
        </ns0:is>
      </ns0:c>
      <ns0:c r="N181" s="19" t="inlineStr">
        <ns0:is>
          <ns0:t>Automated measurement/classification</ns0:t>
        </ns0:is>
      </ns0:c>
      <ns0:c r="O181" s="19" t="inlineStr">
        <ns0:is>
          <ns0:t>Not observed in assessed sources</ns0:t>
        </ns0:is>
      </ns0:c>
      <ns0:c r="P181" s="19" t="inlineStr">
        <ns0:is>
          <ns0:t>Not observed in assessed sources</ns0:t>
        </ns0:is>
      </ns0:c>
      <ns0:c r="Q181" s="19" t="inlineStr">
        <ns0:is>
          <ns0:t>Reported</ns0:t>
        </ns0:is>
      </ns0:c>
      <ns0:c r="R181" s="19" t="inlineStr">
        <ns0:is>
          <ns0:t>Not reported in assessed sources</ns0:t>
        </ns0:is>
      </ns0:c>
      <ns0:c r="S181" s="19" t="inlineStr">
        <ns0:is>
          <ns0:t>Not reported in assessed sources</ns0:t>
        </ns0:is>
      </ns0:c>
      <ns0:c r="T181" s="19" t="inlineStr">
        <ns0:is>
          <ns0:t>Not reported in assessed sources</ns0:t>
        </ns0:is>
      </ns0:c>
      <ns0:c r="U181" s="19" t="inlineStr">
        <ns0:is>
          <ns0:t>Not reported in assessed sources</ns0:t>
        </ns0:is>
      </ns0:c>
      <ns0:c r="V181" s="19" t="inlineStr">
        <ns0:is>
          <ns0:t>Not reported in assessed sources</ns0:t>
        </ns0:is>
      </ns0:c>
      <ns0:c r="W181" s="19" t="inlineStr">
        <ns0:is>
          <ns0:t>Not reported in assessed sources</ns0:t>
        </ns0:is>
      </ns0:c>
      <ns0:c r="X181" s="19" t="inlineStr">
        <ns0:is>
          <ns0:t>Not reported in assessed sources</ns0:t>
        </ns0:is>
      </ns0:c>
      <ns0:c r="Y181" s="19" t="inlineStr">
        <ns0:is>
          <ns0:t>Not ascertainable</ns0:t>
        </ns0:is>
      </ns0:c>
      <ns0:c r="Z181" s="19" t="inlineStr">
        <ns0:is>
          <ns0:t>Not reported in assessed sources</ns0:t>
        </ns0:is>
      </ns0:c>
      <ns0:c r="AA181" s="19" t="inlineStr">
        <ns0:is>
          <ns0:t>Not recorded</ns0:t>
        </ns0:is>
      </ns0:c>
      <ns0:c r="AB181" s="26" t="n">
        <ns0:v>0</ns0:v>
      </ns0:c>
      <ns0:c r="AC181" s="26" t="n">
        <ns0:v>0</ns0:v>
      </ns0:c>
      <ns0:c r="AD181" s="27">
        <ns0:f>IF(AND(G181=1,AB181=0),1,0)</ns0:f>
        <ns0:v>1</ns0:v>
      </ns0:c>
      <ns0:c r="AE181" s="27">
        <ns0:f>IF(AND(AD181=1,AC181=0),1,0)</ns0:f>
        <ns0:v>1</ns0:v>
      </ns0:c>
      <ns0:c r="AF181" s="27">
        <ns0:f>IF(AND(G181=1,H181&lt;&gt;"Not specified"),1,0)</ns0:f>
        <ns0:v>1</ns0:v>
      </ns0:c>
      <ns0:c r="AG181" s="27">
        <ns0:f>IF(AND(AE181=1,AF181=1),1,0)</ns0:f>
        <ns0:v>1</ns0:v>
      </ns0:c>
      <ns0:c r="AH181" s="19" t="inlineStr">
        <ns0:is>
          <ns0:t>Supplied abstract/coding notes; no new full-text verification</ns0:t>
        </ns0:is>
      </ns0:c>
      <ns0:c r="AI181" s="19" t="inlineStr">
        <ns0:is>
          <ns0:t>https://doi.org/10.1038/s41598-020-76874-w</ns0:t>
        </ns0:is>
      </ns0:c>
      <ns0:c r="AJ181" s="19" t="inlineStr">
        <ns0:is>
          <ns0:t>EVIDENCIA; original abstract/coding notes and lot source trace; Historical signals: title/abstract/notes; full-text completion not independently established</ns0:t>
        </ns0:is>
      </ns0:c>
      <ns0:c r="AK181" s="19" t="inlineStr">
        <ns0:is>
          <ns0:t>Models trained on instrument scores are tested on human ratings of independent home videos. Ratings are structured inputs, not pixel-level CNN analysis.</ns0:t>
        </ns0:is>
      </ns0:c>
      <ns0:c r="AL181" s="19" t="inlineStr">
        <ns0:is>
          <ns0:t>Not applicable</ns0:t>
        </ns0:is>
      </ns0:c>
      <ns0:c r="AM181" s="19" t="inlineStr">
        <ns0:is>
          <ns0:t>Not separately specified</ns0:t>
        </ns0:is>
      </ns0:c>
      <ns0:c r="AN181" s="19" t="inlineStr"/>
      <ns0:c r="AO181" s="19" t="inlineStr">
        <ns0:is>
          <ns0:t>No additional status determination</ns0:t>
        </ns0:is>
      </ns0:c>
      <ns0:c r="AP181" s="19" t="inlineStr">
        <ns0:is>
          <ns0:t>Not documented for this recharting</ns0:t>
        </ns0:is>
      </ns0:c>
      <ns0:c r="AQ181" s="19" t="inlineStr">
        <ns0:is>
          <ns0:t>ChatGPT-assisted evidence recharting, 2026-09-08</ns0:t>
        </ns0:is>
      </ns0:c>
      <ns0:c r="AR181" s="19" t="inlineStr"/>
      <ns0:c r="AS181" s="19" t="inlineStr">
        <ns0:is>
          <ns0:t>Not recorded; historical inclusion retained</ns0:t>
        </ns0:is>
      </ns0:c>
    </ns0:row>
    <ns0:row r="182" ht="50" customHeight="1">
      <ns0:c r="A182" s="21" t="inlineStr">
        <ns0:is>
          <ns0:t>195</ns0:t>
        </ns0:is>
      </ns0:c>
      <ns0:c r="B182" s="21" t="inlineStr">
        <ns0:is>
          <ns0:t>Historical</ns0:t>
        </ns0:is>
      </ns0:c>
      <ns0:c r="C182" s="21" t="inlineStr">
        <ns0:is>
          <ns0:t>Fuzzy logic-based hybrid knowledge systems for the detection and diagnosis of childhood autism</ns0:t>
        </ns0:is>
      </ns0:c>
      <ns0:c r="D182" s="21" t="inlineStr">
        <ns0:is>
          <ns0:t>10.1016/b978-0-12-822271-3.00016-5</ns0:t>
        </ns0:is>
      </ns0:c>
      <ns0:c r="E182" s="28" t="n">
        <ns0:v>2021</ns0:v>
      </ns0:c>
      <ns0:c r="F182" s="30" t="inlineStr">
        <ns0:is>
          <ns0:t>Exclude</ns0:t>
        </ns0:is>
      </ns0:c>
      <ns0:c r="G182" s="29">
        <ns0:f>IF(F182="Include",1,0)</ns0:f>
        <ns0:v>0</ns0:v>
      </ns0:c>
      <ns0:c r="H182" s="21" t="inlineStr">
        <ns0:is>
          <ns0:t>Excluded</ns0:t>
        </ns0:is>
      </ns0:c>
      <ns0:c r="I182" s="21" t="inlineStr">
        <ns0:is>
          <ns0:t>Excluded</ns0:t>
        </ns0:is>
      </ns0:c>
      <ns0:c r="J182" s="21" t="inlineStr">
        <ns0:is>
          <ns0:t>Excluded</ns0:t>
        </ns0:is>
      </ns0:c>
      <ns0:c r="K182" s="21" t="inlineStr">
        <ns0:is>
          <ns0:t>Not specified</ns0:t>
        </ns0:is>
      </ns0:c>
      <ns0:c r="L182" s="21" t="inlineStr">
        <ns0:is>
          <ns0:t>Multiple/not uniquely specified</ns0:t>
        </ns0:is>
      </ns0:c>
      <ns0:c r="M182" s="21" t="inlineStr">
        <ns0:is>
          <ns0:t>Excluded</ns0:t>
        </ns0:is>
      </ns0:c>
      <ns0:c r="N182" s="21" t="inlineStr">
        <ns0:is>
          <ns0:t>Excluded</ns0:t>
        </ns0:is>
      </ns0:c>
      <ns0:c r="O182" s="21" t="inlineStr">
        <ns0:is>
          <ns0:t>Not applicable - excluded</ns0:t>
        </ns0:is>
      </ns0:c>
      <ns0:c r="P182" s="21" t="inlineStr">
        <ns0:is>
          <ns0:t>Not applicable - excluded</ns0:t>
        </ns0:is>
      </ns0:c>
      <ns0:c r="Q182" s="21" t="inlineStr">
        <ns0:is>
          <ns0:t>Not reported in assessed sources</ns0:t>
        </ns0:is>
      </ns0:c>
      <ns0:c r="R182" s="21" t="inlineStr">
        <ns0:is>
          <ns0:t>Not reported in assessed sources</ns0:t>
        </ns0:is>
      </ns0:c>
      <ns0:c r="S182" s="21" t="inlineStr">
        <ns0:is>
          <ns0:t>Not reported in assessed sources</ns0:t>
        </ns0:is>
      </ns0:c>
      <ns0:c r="T182" s="21" t="inlineStr">
        <ns0:is>
          <ns0:t>Not reported in assessed sources</ns0:t>
        </ns0:is>
      </ns0:c>
      <ns0:c r="U182" s="21" t="inlineStr">
        <ns0:is>
          <ns0:t>Not reported in assessed sources</ns0:t>
        </ns0:is>
      </ns0:c>
      <ns0:c r="V182" s="21" t="inlineStr">
        <ns0:is>
          <ns0:t>Not reported in assessed sources</ns0:t>
        </ns0:is>
      </ns0:c>
      <ns0:c r="W182" s="21" t="inlineStr">
        <ns0:is>
          <ns0:t>Not reported in assessed sources</ns0:t>
        </ns0:is>
      </ns0:c>
      <ns0:c r="X182" s="21" t="inlineStr">
        <ns0:is>
          <ns0:t>Not reported in assessed sources</ns0:t>
        </ns0:is>
      </ns0:c>
      <ns0:c r="Y182" s="21" t="inlineStr">
        <ns0:is>
          <ns0:t>Not ascertainable</ns0:t>
        </ns0:is>
      </ns0:c>
      <ns0:c r="Z182" s="21" t="inlineStr">
        <ns0:is>
          <ns0:t>Not reported in assessed sources</ns0:t>
        </ns0:is>
      </ns0:c>
      <ns0:c r="AA182" s="21" t="inlineStr">
        <ns0:is>
          <ns0:t>Not recorded</ns0:t>
        </ns0:is>
      </ns0:c>
      <ns0:c r="AB182" s="28" t="n">
        <ns0:v>0</ns0:v>
      </ns0:c>
      <ns0:c r="AC182" s="28" t="n">
        <ns0:v>0</ns0:v>
      </ns0:c>
      <ns0:c r="AD182" s="29">
        <ns0:f>IF(AND(G182=1,AB182=0),1,0)</ns0:f>
        <ns0:v>0</ns0:v>
      </ns0:c>
      <ns0:c r="AE182" s="29">
        <ns0:f>IF(AND(AD182=1,AC182=0),1,0)</ns0:f>
        <ns0:v>0</ns0:v>
      </ns0:c>
      <ns0:c r="AF182" s="29">
        <ns0:f>IF(AND(G182=1,H182&lt;&gt;"Not specified"),1,0)</ns0:f>
        <ns0:v>0</ns0:v>
      </ns0:c>
      <ns0:c r="AG182" s="29">
        <ns0:f>IF(AND(AE182=1,AF182=1),1,0)</ns0:f>
        <ns0:v>0</ns0:v>
      </ns0:c>
      <ns0:c r="AH182" s="21" t="inlineStr">
        <ns0:is>
          <ns0:t>Supplied abstract/coding notes; no new full-text verification</ns0:t>
        </ns0:is>
      </ns0:c>
      <ns0:c r="AI182" s="21" t="inlineStr">
        <ns0:is>
          <ns0:t>https://doi.org/10.1016/b978-0-12-822271-3.00016-5</ns0:t>
        </ns0:is>
      </ns0:c>
      <ns0:c r="AJ182" s="21" t="inlineStr">
        <ns0:is>
          <ns0:t>EVIDENCIA; original abstract/coding notes and lot source trace; Historical signals: title/abstract/notes; full-text completion not independently established</ns0:t>
        </ns0:is>
      </ns0:c>
      <ns0:c r="AK182" s="21" t="inlineStr">
        <ns0:is>
          <ns0:t>Standalone edited-book chapter describing fuzzy knowledge systems; not a full identified conference report or journal article.</ns0:t>
        </ns0:is>
      </ns0:c>
      <ns0:c r="AL182" s="21" t="inlineStr">
        <ns0:is>
          <ns0:t>EC1 Ineligible publication type</ns0:t>
        </ns0:is>
      </ns0:c>
      <ns0:c r="AM182" s="21" t="inlineStr">
        <ns0:is>
          <ns0:t>Not separately specified</ns0:t>
        </ns0:is>
      </ns0:c>
      <ns0:c r="AN182" s="21" t="inlineStr"/>
      <ns0:c r="AO182" s="21" t="inlineStr">
        <ns0:is>
          <ns0:t>No additional status determination</ns0:t>
        </ns0:is>
      </ns0:c>
      <ns0:c r="AP182" s="21" t="inlineStr">
        <ns0:is>
          <ns0:t>Not documented for this recharting</ns0:t>
        </ns0:is>
      </ns0:c>
      <ns0:c r="AQ182" s="21" t="inlineStr">
        <ns0:is>
          <ns0:t>ChatGPT-assisted evidence recharting, 2026-09-08</ns0:t>
        </ns0:is>
      </ns0:c>
      <ns0:c r="AR182" s="21" t="inlineStr"/>
      <ns0:c r="AS182" s="21" t="inlineStr">
        <ns0:is>
          <ns0:t>Not recorded; historical inclusion retained</ns0:t>
        </ns0:is>
      </ns0:c>
    </ns0:row>
    <ns0:row r="183" ht="50" customHeight="1">
      <ns0:c r="A183" s="19" t="inlineStr">
        <ns0:is>
          <ns0:t>196</ns0:t>
        </ns0:is>
      </ns0:c>
      <ns0:c r="B183" s="19" t="inlineStr">
        <ns0:is>
          <ns0:t>Historical</ns0:t>
        </ns0:is>
      </ns0:c>
      <ns0:c r="C183" s="19" t="inlineStr">
        <ns0:is>
          <ns0:t>Genetic factor analysis for an early diagnosis of autism through machine learning</ns0:t>
        </ns0:is>
      </ns0:c>
      <ns0:c r="D183" s="19" t="inlineStr">
        <ns0:is>
          <ns0:t>10.1016/b978-0-323-98352-5.00001-x</ns0:t>
        </ns0:is>
      </ns0:c>
      <ns0:c r="E183" s="26" t="n">
        <ns0:v>2022</ns0:v>
      </ns0:c>
      <ns0:c r="F183" s="30" t="inlineStr">
        <ns0:is>
          <ns0:t>Exclude</ns0:t>
        </ns0:is>
      </ns0:c>
      <ns0:c r="G183" s="27">
        <ns0:f>IF(F183="Include",1,0)</ns0:f>
        <ns0:v>0</ns0:v>
      </ns0:c>
      <ns0:c r="H183" s="19" t="inlineStr">
        <ns0:is>
          <ns0:t>Excluded</ns0:t>
        </ns0:is>
      </ns0:c>
      <ns0:c r="I183" s="19" t="inlineStr">
        <ns0:is>
          <ns0:t>Excluded</ns0:t>
        </ns0:is>
      </ns0:c>
      <ns0:c r="J183" s="19" t="inlineStr">
        <ns0:is>
          <ns0:t>Excluded</ns0:t>
        </ns0:is>
      </ns0:c>
      <ns0:c r="K183" s="19" t="inlineStr">
        <ns0:is>
          <ns0:t>Not specified</ns0:t>
        </ns0:is>
      </ns0:c>
      <ns0:c r="L183" s="19" t="inlineStr">
        <ns0:is>
          <ns0:t>Multiple/not uniquely specified</ns0:t>
        </ns0:is>
      </ns0:c>
      <ns0:c r="M183" s="19" t="inlineStr">
        <ns0:is>
          <ns0:t>Excluded</ns0:t>
        </ns0:is>
      </ns0:c>
      <ns0:c r="N183" s="19" t="inlineStr">
        <ns0:is>
          <ns0:t>Excluded</ns0:t>
        </ns0:is>
      </ns0:c>
      <ns0:c r="O183" s="19" t="inlineStr">
        <ns0:is>
          <ns0:t>Not applicable - excluded</ns0:t>
        </ns0:is>
      </ns0:c>
      <ns0:c r="P183" s="19" t="inlineStr">
        <ns0:is>
          <ns0:t>Not applicable - excluded</ns0:t>
        </ns0:is>
      </ns0:c>
      <ns0:c r="Q183" s="19" t="inlineStr">
        <ns0:is>
          <ns0:t>Not reported in assessed sources</ns0:t>
        </ns0:is>
      </ns0:c>
      <ns0:c r="R183" s="19" t="inlineStr">
        <ns0:is>
          <ns0:t>Not reported in assessed sources</ns0:t>
        </ns0:is>
      </ns0:c>
      <ns0:c r="S183" s="19" t="inlineStr">
        <ns0:is>
          <ns0:t>Not reported in assessed sources</ns0:t>
        </ns0:is>
      </ns0:c>
      <ns0:c r="T183" s="19" t="inlineStr">
        <ns0:is>
          <ns0:t>Not reported in assessed sources</ns0:t>
        </ns0:is>
      </ns0:c>
      <ns0:c r="U183" s="19" t="inlineStr">
        <ns0:is>
          <ns0:t>Not reported in assessed sources</ns0:t>
        </ns0:is>
      </ns0:c>
      <ns0:c r="V183" s="19" t="inlineStr">
        <ns0:is>
          <ns0:t>Not reported in assessed sources</ns0:t>
        </ns0:is>
      </ns0:c>
      <ns0:c r="W183" s="19" t="inlineStr">
        <ns0:is>
          <ns0:t>Not reported in assessed sources</ns0:t>
        </ns0:is>
      </ns0:c>
      <ns0:c r="X183" s="19" t="inlineStr">
        <ns0:is>
          <ns0:t>Not reported in assessed sources</ns0:t>
        </ns0:is>
      </ns0:c>
      <ns0:c r="Y183" s="19" t="inlineStr">
        <ns0:is>
          <ns0:t>Not ascertainable</ns0:t>
        </ns0:is>
      </ns0:c>
      <ns0:c r="Z183" s="19" t="inlineStr">
        <ns0:is>
          <ns0:t>Not reported in assessed sources</ns0:t>
        </ns0:is>
      </ns0:c>
      <ns0:c r="AA183" s="19" t="inlineStr">
        <ns0:is>
          <ns0:t>Not recorded</ns0:t>
        </ns0:is>
      </ns0:c>
      <ns0:c r="AB183" s="26" t="n">
        <ns0:v>0</ns0:v>
      </ns0:c>
      <ns0:c r="AC183" s="26" t="n">
        <ns0:v>0</ns0:v>
      </ns0:c>
      <ns0:c r="AD183" s="27">
        <ns0:f>IF(AND(G183=1,AB183=0),1,0)</ns0:f>
        <ns0:v>0</ns0:v>
      </ns0:c>
      <ns0:c r="AE183" s="27">
        <ns0:f>IF(AND(AD183=1,AC183=0),1,0)</ns0:f>
        <ns0:v>0</ns0:v>
      </ns0:c>
      <ns0:c r="AF183" s="27">
        <ns0:f>IF(AND(G183=1,H183&lt;&gt;"Not specified"),1,0)</ns0:f>
        <ns0:v>0</ns0:v>
      </ns0:c>
      <ns0:c r="AG183" s="27">
        <ns0:f>IF(AND(AE183=1,AF183=1),1,0)</ns0:f>
        <ns0:v>0</ns0:v>
      </ns0:c>
      <ns0:c r="AH183" s="19" t="inlineStr">
        <ns0:is>
          <ns0:t>Supplied abstract/coding notes; no new full-text verification</ns0:t>
        </ns0:is>
      </ns0:c>
      <ns0:c r="AI183" s="19" t="inlineStr">
        <ns0:is>
          <ns0:t>https://doi.org/10.1016/b978-0-323-98352-5.00001-x</ns0:t>
        </ns0:is>
      </ns0:c>
      <ns0:c r="AJ183" s="19" t="inlineStr">
        <ns0:is>
          <ns0:t>EVIDENCIA; original abstract/coding notes and lot source trace; Historical signals: title/abstract/notes; full-text completion not independently established</ns0:t>
        </ns0:is>
      </ns0:c>
      <ns0:c r="AK183" s="19" t="inlineStr">
        <ns0:is>
          <ns0:t>Standalone edited-book chapter; source criteria exclude this publication type even when a computational case study is described.</ns0:t>
        </ns0:is>
      </ns0:c>
      <ns0:c r="AL183" s="19" t="inlineStr">
        <ns0:is>
          <ns0:t>EC1 Ineligible publication type</ns0:t>
        </ns0:is>
      </ns0:c>
      <ns0:c r="AM183" s="19" t="inlineStr">
        <ns0:is>
          <ns0:t>Not separately specified</ns0:t>
        </ns0:is>
      </ns0:c>
      <ns0:c r="AN183" s="19" t="inlineStr"/>
      <ns0:c r="AO183" s="19" t="inlineStr">
        <ns0:is>
          <ns0:t>No additional status determination</ns0:t>
        </ns0:is>
      </ns0:c>
      <ns0:c r="AP183" s="19" t="inlineStr">
        <ns0:is>
          <ns0:t>Not documented for this recharting</ns0:t>
        </ns0:is>
      </ns0:c>
      <ns0:c r="AQ183" s="19" t="inlineStr">
        <ns0:is>
          <ns0:t>ChatGPT-assisted evidence recharting, 2026-09-08</ns0:t>
        </ns0:is>
      </ns0:c>
      <ns0:c r="AR183" s="19" t="inlineStr"/>
      <ns0:c r="AS183" s="19" t="inlineStr">
        <ns0:is>
          <ns0:t>Not recorded; historical inclusion retained</ns0:t>
        </ns0:is>
      </ns0:c>
    </ns0:row>
    <ns0:row r="184" ht="50" customHeight="1">
      <ns0:c r="A184" s="21" t="inlineStr">
        <ns0:is>
          <ns0:t>197</ns0:t>
        </ns0:is>
      </ns0:c>
      <ns0:c r="B184" s="21" t="inlineStr">
        <ns0:is>
          <ns0:t>Historical</ns0:t>
        </ns0:is>
      </ns0:c>
      <ns0:c r="C184" s="21" t="inlineStr">
        <ns0:is>
          <ns0:t>Hybrid Diagnosis Models for Autism Patients Based on Medical and Sociodemographic Features Using Machine Learning and Multicriteria Decision-Making (MCDM) Techniques: An Evaluation and Benchmarking Framework</ns0:t>
        </ns0:is>
      </ns0:c>
      <ns0:c r="D184" s="21" t="inlineStr">
        <ns0:is>
          <ns0:t>10.1155/2022/9410222</ns0:t>
        </ns0:is>
      </ns0:c>
      <ns0:c r="E184" s="28" t="n">
        <ns0:v>2022</ns0:v>
      </ns0:c>
      <ns0:c r="F184" s="21" t="inlineStr">
        <ns0:is>
          <ns0:t>Include</ns0:t>
        </ns0:is>
      </ns0:c>
      <ns0:c r="G184" s="29">
        <ns0:f>IF(F184="Include",1,0)</ns0:f>
        <ns0:v>1</ns0:v>
      </ns0:c>
      <ns0:c r="H184" s="21" t="inlineStr">
        <ns0:is>
          <ns0:t>Diagnosis</ns0:t>
        </ns0:is>
      </ns0:c>
      <ns0:c r="I184" s="21" t="inlineStr">
        <ns0:is>
          <ns0:t>Machine Learning</ns0:t>
        </ns0:is>
      </ns0:c>
      <ns0:c r="J184" s="21" t="inlineStr">
        <ns0:is>
          <ns0:t>Structured clinical/questionnaire data</ns0:t>
        </ns0:is>
      </ns0:c>
      <ns0:c r="K184" s="21" t="inlineStr">
        <ns0:is>
          <ns0:t>Relief feature selection with decision tree</ns0:t>
        </ns0:is>
      </ns0:c>
      <ns0:c r="L184" s="21" t="inlineStr">
        <ns0:is>
          <ns0:t>Decision tree/rules</ns0:t>
        </ns0:is>
      </ns0:c>
      <ns0:c r="M184" s="21" t="inlineStr">
        <ns0:is>
          <ns0:t>Research only</ns0:t>
        </ns0:is>
      </ns0:c>
      <ns0:c r="N184" s="21" t="inlineStr">
        <ns0:is>
          <ns0:t>Risk/trajectory estimation</ns0:t>
        </ns0:is>
      </ns0:c>
      <ns0:c r="O184" s="21" t="inlineStr">
        <ns0:is>
          <ns0:t>Not observed in assessed sources</ns0:t>
        </ns0:is>
      </ns0:c>
      <ns0:c r="P184" s="21" t="inlineStr">
        <ns0:is>
          <ns0:t>Not observed in assessed sources</ns0:t>
        </ns0:is>
      </ns0:c>
      <ns0:c r="Q184" s="21" t="inlineStr">
        <ns0:is>
          <ns0:t>Not reported in assessed sources</ns0:t>
        </ns0:is>
      </ns0:c>
      <ns0:c r="R184" s="21" t="inlineStr">
        <ns0:is>
          <ns0:t>Not reported in assessed sources</ns0:t>
        </ns0:is>
      </ns0:c>
      <ns0:c r="S184" s="21" t="inlineStr">
        <ns0:is>
          <ns0:t>Reported</ns0:t>
        </ns0:is>
      </ns0:c>
      <ns0:c r="T184" s="21" t="inlineStr">
        <ns0:is>
          <ns0:t>Not reported in assessed sources</ns0:t>
        </ns0:is>
      </ns0:c>
      <ns0:c r="U184" s="21" t="inlineStr">
        <ns0:is>
          <ns0:t>Not reported in assessed sources</ns0:t>
        </ns0:is>
      </ns0:c>
      <ns0:c r="V184" s="21" t="inlineStr">
        <ns0:is>
          <ns0:t>Not reported in assessed sources</ns0:t>
        </ns0:is>
      </ns0:c>
      <ns0:c r="W184" s="21" t="inlineStr">
        <ns0:is>
          <ns0:t>Not reported in assessed sources</ns0:t>
        </ns0:is>
      </ns0:c>
      <ns0:c r="X184" s="21" t="inlineStr">
        <ns0:is>
          <ns0:t>Not reported in assessed sources</ns0:t>
        </ns0:is>
      </ns0:c>
      <ns0:c r="Y184" s="21" t="inlineStr">
        <ns0:is>
          <ns0:t>Not ascertainable</ns0:t>
        </ns0:is>
      </ns0:c>
      <ns0:c r="Z184" s="21" t="inlineStr">
        <ns0:is>
          <ns0:t>Reported</ns0:t>
        </ns0:is>
      </ns0:c>
      <ns0:c r="AA184" s="21" t="inlineStr">
        <ns0:is>
          <ns0:t>Not recorded</ns0:t>
        </ns0:is>
      </ns0:c>
      <ns0:c r="AB184" s="28" t="n">
        <ns0:v>0</ns0:v>
      </ns0:c>
      <ns0:c r="AC184" s="28" t="n">
        <ns0:v>0</ns0:v>
      </ns0:c>
      <ns0:c r="AD184" s="29">
        <ns0:f>IF(AND(G184=1,AB184=0),1,0)</ns0:f>
        <ns0:v>1</ns0:v>
      </ns0:c>
      <ns0:c r="AE184" s="29">
        <ns0:f>IF(AND(AD184=1,AC184=0),1,0)</ns0:f>
        <ns0:v>1</ns0:v>
      </ns0:c>
      <ns0:c r="AF184" s="29">
        <ns0:f>IF(AND(G184=1,H184&lt;&gt;"Not specified"),1,0)</ns0:f>
        <ns0:v>1</ns0:v>
      </ns0:c>
      <ns0:c r="AG184" s="29">
        <ns0:f>IF(AND(AE184=1,AF184=1),1,0)</ns0:f>
        <ns0:v>1</ns0:v>
      </ns0:c>
      <ns0:c r="AH184" s="21" t="inlineStr">
        <ns0:is>
          <ns0:t>Supplied abstract/coding notes; no new full-text verification</ns0:t>
        </ns0:is>
      </ns0:c>
      <ns0:c r="AI184" s="21" t="inlineStr">
        <ns0:is>
          <ns0:t>https://doi.org/10.1155/2022/9410222</ns0:t>
        </ns0:is>
      </ns0:c>
      <ns0:c r="AJ184" s="21" t="inlineStr">
        <ns0:is>
          <ns0:t>EVIDENCIA; original abstract/coding notes and lot source trace; Historical signals: title/abstract/notes; full-text completion not independently established</ns0:t>
        </ns0:is>
      </ns0:c>
      <ns0:c r="AK184" s="21" t="inlineStr">
        <ns0:is>
          <ns0:t>Medical/sociodemographic tabular features predict severity using MCDM model selection; fuzzy linguistic ranking is not NLP. Multiple fields do not establish independent data-source fusion.</ns0:t>
        </ns0:is>
      </ns0:c>
      <ns0:c r="AL184" s="21" t="inlineStr">
        <ns0:is>
          <ns0:t>Not applicable</ns0:t>
        </ns0:is>
      </ns0:c>
      <ns0:c r="AM184" s="21" t="inlineStr">
        <ns0:is>
          <ns0:t>Not separately specified</ns0:t>
        </ns0:is>
      </ns0:c>
      <ns0:c r="AN184" s="21" t="inlineStr"/>
      <ns0:c r="AO184" s="21" t="inlineStr">
        <ns0:is>
          <ns0:t>No additional status determination</ns0:t>
        </ns0:is>
      </ns0:c>
      <ns0:c r="AP184" s="21" t="inlineStr">
        <ns0:is>
          <ns0:t>Not documented for this recharting</ns0:t>
        </ns0:is>
      </ns0:c>
      <ns0:c r="AQ184" s="21" t="inlineStr">
        <ns0:is>
          <ns0:t>ChatGPT-assisted evidence recharting, 2026-09-08</ns0:t>
        </ns0:is>
      </ns0:c>
      <ns0:c r="AR184" s="21" t="inlineStr">
        <ns0:is>
          <ns0:t>RA</ns0:t>
        </ns0:is>
      </ns0:c>
      <ns0:c r="AS184" s="21" t="inlineStr">
        <ns0:is>
          <ns0:t>Not recorded; historical inclusion retained</ns0:t>
        </ns0:is>
      </ns0:c>
    </ns0:row>
    <ns0:row r="185" ht="50" customHeight="1">
      <ns0:c r="A185" s="19" t="inlineStr">
        <ns0:is>
          <ns0:t>199</ns0:t>
        </ns0:is>
      </ns0:c>
      <ns0:c r="B185" s="19" t="inlineStr">
        <ns0:is>
          <ns0:t>Historical</ns0:t>
        </ns0:is>
      </ns0:c>
      <ns0:c r="C185" s="19" t="inlineStr">
        <ns0:is>
          <ns0:t>Informing developmental milestone achievement for children with autism: Machine learning approach</ns0:t>
        </ns0:is>
      </ns0:c>
      <ns0:c r="D185" s="19" t="inlineStr">
        <ns0:is>
          <ns0:t>10.2196/29242</ns0:t>
        </ns0:is>
      </ns0:c>
      <ns0:c r="E185" s="26" t="n">
        <ns0:v>2021</ns0:v>
      </ns0:c>
      <ns0:c r="F185" s="19" t="inlineStr">
        <ns0:is>
          <ns0:t>Include</ns0:t>
        </ns0:is>
      </ns0:c>
      <ns0:c r="G185" s="27">
        <ns0:f>IF(F185="Include",1,0)</ns0:f>
        <ns0:v>1</ns0:v>
      </ns0:c>
      <ns0:c r="H185" s="19" t="inlineStr">
        <ns0:is>
          <ns0:t>Monitoring/intervention</ns0:t>
        </ns0:is>
      </ns0:c>
      <ns0:c r="I185" s="19" t="inlineStr">
        <ns0:is>
          <ns0:t>Machine Learning</ns0:t>
        </ns0:is>
      </ns0:c>
      <ns0:c r="J185" s="19" t="inlineStr">
        <ns0:is>
          <ns0:t>Structured clinical/questionnaire data</ns0:t>
        </ns0:is>
      </ns0:c>
      <ns0:c r="K185" s="19" t="inlineStr">
        <ns0:is>
          <ns0:t>Artificial neural network</ns0:t>
        </ns0:is>
      </ns0:c>
      <ns0:c r="L185" s="19" t="inlineStr">
        <ns0:is>
          <ns0:t>MLP/ANN</ns0:t>
        </ns0:is>
      </ns0:c>
      <ns0:c r="M185" s="19" t="inlineStr">
        <ns0:is>
          <ns0:t>Research only</ns0:t>
        </ns0:is>
      </ns0:c>
      <ns0:c r="N185" s="19" t="inlineStr">
        <ns0:is>
          <ns0:t>Monitoring/longitudinal analysis</ns0:t>
        </ns0:is>
      </ns0:c>
      <ns0:c r="O185" s="19" t="inlineStr">
        <ns0:is>
          <ns0:t>Not observed in assessed sources</ns0:t>
        </ns0:is>
      </ns0:c>
      <ns0:c r="P185" s="19" t="inlineStr">
        <ns0:is>
          <ns0:t>Not observed in assessed sources</ns0:t>
        </ns0:is>
      </ns0:c>
      <ns0:c r="Q185" s="19" t="inlineStr">
        <ns0:is>
          <ns0:t>Not reported in assessed sources</ns0:t>
        </ns0:is>
      </ns0:c>
      <ns0:c r="R185" s="19" t="inlineStr">
        <ns0:is>
          <ns0:t>Not reported in assessed sources</ns0:t>
        </ns0:is>
      </ns0:c>
      <ns0:c r="S185" s="19" t="inlineStr">
        <ns0:is>
          <ns0:t>Reported</ns0:t>
        </ns0:is>
      </ns0:c>
      <ns0:c r="T185" s="19" t="inlineStr">
        <ns0:is>
          <ns0:t>Not reported in assessed sources</ns0:t>
        </ns0:is>
      </ns0:c>
      <ns0:c r="U185" s="19" t="inlineStr">
        <ns0:is>
          <ns0:t>Not reported in assessed sources</ns0:t>
        </ns0:is>
      </ns0:c>
      <ns0:c r="V185" s="19" t="inlineStr">
        <ns0:is>
          <ns0:t>Not reported in assessed sources</ns0:t>
        </ns0:is>
      </ns0:c>
      <ns0:c r="W185" s="19" t="inlineStr">
        <ns0:is>
          <ns0:t>Not reported in assessed sources</ns0:t>
        </ns0:is>
      </ns0:c>
      <ns0:c r="X185" s="19" t="inlineStr">
        <ns0:is>
          <ns0:t>Not reported in assessed sources</ns0:t>
        </ns0:is>
      </ns0:c>
      <ns0:c r="Y185" s="19" t="inlineStr">
        <ns0:is>
          <ns0:t>Not ascertainable</ns0:t>
        </ns0:is>
      </ns0:c>
      <ns0:c r="Z185" s="19" t="inlineStr">
        <ns0:is>
          <ns0:t>Reported</ns0:t>
        </ns0:is>
      </ns0:c>
      <ns0:c r="AA185" s="19" t="inlineStr">
        <ns0:is>
          <ns0:t>Not recorded</ns0:t>
        </ns0:is>
      </ns0:c>
      <ns0:c r="AB185" s="26" t="n">
        <ns0:v>0</ns0:v>
      </ns0:c>
      <ns0:c r="AC185" s="26" t="n">
        <ns0:v>0</ns0:v>
      </ns0:c>
      <ns0:c r="AD185" s="27">
        <ns0:f>IF(AND(G185=1,AB185=0),1,0)</ns0:f>
        <ns0:v>1</ns0:v>
      </ns0:c>
      <ns0:c r="AE185" s="27">
        <ns0:f>IF(AND(AD185=1,AC185=0),1,0)</ns0:f>
        <ns0:v>1</ns0:v>
      </ns0:c>
      <ns0:c r="AF185" s="27">
        <ns0:f>IF(AND(G185=1,H185&lt;&gt;"Not specified"),1,0)</ns0:f>
        <ns0:v>1</ns0:v>
      </ns0:c>
      <ns0:c r="AG185" s="27">
        <ns0:f>IF(AND(AE185=1,AF185=1),1,0)</ns0:f>
        <ns0:v>1</ns0:v>
      </ns0:c>
      <ns0:c r="AH185" s="19" t="inlineStr">
        <ns0:is>
          <ns0:t>Supplied abstract/coding notes; no new full-text verification</ns0:t>
        </ns0:is>
      </ns0:c>
      <ns0:c r="AI185" s="19" t="inlineStr">
        <ns0:is>
          <ns0:t>https://doi.org/10.2196/29242</ns0:t>
        </ns0:is>
      </ns0:c>
      <ns0:c r="AJ185" s="19" t="inlineStr">
        <ns0:is>
          <ns0:t>EVIDENCIA; original abstract/coding notes and lot source trace; Historical signals: title/abstract/notes; full-text completion not independently established</ns0:t>
        </ns0:is>
      </ns0:c>
      <ns0:c r="AK185" s="19" t="inlineStr">
        <ns0:is>
          <ns0:t>mCARE platform was deployed, but the AI models were trained/tested retrospectively on its collected records. Platform deployment is not proof that ML predictions drove care.
Clinical data-collection/communication platform deployed; AI predictions evaluated offline. Do not equate the two.</ns0:t>
        </ns0:is>
      </ns0:c>
      <ns0:c r="AL185" s="19" t="inlineStr">
        <ns0:is>
          <ns0:t>Not applicable</ns0:t>
        </ns0:is>
      </ns0:c>
      <ns0:c r="AM185" s="19" t="inlineStr">
        <ns0:is>
          <ns0:t>Not separately specified</ns0:t>
        </ns0:is>
      </ns0:c>
      <ns0:c r="AN185" s="19" t="inlineStr"/>
      <ns0:c r="AO185" s="19" t="inlineStr">
        <ns0:is>
          <ns0:t>No additional status determination</ns0:t>
        </ns0:is>
      </ns0:c>
      <ns0:c r="AP185" s="19" t="inlineStr">
        <ns0:is>
          <ns0:t>Not documented for this recharting</ns0:t>
        </ns0:is>
      </ns0:c>
      <ns0:c r="AQ185" s="19" t="inlineStr">
        <ns0:is>
          <ns0:t>ChatGPT-assisted evidence recharting, 2026-09-08</ns0:t>
        </ns0:is>
      </ns0:c>
      <ns0:c r="AR185" s="19" t="inlineStr"/>
      <ns0:c r="AS185" s="19" t="inlineStr">
        <ns0:is>
          <ns0:t>Not recorded; historical inclusion retained</ns0:t>
        </ns0:is>
      </ns0:c>
    </ns0:row>
    <ns0:row r="186" ht="50" customHeight="1">
      <ns0:c r="A186" s="21" t="inlineStr">
        <ns0:is>
          <ns0:t>200</ns0:t>
        </ns0:is>
      </ns0:c>
      <ns0:c r="B186" s="21" t="inlineStr">
        <ns0:is>
          <ns0:t>Historical</ns0:t>
        </ns0:is>
      </ns0:c>
      <ns0:c r="C186" s="21" t="inlineStr">
        <ns0:is>
          <ns0:t>Machine learning based autism screening tool—a modified approach</ns0:t>
        </ns0:is>
      </ns0:c>
      <ns0:c r="D186" s="21" t="inlineStr">
        <ns0:is>
          <ns0:t>10.1007/s11042-024-18519-y</ns0:t>
        </ns0:is>
      </ns0:c>
      <ns0:c r="E186" s="28" t="n">
        <ns0:v>2024</ns0:v>
      </ns0:c>
      <ns0:c r="F186" s="21" t="inlineStr">
        <ns0:is>
          <ns0:t>Include</ns0:t>
        </ns0:is>
      </ns0:c>
      <ns0:c r="G186" s="29">
        <ns0:f>IF(F186="Include",1,0)</ns0:f>
        <ns0:v>1</ns0:v>
      </ns0:c>
      <ns0:c r="H186" s="21" t="inlineStr">
        <ns0:is>
          <ns0:t>Screening</ns0:t>
        </ns0:is>
      </ns0:c>
      <ns0:c r="I186" s="21" t="inlineStr">
        <ns0:is>
          <ns0:t>Machine Learning</ns0:t>
        </ns0:is>
      </ns0:c>
      <ns0:c r="J186" s="21" t="inlineStr">
        <ns0:is>
          <ns0:t>Structured clinical/questionnaire data</ns0:t>
        </ns0:is>
      </ns0:c>
      <ns0:c r="K186" s="21" t="inlineStr">
        <ns0:is>
          <ns0:t>SVM</ns0:t>
        </ns0:is>
      </ns0:c>
      <ns0:c r="L186" s="21" t="inlineStr">
        <ns0:is>
          <ns0:t>SVM</ns0:t>
        </ns0:is>
      </ns0:c>
      <ns0:c r="M186" s="21" t="inlineStr">
        <ns0:is>
          <ns0:t>Proposed only</ns0:t>
        </ns0:is>
      </ns0:c>
      <ns0:c r="N186" s="21" t="inlineStr">
        <ns0:is>
          <ns0:t>Triage/questionnaire assessment</ns0:t>
        </ns0:is>
      </ns0:c>
      <ns0:c r="O186" s="21" t="inlineStr">
        <ns0:is>
          <ns0:t>Pre-decision</ns0:t>
        </ns0:is>
      </ns0:c>
      <ns0:c r="P186" s="21" t="inlineStr">
        <ns0:is>
          <ns0:t>Not observed in assessed sources</ns0:t>
        </ns0:is>
      </ns0:c>
      <ns0:c r="Q186" s="21" t="inlineStr">
        <ns0:is>
          <ns0:t>Not reported in assessed sources</ns0:t>
        </ns0:is>
      </ns0:c>
      <ns0:c r="R186" s="21" t="inlineStr">
        <ns0:is>
          <ns0:t>Not reported in assessed sources</ns0:t>
        </ns0:is>
      </ns0:c>
      <ns0:c r="S186" s="21" t="inlineStr">
        <ns0:is>
          <ns0:t>Not reported in assessed sources</ns0:t>
        </ns0:is>
      </ns0:c>
      <ns0:c r="T186" s="21" t="inlineStr">
        <ns0:is>
          <ns0:t>Not reported in assessed sources</ns0:t>
        </ns0:is>
      </ns0:c>
      <ns0:c r="U186" s="21" t="inlineStr">
        <ns0:is>
          <ns0:t>Not reported in assessed sources</ns0:t>
        </ns0:is>
      </ns0:c>
      <ns0:c r="V186" s="21" t="inlineStr">
        <ns0:is>
          <ns0:t>Not reported in assessed sources</ns0:t>
        </ns0:is>
      </ns0:c>
      <ns0:c r="W186" s="21" t="inlineStr">
        <ns0:is>
          <ns0:t>Not reported in assessed sources</ns0:t>
        </ns0:is>
      </ns0:c>
      <ns0:c r="X186" s="21" t="inlineStr">
        <ns0:is>
          <ns0:t>Not reported in assessed sources</ns0:t>
        </ns0:is>
      </ns0:c>
      <ns0:c r="Y186" s="21" t="inlineStr">
        <ns0:is>
          <ns0:t>Not ascertainable</ns0:t>
        </ns0:is>
      </ns0:c>
      <ns0:c r="Z186" s="21" t="inlineStr">
        <ns0:is>
          <ns0:t>Not reported in assessed sources</ns0:t>
        </ns0:is>
      </ns0:c>
      <ns0:c r="AA186" s="21" t="inlineStr">
        <ns0:is>
          <ns0:t>Not recorded</ns0:t>
        </ns0:is>
      </ns0:c>
      <ns0:c r="AB186" s="28" t="n">
        <ns0:v>0</ns0:v>
      </ns0:c>
      <ns0:c r="AC186" s="28" t="n">
        <ns0:v>0</ns0:v>
      </ns0:c>
      <ns0:c r="AD186" s="29">
        <ns0:f>IF(AND(G186=1,AB186=0),1,0)</ns0:f>
        <ns0:v>1</ns0:v>
      </ns0:c>
      <ns0:c r="AE186" s="29">
        <ns0:f>IF(AND(AD186=1,AC186=0),1,0)</ns0:f>
        <ns0:v>1</ns0:v>
      </ns0:c>
      <ns0:c r="AF186" s="29">
        <ns0:f>IF(AND(G186=1,H186&lt;&gt;"Not specified"),1,0)</ns0:f>
        <ns0:v>1</ns0:v>
      </ns0:c>
      <ns0:c r="AG186" s="29">
        <ns0:f>IF(AND(AE186=1,AF186=1),1,0)</ns0:f>
        <ns0:v>1</ns0:v>
      </ns0:c>
      <ns0:c r="AH186" s="21" t="inlineStr">
        <ns0:is>
          <ns0:t>Supplied abstract/coding notes; no new full-text verification</ns0:t>
        </ns0:is>
      </ns0:c>
      <ns0:c r="AI186" s="21" t="inlineStr">
        <ns0:is>
          <ns0:t>https://doi.org/10.1007/s11042-024-18519-y</ns0:t>
        </ns0:is>
      </ns0:c>
      <ns0:c r="AJ186" s="21" t="inlineStr">
        <ns0:is>
          <ns0:t>EVIDENCIA; original abstract/coding notes and lot source trace; Historical signals: title/abstract/notes; full-text completion not independently established</ns0:t>
        </ns0:is>
      </ns0:c>
      <ns0:c r="AK186" s="21" t="inlineStr">
        <ns0:is>
          <ns0:t>ISAA item scores and six added attributes for severity/attention prioritization. The best reported primary classifier is SVM, with a separate MLP alternative.</ns0:t>
        </ns0:is>
      </ns0:c>
      <ns0:c r="AL186" s="21" t="inlineStr">
        <ns0:is>
          <ns0:t>Not applicable</ns0:t>
        </ns0:is>
      </ns0:c>
      <ns0:c r="AM186" s="21" t="inlineStr">
        <ns0:is>
          <ns0:t>Not separately specified</ns0:t>
        </ns0:is>
      </ns0:c>
      <ns0:c r="AN186" s="21" t="inlineStr"/>
      <ns0:c r="AO186" s="21" t="inlineStr">
        <ns0:is>
          <ns0:t>No additional status determination</ns0:t>
        </ns0:is>
      </ns0:c>
      <ns0:c r="AP186" s="21" t="inlineStr">
        <ns0:is>
          <ns0:t>Not documented for this recharting</ns0:t>
        </ns0:is>
      </ns0:c>
      <ns0:c r="AQ186" s="21" t="inlineStr">
        <ns0:is>
          <ns0:t>ChatGPT-assisted evidence recharting, 2026-09-08</ns0:t>
        </ns0:is>
      </ns0:c>
      <ns0:c r="AR186" s="21" t="inlineStr">
        <ns0:is>
          <ns0:t>RA</ns0:t>
        </ns0:is>
      </ns0:c>
      <ns0:c r="AS186" s="21" t="inlineStr">
        <ns0:is>
          <ns0:t>Not recorded; historical inclusion retained</ns0:t>
        </ns0:is>
      </ns0:c>
    </ns0:row>
    <ns0:row r="187" ht="50" customHeight="1">
      <ns0:c r="A187" s="19" t="inlineStr">
        <ns0:is>
          <ns0:t>201</ns0:t>
        </ns0:is>
      </ns0:c>
      <ns0:c r="B187" s="19" t="inlineStr">
        <ns0:is>
          <ns0:t>Historical</ns0:t>
        </ns0:is>
      </ns0:c>
      <ns0:c r="C187" s="19" t="inlineStr">
        <ns0:is>
          <ns0:t>Machine Learning–Based Approach for Early Screening of Autism Spectrum Disorders</ns0:t>
        </ns0:is>
      </ns0:c>
      <ns0:c r="D187" s="19" t="inlineStr">
        <ns0:is>
          <ns0:t>10.1155/acis/9975499</ns0:t>
        </ns0:is>
      </ns0:c>
      <ns0:c r="E187" s="26" t="n">
        <ns0:v>2025</ns0:v>
      </ns0:c>
      <ns0:c r="F187" s="19" t="inlineStr">
        <ns0:is>
          <ns0:t>Include</ns0:t>
        </ns0:is>
      </ns0:c>
      <ns0:c r="G187" s="27">
        <ns0:f>IF(F187="Include",1,0)</ns0:f>
        <ns0:v>1</ns0:v>
      </ns0:c>
      <ns0:c r="H187" s="19" t="inlineStr">
        <ns0:is>
          <ns0:t>Screening</ns0:t>
        </ns0:is>
      </ns0:c>
      <ns0:c r="I187" s="19" t="inlineStr">
        <ns0:is>
          <ns0:t>Machine Learning</ns0:t>
        </ns0:is>
      </ns0:c>
      <ns0:c r="J187" s="19" t="inlineStr">
        <ns0:is>
          <ns0:t>Structured clinical/questionnaire data</ns0:t>
        </ns0:is>
      </ns0:c>
      <ns0:c r="K187" s="19" t="inlineStr">
        <ns0:is>
          <ns0:t>SVM; MLP for the Pakistani subset</ns0:t>
        </ns0:is>
      </ns0:c>
      <ns0:c r="L187" s="19" t="inlineStr">
        <ns0:is>
          <ns0:t>Composite/ensemble pipeline</ns0:t>
        </ns0:is>
      </ns0:c>
      <ns0:c r="M187" s="19" t="inlineStr">
        <ns0:is>
          <ns0:t>Research only</ns0:t>
        </ns0:is>
      </ns0:c>
      <ns0:c r="N187" s="19" t="inlineStr">
        <ns0:is>
          <ns0:t>Triage/questionnaire assessment</ns0:t>
        </ns0:is>
      </ns0:c>
      <ns0:c r="O187" s="19" t="inlineStr">
        <ns0:is>
          <ns0:t>Not observed in assessed sources</ns0:t>
        </ns0:is>
      </ns0:c>
      <ns0:c r="P187" s="19" t="inlineStr">
        <ns0:is>
          <ns0:t>Not observed in assessed sources</ns0:t>
        </ns0:is>
      </ns0:c>
      <ns0:c r="Q187" s="19" t="inlineStr">
        <ns0:is>
          <ns0:t>Not reported in assessed sources</ns0:t>
        </ns0:is>
      </ns0:c>
      <ns0:c r="R187" s="19" t="inlineStr">
        <ns0:is>
          <ns0:t>Not reported in assessed sources</ns0:t>
        </ns0:is>
      </ns0:c>
      <ns0:c r="S187" s="19" t="inlineStr">
        <ns0:is>
          <ns0:t>Reported</ns0:t>
        </ns0:is>
      </ns0:c>
      <ns0:c r="T187" s="19" t="inlineStr">
        <ns0:is>
          <ns0:t>Not reported in assessed sources</ns0:t>
        </ns0:is>
      </ns0:c>
      <ns0:c r="U187" s="19" t="inlineStr">
        <ns0:is>
          <ns0:t>Not reported in assessed sources</ns0:t>
        </ns0:is>
      </ns0:c>
      <ns0:c r="V187" s="19" t="inlineStr">
        <ns0:is>
          <ns0:t>Not reported in assessed sources</ns0:t>
        </ns0:is>
      </ns0:c>
      <ns0:c r="W187" s="19" t="inlineStr">
        <ns0:is>
          <ns0:t>Not reported in assessed sources</ns0:t>
        </ns0:is>
      </ns0:c>
      <ns0:c r="X187" s="19" t="inlineStr">
        <ns0:is>
          <ns0:t>Not reported in assessed sources</ns0:t>
        </ns0:is>
      </ns0:c>
      <ns0:c r="Y187" s="19" t="inlineStr">
        <ns0:is>
          <ns0:t>Not ascertainable</ns0:t>
        </ns0:is>
      </ns0:c>
      <ns0:c r="Z187" s="19" t="inlineStr">
        <ns0:is>
          <ns0:t>Reported</ns0:t>
        </ns0:is>
      </ns0:c>
      <ns0:c r="AA187" s="19" t="inlineStr">
        <ns0:is>
          <ns0:t>Not recorded</ns0:t>
        </ns0:is>
      </ns0:c>
      <ns0:c r="AB187" s="26" t="n">
        <ns0:v>0</ns0:v>
      </ns0:c>
      <ns0:c r="AC187" s="26" t="n">
        <ns0:v>0</ns0:v>
      </ns0:c>
      <ns0:c r="AD187" s="27">
        <ns0:f>IF(AND(G187=1,AB187=0),1,0)</ns0:f>
        <ns0:v>1</ns0:v>
      </ns0:c>
      <ns0:c r="AE187" s="27">
        <ns0:f>IF(AND(AD187=1,AC187=0),1,0)</ns0:f>
        <ns0:v>1</ns0:v>
      </ns0:c>
      <ns0:c r="AF187" s="27">
        <ns0:f>IF(AND(G187=1,H187&lt;&gt;"Not specified"),1,0)</ns0:f>
        <ns0:v>1</ns0:v>
      </ns0:c>
      <ns0:c r="AG187" s="27">
        <ns0:f>IF(AND(AE187=1,AF187=1),1,0)</ns0:f>
        <ns0:v>1</ns0:v>
      </ns0:c>
      <ns0:c r="AH187" s="19" t="inlineStr">
        <ns0:is>
          <ns0:t>Supplied abstract/coding notes; no new full-text verification</ns0:t>
        </ns0:is>
      </ns0:c>
      <ns0:c r="AI187" s="19" t="inlineStr">
        <ns0:is>
          <ns0:t>https://doi.org/10.1155/acis/9975499</ns0:t>
        </ns0:is>
      </ns0:c>
      <ns0:c r="AJ187" s="19" t="inlineStr">
        <ns0:is>
          <ns0:t>EVIDENCIA; original abstract/coding notes and lot source trace; Historical signals: title/abstract/notes; full-text completion not independently established</ns0:t>
        </ns0:is>
      </ns0:c>
      <ns0:c r="AK187" s="19" t="inlineStr">
        <ns0:is>
          <ns0:t>Structured age-group screening datasets and feature significance; no electrophysiology. Different cohort-specific winning models are retained explicitly.</ns0:t>
        </ns0:is>
      </ns0:c>
      <ns0:c r="AL187" s="19" t="inlineStr">
        <ns0:is>
          <ns0:t>Not applicable</ns0:t>
        </ns0:is>
      </ns0:c>
      <ns0:c r="AM187" s="19" t="inlineStr">
        <ns0:is>
          <ns0:t>Not separately specified</ns0:t>
        </ns0:is>
      </ns0:c>
      <ns0:c r="AN187" s="19" t="inlineStr"/>
      <ns0:c r="AO187" s="19" t="inlineStr">
        <ns0:is>
          <ns0:t>No additional status determination</ns0:t>
        </ns0:is>
      </ns0:c>
      <ns0:c r="AP187" s="19" t="inlineStr">
        <ns0:is>
          <ns0:t>Not documented for this recharting</ns0:t>
        </ns0:is>
      </ns0:c>
      <ns0:c r="AQ187" s="19" t="inlineStr">
        <ns0:is>
          <ns0:t>ChatGPT-assisted evidence recharting, 2026-09-08</ns0:t>
        </ns0:is>
      </ns0:c>
      <ns0:c r="AR187" s="19" t="inlineStr">
        <ns0:is>
          <ns0:t>RA</ns0:t>
        </ns0:is>
      </ns0:c>
      <ns0:c r="AS187" s="19" t="inlineStr">
        <ns0:is>
          <ns0:t>Not recorded; historical inclusion retained</ns0:t>
        </ns0:is>
      </ns0:c>
    </ns0:row>
    <ns0:row r="188" ht="50" customHeight="1">
      <ns0:c r="A188" s="21" t="inlineStr">
        <ns0:is>
          <ns0:t>202</ns0:t>
        </ns0:is>
      </ns0:c>
      <ns0:c r="B188" s="21" t="inlineStr">
        <ns0:is>
          <ns0:t>Historical</ns0:t>
        </ns0:is>
      </ns0:c>
      <ns0:c r="C188" s="21" t="inlineStr">
        <ns0:is>
          <ns0:t>Model selection to achieve reproducible associations between resting state EEG features and autism</ns0:t>
        </ns0:is>
      </ns0:c>
      <ns0:c r="D188" s="21" t="inlineStr">
        <ns0:is>
          <ns0:t>10.1038/s41598-024-76659-5</ns0:t>
        </ns0:is>
      </ns0:c>
      <ns0:c r="E188" s="28" t="n">
        <ns0:v>2024</ns0:v>
      </ns0:c>
      <ns0:c r="F188" s="21" t="inlineStr">
        <ns0:is>
          <ns0:t>Include</ns0:t>
        </ns0:is>
      </ns0:c>
      <ns0:c r="G188" s="29">
        <ns0:f>IF(F188="Include",1,0)</ns0:f>
        <ns0:v>1</ns0:v>
      </ns0:c>
      <ns0:c r="H188" s="21" t="inlineStr">
        <ns0:is>
          <ns0:t>Diagnosis</ns0:t>
        </ns0:is>
      </ns0:c>
      <ns0:c r="I188" s="21" t="inlineStr">
        <ns0:is>
          <ns0:t>Machine Learning</ns0:t>
        </ns0:is>
      </ns0:c>
      <ns0:c r="J188" s="21" t="inlineStr">
        <ns0:is>
          <ns0:t>Physiological signals</ns0:t>
        </ns0:is>
      </ns0:c>
      <ns0:c r="K188" s="21" t="inlineStr">
        <ns0:is>
          <ns0:t>Regularized generalized linear model</ns0:t>
        </ns0:is>
      </ns0:c>
      <ns0:c r="L188" s="21" t="inlineStr">
        <ns0:is>
          <ns0:t>Other specified method</ns0:t>
        </ns0:is>
      </ns0:c>
      <ns0:c r="M188" s="21" t="inlineStr">
        <ns0:is>
          <ns0:t>Research only</ns0:t>
        </ns0:is>
      </ns0:c>
      <ns0:c r="N188" s="21" t="inlineStr">
        <ns0:is>
          <ns0:t>Automated measurement/classification</ns0:t>
        </ns0:is>
      </ns0:c>
      <ns0:c r="O188" s="21" t="inlineStr">
        <ns0:is>
          <ns0:t>Not observed in assessed sources</ns0:t>
        </ns0:is>
      </ns0:c>
      <ns0:c r="P188" s="21" t="inlineStr">
        <ns0:is>
          <ns0:t>Not observed in assessed sources</ns0:t>
        </ns0:is>
      </ns0:c>
      <ns0:c r="Q188" s="21" t="inlineStr">
        <ns0:is>
          <ns0:t>Not reported in assessed sources</ns0:t>
        </ns0:is>
      </ns0:c>
      <ns0:c r="R188" s="21" t="inlineStr">
        <ns0:is>
          <ns0:t>Not reported in assessed sources</ns0:t>
        </ns0:is>
      </ns0:c>
      <ns0:c r="S188" s="21" t="inlineStr">
        <ns0:is>
          <ns0:t>Reported</ns0:t>
        </ns0:is>
      </ns0:c>
      <ns0:c r="T188" s="21" t="inlineStr">
        <ns0:is>
          <ns0:t>Not reported in assessed sources</ns0:t>
        </ns0:is>
      </ns0:c>
      <ns0:c r="U188" s="21" t="inlineStr">
        <ns0:is>
          <ns0:t>Not reported in assessed sources</ns0:t>
        </ns0:is>
      </ns0:c>
      <ns0:c r="V188" s="21" t="inlineStr">
        <ns0:is>
          <ns0:t>Not reported in assessed sources</ns0:t>
        </ns0:is>
      </ns0:c>
      <ns0:c r="W188" s="21" t="inlineStr">
        <ns0:is>
          <ns0:t>Not reported in assessed sources</ns0:t>
        </ns0:is>
      </ns0:c>
      <ns0:c r="X188" s="21" t="inlineStr">
        <ns0:is>
          <ns0:t>Not reported in assessed sources</ns0:t>
        </ns0:is>
      </ns0:c>
      <ns0:c r="Y188" s="21" t="inlineStr">
        <ns0:is>
          <ns0:t>Not ascertainable</ns0:t>
        </ns0:is>
      </ns0:c>
      <ns0:c r="Z188" s="21" t="inlineStr">
        <ns0:is>
          <ns0:t>Reported</ns0:t>
        </ns0:is>
      </ns0:c>
      <ns0:c r="AA188" s="21" t="inlineStr">
        <ns0:is>
          <ns0:t>Not recorded</ns0:t>
        </ns0:is>
      </ns0:c>
      <ns0:c r="AB188" s="28" t="n">
        <ns0:v>0</ns0:v>
      </ns0:c>
      <ns0:c r="AC188" s="28" t="n">
        <ns0:v>0</ns0:v>
      </ns0:c>
      <ns0:c r="AD188" s="29">
        <ns0:f>IF(AND(G188=1,AB188=0),1,0)</ns0:f>
        <ns0:v>1</ns0:v>
      </ns0:c>
      <ns0:c r="AE188" s="29">
        <ns0:f>IF(AND(AD188=1,AC188=0),1,0)</ns0:f>
        <ns0:v>1</ns0:v>
      </ns0:c>
      <ns0:c r="AF188" s="29">
        <ns0:f>IF(AND(G188=1,H188&lt;&gt;"Not specified"),1,0)</ns0:f>
        <ns0:v>1</ns0:v>
      </ns0:c>
      <ns0:c r="AG188" s="29">
        <ns0:f>IF(AND(AE188=1,AF188=1),1,0)</ns0:f>
        <ns0:v>1</ns0:v>
      </ns0:c>
      <ns0:c r="AH188" s="21" t="inlineStr">
        <ns0:is>
          <ns0:t>Supplied abstract/coding notes; no new full-text verification</ns0:t>
        </ns0:is>
      </ns0:c>
      <ns0:c r="AI188" s="21" t="inlineStr">
        <ns0:is>
          <ns0:t>https://doi.org/10.1038/s41598-024-76659-5</ns0:t>
        </ns0:is>
      </ns0:c>
      <ns0:c r="AJ188" s="21" t="inlineStr">
        <ns0:is>
          <ns0:t>EVIDENCIA; original abstract/coding notes and lot source trace; Historical signals: title/abstract/notes; full-text completion not independently established</ns0:t>
        </ns0:is>
      </ns0:c>
      <ns0:c r="AK188" s="21" t="inlineStr">
        <ns0:is>
          <ns0:t>EEG power/connectivity classification with reproducibility-focused model selection; not a deep network. Model association stability does not equal cross-site validation.</ns0:t>
        </ns0:is>
      </ns0:c>
      <ns0:c r="AL188" s="21" t="inlineStr">
        <ns0:is>
          <ns0:t>Not applicable</ns0:t>
        </ns0:is>
      </ns0:c>
      <ns0:c r="AM188" s="21" t="inlineStr">
        <ns0:is>
          <ns0:t>Not separately specified</ns0:t>
        </ns0:is>
      </ns0:c>
      <ns0:c r="AN188" s="21" t="inlineStr"/>
      <ns0:c r="AO188" s="21" t="inlineStr">
        <ns0:is>
          <ns0:t>No additional status determination</ns0:t>
        </ns0:is>
      </ns0:c>
      <ns0:c r="AP188" s="21" t="inlineStr">
        <ns0:is>
          <ns0:t>Not documented for this recharting</ns0:t>
        </ns0:is>
      </ns0:c>
      <ns0:c r="AQ188" s="21" t="inlineStr">
        <ns0:is>
          <ns0:t>ChatGPT-assisted evidence recharting, 2026-09-08</ns0:t>
        </ns0:is>
      </ns0:c>
      <ns0:c r="AR188" s="21" t="inlineStr">
        <ns0:is>
          <ns0:t>RA</ns0:t>
        </ns0:is>
      </ns0:c>
      <ns0:c r="AS188" s="21" t="inlineStr">
        <ns0:is>
          <ns0:t>Not recorded; historical inclusion retained</ns0:t>
        </ns0:is>
      </ns0:c>
    </ns0:row>
    <ns0:row r="189" ht="50" customHeight="1">
      <ns0:c r="A189" s="19" t="inlineStr">
        <ns0:is>
          <ns0:t>203</ns0:t>
        </ns0:is>
      </ns0:c>
      <ns0:c r="B189" s="19" t="inlineStr">
        <ns0:is>
          <ns0:t>Historical</ns0:t>
        </ns0:is>
      </ns0:c>
      <ns0:c r="C189" s="19" t="inlineStr">
        <ns0:is>
          <ns0:t>Multimodal autism detection: Deep hybrid model with improved feature level fusion</ns0:t>
        </ns0:is>
      </ns0:c>
      <ns0:c r="D189" s="19" t="inlineStr">
        <ns0:is>
          <ns0:t>10.1016/j.cmpb.2024.108492</ns0:t>
        </ns0:is>
      </ns0:c>
      <ns0:c r="E189" s="26" t="n">
        <ns0:v>2025</ns0:v>
      </ns0:c>
      <ns0:c r="F189" s="19" t="inlineStr">
        <ns0:is>
          <ns0:t>Include</ns0:t>
        </ns0:is>
      </ns0:c>
      <ns0:c r="G189" s="27">
        <ns0:f>IF(F189="Include",1,0)</ns0:f>
        <ns0:v>1</ns0:v>
      </ns0:c>
      <ns0:c r="H189" s="19" t="inlineStr">
        <ns0:is>
          <ns0:t>Screening</ns0:t>
        </ns0:is>
      </ns0:c>
      <ns0:c r="I189" s="19" t="inlineStr">
        <ns0:is>
          <ns0:t>Deep Learning</ns0:t>
        </ns0:is>
      </ns0:c>
      <ns0:c r="J189" s="19" t="inlineStr">
        <ns0:is>
          <ns0:t>Multiple source categories</ns0:t>
        </ns0:is>
      </ns0:c>
      <ns0:c r="K189" s="19" t="inlineStr">
        <ns0:is>
          <ns0:t>CNN-BiGRU with feature-level fusion</ns0:t>
        </ns0:is>
      </ns0:c>
      <ns0:c r="L189" s="19" t="inlineStr">
        <ns0:is>
          <ns0:t>Composite/ensemble pipeline</ns0:t>
        </ns0:is>
      </ns0:c>
      <ns0:c r="M189" s="19" t="inlineStr">
        <ns0:is>
          <ns0:t>Research only</ns0:t>
        </ns0:is>
      </ns0:c>
      <ns0:c r="N189" s="19" t="inlineStr">
        <ns0:is>
          <ns0:t>Automated measurement/classification</ns0:t>
        </ns0:is>
      </ns0:c>
      <ns0:c r="O189" s="19" t="inlineStr">
        <ns0:is>
          <ns0:t>Not observed in assessed sources</ns0:t>
        </ns0:is>
      </ns0:c>
      <ns0:c r="P189" s="19" t="inlineStr">
        <ns0:is>
          <ns0:t>Not observed in assessed sources</ns0:t>
        </ns0:is>
      </ns0:c>
      <ns0:c r="Q189" s="19" t="inlineStr">
        <ns0:is>
          <ns0:t>Not reported in assessed sources</ns0:t>
        </ns0:is>
      </ns0:c>
      <ns0:c r="R189" s="19" t="inlineStr">
        <ns0:is>
          <ns0:t>Reported</ns0:t>
        </ns0:is>
      </ns0:c>
      <ns0:c r="S189" s="19" t="inlineStr">
        <ns0:is>
          <ns0:t>Not reported in assessed sources</ns0:t>
        </ns0:is>
      </ns0:c>
      <ns0:c r="T189" s="19" t="inlineStr">
        <ns0:is>
          <ns0:t>Not reported in assessed sources</ns0:t>
        </ns0:is>
      </ns0:c>
      <ns0:c r="U189" s="19" t="inlineStr">
        <ns0:is>
          <ns0:t>Not reported in assessed sources</ns0:t>
        </ns0:is>
      </ns0:c>
      <ns0:c r="V189" s="19" t="inlineStr">
        <ns0:is>
          <ns0:t>Not reported in assessed sources</ns0:t>
        </ns0:is>
      </ns0:c>
      <ns0:c r="W189" s="19" t="inlineStr">
        <ns0:is>
          <ns0:t>Reported</ns0:t>
        </ns0:is>
      </ns0:c>
      <ns0:c r="X189" s="19" t="inlineStr">
        <ns0:is>
          <ns0:t>Not reported in assessed sources</ns0:t>
        </ns0:is>
      </ns0:c>
      <ns0:c r="Y189" s="19" t="inlineStr">
        <ns0:is>
          <ns0:t>Not ascertainable</ns0:t>
        </ns0:is>
      </ns0:c>
      <ns0:c r="Z189" s="19" t="inlineStr">
        <ns0:is>
          <ns0:t>Not reported in assessed sources</ns0:t>
        </ns0:is>
      </ns0:c>
      <ns0:c r="AA189" s="19" t="inlineStr">
        <ns0:is>
          <ns0:t>Not recorded</ns0:t>
        </ns0:is>
      </ns0:c>
      <ns0:c r="AB189" s="26" t="n">
        <ns0:v>0</ns0:v>
      </ns0:c>
      <ns0:c r="AC189" s="26" t="n">
        <ns0:v>0</ns0:v>
      </ns0:c>
      <ns0:c r="AD189" s="27">
        <ns0:f>IF(AND(G189=1,AB189=0),1,0)</ns0:f>
        <ns0:v>1</ns0:v>
      </ns0:c>
      <ns0:c r="AE189" s="27">
        <ns0:f>IF(AND(AD189=1,AC189=0),1,0)</ns0:f>
        <ns0:v>1</ns0:v>
      </ns0:c>
      <ns0:c r="AF189" s="27">
        <ns0:f>IF(AND(G189=1,H189&lt;&gt;"Not specified"),1,0)</ns0:f>
        <ns0:v>1</ns0:v>
      </ns0:c>
      <ns0:c r="AG189" s="27">
        <ns0:f>IF(AND(AE189=1,AF189=1),1,0)</ns0:f>
        <ns0:v>1</ns0:v>
      </ns0:c>
      <ns0:c r="AH189" s="19" t="inlineStr">
        <ns0:is>
          <ns0:t>Supplied abstract/coding notes; no new full-text verification</ns0:t>
        </ns0:is>
      </ns0:c>
      <ns0:c r="AI189" s="19" t="inlineStr">
        <ns0:is>
          <ns0:t>https://doi.org/10.1016/j.cmpb.2024.108492</ns0:t>
        </ns0:is>
      </ns0:c>
      <ns0:c r="AJ189" s="19" t="inlineStr">
        <ns0:is>
          <ns0:t>EVIDENCIA; original abstract/coding notes and lot source trace; Historical signals: title/abstract/notes; full-text completion not independently established</ns0:t>
        </ns0:is>
      </ns0:c>
      <ns0:c r="AK189" s="19" t="inlineStr">
        <ns0:is>
          <ns0:t>Explicit EEG and facial-image feature fusion, with neural CNN and recurrent components. The word hybrid denotes a combination of deep architectures, not conventional-ML/DL integration.
Fusion is reported; participant-level pairing across EEG and face data is not established by the accessible abstract.</ns0:t>
        </ns0:is>
      </ns0:c>
      <ns0:c r="AL189" s="19" t="inlineStr">
        <ns0:is>
          <ns0:t>Not applicable</ns0:t>
        </ns0:is>
      </ns0:c>
      <ns0:c r="AM189" s="19" t="inlineStr">
        <ns0:is>
          <ns0:t>Not separately specified</ns0:t>
        </ns0:is>
      </ns0:c>
      <ns0:c r="AN189" s="19" t="inlineStr"/>
      <ns0:c r="AO189" s="19" t="inlineStr">
        <ns0:is>
          <ns0:t>No additional status determination</ns0:t>
        </ns0:is>
      </ns0:c>
      <ns0:c r="AP189" s="19" t="inlineStr">
        <ns0:is>
          <ns0:t>Not documented for this recharting</ns0:t>
        </ns0:is>
      </ns0:c>
      <ns0:c r="AQ189" s="19" t="inlineStr">
        <ns0:is>
          <ns0:t>ChatGPT-assisted evidence recharting, 2026-09-08</ns0:t>
        </ns0:is>
      </ns0:c>
      <ns0:c r="AR189" s="19" t="inlineStr"/>
      <ns0:c r="AS189" s="19" t="inlineStr">
        <ns0:is>
          <ns0:t>Not recorded; historical inclusion retained</ns0:t>
        </ns0:is>
      </ns0:c>
    </ns0:row>
    <ns0:row r="190" ht="50" customHeight="1">
      <ns0:c r="A190" s="21" t="inlineStr">
        <ns0:is>
          <ns0:t>204</ns0:t>
        </ns0:is>
      </ns0:c>
      <ns0:c r="B190" s="21" t="inlineStr">
        <ns0:is>
          <ns0:t>Historical</ns0:t>
        </ns0:is>
      </ns0:c>
      <ns0:c r="C190" s="21" t="inlineStr">
        <ns0:is>
          <ns0:t>Multi-task feature selection via supervised canonical graph matching for diagnosis of autism spectrum disorder</ns0:t>
        </ns0:is>
      </ns0:c>
      <ns0:c r="D190" s="21" t="inlineStr">
        <ns0:is>
          <ns0:t>10.1007/s11682-015-9360-1</ns0:t>
        </ns0:is>
      </ns0:c>
      <ns0:c r="E190" s="28" t="n">
        <ns0:v>2016</ns0:v>
      </ns0:c>
      <ns0:c r="F190" s="21" t="inlineStr">
        <ns0:is>
          <ns0:t>Include</ns0:t>
        </ns0:is>
      </ns0:c>
      <ns0:c r="G190" s="29">
        <ns0:f>IF(F190="Include",1,0)</ns0:f>
        <ns0:v>1</ns0:v>
      </ns0:c>
      <ns0:c r="H190" s="21" t="inlineStr">
        <ns0:is>
          <ns0:t>Diagnosis</ns0:t>
        </ns0:is>
      </ns0:c>
      <ns0:c r="I190" s="21" t="inlineStr">
        <ns0:is>
          <ns0:t>Machine Learning</ns0:t>
        </ns0:is>
      </ns0:c>
      <ns0:c r="J190" s="21" t="inlineStr">
        <ns0:is>
          <ns0:t>Neuroimaging</ns0:t>
        </ns0:is>
      </ns0:c>
      <ns0:c r="K190" s="21" t="inlineStr">
        <ns0:is>
          <ns0:t>Supervised canonical graph matching feature selection</ns0:t>
        </ns0:is>
      </ns0:c>
      <ns0:c r="L190" s="21" t="inlineStr">
        <ns0:is>
          <ns0:t>Other specified method</ns0:t>
        </ns0:is>
      </ns0:c>
      <ns0:c r="M190" s="21" t="inlineStr">
        <ns0:is>
          <ns0:t>Research only</ns0:t>
        </ns0:is>
      </ns0:c>
      <ns0:c r="N190" s="21" t="inlineStr">
        <ns0:is>
          <ns0:t>Automated measurement/classification</ns0:t>
        </ns0:is>
      </ns0:c>
      <ns0:c r="O190" s="21" t="inlineStr">
        <ns0:is>
          <ns0:t>Not observed in assessed sources</ns0:t>
        </ns0:is>
      </ns0:c>
      <ns0:c r="P190" s="21" t="inlineStr">
        <ns0:is>
          <ns0:t>Not observed in assessed sources</ns0:t>
        </ns0:is>
      </ns0:c>
      <ns0:c r="Q190" s="21" t="inlineStr">
        <ns0:is>
          <ns0:t>Not reported in assessed sources</ns0:t>
        </ns0:is>
      </ns0:c>
      <ns0:c r="R190" s="21" t="inlineStr">
        <ns0:is>
          <ns0:t>Not reported in assessed sources</ns0:t>
        </ns0:is>
      </ns0:c>
      <ns0:c r="S190" s="21" t="inlineStr">
        <ns0:is>
          <ns0:t>Not reported in assessed sources</ns0:t>
        </ns0:is>
      </ns0:c>
      <ns0:c r="T190" s="21" t="inlineStr">
        <ns0:is>
          <ns0:t>Not reported in assessed sources</ns0:t>
        </ns0:is>
      </ns0:c>
      <ns0:c r="U190" s="21" t="inlineStr">
        <ns0:is>
          <ns0:t>Not reported in assessed sources</ns0:t>
        </ns0:is>
      </ns0:c>
      <ns0:c r="V190" s="21" t="inlineStr">
        <ns0:is>
          <ns0:t>Not reported in assessed sources</ns0:t>
        </ns0:is>
      </ns0:c>
      <ns0:c r="W190" s="21" t="inlineStr">
        <ns0:is>
          <ns0:t>Not reported in assessed sources</ns0:t>
        </ns0:is>
      </ns0:c>
      <ns0:c r="X190" s="21" t="inlineStr">
        <ns0:is>
          <ns0:t>Not reported in assessed sources</ns0:t>
        </ns0:is>
      </ns0:c>
      <ns0:c r="Y190" s="21" t="inlineStr">
        <ns0:is>
          <ns0:t>Not ascertainable</ns0:t>
        </ns0:is>
      </ns0:c>
      <ns0:c r="Z190" s="21" t="inlineStr">
        <ns0:is>
          <ns0:t>Not reported in assessed sources</ns0:t>
        </ns0:is>
      </ns0:c>
      <ns0:c r="AA190" s="21" t="inlineStr">
        <ns0:is>
          <ns0:t>Not recorded</ns0:t>
        </ns0:is>
      </ns0:c>
      <ns0:c r="AB190" s="28" t="n">
        <ns0:v>0</ns0:v>
      </ns0:c>
      <ns0:c r="AC190" s="28" t="n">
        <ns0:v>0</ns0:v>
      </ns0:c>
      <ns0:c r="AD190" s="29">
        <ns0:f>IF(AND(G190=1,AB190=0),1,0)</ns0:f>
        <ns0:v>1</ns0:v>
      </ns0:c>
      <ns0:c r="AE190" s="29">
        <ns0:f>IF(AND(AD190=1,AC190=0),1,0)</ns0:f>
        <ns0:v>1</ns0:v>
      </ns0:c>
      <ns0:c r="AF190" s="29">
        <ns0:f>IF(AND(G190=1,H190&lt;&gt;"Not specified"),1,0)</ns0:f>
        <ns0:v>1</ns0:v>
      </ns0:c>
      <ns0:c r="AG190" s="29">
        <ns0:f>IF(AND(AE190=1,AF190=1),1,0)</ns0:f>
        <ns0:v>1</ns0:v>
      </ns0:c>
      <ns0:c r="AH190" s="21" t="inlineStr">
        <ns0:is>
          <ns0:t>Supplied abstract/coding notes; no new full-text verification</ns0:t>
        </ns0:is>
      </ns0:c>
      <ns0:c r="AI190" s="21" t="inlineStr">
        <ns0:is>
          <ns0:t>https://doi.org/10.1007/s11682-015-9360-1</ns0:t>
        </ns0:is>
      </ns0:c>
      <ns0:c r="AJ190" s="21" t="inlineStr">
        <ns0:is>
          <ns0:t>EVIDENCIA; original abstract/coding notes and lot source trace; Historical signals: title/abstract/notes; full-text completion not independently established</ns0:t>
        </ns0:is>
      </ns0:c>
      <ns0:c r="AK190" s="21" t="inlineStr">
        <ns0:is>
          <ns0:t>Gray- and white-matter features originate from structural MRI; multiple tissue representations are not additional source modalities.</ns0:t>
        </ns0:is>
      </ns0:c>
      <ns0:c r="AL190" s="21" t="inlineStr">
        <ns0:is>
          <ns0:t>Not applicable</ns0:t>
        </ns0:is>
      </ns0:c>
      <ns0:c r="AM190" s="21" t="inlineStr">
        <ns0:is>
          <ns0:t>Not separately specified</ns0:t>
        </ns0:is>
      </ns0:c>
      <ns0:c r="AN190" s="21" t="inlineStr"/>
      <ns0:c r="AO190" s="21" t="inlineStr">
        <ns0:is>
          <ns0:t>No additional status determination</ns0:t>
        </ns0:is>
      </ns0:c>
      <ns0:c r="AP190" s="21" t="inlineStr">
        <ns0:is>
          <ns0:t>Not documented for this recharting</ns0:t>
        </ns0:is>
      </ns0:c>
      <ns0:c r="AQ190" s="21" t="inlineStr">
        <ns0:is>
          <ns0:t>ChatGPT-assisted evidence recharting, 2026-09-08</ns0:t>
        </ns0:is>
      </ns0:c>
      <ns0:c r="AR190" s="21" t="inlineStr"/>
      <ns0:c r="AS190" s="21" t="inlineStr">
        <ns0:is>
          <ns0:t>Not recorded; historical inclusion retained</ns0:t>
        </ns0:is>
      </ns0:c>
    </ns0:row>
    <ns0:row r="191" ht="50" customHeight="1">
      <ns0:c r="A191" s="19" t="inlineStr">
        <ns0:is>
          <ns0:t>205</ns0:t>
        </ns0:is>
      </ns0:c>
      <ns0:c r="B191" s="19" t="inlineStr">
        <ns0:is>
          <ns0:t>Historical</ns0:t>
        </ns0:is>
      </ns0:c>
      <ns0:c r="C191" s="19" t="inlineStr">
        <ns0:is>
          <ns0:t>Off-Body Sleep Analysis for Predicting Adverse Behavior in Individuals With Autism Spectrum Disorder</ns0:t>
        </ns0:is>
      </ns0:c>
      <ns0:c r="D191" s="19" t="inlineStr">
        <ns0:is>
          <ns0:t>10.1109/jbhi.2024.3455942</ns0:t>
        </ns0:is>
      </ns0:c>
      <ns0:c r="E191" s="26" t="n">
        <ns0:v>2024</ns0:v>
      </ns0:c>
      <ns0:c r="F191" s="19" t="inlineStr">
        <ns0:is>
          <ns0:t>Include</ns0:t>
        </ns0:is>
      </ns0:c>
      <ns0:c r="G191" s="27">
        <ns0:f>IF(F191="Include",1,0)</ns0:f>
        <ns0:v>1</ns0:v>
      </ns0:c>
      <ns0:c r="H191" s="19" t="inlineStr">
        <ns0:is>
          <ns0:t>Prognosis</ns0:t>
        </ns0:is>
      </ns0:c>
      <ns0:c r="I191" s="19" t="inlineStr">
        <ns0:is>
          <ns0:t>Machine Learning</ns0:t>
        </ns0:is>
      </ns0:c>
      <ns0:c r="J191" s="19" t="inlineStr">
        <ns0:is>
          <ns0:t>Behavioral images/video/gaze/movement</ns0:t>
        </ns0:is>
      </ns0:c>
      <ns0:c r="K191" s="19" t="inlineStr">
        <ns0:is>
          <ns0:t>Ensemble classifier</ns0:t>
        </ns0:is>
      </ns0:c>
      <ns0:c r="L191" s="19" t="inlineStr">
        <ns0:is>
          <ns0:t>Other specified method</ns0:t>
        </ns0:is>
      </ns0:c>
      <ns0:c r="M191" s="19" t="inlineStr">
        <ns0:is>
          <ns0:t>Research only</ns0:t>
        </ns0:is>
      </ns0:c>
      <ns0:c r="N191" s="19" t="inlineStr">
        <ns0:is>
          <ns0:t>Risk/trajectory estimation</ns0:t>
        </ns0:is>
      </ns0:c>
      <ns0:c r="O191" s="19" t="inlineStr">
        <ns0:is>
          <ns0:t>Not observed in assessed sources</ns0:t>
        </ns0:is>
      </ns0:c>
      <ns0:c r="P191" s="19" t="inlineStr">
        <ns0:is>
          <ns0:t>Not observed in assessed sources</ns0:t>
        </ns0:is>
      </ns0:c>
      <ns0:c r="Q191" s="19" t="inlineStr">
        <ns0:is>
          <ns0:t>Not reported in assessed sources</ns0:t>
        </ns0:is>
      </ns0:c>
      <ns0:c r="R191" s="19" t="inlineStr">
        <ns0:is>
          <ns0:t>Not reported in assessed sources</ns0:t>
        </ns0:is>
      </ns0:c>
      <ns0:c r="S191" s="19" t="inlineStr">
        <ns0:is>
          <ns0:t>Not reported in assessed sources</ns0:t>
        </ns0:is>
      </ns0:c>
      <ns0:c r="T191" s="19" t="inlineStr">
        <ns0:is>
          <ns0:t>Not reported in assessed sources</ns0:t>
        </ns0:is>
      </ns0:c>
      <ns0:c r="U191" s="19" t="inlineStr">
        <ns0:is>
          <ns0:t>Not reported in assessed sources</ns0:t>
        </ns0:is>
      </ns0:c>
      <ns0:c r="V191" s="19" t="inlineStr">
        <ns0:is>
          <ns0:t>Not reported in assessed sources</ns0:t>
        </ns0:is>
      </ns0:c>
      <ns0:c r="W191" s="19" t="inlineStr">
        <ns0:is>
          <ns0:t>Not reported in assessed sources</ns0:t>
        </ns0:is>
      </ns0:c>
      <ns0:c r="X191" s="19" t="inlineStr">
        <ns0:is>
          <ns0:t>Not reported in assessed sources</ns0:t>
        </ns0:is>
      </ns0:c>
      <ns0:c r="Y191" s="19" t="inlineStr">
        <ns0:is>
          <ns0:t>Reported</ns0:t>
        </ns0:is>
      </ns0:c>
      <ns0:c r="Z191" s="19" t="inlineStr">
        <ns0:is>
          <ns0:t>Not reported in assessed sources</ns0:t>
        </ns0:is>
      </ns0:c>
      <ns0:c r="AA191" s="19" t="inlineStr">
        <ns0:is>
          <ns0:t>Not recorded</ns0:t>
        </ns0:is>
      </ns0:c>
      <ns0:c r="AB191" s="26" t="n">
        <ns0:v>0</ns0:v>
      </ns0:c>
      <ns0:c r="AC191" s="26" t="n">
        <ns0:v>0</ns0:v>
      </ns0:c>
      <ns0:c r="AD191" s="27">
        <ns0:f>IF(AND(G191=1,AB191=0),1,0)</ns0:f>
        <ns0:v>1</ns0:v>
      </ns0:c>
      <ns0:c r="AE191" s="27">
        <ns0:f>IF(AND(AD191=1,AC191=0),1,0)</ns0:f>
        <ns0:v>1</ns0:v>
      </ns0:c>
      <ns0:c r="AF191" s="27">
        <ns0:f>IF(AND(G191=1,H191&lt;&gt;"Not specified"),1,0)</ns0:f>
        <ns0:v>1</ns0:v>
      </ns0:c>
      <ns0:c r="AG191" s="27">
        <ns0:f>IF(AND(AE191=1,AF191=1),1,0)</ns0:f>
        <ns0:v>1</ns0:v>
      </ns0:c>
      <ns0:c r="AH191" s="19" t="inlineStr">
        <ns0:is>
          <ns0:t>Supplied abstract/coding notes; no new full-text verification</ns0:t>
        </ns0:is>
      </ns0:c>
      <ns0:c r="AI191" s="19" t="inlineStr">
        <ns0:is>
          <ns0:t>https://doi.org/10.1109/jbhi.2024.3455942</ns0:t>
        </ns0:is>
      </ns0:c>
      <ns0:c r="AJ191" s="19" t="inlineStr">
        <ns0:is>
          <ns0:t>EVIDENCIA; original abstract/coding notes and lot source trace; Historical signals: title/abstract/notes; full-text completion not independently established</ns0:t>
        </ns0:is>
      </ns0:c>
      <ns0:c r="AK191" s="19" t="inlineStr">
        <ns0:is>
          <ns0:t>Near-infrared camera sleep-motion features predict next-day adverse behavior. Explicit future outcome establishes prognosis; recording over time does not show AI-guided care.</ns0:t>
        </ns0:is>
      </ns0:c>
      <ns0:c r="AL191" s="19" t="inlineStr">
        <ns0:is>
          <ns0:t>Not applicable</ns0:t>
        </ns0:is>
      </ns0:c>
      <ns0:c r="AM191" s="19" t="inlineStr">
        <ns0:is>
          <ns0:t>Not separately specified</ns0:t>
        </ns0:is>
      </ns0:c>
      <ns0:c r="AN191" s="19" t="inlineStr"/>
      <ns0:c r="AO191" s="19" t="inlineStr">
        <ns0:is>
          <ns0:t>No additional status determination</ns0:t>
        </ns0:is>
      </ns0:c>
      <ns0:c r="AP191" s="19" t="inlineStr">
        <ns0:is>
          <ns0:t>Not documented for this recharting</ns0:t>
        </ns0:is>
      </ns0:c>
      <ns0:c r="AQ191" s="19" t="inlineStr">
        <ns0:is>
          <ns0:t>ChatGPT-assisted evidence recharting, 2026-09-08</ns0:t>
        </ns0:is>
      </ns0:c>
      <ns0:c r="AR191" s="19" t="inlineStr">
        <ns0:is>
          <ns0:t>RA</ns0:t>
        </ns0:is>
      </ns0:c>
      <ns0:c r="AS191" s="19" t="inlineStr">
        <ns0:is>
          <ns0:t>Not recorded; historical inclusion retained</ns0:t>
        </ns0:is>
      </ns0:c>
    </ns0:row>
    <ns0:row r="192" ht="50" customHeight="1">
      <ns0:c r="A192" s="21" t="inlineStr">
        <ns0:is>
          <ns0:t>206</ns0:t>
        </ns0:is>
      </ns0:c>
      <ns0:c r="B192" s="21" t="inlineStr">
        <ns0:is>
          <ns0:t>Historical</ns0:t>
        </ns0:is>
      </ns0:c>
      <ns0:c r="C192" s="21" t="inlineStr">
        <ns0:is>
          <ns0:t>Overlaps in brain dynamic functional connectivity between schizophrenia and autism spectrum disorder</ns0:t>
        </ns0:is>
      </ns0:c>
      <ns0:c r="D192" s="21" t="inlineStr">
        <ns0:is>
          <ns0:t>10.1016/j.sciaf.2018.e00019</ns0:t>
        </ns0:is>
      </ns0:c>
      <ns0:c r="E192" s="28" t="n">
        <ns0:v>2019</ns0:v>
      </ns0:c>
      <ns0:c r="F192" s="21" t="inlineStr">
        <ns0:is>
          <ns0:t>Include</ns0:t>
        </ns0:is>
      </ns0:c>
      <ns0:c r="G192" s="29">
        <ns0:f>IF(F192="Include",1,0)</ns0:f>
        <ns0:v>1</ns0:v>
      </ns0:c>
      <ns0:c r="H192" s="21" t="inlineStr">
        <ns0:is>
          <ns0:t>Diagnosis</ns0:t>
        </ns0:is>
      </ns0:c>
      <ns0:c r="I192" s="21" t="inlineStr">
        <ns0:is>
          <ns0:t>Machine Learning</ns0:t>
        </ns0:is>
      </ns0:c>
      <ns0:c r="J192" s="21" t="inlineStr">
        <ns0:is>
          <ns0:t>Neuroimaging</ns0:t>
        </ns0:is>
      </ns0:c>
      <ns0:c r="K192" s="21" t="inlineStr">
        <ns0:is>
          <ns0:t>Dynamic-connectivity classification; family unresolved</ns0:t>
        </ns0:is>
      </ns0:c>
      <ns0:c r="L192" s="21" t="inlineStr">
        <ns0:is>
          <ns0:t>Other specified method</ns0:t>
        </ns0:is>
      </ns0:c>
      <ns0:c r="M192" s="21" t="inlineStr">
        <ns0:is>
          <ns0:t>Proposed only</ns0:t>
        </ns0:is>
      </ns0:c>
      <ns0:c r="N192" s="21" t="inlineStr">
        <ns0:is>
          <ns0:t>Diagnostic decision support</ns0:t>
        </ns0:is>
      </ns0:c>
      <ns0:c r="O192" s="21" t="inlineStr">
        <ns0:is>
          <ns0:t>In-decision</ns0:t>
        </ns0:is>
      </ns0:c>
      <ns0:c r="P192" s="21" t="inlineStr">
        <ns0:is>
          <ns0:t>Not observed in assessed sources</ns0:t>
        </ns0:is>
      </ns0:c>
      <ns0:c r="Q192" s="21" t="inlineStr">
        <ns0:is>
          <ns0:t>Not reported in assessed sources</ns0:t>
        </ns0:is>
      </ns0:c>
      <ns0:c r="R192" s="21" t="inlineStr">
        <ns0:is>
          <ns0:t>Not reported in assessed sources</ns0:t>
        </ns0:is>
      </ns0:c>
      <ns0:c r="S192" s="21" t="inlineStr">
        <ns0:is>
          <ns0:t>Not reported in assessed sources</ns0:t>
        </ns0:is>
      </ns0:c>
      <ns0:c r="T192" s="21" t="inlineStr">
        <ns0:is>
          <ns0:t>Not reported in assessed sources</ns0:t>
        </ns0:is>
      </ns0:c>
      <ns0:c r="U192" s="21" t="inlineStr">
        <ns0:is>
          <ns0:t>Not reported in assessed sources</ns0:t>
        </ns0:is>
      </ns0:c>
      <ns0:c r="V192" s="21" t="inlineStr">
        <ns0:is>
          <ns0:t>Not reported in assessed sources</ns0:t>
        </ns0:is>
      </ns0:c>
      <ns0:c r="W192" s="21" t="inlineStr">
        <ns0:is>
          <ns0:t>Not reported in assessed sources</ns0:t>
        </ns0:is>
      </ns0:c>
      <ns0:c r="X192" s="21" t="inlineStr">
        <ns0:is>
          <ns0:t>Not reported in assessed sources</ns0:t>
        </ns0:is>
      </ns0:c>
      <ns0:c r="Y192" s="21" t="inlineStr">
        <ns0:is>
          <ns0:t>Not ascertainable</ns0:t>
        </ns0:is>
      </ns0:c>
      <ns0:c r="Z192" s="21" t="inlineStr">
        <ns0:is>
          <ns0:t>Not reported in assessed sources</ns0:t>
        </ns0:is>
      </ns0:c>
      <ns0:c r="AA192" s="21" t="inlineStr">
        <ns0:is>
          <ns0:t>Not recorded</ns0:t>
        </ns0:is>
      </ns0:c>
      <ns0:c r="AB192" s="28" t="n">
        <ns0:v>0</ns0:v>
      </ns0:c>
      <ns0:c r="AC192" s="28" t="n">
        <ns0:v>0</ns0:v>
      </ns0:c>
      <ns0:c r="AD192" s="29">
        <ns0:f>IF(AND(G192=1,AB192=0),1,0)</ns0:f>
        <ns0:v>1</ns0:v>
      </ns0:c>
      <ns0:c r="AE192" s="29">
        <ns0:f>IF(AND(AD192=1,AC192=0),1,0)</ns0:f>
        <ns0:v>1</ns0:v>
      </ns0:c>
      <ns0:c r="AF192" s="29">
        <ns0:f>IF(AND(G192=1,H192&lt;&gt;"Not specified"),1,0)</ns0:f>
        <ns0:v>1</ns0:v>
      </ns0:c>
      <ns0:c r="AG192" s="29">
        <ns0:f>IF(AND(AE192=1,AF192=1),1,0)</ns0:f>
        <ns0:v>1</ns0:v>
      </ns0:c>
      <ns0:c r="AH192" s="21" t="inlineStr">
        <ns0:is>
          <ns0:t>Supplied abstract/coding notes; no new full-text verification</ns0:t>
        </ns0:is>
      </ns0:c>
      <ns0:c r="AI192" s="21" t="inlineStr">
        <ns0:is>
          <ns0:t>https://doi.org/10.1016/j.sciaf.2018.e00019</ns0:t>
        </ns0:is>
      </ns0:c>
      <ns0:c r="AJ192" s="21" t="inlineStr">
        <ns0:is>
          <ns0:t>EVIDENCIA; original abstract/coding notes and lot source trace; Historical signals: title/abstract/notes; full-text completion not independently established</ns0:t>
        </ns0:is>
      </ns0:c>
      <ns0:c r="AK192" s="21" t="inlineStr">
        <ns0:is>
          <ns0:t>Resting-state brain connectivity, with separate ASD and schizophrenia cohorts. Multiple conditions do not imply multiple input modalities or deep learning.</ns0:t>
        </ns0:is>
      </ns0:c>
      <ns0:c r="AL192" s="21" t="inlineStr">
        <ns0:is>
          <ns0:t>Not applicable</ns0:t>
        </ns0:is>
      </ns0:c>
      <ns0:c r="AM192" s="21" t="inlineStr">
        <ns0:is>
          <ns0:t>Not separately specified</ns0:t>
        </ns0:is>
      </ns0:c>
      <ns0:c r="AN192" s="21" t="inlineStr"/>
      <ns0:c r="AO192" s="21" t="inlineStr">
        <ns0:is>
          <ns0:t>No additional status determination</ns0:t>
        </ns0:is>
      </ns0:c>
      <ns0:c r="AP192" s="21" t="inlineStr">
        <ns0:is>
          <ns0:t>Not documented for this recharting</ns0:t>
        </ns0:is>
      </ns0:c>
      <ns0:c r="AQ192" s="21" t="inlineStr">
        <ns0:is>
          <ns0:t>ChatGPT-assisted evidence recharting, 2026-09-08</ns0:t>
        </ns0:is>
      </ns0:c>
      <ns0:c r="AR192" s="21" t="inlineStr">
        <ns0:is>
          <ns0:t>RA</ns0:t>
        </ns0:is>
      </ns0:c>
      <ns0:c r="AS192" s="21" t="inlineStr">
        <ns0:is>
          <ns0:t>Not recorded; historical inclusion retained</ns0:t>
        </ns0:is>
      </ns0:c>
    </ns0:row>
    <ns0:row r="193" ht="50" customHeight="1">
      <ns0:c r="A193" s="19" t="inlineStr">
        <ns0:is>
          <ns0:t>207</ns0:t>
        </ns0:is>
      </ns0:c>
      <ns0:c r="B193" s="19" t="inlineStr">
        <ns0:is>
          <ns0:t>Historical</ns0:t>
        </ns0:is>
      </ns0:c>
      <ns0:c r="C193" s="19" t="inlineStr">
        <ns0:is>
          <ns0:t>Persistent spectral based machine learning method for autism spectrum disorder classification</ns0:t>
        </ns0:is>
      </ns0:c>
      <ns0:c r="D193" s="19" t="inlineStr">
        <ns0:is>
          <ns0:t>10.1016/j.neucom.2025.130780</ns0:t>
        </ns0:is>
      </ns0:c>
      <ns0:c r="E193" s="26" t="n">
        <ns0:v>2025</ns0:v>
      </ns0:c>
      <ns0:c r="F193" s="19" t="inlineStr">
        <ns0:is>
          <ns0:t>Include</ns0:t>
        </ns0:is>
      </ns0:c>
      <ns0:c r="G193" s="27">
        <ns0:f>IF(F193="Include",1,0)</ns0:f>
        <ns0:v>1</ns0:v>
      </ns0:c>
      <ns0:c r="H193" s="19" t="inlineStr">
        <ns0:is>
          <ns0:t>Diagnosis</ns0:t>
        </ns0:is>
      </ns0:c>
      <ns0:c r="I193" s="19" t="inlineStr">
        <ns0:is>
          <ns0:t>Machine Learning</ns0:t>
        </ns0:is>
      </ns0:c>
      <ns0:c r="J193" s="19" t="inlineStr">
        <ns0:is>
          <ns0:t>Neuroimaging</ns0:t>
        </ns0:is>
      </ns0:c>
      <ns0:c r="K193" s="19" t="inlineStr">
        <ns0:is>
          <ns0:t>Persistent spectral/topological feature classifier</ns0:t>
        </ns0:is>
      </ns0:c>
      <ns0:c r="L193" s="19" t="inlineStr">
        <ns0:is>
          <ns0:t>Other specified method</ns0:t>
        </ns0:is>
      </ns0:c>
      <ns0:c r="M193" s="19" t="inlineStr">
        <ns0:is>
          <ns0:t>Research only</ns0:t>
        </ns0:is>
      </ns0:c>
      <ns0:c r="N193" s="19" t="inlineStr">
        <ns0:is>
          <ns0:t>Automated measurement/classification</ns0:t>
        </ns0:is>
      </ns0:c>
      <ns0:c r="O193" s="19" t="inlineStr">
        <ns0:is>
          <ns0:t>Not observed in assessed sources</ns0:t>
        </ns0:is>
      </ns0:c>
      <ns0:c r="P193" s="19" t="inlineStr">
        <ns0:is>
          <ns0:t>Not observed in assessed sources</ns0:t>
        </ns0:is>
      </ns0:c>
      <ns0:c r="Q193" s="19" t="inlineStr">
        <ns0:is>
          <ns0:t>Not reported in assessed sources</ns0:t>
        </ns0:is>
      </ns0:c>
      <ns0:c r="R193" s="19" t="inlineStr">
        <ns0:is>
          <ns0:t>Not reported in assessed sources</ns0:t>
        </ns0:is>
      </ns0:c>
      <ns0:c r="S193" s="19" t="inlineStr">
        <ns0:is>
          <ns0:t>Not reported in assessed sources</ns0:t>
        </ns0:is>
      </ns0:c>
      <ns0:c r="T193" s="19" t="inlineStr">
        <ns0:is>
          <ns0:t>Not reported in assessed sources</ns0:t>
        </ns0:is>
      </ns0:c>
      <ns0:c r="U193" s="19" t="inlineStr">
        <ns0:is>
          <ns0:t>Not reported in assessed sources</ns0:t>
        </ns0:is>
      </ns0:c>
      <ns0:c r="V193" s="19" t="inlineStr">
        <ns0:is>
          <ns0:t>Not ascertainable</ns0:t>
        </ns0:is>
      </ns0:c>
      <ns0:c r="W193" s="19" t="inlineStr">
        <ns0:is>
          <ns0:t>Not reported in assessed sources</ns0:t>
        </ns0:is>
      </ns0:c>
      <ns0:c r="X193" s="19" t="inlineStr">
        <ns0:is>
          <ns0:t>Not reported in assessed sources</ns0:t>
        </ns0:is>
      </ns0:c>
      <ns0:c r="Y193" s="19" t="inlineStr">
        <ns0:is>
          <ns0:t>Not ascertainable</ns0:t>
        </ns0:is>
      </ns0:c>
      <ns0:c r="Z193" s="19" t="inlineStr">
        <ns0:is>
          <ns0:t>Not reported in assessed sources</ns0:t>
        </ns0:is>
      </ns0:c>
      <ns0:c r="AA193" s="19" t="inlineStr">
        <ns0:is>
          <ns0:t>Not recorded</ns0:t>
        </ns0:is>
      </ns0:c>
      <ns0:c r="AB193" s="26" t="n">
        <ns0:v>0</ns0:v>
      </ns0:c>
      <ns0:c r="AC193" s="26" t="n">
        <ns0:v>0</ns0:v>
      </ns0:c>
      <ns0:c r="AD193" s="27">
        <ns0:f>IF(AND(G193=1,AB193=0),1,0)</ns0:f>
        <ns0:v>1</ns0:v>
      </ns0:c>
      <ns0:c r="AE193" s="27">
        <ns0:f>IF(AND(AD193=1,AC193=0),1,0)</ns0:f>
        <ns0:v>1</ns0:v>
      </ns0:c>
      <ns0:c r="AF193" s="27">
        <ns0:f>IF(AND(G193=1,H193&lt;&gt;"Not specified"),1,0)</ns0:f>
        <ns0:v>1</ns0:v>
      </ns0:c>
      <ns0:c r="AG193" s="27">
        <ns0:f>IF(AND(AE193=1,AF193=1),1,0)</ns0:f>
        <ns0:v>1</ns0:v>
      </ns0:c>
      <ns0:c r="AH193" s="19" t="inlineStr">
        <ns0:is>
          <ns0:t>Supplied abstract/coding notes; no new full-text verification</ns0:t>
        </ns0:is>
      </ns0:c>
      <ns0:c r="AI193" s="19" t="inlineStr">
        <ns0:is>
          <ns0:t>https://doi.org/10.1016/j.neucom.2025.130780</ns0:t>
        </ns0:is>
      </ns0:c>
      <ns0:c r="AJ193" s="19" t="inlineStr">
        <ns0:is>
          <ns0:t>EVIDENCIA; original abstract/coding notes and lot source trace; Historical signals: title/abstract/notes; full-text completion not independently established</ns0:t>
        </ns0:is>
      </ns0:c>
      <ns0:c r="AK193" s="19" t="inlineStr">
        <ns0:is>
          <ns0:t>Functional-connectivity simplicial complexes and Laplacian features from ABIDE fMRI; not deep learning simply because a graph/network is used.</ns0:t>
        </ns0:is>
      </ns0:c>
      <ns0:c r="AL193" s="19" t="inlineStr">
        <ns0:is>
          <ns0:t>Not applicable</ns0:t>
        </ns0:is>
      </ns0:c>
      <ns0:c r="AM193" s="19" t="inlineStr">
        <ns0:is>
          <ns0:t>Not separately specified</ns0:t>
        </ns0:is>
      </ns0:c>
      <ns0:c r="AN193" s="19" t="inlineStr"/>
      <ns0:c r="AO193" s="19" t="inlineStr">
        <ns0:is>
          <ns0:t>No additional status determination</ns0:t>
        </ns0:is>
      </ns0:c>
      <ns0:c r="AP193" s="19" t="inlineStr">
        <ns0:is>
          <ns0:t>Not documented for this recharting</ns0:t>
        </ns0:is>
      </ns0:c>
      <ns0:c r="AQ193" s="19" t="inlineStr">
        <ns0:is>
          <ns0:t>ChatGPT-assisted evidence recharting, 2026-09-08</ns0:t>
        </ns0:is>
      </ns0:c>
      <ns0:c r="AR193" s="19" t="inlineStr"/>
      <ns0:c r="AS193" s="19" t="inlineStr">
        <ns0:is>
          <ns0:t>Not recorded; historical inclusion retained</ns0:t>
        </ns0:is>
      </ns0:c>
    </ns0:row>
    <ns0:row r="194" ht="50" customHeight="1">
      <ns0:c r="A194" s="21" t="inlineStr">
        <ns0:is>
          <ns0:t>208</ns0:t>
        </ns0:is>
      </ns0:c>
      <ns0:c r="B194" s="21" t="inlineStr">
        <ns0:is>
          <ns0:t>Historical</ns0:t>
        </ns0:is>
      </ns0:c>
      <ns0:c r="C194" s="21" t="inlineStr">
        <ns0:is>
          <ns0:t>Phenotypic differences between female and male individuals with suspicion of autism spectrum disorder</ns0:t>
        </ns0:is>
      </ns0:c>
      <ns0:c r="D194" s="21" t="inlineStr">
        <ns0:is>
          <ns0:t>10.1186/s13229-022-00491-9</ns0:t>
        </ns0:is>
      </ns0:c>
      <ns0:c r="E194" s="28" t="n">
        <ns0:v>2022</ns0:v>
      </ns0:c>
      <ns0:c r="F194" s="21" t="inlineStr">
        <ns0:is>
          <ns0:t>Include</ns0:t>
        </ns0:is>
      </ns0:c>
      <ns0:c r="G194" s="29">
        <ns0:f>IF(F194="Include",1,0)</ns0:f>
        <ns0:v>1</ns0:v>
      </ns0:c>
      <ns0:c r="H194" s="21" t="inlineStr">
        <ns0:is>
          <ns0:t>Diagnosis</ns0:t>
        </ns0:is>
      </ns0:c>
      <ns0:c r="I194" s="21" t="inlineStr">
        <ns0:is>
          <ns0:t>Machine Learning</ns0:t>
        </ns0:is>
      </ns0:c>
      <ns0:c r="J194" s="21" t="inlineStr">
        <ns0:is>
          <ns0:t>Structured clinical/questionnaire data</ns0:t>
        </ns0:is>
      </ns0:c>
      <ns0:c r="K194" s="21" t="inlineStr">
        <ns0:is>
          <ns0:t>Random forest</ns0:t>
        </ns0:is>
      </ns0:c>
      <ns0:c r="L194" s="21" t="inlineStr">
        <ns0:is>
          <ns0:t>Random forest</ns0:t>
        </ns0:is>
      </ns0:c>
      <ns0:c r="M194" s="21" t="inlineStr">
        <ns0:is>
          <ns0:t>Research only</ns0:t>
        </ns0:is>
      </ns0:c>
      <ns0:c r="N194" s="21" t="inlineStr">
        <ns0:is>
          <ns0:t>Automated measurement/classification</ns0:t>
        </ns0:is>
      </ns0:c>
      <ns0:c r="O194" s="21" t="inlineStr">
        <ns0:is>
          <ns0:t>Not observed in assessed sources</ns0:t>
        </ns0:is>
      </ns0:c>
      <ns0:c r="P194" s="21" t="inlineStr">
        <ns0:is>
          <ns0:t>Not observed in assessed sources</ns0:t>
        </ns0:is>
      </ns0:c>
      <ns0:c r="Q194" s="21" t="inlineStr">
        <ns0:is>
          <ns0:t>Not reported in assessed sources</ns0:t>
        </ns0:is>
      </ns0:c>
      <ns0:c r="R194" s="21" t="inlineStr">
        <ns0:is>
          <ns0:t>Not reported in assessed sources</ns0:t>
        </ns0:is>
      </ns0:c>
      <ns0:c r="S194" s="21" t="inlineStr">
        <ns0:is>
          <ns0:t>Reported</ns0:t>
        </ns0:is>
      </ns0:c>
      <ns0:c r="T194" s="21" t="inlineStr">
        <ns0:is>
          <ns0:t>Not reported in assessed sources</ns0:t>
        </ns0:is>
      </ns0:c>
      <ns0:c r="U194" s="21" t="inlineStr">
        <ns0:is>
          <ns0:t>Not reported in assessed sources</ns0:t>
        </ns0:is>
      </ns0:c>
      <ns0:c r="V194" s="21" t="inlineStr">
        <ns0:is>
          <ns0:t>Not reported in assessed sources</ns0:t>
        </ns0:is>
      </ns0:c>
      <ns0:c r="W194" s="21" t="inlineStr">
        <ns0:is>
          <ns0:t>Not reported in assessed sources</ns0:t>
        </ns0:is>
      </ns0:c>
      <ns0:c r="X194" s="21" t="inlineStr">
        <ns0:is>
          <ns0:t>Not reported in assessed sources</ns0:t>
        </ns0:is>
      </ns0:c>
      <ns0:c r="Y194" s="21" t="inlineStr">
        <ns0:is>
          <ns0:t>Not ascertainable</ns0:t>
        </ns0:is>
      </ns0:c>
      <ns0:c r="Z194" s="21" t="inlineStr">
        <ns0:is>
          <ns0:t>Reported</ns0:t>
        </ns0:is>
      </ns0:c>
      <ns0:c r="AA194" s="21" t="inlineStr">
        <ns0:is>
          <ns0:t>Not recorded</ns0:t>
        </ns0:is>
      </ns0:c>
      <ns0:c r="AB194" s="28" t="n">
        <ns0:v>0</ns0:v>
      </ns0:c>
      <ns0:c r="AC194" s="28" t="n">
        <ns0:v>0</ns0:v>
      </ns0:c>
      <ns0:c r="AD194" s="29">
        <ns0:f>IF(AND(G194=1,AB194=0),1,0)</ns0:f>
        <ns0:v>1</ns0:v>
      </ns0:c>
      <ns0:c r="AE194" s="29">
        <ns0:f>IF(AND(AD194=1,AC194=0),1,0)</ns0:f>
        <ns0:v>1</ns0:v>
      </ns0:c>
      <ns0:c r="AF194" s="29">
        <ns0:f>IF(AND(G194=1,H194&lt;&gt;"Not specified"),1,0)</ns0:f>
        <ns0:v>1</ns0:v>
      </ns0:c>
      <ns0:c r="AG194" s="29">
        <ns0:f>IF(AND(AE194=1,AF194=1),1,0)</ns0:f>
        <ns0:v>1</ns0:v>
      </ns0:c>
      <ns0:c r="AH194" s="21" t="inlineStr">
        <ns0:is>
          <ns0:t>Supplied abstract/coding notes; no new full-text verification</ns0:t>
        </ns0:is>
      </ns0:c>
      <ns0:c r="AI194" s="21" t="inlineStr">
        <ns0:is>
          <ns0:t>https://doi.org/10.1186/s13229-022-00491-9</ns0:t>
        </ns0:is>
      </ns0:c>
      <ns0:c r="AJ194" s="21" t="inlineStr">
        <ns0:is>
          <ns0:t>EVIDENCIA; original abstract/coding notes and lot source trace; Historical signals: title/abstract/notes; full-text completion not independently established</ns0:t>
        </ns0:is>
      </ns0:c>
      <ns0:c r="AK194" s="21" t="inlineStr">
        <ns0:is>
          <ns0:t>ADOS items are structured clinician ratings; sex-specific model comparisons do not create multisource data.</ns0:t>
        </ns0:is>
      </ns0:c>
      <ns0:c r="AL194" s="21" t="inlineStr">
        <ns0:is>
          <ns0:t>Not applicable</ns0:t>
        </ns0:is>
      </ns0:c>
      <ns0:c r="AM194" s="21" t="inlineStr">
        <ns0:is>
          <ns0:t>Not separately specified</ns0:t>
        </ns0:is>
      </ns0:c>
      <ns0:c r="AN194" s="21" t="inlineStr"/>
      <ns0:c r="AO194" s="21" t="inlineStr">
        <ns0:is>
          <ns0:t>No additional status determination</ns0:t>
        </ns0:is>
      </ns0:c>
      <ns0:c r="AP194" s="21" t="inlineStr">
        <ns0:is>
          <ns0:t>Not documented for this recharting</ns0:t>
        </ns0:is>
      </ns0:c>
      <ns0:c r="AQ194" s="21" t="inlineStr">
        <ns0:is>
          <ns0:t>ChatGPT-assisted evidence recharting, 2026-09-08</ns0:t>
        </ns0:is>
      </ns0:c>
      <ns0:c r="AR194" s="21" t="inlineStr"/>
      <ns0:c r="AS194" s="21" t="inlineStr">
        <ns0:is>
          <ns0:t>Not recorded; historical inclusion retained</ns0:t>
        </ns0:is>
      </ns0:c>
    </ns0:row>
    <ns0:row r="195" ht="50" customHeight="1">
      <ns0:c r="A195" s="19" t="inlineStr">
        <ns0:is>
          <ns0:t>209</ns0:t>
        </ns0:is>
      </ns0:c>
      <ns0:c r="B195" s="19" t="inlineStr">
        <ns0:is>
          <ns0:t>Historical</ns0:t>
        </ns0:is>
      </ns0:c>
      <ns0:c r="C195" s="19" t="inlineStr">
        <ns0:is>
          <ns0:t>Predicting individual autistic symptoms for patients with autism spectrum disorder using interregional morphological connectivity</ns0:t>
        </ns0:is>
      </ns0:c>
      <ns0:c r="D195" s="19" t="inlineStr">
        <ns0:is>
          <ns0:t>10.1016/j.pscychresns.2024.111822</ns0:t>
        </ns0:is>
      </ns0:c>
      <ns0:c r="E195" s="26" t="n">
        <ns0:v>2024</ns0:v>
      </ns0:c>
      <ns0:c r="F195" s="19" t="inlineStr">
        <ns0:is>
          <ns0:t>Include</ns0:t>
        </ns0:is>
      </ns0:c>
      <ns0:c r="G195" s="27">
        <ns0:f>IF(F195="Include",1,0)</ns0:f>
        <ns0:v>1</ns0:v>
      </ns0:c>
      <ns0:c r="H195" s="19" t="inlineStr">
        <ns0:is>
          <ns0:t>Diagnosis</ns0:t>
        </ns0:is>
      </ns0:c>
      <ns0:c r="I195" s="19" t="inlineStr">
        <ns0:is>
          <ns0:t>Machine Learning</ns0:t>
        </ns0:is>
      </ns0:c>
      <ns0:c r="J195" s="19" t="inlineStr">
        <ns0:is>
          <ns0:t>Neuroimaging</ns0:t>
        </ns0:is>
      </ns0:c>
      <ns0:c r="K195" s="19" t="inlineStr">
        <ns0:is>
          <ns0:t>Support vector regression</ns0:t>
        </ns0:is>
      </ns0:c>
      <ns0:c r="L195" s="19" t="inlineStr">
        <ns0:is>
          <ns0:t>SVM</ns0:t>
        </ns0:is>
      </ns0:c>
      <ns0:c r="M195" s="19" t="inlineStr">
        <ns0:is>
          <ns0:t>Research only</ns0:t>
        </ns0:is>
      </ns0:c>
      <ns0:c r="N195" s="19" t="inlineStr">
        <ns0:is>
          <ns0:t>Automated measurement/classification</ns0:t>
        </ns0:is>
      </ns0:c>
      <ns0:c r="O195" s="19" t="inlineStr">
        <ns0:is>
          <ns0:t>Not observed in assessed sources</ns0:t>
        </ns0:is>
      </ns0:c>
      <ns0:c r="P195" s="19" t="inlineStr">
        <ns0:is>
          <ns0:t>Not observed in assessed sources</ns0:t>
        </ns0:is>
      </ns0:c>
      <ns0:c r="Q195" s="19" t="inlineStr">
        <ns0:is>
          <ns0:t>Not reported in assessed sources</ns0:t>
        </ns0:is>
      </ns0:c>
      <ns0:c r="R195" s="19" t="inlineStr">
        <ns0:is>
          <ns0:t>Not reported in assessed sources</ns0:t>
        </ns0:is>
      </ns0:c>
      <ns0:c r="S195" s="19" t="inlineStr">
        <ns0:is>
          <ns0:t>Reported</ns0:t>
        </ns0:is>
      </ns0:c>
      <ns0:c r="T195" s="19" t="inlineStr">
        <ns0:is>
          <ns0:t>Not reported in assessed sources</ns0:t>
        </ns0:is>
      </ns0:c>
      <ns0:c r="U195" s="19" t="inlineStr">
        <ns0:is>
          <ns0:t>Not reported in assessed sources</ns0:t>
        </ns0:is>
      </ns0:c>
      <ns0:c r="V195" s="19" t="inlineStr">
        <ns0:is>
          <ns0:t>Reported</ns0:t>
        </ns0:is>
      </ns0:c>
      <ns0:c r="W195" s="19" t="inlineStr">
        <ns0:is>
          <ns0:t>Not reported in assessed sources</ns0:t>
        </ns0:is>
      </ns0:c>
      <ns0:c r="X195" s="19" t="inlineStr">
        <ns0:is>
          <ns0:t>Not reported in assessed sources</ns0:t>
        </ns0:is>
      </ns0:c>
      <ns0:c r="Y195" s="19" t="inlineStr">
        <ns0:is>
          <ns0:t>Not ascertainable</ns0:t>
        </ns0:is>
      </ns0:c>
      <ns0:c r="Z195" s="19" t="inlineStr">
        <ns0:is>
          <ns0:t>Reported</ns0:t>
        </ns0:is>
      </ns0:c>
      <ns0:c r="AA195" s="19" t="inlineStr">
        <ns0:is>
          <ns0:t>Not recorded</ns0:t>
        </ns0:is>
      </ns0:c>
      <ns0:c r="AB195" s="26" t="n">
        <ns0:v>0</ns0:v>
      </ns0:c>
      <ns0:c r="AC195" s="26" t="n">
        <ns0:v>0</ns0:v>
      </ns0:c>
      <ns0:c r="AD195" s="27">
        <ns0:f>IF(AND(G195=1,AB195=0),1,0)</ns0:f>
        <ns0:v>1</ns0:v>
      </ns0:c>
      <ns0:c r="AE195" s="27">
        <ns0:f>IF(AND(AD195=1,AC195=0),1,0)</ns0:f>
        <ns0:v>1</ns0:v>
      </ns0:c>
      <ns0:c r="AF195" s="27">
        <ns0:f>IF(AND(G195=1,H195&lt;&gt;"Not specified"),1,0)</ns0:f>
        <ns0:v>1</ns0:v>
      </ns0:c>
      <ns0:c r="AG195" s="27">
        <ns0:f>IF(AND(AE195=1,AF195=1),1,0)</ns0:f>
        <ns0:v>1</ns0:v>
      </ns0:c>
      <ns0:c r="AH195" s="19" t="inlineStr">
        <ns0:is>
          <ns0:t>Supplied abstract/coding notes; no new full-text verification</ns0:t>
        </ns0:is>
      </ns0:c>
      <ns0:c r="AI195" s="19" t="inlineStr">
        <ns0:is>
          <ns0:t>https://doi.org/10.1016/j.pscychresns.2024.111822</ns0:t>
        </ns0:is>
      </ns0:c>
      <ns0:c r="AJ195" s="19" t="inlineStr">
        <ns0:is>
          <ns0:t>EVIDENCIA; original abstract/coding notes and lot source trace; Historical signals: title/abstract/notes; full-text completion not independently established</ns0:t>
        </ns0:is>
      </ns0:c>
      <ns0:c r="AK195" s="19" t="inlineStr">
        <ns0:is>
          <ns0:t>Current ADOS symptom scores are targets, not another model input. Anatomical MRI alone drives prediction; not prospective monitoring or fusion.</ns0:t>
        </ns0:is>
      </ns0:c>
      <ns0:c r="AL195" s="19" t="inlineStr">
        <ns0:is>
          <ns0:t>Not applicable</ns0:t>
        </ns0:is>
      </ns0:c>
      <ns0:c r="AM195" s="19" t="inlineStr">
        <ns0:is>
          <ns0:t>Not separately specified</ns0:t>
        </ns0:is>
      </ns0:c>
      <ns0:c r="AN195" s="19" t="inlineStr"/>
      <ns0:c r="AO195" s="19" t="inlineStr">
        <ns0:is>
          <ns0:t>No additional status determination</ns0:t>
        </ns0:is>
      </ns0:c>
      <ns0:c r="AP195" s="19" t="inlineStr">
        <ns0:is>
          <ns0:t>Not documented for this recharting</ns0:t>
        </ns0:is>
      </ns0:c>
      <ns0:c r="AQ195" s="19" t="inlineStr">
        <ns0:is>
          <ns0:t>ChatGPT-assisted evidence recharting, 2026-09-08</ns0:t>
        </ns0:is>
      </ns0:c>
      <ns0:c r="AR195" s="19" t="inlineStr">
        <ns0:is>
          <ns0:t>RA</ns0:t>
        </ns0:is>
      </ns0:c>
      <ns0:c r="AS195" s="19" t="inlineStr">
        <ns0:is>
          <ns0:t>Not recorded; historical inclusion retained</ns0:t>
        </ns0:is>
      </ns0:c>
    </ns0:row>
    <ns0:row r="196" ht="50" customHeight="1">
      <ns0:c r="A196" s="21" t="inlineStr">
        <ns0:is>
          <ns0:t>210</ns0:t>
        </ns0:is>
      </ns0:c>
      <ns0:c r="B196" s="21" t="inlineStr">
        <ns0:is>
          <ns0:t>Historical</ns0:t>
        </ns0:is>
      </ns0:c>
      <ns0:c r="C196" s="21" t="inlineStr">
        <ns0:is>
          <ns0:t>Prediction of Behavioral Improvement Through Resting-State Electroencephalography and Clinical Severity in a Randomized Controlled Trial Testing Bumetanide in Autism Spectrum Disorder</ns0:t>
        </ns0:is>
      </ns0:c>
      <ns0:c r="D196" s="21" t="inlineStr">
        <ns0:is>
          <ns0:t>10.1016/j.bpsc.2021.08.009</ns0:t>
        </ns0:is>
      </ns0:c>
      <ns0:c r="E196" s="28" t="n">
        <ns0:v>2023</ns0:v>
      </ns0:c>
      <ns0:c r="F196" s="21" t="inlineStr">
        <ns0:is>
          <ns0:t>Include</ns0:t>
        </ns0:is>
      </ns0:c>
      <ns0:c r="G196" s="29">
        <ns0:f>IF(F196="Include",1,0)</ns0:f>
        <ns0:v>1</ns0:v>
      </ns0:c>
      <ns0:c r="H196" s="21" t="inlineStr">
        <ns0:is>
          <ns0:t>Prognosis</ns0:t>
        </ns0:is>
      </ns0:c>
      <ns0:c r="I196" s="21" t="inlineStr">
        <ns0:is>
          <ns0:t>Machine Learning</ns0:t>
        </ns0:is>
      </ns0:c>
      <ns0:c r="J196" s="21" t="inlineStr">
        <ns0:is>
          <ns0:t>Multiple source categories</ns0:t>
        </ns0:is>
      </ns0:c>
      <ns0:c r="K196" s="21" t="inlineStr">
        <ns0:is>
          <ns0:t>Clinical-response classifier; family unresolved</ns0:t>
        </ns0:is>
      </ns0:c>
      <ns0:c r="L196" s="21" t="inlineStr">
        <ns0:is>
          <ns0:t>Other specified method</ns0:t>
        </ns0:is>
      </ns0:c>
      <ns0:c r="M196" s="21" t="inlineStr">
        <ns0:is>
          <ns0:t>Research only</ns0:t>
        </ns0:is>
      </ns0:c>
      <ns0:c r="N196" s="21" t="inlineStr">
        <ns0:is>
          <ns0:t>Risk/trajectory estimation</ns0:t>
        </ns0:is>
      </ns0:c>
      <ns0:c r="O196" s="21" t="inlineStr">
        <ns0:is>
          <ns0:t>Not observed in assessed sources</ns0:t>
        </ns0:is>
      </ns0:c>
      <ns0:c r="P196" s="21" t="inlineStr">
        <ns0:is>
          <ns0:t>Not observed in assessed sources</ns0:t>
        </ns0:is>
      </ns0:c>
      <ns0:c r="Q196" s="21" t="inlineStr">
        <ns0:is>
          <ns0:t>Not reported in assessed sources</ns0:t>
        </ns0:is>
      </ns0:c>
      <ns0:c r="R196" s="21" t="inlineStr">
        <ns0:is>
          <ns0:t>Reported</ns0:t>
        </ns0:is>
      </ns0:c>
      <ns0:c r="S196" s="21" t="inlineStr">
        <ns0:is>
          <ns0:t>Not reported in assessed sources</ns0:t>
        </ns0:is>
      </ns0:c>
      <ns0:c r="T196" s="21" t="inlineStr">
        <ns0:is>
          <ns0:t>Not reported in assessed sources</ns0:t>
        </ns0:is>
      </ns0:c>
      <ns0:c r="U196" s="21" t="inlineStr">
        <ns0:is>
          <ns0:t>Not reported in assessed sources</ns0:t>
        </ns0:is>
      </ns0:c>
      <ns0:c r="V196" s="21" t="inlineStr">
        <ns0:is>
          <ns0:t>Not reported in assessed sources</ns0:t>
        </ns0:is>
      </ns0:c>
      <ns0:c r="W196" s="21" t="inlineStr">
        <ns0:is>
          <ns0:t>Reported</ns0:t>
        </ns0:is>
      </ns0:c>
      <ns0:c r="X196" s="21" t="inlineStr">
        <ns0:is>
          <ns0:t>Not reported in assessed sources</ns0:t>
        </ns0:is>
      </ns0:c>
      <ns0:c r="Y196" s="21" t="inlineStr">
        <ns0:is>
          <ns0:t>Reported</ns0:t>
        </ns0:is>
      </ns0:c>
      <ns0:c r="Z196" s="21" t="inlineStr">
        <ns0:is>
          <ns0:t>Not reported in assessed sources</ns0:t>
        </ns0:is>
      </ns0:c>
      <ns0:c r="AA196" s="21" t="inlineStr">
        <ns0:is>
          <ns0:t>Not recorded</ns0:t>
        </ns0:is>
      </ns0:c>
      <ns0:c r="AB196" s="28" t="n">
        <ns0:v>0</ns0:v>
      </ns0:c>
      <ns0:c r="AC196" s="28" t="n">
        <ns0:v>0</ns0:v>
      </ns0:c>
      <ns0:c r="AD196" s="29">
        <ns0:f>IF(AND(G196=1,AB196=0),1,0)</ns0:f>
        <ns0:v>1</ns0:v>
      </ns0:c>
      <ns0:c r="AE196" s="29">
        <ns0:f>IF(AND(AD196=1,AC196=0),1,0)</ns0:f>
        <ns0:v>1</ns0:v>
      </ns0:c>
      <ns0:c r="AF196" s="29">
        <ns0:f>IF(AND(G196=1,H196&lt;&gt;"Not specified"),1,0)</ns0:f>
        <ns0:v>1</ns0:v>
      </ns0:c>
      <ns0:c r="AG196" s="29">
        <ns0:f>IF(AND(AE196=1,AF196=1),1,0)</ns0:f>
        <ns0:v>1</ns0:v>
      </ns0:c>
      <ns0:c r="AH196" s="21" t="inlineStr">
        <ns0:is>
          <ns0:t>Supplied abstract/coding notes; no new full-text verification</ns0:t>
        </ns0:is>
      </ns0:c>
      <ns0:c r="AI196" s="21" t="inlineStr">
        <ns0:is>
          <ns0:t>https://doi.org/10.1016/j.bpsc.2021.08.009</ns0:t>
        </ns0:is>
      </ns0:c>
      <ns0:c r="AJ196" s="21" t="inlineStr">
        <ns0:is>
          <ns0:t>EVIDENCIA; original abstract/coding notes and lot source trace; Historical signals: title/abstract/notes; full-text completion not independently established</ns0:t>
        </ns0:is>
      </ns0:c>
      <ns0:c r="AK196" s="21" t="inlineStr">
        <ns0:is>
          <ns0:t>Baseline EEG plus clinical severity predict 91-day treatment response. AI analysis of a randomized drug trial is not an AI-guided intervention trial.</ns0:t>
        </ns0:is>
      </ns0:c>
      <ns0:c r="AL196" s="21" t="inlineStr">
        <ns0:is>
          <ns0:t>Not applicable</ns0:t>
        </ns0:is>
      </ns0:c>
      <ns0:c r="AM196" s="21" t="inlineStr">
        <ns0:is>
          <ns0:t>Not separately specified</ns0:t>
        </ns0:is>
      </ns0:c>
      <ns0:c r="AN196" s="21" t="inlineStr"/>
      <ns0:c r="AO196" s="21" t="inlineStr">
        <ns0:is>
          <ns0:t>No additional status determination</ns0:t>
        </ns0:is>
      </ns0:c>
      <ns0:c r="AP196" s="21" t="inlineStr">
        <ns0:is>
          <ns0:t>Not documented for this recharting</ns0:t>
        </ns0:is>
      </ns0:c>
      <ns0:c r="AQ196" s="21" t="inlineStr">
        <ns0:is>
          <ns0:t>ChatGPT-assisted evidence recharting, 2026-09-08</ns0:t>
        </ns0:is>
      </ns0:c>
      <ns0:c r="AR196" s="21" t="inlineStr">
        <ns0:is>
          <ns0:t>RA</ns0:t>
        </ns0:is>
      </ns0:c>
      <ns0:c r="AS196" s="21" t="inlineStr">
        <ns0:is>
          <ns0:t>Not recorded; historical inclusion retained</ns0:t>
        </ns0:is>
      </ns0:c>
    </ns0:row>
    <ns0:row r="197" ht="50" customHeight="1">
      <ns0:c r="A197" s="19" t="inlineStr">
        <ns0:is>
          <ns0:t>211</ns0:t>
        </ns0:is>
      </ns0:c>
      <ns0:c r="B197" s="19" t="inlineStr">
        <ns0:is>
          <ns0:t>Historical</ns0:t>
        </ns0:is>
      </ns0:c>
      <ns0:c r="C197" s="19" t="inlineStr">
        <ns0:is>
          <ns0:t>Prediction of Outcomes in Mini-Basketball Training Program for Preschool Children with Autism Using Machine Learning Models</ns0:t>
        </ns0:is>
      </ns0:c>
      <ns0:c r="D197" s="19" t="inlineStr">
        <ns0:is>
          <ns0:t>10.32604/ijmhp.2022.020075</ns0:t>
        </ns0:is>
      </ns0:c>
      <ns0:c r="E197" s="26" t="n">
        <ns0:v>2022</ns0:v>
      </ns0:c>
      <ns0:c r="F197" s="19" t="inlineStr">
        <ns0:is>
          <ns0:t>Include</ns0:t>
        </ns0:is>
      </ns0:c>
      <ns0:c r="G197" s="27">
        <ns0:f>IF(F197="Include",1,0)</ns0:f>
        <ns0:v>1</ns0:v>
      </ns0:c>
      <ns0:c r="H197" s="19" t="inlineStr">
        <ns0:is>
          <ns0:t>Prognosis</ns0:t>
        </ns0:is>
      </ns0:c>
      <ns0:c r="I197" s="19" t="inlineStr">
        <ns0:is>
          <ns0:t>Machine Learning</ns0:t>
        </ns0:is>
      </ns0:c>
      <ns0:c r="J197" s="19" t="inlineStr">
        <ns0:is>
          <ns0:t>Structured clinical/questionnaire data</ns0:t>
        </ns0:is>
      </ns0:c>
      <ns0:c r="K197" s="19" t="inlineStr">
        <ns0:is>
          <ns0:t>Support vector regression</ns0:t>
        </ns0:is>
      </ns0:c>
      <ns0:c r="L197" s="19" t="inlineStr">
        <ns0:is>
          <ns0:t>SVM</ns0:t>
        </ns0:is>
      </ns0:c>
      <ns0:c r="M197" s="19" t="inlineStr">
        <ns0:is>
          <ns0:t>Research only</ns0:t>
        </ns0:is>
      </ns0:c>
      <ns0:c r="N197" s="19" t="inlineStr">
        <ns0:is>
          <ns0:t>Risk/trajectory estimation</ns0:t>
        </ns0:is>
      </ns0:c>
      <ns0:c r="O197" s="19" t="inlineStr">
        <ns0:is>
          <ns0:t>Not observed in assessed sources</ns0:t>
        </ns0:is>
      </ns0:c>
      <ns0:c r="P197" s="19" t="inlineStr">
        <ns0:is>
          <ns0:t>Not observed in assessed sources</ns0:t>
        </ns0:is>
      </ns0:c>
      <ns0:c r="Q197" s="19" t="inlineStr">
        <ns0:is>
          <ns0:t>Not reported in assessed sources</ns0:t>
        </ns0:is>
      </ns0:c>
      <ns0:c r="R197" s="19" t="inlineStr">
        <ns0:is>
          <ns0:t>Reported</ns0:t>
        </ns0:is>
      </ns0:c>
      <ns0:c r="S197" s="19" t="inlineStr">
        <ns0:is>
          <ns0:t>Not reported in assessed sources</ns0:t>
        </ns0:is>
      </ns0:c>
      <ns0:c r="T197" s="19" t="inlineStr">
        <ns0:is>
          <ns0:t>Not reported in assessed sources</ns0:t>
        </ns0:is>
      </ns0:c>
      <ns0:c r="U197" s="19" t="inlineStr">
        <ns0:is>
          <ns0:t>Not reported in assessed sources</ns0:t>
        </ns0:is>
      </ns0:c>
      <ns0:c r="V197" s="19" t="inlineStr">
        <ns0:is>
          <ns0:t>Not reported in assessed sources</ns0:t>
        </ns0:is>
      </ns0:c>
      <ns0:c r="W197" s="19" t="inlineStr">
        <ns0:is>
          <ns0:t>Reported</ns0:t>
        </ns0:is>
      </ns0:c>
      <ns0:c r="X197" s="19" t="inlineStr">
        <ns0:is>
          <ns0:t>Not reported in assessed sources</ns0:t>
        </ns0:is>
      </ns0:c>
      <ns0:c r="Y197" s="19" t="inlineStr">
        <ns0:is>
          <ns0:t>Reported</ns0:t>
        </ns0:is>
      </ns0:c>
      <ns0:c r="Z197" s="19" t="inlineStr">
        <ns0:is>
          <ns0:t>Not reported in assessed sources</ns0:t>
        </ns0:is>
      </ns0:c>
      <ns0:c r="AA197" s="19" t="inlineStr">
        <ns0:is>
          <ns0:t>Not recorded</ns0:t>
        </ns0:is>
      </ns0:c>
      <ns0:c r="AB197" s="26" t="n">
        <ns0:v>0</ns0:v>
      </ns0:c>
      <ns0:c r="AC197" s="26" t="n">
        <ns0:v>0</ns0:v>
      </ns0:c>
      <ns0:c r="AD197" s="27">
        <ns0:f>IF(AND(G197=1,AB197=0),1,0)</ns0:f>
        <ns0:v>1</ns0:v>
      </ns0:c>
      <ns0:c r="AE197" s="27">
        <ns0:f>IF(AND(AD197=1,AC197=0),1,0)</ns0:f>
        <ns0:v>1</ns0:v>
      </ns0:c>
      <ns0:c r="AF197" s="27">
        <ns0:f>IF(AND(G197=1,H197&lt;&gt;"Not specified"),1,0)</ns0:f>
        <ns0:v>1</ns0:v>
      </ns0:c>
      <ns0:c r="AG197" s="27">
        <ns0:f>IF(AND(AE197=1,AF197=1),1,0)</ns0:f>
        <ns0:v>1</ns0:v>
      </ns0:c>
      <ns0:c r="AH197" s="19" t="inlineStr">
        <ns0:is>
          <ns0:t>Supplied abstract/coding notes; no new full-text verification</ns0:t>
        </ns0:is>
      </ns0:c>
      <ns0:c r="AI197" s="19" t="inlineStr">
        <ns0:is>
          <ns0:t>https://doi.org/10.32604/ijmhp.2022.020075</ns0:t>
        </ns0:is>
      </ns0:c>
      <ns0:c r="AJ197" s="19" t="inlineStr">
        <ns0:is>
          <ns0:t>EVIDENCIA; original abstract/coding notes and lot source trace; Historical signals: title/abstract/notes; full-text completion not independently established</ns0:t>
        </ns0:is>
      </ns0:c>
      <ns0:c r="AK197" s="19" t="inlineStr">
        <ns0:is>
          <ns0:t>Baseline physical/developmental assessments predict later mini-basketball outcomes. The intervention was not allocated or adapted by AI in the reported experiment.</ns0:t>
        </ns0:is>
      </ns0:c>
      <ns0:c r="AL197" s="19" t="inlineStr">
        <ns0:is>
          <ns0:t>Not applicable</ns0:t>
        </ns0:is>
      </ns0:c>
      <ns0:c r="AM197" s="19" t="inlineStr">
        <ns0:is>
          <ns0:t>Not separately specified</ns0:t>
        </ns0:is>
      </ns0:c>
      <ns0:c r="AN197" s="19" t="inlineStr"/>
      <ns0:c r="AO197" s="19" t="inlineStr">
        <ns0:is>
          <ns0:t>No additional status determination</ns0:t>
        </ns0:is>
      </ns0:c>
      <ns0:c r="AP197" s="19" t="inlineStr">
        <ns0:is>
          <ns0:t>Not documented for this recharting</ns0:t>
        </ns0:is>
      </ns0:c>
      <ns0:c r="AQ197" s="19" t="inlineStr">
        <ns0:is>
          <ns0:t>ChatGPT-assisted evidence recharting, 2026-09-08</ns0:t>
        </ns0:is>
      </ns0:c>
      <ns0:c r="AR197" s="19" t="inlineStr"/>
      <ns0:c r="AS197" s="19" t="inlineStr">
        <ns0:is>
          <ns0:t>Not recorded; historical inclusion retained</ns0:t>
        </ns0:is>
      </ns0:c>
    </ns0:row>
    <ns0:row r="198" ht="50" customHeight="1">
      <ns0:c r="A198" s="21" t="inlineStr">
        <ns0:is>
          <ns0:t>212</ns0:t>
        </ns0:is>
      </ns0:c>
      <ns0:c r="B198" s="21" t="inlineStr">
        <ns0:is>
          <ns0:t>Historical</ns0:t>
        </ns0:is>
      </ns0:c>
      <ns0:c r="C198" s="21" t="inlineStr">
        <ns0:is>
          <ns0:t>Pre-trained artificial intelligence language model represents pragmatic language variability central to autism and genetically related phenotypes</ns0:t>
        </ns0:is>
      </ns0:c>
      <ns0:c r="D198" s="21" t="inlineStr">
        <ns0:is>
          <ns0:t>10.1177/13623613241304488</ns0:t>
        </ns0:is>
      </ns0:c>
      <ns0:c r="E198" s="28" t="n">
        <ns0:v>2025</ns0:v>
      </ns0:c>
      <ns0:c r="F198" s="21" t="inlineStr">
        <ns0:is>
          <ns0:t>Include</ns0:t>
        </ns0:is>
      </ns0:c>
      <ns0:c r="G198" s="29">
        <ns0:f>IF(F198="Include",1,0)</ns0:f>
        <ns0:v>1</ns0:v>
      </ns0:c>
      <ns0:c r="H198" s="21" t="inlineStr">
        <ns0:is>
          <ns0:t>Not specified</ns0:t>
        </ns0:is>
      </ns0:c>
      <ns0:c r="I198" s="21" t="inlineStr">
        <ns0:is>
          <ns0:t>Deep Learning</ns0:t>
        </ns0:is>
      </ns0:c>
      <ns0:c r="J198" s="21" t="inlineStr">
        <ns0:is>
          <ns0:t>Text/language</ns0:t>
        </ns0:is>
      </ns0:c>
      <ns0:c r="K198" s="21" t="inlineStr">
        <ns0:is>
          <ns0:t>BERT</ns0:t>
        </ns0:is>
      </ns0:c>
      <ns0:c r="L198" s="21" t="inlineStr">
        <ns0:is>
          <ns0:t>Transformer</ns0:t>
        </ns0:is>
      </ns0:c>
      <ns0:c r="M198" s="21" t="inlineStr">
        <ns0:is>
          <ns0:t>Research only</ns0:t>
        </ns0:is>
      </ns0:c>
      <ns0:c r="N198" s="21" t="inlineStr">
        <ns0:is>
          <ns0:t>Automated measurement/classification</ns0:t>
        </ns0:is>
      </ns0:c>
      <ns0:c r="O198" s="21" t="inlineStr">
        <ns0:is>
          <ns0:t>Not observed in assessed sources</ns0:t>
        </ns0:is>
      </ns0:c>
      <ns0:c r="P198" s="21" t="inlineStr">
        <ns0:is>
          <ns0:t>Not observed in assessed sources</ns0:t>
        </ns0:is>
      </ns0:c>
      <ns0:c r="Q198" s="21" t="inlineStr">
        <ns0:is>
          <ns0:t>Not reported in assessed sources</ns0:t>
        </ns0:is>
      </ns0:c>
      <ns0:c r="R198" s="21" t="inlineStr">
        <ns0:is>
          <ns0:t>Not reported in assessed sources</ns0:t>
        </ns0:is>
      </ns0:c>
      <ns0:c r="S198" s="21" t="inlineStr">
        <ns0:is>
          <ns0:t>Not reported in assessed sources</ns0:t>
        </ns0:is>
      </ns0:c>
      <ns0:c r="T198" s="21" t="inlineStr">
        <ns0:is>
          <ns0:t>Not reported in assessed sources</ns0:t>
        </ns0:is>
      </ns0:c>
      <ns0:c r="U198" s="21" t="inlineStr">
        <ns0:is>
          <ns0:t>Not reported in assessed sources</ns0:t>
        </ns0:is>
      </ns0:c>
      <ns0:c r="V198" s="21" t="inlineStr">
        <ns0:is>
          <ns0:t>Not reported in assessed sources</ns0:t>
        </ns0:is>
      </ns0:c>
      <ns0:c r="W198" s="21" t="inlineStr">
        <ns0:is>
          <ns0:t>Not reported in assessed sources</ns0:t>
        </ns0:is>
      </ns0:c>
      <ns0:c r="X198" s="21" t="inlineStr">
        <ns0:is>
          <ns0:t>Not reported in assessed sources</ns0:t>
        </ns0:is>
      </ns0:c>
      <ns0:c r="Y198" s="21" t="inlineStr">
        <ns0:is>
          <ns0:t>Not ascertainable</ns0:t>
        </ns0:is>
      </ns0:c>
      <ns0:c r="Z198" s="21" t="inlineStr">
        <ns0:is>
          <ns0:t>Not reported in assessed sources</ns0:t>
        </ns0:is>
      </ns0:c>
      <ns0:c r="AA198" s="21" t="inlineStr">
        <ns0:is>
          <ns0:t>Not recorded</ns0:t>
        </ns0:is>
      </ns0:c>
      <ns0:c r="AB198" s="28" t="n">
        <ns0:v>0</ns0:v>
      </ns0:c>
      <ns0:c r="AC198" s="28" t="n">
        <ns0:v>0</ns0:v>
      </ns0:c>
      <ns0:c r="AD198" s="29">
        <ns0:f>IF(AND(G198=1,AB198=0),1,0)</ns0:f>
        <ns0:v>1</ns0:v>
      </ns0:c>
      <ns0:c r="AE198" s="29">
        <ns0:f>IF(AND(AD198=1,AC198=0),1,0)</ns0:f>
        <ns0:v>1</ns0:v>
      </ns0:c>
      <ns0:c r="AF198" s="29">
        <ns0:f>IF(AND(G198=1,H198&lt;&gt;"Not specified"),1,0)</ns0:f>
        <ns0:v>0</ns0:v>
      </ns0:c>
      <ns0:c r="AG198" s="29">
        <ns0:f>IF(AND(AE198=1,AF198=1),1,0)</ns0:f>
        <ns0:v>0</ns0:v>
      </ns0:c>
      <ns0:c r="AH198" s="21" t="inlineStr">
        <ns0:is>
          <ns0:t>Supplied abstract/coding notes; no new full-text verification</ns0:t>
        </ns0:is>
      </ns0:c>
      <ns0:c r="AI198" s="21" t="inlineStr">
        <ns0:is>
          <ns0:t>https://doi.org/10.1177/13623613241304488</ns0:t>
        </ns0:is>
      </ns0:c>
      <ns0:c r="AJ198" s="21" t="inlineStr">
        <ns0:is>
          <ns0:t>EVIDENCIA; original abstract/coding notes and lot source trace; Historical signals: title/abstract/notes; full-text completion not independently established</ns0:t>
        </ns0:is>
      </ns0:c>
      <ns0:c r="AK198" s="21" t="inlineStr">
        <ns0:is>
          <ns0:t>Cross-sectional pragmatic-language characterization in ASD and related genetic phenotypes; no future course or delivered intervention is modeled.</ns0:t>
        </ns0:is>
      </ns0:c>
      <ns0:c r="AL198" s="21" t="inlineStr">
        <ns0:is>
          <ns0:t>Not applicable</ns0:t>
        </ns0:is>
      </ns0:c>
      <ns0:c r="AM198" s="21" t="inlineStr">
        <ns0:is>
          <ns0:t>Not separately specified</ns0:t>
        </ns0:is>
      </ns0:c>
      <ns0:c r="AN198" s="21" t="inlineStr"/>
      <ns0:c r="AO198" s="21" t="inlineStr">
        <ns0:is>
          <ns0:t>No additional status determination</ns0:t>
        </ns0:is>
      </ns0:c>
      <ns0:c r="AP198" s="21" t="inlineStr">
        <ns0:is>
          <ns0:t>Not documented for this recharting</ns0:t>
        </ns0:is>
      </ns0:c>
      <ns0:c r="AQ198" s="21" t="inlineStr">
        <ns0:is>
          <ns0:t>ChatGPT-assisted evidence recharting, 2026-09-08</ns0:t>
        </ns0:is>
      </ns0:c>
      <ns0:c r="AR198" s="21" t="inlineStr"/>
      <ns0:c r="AS198" s="21" t="inlineStr">
        <ns0:is>
          <ns0:t>Not recorded; historical inclusion retained</ns0:t>
        </ns0:is>
      </ns0:c>
    </ns0:row>
    <ns0:row r="199" ht="50" customHeight="1">
      <ns0:c r="A199" s="19" t="inlineStr">
        <ns0:is>
          <ns0:t>213</ns0:t>
        </ns0:is>
      </ns0:c>
      <ns0:c r="B199" s="19" t="inlineStr">
        <ns0:is>
          <ns0:t>Historical</ns0:t>
        </ns0:is>
      </ns0:c>
      <ns0:c r="C199" s="19" t="inlineStr">
        <ns0:is>
          <ns0:t>Resting state functional magnetic resonance imaging and neural network classified autism and control</ns0:t>
        </ns0:is>
      </ns0:c>
      <ns0:c r="D199" s="19" t="inlineStr">
        <ns0:is>
          <ns0:t>10.1016/j.cortex.2014.08.011</ns0:t>
        </ns0:is>
      </ns0:c>
      <ns0:c r="E199" s="26" t="n">
        <ns0:v>2015</ns0:v>
      </ns0:c>
      <ns0:c r="F199" s="19" t="inlineStr">
        <ns0:is>
          <ns0:t>Include</ns0:t>
        </ns0:is>
      </ns0:c>
      <ns0:c r="G199" s="27">
        <ns0:f>IF(F199="Include",1,0)</ns0:f>
        <ns0:v>1</ns0:v>
      </ns0:c>
      <ns0:c r="H199" s="19" t="inlineStr">
        <ns0:is>
          <ns0:t>Diagnosis</ns0:t>
        </ns0:is>
      </ns0:c>
      <ns0:c r="I199" s="19" t="inlineStr">
        <ns0:is>
          <ns0:t>Machine Learning</ns0:t>
        </ns0:is>
      </ns0:c>
      <ns0:c r="J199" s="19" t="inlineStr">
        <ns0:is>
          <ns0:t>Neuroimaging</ns0:t>
        </ns0:is>
      </ns0:c>
      <ns0:c r="K199" s="19" t="inlineStr">
        <ns0:is>
          <ns0:t>Probabilistic neural network</ns0:t>
        </ns0:is>
      </ns0:c>
      <ns0:c r="L199" s="19" t="inlineStr">
        <ns0:is>
          <ns0:t>Other specified method</ns0:t>
        </ns0:is>
      </ns0:c>
      <ns0:c r="M199" s="19" t="inlineStr">
        <ns0:is>
          <ns0:t>Research only</ns0:t>
        </ns0:is>
      </ns0:c>
      <ns0:c r="N199" s="19" t="inlineStr">
        <ns0:is>
          <ns0:t>Automated measurement/classification</ns0:t>
        </ns0:is>
      </ns0:c>
      <ns0:c r="O199" s="19" t="inlineStr">
        <ns0:is>
          <ns0:t>Not observed in assessed sources</ns0:t>
        </ns0:is>
      </ns0:c>
      <ns0:c r="P199" s="19" t="inlineStr">
        <ns0:is>
          <ns0:t>Not observed in assessed sources</ns0:t>
        </ns0:is>
      </ns0:c>
      <ns0:c r="Q199" s="19" t="inlineStr">
        <ns0:is>
          <ns0:t>Not reported in assessed sources</ns0:t>
        </ns0:is>
      </ns0:c>
      <ns0:c r="R199" s="19" t="inlineStr">
        <ns0:is>
          <ns0:t>Not reported in assessed sources</ns0:t>
        </ns0:is>
      </ns0:c>
      <ns0:c r="S199" s="19" t="inlineStr">
        <ns0:is>
          <ns0:t>Not reported in assessed sources</ns0:t>
        </ns0:is>
      </ns0:c>
      <ns0:c r="T199" s="19" t="inlineStr">
        <ns0:is>
          <ns0:t>Not reported in assessed sources</ns0:t>
        </ns0:is>
      </ns0:c>
      <ns0:c r="U199" s="19" t="inlineStr">
        <ns0:is>
          <ns0:t>Not reported in assessed sources</ns0:t>
        </ns0:is>
      </ns0:c>
      <ns0:c r="V199" s="19" t="inlineStr">
        <ns0:is>
          <ns0:t>Reported</ns0:t>
        </ns0:is>
      </ns0:c>
      <ns0:c r="W199" s="19" t="inlineStr">
        <ns0:is>
          <ns0:t>Not reported in assessed sources</ns0:t>
        </ns0:is>
      </ns0:c>
      <ns0:c r="X199" s="19" t="inlineStr">
        <ns0:is>
          <ns0:t>Not reported in assessed sources</ns0:t>
        </ns0:is>
      </ns0:c>
      <ns0:c r="Y199" s="19" t="inlineStr">
        <ns0:is>
          <ns0:t>Not ascertainable</ns0:t>
        </ns0:is>
      </ns0:c>
      <ns0:c r="Z199" s="19" t="inlineStr">
        <ns0:is>
          <ns0:t>Not reported in assessed sources</ns0:t>
        </ns0:is>
      </ns0:c>
      <ns0:c r="AA199" s="19" t="inlineStr">
        <ns0:is>
          <ns0:t>Not recorded</ns0:t>
        </ns0:is>
      </ns0:c>
      <ns0:c r="AB199" s="26" t="n">
        <ns0:v>0</ns0:v>
      </ns0:c>
      <ns0:c r="AC199" s="26" t="n">
        <ns0:v>0</ns0:v>
      </ns0:c>
      <ns0:c r="AD199" s="27">
        <ns0:f>IF(AND(G199=1,AB199=0),1,0)</ns0:f>
        <ns0:v>1</ns0:v>
      </ns0:c>
      <ns0:c r="AE199" s="27">
        <ns0:f>IF(AND(AD199=1,AC199=0),1,0)</ns0:f>
        <ns0:v>1</ns0:v>
      </ns0:c>
      <ns0:c r="AF199" s="27">
        <ns0:f>IF(AND(G199=1,H199&lt;&gt;"Not specified"),1,0)</ns0:f>
        <ns0:v>1</ns0:v>
      </ns0:c>
      <ns0:c r="AG199" s="27">
        <ns0:f>IF(AND(AE199=1,AF199=1),1,0)</ns0:f>
        <ns0:v>1</ns0:v>
      </ns0:c>
      <ns0:c r="AH199" s="19" t="inlineStr">
        <ns0:is>
          <ns0:t>Supplied abstract/coding notes; no new full-text verification</ns0:t>
        </ns0:is>
      </ns0:c>
      <ns0:c r="AI199" s="19" t="inlineStr">
        <ns0:is>
          <ns0:t>https://doi.org/10.1016/j.cortex.2014.08.011</ns0:t>
        </ns0:is>
      </ns0:c>
      <ns0:c r="AJ199" s="19" t="inlineStr">
        <ns0:is>
          <ns0:t>EVIDENCIA; original abstract/coding notes and lot source trace; Historical signals: title/abstract/notes; full-text completion not independently established</ns0:t>
        </ns0:is>
      </ns0:c>
      <ns0:c r="AK199" s="19" t="inlineStr">
        <ns0:is>
          <ns0:t>Resting fMRI correlation matrices with a probabilistic neural classifier. Similar accuracies by institution are site-stratified analysis, not proof of unseen-site transport.</ns0:t>
        </ns0:is>
      </ns0:c>
      <ns0:c r="AL199" s="19" t="inlineStr">
        <ns0:is>
          <ns0:t>Not applicable</ns0:t>
        </ns0:is>
      </ns0:c>
      <ns0:c r="AM199" s="19" t="inlineStr">
        <ns0:is>
          <ns0:t>Not separately specified</ns0:t>
        </ns0:is>
      </ns0:c>
      <ns0:c r="AN199" s="19" t="inlineStr"/>
      <ns0:c r="AO199" s="19" t="inlineStr">
        <ns0:is>
          <ns0:t>No additional status determination</ns0:t>
        </ns0:is>
      </ns0:c>
      <ns0:c r="AP199" s="19" t="inlineStr">
        <ns0:is>
          <ns0:t>Not documented for this recharting</ns0:t>
        </ns0:is>
      </ns0:c>
      <ns0:c r="AQ199" s="19" t="inlineStr">
        <ns0:is>
          <ns0:t>ChatGPT-assisted evidence recharting, 2026-09-08</ns0:t>
        </ns0:is>
      </ns0:c>
      <ns0:c r="AR199" s="19" t="inlineStr">
        <ns0:is>
          <ns0:t>RA</ns0:t>
        </ns0:is>
      </ns0:c>
      <ns0:c r="AS199" s="19" t="inlineStr">
        <ns0:is>
          <ns0:t>Not recorded; historical inclusion retained</ns0:t>
        </ns0:is>
      </ns0:c>
    </ns0:row>
    <ns0:row r="200" ht="50" customHeight="1">
      <ns0:c r="A200" s="21" t="inlineStr">
        <ns0:is>
          <ns0:t>214</ns0:t>
        </ns0:is>
      </ns0:c>
      <ns0:c r="B200" s="21" t="inlineStr">
        <ns0:is>
          <ns0:t>Historical</ns0:t>
        </ns0:is>
      </ns0:c>
      <ns0:c r="C200" s="21" t="inlineStr">
        <ns0:is>
          <ns0:t>Self-Paced Learning and Privileged Information based Cascaded Multi-column Classification algorithm for ASD diagnosis</ns0:t>
        </ns0:is>
      </ns0:c>
      <ns0:c r="D200" s="21" t="inlineStr">
        <ns0:is>
          <ns0:t>10.1109/embc46164.2021.9630150</ns0:t>
        </ns0:is>
      </ns0:c>
      <ns0:c r="E200" s="28" t="n">
        <ns0:v>2021</ns0:v>
      </ns0:c>
      <ns0:c r="F200" s="21" t="inlineStr">
        <ns0:is>
          <ns0:t>Include</ns0:t>
        </ns0:is>
      </ns0:c>
      <ns0:c r="G200" s="29">
        <ns0:f>IF(F200="Include",1,0)</ns0:f>
        <ns0:v>1</ns0:v>
      </ns0:c>
      <ns0:c r="H200" s="21" t="inlineStr">
        <ns0:is>
          <ns0:t>Diagnosis</ns0:t>
        </ns0:is>
      </ns0:c>
      <ns0:c r="I200" s="21" t="inlineStr">
        <ns0:is>
          <ns0:t>Machine Learning</ns0:t>
        </ns0:is>
      </ns0:c>
      <ns0:c r="J200" s="21" t="inlineStr">
        <ns0:is>
          <ns0:t>Neuroimaging</ns0:t>
        </ns0:is>
      </ns0:c>
      <ns0:c r="K200" s="21" t="inlineStr">
        <ns0:is>
          <ns0:t>Cascaded RVFL+ with self-paced learning</ns0:t>
        </ns0:is>
      </ns0:c>
      <ns0:c r="L200" s="21" t="inlineStr">
        <ns0:is>
          <ns0:t>Other specified method</ns0:t>
        </ns0:is>
      </ns0:c>
      <ns0:c r="M200" s="21" t="inlineStr">
        <ns0:is>
          <ns0:t>Research only</ns0:t>
        </ns0:is>
      </ns0:c>
      <ns0:c r="N200" s="21" t="inlineStr">
        <ns0:is>
          <ns0:t>Automated measurement/classification</ns0:t>
        </ns0:is>
      </ns0:c>
      <ns0:c r="O200" s="21" t="inlineStr">
        <ns0:is>
          <ns0:t>Not observed in assessed sources</ns0:t>
        </ns0:is>
      </ns0:c>
      <ns0:c r="P200" s="21" t="inlineStr">
        <ns0:is>
          <ns0:t>Not observed in assessed sources</ns0:t>
        </ns0:is>
      </ns0:c>
      <ns0:c r="Q200" s="21" t="inlineStr">
        <ns0:is>
          <ns0:t>Not reported in assessed sources</ns0:t>
        </ns0:is>
      </ns0:c>
      <ns0:c r="R200" s="21" t="inlineStr">
        <ns0:is>
          <ns0:t>Not reported in assessed sources</ns0:t>
        </ns0:is>
      </ns0:c>
      <ns0:c r="S200" s="21" t="inlineStr">
        <ns0:is>
          <ns0:t>Not reported in assessed sources</ns0:t>
        </ns0:is>
      </ns0:c>
      <ns0:c r="T200" s="21" t="inlineStr">
        <ns0:is>
          <ns0:t>Not reported in assessed sources</ns0:t>
        </ns0:is>
      </ns0:c>
      <ns0:c r="U200" s="21" t="inlineStr">
        <ns0:is>
          <ns0:t>Not reported in assessed sources</ns0:t>
        </ns0:is>
      </ns0:c>
      <ns0:c r="V200" s="21" t="inlineStr">
        <ns0:is>
          <ns0:t>Not reported in assessed sources</ns0:t>
        </ns0:is>
      </ns0:c>
      <ns0:c r="W200" s="21" t="inlineStr">
        <ns0:is>
          <ns0:t>Not reported in assessed sources</ns0:t>
        </ns0:is>
      </ns0:c>
      <ns0:c r="X200" s="21" t="inlineStr">
        <ns0:is>
          <ns0:t>Not reported in assessed sources</ns0:t>
        </ns0:is>
      </ns0:c>
      <ns0:c r="Y200" s="21" t="inlineStr">
        <ns0:is>
          <ns0:t>Not ascertainable</ns0:t>
        </ns0:is>
      </ns0:c>
      <ns0:c r="Z200" s="21" t="inlineStr">
        <ns0:is>
          <ns0:t>Not reported in assessed sources</ns0:t>
        </ns0:is>
      </ns0:c>
      <ns0:c r="AA200" s="21" t="inlineStr">
        <ns0:is>
          <ns0:t>Not recorded</ns0:t>
        </ns0:is>
      </ns0:c>
      <ns0:c r="AB200" s="28" t="n">
        <ns0:v>0</ns0:v>
      </ns0:c>
      <ns0:c r="AC200" s="28" t="n">
        <ns0:v>0</ns0:v>
      </ns0:c>
      <ns0:c r="AD200" s="29">
        <ns0:f>IF(AND(G200=1,AB200=0),1,0)</ns0:f>
        <ns0:v>1</ns0:v>
      </ns0:c>
      <ns0:c r="AE200" s="29">
        <ns0:f>IF(AND(AD200=1,AC200=0),1,0)</ns0:f>
        <ns0:v>1</ns0:v>
      </ns0:c>
      <ns0:c r="AF200" s="29">
        <ns0:f>IF(AND(G200=1,H200&lt;&gt;"Not specified"),1,0)</ns0:f>
        <ns0:v>1</ns0:v>
      </ns0:c>
      <ns0:c r="AG200" s="29">
        <ns0:f>IF(AND(AE200=1,AF200=1),1,0)</ns0:f>
        <ns0:v>1</ns0:v>
      </ns0:c>
      <ns0:c r="AH200" s="21" t="inlineStr">
        <ns0:is>
          <ns0:t>Supplied abstract/coding notes; no new full-text verification</ns0:t>
        </ns0:is>
      </ns0:c>
      <ns0:c r="AI200" s="21" t="inlineStr">
        <ns0:is>
          <ns0:t>https://doi.org/10.1109/embc46164.2021.9630150</ns0:t>
        </ns0:is>
      </ns0:c>
      <ns0:c r="AJ200" s="21" t="inlineStr">
        <ns0:is>
          <ns0:t>EVIDENCIA; original abstract/coding notes and lot source trace; Historical signals: title/abstract/notes; full-text completion not independently established</ns0:t>
        </ns0:is>
      </ns0:c>
      <ns0:c r="AK200" s="21" t="inlineStr">
        <ns0:is>
          <ns0:t>Explicit single-modal fMRI privileged-information method; cascaded RVFL is retained rather than forcing it into conventional CNN or unspecified Other.</ns0:t>
        </ns0:is>
      </ns0:c>
      <ns0:c r="AL200" s="21" t="inlineStr">
        <ns0:is>
          <ns0:t>Not applicable</ns0:t>
        </ns0:is>
      </ns0:c>
      <ns0:c r="AM200" s="21" t="inlineStr">
        <ns0:is>
          <ns0:t>Not separately specified</ns0:t>
        </ns0:is>
      </ns0:c>
      <ns0:c r="AN200" s="21" t="inlineStr"/>
      <ns0:c r="AO200" s="21" t="inlineStr">
        <ns0:is>
          <ns0:t>No additional status determination</ns0:t>
        </ns0:is>
      </ns0:c>
      <ns0:c r="AP200" s="21" t="inlineStr">
        <ns0:is>
          <ns0:t>Not documented for this recharting</ns0:t>
        </ns0:is>
      </ns0:c>
      <ns0:c r="AQ200" s="21" t="inlineStr">
        <ns0:is>
          <ns0:t>ChatGPT-assisted evidence recharting, 2026-09-08</ns0:t>
        </ns0:is>
      </ns0:c>
      <ns0:c r="AR200" s="21" t="inlineStr"/>
      <ns0:c r="AS200" s="21" t="inlineStr">
        <ns0:is>
          <ns0:t>Not recorded; historical inclusion retained</ns0:t>
        </ns0:is>
      </ns0:c>
    </ns0:row>
    <ns0:row r="201" ht="50" customHeight="1">
      <ns0:c r="A201" s="19" t="inlineStr">
        <ns0:is>
          <ns0:t>215</ns0:t>
        </ns0:is>
      </ns0:c>
      <ns0:c r="B201" s="19" t="inlineStr">
        <ns0:is>
          <ns0:t>Historical</ns0:t>
        </ns0:is>
      </ns0:c>
      <ns0:c r="C201" s="19" t="inlineStr">
        <ns0:is>
          <ns0:t>Smartphone Haptics Can Uncover Differences in Touch Interactions Between ASD and Neurotypicals</ns0:t>
        </ns0:is>
      </ns0:c>
      <ns0:c r="D201" s="19" t="inlineStr">
        <ns0:is>
          <ns0:t>10.1145/3699749</ns0:t>
        </ns0:is>
      </ns0:c>
      <ns0:c r="E201" s="26" t="n">
        <ns0:v>2024</ns0:v>
      </ns0:c>
      <ns0:c r="F201" s="19" t="inlineStr">
        <ns0:is>
          <ns0:t>Include</ns0:t>
        </ns0:is>
      </ns0:c>
      <ns0:c r="G201" s="27">
        <ns0:f>IF(F201="Include",1,0)</ns0:f>
        <ns0:v>1</ns0:v>
      </ns0:c>
      <ns0:c r="H201" s="19" t="inlineStr">
        <ns0:is>
          <ns0:t>Screening</ns0:t>
        </ns0:is>
      </ns0:c>
      <ns0:c r="I201" s="19" t="inlineStr">
        <ns0:is>
          <ns0:t>Machine Learning</ns0:t>
        </ns0:is>
      </ns0:c>
      <ns0:c r="J201" s="19" t="inlineStr">
        <ns0:is>
          <ns0:t>Behavioral images/video/gaze/movement</ns0:t>
        </ns0:is>
      </ns0:c>
      <ns0:c r="K201" s="19" t="inlineStr">
        <ns0:is>
          <ns0:t>Logistic regression</ns0:t>
        </ns0:is>
      </ns0:c>
      <ns0:c r="L201" s="19" t="inlineStr">
        <ns0:is>
          <ns0:t>Logistic regression</ns0:t>
        </ns0:is>
      </ns0:c>
      <ns0:c r="M201" s="19" t="inlineStr">
        <ns0:is>
          <ns0:t>Research only</ns0:t>
        </ns0:is>
      </ns0:c>
      <ns0:c r="N201" s="19" t="inlineStr">
        <ns0:is>
          <ns0:t>Automated measurement/classification</ns0:t>
        </ns0:is>
      </ns0:c>
      <ns0:c r="O201" s="19" t="inlineStr">
        <ns0:is>
          <ns0:t>Not observed in assessed sources</ns0:t>
        </ns0:is>
      </ns0:c>
      <ns0:c r="P201" s="19" t="inlineStr">
        <ns0:is>
          <ns0:t>Not observed in assessed sources</ns0:t>
        </ns0:is>
      </ns0:c>
      <ns0:c r="Q201" s="19" t="inlineStr">
        <ns0:is>
          <ns0:t>Not reported in assessed sources</ns0:t>
        </ns0:is>
      </ns0:c>
      <ns0:c r="R201" s="19" t="inlineStr">
        <ns0:is>
          <ns0:t>Reported</ns0:t>
        </ns0:is>
      </ns0:c>
      <ns0:c r="S201" s="19" t="inlineStr">
        <ns0:is>
          <ns0:t>Reported</ns0:t>
        </ns0:is>
      </ns0:c>
      <ns0:c r="T201" s="19" t="inlineStr">
        <ns0:is>
          <ns0:t>Not reported in assessed sources</ns0:t>
        </ns0:is>
      </ns0:c>
      <ns0:c r="U201" s="19" t="inlineStr">
        <ns0:is>
          <ns0:t>Not reported in assessed sources</ns0:t>
        </ns0:is>
      </ns0:c>
      <ns0:c r="V201" s="19" t="inlineStr">
        <ns0:is>
          <ns0:t>Not reported in assessed sources</ns0:t>
        </ns0:is>
      </ns0:c>
      <ns0:c r="W201" s="19" t="inlineStr">
        <ns0:is>
          <ns0:t>Reported</ns0:t>
        </ns0:is>
      </ns0:c>
      <ns0:c r="X201" s="19" t="inlineStr">
        <ns0:is>
          <ns0:t>Not reported in assessed sources</ns0:t>
        </ns0:is>
      </ns0:c>
      <ns0:c r="Y201" s="19" t="inlineStr">
        <ns0:is>
          <ns0:t>Not ascertainable</ns0:t>
        </ns0:is>
      </ns0:c>
      <ns0:c r="Z201" s="19" t="inlineStr">
        <ns0:is>
          <ns0:t>Reported</ns0:t>
        </ns0:is>
      </ns0:c>
      <ns0:c r="AA201" s="19" t="inlineStr">
        <ns0:is>
          <ns0:t>Not recorded</ns0:t>
        </ns0:is>
      </ns0:c>
      <ns0:c r="AB201" s="26" t="n">
        <ns0:v>0</ns0:v>
      </ns0:c>
      <ns0:c r="AC201" s="26" t="n">
        <ns0:v>0</ns0:v>
      </ns0:c>
      <ns0:c r="AD201" s="27">
        <ns0:f>IF(AND(G201=1,AB201=0),1,0)</ns0:f>
        <ns0:v>1</ns0:v>
      </ns0:c>
      <ns0:c r="AE201" s="27">
        <ns0:f>IF(AND(AD201=1,AC201=0),1,0)</ns0:f>
        <ns0:v>1</ns0:v>
      </ns0:c>
      <ns0:c r="AF201" s="27">
        <ns0:f>IF(AND(G201=1,H201&lt;&gt;"Not specified"),1,0)</ns0:f>
        <ns0:v>1</ns0:v>
      </ns0:c>
      <ns0:c r="AG201" s="27">
        <ns0:f>IF(AND(AE201=1,AF201=1),1,0)</ns0:f>
        <ns0:v>1</ns0:v>
      </ns0:c>
      <ns0:c r="AH201" s="19" t="inlineStr">
        <ns0:is>
          <ns0:t>Supplied abstract/coding notes; no new full-text verification</ns0:t>
        </ns0:is>
      </ns0:c>
      <ns0:c r="AI201" s="19" t="inlineStr">
        <ns0:is>
          <ns0:t>https://doi.org/10.1145/3699749</ns0:t>
        </ns0:is>
      </ns0:c>
      <ns0:c r="AJ201" s="19" t="inlineStr">
        <ns0:is>
          <ns0:t>EVIDENCIA; original abstract/coding notes and lot source trace; Historical signals: title/abstract/notes; full-text completion not independently established</ns0:t>
        </ns0:is>
      </ns0:c>
      <ns0:c r="AK201" s="19" t="inlineStr">
        <ns0:is>
          <ns0:t>Smartphone touch and tilt are behavioral motor data. Deploying a data-collection game does not establish an AI clinical screening workflow.</ns0:t>
        </ns0:is>
      </ns0:c>
      <ns0:c r="AL201" s="19" t="inlineStr">
        <ns0:is>
          <ns0:t>Not applicable</ns0:t>
        </ns0:is>
      </ns0:c>
      <ns0:c r="AM201" s="19" t="inlineStr">
        <ns0:is>
          <ns0:t>Not separately specified</ns0:t>
        </ns0:is>
      </ns0:c>
      <ns0:c r="AN201" s="19" t="inlineStr"/>
      <ns0:c r="AO201" s="19" t="inlineStr">
        <ns0:is>
          <ns0:t>No additional status determination</ns0:t>
        </ns0:is>
      </ns0:c>
      <ns0:c r="AP201" s="19" t="inlineStr">
        <ns0:is>
          <ns0:t>Not documented for this recharting</ns0:t>
        </ns0:is>
      </ns0:c>
      <ns0:c r="AQ201" s="19" t="inlineStr">
        <ns0:is>
          <ns0:t>ChatGPT-assisted evidence recharting, 2026-09-08</ns0:t>
        </ns0:is>
      </ns0:c>
      <ns0:c r="AR201" s="19" t="inlineStr"/>
      <ns0:c r="AS201" s="19" t="inlineStr">
        <ns0:is>
          <ns0:t>Not recorded; historical inclusion retained</ns0:t>
        </ns0:is>
      </ns0:c>
    </ns0:row>
    <ns0:row r="202" ht="50" customHeight="1">
      <ns0:c r="A202" s="21" t="inlineStr">
        <ns0:is>
          <ns0:t>216</ns0:t>
        </ns0:is>
      </ns0:c>
      <ns0:c r="B202" s="21" t="inlineStr">
        <ns0:is>
          <ns0:t>Historical</ns0:t>
        </ns0:is>
      </ns0:c>
      <ns0:c r="C202" s="21" t="inlineStr">
        <ns0:is>
          <ns0:t>Targeted metabolomics in children with autism spectrum disorder with and without developmental regression</ns0:t>
        </ns0:is>
      </ns0:c>
      <ns0:c r="D202" s="21" t="inlineStr">
        <ns0:is>
          <ns0:t>10.1007/s11011-025-01604-y</ns0:t>
        </ns0:is>
      </ns0:c>
      <ns0:c r="E202" s="28" t="n">
        <ns0:v>2025</ns0:v>
      </ns0:c>
      <ns0:c r="F202" s="21" t="inlineStr">
        <ns0:is>
          <ns0:t>Include</ns0:t>
        </ns0:is>
      </ns0:c>
      <ns0:c r="G202" s="29">
        <ns0:f>IF(F202="Include",1,0)</ns0:f>
        <ns0:v>1</ns0:v>
      </ns0:c>
      <ns0:c r="H202" s="21" t="inlineStr">
        <ns0:is>
          <ns0:t>Diagnosis</ns0:t>
        </ns0:is>
      </ns0:c>
      <ns0:c r="I202" s="21" t="inlineStr">
        <ns0:is>
          <ns0:t>Machine Learning</ns0:t>
        </ns0:is>
      </ns0:c>
      <ns0:c r="J202" s="21" t="inlineStr">
        <ns0:is>
          <ns0:t>Biological/omics</ns0:t>
        </ns0:is>
      </ns0:c>
      <ns0:c r="K202" s="21" t="inlineStr">
        <ns0:is>
          <ns0:t>Random forest / SVM comparison</ns0:t>
        </ns0:is>
      </ns0:c>
      <ns0:c r="L202" s="21" t="inlineStr">
        <ns0:is>
          <ns0:t>Multiple/not uniquely specified</ns0:t>
        </ns0:is>
      </ns0:c>
      <ns0:c r="M202" s="21" t="inlineStr">
        <ns0:is>
          <ns0:t>Research only</ns0:t>
        </ns0:is>
      </ns0:c>
      <ns0:c r="N202" s="21" t="inlineStr">
        <ns0:is>
          <ns0:t>Automated measurement/classification</ns0:t>
        </ns0:is>
      </ns0:c>
      <ns0:c r="O202" s="21" t="inlineStr">
        <ns0:is>
          <ns0:t>Not observed in assessed sources</ns0:t>
        </ns0:is>
      </ns0:c>
      <ns0:c r="P202" s="21" t="inlineStr">
        <ns0:is>
          <ns0:t>Not observed in assessed sources</ns0:t>
        </ns0:is>
      </ns0:c>
      <ns0:c r="Q202" s="21" t="inlineStr">
        <ns0:is>
          <ns0:t>Not reported in assessed sources</ns0:t>
        </ns0:is>
      </ns0:c>
      <ns0:c r="R202" s="21" t="inlineStr">
        <ns0:is>
          <ns0:t>Not reported in assessed sources</ns0:t>
        </ns0:is>
      </ns0:c>
      <ns0:c r="S202" s="21" t="inlineStr">
        <ns0:is>
          <ns0:t>Not reported in assessed sources</ns0:t>
        </ns0:is>
      </ns0:c>
      <ns0:c r="T202" s="21" t="inlineStr">
        <ns0:is>
          <ns0:t>Not reported in assessed sources</ns0:t>
        </ns0:is>
      </ns0:c>
      <ns0:c r="U202" s="21" t="inlineStr">
        <ns0:is>
          <ns0:t>Not reported in assessed sources</ns0:t>
        </ns0:is>
      </ns0:c>
      <ns0:c r="V202" s="21" t="inlineStr">
        <ns0:is>
          <ns0:t>Not reported in assessed sources</ns0:t>
        </ns0:is>
      </ns0:c>
      <ns0:c r="W202" s="21" t="inlineStr">
        <ns0:is>
          <ns0:t>Not reported in assessed sources</ns0:t>
        </ns0:is>
      </ns0:c>
      <ns0:c r="X202" s="21" t="inlineStr">
        <ns0:is>
          <ns0:t>Not reported in assessed sources</ns0:t>
        </ns0:is>
      </ns0:c>
      <ns0:c r="Y202" s="21" t="inlineStr">
        <ns0:is>
          <ns0:t>Not ascertainable</ns0:t>
        </ns0:is>
      </ns0:c>
      <ns0:c r="Z202" s="21" t="inlineStr">
        <ns0:is>
          <ns0:t>Not reported in assessed sources</ns0:t>
        </ns0:is>
      </ns0:c>
      <ns0:c r="AA202" s="21" t="inlineStr">
        <ns0:is>
          <ns0:t>Not recorded</ns0:t>
        </ns0:is>
      </ns0:c>
      <ns0:c r="AB202" s="28" t="n">
        <ns0:v>0</ns0:v>
      </ns0:c>
      <ns0:c r="AC202" s="28" t="n">
        <ns0:v>0</ns0:v>
      </ns0:c>
      <ns0:c r="AD202" s="29">
        <ns0:f>IF(AND(G202=1,AB202=0),1,0)</ns0:f>
        <ns0:v>1</ns0:v>
      </ns0:c>
      <ns0:c r="AE202" s="29">
        <ns0:f>IF(AND(AD202=1,AC202=0),1,0)</ns0:f>
        <ns0:v>1</ns0:v>
      </ns0:c>
      <ns0:c r="AF202" s="29">
        <ns0:f>IF(AND(G202=1,H202&lt;&gt;"Not specified"),1,0)</ns0:f>
        <ns0:v>1</ns0:v>
      </ns0:c>
      <ns0:c r="AG202" s="29">
        <ns0:f>IF(AND(AE202=1,AF202=1),1,0)</ns0:f>
        <ns0:v>1</ns0:v>
      </ns0:c>
      <ns0:c r="AH202" s="21" t="inlineStr">
        <ns0:is>
          <ns0:t>Supplied abstract/coding notes; no new full-text verification</ns0:t>
        </ns0:is>
      </ns0:c>
      <ns0:c r="AI202" s="21" t="inlineStr">
        <ns0:is>
          <ns0:t>https://doi.org/10.1007/s11011-025-01604-y</ns0:t>
        </ns0:is>
      </ns0:c>
      <ns0:c r="AJ202" s="21" t="inlineStr">
        <ns0:is>
          <ns0:t>EVIDENCIA; original abstract/coding notes and lot source trace; Historical signals: title/abstract/notes; full-text completion not independently established</ns0:t>
        </ns0:is>
      </ns0:c>
      <ns0:c r="AK202" s="21" t="inlineStr">
        <ns0:is>
          <ns0:t>Plasma targeted metabolomics; reported best classifiers RF and SVM, not an unspecified data modality.</ns0:t>
        </ns0:is>
      </ns0:c>
      <ns0:c r="AL202" s="21" t="inlineStr">
        <ns0:is>
          <ns0:t>Not applicable</ns0:t>
        </ns0:is>
      </ns0:c>
      <ns0:c r="AM202" s="21" t="inlineStr">
        <ns0:is>
          <ns0:t>Not separately specified</ns0:t>
        </ns0:is>
      </ns0:c>
      <ns0:c r="AN202" s="21" t="inlineStr"/>
      <ns0:c r="AO202" s="21" t="inlineStr">
        <ns0:is>
          <ns0:t>No additional status determination</ns0:t>
        </ns0:is>
      </ns0:c>
      <ns0:c r="AP202" s="21" t="inlineStr">
        <ns0:is>
          <ns0:t>Not documented for this recharting</ns0:t>
        </ns0:is>
      </ns0:c>
      <ns0:c r="AQ202" s="21" t="inlineStr">
        <ns0:is>
          <ns0:t>ChatGPT-assisted evidence recharting, 2026-09-08</ns0:t>
        </ns0:is>
      </ns0:c>
      <ns0:c r="AR202" s="21" t="inlineStr"/>
      <ns0:c r="AS202" s="21" t="inlineStr">
        <ns0:is>
          <ns0:t>Not recorded; historical inclusion retained</ns0:t>
        </ns0:is>
      </ns0:c>
    </ns0:row>
    <ns0:row r="203" ht="50" customHeight="1">
      <ns0:c r="A203" s="19" t="inlineStr">
        <ns0:is>
          <ns0:t>217</ns0:t>
        </ns0:is>
      </ns0:c>
      <ns0:c r="B203" s="19" t="inlineStr">
        <ns0:is>
          <ns0:t>Historical</ns0:t>
        </ns0:is>
      </ns0:c>
      <ns0:c r="C203" s="19" t="inlineStr">
        <ns0:is>
          <ns0:t>Twinned neuroimaging analysis contributes to improving the classification of young people with autism spectrum disorder</ns0:t>
        </ns0:is>
      </ns0:c>
      <ns0:c r="D203" s="19" t="inlineStr">
        <ns0:is>
          <ns0:t>10.1038/s41598-024-71174-z</ns0:t>
        </ns0:is>
      </ns0:c>
      <ns0:c r="E203" s="26" t="n">
        <ns0:v>2024</ns0:v>
      </ns0:c>
      <ns0:c r="F203" s="19" t="inlineStr">
        <ns0:is>
          <ns0:t>Include</ns0:t>
        </ns0:is>
      </ns0:c>
      <ns0:c r="G203" s="27">
        <ns0:f>IF(F203="Include",1,0)</ns0:f>
        <ns0:v>1</ns0:v>
      </ns0:c>
      <ns0:c r="H203" s="19" t="inlineStr">
        <ns0:is>
          <ns0:t>Diagnosis</ns0:t>
        </ns0:is>
      </ns0:c>
      <ns0:c r="I203" s="19" t="inlineStr">
        <ns0:is>
          <ns0:t>Deep Learning</ns0:t>
        </ns0:is>
      </ns0:c>
      <ns0:c r="J203" s="19" t="inlineStr">
        <ns0:is>
          <ns0:t>Neuroimaging</ns0:t>
        </ns0:is>
      </ns0:c>
      <ns0:c r="K203" s="19" t="inlineStr">
        <ns0:is>
          <ns0:t>CNN</ns0:t>
        </ns0:is>
      </ns0:c>
      <ns0:c r="L203" s="19" t="inlineStr">
        <ns0:is>
          <ns0:t>CNN</ns0:t>
        </ns0:is>
      </ns0:c>
      <ns0:c r="M203" s="19" t="inlineStr">
        <ns0:is>
          <ns0:t>Research only</ns0:t>
        </ns0:is>
      </ns0:c>
      <ns0:c r="N203" s="19" t="inlineStr">
        <ns0:is>
          <ns0:t>Automated measurement/classification</ns0:t>
        </ns0:is>
      </ns0:c>
      <ns0:c r="O203" s="19" t="inlineStr">
        <ns0:is>
          <ns0:t>Not observed in assessed sources</ns0:t>
        </ns0:is>
      </ns0:c>
      <ns0:c r="P203" s="19" t="inlineStr">
        <ns0:is>
          <ns0:t>Not observed in assessed sources</ns0:t>
        </ns0:is>
      </ns0:c>
      <ns0:c r="Q203" s="19" t="inlineStr">
        <ns0:is>
          <ns0:t>Not reported in assessed sources</ns0:t>
        </ns0:is>
      </ns0:c>
      <ns0:c r="R203" s="19" t="inlineStr">
        <ns0:is>
          <ns0:t>Reported</ns0:t>
        </ns0:is>
      </ns0:c>
      <ns0:c r="S203" s="19" t="inlineStr">
        <ns0:is>
          <ns0:t>Not reported in assessed sources</ns0:t>
        </ns0:is>
      </ns0:c>
      <ns0:c r="T203" s="19" t="inlineStr">
        <ns0:is>
          <ns0:t>Not reported in assessed sources</ns0:t>
        </ns0:is>
      </ns0:c>
      <ns0:c r="U203" s="19" t="inlineStr">
        <ns0:is>
          <ns0:t>Not reported in assessed sources</ns0:t>
        </ns0:is>
      </ns0:c>
      <ns0:c r="V203" s="19" t="inlineStr">
        <ns0:is>
          <ns0:t>Reported</ns0:t>
        </ns0:is>
      </ns0:c>
      <ns0:c r="W203" s="19" t="inlineStr">
        <ns0:is>
          <ns0:t>Reported</ns0:t>
        </ns0:is>
      </ns0:c>
      <ns0:c r="X203" s="19" t="inlineStr">
        <ns0:is>
          <ns0:t>Not reported in assessed sources</ns0:t>
        </ns0:is>
      </ns0:c>
      <ns0:c r="Y203" s="19" t="inlineStr">
        <ns0:is>
          <ns0:t>Not ascertainable</ns0:t>
        </ns0:is>
      </ns0:c>
      <ns0:c r="Z203" s="19" t="inlineStr">
        <ns0:is>
          <ns0:t>Not reported in assessed sources</ns0:t>
        </ns0:is>
      </ns0:c>
      <ns0:c r="AA203" s="19" t="inlineStr">
        <ns0:is>
          <ns0:t>Not recorded</ns0:t>
        </ns0:is>
      </ns0:c>
      <ns0:c r="AB203" s="26" t="n">
        <ns0:v>0</ns0:v>
      </ns0:c>
      <ns0:c r="AC203" s="26" t="n">
        <ns0:v>0</ns0:v>
      </ns0:c>
      <ns0:c r="AD203" s="27">
        <ns0:f>IF(AND(G203=1,AB203=0),1,0)</ns0:f>
        <ns0:v>1</ns0:v>
      </ns0:c>
      <ns0:c r="AE203" s="27">
        <ns0:f>IF(AND(AD203=1,AC203=0),1,0)</ns0:f>
        <ns0:v>1</ns0:v>
      </ns0:c>
      <ns0:c r="AF203" s="27">
        <ns0:f>IF(AND(G203=1,H203&lt;&gt;"Not specified"),1,0)</ns0:f>
        <ns0:v>1</ns0:v>
      </ns0:c>
      <ns0:c r="AG203" s="27">
        <ns0:f>IF(AND(AE203=1,AF203=1),1,0)</ns0:f>
        <ns0:v>1</ns0:v>
      </ns0:c>
      <ns0:c r="AH203" s="19" t="inlineStr">
        <ns0:is>
          <ns0:t>Supplied abstract/coding notes; no new full-text verification</ns0:t>
        </ns0:is>
      </ns0:c>
      <ns0:c r="AI203" s="19" t="inlineStr">
        <ns0:is>
          <ns0:t>https://doi.org/10.1038/s41598-024-71174-z</ns0:t>
        </ns0:is>
      </ns0:c>
      <ns0:c r="AJ203" s="19" t="inlineStr">
        <ns0:is>
          <ns0:t>EVIDENCIA; original abstract/coding notes and lot source trace; Historical signals: title/abstract/notes; full-text completion not independently established</ns0:t>
        </ns0:is>
      </ns0:c>
      <ns0:c r="AK203" s="19" t="inlineStr">
        <ns0:is>
          <ns0:t>Structural MRI combined with sALFF/fALFF functional MRI; two-channel CNN. Cross-validation on ABIDE is not external validation.</ns0:t>
        </ns0:is>
      </ns0:c>
      <ns0:c r="AL203" s="19" t="inlineStr">
        <ns0:is>
          <ns0:t>Not applicable</ns0:t>
        </ns0:is>
      </ns0:c>
      <ns0:c r="AM203" s="19" t="inlineStr">
        <ns0:is>
          <ns0:t>Not separately specified</ns0:t>
        </ns0:is>
      </ns0:c>
      <ns0:c r="AN203" s="19" t="inlineStr"/>
      <ns0:c r="AO203" s="19" t="inlineStr">
        <ns0:is>
          <ns0:t>No additional status determination</ns0:t>
        </ns0:is>
      </ns0:c>
      <ns0:c r="AP203" s="19" t="inlineStr">
        <ns0:is>
          <ns0:t>Not documented for this recharting</ns0:t>
        </ns0:is>
      </ns0:c>
      <ns0:c r="AQ203" s="19" t="inlineStr">
        <ns0:is>
          <ns0:t>ChatGPT-assisted evidence recharting, 2026-09-08</ns0:t>
        </ns0:is>
      </ns0:c>
      <ns0:c r="AR203" s="19" t="inlineStr"/>
      <ns0:c r="AS203" s="19" t="inlineStr">
        <ns0:is>
          <ns0:t>Not recorded; historical inclusion retained</ns0:t>
        </ns0:is>
      </ns0:c>
    </ns0:row>
    <ns0:row r="204" ht="50" customHeight="1">
      <ns0:c r="A204" s="21" t="inlineStr">
        <ns0:is>
          <ns0:t>218</ns0:t>
        </ns0:is>
      </ns0:c>
      <ns0:c r="B204" s="21" t="inlineStr">
        <ns0:is>
          <ns0:t>Historical</ns0:t>
        </ns0:is>
      </ns0:c>
      <ns0:c r="C204" s="21" t="inlineStr">
        <ns0:is>
          <ns0:t>Using a small dataset to classify strength-interactions with an elastic display: a case study for the screening of autism spectrum disorder</ns0:t>
        </ns0:is>
      </ns0:c>
      <ns0:c r="D204" s="21" t="inlineStr">
        <ns0:is>
          <ns0:t>10.1007/s13042-022-01554-2</ns0:t>
        </ns0:is>
      </ns0:c>
      <ns0:c r="E204" s="28" t="n">
        <ns0:v>2022</ns0:v>
      </ns0:c>
      <ns0:c r="F204" s="21" t="inlineStr">
        <ns0:is>
          <ns0:t>Include</ns0:t>
        </ns0:is>
      </ns0:c>
      <ns0:c r="G204" s="29">
        <ns0:f>IF(F204="Include",1,0)</ns0:f>
        <ns0:v>1</ns0:v>
      </ns0:c>
      <ns0:c r="H204" s="21" t="inlineStr">
        <ns0:is>
          <ns0:t>Screening</ns0:t>
        </ns0:is>
      </ns0:c>
      <ns0:c r="I204" s="21" t="inlineStr">
        <ns0:is>
          <ns0:t>Machine Learning</ns0:t>
        </ns0:is>
      </ns0:c>
      <ns0:c r="J204" s="21" t="inlineStr">
        <ns0:is>
          <ns0:t>Behavioral images/video/gaze/movement</ns0:t>
        </ns0:is>
      </ns0:c>
      <ns0:c r="K204" s="21" t="inlineStr">
        <ns0:is>
          <ns0:t>Not specified</ns0:t>
        </ns0:is>
      </ns0:c>
      <ns0:c r="L204" s="21" t="inlineStr">
        <ns0:is>
          <ns0:t>Multiple/not uniquely specified</ns0:t>
        </ns0:is>
      </ns0:c>
      <ns0:c r="M204" s="21" t="inlineStr">
        <ns0:is>
          <ns0:t>Research only</ns0:t>
        </ns0:is>
      </ns0:c>
      <ns0:c r="N204" s="21" t="inlineStr">
        <ns0:is>
          <ns0:t>Automated measurement/classification</ns0:t>
        </ns0:is>
      </ns0:c>
      <ns0:c r="O204" s="21" t="inlineStr">
        <ns0:is>
          <ns0:t>Not observed in assessed sources</ns0:t>
        </ns0:is>
      </ns0:c>
      <ns0:c r="P204" s="21" t="inlineStr">
        <ns0:is>
          <ns0:t>Not observed in assessed sources</ns0:t>
        </ns0:is>
      </ns0:c>
      <ns0:c r="Q204" s="21" t="inlineStr">
        <ns0:is>
          <ns0:t>Not reported in assessed sources</ns0:t>
        </ns0:is>
      </ns0:c>
      <ns0:c r="R204" s="21" t="inlineStr">
        <ns0:is>
          <ns0:t>Not reported in assessed sources</ns0:t>
        </ns0:is>
      </ns0:c>
      <ns0:c r="S204" s="21" t="inlineStr">
        <ns0:is>
          <ns0:t>Not reported in assessed sources</ns0:t>
        </ns0:is>
      </ns0:c>
      <ns0:c r="T204" s="21" t="inlineStr">
        <ns0:is>
          <ns0:t>Not reported in assessed sources</ns0:t>
        </ns0:is>
      </ns0:c>
      <ns0:c r="U204" s="21" t="inlineStr">
        <ns0:is>
          <ns0:t>Not reported in assessed sources</ns0:t>
        </ns0:is>
      </ns0:c>
      <ns0:c r="V204" s="21" t="inlineStr">
        <ns0:is>
          <ns0:t>Not reported in assessed sources</ns0:t>
        </ns0:is>
      </ns0:c>
      <ns0:c r="W204" s="21" t="inlineStr">
        <ns0:is>
          <ns0:t>Not reported in assessed sources</ns0:t>
        </ns0:is>
      </ns0:c>
      <ns0:c r="X204" s="21" t="inlineStr">
        <ns0:is>
          <ns0:t>Not reported in assessed sources</ns0:t>
        </ns0:is>
      </ns0:c>
      <ns0:c r="Y204" s="21" t="inlineStr">
        <ns0:is>
          <ns0:t>Not ascertainable</ns0:t>
        </ns0:is>
      </ns0:c>
      <ns0:c r="Z204" s="21" t="inlineStr">
        <ns0:is>
          <ns0:t>Not reported in assessed sources</ns0:t>
        </ns0:is>
      </ns0:c>
      <ns0:c r="AA204" s="21" t="inlineStr">
        <ns0:is>
          <ns0:t>Not recorded</ns0:t>
        </ns0:is>
      </ns0:c>
      <ns0:c r="AB204" s="28" t="n">
        <ns0:v>0</ns0:v>
      </ns0:c>
      <ns0:c r="AC204" s="28" t="n">
        <ns0:v>0</ns0:v>
      </ns0:c>
      <ns0:c r="AD204" s="29">
        <ns0:f>IF(AND(G204=1,AB204=0),1,0)</ns0:f>
        <ns0:v>1</ns0:v>
      </ns0:c>
      <ns0:c r="AE204" s="29">
        <ns0:f>IF(AND(AD204=1,AC204=0),1,0)</ns0:f>
        <ns0:v>1</ns0:v>
      </ns0:c>
      <ns0:c r="AF204" s="29">
        <ns0:f>IF(AND(G204=1,H204&lt;&gt;"Not specified"),1,0)</ns0:f>
        <ns0:v>1</ns0:v>
      </ns0:c>
      <ns0:c r="AG204" s="29">
        <ns0:f>IF(AND(AE204=1,AF204=1),1,0)</ns0:f>
        <ns0:v>1</ns0:v>
      </ns0:c>
      <ns0:c r="AH204" s="21" t="inlineStr">
        <ns0:is>
          <ns0:t>Supplied abstract/coding notes; no new full-text verification</ns0:t>
        </ns0:is>
      </ns0:c>
      <ns0:c r="AI204" s="21" t="inlineStr">
        <ns0:is>
          <ns0:t>https://doi.org/10.1007/s13042-022-01554-2</ns0:t>
        </ns0:is>
      </ns0:c>
      <ns0:c r="AJ204" s="21" t="inlineStr">
        <ns0:is>
          <ns0:t>EVIDENCIA; original abstract/coding notes and lot source trace; Historical signals: title/abstract/notes; full-text completion not independently established</ns0:t>
        </ns0:is>
      </ns0:c>
      <ns0:c r="AK204" s="21" t="inlineStr">
        <ns0:is>
          <ns0:t>Elastic-screen gesture measurements and small therapy dataset used to train classifiers; no evidence that model outputs guided care or that classifiers were deep networks.</ns0:t>
        </ns0:is>
      </ns0:c>
      <ns0:c r="AL204" s="21" t="inlineStr">
        <ns0:is>
          <ns0:t>Not applicable</ns0:t>
        </ns0:is>
      </ns0:c>
      <ns0:c r="AM204" s="21" t="inlineStr">
        <ns0:is>
          <ns0:t>Not separately specified</ns0:t>
        </ns0:is>
      </ns0:c>
      <ns0:c r="AN204" s="21" t="inlineStr"/>
      <ns0:c r="AO204" s="21" t="inlineStr">
        <ns0:is>
          <ns0:t>No additional status determination</ns0:t>
        </ns0:is>
      </ns0:c>
      <ns0:c r="AP204" s="21" t="inlineStr">
        <ns0:is>
          <ns0:t>Not documented for this recharting</ns0:t>
        </ns0:is>
      </ns0:c>
      <ns0:c r="AQ204" s="21" t="inlineStr">
        <ns0:is>
          <ns0:t>ChatGPT-assisted evidence recharting, 2026-09-08</ns0:t>
        </ns0:is>
      </ns0:c>
      <ns0:c r="AR204" s="21" t="inlineStr">
        <ns0:is>
          <ns0:t>RA</ns0:t>
        </ns0:is>
      </ns0:c>
      <ns0:c r="AS204" s="21" t="inlineStr">
        <ns0:is>
          <ns0:t>Not recorded; historical inclusion retained</ns0:t>
        </ns0:is>
      </ns0:c>
    </ns0:row>
    <ns0:row r="205" ht="50" customHeight="1">
      <ns0:c r="A205" s="19" t="inlineStr">
        <ns0:is>
          <ns0:t>219</ns0:t>
        </ns0:is>
      </ns0:c>
      <ns0:c r="B205" s="19" t="inlineStr">
        <ns0:is>
          <ns0:t>Historical</ns0:t>
        </ns0:is>
      </ns0:c>
      <ns0:c r="C205" s="19" t="inlineStr">
        <ns0:is>
          <ns0:t>Wearable EEG Neurofeedback Based-on Machine Learning Algorithms for Children with Autism: A Randomized, Placebo-controlled Study</ns0:t>
        </ns0:is>
      </ns0:c>
      <ns0:c r="D205" s="19" t="inlineStr">
        <ns0:is>
          <ns0:t>10.1007/s11596-024-2938-3</ns0:t>
        </ns0:is>
      </ns0:c>
      <ns0:c r="E205" s="26" t="n">
        <ns0:v>2024</ns0:v>
      </ns0:c>
      <ns0:c r="F205" s="19" t="inlineStr">
        <ns0:is>
          <ns0:t>Include</ns0:t>
        </ns0:is>
      </ns0:c>
      <ns0:c r="G205" s="27">
        <ns0:f>IF(F205="Include",1,0)</ns0:f>
        <ns0:v>1</ns0:v>
      </ns0:c>
      <ns0:c r="H205" s="19" t="inlineStr">
        <ns0:is>
          <ns0:t>Monitoring/intervention</ns0:t>
        </ns0:is>
      </ns0:c>
      <ns0:c r="I205" s="19" t="inlineStr">
        <ns0:is>
          <ns0:t>Machine Learning</ns0:t>
        </ns0:is>
      </ns0:c>
      <ns0:c r="J205" s="19" t="inlineStr">
        <ns0:is>
          <ns0:t>Physiological signals</ns0:t>
        </ns0:is>
      </ns0:c>
      <ns0:c r="K205" s="19" t="inlineStr">
        <ns0:is>
          <ns0:t>Not specified</ns0:t>
        </ns0:is>
      </ns0:c>
      <ns0:c r="L205" s="19" t="inlineStr">
        <ns0:is>
          <ns0:t>Multiple/not uniquely specified</ns0:t>
        </ns0:is>
      </ns0:c>
      <ns0:c r="M205" s="19" t="inlineStr">
        <ns0:is>
          <ns0:t>Evaluated AI-supported intervention</ns0:t>
        </ns0:is>
      </ns0:c>
      <ns0:c r="N205" s="19" t="inlineStr">
        <ns0:is>
          <ns0:t>Adaptive intervention</ns0:t>
        </ns0:is>
      </ns0:c>
      <ns0:c r="O205" s="19" t="inlineStr">
        <ns0:is>
          <ns0:t>Post-decision</ns0:t>
        </ns0:is>
      </ns0:c>
      <ns0:c r="P205" s="19" t="inlineStr">
        <ns0:is>
          <ns0:t>Post-decision</ns0:t>
        </ns0:is>
      </ns0:c>
      <ns0:c r="Q205" s="19" t="inlineStr">
        <ns0:is>
          <ns0:t>Not reported in assessed sources</ns0:t>
        </ns0:is>
      </ns0:c>
      <ns0:c r="R205" s="19" t="inlineStr">
        <ns0:is>
          <ns0:t>Not reported in assessed sources</ns0:t>
        </ns0:is>
      </ns0:c>
      <ns0:c r="S205" s="19" t="inlineStr">
        <ns0:is>
          <ns0:t>Not reported in assessed sources</ns0:t>
        </ns0:is>
      </ns0:c>
      <ns0:c r="T205" s="19" t="inlineStr">
        <ns0:is>
          <ns0:t>Not reported in assessed sources</ns0:t>
        </ns0:is>
      </ns0:c>
      <ns0:c r="U205" s="19" t="inlineStr">
        <ns0:is>
          <ns0:t>Not reported in assessed sources</ns0:t>
        </ns0:is>
      </ns0:c>
      <ns0:c r="V205" s="19" t="inlineStr">
        <ns0:is>
          <ns0:t>Reported</ns0:t>
        </ns0:is>
      </ns0:c>
      <ns0:c r="W205" s="19" t="inlineStr">
        <ns0:is>
          <ns0:t>Not reported in assessed sources</ns0:t>
        </ns0:is>
      </ns0:c>
      <ns0:c r="X205" s="19" t="inlineStr">
        <ns0:is>
          <ns0:t>Reported</ns0:t>
        </ns0:is>
      </ns0:c>
      <ns0:c r="Y205" s="19" t="inlineStr">
        <ns0:is>
          <ns0:t>Reported</ns0:t>
        </ns0:is>
      </ns0:c>
      <ns0:c r="Z205" s="19" t="inlineStr">
        <ns0:is>
          <ns0:t>Not reported in assessed sources</ns0:t>
        </ns0:is>
      </ns0:c>
      <ns0:c r="AA205" s="19" t="inlineStr">
        <ns0:is>
          <ns0:t>Not recorded</ns0:t>
        </ns0:is>
      </ns0:c>
      <ns0:c r="AB205" s="26" t="n">
        <ns0:v>0</ns0:v>
      </ns0:c>
      <ns0:c r="AC205" s="26" t="n">
        <ns0:v>0</ns0:v>
      </ns0:c>
      <ns0:c r="AD205" s="27">
        <ns0:f>IF(AND(G205=1,AB205=0),1,0)</ns0:f>
        <ns0:v>1</ns0:v>
      </ns0:c>
      <ns0:c r="AE205" s="27">
        <ns0:f>IF(AND(AD205=1,AC205=0),1,0)</ns0:f>
        <ns0:v>1</ns0:v>
      </ns0:c>
      <ns0:c r="AF205" s="27">
        <ns0:f>IF(AND(G205=1,H205&lt;&gt;"Not specified"),1,0)</ns0:f>
        <ns0:v>1</ns0:v>
      </ns0:c>
      <ns0:c r="AG205" s="27">
        <ns0:f>IF(AND(AE205=1,AF205=1),1,0)</ns0:f>
        <ns0:v>1</ns0:v>
      </ns0:c>
      <ns0:c r="AH205" s="19" t="inlineStr">
        <ns0:is>
          <ns0:t>Supplied abstract/coding notes; no new full-text verification</ns0:t>
        </ns0:is>
      </ns0:c>
      <ns0:c r="AI205" s="19" t="inlineStr">
        <ns0:is>
          <ns0:t>https://doi.org/10.1007/s11596-024-2938-3</ns0:t>
        </ns0:is>
      </ns0:c>
      <ns0:c r="AJ205" s="19" t="inlineStr">
        <ns0:is>
          <ns0:t>EVIDENCIA; original abstract/coding notes and lot source trace; Historical signals: title/abstract/notes; full-text completion not independently established</ns0:t>
        </ns0:is>
      </ns0:c>
      <ns0:c r="AK205" s="19" t="inlineStr">
        <ns0:is>
          <ns0:t>Randomized sham-controlled EEG mu-neurofeedback evaluation; physiological input and delivered feedback intervention, not an image classifier. Architecture insufficiently specified.</ns0:t>
        </ns0:is>
      </ns0:c>
      <ns0:c r="AL205" s="19" t="inlineStr">
        <ns0:is>
          <ns0:t>Not applicable</ns0:t>
        </ns0:is>
      </ns0:c>
      <ns0:c r="AM205" s="19" t="inlineStr">
        <ns0:is>
          <ns0:t>Not separately specified</ns0:t>
        </ns0:is>
      </ns0:c>
      <ns0:c r="AN205" s="19" t="inlineStr"/>
      <ns0:c r="AO205" s="19" t="inlineStr">
        <ns0:is>
          <ns0:t>No additional status determination</ns0:t>
        </ns0:is>
      </ns0:c>
      <ns0:c r="AP205" s="19" t="inlineStr">
        <ns0:is>
          <ns0:t>Not documented for this recharting</ns0:t>
        </ns0:is>
      </ns0:c>
      <ns0:c r="AQ205" s="19" t="inlineStr">
        <ns0:is>
          <ns0:t>ChatGPT-assisted evidence recharting, 2026-09-08</ns0:t>
        </ns0:is>
      </ns0:c>
      <ns0:c r="AR205" s="19" t="inlineStr"/>
      <ns0:c r="AS205" s="19" t="inlineStr">
        <ns0:is>
          <ns0:t>Not recorded; historical inclusion retained</ns0:t>
        </ns0:is>
      </ns0:c>
    </ns0:row>
    <ns0:row r="206" ht="50" customHeight="1">
      <ns0:c r="A206" s="21" t="inlineStr">
        <ns0:is>
          <ns0:t>220</ns0:t>
        </ns0:is>
      </ns0:c>
      <ns0:c r="B206" s="21" t="inlineStr">
        <ns0:is>
          <ns0:t>Historical</ns0:t>
        </ns0:is>
      </ns0:c>
      <ns0:c r="C206" s="21" t="inlineStr">
        <ns0:is>
          <ns0:t>1D-convolutional neural network and fast Walsh–Hadamard transform approach for diagnosing autism spectrum disorder</ns0:t>
        </ns0:is>
      </ns0:c>
      <ns0:c r="D206" s="21" t="inlineStr">
        <ns0:is>
          <ns0:t>10.1007/s00521-025-11208-3</ns0:t>
        </ns0:is>
      </ns0:c>
      <ns0:c r="E206" s="28" t="n">
        <ns0:v>2025</ns0:v>
      </ns0:c>
      <ns0:c r="F206" s="21" t="inlineStr">
        <ns0:is>
          <ns0:t>Include</ns0:t>
        </ns0:is>
      </ns0:c>
      <ns0:c r="G206" s="29">
        <ns0:f>IF(F206="Include",1,0)</ns0:f>
        <ns0:v>1</ns0:v>
      </ns0:c>
      <ns0:c r="H206" s="21" t="inlineStr">
        <ns0:is>
          <ns0:t>Diagnosis</ns0:t>
        </ns0:is>
      </ns0:c>
      <ns0:c r="I206" s="21" t="inlineStr">
        <ns0:is>
          <ns0:t>Deep Learning</ns0:t>
        </ns0:is>
      </ns0:c>
      <ns0:c r="J206" s="21" t="inlineStr">
        <ns0:is>
          <ns0:t>Physiological signals</ns0:t>
        </ns0:is>
      </ns0:c>
      <ns0:c r="K206" s="21" t="inlineStr">
        <ns0:is>
          <ns0:t>CNN</ns0:t>
        </ns0:is>
      </ns0:c>
      <ns0:c r="L206" s="21" t="inlineStr">
        <ns0:is>
          <ns0:t>CNN</ns0:t>
        </ns0:is>
      </ns0:c>
      <ns0:c r="M206" s="21" t="inlineStr">
        <ns0:is>
          <ns0:t>Research only</ns0:t>
        </ns0:is>
      </ns0:c>
      <ns0:c r="N206" s="21" t="inlineStr">
        <ns0:is>
          <ns0:t>Automated measurement/classification</ns0:t>
        </ns0:is>
      </ns0:c>
      <ns0:c r="O206" s="21" t="inlineStr">
        <ns0:is>
          <ns0:t>Not observed in assessed sources</ns0:t>
        </ns0:is>
      </ns0:c>
      <ns0:c r="P206" s="21" t="inlineStr">
        <ns0:is>
          <ns0:t>Not observed in assessed sources</ns0:t>
        </ns0:is>
      </ns0:c>
      <ns0:c r="Q206" s="21" t="inlineStr">
        <ns0:is>
          <ns0:t>Not reported in assessed sources</ns0:t>
        </ns0:is>
      </ns0:c>
      <ns0:c r="R206" s="21" t="inlineStr">
        <ns0:is>
          <ns0:t>Not reported in assessed sources</ns0:t>
        </ns0:is>
      </ns0:c>
      <ns0:c r="S206" s="21" t="inlineStr">
        <ns0:is>
          <ns0:t>Not reported in assessed sources</ns0:t>
        </ns0:is>
      </ns0:c>
      <ns0:c r="T206" s="21" t="inlineStr">
        <ns0:is>
          <ns0:t>Not reported in assessed sources</ns0:t>
        </ns0:is>
      </ns0:c>
      <ns0:c r="U206" s="21" t="inlineStr">
        <ns0:is>
          <ns0:t>Not reported in assessed sources</ns0:t>
        </ns0:is>
      </ns0:c>
      <ns0:c r="V206" s="21" t="inlineStr">
        <ns0:is>
          <ns0:t>Not reported in assessed sources</ns0:t>
        </ns0:is>
      </ns0:c>
      <ns0:c r="W206" s="21" t="inlineStr">
        <ns0:is>
          <ns0:t>Not reported in assessed sources</ns0:t>
        </ns0:is>
      </ns0:c>
      <ns0:c r="X206" s="21" t="inlineStr">
        <ns0:is>
          <ns0:t>Not reported in assessed sources</ns0:t>
        </ns0:is>
      </ns0:c>
      <ns0:c r="Y206" s="21" t="inlineStr">
        <ns0:is>
          <ns0:t>Not ascertainable</ns0:t>
        </ns0:is>
      </ns0:c>
      <ns0:c r="Z206" s="21" t="inlineStr">
        <ns0:is>
          <ns0:t>Not reported in assessed sources</ns0:t>
        </ns0:is>
      </ns0:c>
      <ns0:c r="AA206" s="21" t="inlineStr">
        <ns0:is>
          <ns0:t>Not recorded</ns0:t>
        </ns0:is>
      </ns0:c>
      <ns0:c r="AB206" s="28" t="n">
        <ns0:v>0</ns0:v>
      </ns0:c>
      <ns0:c r="AC206" s="28" t="n">
        <ns0:v>0</ns0:v>
      </ns0:c>
      <ns0:c r="AD206" s="29">
        <ns0:f>IF(AND(G206=1,AB206=0),1,0)</ns0:f>
        <ns0:v>1</ns0:v>
      </ns0:c>
      <ns0:c r="AE206" s="29">
        <ns0:f>IF(AND(AD206=1,AC206=0),1,0)</ns0:f>
        <ns0:v>1</ns0:v>
      </ns0:c>
      <ns0:c r="AF206" s="29">
        <ns0:f>IF(AND(G206=1,H206&lt;&gt;"Not specified"),1,0)</ns0:f>
        <ns0:v>1</ns0:v>
      </ns0:c>
      <ns0:c r="AG206" s="29">
        <ns0:f>IF(AND(AE206=1,AF206=1),1,0)</ns0:f>
        <ns0:v>1</ns0:v>
      </ns0:c>
      <ns0:c r="AH206" s="21" t="inlineStr">
        <ns0:is>
          <ns0:t>Supplied abstract/coding notes; no new full-text verification</ns0:t>
        </ns0:is>
      </ns0:c>
      <ns0:c r="AI206" s="21" t="inlineStr">
        <ns0:is>
          <ns0:t>https://doi.org/10.1007/s00521-025-11208-3</ns0:t>
        </ns0:is>
      </ns0:c>
      <ns0:c r="AJ206" s="21" t="inlineStr">
        <ns0:is>
          <ns0:t>EVIDENCIA; original abstract/coding notes and lot source trace; Historical signals: title/abstract/notes; full-text completion not independently established</ns0:t>
        </ns0:is>
      </ns0:c>
      <ns0:c r="AK206" s="21" t="inlineStr">
        <ns0:is>
          <ns0:t>EEG fast Walsh-Hadamard features feed a one-dimensional CNN.</ns0:t>
        </ns0:is>
      </ns0:c>
      <ns0:c r="AL206" s="21" t="inlineStr">
        <ns0:is>
          <ns0:t>Not applicable</ns0:t>
        </ns0:is>
      </ns0:c>
      <ns0:c r="AM206" s="21" t="inlineStr">
        <ns0:is>
          <ns0:t>Not separately specified</ns0:t>
        </ns0:is>
      </ns0:c>
      <ns0:c r="AN206" s="21" t="inlineStr"/>
      <ns0:c r="AO206" s="21" t="inlineStr">
        <ns0:is>
          <ns0:t>No additional status determination</ns0:t>
        </ns0:is>
      </ns0:c>
      <ns0:c r="AP206" s="21" t="inlineStr">
        <ns0:is>
          <ns0:t>Not documented for this recharting</ns0:t>
        </ns0:is>
      </ns0:c>
      <ns0:c r="AQ206" s="21" t="inlineStr">
        <ns0:is>
          <ns0:t>ChatGPT-assisted evidence recharting, 2026-09-08</ns0:t>
        </ns0:is>
      </ns0:c>
      <ns0:c r="AR206" s="21" t="inlineStr"/>
      <ns0:c r="AS206" s="21" t="inlineStr">
        <ns0:is>
          <ns0:t>Not recorded; historical inclusion retained</ns0:t>
        </ns0:is>
      </ns0:c>
    </ns0:row>
    <ns0:row r="207" ht="50" customHeight="1">
      <ns0:c r="A207" s="19" t="inlineStr">
        <ns0:is>
          <ns0:t>221</ns0:t>
        </ns0:is>
      </ns0:c>
      <ns0:c r="B207" s="19" t="inlineStr">
        <ns0:is>
          <ns0:t>Historical</ns0:t>
        </ns0:is>
      </ns0:c>
      <ns0:c r="C207" s="19" t="inlineStr">
        <ns0:is>
          <ns0:t>A hybrid Stacking-SMOTE model for optimizing the prediction of autistic genes</ns0:t>
        </ns0:is>
      </ns0:c>
      <ns0:c r="D207" s="19" t="inlineStr">
        <ns0:is>
          <ns0:t>10.1186/s12859-023-05501-y</ns0:t>
        </ns0:is>
      </ns0:c>
      <ns0:c r="E207" s="26" t="n">
        <ns0:v>2023</ns0:v>
      </ns0:c>
      <ns0:c r="F207" s="19" t="inlineStr">
        <ns0:is>
          <ns0:t>Include</ns0:t>
        </ns0:is>
      </ns0:c>
      <ns0:c r="G207" s="27">
        <ns0:f>IF(F207="Include",1,0)</ns0:f>
        <ns0:v>1</ns0:v>
      </ns0:c>
      <ns0:c r="H207" s="19" t="inlineStr">
        <ns0:is>
          <ns0:t>Not specified</ns0:t>
        </ns0:is>
      </ns0:c>
      <ns0:c r="I207" s="19" t="inlineStr">
        <ns0:is>
          <ns0:t>Machine Learning</ns0:t>
        </ns0:is>
      </ns0:c>
      <ns0:c r="J207" s="19" t="inlineStr">
        <ns0:is>
          <ns0:t>Biological/omics</ns0:t>
        </ns0:is>
      </ns0:c>
      <ns0:c r="K207" s="19" t="inlineStr">
        <ns0:is>
          <ns0:t>Stacking ensemble</ns0:t>
        </ns0:is>
      </ns0:c>
      <ns0:c r="L207" s="19" t="inlineStr">
        <ns0:is>
          <ns0:t>Other specified method</ns0:t>
        </ns0:is>
      </ns0:c>
      <ns0:c r="M207" s="19" t="inlineStr">
        <ns0:is>
          <ns0:t>Research only</ns0:t>
        </ns0:is>
      </ns0:c>
      <ns0:c r="N207" s="19" t="inlineStr">
        <ns0:is>
          <ns0:t>Automated measurement/classification</ns0:t>
        </ns0:is>
      </ns0:c>
      <ns0:c r="O207" s="19" t="inlineStr">
        <ns0:is>
          <ns0:t>Not observed in assessed sources</ns0:t>
        </ns0:is>
      </ns0:c>
      <ns0:c r="P207" s="19" t="inlineStr">
        <ns0:is>
          <ns0:t>Not observed in assessed sources</ns0:t>
        </ns0:is>
      </ns0:c>
      <ns0:c r="Q207" s="19" t="inlineStr">
        <ns0:is>
          <ns0:t>Not reported in assessed sources</ns0:t>
        </ns0:is>
      </ns0:c>
      <ns0:c r="R207" s="19" t="inlineStr">
        <ns0:is>
          <ns0:t>Not reported in assessed sources</ns0:t>
        </ns0:is>
      </ns0:c>
      <ns0:c r="S207" s="19" t="inlineStr">
        <ns0:is>
          <ns0:t>Not reported in assessed sources</ns0:t>
        </ns0:is>
      </ns0:c>
      <ns0:c r="T207" s="19" t="inlineStr">
        <ns0:is>
          <ns0:t>Not reported in assessed sources</ns0:t>
        </ns0:is>
      </ns0:c>
      <ns0:c r="U207" s="19" t="inlineStr">
        <ns0:is>
          <ns0:t>Not reported in assessed sources</ns0:t>
        </ns0:is>
      </ns0:c>
      <ns0:c r="V207" s="19" t="inlineStr">
        <ns0:is>
          <ns0:t>Not reported in assessed sources</ns0:t>
        </ns0:is>
      </ns0:c>
      <ns0:c r="W207" s="19" t="inlineStr">
        <ns0:is>
          <ns0:t>Not reported in assessed sources</ns0:t>
        </ns0:is>
      </ns0:c>
      <ns0:c r="X207" s="19" t="inlineStr">
        <ns0:is>
          <ns0:t>Not reported in assessed sources</ns0:t>
        </ns0:is>
      </ns0:c>
      <ns0:c r="Y207" s="19" t="inlineStr">
        <ns0:is>
          <ns0:t>Not ascertainable</ns0:t>
        </ns0:is>
      </ns0:c>
      <ns0:c r="Z207" s="19" t="inlineStr">
        <ns0:is>
          <ns0:t>Not reported in assessed sources</ns0:t>
        </ns0:is>
      </ns0:c>
      <ns0:c r="AA207" s="19" t="inlineStr">
        <ns0:is>
          <ns0:t>Not recorded</ns0:t>
        </ns0:is>
      </ns0:c>
      <ns0:c r="AB207" s="26" t="n">
        <ns0:v>0</ns0:v>
      </ns0:c>
      <ns0:c r="AC207" s="26" t="n">
        <ns0:v>0</ns0:v>
      </ns0:c>
      <ns0:c r="AD207" s="27">
        <ns0:f>IF(AND(G207=1,AB207=0),1,0)</ns0:f>
        <ns0:v>1</ns0:v>
      </ns0:c>
      <ns0:c r="AE207" s="27">
        <ns0:f>IF(AND(AD207=1,AC207=0),1,0)</ns0:f>
        <ns0:v>1</ns0:v>
      </ns0:c>
      <ns0:c r="AF207" s="27">
        <ns0:f>IF(AND(G207=1,H207&lt;&gt;"Not specified"),1,0)</ns0:f>
        <ns0:v>0</ns0:v>
      </ns0:c>
      <ns0:c r="AG207" s="27">
        <ns0:f>IF(AND(AE207=1,AF207=1),1,0)</ns0:f>
        <ns0:v>0</ns0:v>
      </ns0:c>
      <ns0:c r="AH207" s="19" t="inlineStr">
        <ns0:is>
          <ns0:t>Supplied abstract/coding notes; no new full-text verification</ns0:t>
        </ns0:is>
      </ns0:c>
      <ns0:c r="AI207" s="19" t="inlineStr">
        <ns0:is>
          <ns0:t>https://doi.org/10.1186/s12859-023-05501-y</ns0:t>
        </ns0:is>
      </ns0:c>
      <ns0:c r="AJ207" s="19" t="inlineStr">
        <ns0:is>
          <ns0:t>EVIDENCIA; original abstract/coding notes and lot source trace; Historical signals: title/abstract/notes; full-text completion not independently established</ns0:t>
        </ns0:is>
      </ns0:c>
      <ns0:c r="AK207" s="19" t="inlineStr">
        <ns0:is>
          <ns0:t>SFARI/gene-ontology gene-prioritization stacking classifiers; gene-level endpoint, not a patient diagnostic accuracy estimate.</ns0:t>
        </ns0:is>
      </ns0:c>
      <ns0:c r="AL207" s="19" t="inlineStr">
        <ns0:is>
          <ns0:t>Not applicable</ns0:t>
        </ns0:is>
      </ns0:c>
      <ns0:c r="AM207" s="19" t="inlineStr">
        <ns0:is>
          <ns0:t>Molecular-feature prioritization; not patient-level prediction</ns0:t>
        </ns0:is>
      </ns0:c>
      <ns0:c r="AN207" s="19" t="inlineStr"/>
      <ns0:c r="AO207" s="19" t="inlineStr">
        <ns0:is>
          <ns0:t>No additional status determination</ns0:t>
        </ns0:is>
      </ns0:c>
      <ns0:c r="AP207" s="19" t="inlineStr">
        <ns0:is>
          <ns0:t>Not documented for this recharting</ns0:t>
        </ns0:is>
      </ns0:c>
      <ns0:c r="AQ207" s="19" t="inlineStr">
        <ns0:is>
          <ns0:t>ChatGPT-assisted evidence recharting, 2026-09-08</ns0:t>
        </ns0:is>
      </ns0:c>
      <ns0:c r="AR207" s="19" t="inlineStr">
        <ns0:is>
          <ns0:t>RA</ns0:t>
        </ns0:is>
      </ns0:c>
      <ns0:c r="AS207" s="19" t="inlineStr">
        <ns0:is>
          <ns0:t>Not recorded; historical inclusion retained</ns0:t>
        </ns0:is>
      </ns0:c>
    </ns0:row>
    <ns0:row r="208" ht="50" customHeight="1">
      <ns0:c r="A208" s="21" t="inlineStr">
        <ns0:is>
          <ns0:t>222</ns0:t>
        </ns0:is>
      </ns0:c>
      <ns0:c r="B208" s="21" t="inlineStr">
        <ns0:is>
          <ns0:t>Historical</ns0:t>
        </ns0:is>
      </ns0:c>
      <ns0:c r="C208" s="21" t="inlineStr">
        <ns0:is>
          <ns0:t>An amygdala-centered hyper-connectivity signature of threatening face processing predicts anxiety in youths with autism spectrum conditions</ns0:t>
        </ns0:is>
      </ns0:c>
      <ns0:c r="D208" s="21" t="inlineStr">
        <ns0:is>
          <ns0:t>10.1002/aur.2595</ns0:t>
        </ns0:is>
      </ns0:c>
      <ns0:c r="E208" s="28" t="n">
        <ns0:v>2021</ns0:v>
      </ns0:c>
      <ns0:c r="F208" s="21" t="inlineStr">
        <ns0:is>
          <ns0:t>Include</ns0:t>
        </ns0:is>
      </ns0:c>
      <ns0:c r="G208" s="29">
        <ns0:f>IF(F208="Include",1,0)</ns0:f>
        <ns0:v>1</ns0:v>
      </ns0:c>
      <ns0:c r="H208" s="21" t="inlineStr">
        <ns0:is>
          <ns0:t>Diagnosis</ns0:t>
        </ns0:is>
      </ns0:c>
      <ns0:c r="I208" s="21" t="inlineStr">
        <ns0:is>
          <ns0:t>Machine Learning</ns0:t>
        </ns0:is>
      </ns0:c>
      <ns0:c r="J208" s="21" t="inlineStr">
        <ns0:is>
          <ns0:t>Neuroimaging</ns0:t>
        </ns0:is>
      </ns0:c>
      <ns0:c r="K208" s="21" t="inlineStr">
        <ns0:is>
          <ns0:t>SVM / SVR</ns0:t>
        </ns0:is>
      </ns0:c>
      <ns0:c r="L208" s="21" t="inlineStr">
        <ns0:is>
          <ns0:t>SVM</ns0:t>
        </ns0:is>
      </ns0:c>
      <ns0:c r="M208" s="21" t="inlineStr">
        <ns0:is>
          <ns0:t>Research only</ns0:t>
        </ns0:is>
      </ns0:c>
      <ns0:c r="N208" s="21" t="inlineStr">
        <ns0:is>
          <ns0:t>Automated measurement/classification</ns0:t>
        </ns0:is>
      </ns0:c>
      <ns0:c r="O208" s="21" t="inlineStr">
        <ns0:is>
          <ns0:t>Not observed in assessed sources</ns0:t>
        </ns0:is>
      </ns0:c>
      <ns0:c r="P208" s="21" t="inlineStr">
        <ns0:is>
          <ns0:t>Not observed in assessed sources</ns0:t>
        </ns0:is>
      </ns0:c>
      <ns0:c r="Q208" s="21" t="inlineStr">
        <ns0:is>
          <ns0:t>Not reported in assessed sources</ns0:t>
        </ns0:is>
      </ns0:c>
      <ns0:c r="R208" s="21" t="inlineStr">
        <ns0:is>
          <ns0:t>Not reported in assessed sources</ns0:t>
        </ns0:is>
      </ns0:c>
      <ns0:c r="S208" s="21" t="inlineStr">
        <ns0:is>
          <ns0:t>Not reported in assessed sources</ns0:t>
        </ns0:is>
      </ns0:c>
      <ns0:c r="T208" s="21" t="inlineStr">
        <ns0:is>
          <ns0:t>Not reported in assessed sources</ns0:t>
        </ns0:is>
      </ns0:c>
      <ns0:c r="U208" s="21" t="inlineStr">
        <ns0:is>
          <ns0:t>Not reported in assessed sources</ns0:t>
        </ns0:is>
      </ns0:c>
      <ns0:c r="V208" s="21" t="inlineStr">
        <ns0:is>
          <ns0:t>Not reported in assessed sources</ns0:t>
        </ns0:is>
      </ns0:c>
      <ns0:c r="W208" s="21" t="inlineStr">
        <ns0:is>
          <ns0:t>Not reported in assessed sources</ns0:t>
        </ns0:is>
      </ns0:c>
      <ns0:c r="X208" s="21" t="inlineStr">
        <ns0:is>
          <ns0:t>Not reported in assessed sources</ns0:t>
        </ns0:is>
      </ns0:c>
      <ns0:c r="Y208" s="21" t="inlineStr">
        <ns0:is>
          <ns0:t>Not ascertainable</ns0:t>
        </ns0:is>
      </ns0:c>
      <ns0:c r="Z208" s="21" t="inlineStr">
        <ns0:is>
          <ns0:t>Not reported in assessed sources</ns0:t>
        </ns0:is>
      </ns0:c>
      <ns0:c r="AA208" s="21" t="inlineStr">
        <ns0:is>
          <ns0:t>Not recorded</ns0:t>
        </ns0:is>
      </ns0:c>
      <ns0:c r="AB208" s="28" t="n">
        <ns0:v>0</ns0:v>
      </ns0:c>
      <ns0:c r="AC208" s="28" t="n">
        <ns0:v>0</ns0:v>
      </ns0:c>
      <ns0:c r="AD208" s="29">
        <ns0:f>IF(AND(G208=1,AB208=0),1,0)</ns0:f>
        <ns0:v>1</ns0:v>
      </ns0:c>
      <ns0:c r="AE208" s="29">
        <ns0:f>IF(AND(AD208=1,AC208=0),1,0)</ns0:f>
        <ns0:v>1</ns0:v>
      </ns0:c>
      <ns0:c r="AF208" s="29">
        <ns0:f>IF(AND(G208=1,H208&lt;&gt;"Not specified"),1,0)</ns0:f>
        <ns0:v>1</ns0:v>
      </ns0:c>
      <ns0:c r="AG208" s="29">
        <ns0:f>IF(AND(AE208=1,AF208=1),1,0)</ns0:f>
        <ns0:v>1</ns0:v>
      </ns0:c>
      <ns0:c r="AH208" s="21" t="inlineStr">
        <ns0:is>
          <ns0:t>Supplied abstract/coding notes; no new full-text verification</ns0:t>
        </ns0:is>
      </ns0:c>
      <ns0:c r="AI208" s="21" t="inlineStr">
        <ns0:is>
          <ns0:t>https://doi.org/10.1002/aur.2595</ns0:t>
        </ns0:is>
      </ns0:c>
      <ns0:c r="AJ208" s="21" t="inlineStr">
        <ns0:is>
          <ns0:t>EVIDENCIA; original abstract/coding notes and lot source trace; Historical signals: title/abstract/notes; full-text completion not independently established</ns0:t>
        </ns0:is>
      </ns0:c>
      <ns0:c r="AK208" s="21" t="inlineStr">
        <ns0:is>
          <ns0:t>Threat-related fMRI predicts concurrent anxiety symptoms; not a longitudinal intervention or future prognosis study.</ns0:t>
        </ns0:is>
      </ns0:c>
      <ns0:c r="AL208" s="21" t="inlineStr">
        <ns0:is>
          <ns0:t>Not applicable</ns0:t>
        </ns0:is>
      </ns0:c>
      <ns0:c r="AM208" s="21" t="inlineStr">
        <ns0:is>
          <ns0:t>Not separately specified</ns0:t>
        </ns0:is>
      </ns0:c>
      <ns0:c r="AN208" s="21" t="inlineStr"/>
      <ns0:c r="AO208" s="21" t="inlineStr">
        <ns0:is>
          <ns0:t>No additional status determination</ns0:t>
        </ns0:is>
      </ns0:c>
      <ns0:c r="AP208" s="21" t="inlineStr">
        <ns0:is>
          <ns0:t>Not documented for this recharting</ns0:t>
        </ns0:is>
      </ns0:c>
      <ns0:c r="AQ208" s="21" t="inlineStr">
        <ns0:is>
          <ns0:t>ChatGPT-assisted evidence recharting, 2026-09-08</ns0:t>
        </ns0:is>
      </ns0:c>
      <ns0:c r="AR208" s="21" t="inlineStr">
        <ns0:is>
          <ns0:t>RA</ns0:t>
        </ns0:is>
      </ns0:c>
      <ns0:c r="AS208" s="21" t="inlineStr">
        <ns0:is>
          <ns0:t>Not recorded; historical inclusion retained</ns0:t>
        </ns0:is>
      </ns0:c>
    </ns0:row>
    <ns0:row r="209" ht="50" customHeight="1">
      <ns0:c r="A209" s="19" t="inlineStr">
        <ns0:is>
          <ns0:t>223</ns0:t>
        </ns0:is>
      </ns0:c>
      <ns0:c r="B209" s="19" t="inlineStr">
        <ns0:is>
          <ns0:t>Historical</ns0:t>
        </ns0:is>
      </ns0:c>
      <ns0:c r="C209" s="19" t="inlineStr">
        <ns0:is>
          <ns0:t>An effective autism spectrum disorder screening method using machine learning classification techniques</ns0:t>
        </ns0:is>
      </ns0:c>
      <ns0:c r="D209" s="19" t="inlineStr">
        <ns0:is>
          <ns0:t>10.1002/cpe.7898</ns0:t>
        </ns0:is>
      </ns0:c>
      <ns0:c r="E209" s="26" t="n">
        <ns0:v>2024</ns0:v>
      </ns0:c>
      <ns0:c r="F209" s="19" t="inlineStr">
        <ns0:is>
          <ns0:t>Include</ns0:t>
        </ns0:is>
      </ns0:c>
      <ns0:c r="G209" s="27">
        <ns0:f>IF(F209="Include",1,0)</ns0:f>
        <ns0:v>1</ns0:v>
      </ns0:c>
      <ns0:c r="H209" s="19" t="inlineStr">
        <ns0:is>
          <ns0:t>Screening</ns0:t>
        </ns0:is>
      </ns0:c>
      <ns0:c r="I209" s="19" t="inlineStr">
        <ns0:is>
          <ns0:t>Machine Learning</ns0:t>
        </ns0:is>
      </ns0:c>
      <ns0:c r="J209" s="19" t="inlineStr">
        <ns0:is>
          <ns0:t>Structured clinical/questionnaire data</ns0:t>
        </ns0:is>
      </ns0:c>
      <ns0:c r="K209" s="19" t="inlineStr">
        <ns0:is>
          <ns0:t>Multiple classifiers; primary unspecified</ns0:t>
        </ns0:is>
      </ns0:c>
      <ns0:c r="L209" s="19" t="inlineStr">
        <ns0:is>
          <ns0:t>Multiple/not uniquely specified</ns0:t>
        </ns0:is>
      </ns0:c>
      <ns0:c r="M209" s="19" t="inlineStr">
        <ns0:is>
          <ns0:t>Proposed only</ns0:t>
        </ns0:is>
      </ns0:c>
      <ns0:c r="N209" s="19" t="inlineStr">
        <ns0:is>
          <ns0:t>Mobile assessment</ns0:t>
        </ns0:is>
      </ns0:c>
      <ns0:c r="O209" s="19" t="inlineStr">
        <ns0:is>
          <ns0:t>Pre-decision</ns0:t>
        </ns0:is>
      </ns0:c>
      <ns0:c r="P209" s="19" t="inlineStr">
        <ns0:is>
          <ns0:t>Not observed in assessed sources</ns0:t>
        </ns0:is>
      </ns0:c>
      <ns0:c r="Q209" s="19" t="inlineStr">
        <ns0:is>
          <ns0:t>Not reported in assessed sources</ns0:t>
        </ns0:is>
      </ns0:c>
      <ns0:c r="R209" s="19" t="inlineStr">
        <ns0:is>
          <ns0:t>Not reported in assessed sources</ns0:t>
        </ns0:is>
      </ns0:c>
      <ns0:c r="S209" s="19" t="inlineStr">
        <ns0:is>
          <ns0:t>Not reported in assessed sources</ns0:t>
        </ns0:is>
      </ns0:c>
      <ns0:c r="T209" s="19" t="inlineStr">
        <ns0:is>
          <ns0:t>Not reported in assessed sources</ns0:t>
        </ns0:is>
      </ns0:c>
      <ns0:c r="U209" s="19" t="inlineStr">
        <ns0:is>
          <ns0:t>Not reported in assessed sources</ns0:t>
        </ns0:is>
      </ns0:c>
      <ns0:c r="V209" s="19" t="inlineStr">
        <ns0:is>
          <ns0:t>Not reported in assessed sources</ns0:t>
        </ns0:is>
      </ns0:c>
      <ns0:c r="W209" s="19" t="inlineStr">
        <ns0:is>
          <ns0:t>Not reported in assessed sources</ns0:t>
        </ns0:is>
      </ns0:c>
      <ns0:c r="X209" s="19" t="inlineStr">
        <ns0:is>
          <ns0:t>Not reported in assessed sources</ns0:t>
        </ns0:is>
      </ns0:c>
      <ns0:c r="Y209" s="19" t="inlineStr">
        <ns0:is>
          <ns0:t>Not ascertainable</ns0:t>
        </ns0:is>
      </ns0:c>
      <ns0:c r="Z209" s="19" t="inlineStr">
        <ns0:is>
          <ns0:t>Not reported in assessed sources</ns0:t>
        </ns0:is>
      </ns0:c>
      <ns0:c r="AA209" s="19" t="inlineStr">
        <ns0:is>
          <ns0:t>Not recorded</ns0:t>
        </ns0:is>
      </ns0:c>
      <ns0:c r="AB209" s="26" t="n">
        <ns0:v>0</ns0:v>
      </ns0:c>
      <ns0:c r="AC209" s="26" t="n">
        <ns0:v>0</ns0:v>
      </ns0:c>
      <ns0:c r="AD209" s="27">
        <ns0:f>IF(AND(G209=1,AB209=0),1,0)</ns0:f>
        <ns0:v>1</ns0:v>
      </ns0:c>
      <ns0:c r="AE209" s="27">
        <ns0:f>IF(AND(AD209=1,AC209=0),1,0)</ns0:f>
        <ns0:v>1</ns0:v>
      </ns0:c>
      <ns0:c r="AF209" s="27">
        <ns0:f>IF(AND(G209=1,H209&lt;&gt;"Not specified"),1,0)</ns0:f>
        <ns0:v>1</ns0:v>
      </ns0:c>
      <ns0:c r="AG209" s="27">
        <ns0:f>IF(AND(AE209=1,AF209=1),1,0)</ns0:f>
        <ns0:v>1</ns0:v>
      </ns0:c>
      <ns0:c r="AH209" s="19" t="inlineStr">
        <ns0:is>
          <ns0:t>Supplied abstract/coding notes; no new full-text verification</ns0:t>
        </ns0:is>
      </ns0:c>
      <ns0:c r="AI209" s="19" t="inlineStr">
        <ns0:is>
          <ns0:t>https://doi.org/10.1002/cpe.7898</ns0:t>
        </ns0:is>
      </ns0:c>
      <ns0:c r="AJ209" s="19" t="inlineStr">
        <ns0:is>
          <ns0:t>EVIDENCIA; original abstract/coding notes and lot source trace; Historical signals: title/abstract/notes; full-text completion not independently established</ns0:t>
        </ns0:is>
      </ns0:c>
      <ns0:c r="AK209" s="19" t="inlineStr">
        <ns0:is>
          <ns0:t>Questionnaire app and classifier comparisons proposed for early screening. A developed app does not by itself demonstrate clinical workflow use.</ns0:t>
        </ns0:is>
      </ns0:c>
      <ns0:c r="AL209" s="19" t="inlineStr">
        <ns0:is>
          <ns0:t>Not applicable</ns0:t>
        </ns0:is>
      </ns0:c>
      <ns0:c r="AM209" s="19" t="inlineStr">
        <ns0:is>
          <ns0:t>Not separately specified</ns0:t>
        </ns0:is>
      </ns0:c>
      <ns0:c r="AN209" s="19" t="inlineStr"/>
      <ns0:c r="AO209" s="19" t="inlineStr">
        <ns0:is>
          <ns0:t>No additional status determination</ns0:t>
        </ns0:is>
      </ns0:c>
      <ns0:c r="AP209" s="19" t="inlineStr">
        <ns0:is>
          <ns0:t>Not documented for this recharting</ns0:t>
        </ns0:is>
      </ns0:c>
      <ns0:c r="AQ209" s="19" t="inlineStr">
        <ns0:is>
          <ns0:t>ChatGPT-assisted evidence recharting, 2026-09-08</ns0:t>
        </ns0:is>
      </ns0:c>
      <ns0:c r="AR209" s="19" t="inlineStr"/>
      <ns0:c r="AS209" s="19" t="inlineStr">
        <ns0:is>
          <ns0:t>Not recorded; historical inclusion retained</ns0:t>
        </ns0:is>
      </ns0:c>
    </ns0:row>
    <ns0:row r="210" ht="50" customHeight="1">
      <ns0:c r="A210" s="21" t="inlineStr">
        <ns0:is>
          <ns0:t>224</ns0:t>
        </ns0:is>
      </ns0:c>
      <ns0:c r="B210" s="21" t="inlineStr">
        <ns0:is>
          <ns0:t>Historical</ns0:t>
        </ns0:is>
      </ns0:c>
      <ns0:c r="C210" s="23" t="inlineStr">
        <ns0:is>
          <ns0:t>An ensemble classifier for emotion classification from EEG and GSR signals for autism detection</ns0:t>
        </ns0:is>
      </ns0:c>
      <ns0:c r="D210" s="21" t="inlineStr">
        <ns0:is>
          <ns0:t>10.1016/j.cmpb.2025.108921</ns0:t>
        </ns0:is>
      </ns0:c>
      <ns0:c r="E210" s="28" t="n">
        <ns0:v>2025</ns0:v>
      </ns0:c>
      <ns0:c r="F210" s="21" t="inlineStr">
        <ns0:is>
          <ns0:t>Include</ns0:t>
        </ns0:is>
      </ns0:c>
      <ns0:c r="G210" s="29">
        <ns0:f>IF(F210="Include",1,0)</ns0:f>
        <ns0:v>1</ns0:v>
      </ns0:c>
      <ns0:c r="H210" s="21" t="inlineStr">
        <ns0:is>
          <ns0:t>Monitoring/intervention</ns0:t>
        </ns0:is>
      </ns0:c>
      <ns0:c r="I210" s="21" t="inlineStr">
        <ns0:is>
          <ns0:t>Not specified</ns0:t>
        </ns0:is>
      </ns0:c>
      <ns0:c r="J210" s="21" t="inlineStr">
        <ns0:is>
          <ns0:t>Physiological signals</ns0:t>
        </ns0:is>
      </ns0:c>
      <ns0:c r="K210" s="21" t="inlineStr">
        <ns0:is>
          <ns0:t>Ensemble; components unspecified</ns0:t>
        </ns0:is>
      </ns0:c>
      <ns0:c r="L210" s="21" t="inlineStr">
        <ns0:is>
          <ns0:t>Multiple/not uniquely specified</ns0:t>
        </ns0:is>
      </ns0:c>
      <ns0:c r="M210" s="21" t="inlineStr">
        <ns0:is>
          <ns0:t>Proposed only</ns0:t>
        </ns0:is>
      </ns0:c>
      <ns0:c r="N210" s="21" t="inlineStr">
        <ns0:is>
          <ns0:t>Automated measurement/classification</ns0:t>
        </ns0:is>
      </ns0:c>
      <ns0:c r="O210" s="21" t="inlineStr">
        <ns0:is>
          <ns0:t>Post-decision</ns0:t>
        </ns0:is>
      </ns0:c>
      <ns0:c r="P210" s="21" t="inlineStr">
        <ns0:is>
          <ns0:t>Not observed in assessed sources</ns0:t>
        </ns0:is>
      </ns0:c>
      <ns0:c r="Q210" s="21" t="inlineStr">
        <ns0:is>
          <ns0:t>Not reported in assessed sources</ns0:t>
        </ns0:is>
      </ns0:c>
      <ns0:c r="R210" s="21" t="inlineStr">
        <ns0:is>
          <ns0:t>Reported</ns0:t>
        </ns0:is>
      </ns0:c>
      <ns0:c r="S210" s="21" t="inlineStr">
        <ns0:is>
          <ns0:t>Not reported in assessed sources</ns0:t>
        </ns0:is>
      </ns0:c>
      <ns0:c r="T210" s="21" t="inlineStr">
        <ns0:is>
          <ns0:t>Not reported in assessed sources</ns0:t>
        </ns0:is>
      </ns0:c>
      <ns0:c r="U210" s="21" t="inlineStr">
        <ns0:is>
          <ns0:t>Not reported in assessed sources</ns0:t>
        </ns0:is>
      </ns0:c>
      <ns0:c r="V210" s="21" t="inlineStr">
        <ns0:is>
          <ns0:t>Not reported in assessed sources</ns0:t>
        </ns0:is>
      </ns0:c>
      <ns0:c r="W210" s="21" t="inlineStr">
        <ns0:is>
          <ns0:t>Reported</ns0:t>
        </ns0:is>
      </ns0:c>
      <ns0:c r="X210" s="21" t="inlineStr">
        <ns0:is>
          <ns0:t>Not reported in assessed sources</ns0:t>
        </ns0:is>
      </ns0:c>
      <ns0:c r="Y210" s="21" t="inlineStr">
        <ns0:is>
          <ns0:t>Not ascertainable</ns0:t>
        </ns0:is>
      </ns0:c>
      <ns0:c r="Z210" s="21" t="inlineStr">
        <ns0:is>
          <ns0:t>Not reported in assessed sources</ns0:t>
        </ns0:is>
      </ns0:c>
      <ns0:c r="AA210" s="21" t="inlineStr">
        <ns0:is>
          <ns0:t>Not recorded</ns0:t>
        </ns0:is>
      </ns0:c>
      <ns0:c r="AB210" s="28" t="n">
        <ns0:v>0</ns0:v>
      </ns0:c>
      <ns0:c r="AC210" s="28" t="n">
        <ns0:v>1</ns0:v>
      </ns0:c>
      <ns0:c r="AD210" s="29">
        <ns0:f>IF(AND(G210=1,AB210=0),1,0)</ns0:f>
        <ns0:v>1</ns0:v>
      </ns0:c>
      <ns0:c r="AE210" s="29">
        <ns0:f>IF(AND(AD210=1,AC210=0),1,0)</ns0:f>
        <ns0:v>0</ns0:v>
      </ns0:c>
      <ns0:c r="AF210" s="29">
        <ns0:f>IF(AND(G210=1,H210&lt;&gt;"Not specified"),1,0)</ns0:f>
        <ns0:v>1</ns0:v>
      </ns0:c>
      <ns0:c r="AG210" s="29">
        <ns0:f>IF(AND(AE210=1,AF210=1),1,0)</ns0:f>
        <ns0:v>0</ns0:v>
      </ns0:c>
      <ns0:c r="AH210" s="21" t="inlineStr">
        <ns0:is>
          <ns0:t>Supplied abstract/coding notes; no new full-text verification</ns0:t>
        </ns0:is>
      </ns0:c>
      <ns0:c r="AI210" s="21" t="inlineStr">
        <ns0:is>
          <ns0:t>https://doi.org/10.1016/j.cmpb.2025.108921</ns0:t>
        </ns0:is>
      </ns0:c>
      <ns0:c r="AJ210" s="21" t="inlineStr">
        <ns0:is>
          <ns0:t>EVIDENCIA; original abstract/coding notes and lot source trace; Historical signals: title/abstract/notes; full-text completion not independently established</ns0:t>
        </ns0:is>
      </ns0:c>
      <ns0:c r="AK210" s="21" t="inlineStr">
        <ns0:is>
          <ns0:t>EEG/GSR emotion classification proposed for autism-related care; abstract does not identify classifier components or establish that evaluation participants had ASD.
Reported precision 0.9870% is inconsistent with the other nearly perfect metrics; do not quote these metrics without full-text verification.
Public emotion dataset is unnamed in available abstract; ASD-specific evaluation population cannot be established. Retained from inherited eligibility; exclude in evidence-restricted sensitivity.</ns0:t>
        </ns0:is>
      </ns0:c>
      <ns0:c r="AL210" s="21" t="inlineStr">
        <ns0:is>
          <ns0:t>Not applicable</ns0:t>
        </ns0:is>
      </ns0:c>
      <ns0:c r="AM210" s="21" t="inlineStr">
        <ns0:is>
          <ns0:t>Not separately specified</ns0:t>
        </ns0:is>
      </ns0:c>
      <ns0:c r="AN210" s="21" t="inlineStr">
        <ns0:is>
          <ns0:t>Public emotion dataset is unnamed in available abstract; ASD-specific evaluation population cannot be established. Retained from inherited eligibility; exclude in evidence-restricted sensitivity.</ns0:t>
        </ns0:is>
      </ns0:c>
      <ns0:c r="AO210" s="21" t="inlineStr">
        <ns0:is>
          <ns0:t>No additional status determination</ns0:t>
        </ns0:is>
      </ns0:c>
      <ns0:c r="AP210" s="21" t="inlineStr">
        <ns0:is>
          <ns0:t>Not documented for this recharting</ns0:t>
        </ns0:is>
      </ns0:c>
      <ns0:c r="AQ210" s="21" t="inlineStr">
        <ns0:is>
          <ns0:t>ChatGPT-assisted evidence recharting, 2026-09-08</ns0:t>
        </ns0:is>
      </ns0:c>
      <ns0:c r="AR210" s="21" t="inlineStr"/>
      <ns0:c r="AS210" s="21" t="inlineStr">
        <ns0:is>
          <ns0:t>Not recorded; historical inclusion retained</ns0:t>
        </ns0:is>
      </ns0:c>
    </ns0:row>
    <ns0:row r="211" ht="50" customHeight="1">
      <ns0:c r="A211" s="19" t="inlineStr">
        <ns0:is>
          <ns0:t>225</ns0:t>
        </ns0:is>
      </ns0:c>
      <ns0:c r="B211" s="19" t="inlineStr">
        <ns0:is>
          <ns0:t>Historical</ns0:t>
        </ns0:is>
      </ns0:c>
      <ns0:c r="C211" s="19" t="inlineStr">
        <ns0:is>
          <ns0:t>Applying Eye Tracking to Identify Autism Spectrum Disorder in Children</ns0:t>
        </ns0:is>
      </ns0:c>
      <ns0:c r="D211" s="19" t="inlineStr">
        <ns0:is>
          <ns0:t>10.1007/s10803-018-3690-y</ns0:t>
        </ns0:is>
      </ns0:c>
      <ns0:c r="E211" s="26" t="n">
        <ns0:v>2019</ns0:v>
      </ns0:c>
      <ns0:c r="F211" s="19" t="inlineStr">
        <ns0:is>
          <ns0:t>Include</ns0:t>
        </ns0:is>
      </ns0:c>
      <ns0:c r="G211" s="27">
        <ns0:f>IF(F211="Include",1,0)</ns0:f>
        <ns0:v>1</ns0:v>
      </ns0:c>
      <ns0:c r="H211" s="19" t="inlineStr">
        <ns0:is>
          <ns0:t>Screening</ns0:t>
        </ns0:is>
      </ns0:c>
      <ns0:c r="I211" s="19" t="inlineStr">
        <ns0:is>
          <ns0:t>Machine Learning</ns0:t>
        </ns0:is>
      </ns0:c>
      <ns0:c r="J211" s="19" t="inlineStr">
        <ns0:is>
          <ns0:t>Behavioral images/video/gaze/movement</ns0:t>
        </ns0:is>
      </ns0:c>
      <ns0:c r="K211" s="19" t="inlineStr">
        <ns0:is>
          <ns0:t>Discriminant analysis</ns0:t>
        </ns0:is>
      </ns0:c>
      <ns0:c r="L211" s="19" t="inlineStr">
        <ns0:is>
          <ns0:t>Other specified method</ns0:t>
        </ns0:is>
      </ns0:c>
      <ns0:c r="M211" s="19" t="inlineStr">
        <ns0:is>
          <ns0:t>Research only</ns0:t>
        </ns0:is>
      </ns0:c>
      <ns0:c r="N211" s="19" t="inlineStr">
        <ns0:is>
          <ns0:t>Automated measurement/classification</ns0:t>
        </ns0:is>
      </ns0:c>
      <ns0:c r="O211" s="19" t="inlineStr">
        <ns0:is>
          <ns0:t>Not observed in assessed sources</ns0:t>
        </ns0:is>
      </ns0:c>
      <ns0:c r="P211" s="19" t="inlineStr">
        <ns0:is>
          <ns0:t>Not observed in assessed sources</ns0:t>
        </ns0:is>
      </ns0:c>
      <ns0:c r="Q211" s="19" t="inlineStr">
        <ns0:is>
          <ns0:t>Not reported in assessed sources</ns0:t>
        </ns0:is>
      </ns0:c>
      <ns0:c r="R211" s="19" t="inlineStr">
        <ns0:is>
          <ns0:t>Not reported in assessed sources</ns0:t>
        </ns0:is>
      </ns0:c>
      <ns0:c r="S211" s="19" t="inlineStr">
        <ns0:is>
          <ns0:t>Not reported in assessed sources</ns0:t>
        </ns0:is>
      </ns0:c>
      <ns0:c r="T211" s="19" t="inlineStr">
        <ns0:is>
          <ns0:t>Not reported in assessed sources</ns0:t>
        </ns0:is>
      </ns0:c>
      <ns0:c r="U211" s="19" t="inlineStr">
        <ns0:is>
          <ns0:t>Not reported in assessed sources</ns0:t>
        </ns0:is>
      </ns0:c>
      <ns0:c r="V211" s="19" t="inlineStr">
        <ns0:is>
          <ns0:t>Not reported in assessed sources</ns0:t>
        </ns0:is>
      </ns0:c>
      <ns0:c r="W211" s="19" t="inlineStr">
        <ns0:is>
          <ns0:t>Not reported in assessed sources</ns0:t>
        </ns0:is>
      </ns0:c>
      <ns0:c r="X211" s="19" t="inlineStr">
        <ns0:is>
          <ns0:t>Not reported in assessed sources</ns0:t>
        </ns0:is>
      </ns0:c>
      <ns0:c r="Y211" s="19" t="inlineStr">
        <ns0:is>
          <ns0:t>Not ascertainable</ns0:t>
        </ns0:is>
      </ns0:c>
      <ns0:c r="Z211" s="19" t="inlineStr">
        <ns0:is>
          <ns0:t>Not reported in assessed sources</ns0:t>
        </ns0:is>
      </ns0:c>
      <ns0:c r="AA211" s="19" t="inlineStr">
        <ns0:is>
          <ns0:t>Not recorded</ns0:t>
        </ns0:is>
      </ns0:c>
      <ns0:c r="AB211" s="26" t="n">
        <ns0:v>0</ns0:v>
      </ns0:c>
      <ns0:c r="AC211" s="26" t="n">
        <ns0:v>0</ns0:v>
      </ns0:c>
      <ns0:c r="AD211" s="27">
        <ns0:f>IF(AND(G211=1,AB211=0),1,0)</ns0:f>
        <ns0:v>1</ns0:v>
      </ns0:c>
      <ns0:c r="AE211" s="27">
        <ns0:f>IF(AND(AD211=1,AC211=0),1,0)</ns0:f>
        <ns0:v>1</ns0:v>
      </ns0:c>
      <ns0:c r="AF211" s="27">
        <ns0:f>IF(AND(G211=1,H211&lt;&gt;"Not specified"),1,0)</ns0:f>
        <ns0:v>1</ns0:v>
      </ns0:c>
      <ns0:c r="AG211" s="27">
        <ns0:f>IF(AND(AE211=1,AF211=1),1,0)</ns0:f>
        <ns0:v>1</ns0:v>
      </ns0:c>
      <ns0:c r="AH211" s="19" t="inlineStr">
        <ns0:is>
          <ns0:t>Supplied abstract/coding notes; no new full-text verification</ns0:t>
        </ns0:is>
      </ns0:c>
      <ns0:c r="AI211" s="19" t="inlineStr">
        <ns0:is>
          <ns0:t>https://doi.org/10.1007/s10803-018-3690-y</ns0:t>
        </ns0:is>
      </ns0:c>
      <ns0:c r="AJ211" s="19" t="inlineStr">
        <ns0:is>
          <ns0:t>EVIDENCIA; original abstract/coding notes and lot source trace; Historical signals: title/abstract/notes; full-text completion not independently established</ns0:t>
        </ns0:is>
      </ns0:c>
      <ns0:c r="AK211" s="19" t="inlineStr">
        <ns0:is>
          <ns0:t>Gaze comparison of 37 ASD and 37 typically developing children; discriminant analysis rather than deep learning.</ns0:t>
        </ns0:is>
      </ns0:c>
      <ns0:c r="AL211" s="19" t="inlineStr">
        <ns0:is>
          <ns0:t>Not applicable</ns0:t>
        </ns0:is>
      </ns0:c>
      <ns0:c r="AM211" s="19" t="inlineStr">
        <ns0:is>
          <ns0:t>Not separately specified</ns0:t>
        </ns0:is>
      </ns0:c>
      <ns0:c r="AN211" s="19" t="inlineStr"/>
      <ns0:c r="AO211" s="19" t="inlineStr">
        <ns0:is>
          <ns0:t>No additional status determination</ns0:t>
        </ns0:is>
      </ns0:c>
      <ns0:c r="AP211" s="19" t="inlineStr">
        <ns0:is>
          <ns0:t>Not documented for this recharting</ns0:t>
        </ns0:is>
      </ns0:c>
      <ns0:c r="AQ211" s="19" t="inlineStr">
        <ns0:is>
          <ns0:t>ChatGPT-assisted evidence recharting, 2026-09-08</ns0:t>
        </ns0:is>
      </ns0:c>
      <ns0:c r="AR211" s="19" t="inlineStr">
        <ns0:is>
          <ns0:t>RA</ns0:t>
        </ns0:is>
      </ns0:c>
      <ns0:c r="AS211" s="19" t="inlineStr">
        <ns0:is>
          <ns0:t>Not recorded; historical inclusion retained</ns0:t>
        </ns0:is>
      </ns0:c>
    </ns0:row>
    <ns0:row r="212" ht="50" customHeight="1">
      <ns0:c r="A212" s="21" t="inlineStr">
        <ns0:is>
          <ns0:t>226</ns0:t>
        </ns0:is>
      </ns0:c>
      <ns0:c r="B212" s="21" t="inlineStr">
        <ns0:is>
          <ns0:t>Historical</ns0:t>
        </ns0:is>
      </ns0:c>
      <ns0:c r="C212" s="21" t="inlineStr">
        <ns0:is>
          <ns0:t>Artificial intelligence and sensor-based autism spectrum disorder diagnosis using brain connectivity analysis</ns0:t>
        </ns0:is>
      </ns0:c>
      <ns0:c r="D212" s="21" t="inlineStr">
        <ns0:is>
          <ns0:t>10.1016/j.compeleceng.2023.108720</ns0:t>
        </ns0:is>
      </ns0:c>
      <ns0:c r="E212" s="28" t="n">
        <ns0:v>2023</ns0:v>
      </ns0:c>
      <ns0:c r="F212" s="21" t="inlineStr">
        <ns0:is>
          <ns0:t>Include</ns0:t>
        </ns0:is>
      </ns0:c>
      <ns0:c r="G212" s="29">
        <ns0:f>IF(F212="Include",1,0)</ns0:f>
        <ns0:v>1</ns0:v>
      </ns0:c>
      <ns0:c r="H212" s="21" t="inlineStr">
        <ns0:is>
          <ns0:t>Diagnosis</ns0:t>
        </ns0:is>
      </ns0:c>
      <ns0:c r="I212" s="21" t="inlineStr">
        <ns0:is>
          <ns0:t>Not specified</ns0:t>
        </ns0:is>
      </ns0:c>
      <ns0:c r="J212" s="21" t="inlineStr">
        <ns0:is>
          <ns0:t>Neuroimaging</ns0:t>
        </ns0:is>
      </ns0:c>
      <ns0:c r="K212" s="21" t="inlineStr">
        <ns0:is>
          <ns0:t>Not specified</ns0:t>
        </ns0:is>
      </ns0:c>
      <ns0:c r="L212" s="21" t="inlineStr">
        <ns0:is>
          <ns0:t>Multiple/not uniquely specified</ns0:t>
        </ns0:is>
      </ns0:c>
      <ns0:c r="M212" s="21" t="inlineStr">
        <ns0:is>
          <ns0:t>Research only</ns0:t>
        </ns0:is>
      </ns0:c>
      <ns0:c r="N212" s="21" t="inlineStr">
        <ns0:is>
          <ns0:t>Automated measurement/classification</ns0:t>
        </ns0:is>
      </ns0:c>
      <ns0:c r="O212" s="21" t="inlineStr">
        <ns0:is>
          <ns0:t>Not observed in assessed sources</ns0:t>
        </ns0:is>
      </ns0:c>
      <ns0:c r="P212" s="21" t="inlineStr">
        <ns0:is>
          <ns0:t>Not observed in assessed sources</ns0:t>
        </ns0:is>
      </ns0:c>
      <ns0:c r="Q212" s="21" t="inlineStr">
        <ns0:is>
          <ns0:t>Not reported in assessed sources</ns0:t>
        </ns0:is>
      </ns0:c>
      <ns0:c r="R212" s="21" t="inlineStr">
        <ns0:is>
          <ns0:t>Not reported in assessed sources</ns0:t>
        </ns0:is>
      </ns0:c>
      <ns0:c r="S212" s="21" t="inlineStr">
        <ns0:is>
          <ns0:t>Not reported in assessed sources</ns0:t>
        </ns0:is>
      </ns0:c>
      <ns0:c r="T212" s="21" t="inlineStr">
        <ns0:is>
          <ns0:t>Not reported in assessed sources</ns0:t>
        </ns0:is>
      </ns0:c>
      <ns0:c r="U212" s="21" t="inlineStr">
        <ns0:is>
          <ns0:t>Not reported in assessed sources</ns0:t>
        </ns0:is>
      </ns0:c>
      <ns0:c r="V212" s="21" t="inlineStr">
        <ns0:is>
          <ns0:t>Not reported in assessed sources</ns0:t>
        </ns0:is>
      </ns0:c>
      <ns0:c r="W212" s="21" t="inlineStr">
        <ns0:is>
          <ns0:t>Not reported in assessed sources</ns0:t>
        </ns0:is>
      </ns0:c>
      <ns0:c r="X212" s="21" t="inlineStr">
        <ns0:is>
          <ns0:t>Not reported in assessed sources</ns0:t>
        </ns0:is>
      </ns0:c>
      <ns0:c r="Y212" s="21" t="inlineStr">
        <ns0:is>
          <ns0:t>Not ascertainable</ns0:t>
        </ns0:is>
      </ns0:c>
      <ns0:c r="Z212" s="21" t="inlineStr">
        <ns0:is>
          <ns0:t>Not reported in assessed sources</ns0:t>
        </ns0:is>
      </ns0:c>
      <ns0:c r="AA212" s="21" t="inlineStr">
        <ns0:is>
          <ns0:t>Not recorded</ns0:t>
        </ns0:is>
      </ns0:c>
      <ns0:c r="AB212" s="28" t="n">
        <ns0:v>0</ns0:v>
      </ns0:c>
      <ns0:c r="AC212" s="28" t="n">
        <ns0:v>0</ns0:v>
      </ns0:c>
      <ns0:c r="AD212" s="29">
        <ns0:f>IF(AND(G212=1,AB212=0),1,0)</ns0:f>
        <ns0:v>1</ns0:v>
      </ns0:c>
      <ns0:c r="AE212" s="29">
        <ns0:f>IF(AND(AD212=1,AC212=0),1,0)</ns0:f>
        <ns0:v>1</ns0:v>
      </ns0:c>
      <ns0:c r="AF212" s="29">
        <ns0:f>IF(AND(G212=1,H212&lt;&gt;"Not specified"),1,0)</ns0:f>
        <ns0:v>1</ns0:v>
      </ns0:c>
      <ns0:c r="AG212" s="29">
        <ns0:f>IF(AND(AE212=1,AF212=1),1,0)</ns0:f>
        <ns0:v>1</ns0:v>
      </ns0:c>
      <ns0:c r="AH212" s="21" t="inlineStr">
        <ns0:is>
          <ns0:t>Supplied abstract/coding notes; no new full-text verification</ns0:t>
        </ns0:is>
      </ns0:c>
      <ns0:c r="AI212" s="21" t="inlineStr">
        <ns0:is>
          <ns0:t>https://doi.org/10.1016/j.compeleceng.2023.108720</ns0:t>
        </ns0:is>
      </ns0:c>
      <ns0:c r="AJ212" s="21" t="inlineStr">
        <ns0:is>
          <ns0:t>EVIDENCIA; original abstract/coding notes and lot source trace; Historical signals: title/abstract/notes; full-text completion not independently established</ns0:t>
        </ns0:is>
      </ns0:c>
      <ns0:c r="AK212" s="21" t="inlineStr">
        <ns0:is>
          <ns0:t>Resting-state fMRI connectivity across atlases with majority voting. Abstract does not identify base classifiers or establish deep learning.</ns0:t>
        </ns0:is>
      </ns0:c>
      <ns0:c r="AL212" s="21" t="inlineStr">
        <ns0:is>
          <ns0:t>Not applicable</ns0:t>
        </ns0:is>
      </ns0:c>
      <ns0:c r="AM212" s="21" t="inlineStr">
        <ns0:is>
          <ns0:t>Not separately specified</ns0:t>
        </ns0:is>
      </ns0:c>
      <ns0:c r="AN212" s="21" t="inlineStr"/>
      <ns0:c r="AO212" s="21" t="inlineStr">
        <ns0:is>
          <ns0:t>No additional status determination</ns0:t>
        </ns0:is>
      </ns0:c>
      <ns0:c r="AP212" s="21" t="inlineStr">
        <ns0:is>
          <ns0:t>Not documented for this recharting</ns0:t>
        </ns0:is>
      </ns0:c>
      <ns0:c r="AQ212" s="21" t="inlineStr">
        <ns0:is>
          <ns0:t>ChatGPT-assisted evidence recharting, 2026-09-08</ns0:t>
        </ns0:is>
      </ns0:c>
      <ns0:c r="AR212" s="21" t="inlineStr">
        <ns0:is>
          <ns0:t>RA</ns0:t>
        </ns0:is>
      </ns0:c>
      <ns0:c r="AS212" s="21" t="inlineStr">
        <ns0:is>
          <ns0:t>Not recorded; historical inclusion retained</ns0:t>
        </ns0:is>
      </ns0:c>
    </ns0:row>
    <ns0:row r="213" ht="50" customHeight="1">
      <ns0:c r="A213" s="19" t="inlineStr">
        <ns0:is>
          <ns0:t>227</ns0:t>
        </ns0:is>
      </ns0:c>
      <ns0:c r="B213" s="19" t="inlineStr">
        <ns0:is>
          <ns0:t>Historical</ns0:t>
        </ns0:is>
      </ns0:c>
      <ns0:c r="C213" s="19" t="inlineStr">
        <ns0:is>
          <ns0:t>Attention Level Evaluation in Children With Autism: Leveraging Head Pose and Gaze Parameters From Videos for Educational Intervention</ns0:t>
        </ns0:is>
      </ns0:c>
      <ns0:c r="D213" s="19" t="inlineStr">
        <ns0:is>
          <ns0:t>10.1109/tlt.2024.3409702</ns0:t>
        </ns0:is>
      </ns0:c>
      <ns0:c r="E213" s="26" t="n">
        <ns0:v>2024</ns0:v>
      </ns0:c>
      <ns0:c r="F213" s="19" t="inlineStr">
        <ns0:is>
          <ns0:t>Include</ns0:t>
        </ns0:is>
      </ns0:c>
      <ns0:c r="G213" s="27">
        <ns0:f>IF(F213="Include",1,0)</ns0:f>
        <ns0:v>1</ns0:v>
      </ns0:c>
      <ns0:c r="H213" s="19" t="inlineStr">
        <ns0:is>
          <ns0:t>Monitoring/intervention</ns0:t>
        </ns0:is>
      </ns0:c>
      <ns0:c r="I213" s="19" t="inlineStr">
        <ns0:is>
          <ns0:t>Hybrid</ns0:t>
        </ns0:is>
      </ns0:c>
      <ns0:c r="J213" s="19" t="inlineStr">
        <ns0:is>
          <ns0:t>Behavioral images/video/gaze/movement</ns0:t>
        </ns0:is>
      </ns0:c>
      <ns0:c r="K213" s="19" t="inlineStr">
        <ns0:is>
          <ns0:t>Hybrid attention ensemble</ns0:t>
        </ns0:is>
      </ns0:c>
      <ns0:c r="L213" s="19" t="inlineStr">
        <ns0:is>
          <ns0:t>Other specified method</ns0:t>
        </ns0:is>
      </ns0:c>
      <ns0:c r="M213" s="19" t="inlineStr">
        <ns0:is>
          <ns0:t>Proposed only</ns0:t>
        </ns0:is>
      </ns0:c>
      <ns0:c r="N213" s="19" t="inlineStr">
        <ns0:is>
          <ns0:t>Automated measurement/classification</ns0:t>
        </ns0:is>
      </ns0:c>
      <ns0:c r="O213" s="19" t="inlineStr">
        <ns0:is>
          <ns0:t>Post-decision</ns0:t>
        </ns0:is>
      </ns0:c>
      <ns0:c r="P213" s="19" t="inlineStr">
        <ns0:is>
          <ns0:t>Not observed in assessed sources</ns0:t>
        </ns0:is>
      </ns0:c>
      <ns0:c r="Q213" s="19" t="inlineStr">
        <ns0:is>
          <ns0:t>Not reported in assessed sources</ns0:t>
        </ns0:is>
      </ns0:c>
      <ns0:c r="R213" s="19" t="inlineStr">
        <ns0:is>
          <ns0:t>Reported</ns0:t>
        </ns0:is>
      </ns0:c>
      <ns0:c r="S213" s="19" t="inlineStr">
        <ns0:is>
          <ns0:t>Not reported in assessed sources</ns0:t>
        </ns0:is>
      </ns0:c>
      <ns0:c r="T213" s="19" t="inlineStr">
        <ns0:is>
          <ns0:t>Not reported in assessed sources</ns0:t>
        </ns0:is>
      </ns0:c>
      <ns0:c r="U213" s="19" t="inlineStr">
        <ns0:is>
          <ns0:t>Not reported in assessed sources</ns0:t>
        </ns0:is>
      </ns0:c>
      <ns0:c r="V213" s="19" t="inlineStr">
        <ns0:is>
          <ns0:t>Not reported in assessed sources</ns0:t>
        </ns0:is>
      </ns0:c>
      <ns0:c r="W213" s="19" t="inlineStr">
        <ns0:is>
          <ns0:t>Reported</ns0:t>
        </ns0:is>
      </ns0:c>
      <ns0:c r="X213" s="19" t="inlineStr">
        <ns0:is>
          <ns0:t>Not reported in assessed sources</ns0:t>
        </ns0:is>
      </ns0:c>
      <ns0:c r="Y213" s="19" t="inlineStr">
        <ns0:is>
          <ns0:t>Not ascertainable</ns0:t>
        </ns0:is>
      </ns0:c>
      <ns0:c r="Z213" s="19" t="inlineStr">
        <ns0:is>
          <ns0:t>Not reported in assessed sources</ns0:t>
        </ns0:is>
      </ns0:c>
      <ns0:c r="AA213" s="19" t="inlineStr">
        <ns0:is>
          <ns0:t>Not recorded</ns0:t>
        </ns0:is>
      </ns0:c>
      <ns0:c r="AB213" s="26" t="n">
        <ns0:v>0</ns0:v>
      </ns0:c>
      <ns0:c r="AC213" s="26" t="n">
        <ns0:v>0</ns0:v>
      </ns0:c>
      <ns0:c r="AD213" s="27">
        <ns0:f>IF(AND(G213=1,AB213=0),1,0)</ns0:f>
        <ns0:v>1</ns0:v>
      </ns0:c>
      <ns0:c r="AE213" s="27">
        <ns0:f>IF(AND(AD213=1,AC213=0),1,0)</ns0:f>
        <ns0:v>1</ns0:v>
      </ns0:c>
      <ns0:c r="AF213" s="27">
        <ns0:f>IF(AND(G213=1,H213&lt;&gt;"Not specified"),1,0)</ns0:f>
        <ns0:v>1</ns0:v>
      </ns0:c>
      <ns0:c r="AG213" s="27">
        <ns0:f>IF(AND(AE213=1,AF213=1),1,0)</ns0:f>
        <ns0:v>1</ns0:v>
      </ns0:c>
      <ns0:c r="AH213" s="19" t="inlineStr">
        <ns0:is>
          <ns0:t>Supplied abstract/coding notes; no new full-text verification</ns0:t>
        </ns0:is>
      </ns0:c>
      <ns0:c r="AI213" s="19" t="inlineStr">
        <ns0:is>
          <ns0:t>https://doi.org/10.1109/tlt.2024.3409702</ns0:t>
        </ns0:is>
      </ns0:c>
      <ns0:c r="AJ213" s="19" t="inlineStr">
        <ns0:is>
          <ns0:t>EVIDENCIA; original abstract/coding notes and lot source trace; Historical signals: title/abstract/notes; full-text completion not independently established</ns0:t>
        </ns0:is>
      </ns0:c>
      <ns0:c r="AK213" s="19" t="inlineStr">
        <ns0:is>
          <ns0:t>Webcam head-pose deep learning and eye-tracking/attention models for real-time attention assessment; model-assisted intervention outcomes not demonstrated.</ns0:t>
        </ns0:is>
      </ns0:c>
      <ns0:c r="AL213" s="19" t="inlineStr">
        <ns0:is>
          <ns0:t>Not applicable</ns0:t>
        </ns0:is>
      </ns0:c>
      <ns0:c r="AM213" s="19" t="inlineStr">
        <ns0:is>
          <ns0:t>Not separately specified</ns0:t>
        </ns0:is>
      </ns0:c>
      <ns0:c r="AN213" s="19" t="inlineStr"/>
      <ns0:c r="AO213" s="19" t="inlineStr">
        <ns0:is>
          <ns0:t>No additional status determination</ns0:t>
        </ns0:is>
      </ns0:c>
      <ns0:c r="AP213" s="19" t="inlineStr">
        <ns0:is>
          <ns0:t>Not documented for this recharting</ns0:t>
        </ns0:is>
      </ns0:c>
      <ns0:c r="AQ213" s="19" t="inlineStr">
        <ns0:is>
          <ns0:t>ChatGPT-assisted evidence recharting, 2026-09-08</ns0:t>
        </ns0:is>
      </ns0:c>
      <ns0:c r="AR213" s="19" t="inlineStr"/>
      <ns0:c r="AS213" s="19" t="inlineStr">
        <ns0:is>
          <ns0:t>Not recorded; historical inclusion retained</ns0:t>
        </ns0:is>
      </ns0:c>
    </ns0:row>
    <ns0:row r="214" ht="50" customHeight="1">
      <ns0:c r="A214" s="21" t="inlineStr">
        <ns0:is>
          <ns0:t>228</ns0:t>
        </ns0:is>
      </ns0:c>
      <ns0:c r="B214" s="21" t="inlineStr">
        <ns0:is>
          <ns0:t>Historical</ns0:t>
        </ns0:is>
      </ns0:c>
      <ns0:c r="C214" s="21" t="inlineStr">
        <ns0:is>
          <ns0:t>Autism Spectrum Disorder Diagnosis Using Graph Neural Network Based on\&amp;#xa0;Graph Pooling and\&amp;#xa0;Self-adjust Filter</ns0:t>
        </ns0:is>
      </ns0:c>
      <ns0:c r="D214" s="21" t="inlineStr">
        <ns0:is>
          <ns0:t>10.1007/978-981-99-8558-6_35</ns0:t>
        </ns0:is>
      </ns0:c>
      <ns0:c r="E214" s="28" t="n">
        <ns0:v>2024</ns0:v>
      </ns0:c>
      <ns0:c r="F214" s="21" t="inlineStr">
        <ns0:is>
          <ns0:t>Include</ns0:t>
        </ns0:is>
      </ns0:c>
      <ns0:c r="G214" s="29">
        <ns0:f>IF(F214="Include",1,0)</ns0:f>
        <ns0:v>1</ns0:v>
      </ns0:c>
      <ns0:c r="H214" s="21" t="inlineStr">
        <ns0:is>
          <ns0:t>Diagnosis</ns0:t>
        </ns0:is>
      </ns0:c>
      <ns0:c r="I214" s="21" t="inlineStr">
        <ns0:is>
          <ns0:t>Deep Learning</ns0:t>
        </ns0:is>
      </ns0:c>
      <ns0:c r="J214" s="21" t="inlineStr">
        <ns0:is>
          <ns0:t>Multiple source categories</ns0:t>
        </ns0:is>
      </ns0:c>
      <ns0:c r="K214" s="21" t="inlineStr">
        <ns0:is>
          <ns0:t>Graph neural network</ns0:t>
        </ns0:is>
      </ns0:c>
      <ns0:c r="L214" s="21" t="inlineStr">
        <ns0:is>
          <ns0:t>GNN</ns0:t>
        </ns0:is>
      </ns0:c>
      <ns0:c r="M214" s="21" t="inlineStr">
        <ns0:is>
          <ns0:t>Research only</ns0:t>
        </ns0:is>
      </ns0:c>
      <ns0:c r="N214" s="21" t="inlineStr">
        <ns0:is>
          <ns0:t>Automated measurement/classification</ns0:t>
        </ns0:is>
      </ns0:c>
      <ns0:c r="O214" s="21" t="inlineStr">
        <ns0:is>
          <ns0:t>Not observed in assessed sources</ns0:t>
        </ns0:is>
      </ns0:c>
      <ns0:c r="P214" s="21" t="inlineStr">
        <ns0:is>
          <ns0:t>Not observed in assessed sources</ns0:t>
        </ns0:is>
      </ns0:c>
      <ns0:c r="Q214" s="21" t="inlineStr">
        <ns0:is>
          <ns0:t>Not reported in assessed sources</ns0:t>
        </ns0:is>
      </ns0:c>
      <ns0:c r="R214" s="21" t="inlineStr">
        <ns0:is>
          <ns0:t>Reported</ns0:t>
        </ns0:is>
      </ns0:c>
      <ns0:c r="S214" s="21" t="inlineStr">
        <ns0:is>
          <ns0:t>Not reported in assessed sources</ns0:t>
        </ns0:is>
      </ns0:c>
      <ns0:c r="T214" s="21" t="inlineStr">
        <ns0:is>
          <ns0:t>Not reported in assessed sources</ns0:t>
        </ns0:is>
      </ns0:c>
      <ns0:c r="U214" s="21" t="inlineStr">
        <ns0:is>
          <ns0:t>Not reported in assessed sources</ns0:t>
        </ns0:is>
      </ns0:c>
      <ns0:c r="V214" s="21" t="inlineStr">
        <ns0:is>
          <ns0:t>Reported</ns0:t>
        </ns0:is>
      </ns0:c>
      <ns0:c r="W214" s="21" t="inlineStr">
        <ns0:is>
          <ns0:t>Reported</ns0:t>
        </ns0:is>
      </ns0:c>
      <ns0:c r="X214" s="21" t="inlineStr">
        <ns0:is>
          <ns0:t>Not reported in assessed sources</ns0:t>
        </ns0:is>
      </ns0:c>
      <ns0:c r="Y214" s="21" t="inlineStr">
        <ns0:is>
          <ns0:t>Not ascertainable</ns0:t>
        </ns0:is>
      </ns0:c>
      <ns0:c r="Z214" s="21" t="inlineStr">
        <ns0:is>
          <ns0:t>Not reported in assessed sources</ns0:t>
        </ns0:is>
      </ns0:c>
      <ns0:c r="AA214" s="21" t="inlineStr">
        <ns0:is>
          <ns0:t>Not recorded</ns0:t>
        </ns0:is>
      </ns0:c>
      <ns0:c r="AB214" s="28" t="n">
        <ns0:v>0</ns0:v>
      </ns0:c>
      <ns0:c r="AC214" s="28" t="n">
        <ns0:v>0</ns0:v>
      </ns0:c>
      <ns0:c r="AD214" s="29">
        <ns0:f>IF(AND(G214=1,AB214=0),1,0)</ns0:f>
        <ns0:v>1</ns0:v>
      </ns0:c>
      <ns0:c r="AE214" s="29">
        <ns0:f>IF(AND(AD214=1,AC214=0),1,0)</ns0:f>
        <ns0:v>1</ns0:v>
      </ns0:c>
      <ns0:c r="AF214" s="29">
        <ns0:f>IF(AND(G214=1,H214&lt;&gt;"Not specified"),1,0)</ns0:f>
        <ns0:v>1</ns0:v>
      </ns0:c>
      <ns0:c r="AG214" s="29">
        <ns0:f>IF(AND(AE214=1,AF214=1),1,0)</ns0:f>
        <ns0:v>1</ns0:v>
      </ns0:c>
      <ns0:c r="AH214" s="21" t="inlineStr">
        <ns0:is>
          <ns0:t>Supplied abstract/coding notes; no new full-text verification</ns0:t>
        </ns0:is>
      </ns0:c>
      <ns0:c r="AI214" s="21" t="inlineStr">
        <ns0:is>
          <ns0:t>https://doi.org/10.1007/978-981-99-8558-6_35</ns0:t>
        </ns0:is>
      </ns0:c>
      <ns0:c r="AJ214" s="21" t="inlineStr">
        <ns0:is>
          <ns0:t>EVIDENCIA; original abstract/coding notes and lot source trace; Historical signals: title/abstract/notes; full-text completion not independently established</ns0:t>
        </ns0:is>
      </ns0:c>
      <ns0:c r="AK214" s="21" t="inlineStr">
        <ns0:is>
          <ns0:t>Image features and phenotype-defined graph edges jointly inform a population GNN.</ns0:t>
        </ns0:is>
      </ns0:c>
      <ns0:c r="AL214" s="21" t="inlineStr">
        <ns0:is>
          <ns0:t>Not applicable</ns0:t>
        </ns0:is>
      </ns0:c>
      <ns0:c r="AM214" s="21" t="inlineStr">
        <ns0:is>
          <ns0:t>Not separately specified</ns0:t>
        </ns0:is>
      </ns0:c>
      <ns0:c r="AN214" s="21" t="inlineStr"/>
      <ns0:c r="AO214" s="21" t="inlineStr">
        <ns0:is>
          <ns0:t>No additional status determination</ns0:t>
        </ns0:is>
      </ns0:c>
      <ns0:c r="AP214" s="21" t="inlineStr">
        <ns0:is>
          <ns0:t>Not documented for this recharting</ns0:t>
        </ns0:is>
      </ns0:c>
      <ns0:c r="AQ214" s="21" t="inlineStr">
        <ns0:is>
          <ns0:t>ChatGPT-assisted evidence recharting, 2026-09-08</ns0:t>
        </ns0:is>
      </ns0:c>
      <ns0:c r="AR214" s="21" t="inlineStr"/>
      <ns0:c r="AS214" s="21" t="inlineStr">
        <ns0:is>
          <ns0:t>Not recorded; historical inclusion retained</ns0:t>
        </ns0:is>
      </ns0:c>
    </ns0:row>
    <ns0:row r="215" ht="50" customHeight="1">
      <ns0:c r="A215" s="19" t="inlineStr">
        <ns0:is>
          <ns0:t>229</ns0:t>
        </ns0:is>
      </ns0:c>
      <ns0:c r="B215" s="19" t="inlineStr">
        <ns0:is>
          <ns0:t>Historical</ns0:t>
        </ns0:is>
      </ns0:c>
      <ns0:c r="C215" s="19" t="inlineStr">
        <ns0:is>
          <ns0:t>Autoencoder Based Methods for Diagnosis of Autism Spectrum Disorder</ns0:t>
        </ns0:is>
      </ns0:c>
      <ns0:c r="D215" s="19" t="inlineStr">
        <ns0:is>
          <ns0:t>10.1007/978-3-030-46165-2_4</ns0:t>
        </ns0:is>
      </ns0:c>
      <ns0:c r="E215" s="26" t="n">
        <ns0:v>2020</ns0:v>
      </ns0:c>
      <ns0:c r="F215" s="19" t="inlineStr">
        <ns0:is>
          <ns0:t>Include</ns0:t>
        </ns0:is>
      </ns0:c>
      <ns0:c r="G215" s="27">
        <ns0:f>IF(F215="Include",1,0)</ns0:f>
        <ns0:v>1</ns0:v>
      </ns0:c>
      <ns0:c r="H215" s="19" t="inlineStr">
        <ns0:is>
          <ns0:t>Diagnosis</ns0:t>
        </ns0:is>
      </ns0:c>
      <ns0:c r="I215" s="19" t="inlineStr">
        <ns0:is>
          <ns0:t>Deep Learning</ns0:t>
        </ns0:is>
      </ns0:c>
      <ns0:c r="J215" s="19" t="inlineStr">
        <ns0:is>
          <ns0:t>Neuroimaging</ns0:t>
        </ns0:is>
      </ns0:c>
      <ns0:c r="K215" s="19" t="inlineStr">
        <ns0:is>
          <ns0:t>Autoencoder + MLP</ns0:t>
        </ns0:is>
      </ns0:c>
      <ns0:c r="L215" s="19" t="inlineStr">
        <ns0:is>
          <ns0:t>Composite/ensemble pipeline</ns0:t>
        </ns0:is>
      </ns0:c>
      <ns0:c r="M215" s="19" t="inlineStr">
        <ns0:is>
          <ns0:t>Research only</ns0:t>
        </ns0:is>
      </ns0:c>
      <ns0:c r="N215" s="19" t="inlineStr">
        <ns0:is>
          <ns0:t>Automated measurement/classification</ns0:t>
        </ns0:is>
      </ns0:c>
      <ns0:c r="O215" s="19" t="inlineStr">
        <ns0:is>
          <ns0:t>Not observed in assessed sources</ns0:t>
        </ns0:is>
      </ns0:c>
      <ns0:c r="P215" s="19" t="inlineStr">
        <ns0:is>
          <ns0:t>Not observed in assessed sources</ns0:t>
        </ns0:is>
      </ns0:c>
      <ns0:c r="Q215" s="19" t="inlineStr">
        <ns0:is>
          <ns0:t>Not reported in assessed sources</ns0:t>
        </ns0:is>
      </ns0:c>
      <ns0:c r="R215" s="19" t="inlineStr">
        <ns0:is>
          <ns0:t>Not reported in assessed sources</ns0:t>
        </ns0:is>
      </ns0:c>
      <ns0:c r="S215" s="19" t="inlineStr">
        <ns0:is>
          <ns0:t>Not reported in assessed sources</ns0:t>
        </ns0:is>
      </ns0:c>
      <ns0:c r="T215" s="19" t="inlineStr">
        <ns0:is>
          <ns0:t>Not reported in assessed sources</ns0:t>
        </ns0:is>
      </ns0:c>
      <ns0:c r="U215" s="19" t="inlineStr">
        <ns0:is>
          <ns0:t>Not reported in assessed sources</ns0:t>
        </ns0:is>
      </ns0:c>
      <ns0:c r="V215" s="19" t="inlineStr">
        <ns0:is>
          <ns0:t>Reported</ns0:t>
        </ns0:is>
      </ns0:c>
      <ns0:c r="W215" s="19" t="inlineStr">
        <ns0:is>
          <ns0:t>Not reported in assessed sources</ns0:t>
        </ns0:is>
      </ns0:c>
      <ns0:c r="X215" s="19" t="inlineStr">
        <ns0:is>
          <ns0:t>Not reported in assessed sources</ns0:t>
        </ns0:is>
      </ns0:c>
      <ns0:c r="Y215" s="19" t="inlineStr">
        <ns0:is>
          <ns0:t>Not ascertainable</ns0:t>
        </ns0:is>
      </ns0:c>
      <ns0:c r="Z215" s="19" t="inlineStr">
        <ns0:is>
          <ns0:t>Not reported in assessed sources</ns0:t>
        </ns0:is>
      </ns0:c>
      <ns0:c r="AA215" s="19" t="inlineStr">
        <ns0:is>
          <ns0:t>Not recorded</ns0:t>
        </ns0:is>
      </ns0:c>
      <ns0:c r="AB215" s="26" t="n">
        <ns0:v>0</ns0:v>
      </ns0:c>
      <ns0:c r="AC215" s="26" t="n">
        <ns0:v>0</ns0:v>
      </ns0:c>
      <ns0:c r="AD215" s="27">
        <ns0:f>IF(AND(G215=1,AB215=0),1,0)</ns0:f>
        <ns0:v>1</ns0:v>
      </ns0:c>
      <ns0:c r="AE215" s="27">
        <ns0:f>IF(AND(AD215=1,AC215=0),1,0)</ns0:f>
        <ns0:v>1</ns0:v>
      </ns0:c>
      <ns0:c r="AF215" s="27">
        <ns0:f>IF(AND(G215=1,H215&lt;&gt;"Not specified"),1,0)</ns0:f>
        <ns0:v>1</ns0:v>
      </ns0:c>
      <ns0:c r="AG215" s="27">
        <ns0:f>IF(AND(AE215=1,AF215=1),1,0)</ns0:f>
        <ns0:v>1</ns0:v>
      </ns0:c>
      <ns0:c r="AH215" s="19" t="inlineStr">
        <ns0:is>
          <ns0:t>Supplied abstract/coding notes; no new full-text verification</ns0:t>
        </ns0:is>
      </ns0:c>
      <ns0:c r="AI215" s="19" t="inlineStr">
        <ns0:is>
          <ns0:t>https://doi.org/10.1007/978-3-030-46165-2_4</ns0:t>
        </ns0:is>
      </ns0:c>
      <ns0:c r="AJ215" s="19" t="inlineStr">
        <ns0:is>
          <ns0:t>EVIDENCIA; original abstract/coding notes and lot source trace; Historical signals: title/abstract/notes; full-text completion not independently established</ns0:t>
        </ns0:is>
      </ns0:c>
      <ns0:c r="AK215" s="19" t="inlineStr">
        <ns0:is>
          <ns0:t>Best emphasized pipeline is autoencoder plus DNN; traditional-ML alternatives do not make the primary architecture hybrid.</ns0:t>
        </ns0:is>
      </ns0:c>
      <ns0:c r="AL215" s="19" t="inlineStr">
        <ns0:is>
          <ns0:t>Not applicable</ns0:t>
        </ns0:is>
      </ns0:c>
      <ns0:c r="AM215" s="19" t="inlineStr">
        <ns0:is>
          <ns0:t>Not separately specified</ns0:t>
        </ns0:is>
      </ns0:c>
      <ns0:c r="AN215" s="19" t="inlineStr"/>
      <ns0:c r="AO215" s="19" t="inlineStr">
        <ns0:is>
          <ns0:t>No additional status determination</ns0:t>
        </ns0:is>
      </ns0:c>
      <ns0:c r="AP215" s="19" t="inlineStr">
        <ns0:is>
          <ns0:t>Not documented for this recharting</ns0:t>
        </ns0:is>
      </ns0:c>
      <ns0:c r="AQ215" s="19" t="inlineStr">
        <ns0:is>
          <ns0:t>ChatGPT-assisted evidence recharting, 2026-09-08</ns0:t>
        </ns0:is>
      </ns0:c>
      <ns0:c r="AR215" s="19" t="inlineStr"/>
      <ns0:c r="AS215" s="19" t="inlineStr">
        <ns0:is>
          <ns0:t>Not recorded; historical inclusion retained</ns0:t>
        </ns0:is>
      </ns0:c>
    </ns0:row>
    <ns0:row r="216" ht="50" customHeight="1">
      <ns0:c r="A216" s="21" t="inlineStr">
        <ns0:is>
          <ns0:t>230</ns0:t>
        </ns0:is>
      </ns0:c>
      <ns0:c r="B216" s="21" t="inlineStr">
        <ns0:is>
          <ns0:t>Historical</ns0:t>
        </ns0:is>
      </ns0:c>
      <ns0:c r="C216" s="21" t="inlineStr">
        <ns0:is>
          <ns0:t>BrainWaveNet: Wavelet-based Transformer for Autism Spectrum Disorder Diagnosis</ns0:t>
        </ns0:is>
      </ns0:c>
      <ns0:c r="D216" s="21" t="inlineStr">
        <ns0:is>
          <ns0:t>10.1007/978-3-031-72069-7_6</ns0:t>
        </ns0:is>
      </ns0:c>
      <ns0:c r="E216" s="28" t="n">
        <ns0:v>2024</ns0:v>
      </ns0:c>
      <ns0:c r="F216" s="21" t="inlineStr">
        <ns0:is>
          <ns0:t>Include</ns0:t>
        </ns0:is>
      </ns0:c>
      <ns0:c r="G216" s="29">
        <ns0:f>IF(F216="Include",1,0)</ns0:f>
        <ns0:v>1</ns0:v>
      </ns0:c>
      <ns0:c r="H216" s="21" t="inlineStr">
        <ns0:is>
          <ns0:t>Diagnosis</ns0:t>
        </ns0:is>
      </ns0:c>
      <ns0:c r="I216" s="21" t="inlineStr">
        <ns0:is>
          <ns0:t>Deep Learning</ns0:t>
        </ns0:is>
      </ns0:c>
      <ns0:c r="J216" s="21" t="inlineStr">
        <ns0:is>
          <ns0:t>Neuroimaging</ns0:t>
        </ns0:is>
      </ns0:c>
      <ns0:c r="K216" s="21" t="inlineStr">
        <ns0:is>
          <ns0:t>Transformer</ns0:t>
        </ns0:is>
      </ns0:c>
      <ns0:c r="L216" s="21" t="inlineStr">
        <ns0:is>
          <ns0:t>Transformer</ns0:t>
        </ns0:is>
      </ns0:c>
      <ns0:c r="M216" s="21" t="inlineStr">
        <ns0:is>
          <ns0:t>Research only</ns0:t>
        </ns0:is>
      </ns0:c>
      <ns0:c r="N216" s="21" t="inlineStr">
        <ns0:is>
          <ns0:t>Automated measurement/classification</ns0:t>
        </ns0:is>
      </ns0:c>
      <ns0:c r="O216" s="21" t="inlineStr">
        <ns0:is>
          <ns0:t>Not observed in assessed sources</ns0:t>
        </ns0:is>
      </ns0:c>
      <ns0:c r="P216" s="21" t="inlineStr">
        <ns0:is>
          <ns0:t>Not observed in assessed sources</ns0:t>
        </ns0:is>
      </ns0:c>
      <ns0:c r="Q216" s="21" t="inlineStr">
        <ns0:is>
          <ns0:t>Not reported in assessed sources</ns0:t>
        </ns0:is>
      </ns0:c>
      <ns0:c r="R216" s="21" t="inlineStr">
        <ns0:is>
          <ns0:t>Not reported in assessed sources</ns0:t>
        </ns0:is>
      </ns0:c>
      <ns0:c r="S216" s="21" t="inlineStr">
        <ns0:is>
          <ns0:t>Reported</ns0:t>
        </ns0:is>
      </ns0:c>
      <ns0:c r="T216" s="21" t="inlineStr">
        <ns0:is>
          <ns0:t>Not reported in assessed sources</ns0:t>
        </ns0:is>
      </ns0:c>
      <ns0:c r="U216" s="21" t="inlineStr">
        <ns0:is>
          <ns0:t>Not reported in assessed sources</ns0:t>
        </ns0:is>
      </ns0:c>
      <ns0:c r="V216" s="21" t="inlineStr">
        <ns0:is>
          <ns0:t>Reported</ns0:t>
        </ns0:is>
      </ns0:c>
      <ns0:c r="W216" s="21" t="inlineStr">
        <ns0:is>
          <ns0:t>Not reported in assessed sources</ns0:t>
        </ns0:is>
      </ns0:c>
      <ns0:c r="X216" s="21" t="inlineStr">
        <ns0:is>
          <ns0:t>Not reported in assessed sources</ns0:t>
        </ns0:is>
      </ns0:c>
      <ns0:c r="Y216" s="21" t="inlineStr">
        <ns0:is>
          <ns0:t>Not ascertainable</ns0:t>
        </ns0:is>
      </ns0:c>
      <ns0:c r="Z216" s="21" t="inlineStr">
        <ns0:is>
          <ns0:t>Reported</ns0:t>
        </ns0:is>
      </ns0:c>
      <ns0:c r="AA216" s="21" t="inlineStr">
        <ns0:is>
          <ns0:t>Not recorded</ns0:t>
        </ns0:is>
      </ns0:c>
      <ns0:c r="AB216" s="28" t="n">
        <ns0:v>0</ns0:v>
      </ns0:c>
      <ns0:c r="AC216" s="28" t="n">
        <ns0:v>0</ns0:v>
      </ns0:c>
      <ns0:c r="AD216" s="29">
        <ns0:f>IF(AND(G216=1,AB216=0),1,0)</ns0:f>
        <ns0:v>1</ns0:v>
      </ns0:c>
      <ns0:c r="AE216" s="29">
        <ns0:f>IF(AND(AD216=1,AC216=0),1,0)</ns0:f>
        <ns0:v>1</ns0:v>
      </ns0:c>
      <ns0:c r="AF216" s="29">
        <ns0:f>IF(AND(G216=1,H216&lt;&gt;"Not specified"),1,0)</ns0:f>
        <ns0:v>1</ns0:v>
      </ns0:c>
      <ns0:c r="AG216" s="29">
        <ns0:f>IF(AND(AE216=1,AF216=1),1,0)</ns0:f>
        <ns0:v>1</ns0:v>
      </ns0:c>
      <ns0:c r="AH216" s="21" t="inlineStr">
        <ns0:is>
          <ns0:t>Supplied abstract/coding notes; no new full-text verification</ns0:t>
        </ns0:is>
      </ns0:c>
      <ns0:c r="AI216" s="21" t="inlineStr">
        <ns0:is>
          <ns0:t>https://doi.org/10.1007/978-3-031-72069-7_6</ns0:t>
        </ns0:is>
      </ns0:c>
      <ns0:c r="AJ216" s="21" t="inlineStr">
        <ns0:is>
          <ns0:t>EVIDENCIA; original abstract/coding notes and lot source trace; Historical signals: title/abstract/notes; full-text completion not independently established</ns0:t>
        </ns0:is>
      </ns0:c>
      <ns0:c r="AK216" s="21" t="inlineStr">
        <ns0:is>
          <ns0:t>Wavelet transformer uses resting-state fMRI, not a nonimaging physiological recording; neurological interpretation is explicit.</ns0:t>
        </ns0:is>
      </ns0:c>
      <ns0:c r="AL216" s="21" t="inlineStr">
        <ns0:is>
          <ns0:t>Not applicable</ns0:t>
        </ns0:is>
      </ns0:c>
      <ns0:c r="AM216" s="21" t="inlineStr">
        <ns0:is>
          <ns0:t>Not separately specified</ns0:t>
        </ns0:is>
      </ns0:c>
      <ns0:c r="AN216" s="21" t="inlineStr"/>
      <ns0:c r="AO216" s="21" t="inlineStr">
        <ns0:is>
          <ns0:t>No additional status determination</ns0:t>
        </ns0:is>
      </ns0:c>
      <ns0:c r="AP216" s="21" t="inlineStr">
        <ns0:is>
          <ns0:t>Not documented for this recharting</ns0:t>
        </ns0:is>
      </ns0:c>
      <ns0:c r="AQ216" s="21" t="inlineStr">
        <ns0:is>
          <ns0:t>ChatGPT-assisted evidence recharting, 2026-09-08</ns0:t>
        </ns0:is>
      </ns0:c>
      <ns0:c r="AR216" s="21" t="inlineStr">
        <ns0:is>
          <ns0:t>RA</ns0:t>
        </ns0:is>
      </ns0:c>
      <ns0:c r="AS216" s="21" t="inlineStr">
        <ns0:is>
          <ns0:t>Not recorded; historical inclusion retained</ns0:t>
        </ns0:is>
      </ns0:c>
    </ns0:row>
    <ns0:row r="217" ht="50" customHeight="1">
      <ns0:c r="A217" s="19" t="inlineStr">
        <ns0:is>
          <ns0:t>231</ns0:t>
        </ns0:is>
      </ns0:c>
      <ns0:c r="B217" s="19" t="inlineStr">
        <ns0:is>
          <ns0:t>Historical</ns0:t>
        </ns0:is>
      </ns0:c>
      <ns0:c r="C217" s="19" t="inlineStr">
        <ns0:is>
          <ns0:t>Can lung airway geometry be used to predict autism? A preliminary machine learning-based study</ns0:t>
        </ns0:is>
      </ns0:c>
      <ns0:c r="D217" s="19" t="inlineStr">
        <ns0:is>
          <ns0:t>10.1002/ar.25332</ns0:t>
        </ns0:is>
      </ns0:c>
      <ns0:c r="E217" s="26" t="n">
        <ns0:v>2024</ns0:v>
      </ns0:c>
      <ns0:c r="F217" s="19" t="inlineStr">
        <ns0:is>
          <ns0:t>Include</ns0:t>
        </ns0:is>
      </ns0:c>
      <ns0:c r="G217" s="27">
        <ns0:f>IF(F217="Include",1,0)</ns0:f>
        <ns0:v>1</ns0:v>
      </ns0:c>
      <ns0:c r="H217" s="19" t="inlineStr">
        <ns0:is>
          <ns0:t>Diagnosis</ns0:t>
        </ns0:is>
      </ns0:c>
      <ns0:c r="I217" s="19" t="inlineStr">
        <ns0:is>
          <ns0:t>Machine Learning</ns0:t>
        </ns0:is>
      </ns0:c>
      <ns0:c r="J217" s="19" t="inlineStr">
        <ns0:is>
          <ns0:t>Other biomedical/digital data</ns0:t>
        </ns0:is>
      </ns0:c>
      <ns0:c r="K217" s="19" t="inlineStr">
        <ns0:is>
          <ns0:t>SVM</ns0:t>
        </ns0:is>
      </ns0:c>
      <ns0:c r="L217" s="19" t="inlineStr">
        <ns0:is>
          <ns0:t>SVM</ns0:t>
        </ns0:is>
      </ns0:c>
      <ns0:c r="M217" s="19" t="inlineStr">
        <ns0:is>
          <ns0:t>Research only</ns0:t>
        </ns0:is>
      </ns0:c>
      <ns0:c r="N217" s="19" t="inlineStr">
        <ns0:is>
          <ns0:t>Automated measurement/classification</ns0:t>
        </ns0:is>
      </ns0:c>
      <ns0:c r="O217" s="19" t="inlineStr">
        <ns0:is>
          <ns0:t>Not observed in assessed sources</ns0:t>
        </ns0:is>
      </ns0:c>
      <ns0:c r="P217" s="19" t="inlineStr">
        <ns0:is>
          <ns0:t>Not observed in assessed sources</ns0:t>
        </ns0:is>
      </ns0:c>
      <ns0:c r="Q217" s="19" t="inlineStr">
        <ns0:is>
          <ns0:t>Not reported in assessed sources</ns0:t>
        </ns0:is>
      </ns0:c>
      <ns0:c r="R217" s="19" t="inlineStr">
        <ns0:is>
          <ns0:t>Not reported in assessed sources</ns0:t>
        </ns0:is>
      </ns0:c>
      <ns0:c r="S217" s="19" t="inlineStr">
        <ns0:is>
          <ns0:t>Not reported in assessed sources</ns0:t>
        </ns0:is>
      </ns0:c>
      <ns0:c r="T217" s="19" t="inlineStr">
        <ns0:is>
          <ns0:t>Not reported in assessed sources</ns0:t>
        </ns0:is>
      </ns0:c>
      <ns0:c r="U217" s="19" t="inlineStr">
        <ns0:is>
          <ns0:t>Not reported in assessed sources</ns0:t>
        </ns0:is>
      </ns0:c>
      <ns0:c r="V217" s="19" t="inlineStr">
        <ns0:is>
          <ns0:t>Not reported in assessed sources</ns0:t>
        </ns0:is>
      </ns0:c>
      <ns0:c r="W217" s="19" t="inlineStr">
        <ns0:is>
          <ns0:t>Not reported in assessed sources</ns0:t>
        </ns0:is>
      </ns0:c>
      <ns0:c r="X217" s="19" t="inlineStr">
        <ns0:is>
          <ns0:t>Not reported in assessed sources</ns0:t>
        </ns0:is>
      </ns0:c>
      <ns0:c r="Y217" s="19" t="inlineStr">
        <ns0:is>
          <ns0:t>Not ascertainable</ns0:t>
        </ns0:is>
      </ns0:c>
      <ns0:c r="Z217" s="19" t="inlineStr">
        <ns0:is>
          <ns0:t>Not reported in assessed sources</ns0:t>
        </ns0:is>
      </ns0:c>
      <ns0:c r="AA217" s="19" t="inlineStr">
        <ns0:is>
          <ns0:t>Not recorded</ns0:t>
        </ns0:is>
      </ns0:c>
      <ns0:c r="AB217" s="26" t="n">
        <ns0:v>0</ns0:v>
      </ns0:c>
      <ns0:c r="AC217" s="26" t="n">
        <ns0:v>0</ns0:v>
      </ns0:c>
      <ns0:c r="AD217" s="27">
        <ns0:f>IF(AND(G217=1,AB217=0),1,0)</ns0:f>
        <ns0:v>1</ns0:v>
      </ns0:c>
      <ns0:c r="AE217" s="27">
        <ns0:f>IF(AND(AD217=1,AC217=0),1,0)</ns0:f>
        <ns0:v>1</ns0:v>
      </ns0:c>
      <ns0:c r="AF217" s="27">
        <ns0:f>IF(AND(G217=1,H217&lt;&gt;"Not specified"),1,0)</ns0:f>
        <ns0:v>1</ns0:v>
      </ns0:c>
      <ns0:c r="AG217" s="27">
        <ns0:f>IF(AND(AE217=1,AF217=1),1,0)</ns0:f>
        <ns0:v>1</ns0:v>
      </ns0:c>
      <ns0:c r="AH217" s="19" t="inlineStr">
        <ns0:is>
          <ns0:t>Supplied abstract/coding notes; no new full-text verification</ns0:t>
        </ns0:is>
      </ns0:c>
      <ns0:c r="AI217" s="19" t="inlineStr">
        <ns0:is>
          <ns0:t>https://doi.org/10.1002/ar.25332</ns0:t>
        </ns0:is>
      </ns0:c>
      <ns0:c r="AJ217" s="19" t="inlineStr">
        <ns0:is>
          <ns0:t>EVIDENCIA; original abstract/coding notes and lot source trace; Historical signals: title/abstract/notes; full-text completion not independently established</ns0:t>
        </ns0:is>
      </ns0:c>
      <ns0:c r="AK217" s="19" t="inlineStr">
        <ns0:is>
          <ns0:t>Retrospective chest CT airway geometry, not brain imaging or behavioral photographs; retained as other biomedical imaging with subtype recorded.
Chest CT airway geometry</ns0:t>
        </ns0:is>
      </ns0:c>
      <ns0:c r="AL217" s="19" t="inlineStr">
        <ns0:is>
          <ns0:t>Not applicable</ns0:t>
        </ns0:is>
      </ns0:c>
      <ns0:c r="AM217" s="19" t="inlineStr">
        <ns0:is>
          <ns0:t>Not separately specified</ns0:t>
        </ns0:is>
      </ns0:c>
      <ns0:c r="AN217" s="19" t="inlineStr"/>
      <ns0:c r="AO217" s="19" t="inlineStr">
        <ns0:is>
          <ns0:t>No additional status determination</ns0:t>
        </ns0:is>
      </ns0:c>
      <ns0:c r="AP217" s="19" t="inlineStr">
        <ns0:is>
          <ns0:t>Not documented for this recharting</ns0:t>
        </ns0:is>
      </ns0:c>
      <ns0:c r="AQ217" s="19" t="inlineStr">
        <ns0:is>
          <ns0:t>ChatGPT-assisted evidence recharting, 2026-09-08</ns0:t>
        </ns0:is>
      </ns0:c>
      <ns0:c r="AR217" s="19" t="inlineStr">
        <ns0:is>
          <ns0:t>RA</ns0:t>
        </ns0:is>
      </ns0:c>
      <ns0:c r="AS217" s="19" t="inlineStr">
        <ns0:is>
          <ns0:t>Not recorded; historical inclusion retained</ns0:t>
        </ns0:is>
      </ns0:c>
    </ns0:row>
    <ns0:row r="218" ht="50" customHeight="1">
      <ns0:c r="A218" s="21" t="inlineStr">
        <ns0:is>
          <ns0:t>232</ns0:t>
        </ns0:is>
      </ns0:c>
      <ns0:c r="B218" s="21" t="inlineStr">
        <ns0:is>
          <ns0:t>Historical</ns0:t>
        </ns0:is>
      </ns0:c>
      <ns0:c r="C218" s="21" t="inlineStr">
        <ns0:is>
          <ns0:t>Classification of autism spectrum disorder based on fluctuation entropy of spontaneous hemodynamic fluctuations</ns0:t>
        </ns0:is>
      </ns0:c>
      <ns0:c r="D218" s="21" t="inlineStr">
        <ns0:is>
          <ns0:t>10.1016/j.bspc.2020.101958</ns0:t>
        </ns0:is>
      </ns0:c>
      <ns0:c r="E218" s="28" t="n">
        <ns0:v>2020</ns0:v>
      </ns0:c>
      <ns0:c r="F218" s="21" t="inlineStr">
        <ns0:is>
          <ns0:t>Include</ns0:t>
        </ns0:is>
      </ns0:c>
      <ns0:c r="G218" s="29">
        <ns0:f>IF(F218="Include",1,0)</ns0:f>
        <ns0:v>1</ns0:v>
      </ns0:c>
      <ns0:c r="H218" s="21" t="inlineStr">
        <ns0:is>
          <ns0:t>Diagnosis</ns0:t>
        </ns0:is>
      </ns0:c>
      <ns0:c r="I218" s="21" t="inlineStr">
        <ns0:is>
          <ns0:t>Machine Learning</ns0:t>
        </ns0:is>
      </ns0:c>
      <ns0:c r="J218" s="21" t="inlineStr">
        <ns0:is>
          <ns0:t>Physiological signals</ns0:t>
        </ns0:is>
      </ns0:c>
      <ns0:c r="K218" s="21" t="inlineStr">
        <ns0:is>
          <ns0:t>Multiple classifiers; primary unspecified</ns0:t>
        </ns0:is>
      </ns0:c>
      <ns0:c r="L218" s="21" t="inlineStr">
        <ns0:is>
          <ns0:t>Multiple/not uniquely specified</ns0:t>
        </ns0:is>
      </ns0:c>
      <ns0:c r="M218" s="21" t="inlineStr">
        <ns0:is>
          <ns0:t>Research only</ns0:t>
        </ns0:is>
      </ns0:c>
      <ns0:c r="N218" s="21" t="inlineStr">
        <ns0:is>
          <ns0:t>Automated measurement/classification</ns0:t>
        </ns0:is>
      </ns0:c>
      <ns0:c r="O218" s="21" t="inlineStr">
        <ns0:is>
          <ns0:t>Not observed in assessed sources</ns0:t>
        </ns0:is>
      </ns0:c>
      <ns0:c r="P218" s="21" t="inlineStr">
        <ns0:is>
          <ns0:t>Not observed in assessed sources</ns0:t>
        </ns0:is>
      </ns0:c>
      <ns0:c r="Q218" s="21" t="inlineStr">
        <ns0:is>
          <ns0:t>Not reported in assessed sources</ns0:t>
        </ns0:is>
      </ns0:c>
      <ns0:c r="R218" s="21" t="inlineStr">
        <ns0:is>
          <ns0:t>Not reported in assessed sources</ns0:t>
        </ns0:is>
      </ns0:c>
      <ns0:c r="S218" s="21" t="inlineStr">
        <ns0:is>
          <ns0:t>Not reported in assessed sources</ns0:t>
        </ns0:is>
      </ns0:c>
      <ns0:c r="T218" s="21" t="inlineStr">
        <ns0:is>
          <ns0:t>Not reported in assessed sources</ns0:t>
        </ns0:is>
      </ns0:c>
      <ns0:c r="U218" s="21" t="inlineStr">
        <ns0:is>
          <ns0:t>Not reported in assessed sources</ns0:t>
        </ns0:is>
      </ns0:c>
      <ns0:c r="V218" s="21" t="inlineStr">
        <ns0:is>
          <ns0:t>Not reported in assessed sources</ns0:t>
        </ns0:is>
      </ns0:c>
      <ns0:c r="W218" s="21" t="inlineStr">
        <ns0:is>
          <ns0:t>Not reported in assessed sources</ns0:t>
        </ns0:is>
      </ns0:c>
      <ns0:c r="X218" s="21" t="inlineStr">
        <ns0:is>
          <ns0:t>Not reported in assessed sources</ns0:t>
        </ns0:is>
      </ns0:c>
      <ns0:c r="Y218" s="21" t="inlineStr">
        <ns0:is>
          <ns0:t>Not ascertainable</ns0:t>
        </ns0:is>
      </ns0:c>
      <ns0:c r="Z218" s="21" t="inlineStr">
        <ns0:is>
          <ns0:t>Not reported in assessed sources</ns0:t>
        </ns0:is>
      </ns0:c>
      <ns0:c r="AA218" s="21" t="inlineStr">
        <ns0:is>
          <ns0:t>Not recorded</ns0:t>
        </ns0:is>
      </ns0:c>
      <ns0:c r="AB218" s="28" t="n">
        <ns0:v>0</ns0:v>
      </ns0:c>
      <ns0:c r="AC218" s="28" t="n">
        <ns0:v>0</ns0:v>
      </ns0:c>
      <ns0:c r="AD218" s="29">
        <ns0:f>IF(AND(G218=1,AB218=0),1,0)</ns0:f>
        <ns0:v>1</ns0:v>
      </ns0:c>
      <ns0:c r="AE218" s="29">
        <ns0:f>IF(AND(AD218=1,AC218=0),1,0)</ns0:f>
        <ns0:v>1</ns0:v>
      </ns0:c>
      <ns0:c r="AF218" s="29">
        <ns0:f>IF(AND(G218=1,H218&lt;&gt;"Not specified"),1,0)</ns0:f>
        <ns0:v>1</ns0:v>
      </ns0:c>
      <ns0:c r="AG218" s="29">
        <ns0:f>IF(AND(AE218=1,AF218=1),1,0)</ns0:f>
        <ns0:v>1</ns0:v>
      </ns0:c>
      <ns0:c r="AH218" s="21" t="inlineStr">
        <ns0:is>
          <ns0:t>Supplied abstract/coding notes; no new full-text verification</ns0:t>
        </ns0:is>
      </ns0:c>
      <ns0:c r="AI218" s="21" t="inlineStr">
        <ns0:is>
          <ns0:t>https://doi.org/10.1016/j.bspc.2020.101958</ns0:t>
        </ns0:is>
      </ns0:c>
      <ns0:c r="AJ218" s="21" t="inlineStr">
        <ns0:is>
          <ns0:t>EVIDENCIA; original abstract/coding notes and lot source trace; Historical signals: title/abstract/notes; full-text completion not independently established</ns0:t>
        </ns0:is>
      </ns0:c>
      <ns0:c r="AK218" s="21" t="inlineStr">
        <ns0:is>
          <ns0:t>fNIRS fluctuation entropy with network-classifier comparison; old note identifies multiple classifiers but no single primary.</ns0:t>
        </ns0:is>
      </ns0:c>
      <ns0:c r="AL218" s="21" t="inlineStr">
        <ns0:is>
          <ns0:t>Not applicable</ns0:t>
        </ns0:is>
      </ns0:c>
      <ns0:c r="AM218" s="21" t="inlineStr">
        <ns0:is>
          <ns0:t>Not separately specified</ns0:t>
        </ns0:is>
      </ns0:c>
      <ns0:c r="AN218" s="21" t="inlineStr"/>
      <ns0:c r="AO218" s="21" t="inlineStr">
        <ns0:is>
          <ns0:t>No additional status determination</ns0:t>
        </ns0:is>
      </ns0:c>
      <ns0:c r="AP218" s="21" t="inlineStr">
        <ns0:is>
          <ns0:t>Not documented for this recharting</ns0:t>
        </ns0:is>
      </ns0:c>
      <ns0:c r="AQ218" s="21" t="inlineStr">
        <ns0:is>
          <ns0:t>ChatGPT-assisted evidence recharting, 2026-09-08</ns0:t>
        </ns0:is>
      </ns0:c>
      <ns0:c r="AR218" s="21" t="inlineStr"/>
      <ns0:c r="AS218" s="21" t="inlineStr">
        <ns0:is>
          <ns0:t>Not recorded; historical inclusion retained</ns0:t>
        </ns0:is>
      </ns0:c>
    </ns0:row>
    <ns0:row r="219" ht="50" customHeight="1">
      <ns0:c r="A219" s="19" t="inlineStr">
        <ns0:is>
          <ns0:t>233</ns0:t>
        </ns0:is>
      </ns0:c>
      <ns0:c r="B219" s="19" t="inlineStr">
        <ns0:is>
          <ns0:t>Historical</ns0:t>
        </ns0:is>
      </ns0:c>
      <ns0:c r="C219" s="19" t="inlineStr">
        <ns0:is>
          <ns0:t>Classification of autism spectrum disorder based on sample entropy of spontaneous functional near infra-red spectroscopy signal</ns0:t>
        </ns0:is>
      </ns0:c>
      <ns0:c r="D219" s="19" t="inlineStr">
        <ns0:is>
          <ns0:t>10.1016/j.clinph.2019.12.400</ns0:t>
        </ns0:is>
      </ns0:c>
      <ns0:c r="E219" s="26" t="n">
        <ns0:v>2020</ns0:v>
      </ns0:c>
      <ns0:c r="F219" s="19" t="inlineStr">
        <ns0:is>
          <ns0:t>Include</ns0:t>
        </ns0:is>
      </ns0:c>
      <ns0:c r="G219" s="27">
        <ns0:f>IF(F219="Include",1,0)</ns0:f>
        <ns0:v>1</ns0:v>
      </ns0:c>
      <ns0:c r="H219" s="19" t="inlineStr">
        <ns0:is>
          <ns0:t>Diagnosis</ns0:t>
        </ns0:is>
      </ns0:c>
      <ns0:c r="I219" s="19" t="inlineStr">
        <ns0:is>
          <ns0:t>Machine Learning</ns0:t>
        </ns0:is>
      </ns0:c>
      <ns0:c r="J219" s="19" t="inlineStr">
        <ns0:is>
          <ns0:t>Physiological signals</ns0:t>
        </ns0:is>
      </ns0:c>
      <ns0:c r="K219" s="19" t="inlineStr">
        <ns0:is>
          <ns0:t>Multiple classifiers; primary unspecified</ns0:t>
        </ns0:is>
      </ns0:c>
      <ns0:c r="L219" s="19" t="inlineStr">
        <ns0:is>
          <ns0:t>Multiple/not uniquely specified</ns0:t>
        </ns0:is>
      </ns0:c>
      <ns0:c r="M219" s="19" t="inlineStr">
        <ns0:is>
          <ns0:t>Research only</ns0:t>
        </ns0:is>
      </ns0:c>
      <ns0:c r="N219" s="19" t="inlineStr">
        <ns0:is>
          <ns0:t>Automated measurement/classification</ns0:t>
        </ns0:is>
      </ns0:c>
      <ns0:c r="O219" s="19" t="inlineStr">
        <ns0:is>
          <ns0:t>Not observed in assessed sources</ns0:t>
        </ns0:is>
      </ns0:c>
      <ns0:c r="P219" s="19" t="inlineStr">
        <ns0:is>
          <ns0:t>Not observed in assessed sources</ns0:t>
        </ns0:is>
      </ns0:c>
      <ns0:c r="Q219" s="19" t="inlineStr">
        <ns0:is>
          <ns0:t>Not reported in assessed sources</ns0:t>
        </ns0:is>
      </ns0:c>
      <ns0:c r="R219" s="19" t="inlineStr">
        <ns0:is>
          <ns0:t>Not reported in assessed sources</ns0:t>
        </ns0:is>
      </ns0:c>
      <ns0:c r="S219" s="19" t="inlineStr">
        <ns0:is>
          <ns0:t>Not reported in assessed sources</ns0:t>
        </ns0:is>
      </ns0:c>
      <ns0:c r="T219" s="19" t="inlineStr">
        <ns0:is>
          <ns0:t>Not reported in assessed sources</ns0:t>
        </ns0:is>
      </ns0:c>
      <ns0:c r="U219" s="19" t="inlineStr">
        <ns0:is>
          <ns0:t>Not reported in assessed sources</ns0:t>
        </ns0:is>
      </ns0:c>
      <ns0:c r="V219" s="19" t="inlineStr">
        <ns0:is>
          <ns0:t>Not reported in assessed sources</ns0:t>
        </ns0:is>
      </ns0:c>
      <ns0:c r="W219" s="19" t="inlineStr">
        <ns0:is>
          <ns0:t>Not reported in assessed sources</ns0:t>
        </ns0:is>
      </ns0:c>
      <ns0:c r="X219" s="19" t="inlineStr">
        <ns0:is>
          <ns0:t>Not reported in assessed sources</ns0:t>
        </ns0:is>
      </ns0:c>
      <ns0:c r="Y219" s="19" t="inlineStr">
        <ns0:is>
          <ns0:t>Not ascertainable</ns0:t>
        </ns0:is>
      </ns0:c>
      <ns0:c r="Z219" s="19" t="inlineStr">
        <ns0:is>
          <ns0:t>Not reported in assessed sources</ns0:t>
        </ns0:is>
      </ns0:c>
      <ns0:c r="AA219" s="19" t="inlineStr">
        <ns0:is>
          <ns0:t>Not recorded</ns0:t>
        </ns0:is>
      </ns0:c>
      <ns0:c r="AB219" s="26" t="n">
        <ns0:v>0</ns0:v>
      </ns0:c>
      <ns0:c r="AC219" s="26" t="n">
        <ns0:v>0</ns0:v>
      </ns0:c>
      <ns0:c r="AD219" s="27">
        <ns0:f>IF(AND(G219=1,AB219=0),1,0)</ns0:f>
        <ns0:v>1</ns0:v>
      </ns0:c>
      <ns0:c r="AE219" s="27">
        <ns0:f>IF(AND(AD219=1,AC219=0),1,0)</ns0:f>
        <ns0:v>1</ns0:v>
      </ns0:c>
      <ns0:c r="AF219" s="27">
        <ns0:f>IF(AND(G219=1,H219&lt;&gt;"Not specified"),1,0)</ns0:f>
        <ns0:v>1</ns0:v>
      </ns0:c>
      <ns0:c r="AG219" s="27">
        <ns0:f>IF(AND(AE219=1,AF219=1),1,0)</ns0:f>
        <ns0:v>1</ns0:v>
      </ns0:c>
      <ns0:c r="AH219" s="19" t="inlineStr">
        <ns0:is>
          <ns0:t>Supplied abstract/coding notes; no new full-text verification</ns0:t>
        </ns0:is>
      </ns0:c>
      <ns0:c r="AI219" s="19" t="inlineStr">
        <ns0:is>
          <ns0:t>https://doi.org/10.1016/j.clinph.2019.12.400</ns0:t>
        </ns0:is>
      </ns0:c>
      <ns0:c r="AJ219" s="19" t="inlineStr">
        <ns0:is>
          <ns0:t>EVIDENCIA; original abstract/coding notes and lot source trace; Historical signals: title/abstract/notes; full-text completion not independently established</ns0:t>
        </ns0:is>
      </ns0:c>
      <ns0:c r="AK219" s="19" t="inlineStr">
        <ns0:is>
          <ns0:t>fNIRS sample entropy; available coding note describes classifier comparison and does not justify a clustering main family.</ns0:t>
        </ns0:is>
      </ns0:c>
      <ns0:c r="AL219" s="19" t="inlineStr">
        <ns0:is>
          <ns0:t>Not applicable</ns0:t>
        </ns0:is>
      </ns0:c>
      <ns0:c r="AM219" s="19" t="inlineStr">
        <ns0:is>
          <ns0:t>Not separately specified</ns0:t>
        </ns0:is>
      </ns0:c>
      <ns0:c r="AN219" s="19" t="inlineStr"/>
      <ns0:c r="AO219" s="19" t="inlineStr">
        <ns0:is>
          <ns0:t>No additional status determination</ns0:t>
        </ns0:is>
      </ns0:c>
      <ns0:c r="AP219" s="19" t="inlineStr">
        <ns0:is>
          <ns0:t>Not documented for this recharting</ns0:t>
        </ns0:is>
      </ns0:c>
      <ns0:c r="AQ219" s="19" t="inlineStr">
        <ns0:is>
          <ns0:t>ChatGPT-assisted evidence recharting, 2026-09-08</ns0:t>
        </ns0:is>
      </ns0:c>
      <ns0:c r="AR219" s="19" t="inlineStr"/>
      <ns0:c r="AS219" s="19" t="inlineStr">
        <ns0:is>
          <ns0:t>Not recorded; historical inclusion retained</ns0:t>
        </ns0:is>
      </ns0:c>
    </ns0:row>
    <ns0:row r="220" ht="50" customHeight="1">
      <ns0:c r="A220" s="21" t="inlineStr">
        <ns0:is>
          <ns0:t>234</ns0:t>
        </ns0:is>
      </ns0:c>
      <ns0:c r="B220" s="21" t="inlineStr">
        <ns0:is>
          <ns0:t>Historical</ns0:t>
        </ns0:is>
      </ns0:c>
      <ns0:c r="C220" s="21" t="inlineStr">
        <ns0:is>
          <ns0:t>Classification of\&amp;#xa0;Facial Images to\&amp;#xa0;Assist in\&amp;#xa0;the\&amp;#xa0;Diagnosis of\&amp;#xa0;Autism Spectrum Disorder: A Study on\&amp;#xa0;the\&amp;#xa0;Effect of\&amp;#xa0;Face Detection and\&amp;#xa0;Landmark Identification Algorithms</ns0:t>
        </ns0:is>
      </ns0:c>
      <ns0:c r="D220" s="21" t="inlineStr">
        <ns0:is>
          <ns0:t>10.1007/978-3-031-45389-2_18</ns0:t>
        </ns0:is>
      </ns0:c>
      <ns0:c r="E220" s="28" t="n">
        <ns0:v>2023</ns0:v>
      </ns0:c>
      <ns0:c r="F220" s="21" t="inlineStr">
        <ns0:is>
          <ns0:t>Include</ns0:t>
        </ns0:is>
      </ns0:c>
      <ns0:c r="G220" s="29">
        <ns0:f>IF(F220="Include",1,0)</ns0:f>
        <ns0:v>1</ns0:v>
      </ns0:c>
      <ns0:c r="H220" s="21" t="inlineStr">
        <ns0:is>
          <ns0:t>Diagnosis</ns0:t>
        </ns0:is>
      </ns0:c>
      <ns0:c r="I220" s="21" t="inlineStr">
        <ns0:is>
          <ns0:t>Not specified</ns0:t>
        </ns0:is>
      </ns0:c>
      <ns0:c r="J220" s="21" t="inlineStr">
        <ns0:is>
          <ns0:t>Behavioral images/video/gaze/movement</ns0:t>
        </ns0:is>
      </ns0:c>
      <ns0:c r="K220" s="21" t="inlineStr">
        <ns0:is>
          <ns0:t>Not specified</ns0:t>
        </ns0:is>
      </ns0:c>
      <ns0:c r="L220" s="21" t="inlineStr">
        <ns0:is>
          <ns0:t>Multiple/not uniquely specified</ns0:t>
        </ns0:is>
      </ns0:c>
      <ns0:c r="M220" s="21" t="inlineStr">
        <ns0:is>
          <ns0:t>Research only</ns0:t>
        </ns0:is>
      </ns0:c>
      <ns0:c r="N220" s="21" t="inlineStr">
        <ns0:is>
          <ns0:t>Automated measurement/classification</ns0:t>
        </ns0:is>
      </ns0:c>
      <ns0:c r="O220" s="21" t="inlineStr">
        <ns0:is>
          <ns0:t>Not observed in assessed sources</ns0:t>
        </ns0:is>
      </ns0:c>
      <ns0:c r="P220" s="21" t="inlineStr">
        <ns0:is>
          <ns0:t>Not observed in assessed sources</ns0:t>
        </ns0:is>
      </ns0:c>
      <ns0:c r="Q220" s="21" t="inlineStr">
        <ns0:is>
          <ns0:t>Not reported in assessed sources</ns0:t>
        </ns0:is>
      </ns0:c>
      <ns0:c r="R220" s="21" t="inlineStr">
        <ns0:is>
          <ns0:t>Not reported in assessed sources</ns0:t>
        </ns0:is>
      </ns0:c>
      <ns0:c r="S220" s="21" t="inlineStr">
        <ns0:is>
          <ns0:t>Not reported in assessed sources</ns0:t>
        </ns0:is>
      </ns0:c>
      <ns0:c r="T220" s="21" t="inlineStr">
        <ns0:is>
          <ns0:t>Not reported in assessed sources</ns0:t>
        </ns0:is>
      </ns0:c>
      <ns0:c r="U220" s="21" t="inlineStr">
        <ns0:is>
          <ns0:t>Not reported in assessed sources</ns0:t>
        </ns0:is>
      </ns0:c>
      <ns0:c r="V220" s="21" t="inlineStr">
        <ns0:is>
          <ns0:t>Not reported in assessed sources</ns0:t>
        </ns0:is>
      </ns0:c>
      <ns0:c r="W220" s="21" t="inlineStr">
        <ns0:is>
          <ns0:t>Not reported in assessed sources</ns0:t>
        </ns0:is>
      </ns0:c>
      <ns0:c r="X220" s="21" t="inlineStr">
        <ns0:is>
          <ns0:t>Not reported in assessed sources</ns0:t>
        </ns0:is>
      </ns0:c>
      <ns0:c r="Y220" s="21" t="inlineStr">
        <ns0:is>
          <ns0:t>Not ascertainable</ns0:t>
        </ns0:is>
      </ns0:c>
      <ns0:c r="Z220" s="21" t="inlineStr">
        <ns0:is>
          <ns0:t>Not reported in assessed sources</ns0:t>
        </ns0:is>
      </ns0:c>
      <ns0:c r="AA220" s="21" t="inlineStr">
        <ns0:is>
          <ns0:t>Not recorded</ns0:t>
        </ns0:is>
      </ns0:c>
      <ns0:c r="AB220" s="28" t="n">
        <ns0:v>0</ns0:v>
      </ns0:c>
      <ns0:c r="AC220" s="28" t="n">
        <ns0:v>0</ns0:v>
      </ns0:c>
      <ns0:c r="AD220" s="29">
        <ns0:f>IF(AND(G220=1,AB220=0),1,0)</ns0:f>
        <ns0:v>1</ns0:v>
      </ns0:c>
      <ns0:c r="AE220" s="29">
        <ns0:f>IF(AND(AD220=1,AC220=0),1,0)</ns0:f>
        <ns0:v>1</ns0:v>
      </ns0:c>
      <ns0:c r="AF220" s="29">
        <ns0:f>IF(AND(G220=1,H220&lt;&gt;"Not specified"),1,0)</ns0:f>
        <ns0:v>1</ns0:v>
      </ns0:c>
      <ns0:c r="AG220" s="29">
        <ns0:f>IF(AND(AE220=1,AF220=1),1,0)</ns0:f>
        <ns0:v>1</ns0:v>
      </ns0:c>
      <ns0:c r="AH220" s="21" t="inlineStr">
        <ns0:is>
          <ns0:t>Supplied abstract/coding notes; no new full-text verification</ns0:t>
        </ns0:is>
      </ns0:c>
      <ns0:c r="AI220" s="21" t="inlineStr">
        <ns0:is>
          <ns0:t>https://doi.org/10.1007/978-3-031-45389-2_18</ns0:t>
        </ns0:is>
      </ns0:c>
      <ns0:c r="AJ220" s="21" t="inlineStr">
        <ns0:is>
          <ns0:t>EVIDENCIA; original abstract/coding notes and lot source trace; Historical signals: title/abstract/notes; full-text completion not independently established</ns0:t>
        </ns0:is>
      </ns0:c>
      <ns0:c r="AK220" s="21" t="inlineStr">
        <ns0:is>
          <ns0:t>Facial landmark-library comparison; classifier family not provided by available abstract.</ns0:t>
        </ns0:is>
      </ns0:c>
      <ns0:c r="AL220" s="21" t="inlineStr">
        <ns0:is>
          <ns0:t>Not applicable</ns0:t>
        </ns0:is>
      </ns0:c>
      <ns0:c r="AM220" s="21" t="inlineStr">
        <ns0:is>
          <ns0:t>Not separately specified</ns0:t>
        </ns0:is>
      </ns0:c>
      <ns0:c r="AN220" s="21" t="inlineStr"/>
      <ns0:c r="AO220" s="21" t="inlineStr">
        <ns0:is>
          <ns0:t>No additional status determination</ns0:t>
        </ns0:is>
      </ns0:c>
      <ns0:c r="AP220" s="21" t="inlineStr">
        <ns0:is>
          <ns0:t>Not documented for this recharting</ns0:t>
        </ns0:is>
      </ns0:c>
      <ns0:c r="AQ220" s="21" t="inlineStr">
        <ns0:is>
          <ns0:t>ChatGPT-assisted evidence recharting, 2026-09-08</ns0:t>
        </ns0:is>
      </ns0:c>
      <ns0:c r="AR220" s="21" t="inlineStr">
        <ns0:is>
          <ns0:t>RA</ns0:t>
        </ns0:is>
      </ns0:c>
      <ns0:c r="AS220" s="21" t="inlineStr">
        <ns0:is>
          <ns0:t>Not recorded; historical inclusion retained</ns0:t>
        </ns0:is>
      </ns0:c>
    </ns0:row>
    <ns0:row r="221" ht="50" customHeight="1">
      <ns0:c r="A221" s="19" t="inlineStr">
        <ns0:is>
          <ns0:t>235</ns0:t>
        </ns0:is>
      </ns0:c>
      <ns0:c r="B221" s="19" t="inlineStr">
        <ns0:is>
          <ns0:t>Historical</ns0:t>
        </ns0:is>
      </ns0:c>
      <ns0:c r="C221" s="19" t="inlineStr">
        <ns0:is>
          <ns0:t>Combining anatomical and functional networks for neuropathology identification: A case study on autism spectrum disorder</ns0:t>
        </ns0:is>
      </ns0:c>
      <ns0:c r="D221" s="19" t="inlineStr">
        <ns0:is>
          <ns0:t>10.1016/j.media.2021.101986</ns0:t>
        </ns0:is>
      </ns0:c>
      <ns0:c r="E221" s="26" t="n">
        <ns0:v>2021</ns0:v>
      </ns0:c>
      <ns0:c r="F221" s="19" t="inlineStr">
        <ns0:is>
          <ns0:t>Include</ns0:t>
        </ns0:is>
      </ns0:c>
      <ns0:c r="G221" s="27">
        <ns0:f>IF(F221="Include",1,0)</ns0:f>
        <ns0:v>1</ns0:v>
      </ns0:c>
      <ns0:c r="H221" s="19" t="inlineStr">
        <ns0:is>
          <ns0:t>Diagnosis</ns0:t>
        </ns0:is>
      </ns0:c>
      <ns0:c r="I221" s="19" t="inlineStr">
        <ns0:is>
          <ns0:t>Machine Learning</ns0:t>
        </ns0:is>
      </ns0:c>
      <ns0:c r="J221" s="19" t="inlineStr">
        <ns0:is>
          <ns0:t>Neuroimaging</ns0:t>
        </ns0:is>
      </ns0:c>
      <ns0:c r="K221" s="19" t="inlineStr">
        <ns0:is>
          <ns0:t>Decision tree</ns0:t>
        </ns0:is>
      </ns0:c>
      <ns0:c r="L221" s="19" t="inlineStr">
        <ns0:is>
          <ns0:t>Decision tree/rules</ns0:t>
        </ns0:is>
      </ns0:c>
      <ns0:c r="M221" s="19" t="inlineStr">
        <ns0:is>
          <ns0:t>Research only</ns0:t>
        </ns0:is>
      </ns0:c>
      <ns0:c r="N221" s="19" t="inlineStr">
        <ns0:is>
          <ns0:t>Automated measurement/classification</ns0:t>
        </ns0:is>
      </ns0:c>
      <ns0:c r="O221" s="19" t="inlineStr">
        <ns0:is>
          <ns0:t>Not observed in assessed sources</ns0:t>
        </ns0:is>
      </ns0:c>
      <ns0:c r="P221" s="19" t="inlineStr">
        <ns0:is>
          <ns0:t>Not observed in assessed sources</ns0:t>
        </ns0:is>
      </ns0:c>
      <ns0:c r="Q221" s="19" t="inlineStr">
        <ns0:is>
          <ns0:t>Not reported in assessed sources</ns0:t>
        </ns0:is>
      </ns0:c>
      <ns0:c r="R221" s="19" t="inlineStr">
        <ns0:is>
          <ns0:t>Reported</ns0:t>
        </ns0:is>
      </ns0:c>
      <ns0:c r="S221" s="19" t="inlineStr">
        <ns0:is>
          <ns0:t>Reported</ns0:t>
        </ns0:is>
      </ns0:c>
      <ns0:c r="T221" s="19" t="inlineStr">
        <ns0:is>
          <ns0:t>Not reported in assessed sources</ns0:t>
        </ns0:is>
      </ns0:c>
      <ns0:c r="U221" s="19" t="inlineStr">
        <ns0:is>
          <ns0:t>Not reported in assessed sources</ns0:t>
        </ns0:is>
      </ns0:c>
      <ns0:c r="V221" s="19" t="inlineStr">
        <ns0:is>
          <ns0:t>Reported</ns0:t>
        </ns0:is>
      </ns0:c>
      <ns0:c r="W221" s="19" t="inlineStr">
        <ns0:is>
          <ns0:t>Reported</ns0:t>
        </ns0:is>
      </ns0:c>
      <ns0:c r="X221" s="19" t="inlineStr">
        <ns0:is>
          <ns0:t>Not reported in assessed sources</ns0:t>
        </ns0:is>
      </ns0:c>
      <ns0:c r="Y221" s="19" t="inlineStr">
        <ns0:is>
          <ns0:t>Not ascertainable</ns0:t>
        </ns0:is>
      </ns0:c>
      <ns0:c r="Z221" s="19" t="inlineStr">
        <ns0:is>
          <ns0:t>Reported</ns0:t>
        </ns0:is>
      </ns0:c>
      <ns0:c r="AA221" s="19" t="inlineStr">
        <ns0:is>
          <ns0:t>Not recorded</ns0:t>
        </ns0:is>
      </ns0:c>
      <ns0:c r="AB221" s="26" t="n">
        <ns0:v>0</ns0:v>
      </ns0:c>
      <ns0:c r="AC221" s="26" t="n">
        <ns0:v>0</ns0:v>
      </ns0:c>
      <ns0:c r="AD221" s="27">
        <ns0:f>IF(AND(G221=1,AB221=0),1,0)</ns0:f>
        <ns0:v>1</ns0:v>
      </ns0:c>
      <ns0:c r="AE221" s="27">
        <ns0:f>IF(AND(AD221=1,AC221=0),1,0)</ns0:f>
        <ns0:v>1</ns0:v>
      </ns0:c>
      <ns0:c r="AF221" s="27">
        <ns0:f>IF(AND(G221=1,H221&lt;&gt;"Not specified"),1,0)</ns0:f>
        <ns0:v>1</ns0:v>
      </ns0:c>
      <ns0:c r="AG221" s="27">
        <ns0:f>IF(AND(AE221=1,AF221=1),1,0)</ns0:f>
        <ns0:v>1</ns0:v>
      </ns0:c>
      <ns0:c r="AH221" s="19" t="inlineStr">
        <ns0:is>
          <ns0:t>Supplied abstract/coding notes; no new full-text verification</ns0:t>
        </ns0:is>
      </ns0:c>
      <ns0:c r="AI221" s="19" t="inlineStr">
        <ns0:is>
          <ns0:t>https://doi.org/10.1016/j.media.2021.101986</ns0:t>
        </ns0:is>
      </ns0:c>
      <ns0:c r="AJ221" s="19" t="inlineStr">
        <ns0:is>
          <ns0:t>EVIDENCIA; original abstract/coding notes and lot source trace; Historical signals: title/abstract/notes; full-text completion not independently established</ns0:t>
        </ns0:is>
      </ns0:c>
      <ns0:c r="AK221" s="19" t="inlineStr">
        <ns0:is>
          <ns0:t>Anatomical graph and functional MRI signals fused; Fukunaga-Koontz features and interpretable decision-tree model.</ns0:t>
        </ns0:is>
      </ns0:c>
      <ns0:c r="AL221" s="19" t="inlineStr">
        <ns0:is>
          <ns0:t>Not applicable</ns0:t>
        </ns0:is>
      </ns0:c>
      <ns0:c r="AM221" s="19" t="inlineStr">
        <ns0:is>
          <ns0:t>Not separately specified</ns0:t>
        </ns0:is>
      </ns0:c>
      <ns0:c r="AN221" s="19" t="inlineStr"/>
      <ns0:c r="AO221" s="19" t="inlineStr">
        <ns0:is>
          <ns0:t>No additional status determination</ns0:t>
        </ns0:is>
      </ns0:c>
      <ns0:c r="AP221" s="19" t="inlineStr">
        <ns0:is>
          <ns0:t>Not documented for this recharting</ns0:t>
        </ns0:is>
      </ns0:c>
      <ns0:c r="AQ221" s="19" t="inlineStr">
        <ns0:is>
          <ns0:t>ChatGPT-assisted evidence recharting, 2026-09-08</ns0:t>
        </ns0:is>
      </ns0:c>
      <ns0:c r="AR221" s="19" t="inlineStr"/>
      <ns0:c r="AS221" s="19" t="inlineStr">
        <ns0:is>
          <ns0:t>Not recorded; historical inclusion retained</ns0:t>
        </ns0:is>
      </ns0:c>
    </ns0:row>
    <ns0:row r="222" ht="50" customHeight="1">
      <ns0:c r="A222" s="21" t="inlineStr">
        <ns0:is>
          <ns0:t>236</ns0:t>
        </ns0:is>
      </ns0:c>
      <ns0:c r="B222" s="21" t="inlineStr">
        <ns0:is>
          <ns0:t>Historical</ns0:t>
        </ns0:is>
      </ns0:c>
      <ns0:c r="C222" s="21" t="inlineStr">
        <ns0:is>
          <ns0:t>Correlations between blood group and Rh factor in families and autism spectrum disorder: A comprehensive analysis</ns0:t>
        </ns0:is>
      </ns0:c>
      <ns0:c r="D222" s="21" t="inlineStr">
        <ns0:is>
          <ns0:t>10.1038/s41598-025-97313-8</ns0:t>
        </ns0:is>
      </ns0:c>
      <ns0:c r="E222" s="28" t="n">
        <ns0:v>2025</ns0:v>
      </ns0:c>
      <ns0:c r="F222" s="21" t="inlineStr">
        <ns0:is>
          <ns0:t>Include</ns0:t>
        </ns0:is>
      </ns0:c>
      <ns0:c r="G222" s="29">
        <ns0:f>IF(F222="Include",1,0)</ns0:f>
        <ns0:v>1</ns0:v>
      </ns0:c>
      <ns0:c r="H222" s="21" t="inlineStr">
        <ns0:is>
          <ns0:t>Not specified</ns0:t>
        </ns0:is>
      </ns0:c>
      <ns0:c r="I222" s="21" t="inlineStr">
        <ns0:is>
          <ns0:t>Machine Learning</ns0:t>
        </ns0:is>
      </ns0:c>
      <ns0:c r="J222" s="21" t="inlineStr">
        <ns0:is>
          <ns0:t>Structured clinical/questionnaire data</ns0:t>
        </ns0:is>
      </ns0:c>
      <ns0:c r="K222" s="21" t="inlineStr">
        <ns0:is>
          <ns0:t>Logistic regression / ML unspecified</ns0:t>
        </ns0:is>
      </ns0:c>
      <ns0:c r="L222" s="21" t="inlineStr">
        <ns0:is>
          <ns0:t>Multiple/not uniquely specified</ns0:t>
        </ns0:is>
      </ns0:c>
      <ns0:c r="M222" s="21" t="inlineStr">
        <ns0:is>
          <ns0:t>Research only</ns0:t>
        </ns0:is>
      </ns0:c>
      <ns0:c r="N222" s="21" t="inlineStr">
        <ns0:is>
          <ns0:t>Research characterization</ns0:t>
        </ns0:is>
      </ns0:c>
      <ns0:c r="O222" s="21" t="inlineStr">
        <ns0:is>
          <ns0:t>Not observed in assessed sources</ns0:t>
        </ns0:is>
      </ns0:c>
      <ns0:c r="P222" s="21" t="inlineStr">
        <ns0:is>
          <ns0:t>Not observed in assessed sources</ns0:t>
        </ns0:is>
      </ns0:c>
      <ns0:c r="Q222" s="21" t="inlineStr">
        <ns0:is>
          <ns0:t>Not reported in assessed sources</ns0:t>
        </ns0:is>
      </ns0:c>
      <ns0:c r="R222" s="21" t="inlineStr">
        <ns0:is>
          <ns0:t>Not reported in assessed sources</ns0:t>
        </ns0:is>
      </ns0:c>
      <ns0:c r="S222" s="21" t="inlineStr">
        <ns0:is>
          <ns0:t>Not reported in assessed sources</ns0:t>
        </ns0:is>
      </ns0:c>
      <ns0:c r="T222" s="21" t="inlineStr">
        <ns0:is>
          <ns0:t>Not reported in assessed sources</ns0:t>
        </ns0:is>
      </ns0:c>
      <ns0:c r="U222" s="21" t="inlineStr">
        <ns0:is>
          <ns0:t>Not reported in assessed sources</ns0:t>
        </ns0:is>
      </ns0:c>
      <ns0:c r="V222" s="21" t="inlineStr">
        <ns0:is>
          <ns0:t>Not reported in assessed sources</ns0:t>
        </ns0:is>
      </ns0:c>
      <ns0:c r="W222" s="21" t="inlineStr">
        <ns0:is>
          <ns0:t>Not reported in assessed sources</ns0:t>
        </ns0:is>
      </ns0:c>
      <ns0:c r="X222" s="21" t="inlineStr">
        <ns0:is>
          <ns0:t>Not reported in assessed sources</ns0:t>
        </ns0:is>
      </ns0:c>
      <ns0:c r="Y222" s="21" t="inlineStr">
        <ns0:is>
          <ns0:t>Not ascertainable</ns0:t>
        </ns0:is>
      </ns0:c>
      <ns0:c r="Z222" s="21" t="inlineStr">
        <ns0:is>
          <ns0:t>Not reported in assessed sources</ns0:t>
        </ns0:is>
      </ns0:c>
      <ns0:c r="AA222" s="21" t="inlineStr">
        <ns0:is>
          <ns0:t>Not recorded</ns0:t>
        </ns0:is>
      </ns0:c>
      <ns0:c r="AB222" s="28" t="n">
        <ns0:v>0</ns0:v>
      </ns0:c>
      <ns0:c r="AC222" s="28" t="n">
        <ns0:v>0</ns0:v>
      </ns0:c>
      <ns0:c r="AD222" s="29">
        <ns0:f>IF(AND(G222=1,AB222=0),1,0)</ns0:f>
        <ns0:v>1</ns0:v>
      </ns0:c>
      <ns0:c r="AE222" s="29">
        <ns0:f>IF(AND(AD222=1,AC222=0),1,0)</ns0:f>
        <ns0:v>1</ns0:v>
      </ns0:c>
      <ns0:c r="AF222" s="29">
        <ns0:f>IF(AND(G222=1,H222&lt;&gt;"Not specified"),1,0)</ns0:f>
        <ns0:v>0</ns0:v>
      </ns0:c>
      <ns0:c r="AG222" s="29">
        <ns0:f>IF(AND(AE222=1,AF222=1),1,0)</ns0:f>
        <ns0:v>0</ns0:v>
      </ns0:c>
      <ns0:c r="AH222" s="21" t="inlineStr">
        <ns0:is>
          <ns0:t>Supplied abstract/coding notes; no new full-text verification</ns0:t>
        </ns0:is>
      </ns0:c>
      <ns0:c r="AI222" s="21" t="inlineStr">
        <ns0:is>
          <ns0:t>https://doi.org/10.1038/s41598-025-97313-8</ns0:t>
        </ns0:is>
      </ns0:c>
      <ns0:c r="AJ222" s="21" t="inlineStr">
        <ns0:is>
          <ns0:t>EVIDENCIA; original abstract/coding notes and lot source trace; Historical signals: title/abstract/notes; full-text completion not independently established</ns0:t>
        </ns0:is>
      </ns0:c>
      <ns0:c r="AK222" s="21" t="inlineStr">
        <ns0:is>
          <ns0:t>Blood group/Rh association study explicitly mentions machine learning, but no prospective risk model or operational workflow is established.</ns0:t>
        </ns0:is>
      </ns0:c>
      <ns0:c r="AL222" s="21" t="inlineStr">
        <ns0:is>
          <ns0:t>Not applicable</ns0:t>
        </ns0:is>
      </ns0:c>
      <ns0:c r="AM222" s="21" t="inlineStr">
        <ns0:is>
          <ns0:t>Not separately specified</ns0:t>
        </ns0:is>
      </ns0:c>
      <ns0:c r="AN222" s="21" t="inlineStr"/>
      <ns0:c r="AO222" s="21" t="inlineStr">
        <ns0:is>
          <ns0:t>No additional status determination</ns0:t>
        </ns0:is>
      </ns0:c>
      <ns0:c r="AP222" s="21" t="inlineStr">
        <ns0:is>
          <ns0:t>Not documented for this recharting</ns0:t>
        </ns0:is>
      </ns0:c>
      <ns0:c r="AQ222" s="21" t="inlineStr">
        <ns0:is>
          <ns0:t>ChatGPT-assisted evidence recharting, 2026-09-08</ns0:t>
        </ns0:is>
      </ns0:c>
      <ns0:c r="AR222" s="21" t="inlineStr">
        <ns0:is>
          <ns0:t>RA</ns0:t>
        </ns0:is>
      </ns0:c>
      <ns0:c r="AS222" s="21" t="inlineStr">
        <ns0:is>
          <ns0:t>Not recorded; historical inclusion retained</ns0:t>
        </ns0:is>
      </ns0:c>
    </ns0:row>
    <ns0:row r="223" ht="50" customHeight="1">
      <ns0:c r="A223" s="19" t="inlineStr">
        <ns0:is>
          <ns0:t>237</ns0:t>
        </ns0:is>
      </ns0:c>
      <ns0:c r="B223" s="19" t="inlineStr">
        <ns0:is>
          <ns0:t>Historical</ns0:t>
        </ns0:is>
      </ns0:c>
      <ns0:c r="C223" s="19" t="inlineStr">
        <ns0:is>
          <ns0:t>Cross-linguistic patterns of speech prosodic differences in autism: A machine learning study</ns0:t>
        </ns0:is>
      </ns0:c>
      <ns0:c r="D223" s="19" t="inlineStr">
        <ns0:is>
          <ns0:t>10.1371/journal.pone.0269637</ns0:t>
        </ns0:is>
      </ns0:c>
      <ns0:c r="E223" s="26" t="n">
        <ns0:v>2022</ns0:v>
      </ns0:c>
      <ns0:c r="F223" s="19" t="inlineStr">
        <ns0:is>
          <ns0:t>Include</ns0:t>
        </ns0:is>
      </ns0:c>
      <ns0:c r="G223" s="27">
        <ns0:f>IF(F223="Include",1,0)</ns0:f>
        <ns0:v>1</ns0:v>
      </ns0:c>
      <ns0:c r="H223" s="19" t="inlineStr">
        <ns0:is>
          <ns0:t>Diagnosis</ns0:t>
        </ns0:is>
      </ns0:c>
      <ns0:c r="I223" s="19" t="inlineStr">
        <ns0:is>
          <ns0:t>Machine Learning</ns0:t>
        </ns0:is>
      </ns0:c>
      <ns0:c r="J223" s="19" t="inlineStr">
        <ns0:is>
          <ns0:t>Audio/voice</ns0:t>
        </ns0:is>
      </ns0:c>
      <ns0:c r="K223" s="19" t="inlineStr">
        <ns0:is>
          <ns0:t>Not specified</ns0:t>
        </ns0:is>
      </ns0:c>
      <ns0:c r="L223" s="19" t="inlineStr">
        <ns0:is>
          <ns0:t>Multiple/not uniquely specified</ns0:t>
        </ns0:is>
      </ns0:c>
      <ns0:c r="M223" s="19" t="inlineStr">
        <ns0:is>
          <ns0:t>Research only</ns0:t>
        </ns0:is>
      </ns0:c>
      <ns0:c r="N223" s="19" t="inlineStr">
        <ns0:is>
          <ns0:t>Automated measurement/classification</ns0:t>
        </ns0:is>
      </ns0:c>
      <ns0:c r="O223" s="19" t="inlineStr">
        <ns0:is>
          <ns0:t>Not observed in assessed sources</ns0:t>
        </ns0:is>
      </ns0:c>
      <ns0:c r="P223" s="19" t="inlineStr">
        <ns0:is>
          <ns0:t>Not observed in assessed sources</ns0:t>
        </ns0:is>
      </ns0:c>
      <ns0:c r="Q223" s="19" t="inlineStr">
        <ns0:is>
          <ns0:t>Not reported in assessed sources</ns0:t>
        </ns0:is>
      </ns0:c>
      <ns0:c r="R223" s="19" t="inlineStr">
        <ns0:is>
          <ns0:t>Not reported in assessed sources</ns0:t>
        </ns0:is>
      </ns0:c>
      <ns0:c r="S223" s="19" t="inlineStr">
        <ns0:is>
          <ns0:t>Not reported in assessed sources</ns0:t>
        </ns0:is>
      </ns0:c>
      <ns0:c r="T223" s="19" t="inlineStr">
        <ns0:is>
          <ns0:t>Not reported in assessed sources</ns0:t>
        </ns0:is>
      </ns0:c>
      <ns0:c r="U223" s="19" t="inlineStr">
        <ns0:is>
          <ns0:t>Not reported in assessed sources</ns0:t>
        </ns0:is>
      </ns0:c>
      <ns0:c r="V223" s="19" t="inlineStr">
        <ns0:is>
          <ns0:t>Not reported in assessed sources</ns0:t>
        </ns0:is>
      </ns0:c>
      <ns0:c r="W223" s="19" t="inlineStr">
        <ns0:is>
          <ns0:t>Not reported in assessed sources</ns0:t>
        </ns0:is>
      </ns0:c>
      <ns0:c r="X223" s="19" t="inlineStr">
        <ns0:is>
          <ns0:t>Not reported in assessed sources</ns0:t>
        </ns0:is>
      </ns0:c>
      <ns0:c r="Y223" s="19" t="inlineStr">
        <ns0:is>
          <ns0:t>Not ascertainable</ns0:t>
        </ns0:is>
      </ns0:c>
      <ns0:c r="Z223" s="19" t="inlineStr">
        <ns0:is>
          <ns0:t>Not reported in assessed sources</ns0:t>
        </ns0:is>
      </ns0:c>
      <ns0:c r="AA223" s="19" t="inlineStr">
        <ns0:is>
          <ns0:t>Not recorded</ns0:t>
        </ns0:is>
      </ns0:c>
      <ns0:c r="AB223" s="26" t="n">
        <ns0:v>0</ns0:v>
      </ns0:c>
      <ns0:c r="AC223" s="26" t="n">
        <ns0:v>0</ns0:v>
      </ns0:c>
      <ns0:c r="AD223" s="27">
        <ns0:f>IF(AND(G223=1,AB223=0),1,0)</ns0:f>
        <ns0:v>1</ns0:v>
      </ns0:c>
      <ns0:c r="AE223" s="27">
        <ns0:f>IF(AND(AD223=1,AC223=0),1,0)</ns0:f>
        <ns0:v>1</ns0:v>
      </ns0:c>
      <ns0:c r="AF223" s="27">
        <ns0:f>IF(AND(G223=1,H223&lt;&gt;"Not specified"),1,0)</ns0:f>
        <ns0:v>1</ns0:v>
      </ns0:c>
      <ns0:c r="AG223" s="27">
        <ns0:f>IF(AND(AE223=1,AF223=1),1,0)</ns0:f>
        <ns0:v>1</ns0:v>
      </ns0:c>
      <ns0:c r="AH223" s="19" t="inlineStr">
        <ns0:is>
          <ns0:t>Supplied abstract/coding notes; no new full-text verification</ns0:t>
        </ns0:is>
      </ns0:c>
      <ns0:c r="AI223" s="19" t="inlineStr">
        <ns0:is>
          <ns0:t>https://doi.org/10.1371/journal.pone.0269637</ns0:t>
        </ns0:is>
      </ns0:c>
      <ns0:c r="AJ223" s="19" t="inlineStr">
        <ns0:is>
          <ns0:t>EVIDENCIA; original abstract/coding notes and lot source trace; Historical signals: title/abstract/notes; full-text completion not independently established</ns0:t>
        </ns0:is>
      </ns0:c>
      <ns0:c r="AK223" s="19" t="inlineStr">
        <ns0:is>
          <ns0:t>Acoustic prosody classification within and across English and Cantonese; not text analysis. Cross-language transfer is not automatically cross-site robustness.</ns0:t>
        </ns0:is>
      </ns0:c>
      <ns0:c r="AL223" s="19" t="inlineStr">
        <ns0:is>
          <ns0:t>Not applicable</ns0:t>
        </ns0:is>
      </ns0:c>
      <ns0:c r="AM223" s="19" t="inlineStr">
        <ns0:is>
          <ns0:t>Not separately specified</ns0:t>
        </ns0:is>
      </ns0:c>
      <ns0:c r="AN223" s="19" t="inlineStr"/>
      <ns0:c r="AO223" s="19" t="inlineStr">
        <ns0:is>
          <ns0:t>No additional status determination</ns0:t>
        </ns0:is>
      </ns0:c>
      <ns0:c r="AP223" s="19" t="inlineStr">
        <ns0:is>
          <ns0:t>Not documented for this recharting</ns0:t>
        </ns0:is>
      </ns0:c>
      <ns0:c r="AQ223" s="19" t="inlineStr">
        <ns0:is>
          <ns0:t>ChatGPT-assisted evidence recharting, 2026-09-08</ns0:t>
        </ns0:is>
      </ns0:c>
      <ns0:c r="AR223" s="19" t="inlineStr">
        <ns0:is>
          <ns0:t>RA</ns0:t>
        </ns0:is>
      </ns0:c>
      <ns0:c r="AS223" s="19" t="inlineStr">
        <ns0:is>
          <ns0:t>Not recorded; historical inclusion retained</ns0:t>
        </ns0:is>
      </ns0:c>
    </ns0:row>
    <ns0:row r="224" ht="50" customHeight="1">
      <ns0:c r="A224" s="21" t="inlineStr">
        <ns0:is>
          <ns0:t>238</ns0:t>
        </ns0:is>
      </ns0:c>
      <ns0:c r="B224" s="21" t="inlineStr">
        <ns0:is>
          <ns0:t>Historical</ns0:t>
        </ns0:is>
      </ns0:c>
      <ns0:c r="C224" s="21" t="inlineStr">
        <ns0:is>
          <ns0:t>Data mining and machine learning techniques for early detection in autism spectrum disorder</ns0:t>
        </ns0:is>
      </ns0:c>
      <ns0:c r="D224" s="21" t="inlineStr">
        <ns0:is>
          <ns0:t>10.1016/b978-0-12-822822-7.00006-5</ns0:t>
        </ns0:is>
      </ns0:c>
      <ns0:c r="E224" s="28" t="n">
        <ns0:v>2021</ns0:v>
      </ns0:c>
      <ns0:c r="F224" s="30" t="inlineStr">
        <ns0:is>
          <ns0:t>Exclude</ns0:t>
        </ns0:is>
      </ns0:c>
      <ns0:c r="G224" s="29">
        <ns0:f>IF(F224="Include",1,0)</ns0:f>
        <ns0:v>0</ns0:v>
      </ns0:c>
      <ns0:c r="H224" s="21" t="inlineStr">
        <ns0:is>
          <ns0:t>Excluded</ns0:t>
        </ns0:is>
      </ns0:c>
      <ns0:c r="I224" s="21" t="inlineStr">
        <ns0:is>
          <ns0:t>Excluded</ns0:t>
        </ns0:is>
      </ns0:c>
      <ns0:c r="J224" s="21" t="inlineStr">
        <ns0:is>
          <ns0:t>Excluded</ns0:t>
        </ns0:is>
      </ns0:c>
      <ns0:c r="K224" s="21" t="inlineStr">
        <ns0:is>
          <ns0:t>Not specified</ns0:t>
        </ns0:is>
      </ns0:c>
      <ns0:c r="L224" s="21" t="inlineStr">
        <ns0:is>
          <ns0:t>Multiple/not uniquely specified</ns0:t>
        </ns0:is>
      </ns0:c>
      <ns0:c r="M224" s="21" t="inlineStr">
        <ns0:is>
          <ns0:t>Excluded</ns0:t>
        </ns0:is>
      </ns0:c>
      <ns0:c r="N224" s="21" t="inlineStr">
        <ns0:is>
          <ns0:t>Excluded</ns0:t>
        </ns0:is>
      </ns0:c>
      <ns0:c r="O224" s="21" t="inlineStr">
        <ns0:is>
          <ns0:t>Not applicable - excluded</ns0:t>
        </ns0:is>
      </ns0:c>
      <ns0:c r="P224" s="21" t="inlineStr">
        <ns0:is>
          <ns0:t>Not applicable - excluded</ns0:t>
        </ns0:is>
      </ns0:c>
      <ns0:c r="Q224" s="21" t="inlineStr">
        <ns0:is>
          <ns0:t>Not reported in assessed sources</ns0:t>
        </ns0:is>
      </ns0:c>
      <ns0:c r="R224" s="21" t="inlineStr">
        <ns0:is>
          <ns0:t>Not reported in assessed sources</ns0:t>
        </ns0:is>
      </ns0:c>
      <ns0:c r="S224" s="21" t="inlineStr">
        <ns0:is>
          <ns0:t>Not reported in assessed sources</ns0:t>
        </ns0:is>
      </ns0:c>
      <ns0:c r="T224" s="21" t="inlineStr">
        <ns0:is>
          <ns0:t>Not reported in assessed sources</ns0:t>
        </ns0:is>
      </ns0:c>
      <ns0:c r="U224" s="21" t="inlineStr">
        <ns0:is>
          <ns0:t>Not reported in assessed sources</ns0:t>
        </ns0:is>
      </ns0:c>
      <ns0:c r="V224" s="21" t="inlineStr">
        <ns0:is>
          <ns0:t>Not reported in assessed sources</ns0:t>
        </ns0:is>
      </ns0:c>
      <ns0:c r="W224" s="21" t="inlineStr">
        <ns0:is>
          <ns0:t>Not reported in assessed sources</ns0:t>
        </ns0:is>
      </ns0:c>
      <ns0:c r="X224" s="21" t="inlineStr">
        <ns0:is>
          <ns0:t>Not reported in assessed sources</ns0:t>
        </ns0:is>
      </ns0:c>
      <ns0:c r="Y224" s="21" t="inlineStr">
        <ns0:is>
          <ns0:t>Not ascertainable</ns0:t>
        </ns0:is>
      </ns0:c>
      <ns0:c r="Z224" s="21" t="inlineStr">
        <ns0:is>
          <ns0:t>Not reported in assessed sources</ns0:t>
        </ns0:is>
      </ns0:c>
      <ns0:c r="AA224" s="21" t="inlineStr">
        <ns0:is>
          <ns0:t>Not recorded</ns0:t>
        </ns0:is>
      </ns0:c>
      <ns0:c r="AB224" s="28" t="n">
        <ns0:v>0</ns0:v>
      </ns0:c>
      <ns0:c r="AC224" s="28" t="n">
        <ns0:v>0</ns0:v>
      </ns0:c>
      <ns0:c r="AD224" s="29">
        <ns0:f>IF(AND(G224=1,AB224=0),1,0)</ns0:f>
        <ns0:v>0</ns0:v>
      </ns0:c>
      <ns0:c r="AE224" s="29">
        <ns0:f>IF(AND(AD224=1,AC224=0),1,0)</ns0:f>
        <ns0:v>0</ns0:v>
      </ns0:c>
      <ns0:c r="AF224" s="29">
        <ns0:f>IF(AND(G224=1,H224&lt;&gt;"Not specified"),1,0)</ns0:f>
        <ns0:v>0</ns0:v>
      </ns0:c>
      <ns0:c r="AG224" s="29">
        <ns0:f>IF(AND(AE224=1,AF224=1),1,0)</ns0:f>
        <ns0:v>0</ns0:v>
      </ns0:c>
      <ns0:c r="AH224" s="21" t="inlineStr">
        <ns0:is>
          <ns0:t>Supplied abstract/coding notes; no new full-text verification</ns0:t>
        </ns0:is>
      </ns0:c>
      <ns0:c r="AI224" s="21" t="inlineStr">
        <ns0:is>
          <ns0:t>https://doi.org/10.1016/b978-0-12-822822-7.00006-5</ns0:t>
        </ns0:is>
      </ns0:c>
      <ns0:c r="AJ224" s="21" t="inlineStr">
        <ns0:is>
          <ns0:t>EVIDENCIA; original abstract/coding notes and lot source trace; Historical signals: title/abstract/notes; full-text completion not independently established</ns0:t>
        </ns0:is>
      </ns0:c>
      <ns0:c r="AK224" s="21" t="inlineStr">
        <ns0:is>
          <ns0:t>Elsevier B978 edited-book chapter. The current source eligibility codebook excludes standalone chapters, while retaining full conference proceedings.</ns0:t>
        </ns0:is>
      </ns0:c>
      <ns0:c r="AL224" s="21" t="inlineStr">
        <ns0:is>
          <ns0:t>Ineligible publication type: standalone book chapter</ns0:t>
        </ns0:is>
      </ns0:c>
      <ns0:c r="AM224" s="21" t="inlineStr">
        <ns0:is>
          <ns0:t>Not separately specified</ns0:t>
        </ns0:is>
      </ns0:c>
      <ns0:c r="AN224" s="21" t="inlineStr"/>
      <ns0:c r="AO224" s="21" t="inlineStr">
        <ns0:is>
          <ns0:t>No additional status determination</ns0:t>
        </ns0:is>
      </ns0:c>
      <ns0:c r="AP224" s="21" t="inlineStr">
        <ns0:is>
          <ns0:t>Not documented for this recharting</ns0:t>
        </ns0:is>
      </ns0:c>
      <ns0:c r="AQ224" s="21" t="inlineStr">
        <ns0:is>
          <ns0:t>ChatGPT-assisted evidence recharting, 2026-09-08</ns0:t>
        </ns0:is>
      </ns0:c>
      <ns0:c r="AR224" s="21" t="inlineStr"/>
      <ns0:c r="AS224" s="21" t="inlineStr">
        <ns0:is>
          <ns0:t>Not recorded; historical inclusion retained</ns0:t>
        </ns0:is>
      </ns0:c>
    </ns0:row>
    <ns0:row r="225" ht="50" customHeight="1">
      <ns0:c r="A225" s="19" t="inlineStr">
        <ns0:is>
          <ns0:t>239</ns0:t>
        </ns0:is>
      </ns0:c>
      <ns0:c r="B225" s="19" t="inlineStr">
        <ns0:is>
          <ns0:t>Historical</ns0:t>
        </ns0:is>
      </ns0:c>
      <ns0:c r="C225" s="19" t="inlineStr">
        <ns0:is>
          <ns0:t>Diagnosing autism severity associated with physical fitness and gray matter volume in children with autism spectrum disorder: Explainable machine learning method</ns0:t>
        </ns0:is>
      </ns0:c>
      <ns0:c r="D225" s="19" t="inlineStr">
        <ns0:is>
          <ns0:t>10.1016/j.ctcp.2023.101825</ns0:t>
        </ns0:is>
      </ns0:c>
      <ns0:c r="E225" s="26" t="n">
        <ns0:v>2024</ns0:v>
      </ns0:c>
      <ns0:c r="F225" s="19" t="inlineStr">
        <ns0:is>
          <ns0:t>Include</ns0:t>
        </ns0:is>
      </ns0:c>
      <ns0:c r="G225" s="27">
        <ns0:f>IF(F225="Include",1,0)</ns0:f>
        <ns0:v>1</ns0:v>
      </ns0:c>
      <ns0:c r="H225" s="19" t="inlineStr">
        <ns0:is>
          <ns0:t>Diagnosis</ns0:t>
        </ns0:is>
      </ns0:c>
      <ns0:c r="I225" s="19" t="inlineStr">
        <ns0:is>
          <ns0:t>Machine Learning</ns0:t>
        </ns0:is>
      </ns0:c>
      <ns0:c r="J225" s="19" t="inlineStr">
        <ns0:is>
          <ns0:t>Multiple source categories</ns0:t>
        </ns0:is>
      </ns0:c>
      <ns0:c r="K225" s="19" t="inlineStr">
        <ns0:is>
          <ns0:t>Gradient boosting</ns0:t>
        </ns0:is>
      </ns0:c>
      <ns0:c r="L225" s="19" t="inlineStr">
        <ns0:is>
          <ns0:t>Gradient boosting</ns0:t>
        </ns0:is>
      </ns0:c>
      <ns0:c r="M225" s="19" t="inlineStr">
        <ns0:is>
          <ns0:t>Research only</ns0:t>
        </ns0:is>
      </ns0:c>
      <ns0:c r="N225" s="19" t="inlineStr">
        <ns0:is>
          <ns0:t>Automated measurement/classification</ns0:t>
        </ns0:is>
      </ns0:c>
      <ns0:c r="O225" s="19" t="inlineStr">
        <ns0:is>
          <ns0:t>Not observed in assessed sources</ns0:t>
        </ns0:is>
      </ns0:c>
      <ns0:c r="P225" s="19" t="inlineStr">
        <ns0:is>
          <ns0:t>Not observed in assessed sources</ns0:t>
        </ns0:is>
      </ns0:c>
      <ns0:c r="Q225" s="19" t="inlineStr">
        <ns0:is>
          <ns0:t>Not reported in assessed sources</ns0:t>
        </ns0:is>
      </ns0:c>
      <ns0:c r="R225" s="19" t="inlineStr">
        <ns0:is>
          <ns0:t>Reported</ns0:t>
        </ns0:is>
      </ns0:c>
      <ns0:c r="S225" s="19" t="inlineStr">
        <ns0:is>
          <ns0:t>Reported</ns0:t>
        </ns0:is>
      </ns0:c>
      <ns0:c r="T225" s="19" t="inlineStr">
        <ns0:is>
          <ns0:t>Reported</ns0:t>
        </ns0:is>
      </ns0:c>
      <ns0:c r="U225" s="19" t="inlineStr">
        <ns0:is>
          <ns0:t>Not reported in assessed sources</ns0:t>
        </ns0:is>
      </ns0:c>
      <ns0:c r="V225" s="19" t="inlineStr">
        <ns0:is>
          <ns0:t>Not reported in assessed sources</ns0:t>
        </ns0:is>
      </ns0:c>
      <ns0:c r="W225" s="19" t="inlineStr">
        <ns0:is>
          <ns0:t>Reported</ns0:t>
        </ns0:is>
      </ns0:c>
      <ns0:c r="X225" s="19" t="inlineStr">
        <ns0:is>
          <ns0:t>Not reported in assessed sources</ns0:t>
        </ns0:is>
      </ns0:c>
      <ns0:c r="Y225" s="19" t="inlineStr">
        <ns0:is>
          <ns0:t>Not ascertainable</ns0:t>
        </ns0:is>
      </ns0:c>
      <ns0:c r="Z225" s="19" t="inlineStr">
        <ns0:is>
          <ns0:t>Not reported in assessed sources</ns0:t>
        </ns0:is>
      </ns0:c>
      <ns0:c r="AA225" s="19" t="inlineStr">
        <ns0:is>
          <ns0:t>Not recorded</ns0:t>
        </ns0:is>
      </ns0:c>
      <ns0:c r="AB225" s="26" t="n">
        <ns0:v>0</ns0:v>
      </ns0:c>
      <ns0:c r="AC225" s="26" t="n">
        <ns0:v>0</ns0:v>
      </ns0:c>
      <ns0:c r="AD225" s="27">
        <ns0:f>IF(AND(G225=1,AB225=0),1,0)</ns0:f>
        <ns0:v>1</ns0:v>
      </ns0:c>
      <ns0:c r="AE225" s="27">
        <ns0:f>IF(AND(AD225=1,AC225=0),1,0)</ns0:f>
        <ns0:v>1</ns0:v>
      </ns0:c>
      <ns0:c r="AF225" s="27">
        <ns0:f>IF(AND(G225=1,H225&lt;&gt;"Not specified"),1,0)</ns0:f>
        <ns0:v>1</ns0:v>
      </ns0:c>
      <ns0:c r="AG225" s="27">
        <ns0:f>IF(AND(AE225=1,AF225=1),1,0)</ns0:f>
        <ns0:v>1</ns0:v>
      </ns0:c>
      <ns0:c r="AH225" s="19" t="inlineStr">
        <ns0:is>
          <ns0:t>Supplied abstract/coding notes; no new full-text verification</ns0:t>
        </ns0:is>
      </ns0:c>
      <ns0:c r="AI225" s="19" t="inlineStr">
        <ns0:is>
          <ns0:t>https://doi.org/10.1016/j.ctcp.2023.101825</ns0:t>
        </ns0:is>
      </ns0:c>
      <ns0:c r="AJ225" s="19" t="inlineStr">
        <ns0:is>
          <ns0:t>EVIDENCIA; original abstract/coding notes and lot source trace; Historical signals: title/abstract/notes; full-text completion not independently established</ns0:t>
        </ns0:is>
      </ns0:c>
      <ns0:c r="AK225" s="19" t="inlineStr">
        <ns0:is>
          <ns0:t>Physical fitness and MRI gray-matter volumes jointly predict concurrent severity; XGBoost emphasized and SHAP explicitly reported.</ns0:t>
        </ns0:is>
      </ns0:c>
      <ns0:c r="AL225" s="19" t="inlineStr">
        <ns0:is>
          <ns0:t>Not applicable</ns0:t>
        </ns0:is>
      </ns0:c>
      <ns0:c r="AM225" s="19" t="inlineStr">
        <ns0:is>
          <ns0:t>Not separately specified</ns0:t>
        </ns0:is>
      </ns0:c>
      <ns0:c r="AN225" s="19" t="inlineStr"/>
      <ns0:c r="AO225" s="19" t="inlineStr">
        <ns0:is>
          <ns0:t>No additional status determination</ns0:t>
        </ns0:is>
      </ns0:c>
      <ns0:c r="AP225" s="19" t="inlineStr">
        <ns0:is>
          <ns0:t>Not documented for this recharting</ns0:t>
        </ns0:is>
      </ns0:c>
      <ns0:c r="AQ225" s="19" t="inlineStr">
        <ns0:is>
          <ns0:t>ChatGPT-assisted evidence recharting, 2026-09-08</ns0:t>
        </ns0:is>
      </ns0:c>
      <ns0:c r="AR225" s="19" t="inlineStr">
        <ns0:is>
          <ns0:t>RA</ns0:t>
        </ns0:is>
      </ns0:c>
      <ns0:c r="AS225" s="19" t="inlineStr">
        <ns0:is>
          <ns0:t>Not recorded; historical inclusion retained</ns0:t>
        </ns0:is>
      </ns0:c>
    </ns0:row>
    <ns0:row r="226" ht="50" customHeight="1">
      <ns0:c r="A226" s="21" t="inlineStr">
        <ns0:is>
          <ns0:t>240</ns0:t>
        </ns0:is>
      </ns0:c>
      <ns0:c r="B226" s="21" t="inlineStr">
        <ns0:is>
          <ns0:t>Historical</ns0:t>
        </ns0:is>
      </ns0:c>
      <ns0:c r="C226" s="21" t="inlineStr">
        <ns0:is>
          <ns0:t>Diagnosis of Autism Disorder Based on Deep Network Trained by Augmented EEG Signals</ns0:t>
        </ns0:is>
      </ns0:c>
      <ns0:c r="D226" s="21" t="inlineStr">
        <ns0:is>
          <ns0:t>10.1142/s0129065722500460</ns0:t>
        </ns0:is>
      </ns0:c>
      <ns0:c r="E226" s="28" t="n">
        <ns0:v>2022</ns0:v>
      </ns0:c>
      <ns0:c r="F226" s="21" t="inlineStr">
        <ns0:is>
          <ns0:t>Include</ns0:t>
        </ns0:is>
      </ns0:c>
      <ns0:c r="G226" s="29">
        <ns0:f>IF(F226="Include",1,0)</ns0:f>
        <ns0:v>1</ns0:v>
      </ns0:c>
      <ns0:c r="H226" s="21" t="inlineStr">
        <ns0:is>
          <ns0:t>Diagnosis</ns0:t>
        </ns0:is>
      </ns0:c>
      <ns0:c r="I226" s="21" t="inlineStr">
        <ns0:is>
          <ns0:t>Deep Learning</ns0:t>
        </ns0:is>
      </ns0:c>
      <ns0:c r="J226" s="21" t="inlineStr">
        <ns0:is>
          <ns0:t>Physiological signals</ns0:t>
        </ns0:is>
      </ns0:c>
      <ns0:c r="K226" s="21" t="inlineStr">
        <ns0:is>
          <ns0:t>CNN</ns0:t>
        </ns0:is>
      </ns0:c>
      <ns0:c r="L226" s="21" t="inlineStr">
        <ns0:is>
          <ns0:t>CNN</ns0:t>
        </ns0:is>
      </ns0:c>
      <ns0:c r="M226" s="21" t="inlineStr">
        <ns0:is>
          <ns0:t>Research only</ns0:t>
        </ns0:is>
      </ns0:c>
      <ns0:c r="N226" s="21" t="inlineStr">
        <ns0:is>
          <ns0:t>Automated measurement/classification</ns0:t>
        </ns0:is>
      </ns0:c>
      <ns0:c r="O226" s="21" t="inlineStr">
        <ns0:is>
          <ns0:t>Not observed in assessed sources</ns0:t>
        </ns0:is>
      </ns0:c>
      <ns0:c r="P226" s="21" t="inlineStr">
        <ns0:is>
          <ns0:t>Not observed in assessed sources</ns0:t>
        </ns0:is>
      </ns0:c>
      <ns0:c r="Q226" s="21" t="inlineStr">
        <ns0:is>
          <ns0:t>Not reported in assessed sources</ns0:t>
        </ns0:is>
      </ns0:c>
      <ns0:c r="R226" s="21" t="inlineStr">
        <ns0:is>
          <ns0:t>Not reported in assessed sources</ns0:t>
        </ns0:is>
      </ns0:c>
      <ns0:c r="S226" s="21" t="inlineStr">
        <ns0:is>
          <ns0:t>Not reported in assessed sources</ns0:t>
        </ns0:is>
      </ns0:c>
      <ns0:c r="T226" s="21" t="inlineStr">
        <ns0:is>
          <ns0:t>Not reported in assessed sources</ns0:t>
        </ns0:is>
      </ns0:c>
      <ns0:c r="U226" s="21" t="inlineStr">
        <ns0:is>
          <ns0:t>Not reported in assessed sources</ns0:t>
        </ns0:is>
      </ns0:c>
      <ns0:c r="V226" s="21" t="inlineStr">
        <ns0:is>
          <ns0:t>Not reported in assessed sources</ns0:t>
        </ns0:is>
      </ns0:c>
      <ns0:c r="W226" s="21" t="inlineStr">
        <ns0:is>
          <ns0:t>Not reported in assessed sources</ns0:t>
        </ns0:is>
      </ns0:c>
      <ns0:c r="X226" s="21" t="inlineStr">
        <ns0:is>
          <ns0:t>Not reported in assessed sources</ns0:t>
        </ns0:is>
      </ns0:c>
      <ns0:c r="Y226" s="21" t="inlineStr">
        <ns0:is>
          <ns0:t>Not ascertainable</ns0:t>
        </ns0:is>
      </ns0:c>
      <ns0:c r="Z226" s="21" t="inlineStr">
        <ns0:is>
          <ns0:t>Not reported in assessed sources</ns0:t>
        </ns0:is>
      </ns0:c>
      <ns0:c r="AA226" s="21" t="inlineStr">
        <ns0:is>
          <ns0:t>Not recorded</ns0:t>
        </ns0:is>
      </ns0:c>
      <ns0:c r="AB226" s="28" t="n">
        <ns0:v>0</ns0:v>
      </ns0:c>
      <ns0:c r="AC226" s="28" t="n">
        <ns0:v>0</ns0:v>
      </ns0:c>
      <ns0:c r="AD226" s="29">
        <ns0:f>IF(AND(G226=1,AB226=0),1,0)</ns0:f>
        <ns0:v>1</ns0:v>
      </ns0:c>
      <ns0:c r="AE226" s="29">
        <ns0:f>IF(AND(AD226=1,AC226=0),1,0)</ns0:f>
        <ns0:v>1</ns0:v>
      </ns0:c>
      <ns0:c r="AF226" s="29">
        <ns0:f>IF(AND(G226=1,H226&lt;&gt;"Not specified"),1,0)</ns0:f>
        <ns0:v>1</ns0:v>
      </ns0:c>
      <ns0:c r="AG226" s="29">
        <ns0:f>IF(AND(AE226=1,AF226=1),1,0)</ns0:f>
        <ns0:v>1</ns0:v>
      </ns0:c>
      <ns0:c r="AH226" s="21" t="inlineStr">
        <ns0:is>
          <ns0:t>Supplied abstract/coding notes; no new full-text verification</ns0:t>
        </ns0:is>
      </ns0:c>
      <ns0:c r="AI226" s="21" t="inlineStr">
        <ns0:is>
          <ns0:t>https://doi.org/10.1142/s0129065722500460</ns0:t>
        </ns0:is>
      </ns0:c>
      <ns0:c r="AJ226" s="21" t="inlineStr">
        <ns0:is>
          <ns0:t>EVIDENCIA; original abstract/coding notes and lot source trace; Historical signals: title/abstract/notes; full-text completion not independently established</ns0:t>
        </ns0:is>
      </ns0:c>
      <ns0:c r="AK226" s="21" t="inlineStr">
        <ns0:is>
          <ns0:t>EEG windows rendered as images remain EEG source data; augmentation does not add independent data sources.</ns0:t>
        </ns0:is>
      </ns0:c>
      <ns0:c r="AL226" s="21" t="inlineStr">
        <ns0:is>
          <ns0:t>Not applicable</ns0:t>
        </ns0:is>
      </ns0:c>
      <ns0:c r="AM226" s="21" t="inlineStr">
        <ns0:is>
          <ns0:t>Not separately specified</ns0:t>
        </ns0:is>
      </ns0:c>
      <ns0:c r="AN226" s="21" t="inlineStr"/>
      <ns0:c r="AO226" s="21" t="inlineStr">
        <ns0:is>
          <ns0:t>No additional status determination</ns0:t>
        </ns0:is>
      </ns0:c>
      <ns0:c r="AP226" s="21" t="inlineStr">
        <ns0:is>
          <ns0:t>Not documented for this recharting</ns0:t>
        </ns0:is>
      </ns0:c>
      <ns0:c r="AQ226" s="21" t="inlineStr">
        <ns0:is>
          <ns0:t>ChatGPT-assisted evidence recharting, 2026-09-08</ns0:t>
        </ns0:is>
      </ns0:c>
      <ns0:c r="AR226" s="21" t="inlineStr">
        <ns0:is>
          <ns0:t>RA</ns0:t>
        </ns0:is>
      </ns0:c>
      <ns0:c r="AS226" s="21" t="inlineStr">
        <ns0:is>
          <ns0:t>Not recorded; historical inclusion retained</ns0:t>
        </ns0:is>
      </ns0:c>
    </ns0:row>
    <ns0:row r="227" ht="50" customHeight="1">
      <ns0:c r="A227" s="19" t="inlineStr">
        <ns0:is>
          <ns0:t>241</ns0:t>
        </ns0:is>
      </ns0:c>
      <ns0:c r="B227" s="19" t="inlineStr">
        <ns0:is>
          <ns0:t>Historical</ns0:t>
        </ns0:is>
      </ns0:c>
      <ns0:c r="C227" s="19" t="inlineStr">
        <ns0:is>
          <ns0:t>Differences in atypical resting-state effective connectivity distinguish autism from schizophrenia</ns0:t>
        </ns0:is>
      </ns0:c>
      <ns0:c r="D227" s="19" t="inlineStr">
        <ns0:is>
          <ns0:t>10.1016/j.nicl.2018.01.014</ns0:t>
        </ns0:is>
      </ns0:c>
      <ns0:c r="E227" s="26" t="n">
        <ns0:v>2018</ns0:v>
      </ns0:c>
      <ns0:c r="F227" s="19" t="inlineStr">
        <ns0:is>
          <ns0:t>Include</ns0:t>
        </ns0:is>
      </ns0:c>
      <ns0:c r="G227" s="27">
        <ns0:f>IF(F227="Include",1,0)</ns0:f>
        <ns0:v>1</ns0:v>
      </ns0:c>
      <ns0:c r="H227" s="19" t="inlineStr">
        <ns0:is>
          <ns0:t>Diagnosis</ns0:t>
        </ns0:is>
      </ns0:c>
      <ns0:c r="I227" s="19" t="inlineStr">
        <ns0:is>
          <ns0:t>Machine Learning</ns0:t>
        </ns0:is>
      </ns0:c>
      <ns0:c r="J227" s="19" t="inlineStr">
        <ns0:is>
          <ns0:t>Neuroimaging</ns0:t>
        </ns0:is>
      </ns0:c>
      <ns0:c r="K227" s="19" t="inlineStr">
        <ns0:is>
          <ns0:t>SVM</ns0:t>
        </ns0:is>
      </ns0:c>
      <ns0:c r="L227" s="19" t="inlineStr">
        <ns0:is>
          <ns0:t>SVM</ns0:t>
        </ns0:is>
      </ns0:c>
      <ns0:c r="M227" s="19" t="inlineStr">
        <ns0:is>
          <ns0:t>Research only</ns0:t>
        </ns0:is>
      </ns0:c>
      <ns0:c r="N227" s="19" t="inlineStr">
        <ns0:is>
          <ns0:t>Automated measurement/classification</ns0:t>
        </ns0:is>
      </ns0:c>
      <ns0:c r="O227" s="19" t="inlineStr">
        <ns0:is>
          <ns0:t>Not observed in assessed sources</ns0:t>
        </ns0:is>
      </ns0:c>
      <ns0:c r="P227" s="19" t="inlineStr">
        <ns0:is>
          <ns0:t>Not observed in assessed sources</ns0:t>
        </ns0:is>
      </ns0:c>
      <ns0:c r="Q227" s="19" t="inlineStr">
        <ns0:is>
          <ns0:t>Reported</ns0:t>
        </ns0:is>
      </ns0:c>
      <ns0:c r="R227" s="19" t="inlineStr">
        <ns0:is>
          <ns0:t>Not reported in assessed sources</ns0:t>
        </ns0:is>
      </ns0:c>
      <ns0:c r="S227" s="19" t="inlineStr">
        <ns0:is>
          <ns0:t>Reported</ns0:t>
        </ns0:is>
      </ns0:c>
      <ns0:c r="T227" s="19" t="inlineStr">
        <ns0:is>
          <ns0:t>Not reported in assessed sources</ns0:t>
        </ns0:is>
      </ns0:c>
      <ns0:c r="U227" s="19" t="inlineStr">
        <ns0:is>
          <ns0:t>Not reported in assessed sources</ns0:t>
        </ns0:is>
      </ns0:c>
      <ns0:c r="V227" s="19" t="inlineStr">
        <ns0:is>
          <ns0:t>Not reported in assessed sources</ns0:t>
        </ns0:is>
      </ns0:c>
      <ns0:c r="W227" s="19" t="inlineStr">
        <ns0:is>
          <ns0:t>Not reported in assessed sources</ns0:t>
        </ns0:is>
      </ns0:c>
      <ns0:c r="X227" s="19" t="inlineStr">
        <ns0:is>
          <ns0:t>Not reported in assessed sources</ns0:t>
        </ns0:is>
      </ns0:c>
      <ns0:c r="Y227" s="19" t="inlineStr">
        <ns0:is>
          <ns0:t>Not ascertainable</ns0:t>
        </ns0:is>
      </ns0:c>
      <ns0:c r="Z227" s="19" t="inlineStr">
        <ns0:is>
          <ns0:t>Reported</ns0:t>
        </ns0:is>
      </ns0:c>
      <ns0:c r="AA227" s="19" t="inlineStr">
        <ns0:is>
          <ns0:t>Not recorded</ns0:t>
        </ns0:is>
      </ns0:c>
      <ns0:c r="AB227" s="26" t="n">
        <ns0:v>0</ns0:v>
      </ns0:c>
      <ns0:c r="AC227" s="26" t="n">
        <ns0:v>0</ns0:v>
      </ns0:c>
      <ns0:c r="AD227" s="27">
        <ns0:f>IF(AND(G227=1,AB227=0),1,0)</ns0:f>
        <ns0:v>1</ns0:v>
      </ns0:c>
      <ns0:c r="AE227" s="27">
        <ns0:f>IF(AND(AD227=1,AC227=0),1,0)</ns0:f>
        <ns0:v>1</ns0:v>
      </ns0:c>
      <ns0:c r="AF227" s="27">
        <ns0:f>IF(AND(G227=1,H227&lt;&gt;"Not specified"),1,0)</ns0:f>
        <ns0:v>1</ns0:v>
      </ns0:c>
      <ns0:c r="AG227" s="27">
        <ns0:f>IF(AND(AE227=1,AF227=1),1,0)</ns0:f>
        <ns0:v>1</ns0:v>
      </ns0:c>
      <ns0:c r="AH227" s="19" t="inlineStr">
        <ns0:is>
          <ns0:t>Supplied abstract/coding notes; no new full-text verification</ns0:t>
        </ns0:is>
      </ns0:c>
      <ns0:c r="AI227" s="19" t="inlineStr">
        <ns0:is>
          <ns0:t>https://doi.org/10.1016/j.nicl.2018.01.014</ns0:t>
        </ns0:is>
      </ns0:c>
      <ns0:c r="AJ227" s="19" t="inlineStr">
        <ns0:is>
          <ns0:t>EVIDENCIA; original abstract/coding notes and lot source trace; Historical signals: title/abstract/notes; full-text completion not independently established</ns0:t>
        </ns0:is>
      </ns0:c>
      <ns0:c r="AK227" s="19" t="inlineStr">
        <ns0:is>
          <ns0:t>Effective-connectivity MRI classifier tested in an independent cohort.</ns0:t>
        </ns0:is>
      </ns0:c>
      <ns0:c r="AL227" s="19" t="inlineStr">
        <ns0:is>
          <ns0:t>Not applicable</ns0:t>
        </ns0:is>
      </ns0:c>
      <ns0:c r="AM227" s="19" t="inlineStr">
        <ns0:is>
          <ns0:t>Not separately specified</ns0:t>
        </ns0:is>
      </ns0:c>
      <ns0:c r="AN227" s="19" t="inlineStr"/>
      <ns0:c r="AO227" s="19" t="inlineStr">
        <ns0:is>
          <ns0:t>No additional status determination</ns0:t>
        </ns0:is>
      </ns0:c>
      <ns0:c r="AP227" s="19" t="inlineStr">
        <ns0:is>
          <ns0:t>Not documented for this recharting</ns0:t>
        </ns0:is>
      </ns0:c>
      <ns0:c r="AQ227" s="19" t="inlineStr">
        <ns0:is>
          <ns0:t>ChatGPT-assisted evidence recharting, 2026-09-08</ns0:t>
        </ns0:is>
      </ns0:c>
      <ns0:c r="AR227" s="19" t="inlineStr">
        <ns0:is>
          <ns0:t>RA</ns0:t>
        </ns0:is>
      </ns0:c>
      <ns0:c r="AS227" s="19" t="inlineStr">
        <ns0:is>
          <ns0:t>Not recorded; historical inclusion retained</ns0:t>
        </ns0:is>
      </ns0:c>
    </ns0:row>
    <ns0:row r="228" ht="50" customHeight="1">
      <ns0:c r="A228" s="21" t="inlineStr">
        <ns0:is>
          <ns0:t>242</ns0:t>
        </ns0:is>
      </ns0:c>
      <ns0:c r="B228" s="21" t="inlineStr">
        <ns0:is>
          <ns0:t>Historical</ns0:t>
        </ns0:is>
      </ns0:c>
      <ns0:c r="C228" s="21" t="inlineStr">
        <ns0:is>
          <ns0:t>Eigenvector Centrality Characterization on fMRI Data: Gender and Node Differences in Normal and ASD Subjects: Author name</ns0:t>
        </ns0:is>
      </ns0:c>
      <ns0:c r="D228" s="21" t="inlineStr">
        <ns0:is>
          <ns0:t>10.1007/s10803-023-05922-x</ns0:t>
        </ns0:is>
      </ns0:c>
      <ns0:c r="E228" s="28" t="n">
        <ns0:v>2024</ns0:v>
      </ns0:c>
      <ns0:c r="F228" s="21" t="inlineStr">
        <ns0:is>
          <ns0:t>Include</ns0:t>
        </ns0:is>
      </ns0:c>
      <ns0:c r="G228" s="29">
        <ns0:f>IF(F228="Include",1,0)</ns0:f>
        <ns0:v>1</ns0:v>
      </ns0:c>
      <ns0:c r="H228" s="21" t="inlineStr">
        <ns0:is>
          <ns0:t>Diagnosis</ns0:t>
        </ns0:is>
      </ns0:c>
      <ns0:c r="I228" s="21" t="inlineStr">
        <ns0:is>
          <ns0:t>Machine Learning</ns0:t>
        </ns0:is>
      </ns0:c>
      <ns0:c r="J228" s="21" t="inlineStr">
        <ns0:is>
          <ns0:t>Neuroimaging</ns0:t>
        </ns0:is>
      </ns0:c>
      <ns0:c r="K228" s="21" t="inlineStr">
        <ns0:is>
          <ns0:t>Decision tree</ns0:t>
        </ns0:is>
      </ns0:c>
      <ns0:c r="L228" s="21" t="inlineStr">
        <ns0:is>
          <ns0:t>Decision tree/rules</ns0:t>
        </ns0:is>
      </ns0:c>
      <ns0:c r="M228" s="21" t="inlineStr">
        <ns0:is>
          <ns0:t>Research only</ns0:t>
        </ns0:is>
      </ns0:c>
      <ns0:c r="N228" s="21" t="inlineStr">
        <ns0:is>
          <ns0:t>Automated measurement/classification</ns0:t>
        </ns0:is>
      </ns0:c>
      <ns0:c r="O228" s="21" t="inlineStr">
        <ns0:is>
          <ns0:t>Not observed in assessed sources</ns0:t>
        </ns0:is>
      </ns0:c>
      <ns0:c r="P228" s="21" t="inlineStr">
        <ns0:is>
          <ns0:t>Not observed in assessed sources</ns0:t>
        </ns0:is>
      </ns0:c>
      <ns0:c r="Q228" s="21" t="inlineStr">
        <ns0:is>
          <ns0:t>Not reported in assessed sources</ns0:t>
        </ns0:is>
      </ns0:c>
      <ns0:c r="R228" s="21" t="inlineStr">
        <ns0:is>
          <ns0:t>Not reported in assessed sources</ns0:t>
        </ns0:is>
      </ns0:c>
      <ns0:c r="S228" s="21" t="inlineStr">
        <ns0:is>
          <ns0:t>Not reported in assessed sources</ns0:t>
        </ns0:is>
      </ns0:c>
      <ns0:c r="T228" s="21" t="inlineStr">
        <ns0:is>
          <ns0:t>Not reported in assessed sources</ns0:t>
        </ns0:is>
      </ns0:c>
      <ns0:c r="U228" s="21" t="inlineStr">
        <ns0:is>
          <ns0:t>Not reported in assessed sources</ns0:t>
        </ns0:is>
      </ns0:c>
      <ns0:c r="V228" s="21" t="inlineStr">
        <ns0:is>
          <ns0:t>Not reported in assessed sources</ns0:t>
        </ns0:is>
      </ns0:c>
      <ns0:c r="W228" s="21" t="inlineStr">
        <ns0:is>
          <ns0:t>Not reported in assessed sources</ns0:t>
        </ns0:is>
      </ns0:c>
      <ns0:c r="X228" s="21" t="inlineStr">
        <ns0:is>
          <ns0:t>Not reported in assessed sources</ns0:t>
        </ns0:is>
      </ns0:c>
      <ns0:c r="Y228" s="21" t="inlineStr">
        <ns0:is>
          <ns0:t>Not ascertainable</ns0:t>
        </ns0:is>
      </ns0:c>
      <ns0:c r="Z228" s="21" t="inlineStr">
        <ns0:is>
          <ns0:t>Not reported in assessed sources</ns0:t>
        </ns0:is>
      </ns0:c>
      <ns0:c r="AA228" s="21" t="inlineStr">
        <ns0:is>
          <ns0:t>Not recorded</ns0:t>
        </ns0:is>
      </ns0:c>
      <ns0:c r="AB228" s="28" t="n">
        <ns0:v>0</ns0:v>
      </ns0:c>
      <ns0:c r="AC228" s="28" t="n">
        <ns0:v>0</ns0:v>
      </ns0:c>
      <ns0:c r="AD228" s="29">
        <ns0:f>IF(AND(G228=1,AB228=0),1,0)</ns0:f>
        <ns0:v>1</ns0:v>
      </ns0:c>
      <ns0:c r="AE228" s="29">
        <ns0:f>IF(AND(AD228=1,AC228=0),1,0)</ns0:f>
        <ns0:v>1</ns0:v>
      </ns0:c>
      <ns0:c r="AF228" s="29">
        <ns0:f>IF(AND(G228=1,H228&lt;&gt;"Not specified"),1,0)</ns0:f>
        <ns0:v>1</ns0:v>
      </ns0:c>
      <ns0:c r="AG228" s="29">
        <ns0:f>IF(AND(AE228=1,AF228=1),1,0)</ns0:f>
        <ns0:v>1</ns0:v>
      </ns0:c>
      <ns0:c r="AH228" s="21" t="inlineStr">
        <ns0:is>
          <ns0:t>Supplied abstract/coding notes; no new full-text verification</ns0:t>
        </ns0:is>
      </ns0:c>
      <ns0:c r="AI228" s="21" t="inlineStr">
        <ns0:is>
          <ns0:t>https://doi.org/10.1007/s10803-023-05922-x</ns0:t>
        </ns0:is>
      </ns0:c>
      <ns0:c r="AJ228" s="21" t="inlineStr">
        <ns0:is>
          <ns0:t>EVIDENCIA; original abstract/coding notes and lot source trace; Historical signals: title/abstract/notes; full-text completion not independently established</ns0:t>
        </ns0:is>
      </ns0:c>
      <ns0:c r="AK228" s="21" t="inlineStr">
        <ns0:is>
          <ns0:t>fMRI eigenvector centrality; inherited tree classifier belongs to conventional ML, not deep learning. Family retained from prior charting.</ns0:t>
        </ns0:is>
      </ns0:c>
      <ns0:c r="AL228" s="21" t="inlineStr">
        <ns0:is>
          <ns0:t>Not applicable</ns0:t>
        </ns0:is>
      </ns0:c>
      <ns0:c r="AM228" s="21" t="inlineStr">
        <ns0:is>
          <ns0:t>Not separately specified</ns0:t>
        </ns0:is>
      </ns0:c>
      <ns0:c r="AN228" s="21" t="inlineStr"/>
      <ns0:c r="AO228" s="21" t="inlineStr">
        <ns0:is>
          <ns0:t>No additional status determination</ns0:t>
        </ns0:is>
      </ns0:c>
      <ns0:c r="AP228" s="21" t="inlineStr">
        <ns0:is>
          <ns0:t>Not documented for this recharting</ns0:t>
        </ns0:is>
      </ns0:c>
      <ns0:c r="AQ228" s="21" t="inlineStr">
        <ns0:is>
          <ns0:t>ChatGPT-assisted evidence recharting, 2026-09-08</ns0:t>
        </ns0:is>
      </ns0:c>
      <ns0:c r="AR228" s="21" t="inlineStr"/>
      <ns0:c r="AS228" s="21" t="inlineStr">
        <ns0:is>
          <ns0:t>Not recorded; historical inclusion retained</ns0:t>
        </ns0:is>
      </ns0:c>
    </ns0:row>
    <ns0:row r="229" ht="50" customHeight="1">
      <ns0:c r="A229" s="19" t="inlineStr">
        <ns0:is>
          <ns0:t>243</ns0:t>
        </ns0:is>
      </ns0:c>
      <ns0:c r="B229" s="19" t="inlineStr">
        <ns0:is>
          <ns0:t>Historical</ns0:t>
        </ns0:is>
      </ns0:c>
      <ns0:c r="C229" s="19" t="inlineStr">
        <ns0:is>
          <ns0:t>Enhancing Multi-view ASD Diagnosis Using Structural MRI and Pretrained CNN</ns0:t>
        </ns0:is>
      </ns0:c>
      <ns0:c r="D229" s="19" t="inlineStr">
        <ns0:is>
          <ns0:t>10.1007/978-3-031-83845-3_26</ns0:t>
        </ns0:is>
      </ns0:c>
      <ns0:c r="E229" s="26" t="n">
        <ns0:v>2025</ns0:v>
      </ns0:c>
      <ns0:c r="F229" s="19" t="inlineStr">
        <ns0:is>
          <ns0:t>Include</ns0:t>
        </ns0:is>
      </ns0:c>
      <ns0:c r="G229" s="27">
        <ns0:f>IF(F229="Include",1,0)</ns0:f>
        <ns0:v>1</ns0:v>
      </ns0:c>
      <ns0:c r="H229" s="19" t="inlineStr">
        <ns0:is>
          <ns0:t>Diagnosis</ns0:t>
        </ns0:is>
      </ns0:c>
      <ns0:c r="I229" s="19" t="inlineStr">
        <ns0:is>
          <ns0:t>Deep Learning</ns0:t>
        </ns0:is>
      </ns0:c>
      <ns0:c r="J229" s="19" t="inlineStr">
        <ns0:is>
          <ns0:t>Neuroimaging</ns0:t>
        </ns0:is>
      </ns0:c>
      <ns0:c r="K229" s="19" t="inlineStr">
        <ns0:is>
          <ns0:t>CNN</ns0:t>
        </ns0:is>
      </ns0:c>
      <ns0:c r="L229" s="19" t="inlineStr">
        <ns0:is>
          <ns0:t>CNN</ns0:t>
        </ns0:is>
      </ns0:c>
      <ns0:c r="M229" s="19" t="inlineStr">
        <ns0:is>
          <ns0:t>Research only</ns0:t>
        </ns0:is>
      </ns0:c>
      <ns0:c r="N229" s="19" t="inlineStr">
        <ns0:is>
          <ns0:t>Automated measurement/classification</ns0:t>
        </ns0:is>
      </ns0:c>
      <ns0:c r="O229" s="19" t="inlineStr">
        <ns0:is>
          <ns0:t>Not observed in assessed sources</ns0:t>
        </ns0:is>
      </ns0:c>
      <ns0:c r="P229" s="19" t="inlineStr">
        <ns0:is>
          <ns0:t>Not observed in assessed sources</ns0:t>
        </ns0:is>
      </ns0:c>
      <ns0:c r="Q229" s="19" t="inlineStr">
        <ns0:is>
          <ns0:t>Not reported in assessed sources</ns0:t>
        </ns0:is>
      </ns0:c>
      <ns0:c r="R229" s="19" t="inlineStr">
        <ns0:is>
          <ns0:t>Not reported in assessed sources</ns0:t>
        </ns0:is>
      </ns0:c>
      <ns0:c r="S229" s="19" t="inlineStr">
        <ns0:is>
          <ns0:t>Not reported in assessed sources</ns0:t>
        </ns0:is>
      </ns0:c>
      <ns0:c r="T229" s="19" t="inlineStr">
        <ns0:is>
          <ns0:t>Not reported in assessed sources</ns0:t>
        </ns0:is>
      </ns0:c>
      <ns0:c r="U229" s="19" t="inlineStr">
        <ns0:is>
          <ns0:t>Not reported in assessed sources</ns0:t>
        </ns0:is>
      </ns0:c>
      <ns0:c r="V229" s="19" t="inlineStr">
        <ns0:is>
          <ns0:t>Reported</ns0:t>
        </ns0:is>
      </ns0:c>
      <ns0:c r="W229" s="19" t="inlineStr">
        <ns0:is>
          <ns0:t>Not reported in assessed sources</ns0:t>
        </ns0:is>
      </ns0:c>
      <ns0:c r="X229" s="19" t="inlineStr">
        <ns0:is>
          <ns0:t>Not reported in assessed sources</ns0:t>
        </ns0:is>
      </ns0:c>
      <ns0:c r="Y229" s="19" t="inlineStr">
        <ns0:is>
          <ns0:t>Not ascertainable</ns0:t>
        </ns0:is>
      </ns0:c>
      <ns0:c r="Z229" s="19" t="inlineStr">
        <ns0:is>
          <ns0:t>Not reported in assessed sources</ns0:t>
        </ns0:is>
      </ns0:c>
      <ns0:c r="AA229" s="19" t="inlineStr">
        <ns0:is>
          <ns0:t>Not recorded</ns0:t>
        </ns0:is>
      </ns0:c>
      <ns0:c r="AB229" s="26" t="n">
        <ns0:v>0</ns0:v>
      </ns0:c>
      <ns0:c r="AC229" s="26" t="n">
        <ns0:v>0</ns0:v>
      </ns0:c>
      <ns0:c r="AD229" s="27">
        <ns0:f>IF(AND(G229=1,AB229=0),1,0)</ns0:f>
        <ns0:v>1</ns0:v>
      </ns0:c>
      <ns0:c r="AE229" s="27">
        <ns0:f>IF(AND(AD229=1,AC229=0),1,0)</ns0:f>
        <ns0:v>1</ns0:v>
      </ns0:c>
      <ns0:c r="AF229" s="27">
        <ns0:f>IF(AND(G229=1,H229&lt;&gt;"Not specified"),1,0)</ns0:f>
        <ns0:v>1</ns0:v>
      </ns0:c>
      <ns0:c r="AG229" s="27">
        <ns0:f>IF(AND(AE229=1,AF229=1),1,0)</ns0:f>
        <ns0:v>1</ns0:v>
      </ns0:c>
      <ns0:c r="AH229" s="19" t="inlineStr">
        <ns0:is>
          <ns0:t>Supplied abstract/coding notes; no new full-text verification</ns0:t>
        </ns0:is>
      </ns0:c>
      <ns0:c r="AI229" s="19" t="inlineStr">
        <ns0:is>
          <ns0:t>https://doi.org/10.1007/978-3-031-83845-3_26</ns0:t>
        </ns0:is>
      </ns0:c>
      <ns0:c r="AJ229" s="19" t="inlineStr">
        <ns0:is>
          <ns0:t>EVIDENCIA; original abstract/coding notes and lot source trace; Historical signals: title/abstract/notes; full-text completion not independently established</ns0:t>
        </ns0:is>
      </ns0:c>
      <ns0:c r="AK229" s="19" t="inlineStr">
        <ns0:is>
          <ns0:t>Multiple views of the same structural MRI scan do not constitute independent source fusion.</ns0:t>
        </ns0:is>
      </ns0:c>
      <ns0:c r="AL229" s="19" t="inlineStr">
        <ns0:is>
          <ns0:t>Not applicable</ns0:t>
        </ns0:is>
      </ns0:c>
      <ns0:c r="AM229" s="19" t="inlineStr">
        <ns0:is>
          <ns0:t>Not separately specified</ns0:t>
        </ns0:is>
      </ns0:c>
      <ns0:c r="AN229" s="19" t="inlineStr"/>
      <ns0:c r="AO229" s="19" t="inlineStr">
        <ns0:is>
          <ns0:t>No additional status determination</ns0:t>
        </ns0:is>
      </ns0:c>
      <ns0:c r="AP229" s="19" t="inlineStr">
        <ns0:is>
          <ns0:t>Not documented for this recharting</ns0:t>
        </ns0:is>
      </ns0:c>
      <ns0:c r="AQ229" s="19" t="inlineStr">
        <ns0:is>
          <ns0:t>ChatGPT-assisted evidence recharting, 2026-09-08</ns0:t>
        </ns0:is>
      </ns0:c>
      <ns0:c r="AR229" s="19" t="inlineStr"/>
      <ns0:c r="AS229" s="19" t="inlineStr">
        <ns0:is>
          <ns0:t>Not recorded; historical inclusion retained</ns0:t>
        </ns0:is>
      </ns0:c>
    </ns0:row>
    <ns0:row r="230" ht="50" customHeight="1">
      <ns0:c r="A230" s="21" t="inlineStr">
        <ns0:is>
          <ns0:t>245</ns0:t>
        </ns0:is>
      </ns0:c>
      <ns0:c r="B230" s="21" t="inlineStr">
        <ns0:is>
          <ns0:t>Historical</ns0:t>
        </ns0:is>
      </ns0:c>
      <ns0:c r="C230" s="21" t="inlineStr">
        <ns0:is>
          <ns0:t>Exploring Sparse Gaussian Processes for Bayesian Optimization in Convolutional Neural Networks for Autism Classification</ns0:t>
        </ns0:is>
      </ns0:c>
      <ns0:c r="D230" s="21" t="inlineStr">
        <ns0:is>
          <ns0:t>10.1109/access.2024.3351168</ns0:t>
        </ns0:is>
      </ns0:c>
      <ns0:c r="E230" s="28" t="n">
        <ns0:v>2024</ns0:v>
      </ns0:c>
      <ns0:c r="F230" s="21" t="inlineStr">
        <ns0:is>
          <ns0:t>Include</ns0:t>
        </ns0:is>
      </ns0:c>
      <ns0:c r="G230" s="29">
        <ns0:f>IF(F230="Include",1,0)</ns0:f>
        <ns0:v>1</ns0:v>
      </ns0:c>
      <ns0:c r="H230" s="21" t="inlineStr">
        <ns0:is>
          <ns0:t>Screening</ns0:t>
        </ns0:is>
      </ns0:c>
      <ns0:c r="I230" s="21" t="inlineStr">
        <ns0:is>
          <ns0:t>Deep Learning</ns0:t>
        </ns0:is>
      </ns0:c>
      <ns0:c r="J230" s="21" t="inlineStr">
        <ns0:is>
          <ns0:t>Behavioral images/video/gaze/movement</ns0:t>
        </ns0:is>
      </ns0:c>
      <ns0:c r="K230" s="21" t="inlineStr">
        <ns0:is>
          <ns0:t>CNN</ns0:t>
        </ns0:is>
      </ns0:c>
      <ns0:c r="L230" s="21" t="inlineStr">
        <ns0:is>
          <ns0:t>CNN</ns0:t>
        </ns0:is>
      </ns0:c>
      <ns0:c r="M230" s="21" t="inlineStr">
        <ns0:is>
          <ns0:t>Research only</ns0:t>
        </ns0:is>
      </ns0:c>
      <ns0:c r="N230" s="21" t="inlineStr">
        <ns0:is>
          <ns0:t>Automated measurement/classification</ns0:t>
        </ns0:is>
      </ns0:c>
      <ns0:c r="O230" s="21" t="inlineStr">
        <ns0:is>
          <ns0:t>Not observed in assessed sources</ns0:t>
        </ns0:is>
      </ns0:c>
      <ns0:c r="P230" s="21" t="inlineStr">
        <ns0:is>
          <ns0:t>Not observed in assessed sources</ns0:t>
        </ns0:is>
      </ns0:c>
      <ns0:c r="Q230" s="21" t="inlineStr">
        <ns0:is>
          <ns0:t>Not reported in assessed sources</ns0:t>
        </ns0:is>
      </ns0:c>
      <ns0:c r="R230" s="21" t="inlineStr">
        <ns0:is>
          <ns0:t>Not reported in assessed sources</ns0:t>
        </ns0:is>
      </ns0:c>
      <ns0:c r="S230" s="21" t="inlineStr">
        <ns0:is>
          <ns0:t>Not reported in assessed sources</ns0:t>
        </ns0:is>
      </ns0:c>
      <ns0:c r="T230" s="21" t="inlineStr">
        <ns0:is>
          <ns0:t>Not reported in assessed sources</ns0:t>
        </ns0:is>
      </ns0:c>
      <ns0:c r="U230" s="21" t="inlineStr">
        <ns0:is>
          <ns0:t>Not reported in assessed sources</ns0:t>
        </ns0:is>
      </ns0:c>
      <ns0:c r="V230" s="21" t="inlineStr">
        <ns0:is>
          <ns0:t>Not reported in assessed sources</ns0:t>
        </ns0:is>
      </ns0:c>
      <ns0:c r="W230" s="21" t="inlineStr">
        <ns0:is>
          <ns0:t>Not reported in assessed sources</ns0:t>
        </ns0:is>
      </ns0:c>
      <ns0:c r="X230" s="21" t="inlineStr">
        <ns0:is>
          <ns0:t>Not reported in assessed sources</ns0:t>
        </ns0:is>
      </ns0:c>
      <ns0:c r="Y230" s="21" t="inlineStr">
        <ns0:is>
          <ns0:t>Not ascertainable</ns0:t>
        </ns0:is>
      </ns0:c>
      <ns0:c r="Z230" s="21" t="inlineStr">
        <ns0:is>
          <ns0:t>Not reported in assessed sources</ns0:t>
        </ns0:is>
      </ns0:c>
      <ns0:c r="AA230" s="21" t="inlineStr">
        <ns0:is>
          <ns0:t>Not recorded</ns0:t>
        </ns0:is>
      </ns0:c>
      <ns0:c r="AB230" s="28" t="n">
        <ns0:v>0</ns0:v>
      </ns0:c>
      <ns0:c r="AC230" s="28" t="n">
        <ns0:v>0</ns0:v>
      </ns0:c>
      <ns0:c r="AD230" s="29">
        <ns0:f>IF(AND(G230=1,AB230=0),1,0)</ns0:f>
        <ns0:v>1</ns0:v>
      </ns0:c>
      <ns0:c r="AE230" s="29">
        <ns0:f>IF(AND(AD230=1,AC230=0),1,0)</ns0:f>
        <ns0:v>1</ns0:v>
      </ns0:c>
      <ns0:c r="AF230" s="29">
        <ns0:f>IF(AND(G230=1,H230&lt;&gt;"Not specified"),1,0)</ns0:f>
        <ns0:v>1</ns0:v>
      </ns0:c>
      <ns0:c r="AG230" s="29">
        <ns0:f>IF(AND(AE230=1,AF230=1),1,0)</ns0:f>
        <ns0:v>1</ns0:v>
      </ns0:c>
      <ns0:c r="AH230" s="21" t="inlineStr">
        <ns0:is>
          <ns0:t>Supplied abstract/coding notes; no new full-text verification</ns0:t>
        </ns0:is>
      </ns0:c>
      <ns0:c r="AI230" s="21" t="inlineStr">
        <ns0:is>
          <ns0:t>https://doi.org/10.1109/access.2024.3351168</ns0:t>
        </ns0:is>
      </ns0:c>
      <ns0:c r="AJ230" s="21" t="inlineStr">
        <ns0:is>
          <ns0:t>EVIDENCIA; original abstract/coding notes and lot source trace; Historical signals: title/abstract/notes; full-text completion not independently established</ns0:t>
        </ns0:is>
      </ns0:c>
      <ns0:c r="AK230" s="21" t="inlineStr">
        <ns0:is>
          <ns0:t>Eye-tracking image CNN with Bayesian hyperparameter optimization; optimization is not a separate fused clinical modality.</ns0:t>
        </ns0:is>
      </ns0:c>
      <ns0:c r="AL230" s="21" t="inlineStr">
        <ns0:is>
          <ns0:t>Not applicable</ns0:t>
        </ns0:is>
      </ns0:c>
      <ns0:c r="AM230" s="21" t="inlineStr">
        <ns0:is>
          <ns0:t>Not separately specified</ns0:t>
        </ns0:is>
      </ns0:c>
      <ns0:c r="AN230" s="21" t="inlineStr"/>
      <ns0:c r="AO230" s="21" t="inlineStr">
        <ns0:is>
          <ns0:t>No additional status determination</ns0:t>
        </ns0:is>
      </ns0:c>
      <ns0:c r="AP230" s="21" t="inlineStr">
        <ns0:is>
          <ns0:t>Not documented for this recharting</ns0:t>
        </ns0:is>
      </ns0:c>
      <ns0:c r="AQ230" s="21" t="inlineStr">
        <ns0:is>
          <ns0:t>ChatGPT-assisted evidence recharting, 2026-09-08</ns0:t>
        </ns0:is>
      </ns0:c>
      <ns0:c r="AR230" s="21" t="inlineStr"/>
      <ns0:c r="AS230" s="21" t="inlineStr">
        <ns0:is>
          <ns0:t>Not recorded; historical inclusion retained</ns0:t>
        </ns0:is>
      </ns0:c>
    </ns0:row>
    <ns0:row r="231" ht="50" customHeight="1">
      <ns0:c r="A231" s="19" t="inlineStr">
        <ns0:is>
          <ns0:t>246</ns0:t>
        </ns0:is>
      </ns0:c>
      <ns0:c r="B231" s="19" t="inlineStr">
        <ns0:is>
          <ns0:t>Historical</ns0:t>
        </ns0:is>
      </ns0:c>
      <ns0:c r="C231" s="19" t="inlineStr">
        <ns0:is>
          <ns0:t>Exploring tree-based machine learning methods to predict autism spectrum disorder</ns0:t>
        </ns0:is>
      </ns0:c>
      <ns0:c r="D231" s="19" t="inlineStr">
        <ns0:is>
          <ns0:t>10.1016/b978-0-12-822822-7.00009-0</ns0:t>
        </ns0:is>
      </ns0:c>
      <ns0:c r="E231" s="26" t="n">
        <ns0:v>2021</ns0:v>
      </ns0:c>
      <ns0:c r="F231" s="30" t="inlineStr">
        <ns0:is>
          <ns0:t>Exclude</ns0:t>
        </ns0:is>
      </ns0:c>
      <ns0:c r="G231" s="27">
        <ns0:f>IF(F231="Include",1,0)</ns0:f>
        <ns0:v>0</ns0:v>
      </ns0:c>
      <ns0:c r="H231" s="19" t="inlineStr">
        <ns0:is>
          <ns0:t>Excluded</ns0:t>
        </ns0:is>
      </ns0:c>
      <ns0:c r="I231" s="19" t="inlineStr">
        <ns0:is>
          <ns0:t>Excluded</ns0:t>
        </ns0:is>
      </ns0:c>
      <ns0:c r="J231" s="19" t="inlineStr">
        <ns0:is>
          <ns0:t>Excluded</ns0:t>
        </ns0:is>
      </ns0:c>
      <ns0:c r="K231" s="19" t="inlineStr">
        <ns0:is>
          <ns0:t>Random Forest</ns0:t>
        </ns0:is>
      </ns0:c>
      <ns0:c r="L231" s="19" t="inlineStr">
        <ns0:is>
          <ns0:t>Random forest</ns0:t>
        </ns0:is>
      </ns0:c>
      <ns0:c r="M231" s="19" t="inlineStr">
        <ns0:is>
          <ns0:t>Excluded</ns0:t>
        </ns0:is>
      </ns0:c>
      <ns0:c r="N231" s="19" t="inlineStr">
        <ns0:is>
          <ns0:t>Excluded</ns0:t>
        </ns0:is>
      </ns0:c>
      <ns0:c r="O231" s="19" t="inlineStr">
        <ns0:is>
          <ns0:t>Not applicable - excluded</ns0:t>
        </ns0:is>
      </ns0:c>
      <ns0:c r="P231" s="19" t="inlineStr">
        <ns0:is>
          <ns0:t>Not applicable - excluded</ns0:t>
        </ns0:is>
      </ns0:c>
      <ns0:c r="Q231" s="19" t="inlineStr">
        <ns0:is>
          <ns0:t>Not reported in assessed sources</ns0:t>
        </ns0:is>
      </ns0:c>
      <ns0:c r="R231" s="19" t="inlineStr">
        <ns0:is>
          <ns0:t>Not reported in assessed sources</ns0:t>
        </ns0:is>
      </ns0:c>
      <ns0:c r="S231" s="19" t="inlineStr">
        <ns0:is>
          <ns0:t>Not reported in assessed sources</ns0:t>
        </ns0:is>
      </ns0:c>
      <ns0:c r="T231" s="19" t="inlineStr">
        <ns0:is>
          <ns0:t>Not reported in assessed sources</ns0:t>
        </ns0:is>
      </ns0:c>
      <ns0:c r="U231" s="19" t="inlineStr">
        <ns0:is>
          <ns0:t>Not reported in assessed sources</ns0:t>
        </ns0:is>
      </ns0:c>
      <ns0:c r="V231" s="19" t="inlineStr">
        <ns0:is>
          <ns0:t>Not reported in assessed sources</ns0:t>
        </ns0:is>
      </ns0:c>
      <ns0:c r="W231" s="19" t="inlineStr">
        <ns0:is>
          <ns0:t>Not reported in assessed sources</ns0:t>
        </ns0:is>
      </ns0:c>
      <ns0:c r="X231" s="19" t="inlineStr">
        <ns0:is>
          <ns0:t>Not reported in assessed sources</ns0:t>
        </ns0:is>
      </ns0:c>
      <ns0:c r="Y231" s="19" t="inlineStr">
        <ns0:is>
          <ns0:t>Not ascertainable</ns0:t>
        </ns0:is>
      </ns0:c>
      <ns0:c r="Z231" s="19" t="inlineStr">
        <ns0:is>
          <ns0:t>Not reported in assessed sources</ns0:t>
        </ns0:is>
      </ns0:c>
      <ns0:c r="AA231" s="19" t="inlineStr">
        <ns0:is>
          <ns0:t>Not recorded</ns0:t>
        </ns0:is>
      </ns0:c>
      <ns0:c r="AB231" s="26" t="n">
        <ns0:v>0</ns0:v>
      </ns0:c>
      <ns0:c r="AC231" s="26" t="n">
        <ns0:v>0</ns0:v>
      </ns0:c>
      <ns0:c r="AD231" s="27">
        <ns0:f>IF(AND(G231=1,AB231=0),1,0)</ns0:f>
        <ns0:v>0</ns0:v>
      </ns0:c>
      <ns0:c r="AE231" s="27">
        <ns0:f>IF(AND(AD231=1,AC231=0),1,0)</ns0:f>
        <ns0:v>0</ns0:v>
      </ns0:c>
      <ns0:c r="AF231" s="27">
        <ns0:f>IF(AND(G231=1,H231&lt;&gt;"Not specified"),1,0)</ns0:f>
        <ns0:v>0</ns0:v>
      </ns0:c>
      <ns0:c r="AG231" s="27">
        <ns0:f>IF(AND(AE231=1,AF231=1),1,0)</ns0:f>
        <ns0:v>0</ns0:v>
      </ns0:c>
      <ns0:c r="AH231" s="19" t="inlineStr">
        <ns0:is>
          <ns0:t>Supplied abstract/coding notes; no new full-text verification</ns0:t>
        </ns0:is>
      </ns0:c>
      <ns0:c r="AI231" s="19" t="inlineStr">
        <ns0:is>
          <ns0:t>https://doi.org/10.1016/b978-0-12-822822-7.00009-0</ns0:t>
        </ns0:is>
      </ns0:c>
      <ns0:c r="AJ231" s="19" t="inlineStr">
        <ns0:is>
          <ns0:t>EVIDENCIA; original abstract/coding notes and lot source trace; Historical signals: title/abstract/notes; full-text completion not independently established</ns0:t>
        </ns0:is>
      </ns0:c>
      <ns0:c r="AK231" s="19" t="inlineStr">
        <ns0:is>
          <ns0:t>Elsevier B978 edited-book chapter; apply current publication-type eligibility consistently.</ns0:t>
        </ns0:is>
      </ns0:c>
      <ns0:c r="AL231" s="19" t="inlineStr">
        <ns0:is>
          <ns0:t>Ineligible publication type: standalone book chapter</ns0:t>
        </ns0:is>
      </ns0:c>
      <ns0:c r="AM231" s="19" t="inlineStr">
        <ns0:is>
          <ns0:t>Not separately specified</ns0:t>
        </ns0:is>
      </ns0:c>
      <ns0:c r="AN231" s="19" t="inlineStr"/>
      <ns0:c r="AO231" s="19" t="inlineStr">
        <ns0:is>
          <ns0:t>No additional status determination</ns0:t>
        </ns0:is>
      </ns0:c>
      <ns0:c r="AP231" s="19" t="inlineStr">
        <ns0:is>
          <ns0:t>Not documented for this recharting</ns0:t>
        </ns0:is>
      </ns0:c>
      <ns0:c r="AQ231" s="19" t="inlineStr">
        <ns0:is>
          <ns0:t>ChatGPT-assisted evidence recharting, 2026-09-08</ns0:t>
        </ns0:is>
      </ns0:c>
      <ns0:c r="AR231" s="19" t="inlineStr">
        <ns0:is>
          <ns0:t>RA</ns0:t>
        </ns0:is>
      </ns0:c>
      <ns0:c r="AS231" s="19" t="inlineStr">
        <ns0:is>
          <ns0:t>Not recorded; historical inclusion retained</ns0:t>
        </ns0:is>
      </ns0:c>
    </ns0:row>
    <ns0:row r="232" ht="50" customHeight="1">
      <ns0:c r="A232" s="21" t="inlineStr">
        <ns0:is>
          <ns0:t>247</ns0:t>
        </ns0:is>
      </ns0:c>
      <ns0:c r="B232" s="21" t="inlineStr">
        <ns0:is>
          <ns0:t>Historical</ns0:t>
        </ns0:is>
      </ns0:c>
      <ns0:c r="C232" s="21" t="inlineStr">
        <ns0:is>
          <ns0:t>Few-Shot Classification of Autism Spectrum Disorder using Site-Agnostic Meta-Learning and Brain MRI</ns0:t>
        </ns0:is>
      </ns0:c>
      <ns0:c r="D232" s="21" t="inlineStr">
        <ns0:is>
          <ns0:t>10.1109/embc40787.2023.10340852</ns0:t>
        </ns0:is>
      </ns0:c>
      <ns0:c r="E232" s="28" t="n">
        <ns0:v>2023</ns0:v>
      </ns0:c>
      <ns0:c r="F232" s="21" t="inlineStr">
        <ns0:is>
          <ns0:t>Include</ns0:t>
        </ns0:is>
      </ns0:c>
      <ns0:c r="G232" s="29">
        <ns0:f>IF(F232="Include",1,0)</ns0:f>
        <ns0:v>1</ns0:v>
      </ns0:c>
      <ns0:c r="H232" s="21" t="inlineStr">
        <ns0:is>
          <ns0:t>Diagnosis</ns0:t>
        </ns0:is>
      </ns0:c>
      <ns0:c r="I232" s="21" t="inlineStr">
        <ns0:is>
          <ns0:t>Deep Learning</ns0:t>
        </ns0:is>
      </ns0:c>
      <ns0:c r="J232" s="21" t="inlineStr">
        <ns0:is>
          <ns0:t>Neuroimaging</ns0:t>
        </ns0:is>
      </ns0:c>
      <ns0:c r="K232" s="21" t="inlineStr">
        <ns0:is>
          <ns0:t>Meta-learning; neural backbone unspecified</ns0:t>
        </ns0:is>
      </ns0:c>
      <ns0:c r="L232" s="21" t="inlineStr">
        <ns0:is>
          <ns0:t>Multiple/not uniquely specified</ns0:t>
        </ns0:is>
      </ns0:c>
      <ns0:c r="M232" s="21" t="inlineStr">
        <ns0:is>
          <ns0:t>Research only</ns0:t>
        </ns0:is>
      </ns0:c>
      <ns0:c r="N232" s="21" t="inlineStr">
        <ns0:is>
          <ns0:t>Automated measurement/classification</ns0:t>
        </ns0:is>
      </ns0:c>
      <ns0:c r="O232" s="21" t="inlineStr">
        <ns0:is>
          <ns0:t>Not observed in assessed sources</ns0:t>
        </ns0:is>
      </ns0:c>
      <ns0:c r="P232" s="21" t="inlineStr">
        <ns0:is>
          <ns0:t>Not observed in assessed sources</ns0:t>
        </ns0:is>
      </ns0:c>
      <ns0:c r="Q232" s="21" t="inlineStr">
        <ns0:is>
          <ns0:t>Reported</ns0:t>
        </ns0:is>
      </ns0:c>
      <ns0:c r="R232" s="21" t="inlineStr">
        <ns0:is>
          <ns0:t>Not reported in assessed sources</ns0:t>
        </ns0:is>
      </ns0:c>
      <ns0:c r="S232" s="21" t="inlineStr">
        <ns0:is>
          <ns0:t>Not reported in assessed sources</ns0:t>
        </ns0:is>
      </ns0:c>
      <ns0:c r="T232" s="21" t="inlineStr">
        <ns0:is>
          <ns0:t>Not reported in assessed sources</ns0:t>
        </ns0:is>
      </ns0:c>
      <ns0:c r="U232" s="21" t="inlineStr">
        <ns0:is>
          <ns0:t>Reported</ns0:t>
        </ns0:is>
      </ns0:c>
      <ns0:c r="V232" s="21" t="inlineStr">
        <ns0:is>
          <ns0:t>Reported</ns0:t>
        </ns0:is>
      </ns0:c>
      <ns0:c r="W232" s="21" t="inlineStr">
        <ns0:is>
          <ns0:t>Not reported in assessed sources</ns0:t>
        </ns0:is>
      </ns0:c>
      <ns0:c r="X232" s="21" t="inlineStr">
        <ns0:is>
          <ns0:t>Not reported in assessed sources</ns0:t>
        </ns0:is>
      </ns0:c>
      <ns0:c r="Y232" s="21" t="inlineStr">
        <ns0:is>
          <ns0:t>Not ascertainable</ns0:t>
        </ns0:is>
      </ns0:c>
      <ns0:c r="Z232" s="21" t="inlineStr">
        <ns0:is>
          <ns0:t>Not reported in assessed sources</ns0:t>
        </ns0:is>
      </ns0:c>
      <ns0:c r="AA232" s="21" t="inlineStr">
        <ns0:is>
          <ns0:t>Not recorded</ns0:t>
        </ns0:is>
      </ns0:c>
      <ns0:c r="AB232" s="28" t="n">
        <ns0:v>0</ns0:v>
      </ns0:c>
      <ns0:c r="AC232" s="28" t="n">
        <ns0:v>0</ns0:v>
      </ns0:c>
      <ns0:c r="AD232" s="29">
        <ns0:f>IF(AND(G232=1,AB232=0),1,0)</ns0:f>
        <ns0:v>1</ns0:v>
      </ns0:c>
      <ns0:c r="AE232" s="29">
        <ns0:f>IF(AND(AD232=1,AC232=0),1,0)</ns0:f>
        <ns0:v>1</ns0:v>
      </ns0:c>
      <ns0:c r="AF232" s="29">
        <ns0:f>IF(AND(G232=1,H232&lt;&gt;"Not specified"),1,0)</ns0:f>
        <ns0:v>1</ns0:v>
      </ns0:c>
      <ns0:c r="AG232" s="29">
        <ns0:f>IF(AND(AE232=1,AF232=1),1,0)</ns0:f>
        <ns0:v>1</ns0:v>
      </ns0:c>
      <ns0:c r="AH232" s="21" t="inlineStr">
        <ns0:is>
          <ns0:t>Supplied abstract/coding notes; no new full-text verification</ns0:t>
        </ns0:is>
      </ns0:c>
      <ns0:c r="AI232" s="21" t="inlineStr">
        <ns0:is>
          <ns0:t>https://doi.org/10.1109/embc40787.2023.10340852</ns0:t>
        </ns0:is>
      </ns0:c>
      <ns0:c r="AJ232" s="21" t="inlineStr">
        <ns0:is>
          <ns0:t>EVIDENCIA; original abstract/coding notes and lot source trace; Historical signals: title/abstract/notes; full-text completion not independently established</ns0:t>
        </ns0:is>
      </ns0:c>
      <ns0:c r="AK232" s="21" t="inlineStr">
        <ns0:is>
          <ns0:t>Brain MRI site-agnostic meta-learning evaluated zero-shot on an independent site; not NLP. Neural backbone not specified in available abstract.</ns0:t>
        </ns0:is>
      </ns0:c>
      <ns0:c r="AL232" s="21" t="inlineStr">
        <ns0:is>
          <ns0:t>Not applicable</ns0:t>
        </ns0:is>
      </ns0:c>
      <ns0:c r="AM232" s="21" t="inlineStr">
        <ns0:is>
          <ns0:t>Not separately specified</ns0:t>
        </ns0:is>
      </ns0:c>
      <ns0:c r="AN232" s="21" t="inlineStr"/>
      <ns0:c r="AO232" s="21" t="inlineStr">
        <ns0:is>
          <ns0:t>No additional status determination</ns0:t>
        </ns0:is>
      </ns0:c>
      <ns0:c r="AP232" s="21" t="inlineStr">
        <ns0:is>
          <ns0:t>Not documented for this recharting</ns0:t>
        </ns0:is>
      </ns0:c>
      <ns0:c r="AQ232" s="21" t="inlineStr">
        <ns0:is>
          <ns0:t>ChatGPT-assisted evidence recharting, 2026-09-08</ns0:t>
        </ns0:is>
      </ns0:c>
      <ns0:c r="AR232" s="21" t="inlineStr"/>
      <ns0:c r="AS232" s="21" t="inlineStr">
        <ns0:is>
          <ns0:t>Not recorded; historical inclusion retained</ns0:t>
        </ns0:is>
      </ns0:c>
    </ns0:row>
    <ns0:row r="233" ht="50" customHeight="1">
      <ns0:c r="A233" s="19" t="inlineStr">
        <ns0:is>
          <ns0:t>248</ns0:t>
        </ns0:is>
      </ns0:c>
      <ns0:c r="B233" s="19" t="inlineStr">
        <ns0:is>
          <ns0:t>Historical</ns0:t>
        </ns0:is>
      </ns0:c>
      <ns0:c r="C233" s="19" t="inlineStr">
        <ns0:is>
          <ns0:t>Gaze Patterns in Children With Autism Spectrum Disorder to Emotional Faces: Scanpath and Similarity</ns0:t>
        </ns0:is>
      </ns0:c>
      <ns0:c r="D233" s="19" t="inlineStr">
        <ns0:is>
          <ns0:t>10.1109/tnsre.2024.3361935</ns0:t>
        </ns0:is>
      </ns0:c>
      <ns0:c r="E233" s="26" t="n">
        <ns0:v>2024</ns0:v>
      </ns0:c>
      <ns0:c r="F233" s="19" t="inlineStr">
        <ns0:is>
          <ns0:t>Include</ns0:t>
        </ns0:is>
      </ns0:c>
      <ns0:c r="G233" s="27">
        <ns0:f>IF(F233="Include",1,0)</ns0:f>
        <ns0:v>1</ns0:v>
      </ns0:c>
      <ns0:c r="H233" s="19" t="inlineStr">
        <ns0:is>
          <ns0:t>Screening</ns0:t>
        </ns0:is>
      </ns0:c>
      <ns0:c r="I233" s="19" t="inlineStr">
        <ns0:is>
          <ns0:t>Deep Learning</ns0:t>
        </ns0:is>
      </ns0:c>
      <ns0:c r="J233" s="19" t="inlineStr">
        <ns0:is>
          <ns0:t>Behavioral images/video/gaze/movement</ns0:t>
        </ns0:is>
      </ns0:c>
      <ns0:c r="K233" s="19" t="inlineStr">
        <ns0:is>
          <ns0:t>RNN / LSTM / GRU</ns0:t>
        </ns0:is>
      </ns0:c>
      <ns0:c r="L233" s="19" t="inlineStr">
        <ns0:is>
          <ns0:t>Recurrent network</ns0:t>
        </ns0:is>
      </ns0:c>
      <ns0:c r="M233" s="19" t="inlineStr">
        <ns0:is>
          <ns0:t>Research only</ns0:t>
        </ns0:is>
      </ns0:c>
      <ns0:c r="N233" s="19" t="inlineStr">
        <ns0:is>
          <ns0:t>Automated measurement/classification</ns0:t>
        </ns0:is>
      </ns0:c>
      <ns0:c r="O233" s="19" t="inlineStr">
        <ns0:is>
          <ns0:t>Not observed in assessed sources</ns0:t>
        </ns0:is>
      </ns0:c>
      <ns0:c r="P233" s="19" t="inlineStr">
        <ns0:is>
          <ns0:t>Not observed in assessed sources</ns0:t>
        </ns0:is>
      </ns0:c>
      <ns0:c r="Q233" s="19" t="inlineStr">
        <ns0:is>
          <ns0:t>Not reported in assessed sources</ns0:t>
        </ns0:is>
      </ns0:c>
      <ns0:c r="R233" s="19" t="inlineStr">
        <ns0:is>
          <ns0:t>Not reported in assessed sources</ns0:t>
        </ns0:is>
      </ns0:c>
      <ns0:c r="S233" s="19" t="inlineStr">
        <ns0:is>
          <ns0:t>Not reported in assessed sources</ns0:t>
        </ns0:is>
      </ns0:c>
      <ns0:c r="T233" s="19" t="inlineStr">
        <ns0:is>
          <ns0:t>Not reported in assessed sources</ns0:t>
        </ns0:is>
      </ns0:c>
      <ns0:c r="U233" s="19" t="inlineStr">
        <ns0:is>
          <ns0:t>Not reported in assessed sources</ns0:t>
        </ns0:is>
      </ns0:c>
      <ns0:c r="V233" s="19" t="inlineStr">
        <ns0:is>
          <ns0:t>Not reported in assessed sources</ns0:t>
        </ns0:is>
      </ns0:c>
      <ns0:c r="W233" s="19" t="inlineStr">
        <ns0:is>
          <ns0:t>Not reported in assessed sources</ns0:t>
        </ns0:is>
      </ns0:c>
      <ns0:c r="X233" s="19" t="inlineStr">
        <ns0:is>
          <ns0:t>Not reported in assessed sources</ns0:t>
        </ns0:is>
      </ns0:c>
      <ns0:c r="Y233" s="19" t="inlineStr">
        <ns0:is>
          <ns0:t>Not ascertainable</ns0:t>
        </ns0:is>
      </ns0:c>
      <ns0:c r="Z233" s="19" t="inlineStr">
        <ns0:is>
          <ns0:t>Not reported in assessed sources</ns0:t>
        </ns0:is>
      </ns0:c>
      <ns0:c r="AA233" s="19" t="inlineStr">
        <ns0:is>
          <ns0:t>Not recorded</ns0:t>
        </ns0:is>
      </ns0:c>
      <ns0:c r="AB233" s="26" t="n">
        <ns0:v>0</ns0:v>
      </ns0:c>
      <ns0:c r="AC233" s="26" t="n">
        <ns0:v>0</ns0:v>
      </ns0:c>
      <ns0:c r="AD233" s="27">
        <ns0:f>IF(AND(G233=1,AB233=0),1,0)</ns0:f>
        <ns0:v>1</ns0:v>
      </ns0:c>
      <ns0:c r="AE233" s="27">
        <ns0:f>IF(AND(AD233=1,AC233=0),1,0)</ns0:f>
        <ns0:v>1</ns0:v>
      </ns0:c>
      <ns0:c r="AF233" s="27">
        <ns0:f>IF(AND(G233=1,H233&lt;&gt;"Not specified"),1,0)</ns0:f>
        <ns0:v>1</ns0:v>
      </ns0:c>
      <ns0:c r="AG233" s="27">
        <ns0:f>IF(AND(AE233=1,AF233=1),1,0)</ns0:f>
        <ns0:v>1</ns0:v>
      </ns0:c>
      <ns0:c r="AH233" s="19" t="inlineStr">
        <ns0:is>
          <ns0:t>Supplied abstract/coding notes; no new full-text verification</ns0:t>
        </ns0:is>
      </ns0:c>
      <ns0:c r="AI233" s="19" t="inlineStr">
        <ns0:is>
          <ns0:t>https://doi.org/10.1109/tnsre.2024.3361935</ns0:t>
        </ns0:is>
      </ns0:c>
      <ns0:c r="AJ233" s="19" t="inlineStr">
        <ns0:is>
          <ns0:t>EVIDENCIA; original abstract/coding notes and lot source trace; Historical signals: title/abstract/notes; full-text completion not independently established</ns0:t>
        </ns0:is>
      </ns0:c>
      <ns0:c r="AK233" s="19" t="inlineStr">
        <ns0:is>
          <ns0:t>Sequential gaze scanpath classification, with recurrent family inherited from prior coding.</ns0:t>
        </ns0:is>
      </ns0:c>
      <ns0:c r="AL233" s="19" t="inlineStr">
        <ns0:is>
          <ns0:t>Not applicable</ns0:t>
        </ns0:is>
      </ns0:c>
      <ns0:c r="AM233" s="19" t="inlineStr">
        <ns0:is>
          <ns0:t>Not separately specified</ns0:t>
        </ns0:is>
      </ns0:c>
      <ns0:c r="AN233" s="19" t="inlineStr"/>
      <ns0:c r="AO233" s="19" t="inlineStr">
        <ns0:is>
          <ns0:t>No additional status determination</ns0:t>
        </ns0:is>
      </ns0:c>
      <ns0:c r="AP233" s="19" t="inlineStr">
        <ns0:is>
          <ns0:t>Not documented for this recharting</ns0:t>
        </ns0:is>
      </ns0:c>
      <ns0:c r="AQ233" s="19" t="inlineStr">
        <ns0:is>
          <ns0:t>ChatGPT-assisted evidence recharting, 2026-09-08</ns0:t>
        </ns0:is>
      </ns0:c>
      <ns0:c r="AR233" s="19" t="inlineStr"/>
      <ns0:c r="AS233" s="19" t="inlineStr">
        <ns0:is>
          <ns0:t>Not recorded; historical inclusion retained</ns0:t>
        </ns0:is>
      </ns0:c>
    </ns0:row>
    <ns0:row r="234" ht="50" customHeight="1">
      <ns0:c r="A234" s="21" t="inlineStr">
        <ns0:is>
          <ns0:t>249</ns0:t>
        </ns0:is>
      </ns0:c>
      <ns0:c r="B234" s="21" t="inlineStr">
        <ns0:is>
          <ns0:t>Historical</ns0:t>
        </ns0:is>
      </ns0:c>
      <ns0:c r="C234" s="21" t="inlineStr">
        <ns0:is>
          <ns0:t>Gray Matter Alterations in Young Children with Autism Spectrum Disorders: Comparing Morphometry at the Voxel and Regional Level</ns0:t>
        </ns0:is>
      </ns0:c>
      <ns0:c r="D234" s="21" t="inlineStr">
        <ns0:is>
          <ns0:t>10.1111/jon.12280</ns0:t>
        </ns0:is>
      </ns0:c>
      <ns0:c r="E234" s="28" t="n">
        <ns0:v>2015</ns0:v>
      </ns0:c>
      <ns0:c r="F234" s="21" t="inlineStr">
        <ns0:is>
          <ns0:t>Include</ns0:t>
        </ns0:is>
      </ns0:c>
      <ns0:c r="G234" s="29">
        <ns0:f>IF(F234="Include",1,0)</ns0:f>
        <ns0:v>1</ns0:v>
      </ns0:c>
      <ns0:c r="H234" s="21" t="inlineStr">
        <ns0:is>
          <ns0:t>Diagnosis</ns0:t>
        </ns0:is>
      </ns0:c>
      <ns0:c r="I234" s="21" t="inlineStr">
        <ns0:is>
          <ns0:t>Machine Learning</ns0:t>
        </ns0:is>
      </ns0:c>
      <ns0:c r="J234" s="21" t="inlineStr">
        <ns0:is>
          <ns0:t>Neuroimaging</ns0:t>
        </ns0:is>
      </ns0:c>
      <ns0:c r="K234" s="21" t="inlineStr">
        <ns0:is>
          <ns0:t>SVM</ns0:t>
        </ns0:is>
      </ns0:c>
      <ns0:c r="L234" s="21" t="inlineStr">
        <ns0:is>
          <ns0:t>SVM</ns0:t>
        </ns0:is>
      </ns0:c>
      <ns0:c r="M234" s="21" t="inlineStr">
        <ns0:is>
          <ns0:t>Research only</ns0:t>
        </ns0:is>
      </ns0:c>
      <ns0:c r="N234" s="21" t="inlineStr">
        <ns0:is>
          <ns0:t>Automated measurement/classification</ns0:t>
        </ns0:is>
      </ns0:c>
      <ns0:c r="O234" s="21" t="inlineStr">
        <ns0:is>
          <ns0:t>Not observed in assessed sources</ns0:t>
        </ns0:is>
      </ns0:c>
      <ns0:c r="P234" s="21" t="inlineStr">
        <ns0:is>
          <ns0:t>Not observed in assessed sources</ns0:t>
        </ns0:is>
      </ns0:c>
      <ns0:c r="Q234" s="21" t="inlineStr">
        <ns0:is>
          <ns0:t>Not reported in assessed sources</ns0:t>
        </ns0:is>
      </ns0:c>
      <ns0:c r="R234" s="21" t="inlineStr">
        <ns0:is>
          <ns0:t>Not reported in assessed sources</ns0:t>
        </ns0:is>
      </ns0:c>
      <ns0:c r="S234" s="21" t="inlineStr">
        <ns0:is>
          <ns0:t>Not reported in assessed sources</ns0:t>
        </ns0:is>
      </ns0:c>
      <ns0:c r="T234" s="21" t="inlineStr">
        <ns0:is>
          <ns0:t>Not reported in assessed sources</ns0:t>
        </ns0:is>
      </ns0:c>
      <ns0:c r="U234" s="21" t="inlineStr">
        <ns0:is>
          <ns0:t>Not reported in assessed sources</ns0:t>
        </ns0:is>
      </ns0:c>
      <ns0:c r="V234" s="21" t="inlineStr">
        <ns0:is>
          <ns0:t>Not reported in assessed sources</ns0:t>
        </ns0:is>
      </ns0:c>
      <ns0:c r="W234" s="21" t="inlineStr">
        <ns0:is>
          <ns0:t>Not reported in assessed sources</ns0:t>
        </ns0:is>
      </ns0:c>
      <ns0:c r="X234" s="21" t="inlineStr">
        <ns0:is>
          <ns0:t>Not reported in assessed sources</ns0:t>
        </ns0:is>
      </ns0:c>
      <ns0:c r="Y234" s="21" t="inlineStr">
        <ns0:is>
          <ns0:t>Not ascertainable</ns0:t>
        </ns0:is>
      </ns0:c>
      <ns0:c r="Z234" s="21" t="inlineStr">
        <ns0:is>
          <ns0:t>Not reported in assessed sources</ns0:t>
        </ns0:is>
      </ns0:c>
      <ns0:c r="AA234" s="21" t="inlineStr">
        <ns0:is>
          <ns0:t>Not recorded</ns0:t>
        </ns0:is>
      </ns0:c>
      <ns0:c r="AB234" s="28" t="n">
        <ns0:v>0</ns0:v>
      </ns0:c>
      <ns0:c r="AC234" s="28" t="n">
        <ns0:v>0</ns0:v>
      </ns0:c>
      <ns0:c r="AD234" s="29">
        <ns0:f>IF(AND(G234=1,AB234=0),1,0)</ns0:f>
        <ns0:v>1</ns0:v>
      </ns0:c>
      <ns0:c r="AE234" s="29">
        <ns0:f>IF(AND(AD234=1,AC234=0),1,0)</ns0:f>
        <ns0:v>1</ns0:v>
      </ns0:c>
      <ns0:c r="AF234" s="29">
        <ns0:f>IF(AND(G234=1,H234&lt;&gt;"Not specified"),1,0)</ns0:f>
        <ns0:v>1</ns0:v>
      </ns0:c>
      <ns0:c r="AG234" s="29">
        <ns0:f>IF(AND(AE234=1,AF234=1),1,0)</ns0:f>
        <ns0:v>1</ns0:v>
      </ns0:c>
      <ns0:c r="AH234" s="21" t="inlineStr">
        <ns0:is>
          <ns0:t>Supplied abstract/coding notes; no new full-text verification</ns0:t>
        </ns0:is>
      </ns0:c>
      <ns0:c r="AI234" s="21" t="inlineStr">
        <ns0:is>
          <ns0:t>https://doi.org/10.1111/jon.12280</ns0:t>
        </ns0:is>
      </ns0:c>
      <ns0:c r="AJ234" s="21" t="inlineStr">
        <ns0:is>
          <ns0:t>EVIDENCIA; original abstract/coding notes and lot source trace; Historical signals: title/abstract/notes; full-text completion not independently established</ns0:t>
        </ns0:is>
      </ns0:c>
      <ns0:c r="AK234" s="21" t="inlineStr">
        <ns0:is>
          <ns0:t>Gray-matter MRI morphometry; support-vector machine is explicit in abstract.</ns0:t>
        </ns0:is>
      </ns0:c>
      <ns0:c r="AL234" s="21" t="inlineStr">
        <ns0:is>
          <ns0:t>Not applicable</ns0:t>
        </ns0:is>
      </ns0:c>
      <ns0:c r="AM234" s="21" t="inlineStr">
        <ns0:is>
          <ns0:t>Not separately specified</ns0:t>
        </ns0:is>
      </ns0:c>
      <ns0:c r="AN234" s="21" t="inlineStr"/>
      <ns0:c r="AO234" s="21" t="inlineStr">
        <ns0:is>
          <ns0:t>No additional status determination</ns0:t>
        </ns0:is>
      </ns0:c>
      <ns0:c r="AP234" s="21" t="inlineStr">
        <ns0:is>
          <ns0:t>Not documented for this recharting</ns0:t>
        </ns0:is>
      </ns0:c>
      <ns0:c r="AQ234" s="21" t="inlineStr">
        <ns0:is>
          <ns0:t>ChatGPT-assisted evidence recharting, 2026-09-08</ns0:t>
        </ns0:is>
      </ns0:c>
      <ns0:c r="AR234" s="21" t="inlineStr">
        <ns0:is>
          <ns0:t>RA</ns0:t>
        </ns0:is>
      </ns0:c>
      <ns0:c r="AS234" s="21" t="inlineStr">
        <ns0:is>
          <ns0:t>Not recorded; historical inclusion retained</ns0:t>
        </ns0:is>
      </ns0:c>
    </ns0:row>
    <ns0:row r="235" ht="50" customHeight="1">
      <ns0:c r="A235" s="19" t="inlineStr">
        <ns0:is>
          <ns0:t>250</ns0:t>
        </ns0:is>
      </ns0:c>
      <ns0:c r="B235" s="19" t="inlineStr">
        <ns0:is>
          <ns0:t>Historical</ns0:t>
        </ns0:is>
      </ns0:c>
      <ns0:c r="C235" s="19" t="inlineStr">
        <ns0:is>
          <ns0:t>Identification of Autism spectrum disorder based on a novel feature selection method and Variational Autoencoder</ns0:t>
        </ns0:is>
      </ns0:c>
      <ns0:c r="D235" s="19" t="inlineStr">
        <ns0:is>
          <ns0:t>10.1016/j.compbiomed.2022.105854</ns0:t>
        </ns0:is>
      </ns0:c>
      <ns0:c r="E235" s="26" t="n">
        <ns0:v>2022</ns0:v>
      </ns0:c>
      <ns0:c r="F235" s="19" t="inlineStr">
        <ns0:is>
          <ns0:t>Include</ns0:t>
        </ns0:is>
      </ns0:c>
      <ns0:c r="G235" s="27">
        <ns0:f>IF(F235="Include",1,0)</ns0:f>
        <ns0:v>1</ns0:v>
      </ns0:c>
      <ns0:c r="H235" s="19" t="inlineStr">
        <ns0:is>
          <ns0:t>Diagnosis</ns0:t>
        </ns0:is>
      </ns0:c>
      <ns0:c r="I235" s="19" t="inlineStr">
        <ns0:is>
          <ns0:t>Deep Learning</ns0:t>
        </ns0:is>
      </ns0:c>
      <ns0:c r="J235" s="19" t="inlineStr">
        <ns0:is>
          <ns0:t>Neuroimaging</ns0:t>
        </ns0:is>
      </ns0:c>
      <ns0:c r="K235" s="19" t="inlineStr">
        <ns0:is>
          <ns0:t>Autoencoder + MLP</ns0:t>
        </ns0:is>
      </ns0:c>
      <ns0:c r="L235" s="19" t="inlineStr">
        <ns0:is>
          <ns0:t>Composite/ensemble pipeline</ns0:t>
        </ns0:is>
      </ns0:c>
      <ns0:c r="M235" s="19" t="inlineStr">
        <ns0:is>
          <ns0:t>Research only</ns0:t>
        </ns0:is>
      </ns0:c>
      <ns0:c r="N235" s="19" t="inlineStr">
        <ns0:is>
          <ns0:t>Automated measurement/classification</ns0:t>
        </ns0:is>
      </ns0:c>
      <ns0:c r="O235" s="19" t="inlineStr">
        <ns0:is>
          <ns0:t>Not observed in assessed sources</ns0:t>
        </ns0:is>
      </ns0:c>
      <ns0:c r="P235" s="19" t="inlineStr">
        <ns0:is>
          <ns0:t>Not observed in assessed sources</ns0:t>
        </ns0:is>
      </ns0:c>
      <ns0:c r="Q235" s="19" t="inlineStr">
        <ns0:is>
          <ns0:t>Not reported in assessed sources</ns0:t>
        </ns0:is>
      </ns0:c>
      <ns0:c r="R235" s="19" t="inlineStr">
        <ns0:is>
          <ns0:t>Not reported in assessed sources</ns0:t>
        </ns0:is>
      </ns0:c>
      <ns0:c r="S235" s="19" t="inlineStr">
        <ns0:is>
          <ns0:t>Not reported in assessed sources</ns0:t>
        </ns0:is>
      </ns0:c>
      <ns0:c r="T235" s="19" t="inlineStr">
        <ns0:is>
          <ns0:t>Not reported in assessed sources</ns0:t>
        </ns0:is>
      </ns0:c>
      <ns0:c r="U235" s="19" t="inlineStr">
        <ns0:is>
          <ns0:t>Not reported in assessed sources</ns0:t>
        </ns0:is>
      </ns0:c>
      <ns0:c r="V235" s="19" t="inlineStr">
        <ns0:is>
          <ns0:t>Not reported in assessed sources</ns0:t>
        </ns0:is>
      </ns0:c>
      <ns0:c r="W235" s="19" t="inlineStr">
        <ns0:is>
          <ns0:t>Not reported in assessed sources</ns0:t>
        </ns0:is>
      </ns0:c>
      <ns0:c r="X235" s="19" t="inlineStr">
        <ns0:is>
          <ns0:t>Not reported in assessed sources</ns0:t>
        </ns0:is>
      </ns0:c>
      <ns0:c r="Y235" s="19" t="inlineStr">
        <ns0:is>
          <ns0:t>Not ascertainable</ns0:t>
        </ns0:is>
      </ns0:c>
      <ns0:c r="Z235" s="19" t="inlineStr">
        <ns0:is>
          <ns0:t>Not reported in assessed sources</ns0:t>
        </ns0:is>
      </ns0:c>
      <ns0:c r="AA235" s="19" t="inlineStr">
        <ns0:is>
          <ns0:t>Not recorded</ns0:t>
        </ns0:is>
      </ns0:c>
      <ns0:c r="AB235" s="26" t="n">
        <ns0:v>0</ns0:v>
      </ns0:c>
      <ns0:c r="AC235" s="26" t="n">
        <ns0:v>0</ns0:v>
      </ns0:c>
      <ns0:c r="AD235" s="27">
        <ns0:f>IF(AND(G235=1,AB235=0),1,0)</ns0:f>
        <ns0:v>1</ns0:v>
      </ns0:c>
      <ns0:c r="AE235" s="27">
        <ns0:f>IF(AND(AD235=1,AC235=0),1,0)</ns0:f>
        <ns0:v>1</ns0:v>
      </ns0:c>
      <ns0:c r="AF235" s="27">
        <ns0:f>IF(AND(G235=1,H235&lt;&gt;"Not specified"),1,0)</ns0:f>
        <ns0:v>1</ns0:v>
      </ns0:c>
      <ns0:c r="AG235" s="27">
        <ns0:f>IF(AND(AE235=1,AF235=1),1,0)</ns0:f>
        <ns0:v>1</ns0:v>
      </ns0:c>
      <ns0:c r="AH235" s="19" t="inlineStr">
        <ns0:is>
          <ns0:t>Supplied abstract/coding notes; no new full-text verification</ns0:t>
        </ns0:is>
      </ns0:c>
      <ns0:c r="AI235" s="19" t="inlineStr">
        <ns0:is>
          <ns0:t>https://doi.org/10.1016/j.compbiomed.2022.105854</ns0:t>
        </ns0:is>
      </ns0:c>
      <ns0:c r="AJ235" s="19" t="inlineStr">
        <ns0:is>
          <ns0:t>EVIDENCIA; original abstract/coding notes and lot source trace; Historical signals: title/abstract/notes; full-text completion not independently established</ns0:t>
        </ns0:is>
      </ns0:c>
      <ns0:c r="AK235" s="19" t="inlineStr">
        <ns0:is>
          <ns0:t>Resting-state fMRI functional connectivity with VAE-pretrained MLP, internal repeated cross-validation.</ns0:t>
        </ns0:is>
      </ns0:c>
      <ns0:c r="AL235" s="19" t="inlineStr">
        <ns0:is>
          <ns0:t>Not applicable</ns0:t>
        </ns0:is>
      </ns0:c>
      <ns0:c r="AM235" s="19" t="inlineStr">
        <ns0:is>
          <ns0:t>Not separately specified</ns0:t>
        </ns0:is>
      </ns0:c>
      <ns0:c r="AN235" s="19" t="inlineStr"/>
      <ns0:c r="AO235" s="19" t="inlineStr">
        <ns0:is>
          <ns0:t>No additional status determination</ns0:t>
        </ns0:is>
      </ns0:c>
      <ns0:c r="AP235" s="19" t="inlineStr">
        <ns0:is>
          <ns0:t>Not documented for this recharting</ns0:t>
        </ns0:is>
      </ns0:c>
      <ns0:c r="AQ235" s="19" t="inlineStr">
        <ns0:is>
          <ns0:t>ChatGPT-assisted evidence recharting, 2026-09-08</ns0:t>
        </ns0:is>
      </ns0:c>
      <ns0:c r="AR235" s="19" t="inlineStr">
        <ns0:is>
          <ns0:t>RA</ns0:t>
        </ns0:is>
      </ns0:c>
      <ns0:c r="AS235" s="19" t="inlineStr">
        <ns0:is>
          <ns0:t>Not recorded; historical inclusion retained</ns0:t>
        </ns0:is>
      </ns0:c>
    </ns0:row>
    <ns0:row r="236" ht="50" customHeight="1">
      <ns0:c r="A236" s="21" t="inlineStr">
        <ns0:is>
          <ns0:t>251</ns0:t>
        </ns0:is>
      </ns0:c>
      <ns0:c r="B236" s="21" t="inlineStr">
        <ns0:is>
          <ns0:t>Historical</ns0:t>
        </ns0:is>
      </ns0:c>
      <ns0:c r="C236" s="21" t="inlineStr">
        <ns0:is>
          <ns0:t>Integrative analysis of long noncoding RNAs dysregulation and synapse-associated ceRNA regulatory axes in autism</ns0:t>
        </ns0:is>
      </ns0:c>
      <ns0:c r="D236" s="21" t="inlineStr">
        <ns0:is>
          <ns0:t>10.1038/s41398-023-02662-5</ns0:t>
        </ns0:is>
      </ns0:c>
      <ns0:c r="E236" s="28" t="n">
        <ns0:v>2023</ns0:v>
      </ns0:c>
      <ns0:c r="F236" s="21" t="inlineStr">
        <ns0:is>
          <ns0:t>Include</ns0:t>
        </ns0:is>
      </ns0:c>
      <ns0:c r="G236" s="29">
        <ns0:f>IF(F236="Include",1,0)</ns0:f>
        <ns0:v>1</ns0:v>
      </ns0:c>
      <ns0:c r="H236" s="21" t="inlineStr">
        <ns0:is>
          <ns0:t>Diagnosis</ns0:t>
        </ns0:is>
      </ns0:c>
      <ns0:c r="I236" s="21" t="inlineStr">
        <ns0:is>
          <ns0:t>Machine Learning</ns0:t>
        </ns0:is>
      </ns0:c>
      <ns0:c r="J236" s="21" t="inlineStr">
        <ns0:is>
          <ns0:t>Biological/omics</ns0:t>
        </ns0:is>
      </ns0:c>
      <ns0:c r="K236" s="21" t="inlineStr">
        <ns0:is>
          <ns0:t>SVM / random forest</ns0:t>
        </ns0:is>
      </ns0:c>
      <ns0:c r="L236" s="21" t="inlineStr">
        <ns0:is>
          <ns0:t>Composite/ensemble pipeline</ns0:t>
        </ns0:is>
      </ns0:c>
      <ns0:c r="M236" s="21" t="inlineStr">
        <ns0:is>
          <ns0:t>Research only</ns0:t>
        </ns0:is>
      </ns0:c>
      <ns0:c r="N236" s="21" t="inlineStr">
        <ns0:is>
          <ns0:t>Automated measurement/classification</ns0:t>
        </ns0:is>
      </ns0:c>
      <ns0:c r="O236" s="21" t="inlineStr">
        <ns0:is>
          <ns0:t>Not observed in assessed sources</ns0:t>
        </ns0:is>
      </ns0:c>
      <ns0:c r="P236" s="21" t="inlineStr">
        <ns0:is>
          <ns0:t>Not observed in assessed sources</ns0:t>
        </ns0:is>
      </ns0:c>
      <ns0:c r="Q236" s="21" t="inlineStr">
        <ns0:is>
          <ns0:t>Not reported in assessed sources</ns0:t>
        </ns0:is>
      </ns0:c>
      <ns0:c r="R236" s="21" t="inlineStr">
        <ns0:is>
          <ns0:t>Reported</ns0:t>
        </ns0:is>
      </ns0:c>
      <ns0:c r="S236" s="21" t="inlineStr">
        <ns0:is>
          <ns0:t>Not reported in assessed sources</ns0:t>
        </ns0:is>
      </ns0:c>
      <ns0:c r="T236" s="21" t="inlineStr">
        <ns0:is>
          <ns0:t>Not reported in assessed sources</ns0:t>
        </ns0:is>
      </ns0:c>
      <ns0:c r="U236" s="21" t="inlineStr">
        <ns0:is>
          <ns0:t>Not reported in assessed sources</ns0:t>
        </ns0:is>
      </ns0:c>
      <ns0:c r="V236" s="21" t="inlineStr">
        <ns0:is>
          <ns0:t>Not reported in assessed sources</ns0:t>
        </ns0:is>
      </ns0:c>
      <ns0:c r="W236" s="21" t="inlineStr">
        <ns0:is>
          <ns0:t>Reported</ns0:t>
        </ns0:is>
      </ns0:c>
      <ns0:c r="X236" s="21" t="inlineStr">
        <ns0:is>
          <ns0:t>Not reported in assessed sources</ns0:t>
        </ns0:is>
      </ns0:c>
      <ns0:c r="Y236" s="21" t="inlineStr">
        <ns0:is>
          <ns0:t>Not ascertainable</ns0:t>
        </ns0:is>
      </ns0:c>
      <ns0:c r="Z236" s="21" t="inlineStr">
        <ns0:is>
          <ns0:t>Not reported in assessed sources</ns0:t>
        </ns0:is>
      </ns0:c>
      <ns0:c r="AA236" s="21" t="inlineStr">
        <ns0:is>
          <ns0:t>Not recorded</ns0:t>
        </ns0:is>
      </ns0:c>
      <ns0:c r="AB236" s="28" t="n">
        <ns0:v>0</ns0:v>
      </ns0:c>
      <ns0:c r="AC236" s="28" t="n">
        <ns0:v>0</ns0:v>
      </ns0:c>
      <ns0:c r="AD236" s="29">
        <ns0:f>IF(AND(G236=1,AB236=0),1,0)</ns0:f>
        <ns0:v>1</ns0:v>
      </ns0:c>
      <ns0:c r="AE236" s="29">
        <ns0:f>IF(AND(AD236=1,AC236=0),1,0)</ns0:f>
        <ns0:v>1</ns0:v>
      </ns0:c>
      <ns0:c r="AF236" s="29">
        <ns0:f>IF(AND(G236=1,H236&lt;&gt;"Not specified"),1,0)</ns0:f>
        <ns0:v>1</ns0:v>
      </ns0:c>
      <ns0:c r="AG236" s="29">
        <ns0:f>IF(AND(AE236=1,AF236=1),1,0)</ns0:f>
        <ns0:v>1</ns0:v>
      </ns0:c>
      <ns0:c r="AH236" s="21" t="inlineStr">
        <ns0:is>
          <ns0:t>Supplied abstract/coding notes; no new full-text verification</ns0:t>
        </ns0:is>
      </ns0:c>
      <ns0:c r="AI236" s="21" t="inlineStr">
        <ns0:is>
          <ns0:t>https://doi.org/10.1038/s41398-023-02662-5</ns0:t>
        </ns0:is>
      </ns0:c>
      <ns0:c r="AJ236" s="21" t="inlineStr">
        <ns0:is>
          <ns0:t>EVIDENCIA; original abstract/coding notes and lot source trace; Historical signals: title/abstract/notes; full-text completion not independently established</ns0:t>
        </ns0:is>
      </ns0:c>
      <ns0:c r="AK236" s="21" t="inlineStr">
        <ns0:is>
          <ns0:t>Integrative human transcriptomics/ceRNA marker study, including SVM and RF; not physiological signal or generic NLP.</ns0:t>
        </ns0:is>
      </ns0:c>
      <ns0:c r="AL236" s="21" t="inlineStr">
        <ns0:is>
          <ns0:t>Not applicable</ns0:t>
        </ns0:is>
      </ns0:c>
      <ns0:c r="AM236" s="21" t="inlineStr">
        <ns0:is>
          <ns0:t>Molecular biomarker discovery; patient-level nomogram also reported</ns0:t>
        </ns0:is>
      </ns0:c>
      <ns0:c r="AN236" s="21" t="inlineStr"/>
      <ns0:c r="AO236" s="21" t="inlineStr">
        <ns0:is>
          <ns0:t>No additional status determination</ns0:t>
        </ns0:is>
      </ns0:c>
      <ns0:c r="AP236" s="21" t="inlineStr">
        <ns0:is>
          <ns0:t>Not documented for this recharting</ns0:t>
        </ns0:is>
      </ns0:c>
      <ns0:c r="AQ236" s="21" t="inlineStr">
        <ns0:is>
          <ns0:t>ChatGPT-assisted evidence recharting, 2026-09-08</ns0:t>
        </ns0:is>
      </ns0:c>
      <ns0:c r="AR236" s="21" t="inlineStr">
        <ns0:is>
          <ns0:t>RA</ns0:t>
        </ns0:is>
      </ns0:c>
      <ns0:c r="AS236" s="21" t="inlineStr">
        <ns0:is>
          <ns0:t>Not recorded; historical inclusion retained</ns0:t>
        </ns0:is>
      </ns0:c>
    </ns0:row>
    <ns0:row r="237" ht="50" customHeight="1">
      <ns0:c r="A237" s="19" t="inlineStr">
        <ns0:is>
          <ns0:t>253</ns0:t>
        </ns0:is>
      </ns0:c>
      <ns0:c r="B237" s="19" t="inlineStr">
        <ns0:is>
          <ns0:t>Historical</ns0:t>
        </ns0:is>
      </ns0:c>
      <ns0:c r="C237" s="19" t="inlineStr">
        <ns0:is>
          <ns0:t>Interpersonal Motor Coordination in Children with Autism and the Establishment of Machine Learning Models to Objectively Classify Children with Autism and Typical Development</ns0:t>
        </ns0:is>
      </ns0:c>
      <ns0:c r="D237" s="19" t="inlineStr">
        <ns0:is>
          <ns0:t>10.1016/j.irbm.2024.100838</ns0:t>
        </ns0:is>
      </ns0:c>
      <ns0:c r="E237" s="26" t="n">
        <ns0:v>2024</ns0:v>
      </ns0:c>
      <ns0:c r="F237" s="19" t="inlineStr">
        <ns0:is>
          <ns0:t>Include</ns0:t>
        </ns0:is>
      </ns0:c>
      <ns0:c r="G237" s="27">
        <ns0:f>IF(F237="Include",1,0)</ns0:f>
        <ns0:v>1</ns0:v>
      </ns0:c>
      <ns0:c r="H237" s="19" t="inlineStr">
        <ns0:is>
          <ns0:t>Screening</ns0:t>
        </ns0:is>
      </ns0:c>
      <ns0:c r="I237" s="19" t="inlineStr">
        <ns0:is>
          <ns0:t>Machine Learning</ns0:t>
        </ns0:is>
      </ns0:c>
      <ns0:c r="J237" s="19" t="inlineStr">
        <ns0:is>
          <ns0:t>Behavioral images/video/gaze/movement</ns0:t>
        </ns0:is>
      </ns0:c>
      <ns0:c r="K237" s="19" t="inlineStr">
        <ns0:is>
          <ns0:t>Not specified</ns0:t>
        </ns0:is>
      </ns0:c>
      <ns0:c r="L237" s="19" t="inlineStr">
        <ns0:is>
          <ns0:t>Multiple/not uniquely specified</ns0:t>
        </ns0:is>
      </ns0:c>
      <ns0:c r="M237" s="19" t="inlineStr">
        <ns0:is>
          <ns0:t>Research only</ns0:t>
        </ns0:is>
      </ns0:c>
      <ns0:c r="N237" s="19" t="inlineStr">
        <ns0:is>
          <ns0:t>Automated measurement/classification</ns0:t>
        </ns0:is>
      </ns0:c>
      <ns0:c r="O237" s="19" t="inlineStr">
        <ns0:is>
          <ns0:t>Not observed in assessed sources</ns0:t>
        </ns0:is>
      </ns0:c>
      <ns0:c r="P237" s="19" t="inlineStr">
        <ns0:is>
          <ns0:t>Not observed in assessed sources</ns0:t>
        </ns0:is>
      </ns0:c>
      <ns0:c r="Q237" s="19" t="inlineStr">
        <ns0:is>
          <ns0:t>Not reported in assessed sources</ns0:t>
        </ns0:is>
      </ns0:c>
      <ns0:c r="R237" s="19" t="inlineStr">
        <ns0:is>
          <ns0:t>Not reported in assessed sources</ns0:t>
        </ns0:is>
      </ns0:c>
      <ns0:c r="S237" s="19" t="inlineStr">
        <ns0:is>
          <ns0:t>Not reported in assessed sources</ns0:t>
        </ns0:is>
      </ns0:c>
      <ns0:c r="T237" s="19" t="inlineStr">
        <ns0:is>
          <ns0:t>Not reported in assessed sources</ns0:t>
        </ns0:is>
      </ns0:c>
      <ns0:c r="U237" s="19" t="inlineStr">
        <ns0:is>
          <ns0:t>Not reported in assessed sources</ns0:t>
        </ns0:is>
      </ns0:c>
      <ns0:c r="V237" s="19" t="inlineStr">
        <ns0:is>
          <ns0:t>Not reported in assessed sources</ns0:t>
        </ns0:is>
      </ns0:c>
      <ns0:c r="W237" s="19" t="inlineStr">
        <ns0:is>
          <ns0:t>Not reported in assessed sources</ns0:t>
        </ns0:is>
      </ns0:c>
      <ns0:c r="X237" s="19" t="inlineStr">
        <ns0:is>
          <ns0:t>Not reported in assessed sources</ns0:t>
        </ns0:is>
      </ns0:c>
      <ns0:c r="Y237" s="19" t="inlineStr">
        <ns0:is>
          <ns0:t>Not ascertainable</ns0:t>
        </ns0:is>
      </ns0:c>
      <ns0:c r="Z237" s="19" t="inlineStr">
        <ns0:is>
          <ns0:t>Not reported in assessed sources</ns0:t>
        </ns0:is>
      </ns0:c>
      <ns0:c r="AA237" s="19" t="inlineStr">
        <ns0:is>
          <ns0:t>Not recorded</ns0:t>
        </ns0:is>
      </ns0:c>
      <ns0:c r="AB237" s="26" t="n">
        <ns0:v>0</ns0:v>
      </ns0:c>
      <ns0:c r="AC237" s="26" t="n">
        <ns0:v>0</ns0:v>
      </ns0:c>
      <ns0:c r="AD237" s="27">
        <ns0:f>IF(AND(G237=1,AB237=0),1,0)</ns0:f>
        <ns0:v>1</ns0:v>
      </ns0:c>
      <ns0:c r="AE237" s="27">
        <ns0:f>IF(AND(AD237=1,AC237=0),1,0)</ns0:f>
        <ns0:v>1</ns0:v>
      </ns0:c>
      <ns0:c r="AF237" s="27">
        <ns0:f>IF(AND(G237=1,H237&lt;&gt;"Not specified"),1,0)</ns0:f>
        <ns0:v>1</ns0:v>
      </ns0:c>
      <ns0:c r="AG237" s="27">
        <ns0:f>IF(AND(AE237=1,AF237=1),1,0)</ns0:f>
        <ns0:v>1</ns0:v>
      </ns0:c>
      <ns0:c r="AH237" s="19" t="inlineStr">
        <ns0:is>
          <ns0:t>Supplied abstract/coding notes; no new full-text verification</ns0:t>
        </ns0:is>
      </ns0:c>
      <ns0:c r="AI237" s="19" t="inlineStr">
        <ns0:is>
          <ns0:t>https://doi.org/10.1016/j.irbm.2024.100838</ns0:t>
        </ns0:is>
      </ns0:c>
      <ns0:c r="AJ237" s="19" t="inlineStr">
        <ns0:is>
          <ns0:t>EVIDENCIA; original abstract/coding notes and lot source trace; Historical signals: title/abstract/notes; full-text completion not independently established</ns0:t>
        </ns0:is>
      </ns0:c>
      <ns0:c r="AK237" s="19" t="inlineStr">
        <ns0:is>
          <ns0:t>Filmed interpersonal motor coordination and engineered wavelet coherence features; no deep architecture specified.</ns0:t>
        </ns0:is>
      </ns0:c>
      <ns0:c r="AL237" s="19" t="inlineStr">
        <ns0:is>
          <ns0:t>Not applicable</ns0:t>
        </ns0:is>
      </ns0:c>
      <ns0:c r="AM237" s="19" t="inlineStr">
        <ns0:is>
          <ns0:t>Not separately specified</ns0:t>
        </ns0:is>
      </ns0:c>
      <ns0:c r="AN237" s="19" t="inlineStr"/>
      <ns0:c r="AO237" s="19" t="inlineStr">
        <ns0:is>
          <ns0:t>No additional status determination</ns0:t>
        </ns0:is>
      </ns0:c>
      <ns0:c r="AP237" s="19" t="inlineStr">
        <ns0:is>
          <ns0:t>Not documented for this recharting</ns0:t>
        </ns0:is>
      </ns0:c>
      <ns0:c r="AQ237" s="19" t="inlineStr">
        <ns0:is>
          <ns0:t>ChatGPT-assisted evidence recharting, 2026-09-08</ns0:t>
        </ns0:is>
      </ns0:c>
      <ns0:c r="AR237" s="19" t="inlineStr">
        <ns0:is>
          <ns0:t>RA</ns0:t>
        </ns0:is>
      </ns0:c>
      <ns0:c r="AS237" s="19" t="inlineStr">
        <ns0:is>
          <ns0:t>Not recorded; historical inclusion retained</ns0:t>
        </ns0:is>
      </ns0:c>
    </ns0:row>
    <ns0:row r="238" ht="50" customHeight="1">
      <ns0:c r="A238" s="21" t="inlineStr">
        <ns0:is>
          <ns0:t>254</ns0:t>
        </ns0:is>
      </ns0:c>
      <ns0:c r="B238" s="21" t="inlineStr">
        <ns0:is>
          <ns0:t>Historical</ns0:t>
        </ns0:is>
      </ns0:c>
      <ns0:c r="C238" s="21" t="inlineStr">
        <ns0:is>
          <ns0:t>Low-Rank Representation for Multi-center Autism Spectrum Disorder Identification.</ns0:t>
        </ns0:is>
      </ns0:c>
      <ns0:c r="D238" s="21" t="inlineStr">
        <ns0:is>
          <ns0:t>10.1007/978-3-030-00928-1_73</ns0:t>
        </ns0:is>
      </ns0:c>
      <ns0:c r="E238" s="28" t="n">
        <ns0:v>2018</ns0:v>
      </ns0:c>
      <ns0:c r="F238" s="21" t="inlineStr">
        <ns0:is>
          <ns0:t>Include</ns0:t>
        </ns0:is>
      </ns0:c>
      <ns0:c r="G238" s="29">
        <ns0:f>IF(F238="Include",1,0)</ns0:f>
        <ns0:v>1</ns0:v>
      </ns0:c>
      <ns0:c r="H238" s="21" t="inlineStr">
        <ns0:is>
          <ns0:t>Diagnosis</ns0:t>
        </ns0:is>
      </ns0:c>
      <ns0:c r="I238" s="21" t="inlineStr">
        <ns0:is>
          <ns0:t>Machine Learning</ns0:t>
        </ns0:is>
      </ns0:c>
      <ns0:c r="J238" s="21" t="inlineStr">
        <ns0:is>
          <ns0:t>Neuroimaging</ns0:t>
        </ns0:is>
      </ns0:c>
      <ns0:c r="K238" s="21" t="inlineStr">
        <ns0:is>
          <ns0:t>k-nearest neighbors</ns0:t>
        </ns0:is>
      </ns0:c>
      <ns0:c r="L238" s="21" t="inlineStr">
        <ns0:is>
          <ns0:t>k-nearest neighbors</ns0:t>
        </ns0:is>
      </ns0:c>
      <ns0:c r="M238" s="21" t="inlineStr">
        <ns0:is>
          <ns0:t>Research only</ns0:t>
        </ns0:is>
      </ns0:c>
      <ns0:c r="N238" s="21" t="inlineStr">
        <ns0:is>
          <ns0:t>Automated measurement/classification</ns0:t>
        </ns0:is>
      </ns0:c>
      <ns0:c r="O238" s="21" t="inlineStr">
        <ns0:is>
          <ns0:t>Not observed in assessed sources</ns0:t>
        </ns0:is>
      </ns0:c>
      <ns0:c r="P238" s="21" t="inlineStr">
        <ns0:is>
          <ns0:t>Not observed in assessed sources</ns0:t>
        </ns0:is>
      </ns0:c>
      <ns0:c r="Q238" s="21" t="inlineStr">
        <ns0:is>
          <ns0:t>Not reported in assessed sources</ns0:t>
        </ns0:is>
      </ns0:c>
      <ns0:c r="R238" s="21" t="inlineStr">
        <ns0:is>
          <ns0:t>Not reported in assessed sources</ns0:t>
        </ns0:is>
      </ns0:c>
      <ns0:c r="S238" s="21" t="inlineStr">
        <ns0:is>
          <ns0:t>Not reported in assessed sources</ns0:t>
        </ns0:is>
      </ns0:c>
      <ns0:c r="T238" s="21" t="inlineStr">
        <ns0:is>
          <ns0:t>Not reported in assessed sources</ns0:t>
        </ns0:is>
      </ns0:c>
      <ns0:c r="U238" s="21" t="inlineStr">
        <ns0:is>
          <ns0:t>Reported</ns0:t>
        </ns0:is>
      </ns0:c>
      <ns0:c r="V238" s="21" t="inlineStr">
        <ns0:is>
          <ns0:t>Reported</ns0:t>
        </ns0:is>
      </ns0:c>
      <ns0:c r="W238" s="21" t="inlineStr">
        <ns0:is>
          <ns0:t>Not reported in assessed sources</ns0:t>
        </ns0:is>
      </ns0:c>
      <ns0:c r="X238" s="21" t="inlineStr">
        <ns0:is>
          <ns0:t>Not reported in assessed sources</ns0:t>
        </ns0:is>
      </ns0:c>
      <ns0:c r="Y238" s="21" t="inlineStr">
        <ns0:is>
          <ns0:t>Not ascertainable</ns0:t>
        </ns0:is>
      </ns0:c>
      <ns0:c r="Z238" s="21" t="inlineStr">
        <ns0:is>
          <ns0:t>Not reported in assessed sources</ns0:t>
        </ns0:is>
      </ns0:c>
      <ns0:c r="AA238" s="21" t="inlineStr">
        <ns0:is>
          <ns0:t>Not recorded</ns0:t>
        </ns0:is>
      </ns0:c>
      <ns0:c r="AB238" s="28" t="n">
        <ns0:v>0</ns0:v>
      </ns0:c>
      <ns0:c r="AC238" s="28" t="n">
        <ns0:v>0</ns0:v>
      </ns0:c>
      <ns0:c r="AD238" s="29">
        <ns0:f>IF(AND(G238=1,AB238=0),1,0)</ns0:f>
        <ns0:v>1</ns0:v>
      </ns0:c>
      <ns0:c r="AE238" s="29">
        <ns0:f>IF(AND(AD238=1,AC238=0),1,0)</ns0:f>
        <ns0:v>1</ns0:v>
      </ns0:c>
      <ns0:c r="AF238" s="29">
        <ns0:f>IF(AND(G238=1,H238&lt;&gt;"Not specified"),1,0)</ns0:f>
        <ns0:v>1</ns0:v>
      </ns0:c>
      <ns0:c r="AG238" s="29">
        <ns0:f>IF(AND(AE238=1,AF238=1),1,0)</ns0:f>
        <ns0:v>1</ns0:v>
      </ns0:c>
      <ns0:c r="AH238" s="21" t="inlineStr">
        <ns0:is>
          <ns0:t>Supplied abstract/coding notes; no new full-text verification</ns0:t>
        </ns0:is>
      </ns0:c>
      <ns0:c r="AI238" s="21" t="inlineStr">
        <ns0:is>
          <ns0:t>https://doi.org/10.1007/978-3-030-00928-1_73</ns0:t>
        </ns0:is>
      </ns0:c>
      <ns0:c r="AJ238" s="21" t="inlineStr">
        <ns0:is>
          <ns0:t>EVIDENCIA; original abstract/coding notes and lot source trace; Historical signals: title/abstract/notes; full-text completion not independently established</ns0:t>
        </ns0:is>
      </ns0:c>
      <ns0:c r="AK238" s="21" t="inlineStr">
        <ns0:is>
          <ns0:t>Multi-center low-rank domain adaptation plus KNN. Target-center data participate in representation learning, so this is site-adapted evaluation, not untouched external validation.
Cross-center domain adaptation; target data used during adaptation, not untouched external cohort</ns0:t>
        </ns0:is>
      </ns0:c>
      <ns0:c r="AL238" s="21" t="inlineStr">
        <ns0:is>
          <ns0:t>Not applicable</ns0:t>
        </ns0:is>
      </ns0:c>
      <ns0:c r="AM238" s="21" t="inlineStr">
        <ns0:is>
          <ns0:t>Not separately specified</ns0:t>
        </ns0:is>
      </ns0:c>
      <ns0:c r="AN238" s="21" t="inlineStr"/>
      <ns0:c r="AO238" s="21" t="inlineStr">
        <ns0:is>
          <ns0:t>No additional status determination</ns0:t>
        </ns0:is>
      </ns0:c>
      <ns0:c r="AP238" s="21" t="inlineStr">
        <ns0:is>
          <ns0:t>Not documented for this recharting</ns0:t>
        </ns0:is>
      </ns0:c>
      <ns0:c r="AQ238" s="21" t="inlineStr">
        <ns0:is>
          <ns0:t>ChatGPT-assisted evidence recharting, 2026-09-08</ns0:t>
        </ns0:is>
      </ns0:c>
      <ns0:c r="AR238" s="21" t="inlineStr">
        <ns0:is>
          <ns0:t>RA</ns0:t>
        </ns0:is>
      </ns0:c>
      <ns0:c r="AS238" s="21" t="inlineStr">
        <ns0:is>
          <ns0:t>Not recorded; historical inclusion retained</ns0:t>
        </ns0:is>
      </ns0:c>
    </ns0:row>
    <ns0:row r="239" ht="50" customHeight="1">
      <ns0:c r="A239" s="19" t="inlineStr">
        <ns0:is>
          <ns0:t>255</ns0:t>
        </ns0:is>
      </ns0:c>
      <ns0:c r="B239" s="19" t="inlineStr">
        <ns0:is>
          <ns0:t>Historical</ns0:t>
        </ns0:is>
      </ns0:c>
      <ns0:c r="C239" s="19" t="inlineStr">
        <ns0:is>
          <ns0:t>LSTA-CNN: A Lightweight Spatiotemporal Attention-Based Convolutional Neural Network for ASD Diagnosis Using EEG</ns0:t>
        </ns0:is>
      </ns0:c>
      <ns0:c r="D239" s="19" t="inlineStr">
        <ns0:is>
          <ns0:t>10.1109/tnsre.2025.3580593</ns0:t>
        </ns0:is>
      </ns0:c>
      <ns0:c r="E239" s="26" t="n">
        <ns0:v>2025</ns0:v>
      </ns0:c>
      <ns0:c r="F239" s="19" t="inlineStr">
        <ns0:is>
          <ns0:t>Include</ns0:t>
        </ns0:is>
      </ns0:c>
      <ns0:c r="G239" s="27">
        <ns0:f>IF(F239="Include",1,0)</ns0:f>
        <ns0:v>1</ns0:v>
      </ns0:c>
      <ns0:c r="H239" s="19" t="inlineStr">
        <ns0:is>
          <ns0:t>Diagnosis</ns0:t>
        </ns0:is>
      </ns0:c>
      <ns0:c r="I239" s="19" t="inlineStr">
        <ns0:is>
          <ns0:t>Deep Learning</ns0:t>
        </ns0:is>
      </ns0:c>
      <ns0:c r="J239" s="19" t="inlineStr">
        <ns0:is>
          <ns0:t>Physiological signals</ns0:t>
        </ns0:is>
      </ns0:c>
      <ns0:c r="K239" s="19" t="inlineStr">
        <ns0:is>
          <ns0:t>CNN</ns0:t>
        </ns0:is>
      </ns0:c>
      <ns0:c r="L239" s="19" t="inlineStr">
        <ns0:is>
          <ns0:t>CNN</ns0:t>
        </ns0:is>
      </ns0:c>
      <ns0:c r="M239" s="19" t="inlineStr">
        <ns0:is>
          <ns0:t>Research only</ns0:t>
        </ns0:is>
      </ns0:c>
      <ns0:c r="N239" s="19" t="inlineStr">
        <ns0:is>
          <ns0:t>Automated measurement/classification</ns0:t>
        </ns0:is>
      </ns0:c>
      <ns0:c r="O239" s="19" t="inlineStr">
        <ns0:is>
          <ns0:t>Not observed in assessed sources</ns0:t>
        </ns0:is>
      </ns0:c>
      <ns0:c r="P239" s="19" t="inlineStr">
        <ns0:is>
          <ns0:t>Not observed in assessed sources</ns0:t>
        </ns0:is>
      </ns0:c>
      <ns0:c r="Q239" s="19" t="inlineStr">
        <ns0:is>
          <ns0:t>Not reported in assessed sources</ns0:t>
        </ns0:is>
      </ns0:c>
      <ns0:c r="R239" s="19" t="inlineStr">
        <ns0:is>
          <ns0:t>Not reported in assessed sources</ns0:t>
        </ns0:is>
      </ns0:c>
      <ns0:c r="S239" s="19" t="inlineStr">
        <ns0:is>
          <ns0:t>Not reported in assessed sources</ns0:t>
        </ns0:is>
      </ns0:c>
      <ns0:c r="T239" s="19" t="inlineStr">
        <ns0:is>
          <ns0:t>Not reported in assessed sources</ns0:t>
        </ns0:is>
      </ns0:c>
      <ns0:c r="U239" s="19" t="inlineStr">
        <ns0:is>
          <ns0:t>Not reported in assessed sources</ns0:t>
        </ns0:is>
      </ns0:c>
      <ns0:c r="V239" s="19" t="inlineStr">
        <ns0:is>
          <ns0:t>Not reported in assessed sources</ns0:t>
        </ns0:is>
      </ns0:c>
      <ns0:c r="W239" s="19" t="inlineStr">
        <ns0:is>
          <ns0:t>Not reported in assessed sources</ns0:t>
        </ns0:is>
      </ns0:c>
      <ns0:c r="X239" s="19" t="inlineStr">
        <ns0:is>
          <ns0:t>Not reported in assessed sources</ns0:t>
        </ns0:is>
      </ns0:c>
      <ns0:c r="Y239" s="19" t="inlineStr">
        <ns0:is>
          <ns0:t>Not ascertainable</ns0:t>
        </ns0:is>
      </ns0:c>
      <ns0:c r="Z239" s="19" t="inlineStr">
        <ns0:is>
          <ns0:t>Not reported in assessed sources</ns0:t>
        </ns0:is>
      </ns0:c>
      <ns0:c r="AA239" s="19" t="inlineStr">
        <ns0:is>
          <ns0:t>Not recorded</ns0:t>
        </ns0:is>
      </ns0:c>
      <ns0:c r="AB239" s="26" t="n">
        <ns0:v>0</ns0:v>
      </ns0:c>
      <ns0:c r="AC239" s="26" t="n">
        <ns0:v>0</ns0:v>
      </ns0:c>
      <ns0:c r="AD239" s="27">
        <ns0:f>IF(AND(G239=1,AB239=0),1,0)</ns0:f>
        <ns0:v>1</ns0:v>
      </ns0:c>
      <ns0:c r="AE239" s="27">
        <ns0:f>IF(AND(AD239=1,AC239=0),1,0)</ns0:f>
        <ns0:v>1</ns0:v>
      </ns0:c>
      <ns0:c r="AF239" s="27">
        <ns0:f>IF(AND(G239=1,H239&lt;&gt;"Not specified"),1,0)</ns0:f>
        <ns0:v>1</ns0:v>
      </ns0:c>
      <ns0:c r="AG239" s="27">
        <ns0:f>IF(AND(AE239=1,AF239=1),1,0)</ns0:f>
        <ns0:v>1</ns0:v>
      </ns0:c>
      <ns0:c r="AH239" s="19" t="inlineStr">
        <ns0:is>
          <ns0:t>Supplied abstract/coding notes; no new full-text verification</ns0:t>
        </ns0:is>
      </ns0:c>
      <ns0:c r="AI239" s="19" t="inlineStr">
        <ns0:is>
          <ns0:t>https://doi.org/10.1109/tnsre.2025.3580593</ns0:t>
        </ns0:is>
      </ns0:c>
      <ns0:c r="AJ239" s="19" t="inlineStr">
        <ns0:is>
          <ns0:t>EVIDENCIA; original abstract/coding notes and lot source trace; Historical signals: title/abstract/notes; full-text completion not independently established</ns0:t>
        </ns0:is>
      </ns0:c>
      <ns0:c r="AK239" s="19" t="inlineStr">
        <ns0:is>
          <ns0:t>EEG spatial-temporal attention CNN. Attention mechanism alone does not demonstrate explanatory analysis.</ns0:t>
        </ns0:is>
      </ns0:c>
      <ns0:c r="AL239" s="19" t="inlineStr">
        <ns0:is>
          <ns0:t>Not applicable</ns0:t>
        </ns0:is>
      </ns0:c>
      <ns0:c r="AM239" s="19" t="inlineStr">
        <ns0:is>
          <ns0:t>Not separately specified</ns0:t>
        </ns0:is>
      </ns0:c>
      <ns0:c r="AN239" s="19" t="inlineStr"/>
      <ns0:c r="AO239" s="19" t="inlineStr">
        <ns0:is>
          <ns0:t>No additional status determination</ns0:t>
        </ns0:is>
      </ns0:c>
      <ns0:c r="AP239" s="19" t="inlineStr">
        <ns0:is>
          <ns0:t>Not documented for this recharting</ns0:t>
        </ns0:is>
      </ns0:c>
      <ns0:c r="AQ239" s="19" t="inlineStr">
        <ns0:is>
          <ns0:t>ChatGPT-assisted evidence recharting, 2026-09-08</ns0:t>
        </ns0:is>
      </ns0:c>
      <ns0:c r="AR239" s="19" t="inlineStr">
        <ns0:is>
          <ns0:t>RA</ns0:t>
        </ns0:is>
      </ns0:c>
      <ns0:c r="AS239" s="19" t="inlineStr">
        <ns0:is>
          <ns0:t>Not recorded; historical inclusion retained</ns0:t>
        </ns0:is>
      </ns0:c>
    </ns0:row>
    <ns0:row r="240" ht="50" customHeight="1">
      <ns0:c r="A240" s="21" t="inlineStr">
        <ns0:is>
          <ns0:t>256</ns0:t>
        </ns0:is>
      </ns0:c>
      <ns0:c r="B240" s="21" t="inlineStr">
        <ns0:is>
          <ns0:t>Historical</ns0:t>
        </ns0:is>
      </ns0:c>
      <ns0:c r="C240" s="21" t="inlineStr">
        <ns0:is>
          <ns0:t>Machine learning methods for autism spectrum disorder classification</ns0:t>
        </ns0:is>
      </ns0:c>
      <ns0:c r="D240" s="21" t="inlineStr">
        <ns0:is>
          <ns0:t>10.1016/b978-0-12-822822-7.00008-9</ns0:t>
        </ns0:is>
      </ns0:c>
      <ns0:c r="E240" s="28" t="n">
        <ns0:v>2021</ns0:v>
      </ns0:c>
      <ns0:c r="F240" s="30" t="inlineStr">
        <ns0:is>
          <ns0:t>Exclude</ns0:t>
        </ns0:is>
      </ns0:c>
      <ns0:c r="G240" s="29">
        <ns0:f>IF(F240="Include",1,0)</ns0:f>
        <ns0:v>0</ns0:v>
      </ns0:c>
      <ns0:c r="H240" s="21" t="inlineStr">
        <ns0:is>
          <ns0:t>Excluded</ns0:t>
        </ns0:is>
      </ns0:c>
      <ns0:c r="I240" s="21" t="inlineStr">
        <ns0:is>
          <ns0:t>Excluded</ns0:t>
        </ns0:is>
      </ns0:c>
      <ns0:c r="J240" s="21" t="inlineStr">
        <ns0:is>
          <ns0:t>Excluded</ns0:t>
        </ns0:is>
      </ns0:c>
      <ns0:c r="K240" s="21" t="inlineStr">
        <ns0:is>
          <ns0:t>Not specified</ns0:t>
        </ns0:is>
      </ns0:c>
      <ns0:c r="L240" s="21" t="inlineStr">
        <ns0:is>
          <ns0:t>Multiple/not uniquely specified</ns0:t>
        </ns0:is>
      </ns0:c>
      <ns0:c r="M240" s="21" t="inlineStr">
        <ns0:is>
          <ns0:t>Excluded</ns0:t>
        </ns0:is>
      </ns0:c>
      <ns0:c r="N240" s="21" t="inlineStr">
        <ns0:is>
          <ns0:t>Excluded</ns0:t>
        </ns0:is>
      </ns0:c>
      <ns0:c r="O240" s="21" t="inlineStr">
        <ns0:is>
          <ns0:t>Not applicable - excluded</ns0:t>
        </ns0:is>
      </ns0:c>
      <ns0:c r="P240" s="21" t="inlineStr">
        <ns0:is>
          <ns0:t>Not applicable - excluded</ns0:t>
        </ns0:is>
      </ns0:c>
      <ns0:c r="Q240" s="21" t="inlineStr">
        <ns0:is>
          <ns0:t>Not reported in assessed sources</ns0:t>
        </ns0:is>
      </ns0:c>
      <ns0:c r="R240" s="21" t="inlineStr">
        <ns0:is>
          <ns0:t>Not reported in assessed sources</ns0:t>
        </ns0:is>
      </ns0:c>
      <ns0:c r="S240" s="21" t="inlineStr">
        <ns0:is>
          <ns0:t>Not reported in assessed sources</ns0:t>
        </ns0:is>
      </ns0:c>
      <ns0:c r="T240" s="21" t="inlineStr">
        <ns0:is>
          <ns0:t>Not reported in assessed sources</ns0:t>
        </ns0:is>
      </ns0:c>
      <ns0:c r="U240" s="21" t="inlineStr">
        <ns0:is>
          <ns0:t>Not reported in assessed sources</ns0:t>
        </ns0:is>
      </ns0:c>
      <ns0:c r="V240" s="21" t="inlineStr">
        <ns0:is>
          <ns0:t>Not reported in assessed sources</ns0:t>
        </ns0:is>
      </ns0:c>
      <ns0:c r="W240" s="21" t="inlineStr">
        <ns0:is>
          <ns0:t>Not reported in assessed sources</ns0:t>
        </ns0:is>
      </ns0:c>
      <ns0:c r="X240" s="21" t="inlineStr">
        <ns0:is>
          <ns0:t>Not reported in assessed sources</ns0:t>
        </ns0:is>
      </ns0:c>
      <ns0:c r="Y240" s="21" t="inlineStr">
        <ns0:is>
          <ns0:t>Not ascertainable</ns0:t>
        </ns0:is>
      </ns0:c>
      <ns0:c r="Z240" s="21" t="inlineStr">
        <ns0:is>
          <ns0:t>Not reported in assessed sources</ns0:t>
        </ns0:is>
      </ns0:c>
      <ns0:c r="AA240" s="21" t="inlineStr">
        <ns0:is>
          <ns0:t>Not recorded</ns0:t>
        </ns0:is>
      </ns0:c>
      <ns0:c r="AB240" s="28" t="n">
        <ns0:v>0</ns0:v>
      </ns0:c>
      <ns0:c r="AC240" s="28" t="n">
        <ns0:v>0</ns0:v>
      </ns0:c>
      <ns0:c r="AD240" s="29">
        <ns0:f>IF(AND(G240=1,AB240=0),1,0)</ns0:f>
        <ns0:v>0</ns0:v>
      </ns0:c>
      <ns0:c r="AE240" s="29">
        <ns0:f>IF(AND(AD240=1,AC240=0),1,0)</ns0:f>
        <ns0:v>0</ns0:v>
      </ns0:c>
      <ns0:c r="AF240" s="29">
        <ns0:f>IF(AND(G240=1,H240&lt;&gt;"Not specified"),1,0)</ns0:f>
        <ns0:v>0</ns0:v>
      </ns0:c>
      <ns0:c r="AG240" s="29">
        <ns0:f>IF(AND(AE240=1,AF240=1),1,0)</ns0:f>
        <ns0:v>0</ns0:v>
      </ns0:c>
      <ns0:c r="AH240" s="21" t="inlineStr">
        <ns0:is>
          <ns0:t>Supplied abstract/coding notes; no new full-text verification</ns0:t>
        </ns0:is>
      </ns0:c>
      <ns0:c r="AI240" s="21" t="inlineStr">
        <ns0:is>
          <ns0:t>https://doi.org/10.1016/b978-0-12-822822-7.00008-9</ns0:t>
        </ns0:is>
      </ns0:c>
      <ns0:c r="AJ240" s="21" t="inlineStr">
        <ns0:is>
          <ns0:t>EVIDENCIA; original abstract/coding notes and lot source trace; Historical signals: title/abstract/notes; full-text completion not independently established</ns0:t>
        </ns0:is>
      </ns0:c>
      <ns0:c r="AK240" s="21" t="inlineStr">
        <ns0:is>
          <ns0:t>Elsevier B978 edited-book chapter; distinguish it from eligible full conference proceedings.</ns0:t>
        </ns0:is>
      </ns0:c>
      <ns0:c r="AL240" s="21" t="inlineStr">
        <ns0:is>
          <ns0:t>Ineligible publication type: standalone book chapter</ns0:t>
        </ns0:is>
      </ns0:c>
      <ns0:c r="AM240" s="21" t="inlineStr">
        <ns0:is>
          <ns0:t>Not separately specified</ns0:t>
        </ns0:is>
      </ns0:c>
      <ns0:c r="AN240" s="21" t="inlineStr"/>
      <ns0:c r="AO240" s="21" t="inlineStr">
        <ns0:is>
          <ns0:t>No additional status determination</ns0:t>
        </ns0:is>
      </ns0:c>
      <ns0:c r="AP240" s="21" t="inlineStr">
        <ns0:is>
          <ns0:t>Not documented for this recharting</ns0:t>
        </ns0:is>
      </ns0:c>
      <ns0:c r="AQ240" s="21" t="inlineStr">
        <ns0:is>
          <ns0:t>ChatGPT-assisted evidence recharting, 2026-09-08</ns0:t>
        </ns0:is>
      </ns0:c>
      <ns0:c r="AR240" s="21" t="inlineStr"/>
      <ns0:c r="AS240" s="21" t="inlineStr">
        <ns0:is>
          <ns0:t>Not recorded; historical inclusion retained</ns0:t>
        </ns0:is>
      </ns0:c>
    </ns0:row>
    <ns0:row r="241" ht="50" customHeight="1">
      <ns0:c r="A241" s="19" t="inlineStr">
        <ns0:is>
          <ns0:t>258</ns0:t>
        </ns0:is>
      </ns0:c>
      <ns0:c r="B241" s="19" t="inlineStr">
        <ns0:is>
          <ns0:t>Historical</ns0:t>
        </ns0:is>
      </ns0:c>
      <ns0:c r="C241" s="19" t="inlineStr">
        <ns0:is>
          <ns0:t>MDNCT: a multi-domain neurocognitive transformer architecture approach for early prediction of autism spectrum disorders</ns0:t>
        </ns0:is>
      </ns0:c>
      <ns0:c r="D241" s="19" t="inlineStr">
        <ns0:is>
          <ns0:t>10.1038/s41598-025-09862-7</ns0:t>
        </ns0:is>
      </ns0:c>
      <ns0:c r="E241" s="26" t="n">
        <ns0:v>2025</ns0:v>
      </ns0:c>
      <ns0:c r="F241" s="19" t="inlineStr">
        <ns0:is>
          <ns0:t>Include</ns0:t>
        </ns0:is>
      </ns0:c>
      <ns0:c r="G241" s="27">
        <ns0:f>IF(F241="Include",1,0)</ns0:f>
        <ns0:v>1</ns0:v>
      </ns0:c>
      <ns0:c r="H241" s="19" t="inlineStr">
        <ns0:is>
          <ns0:t>Screening</ns0:t>
        </ns0:is>
      </ns0:c>
      <ns0:c r="I241" s="19" t="inlineStr">
        <ns0:is>
          <ns0:t>Deep Learning</ns0:t>
        </ns0:is>
      </ns0:c>
      <ns0:c r="J241" s="19" t="inlineStr">
        <ns0:is>
          <ns0:t>Not specified</ns0:t>
        </ns0:is>
      </ns0:c>
      <ns0:c r="K241" s="19" t="inlineStr">
        <ns0:is>
          <ns0:t>Transformer</ns0:t>
        </ns0:is>
      </ns0:c>
      <ns0:c r="L241" s="19" t="inlineStr">
        <ns0:is>
          <ns0:t>Transformer</ns0:t>
        </ns0:is>
      </ns0:c>
      <ns0:c r="M241" s="19" t="inlineStr">
        <ns0:is>
          <ns0:t>Research only</ns0:t>
        </ns0:is>
      </ns0:c>
      <ns0:c r="N241" s="19" t="inlineStr">
        <ns0:is>
          <ns0:t>Automated measurement/classification</ns0:t>
        </ns0:is>
      </ns0:c>
      <ns0:c r="O241" s="19" t="inlineStr">
        <ns0:is>
          <ns0:t>Not observed in assessed sources</ns0:t>
        </ns0:is>
      </ns0:c>
      <ns0:c r="P241" s="19" t="inlineStr">
        <ns0:is>
          <ns0:t>Not observed in assessed sources</ns0:t>
        </ns0:is>
      </ns0:c>
      <ns0:c r="Q241" s="19" t="inlineStr">
        <ns0:is>
          <ns0:t>Not reported in assessed sources</ns0:t>
        </ns0:is>
      </ns0:c>
      <ns0:c r="R241" s="19" t="inlineStr">
        <ns0:is>
          <ns0:t>Not reported in assessed sources</ns0:t>
        </ns0:is>
      </ns0:c>
      <ns0:c r="S241" s="19" t="inlineStr">
        <ns0:is>
          <ns0:t>Not reported in assessed sources</ns0:t>
        </ns0:is>
      </ns0:c>
      <ns0:c r="T241" s="19" t="inlineStr">
        <ns0:is>
          <ns0:t>Not reported in assessed sources</ns0:t>
        </ns0:is>
      </ns0:c>
      <ns0:c r="U241" s="19" t="inlineStr">
        <ns0:is>
          <ns0:t>Not reported in assessed sources</ns0:t>
        </ns0:is>
      </ns0:c>
      <ns0:c r="V241" s="19" t="inlineStr">
        <ns0:is>
          <ns0:t>Not reported in assessed sources</ns0:t>
        </ns0:is>
      </ns0:c>
      <ns0:c r="W241" s="19" t="inlineStr">
        <ns0:is>
          <ns0:t>Not reported in assessed sources</ns0:t>
        </ns0:is>
      </ns0:c>
      <ns0:c r="X241" s="19" t="inlineStr">
        <ns0:is>
          <ns0:t>Not reported in assessed sources</ns0:t>
        </ns0:is>
      </ns0:c>
      <ns0:c r="Y241" s="19" t="inlineStr">
        <ns0:is>
          <ns0:t>Not ascertainable</ns0:t>
        </ns0:is>
      </ns0:c>
      <ns0:c r="Z241" s="19" t="inlineStr">
        <ns0:is>
          <ns0:t>Not reported in assessed sources</ns0:t>
        </ns0:is>
      </ns0:c>
      <ns0:c r="AA241" s="19" t="inlineStr">
        <ns0:is>
          <ns0:t>Not recorded</ns0:t>
        </ns0:is>
      </ns0:c>
      <ns0:c r="AB241" s="26" t="n">
        <ns0:v>0</ns0:v>
      </ns0:c>
      <ns0:c r="AC241" s="26" t="n">
        <ns0:v>0</ns0:v>
      </ns0:c>
      <ns0:c r="AD241" s="27">
        <ns0:f>IF(AND(G241=1,AB241=0),1,0)</ns0:f>
        <ns0:v>1</ns0:v>
      </ns0:c>
      <ns0:c r="AE241" s="27">
        <ns0:f>IF(AND(AD241=1,AC241=0),1,0)</ns0:f>
        <ns0:v>1</ns0:v>
      </ns0:c>
      <ns0:c r="AF241" s="27">
        <ns0:f>IF(AND(G241=1,H241&lt;&gt;"Not specified"),1,0)</ns0:f>
        <ns0:v>1</ns0:v>
      </ns0:c>
      <ns0:c r="AG241" s="27">
        <ns0:f>IF(AND(AE241=1,AF241=1),1,0)</ns0:f>
        <ns0:v>1</ns0:v>
      </ns0:c>
      <ns0:c r="AH241" s="19" t="inlineStr">
        <ns0:is>
          <ns0:t>Supplied abstract/coding notes; no new full-text verification</ns0:t>
        </ns0:is>
      </ns0:c>
      <ns0:c r="AI241" s="19" t="inlineStr">
        <ns0:is>
          <ns0:t>https://doi.org/10.1038/s41598-025-09862-7</ns0:t>
        </ns0:is>
      </ns0:c>
      <ns0:c r="AJ241" s="19" t="inlineStr">
        <ns0:is>
          <ns0:t>EVIDENCIA; original abstract/coding notes and lot source trace; Historical signals: title/abstract/notes; full-text completion not independently established</ns0:t>
        </ns0:is>
      </ns0:c>
      <ns0:c r="AK241" s="19" t="inlineStr">
        <ns0:is>
          <ns0:t>Multi-domain transformer includes ASD toddler identification, but ASD-specific input modality is not specified. Other-domain text/dementia tasks cannot define the ASD data source.</ns0:t>
        </ns0:is>
      </ns0:c>
      <ns0:c r="AL241" s="19" t="inlineStr">
        <ns0:is>
          <ns0:t>Not applicable</ns0:t>
        </ns0:is>
      </ns0:c>
      <ns0:c r="AM241" s="19" t="inlineStr">
        <ns0:is>
          <ns0:t>Not separately specified</ns0:t>
        </ns0:is>
      </ns0:c>
      <ns0:c r="AN241" s="19" t="inlineStr"/>
      <ns0:c r="AO241" s="19" t="inlineStr">
        <ns0:is>
          <ns0:t>No additional status determination</ns0:t>
        </ns0:is>
      </ns0:c>
      <ns0:c r="AP241" s="19" t="inlineStr">
        <ns0:is>
          <ns0:t>Not documented for this recharting</ns0:t>
        </ns0:is>
      </ns0:c>
      <ns0:c r="AQ241" s="19" t="inlineStr">
        <ns0:is>
          <ns0:t>ChatGPT-assisted evidence recharting, 2026-09-08</ns0:t>
        </ns0:is>
      </ns0:c>
      <ns0:c r="AR241" s="19" t="inlineStr">
        <ns0:is>
          <ns0:t>RA</ns0:t>
        </ns0:is>
      </ns0:c>
      <ns0:c r="AS241" s="19" t="inlineStr">
        <ns0:is>
          <ns0:t>Not recorded; historical inclusion retained</ns0:t>
        </ns0:is>
      </ns0:c>
    </ns0:row>
    <ns0:row r="242" ht="50" customHeight="1">
      <ns0:c r="A242" s="21" t="inlineStr">
        <ns0:is>
          <ns0:t>259</ns0:t>
        </ns0:is>
      </ns0:c>
      <ns0:c r="B242" s="21" t="inlineStr">
        <ns0:is>
          <ns0:t>Historical</ns0:t>
        </ns0:is>
      </ns0:c>
      <ns0:c r="C242" s="21" t="inlineStr">
        <ns0:is>
          <ns0:t>MHATC: Autism Spectrum Disorder Identification Utilizing Multi-Head Attention Encoder Along with Temporal Consolidation Modules</ns0:t>
        </ns0:is>
      </ns0:c>
      <ns0:c r="D242" s="21" t="inlineStr">
        <ns0:is>
          <ns0:t>10.1109/embc48229.2022.9871130</ns0:t>
        </ns0:is>
      </ns0:c>
      <ns0:c r="E242" s="28" t="n">
        <ns0:v>2022</ns0:v>
      </ns0:c>
      <ns0:c r="F242" s="21" t="inlineStr">
        <ns0:is>
          <ns0:t>Include</ns0:t>
        </ns0:is>
      </ns0:c>
      <ns0:c r="G242" s="29">
        <ns0:f>IF(F242="Include",1,0)</ns0:f>
        <ns0:v>1</ns0:v>
      </ns0:c>
      <ns0:c r="H242" s="21" t="inlineStr">
        <ns0:is>
          <ns0:t>Diagnosis</ns0:t>
        </ns0:is>
      </ns0:c>
      <ns0:c r="I242" s="21" t="inlineStr">
        <ns0:is>
          <ns0:t>Deep Learning</ns0:t>
        </ns0:is>
      </ns0:c>
      <ns0:c r="J242" s="21" t="inlineStr">
        <ns0:is>
          <ns0:t>Neuroimaging</ns0:t>
        </ns0:is>
      </ns0:c>
      <ns0:c r="K242" s="21" t="inlineStr">
        <ns0:is>
          <ns0:t>Transformer</ns0:t>
        </ns0:is>
      </ns0:c>
      <ns0:c r="L242" s="21" t="inlineStr">
        <ns0:is>
          <ns0:t>Transformer</ns0:t>
        </ns0:is>
      </ns0:c>
      <ns0:c r="M242" s="21" t="inlineStr">
        <ns0:is>
          <ns0:t>Research only</ns0:t>
        </ns0:is>
      </ns0:c>
      <ns0:c r="N242" s="21" t="inlineStr">
        <ns0:is>
          <ns0:t>Automated measurement/classification</ns0:t>
        </ns0:is>
      </ns0:c>
      <ns0:c r="O242" s="21" t="inlineStr">
        <ns0:is>
          <ns0:t>Not observed in assessed sources</ns0:t>
        </ns0:is>
      </ns0:c>
      <ns0:c r="P242" s="21" t="inlineStr">
        <ns0:is>
          <ns0:t>Not observed in assessed sources</ns0:t>
        </ns0:is>
      </ns0:c>
      <ns0:c r="Q242" s="21" t="inlineStr">
        <ns0:is>
          <ns0:t>Not reported in assessed sources</ns0:t>
        </ns0:is>
      </ns0:c>
      <ns0:c r="R242" s="21" t="inlineStr">
        <ns0:is>
          <ns0:t>Not reported in assessed sources</ns0:t>
        </ns0:is>
      </ns0:c>
      <ns0:c r="S242" s="21" t="inlineStr">
        <ns0:is>
          <ns0:t>Not reported in assessed sources</ns0:t>
        </ns0:is>
      </ns0:c>
      <ns0:c r="T242" s="21" t="inlineStr">
        <ns0:is>
          <ns0:t>Not reported in assessed sources</ns0:t>
        </ns0:is>
      </ns0:c>
      <ns0:c r="U242" s="21" t="inlineStr">
        <ns0:is>
          <ns0:t>Not reported in assessed sources</ns0:t>
        </ns0:is>
      </ns0:c>
      <ns0:c r="V242" s="21" t="inlineStr">
        <ns0:is>
          <ns0:t>Not reported in assessed sources</ns0:t>
        </ns0:is>
      </ns0:c>
      <ns0:c r="W242" s="21" t="inlineStr">
        <ns0:is>
          <ns0:t>Not reported in assessed sources</ns0:t>
        </ns0:is>
      </ns0:c>
      <ns0:c r="X242" s="21" t="inlineStr">
        <ns0:is>
          <ns0:t>Not reported in assessed sources</ns0:t>
        </ns0:is>
      </ns0:c>
      <ns0:c r="Y242" s="21" t="inlineStr">
        <ns0:is>
          <ns0:t>Not ascertainable</ns0:t>
        </ns0:is>
      </ns0:c>
      <ns0:c r="Z242" s="21" t="inlineStr">
        <ns0:is>
          <ns0:t>Not reported in assessed sources</ns0:t>
        </ns0:is>
      </ns0:c>
      <ns0:c r="AA242" s="21" t="inlineStr">
        <ns0:is>
          <ns0:t>Not recorded</ns0:t>
        </ns0:is>
      </ns0:c>
      <ns0:c r="AB242" s="28" t="n">
        <ns0:v>0</ns0:v>
      </ns0:c>
      <ns0:c r="AC242" s="28" t="n">
        <ns0:v>0</ns0:v>
      </ns0:c>
      <ns0:c r="AD242" s="29">
        <ns0:f>IF(AND(G242=1,AB242=0),1,0)</ns0:f>
        <ns0:v>1</ns0:v>
      </ns0:c>
      <ns0:c r="AE242" s="29">
        <ns0:f>IF(AND(AD242=1,AC242=0),1,0)</ns0:f>
        <ns0:v>1</ns0:v>
      </ns0:c>
      <ns0:c r="AF242" s="29">
        <ns0:f>IF(AND(G242=1,H242&lt;&gt;"Not specified"),1,0)</ns0:f>
        <ns0:v>1</ns0:v>
      </ns0:c>
      <ns0:c r="AG242" s="29">
        <ns0:f>IF(AND(AE242=1,AF242=1),1,0)</ns0:f>
        <ns0:v>1</ns0:v>
      </ns0:c>
      <ns0:c r="AH242" s="21" t="inlineStr">
        <ns0:is>
          <ns0:t>Supplied abstract/coding notes; no new full-text verification</ns0:t>
        </ns0:is>
      </ns0:c>
      <ns0:c r="AI242" s="21" t="inlineStr">
        <ns0:is>
          <ns0:t>https://doi.org/10.1109/embc48229.2022.9871130</ns0:t>
        </ns0:is>
      </ns0:c>
      <ns0:c r="AJ242" s="21" t="inlineStr">
        <ns0:is>
          <ns0:t>EVIDENCIA; original abstract/coding notes and lot source trace; Historical signals: title/abstract/notes; full-text completion not independently established</ns0:t>
        </ns0:is>
      </ns0:c>
      <ns0:c r="AK242" s="21" t="inlineStr">
        <ns0:is>
          <ns0:t>Brain imaging connectivity with multi-head attention and temporal consolidation.</ns0:t>
        </ns0:is>
      </ns0:c>
      <ns0:c r="AL242" s="21" t="inlineStr">
        <ns0:is>
          <ns0:t>Not applicable</ns0:t>
        </ns0:is>
      </ns0:c>
      <ns0:c r="AM242" s="21" t="inlineStr">
        <ns0:is>
          <ns0:t>Not separately specified</ns0:t>
        </ns0:is>
      </ns0:c>
      <ns0:c r="AN242" s="21" t="inlineStr"/>
      <ns0:c r="AO242" s="21" t="inlineStr">
        <ns0:is>
          <ns0:t>No additional status determination</ns0:t>
        </ns0:is>
      </ns0:c>
      <ns0:c r="AP242" s="21" t="inlineStr">
        <ns0:is>
          <ns0:t>Not documented for this recharting</ns0:t>
        </ns0:is>
      </ns0:c>
      <ns0:c r="AQ242" s="21" t="inlineStr">
        <ns0:is>
          <ns0:t>ChatGPT-assisted evidence recharting, 2026-09-08</ns0:t>
        </ns0:is>
      </ns0:c>
      <ns0:c r="AR242" s="21" t="inlineStr"/>
      <ns0:c r="AS242" s="21" t="inlineStr">
        <ns0:is>
          <ns0:t>Not recorded; historical inclusion retained</ns0:t>
        </ns0:is>
      </ns0:c>
    </ns0:row>
    <ns0:row r="243" ht="50" customHeight="1">
      <ns0:c r="A243" s="19" t="inlineStr">
        <ns0:is>
          <ns0:t>260</ns0:t>
        </ns0:is>
      </ns0:c>
      <ns0:c r="B243" s="19" t="inlineStr">
        <ns0:is>
          <ns0:t>Historical</ns0:t>
        </ns0:is>
      </ns0:c>
      <ns0:c r="C243" s="19" t="inlineStr">
        <ns0:is>
          <ns0:t>Multi-atlas Representations Based on\&amp;#xa0;Graph Convolutional Networks for\&amp;#xa0;Autism Spectrum Disorder Diagnosis</ns0:t>
        </ns0:is>
      </ns0:c>
      <ns0:c r="D243" s="19" t="inlineStr">
        <ns0:is>
          <ns0:t>10.1007/978-981-99-8558-6_38</ns0:t>
        </ns0:is>
      </ns0:c>
      <ns0:c r="E243" s="26" t="n">
        <ns0:v>2024</ns0:v>
      </ns0:c>
      <ns0:c r="F243" s="19" t="inlineStr">
        <ns0:is>
          <ns0:t>Include</ns0:t>
        </ns0:is>
      </ns0:c>
      <ns0:c r="G243" s="27">
        <ns0:f>IF(F243="Include",1,0)</ns0:f>
        <ns0:v>1</ns0:v>
      </ns0:c>
      <ns0:c r="H243" s="19" t="inlineStr">
        <ns0:is>
          <ns0:t>Diagnosis</ns0:t>
        </ns0:is>
      </ns0:c>
      <ns0:c r="I243" s="19" t="inlineStr">
        <ns0:is>
          <ns0:t>Deep Learning</ns0:t>
        </ns0:is>
      </ns0:c>
      <ns0:c r="J243" s="19" t="inlineStr">
        <ns0:is>
          <ns0:t>Neuroimaging</ns0:t>
        </ns0:is>
      </ns0:c>
      <ns0:c r="K243" s="19" t="inlineStr">
        <ns0:is>
          <ns0:t>Graph neural network</ns0:t>
        </ns0:is>
      </ns0:c>
      <ns0:c r="L243" s="19" t="inlineStr">
        <ns0:is>
          <ns0:t>GNN</ns0:t>
        </ns0:is>
      </ns0:c>
      <ns0:c r="M243" s="19" t="inlineStr">
        <ns0:is>
          <ns0:t>Research only</ns0:t>
        </ns0:is>
      </ns0:c>
      <ns0:c r="N243" s="19" t="inlineStr">
        <ns0:is>
          <ns0:t>Automated measurement/classification</ns0:t>
        </ns0:is>
      </ns0:c>
      <ns0:c r="O243" s="19" t="inlineStr">
        <ns0:is>
          <ns0:t>Not observed in assessed sources</ns0:t>
        </ns0:is>
      </ns0:c>
      <ns0:c r="P243" s="19" t="inlineStr">
        <ns0:is>
          <ns0:t>Not observed in assessed sources</ns0:t>
        </ns0:is>
      </ns0:c>
      <ns0:c r="Q243" s="19" t="inlineStr">
        <ns0:is>
          <ns0:t>Not reported in assessed sources</ns0:t>
        </ns0:is>
      </ns0:c>
      <ns0:c r="R243" s="19" t="inlineStr">
        <ns0:is>
          <ns0:t>Not reported in assessed sources</ns0:t>
        </ns0:is>
      </ns0:c>
      <ns0:c r="S243" s="19" t="inlineStr">
        <ns0:is>
          <ns0:t>Not reported in assessed sources</ns0:t>
        </ns0:is>
      </ns0:c>
      <ns0:c r="T243" s="19" t="inlineStr">
        <ns0:is>
          <ns0:t>Not reported in assessed sources</ns0:t>
        </ns0:is>
      </ns0:c>
      <ns0:c r="U243" s="19" t="inlineStr">
        <ns0:is>
          <ns0:t>Not reported in assessed sources</ns0:t>
        </ns0:is>
      </ns0:c>
      <ns0:c r="V243" s="19" t="inlineStr">
        <ns0:is>
          <ns0:t>Not reported in assessed sources</ns0:t>
        </ns0:is>
      </ns0:c>
      <ns0:c r="W243" s="19" t="inlineStr">
        <ns0:is>
          <ns0:t>Not reported in assessed sources</ns0:t>
        </ns0:is>
      </ns0:c>
      <ns0:c r="X243" s="19" t="inlineStr">
        <ns0:is>
          <ns0:t>Not reported in assessed sources</ns0:t>
        </ns0:is>
      </ns0:c>
      <ns0:c r="Y243" s="19" t="inlineStr">
        <ns0:is>
          <ns0:t>Not ascertainable</ns0:t>
        </ns0:is>
      </ns0:c>
      <ns0:c r="Z243" s="19" t="inlineStr">
        <ns0:is>
          <ns0:t>Not reported in assessed sources</ns0:t>
        </ns0:is>
      </ns0:c>
      <ns0:c r="AA243" s="19" t="inlineStr">
        <ns0:is>
          <ns0:t>Not recorded</ns0:t>
        </ns0:is>
      </ns0:c>
      <ns0:c r="AB243" s="26" t="n">
        <ns0:v>0</ns0:v>
      </ns0:c>
      <ns0:c r="AC243" s="26" t="n">
        <ns0:v>0</ns0:v>
      </ns0:c>
      <ns0:c r="AD243" s="27">
        <ns0:f>IF(AND(G243=1,AB243=0),1,0)</ns0:f>
        <ns0:v>1</ns0:v>
      </ns0:c>
      <ns0:c r="AE243" s="27">
        <ns0:f>IF(AND(AD243=1,AC243=0),1,0)</ns0:f>
        <ns0:v>1</ns0:v>
      </ns0:c>
      <ns0:c r="AF243" s="27">
        <ns0:f>IF(AND(G243=1,H243&lt;&gt;"Not specified"),1,0)</ns0:f>
        <ns0:v>1</ns0:v>
      </ns0:c>
      <ns0:c r="AG243" s="27">
        <ns0:f>IF(AND(AE243=1,AF243=1),1,0)</ns0:f>
        <ns0:v>1</ns0:v>
      </ns0:c>
      <ns0:c r="AH243" s="19" t="inlineStr">
        <ns0:is>
          <ns0:t>Supplied abstract/coding notes; no new full-text verification</ns0:t>
        </ns0:is>
      </ns0:c>
      <ns0:c r="AI243" s="19" t="inlineStr">
        <ns0:is>
          <ns0:t>https://doi.org/10.1007/978-981-99-8558-6_38</ns0:t>
        </ns0:is>
      </ns0:c>
      <ns0:c r="AJ243" s="19" t="inlineStr">
        <ns0:is>
          <ns0:t>EVIDENCIA; original abstract/coding notes and lot source trace; Historical signals: title/abstract/notes; full-text completion not independently established</ns0:t>
        </ns0:is>
      </ns0:c>
      <ns0:c r="AK243" s="19" t="inlineStr">
        <ns0:is>
          <ns0:t>Multiple atlases of the same brain imaging data do not establish multimodal source fusion.</ns0:t>
        </ns0:is>
      </ns0:c>
      <ns0:c r="AL243" s="19" t="inlineStr">
        <ns0:is>
          <ns0:t>Not applicable</ns0:t>
        </ns0:is>
      </ns0:c>
      <ns0:c r="AM243" s="19" t="inlineStr">
        <ns0:is>
          <ns0:t>Not separately specified</ns0:t>
        </ns0:is>
      </ns0:c>
      <ns0:c r="AN243" s="19" t="inlineStr"/>
      <ns0:c r="AO243" s="19" t="inlineStr">
        <ns0:is>
          <ns0:t>No additional status determination</ns0:t>
        </ns0:is>
      </ns0:c>
      <ns0:c r="AP243" s="19" t="inlineStr">
        <ns0:is>
          <ns0:t>Not documented for this recharting</ns0:t>
        </ns0:is>
      </ns0:c>
      <ns0:c r="AQ243" s="19" t="inlineStr">
        <ns0:is>
          <ns0:t>ChatGPT-assisted evidence recharting, 2026-09-08</ns0:t>
        </ns0:is>
      </ns0:c>
      <ns0:c r="AR243" s="19" t="inlineStr">
        <ns0:is>
          <ns0:t>RA</ns0:t>
        </ns0:is>
      </ns0:c>
      <ns0:c r="AS243" s="19" t="inlineStr">
        <ns0:is>
          <ns0:t>Not recorded; historical inclusion retained</ns0:t>
        </ns0:is>
      </ns0:c>
    </ns0:row>
    <ns0:row r="244" ht="50" customHeight="1">
      <ns0:c r="A244" s="21" t="inlineStr">
        <ns0:is>
          <ns0:t>261</ns0:t>
        </ns0:is>
      </ns0:c>
      <ns0:c r="B244" s="21" t="inlineStr">
        <ns0:is>
          <ns0:t>Historical</ns0:t>
        </ns0:is>
      </ns0:c>
      <ns0:c r="C244" s="21" t="inlineStr">
        <ns0:is>
          <ns0:t>Multiple Classification of Brain MRI Autism Spectrum Disorder by Age and Gender Using Deep Learning</ns0:t>
        </ns0:is>
      </ns0:c>
      <ns0:c r="D244" s="21" t="inlineStr">
        <ns0:is>
          <ns0:t>10.1007/s10916-023-02032-0</ns0:t>
        </ns0:is>
      </ns0:c>
      <ns0:c r="E244" s="28" t="n">
        <ns0:v>2024</ns0:v>
      </ns0:c>
      <ns0:c r="F244" s="21" t="inlineStr">
        <ns0:is>
          <ns0:t>Include</ns0:t>
        </ns0:is>
      </ns0:c>
      <ns0:c r="G244" s="29">
        <ns0:f>IF(F244="Include",1,0)</ns0:f>
        <ns0:v>1</ns0:v>
      </ns0:c>
      <ns0:c r="H244" s="21" t="inlineStr">
        <ns0:is>
          <ns0:t>Diagnosis</ns0:t>
        </ns0:is>
      </ns0:c>
      <ns0:c r="I244" s="21" t="inlineStr">
        <ns0:is>
          <ns0:t>Deep Learning</ns0:t>
        </ns0:is>
      </ns0:c>
      <ns0:c r="J244" s="21" t="inlineStr">
        <ns0:is>
          <ns0:t>Neuroimaging</ns0:t>
        </ns0:is>
      </ns0:c>
      <ns0:c r="K244" s="21" t="inlineStr">
        <ns0:is>
          <ns0:t>CNN</ns0:t>
        </ns0:is>
      </ns0:c>
      <ns0:c r="L244" s="21" t="inlineStr">
        <ns0:is>
          <ns0:t>CNN</ns0:t>
        </ns0:is>
      </ns0:c>
      <ns0:c r="M244" s="21" t="inlineStr">
        <ns0:is>
          <ns0:t>Research only</ns0:t>
        </ns0:is>
      </ns0:c>
      <ns0:c r="N244" s="21" t="inlineStr">
        <ns0:is>
          <ns0:t>Automated measurement/classification</ns0:t>
        </ns0:is>
      </ns0:c>
      <ns0:c r="O244" s="21" t="inlineStr">
        <ns0:is>
          <ns0:t>Not observed in assessed sources</ns0:t>
        </ns0:is>
      </ns0:c>
      <ns0:c r="P244" s="21" t="inlineStr">
        <ns0:is>
          <ns0:t>Not observed in assessed sources</ns0:t>
        </ns0:is>
      </ns0:c>
      <ns0:c r="Q244" s="21" t="inlineStr">
        <ns0:is>
          <ns0:t>Not reported in assessed sources</ns0:t>
        </ns0:is>
      </ns0:c>
      <ns0:c r="R244" s="21" t="inlineStr">
        <ns0:is>
          <ns0:t>Not reported in assessed sources</ns0:t>
        </ns0:is>
      </ns0:c>
      <ns0:c r="S244" s="21" t="inlineStr">
        <ns0:is>
          <ns0:t>Not reported in assessed sources</ns0:t>
        </ns0:is>
      </ns0:c>
      <ns0:c r="T244" s="21" t="inlineStr">
        <ns0:is>
          <ns0:t>Not reported in assessed sources</ns0:t>
        </ns0:is>
      </ns0:c>
      <ns0:c r="U244" s="21" t="inlineStr">
        <ns0:is>
          <ns0:t>Not reported in assessed sources</ns0:t>
        </ns0:is>
      </ns0:c>
      <ns0:c r="V244" s="21" t="inlineStr">
        <ns0:is>
          <ns0:t>Not reported in assessed sources</ns0:t>
        </ns0:is>
      </ns0:c>
      <ns0:c r="W244" s="21" t="inlineStr">
        <ns0:is>
          <ns0:t>Not reported in assessed sources</ns0:t>
        </ns0:is>
      </ns0:c>
      <ns0:c r="X244" s="21" t="inlineStr">
        <ns0:is>
          <ns0:t>Not reported in assessed sources</ns0:t>
        </ns0:is>
      </ns0:c>
      <ns0:c r="Y244" s="21" t="inlineStr">
        <ns0:is>
          <ns0:t>Not ascertainable</ns0:t>
        </ns0:is>
      </ns0:c>
      <ns0:c r="Z244" s="21" t="inlineStr">
        <ns0:is>
          <ns0:t>Not reported in assessed sources</ns0:t>
        </ns0:is>
      </ns0:c>
      <ns0:c r="AA244" s="21" t="inlineStr">
        <ns0:is>
          <ns0:t>Not recorded</ns0:t>
        </ns0:is>
      </ns0:c>
      <ns0:c r="AB244" s="28" t="n">
        <ns0:v>0</ns0:v>
      </ns0:c>
      <ns0:c r="AC244" s="28" t="n">
        <ns0:v>0</ns0:v>
      </ns0:c>
      <ns0:c r="AD244" s="29">
        <ns0:f>IF(AND(G244=1,AB244=0),1,0)</ns0:f>
        <ns0:v>1</ns0:v>
      </ns0:c>
      <ns0:c r="AE244" s="29">
        <ns0:f>IF(AND(AD244=1,AC244=0),1,0)</ns0:f>
        <ns0:v>1</ns0:v>
      </ns0:c>
      <ns0:c r="AF244" s="29">
        <ns0:f>IF(AND(G244=1,H244&lt;&gt;"Not specified"),1,0)</ns0:f>
        <ns0:v>1</ns0:v>
      </ns0:c>
      <ns0:c r="AG244" s="29">
        <ns0:f>IF(AND(AE244=1,AF244=1),1,0)</ns0:f>
        <ns0:v>1</ns0:v>
      </ns0:c>
      <ns0:c r="AH244" s="21" t="inlineStr">
        <ns0:is>
          <ns0:t>Supplied abstract/coding notes; no new full-text verification</ns0:t>
        </ns0:is>
      </ns0:c>
      <ns0:c r="AI244" s="21" t="inlineStr">
        <ns0:is>
          <ns0:t>https://doi.org/10.1007/s10916-023-02032-0</ns0:t>
        </ns0:is>
      </ns0:c>
      <ns0:c r="AJ244" s="21" t="inlineStr">
        <ns0:is>
          <ns0:t>EVIDENCIA; original abstract/coding notes and lot source trace; Historical signals: title/abstract/notes; full-text completion not independently established</ns0:t>
        </ns0:is>
      </ns0:c>
      <ns0:c r="AK244" s="21" t="inlineStr">
        <ns0:is>
          <ns0:t>Structural brain MRI deep-learning classification stratified by age/sex; strata are not additional input modalities.</ns0:t>
        </ns0:is>
      </ns0:c>
      <ns0:c r="AL244" s="21" t="inlineStr">
        <ns0:is>
          <ns0:t>Not applicable</ns0:t>
        </ns0:is>
      </ns0:c>
      <ns0:c r="AM244" s="21" t="inlineStr">
        <ns0:is>
          <ns0:t>Not separately specified</ns0:t>
        </ns0:is>
      </ns0:c>
      <ns0:c r="AN244" s="21" t="inlineStr"/>
      <ns0:c r="AO244" s="21" t="inlineStr">
        <ns0:is>
          <ns0:t>No additional status determination</ns0:t>
        </ns0:is>
      </ns0:c>
      <ns0:c r="AP244" s="21" t="inlineStr">
        <ns0:is>
          <ns0:t>Not documented for this recharting</ns0:t>
        </ns0:is>
      </ns0:c>
      <ns0:c r="AQ244" s="21" t="inlineStr">
        <ns0:is>
          <ns0:t>ChatGPT-assisted evidence recharting, 2026-09-08</ns0:t>
        </ns0:is>
      </ns0:c>
      <ns0:c r="AR244" s="21" t="inlineStr"/>
      <ns0:c r="AS244" s="21" t="inlineStr">
        <ns0:is>
          <ns0:t>Not recorded; historical inclusion retained</ns0:t>
        </ns0:is>
      </ns0:c>
    </ns0:row>
    <ns0:row r="245" ht="50" customHeight="1">
      <ns0:c r="A245" s="19" t="inlineStr">
        <ns0:is>
          <ns0:t>262</ns0:t>
        </ns0:is>
      </ns0:c>
      <ns0:c r="B245" s="19" t="inlineStr">
        <ns0:is>
          <ns0:t>Historical</ns0:t>
        </ns0:is>
      </ns0:c>
      <ns0:c r="C245" s="19" t="inlineStr">
        <ns0:is>
          <ns0:t>MVS-GCN: A prior brain structure learning-guided multi-view graph convolution network for autism spectrum disorder diagnosis</ns0:t>
        </ns0:is>
      </ns0:c>
      <ns0:c r="D245" s="19" t="inlineStr">
        <ns0:is>
          <ns0:t>10.1016/j.compbiomed.2022.105239</ns0:t>
        </ns0:is>
      </ns0:c>
      <ns0:c r="E245" s="26" t="n">
        <ns0:v>2022</ns0:v>
      </ns0:c>
      <ns0:c r="F245" s="19" t="inlineStr">
        <ns0:is>
          <ns0:t>Include</ns0:t>
        </ns0:is>
      </ns0:c>
      <ns0:c r="G245" s="27">
        <ns0:f>IF(F245="Include",1,0)</ns0:f>
        <ns0:v>1</ns0:v>
      </ns0:c>
      <ns0:c r="H245" s="19" t="inlineStr">
        <ns0:is>
          <ns0:t>Diagnosis</ns0:t>
        </ns0:is>
      </ns0:c>
      <ns0:c r="I245" s="19" t="inlineStr">
        <ns0:is>
          <ns0:t>Deep Learning</ns0:t>
        </ns0:is>
      </ns0:c>
      <ns0:c r="J245" s="19" t="inlineStr">
        <ns0:is>
          <ns0:t>Neuroimaging</ns0:t>
        </ns0:is>
      </ns0:c>
      <ns0:c r="K245" s="19" t="inlineStr">
        <ns0:is>
          <ns0:t>Graph neural network</ns0:t>
        </ns0:is>
      </ns0:c>
      <ns0:c r="L245" s="19" t="inlineStr">
        <ns0:is>
          <ns0:t>GNN</ns0:t>
        </ns0:is>
      </ns0:c>
      <ns0:c r="M245" s="19" t="inlineStr">
        <ns0:is>
          <ns0:t>Research only</ns0:t>
        </ns0:is>
      </ns0:c>
      <ns0:c r="N245" s="19" t="inlineStr">
        <ns0:is>
          <ns0:t>Automated measurement/classification</ns0:t>
        </ns0:is>
      </ns0:c>
      <ns0:c r="O245" s="19" t="inlineStr">
        <ns0:is>
          <ns0:t>Not observed in assessed sources</ns0:t>
        </ns0:is>
      </ns0:c>
      <ns0:c r="P245" s="19" t="inlineStr">
        <ns0:is>
          <ns0:t>Not observed in assessed sources</ns0:t>
        </ns0:is>
      </ns0:c>
      <ns0:c r="Q245" s="19" t="inlineStr">
        <ns0:is>
          <ns0:t>Not reported in assessed sources</ns0:t>
        </ns0:is>
      </ns0:c>
      <ns0:c r="R245" s="19" t="inlineStr">
        <ns0:is>
          <ns0:t>Not reported in assessed sources</ns0:t>
        </ns0:is>
      </ns0:c>
      <ns0:c r="S245" s="19" t="inlineStr">
        <ns0:is>
          <ns0:t>Reported</ns0:t>
        </ns0:is>
      </ns0:c>
      <ns0:c r="T245" s="19" t="inlineStr">
        <ns0:is>
          <ns0:t>Not reported in assessed sources</ns0:t>
        </ns0:is>
      </ns0:c>
      <ns0:c r="U245" s="19" t="inlineStr">
        <ns0:is>
          <ns0:t>Not reported in assessed sources</ns0:t>
        </ns0:is>
      </ns0:c>
      <ns0:c r="V245" s="19" t="inlineStr">
        <ns0:is>
          <ns0:t>Reported</ns0:t>
        </ns0:is>
      </ns0:c>
      <ns0:c r="W245" s="19" t="inlineStr">
        <ns0:is>
          <ns0:t>Not reported in assessed sources</ns0:t>
        </ns0:is>
      </ns0:c>
      <ns0:c r="X245" s="19" t="inlineStr">
        <ns0:is>
          <ns0:t>Not reported in assessed sources</ns0:t>
        </ns0:is>
      </ns0:c>
      <ns0:c r="Y245" s="19" t="inlineStr">
        <ns0:is>
          <ns0:t>Not ascertainable</ns0:t>
        </ns0:is>
      </ns0:c>
      <ns0:c r="Z245" s="19" t="inlineStr">
        <ns0:is>
          <ns0:t>Reported</ns0:t>
        </ns0:is>
      </ns0:c>
      <ns0:c r="AA245" s="19" t="inlineStr">
        <ns0:is>
          <ns0:t>Not recorded</ns0:t>
        </ns0:is>
      </ns0:c>
      <ns0:c r="AB245" s="26" t="n">
        <ns0:v>0</ns0:v>
      </ns0:c>
      <ns0:c r="AC245" s="26" t="n">
        <ns0:v>0</ns0:v>
      </ns0:c>
      <ns0:c r="AD245" s="27">
        <ns0:f>IF(AND(G245=1,AB245=0),1,0)</ns0:f>
        <ns0:v>1</ns0:v>
      </ns0:c>
      <ns0:c r="AE245" s="27">
        <ns0:f>IF(AND(AD245=1,AC245=0),1,0)</ns0:f>
        <ns0:v>1</ns0:v>
      </ns0:c>
      <ns0:c r="AF245" s="27">
        <ns0:f>IF(AND(G245=1,H245&lt;&gt;"Not specified"),1,0)</ns0:f>
        <ns0:v>1</ns0:v>
      </ns0:c>
      <ns0:c r="AG245" s="27">
        <ns0:f>IF(AND(AE245=1,AF245=1),1,0)</ns0:f>
        <ns0:v>1</ns0:v>
      </ns0:c>
      <ns0:c r="AH245" s="19" t="inlineStr">
        <ns0:is>
          <ns0:t>Supplied abstract/coding notes; no new full-text verification</ns0:t>
        </ns0:is>
      </ns0:c>
      <ns0:c r="AI245" s="19" t="inlineStr">
        <ns0:is>
          <ns0:t>https://doi.org/10.1016/j.compbiomed.2022.105239</ns0:t>
        </ns0:is>
      </ns0:c>
      <ns0:c r="AJ245" s="19" t="inlineStr">
        <ns0:is>
          <ns0:t>EVIDENCIA; original abstract/coding notes and lot source trace; Historical signals: title/abstract/notes; full-text completion not independently established</ns0:t>
        </ns0:is>
      </ns0:c>
      <ns0:c r="AK245" s="19" t="inlineStr">
        <ns0:is>
          <ns0:t>Multi-view functional brain networks; evaluation on ADNI is a different disease task, not external validation of the ASD classifier.</ns0:t>
        </ns0:is>
      </ns0:c>
      <ns0:c r="AL245" s="19" t="inlineStr">
        <ns0:is>
          <ns0:t>Not applicable</ns0:t>
        </ns0:is>
      </ns0:c>
      <ns0:c r="AM245" s="19" t="inlineStr">
        <ns0:is>
          <ns0:t>Not separately specified</ns0:t>
        </ns0:is>
      </ns0:c>
      <ns0:c r="AN245" s="19" t="inlineStr"/>
      <ns0:c r="AO245" s="19" t="inlineStr">
        <ns0:is>
          <ns0:t>No additional status determination</ns0:t>
        </ns0:is>
      </ns0:c>
      <ns0:c r="AP245" s="19" t="inlineStr">
        <ns0:is>
          <ns0:t>Not documented for this recharting</ns0:t>
        </ns0:is>
      </ns0:c>
      <ns0:c r="AQ245" s="19" t="inlineStr">
        <ns0:is>
          <ns0:t>ChatGPT-assisted evidence recharting, 2026-09-08</ns0:t>
        </ns0:is>
      </ns0:c>
      <ns0:c r="AR245" s="19" t="inlineStr"/>
      <ns0:c r="AS245" s="19" t="inlineStr">
        <ns0:is>
          <ns0:t>Not recorded; historical inclusion retained</ns0:t>
        </ns0:is>
      </ns0:c>
    </ns0:row>
    <ns0:row r="246" ht="50" customHeight="1">
      <ns0:c r="A246" s="21" t="inlineStr">
        <ns0:is>
          <ns0:t>263</ns0:t>
        </ns0:is>
      </ns0:c>
      <ns0:c r="B246" s="21" t="inlineStr">
        <ns0:is>
          <ns0:t>Historical</ns0:t>
        </ns0:is>
      </ns0:c>
      <ns0:c r="C246" s="21" t="inlineStr">
        <ns0:is>
          <ns0:t>Neurodevelopmental model of schizophrenia revisited: similarity in individual deviation and idiosyncrasy from the normative model of whole-brain white matter tracts and shared brain-cognition covariation with ADHD and ASD</ns0:t>
        </ns0:is>
      </ns0:c>
      <ns0:c r="D246" s="21" t="inlineStr">
        <ns0:is>
          <ns0:t>10.1038/s41380-022-01636-1</ns0:t>
        </ns0:is>
      </ns0:c>
      <ns0:c r="E246" s="28" t="n">
        <ns0:v>2022</ns0:v>
      </ns0:c>
      <ns0:c r="F246" s="21" t="inlineStr">
        <ns0:is>
          <ns0:t>Include</ns0:t>
        </ns0:is>
      </ns0:c>
      <ns0:c r="G246" s="29">
        <ns0:f>IF(F246="Include",1,0)</ns0:f>
        <ns0:v>1</ns0:v>
      </ns0:c>
      <ns0:c r="H246" s="21" t="inlineStr">
        <ns0:is>
          <ns0:t>Not specified</ns0:t>
        </ns0:is>
      </ns0:c>
      <ns0:c r="I246" s="21" t="inlineStr">
        <ns0:is>
          <ns0:t>Machine Learning</ns0:t>
        </ns0:is>
      </ns0:c>
      <ns0:c r="J246" s="21" t="inlineStr">
        <ns0:is>
          <ns0:t>Neuroimaging</ns0:t>
        </ns0:is>
      </ns0:c>
      <ns0:c r="K246" s="21" t="inlineStr">
        <ns0:is>
          <ns0:t>Normative modeling / clustering</ns0:t>
        </ns0:is>
      </ns0:c>
      <ns0:c r="L246" s="21" t="inlineStr">
        <ns0:is>
          <ns0:t>Clustering</ns0:t>
        </ns0:is>
      </ns0:c>
      <ns0:c r="M246" s="21" t="inlineStr">
        <ns0:is>
          <ns0:t>Research only</ns0:t>
        </ns0:is>
      </ns0:c>
      <ns0:c r="N246" s="21" t="inlineStr">
        <ns0:is>
          <ns0:t>Research characterization</ns0:t>
        </ns0:is>
      </ns0:c>
      <ns0:c r="O246" s="21" t="inlineStr">
        <ns0:is>
          <ns0:t>Not observed in assessed sources</ns0:t>
        </ns0:is>
      </ns0:c>
      <ns0:c r="P246" s="21" t="inlineStr">
        <ns0:is>
          <ns0:t>Not observed in assessed sources</ns0:t>
        </ns0:is>
      </ns0:c>
      <ns0:c r="Q246" s="21" t="inlineStr">
        <ns0:is>
          <ns0:t>Not reported in assessed sources</ns0:t>
        </ns0:is>
      </ns0:c>
      <ns0:c r="R246" s="21" t="inlineStr">
        <ns0:is>
          <ns0:t>Not reported in assessed sources</ns0:t>
        </ns0:is>
      </ns0:c>
      <ns0:c r="S246" s="21" t="inlineStr">
        <ns0:is>
          <ns0:t>Not reported in assessed sources</ns0:t>
        </ns0:is>
      </ns0:c>
      <ns0:c r="T246" s="21" t="inlineStr">
        <ns0:is>
          <ns0:t>Not reported in assessed sources</ns0:t>
        </ns0:is>
      </ns0:c>
      <ns0:c r="U246" s="21" t="inlineStr">
        <ns0:is>
          <ns0:t>Not reported in assessed sources</ns0:t>
        </ns0:is>
      </ns0:c>
      <ns0:c r="V246" s="21" t="inlineStr">
        <ns0:is>
          <ns0:t>Not reported in assessed sources</ns0:t>
        </ns0:is>
      </ns0:c>
      <ns0:c r="W246" s="21" t="inlineStr">
        <ns0:is>
          <ns0:t>Not reported in assessed sources</ns0:t>
        </ns0:is>
      </ns0:c>
      <ns0:c r="X246" s="21" t="inlineStr">
        <ns0:is>
          <ns0:t>Not reported in assessed sources</ns0:t>
        </ns0:is>
      </ns0:c>
      <ns0:c r="Y246" s="21" t="inlineStr">
        <ns0:is>
          <ns0:t>Not ascertainable</ns0:t>
        </ns0:is>
      </ns0:c>
      <ns0:c r="Z246" s="21" t="inlineStr">
        <ns0:is>
          <ns0:t>Not reported in assessed sources</ns0:t>
        </ns0:is>
      </ns0:c>
      <ns0:c r="AA246" s="21" t="inlineStr">
        <ns0:is>
          <ns0:t>Not recorded</ns0:t>
        </ns0:is>
      </ns0:c>
      <ns0:c r="AB246" s="28" t="n">
        <ns0:v>0</ns0:v>
      </ns0:c>
      <ns0:c r="AC246" s="28" t="n">
        <ns0:v>0</ns0:v>
      </ns0:c>
      <ns0:c r="AD246" s="29">
        <ns0:f>IF(AND(G246=1,AB246=0),1,0)</ns0:f>
        <ns0:v>1</ns0:v>
      </ns0:c>
      <ns0:c r="AE246" s="29">
        <ns0:f>IF(AND(AD246=1,AC246=0),1,0)</ns0:f>
        <ns0:v>1</ns0:v>
      </ns0:c>
      <ns0:c r="AF246" s="29">
        <ns0:f>IF(AND(G246=1,H246&lt;&gt;"Not specified"),1,0)</ns0:f>
        <ns0:v>0</ns0:v>
      </ns0:c>
      <ns0:c r="AG246" s="29">
        <ns0:f>IF(AND(AE246=1,AF246=1),1,0)</ns0:f>
        <ns0:v>0</ns0:v>
      </ns0:c>
      <ns0:c r="AH246" s="21" t="inlineStr">
        <ns0:is>
          <ns0:t>Supplied abstract/coding notes; no new full-text verification</ns0:t>
        </ns0:is>
      </ns0:c>
      <ns0:c r="AI246" s="21" t="inlineStr">
        <ns0:is>
          <ns0:t>https://doi.org/10.1038/s41380-022-01636-1</ns0:t>
        </ns0:is>
      </ns0:c>
      <ns0:c r="AJ246" s="21" t="inlineStr">
        <ns0:is>
          <ns0:t>EVIDENCIA; original abstract/coding notes and lot source trace; Historical signals: title/abstract/notes; full-text completion not independently established</ns0:t>
        </ns0:is>
      </ns0:c>
      <ns0:c r="AK246" s="21" t="inlineStr">
        <ns0:is>
          <ns0:t>Human diffusion MRI normative deviations and unsupervised cross-disorder characterization; substantive ASD group retained, not a deployed diagnostic classifier or deep network.</ns0:t>
        </ns0:is>
      </ns0:c>
      <ns0:c r="AL246" s="21" t="inlineStr">
        <ns0:is>
          <ns0:t>Not applicable</ns0:t>
        </ns0:is>
      </ns0:c>
      <ns0:c r="AM246" s="21" t="inlineStr">
        <ns0:is>
          <ns0:t>Not separately specified</ns0:t>
        </ns0:is>
      </ns0:c>
      <ns0:c r="AN246" s="21" t="inlineStr"/>
      <ns0:c r="AO246" s="21" t="inlineStr">
        <ns0:is>
          <ns0:t>No additional status determination</ns0:t>
        </ns0:is>
      </ns0:c>
      <ns0:c r="AP246" s="21" t="inlineStr">
        <ns0:is>
          <ns0:t>Not documented for this recharting</ns0:t>
        </ns0:is>
      </ns0:c>
      <ns0:c r="AQ246" s="21" t="inlineStr">
        <ns0:is>
          <ns0:t>ChatGPT-assisted evidence recharting, 2026-09-08</ns0:t>
        </ns0:is>
      </ns0:c>
      <ns0:c r="AR246" s="21" t="inlineStr"/>
      <ns0:c r="AS246" s="21" t="inlineStr">
        <ns0:is>
          <ns0:t>Not recorded; historical inclusion retained</ns0:t>
        </ns0:is>
      </ns0:c>
    </ns0:row>
    <ns0:row r="247" ht="50" customHeight="1">
      <ns0:c r="A247" s="19" t="inlineStr">
        <ns0:is>
          <ns0:t>264</ns0:t>
        </ns0:is>
      </ns0:c>
      <ns0:c r="B247" s="19" t="inlineStr">
        <ns0:is>
          <ns0:t>Historical</ns0:t>
        </ns0:is>
      </ns0:c>
      <ns0:c r="C247" s="19" t="inlineStr">
        <ns0:is>
          <ns0:t>Non-Oscillatory Connectivity Approach for Classification of Autism Spectrum Disorder Subtypes Using Resting-State fMRI</ns0:t>
        </ns0:is>
      </ns0:c>
      <ns0:c r="D247" s="19" t="inlineStr">
        <ns0:is>
          <ns0:t>10.1109/access.2022.3146719</ns0:t>
        </ns0:is>
      </ns0:c>
      <ns0:c r="E247" s="26" t="n">
        <ns0:v>2022</ns0:v>
      </ns0:c>
      <ns0:c r="F247" s="19" t="inlineStr">
        <ns0:is>
          <ns0:t>Include</ns0:t>
        </ns0:is>
      </ns0:c>
      <ns0:c r="G247" s="27">
        <ns0:f>IF(F247="Include",1,0)</ns0:f>
        <ns0:v>1</ns0:v>
      </ns0:c>
      <ns0:c r="H247" s="19" t="inlineStr">
        <ns0:is>
          <ns0:t>Diagnosis</ns0:t>
        </ns0:is>
      </ns0:c>
      <ns0:c r="I247" s="19" t="inlineStr">
        <ns0:is>
          <ns0:t>Machine Learning</ns0:t>
        </ns0:is>
      </ns0:c>
      <ns0:c r="J247" s="19" t="inlineStr">
        <ns0:is>
          <ns0:t>Neuroimaging</ns0:t>
        </ns0:is>
      </ns0:c>
      <ns0:c r="K247" s="19" t="inlineStr">
        <ns0:is>
          <ns0:t>SVM</ns0:t>
        </ns0:is>
      </ns0:c>
      <ns0:c r="L247" s="19" t="inlineStr">
        <ns0:is>
          <ns0:t>SVM</ns0:t>
        </ns0:is>
      </ns0:c>
      <ns0:c r="M247" s="19" t="inlineStr">
        <ns0:is>
          <ns0:t>Research only</ns0:t>
        </ns0:is>
      </ns0:c>
      <ns0:c r="N247" s="19" t="inlineStr">
        <ns0:is>
          <ns0:t>Automated measurement/classification</ns0:t>
        </ns0:is>
      </ns0:c>
      <ns0:c r="O247" s="19" t="inlineStr">
        <ns0:is>
          <ns0:t>Not observed in assessed sources</ns0:t>
        </ns0:is>
      </ns0:c>
      <ns0:c r="P247" s="19" t="inlineStr">
        <ns0:is>
          <ns0:t>Not observed in assessed sources</ns0:t>
        </ns0:is>
      </ns0:c>
      <ns0:c r="Q247" s="19" t="inlineStr">
        <ns0:is>
          <ns0:t>Not reported in assessed sources</ns0:t>
        </ns0:is>
      </ns0:c>
      <ns0:c r="R247" s="19" t="inlineStr">
        <ns0:is>
          <ns0:t>Not reported in assessed sources</ns0:t>
        </ns0:is>
      </ns0:c>
      <ns0:c r="S247" s="19" t="inlineStr">
        <ns0:is>
          <ns0:t>Reported</ns0:t>
        </ns0:is>
      </ns0:c>
      <ns0:c r="T247" s="19" t="inlineStr">
        <ns0:is>
          <ns0:t>Not reported in assessed sources</ns0:t>
        </ns0:is>
      </ns0:c>
      <ns0:c r="U247" s="19" t="inlineStr">
        <ns0:is>
          <ns0:t>Not reported in assessed sources</ns0:t>
        </ns0:is>
      </ns0:c>
      <ns0:c r="V247" s="19" t="inlineStr">
        <ns0:is>
          <ns0:t>Not reported in assessed sources</ns0:t>
        </ns0:is>
      </ns0:c>
      <ns0:c r="W247" s="19" t="inlineStr">
        <ns0:is>
          <ns0:t>Not reported in assessed sources</ns0:t>
        </ns0:is>
      </ns0:c>
      <ns0:c r="X247" s="19" t="inlineStr">
        <ns0:is>
          <ns0:t>Not reported in assessed sources</ns0:t>
        </ns0:is>
      </ns0:c>
      <ns0:c r="Y247" s="19" t="inlineStr">
        <ns0:is>
          <ns0:t>Not ascertainable</ns0:t>
        </ns0:is>
      </ns0:c>
      <ns0:c r="Z247" s="19" t="inlineStr">
        <ns0:is>
          <ns0:t>Reported</ns0:t>
        </ns0:is>
      </ns0:c>
      <ns0:c r="AA247" s="19" t="inlineStr">
        <ns0:is>
          <ns0:t>Not recorded</ns0:t>
        </ns0:is>
      </ns0:c>
      <ns0:c r="AB247" s="26" t="n">
        <ns0:v>0</ns0:v>
      </ns0:c>
      <ns0:c r="AC247" s="26" t="n">
        <ns0:v>0</ns0:v>
      </ns0:c>
      <ns0:c r="AD247" s="27">
        <ns0:f>IF(AND(G247=1,AB247=0),1,0)</ns0:f>
        <ns0:v>1</ns0:v>
      </ns0:c>
      <ns0:c r="AE247" s="27">
        <ns0:f>IF(AND(AD247=1,AC247=0),1,0)</ns0:f>
        <ns0:v>1</ns0:v>
      </ns0:c>
      <ns0:c r="AF247" s="27">
        <ns0:f>IF(AND(G247=1,H247&lt;&gt;"Not specified"),1,0)</ns0:f>
        <ns0:v>1</ns0:v>
      </ns0:c>
      <ns0:c r="AG247" s="27">
        <ns0:f>IF(AND(AE247=1,AF247=1),1,0)</ns0:f>
        <ns0:v>1</ns0:v>
      </ns0:c>
      <ns0:c r="AH247" s="19" t="inlineStr">
        <ns0:is>
          <ns0:t>Supplied abstract/coding notes; no new full-text verification</ns0:t>
        </ns0:is>
      </ns0:c>
      <ns0:c r="AI247" s="19" t="inlineStr">
        <ns0:is>
          <ns0:t>https://doi.org/10.1109/access.2022.3146719</ns0:t>
        </ns0:is>
      </ns0:c>
      <ns0:c r="AJ247" s="19" t="inlineStr">
        <ns0:is>
          <ns0:t>EVIDENCIA; original abstract/coding notes and lot source trace; Historical signals: title/abstract/notes; full-text completion not independently established</ns0:t>
        </ns0:is>
      </ns0:c>
      <ns0:c r="AK247" s="19" t="inlineStr">
        <ns0:is>
          <ns0:t>Non-oscillatory MRI connectivity with p-value feature selection and SVM; no deep-learning branch to justify Hybrid.</ns0:t>
        </ns0:is>
      </ns0:c>
      <ns0:c r="AL247" s="19" t="inlineStr">
        <ns0:is>
          <ns0:t>Not applicable</ns0:t>
        </ns0:is>
      </ns0:c>
      <ns0:c r="AM247" s="19" t="inlineStr">
        <ns0:is>
          <ns0:t>Not separately specified</ns0:t>
        </ns0:is>
      </ns0:c>
      <ns0:c r="AN247" s="19" t="inlineStr"/>
      <ns0:c r="AO247" s="19" t="inlineStr">
        <ns0:is>
          <ns0:t>No additional status determination</ns0:t>
        </ns0:is>
      </ns0:c>
      <ns0:c r="AP247" s="19" t="inlineStr">
        <ns0:is>
          <ns0:t>Not documented for this recharting</ns0:t>
        </ns0:is>
      </ns0:c>
      <ns0:c r="AQ247" s="19" t="inlineStr">
        <ns0:is>
          <ns0:t>ChatGPT-assisted evidence recharting, 2026-09-08</ns0:t>
        </ns0:is>
      </ns0:c>
      <ns0:c r="AR247" s="19" t="inlineStr"/>
      <ns0:c r="AS247" s="19" t="inlineStr">
        <ns0:is>
          <ns0:t>Not recorded; historical inclusion retained</ns0:t>
        </ns0:is>
      </ns0:c>
    </ns0:row>
    <ns0:row r="248" ht="50" customHeight="1">
      <ns0:c r="A248" s="21" t="inlineStr">
        <ns0:is>
          <ns0:t>265</ns0:t>
        </ns0:is>
      </ns0:c>
      <ns0:c r="B248" s="21" t="inlineStr">
        <ns0:is>
          <ns0:t>Historical</ns0:t>
        </ns0:is>
      </ns0:c>
      <ns0:c r="C248" s="21" t="inlineStr">
        <ns0:is>
          <ns0:t>Personalized identification of autism-related bacteria in the gut microbiome using explainable artificial intelligence</ns0:t>
        </ns0:is>
      </ns0:c>
      <ns0:c r="D248" s="21" t="inlineStr">
        <ns0:is>
          <ns0:t>10.1016/j.isci.2024.110709</ns0:t>
        </ns0:is>
      </ns0:c>
      <ns0:c r="E248" s="28" t="n">
        <ns0:v>2024</ns0:v>
      </ns0:c>
      <ns0:c r="F248" s="21" t="inlineStr">
        <ns0:is>
          <ns0:t>Include</ns0:t>
        </ns0:is>
      </ns0:c>
      <ns0:c r="G248" s="29">
        <ns0:f>IF(F248="Include",1,0)</ns0:f>
        <ns0:v>1</ns0:v>
      </ns0:c>
      <ns0:c r="H248" s="21" t="inlineStr">
        <ns0:is>
          <ns0:t>Diagnosis</ns0:t>
        </ns0:is>
      </ns0:c>
      <ns0:c r="I248" s="21" t="inlineStr">
        <ns0:is>
          <ns0:t>Machine Learning</ns0:t>
        </ns0:is>
      </ns0:c>
      <ns0:c r="J248" s="21" t="inlineStr">
        <ns0:is>
          <ns0:t>Biological/omics</ns0:t>
        </ns0:is>
      </ns0:c>
      <ns0:c r="K248" s="21" t="inlineStr">
        <ns0:is>
          <ns0:t>Not specified</ns0:t>
        </ns0:is>
      </ns0:c>
      <ns0:c r="L248" s="21" t="inlineStr">
        <ns0:is>
          <ns0:t>Multiple/not uniquely specified</ns0:t>
        </ns0:is>
      </ns0:c>
      <ns0:c r="M248" s="21" t="inlineStr">
        <ns0:is>
          <ns0:t>Research only</ns0:t>
        </ns0:is>
      </ns0:c>
      <ns0:c r="N248" s="21" t="inlineStr">
        <ns0:is>
          <ns0:t>Automated measurement/classification</ns0:t>
        </ns0:is>
      </ns0:c>
      <ns0:c r="O248" s="21" t="inlineStr">
        <ns0:is>
          <ns0:t>Not observed in assessed sources</ns0:t>
        </ns0:is>
      </ns0:c>
      <ns0:c r="P248" s="21" t="inlineStr">
        <ns0:is>
          <ns0:t>Not observed in assessed sources</ns0:t>
        </ns0:is>
      </ns0:c>
      <ns0:c r="Q248" s="21" t="inlineStr">
        <ns0:is>
          <ns0:t>Not reported in assessed sources</ns0:t>
        </ns0:is>
      </ns0:c>
      <ns0:c r="R248" s="21" t="inlineStr">
        <ns0:is>
          <ns0:t>Not reported in assessed sources</ns0:t>
        </ns0:is>
      </ns0:c>
      <ns0:c r="S248" s="21" t="inlineStr">
        <ns0:is>
          <ns0:t>Reported</ns0:t>
        </ns0:is>
      </ns0:c>
      <ns0:c r="T248" s="21" t="inlineStr">
        <ns0:is>
          <ns0:t>Not ascertainable</ns0:t>
        </ns0:is>
      </ns0:c>
      <ns0:c r="U248" s="21" t="inlineStr">
        <ns0:is>
          <ns0:t>Not reported in assessed sources</ns0:t>
        </ns0:is>
      </ns0:c>
      <ns0:c r="V248" s="21" t="inlineStr">
        <ns0:is>
          <ns0:t>Not reported in assessed sources</ns0:t>
        </ns0:is>
      </ns0:c>
      <ns0:c r="W248" s="21" t="inlineStr">
        <ns0:is>
          <ns0:t>Not reported in assessed sources</ns0:t>
        </ns0:is>
      </ns0:c>
      <ns0:c r="X248" s="21" t="inlineStr">
        <ns0:is>
          <ns0:t>Not reported in assessed sources</ns0:t>
        </ns0:is>
      </ns0:c>
      <ns0:c r="Y248" s="21" t="inlineStr">
        <ns0:is>
          <ns0:t>Not ascertainable</ns0:t>
        </ns0:is>
      </ns0:c>
      <ns0:c r="Z248" s="21" t="inlineStr">
        <ns0:is>
          <ns0:t>Reported</ns0:t>
        </ns0:is>
      </ns0:c>
      <ns0:c r="AA248" s="21" t="inlineStr">
        <ns0:is>
          <ns0:t>Not recorded</ns0:t>
        </ns0:is>
      </ns0:c>
      <ns0:c r="AB248" s="28" t="n">
        <ns0:v>0</ns0:v>
      </ns0:c>
      <ns0:c r="AC248" s="28" t="n">
        <ns0:v>0</ns0:v>
      </ns0:c>
      <ns0:c r="AD248" s="29">
        <ns0:f>IF(AND(G248=1,AB248=0),1,0)</ns0:f>
        <ns0:v>1</ns0:v>
      </ns0:c>
      <ns0:c r="AE248" s="29">
        <ns0:f>IF(AND(AD248=1,AC248=0),1,0)</ns0:f>
        <ns0:v>1</ns0:v>
      </ns0:c>
      <ns0:c r="AF248" s="29">
        <ns0:f>IF(AND(G248=1,H248&lt;&gt;"Not specified"),1,0)</ns0:f>
        <ns0:v>1</ns0:v>
      </ns0:c>
      <ns0:c r="AG248" s="29">
        <ns0:f>IF(AND(AE248=1,AF248=1),1,0)</ns0:f>
        <ns0:v>1</ns0:v>
      </ns0:c>
      <ns0:c r="AH248" s="21" t="inlineStr">
        <ns0:is>
          <ns0:t>Supplied abstract/coding notes; no new full-text verification</ns0:t>
        </ns0:is>
      </ns0:c>
      <ns0:c r="AI248" s="21" t="inlineStr">
        <ns0:is>
          <ns0:t>https://doi.org/10.1016/j.isci.2024.110709</ns0:t>
        </ns0:is>
      </ns0:c>
      <ns0:c r="AJ248" s="21" t="inlineStr">
        <ns0:is>
          <ns0:t>EVIDENCIA; original abstract/coding notes and lot source trace; Historical signals: title/abstract/notes; full-text completion not independently established</ns0:t>
        </ns0:is>
      </ns0:c>
      <ns0:c r="AK248" s="21" t="inlineStr">
        <ns0:is>
          <ns0:t>Microbiome XAI studies contemporaneous ASD-associated species; personalized interventions are a proposed implication, not prospective prognosis or image analysis.</ns0:t>
        </ns0:is>
      </ns0:c>
      <ns0:c r="AL248" s="21" t="inlineStr">
        <ns0:is>
          <ns0:t>Not applicable</ns0:t>
        </ns0:is>
      </ns0:c>
      <ns0:c r="AM248" s="21" t="inlineStr">
        <ns0:is>
          <ns0:t>Not separately specified</ns0:t>
        </ns0:is>
      </ns0:c>
      <ns0:c r="AN248" s="21" t="inlineStr"/>
      <ns0:c r="AO248" s="21" t="inlineStr">
        <ns0:is>
          <ns0:t>No additional status determination</ns0:t>
        </ns0:is>
      </ns0:c>
      <ns0:c r="AP248" s="21" t="inlineStr">
        <ns0:is>
          <ns0:t>Not documented for this recharting</ns0:t>
        </ns0:is>
      </ns0:c>
      <ns0:c r="AQ248" s="21" t="inlineStr">
        <ns0:is>
          <ns0:t>ChatGPT-assisted evidence recharting, 2026-09-08</ns0:t>
        </ns0:is>
      </ns0:c>
      <ns0:c r="AR248" s="21" t="inlineStr"/>
      <ns0:c r="AS248" s="21" t="inlineStr">
        <ns0:is>
          <ns0:t>Not recorded; historical inclusion retained</ns0:t>
        </ns0:is>
      </ns0:c>
    </ns0:row>
    <ns0:row r="249" ht="50" customHeight="1">
      <ns0:c r="A249" s="19" t="inlineStr">
        <ns0:is>
          <ns0:t>266</ns0:t>
        </ns0:is>
      </ns0:c>
      <ns0:c r="B249" s="19" t="inlineStr">
        <ns0:is>
          <ns0:t>Historical</ns0:t>
        </ns0:is>
      </ns0:c>
      <ns0:c r="C249" s="23" t="inlineStr">
        <ns0:is>
          <ns0:t>Prenatal exposure to criteria air pollution and traffic-related air toxics and risk of autism spectrum disorder: A population-based cohort study of California births (1990–2018)</ns0:t>
        </ns0:is>
      </ns0:c>
      <ns0:c r="D249" s="19" t="inlineStr">
        <ns0:is>
          <ns0:t>10.1016/j.envint.2025.109562</ns0:t>
        </ns0:is>
      </ns0:c>
      <ns0:c r="E249" s="26" t="n">
        <ns0:v>2025</ns0:v>
      </ns0:c>
      <ns0:c r="F249" s="19" t="inlineStr">
        <ns0:is>
          <ns0:t>Include</ns0:t>
        </ns0:is>
      </ns0:c>
      <ns0:c r="G249" s="27">
        <ns0:f>IF(F249="Include",1,0)</ns0:f>
        <ns0:v>1</ns0:v>
      </ns0:c>
      <ns0:c r="H249" s="19" t="inlineStr">
        <ns0:is>
          <ns0:t>Not specified</ns0:t>
        </ns0:is>
      </ns0:c>
      <ns0:c r="I249" s="19" t="inlineStr">
        <ns0:is>
          <ns0:t>Machine Learning</ns0:t>
        </ns0:is>
      </ns0:c>
      <ns0:c r="J249" s="19" t="inlineStr">
        <ns0:is>
          <ns0:t>Multiple source categories</ns0:t>
        </ns0:is>
      </ns0:c>
      <ns0:c r="K249" s="19" t="inlineStr">
        <ns0:is>
          <ns0:t>Land-use regression / logistic regression</ns0:t>
        </ns0:is>
      </ns0:c>
      <ns0:c r="L249" s="19" t="inlineStr">
        <ns0:is>
          <ns0:t>Logistic regression</ns0:t>
        </ns0:is>
      </ns0:c>
      <ns0:c r="M249" s="19" t="inlineStr">
        <ns0:is>
          <ns0:t>Research only</ns0:t>
        </ns0:is>
      </ns0:c>
      <ns0:c r="N249" s="19" t="inlineStr">
        <ns0:is>
          <ns0:t>Research characterization</ns0:t>
        </ns0:is>
      </ns0:c>
      <ns0:c r="O249" s="19" t="inlineStr">
        <ns0:is>
          <ns0:t>Not observed in assessed sources</ns0:t>
        </ns0:is>
      </ns0:c>
      <ns0:c r="P249" s="19" t="inlineStr">
        <ns0:is>
          <ns0:t>Not observed in assessed sources</ns0:t>
        </ns0:is>
      </ns0:c>
      <ns0:c r="Q249" s="19" t="inlineStr">
        <ns0:is>
          <ns0:t>Not reported in assessed sources</ns0:t>
        </ns0:is>
      </ns0:c>
      <ns0:c r="R249" s="19" t="inlineStr">
        <ns0:is>
          <ns0:t>Not reported in assessed sources</ns0:t>
        </ns0:is>
      </ns0:c>
      <ns0:c r="S249" s="19" t="inlineStr">
        <ns0:is>
          <ns0:t>Not reported in assessed sources</ns0:t>
        </ns0:is>
      </ns0:c>
      <ns0:c r="T249" s="19" t="inlineStr">
        <ns0:is>
          <ns0:t>Not reported in assessed sources</ns0:t>
        </ns0:is>
      </ns0:c>
      <ns0:c r="U249" s="19" t="inlineStr">
        <ns0:is>
          <ns0:t>Not reported in assessed sources</ns0:t>
        </ns0:is>
      </ns0:c>
      <ns0:c r="V249" s="19" t="inlineStr">
        <ns0:is>
          <ns0:t>Not reported in assessed sources</ns0:t>
        </ns0:is>
      </ns0:c>
      <ns0:c r="W249" s="19" t="inlineStr">
        <ns0:is>
          <ns0:t>Not reported in assessed sources</ns0:t>
        </ns0:is>
      </ns0:c>
      <ns0:c r="X249" s="19" t="inlineStr">
        <ns0:is>
          <ns0:t>Not reported in assessed sources</ns0:t>
        </ns0:is>
      </ns0:c>
      <ns0:c r="Y249" s="19" t="inlineStr">
        <ns0:is>
          <ns0:t>Not ascertainable</ns0:t>
        </ns0:is>
      </ns0:c>
      <ns0:c r="Z249" s="19" t="inlineStr">
        <ns0:is>
          <ns0:t>Not reported in assessed sources</ns0:t>
        </ns0:is>
      </ns0:c>
      <ns0:c r="AA249" s="19" t="inlineStr">
        <ns0:is>
          <ns0:t>Not recorded</ns0:t>
        </ns0:is>
      </ns0:c>
      <ns0:c r="AB249" s="26" t="n">
        <ns0:v>0</ns0:v>
      </ns0:c>
      <ns0:c r="AC249" s="26" t="n">
        <ns0:v>1</ns0:v>
      </ns0:c>
      <ns0:c r="AD249" s="27">
        <ns0:f>IF(AND(G249=1,AB249=0),1,0)</ns0:f>
        <ns0:v>1</ns0:v>
      </ns0:c>
      <ns0:c r="AE249" s="27">
        <ns0:f>IF(AND(AD249=1,AC249=0),1,0)</ns0:f>
        <ns0:v>0</ns0:v>
      </ns0:c>
      <ns0:c r="AF249" s="27">
        <ns0:f>IF(AND(G249=1,H249&lt;&gt;"Not specified"),1,0)</ns0:f>
        <ns0:v>0</ns0:v>
      </ns0:c>
      <ns0:c r="AG249" s="27">
        <ns0:f>IF(AND(AE249=1,AF249=1),1,0)</ns0:f>
        <ns0:v>0</ns0:v>
      </ns0:c>
      <ns0:c r="AH249" s="19" t="inlineStr">
        <ns0:is>
          <ns0:t>Supplied abstract/coding notes; no new full-text verification</ns0:t>
        </ns0:is>
      </ns0:c>
      <ns0:c r="AI249" s="19" t="inlineStr">
        <ns0:is>
          <ns0:t>https://doi.org/10.1016/j.envint.2025.109562</ns0:t>
        </ns0:is>
      </ns0:c>
      <ns0:c r="AJ249" s="19" t="inlineStr">
        <ns0:is>
          <ns0:t>EVIDENCIA; original abstract/coding notes and lot source trace; Historical signals: title/abstract/notes; full-text completion not independently established</ns0:t>
        </ns0:is>
      </ns0:c>
      <ns0:c r="AK249" s="19" t="inlineStr">
        <ns0:is>
          <ns0:t>ML estimates environmental exposure, followed by ASD epidemiological association analysis; no individual clinical risk decision system. Retained under broad computational ASD mapping, flagged for scope sensitivity.
AI predicts environmental exposures rather than an ASD clinical endpoint; retain only in broad mapping and exclude in direct-clinical-endpoint sensitivity.</ns0:t>
        </ns0:is>
      </ns0:c>
      <ns0:c r="AL249" s="19" t="inlineStr">
        <ns0:is>
          <ns0:t>Not applicable</ns0:t>
        </ns0:is>
      </ns0:c>
      <ns0:c r="AM249" s="19" t="inlineStr">
        <ns0:is>
          <ns0:t>Not separately specified</ns0:t>
        </ns0:is>
      </ns0:c>
      <ns0:c r="AN249" s="19" t="inlineStr">
        <ns0:is>
          <ns0:t>AI predicts environmental exposures rather than an ASD clinical endpoint; retain only in broad mapping and exclude in direct-clinical-endpoint sensitivity.</ns0:t>
        </ns0:is>
      </ns0:c>
      <ns0:c r="AO249" s="19" t="inlineStr">
        <ns0:is>
          <ns0:t>No additional status determination</ns0:t>
        </ns0:is>
      </ns0:c>
      <ns0:c r="AP249" s="19" t="inlineStr">
        <ns0:is>
          <ns0:t>Not documented for this recharting</ns0:t>
        </ns0:is>
      </ns0:c>
      <ns0:c r="AQ249" s="19" t="inlineStr">
        <ns0:is>
          <ns0:t>ChatGPT-assisted evidence recharting, 2026-09-08</ns0:t>
        </ns0:is>
      </ns0:c>
      <ns0:c r="AR249" s="19" t="inlineStr">
        <ns0:is>
          <ns0:t>RA</ns0:t>
        </ns0:is>
      </ns0:c>
      <ns0:c r="AS249" s="19" t="inlineStr">
        <ns0:is>
          <ns0:t>Not recorded; historical inclusion retained</ns0:t>
        </ns0:is>
      </ns0:c>
    </ns0:row>
    <ns0:row r="250" ht="50" customHeight="1">
      <ns0:c r="A250" s="21" t="inlineStr">
        <ns0:is>
          <ns0:t>267</ns0:t>
        </ns0:is>
      </ns0:c>
      <ns0:c r="B250" s="21" t="inlineStr">
        <ns0:is>
          <ns0:t>Historical</ns0:t>
        </ns0:is>
      </ns0:c>
      <ns0:c r="C250" s="21" t="inlineStr">
        <ns0:is>
          <ns0:t>Risk assessment for parents who suspect their child has autism spectrum disorder: Machine learning approach</ns0:t>
        </ns0:is>
      </ns0:c>
      <ns0:c r="D250" s="21" t="inlineStr">
        <ns0:is>
          <ns0:t>10.2196/jmir.9496</ns0:t>
        </ns0:is>
      </ns0:c>
      <ns0:c r="E250" s="28" t="n">
        <ns0:v>2018</ns0:v>
      </ns0:c>
      <ns0:c r="F250" s="21" t="inlineStr">
        <ns0:is>
          <ns0:t>Include</ns0:t>
        </ns0:is>
      </ns0:c>
      <ns0:c r="G250" s="29">
        <ns0:f>IF(F250="Include",1,0)</ns0:f>
        <ns0:v>1</ns0:v>
      </ns0:c>
      <ns0:c r="H250" s="21" t="inlineStr">
        <ns0:is>
          <ns0:t>Prescreening</ns0:t>
        </ns0:is>
      </ns0:c>
      <ns0:c r="I250" s="21" t="inlineStr">
        <ns0:is>
          <ns0:t>Machine Learning</ns0:t>
        </ns0:is>
      </ns0:c>
      <ns0:c r="J250" s="21" t="inlineStr">
        <ns0:is>
          <ns0:t>Multiple source categories</ns0:t>
        </ns0:is>
      </ns0:c>
      <ns0:c r="K250" s="21" t="inlineStr">
        <ns0:is>
          <ns0:t>Not specified</ns0:t>
        </ns0:is>
      </ns0:c>
      <ns0:c r="L250" s="21" t="inlineStr">
        <ns0:is>
          <ns0:t>Multiple/not uniquely specified</ns0:t>
        </ns0:is>
      </ns0:c>
      <ns0:c r="M250" s="21" t="inlineStr">
        <ns0:is>
          <ns0:t>Proposed only</ns0:t>
        </ns0:is>
      </ns0:c>
      <ns0:c r="N250" s="21" t="inlineStr">
        <ns0:is>
          <ns0:t>Triage/questionnaire assessment</ns0:t>
        </ns0:is>
      </ns0:c>
      <ns0:c r="O250" s="21" t="inlineStr">
        <ns0:is>
          <ns0:t>Pre-decision</ns0:t>
        </ns0:is>
      </ns0:c>
      <ns0:c r="P250" s="21" t="inlineStr">
        <ns0:is>
          <ns0:t>Not observed in assessed sources</ns0:t>
        </ns0:is>
      </ns0:c>
      <ns0:c r="Q250" s="21" t="inlineStr">
        <ns0:is>
          <ns0:t>Not reported in assessed sources</ns0:t>
        </ns0:is>
      </ns0:c>
      <ns0:c r="R250" s="21" t="inlineStr">
        <ns0:is>
          <ns0:t>Reported</ns0:t>
        </ns0:is>
      </ns0:c>
      <ns0:c r="S250" s="21" t="inlineStr">
        <ns0:is>
          <ns0:t>Not reported in assessed sources</ns0:t>
        </ns0:is>
      </ns0:c>
      <ns0:c r="T250" s="21" t="inlineStr">
        <ns0:is>
          <ns0:t>Not reported in assessed sources</ns0:t>
        </ns0:is>
      </ns0:c>
      <ns0:c r="U250" s="21" t="inlineStr">
        <ns0:is>
          <ns0:t>Not reported in assessed sources</ns0:t>
        </ns0:is>
      </ns0:c>
      <ns0:c r="V250" s="21" t="inlineStr">
        <ns0:is>
          <ns0:t>Not reported in assessed sources</ns0:t>
        </ns0:is>
      </ns0:c>
      <ns0:c r="W250" s="21" t="inlineStr">
        <ns0:is>
          <ns0:t>Reported</ns0:t>
        </ns0:is>
      </ns0:c>
      <ns0:c r="X250" s="21" t="inlineStr">
        <ns0:is>
          <ns0:t>Not reported in assessed sources</ns0:t>
        </ns0:is>
      </ns0:c>
      <ns0:c r="Y250" s="21" t="inlineStr">
        <ns0:is>
          <ns0:t>Not ascertainable</ns0:t>
        </ns0:is>
      </ns0:c>
      <ns0:c r="Z250" s="21" t="inlineStr">
        <ns0:is>
          <ns0:t>Not reported in assessed sources</ns0:t>
        </ns0:is>
      </ns0:c>
      <ns0:c r="AA250" s="21" t="inlineStr">
        <ns0:is>
          <ns0:t>Not recorded</ns0:t>
        </ns0:is>
      </ns0:c>
      <ns0:c r="AB250" s="28" t="n">
        <ns0:v>0</ns0:v>
      </ns0:c>
      <ns0:c r="AC250" s="28" t="n">
        <ns0:v>0</ns0:v>
      </ns0:c>
      <ns0:c r="AD250" s="29">
        <ns0:f>IF(AND(G250=1,AB250=0),1,0)</ns0:f>
        <ns0:v>1</ns0:v>
      </ns0:c>
      <ns0:c r="AE250" s="29">
        <ns0:f>IF(AND(AD250=1,AC250=0),1,0)</ns0:f>
        <ns0:v>1</ns0:v>
      </ns0:c>
      <ns0:c r="AF250" s="29">
        <ns0:f>IF(AND(G250=1,H250&lt;&gt;"Not specified"),1,0)</ns0:f>
        <ns0:v>1</ns0:v>
      </ns0:c>
      <ns0:c r="AG250" s="29">
        <ns0:f>IF(AND(AE250=1,AF250=1),1,0)</ns0:f>
        <ns0:v>1</ns0:v>
      </ns0:c>
      <ns0:c r="AH250" s="21" t="inlineStr">
        <ns0:is>
          <ns0:t>Supplied abstract/coding notes; no new full-text verification</ns0:t>
        </ns0:is>
      </ns0:c>
      <ns0:c r="AI250" s="21" t="inlineStr">
        <ns0:is>
          <ns0:t>https://doi.org/10.2196/jmir.9496</ns0:t>
        </ns0:is>
      </ns0:c>
      <ns0:c r="AJ250" s="21" t="inlineStr">
        <ns0:is>
          <ns0:t>EVIDENCIA; original abstract/coding notes and lot source trace; Historical signals: title/abstract/notes; full-text completion not independently established</ns0:t>
        </ns0:is>
      </ns0:c>
      <ns0:c r="AK250" s="21" t="inlineStr">
        <ns0:is>
          <ns0:t>Parental free text is combined with an adaptively selected screening question; proposed prescreening role, not demonstrated clinical use.</ns0:t>
        </ns0:is>
      </ns0:c>
      <ns0:c r="AL250" s="21" t="inlineStr">
        <ns0:is>
          <ns0:t>Not applicable</ns0:t>
        </ns0:is>
      </ns0:c>
      <ns0:c r="AM250" s="21" t="inlineStr">
        <ns0:is>
          <ns0:t>Not separately specified</ns0:t>
        </ns0:is>
      </ns0:c>
      <ns0:c r="AN250" s="21" t="inlineStr"/>
      <ns0:c r="AO250" s="21" t="inlineStr">
        <ns0:is>
          <ns0:t>No additional status determination</ns0:t>
        </ns0:is>
      </ns0:c>
      <ns0:c r="AP250" s="21" t="inlineStr">
        <ns0:is>
          <ns0:t>Not documented for this recharting</ns0:t>
        </ns0:is>
      </ns0:c>
      <ns0:c r="AQ250" s="21" t="inlineStr">
        <ns0:is>
          <ns0:t>ChatGPT-assisted evidence recharting, 2026-09-08</ns0:t>
        </ns0:is>
      </ns0:c>
      <ns0:c r="AR250" s="21" t="inlineStr">
        <ns0:is>
          <ns0:t>RA</ns0:t>
        </ns0:is>
      </ns0:c>
      <ns0:c r="AS250" s="21" t="inlineStr">
        <ns0:is>
          <ns0:t>Not recorded; historical inclusion retained</ns0:t>
        </ns0:is>
      </ns0:c>
    </ns0:row>
    <ns0:row r="251" ht="50" customHeight="1">
      <ns0:c r="A251" s="19" t="inlineStr">
        <ns0:is>
          <ns0:t>268</ns0:t>
        </ns0:is>
      </ns0:c>
      <ns0:c r="B251" s="19" t="inlineStr">
        <ns0:is>
          <ns0:t>Historical</ns0:t>
        </ns0:is>
      </ns0:c>
      <ns0:c r="C251" s="19" t="inlineStr">
        <ns0:is>
          <ns0:t>Robust Low Complexity Framework for Early Diagnosis of Autism Spectrum Disorder Based on Cross Wavelet Transform and Deep Transfer Learning</ns0:t>
        </ns0:is>
      </ns0:c>
      <ns0:c r="D251" s="19" t="inlineStr">
        <ns0:is>
          <ns0:t>10.1007/s42979-023-02564-9</ns0:t>
        </ns0:is>
      </ns0:c>
      <ns0:c r="E251" s="26" t="n">
        <ns0:v>2024</ns0:v>
      </ns0:c>
      <ns0:c r="F251" s="19" t="inlineStr">
        <ns0:is>
          <ns0:t>Include</ns0:t>
        </ns0:is>
      </ns0:c>
      <ns0:c r="G251" s="27">
        <ns0:f>IF(F251="Include",1,0)</ns0:f>
        <ns0:v>1</ns0:v>
      </ns0:c>
      <ns0:c r="H251" s="19" t="inlineStr">
        <ns0:is>
          <ns0:t>Screening</ns0:t>
        </ns0:is>
      </ns0:c>
      <ns0:c r="I251" s="19" t="inlineStr">
        <ns0:is>
          <ns0:t>Deep Learning</ns0:t>
        </ns0:is>
      </ns0:c>
      <ns0:c r="J251" s="19" t="inlineStr">
        <ns0:is>
          <ns0:t>Physiological signals</ns0:t>
        </ns0:is>
      </ns0:c>
      <ns0:c r="K251" s="19" t="inlineStr">
        <ns0:is>
          <ns0:t>CNN</ns0:t>
        </ns0:is>
      </ns0:c>
      <ns0:c r="L251" s="19" t="inlineStr">
        <ns0:is>
          <ns0:t>CNN</ns0:t>
        </ns0:is>
      </ns0:c>
      <ns0:c r="M251" s="19" t="inlineStr">
        <ns0:is>
          <ns0:t>Research only</ns0:t>
        </ns0:is>
      </ns0:c>
      <ns0:c r="N251" s="19" t="inlineStr">
        <ns0:is>
          <ns0:t>Automated measurement/classification</ns0:t>
        </ns0:is>
      </ns0:c>
      <ns0:c r="O251" s="19" t="inlineStr">
        <ns0:is>
          <ns0:t>Not observed in assessed sources</ns0:t>
        </ns0:is>
      </ns0:c>
      <ns0:c r="P251" s="19" t="inlineStr">
        <ns0:is>
          <ns0:t>Not observed in assessed sources</ns0:t>
        </ns0:is>
      </ns0:c>
      <ns0:c r="Q251" s="19" t="inlineStr">
        <ns0:is>
          <ns0:t>Not reported in assessed sources</ns0:t>
        </ns0:is>
      </ns0:c>
      <ns0:c r="R251" s="19" t="inlineStr">
        <ns0:is>
          <ns0:t>Not reported in assessed sources</ns0:t>
        </ns0:is>
      </ns0:c>
      <ns0:c r="S251" s="19" t="inlineStr">
        <ns0:is>
          <ns0:t>Not reported in assessed sources</ns0:t>
        </ns0:is>
      </ns0:c>
      <ns0:c r="T251" s="19" t="inlineStr">
        <ns0:is>
          <ns0:t>Not reported in assessed sources</ns0:t>
        </ns0:is>
      </ns0:c>
      <ns0:c r="U251" s="19" t="inlineStr">
        <ns0:is>
          <ns0:t>Not reported in assessed sources</ns0:t>
        </ns0:is>
      </ns0:c>
      <ns0:c r="V251" s="19" t="inlineStr">
        <ns0:is>
          <ns0:t>Not reported in assessed sources</ns0:t>
        </ns0:is>
      </ns0:c>
      <ns0:c r="W251" s="19" t="inlineStr">
        <ns0:is>
          <ns0:t>Not reported in assessed sources</ns0:t>
        </ns0:is>
      </ns0:c>
      <ns0:c r="X251" s="19" t="inlineStr">
        <ns0:is>
          <ns0:t>Not reported in assessed sources</ns0:t>
        </ns0:is>
      </ns0:c>
      <ns0:c r="Y251" s="19" t="inlineStr">
        <ns0:is>
          <ns0:t>Not ascertainable</ns0:t>
        </ns0:is>
      </ns0:c>
      <ns0:c r="Z251" s="19" t="inlineStr">
        <ns0:is>
          <ns0:t>Not reported in assessed sources</ns0:t>
        </ns0:is>
      </ns0:c>
      <ns0:c r="AA251" s="19" t="inlineStr">
        <ns0:is>
          <ns0:t>Not recorded</ns0:t>
        </ns0:is>
      </ns0:c>
      <ns0:c r="AB251" s="26" t="n">
        <ns0:v>0</ns0:v>
      </ns0:c>
      <ns0:c r="AC251" s="26" t="n">
        <ns0:v>0</ns0:v>
      </ns0:c>
      <ns0:c r="AD251" s="27">
        <ns0:f>IF(AND(G251=1,AB251=0),1,0)</ns0:f>
        <ns0:v>1</ns0:v>
      </ns0:c>
      <ns0:c r="AE251" s="27">
        <ns0:f>IF(AND(AD251=1,AC251=0),1,0)</ns0:f>
        <ns0:v>1</ns0:v>
      </ns0:c>
      <ns0:c r="AF251" s="27">
        <ns0:f>IF(AND(G251=1,H251&lt;&gt;"Not specified"),1,0)</ns0:f>
        <ns0:v>1</ns0:v>
      </ns0:c>
      <ns0:c r="AG251" s="27">
        <ns0:f>IF(AND(AE251=1,AF251=1),1,0)</ns0:f>
        <ns0:v>1</ns0:v>
      </ns0:c>
      <ns0:c r="AH251" s="19" t="inlineStr">
        <ns0:is>
          <ns0:t>Supplied abstract/coding notes; no new full-text verification</ns0:t>
        </ns0:is>
      </ns0:c>
      <ns0:c r="AI251" s="19" t="inlineStr">
        <ns0:is>
          <ns0:t>https://doi.org/10.1007/s42979-023-02564-9</ns0:t>
        </ns0:is>
      </ns0:c>
      <ns0:c r="AJ251" s="19" t="inlineStr">
        <ns0:is>
          <ns0:t>EVIDENCIA; original abstract/coding notes and lot source trace; Historical signals: title/abstract/notes; full-text completion not independently established</ns0:t>
        </ns0:is>
      </ns0:c>
      <ns0:c r="AK251" s="19" t="inlineStr">
        <ns0:is>
          <ns0:t>EEG cross-wavelet images with ResNet-101. Older/younger split is internal age-stratified evaluation, and auditory stimulus is not a second measured input source.</ns0:t>
        </ns0:is>
      </ns0:c>
      <ns0:c r="AL251" s="19" t="inlineStr">
        <ns0:is>
          <ns0:t>Not applicable</ns0:t>
        </ns0:is>
      </ns0:c>
      <ns0:c r="AM251" s="19" t="inlineStr">
        <ns0:is>
          <ns0:t>Not separately specified</ns0:t>
        </ns0:is>
      </ns0:c>
      <ns0:c r="AN251" s="19" t="inlineStr"/>
      <ns0:c r="AO251" s="19" t="inlineStr">
        <ns0:is>
          <ns0:t>No additional status determination</ns0:t>
        </ns0:is>
      </ns0:c>
      <ns0:c r="AP251" s="19" t="inlineStr">
        <ns0:is>
          <ns0:t>Not documented for this recharting</ns0:t>
        </ns0:is>
      </ns0:c>
      <ns0:c r="AQ251" s="19" t="inlineStr">
        <ns0:is>
          <ns0:t>ChatGPT-assisted evidence recharting, 2026-09-08</ns0:t>
        </ns0:is>
      </ns0:c>
      <ns0:c r="AR251" s="19" t="inlineStr"/>
      <ns0:c r="AS251" s="19" t="inlineStr">
        <ns0:is>
          <ns0:t>Not recorded; historical inclusion retained</ns0:t>
        </ns0:is>
      </ns0:c>
    </ns0:row>
    <ns0:row r="252" ht="50" customHeight="1">
      <ns0:c r="A252" s="21" t="inlineStr">
        <ns0:is>
          <ns0:t>269</ns0:t>
        </ns0:is>
      </ns0:c>
      <ns0:c r="B252" s="21" t="inlineStr">
        <ns0:is>
          <ns0:t>Historical</ns0:t>
        </ns0:is>
      </ns0:c>
      <ns0:c r="C252" s="21" t="inlineStr">
        <ns0:is>
          <ns0:t>Self-weighted adaptive structure learning for ASD diagnosis via multi-template multi-center representation</ns0:t>
        </ns0:is>
      </ns0:c>
      <ns0:c r="D252" s="21" t="inlineStr">
        <ns0:is>
          <ns0:t>10.1016/j.media.2020.101662</ns0:t>
        </ns0:is>
      </ns0:c>
      <ns0:c r="E252" s="28" t="n">
        <ns0:v>2020</ns0:v>
      </ns0:c>
      <ns0:c r="F252" s="21" t="inlineStr">
        <ns0:is>
          <ns0:t>Include</ns0:t>
        </ns0:is>
      </ns0:c>
      <ns0:c r="G252" s="29">
        <ns0:f>IF(F252="Include",1,0)</ns0:f>
        <ns0:v>1</ns0:v>
      </ns0:c>
      <ns0:c r="H252" s="21" t="inlineStr">
        <ns0:is>
          <ns0:t>Diagnosis</ns0:t>
        </ns0:is>
      </ns0:c>
      <ns0:c r="I252" s="21" t="inlineStr">
        <ns0:is>
          <ns0:t>Machine Learning</ns0:t>
        </ns0:is>
      </ns0:c>
      <ns0:c r="J252" s="21" t="inlineStr">
        <ns0:is>
          <ns0:t>Neuroimaging</ns0:t>
        </ns0:is>
      </ns0:c>
      <ns0:c r="K252" s="21" t="inlineStr">
        <ns0:is>
          <ns0:t>Adaptive structure-learning ensemble</ns0:t>
        </ns0:is>
      </ns0:c>
      <ns0:c r="L252" s="21" t="inlineStr">
        <ns0:is>
          <ns0:t>Other specified method</ns0:t>
        </ns0:is>
      </ns0:c>
      <ns0:c r="M252" s="21" t="inlineStr">
        <ns0:is>
          <ns0:t>Research only</ns0:t>
        </ns0:is>
      </ns0:c>
      <ns0:c r="N252" s="21" t="inlineStr">
        <ns0:is>
          <ns0:t>Automated measurement/classification</ns0:t>
        </ns0:is>
      </ns0:c>
      <ns0:c r="O252" s="21" t="inlineStr">
        <ns0:is>
          <ns0:t>Not observed in assessed sources</ns0:t>
        </ns0:is>
      </ns0:c>
      <ns0:c r="P252" s="21" t="inlineStr">
        <ns0:is>
          <ns0:t>Not observed in assessed sources</ns0:t>
        </ns0:is>
      </ns0:c>
      <ns0:c r="Q252" s="21" t="inlineStr">
        <ns0:is>
          <ns0:t>Not reported in assessed sources</ns0:t>
        </ns0:is>
      </ns0:c>
      <ns0:c r="R252" s="21" t="inlineStr">
        <ns0:is>
          <ns0:t>Not reported in assessed sources</ns0:t>
        </ns0:is>
      </ns0:c>
      <ns0:c r="S252" s="21" t="inlineStr">
        <ns0:is>
          <ns0:t>Not reported in assessed sources</ns0:t>
        </ns0:is>
      </ns0:c>
      <ns0:c r="T252" s="21" t="inlineStr">
        <ns0:is>
          <ns0:t>Not reported in assessed sources</ns0:t>
        </ns0:is>
      </ns0:c>
      <ns0:c r="U252" s="21" t="inlineStr">
        <ns0:is>
          <ns0:t>Not ascertainable</ns0:t>
        </ns0:is>
      </ns0:c>
      <ns0:c r="V252" s="21" t="inlineStr">
        <ns0:is>
          <ns0:t>Reported</ns0:t>
        </ns0:is>
      </ns0:c>
      <ns0:c r="W252" s="21" t="inlineStr">
        <ns0:is>
          <ns0:t>Not reported in assessed sources</ns0:t>
        </ns0:is>
      </ns0:c>
      <ns0:c r="X252" s="21" t="inlineStr">
        <ns0:is>
          <ns0:t>Not reported in assessed sources</ns0:t>
        </ns0:is>
      </ns0:c>
      <ns0:c r="Y252" s="21" t="inlineStr">
        <ns0:is>
          <ns0:t>Not ascertainable</ns0:t>
        </ns0:is>
      </ns0:c>
      <ns0:c r="Z252" s="21" t="inlineStr">
        <ns0:is>
          <ns0:t>Not reported in assessed sources</ns0:t>
        </ns0:is>
      </ns0:c>
      <ns0:c r="AA252" s="21" t="inlineStr">
        <ns0:is>
          <ns0:t>Not recorded</ns0:t>
        </ns0:is>
      </ns0:c>
      <ns0:c r="AB252" s="28" t="n">
        <ns0:v>0</ns0:v>
      </ns0:c>
      <ns0:c r="AC252" s="28" t="n">
        <ns0:v>0</ns0:v>
      </ns0:c>
      <ns0:c r="AD252" s="29">
        <ns0:f>IF(AND(G252=1,AB252=0),1,0)</ns0:f>
        <ns0:v>1</ns0:v>
      </ns0:c>
      <ns0:c r="AE252" s="29">
        <ns0:f>IF(AND(AD252=1,AC252=0),1,0)</ns0:f>
        <ns0:v>1</ns0:v>
      </ns0:c>
      <ns0:c r="AF252" s="29">
        <ns0:f>IF(AND(G252=1,H252&lt;&gt;"Not specified"),1,0)</ns0:f>
        <ns0:v>1</ns0:v>
      </ns0:c>
      <ns0:c r="AG252" s="29">
        <ns0:f>IF(AND(AE252=1,AF252=1),1,0)</ns0:f>
        <ns0:v>1</ns0:v>
      </ns0:c>
      <ns0:c r="AH252" s="21" t="inlineStr">
        <ns0:is>
          <ns0:t>Supplied abstract/coding notes; no new full-text verification</ns0:t>
        </ns0:is>
      </ns0:c>
      <ns0:c r="AI252" s="21" t="inlineStr">
        <ns0:is>
          <ns0:t>https://doi.org/10.1016/j.media.2020.101662</ns0:t>
        </ns0:is>
      </ns0:c>
      <ns0:c r="AJ252" s="21" t="inlineStr">
        <ns0:is>
          <ns0:t>EVIDENCIA; original abstract/coding notes and lot source trace; Historical signals: title/abstract/notes; full-text completion not independently established</ns0:t>
        </ns0:is>
      </ns0:c>
      <ns0:c r="AK252" s="21" t="inlineStr">
        <ns0:is>
          <ns0:t>SASL ensemble on multi-template fMRI connectivity, not a deep architecture or multiple source modality.
Multicenter representation learning; held-out-site test design not established by available abstract</ns0:t>
        </ns0:is>
      </ns0:c>
      <ns0:c r="AL252" s="21" t="inlineStr">
        <ns0:is>
          <ns0:t>Not applicable</ns0:t>
        </ns0:is>
      </ns0:c>
      <ns0:c r="AM252" s="21" t="inlineStr">
        <ns0:is>
          <ns0:t>Not separately specified</ns0:t>
        </ns0:is>
      </ns0:c>
      <ns0:c r="AN252" s="21" t="inlineStr"/>
      <ns0:c r="AO252" s="21" t="inlineStr">
        <ns0:is>
          <ns0:t>No additional status determination</ns0:t>
        </ns0:is>
      </ns0:c>
      <ns0:c r="AP252" s="21" t="inlineStr">
        <ns0:is>
          <ns0:t>Not documented for this recharting</ns0:t>
        </ns0:is>
      </ns0:c>
      <ns0:c r="AQ252" s="21" t="inlineStr">
        <ns0:is>
          <ns0:t>ChatGPT-assisted evidence recharting, 2026-09-08</ns0:t>
        </ns0:is>
      </ns0:c>
      <ns0:c r="AR252" s="21" t="inlineStr"/>
      <ns0:c r="AS252" s="21" t="inlineStr">
        <ns0:is>
          <ns0:t>Not recorded; historical inclusion retained</ns0:t>
        </ns0:is>
      </ns0:c>
    </ns0:row>
    <ns0:row r="253" ht="50" customHeight="1">
      <ns0:c r="A253" s="19" t="inlineStr">
        <ns0:is>
          <ns0:t>270</ns0:t>
        </ns0:is>
      </ns0:c>
      <ns0:c r="B253" s="19" t="inlineStr">
        <ns0:is>
          <ns0:t>Historical</ns0:t>
        </ns0:is>
      </ns0:c>
      <ns0:c r="C253" s="19" t="inlineStr">
        <ns0:is>
          <ns0:t>Smart bed based daytime behavior prediction in Children with autism spectrum disorder - A Pilot Study</ns0:t>
        </ns0:is>
      </ns0:c>
      <ns0:c r="D253" s="19" t="inlineStr">
        <ns0:is>
          <ns0:t>10.1016/j.medengphy.2020.07.004</ns0:t>
        </ns0:is>
      </ns0:c>
      <ns0:c r="E253" s="26" t="n">
        <ns0:v>2020</ns0:v>
      </ns0:c>
      <ns0:c r="F253" s="19" t="inlineStr">
        <ns0:is>
          <ns0:t>Include</ns0:t>
        </ns0:is>
      </ns0:c>
      <ns0:c r="G253" s="27">
        <ns0:f>IF(F253="Include",1,0)</ns0:f>
        <ns0:v>1</ns0:v>
      </ns0:c>
      <ns0:c r="H253" s="19" t="inlineStr">
        <ns0:is>
          <ns0:t>Prognosis</ns0:t>
        </ns0:is>
      </ns0:c>
      <ns0:c r="I253" s="19" t="inlineStr">
        <ns0:is>
          <ns0:t>Machine Learning</ns0:t>
        </ns0:is>
      </ns0:c>
      <ns0:c r="J253" s="19" t="inlineStr">
        <ns0:is>
          <ns0:t>Physiological signals</ns0:t>
        </ns0:is>
      </ns0:c>
      <ns0:c r="K253" s="19" t="inlineStr">
        <ns0:is>
          <ns0:t>Neural network / SVM comparison</ns0:t>
        </ns0:is>
      </ns0:c>
      <ns0:c r="L253" s="19" t="inlineStr">
        <ns0:is>
          <ns0:t>Multiple/not uniquely specified</ns0:t>
        </ns0:is>
      </ns0:c>
      <ns0:c r="M253" s="19" t="inlineStr">
        <ns0:is>
          <ns0:t>Research only</ns0:t>
        </ns0:is>
      </ns0:c>
      <ns0:c r="N253" s="19" t="inlineStr">
        <ns0:is>
          <ns0:t>Risk/trajectory estimation</ns0:t>
        </ns0:is>
      </ns0:c>
      <ns0:c r="O253" s="19" t="inlineStr">
        <ns0:is>
          <ns0:t>Not observed in assessed sources</ns0:t>
        </ns0:is>
      </ns0:c>
      <ns0:c r="P253" s="19" t="inlineStr">
        <ns0:is>
          <ns0:t>Not observed in assessed sources</ns0:t>
        </ns0:is>
      </ns0:c>
      <ns0:c r="Q253" s="19" t="inlineStr">
        <ns0:is>
          <ns0:t>Not reported in assessed sources</ns0:t>
        </ns0:is>
      </ns0:c>
      <ns0:c r="R253" s="19" t="inlineStr">
        <ns0:is>
          <ns0:t>Not reported in assessed sources</ns0:t>
        </ns0:is>
      </ns0:c>
      <ns0:c r="S253" s="19" t="inlineStr">
        <ns0:is>
          <ns0:t>Not reported in assessed sources</ns0:t>
        </ns0:is>
      </ns0:c>
      <ns0:c r="T253" s="19" t="inlineStr">
        <ns0:is>
          <ns0:t>Not reported in assessed sources</ns0:t>
        </ns0:is>
      </ns0:c>
      <ns0:c r="U253" s="19" t="inlineStr">
        <ns0:is>
          <ns0:t>Not reported in assessed sources</ns0:t>
        </ns0:is>
      </ns0:c>
      <ns0:c r="V253" s="19" t="inlineStr">
        <ns0:is>
          <ns0:t>Not reported in assessed sources</ns0:t>
        </ns0:is>
      </ns0:c>
      <ns0:c r="W253" s="19" t="inlineStr">
        <ns0:is>
          <ns0:t>Not reported in assessed sources</ns0:t>
        </ns0:is>
      </ns0:c>
      <ns0:c r="X253" s="19" t="inlineStr">
        <ns0:is>
          <ns0:t>Not reported in assessed sources</ns0:t>
        </ns0:is>
      </ns0:c>
      <ns0:c r="Y253" s="19" t="inlineStr">
        <ns0:is>
          <ns0:t>Reported</ns0:t>
        </ns0:is>
      </ns0:c>
      <ns0:c r="Z253" s="19" t="inlineStr">
        <ns0:is>
          <ns0:t>Not reported in assessed sources</ns0:t>
        </ns0:is>
      </ns0:c>
      <ns0:c r="AA253" s="19" t="inlineStr">
        <ns0:is>
          <ns0:t>Not recorded</ns0:t>
        </ns0:is>
      </ns0:c>
      <ns0:c r="AB253" s="26" t="n">
        <ns0:v>0</ns0:v>
      </ns0:c>
      <ns0:c r="AC253" s="26" t="n">
        <ns0:v>0</ns0:v>
      </ns0:c>
      <ns0:c r="AD253" s="27">
        <ns0:f>IF(AND(G253=1,AB253=0),1,0)</ns0:f>
        <ns0:v>1</ns0:v>
      </ns0:c>
      <ns0:c r="AE253" s="27">
        <ns0:f>IF(AND(AD253=1,AC253=0),1,0)</ns0:f>
        <ns0:v>1</ns0:v>
      </ns0:c>
      <ns0:c r="AF253" s="27">
        <ns0:f>IF(AND(G253=1,H253&lt;&gt;"Not specified"),1,0)</ns0:f>
        <ns0:v>1</ns0:v>
      </ns0:c>
      <ns0:c r="AG253" s="27">
        <ns0:f>IF(AND(AE253=1,AF253=1),1,0)</ns0:f>
        <ns0:v>1</ns0:v>
      </ns0:c>
      <ns0:c r="AH253" s="19" t="inlineStr">
        <ns0:is>
          <ns0:t>Supplied abstract/coding notes; no new full-text verification</ns0:t>
        </ns0:is>
      </ns0:c>
      <ns0:c r="AI253" s="19" t="inlineStr">
        <ns0:is>
          <ns0:t>https://doi.org/10.1016/j.medengphy.2020.07.004</ns0:t>
        </ns0:is>
      </ns0:c>
      <ns0:c r="AJ253" s="19" t="inlineStr">
        <ns0:is>
          <ns0:t>EVIDENCIA; original abstract/coding notes and lot source trace; Historical signals: title/abstract/notes; full-text completion not independently established</ns0:t>
        </ns0:is>
      </ns0:c>
      <ns0:c r="AK253" s="19" t="inlineStr">
        <ns0:is>
          <ns0:t>Previous-night BCG restlessness predicts next-day behavior; a temporal prognosis endpoint, not AI-guided intervention. Comparing ANN/SVM is not Hybrid.</ns0:t>
        </ns0:is>
      </ns0:c>
      <ns0:c r="AL253" s="19" t="inlineStr">
        <ns0:is>
          <ns0:t>Not applicable</ns0:t>
        </ns0:is>
      </ns0:c>
      <ns0:c r="AM253" s="19" t="inlineStr">
        <ns0:is>
          <ns0:t>Not separately specified</ns0:t>
        </ns0:is>
      </ns0:c>
      <ns0:c r="AN253" s="19" t="inlineStr"/>
      <ns0:c r="AO253" s="19" t="inlineStr">
        <ns0:is>
          <ns0:t>No additional status determination</ns0:t>
        </ns0:is>
      </ns0:c>
      <ns0:c r="AP253" s="19" t="inlineStr">
        <ns0:is>
          <ns0:t>Not documented for this recharting</ns0:t>
        </ns0:is>
      </ns0:c>
      <ns0:c r="AQ253" s="19" t="inlineStr">
        <ns0:is>
          <ns0:t>ChatGPT-assisted evidence recharting, 2026-09-08</ns0:t>
        </ns0:is>
      </ns0:c>
      <ns0:c r="AR253" s="19" t="inlineStr">
        <ns0:is>
          <ns0:t>RA</ns0:t>
        </ns0:is>
      </ns0:c>
      <ns0:c r="AS253" s="19" t="inlineStr">
        <ns0:is>
          <ns0:t>Not recorded; historical inclusion retained</ns0:t>
        </ns0:is>
      </ns0:c>
    </ns0:row>
    <ns0:row r="254" ht="50" customHeight="1">
      <ns0:c r="A254" s="21" t="inlineStr">
        <ns0:is>
          <ns0:t>272</ns0:t>
        </ns0:is>
      </ns0:c>
      <ns0:c r="B254" s="21" t="inlineStr">
        <ns0:is>
          <ns0:t>Historical</ns0:t>
        </ns0:is>
      </ns0:c>
      <ns0:c r="C254" s="21" t="inlineStr">
        <ns0:is>
          <ns0:t>Subtyping cognitive profiles in Autism Spectrum Disorder using a Functional Random Forest algorithm</ns0:t>
        </ns0:is>
      </ns0:c>
      <ns0:c r="D254" s="21" t="inlineStr">
        <ns0:is>
          <ns0:t>10.1016/j.neuroimage.2017.12.044</ns0:t>
        </ns0:is>
      </ns0:c>
      <ns0:c r="E254" s="28" t="n">
        <ns0:v>2018</ns0:v>
      </ns0:c>
      <ns0:c r="F254" s="21" t="inlineStr">
        <ns0:is>
          <ns0:t>Include</ns0:t>
        </ns0:is>
      </ns0:c>
      <ns0:c r="G254" s="29">
        <ns0:f>IF(F254="Include",1,0)</ns0:f>
        <ns0:v>1</ns0:v>
      </ns0:c>
      <ns0:c r="H254" s="21" t="inlineStr">
        <ns0:is>
          <ns0:t>Diagnosis</ns0:t>
        </ns0:is>
      </ns0:c>
      <ns0:c r="I254" s="21" t="inlineStr">
        <ns0:is>
          <ns0:t>Machine Learning</ns0:t>
        </ns0:is>
      </ns0:c>
      <ns0:c r="J254" s="21" t="inlineStr">
        <ns0:is>
          <ns0:t>Structured clinical/questionnaire data</ns0:t>
        </ns0:is>
      </ns0:c>
      <ns0:c r="K254" s="21" t="inlineStr">
        <ns0:is>
          <ns0:t>Random forest / clustering</ns0:t>
        </ns0:is>
      </ns0:c>
      <ns0:c r="L254" s="21" t="inlineStr">
        <ns0:is>
          <ns0:t>Composite/ensemble pipeline</ns0:t>
        </ns0:is>
      </ns0:c>
      <ns0:c r="M254" s="21" t="inlineStr">
        <ns0:is>
          <ns0:t>Research only</ns0:t>
        </ns0:is>
      </ns0:c>
      <ns0:c r="N254" s="21" t="inlineStr">
        <ns0:is>
          <ns0:t>Automated measurement/classification</ns0:t>
        </ns0:is>
      </ns0:c>
      <ns0:c r="O254" s="21" t="inlineStr">
        <ns0:is>
          <ns0:t>Not observed in assessed sources</ns0:t>
        </ns0:is>
      </ns0:c>
      <ns0:c r="P254" s="21" t="inlineStr">
        <ns0:is>
          <ns0:t>Not observed in assessed sources</ns0:t>
        </ns0:is>
      </ns0:c>
      <ns0:c r="Q254" s="21" t="inlineStr">
        <ns0:is>
          <ns0:t>Not reported in assessed sources</ns0:t>
        </ns0:is>
      </ns0:c>
      <ns0:c r="R254" s="21" t="inlineStr">
        <ns0:is>
          <ns0:t>Reported</ns0:t>
        </ns0:is>
      </ns0:c>
      <ns0:c r="S254" s="21" t="inlineStr">
        <ns0:is>
          <ns0:t>Reported</ns0:t>
        </ns0:is>
      </ns0:c>
      <ns0:c r="T254" s="21" t="inlineStr">
        <ns0:is>
          <ns0:t>Not reported in assessed sources</ns0:t>
        </ns0:is>
      </ns0:c>
      <ns0:c r="U254" s="21" t="inlineStr">
        <ns0:is>
          <ns0:t>Not reported in assessed sources</ns0:t>
        </ns0:is>
      </ns0:c>
      <ns0:c r="V254" s="21" t="inlineStr">
        <ns0:is>
          <ns0:t>Not reported in assessed sources</ns0:t>
        </ns0:is>
      </ns0:c>
      <ns0:c r="W254" s="21" t="inlineStr">
        <ns0:is>
          <ns0:t>Reported</ns0:t>
        </ns0:is>
      </ns0:c>
      <ns0:c r="X254" s="21" t="inlineStr">
        <ns0:is>
          <ns0:t>Not reported in assessed sources</ns0:t>
        </ns0:is>
      </ns0:c>
      <ns0:c r="Y254" s="21" t="inlineStr">
        <ns0:is>
          <ns0:t>Not ascertainable</ns0:t>
        </ns0:is>
      </ns0:c>
      <ns0:c r="Z254" s="21" t="inlineStr">
        <ns0:is>
          <ns0:t>Reported</ns0:t>
        </ns0:is>
      </ns0:c>
      <ns0:c r="AA254" s="21" t="inlineStr">
        <ns0:is>
          <ns0:t>Not recorded</ns0:t>
        </ns0:is>
      </ns0:c>
      <ns0:c r="AB254" s="28" t="n">
        <ns0:v>0</ns0:v>
      </ns0:c>
      <ns0:c r="AC254" s="28" t="n">
        <ns0:v>0</ns0:v>
      </ns0:c>
      <ns0:c r="AD254" s="29">
        <ns0:f>IF(AND(G254=1,AB254=0),1,0)</ns0:f>
        <ns0:v>1</ns0:v>
      </ns0:c>
      <ns0:c r="AE254" s="29">
        <ns0:f>IF(AND(AD254=1,AC254=0),1,0)</ns0:f>
        <ns0:v>1</ns0:v>
      </ns0:c>
      <ns0:c r="AF254" s="29">
        <ns0:f>IF(AND(G254=1,H254&lt;&gt;"Not specified"),1,0)</ns0:f>
        <ns0:v>1</ns0:v>
      </ns0:c>
      <ns0:c r="AG254" s="29">
        <ns0:f>IF(AND(AE254=1,AF254=1),1,0)</ns0:f>
        <ns0:v>1</ns0:v>
      </ns0:c>
      <ns0:c r="AH254" s="21" t="inlineStr">
        <ns0:is>
          <ns0:t>Supplied abstract/coding notes; no new full-text verification</ns0:t>
        </ns0:is>
      </ns0:c>
      <ns0:c r="AI254" s="21" t="inlineStr">
        <ns0:is>
          <ns0:t>https://doi.org/10.1016/j.neuroimage.2017.12.044</ns0:t>
        </ns0:is>
      </ns0:c>
      <ns0:c r="AJ254" s="21" t="inlineStr">
        <ns0:is>
          <ns0:t>EVIDENCIA; original abstract/coding notes and lot source trace; Historical signals: title/abstract/notes; full-text completion not independently established</ns0:t>
        </ns0:is>
      </ns0:c>
      <ns0:c r="AK254" s="21" t="inlineStr">
        <ns0:is>
          <ns0:t>Functional random forest learns from seven cognitive tasks. MRI is used for subsequent subgroup characterization rather than as the classifier input.
Multiple cognitive instruments; MRI is downstream validation/characterization, not predictive input</ns0:t>
        </ns0:is>
      </ns0:c>
      <ns0:c r="AL254" s="21" t="inlineStr">
        <ns0:is>
          <ns0:t>Not applicable</ns0:t>
        </ns0:is>
      </ns0:c>
      <ns0:c r="AM254" s="21" t="inlineStr">
        <ns0:is>
          <ns0:t>Not separately specified</ns0:t>
        </ns0:is>
      </ns0:c>
      <ns0:c r="AN254" s="21" t="inlineStr"/>
      <ns0:c r="AO254" s="21" t="inlineStr">
        <ns0:is>
          <ns0:t>No additional status determination</ns0:t>
        </ns0:is>
      </ns0:c>
      <ns0:c r="AP254" s="21" t="inlineStr">
        <ns0:is>
          <ns0:t>Not documented for this recharting</ns0:t>
        </ns0:is>
      </ns0:c>
      <ns0:c r="AQ254" s="21" t="inlineStr">
        <ns0:is>
          <ns0:t>ChatGPT-assisted evidence recharting, 2026-09-08</ns0:t>
        </ns0:is>
      </ns0:c>
      <ns0:c r="AR254" s="21" t="inlineStr">
        <ns0:is>
          <ns0:t>RA</ns0:t>
        </ns0:is>
      </ns0:c>
      <ns0:c r="AS254" s="21" t="inlineStr">
        <ns0:is>
          <ns0:t>Not recorded; historical inclusion retained</ns0:t>
        </ns0:is>
      </ns0:c>
    </ns0:row>
    <ns0:row r="255" ht="50" customHeight="1">
      <ns0:c r="A255" s="19" t="inlineStr">
        <ns0:is>
          <ns0:t>273</ns0:t>
        </ns0:is>
      </ns0:c>
      <ns0:c r="B255" s="19" t="inlineStr">
        <ns0:is>
          <ns0:t>Historical</ns0:t>
        </ns0:is>
      </ns0:c>
      <ns0:c r="C255" s="19" t="inlineStr">
        <ns0:is>
          <ns0:t>Towards autism subtype detection through identification of discriminatory factors using machine learning</ns0:t>
        </ns0:is>
      </ns0:c>
      <ns0:c r="D255" s="19" t="inlineStr">
        <ns0:is>
          <ns0:t>10.1007/978-3-030-86993-9_36</ns0:t>
        </ns0:is>
      </ns0:c>
      <ns0:c r="E255" s="26" t="n">
        <ns0:v>2021</ns0:v>
      </ns0:c>
      <ns0:c r="F255" s="19" t="inlineStr">
        <ns0:is>
          <ns0:t>Include</ns0:t>
        </ns0:is>
      </ns0:c>
      <ns0:c r="G255" s="27">
        <ns0:f>IF(F255="Include",1,0)</ns0:f>
        <ns0:v>1</ns0:v>
      </ns0:c>
      <ns0:c r="H255" s="19" t="inlineStr">
        <ns0:is>
          <ns0:t>Diagnosis</ns0:t>
        </ns0:is>
      </ns0:c>
      <ns0:c r="I255" s="19" t="inlineStr">
        <ns0:is>
          <ns0:t>Machine Learning</ns0:t>
        </ns0:is>
      </ns0:c>
      <ns0:c r="J255" s="19" t="inlineStr">
        <ns0:is>
          <ns0:t>Structured clinical/questionnaire data</ns0:t>
        </ns0:is>
      </ns0:c>
      <ns0:c r="K255" s="19" t="inlineStr">
        <ns0:is>
          <ns0:t>Clustering</ns0:t>
        </ns0:is>
      </ns0:c>
      <ns0:c r="L255" s="19" t="inlineStr">
        <ns0:is>
          <ns0:t>Clustering</ns0:t>
        </ns0:is>
      </ns0:c>
      <ns0:c r="M255" s="19" t="inlineStr">
        <ns0:is>
          <ns0:t>Research only</ns0:t>
        </ns0:is>
      </ns0:c>
      <ns0:c r="N255" s="19" t="inlineStr">
        <ns0:is>
          <ns0:t>Automated measurement/classification</ns0:t>
        </ns0:is>
      </ns0:c>
      <ns0:c r="O255" s="19" t="inlineStr">
        <ns0:is>
          <ns0:t>Not observed in assessed sources</ns0:t>
        </ns0:is>
      </ns0:c>
      <ns0:c r="P255" s="19" t="inlineStr">
        <ns0:is>
          <ns0:t>Not observed in assessed sources</ns0:t>
        </ns0:is>
      </ns0:c>
      <ns0:c r="Q255" s="19" t="inlineStr">
        <ns0:is>
          <ns0:t>Not reported in assessed sources</ns0:t>
        </ns0:is>
      </ns0:c>
      <ns0:c r="R255" s="19" t="inlineStr">
        <ns0:is>
          <ns0:t>Not reported in assessed sources</ns0:t>
        </ns0:is>
      </ns0:c>
      <ns0:c r="S255" s="19" t="inlineStr">
        <ns0:is>
          <ns0:t>Reported</ns0:t>
        </ns0:is>
      </ns0:c>
      <ns0:c r="T255" s="19" t="inlineStr">
        <ns0:is>
          <ns0:t>Reported</ns0:t>
        </ns0:is>
      </ns0:c>
      <ns0:c r="U255" s="19" t="inlineStr">
        <ns0:is>
          <ns0:t>Not reported in assessed sources</ns0:t>
        </ns0:is>
      </ns0:c>
      <ns0:c r="V255" s="19" t="inlineStr">
        <ns0:is>
          <ns0:t>Not reported in assessed sources</ns0:t>
        </ns0:is>
      </ns0:c>
      <ns0:c r="W255" s="19" t="inlineStr">
        <ns0:is>
          <ns0:t>Not reported in assessed sources</ns0:t>
        </ns0:is>
      </ns0:c>
      <ns0:c r="X255" s="19" t="inlineStr">
        <ns0:is>
          <ns0:t>Not reported in assessed sources</ns0:t>
        </ns0:is>
      </ns0:c>
      <ns0:c r="Y255" s="19" t="inlineStr">
        <ns0:is>
          <ns0:t>Not ascertainable</ns0:t>
        </ns0:is>
      </ns0:c>
      <ns0:c r="Z255" s="19" t="inlineStr">
        <ns0:is>
          <ns0:t>Not reported in assessed sources</ns0:t>
        </ns0:is>
      </ns0:c>
      <ns0:c r="AA255" s="19" t="inlineStr">
        <ns0:is>
          <ns0:t>Not recorded</ns0:t>
        </ns0:is>
      </ns0:c>
      <ns0:c r="AB255" s="26" t="n">
        <ns0:v>0</ns0:v>
      </ns0:c>
      <ns0:c r="AC255" s="26" t="n">
        <ns0:v>0</ns0:v>
      </ns0:c>
      <ns0:c r="AD255" s="27">
        <ns0:f>IF(AND(G255=1,AB255=0),1,0)</ns0:f>
        <ns0:v>1</ns0:v>
      </ns0:c>
      <ns0:c r="AE255" s="27">
        <ns0:f>IF(AND(AD255=1,AC255=0),1,0)</ns0:f>
        <ns0:v>1</ns0:v>
      </ns0:c>
      <ns0:c r="AF255" s="27">
        <ns0:f>IF(AND(G255=1,H255&lt;&gt;"Not specified"),1,0)</ns0:f>
        <ns0:v>1</ns0:v>
      </ns0:c>
      <ns0:c r="AG255" s="27">
        <ns0:f>IF(AND(AE255=1,AF255=1),1,0)</ns0:f>
        <ns0:v>1</ns0:v>
      </ns0:c>
      <ns0:c r="AH255" s="19" t="inlineStr">
        <ns0:is>
          <ns0:t>Supplied abstract/coding notes; no new full-text verification</ns0:t>
        </ns0:is>
      </ns0:c>
      <ns0:c r="AI255" s="19" t="inlineStr">
        <ns0:is>
          <ns0:t>https://doi.org/10.1007/978-3-030-86993-9_36</ns0:t>
        </ns0:is>
      </ns0:c>
      <ns0:c r="AJ255" s="19" t="inlineStr">
        <ns0:is>
          <ns0:t>EVIDENCIA; original abstract/coding notes and lot source trace; Historical signals: title/abstract/notes; full-text completion not independently established</ns0:t>
        </ns0:is>
      </ns0:c>
      <ns0:c r="AK255" s="19" t="inlineStr">
        <ns0:is>
          <ns0:t>Questionnaire-based subtype discovery with k-means; classifier SHAP follow-up explicit. Not free-text NLP.</ns0:t>
        </ns0:is>
      </ns0:c>
      <ns0:c r="AL255" s="19" t="inlineStr">
        <ns0:is>
          <ns0:t>Not applicable</ns0:t>
        </ns0:is>
      </ns0:c>
      <ns0:c r="AM255" s="19" t="inlineStr">
        <ns0:is>
          <ns0:t>Not separately specified</ns0:t>
        </ns0:is>
      </ns0:c>
      <ns0:c r="AN255" s="19" t="inlineStr"/>
      <ns0:c r="AO255" s="19" t="inlineStr">
        <ns0:is>
          <ns0:t>No additional status determination</ns0:t>
        </ns0:is>
      </ns0:c>
      <ns0:c r="AP255" s="19" t="inlineStr">
        <ns0:is>
          <ns0:t>Not documented for this recharting</ns0:t>
        </ns0:is>
      </ns0:c>
      <ns0:c r="AQ255" s="19" t="inlineStr">
        <ns0:is>
          <ns0:t>ChatGPT-assisted evidence recharting, 2026-09-08</ns0:t>
        </ns0:is>
      </ns0:c>
      <ns0:c r="AR255" s="19" t="inlineStr">
        <ns0:is>
          <ns0:t>RA</ns0:t>
        </ns0:is>
      </ns0:c>
      <ns0:c r="AS255" s="19" t="inlineStr">
        <ns0:is>
          <ns0:t>Not recorded; historical inclusion retained</ns0:t>
        </ns0:is>
      </ns0:c>
    </ns0:row>
    <ns0:row r="256" ht="50" customHeight="1">
      <ns0:c r="A256" s="21" t="inlineStr">
        <ns0:is>
          <ns0:t>274</ns0:t>
        </ns0:is>
      </ns0:c>
      <ns0:c r="B256" s="21" t="inlineStr">
        <ns0:is>
          <ns0:t>Historical</ns0:t>
        </ns0:is>
      </ns0:c>
      <ns0:c r="C256" s="21" t="inlineStr">
        <ns0:is>
          <ns0:t>‘IoT and AI-Based Application for Automatic Interpretation of the Affective State of Children Diagnosed with Autism</ns0:t>
        </ns0:is>
      </ns0:c>
      <ns0:c r="D256" s="21" t="inlineStr">
        <ns0:is>
          <ns0:t>10.3390/s22072528</ns0:t>
        </ns0:is>
      </ns0:c>
      <ns0:c r="E256" s="28" t="n">
        <ns0:v>2022</ns0:v>
      </ns0:c>
      <ns0:c r="F256" s="21" t="inlineStr">
        <ns0:is>
          <ns0:t>Include</ns0:t>
        </ns0:is>
      </ns0:c>
      <ns0:c r="G256" s="29">
        <ns0:f>IF(F256="Include",1,0)</ns0:f>
        <ns0:v>1</ns0:v>
      </ns0:c>
      <ns0:c r="H256" s="21" t="inlineStr">
        <ns0:is>
          <ns0:t>Monitoring/intervention</ns0:t>
        </ns0:is>
      </ns0:c>
      <ns0:c r="I256" s="21" t="inlineStr">
        <ns0:is>
          <ns0:t>Deep Learning</ns0:t>
        </ns0:is>
      </ns0:c>
      <ns0:c r="J256" s="21" t="inlineStr">
        <ns0:is>
          <ns0:t>Behavioral images/video/gaze/movement</ns0:t>
        </ns0:is>
      </ns0:c>
      <ns0:c r="K256" s="21" t="inlineStr">
        <ns0:is>
          <ns0:t>CNN</ns0:t>
        </ns0:is>
      </ns0:c>
      <ns0:c r="L256" s="21" t="inlineStr">
        <ns0:is>
          <ns0:t>CNN</ns0:t>
        </ns0:is>
      </ns0:c>
      <ns0:c r="M256" s="21" t="inlineStr">
        <ns0:is>
          <ns0:t>Proposed only</ns0:t>
        </ns0:is>
      </ns0:c>
      <ns0:c r="N256" s="21" t="inlineStr">
        <ns0:is>
          <ns0:t>Adaptive intervention</ns0:t>
        </ns0:is>
      </ns0:c>
      <ns0:c r="O256" s="21" t="inlineStr">
        <ns0:is>
          <ns0:t>Post-decision</ns0:t>
        </ns0:is>
      </ns0:c>
      <ns0:c r="P256" s="21" t="inlineStr">
        <ns0:is>
          <ns0:t>Not observed in assessed sources</ns0:t>
        </ns0:is>
      </ns0:c>
      <ns0:c r="Q256" s="21" t="inlineStr">
        <ns0:is>
          <ns0:t>Not reported in assessed sources</ns0:t>
        </ns0:is>
      </ns0:c>
      <ns0:c r="R256" s="21" t="inlineStr">
        <ns0:is>
          <ns0:t>Not reported in assessed sources</ns0:t>
        </ns0:is>
      </ns0:c>
      <ns0:c r="S256" s="21" t="inlineStr">
        <ns0:is>
          <ns0:t>Not reported in assessed sources</ns0:t>
        </ns0:is>
      </ns0:c>
      <ns0:c r="T256" s="21" t="inlineStr">
        <ns0:is>
          <ns0:t>Not reported in assessed sources</ns0:t>
        </ns0:is>
      </ns0:c>
      <ns0:c r="U256" s="21" t="inlineStr">
        <ns0:is>
          <ns0:t>Not reported in assessed sources</ns0:t>
        </ns0:is>
      </ns0:c>
      <ns0:c r="V256" s="21" t="inlineStr">
        <ns0:is>
          <ns0:t>Not reported in assessed sources</ns0:t>
        </ns0:is>
      </ns0:c>
      <ns0:c r="W256" s="21" t="inlineStr">
        <ns0:is>
          <ns0:t>Not reported in assessed sources</ns0:t>
        </ns0:is>
      </ns0:c>
      <ns0:c r="X256" s="21" t="inlineStr">
        <ns0:is>
          <ns0:t>Not reported in assessed sources</ns0:t>
        </ns0:is>
      </ns0:c>
      <ns0:c r="Y256" s="21" t="inlineStr">
        <ns0:is>
          <ns0:t>Not ascertainable</ns0:t>
        </ns0:is>
      </ns0:c>
      <ns0:c r="Z256" s="21" t="inlineStr">
        <ns0:is>
          <ns0:t>Not reported in assessed sources</ns0:t>
        </ns0:is>
      </ns0:c>
      <ns0:c r="AA256" s="21" t="inlineStr">
        <ns0:is>
          <ns0:t>Not recorded</ns0:t>
        </ns0:is>
      </ns0:c>
      <ns0:c r="AB256" s="28" t="n">
        <ns0:v>0</ns0:v>
      </ns0:c>
      <ns0:c r="AC256" s="28" t="n">
        <ns0:v>0</ns0:v>
      </ns0:c>
      <ns0:c r="AD256" s="29">
        <ns0:f>IF(AND(G256=1,AB256=0),1,0)</ns0:f>
        <ns0:v>1</ns0:v>
      </ns0:c>
      <ns0:c r="AE256" s="29">
        <ns0:f>IF(AND(AD256=1,AC256=0),1,0)</ns0:f>
        <ns0:v>1</ns0:v>
      </ns0:c>
      <ns0:c r="AF256" s="29">
        <ns0:f>IF(AND(G256=1,H256&lt;&gt;"Not specified"),1,0)</ns0:f>
        <ns0:v>1</ns0:v>
      </ns0:c>
      <ns0:c r="AG256" s="29">
        <ns0:f>IF(AND(AE256=1,AF256=1),1,0)</ns0:f>
        <ns0:v>1</ns0:v>
      </ns0:c>
      <ns0:c r="AH256" s="21" t="inlineStr">
        <ns0:is>
          <ns0:t>Supplied abstract/coding notes; no new full-text verification</ns0:t>
        </ns0:is>
      </ns0:c>
      <ns0:c r="AI256" s="21" t="inlineStr">
        <ns0:is>
          <ns0:t>https://doi.org/10.3390/s22072528</ns0:t>
        </ns0:is>
      </ns0:c>
      <ns0:c r="AJ256" s="21" t="inlineStr">
        <ns0:is>
          <ns0:t>EVIDENCIA; original abstract/coding notes and lot source trace; Historical signals: title/abstract/notes; full-text completion not independently established</ns0:t>
        </ns0:is>
      </ns0:c>
      <ns0:c r="AK256" s="21" t="inlineStr">
        <ns0:is>
          <ns0:t>PandaSays CNN output commands a robot; functional prototype integration is demonstrated, but abstract does not establish evaluation of delivered treatment in ASD participants.
System-to-robot technical integration does not establish patient-facing clinical evaluation.</ns0:t>
        </ns0:is>
      </ns0:c>
      <ns0:c r="AL256" s="21" t="inlineStr">
        <ns0:is>
          <ns0:t>Not applicable</ns0:t>
        </ns0:is>
      </ns0:c>
      <ns0:c r="AM256" s="21" t="inlineStr">
        <ns0:is>
          <ns0:t>Not separately specified</ns0:t>
        </ns0:is>
      </ns0:c>
      <ns0:c r="AN256" s="21" t="inlineStr"/>
      <ns0:c r="AO256" s="21" t="inlineStr">
        <ns0:is>
          <ns0:t>No additional status determination</ns0:t>
        </ns0:is>
      </ns0:c>
      <ns0:c r="AP256" s="21" t="inlineStr">
        <ns0:is>
          <ns0:t>Not documented for this recharting</ns0:t>
        </ns0:is>
      </ns0:c>
      <ns0:c r="AQ256" s="21" t="inlineStr">
        <ns0:is>
          <ns0:t>ChatGPT-assisted evidence recharting, 2026-09-08</ns0:t>
        </ns0:is>
      </ns0:c>
      <ns0:c r="AR256" s="21" t="inlineStr">
        <ns0:is>
          <ns0:t>RA</ns0:t>
        </ns0:is>
      </ns0:c>
      <ns0:c r="AS256" s="21" t="inlineStr">
        <ns0:is>
          <ns0:t>Not recorded; historical inclusion retained</ns0:t>
        </ns0:is>
      </ns0:c>
    </ns0:row>
    <ns0:row r="257" ht="50" customHeight="1">
      <ns0:c r="A257" s="19" t="inlineStr">
        <ns0:is>
          <ns0:t>275</ns0:t>
        </ns0:is>
      </ns0:c>
      <ns0:c r="B257" s="19" t="inlineStr">
        <ns0:is>
          <ns0:t>Historical</ns0:t>
        </ns0:is>
      </ns0:c>
      <ns0:c r="C257" s="19" t="inlineStr">
        <ns0:is>
          <ns0:t>A Fusion-Based Machine Learning Approach for Autism Detection in Young Children Using Magnetoencephalography Signals</ns0:t>
        </ns0:is>
      </ns0:c>
      <ns0:c r="D257" s="19" t="inlineStr">
        <ns0:is>
          <ns0:t>10.1007/s10803-022-05767-w</ns0:t>
        </ns0:is>
      </ns0:c>
      <ns0:c r="E257" s="26" t="n">
        <ns0:v>2023</ns0:v>
      </ns0:c>
      <ns0:c r="F257" s="19" t="inlineStr">
        <ns0:is>
          <ns0:t>Include</ns0:t>
        </ns0:is>
      </ns0:c>
      <ns0:c r="G257" s="27">
        <ns0:f>IF(F257="Include",1,0)</ns0:f>
        <ns0:v>1</ns0:v>
      </ns0:c>
      <ns0:c r="H257" s="19" t="inlineStr">
        <ns0:is>
          <ns0:t>Diagnosis</ns0:t>
        </ns0:is>
      </ns0:c>
      <ns0:c r="I257" s="19" t="inlineStr">
        <ns0:is>
          <ns0:t>Machine Learning</ns0:t>
        </ns0:is>
      </ns0:c>
      <ns0:c r="J257" s="19" t="inlineStr">
        <ns0:is>
          <ns0:t>Physiological signals</ns0:t>
        </ns0:is>
      </ns0:c>
      <ns0:c r="K257" s="19" t="inlineStr">
        <ns0:is>
          <ns0:t>MLP</ns0:t>
        </ns0:is>
      </ns0:c>
      <ns0:c r="L257" s="19" t="inlineStr">
        <ns0:is>
          <ns0:t>MLP/ANN</ns0:t>
        </ns0:is>
      </ns0:c>
      <ns0:c r="M257" s="19" t="inlineStr">
        <ns0:is>
          <ns0:t>Research only</ns0:t>
        </ns0:is>
      </ns0:c>
      <ns0:c r="N257" s="19" t="inlineStr">
        <ns0:is>
          <ns0:t>Automated measurement/classification</ns0:t>
        </ns0:is>
      </ns0:c>
      <ns0:c r="O257" s="19" t="inlineStr">
        <ns0:is>
          <ns0:t>Not observed in assessed sources</ns0:t>
        </ns0:is>
      </ns0:c>
      <ns0:c r="P257" s="19" t="inlineStr">
        <ns0:is>
          <ns0:t>Not observed in assessed sources</ns0:t>
        </ns0:is>
      </ns0:c>
      <ns0:c r="Q257" s="19" t="inlineStr">
        <ns0:is>
          <ns0:t>Not reported in assessed sources</ns0:t>
        </ns0:is>
      </ns0:c>
      <ns0:c r="R257" s="19" t="inlineStr">
        <ns0:is>
          <ns0:t>Not reported in assessed sources</ns0:t>
        </ns0:is>
      </ns0:c>
      <ns0:c r="S257" s="19" t="inlineStr">
        <ns0:is>
          <ns0:t>Not reported in assessed sources</ns0:t>
        </ns0:is>
      </ns0:c>
      <ns0:c r="T257" s="19" t="inlineStr">
        <ns0:is>
          <ns0:t>Not reported in assessed sources</ns0:t>
        </ns0:is>
      </ns0:c>
      <ns0:c r="U257" s="19" t="inlineStr">
        <ns0:is>
          <ns0:t>Not reported in assessed sources</ns0:t>
        </ns0:is>
      </ns0:c>
      <ns0:c r="V257" s="19" t="inlineStr">
        <ns0:is>
          <ns0:t>Not reported in assessed sources</ns0:t>
        </ns0:is>
      </ns0:c>
      <ns0:c r="W257" s="19" t="inlineStr">
        <ns0:is>
          <ns0:t>Not reported in assessed sources</ns0:t>
        </ns0:is>
      </ns0:c>
      <ns0:c r="X257" s="19" t="inlineStr">
        <ns0:is>
          <ns0:t>Not reported in assessed sources</ns0:t>
        </ns0:is>
      </ns0:c>
      <ns0:c r="Y257" s="19" t="inlineStr">
        <ns0:is>
          <ns0:t>Not ascertainable</ns0:t>
        </ns0:is>
      </ns0:c>
      <ns0:c r="Z257" s="19" t="inlineStr">
        <ns0:is>
          <ns0:t>Not reported in assessed sources</ns0:t>
        </ns0:is>
      </ns0:c>
      <ns0:c r="AA257" s="19" t="inlineStr">
        <ns0:is>
          <ns0:t>Not recorded</ns0:t>
        </ns0:is>
      </ns0:c>
      <ns0:c r="AB257" s="26" t="n">
        <ns0:v>0</ns0:v>
      </ns0:c>
      <ns0:c r="AC257" s="26" t="n">
        <ns0:v>0</ns0:v>
      </ns0:c>
      <ns0:c r="AD257" s="27">
        <ns0:f>IF(AND(G257=1,AB257=0),1,0)</ns0:f>
        <ns0:v>1</ns0:v>
      </ns0:c>
      <ns0:c r="AE257" s="27">
        <ns0:f>IF(AND(AD257=1,AC257=0),1,0)</ns0:f>
        <ns0:v>1</ns0:v>
      </ns0:c>
      <ns0:c r="AF257" s="27">
        <ns0:f>IF(AND(G257=1,H257&lt;&gt;"Not specified"),1,0)</ns0:f>
        <ns0:v>1</ns0:v>
      </ns0:c>
      <ns0:c r="AG257" s="27">
        <ns0:f>IF(AND(AE257=1,AF257=1),1,0)</ns0:f>
        <ns0:v>1</ns0:v>
      </ns0:c>
      <ns0:c r="AH257" s="19" t="inlineStr">
        <ns0:is>
          <ns0:t>Supplied abstract/coding notes; no new full-text verification</ns0:t>
        </ns0:is>
      </ns0:c>
      <ns0:c r="AI257" s="19" t="inlineStr">
        <ns0:is>
          <ns0:t>https://doi.org/10.1007/s10803-022-05767-w</ns0:t>
        </ns0:is>
      </ns0:c>
      <ns0:c r="AJ257" s="19" t="inlineStr">
        <ns0:is>
          <ns0:t>EVIDENCIA; original abstract/coding notes and lot source trace; Historical signals: title/abstract/notes; full-text completion not independently established</ns0:t>
        </ns0:is>
      </ns0:c>
      <ns0:c r="AK257" s="19" t="inlineStr">
        <ns0:is>
          <ns0:t>MEG power and phase feature/score fusion are two representations of one recorded source, not multisource acquisition.</ns0:t>
        </ns0:is>
      </ns0:c>
      <ns0:c r="AL257" s="19" t="inlineStr">
        <ns0:is>
          <ns0:t>Not applicable</ns0:t>
        </ns0:is>
      </ns0:c>
      <ns0:c r="AM257" s="19" t="inlineStr">
        <ns0:is>
          <ns0:t>Not separately specified</ns0:t>
        </ns0:is>
      </ns0:c>
      <ns0:c r="AN257" s="19" t="inlineStr"/>
      <ns0:c r="AO257" s="19" t="inlineStr">
        <ns0:is>
          <ns0:t>No additional status determination</ns0:t>
        </ns0:is>
      </ns0:c>
      <ns0:c r="AP257" s="19" t="inlineStr">
        <ns0:is>
          <ns0:t>Not documented for this recharting</ns0:t>
        </ns0:is>
      </ns0:c>
      <ns0:c r="AQ257" s="19" t="inlineStr">
        <ns0:is>
          <ns0:t>ChatGPT-assisted evidence recharting, 2026-09-08</ns0:t>
        </ns0:is>
      </ns0:c>
      <ns0:c r="AR257" s="19" t="inlineStr"/>
      <ns0:c r="AS257" s="19" t="inlineStr">
        <ns0:is>
          <ns0:t>Not recorded; historical inclusion retained</ns0:t>
        </ns0:is>
      </ns0:c>
    </ns0:row>
    <ns0:row r="258" ht="50" customHeight="1">
      <ns0:c r="A258" s="21" t="inlineStr">
        <ns0:is>
          <ns0:t>276</ns0:t>
        </ns0:is>
      </ns0:c>
      <ns0:c r="B258" s="21" t="inlineStr">
        <ns0:is>
          <ns0:t>Historical</ns0:t>
        </ns0:is>
      </ns0:c>
      <ns0:c r="C258" s="21" t="inlineStr">
        <ns0:is>
          <ns0:t>A situation-aware system for the detection of motion disorders of patients with Autism Spectrum Disorders</ns0:t>
        </ns0:is>
      </ns0:c>
      <ns0:c r="D258" s="21" t="inlineStr">
        <ns0:is>
          <ns0:t>10.1016/j.eswa.2014.05.011</ns0:t>
        </ns0:is>
      </ns0:c>
      <ns0:c r="E258" s="28" t="n">
        <ns0:v>2014</ns0:v>
      </ns0:c>
      <ns0:c r="F258" s="21" t="inlineStr">
        <ns0:is>
          <ns0:t>Include</ns0:t>
        </ns0:is>
      </ns0:c>
      <ns0:c r="G258" s="29">
        <ns0:f>IF(F258="Include",1,0)</ns0:f>
        <ns0:v>1</ns0:v>
      </ns0:c>
      <ns0:c r="H258" s="21" t="inlineStr">
        <ns0:is>
          <ns0:t>Monitoring/intervention</ns0:t>
        </ns0:is>
      </ns0:c>
      <ns0:c r="I258" s="21" t="inlineStr">
        <ns0:is>
          <ns0:t>Not specified</ns0:t>
        </ns0:is>
      </ns0:c>
      <ns0:c r="J258" s="21" t="inlineStr">
        <ns0:is>
          <ns0:t>Behavioral images/video/gaze/movement</ns0:t>
        </ns0:is>
      </ns0:c>
      <ns0:c r="K258" s="21" t="inlineStr">
        <ns0:is>
          <ns0:t>Not specified</ns0:t>
        </ns0:is>
      </ns0:c>
      <ns0:c r="L258" s="21" t="inlineStr">
        <ns0:is>
          <ns0:t>Multiple/not uniquely specified</ns0:t>
        </ns0:is>
      </ns0:c>
      <ns0:c r="M258" s="21" t="inlineStr">
        <ns0:is>
          <ns0:t>Evaluated at point of use</ns0:t>
        </ns0:is>
      </ns0:c>
      <ns0:c r="N258" s="21" t="inlineStr">
        <ns0:is>
          <ns0:t>Monitoring/longitudinal analysis</ns0:t>
        </ns0:is>
      </ns0:c>
      <ns0:c r="O258" s="21" t="inlineStr">
        <ns0:is>
          <ns0:t>Post-decision</ns0:t>
        </ns0:is>
      </ns0:c>
      <ns0:c r="P258" s="21" t="inlineStr">
        <ns0:is>
          <ns0:t>Post-decision</ns0:t>
        </ns0:is>
      </ns0:c>
      <ns0:c r="Q258" s="21" t="inlineStr">
        <ns0:is>
          <ns0:t>Not reported in assessed sources</ns0:t>
        </ns0:is>
      </ns0:c>
      <ns0:c r="R258" s="21" t="inlineStr">
        <ns0:is>
          <ns0:t>Not reported in assessed sources</ns0:t>
        </ns0:is>
      </ns0:c>
      <ns0:c r="S258" s="21" t="inlineStr">
        <ns0:is>
          <ns0:t>Not reported in assessed sources</ns0:t>
        </ns0:is>
      </ns0:c>
      <ns0:c r="T258" s="21" t="inlineStr">
        <ns0:is>
          <ns0:t>Not reported in assessed sources</ns0:t>
        </ns0:is>
      </ns0:c>
      <ns0:c r="U258" s="21" t="inlineStr">
        <ns0:is>
          <ns0:t>Not reported in assessed sources</ns0:t>
        </ns0:is>
      </ns0:c>
      <ns0:c r="V258" s="21" t="inlineStr">
        <ns0:is>
          <ns0:t>Not reported in assessed sources</ns0:t>
        </ns0:is>
      </ns0:c>
      <ns0:c r="W258" s="21" t="inlineStr">
        <ns0:is>
          <ns0:t>Not reported in assessed sources</ns0:t>
        </ns0:is>
      </ns0:c>
      <ns0:c r="X258" s="21" t="inlineStr">
        <ns0:is>
          <ns0:t>Not reported in assessed sources</ns0:t>
        </ns0:is>
      </ns0:c>
      <ns0:c r="Y258" s="21" t="inlineStr">
        <ns0:is>
          <ns0:t>Not ascertainable</ns0:t>
        </ns0:is>
      </ns0:c>
      <ns0:c r="Z258" s="21" t="inlineStr">
        <ns0:is>
          <ns0:t>Not reported in assessed sources</ns0:t>
        </ns0:is>
      </ns0:c>
      <ns0:c r="AA258" s="21" t="inlineStr">
        <ns0:is>
          <ns0:t>Not recorded</ns0:t>
        </ns0:is>
      </ns0:c>
      <ns0:c r="AB258" s="28" t="n">
        <ns0:v>0</ns0:v>
      </ns0:c>
      <ns0:c r="AC258" s="28" t="n">
        <ns0:v>0</ns0:v>
      </ns0:c>
      <ns0:c r="AD258" s="29">
        <ns0:f>IF(AND(G258=1,AB258=0),1,0)</ns0:f>
        <ns0:v>1</ns0:v>
      </ns0:c>
      <ns0:c r="AE258" s="29">
        <ns0:f>IF(AND(AD258=1,AC258=0),1,0)</ns0:f>
        <ns0:v>1</ns0:v>
      </ns0:c>
      <ns0:c r="AF258" s="29">
        <ns0:f>IF(AND(G258=1,H258&lt;&gt;"Not specified"),1,0)</ns0:f>
        <ns0:v>1</ns0:v>
      </ns0:c>
      <ns0:c r="AG258" s="29">
        <ns0:f>IF(AND(AE258=1,AF258=1),1,0)</ns0:f>
        <ns0:v>1</ns0:v>
      </ns0:c>
      <ns0:c r="AH258" s="21" t="inlineStr">
        <ns0:is>
          <ns0:t>Supplied abstract/coding notes; no new full-text verification</ns0:t>
        </ns0:is>
      </ns0:c>
      <ns0:c r="AI258" s="21" t="inlineStr">
        <ns0:is>
          <ns0:t>https://doi.org/10.1016/j.eswa.2014.05.011</ns0:t>
        </ns0:is>
      </ns0:c>
      <ns0:c r="AJ258" s="21" t="inlineStr">
        <ns0:is>
          <ns0:t>EVIDENCIA; original abstract/coding notes and lot source trace; Historical signals: title/abstract/notes; full-text completion not independently established</ns0:t>
        </ns0:is>
      </ns0:c>
      <ns0:c r="AK258" s="21" t="inlineStr">
        <ns0:is>
          <ns0:t>Accelerometer-based stereotypy detection with situation-aware event reporting; hospital-deployed prototype explicitly tested, but classifier architecture unspecified.
Hospital prototype evaluation established; effect on clinician decisions not quantified in available abstract.</ns0:t>
        </ns0:is>
      </ns0:c>
      <ns0:c r="AL258" s="21" t="inlineStr">
        <ns0:is>
          <ns0:t>Not applicable</ns0:t>
        </ns0:is>
      </ns0:c>
      <ns0:c r="AM258" s="21" t="inlineStr">
        <ns0:is>
          <ns0:t>Not separately specified</ns0:t>
        </ns0:is>
      </ns0:c>
      <ns0:c r="AN258" s="21" t="inlineStr"/>
      <ns0:c r="AO258" s="21" t="inlineStr">
        <ns0:is>
          <ns0:t>No additional status determination</ns0:t>
        </ns0:is>
      </ns0:c>
      <ns0:c r="AP258" s="21" t="inlineStr">
        <ns0:is>
          <ns0:t>Not documented for this recharting</ns0:t>
        </ns0:is>
      </ns0:c>
      <ns0:c r="AQ258" s="21" t="inlineStr">
        <ns0:is>
          <ns0:t>ChatGPT-assisted evidence recharting, 2026-09-08</ns0:t>
        </ns0:is>
      </ns0:c>
      <ns0:c r="AR258" s="21" t="inlineStr">
        <ns0:is>
          <ns0:t>RA</ns0:t>
        </ns0:is>
      </ns0:c>
      <ns0:c r="AS258" s="21" t="inlineStr">
        <ns0:is>
          <ns0:t>Not recorded; historical inclusion retained</ns0:t>
        </ns0:is>
      </ns0:c>
    </ns0:row>
    <ns0:row r="259" ht="50" customHeight="1">
      <ns0:c r="A259" s="19" t="inlineStr">
        <ns0:is>
          <ns0:t>277</ns0:t>
        </ns0:is>
      </ns0:c>
      <ns0:c r="B259" s="19" t="inlineStr">
        <ns0:is>
          <ns0:t>Historical</ns0:t>
        </ns0:is>
      </ns0:c>
      <ns0:c r="C259" s="19" t="inlineStr">
        <ns0:is>
          <ns0:t>Accurate corresponding fiber tract segmentation via FiberGeoMap learner with application to autism</ns0:t>
        </ns0:is>
      </ns0:c>
      <ns0:c r="D259" s="19" t="inlineStr">
        <ns0:is>
          <ns0:t>10.1093/cercor/bhad125</ns0:t>
        </ns0:is>
      </ns0:c>
      <ns0:c r="E259" s="26" t="n">
        <ns0:v>2023</ns0:v>
      </ns0:c>
      <ns0:c r="F259" s="19" t="inlineStr">
        <ns0:is>
          <ns0:t>Include</ns0:t>
        </ns0:is>
      </ns0:c>
      <ns0:c r="G259" s="27">
        <ns0:f>IF(F259="Include",1,0)</ns0:f>
        <ns0:v>1</ns0:v>
      </ns0:c>
      <ns0:c r="H259" s="19" t="inlineStr">
        <ns0:is>
          <ns0:t>Not specified</ns0:t>
        </ns0:is>
      </ns0:c>
      <ns0:c r="I259" s="19" t="inlineStr">
        <ns0:is>
          <ns0:t>Deep Learning</ns0:t>
        </ns0:is>
      </ns0:c>
      <ns0:c r="J259" s="19" t="inlineStr">
        <ns0:is>
          <ns0:t>Neuroimaging</ns0:t>
        </ns0:is>
      </ns0:c>
      <ns0:c r="K259" s="19" t="inlineStr">
        <ns0:is>
          <ns0:t>Transformer</ns0:t>
        </ns0:is>
      </ns0:c>
      <ns0:c r="L259" s="19" t="inlineStr">
        <ns0:is>
          <ns0:t>Transformer</ns0:t>
        </ns0:is>
      </ns0:c>
      <ns0:c r="M259" s="19" t="inlineStr">
        <ns0:is>
          <ns0:t>Research only</ns0:t>
        </ns0:is>
      </ns0:c>
      <ns0:c r="N259" s="19" t="inlineStr">
        <ns0:is>
          <ns0:t>Automated measurement/classification</ns0:t>
        </ns0:is>
      </ns0:c>
      <ns0:c r="O259" s="19" t="inlineStr">
        <ns0:is>
          <ns0:t>Not observed in assessed sources</ns0:t>
        </ns0:is>
      </ns0:c>
      <ns0:c r="P259" s="19" t="inlineStr">
        <ns0:is>
          <ns0:t>Not observed in assessed sources</ns0:t>
        </ns0:is>
      </ns0:c>
      <ns0:c r="Q259" s="19" t="inlineStr">
        <ns0:is>
          <ns0:t>Not reported in assessed sources</ns0:t>
        </ns0:is>
      </ns0:c>
      <ns0:c r="R259" s="19" t="inlineStr">
        <ns0:is>
          <ns0:t>Not reported in assessed sources</ns0:t>
        </ns0:is>
      </ns0:c>
      <ns0:c r="S259" s="19" t="inlineStr">
        <ns0:is>
          <ns0:t>Not reported in assessed sources</ns0:t>
        </ns0:is>
      </ns0:c>
      <ns0:c r="T259" s="19" t="inlineStr">
        <ns0:is>
          <ns0:t>Not reported in assessed sources</ns0:t>
        </ns0:is>
      </ns0:c>
      <ns0:c r="U259" s="19" t="inlineStr">
        <ns0:is>
          <ns0:t>Not reported in assessed sources</ns0:t>
        </ns0:is>
      </ns0:c>
      <ns0:c r="V259" s="19" t="inlineStr">
        <ns0:is>
          <ns0:t>Not reported in assessed sources</ns0:t>
        </ns0:is>
      </ns0:c>
      <ns0:c r="W259" s="19" t="inlineStr">
        <ns0:is>
          <ns0:t>Not reported in assessed sources</ns0:t>
        </ns0:is>
      </ns0:c>
      <ns0:c r="X259" s="19" t="inlineStr">
        <ns0:is>
          <ns0:t>Not reported in assessed sources</ns0:t>
        </ns0:is>
      </ns0:c>
      <ns0:c r="Y259" s="19" t="inlineStr">
        <ns0:is>
          <ns0:t>Not ascertainable</ns0:t>
        </ns0:is>
      </ns0:c>
      <ns0:c r="Z259" s="19" t="inlineStr">
        <ns0:is>
          <ns0:t>Not reported in assessed sources</ns0:t>
        </ns0:is>
      </ns0:c>
      <ns0:c r="AA259" s="19" t="inlineStr">
        <ns0:is>
          <ns0:t>Not recorded</ns0:t>
        </ns0:is>
      </ns0:c>
      <ns0:c r="AB259" s="26" t="n">
        <ns0:v>0</ns0:v>
      </ns0:c>
      <ns0:c r="AC259" s="26" t="n">
        <ns0:v>0</ns0:v>
      </ns0:c>
      <ns0:c r="AD259" s="27">
        <ns0:f>IF(AND(G259=1,AB259=0),1,0)</ns0:f>
        <ns0:v>1</ns0:v>
      </ns0:c>
      <ns0:c r="AE259" s="27">
        <ns0:f>IF(AND(AD259=1,AC259=0),1,0)</ns0:f>
        <ns0:v>1</ns0:v>
      </ns0:c>
      <ns0:c r="AF259" s="27">
        <ns0:f>IF(AND(G259=1,H259&lt;&gt;"Not specified"),1,0)</ns0:f>
        <ns0:v>0</ns0:v>
      </ns0:c>
      <ns0:c r="AG259" s="27">
        <ns0:f>IF(AND(AE259=1,AF259=1),1,0)</ns0:f>
        <ns0:v>0</ns0:v>
      </ns0:c>
      <ns0:c r="AH259" s="19" t="inlineStr">
        <ns0:is>
          <ns0:t>Supplied abstract/coding notes; no new full-text verification</ns0:t>
        </ns0:is>
      </ns0:c>
      <ns0:c r="AI259" s="19" t="inlineStr">
        <ns0:is>
          <ns0:t>https://doi.org/10.1093/cercor/bhad125</ns0:t>
        </ns0:is>
      </ns0:c>
      <ns0:c r="AJ259" s="19" t="inlineStr">
        <ns0:is>
          <ns0:t>EVIDENCIA; original abstract/coding notes and lot source trace; Historical signals: title/abstract/notes; full-text completion not independently established</ns0:t>
        </ns0:is>
      </ns0:c>
      <ns0:c r="AK259" s="19" t="inlineStr">
        <ns0:is>
          <ns0:t>Diffusion tract segmentation with downstream autism group comparisons; not a diagnostic classifier despite clinical research relevance.</ns0:t>
        </ns0:is>
      </ns0:c>
      <ns0:c r="AL259" s="19" t="inlineStr">
        <ns0:is>
          <ns0:t>Not applicable</ns0:t>
        </ns0:is>
      </ns0:c>
      <ns0:c r="AM259" s="19" t="inlineStr">
        <ns0:is>
          <ns0:t>Not separately specified</ns0:t>
        </ns0:is>
      </ns0:c>
      <ns0:c r="AN259" s="19" t="inlineStr"/>
      <ns0:c r="AO259" s="19" t="inlineStr">
        <ns0:is>
          <ns0:t>No additional status determination</ns0:t>
        </ns0:is>
      </ns0:c>
      <ns0:c r="AP259" s="19" t="inlineStr">
        <ns0:is>
          <ns0:t>Not documented for this recharting</ns0:t>
        </ns0:is>
      </ns0:c>
      <ns0:c r="AQ259" s="19" t="inlineStr">
        <ns0:is>
          <ns0:t>ChatGPT-assisted evidence recharting, 2026-09-08</ns0:t>
        </ns0:is>
      </ns0:c>
      <ns0:c r="AR259" s="19" t="inlineStr">
        <ns0:is>
          <ns0:t>RA</ns0:t>
        </ns0:is>
      </ns0:c>
      <ns0:c r="AS259" s="19" t="inlineStr">
        <ns0:is>
          <ns0:t>Not recorded; historical inclusion retained</ns0:t>
        </ns0:is>
      </ns0:c>
    </ns0:row>
    <ns0:row r="260" ht="50" customHeight="1">
      <ns0:c r="A260" s="21" t="inlineStr">
        <ns0:is>
          <ns0:t>278</ns0:t>
        </ns0:is>
      </ns0:c>
      <ns0:c r="B260" s="21" t="inlineStr">
        <ns0:is>
          <ns0:t>Historical</ns0:t>
        </ns0:is>
      </ns0:c>
      <ns0:c r="C260" s="21" t="inlineStr">
        <ns0:is>
          <ns0:t>Autism risk classification using placental chorionic surface vascular network features</ns0:t>
        </ns0:is>
      </ns0:c>
      <ns0:c r="D260" s="21" t="inlineStr">
        <ns0:is>
          <ns0:t>10.1186/s12911-017-0564-8</ns0:t>
        </ns0:is>
      </ns0:c>
      <ns0:c r="E260" s="28" t="n">
        <ns0:v>2017</ns0:v>
      </ns0:c>
      <ns0:c r="F260" s="21" t="inlineStr">
        <ns0:is>
          <ns0:t>Include</ns0:t>
        </ns0:is>
      </ns0:c>
      <ns0:c r="G260" s="29">
        <ns0:f>IF(F260="Include",1,0)</ns0:f>
        <ns0:v>1</ns0:v>
      </ns0:c>
      <ns0:c r="H260" s="21" t="inlineStr">
        <ns0:is>
          <ns0:t>Prescreening</ns0:t>
        </ns0:is>
      </ns0:c>
      <ns0:c r="I260" s="21" t="inlineStr">
        <ns0:is>
          <ns0:t>Machine Learning</ns0:t>
        </ns0:is>
      </ns0:c>
      <ns0:c r="J260" s="21" t="inlineStr">
        <ns0:is>
          <ns0:t>Other biomedical/digital data</ns0:t>
        </ns0:is>
      </ns0:c>
      <ns0:c r="K260" s="21" t="inlineStr">
        <ns0:is>
          <ns0:t>Random forest</ns0:t>
        </ns0:is>
      </ns0:c>
      <ns0:c r="L260" s="21" t="inlineStr">
        <ns0:is>
          <ns0:t>Random forest</ns0:t>
        </ns0:is>
      </ns0:c>
      <ns0:c r="M260" s="21" t="inlineStr">
        <ns0:is>
          <ns0:t>Research only</ns0:t>
        </ns0:is>
      </ns0:c>
      <ns0:c r="N260" s="21" t="inlineStr">
        <ns0:is>
          <ns0:t>Risk/trajectory estimation</ns0:t>
        </ns0:is>
      </ns0:c>
      <ns0:c r="O260" s="21" t="inlineStr">
        <ns0:is>
          <ns0:t>Not observed in assessed sources</ns0:t>
        </ns0:is>
      </ns0:c>
      <ns0:c r="P260" s="21" t="inlineStr">
        <ns0:is>
          <ns0:t>Not observed in assessed sources</ns0:t>
        </ns0:is>
      </ns0:c>
      <ns0:c r="Q260" s="21" t="inlineStr">
        <ns0:is>
          <ns0:t>Not reported in assessed sources</ns0:t>
        </ns0:is>
      </ns0:c>
      <ns0:c r="R260" s="21" t="inlineStr">
        <ns0:is>
          <ns0:t>Not reported in assessed sources</ns0:t>
        </ns0:is>
      </ns0:c>
      <ns0:c r="S260" s="21" t="inlineStr">
        <ns0:is>
          <ns0:t>Not reported in assessed sources</ns0:t>
        </ns0:is>
      </ns0:c>
      <ns0:c r="T260" s="21" t="inlineStr">
        <ns0:is>
          <ns0:t>Not reported in assessed sources</ns0:t>
        </ns0:is>
      </ns0:c>
      <ns0:c r="U260" s="21" t="inlineStr">
        <ns0:is>
          <ns0:t>Not reported in assessed sources</ns0:t>
        </ns0:is>
      </ns0:c>
      <ns0:c r="V260" s="21" t="inlineStr">
        <ns0:is>
          <ns0:t>Not reported in assessed sources</ns0:t>
        </ns0:is>
      </ns0:c>
      <ns0:c r="W260" s="21" t="inlineStr">
        <ns0:is>
          <ns0:t>Not reported in assessed sources</ns0:t>
        </ns0:is>
      </ns0:c>
      <ns0:c r="X260" s="21" t="inlineStr">
        <ns0:is>
          <ns0:t>Not reported in assessed sources</ns0:t>
        </ns0:is>
      </ns0:c>
      <ns0:c r="Y260" s="21" t="inlineStr">
        <ns0:is>
          <ns0:t>Not ascertainable</ns0:t>
        </ns0:is>
      </ns0:c>
      <ns0:c r="Z260" s="21" t="inlineStr">
        <ns0:is>
          <ns0:t>Not reported in assessed sources</ns0:t>
        </ns0:is>
      </ns0:c>
      <ns0:c r="AA260" s="21" t="inlineStr">
        <ns0:is>
          <ns0:t>Not recorded</ns0:t>
        </ns0:is>
      </ns0:c>
      <ns0:c r="AB260" s="28" t="n">
        <ns0:v>0</ns0:v>
      </ns0:c>
      <ns0:c r="AC260" s="28" t="n">
        <ns0:v>0</ns0:v>
      </ns0:c>
      <ns0:c r="AD260" s="29">
        <ns0:f>IF(AND(G260=1,AB260=0),1,0)</ns0:f>
        <ns0:v>1</ns0:v>
      </ns0:c>
      <ns0:c r="AE260" s="29">
        <ns0:f>IF(AND(AD260=1,AC260=0),1,0)</ns0:f>
        <ns0:v>1</ns0:v>
      </ns0:c>
      <ns0:c r="AF260" s="29">
        <ns0:f>IF(AND(G260=1,H260&lt;&gt;"Not specified"),1,0)</ns0:f>
        <ns0:v>1</ns0:v>
      </ns0:c>
      <ns0:c r="AG260" s="29">
        <ns0:f>IF(AND(AE260=1,AF260=1),1,0)</ns0:f>
        <ns0:v>1</ns0:v>
      </ns0:c>
      <ns0:c r="AH260" s="21" t="inlineStr">
        <ns0:is>
          <ns0:t>Supplied abstract/coding notes; no new full-text verification</ns0:t>
        </ns0:is>
      </ns0:c>
      <ns0:c r="AI260" s="21" t="inlineStr">
        <ns0:is>
          <ns0:t>https://doi.org/10.1186/s12911-017-0564-8</ns0:t>
        </ns0:is>
      </ns0:c>
      <ns0:c r="AJ260" s="21" t="inlineStr">
        <ns0:is>
          <ns0:t>EVIDENCIA; original abstract/coding notes and lot source trace; Historical signals: title/abstract/notes; full-text completion not independently established</ns0:t>
        </ns0:is>
      </ns0:c>
      <ns0:c r="AK260" s="21" t="inlineStr">
        <ns0:is>
          <ns0:t>Placental vascular images classify high-risk versus population cohorts; risk-group discrimination is not prediction of subsequently observed child ASD diagnosis.
Placental vascular imaging</ns0:t>
        </ns0:is>
      </ns0:c>
      <ns0:c r="AL260" s="21" t="inlineStr">
        <ns0:is>
          <ns0:t>Not applicable</ns0:t>
        </ns0:is>
      </ns0:c>
      <ns0:c r="AM260" s="21" t="inlineStr">
        <ns0:is>
          <ns0:t>High-risk cohort membership; not later child ASD outcome</ns0:t>
        </ns0:is>
      </ns0:c>
      <ns0:c r="AN260" s="21" t="inlineStr"/>
      <ns0:c r="AO260" s="21" t="inlineStr">
        <ns0:is>
          <ns0:t>No additional status determination</ns0:t>
        </ns0:is>
      </ns0:c>
      <ns0:c r="AP260" s="21" t="inlineStr">
        <ns0:is>
          <ns0:t>Not documented for this recharting</ns0:t>
        </ns0:is>
      </ns0:c>
      <ns0:c r="AQ260" s="21" t="inlineStr">
        <ns0:is>
          <ns0:t>ChatGPT-assisted evidence recharting, 2026-09-08</ns0:t>
        </ns0:is>
      </ns0:c>
      <ns0:c r="AR260" s="21" t="inlineStr">
        <ns0:is>
          <ns0:t>RA</ns0:t>
        </ns0:is>
      </ns0:c>
      <ns0:c r="AS260" s="21" t="inlineStr">
        <ns0:is>
          <ns0:t>Not recorded; historical inclusion retained</ns0:t>
        </ns0:is>
      </ns0:c>
    </ns0:row>
    <ns0:row r="261" ht="50" customHeight="1">
      <ns0:c r="A261" s="19" t="inlineStr">
        <ns0:is>
          <ns0:t>279</ns0:t>
        </ns0:is>
      </ns0:c>
      <ns0:c r="B261" s="19" t="inlineStr">
        <ns0:is>
          <ns0:t>Historical</ns0:t>
        </ns0:is>
      </ns0:c>
      <ns0:c r="C261" s="19" t="inlineStr">
        <ns0:is>
          <ns0:t>Autism spectrum disorder detection using sequential minimal optimization-support vector machine hybrid classifier according to history of jaundice and family autism in children</ns0:t>
        </ns0:is>
      </ns0:c>
      <ns0:c r="D261" s="19" t="inlineStr">
        <ns0:is>
          <ns0:t>10.1002/cpe.6498</ns0:t>
        </ns0:is>
      </ns0:c>
      <ns0:c r="E261" s="26" t="n">
        <ns0:v>2022</ns0:v>
      </ns0:c>
      <ns0:c r="F261" s="19" t="inlineStr">
        <ns0:is>
          <ns0:t>Include</ns0:t>
        </ns0:is>
      </ns0:c>
      <ns0:c r="G261" s="27">
        <ns0:f>IF(F261="Include",1,0)</ns0:f>
        <ns0:v>1</ns0:v>
      </ns0:c>
      <ns0:c r="H261" s="19" t="inlineStr">
        <ns0:is>
          <ns0:t>Diagnosis</ns0:t>
        </ns0:is>
      </ns0:c>
      <ns0:c r="I261" s="19" t="inlineStr">
        <ns0:is>
          <ns0:t>Machine Learning</ns0:t>
        </ns0:is>
      </ns0:c>
      <ns0:c r="J261" s="19" t="inlineStr">
        <ns0:is>
          <ns0:t>Structured clinical/questionnaire data</ns0:t>
        </ns0:is>
      </ns0:c>
      <ns0:c r="K261" s="19" t="inlineStr">
        <ns0:is>
          <ns0:t>SVM</ns0:t>
        </ns0:is>
      </ns0:c>
      <ns0:c r="L261" s="19" t="inlineStr">
        <ns0:is>
          <ns0:t>SVM</ns0:t>
        </ns0:is>
      </ns0:c>
      <ns0:c r="M261" s="19" t="inlineStr">
        <ns0:is>
          <ns0:t>Research only</ns0:t>
        </ns0:is>
      </ns0:c>
      <ns0:c r="N261" s="19" t="inlineStr">
        <ns0:is>
          <ns0:t>Automated measurement/classification</ns0:t>
        </ns0:is>
      </ns0:c>
      <ns0:c r="O261" s="19" t="inlineStr">
        <ns0:is>
          <ns0:t>Not observed in assessed sources</ns0:t>
        </ns0:is>
      </ns0:c>
      <ns0:c r="P261" s="19" t="inlineStr">
        <ns0:is>
          <ns0:t>Not observed in assessed sources</ns0:t>
        </ns0:is>
      </ns0:c>
      <ns0:c r="Q261" s="19" t="inlineStr">
        <ns0:is>
          <ns0:t>Not reported in assessed sources</ns0:t>
        </ns0:is>
      </ns0:c>
      <ns0:c r="R261" s="19" t="inlineStr">
        <ns0:is>
          <ns0:t>Not reported in assessed sources</ns0:t>
        </ns0:is>
      </ns0:c>
      <ns0:c r="S261" s="19" t="inlineStr">
        <ns0:is>
          <ns0:t>Not reported in assessed sources</ns0:t>
        </ns0:is>
      </ns0:c>
      <ns0:c r="T261" s="19" t="inlineStr">
        <ns0:is>
          <ns0:t>Not reported in assessed sources</ns0:t>
        </ns0:is>
      </ns0:c>
      <ns0:c r="U261" s="19" t="inlineStr">
        <ns0:is>
          <ns0:t>Not reported in assessed sources</ns0:t>
        </ns0:is>
      </ns0:c>
      <ns0:c r="V261" s="19" t="inlineStr">
        <ns0:is>
          <ns0:t>Not reported in assessed sources</ns0:t>
        </ns0:is>
      </ns0:c>
      <ns0:c r="W261" s="19" t="inlineStr">
        <ns0:is>
          <ns0:t>Not reported in assessed sources</ns0:t>
        </ns0:is>
      </ns0:c>
      <ns0:c r="X261" s="19" t="inlineStr">
        <ns0:is>
          <ns0:t>Not reported in assessed sources</ns0:t>
        </ns0:is>
      </ns0:c>
      <ns0:c r="Y261" s="19" t="inlineStr">
        <ns0:is>
          <ns0:t>Not ascertainable</ns0:t>
        </ns0:is>
      </ns0:c>
      <ns0:c r="Z261" s="19" t="inlineStr">
        <ns0:is>
          <ns0:t>Not reported in assessed sources</ns0:t>
        </ns0:is>
      </ns0:c>
      <ns0:c r="AA261" s="19" t="inlineStr">
        <ns0:is>
          <ns0:t>Not recorded</ns0:t>
        </ns0:is>
      </ns0:c>
      <ns0:c r="AB261" s="26" t="n">
        <ns0:v>0</ns0:v>
      </ns0:c>
      <ns0:c r="AC261" s="26" t="n">
        <ns0:v>0</ns0:v>
      </ns0:c>
      <ns0:c r="AD261" s="27">
        <ns0:f>IF(AND(G261=1,AB261=0),1,0)</ns0:f>
        <ns0:v>1</ns0:v>
      </ns0:c>
      <ns0:c r="AE261" s="27">
        <ns0:f>IF(AND(AD261=1,AC261=0),1,0)</ns0:f>
        <ns0:v>1</ns0:v>
      </ns0:c>
      <ns0:c r="AF261" s="27">
        <ns0:f>IF(AND(G261=1,H261&lt;&gt;"Not specified"),1,0)</ns0:f>
        <ns0:v>1</ns0:v>
      </ns0:c>
      <ns0:c r="AG261" s="27">
        <ns0:f>IF(AND(AE261=1,AF261=1),1,0)</ns0:f>
        <ns0:v>1</ns0:v>
      </ns0:c>
      <ns0:c r="AH261" s="19" t="inlineStr">
        <ns0:is>
          <ns0:t>Supplied abstract/coding notes; no new full-text verification</ns0:t>
        </ns0:is>
      </ns0:c>
      <ns0:c r="AI261" s="19" t="inlineStr">
        <ns0:is>
          <ns0:t>https://doi.org/10.1002/cpe.6498</ns0:t>
        </ns0:is>
      </ns0:c>
      <ns0:c r="AJ261" s="19" t="inlineStr">
        <ns0:is>
          <ns0:t>EVIDENCIA; original abstract/coding notes and lot source trace; Historical signals: title/abstract/notes; full-text completion not independently established</ns0:t>
        </ns0:is>
      </ns0:c>
      <ns0:c r="AK261" s="19" t="inlineStr">
        <ns0:is>
          <ns0:t>Digitized clinical/questionnaire history with SMO-trained SVM; optimization does not make an ML/DL hybrid.</ns0:t>
        </ns0:is>
      </ns0:c>
      <ns0:c r="AL261" s="19" t="inlineStr">
        <ns0:is>
          <ns0:t>Not applicable</ns0:t>
        </ns0:is>
      </ns0:c>
      <ns0:c r="AM261" s="19" t="inlineStr">
        <ns0:is>
          <ns0:t>Not separately specified</ns0:t>
        </ns0:is>
      </ns0:c>
      <ns0:c r="AN261" s="19" t="inlineStr"/>
      <ns0:c r="AO261" s="19" t="inlineStr">
        <ns0:is>
          <ns0:t>No additional status determination</ns0:t>
        </ns0:is>
      </ns0:c>
      <ns0:c r="AP261" s="19" t="inlineStr">
        <ns0:is>
          <ns0:t>Not documented for this recharting</ns0:t>
        </ns0:is>
      </ns0:c>
      <ns0:c r="AQ261" s="19" t="inlineStr">
        <ns0:is>
          <ns0:t>ChatGPT-assisted evidence recharting, 2026-09-08</ns0:t>
        </ns0:is>
      </ns0:c>
      <ns0:c r="AR261" s="19" t="inlineStr">
        <ns0:is>
          <ns0:t>RA</ns0:t>
        </ns0:is>
      </ns0:c>
      <ns0:c r="AS261" s="19" t="inlineStr">
        <ns0:is>
          <ns0:t>Not recorded; historical inclusion retained</ns0:t>
        </ns0:is>
      </ns0:c>
    </ns0:row>
    <ns0:row r="262" ht="50" customHeight="1">
      <ns0:c r="A262" s="21" t="inlineStr">
        <ns0:is>
          <ns0:t>280</ns0:t>
        </ns0:is>
      </ns0:c>
      <ns0:c r="B262" s="21" t="inlineStr">
        <ns0:is>
          <ns0:t>Historical</ns0:t>
        </ns0:is>
      </ns0:c>
      <ns0:c r="C262" s="21" t="inlineStr">
        <ns0:is>
          <ns0:t>Classification of autism based on short-term spontaneous hemodynamic fluctuations using an adaptive graph neural network</ns0:t>
        </ns0:is>
      </ns0:c>
      <ns0:c r="D262" s="21" t="inlineStr">
        <ns0:is>
          <ns0:t>10.1016/j.jneumeth.2023.109901</ns0:t>
        </ns0:is>
      </ns0:c>
      <ns0:c r="E262" s="28" t="n">
        <ns0:v>2023</ns0:v>
      </ns0:c>
      <ns0:c r="F262" s="21" t="inlineStr">
        <ns0:is>
          <ns0:t>Include</ns0:t>
        </ns0:is>
      </ns0:c>
      <ns0:c r="G262" s="29">
        <ns0:f>IF(F262="Include",1,0)</ns0:f>
        <ns0:v>1</ns0:v>
      </ns0:c>
      <ns0:c r="H262" s="21" t="inlineStr">
        <ns0:is>
          <ns0:t>Diagnosis</ns0:t>
        </ns0:is>
      </ns0:c>
      <ns0:c r="I262" s="21" t="inlineStr">
        <ns0:is>
          <ns0:t>Deep Learning</ns0:t>
        </ns0:is>
      </ns0:c>
      <ns0:c r="J262" s="21" t="inlineStr">
        <ns0:is>
          <ns0:t>Physiological signals</ns0:t>
        </ns0:is>
      </ns0:c>
      <ns0:c r="K262" s="21" t="inlineStr">
        <ns0:is>
          <ns0:t>Graph neural network</ns0:t>
        </ns0:is>
      </ns0:c>
      <ns0:c r="L262" s="21" t="inlineStr">
        <ns0:is>
          <ns0:t>GNN</ns0:t>
        </ns0:is>
      </ns0:c>
      <ns0:c r="M262" s="21" t="inlineStr">
        <ns0:is>
          <ns0:t>Research only</ns0:t>
        </ns0:is>
      </ns0:c>
      <ns0:c r="N262" s="21" t="inlineStr">
        <ns0:is>
          <ns0:t>Automated measurement/classification</ns0:t>
        </ns0:is>
      </ns0:c>
      <ns0:c r="O262" s="21" t="inlineStr">
        <ns0:is>
          <ns0:t>Not observed in assessed sources</ns0:t>
        </ns0:is>
      </ns0:c>
      <ns0:c r="P262" s="21" t="inlineStr">
        <ns0:is>
          <ns0:t>Not observed in assessed sources</ns0:t>
        </ns0:is>
      </ns0:c>
      <ns0:c r="Q262" s="21" t="inlineStr">
        <ns0:is>
          <ns0:t>Not reported in assessed sources</ns0:t>
        </ns0:is>
      </ns0:c>
      <ns0:c r="R262" s="21" t="inlineStr">
        <ns0:is>
          <ns0:t>Not reported in assessed sources</ns0:t>
        </ns0:is>
      </ns0:c>
      <ns0:c r="S262" s="21" t="inlineStr">
        <ns0:is>
          <ns0:t>Not reported in assessed sources</ns0:t>
        </ns0:is>
      </ns0:c>
      <ns0:c r="T262" s="21" t="inlineStr">
        <ns0:is>
          <ns0:t>Not reported in assessed sources</ns0:t>
        </ns0:is>
      </ns0:c>
      <ns0:c r="U262" s="21" t="inlineStr">
        <ns0:is>
          <ns0:t>Not reported in assessed sources</ns0:t>
        </ns0:is>
      </ns0:c>
      <ns0:c r="V262" s="21" t="inlineStr">
        <ns0:is>
          <ns0:t>Not reported in assessed sources</ns0:t>
        </ns0:is>
      </ns0:c>
      <ns0:c r="W262" s="21" t="inlineStr">
        <ns0:is>
          <ns0:t>Not reported in assessed sources</ns0:t>
        </ns0:is>
      </ns0:c>
      <ns0:c r="X262" s="21" t="inlineStr">
        <ns0:is>
          <ns0:t>Not reported in assessed sources</ns0:t>
        </ns0:is>
      </ns0:c>
      <ns0:c r="Y262" s="21" t="inlineStr">
        <ns0:is>
          <ns0:t>Not ascertainable</ns0:t>
        </ns0:is>
      </ns0:c>
      <ns0:c r="Z262" s="21" t="inlineStr">
        <ns0:is>
          <ns0:t>Not reported in assessed sources</ns0:t>
        </ns0:is>
      </ns0:c>
      <ns0:c r="AA262" s="21" t="inlineStr">
        <ns0:is>
          <ns0:t>Not recorded</ns0:t>
        </ns0:is>
      </ns0:c>
      <ns0:c r="AB262" s="28" t="n">
        <ns0:v>0</ns0:v>
      </ns0:c>
      <ns0:c r="AC262" s="28" t="n">
        <ns0:v>0</ns0:v>
      </ns0:c>
      <ns0:c r="AD262" s="29">
        <ns0:f>IF(AND(G262=1,AB262=0),1,0)</ns0:f>
        <ns0:v>1</ns0:v>
      </ns0:c>
      <ns0:c r="AE262" s="29">
        <ns0:f>IF(AND(AD262=1,AC262=0),1,0)</ns0:f>
        <ns0:v>1</ns0:v>
      </ns0:c>
      <ns0:c r="AF262" s="29">
        <ns0:f>IF(AND(G262=1,H262&lt;&gt;"Not specified"),1,0)</ns0:f>
        <ns0:v>1</ns0:v>
      </ns0:c>
      <ns0:c r="AG262" s="29">
        <ns0:f>IF(AND(AE262=1,AF262=1),1,0)</ns0:f>
        <ns0:v>1</ns0:v>
      </ns0:c>
      <ns0:c r="AH262" s="21" t="inlineStr">
        <ns0:is>
          <ns0:t>Supplied abstract/coding notes; no new full-text verification</ns0:t>
        </ns0:is>
      </ns0:c>
      <ns0:c r="AI262" s="21" t="inlineStr">
        <ns0:is>
          <ns0:t>https://doi.org/10.1016/j.jneumeth.2023.109901</ns0:t>
        </ns0:is>
      </ns0:c>
      <ns0:c r="AJ262" s="21" t="inlineStr">
        <ns0:is>
          <ns0:t>EVIDENCIA; original abstract/coding notes and lot source trace; Historical signals: title/abstract/notes; full-text completion not independently established</ns0:t>
        </ns0:is>
      </ns0:c>
      <ns0:c r="AK262" s="21" t="inlineStr">
        <ns0:is>
          <ns0:t>Single fNIRS source with temporal and graph convolution; multiple channels do not establish multisource data.</ns0:t>
        </ns0:is>
      </ns0:c>
      <ns0:c r="AL262" s="21" t="inlineStr">
        <ns0:is>
          <ns0:t>Not applicable</ns0:t>
        </ns0:is>
      </ns0:c>
      <ns0:c r="AM262" s="21" t="inlineStr">
        <ns0:is>
          <ns0:t>Not separately specified</ns0:t>
        </ns0:is>
      </ns0:c>
      <ns0:c r="AN262" s="21" t="inlineStr"/>
      <ns0:c r="AO262" s="21" t="inlineStr">
        <ns0:is>
          <ns0:t>No additional status determination</ns0:t>
        </ns0:is>
      </ns0:c>
      <ns0:c r="AP262" s="21" t="inlineStr">
        <ns0:is>
          <ns0:t>Not documented for this recharting</ns0:t>
        </ns0:is>
      </ns0:c>
      <ns0:c r="AQ262" s="21" t="inlineStr">
        <ns0:is>
          <ns0:t>ChatGPT-assisted evidence recharting, 2026-09-08</ns0:t>
        </ns0:is>
      </ns0:c>
      <ns0:c r="AR262" s="21" t="inlineStr">
        <ns0:is>
          <ns0:t>RA</ns0:t>
        </ns0:is>
      </ns0:c>
      <ns0:c r="AS262" s="21" t="inlineStr">
        <ns0:is>
          <ns0:t>Not recorded; historical inclusion retained</ns0:t>
        </ns0:is>
      </ns0:c>
    </ns0:row>
    <ns0:row r="263" ht="50" customHeight="1">
      <ns0:c r="A263" s="19" t="inlineStr">
        <ns0:is>
          <ns0:t>281</ns0:t>
        </ns0:is>
      </ns0:c>
      <ns0:c r="B263" s="19" t="inlineStr">
        <ns0:is>
          <ns0:t>Historical</ns0:t>
        </ns0:is>
      </ns0:c>
      <ns0:c r="C263" s="19" t="inlineStr">
        <ns0:is>
          <ns0:t>Deep Mobile Linguistic Therapy for Patients with ASD</ns0:t>
        </ns0:is>
      </ns0:c>
      <ns0:c r="D263" s="19" t="inlineStr">
        <ns0:is>
          <ns0:t>10.3390/ijerph191912857</ns0:t>
        </ns0:is>
      </ns0:c>
      <ns0:c r="E263" s="26" t="n">
        <ns0:v>2022</ns0:v>
      </ns0:c>
      <ns0:c r="F263" s="19" t="inlineStr">
        <ns0:is>
          <ns0:t>Include</ns0:t>
        </ns0:is>
      </ns0:c>
      <ns0:c r="G263" s="27">
        <ns0:f>IF(F263="Include",1,0)</ns0:f>
        <ns0:v>1</ns0:v>
      </ns0:c>
      <ns0:c r="H263" s="19" t="inlineStr">
        <ns0:is>
          <ns0:t>Monitoring/intervention</ns0:t>
        </ns0:is>
      </ns0:c>
      <ns0:c r="I263" s="19" t="inlineStr">
        <ns0:is>
          <ns0:t>Deep Learning</ns0:t>
        </ns0:is>
      </ns0:c>
      <ns0:c r="J263" s="19" t="inlineStr">
        <ns0:is>
          <ns0:t>Multiple source categories</ns0:t>
        </ns0:is>
      </ns0:c>
      <ns0:c r="K263" s="19" t="inlineStr">
        <ns0:is>
          <ns0:t>CNN / NLP components</ns0:t>
        </ns0:is>
      </ns0:c>
      <ns0:c r="L263" s="19" t="inlineStr">
        <ns0:is>
          <ns0:t>CNN</ns0:t>
        </ns0:is>
      </ns0:c>
      <ns0:c r="M263" s="19" t="inlineStr">
        <ns0:is>
          <ns0:t>Proposed only</ns0:t>
        </ns0:is>
      </ns0:c>
      <ns0:c r="N263" s="19" t="inlineStr">
        <ns0:is>
          <ns0:t>Adaptive intervention</ns0:t>
        </ns0:is>
      </ns0:c>
      <ns0:c r="O263" s="19" t="inlineStr">
        <ns0:is>
          <ns0:t>Post-decision</ns0:t>
        </ns0:is>
      </ns0:c>
      <ns0:c r="P263" s="19" t="inlineStr">
        <ns0:is>
          <ns0:t>Not observed in assessed sources</ns0:t>
        </ns0:is>
      </ns0:c>
      <ns0:c r="Q263" s="19" t="inlineStr">
        <ns0:is>
          <ns0:t>Not reported in assessed sources</ns0:t>
        </ns0:is>
      </ns0:c>
      <ns0:c r="R263" s="19" t="inlineStr">
        <ns0:is>
          <ns0:t>Reported</ns0:t>
        </ns0:is>
      </ns0:c>
      <ns0:c r="S263" s="19" t="inlineStr">
        <ns0:is>
          <ns0:t>Not reported in assessed sources</ns0:t>
        </ns0:is>
      </ns0:c>
      <ns0:c r="T263" s="19" t="inlineStr">
        <ns0:is>
          <ns0:t>Not reported in assessed sources</ns0:t>
        </ns0:is>
      </ns0:c>
      <ns0:c r="U263" s="19" t="inlineStr">
        <ns0:is>
          <ns0:t>Not reported in assessed sources</ns0:t>
        </ns0:is>
      </ns0:c>
      <ns0:c r="V263" s="19" t="inlineStr">
        <ns0:is>
          <ns0:t>Not reported in assessed sources</ns0:t>
        </ns0:is>
      </ns0:c>
      <ns0:c r="W263" s="19" t="inlineStr">
        <ns0:is>
          <ns0:t>Reported</ns0:t>
        </ns0:is>
      </ns0:c>
      <ns0:c r="X263" s="19" t="inlineStr">
        <ns0:is>
          <ns0:t>Not reported in assessed sources</ns0:t>
        </ns0:is>
      </ns0:c>
      <ns0:c r="Y263" s="19" t="inlineStr">
        <ns0:is>
          <ns0:t>Not ascertainable</ns0:t>
        </ns0:is>
      </ns0:c>
      <ns0:c r="Z263" s="19" t="inlineStr">
        <ns0:is>
          <ns0:t>Not reported in assessed sources</ns0:t>
        </ns0:is>
      </ns0:c>
      <ns0:c r="AA263" s="19" t="inlineStr">
        <ns0:is>
          <ns0:t>Not recorded</ns0:t>
        </ns0:is>
      </ns0:c>
      <ns0:c r="AB263" s="26" t="n">
        <ns0:v>0</ns0:v>
      </ns0:c>
      <ns0:c r="AC263" s="26" t="n">
        <ns0:v>0</ns0:v>
      </ns0:c>
      <ns0:c r="AD263" s="27">
        <ns0:f>IF(AND(G263=1,AB263=0),1,0)</ns0:f>
        <ns0:v>1</ns0:v>
      </ns0:c>
      <ns0:c r="AE263" s="27">
        <ns0:f>IF(AND(AD263=1,AC263=0),1,0)</ns0:f>
        <ns0:v>1</ns0:v>
      </ns0:c>
      <ns0:c r="AF263" s="27">
        <ns0:f>IF(AND(G263=1,H263&lt;&gt;"Not specified"),1,0)</ns0:f>
        <ns0:v>1</ns0:v>
      </ns0:c>
      <ns0:c r="AG263" s="27">
        <ns0:f>IF(AND(AE263=1,AF263=1),1,0)</ns0:f>
        <ns0:v>1</ns0:v>
      </ns0:c>
      <ns0:c r="AH263" s="19" t="inlineStr">
        <ns0:is>
          <ns0:t>Supplied abstract/coding notes; no new full-text verification</ns0:t>
        </ns0:is>
      </ns0:c>
      <ns0:c r="AI263" s="19" t="inlineStr">
        <ns0:is>
          <ns0:t>https://doi.org/10.3390/ijerph191912857</ns0:t>
        </ns0:is>
      </ns0:c>
      <ns0:c r="AJ263" s="19" t="inlineStr">
        <ns0:is>
          <ns0:t>EVIDENCIA; original abstract/coding notes and lot source trace; Historical signals: title/abstract/notes; full-text completion not independently established</ns0:t>
        </ns0:is>
      </ns0:c>
      <ns0:c r="AK263" s="19" t="inlineStr">
        <ns0:is>
          <ns0:t>Mobile linguistic-therapy architecture combines image and language components; available abstract reports a software proposal, not a clinical treatment trial.</ns0:t>
        </ns0:is>
      </ns0:c>
      <ns0:c r="AL263" s="19" t="inlineStr">
        <ns0:is>
          <ns0:t>Not applicable</ns0:t>
        </ns0:is>
      </ns0:c>
      <ns0:c r="AM263" s="19" t="inlineStr">
        <ns0:is>
          <ns0:t>Not separately specified</ns0:t>
        </ns0:is>
      </ns0:c>
      <ns0:c r="AN263" s="19" t="inlineStr"/>
      <ns0:c r="AO263" s="19" t="inlineStr">
        <ns0:is>
          <ns0:t>No additional status determination</ns0:t>
        </ns0:is>
      </ns0:c>
      <ns0:c r="AP263" s="19" t="inlineStr">
        <ns0:is>
          <ns0:t>Not documented for this recharting</ns0:t>
        </ns0:is>
      </ns0:c>
      <ns0:c r="AQ263" s="19" t="inlineStr">
        <ns0:is>
          <ns0:t>ChatGPT-assisted evidence recharting, 2026-09-08</ns0:t>
        </ns0:is>
      </ns0:c>
      <ns0:c r="AR263" s="19" t="inlineStr">
        <ns0:is>
          <ns0:t>RA</ns0:t>
        </ns0:is>
      </ns0:c>
      <ns0:c r="AS263" s="19" t="inlineStr">
        <ns0:is>
          <ns0:t>Not recorded; historical inclusion retained</ns0:t>
        </ns0:is>
      </ns0:c>
    </ns0:row>
    <ns0:row r="264" ht="50" customHeight="1">
      <ns0:c r="A264" s="21" t="inlineStr">
        <ns0:is>
          <ns0:t>282</ns0:t>
        </ns0:is>
      </ns0:c>
      <ns0:c r="B264" s="21" t="inlineStr">
        <ns0:is>
          <ns0:t>Historical</ns0:t>
        </ns0:is>
      </ns0:c>
      <ns0:c r="C264" s="21" t="inlineStr">
        <ns0:is>
          <ns0:t>DeepASDPred: a CNN-LSTM-based deep learning method for Autism spectrum disorders risk RNA identification</ns0:t>
        </ns0:is>
      </ns0:c>
      <ns0:c r="D264" s="21" t="inlineStr">
        <ns0:is>
          <ns0:t>10.1186/s12859-023-05378-x</ns0:t>
        </ns0:is>
      </ns0:c>
      <ns0:c r="E264" s="28" t="n">
        <ns0:v>2023</ns0:v>
      </ns0:c>
      <ns0:c r="F264" s="21" t="inlineStr">
        <ns0:is>
          <ns0:t>Include</ns0:t>
        </ns0:is>
      </ns0:c>
      <ns0:c r="G264" s="29">
        <ns0:f>IF(F264="Include",1,0)</ns0:f>
        <ns0:v>1</ns0:v>
      </ns0:c>
      <ns0:c r="H264" s="21" t="inlineStr">
        <ns0:is>
          <ns0:t>Not specified</ns0:t>
        </ns0:is>
      </ns0:c>
      <ns0:c r="I264" s="21" t="inlineStr">
        <ns0:is>
          <ns0:t>Deep Learning</ns0:t>
        </ns0:is>
      </ns0:c>
      <ns0:c r="J264" s="21" t="inlineStr">
        <ns0:is>
          <ns0:t>Biological/omics</ns0:t>
        </ns0:is>
      </ns0:c>
      <ns0:c r="K264" s="21" t="inlineStr">
        <ns0:is>
          <ns0:t>CNN + LSTM</ns0:t>
        </ns0:is>
      </ns0:c>
      <ns0:c r="L264" s="21" t="inlineStr">
        <ns0:is>
          <ns0:t>Composite/ensemble pipeline</ns0:t>
        </ns0:is>
      </ns0:c>
      <ns0:c r="M264" s="21" t="inlineStr">
        <ns0:is>
          <ns0:t>Research only</ns0:t>
        </ns0:is>
      </ns0:c>
      <ns0:c r="N264" s="21" t="inlineStr">
        <ns0:is>
          <ns0:t>Research characterization</ns0:t>
        </ns0:is>
      </ns0:c>
      <ns0:c r="O264" s="21" t="inlineStr">
        <ns0:is>
          <ns0:t>Not observed in assessed sources</ns0:t>
        </ns0:is>
      </ns0:c>
      <ns0:c r="P264" s="21" t="inlineStr">
        <ns0:is>
          <ns0:t>Not observed in assessed sources</ns0:t>
        </ns0:is>
      </ns0:c>
      <ns0:c r="Q264" s="21" t="inlineStr">
        <ns0:is>
          <ns0:t>Not reported in assessed sources</ns0:t>
        </ns0:is>
      </ns0:c>
      <ns0:c r="R264" s="21" t="inlineStr">
        <ns0:is>
          <ns0:t>Reported</ns0:t>
        </ns0:is>
      </ns0:c>
      <ns0:c r="S264" s="21" t="inlineStr">
        <ns0:is>
          <ns0:t>Not reported in assessed sources</ns0:t>
        </ns0:is>
      </ns0:c>
      <ns0:c r="T264" s="21" t="inlineStr">
        <ns0:is>
          <ns0:t>Not reported in assessed sources</ns0:t>
        </ns0:is>
      </ns0:c>
      <ns0:c r="U264" s="21" t="inlineStr">
        <ns0:is>
          <ns0:t>Not reported in assessed sources</ns0:t>
        </ns0:is>
      </ns0:c>
      <ns0:c r="V264" s="21" t="inlineStr">
        <ns0:is>
          <ns0:t>Not reported in assessed sources</ns0:t>
        </ns0:is>
      </ns0:c>
      <ns0:c r="W264" s="21" t="inlineStr">
        <ns0:is>
          <ns0:t>Reported</ns0:t>
        </ns0:is>
      </ns0:c>
      <ns0:c r="X264" s="21" t="inlineStr">
        <ns0:is>
          <ns0:t>Not reported in assessed sources</ns0:t>
        </ns0:is>
      </ns0:c>
      <ns0:c r="Y264" s="21" t="inlineStr">
        <ns0:is>
          <ns0:t>Not ascertainable</ns0:t>
        </ns0:is>
      </ns0:c>
      <ns0:c r="Z264" s="21" t="inlineStr">
        <ns0:is>
          <ns0:t>Not reported in assessed sources</ns0:t>
        </ns0:is>
      </ns0:c>
      <ns0:c r="AA264" s="21" t="inlineStr">
        <ns0:is>
          <ns0:t>Not recorded</ns0:t>
        </ns0:is>
      </ns0:c>
      <ns0:c r="AB264" s="28" t="n">
        <ns0:v>0</ns0:v>
      </ns0:c>
      <ns0:c r="AC264" s="28" t="n">
        <ns0:v>0</ns0:v>
      </ns0:c>
      <ns0:c r="AD264" s="29">
        <ns0:f>IF(AND(G264=1,AB264=0),1,0)</ns0:f>
        <ns0:v>1</ns0:v>
      </ns0:c>
      <ns0:c r="AE264" s="29">
        <ns0:f>IF(AND(AD264=1,AC264=0),1,0)</ns0:f>
        <ns0:v>1</ns0:v>
      </ns0:c>
      <ns0:c r="AF264" s="29">
        <ns0:f>IF(AND(G264=1,H264&lt;&gt;"Not specified"),1,0)</ns0:f>
        <ns0:v>0</ns0:v>
      </ns0:c>
      <ns0:c r="AG264" s="29">
        <ns0:f>IF(AND(AE264=1,AF264=1),1,0)</ns0:f>
        <ns0:v>0</ns0:v>
      </ns0:c>
      <ns0:c r="AH264" s="21" t="inlineStr">
        <ns0:is>
          <ns0:t>Supplied abstract/coding notes; no new full-text verification</ns0:t>
        </ns0:is>
      </ns0:c>
      <ns0:c r="AI264" s="21" t="inlineStr">
        <ns0:is>
          <ns0:t>https://doi.org/10.1186/s12859-023-05378-x</ns0:t>
        </ns0:is>
      </ns0:c>
      <ns0:c r="AJ264" s="21" t="inlineStr">
        <ns0:is>
          <ns0:t>EVIDENCIA; original abstract/coding notes and lot source trace; Historical signals: title/abstract/notes; full-text completion not independently established</ns0:t>
        </ns0:is>
      </ns0:c>
      <ns0:c r="AK264" s="21" t="inlineStr">
        <ns0:is>
          <ns0:t>RNA sequence and expression fusion for gene-level risk classification. CNN and LSTM are both deep learning; logistic feature selection does not establish a mixed clinical classifier.</ns0:t>
        </ns0:is>
      </ns0:c>
      <ns0:c r="AL264" s="21" t="inlineStr">
        <ns0:is>
          <ns0:t>Not applicable</ns0:t>
        </ns0:is>
      </ns0:c>
      <ns0:c r="AM264" s="21" t="inlineStr">
        <ns0:is>
          <ns0:t>Molecular-feature prioritization; not patient-level prediction</ns0:t>
        </ns0:is>
      </ns0:c>
      <ns0:c r="AN264" s="21" t="inlineStr"/>
      <ns0:c r="AO264" s="21" t="inlineStr">
        <ns0:is>
          <ns0:t>No additional status determination</ns0:t>
        </ns0:is>
      </ns0:c>
      <ns0:c r="AP264" s="21" t="inlineStr">
        <ns0:is>
          <ns0:t>Not documented for this recharting</ns0:t>
        </ns0:is>
      </ns0:c>
      <ns0:c r="AQ264" s="21" t="inlineStr">
        <ns0:is>
          <ns0:t>ChatGPT-assisted evidence recharting, 2026-09-08</ns0:t>
        </ns0:is>
      </ns0:c>
      <ns0:c r="AR264" s="21" t="inlineStr">
        <ns0:is>
          <ns0:t>RA</ns0:t>
        </ns0:is>
      </ns0:c>
      <ns0:c r="AS264" s="21" t="inlineStr">
        <ns0:is>
          <ns0:t>Not recorded; historical inclusion retained</ns0:t>
        </ns0:is>
      </ns0:c>
    </ns0:row>
    <ns0:row r="265" ht="50" customHeight="1">
      <ns0:c r="A265" s="19" t="inlineStr">
        <ns0:is>
          <ns0:t>283</ns0:t>
        </ns0:is>
      </ns0:c>
      <ns0:c r="B265" s="19" t="inlineStr">
        <ns0:is>
          <ns0:t>Historical</ns0:t>
        </ns0:is>
      </ns0:c>
      <ns0:c r="C265" s="19" t="inlineStr">
        <ns0:is>
          <ns0:t>Employing Machine Learning-Based Predictive Analytical Approaches to Classify Autism Spectrum Disorder Types</ns0:t>
        </ns0:is>
      </ns0:c>
      <ns0:c r="D265" s="19" t="inlineStr">
        <ns0:is>
          <ns0:t>10.1155/2022/8134018</ns0:t>
        </ns0:is>
      </ns0:c>
      <ns0:c r="E265" s="26" t="n">
        <ns0:v>2022</ns0:v>
      </ns0:c>
      <ns0:c r="F265" s="19" t="inlineStr">
        <ns0:is>
          <ns0:t>Include</ns0:t>
        </ns0:is>
      </ns0:c>
      <ns0:c r="G265" s="27">
        <ns0:f>IF(F265="Include",1,0)</ns0:f>
        <ns0:v>1</ns0:v>
      </ns0:c>
      <ns0:c r="H265" s="19" t="inlineStr">
        <ns0:is>
          <ns0:t>Diagnosis</ns0:t>
        </ns0:is>
      </ns0:c>
      <ns0:c r="I265" s="19" t="inlineStr">
        <ns0:is>
          <ns0:t>Deep Learning</ns0:t>
        </ns0:is>
      </ns0:c>
      <ns0:c r="J265" s="19" t="inlineStr">
        <ns0:is>
          <ns0:t>Not specified</ns0:t>
        </ns0:is>
      </ns0:c>
      <ns0:c r="K265" s="19" t="inlineStr">
        <ns0:is>
          <ns0:t>MLP</ns0:t>
        </ns0:is>
      </ns0:c>
      <ns0:c r="L265" s="19" t="inlineStr">
        <ns0:is>
          <ns0:t>MLP/ANN</ns0:t>
        </ns0:is>
      </ns0:c>
      <ns0:c r="M265" s="19" t="inlineStr">
        <ns0:is>
          <ns0:t>Research only</ns0:t>
        </ns0:is>
      </ns0:c>
      <ns0:c r="N265" s="19" t="inlineStr">
        <ns0:is>
          <ns0:t>Automated measurement/classification</ns0:t>
        </ns0:is>
      </ns0:c>
      <ns0:c r="O265" s="19" t="inlineStr">
        <ns0:is>
          <ns0:t>Not observed in assessed sources</ns0:t>
        </ns0:is>
      </ns0:c>
      <ns0:c r="P265" s="19" t="inlineStr">
        <ns0:is>
          <ns0:t>Not observed in assessed sources</ns0:t>
        </ns0:is>
      </ns0:c>
      <ns0:c r="Q265" s="19" t="inlineStr">
        <ns0:is>
          <ns0:t>Not reported in assessed sources</ns0:t>
        </ns0:is>
      </ns0:c>
      <ns0:c r="R265" s="19" t="inlineStr">
        <ns0:is>
          <ns0:t>Not reported in assessed sources</ns0:t>
        </ns0:is>
      </ns0:c>
      <ns0:c r="S265" s="19" t="inlineStr">
        <ns0:is>
          <ns0:t>Not reported in assessed sources</ns0:t>
        </ns0:is>
      </ns0:c>
      <ns0:c r="T265" s="19" t="inlineStr">
        <ns0:is>
          <ns0:t>Not reported in assessed sources</ns0:t>
        </ns0:is>
      </ns0:c>
      <ns0:c r="U265" s="19" t="inlineStr">
        <ns0:is>
          <ns0:t>Not reported in assessed sources</ns0:t>
        </ns0:is>
      </ns0:c>
      <ns0:c r="V265" s="19" t="inlineStr">
        <ns0:is>
          <ns0:t>Not reported in assessed sources</ns0:t>
        </ns0:is>
      </ns0:c>
      <ns0:c r="W265" s="19" t="inlineStr">
        <ns0:is>
          <ns0:t>Not reported in assessed sources</ns0:t>
        </ns0:is>
      </ns0:c>
      <ns0:c r="X265" s="19" t="inlineStr">
        <ns0:is>
          <ns0:t>Not reported in assessed sources</ns0:t>
        </ns0:is>
      </ns0:c>
      <ns0:c r="Y265" s="19" t="inlineStr">
        <ns0:is>
          <ns0:t>Not ascertainable</ns0:t>
        </ns0:is>
      </ns0:c>
      <ns0:c r="Z265" s="19" t="inlineStr">
        <ns0:is>
          <ns0:t>Not reported in assessed sources</ns0:t>
        </ns0:is>
      </ns0:c>
      <ns0:c r="AA265" s="19" t="inlineStr">
        <ns0:is>
          <ns0:t>Not recorded</ns0:t>
        </ns0:is>
      </ns0:c>
      <ns0:c r="AB265" s="26" t="n">
        <ns0:v>0</ns0:v>
      </ns0:c>
      <ns0:c r="AC265" s="26" t="n">
        <ns0:v>0</ns0:v>
      </ns0:c>
      <ns0:c r="AD265" s="27">
        <ns0:f>IF(AND(G265=1,AB265=0),1,0)</ns0:f>
        <ns0:v>1</ns0:v>
      </ns0:c>
      <ns0:c r="AE265" s="27">
        <ns0:f>IF(AND(AD265=1,AC265=0),1,0)</ns0:f>
        <ns0:v>1</ns0:v>
      </ns0:c>
      <ns0:c r="AF265" s="27">
        <ns0:f>IF(AND(G265=1,H265&lt;&gt;"Not specified"),1,0)</ns0:f>
        <ns0:v>1</ns0:v>
      </ns0:c>
      <ns0:c r="AG265" s="27">
        <ns0:f>IF(AND(AE265=1,AF265=1),1,0)</ns0:f>
        <ns0:v>1</ns0:v>
      </ns0:c>
      <ns0:c r="AH265" s="19" t="inlineStr">
        <ns0:is>
          <ns0:t>Supplied abstract/coding notes; no new full-text verification</ns0:t>
        </ns0:is>
      </ns0:c>
      <ns0:c r="AI265" s="19" t="inlineStr">
        <ns0:is>
          <ns0:t>https://doi.org/10.1155/2022/8134018</ns0:t>
        </ns0:is>
      </ns0:c>
      <ns0:c r="AJ265" s="19" t="inlineStr">
        <ns0:is>
          <ns0:t>EVIDENCIA; original abstract/coding notes and lot source trace; Historical signals: title/abstract/notes; full-text completion not independently established</ns0:t>
        </ns0:is>
      </ns0:c>
      <ns0:c r="AK265" s="19" t="inlineStr">
        <ns0:is>
          <ns0:t>DNN outperformed comparators in concurrent ASD severity classification; data source cannot be recovered from available abstract.</ns0:t>
        </ns0:is>
      </ns0:c>
      <ns0:c r="AL265" s="19" t="inlineStr">
        <ns0:is>
          <ns0:t>Not applicable</ns0:t>
        </ns0:is>
      </ns0:c>
      <ns0:c r="AM265" s="19" t="inlineStr">
        <ns0:is>
          <ns0:t>Not separately specified</ns0:t>
        </ns0:is>
      </ns0:c>
      <ns0:c r="AN265" s="19" t="inlineStr"/>
      <ns0:c r="AO265" s="19" t="inlineStr">
        <ns0:is>
          <ns0:t>No additional status determination</ns0:t>
        </ns0:is>
      </ns0:c>
      <ns0:c r="AP265" s="19" t="inlineStr">
        <ns0:is>
          <ns0:t>Not documented for this recharting</ns0:t>
        </ns0:is>
      </ns0:c>
      <ns0:c r="AQ265" s="19" t="inlineStr">
        <ns0:is>
          <ns0:t>ChatGPT-assisted evidence recharting, 2026-09-08</ns0:t>
        </ns0:is>
      </ns0:c>
      <ns0:c r="AR265" s="19" t="inlineStr"/>
      <ns0:c r="AS265" s="19" t="inlineStr">
        <ns0:is>
          <ns0:t>Not recorded; historical inclusion retained</ns0:t>
        </ns0:is>
      </ns0:c>
    </ns0:row>
    <ns0:row r="266" ht="50" customHeight="1">
      <ns0:c r="A266" s="21" t="inlineStr">
        <ns0:is>
          <ns0:t>284</ns0:t>
        </ns0:is>
      </ns0:c>
      <ns0:c r="B266" s="21" t="inlineStr">
        <ns0:is>
          <ns0:t>Historical</ns0:t>
        </ns0:is>
      </ns0:c>
      <ns0:c r="C266" s="21" t="inlineStr">
        <ns0:is>
          <ns0:t>Exploration of Autism Spectrum Disorder using Classification Algorithms</ns0:t>
        </ns0:is>
      </ns0:c>
      <ns0:c r="D266" s="21" t="inlineStr">
        <ns0:is>
          <ns0:t>10.1016/j.procs.2020.01.098</ns0:t>
        </ns0:is>
      </ns0:c>
      <ns0:c r="E266" s="28" t="n">
        <ns0:v>2019</ns0:v>
      </ns0:c>
      <ns0:c r="F266" s="21" t="inlineStr">
        <ns0:is>
          <ns0:t>Include</ns0:t>
        </ns0:is>
      </ns0:c>
      <ns0:c r="G266" s="29">
        <ns0:f>IF(F266="Include",1,0)</ns0:f>
        <ns0:v>1</ns0:v>
      </ns0:c>
      <ns0:c r="H266" s="21" t="inlineStr">
        <ns0:is>
          <ns0:t>Screening</ns0:t>
        </ns0:is>
      </ns0:c>
      <ns0:c r="I266" s="21" t="inlineStr">
        <ns0:is>
          <ns0:t>Machine Learning</ns0:t>
        </ns0:is>
      </ns0:c>
      <ns0:c r="J266" s="21" t="inlineStr">
        <ns0:is>
          <ns0:t>Not specified</ns0:t>
        </ns0:is>
      </ns0:c>
      <ns0:c r="K266" s="21" t="inlineStr">
        <ns0:is>
          <ns0:t>SVM</ns0:t>
        </ns0:is>
      </ns0:c>
      <ns0:c r="L266" s="21" t="inlineStr">
        <ns0:is>
          <ns0:t>SVM</ns0:t>
        </ns0:is>
      </ns0:c>
      <ns0:c r="M266" s="21" t="inlineStr">
        <ns0:is>
          <ns0:t>Research only</ns0:t>
        </ns0:is>
      </ns0:c>
      <ns0:c r="N266" s="21" t="inlineStr">
        <ns0:is>
          <ns0:t>Automated measurement/classification</ns0:t>
        </ns0:is>
      </ns0:c>
      <ns0:c r="O266" s="21" t="inlineStr">
        <ns0:is>
          <ns0:t>Not observed in assessed sources</ns0:t>
        </ns0:is>
      </ns0:c>
      <ns0:c r="P266" s="21" t="inlineStr">
        <ns0:is>
          <ns0:t>Not observed in assessed sources</ns0:t>
        </ns0:is>
      </ns0:c>
      <ns0:c r="Q266" s="21" t="inlineStr">
        <ns0:is>
          <ns0:t>Not reported in assessed sources</ns0:t>
        </ns0:is>
      </ns0:c>
      <ns0:c r="R266" s="21" t="inlineStr">
        <ns0:is>
          <ns0:t>Not reported in assessed sources</ns0:t>
        </ns0:is>
      </ns0:c>
      <ns0:c r="S266" s="21" t="inlineStr">
        <ns0:is>
          <ns0:t>Not reported in assessed sources</ns0:t>
        </ns0:is>
      </ns0:c>
      <ns0:c r="T266" s="21" t="inlineStr">
        <ns0:is>
          <ns0:t>Not reported in assessed sources</ns0:t>
        </ns0:is>
      </ns0:c>
      <ns0:c r="U266" s="21" t="inlineStr">
        <ns0:is>
          <ns0:t>Not reported in assessed sources</ns0:t>
        </ns0:is>
      </ns0:c>
      <ns0:c r="V266" s="21" t="inlineStr">
        <ns0:is>
          <ns0:t>Not reported in assessed sources</ns0:t>
        </ns0:is>
      </ns0:c>
      <ns0:c r="W266" s="21" t="inlineStr">
        <ns0:is>
          <ns0:t>Not reported in assessed sources</ns0:t>
        </ns0:is>
      </ns0:c>
      <ns0:c r="X266" s="21" t="inlineStr">
        <ns0:is>
          <ns0:t>Not reported in assessed sources</ns0:t>
        </ns0:is>
      </ns0:c>
      <ns0:c r="Y266" s="21" t="inlineStr">
        <ns0:is>
          <ns0:t>Not ascertainable</ns0:t>
        </ns0:is>
      </ns0:c>
      <ns0:c r="Z266" s="21" t="inlineStr">
        <ns0:is>
          <ns0:t>Not reported in assessed sources</ns0:t>
        </ns0:is>
      </ns0:c>
      <ns0:c r="AA266" s="21" t="inlineStr">
        <ns0:is>
          <ns0:t>Not recorded</ns0:t>
        </ns0:is>
      </ns0:c>
      <ns0:c r="AB266" s="28" t="n">
        <ns0:v>0</ns0:v>
      </ns0:c>
      <ns0:c r="AC266" s="28" t="n">
        <ns0:v>0</ns0:v>
      </ns0:c>
      <ns0:c r="AD266" s="29">
        <ns0:f>IF(AND(G266=1,AB266=0),1,0)</ns0:f>
        <ns0:v>1</ns0:v>
      </ns0:c>
      <ns0:c r="AE266" s="29">
        <ns0:f>IF(AND(AD266=1,AC266=0),1,0)</ns0:f>
        <ns0:v>1</ns0:v>
      </ns0:c>
      <ns0:c r="AF266" s="29">
        <ns0:f>IF(AND(G266=1,H266&lt;&gt;"Not specified"),1,0)</ns0:f>
        <ns0:v>1</ns0:v>
      </ns0:c>
      <ns0:c r="AG266" s="29">
        <ns0:f>IF(AND(AE266=1,AF266=1),1,0)</ns0:f>
        <ns0:v>1</ns0:v>
      </ns0:c>
      <ns0:c r="AH266" s="21" t="inlineStr">
        <ns0:is>
          <ns0:t>Supplied abstract/coding notes; no new full-text verification</ns0:t>
        </ns0:is>
      </ns0:c>
      <ns0:c r="AI266" s="21" t="inlineStr">
        <ns0:is>
          <ns0:t>https://doi.org/10.1016/j.procs.2020.01.098</ns0:t>
        </ns0:is>
      </ns0:c>
      <ns0:c r="AJ266" s="21" t="inlineStr">
        <ns0:is>
          <ns0:t>EVIDENCIA; original abstract/coding notes and lot source trace; Historical signals: title/abstract/notes; full-text completion not independently established</ns0:t>
        </ns0:is>
      </ns0:c>
      <ns0:c r="AK266" s="21" t="inlineStr">
        <ns0:is>
          <ns0:t>Conventional classifier comparison, not ML/DL hybrid. Input modality not specified in available abstract.</ns0:t>
        </ns0:is>
      </ns0:c>
      <ns0:c r="AL266" s="21" t="inlineStr">
        <ns0:is>
          <ns0:t>Not applicable</ns0:t>
        </ns0:is>
      </ns0:c>
      <ns0:c r="AM266" s="21" t="inlineStr">
        <ns0:is>
          <ns0:t>Not separately specified</ns0:t>
        </ns0:is>
      </ns0:c>
      <ns0:c r="AN266" s="21" t="inlineStr"/>
      <ns0:c r="AO266" s="21" t="inlineStr">
        <ns0:is>
          <ns0:t>No additional status determination</ns0:t>
        </ns0:is>
      </ns0:c>
      <ns0:c r="AP266" s="21" t="inlineStr">
        <ns0:is>
          <ns0:t>Not documented for this recharting</ns0:t>
        </ns0:is>
      </ns0:c>
      <ns0:c r="AQ266" s="21" t="inlineStr">
        <ns0:is>
          <ns0:t>ChatGPT-assisted evidence recharting, 2026-09-08</ns0:t>
        </ns0:is>
      </ns0:c>
      <ns0:c r="AR266" s="21" t="inlineStr"/>
      <ns0:c r="AS266" s="21" t="inlineStr">
        <ns0:is>
          <ns0:t>Not recorded; historical inclusion retained</ns0:t>
        </ns0:is>
      </ns0:c>
    </ns0:row>
    <ns0:row r="267" ht="50" customHeight="1">
      <ns0:c r="A267" s="19" t="inlineStr">
        <ns0:is>
          <ns0:t>285</ns0:t>
        </ns0:is>
      </ns0:c>
      <ns0:c r="B267" s="19" t="inlineStr">
        <ns0:is>
          <ns0:t>Historical</ns0:t>
        </ns0:is>
      </ns0:c>
      <ns0:c r="C267" s="19" t="inlineStr">
        <ns0:is>
          <ns0:t>Exploring pesticide risk in autism via integrative machine learning and network toxicology</ns0:t>
        </ns0:is>
      </ns0:c>
      <ns0:c r="D267" s="19" t="inlineStr">
        <ns0:is>
          <ns0:t>10.1016/j.ecoenv.2025.118233</ns0:t>
        </ns0:is>
      </ns0:c>
      <ns0:c r="E267" s="26" t="n">
        <ns0:v>2025</ns0:v>
      </ns0:c>
      <ns0:c r="F267" s="19" t="inlineStr">
        <ns0:is>
          <ns0:t>Include</ns0:t>
        </ns0:is>
      </ns0:c>
      <ns0:c r="G267" s="27">
        <ns0:f>IF(F267="Include",1,0)</ns0:f>
        <ns0:v>1</ns0:v>
      </ns0:c>
      <ns0:c r="H267" s="19" t="inlineStr">
        <ns0:is>
          <ns0:t>Not specified</ns0:t>
        </ns0:is>
      </ns0:c>
      <ns0:c r="I267" s="19" t="inlineStr">
        <ns0:is>
          <ns0:t>Machine Learning</ns0:t>
        </ns0:is>
      </ns0:c>
      <ns0:c r="J267" s="19" t="inlineStr">
        <ns0:is>
          <ns0:t>Biological/omics</ns0:t>
        </ns0:is>
      </ns0:c>
      <ns0:c r="K267" s="19" t="inlineStr">
        <ns0:is>
          <ns0:t>SGD classifier</ns0:t>
        </ns0:is>
      </ns0:c>
      <ns0:c r="L267" s="19" t="inlineStr">
        <ns0:is>
          <ns0:t>Other specified method</ns0:t>
        </ns0:is>
      </ns0:c>
      <ns0:c r="M267" s="19" t="inlineStr">
        <ns0:is>
          <ns0:t>Research only</ns0:t>
        </ns0:is>
      </ns0:c>
      <ns0:c r="N267" s="19" t="inlineStr">
        <ns0:is>
          <ns0:t>Research characterization</ns0:t>
        </ns0:is>
      </ns0:c>
      <ns0:c r="O267" s="19" t="inlineStr">
        <ns0:is>
          <ns0:t>Not observed in assessed sources</ns0:t>
        </ns0:is>
      </ns0:c>
      <ns0:c r="P267" s="19" t="inlineStr">
        <ns0:is>
          <ns0:t>Not observed in assessed sources</ns0:t>
        </ns0:is>
      </ns0:c>
      <ns0:c r="Q267" s="19" t="inlineStr">
        <ns0:is>
          <ns0:t>Not reported in assessed sources</ns0:t>
        </ns0:is>
      </ns0:c>
      <ns0:c r="R267" s="19" t="inlineStr">
        <ns0:is>
          <ns0:t>Not reported in assessed sources</ns0:t>
        </ns0:is>
      </ns0:c>
      <ns0:c r="S267" s="19" t="inlineStr">
        <ns0:is>
          <ns0:t>Not reported in assessed sources</ns0:t>
        </ns0:is>
      </ns0:c>
      <ns0:c r="T267" s="19" t="inlineStr">
        <ns0:is>
          <ns0:t>Not reported in assessed sources</ns0:t>
        </ns0:is>
      </ns0:c>
      <ns0:c r="U267" s="19" t="inlineStr">
        <ns0:is>
          <ns0:t>Not reported in assessed sources</ns0:t>
        </ns0:is>
      </ns0:c>
      <ns0:c r="V267" s="19" t="inlineStr">
        <ns0:is>
          <ns0:t>Not reported in assessed sources</ns0:t>
        </ns0:is>
      </ns0:c>
      <ns0:c r="W267" s="19" t="inlineStr">
        <ns0:is>
          <ns0:t>Not reported in assessed sources</ns0:t>
        </ns0:is>
      </ns0:c>
      <ns0:c r="X267" s="19" t="inlineStr">
        <ns0:is>
          <ns0:t>Not reported in assessed sources</ns0:t>
        </ns0:is>
      </ns0:c>
      <ns0:c r="Y267" s="19" t="inlineStr">
        <ns0:is>
          <ns0:t>Not ascertainable</ns0:t>
        </ns0:is>
      </ns0:c>
      <ns0:c r="Z267" s="19" t="inlineStr">
        <ns0:is>
          <ns0:t>Not reported in assessed sources</ns0:t>
        </ns0:is>
      </ns0:c>
      <ns0:c r="AA267" s="19" t="inlineStr">
        <ns0:is>
          <ns0:t>Not recorded</ns0:t>
        </ns0:is>
      </ns0:c>
      <ns0:c r="AB267" s="26" t="n">
        <ns0:v>0</ns0:v>
      </ns0:c>
      <ns0:c r="AC267" s="26" t="n">
        <ns0:v>0</ns0:v>
      </ns0:c>
      <ns0:c r="AD267" s="27">
        <ns0:f>IF(AND(G267=1,AB267=0),1,0)</ns0:f>
        <ns0:v>1</ns0:v>
      </ns0:c>
      <ns0:c r="AE267" s="27">
        <ns0:f>IF(AND(AD267=1,AC267=0),1,0)</ns0:f>
        <ns0:v>1</ns0:v>
      </ns0:c>
      <ns0:c r="AF267" s="27">
        <ns0:f>IF(AND(G267=1,H267&lt;&gt;"Not specified"),1,0)</ns0:f>
        <ns0:v>0</ns0:v>
      </ns0:c>
      <ns0:c r="AG267" s="27">
        <ns0:f>IF(AND(AE267=1,AF267=1),1,0)</ns0:f>
        <ns0:v>0</ns0:v>
      </ns0:c>
      <ns0:c r="AH267" s="19" t="inlineStr">
        <ns0:is>
          <ns0:t>Supplied abstract/coding notes; no new full-text verification</ns0:t>
        </ns0:is>
      </ns0:c>
      <ns0:c r="AI267" s="19" t="inlineStr">
        <ns0:is>
          <ns0:t>https://doi.org/10.1016/j.ecoenv.2025.118233</ns0:t>
        </ns0:is>
      </ns0:c>
      <ns0:c r="AJ267" s="19" t="inlineStr">
        <ns0:is>
          <ns0:t>EVIDENCIA; original abstract/coding notes and lot source trace; Historical signals: title/abstract/notes; full-text completion not independently established</ns0:t>
        </ns0:is>
      </ns0:c>
      <ns0:c r="AK267" s="19" t="inlineStr">
        <ns0:is>
          <ns0:t>Transcriptomic gene selection followed by network toxicology and docking; no deep-learning component or deployed clinical decision.</ns0:t>
        </ns0:is>
      </ns0:c>
      <ns0:c r="AL267" s="19" t="inlineStr">
        <ns0:is>
          <ns0:t>Not applicable</ns0:t>
        </ns0:is>
      </ns0:c>
      <ns0:c r="AM267" s="19" t="inlineStr">
        <ns0:is>
          <ns0:t>Molecular-feature prioritization; not patient-level prediction</ns0:t>
        </ns0:is>
      </ns0:c>
      <ns0:c r="AN267" s="19" t="inlineStr"/>
      <ns0:c r="AO267" s="19" t="inlineStr">
        <ns0:is>
          <ns0:t>No additional status determination</ns0:t>
        </ns0:is>
      </ns0:c>
      <ns0:c r="AP267" s="19" t="inlineStr">
        <ns0:is>
          <ns0:t>Not documented for this recharting</ns0:t>
        </ns0:is>
      </ns0:c>
      <ns0:c r="AQ267" s="19" t="inlineStr">
        <ns0:is>
          <ns0:t>ChatGPT-assisted evidence recharting, 2026-09-08</ns0:t>
        </ns0:is>
      </ns0:c>
      <ns0:c r="AR267" s="19" t="inlineStr"/>
      <ns0:c r="AS267" s="19" t="inlineStr">
        <ns0:is>
          <ns0:t>Not recorded; historical inclusion retained</ns0:t>
        </ns0:is>
      </ns0:c>
    </ns0:row>
    <ns0:row r="268" ht="50" customHeight="1">
      <ns0:c r="A268" s="21" t="inlineStr">
        <ns0:is>
          <ns0:t>286</ns0:t>
        </ns0:is>
      </ns0:c>
      <ns0:c r="B268" s="21" t="inlineStr">
        <ns0:is>
          <ns0:t>Historical</ns0:t>
        </ns0:is>
      </ns0:c>
      <ns0:c r="C268" s="21" t="inlineStr">
        <ns0:is>
          <ns0:t>Feedback Artificial Tree-Anti Corona Virus Optimization enabled deep learning for detecting autism spectrum disorder</ns0:t>
        </ns0:is>
      </ns0:c>
      <ns0:c r="D268" s="21" t="inlineStr">
        <ns0:is>
          <ns0:t>10.1111/exsy.13040</ns0:t>
        </ns0:is>
      </ns0:c>
      <ns0:c r="E268" s="28" t="n">
        <ns0:v>2022</ns0:v>
      </ns0:c>
      <ns0:c r="F268" s="21" t="inlineStr">
        <ns0:is>
          <ns0:t>Include</ns0:t>
        </ns0:is>
      </ns0:c>
      <ns0:c r="G268" s="29">
        <ns0:f>IF(F268="Include",1,0)</ns0:f>
        <ns0:v>1</ns0:v>
      </ns0:c>
      <ns0:c r="H268" s="21" t="inlineStr">
        <ns0:is>
          <ns0:t>Diagnosis</ns0:t>
        </ns0:is>
      </ns0:c>
      <ns0:c r="I268" s="21" t="inlineStr">
        <ns0:is>
          <ns0:t>Deep Learning</ns0:t>
        </ns0:is>
      </ns0:c>
      <ns0:c r="J268" s="21" t="inlineStr">
        <ns0:is>
          <ns0:t>Neuroimaging</ns0:t>
        </ns0:is>
      </ns0:c>
      <ns0:c r="K268" s="21" t="inlineStr">
        <ns0:is>
          <ns0:t>CNN</ns0:t>
        </ns0:is>
      </ns0:c>
      <ns0:c r="L268" s="21" t="inlineStr">
        <ns0:is>
          <ns0:t>CNN</ns0:t>
        </ns0:is>
      </ns0:c>
      <ns0:c r="M268" s="21" t="inlineStr">
        <ns0:is>
          <ns0:t>Research only</ns0:t>
        </ns0:is>
      </ns0:c>
      <ns0:c r="N268" s="21" t="inlineStr">
        <ns0:is>
          <ns0:t>Automated measurement/classification</ns0:t>
        </ns0:is>
      </ns0:c>
      <ns0:c r="O268" s="21" t="inlineStr">
        <ns0:is>
          <ns0:t>Not observed in assessed sources</ns0:t>
        </ns0:is>
      </ns0:c>
      <ns0:c r="P268" s="21" t="inlineStr">
        <ns0:is>
          <ns0:t>Not observed in assessed sources</ns0:t>
        </ns0:is>
      </ns0:c>
      <ns0:c r="Q268" s="21" t="inlineStr">
        <ns0:is>
          <ns0:t>Not reported in assessed sources</ns0:t>
        </ns0:is>
      </ns0:c>
      <ns0:c r="R268" s="21" t="inlineStr">
        <ns0:is>
          <ns0:t>Not reported in assessed sources</ns0:t>
        </ns0:is>
      </ns0:c>
      <ns0:c r="S268" s="21" t="inlineStr">
        <ns0:is>
          <ns0:t>Not reported in assessed sources</ns0:t>
        </ns0:is>
      </ns0:c>
      <ns0:c r="T268" s="21" t="inlineStr">
        <ns0:is>
          <ns0:t>Not reported in assessed sources</ns0:t>
        </ns0:is>
      </ns0:c>
      <ns0:c r="U268" s="21" t="inlineStr">
        <ns0:is>
          <ns0:t>Not reported in assessed sources</ns0:t>
        </ns0:is>
      </ns0:c>
      <ns0:c r="V268" s="21" t="inlineStr">
        <ns0:is>
          <ns0:t>Reported</ns0:t>
        </ns0:is>
      </ns0:c>
      <ns0:c r="W268" s="21" t="inlineStr">
        <ns0:is>
          <ns0:t>Not reported in assessed sources</ns0:t>
        </ns0:is>
      </ns0:c>
      <ns0:c r="X268" s="21" t="inlineStr">
        <ns0:is>
          <ns0:t>Not reported in assessed sources</ns0:t>
        </ns0:is>
      </ns0:c>
      <ns0:c r="Y268" s="21" t="inlineStr">
        <ns0:is>
          <ns0:t>Not ascertainable</ns0:t>
        </ns0:is>
      </ns0:c>
      <ns0:c r="Z268" s="21" t="inlineStr">
        <ns0:is>
          <ns0:t>Not reported in assessed sources</ns0:t>
        </ns0:is>
      </ns0:c>
      <ns0:c r="AA268" s="21" t="inlineStr">
        <ns0:is>
          <ns0:t>Not recorded</ns0:t>
        </ns0:is>
      </ns0:c>
      <ns0:c r="AB268" s="28" t="n">
        <ns0:v>0</ns0:v>
      </ns0:c>
      <ns0:c r="AC268" s="28" t="n">
        <ns0:v>0</ns0:v>
      </ns0:c>
      <ns0:c r="AD268" s="29">
        <ns0:f>IF(AND(G268=1,AB268=0),1,0)</ns0:f>
        <ns0:v>1</ns0:v>
      </ns0:c>
      <ns0:c r="AE268" s="29">
        <ns0:f>IF(AND(AD268=1,AC268=0),1,0)</ns0:f>
        <ns0:v>1</ns0:v>
      </ns0:c>
      <ns0:c r="AF268" s="29">
        <ns0:f>IF(AND(G268=1,H268&lt;&gt;"Not specified"),1,0)</ns0:f>
        <ns0:v>1</ns0:v>
      </ns0:c>
      <ns0:c r="AG268" s="29">
        <ns0:f>IF(AND(AE268=1,AF268=1),1,0)</ns0:f>
        <ns0:v>1</ns0:v>
      </ns0:c>
      <ns0:c r="AH268" s="21" t="inlineStr">
        <ns0:is>
          <ns0:t>Supplied abstract/coding notes; no new full-text verification</ns0:t>
        </ns0:is>
      </ns0:c>
      <ns0:c r="AI268" s="21" t="inlineStr">
        <ns0:is>
          <ns0:t>https://doi.org/10.1111/exsy.13040</ns0:t>
        </ns0:is>
      </ns0:c>
      <ns0:c r="AJ268" s="21" t="inlineStr">
        <ns0:is>
          <ns0:t>EVIDENCIA; original abstract/coding notes and lot source trace; Historical signals: title/abstract/notes; full-text completion not independently established</ns0:t>
        </ns0:is>
      </ns0:c>
      <ns0:c r="AK268" s="21" t="inlineStr">
        <ns0:is>
          <ns0:t>Deep residual network on ABIDE fMRI with optimization; testing two repositories does not itself show independent transfer.</ns0:t>
        </ns0:is>
      </ns0:c>
      <ns0:c r="AL268" s="21" t="inlineStr">
        <ns0:is>
          <ns0:t>Not applicable</ns0:t>
        </ns0:is>
      </ns0:c>
      <ns0:c r="AM268" s="21" t="inlineStr">
        <ns0:is>
          <ns0:t>Not separately specified</ns0:t>
        </ns0:is>
      </ns0:c>
      <ns0:c r="AN268" s="21" t="inlineStr"/>
      <ns0:c r="AO268" s="21" t="inlineStr">
        <ns0:is>
          <ns0:t>No additional status determination</ns0:t>
        </ns0:is>
      </ns0:c>
      <ns0:c r="AP268" s="21" t="inlineStr">
        <ns0:is>
          <ns0:t>Not documented for this recharting</ns0:t>
        </ns0:is>
      </ns0:c>
      <ns0:c r="AQ268" s="21" t="inlineStr">
        <ns0:is>
          <ns0:t>ChatGPT-assisted evidence recharting, 2026-09-08</ns0:t>
        </ns0:is>
      </ns0:c>
      <ns0:c r="AR268" s="21" t="inlineStr">
        <ns0:is>
          <ns0:t>RA</ns0:t>
        </ns0:is>
      </ns0:c>
      <ns0:c r="AS268" s="21" t="inlineStr">
        <ns0:is>
          <ns0:t>Not recorded; historical inclusion retained</ns0:t>
        </ns0:is>
      </ns0:c>
    </ns0:row>
    <ns0:row r="269" ht="50" customHeight="1">
      <ns0:c r="A269" s="19" t="inlineStr">
        <ns0:is>
          <ns0:t>287</ns0:t>
        </ns0:is>
      </ns0:c>
      <ns0:c r="B269" s="19" t="inlineStr">
        <ns0:is>
          <ns0:t>Historical</ns0:t>
        </ns0:is>
      </ns0:c>
      <ns0:c r="C269" s="19" t="inlineStr">
        <ns0:is>
          <ns0:t>Forecasting risk gene discovery in autism with machine learning and genome-scale data</ns0:t>
        </ns0:is>
      </ns0:c>
      <ns0:c r="D269" s="19" t="inlineStr">
        <ns0:is>
          <ns0:t>10.1038/s41598-020-61288-5</ns0:t>
        </ns0:is>
      </ns0:c>
      <ns0:c r="E269" s="26" t="n">
        <ns0:v>2020</ns0:v>
      </ns0:c>
      <ns0:c r="F269" s="19" t="inlineStr">
        <ns0:is>
          <ns0:t>Include</ns0:t>
        </ns0:is>
      </ns0:c>
      <ns0:c r="G269" s="27">
        <ns0:f>IF(F269="Include",1,0)</ns0:f>
        <ns0:v>1</ns0:v>
      </ns0:c>
      <ns0:c r="H269" s="19" t="inlineStr">
        <ns0:is>
          <ns0:t>Not specified</ns0:t>
        </ns0:is>
      </ns0:c>
      <ns0:c r="I269" s="19" t="inlineStr">
        <ns0:is>
          <ns0:t>Machine Learning</ns0:t>
        </ns0:is>
      </ns0:c>
      <ns0:c r="J269" s="19" t="inlineStr">
        <ns0:is>
          <ns0:t>Biological/omics</ns0:t>
        </ns0:is>
      </ns0:c>
      <ns0:c r="K269" s="19" t="inlineStr">
        <ns0:is>
          <ns0:t>Random forest</ns0:t>
        </ns0:is>
      </ns0:c>
      <ns0:c r="L269" s="19" t="inlineStr">
        <ns0:is>
          <ns0:t>Random forest</ns0:t>
        </ns0:is>
      </ns0:c>
      <ns0:c r="M269" s="19" t="inlineStr">
        <ns0:is>
          <ns0:t>Research only</ns0:t>
        </ns0:is>
      </ns0:c>
      <ns0:c r="N269" s="19" t="inlineStr">
        <ns0:is>
          <ns0:t>Research characterization</ns0:t>
        </ns0:is>
      </ns0:c>
      <ns0:c r="O269" s="19" t="inlineStr">
        <ns0:is>
          <ns0:t>Not observed in assessed sources</ns0:t>
        </ns0:is>
      </ns0:c>
      <ns0:c r="P269" s="19" t="inlineStr">
        <ns0:is>
          <ns0:t>Not observed in assessed sources</ns0:t>
        </ns0:is>
      </ns0:c>
      <ns0:c r="Q269" s="19" t="inlineStr">
        <ns0:is>
          <ns0:t>Reported</ns0:t>
        </ns0:is>
      </ns0:c>
      <ns0:c r="R269" s="19" t="inlineStr">
        <ns0:is>
          <ns0:t>Reported</ns0:t>
        </ns0:is>
      </ns0:c>
      <ns0:c r="S269" s="19" t="inlineStr">
        <ns0:is>
          <ns0:t>Not reported in assessed sources</ns0:t>
        </ns0:is>
      </ns0:c>
      <ns0:c r="T269" s="19" t="inlineStr">
        <ns0:is>
          <ns0:t>Not reported in assessed sources</ns0:t>
        </ns0:is>
      </ns0:c>
      <ns0:c r="U269" s="19" t="inlineStr">
        <ns0:is>
          <ns0:t>Not reported in assessed sources</ns0:t>
        </ns0:is>
      </ns0:c>
      <ns0:c r="V269" s="19" t="inlineStr">
        <ns0:is>
          <ns0:t>Not reported in assessed sources</ns0:t>
        </ns0:is>
      </ns0:c>
      <ns0:c r="W269" s="19" t="inlineStr">
        <ns0:is>
          <ns0:t>Reported</ns0:t>
        </ns0:is>
      </ns0:c>
      <ns0:c r="X269" s="19" t="inlineStr">
        <ns0:is>
          <ns0:t>Not reported in assessed sources</ns0:t>
        </ns0:is>
      </ns0:c>
      <ns0:c r="Y269" s="19" t="inlineStr">
        <ns0:is>
          <ns0:t>Not ascertainable</ns0:t>
        </ns0:is>
      </ns0:c>
      <ns0:c r="Z269" s="19" t="inlineStr">
        <ns0:is>
          <ns0:t>Not reported in assessed sources</ns0:t>
        </ns0:is>
      </ns0:c>
      <ns0:c r="AA269" s="19" t="inlineStr">
        <ns0:is>
          <ns0:t>Author correction published; not retracted</ns0:t>
        </ns0:is>
      </ns0:c>
      <ns0:c r="AB269" s="26" t="n">
        <ns0:v>0</ns0:v>
      </ns0:c>
      <ns0:c r="AC269" s="26" t="n">
        <ns0:v>0</ns0:v>
      </ns0:c>
      <ns0:c r="AD269" s="27">
        <ns0:f>IF(AND(G269=1,AB269=0),1,0)</ns0:f>
        <ns0:v>1</ns0:v>
      </ns0:c>
      <ns0:c r="AE269" s="27">
        <ns0:f>IF(AND(AD269=1,AC269=0),1,0)</ns0:f>
        <ns0:v>1</ns0:v>
      </ns0:c>
      <ns0:c r="AF269" s="27">
        <ns0:f>IF(AND(G269=1,H269&lt;&gt;"Not specified"),1,0)</ns0:f>
        <ns0:v>0</ns0:v>
      </ns0:c>
      <ns0:c r="AG269" s="27">
        <ns0:f>IF(AND(AE269=1,AF269=1),1,0)</ns0:f>
        <ns0:v>0</ns0:v>
      </ns0:c>
      <ns0:c r="AH269" s="19" t="inlineStr">
        <ns0:is>
          <ns0:t>Primary-source full text (targeted sections)</ns0:t>
        </ns0:is>
      </ns0:c>
      <ns0:c r="AI269" s="19" t="inlineStr">
        <ns0:is>
          <ns0:t>https://www.nature.com/articles/s41598-020-61288-5</ns0:t>
        </ns0:is>
      </ns0:c>
      <ns0:c r="AJ269" s="19" t="inlineStr">
        <ns0:is>
          <ns0:t>Methods: Overview; Model training; Results: model performance</ns0:t>
        </ns0:is>
      </ns0:c>
      <ns0:c r="AK269" s="19" t="inlineStr">
        <ns0:is>
          <ns0:t>forecASD uses stacked random forests for gene prioritization, not clinical prescreening or deep learning. Independent gene-level cohorts test generalization.</ns0:t>
        </ns0:is>
      </ns0:c>
      <ns0:c r="AL269" s="19" t="inlineStr">
        <ns0:is>
          <ns0:t>Not applicable</ns0:t>
        </ns0:is>
      </ns0:c>
      <ns0:c r="AM269" s="19" t="inlineStr">
        <ns0:is>
          <ns0:t>Molecular-feature prioritization; not patient-level prediction</ns0:t>
        </ns0:is>
      </ns0:c>
      <ns0:c r="AN269" s="19" t="inlineStr"/>
      <ns0:c r="AO269" s="19" t="inlineStr">
        <ns0:is>
          <ns0:t>No additional status determination</ns0:t>
        </ns0:is>
      </ns0:c>
      <ns0:c r="AP269" s="19" t="inlineStr">
        <ns0:is>
          <ns0:t>Not documented for this recharting</ns0:t>
        </ns0:is>
      </ns0:c>
      <ns0:c r="AQ269" s="19" t="inlineStr">
        <ns0:is>
          <ns0:t>ChatGPT-assisted evidence recharting, 2026-09-08</ns0:t>
        </ns0:is>
      </ns0:c>
      <ns0:c r="AR269" s="19" t="inlineStr">
        <ns0:is>
          <ns0:t>RA</ns0:t>
        </ns0:is>
      </ns0:c>
      <ns0:c r="AS269" s="19" t="inlineStr">
        <ns0:is>
          <ns0:t>Not recorded; historical inclusion retained</ns0:t>
        </ns0:is>
      </ns0:c>
    </ns0:row>
    <ns0:row r="270" ht="50" customHeight="1">
      <ns0:c r="A270" s="21" t="inlineStr">
        <ns0:is>
          <ns0:t>288</ns0:t>
        </ns0:is>
      </ns0:c>
      <ns0:c r="B270" s="21" t="inlineStr">
        <ns0:is>
          <ns0:t>Historical</ns0:t>
        </ns0:is>
      </ns0:c>
      <ns0:c r="C270" s="21" t="inlineStr">
        <ns0:is>
          <ns0:t>Identifying Autism with Head Movement Features by Implementing Machine Learning Algorithms</ns0:t>
        </ns0:is>
      </ns0:c>
      <ns0:c r="D270" s="21" t="inlineStr">
        <ns0:is>
          <ns0:t>10.1007/s10803-021-05179-2</ns0:t>
        </ns0:is>
      </ns0:c>
      <ns0:c r="E270" s="28" t="n">
        <ns0:v>2022</ns0:v>
      </ns0:c>
      <ns0:c r="F270" s="21" t="inlineStr">
        <ns0:is>
          <ns0:t>Include</ns0:t>
        </ns0:is>
      </ns0:c>
      <ns0:c r="G270" s="29">
        <ns0:f>IF(F270="Include",1,0)</ns0:f>
        <ns0:v>1</ns0:v>
      </ns0:c>
      <ns0:c r="H270" s="21" t="inlineStr">
        <ns0:is>
          <ns0:t>Screening</ns0:t>
        </ns0:is>
      </ns0:c>
      <ns0:c r="I270" s="21" t="inlineStr">
        <ns0:is>
          <ns0:t>Machine Learning</ns0:t>
        </ns0:is>
      </ns0:c>
      <ns0:c r="J270" s="21" t="inlineStr">
        <ns0:is>
          <ns0:t>Behavioral images/video/gaze/movement</ns0:t>
        </ns0:is>
      </ns0:c>
      <ns0:c r="K270" s="21" t="inlineStr">
        <ns0:is>
          <ns0:t>Decision tree</ns0:t>
        </ns0:is>
      </ns0:c>
      <ns0:c r="L270" s="21" t="inlineStr">
        <ns0:is>
          <ns0:t>Decision tree/rules</ns0:t>
        </ns0:is>
      </ns0:c>
      <ns0:c r="M270" s="21" t="inlineStr">
        <ns0:is>
          <ns0:t>Research only</ns0:t>
        </ns0:is>
      </ns0:c>
      <ns0:c r="N270" s="21" t="inlineStr">
        <ns0:is>
          <ns0:t>Automated measurement/classification</ns0:t>
        </ns0:is>
      </ns0:c>
      <ns0:c r="O270" s="21" t="inlineStr">
        <ns0:is>
          <ns0:t>Not observed in assessed sources</ns0:t>
        </ns0:is>
      </ns0:c>
      <ns0:c r="P270" s="21" t="inlineStr">
        <ns0:is>
          <ns0:t>Not observed in assessed sources</ns0:t>
        </ns0:is>
      </ns0:c>
      <ns0:c r="Q270" s="21" t="inlineStr">
        <ns0:is>
          <ns0:t>Not reported in assessed sources</ns0:t>
        </ns0:is>
      </ns0:c>
      <ns0:c r="R270" s="21" t="inlineStr">
        <ns0:is>
          <ns0:t>Not reported in assessed sources</ns0:t>
        </ns0:is>
      </ns0:c>
      <ns0:c r="S270" s="21" t="inlineStr">
        <ns0:is>
          <ns0:t>Not reported in assessed sources</ns0:t>
        </ns0:is>
      </ns0:c>
      <ns0:c r="T270" s="21" t="inlineStr">
        <ns0:is>
          <ns0:t>Not reported in assessed sources</ns0:t>
        </ns0:is>
      </ns0:c>
      <ns0:c r="U270" s="21" t="inlineStr">
        <ns0:is>
          <ns0:t>Not reported in assessed sources</ns0:t>
        </ns0:is>
      </ns0:c>
      <ns0:c r="V270" s="21" t="inlineStr">
        <ns0:is>
          <ns0:t>Not reported in assessed sources</ns0:t>
        </ns0:is>
      </ns0:c>
      <ns0:c r="W270" s="21" t="inlineStr">
        <ns0:is>
          <ns0:t>Not reported in assessed sources</ns0:t>
        </ns0:is>
      </ns0:c>
      <ns0:c r="X270" s="21" t="inlineStr">
        <ns0:is>
          <ns0:t>Not reported in assessed sources</ns0:t>
        </ns0:is>
      </ns0:c>
      <ns0:c r="Y270" s="21" t="inlineStr">
        <ns0:is>
          <ns0:t>Not ascertainable</ns0:t>
        </ns0:is>
      </ns0:c>
      <ns0:c r="Z270" s="21" t="inlineStr">
        <ns0:is>
          <ns0:t>Not reported in assessed sources</ns0:t>
        </ns0:is>
      </ns0:c>
      <ns0:c r="AA270" s="21" t="inlineStr">
        <ns0:is>
          <ns0:t>Not recorded</ns0:t>
        </ns0:is>
      </ns0:c>
      <ns0:c r="AB270" s="28" t="n">
        <ns0:v>0</ns0:v>
      </ns0:c>
      <ns0:c r="AC270" s="28" t="n">
        <ns0:v>0</ns0:v>
      </ns0:c>
      <ns0:c r="AD270" s="29">
        <ns0:f>IF(AND(G270=1,AB270=0),1,0)</ns0:f>
        <ns0:v>1</ns0:v>
      </ns0:c>
      <ns0:c r="AE270" s="29">
        <ns0:f>IF(AND(AD270=1,AC270=0),1,0)</ns0:f>
        <ns0:v>1</ns0:v>
      </ns0:c>
      <ns0:c r="AF270" s="29">
        <ns0:f>IF(AND(G270=1,H270&lt;&gt;"Not specified"),1,0)</ns0:f>
        <ns0:v>1</ns0:v>
      </ns0:c>
      <ns0:c r="AG270" s="29">
        <ns0:f>IF(AND(AE270=1,AF270=1),1,0)</ns0:f>
        <ns0:v>1</ns0:v>
      </ns0:c>
      <ns0:c r="AH270" s="21" t="inlineStr">
        <ns0:is>
          <ns0:t>Supplied abstract/coding notes; no new full-text verification</ns0:t>
        </ns0:is>
      </ns0:c>
      <ns0:c r="AI270" s="21" t="inlineStr">
        <ns0:is>
          <ns0:t>https://doi.org/10.1007/s10803-021-05179-2</ns0:t>
        </ns0:is>
      </ns0:c>
      <ns0:c r="AJ270" s="21" t="inlineStr">
        <ns0:is>
          <ns0:t>EVIDENCIA; original abstract/coding notes and lot source trace; Historical signals: title/abstract/notes; full-text completion not independently established</ns0:t>
        </ns0:is>
      </ns0:c>
      <ns0:c r="AK270" s="21" t="inlineStr">
        <ns0:is>
          <ns0:t>Behavioral head-motion angles and rates; decision tree best classifier is explicit.</ns0:t>
        </ns0:is>
      </ns0:c>
      <ns0:c r="AL270" s="21" t="inlineStr">
        <ns0:is>
          <ns0:t>Not applicable</ns0:t>
        </ns0:is>
      </ns0:c>
      <ns0:c r="AM270" s="21" t="inlineStr">
        <ns0:is>
          <ns0:t>Not separately specified</ns0:t>
        </ns0:is>
      </ns0:c>
      <ns0:c r="AN270" s="21" t="inlineStr"/>
      <ns0:c r="AO270" s="21" t="inlineStr">
        <ns0:is>
          <ns0:t>No additional status determination</ns0:t>
        </ns0:is>
      </ns0:c>
      <ns0:c r="AP270" s="21" t="inlineStr">
        <ns0:is>
          <ns0:t>Not documented for this recharting</ns0:t>
        </ns0:is>
      </ns0:c>
      <ns0:c r="AQ270" s="21" t="inlineStr">
        <ns0:is>
          <ns0:t>ChatGPT-assisted evidence recharting, 2026-09-08</ns0:t>
        </ns0:is>
      </ns0:c>
      <ns0:c r="AR270" s="21" t="inlineStr">
        <ns0:is>
          <ns0:t>RA</ns0:t>
        </ns0:is>
      </ns0:c>
      <ns0:c r="AS270" s="21" t="inlineStr">
        <ns0:is>
          <ns0:t>Not recorded; historical inclusion retained</ns0:t>
        </ns0:is>
      </ns0:c>
    </ns0:row>
    <ns0:row r="271" ht="50" customHeight="1">
      <ns0:c r="A271" s="19" t="inlineStr">
        <ns0:is>
          <ns0:t>289</ns0:t>
        </ns0:is>
      </ns0:c>
      <ns0:c r="B271" s="19" t="inlineStr">
        <ns0:is>
          <ns0:t>Historical</ns0:t>
        </ns0:is>
      </ns0:c>
      <ns0:c r="C271" s="23" t="inlineStr">
        <ns0:is>
          <ns0:t>Increased serum levels of macrophage migration inhibitory factor in autism spectrum disorders</ns0:t>
        </ns0:is>
      </ns0:c>
      <ns0:c r="D271" s="19" t="inlineStr">
        <ns0:is>
          <ns0:t>10.1016/j.neuro.2018.11.015</ns0:t>
        </ns0:is>
      </ns0:c>
      <ns0:c r="E271" s="26" t="n">
        <ns0:v>2019</ns0:v>
      </ns0:c>
      <ns0:c r="F271" s="19" t="inlineStr">
        <ns0:is>
          <ns0:t>Include</ns0:t>
        </ns0:is>
      </ns0:c>
      <ns0:c r="G271" s="27">
        <ns0:f>IF(F271="Include",1,0)</ns0:f>
        <ns0:v>1</ns0:v>
      </ns0:c>
      <ns0:c r="H271" s="19" t="inlineStr">
        <ns0:is>
          <ns0:t>Diagnosis</ns0:t>
        </ns0:is>
      </ns0:c>
      <ns0:c r="I271" s="19" t="inlineStr">
        <ns0:is>
          <ns0:t>Machine Learning</ns0:t>
        </ns0:is>
      </ns0:c>
      <ns0:c r="J271" s="19" t="inlineStr">
        <ns0:is>
          <ns0:t>Biological/omics</ns0:t>
        </ns0:is>
      </ns0:c>
      <ns0:c r="K271" s="19" t="inlineStr">
        <ns0:is>
          <ns0:t>Logistic regression</ns0:t>
        </ns0:is>
      </ns0:c>
      <ns0:c r="L271" s="19" t="inlineStr">
        <ns0:is>
          <ns0:t>Logistic regression</ns0:t>
        </ns0:is>
      </ns0:c>
      <ns0:c r="M271" s="19" t="inlineStr">
        <ns0:is>
          <ns0:t>Research only</ns0:t>
        </ns0:is>
      </ns0:c>
      <ns0:c r="N271" s="19" t="inlineStr">
        <ns0:is>
          <ns0:t>Automated measurement/classification</ns0:t>
        </ns0:is>
      </ns0:c>
      <ns0:c r="O271" s="19" t="inlineStr">
        <ns0:is>
          <ns0:t>Not observed in assessed sources</ns0:t>
        </ns0:is>
      </ns0:c>
      <ns0:c r="P271" s="19" t="inlineStr">
        <ns0:is>
          <ns0:t>Not observed in assessed sources</ns0:t>
        </ns0:is>
      </ns0:c>
      <ns0:c r="Q271" s="19" t="inlineStr">
        <ns0:is>
          <ns0:t>Not reported in assessed sources</ns0:t>
        </ns0:is>
      </ns0:c>
      <ns0:c r="R271" s="19" t="inlineStr">
        <ns0:is>
          <ns0:t>Not reported in assessed sources</ns0:t>
        </ns0:is>
      </ns0:c>
      <ns0:c r="S271" s="19" t="inlineStr">
        <ns0:is>
          <ns0:t>Not reported in assessed sources</ns0:t>
        </ns0:is>
      </ns0:c>
      <ns0:c r="T271" s="19" t="inlineStr">
        <ns0:is>
          <ns0:t>Not reported in assessed sources</ns0:t>
        </ns0:is>
      </ns0:c>
      <ns0:c r="U271" s="19" t="inlineStr">
        <ns0:is>
          <ns0:t>Not reported in assessed sources</ns0:t>
        </ns0:is>
      </ns0:c>
      <ns0:c r="V271" s="19" t="inlineStr">
        <ns0:is>
          <ns0:t>Not reported in assessed sources</ns0:t>
        </ns0:is>
      </ns0:c>
      <ns0:c r="W271" s="19" t="inlineStr">
        <ns0:is>
          <ns0:t>Not reported in assessed sources</ns0:t>
        </ns0:is>
      </ns0:c>
      <ns0:c r="X271" s="19" t="inlineStr">
        <ns0:is>
          <ns0:t>Not reported in assessed sources</ns0:t>
        </ns0:is>
      </ns0:c>
      <ns0:c r="Y271" s="19" t="inlineStr">
        <ns0:is>
          <ns0:t>Not ascertainable</ns0:t>
        </ns0:is>
      </ns0:c>
      <ns0:c r="Z271" s="19" t="inlineStr">
        <ns0:is>
          <ns0:t>Not reported in assessed sources</ns0:t>
        </ns0:is>
      </ns0:c>
      <ns0:c r="AA271" s="19" t="inlineStr">
        <ns0:is>
          <ns0:t>Not recorded</ns0:t>
        </ns0:is>
      </ns0:c>
      <ns0:c r="AB271" s="26" t="n">
        <ns0:v>0</ns0:v>
      </ns0:c>
      <ns0:c r="AC271" s="26" t="n">
        <ns0:v>1</ns0:v>
      </ns0:c>
      <ns0:c r="AD271" s="27">
        <ns0:f>IF(AND(G271=1,AB271=0),1,0)</ns0:f>
        <ns0:v>1</ns0:v>
      </ns0:c>
      <ns0:c r="AE271" s="27">
        <ns0:f>IF(AND(AD271=1,AC271=0),1,0)</ns0:f>
        <ns0:v>0</ns0:v>
      </ns0:c>
      <ns0:c r="AF271" s="27">
        <ns0:f>IF(AND(G271=1,H271&lt;&gt;"Not specified"),1,0)</ns0:f>
        <ns0:v>1</ns0:v>
      </ns0:c>
      <ns0:c r="AG271" s="27">
        <ns0:f>IF(AND(AE271=1,AF271=1),1,0)</ns0:f>
        <ns0:v>0</ns0:v>
      </ns0:c>
      <ns0:c r="AH271" s="19" t="inlineStr">
        <ns0:is>
          <ns0:t>Supplied abstract/coding notes; no new full-text verification</ns0:t>
        </ns0:is>
      </ns0:c>
      <ns0:c r="AI271" s="19" t="inlineStr">
        <ns0:is>
          <ns0:t>https://doi.org/10.1016/j.neuro.2018.11.015</ns0:t>
        </ns0:is>
      </ns0:c>
      <ns0:c r="AJ271" s="19" t="inlineStr">
        <ns0:is>
          <ns0:t>EVIDENCIA; original abstract/coding notes and lot source trace; Historical signals: title/abstract/notes; full-text completion not independently established</ns0:t>
        </ns0:is>
      </ns0:c>
      <ns0:c r="AK271" s="19" t="inlineStr">
        <ns0:is>
          <ns0:t>Serum biomarker combined regression models are explicitly compared for concurrent ASD/severity; this is exploratory prediction, not a prospectively validated decision system.
Exploratory regression biomarker model without out-of-sample evaluation; exclude in restrictive ML/clinical-endpoint sensitivity if protocol requires validated classifiers.</ns0:t>
        </ns0:is>
      </ns0:c>
      <ns0:c r="AL271" s="19" t="inlineStr">
        <ns0:is>
          <ns0:t>Not applicable</ns0:t>
        </ns0:is>
      </ns0:c>
      <ns0:c r="AM271" s="19" t="inlineStr">
        <ns0:is>
          <ns0:t>Not separately specified</ns0:t>
        </ns0:is>
      </ns0:c>
      <ns0:c r="AN271" s="19" t="inlineStr">
        <ns0:is>
          <ns0:t>Exploratory regression biomarker model without out-of-sample evaluation; exclude in restrictive ML/clinical-endpoint sensitivity if protocol requires validated classifiers.</ns0:t>
        </ns0:is>
      </ns0:c>
      <ns0:c r="AO271" s="19" t="inlineStr">
        <ns0:is>
          <ns0:t>No additional status determination</ns0:t>
        </ns0:is>
      </ns0:c>
      <ns0:c r="AP271" s="19" t="inlineStr">
        <ns0:is>
          <ns0:t>Not documented for this recharting</ns0:t>
        </ns0:is>
      </ns0:c>
      <ns0:c r="AQ271" s="19" t="inlineStr">
        <ns0:is>
          <ns0:t>ChatGPT-assisted evidence recharting, 2026-09-08</ns0:t>
        </ns0:is>
      </ns0:c>
      <ns0:c r="AR271" s="19" t="inlineStr">
        <ns0:is>
          <ns0:t>RA</ns0:t>
        </ns0:is>
      </ns0:c>
      <ns0:c r="AS271" s="19" t="inlineStr">
        <ns0:is>
          <ns0:t>Not recorded; historical inclusion retained</ns0:t>
        </ns0:is>
      </ns0:c>
    </ns0:row>
    <ns0:row r="272" ht="50" customHeight="1">
      <ns0:c r="A272" s="21" t="inlineStr">
        <ns0:is>
          <ns0:t>290</ns0:t>
        </ns0:is>
      </ns0:c>
      <ns0:c r="B272" s="21" t="inlineStr">
        <ns0:is>
          <ns0:t>Historical</ns0:t>
        </ns0:is>
      </ns0:c>
      <ns0:c r="C272" s="23" t="inlineStr">
        <ns0:is>
          <ns0:t>Machine Learning and Structural Dynamics-Based Approach to Reveal Molecular Mechanism of PTEN Missense Mutations Shared by Cancer and Autism Spectrum Disorder</ns0:t>
        </ns0:is>
      </ns0:c>
      <ns0:c r="D272" s="21" t="inlineStr">
        <ns0:is>
          <ns0:t>10.1021/acs.jcim.5c00134</ns0:t>
        </ns0:is>
      </ns0:c>
      <ns0:c r="E272" s="28" t="n">
        <ns0:v>2025</ns0:v>
      </ns0:c>
      <ns0:c r="F272" s="21" t="inlineStr">
        <ns0:is>
          <ns0:t>Include</ns0:t>
        </ns0:is>
      </ns0:c>
      <ns0:c r="G272" s="29">
        <ns0:f>IF(F272="Include",1,0)</ns0:f>
        <ns0:v>1</ns0:v>
      </ns0:c>
      <ns0:c r="H272" s="21" t="inlineStr">
        <ns0:is>
          <ns0:t>Not specified</ns0:t>
        </ns0:is>
      </ns0:c>
      <ns0:c r="I272" s="21" t="inlineStr">
        <ns0:is>
          <ns0:t>Machine Learning</ns0:t>
        </ns0:is>
      </ns0:c>
      <ns0:c r="J272" s="21" t="inlineStr">
        <ns0:is>
          <ns0:t>Biological/omics</ns0:t>
        </ns0:is>
      </ns0:c>
      <ns0:c r="K272" s="21" t="inlineStr">
        <ns0:is>
          <ns0:t>Not specified</ns0:t>
        </ns0:is>
      </ns0:c>
      <ns0:c r="L272" s="21" t="inlineStr">
        <ns0:is>
          <ns0:t>Multiple/not uniquely specified</ns0:t>
        </ns0:is>
      </ns0:c>
      <ns0:c r="M272" s="21" t="inlineStr">
        <ns0:is>
          <ns0:t>Research only</ns0:t>
        </ns0:is>
      </ns0:c>
      <ns0:c r="N272" s="21" t="inlineStr">
        <ns0:is>
          <ns0:t>Research characterization</ns0:t>
        </ns0:is>
      </ns0:c>
      <ns0:c r="O272" s="21" t="inlineStr">
        <ns0:is>
          <ns0:t>Not observed in assessed sources</ns0:t>
        </ns0:is>
      </ns0:c>
      <ns0:c r="P272" s="21" t="inlineStr">
        <ns0:is>
          <ns0:t>Not observed in assessed sources</ns0:t>
        </ns0:is>
      </ns0:c>
      <ns0:c r="Q272" s="21" t="inlineStr">
        <ns0:is>
          <ns0:t>Not reported in assessed sources</ns0:t>
        </ns0:is>
      </ns0:c>
      <ns0:c r="R272" s="21" t="inlineStr">
        <ns0:is>
          <ns0:t>Reported</ns0:t>
        </ns0:is>
      </ns0:c>
      <ns0:c r="S272" s="21" t="inlineStr">
        <ns0:is>
          <ns0:t>Reported</ns0:t>
        </ns0:is>
      </ns0:c>
      <ns0:c r="T272" s="21" t="inlineStr">
        <ns0:is>
          <ns0:t>Not reported in assessed sources</ns0:t>
        </ns0:is>
      </ns0:c>
      <ns0:c r="U272" s="21" t="inlineStr">
        <ns0:is>
          <ns0:t>Not reported in assessed sources</ns0:t>
        </ns0:is>
      </ns0:c>
      <ns0:c r="V272" s="21" t="inlineStr">
        <ns0:is>
          <ns0:t>Not reported in assessed sources</ns0:t>
        </ns0:is>
      </ns0:c>
      <ns0:c r="W272" s="21" t="inlineStr">
        <ns0:is>
          <ns0:t>Reported</ns0:t>
        </ns0:is>
      </ns0:c>
      <ns0:c r="X272" s="21" t="inlineStr">
        <ns0:is>
          <ns0:t>Not reported in assessed sources</ns0:t>
        </ns0:is>
      </ns0:c>
      <ns0:c r="Y272" s="21" t="inlineStr">
        <ns0:is>
          <ns0:t>Not ascertainable</ns0:t>
        </ns0:is>
      </ns0:c>
      <ns0:c r="Z272" s="21" t="inlineStr">
        <ns0:is>
          <ns0:t>Reported</ns0:t>
        </ns0:is>
      </ns0:c>
      <ns0:c r="AA272" s="21" t="inlineStr">
        <ns0:is>
          <ns0:t>Not recorded</ns0:t>
        </ns0:is>
      </ns0:c>
      <ns0:c r="AB272" s="28" t="n">
        <ns0:v>0</ns0:v>
      </ns0:c>
      <ns0:c r="AC272" s="28" t="n">
        <ns0:v>1</ns0:v>
      </ns0:c>
      <ns0:c r="AD272" s="29">
        <ns0:f>IF(AND(G272=1,AB272=0),1,0)</ns0:f>
        <ns0:v>1</ns0:v>
      </ns0:c>
      <ns0:c r="AE272" s="29">
        <ns0:f>IF(AND(AD272=1,AC272=0),1,0)</ns0:f>
        <ns0:v>0</ns0:v>
      </ns0:c>
      <ns0:c r="AF272" s="29">
        <ns0:f>IF(AND(G272=1,H272&lt;&gt;"Not specified"),1,0)</ns0:f>
        <ns0:v>0</ns0:v>
      </ns0:c>
      <ns0:c r="AG272" s="29">
        <ns0:f>IF(AND(AE272=1,AF272=1),1,0)</ns0:f>
        <ns0:v>0</ns0:v>
      </ns0:c>
      <ns0:c r="AH272" s="21" t="inlineStr">
        <ns0:is>
          <ns0:t>Supplied abstract/coding notes; no new full-text verification</ns0:t>
        </ns0:is>
      </ns0:c>
      <ns0:c r="AI272" s="21" t="inlineStr">
        <ns0:is>
          <ns0:t>https://doi.org/10.1021/acs.jcim.5c00134</ns0:t>
        </ns0:is>
      </ns0:c>
      <ns0:c r="AJ272" s="21" t="inlineStr">
        <ns0:is>
          <ns0:t>EVIDENCIA; original abstract/coding notes and lot source trace; Historical signals: title/abstract/notes; full-text completion not independently established</ns0:t>
        </ns0:is>
      </ns0:c>
      <ns0:c r="AK272" s="21" t="inlineStr">
        <ns0:is>
          <ns0:t>PTEN mutation structural dynamics and ML classify molecular effects, not patients; broad molecular ASD scope only.
Human gene/mutation-derived molecular modeling with dynamics simulations; no direct patient-level clinical outcome.</ns0:t>
        </ns0:is>
      </ns0:c>
      <ns0:c r="AL272" s="21" t="inlineStr">
        <ns0:is>
          <ns0:t>Not applicable</ns0:t>
        </ns0:is>
      </ns0:c>
      <ns0:c r="AM272" s="21" t="inlineStr">
        <ns0:is>
          <ns0:t>Molecular-feature prioritization; not patient-level prediction</ns0:t>
        </ns0:is>
      </ns0:c>
      <ns0:c r="AN272" s="21" t="inlineStr">
        <ns0:is>
          <ns0:t>Human gene/mutation-derived molecular modeling with dynamics simulations; no direct patient-level clinical outcome.</ns0:t>
        </ns0:is>
      </ns0:c>
      <ns0:c r="AO272" s="21" t="inlineStr">
        <ns0:is>
          <ns0:t>No additional status determination</ns0:t>
        </ns0:is>
      </ns0:c>
      <ns0:c r="AP272" s="21" t="inlineStr">
        <ns0:is>
          <ns0:t>Not documented for this recharting</ns0:t>
        </ns0:is>
      </ns0:c>
      <ns0:c r="AQ272" s="21" t="inlineStr">
        <ns0:is>
          <ns0:t>ChatGPT-assisted evidence recharting, 2026-09-08</ns0:t>
        </ns0:is>
      </ns0:c>
      <ns0:c r="AR272" s="21" t="inlineStr"/>
      <ns0:c r="AS272" s="21" t="inlineStr">
        <ns0:is>
          <ns0:t>Not recorded; historical inclusion retained</ns0:t>
        </ns0:is>
      </ns0:c>
    </ns0:row>
    <ns0:row r="273" ht="50" customHeight="1">
      <ns0:c r="A273" s="19" t="inlineStr">
        <ns0:is>
          <ns0:t>291</ns0:t>
        </ns0:is>
      </ns0:c>
      <ns0:c r="B273" s="19" t="inlineStr">
        <ns0:is>
          <ns0:t>Historical</ns0:t>
        </ns0:is>
      </ns0:c>
      <ns0:c r="C273" s="19" t="inlineStr">
        <ns0:is>
          <ns0:t>MCDGLN: Masked connection-based dynamic graph learning network for autism spectrum disorder</ns0:t>
        </ns0:is>
      </ns0:c>
      <ns0:c r="D273" s="19" t="inlineStr">
        <ns0:is>
          <ns0:t>10.1016/j.brainresbull.2025.111290</ns0:t>
        </ns0:is>
      </ns0:c>
      <ns0:c r="E273" s="26" t="n">
        <ns0:v>2025</ns0:v>
      </ns0:c>
      <ns0:c r="F273" s="19" t="inlineStr">
        <ns0:is>
          <ns0:t>Include</ns0:t>
        </ns0:is>
      </ns0:c>
      <ns0:c r="G273" s="27">
        <ns0:f>IF(F273="Include",1,0)</ns0:f>
        <ns0:v>1</ns0:v>
      </ns0:c>
      <ns0:c r="H273" s="19" t="inlineStr">
        <ns0:is>
          <ns0:t>Diagnosis</ns0:t>
        </ns0:is>
      </ns0:c>
      <ns0:c r="I273" s="19" t="inlineStr">
        <ns0:is>
          <ns0:t>Deep Learning</ns0:t>
        </ns0:is>
      </ns0:c>
      <ns0:c r="J273" s="19" t="inlineStr">
        <ns0:is>
          <ns0:t>Neuroimaging</ns0:t>
        </ns0:is>
      </ns0:c>
      <ns0:c r="K273" s="19" t="inlineStr">
        <ns0:is>
          <ns0:t>Graph neural network</ns0:t>
        </ns0:is>
      </ns0:c>
      <ns0:c r="L273" s="19" t="inlineStr">
        <ns0:is>
          <ns0:t>GNN</ns0:t>
        </ns0:is>
      </ns0:c>
      <ns0:c r="M273" s="19" t="inlineStr">
        <ns0:is>
          <ns0:t>Research only</ns0:t>
        </ns0:is>
      </ns0:c>
      <ns0:c r="N273" s="19" t="inlineStr">
        <ns0:is>
          <ns0:t>Automated measurement/classification</ns0:t>
        </ns0:is>
      </ns0:c>
      <ns0:c r="O273" s="19" t="inlineStr">
        <ns0:is>
          <ns0:t>Not observed in assessed sources</ns0:t>
        </ns0:is>
      </ns0:c>
      <ns0:c r="P273" s="19" t="inlineStr">
        <ns0:is>
          <ns0:t>Not observed in assessed sources</ns0:t>
        </ns0:is>
      </ns0:c>
      <ns0:c r="Q273" s="19" t="inlineStr">
        <ns0:is>
          <ns0:t>Not reported in assessed sources</ns0:t>
        </ns0:is>
      </ns0:c>
      <ns0:c r="R273" s="19" t="inlineStr">
        <ns0:is>
          <ns0:t>Not reported in assessed sources</ns0:t>
        </ns0:is>
      </ns0:c>
      <ns0:c r="S273" s="19" t="inlineStr">
        <ns0:is>
          <ns0:t>Not reported in assessed sources</ns0:t>
        </ns0:is>
      </ns0:c>
      <ns0:c r="T273" s="19" t="inlineStr">
        <ns0:is>
          <ns0:t>Not reported in assessed sources</ns0:t>
        </ns0:is>
      </ns0:c>
      <ns0:c r="U273" s="19" t="inlineStr">
        <ns0:is>
          <ns0:t>Not reported in assessed sources</ns0:t>
        </ns0:is>
      </ns0:c>
      <ns0:c r="V273" s="19" t="inlineStr">
        <ns0:is>
          <ns0:t>Reported</ns0:t>
        </ns0:is>
      </ns0:c>
      <ns0:c r="W273" s="19" t="inlineStr">
        <ns0:is>
          <ns0:t>Not reported in assessed sources</ns0:t>
        </ns0:is>
      </ns0:c>
      <ns0:c r="X273" s="19" t="inlineStr">
        <ns0:is>
          <ns0:t>Not reported in assessed sources</ns0:t>
        </ns0:is>
      </ns0:c>
      <ns0:c r="Y273" s="19" t="inlineStr">
        <ns0:is>
          <ns0:t>Not ascertainable</ns0:t>
        </ns0:is>
      </ns0:c>
      <ns0:c r="Z273" s="19" t="inlineStr">
        <ns0:is>
          <ns0:t>Not reported in assessed sources</ns0:t>
        </ns0:is>
      </ns0:c>
      <ns0:c r="AA273" s="19" t="inlineStr">
        <ns0:is>
          <ns0:t>Not recorded</ns0:t>
        </ns0:is>
      </ns0:c>
      <ns0:c r="AB273" s="26" t="n">
        <ns0:v>0</ns0:v>
      </ns0:c>
      <ns0:c r="AC273" s="26" t="n">
        <ns0:v>0</ns0:v>
      </ns0:c>
      <ns0:c r="AD273" s="27">
        <ns0:f>IF(AND(G273=1,AB273=0),1,0)</ns0:f>
        <ns0:v>1</ns0:v>
      </ns0:c>
      <ns0:c r="AE273" s="27">
        <ns0:f>IF(AND(AD273=1,AC273=0),1,0)</ns0:f>
        <ns0:v>1</ns0:v>
      </ns0:c>
      <ns0:c r="AF273" s="27">
        <ns0:f>IF(AND(G273=1,H273&lt;&gt;"Not specified"),1,0)</ns0:f>
        <ns0:v>1</ns0:v>
      </ns0:c>
      <ns0:c r="AG273" s="27">
        <ns0:f>IF(AND(AE273=1,AF273=1),1,0)</ns0:f>
        <ns0:v>1</ns0:v>
      </ns0:c>
      <ns0:c r="AH273" s="19" t="inlineStr">
        <ns0:is>
          <ns0:t>Supplied abstract/coding notes; no new full-text verification</ns0:t>
        </ns0:is>
      </ns0:c>
      <ns0:c r="AI273" s="19" t="inlineStr">
        <ns0:is>
          <ns0:t>https://doi.org/10.1016/j.brainresbull.2025.111290</ns0:t>
        </ns0:is>
      </ns0:c>
      <ns0:c r="AJ273" s="19" t="inlineStr">
        <ns0:is>
          <ns0:t>EVIDENCIA; original abstract/coding notes and lot source trace; Historical signals: title/abstract/notes; full-text completion not independently established</ns0:t>
        </ns0:is>
      </ns0:c>
      <ns0:c r="AK273" s="19" t="inlineStr">
        <ns0:is>
          <ns0:t>Dynamic and static BOLD connectivity within a single fMRI source.</ns0:t>
        </ns0:is>
      </ns0:c>
      <ns0:c r="AL273" s="19" t="inlineStr">
        <ns0:is>
          <ns0:t>Not applicable</ns0:t>
        </ns0:is>
      </ns0:c>
      <ns0:c r="AM273" s="19" t="inlineStr">
        <ns0:is>
          <ns0:t>Not separately specified</ns0:t>
        </ns0:is>
      </ns0:c>
      <ns0:c r="AN273" s="19" t="inlineStr"/>
      <ns0:c r="AO273" s="19" t="inlineStr">
        <ns0:is>
          <ns0:t>No additional status determination</ns0:t>
        </ns0:is>
      </ns0:c>
      <ns0:c r="AP273" s="19" t="inlineStr">
        <ns0:is>
          <ns0:t>Not documented for this recharting</ns0:t>
        </ns0:is>
      </ns0:c>
      <ns0:c r="AQ273" s="19" t="inlineStr">
        <ns0:is>
          <ns0:t>ChatGPT-assisted evidence recharting, 2026-09-08</ns0:t>
        </ns0:is>
      </ns0:c>
      <ns0:c r="AR273" s="19" t="inlineStr"/>
      <ns0:c r="AS273" s="19" t="inlineStr">
        <ns0:is>
          <ns0:t>Not recorded; historical inclusion retained</ns0:t>
        </ns0:is>
      </ns0:c>
    </ns0:row>
    <ns0:row r="274" ht="50" customHeight="1">
      <ns0:c r="A274" s="21" t="inlineStr">
        <ns0:is>
          <ns0:t>292</ns0:t>
        </ns0:is>
      </ns0:c>
      <ns0:c r="B274" s="21" t="inlineStr">
        <ns0:is>
          <ns0:t>Historical</ns0:t>
        </ns0:is>
      </ns0:c>
      <ns0:c r="C274" s="21" t="inlineStr">
        <ns0:is>
          <ns0:t>Performance of case-control rare copy number variation annotation in classification of autism</ns0:t>
        </ns0:is>
      </ns0:c>
      <ns0:c r="D274" s="21" t="inlineStr">
        <ns0:is>
          <ns0:t>10.1186/1755-8794-8-s1-s7</ns0:t>
        </ns0:is>
      </ns0:c>
      <ns0:c r="E274" s="28" t="n">
        <ns0:v>2015</ns0:v>
      </ns0:c>
      <ns0:c r="F274" s="21" t="inlineStr">
        <ns0:is>
          <ns0:t>Include</ns0:t>
        </ns0:is>
      </ns0:c>
      <ns0:c r="G274" s="29">
        <ns0:f>IF(F274="Include",1,0)</ns0:f>
        <ns0:v>1</ns0:v>
      </ns0:c>
      <ns0:c r="H274" s="21" t="inlineStr">
        <ns0:is>
          <ns0:t>Diagnosis</ns0:t>
        </ns0:is>
      </ns0:c>
      <ns0:c r="I274" s="21" t="inlineStr">
        <ns0:is>
          <ns0:t>Machine Learning</ns0:t>
        </ns0:is>
      </ns0:c>
      <ns0:c r="J274" s="21" t="inlineStr">
        <ns0:is>
          <ns0:t>Biological/omics</ns0:t>
        </ns0:is>
      </ns0:c>
      <ns0:c r="K274" s="21" t="inlineStr">
        <ns0:is>
          <ns0:t>Random forest</ns0:t>
        </ns0:is>
      </ns0:c>
      <ns0:c r="L274" s="21" t="inlineStr">
        <ns0:is>
          <ns0:t>Random forest</ns0:t>
        </ns0:is>
      </ns0:c>
      <ns0:c r="M274" s="21" t="inlineStr">
        <ns0:is>
          <ns0:t>Research only</ns0:t>
        </ns0:is>
      </ns0:c>
      <ns0:c r="N274" s="21" t="inlineStr">
        <ns0:is>
          <ns0:t>Automated measurement/classification</ns0:t>
        </ns0:is>
      </ns0:c>
      <ns0:c r="O274" s="21" t="inlineStr">
        <ns0:is>
          <ns0:t>Not observed in assessed sources</ns0:t>
        </ns0:is>
      </ns0:c>
      <ns0:c r="P274" s="21" t="inlineStr">
        <ns0:is>
          <ns0:t>Not observed in assessed sources</ns0:t>
        </ns0:is>
      </ns0:c>
      <ns0:c r="Q274" s="21" t="inlineStr">
        <ns0:is>
          <ns0:t>Not reported in assessed sources</ns0:t>
        </ns0:is>
      </ns0:c>
      <ns0:c r="R274" s="21" t="inlineStr">
        <ns0:is>
          <ns0:t>Not reported in assessed sources</ns0:t>
        </ns0:is>
      </ns0:c>
      <ns0:c r="S274" s="21" t="inlineStr">
        <ns0:is>
          <ns0:t>Not reported in assessed sources</ns0:t>
        </ns0:is>
      </ns0:c>
      <ns0:c r="T274" s="21" t="inlineStr">
        <ns0:is>
          <ns0:t>Not reported in assessed sources</ns0:t>
        </ns0:is>
      </ns0:c>
      <ns0:c r="U274" s="21" t="inlineStr">
        <ns0:is>
          <ns0:t>Not reported in assessed sources</ns0:t>
        </ns0:is>
      </ns0:c>
      <ns0:c r="V274" s="21" t="inlineStr">
        <ns0:is>
          <ns0:t>Not reported in assessed sources</ns0:t>
        </ns0:is>
      </ns0:c>
      <ns0:c r="W274" s="21" t="inlineStr">
        <ns0:is>
          <ns0:t>Not reported in assessed sources</ns0:t>
        </ns0:is>
      </ns0:c>
      <ns0:c r="X274" s="21" t="inlineStr">
        <ns0:is>
          <ns0:t>Not reported in assessed sources</ns0:t>
        </ns0:is>
      </ns0:c>
      <ns0:c r="Y274" s="21" t="inlineStr">
        <ns0:is>
          <ns0:t>Not ascertainable</ns0:t>
        </ns0:is>
      </ns0:c>
      <ns0:c r="Z274" s="21" t="inlineStr">
        <ns0:is>
          <ns0:t>Not reported in assessed sources</ns0:t>
        </ns0:is>
      </ns0:c>
      <ns0:c r="AA274" s="21" t="inlineStr">
        <ns0:is>
          <ns0:t>Not recorded</ns0:t>
        </ns0:is>
      </ns0:c>
      <ns0:c r="AB274" s="28" t="n">
        <ns0:v>0</ns0:v>
      </ns0:c>
      <ns0:c r="AC274" s="28" t="n">
        <ns0:v>0</ns0:v>
      </ns0:c>
      <ns0:c r="AD274" s="29">
        <ns0:f>IF(AND(G274=1,AB274=0),1,0)</ns0:f>
        <ns0:v>1</ns0:v>
      </ns0:c>
      <ns0:c r="AE274" s="29">
        <ns0:f>IF(AND(AD274=1,AC274=0),1,0)</ns0:f>
        <ns0:v>1</ns0:v>
      </ns0:c>
      <ns0:c r="AF274" s="29">
        <ns0:f>IF(AND(G274=1,H274&lt;&gt;"Not specified"),1,0)</ns0:f>
        <ns0:v>1</ns0:v>
      </ns0:c>
      <ns0:c r="AG274" s="29">
        <ns0:f>IF(AND(AE274=1,AF274=1),1,0)</ns0:f>
        <ns0:v>1</ns0:v>
      </ns0:c>
      <ns0:c r="AH274" s="21" t="inlineStr">
        <ns0:is>
          <ns0:t>Supplied abstract/coding notes; no new full-text verification</ns0:t>
        </ns0:is>
      </ns0:c>
      <ns0:c r="AI274" s="21" t="inlineStr">
        <ns0:is>
          <ns0:t>https://doi.org/10.1186/1755-8794-8-s1-s7</ns0:t>
        </ns0:is>
      </ns0:c>
      <ns0:c r="AJ274" s="21" t="inlineStr">
        <ns0:is>
          <ns0:t>EVIDENCIA; original abstract/coding notes and lot source trace; Historical signals: title/abstract/notes; full-text completion not independently established</ns0:t>
        </ns0:is>
      </ns0:c>
      <ns0:c r="AK274" s="21" t="inlineStr">
        <ns0:is>
          <ns0:t>Rare CNVs and annotations with conditional-inference forest; conventional ML, not deep-learning hybrid.</ns0:t>
        </ns0:is>
      </ns0:c>
      <ns0:c r="AL274" s="21" t="inlineStr">
        <ns0:is>
          <ns0:t>Not applicable</ns0:t>
        </ns0:is>
      </ns0:c>
      <ns0:c r="AM274" s="21" t="inlineStr">
        <ns0:is>
          <ns0:t>Not separately specified</ns0:t>
        </ns0:is>
      </ns0:c>
      <ns0:c r="AN274" s="21" t="inlineStr"/>
      <ns0:c r="AO274" s="21" t="inlineStr">
        <ns0:is>
          <ns0:t>No additional status determination</ns0:t>
        </ns0:is>
      </ns0:c>
      <ns0:c r="AP274" s="21" t="inlineStr">
        <ns0:is>
          <ns0:t>Not documented for this recharting</ns0:t>
        </ns0:is>
      </ns0:c>
      <ns0:c r="AQ274" s="21" t="inlineStr">
        <ns0:is>
          <ns0:t>ChatGPT-assisted evidence recharting, 2026-09-08</ns0:t>
        </ns0:is>
      </ns0:c>
      <ns0:c r="AR274" s="21" t="inlineStr">
        <ns0:is>
          <ns0:t>RA</ns0:t>
        </ns0:is>
      </ns0:c>
      <ns0:c r="AS274" s="21" t="inlineStr">
        <ns0:is>
          <ns0:t>Not recorded; historical inclusion retained</ns0:t>
        </ns0:is>
      </ns0:c>
    </ns0:row>
    <ns0:row r="275" ht="50" customHeight="1">
      <ns0:c r="A275" s="19" t="inlineStr">
        <ns0:is>
          <ns0:t>293</ns0:t>
        </ns0:is>
      </ns0:c>
      <ns0:c r="B275" s="19" t="inlineStr">
        <ns0:is>
          <ns0:t>Historical</ns0:t>
        </ns0:is>
      </ns0:c>
      <ns0:c r="C275" s="19" t="inlineStr">
        <ns0:is>
          <ns0:t>Personalized machine learning for robot perception of affect and engagement in autism therapy</ns0:t>
        </ns0:is>
      </ns0:c>
      <ns0:c r="D275" s="19" t="inlineStr">
        <ns0:is>
          <ns0:t>10.1126/scirobotics.aao6760</ns0:t>
        </ns0:is>
      </ns0:c>
      <ns0:c r="E275" s="26" t="n">
        <ns0:v>2018</ns0:v>
      </ns0:c>
      <ns0:c r="F275" s="19" t="inlineStr">
        <ns0:is>
          <ns0:t>Include</ns0:t>
        </ns0:is>
      </ns0:c>
      <ns0:c r="G275" s="27">
        <ns0:f>IF(F275="Include",1,0)</ns0:f>
        <ns0:v>1</ns0:v>
      </ns0:c>
      <ns0:c r="H275" s="19" t="inlineStr">
        <ns0:is>
          <ns0:t>Monitoring/intervention</ns0:t>
        </ns0:is>
      </ns0:c>
      <ns0:c r="I275" s="19" t="inlineStr">
        <ns0:is>
          <ns0:t>Deep Learning</ns0:t>
        </ns0:is>
      </ns0:c>
      <ns0:c r="J275" s="19" t="inlineStr">
        <ns0:is>
          <ns0:t>Multiple source categories</ns0:t>
        </ns0:is>
      </ns0:c>
      <ns0:c r="K275" s="19" t="inlineStr">
        <ns0:is>
          <ns0:t>Personalized deep network</ns0:t>
        </ns0:is>
      </ns0:c>
      <ns0:c r="L275" s="19" t="inlineStr">
        <ns0:is>
          <ns0:t>Other specified method</ns0:t>
        </ns0:is>
      </ns0:c>
      <ns0:c r="M275" s="19" t="inlineStr">
        <ns0:is>
          <ns0:t>Research only</ns0:t>
        </ns0:is>
      </ns0:c>
      <ns0:c r="N275" s="19" t="inlineStr">
        <ns0:is>
          <ns0:t>Automated measurement/classification</ns0:t>
        </ns0:is>
      </ns0:c>
      <ns0:c r="O275" s="19" t="inlineStr">
        <ns0:is>
          <ns0:t>Not observed in assessed sources</ns0:t>
        </ns0:is>
      </ns0:c>
      <ns0:c r="P275" s="19" t="inlineStr">
        <ns0:is>
          <ns0:t>Not observed in assessed sources</ns0:t>
        </ns0:is>
      </ns0:c>
      <ns0:c r="Q275" s="19" t="inlineStr">
        <ns0:is>
          <ns0:t>Not reported in assessed sources</ns0:t>
        </ns0:is>
      </ns0:c>
      <ns0:c r="R275" s="19" t="inlineStr">
        <ns0:is>
          <ns0:t>Reported</ns0:t>
        </ns0:is>
      </ns0:c>
      <ns0:c r="S275" s="19" t="inlineStr">
        <ns0:is>
          <ns0:t>Not reported in assessed sources</ns0:t>
        </ns0:is>
      </ns0:c>
      <ns0:c r="T275" s="19" t="inlineStr">
        <ns0:is>
          <ns0:t>Not reported in assessed sources</ns0:t>
        </ns0:is>
      </ns0:c>
      <ns0:c r="U275" s="19" t="inlineStr">
        <ns0:is>
          <ns0:t>Not ascertainable</ns0:t>
        </ns0:is>
      </ns0:c>
      <ns0:c r="V275" s="19" t="inlineStr">
        <ns0:is>
          <ns0:t>Reported</ns0:t>
        </ns0:is>
      </ns0:c>
      <ns0:c r="W275" s="19" t="inlineStr">
        <ns0:is>
          <ns0:t>Reported</ns0:t>
        </ns0:is>
      </ns0:c>
      <ns0:c r="X275" s="19" t="inlineStr">
        <ns0:is>
          <ns0:t>Not reported in assessed sources</ns0:t>
        </ns0:is>
      </ns0:c>
      <ns0:c r="Y275" s="19" t="inlineStr">
        <ns0:is>
          <ns0:t>Not ascertainable</ns0:t>
        </ns0:is>
      </ns0:c>
      <ns0:c r="Z275" s="19" t="inlineStr">
        <ns0:is>
          <ns0:t>Not reported in assessed sources</ns0:t>
        </ns0:is>
      </ns0:c>
      <ns0:c r="AA275" s="19" t="inlineStr">
        <ns0:is>
          <ns0:t>Not recorded</ns0:t>
        </ns0:is>
      </ns0:c>
      <ns0:c r="AB275" s="26" t="n">
        <ns0:v>0</ns0:v>
      </ns0:c>
      <ns0:c r="AC275" s="26" t="n">
        <ns0:v>0</ns0:v>
      </ns0:c>
      <ns0:c r="AD275" s="27">
        <ns0:f>IF(AND(G275=1,AB275=0),1,0)</ns0:f>
        <ns0:v>1</ns0:v>
      </ns0:c>
      <ns0:c r="AE275" s="27">
        <ns0:f>IF(AND(AD275=1,AC275=0),1,0)</ns0:f>
        <ns0:v>1</ns0:v>
      </ns0:c>
      <ns0:c r="AF275" s="27">
        <ns0:f>IF(AND(G275=1,H275&lt;&gt;"Not specified"),1,0)</ns0:f>
        <ns0:v>1</ns0:v>
      </ns0:c>
      <ns0:c r="AG275" s="27">
        <ns0:f>IF(AND(AE275=1,AF275=1),1,0)</ns0:f>
        <ns0:v>1</ns0:v>
      </ns0:c>
      <ns0:c r="AH275" s="19" t="inlineStr">
        <ns0:is>
          <ns0:t>Supplied abstract/coding notes; no new full-text verification</ns0:t>
        </ns0:is>
      </ns0:c>
      <ns0:c r="AI275" s="19" t="inlineStr">
        <ns0:is>
          <ns0:t>https://doi.org/10.1126/scirobotics.aao6760</ns0:t>
        </ns0:is>
      </ns0:c>
      <ns0:c r="AJ275" s="19" t="inlineStr">
        <ns0:is>
          <ns0:t>EVIDENCIA; original abstract/coding notes and lot source trace; Historical signals: title/abstract/notes; full-text completion not independently established</ns0:t>
        </ns0:is>
      </ns0:c>
      <ns0:c r="AK275" s="19" t="inlineStr">
        <ns0:is>
          <ns0:t>Multimodal affect/engagement models evaluated on recordings from robot therapy; abstract does not show that model estimates drove robot behavior during therapy.
Two cultures are described; independent held-out-cultural/site testing and real-time feedback use are not established by the available abstract.</ns0:t>
        </ns0:is>
      </ns0:c>
      <ns0:c r="AL275" s="19" t="inlineStr">
        <ns0:is>
          <ns0:t>Not applicable</ns0:t>
        </ns0:is>
      </ns0:c>
      <ns0:c r="AM275" s="19" t="inlineStr">
        <ns0:is>
          <ns0:t>Not separately specified</ns0:t>
        </ns0:is>
      </ns0:c>
      <ns0:c r="AN275" s="19" t="inlineStr"/>
      <ns0:c r="AO275" s="19" t="inlineStr">
        <ns0:is>
          <ns0:t>No additional status determination</ns0:t>
        </ns0:is>
      </ns0:c>
      <ns0:c r="AP275" s="19" t="inlineStr">
        <ns0:is>
          <ns0:t>Not documented for this recharting</ns0:t>
        </ns0:is>
      </ns0:c>
      <ns0:c r="AQ275" s="19" t="inlineStr">
        <ns0:is>
          <ns0:t>ChatGPT-assisted evidence recharting, 2026-09-08</ns0:t>
        </ns0:is>
      </ns0:c>
      <ns0:c r="AR275" s="19" t="inlineStr"/>
      <ns0:c r="AS275" s="19" t="inlineStr">
        <ns0:is>
          <ns0:t>Not recorded; historical inclusion retained</ns0:t>
        </ns0:is>
      </ns0:c>
    </ns0:row>
    <ns0:row r="276" ht="50" customHeight="1">
      <ns0:c r="A276" s="21" t="inlineStr">
        <ns0:is>
          <ns0:t>295</ns0:t>
        </ns0:is>
      </ns0:c>
      <ns0:c r="B276" s="21" t="inlineStr">
        <ns0:is>
          <ns0:t>Historical</ns0:t>
        </ns0:is>
      </ns0:c>
      <ns0:c r="C276" s="21" t="inlineStr">
        <ns0:is>
          <ns0:t>Prediction of Autism at 3 Years from Behavioural and Developmental Measures in High-Risk Infants: A Longitudinal Cross-Domain Classifier Analysis</ns0:t>
        </ns0:is>
      </ns0:c>
      <ns0:c r="D276" s="21" t="inlineStr">
        <ns0:is>
          <ns0:t>10.1007/s10803-018-3509-x</ns0:t>
        </ns0:is>
      </ns0:c>
      <ns0:c r="E276" s="28" t="n">
        <ns0:v>2018</ns0:v>
      </ns0:c>
      <ns0:c r="F276" s="21" t="inlineStr">
        <ns0:is>
          <ns0:t>Include</ns0:t>
        </ns0:is>
      </ns0:c>
      <ns0:c r="G276" s="29">
        <ns0:f>IF(F276="Include",1,0)</ns0:f>
        <ns0:v>1</ns0:v>
      </ns0:c>
      <ns0:c r="H276" s="21" t="inlineStr">
        <ns0:is>
          <ns0:t>Prognosis</ns0:t>
        </ns0:is>
      </ns0:c>
      <ns0:c r="I276" s="21" t="inlineStr">
        <ns0:is>
          <ns0:t>Machine Learning</ns0:t>
        </ns0:is>
      </ns0:c>
      <ns0:c r="J276" s="21" t="inlineStr">
        <ns0:is>
          <ns0:t>Structured clinical/questionnaire data</ns0:t>
        </ns0:is>
      </ns0:c>
      <ns0:c r="K276" s="21" t="inlineStr">
        <ns0:is>
          <ns0:t>SVM</ns0:t>
        </ns0:is>
      </ns0:c>
      <ns0:c r="L276" s="21" t="inlineStr">
        <ns0:is>
          <ns0:t>SVM</ns0:t>
        </ns0:is>
      </ns0:c>
      <ns0:c r="M276" s="21" t="inlineStr">
        <ns0:is>
          <ns0:t>Research only</ns0:t>
        </ns0:is>
      </ns0:c>
      <ns0:c r="N276" s="21" t="inlineStr">
        <ns0:is>
          <ns0:t>Risk/trajectory estimation</ns0:t>
        </ns0:is>
      </ns0:c>
      <ns0:c r="O276" s="21" t="inlineStr">
        <ns0:is>
          <ns0:t>Not observed in assessed sources</ns0:t>
        </ns0:is>
      </ns0:c>
      <ns0:c r="P276" s="21" t="inlineStr">
        <ns0:is>
          <ns0:t>Not observed in assessed sources</ns0:t>
        </ns0:is>
      </ns0:c>
      <ns0:c r="Q276" s="21" t="inlineStr">
        <ns0:is>
          <ns0:t>Not reported in assessed sources</ns0:t>
        </ns0:is>
      </ns0:c>
      <ns0:c r="R276" s="21" t="inlineStr">
        <ns0:is>
          <ns0:t>Reported</ns0:t>
        </ns0:is>
      </ns0:c>
      <ns0:c r="S276" s="21" t="inlineStr">
        <ns0:is>
          <ns0:t>Not reported in assessed sources</ns0:t>
        </ns0:is>
      </ns0:c>
      <ns0:c r="T276" s="21" t="inlineStr">
        <ns0:is>
          <ns0:t>Not reported in assessed sources</ns0:t>
        </ns0:is>
      </ns0:c>
      <ns0:c r="U276" s="21" t="inlineStr">
        <ns0:is>
          <ns0:t>Not reported in assessed sources</ns0:t>
        </ns0:is>
      </ns0:c>
      <ns0:c r="V276" s="21" t="inlineStr">
        <ns0:is>
          <ns0:t>Not reported in assessed sources</ns0:t>
        </ns0:is>
      </ns0:c>
      <ns0:c r="W276" s="21" t="inlineStr">
        <ns0:is>
          <ns0:t>Reported</ns0:t>
        </ns0:is>
      </ns0:c>
      <ns0:c r="X276" s="21" t="inlineStr">
        <ns0:is>
          <ns0:t>Not reported in assessed sources</ns0:t>
        </ns0:is>
      </ns0:c>
      <ns0:c r="Y276" s="21" t="inlineStr">
        <ns0:is>
          <ns0:t>Reported</ns0:t>
        </ns0:is>
      </ns0:c>
      <ns0:c r="Z276" s="21" t="inlineStr">
        <ns0:is>
          <ns0:t>Not reported in assessed sources</ns0:t>
        </ns0:is>
      </ns0:c>
      <ns0:c r="AA276" s="21" t="inlineStr">
        <ns0:is>
          <ns0:t>Not recorded</ns0:t>
        </ns0:is>
      </ns0:c>
      <ns0:c r="AB276" s="28" t="n">
        <ns0:v>0</ns0:v>
      </ns0:c>
      <ns0:c r="AC276" s="28" t="n">
        <ns0:v>0</ns0:v>
      </ns0:c>
      <ns0:c r="AD276" s="29">
        <ns0:f>IF(AND(G276=1,AB276=0),1,0)</ns0:f>
        <ns0:v>1</ns0:v>
      </ns0:c>
      <ns0:c r="AE276" s="29">
        <ns0:f>IF(AND(AD276=1,AC276=0),1,0)</ns0:f>
        <ns0:v>1</ns0:v>
      </ns0:c>
      <ns0:c r="AF276" s="29">
        <ns0:f>IF(AND(G276=1,H276&lt;&gt;"Not specified"),1,0)</ns0:f>
        <ns0:v>1</ns0:v>
      </ns0:c>
      <ns0:c r="AG276" s="29">
        <ns0:f>IF(AND(AE276=1,AF276=1),1,0)</ns0:f>
        <ns0:v>1</ns0:v>
      </ns0:c>
      <ns0:c r="AH276" s="21" t="inlineStr">
        <ns0:is>
          <ns0:t>Supplied abstract/coding notes; no new full-text verification</ns0:t>
        </ns0:is>
      </ns0:c>
      <ns0:c r="AI276" s="21" t="inlineStr">
        <ns0:is>
          <ns0:t>https://doi.org/10.1007/s10803-018-3509-x</ns0:t>
        </ns0:is>
      </ns0:c>
      <ns0:c r="AJ276" s="21" t="inlineStr">
        <ns0:is>
          <ns0:t>EVIDENCIA; original abstract/coding notes and lot source trace; Historical signals: title/abstract/notes; full-text completion not independently established</ns0:t>
        </ns0:is>
      </ns0:c>
      <ns0:c r="AK276" s="21" t="inlineStr">
        <ns0:is>
          <ns0:t>Multiple standardized developmental instruments in high-risk infants predict later ASD outcome; longitudinal data collection is not prospective model deployment.</ns0:t>
        </ns0:is>
      </ns0:c>
      <ns0:c r="AL276" s="21" t="inlineStr">
        <ns0:is>
          <ns0:t>Not applicable</ns0:t>
        </ns0:is>
      </ns0:c>
      <ns0:c r="AM276" s="21" t="inlineStr">
        <ns0:is>
          <ns0:t>Not separately specified</ns0:t>
        </ns0:is>
      </ns0:c>
      <ns0:c r="AN276" s="21" t="inlineStr"/>
      <ns0:c r="AO276" s="21" t="inlineStr">
        <ns0:is>
          <ns0:t>No additional status determination</ns0:t>
        </ns0:is>
      </ns0:c>
      <ns0:c r="AP276" s="21" t="inlineStr">
        <ns0:is>
          <ns0:t>Not documented for this recharting</ns0:t>
        </ns0:is>
      </ns0:c>
      <ns0:c r="AQ276" s="21" t="inlineStr">
        <ns0:is>
          <ns0:t>ChatGPT-assisted evidence recharting, 2026-09-08</ns0:t>
        </ns0:is>
      </ns0:c>
      <ns0:c r="AR276" s="21" t="inlineStr"/>
      <ns0:c r="AS276" s="21" t="inlineStr">
        <ns0:is>
          <ns0:t>Not recorded; historical inclusion retained</ns0:t>
        </ns0:is>
      </ns0:c>
    </ns0:row>
    <ns0:row r="277" ht="50" customHeight="1">
      <ns0:c r="A277" s="19" t="inlineStr">
        <ns0:is>
          <ns0:t>296</ns0:t>
        </ns0:is>
      </ns0:c>
      <ns0:c r="B277" s="19" t="inlineStr">
        <ns0:is>
          <ns0:t>Historical</ns0:t>
        </ns0:is>
      </ns0:c>
      <ns0:c r="C277" s="19" t="inlineStr">
        <ns0:is>
          <ns0:t>STDCformer: Spatial-temporal dual-path cross-attention model for fMRI-based autism spectrum disorder identification</ns0:t>
        </ns0:is>
      </ns0:c>
      <ns0:c r="D277" s="19" t="inlineStr">
        <ns0:is>
          <ns0:t>10.1016/j.heliyon.2024.e34245</ns0:t>
        </ns0:is>
      </ns0:c>
      <ns0:c r="E277" s="26" t="n">
        <ns0:v>2024</ns0:v>
      </ns0:c>
      <ns0:c r="F277" s="19" t="inlineStr">
        <ns0:is>
          <ns0:t>Include</ns0:t>
        </ns0:is>
      </ns0:c>
      <ns0:c r="G277" s="27">
        <ns0:f>IF(F277="Include",1,0)</ns0:f>
        <ns0:v>1</ns0:v>
      </ns0:c>
      <ns0:c r="H277" s="19" t="inlineStr">
        <ns0:is>
          <ns0:t>Diagnosis</ns0:t>
        </ns0:is>
      </ns0:c>
      <ns0:c r="I277" s="19" t="inlineStr">
        <ns0:is>
          <ns0:t>Deep Learning</ns0:t>
        </ns0:is>
      </ns0:c>
      <ns0:c r="J277" s="19" t="inlineStr">
        <ns0:is>
          <ns0:t>Neuroimaging</ns0:t>
        </ns0:is>
      </ns0:c>
      <ns0:c r="K277" s="19" t="inlineStr">
        <ns0:is>
          <ns0:t>Transformer</ns0:t>
        </ns0:is>
      </ns0:c>
      <ns0:c r="L277" s="19" t="inlineStr">
        <ns0:is>
          <ns0:t>Transformer</ns0:t>
        </ns0:is>
      </ns0:c>
      <ns0:c r="M277" s="19" t="inlineStr">
        <ns0:is>
          <ns0:t>Research only</ns0:t>
        </ns0:is>
      </ns0:c>
      <ns0:c r="N277" s="19" t="inlineStr">
        <ns0:is>
          <ns0:t>Automated measurement/classification</ns0:t>
        </ns0:is>
      </ns0:c>
      <ns0:c r="O277" s="19" t="inlineStr">
        <ns0:is>
          <ns0:t>Not observed in assessed sources</ns0:t>
        </ns0:is>
      </ns0:c>
      <ns0:c r="P277" s="19" t="inlineStr">
        <ns0:is>
          <ns0:t>Not observed in assessed sources</ns0:t>
        </ns0:is>
      </ns0:c>
      <ns0:c r="Q277" s="19" t="inlineStr">
        <ns0:is>
          <ns0:t>Not reported in assessed sources</ns0:t>
        </ns0:is>
      </ns0:c>
      <ns0:c r="R277" s="19" t="inlineStr">
        <ns0:is>
          <ns0:t>Not reported in assessed sources</ns0:t>
        </ns0:is>
      </ns0:c>
      <ns0:c r="S277" s="19" t="inlineStr">
        <ns0:is>
          <ns0:t>Reported</ns0:t>
        </ns0:is>
      </ns0:c>
      <ns0:c r="T277" s="19" t="inlineStr">
        <ns0:is>
          <ns0:t>Not reported in assessed sources</ns0:t>
        </ns0:is>
      </ns0:c>
      <ns0:c r="U277" s="19" t="inlineStr">
        <ns0:is>
          <ns0:t>Not reported in assessed sources</ns0:t>
        </ns0:is>
      </ns0:c>
      <ns0:c r="V277" s="19" t="inlineStr">
        <ns0:is>
          <ns0:t>Reported</ns0:t>
        </ns0:is>
      </ns0:c>
      <ns0:c r="W277" s="19" t="inlineStr">
        <ns0:is>
          <ns0:t>Not reported in assessed sources</ns0:t>
        </ns0:is>
      </ns0:c>
      <ns0:c r="X277" s="19" t="inlineStr">
        <ns0:is>
          <ns0:t>Not reported in assessed sources</ns0:t>
        </ns0:is>
      </ns0:c>
      <ns0:c r="Y277" s="19" t="inlineStr">
        <ns0:is>
          <ns0:t>Not ascertainable</ns0:t>
        </ns0:is>
      </ns0:c>
      <ns0:c r="Z277" s="19" t="inlineStr">
        <ns0:is>
          <ns0:t>Reported</ns0:t>
        </ns0:is>
      </ns0:c>
      <ns0:c r="AA277" s="19" t="inlineStr">
        <ns0:is>
          <ns0:t>Not recorded</ns0:t>
        </ns0:is>
      </ns0:c>
      <ns0:c r="AB277" s="26" t="n">
        <ns0:v>0</ns0:v>
      </ns0:c>
      <ns0:c r="AC277" s="26" t="n">
        <ns0:v>0</ns0:v>
      </ns0:c>
      <ns0:c r="AD277" s="27">
        <ns0:f>IF(AND(G277=1,AB277=0),1,0)</ns0:f>
        <ns0:v>1</ns0:v>
      </ns0:c>
      <ns0:c r="AE277" s="27">
        <ns0:f>IF(AND(AD277=1,AC277=0),1,0)</ns0:f>
        <ns0:v>1</ns0:v>
      </ns0:c>
      <ns0:c r="AF277" s="27">
        <ns0:f>IF(AND(G277=1,H277&lt;&gt;"Not specified"),1,0)</ns0:f>
        <ns0:v>1</ns0:v>
      </ns0:c>
      <ns0:c r="AG277" s="27">
        <ns0:f>IF(AND(AE277=1,AF277=1),1,0)</ns0:f>
        <ns0:v>1</ns0:v>
      </ns0:c>
      <ns0:c r="AH277" s="19" t="inlineStr">
        <ns0:is>
          <ns0:t>Supplied abstract/coding notes; no new full-text verification</ns0:t>
        </ns0:is>
      </ns0:c>
      <ns0:c r="AI277" s="19" t="inlineStr">
        <ns0:is>
          <ns0:t>https://doi.org/10.1016/j.heliyon.2024.e34245</ns0:t>
        </ns0:is>
      </ns0:c>
      <ns0:c r="AJ277" s="19" t="inlineStr">
        <ns0:is>
          <ns0:t>EVIDENCIA; original abstract/coding notes and lot source trace; Historical signals: title/abstract/notes; full-text completion not independently established</ns0:t>
        </ns0:is>
      </ns0:c>
      <ns0:c r="AK277" s="19" t="inlineStr">
        <ns0:is>
          <ns0:t>Spatiotemporal fMRI transformer and post-hoc interpretation; all neural branches remain deep learning.</ns0:t>
        </ns0:is>
      </ns0:c>
      <ns0:c r="AL277" s="19" t="inlineStr">
        <ns0:is>
          <ns0:t>Not applicable</ns0:t>
        </ns0:is>
      </ns0:c>
      <ns0:c r="AM277" s="19" t="inlineStr">
        <ns0:is>
          <ns0:t>Not separately specified</ns0:t>
        </ns0:is>
      </ns0:c>
      <ns0:c r="AN277" s="19" t="inlineStr"/>
      <ns0:c r="AO277" s="19" t="inlineStr">
        <ns0:is>
          <ns0:t>No additional status determination</ns0:t>
        </ns0:is>
      </ns0:c>
      <ns0:c r="AP277" s="19" t="inlineStr">
        <ns0:is>
          <ns0:t>Not documented for this recharting</ns0:t>
        </ns0:is>
      </ns0:c>
      <ns0:c r="AQ277" s="19" t="inlineStr">
        <ns0:is>
          <ns0:t>ChatGPT-assisted evidence recharting, 2026-09-08</ns0:t>
        </ns0:is>
      </ns0:c>
      <ns0:c r="AR277" s="19" t="inlineStr"/>
      <ns0:c r="AS277" s="19" t="inlineStr">
        <ns0:is>
          <ns0:t>Not recorded; historical inclusion retained</ns0:t>
        </ns0:is>
      </ns0:c>
    </ns0:row>
    <ns0:row r="278" ht="50" customHeight="1">
      <ns0:c r="A278" s="21" t="inlineStr">
        <ns0:is>
          <ns0:t>298</ns0:t>
        </ns0:is>
      </ns0:c>
      <ns0:c r="B278" s="21" t="inlineStr">
        <ns0:is>
          <ns0:t>Historical</ns0:t>
        </ns0:is>
      </ns0:c>
      <ns0:c r="C278" s="23" t="inlineStr">
        <ns0:is>
          <ns0:t>Three Distinct Neuroanatomical Subtypes of Autism Spectrum Disorder, Revealed via Machine Learning, and Their Similarities With Schizophrenia Subtypes</ns0:t>
        </ns0:is>
      </ns0:c>
      <ns0:c r="D278" s="21" t="inlineStr">
        <ns0:is>
          <ns0:t>10.1016/j.biopsych.2021.02.931</ns0:t>
        </ns0:is>
      </ns0:c>
      <ns0:c r="E278" s="28" t="n">
        <ns0:v>2021</ns0:v>
      </ns0:c>
      <ns0:c r="F278" s="21" t="inlineStr">
        <ns0:is>
          <ns0:t>Include</ns0:t>
        </ns0:is>
      </ns0:c>
      <ns0:c r="G278" s="29">
        <ns0:f>IF(F278="Include",1,0)</ns0:f>
        <ns0:v>1</ns0:v>
      </ns0:c>
      <ns0:c r="H278" s="21" t="inlineStr">
        <ns0:is>
          <ns0:t>Not specified</ns0:t>
        </ns0:is>
      </ns0:c>
      <ns0:c r="I278" s="21" t="inlineStr">
        <ns0:is>
          <ns0:t>Machine Learning</ns0:t>
        </ns0:is>
      </ns0:c>
      <ns0:c r="J278" s="21" t="inlineStr">
        <ns0:is>
          <ns0:t>Neuroimaging</ns0:t>
        </ns0:is>
      </ns0:c>
      <ns0:c r="K278" s="21" t="inlineStr">
        <ns0:is>
          <ns0:t>HYDRA / clustering</ns0:t>
        </ns0:is>
      </ns0:c>
      <ns0:c r="L278" s="21" t="inlineStr">
        <ns0:is>
          <ns0:t>Clustering</ns0:t>
        </ns0:is>
      </ns0:c>
      <ns0:c r="M278" s="21" t="inlineStr">
        <ns0:is>
          <ns0:t>Research only</ns0:t>
        </ns0:is>
      </ns0:c>
      <ns0:c r="N278" s="21" t="inlineStr">
        <ns0:is>
          <ns0:t>Research characterization</ns0:t>
        </ns0:is>
      </ns0:c>
      <ns0:c r="O278" s="21" t="inlineStr">
        <ns0:is>
          <ns0:t>Not observed in assessed sources</ns0:t>
        </ns0:is>
      </ns0:c>
      <ns0:c r="P278" s="21" t="inlineStr">
        <ns0:is>
          <ns0:t>Not observed in assessed sources</ns0:t>
        </ns0:is>
      </ns0:c>
      <ns0:c r="Q278" s="21" t="inlineStr">
        <ns0:is>
          <ns0:t>Not reported in assessed sources</ns0:t>
        </ns0:is>
      </ns0:c>
      <ns0:c r="R278" s="21" t="inlineStr">
        <ns0:is>
          <ns0:t>Not reported in assessed sources</ns0:t>
        </ns0:is>
      </ns0:c>
      <ns0:c r="S278" s="21" t="inlineStr">
        <ns0:is>
          <ns0:t>Not reported in assessed sources</ns0:t>
        </ns0:is>
      </ns0:c>
      <ns0:c r="T278" s="21" t="inlineStr">
        <ns0:is>
          <ns0:t>Not reported in assessed sources</ns0:t>
        </ns0:is>
      </ns0:c>
      <ns0:c r="U278" s="21" t="inlineStr">
        <ns0:is>
          <ns0:t>Not reported in assessed sources</ns0:t>
        </ns0:is>
      </ns0:c>
      <ns0:c r="V278" s="21" t="inlineStr">
        <ns0:is>
          <ns0:t>Reported</ns0:t>
        </ns0:is>
      </ns0:c>
      <ns0:c r="W278" s="21" t="inlineStr">
        <ns0:is>
          <ns0:t>Not reported in assessed sources</ns0:t>
        </ns0:is>
      </ns0:c>
      <ns0:c r="X278" s="21" t="inlineStr">
        <ns0:is>
          <ns0:t>Not reported in assessed sources</ns0:t>
        </ns0:is>
      </ns0:c>
      <ns0:c r="Y278" s="21" t="inlineStr">
        <ns0:is>
          <ns0:t>Not ascertainable</ns0:t>
        </ns0:is>
      </ns0:c>
      <ns0:c r="Z278" s="21" t="inlineStr">
        <ns0:is>
          <ns0:t>Not reported in assessed sources</ns0:t>
        </ns0:is>
      </ns0:c>
      <ns0:c r="AA278" s="21" t="inlineStr">
        <ns0:is>
          <ns0:t>Not recorded</ns0:t>
        </ns0:is>
      </ns0:c>
      <ns0:c r="AB278" s="28" t="n">
        <ns0:v>0</ns0:v>
      </ns0:c>
      <ns0:c r="AC278" s="28" t="n">
        <ns0:v>1</ns0:v>
      </ns0:c>
      <ns0:c r="AD278" s="29">
        <ns0:f>IF(AND(G278=1,AB278=0),1,0)</ns0:f>
        <ns0:v>1</ns0:v>
      </ns0:c>
      <ns0:c r="AE278" s="29">
        <ns0:f>IF(AND(AD278=1,AC278=0),1,0)</ns0:f>
        <ns0:v>0</ns0:v>
      </ns0:c>
      <ns0:c r="AF278" s="29">
        <ns0:f>IF(AND(G278=1,H278&lt;&gt;"Not specified"),1,0)</ns0:f>
        <ns0:v>0</ns0:v>
      </ns0:c>
      <ns0:c r="AG278" s="29">
        <ns0:f>IF(AND(AE278=1,AF278=1),1,0)</ns0:f>
        <ns0:v>0</ns0:v>
      </ns0:c>
      <ns0:c r="AH278" s="21" t="inlineStr">
        <ns0:is>
          <ns0:t>Author-institution bibliographic record</ns0:t>
        </ns0:is>
      </ns0:c>
      <ns0:c r="AI278" s="21" t="inlineStr">
        <ns0:is>
          <ns0:t>https://findanexpert.unimelb.edu.au/scholarlywork/1533141-three-distinct-neuroanatomical-subtypes-of-autism-spectrum-disorder--revealed-via-machine-learning--and-their-similarities-with-schizophrenia-subtypes</ns0:t>
        </ns0:is>
      </ns0:c>
      <ns0:c r="AJ278" s="21" t="inlineStr">
        <ns0:is>
          <ns0:t>Institutional publication record</ns0:t>
        </ns0:is>
      </ns0:c>
      <ns0:c r="AK278" s="21" t="inlineStr">
        <ns0:is>
          <ns0:t>Semi-supervised MRI subtyping rather than deep learning. Institutional record identifies conference proceedings; full-report status not established.
Conference record in Biological Psychiatry; complete proceedings paper versus abstract-only publication cannot be established from institutional metadata. Exclude from evidence-restricted sensitivity.</ns0:t>
        </ns0:is>
      </ns0:c>
      <ns0:c r="AL278" s="21" t="inlineStr">
        <ns0:is>
          <ns0:t>Not applicable</ns0:t>
        </ns0:is>
      </ns0:c>
      <ns0:c r="AM278" s="21" t="inlineStr">
        <ns0:is>
          <ns0:t>Not separately specified</ns0:t>
        </ns0:is>
      </ns0:c>
      <ns0:c r="AN278" s="21" t="inlineStr">
        <ns0:is>
          <ns0:t>Conference record in Biological Psychiatry; complete proceedings paper versus abstract-only publication cannot be established from institutional metadata. Exclude from evidence-restricted sensitivity.</ns0:t>
        </ns0:is>
      </ns0:c>
      <ns0:c r="AO278" s="21" t="inlineStr">
        <ns0:is>
          <ns0:t>No additional status determination</ns0:t>
        </ns0:is>
      </ns0:c>
      <ns0:c r="AP278" s="21" t="inlineStr">
        <ns0:is>
          <ns0:t>Not documented for this recharting</ns0:t>
        </ns0:is>
      </ns0:c>
      <ns0:c r="AQ278" s="21" t="inlineStr">
        <ns0:is>
          <ns0:t>ChatGPT-assisted evidence recharting, 2026-09-08</ns0:t>
        </ns0:is>
      </ns0:c>
      <ns0:c r="AR278" s="21" t="inlineStr"/>
      <ns0:c r="AS278" s="21" t="inlineStr">
        <ns0:is>
          <ns0:t>Not recorded; historical inclusion retained</ns0:t>
        </ns0:is>
      </ns0:c>
    </ns0:row>
    <ns0:row r="279" ht="50" customHeight="1">
      <ns0:c r="A279" s="19" t="inlineStr">
        <ns0:is>
          <ns0:t>299</ns0:t>
        </ns0:is>
      </ns0:c>
      <ns0:c r="B279" s="19" t="inlineStr">
        <ns0:is>
          <ns0:t>Historical</ns0:t>
        </ns0:is>
      </ns0:c>
      <ns0:c r="C279" s="19" t="inlineStr">
        <ns0:is>
          <ns0:t>Three-dimensional quantification of oxytocin neurons in the hypothalamic paraventricular nucleus reveals sex- and subregion-specific differences in two genetic mouse models of autism</ns0:t>
        </ns0:is>
      </ns0:c>
      <ns0:c r="D279" s="19" t="inlineStr">
        <ns0:is>
          <ns0:t>10.1111/jne.70092</ns0:t>
        </ns0:is>
      </ns0:c>
      <ns0:c r="E279" s="26" t="n">
        <ns0:v>2025</ns0:v>
      </ns0:c>
      <ns0:c r="F279" s="30" t="inlineStr">
        <ns0:is>
          <ns0:t>Exclude</ns0:t>
        </ns0:is>
      </ns0:c>
      <ns0:c r="G279" s="27">
        <ns0:f>IF(F279="Include",1,0)</ns0:f>
        <ns0:v>0</ns0:v>
      </ns0:c>
      <ns0:c r="H279" s="19" t="inlineStr">
        <ns0:is>
          <ns0:t>Excluded</ns0:t>
        </ns0:is>
      </ns0:c>
      <ns0:c r="I279" s="19" t="inlineStr">
        <ns0:is>
          <ns0:t>Excluded</ns0:t>
        </ns0:is>
      </ns0:c>
      <ns0:c r="J279" s="19" t="inlineStr">
        <ns0:is>
          <ns0:t>Excluded</ns0:t>
        </ns0:is>
      </ns0:c>
      <ns0:c r="K279" s="19" t="inlineStr">
        <ns0:is>
          <ns0:t>Not specified</ns0:t>
        </ns0:is>
      </ns0:c>
      <ns0:c r="L279" s="19" t="inlineStr">
        <ns0:is>
          <ns0:t>Multiple/not uniquely specified</ns0:t>
        </ns0:is>
      </ns0:c>
      <ns0:c r="M279" s="19" t="inlineStr">
        <ns0:is>
          <ns0:t>Excluded</ns0:t>
        </ns0:is>
      </ns0:c>
      <ns0:c r="N279" s="19" t="inlineStr">
        <ns0:is>
          <ns0:t>Excluded</ns0:t>
        </ns0:is>
      </ns0:c>
      <ns0:c r="O279" s="19" t="inlineStr">
        <ns0:is>
          <ns0:t>Not applicable - excluded</ns0:t>
        </ns0:is>
      </ns0:c>
      <ns0:c r="P279" s="19" t="inlineStr">
        <ns0:is>
          <ns0:t>Not applicable - excluded</ns0:t>
        </ns0:is>
      </ns0:c>
      <ns0:c r="Q279" s="19" t="inlineStr">
        <ns0:is>
          <ns0:t>Not reported in assessed sources</ns0:t>
        </ns0:is>
      </ns0:c>
      <ns0:c r="R279" s="19" t="inlineStr">
        <ns0:is>
          <ns0:t>Not reported in assessed sources</ns0:t>
        </ns0:is>
      </ns0:c>
      <ns0:c r="S279" s="19" t="inlineStr">
        <ns0:is>
          <ns0:t>Not reported in assessed sources</ns0:t>
        </ns0:is>
      </ns0:c>
      <ns0:c r="T279" s="19" t="inlineStr">
        <ns0:is>
          <ns0:t>Not reported in assessed sources</ns0:t>
        </ns0:is>
      </ns0:c>
      <ns0:c r="U279" s="19" t="inlineStr">
        <ns0:is>
          <ns0:t>Not reported in assessed sources</ns0:t>
        </ns0:is>
      </ns0:c>
      <ns0:c r="V279" s="19" t="inlineStr">
        <ns0:is>
          <ns0:t>Not reported in assessed sources</ns0:t>
        </ns0:is>
      </ns0:c>
      <ns0:c r="W279" s="19" t="inlineStr">
        <ns0:is>
          <ns0:t>Not reported in assessed sources</ns0:t>
        </ns0:is>
      </ns0:c>
      <ns0:c r="X279" s="19" t="inlineStr">
        <ns0:is>
          <ns0:t>Not reported in assessed sources</ns0:t>
        </ns0:is>
      </ns0:c>
      <ns0:c r="Y279" s="19" t="inlineStr">
        <ns0:is>
          <ns0:t>Not ascertainable</ns0:t>
        </ns0:is>
      </ns0:c>
      <ns0:c r="Z279" s="19" t="inlineStr">
        <ns0:is>
          <ns0:t>Not reported in assessed sources</ns0:t>
        </ns0:is>
      </ns0:c>
      <ns0:c r="AA279" s="19" t="inlineStr">
        <ns0:is>
          <ns0:t>Not recorded</ns0:t>
        </ns0:is>
      </ns0:c>
      <ns0:c r="AB279" s="26" t="n">
        <ns0:v>0</ns0:v>
      </ns0:c>
      <ns0:c r="AC279" s="26" t="n">
        <ns0:v>0</ns0:v>
      </ns0:c>
      <ns0:c r="AD279" s="27">
        <ns0:f>IF(AND(G279=1,AB279=0),1,0)</ns0:f>
        <ns0:v>0</ns0:v>
      </ns0:c>
      <ns0:c r="AE279" s="27">
        <ns0:f>IF(AND(AD279=1,AC279=0),1,0)</ns0:f>
        <ns0:v>0</ns0:v>
      </ns0:c>
      <ns0:c r="AF279" s="27">
        <ns0:f>IF(AND(G279=1,H279&lt;&gt;"Not specified"),1,0)</ns0:f>
        <ns0:v>0</ns0:v>
      </ns0:c>
      <ns0:c r="AG279" s="27">
        <ns0:f>IF(AND(AE279=1,AF279=1),1,0)</ns0:f>
        <ns0:v>0</ns0:v>
      </ns0:c>
      <ns0:c r="AH279" s="19" t="inlineStr">
        <ns0:is>
          <ns0:t>Supplied abstract/coding notes; no new full-text verification</ns0:t>
        </ns0:is>
      </ns0:c>
      <ns0:c r="AI279" s="19" t="inlineStr">
        <ns0:is>
          <ns0:t>https://doi.org/10.1111/jne.70092</ns0:t>
        </ns0:is>
      </ns0:c>
      <ns0:c r="AJ279" s="19" t="inlineStr">
        <ns0:is>
          <ns0:t>EVIDENCIA; original abstract/coding notes and lot source trace; Historical signals: title/abstract/notes; full-text completion not independently established</ns0:t>
        </ns0:is>
      </ns0:c>
      <ns0:c r="AK279" s="19" t="inlineStr">
        <ns0:is>
          <ns0:t>Oxytocin-neuron quantification in Cntnap2/Fmr1 knockout mice, without a human ASD evaluation.</ns0:t>
        </ns0:is>
      </ns0:c>
      <ns0:c r="AL279" s="19" t="inlineStr">
        <ns0:is>
          <ns0:t>Non-human study</ns0:t>
        </ns0:is>
      </ns0:c>
      <ns0:c r="AM279" s="19" t="inlineStr">
        <ns0:is>
          <ns0:t>Not separately specified</ns0:t>
        </ns0:is>
      </ns0:c>
      <ns0:c r="AN279" s="19" t="inlineStr"/>
      <ns0:c r="AO279" s="19" t="inlineStr">
        <ns0:is>
          <ns0:t>No additional status determination</ns0:t>
        </ns0:is>
      </ns0:c>
      <ns0:c r="AP279" s="19" t="inlineStr">
        <ns0:is>
          <ns0:t>Not documented for this recharting</ns0:t>
        </ns0:is>
      </ns0:c>
      <ns0:c r="AQ279" s="19" t="inlineStr">
        <ns0:is>
          <ns0:t>ChatGPT-assisted evidence recharting, 2026-09-08</ns0:t>
        </ns0:is>
      </ns0:c>
      <ns0:c r="AR279" s="19" t="inlineStr"/>
      <ns0:c r="AS279" s="19" t="inlineStr">
        <ns0:is>
          <ns0:t>Not recorded; historical inclusion retained</ns0:t>
        </ns0:is>
      </ns0:c>
    </ns0:row>
    <ns0:row r="280" ht="50" customHeight="1">
      <ns0:c r="A280" s="21" t="inlineStr">
        <ns0:is>
          <ns0:t>300</ns0:t>
        </ns0:is>
      </ns0:c>
      <ns0:c r="B280" s="21" t="inlineStr">
        <ns0:is>
          <ns0:t>Historical</ns0:t>
        </ns0:is>
      </ns0:c>
      <ns0:c r="C280" s="21" t="inlineStr">
        <ns0:is>
          <ns0:t>Application of Speech Signal for Early Screening of Children with Autism Spectrum Disorder</ns0:t>
        </ns0:is>
      </ns0:c>
      <ns0:c r="D280" s="21" t="inlineStr">
        <ns0:is>
          <ns0:t>10.1007/978-3-031-62273-1_36</ns0:t>
        </ns0:is>
      </ns0:c>
      <ns0:c r="E280" s="28" t="n">
        <ns0:v>2024</ns0:v>
      </ns0:c>
      <ns0:c r="F280" s="21" t="inlineStr">
        <ns0:is>
          <ns0:t>Include</ns0:t>
        </ns0:is>
      </ns0:c>
      <ns0:c r="G280" s="29">
        <ns0:f>IF(F280="Include",1,0)</ns0:f>
        <ns0:v>1</ns0:v>
      </ns0:c>
      <ns0:c r="H280" s="21" t="inlineStr">
        <ns0:is>
          <ns0:t>Screening</ns0:t>
        </ns0:is>
      </ns0:c>
      <ns0:c r="I280" s="21" t="inlineStr">
        <ns0:is>
          <ns0:t>Not specified</ns0:t>
        </ns0:is>
      </ns0:c>
      <ns0:c r="J280" s="21" t="inlineStr">
        <ns0:is>
          <ns0:t>Audio/voice</ns0:t>
        </ns0:is>
      </ns0:c>
      <ns0:c r="K280" s="21" t="inlineStr">
        <ns0:is>
          <ns0:t>Not specified</ns0:t>
        </ns0:is>
      </ns0:c>
      <ns0:c r="L280" s="21" t="inlineStr">
        <ns0:is>
          <ns0:t>Multiple/not uniquely specified</ns0:t>
        </ns0:is>
      </ns0:c>
      <ns0:c r="M280" s="21" t="inlineStr">
        <ns0:is>
          <ns0:t>Research only</ns0:t>
        </ns0:is>
      </ns0:c>
      <ns0:c r="N280" s="21" t="inlineStr">
        <ns0:is>
          <ns0:t>Automated measurement/classification</ns0:t>
        </ns0:is>
      </ns0:c>
      <ns0:c r="O280" s="21" t="inlineStr">
        <ns0:is>
          <ns0:t>Not observed in assessed sources</ns0:t>
        </ns0:is>
      </ns0:c>
      <ns0:c r="P280" s="21" t="inlineStr">
        <ns0:is>
          <ns0:t>Not observed in assessed sources</ns0:t>
        </ns0:is>
      </ns0:c>
      <ns0:c r="Q280" s="21" t="inlineStr">
        <ns0:is>
          <ns0:t>Not reported in assessed sources</ns0:t>
        </ns0:is>
      </ns0:c>
      <ns0:c r="R280" s="21" t="inlineStr">
        <ns0:is>
          <ns0:t>Not reported in assessed sources</ns0:t>
        </ns0:is>
      </ns0:c>
      <ns0:c r="S280" s="21" t="inlineStr">
        <ns0:is>
          <ns0:t>Not reported in assessed sources</ns0:t>
        </ns0:is>
      </ns0:c>
      <ns0:c r="T280" s="21" t="inlineStr">
        <ns0:is>
          <ns0:t>Not reported in assessed sources</ns0:t>
        </ns0:is>
      </ns0:c>
      <ns0:c r="U280" s="21" t="inlineStr">
        <ns0:is>
          <ns0:t>Not reported in assessed sources</ns0:t>
        </ns0:is>
      </ns0:c>
      <ns0:c r="V280" s="21" t="inlineStr">
        <ns0:is>
          <ns0:t>Not reported in assessed sources</ns0:t>
        </ns0:is>
      </ns0:c>
      <ns0:c r="W280" s="21" t="inlineStr">
        <ns0:is>
          <ns0:t>Not reported in assessed sources</ns0:t>
        </ns0:is>
      </ns0:c>
      <ns0:c r="X280" s="21" t="inlineStr">
        <ns0:is>
          <ns0:t>Not reported in assessed sources</ns0:t>
        </ns0:is>
      </ns0:c>
      <ns0:c r="Y280" s="21" t="inlineStr">
        <ns0:is>
          <ns0:t>Not ascertainable</ns0:t>
        </ns0:is>
      </ns0:c>
      <ns0:c r="Z280" s="21" t="inlineStr">
        <ns0:is>
          <ns0:t>Not reported in assessed sources</ns0:t>
        </ns0:is>
      </ns0:c>
      <ns0:c r="AA280" s="21" t="inlineStr">
        <ns0:is>
          <ns0:t>Not recorded</ns0:t>
        </ns0:is>
      </ns0:c>
      <ns0:c r="AB280" s="28" t="n">
        <ns0:v>0</ns0:v>
      </ns0:c>
      <ns0:c r="AC280" s="28" t="n">
        <ns0:v>0</ns0:v>
      </ns0:c>
      <ns0:c r="AD280" s="29">
        <ns0:f>IF(AND(G280=1,AB280=0),1,0)</ns0:f>
        <ns0:v>1</ns0:v>
      </ns0:c>
      <ns0:c r="AE280" s="29">
        <ns0:f>IF(AND(AD280=1,AC280=0),1,0)</ns0:f>
        <ns0:v>1</ns0:v>
      </ns0:c>
      <ns0:c r="AF280" s="29">
        <ns0:f>IF(AND(G280=1,H280&lt;&gt;"Not specified"),1,0)</ns0:f>
        <ns0:v>1</ns0:v>
      </ns0:c>
      <ns0:c r="AG280" s="29">
        <ns0:f>IF(AND(AE280=1,AF280=1),1,0)</ns0:f>
        <ns0:v>1</ns0:v>
      </ns0:c>
      <ns0:c r="AH280" s="21" t="inlineStr">
        <ns0:is>
          <ns0:t>Supplied abstract/coding notes; no new full-text verification</ns0:t>
        </ns0:is>
      </ns0:c>
      <ns0:c r="AI280" s="21" t="inlineStr">
        <ns0:is>
          <ns0:t>https://doi.org/10.1007/978-3-031-62273-1_36</ns0:t>
        </ns0:is>
      </ns0:c>
      <ns0:c r="AJ280" s="21" t="inlineStr">
        <ns0:is>
          <ns0:t>EVIDENCIA; original abstract/coding notes and lot source trace; Historical signals: title/abstract/notes; full-text completion not independently established</ns0:t>
        </ns0:is>
      </ns0:c>
      <ns0:c r="AK280" s="21" t="inlineStr">
        <ns0:is>
          <ns0:t>Speech is the stated source, not physiological biosignals; available abstract does not establish model family.</ns0:t>
        </ns0:is>
      </ns0:c>
      <ns0:c r="AL280" s="21" t="inlineStr">
        <ns0:is>
          <ns0:t>Not applicable</ns0:t>
        </ns0:is>
      </ns0:c>
      <ns0:c r="AM280" s="21" t="inlineStr">
        <ns0:is>
          <ns0:t>Not separately specified</ns0:t>
        </ns0:is>
      </ns0:c>
      <ns0:c r="AN280" s="21" t="inlineStr"/>
      <ns0:c r="AO280" s="21" t="inlineStr">
        <ns0:is>
          <ns0:t>No additional status determination</ns0:t>
        </ns0:is>
      </ns0:c>
      <ns0:c r="AP280" s="21" t="inlineStr">
        <ns0:is>
          <ns0:t>Not documented for this recharting</ns0:t>
        </ns0:is>
      </ns0:c>
      <ns0:c r="AQ280" s="21" t="inlineStr">
        <ns0:is>
          <ns0:t>ChatGPT-assisted evidence recharting, 2026-09-08</ns0:t>
        </ns0:is>
      </ns0:c>
      <ns0:c r="AR280" s="21" t="inlineStr">
        <ns0:is>
          <ns0:t>RA</ns0:t>
        </ns0:is>
      </ns0:c>
      <ns0:c r="AS280" s="21" t="inlineStr">
        <ns0:is>
          <ns0:t>Not recorded; historical inclusion retained</ns0:t>
        </ns0:is>
      </ns0:c>
    </ns0:row>
    <ns0:row r="281" ht="50" customHeight="1">
      <ns0:c r="A281" s="19" t="inlineStr">
        <ns0:is>
          <ns0:t>new_12</ns0:t>
        </ns0:is>
      </ns0:c>
      <ns0:c r="B281" s="19" t="inlineStr">
        <ns0:is>
          <ns0:t>Update</ns0:t>
        </ns0:is>
      </ns0:c>
      <ns0:c r="C281" s="19" t="inlineStr">
        <ns0:is>
          <ns0:t>Integration of an Artificial Intelligence–Based Autism Diagnostic Device into the ECHO Autism Primary Care Workflow: Prospective Observational Study</ns0:t>
        </ns0:is>
      </ns0:c>
      <ns0:c r="D281" s="19" t="inlineStr">
        <ns0:is>
          <ns0:t>10.2196/80733</ns0:t>
        </ns0:is>
      </ns0:c>
      <ns0:c r="E281" s="26" t="n">
        <ns0:v>2025</ns0:v>
      </ns0:c>
      <ns0:c r="F281" s="19" t="inlineStr">
        <ns0:is>
          <ns0:t>Include</ns0:t>
        </ns0:is>
      </ns0:c>
      <ns0:c r="G281" s="27">
        <ns0:f>IF(F281="Include",1,0)</ns0:f>
        <ns0:v>1</ns0:v>
      </ns0:c>
      <ns0:c r="H281" s="19" t="inlineStr">
        <ns0:is>
          <ns0:t>Diagnosis</ns0:t>
        </ns0:is>
      </ns0:c>
      <ns0:c r="I281" s="19" t="inlineStr">
        <ns0:is>
          <ns0:t>Machine Learning</ns0:t>
        </ns0:is>
      </ns0:c>
      <ns0:c r="J281" s="19" t="inlineStr">
        <ns0:is>
          <ns0:t>Multiple source categories</ns0:t>
        </ns0:is>
      </ns0:c>
      <ns0:c r="K281" s="19" t="inlineStr">
        <ns0:is>
          <ns0:t>Proprietary ML; family unspecified</ns0:t>
        </ns0:is>
      </ns0:c>
      <ns0:c r="L281" s="19" t="inlineStr">
        <ns0:is>
          <ns0:t>Multiple/not uniquely specified</ns0:t>
        </ns0:is>
      </ns0:c>
      <ns0:c r="M281" s="19" t="inlineStr">
        <ns0:is>
          <ns0:t>Evaluated at point of use</ns0:t>
        </ns0:is>
      </ns0:c>
      <ns0:c r="N281" s="19" t="inlineStr">
        <ns0:is>
          <ns0:t>Diagnostic decision support</ns0:t>
        </ns0:is>
      </ns0:c>
      <ns0:c r="O281" s="19" t="inlineStr">
        <ns0:is>
          <ns0:t>In-decision</ns0:t>
        </ns0:is>
      </ns0:c>
      <ns0:c r="P281" s="19" t="inlineStr">
        <ns0:is>
          <ns0:t>In-decision</ns0:t>
        </ns0:is>
      </ns0:c>
      <ns0:c r="Q281" s="19" t="inlineStr">
        <ns0:is>
          <ns0:t>Not reported in assessed sources</ns0:t>
        </ns0:is>
      </ns0:c>
      <ns0:c r="R281" s="19" t="inlineStr">
        <ns0:is>
          <ns0:t>Not ascertainable</ns0:t>
        </ns0:is>
      </ns0:c>
      <ns0:c r="S281" s="19" t="inlineStr">
        <ns0:is>
          <ns0:t>Not reported in assessed sources</ns0:t>
        </ns0:is>
      </ns0:c>
      <ns0:c r="T281" s="19" t="inlineStr">
        <ns0:is>
          <ns0:t>Not reported in assessed sources</ns0:t>
        </ns0:is>
      </ns0:c>
      <ns0:c r="U281" s="19" t="inlineStr">
        <ns0:is>
          <ns0:t>Not reported in assessed sources</ns0:t>
        </ns0:is>
      </ns0:c>
      <ns0:c r="V281" s="19" t="inlineStr">
        <ns0:is>
          <ns0:t>Not reported in assessed sources</ns0:t>
        </ns0:is>
      </ns0:c>
      <ns0:c r="W281" s="19" t="inlineStr">
        <ns0:is>
          <ns0:t>Reported</ns0:t>
        </ns0:is>
      </ns0:c>
      <ns0:c r="X281" s="19" t="inlineStr">
        <ns0:is>
          <ns0:t>Reported</ns0:t>
        </ns0:is>
      </ns0:c>
      <ns0:c r="Y281" s="19" t="inlineStr">
        <ns0:is>
          <ns0:t>Not ascertainable</ns0:t>
        </ns0:is>
      </ns0:c>
      <ns0:c r="Z281" s="19" t="inlineStr">
        <ns0:is>
          <ns0:t>Not reported in assessed sources</ns0:t>
        </ns0:is>
      </ns0:c>
      <ns0:c r="AA281" s="19" t="inlineStr">
        <ns0:is>
          <ns0:t>Not recorded</ns0:t>
        </ns0:is>
      </ns0:c>
      <ns0:c r="AB281" s="26" t="n">
        <ns0:v>0</ns0:v>
      </ns0:c>
      <ns0:c r="AC281" s="26" t="n">
        <ns0:v>0</ns0:v>
      </ns0:c>
      <ns0:c r="AD281" s="27">
        <ns0:f>IF(AND(G281=1,AB281=0),1,0)</ns0:f>
        <ns0:v>1</ns0:v>
      </ns0:c>
      <ns0:c r="AE281" s="27">
        <ns0:f>IF(AND(AD281=1,AC281=0),1,0)</ns0:f>
        <ns0:v>1</ns0:v>
      </ns0:c>
      <ns0:c r="AF281" s="27">
        <ns0:f>IF(AND(G281=1,H281&lt;&gt;"Not specified"),1,0)</ns0:f>
        <ns0:v>1</ns0:v>
      </ns0:c>
      <ns0:c r="AG281" s="27">
        <ns0:f>IF(AND(AE281=1,AF281=1),1,0)</ns0:f>
        <ns0:v>1</ns0:v>
      </ns0:c>
      <ns0:c r="AH281" s="19" t="inlineStr">
        <ns0:is>
          <ns0:t>Supplied abstract/coding notes; no new full-text verification</ns0:t>
        </ns0:is>
      </ns0:c>
      <ns0:c r="AI281" s="19" t="inlineStr">
        <ns0:is>
          <ns0:t>https://doi.org/10.2196/80733</ns0:t>
        </ns0:is>
      </ns0:c>
      <ns0:c r="AJ281" s="19" t="inlineStr">
        <ns0:is>
          <ns0:t>EVIDENCIA; original abstract/coding notes and lot source trace; Inherited scoped adjudication; see source level and lot caveats</ns0:t>
        </ns0:is>
      </ns0:c>
      <ns0:c r="AK281" s="19" t="inlineStr">
        <ns0:is>
          <ns0:t>Canvas Dx explicitly integrated into ECHO primary-care diagnostic workflow; prospective observational evaluation, not merely an offline classifier.</ns0:t>
        </ns0:is>
      </ns0:c>
      <ns0:c r="AL281" s="19" t="inlineStr">
        <ns0:is>
          <ns0:t>Not applicable</ns0:t>
        </ns0:is>
      </ns0:c>
      <ns0:c r="AM281" s="19" t="inlineStr">
        <ns0:is>
          <ns0:t>Not separately specified</ns0:t>
        </ns0:is>
      </ns0:c>
      <ns0:c r="AN281" s="19" t="inlineStr"/>
      <ns0:c r="AO281" s="19" t="inlineStr">
        <ns0:is>
          <ns0:t>No additional status determination</ns0:t>
        </ns0:is>
      </ns0:c>
      <ns0:c r="AP281" s="19" t="inlineStr">
        <ns0:is>
          <ns0:t>Not documented for this recharting</ns0:t>
        </ns0:is>
      </ns0:c>
      <ns0:c r="AQ281" s="19" t="inlineStr">
        <ns0:is>
          <ns0:t>ChatGPT-assisted evidence recharting, 2026-09-08</ns0:t>
        </ns0:is>
      </ns0:c>
      <ns0:c r="AR281" s="19" t="inlineStr">
        <ns0:is>
          <ns0:t>Revisión asistida por IA (un revisor; requiere verificación independiente)</ns0:t>
        </ns0:is>
      </ns0:c>
      <ns0:c r="AS281" s="19" t="inlineStr">
        <ns0:is>
          <ns0:t>Retrieved and reviewed</ns0:t>
        </ns0:is>
      </ns0:c>
    </ns0:row>
    <ns0:row r="282" ht="50" customHeight="1">
      <ns0:c r="A282" s="21" t="inlineStr">
        <ns0:is>
          <ns0:t>new_13</ns0:t>
        </ns0:is>
      </ns0:c>
      <ns0:c r="B282" s="21" t="inlineStr">
        <ns0:is>
          <ns0:t>Update</ns0:t>
        </ns0:is>
      </ns0:c>
      <ns0:c r="C282" s="23" t="inlineStr">
        <ns0:is>
          <ns0:t>In-silico assessment of dynamic symbiotic microbial interactions in a reduced microbiota related to the autism spectrum disorder symptoms</ns0:t>
        </ns0:is>
      </ns0:c>
      <ns0:c r="D282" s="21" t="inlineStr">
        <ns0:is>
          <ns0:t>10.1016/j.csbj.2025.09.006</ns0:t>
        </ns0:is>
      </ns0:c>
      <ns0:c r="E282" s="28" t="n">
        <ns0:v>2025</ns0:v>
      </ns0:c>
      <ns0:c r="F282" s="21" t="inlineStr">
        <ns0:is>
          <ns0:t>Include</ns0:t>
        </ns0:is>
      </ns0:c>
      <ns0:c r="G282" s="29">
        <ns0:f>IF(F282="Include",1,0)</ns0:f>
        <ns0:v>1</ns0:v>
      </ns0:c>
      <ns0:c r="H282" s="21" t="inlineStr">
        <ns0:is>
          <ns0:t>Not specified</ns0:t>
        </ns0:is>
      </ns0:c>
      <ns0:c r="I282" s="21" t="inlineStr">
        <ns0:is>
          <ns0:t>Machine Learning</ns0:t>
        </ns0:is>
      </ns0:c>
      <ns0:c r="J282" s="21" t="inlineStr">
        <ns0:is>
          <ns0:t>Biological/omics</ns0:t>
        </ns0:is>
      </ns0:c>
      <ns0:c r="K282" s="21" t="inlineStr">
        <ns0:is>
          <ns0:t>Constraint-based modeling / ML unspecified</ns0:t>
        </ns0:is>
      </ns0:c>
      <ns0:c r="L282" s="21" t="inlineStr">
        <ns0:is>
          <ns0:t>Multiple/not uniquely specified</ns0:t>
        </ns0:is>
      </ns0:c>
      <ns0:c r="M282" s="21" t="inlineStr">
        <ns0:is>
          <ns0:t>Research only</ns0:t>
        </ns0:is>
      </ns0:c>
      <ns0:c r="N282" s="21" t="inlineStr">
        <ns0:is>
          <ns0:t>Research characterization</ns0:t>
        </ns0:is>
      </ns0:c>
      <ns0:c r="O282" s="21" t="inlineStr">
        <ns0:is>
          <ns0:t>Not observed in assessed sources</ns0:t>
        </ns0:is>
      </ns0:c>
      <ns0:c r="P282" s="21" t="inlineStr">
        <ns0:is>
          <ns0:t>Not observed in assessed sources</ns0:t>
        </ns0:is>
      </ns0:c>
      <ns0:c r="Q282" s="21" t="inlineStr">
        <ns0:is>
          <ns0:t>Not reported in assessed sources</ns0:t>
        </ns0:is>
      </ns0:c>
      <ns0:c r="R282" s="21" t="inlineStr">
        <ns0:is>
          <ns0:t>Not reported in assessed sources</ns0:t>
        </ns0:is>
      </ns0:c>
      <ns0:c r="S282" s="21" t="inlineStr">
        <ns0:is>
          <ns0:t>Reported</ns0:t>
        </ns0:is>
      </ns0:c>
      <ns0:c r="T282" s="21" t="inlineStr">
        <ns0:is>
          <ns0:t>Not reported in assessed sources</ns0:t>
        </ns0:is>
      </ns0:c>
      <ns0:c r="U282" s="21" t="inlineStr">
        <ns0:is>
          <ns0:t>Not reported in assessed sources</ns0:t>
        </ns0:is>
      </ns0:c>
      <ns0:c r="V282" s="21" t="inlineStr">
        <ns0:is>
          <ns0:t>Not reported in assessed sources</ns0:t>
        </ns0:is>
      </ns0:c>
      <ns0:c r="W282" s="21" t="inlineStr">
        <ns0:is>
          <ns0:t>Not reported in assessed sources</ns0:t>
        </ns0:is>
      </ns0:c>
      <ns0:c r="X282" s="21" t="inlineStr">
        <ns0:is>
          <ns0:t>Not reported in assessed sources</ns0:t>
        </ns0:is>
      </ns0:c>
      <ns0:c r="Y282" s="21" t="inlineStr">
        <ns0:is>
          <ns0:t>Not ascertainable</ns0:t>
        </ns0:is>
      </ns0:c>
      <ns0:c r="Z282" s="21" t="inlineStr">
        <ns0:is>
          <ns0:t>Reported</ns0:t>
        </ns0:is>
      </ns0:c>
      <ns0:c r="AA282" s="21" t="inlineStr">
        <ns0:is>
          <ns0:t>Not recorded</ns0:t>
        </ns0:is>
      </ns0:c>
      <ns0:c r="AB282" s="28" t="n">
        <ns0:v>0</ns0:v>
      </ns0:c>
      <ns0:c r="AC282" s="28" t="n">
        <ns0:v>1</ns0:v>
      </ns0:c>
      <ns0:c r="AD282" s="29">
        <ns0:f>IF(AND(G282=1,AB282=0),1,0)</ns0:f>
        <ns0:v>1</ns0:v>
      </ns0:c>
      <ns0:c r="AE282" s="29">
        <ns0:f>IF(AND(AD282=1,AC282=0),1,0)</ns0:f>
        <ns0:v>0</ns0:v>
      </ns0:c>
      <ns0:c r="AF282" s="29">
        <ns0:f>IF(AND(G282=1,H282&lt;&gt;"Not specified"),1,0)</ns0:f>
        <ns0:v>0</ns0:v>
      </ns0:c>
      <ns0:c r="AG282" s="29">
        <ns0:f>IF(AND(AE282=1,AF282=1),1,0)</ns0:f>
        <ns0:v>0</ns0:v>
      </ns0:c>
      <ns0:c r="AH282" s="21" t="inlineStr">
        <ns0:is>
          <ns0:t>Supplied abstract/coding notes; no new full-text verification</ns0:t>
        </ns0:is>
      </ns0:c>
      <ns0:c r="AI282" s="21" t="inlineStr">
        <ns0:is>
          <ns0:t>https://doi.org/10.1016/j.csbj.2025.09.006</ns0:t>
        </ns0:is>
      </ns0:c>
      <ns0:c r="AJ282" s="21" t="inlineStr">
        <ns0:is>
          <ns0:t>EVIDENCIA; original abstract/coding notes and lot source trace; Inherited scoped adjudication; see source level and lot caveats</ns0:t>
        </ns0:is>
      </ns0:c>
      <ns0:c r="AK282" s="21" t="inlineStr">
        <ns0:is>
          <ns0:t>Diet-dependent microbial simulations contextualize ML predictions; no deep neural component establishes a Hybrid category.
Human-derived microbial ML context with in-silico metabolic modeling; exclude in direct clinical-endpoint sensitivity.</ns0:t>
        </ns0:is>
      </ns0:c>
      <ns0:c r="AL282" s="21" t="inlineStr">
        <ns0:is>
          <ns0:t>Not applicable</ns0:t>
        </ns0:is>
      </ns0:c>
      <ns0:c r="AM282" s="21" t="inlineStr">
        <ns0:is>
          <ns0:t>Not separately specified</ns0:t>
        </ns0:is>
      </ns0:c>
      <ns0:c r="AN282" s="21" t="inlineStr">
        <ns0:is>
          <ns0:t>Human-derived microbial ML context with in-silico metabolic modeling; exclude in direct clinical-endpoint sensitivity.</ns0:t>
        </ns0:is>
      </ns0:c>
      <ns0:c r="AO282" s="21" t="inlineStr">
        <ns0:is>
          <ns0:t>No additional status determination</ns0:t>
        </ns0:is>
      </ns0:c>
      <ns0:c r="AP282" s="21" t="inlineStr">
        <ns0:is>
          <ns0:t>Not documented for this recharting</ns0:t>
        </ns0:is>
      </ns0:c>
      <ns0:c r="AQ282" s="21" t="inlineStr">
        <ns0:is>
          <ns0:t>ChatGPT-assisted evidence recharting, 2026-09-08</ns0:t>
        </ns0:is>
      </ns0:c>
      <ns0:c r="AR282" s="21" t="inlineStr">
        <ns0:is>
          <ns0:t>Revisión asistida por IA (un revisor; requiere verificación independiente)</ns0:t>
        </ns0:is>
      </ns0:c>
      <ns0:c r="AS282" s="21" t="inlineStr">
        <ns0:is>
          <ns0:t>Retrieved and reviewed</ns0:t>
        </ns0:is>
      </ns0:c>
    </ns0:row>
    <ns0:row r="283" ht="50" customHeight="1">
      <ns0:c r="A283" s="19" t="inlineStr">
        <ns0:is>
          <ns0:t>new_35</ns0:t>
        </ns0:is>
      </ns0:c>
      <ns0:c r="B283" s="19" t="inlineStr">
        <ns0:is>
          <ns0:t>Update</ns0:t>
        </ns0:is>
      </ns0:c>
      <ns0:c r="C283" s="19" t="inlineStr">
        <ns0:is>
          <ns0:t>Deep Learning Approaches for Classifying Children With and Without Autism Spectrum Disorder Using Inertial Measurement Unit Hand Tracking Data: Comparative Study</ns0:t>
        </ns0:is>
      </ns0:c>
      <ns0:c r="D283" s="19" t="inlineStr">
        <ns0:is>
          <ns0:t>10.2196/73440</ns0:t>
        </ns0:is>
      </ns0:c>
      <ns0:c r="E283" s="26" t="n">
        <ns0:v>2025</ns0:v>
      </ns0:c>
      <ns0:c r="F283" s="19" t="inlineStr">
        <ns0:is>
          <ns0:t>Include</ns0:t>
        </ns0:is>
      </ns0:c>
      <ns0:c r="G283" s="27">
        <ns0:f>IF(F283="Include",1,0)</ns0:f>
        <ns0:v>1</ns0:v>
      </ns0:c>
      <ns0:c r="H283" s="19" t="inlineStr">
        <ns0:is>
          <ns0:t>Diagnosis</ns0:t>
        </ns0:is>
      </ns0:c>
      <ns0:c r="I283" s="19" t="inlineStr">
        <ns0:is>
          <ns0:t>Deep Learning</ns0:t>
        </ns0:is>
      </ns0:c>
      <ns0:c r="J283" s="19" t="inlineStr">
        <ns0:is>
          <ns0:t>Behavioral images/video/gaze/movement</ns0:t>
        </ns0:is>
      </ns0:c>
      <ns0:c r="K283" s="19" t="inlineStr">
        <ns0:is>
          <ns0:t>Autoencoder + LSTM</ns0:t>
        </ns0:is>
      </ns0:c>
      <ns0:c r="L283" s="19" t="inlineStr">
        <ns0:is>
          <ns0:t>Composite/ensemble pipeline</ns0:t>
        </ns0:is>
      </ns0:c>
      <ns0:c r="M283" s="19" t="inlineStr">
        <ns0:is>
          <ns0:t>Research only</ns0:t>
        </ns0:is>
      </ns0:c>
      <ns0:c r="N283" s="19" t="inlineStr">
        <ns0:is>
          <ns0:t>Automated measurement/classification</ns0:t>
        </ns0:is>
      </ns0:c>
      <ns0:c r="O283" s="19" t="inlineStr">
        <ns0:is>
          <ns0:t>Not observed in assessed sources</ns0:t>
        </ns0:is>
      </ns0:c>
      <ns0:c r="P283" s="19" t="inlineStr">
        <ns0:is>
          <ns0:t>Not observed in assessed sources</ns0:t>
        </ns0:is>
      </ns0:c>
      <ns0:c r="Q283" s="19" t="inlineStr">
        <ns0:is>
          <ns0:t>Not reported in assessed sources</ns0:t>
        </ns0:is>
      </ns0:c>
      <ns0:c r="R283" s="19" t="inlineStr">
        <ns0:is>
          <ns0:t>Not reported in assessed sources</ns0:t>
        </ns0:is>
      </ns0:c>
      <ns0:c r="S283" s="19" t="inlineStr">
        <ns0:is>
          <ns0:t>Not reported in assessed sources</ns0:t>
        </ns0:is>
      </ns0:c>
      <ns0:c r="T283" s="19" t="inlineStr">
        <ns0:is>
          <ns0:t>Not reported in assessed sources</ns0:t>
        </ns0:is>
      </ns0:c>
      <ns0:c r="U283" s="19" t="inlineStr">
        <ns0:is>
          <ns0:t>Not reported in assessed sources</ns0:t>
        </ns0:is>
      </ns0:c>
      <ns0:c r="V283" s="19" t="inlineStr">
        <ns0:is>
          <ns0:t>Not reported in assessed sources</ns0:t>
        </ns0:is>
      </ns0:c>
      <ns0:c r="W283" s="19" t="inlineStr">
        <ns0:is>
          <ns0:t>Not reported in assessed sources</ns0:t>
        </ns0:is>
      </ns0:c>
      <ns0:c r="X283" s="19" t="inlineStr">
        <ns0:is>
          <ns0:t>Not reported in assessed sources</ns0:t>
        </ns0:is>
      </ns0:c>
      <ns0:c r="Y283" s="19" t="inlineStr">
        <ns0:is>
          <ns0:t>Not ascertainable</ns0:t>
        </ns0:is>
      </ns0:c>
      <ns0:c r="Z283" s="19" t="inlineStr">
        <ns0:is>
          <ns0:t>Not reported in assessed sources</ns0:t>
        </ns0:is>
      </ns0:c>
      <ns0:c r="AA283" s="19" t="inlineStr">
        <ns0:is>
          <ns0:t>Not recorded</ns0:t>
        </ns0:is>
      </ns0:c>
      <ns0:c r="AB283" s="26" t="n">
        <ns0:v>0</ns0:v>
      </ns0:c>
      <ns0:c r="AC283" s="26" t="n">
        <ns0:v>0</ns0:v>
      </ns0:c>
      <ns0:c r="AD283" s="27">
        <ns0:f>IF(AND(G283=1,AB283=0),1,0)</ns0:f>
        <ns0:v>1</ns0:v>
      </ns0:c>
      <ns0:c r="AE283" s="27">
        <ns0:f>IF(AND(AD283=1,AC283=0),1,0)</ns0:f>
        <ns0:v>1</ns0:v>
      </ns0:c>
      <ns0:c r="AF283" s="27">
        <ns0:f>IF(AND(G283=1,H283&lt;&gt;"Not specified"),1,0)</ns0:f>
        <ns0:v>1</ns0:v>
      </ns0:c>
      <ns0:c r="AG283" s="27">
        <ns0:f>IF(AND(AE283=1,AF283=1),1,0)</ns0:f>
        <ns0:v>1</ns0:v>
      </ns0:c>
      <ns0:c r="AH283" s="19" t="inlineStr">
        <ns0:is>
          <ns0:t>Supplied abstract/coding notes; no new full-text verification</ns0:t>
        </ns0:is>
      </ns0:c>
      <ns0:c r="AI283" s="19" t="inlineStr">
        <ns0:is>
          <ns0:t>https://doi.org/10.2196/73440</ns0:t>
        </ns0:is>
      </ns0:c>
      <ns0:c r="AJ283" s="19" t="inlineStr">
        <ns0:is>
          <ns0:t>EVIDENCIA; original abstract/coding notes and lot source trace; Inherited scoped adjudication; see source level and lot caveats</ns0:t>
        </ns0:is>
      </ns0:c>
      <ns0:c r="AK283" s="19" t="inlineStr">
        <ns0:is>
          <ns0:t>Inertial hand-movement recordings are behavioral motor data, not physiological biosignals; classifier comparison without care deployment.</ns0:t>
        </ns0:is>
      </ns0:c>
      <ns0:c r="AL283" s="19" t="inlineStr">
        <ns0:is>
          <ns0:t>Not applicable</ns0:t>
        </ns0:is>
      </ns0:c>
      <ns0:c r="AM283" s="19" t="inlineStr">
        <ns0:is>
          <ns0:t>Not separately specified</ns0:t>
        </ns0:is>
      </ns0:c>
      <ns0:c r="AN283" s="19" t="inlineStr"/>
      <ns0:c r="AO283" s="19" t="inlineStr">
        <ns0:is>
          <ns0:t>No additional status determination</ns0:t>
        </ns0:is>
      </ns0:c>
      <ns0:c r="AP283" s="19" t="inlineStr">
        <ns0:is>
          <ns0:t>Not documented for this recharting</ns0:t>
        </ns0:is>
      </ns0:c>
      <ns0:c r="AQ283" s="19" t="inlineStr">
        <ns0:is>
          <ns0:t>ChatGPT-assisted evidence recharting, 2026-09-08</ns0:t>
        </ns0:is>
      </ns0:c>
      <ns0:c r="AR283" s="19" t="inlineStr">
        <ns0:is>
          <ns0:t>Revisión asistida por IA (un revisor; requiere verificación independiente)</ns0:t>
        </ns0:is>
      </ns0:c>
      <ns0:c r="AS283" s="19" t="inlineStr">
        <ns0:is>
          <ns0:t>Retrieved and reviewed</ns0:t>
        </ns0:is>
      </ns0:c>
    </ns0:row>
    <ns0:row r="284" ht="50" customHeight="1">
      <ns0:c r="A284" s="21" t="inlineStr">
        <ns0:is>
          <ns0:t>new_50</ns0:t>
        </ns0:is>
      </ns0:c>
      <ns0:c r="B284" s="21" t="inlineStr">
        <ns0:is>
          <ns0:t>Update</ns0:t>
        </ns0:is>
      </ns0:c>
      <ns0:c r="C284" s="21" t="inlineStr">
        <ns0:is>
          <ns0:t>Effectiveness of Artificial Intelligence–Based Platform in Administering Therapies for Children With Autism Spectrum Disorder: 12-Month Observational Study</ns0:t>
        </ns0:is>
      </ns0:c>
      <ns0:c r="D284" s="21" t="inlineStr">
        <ns0:is>
          <ns0:t>10.2196/70589</ns0:t>
        </ns0:is>
      </ns0:c>
      <ns0:c r="E284" s="28" t="n">
        <ns0:v>2025</ns0:v>
      </ns0:c>
      <ns0:c r="F284" s="21" t="inlineStr">
        <ns0:is>
          <ns0:t>Include</ns0:t>
        </ns0:is>
      </ns0:c>
      <ns0:c r="G284" s="29">
        <ns0:f>IF(F284="Include",1,0)</ns0:f>
        <ns0:v>1</ns0:v>
      </ns0:c>
      <ns0:c r="H284" s="21" t="inlineStr">
        <ns0:is>
          <ns0:t>Monitoring/intervention</ns0:t>
        </ns0:is>
      </ns0:c>
      <ns0:c r="I284" s="21" t="inlineStr">
        <ns0:is>
          <ns0:t>Not specified</ns0:t>
        </ns0:is>
      </ns0:c>
      <ns0:c r="J284" s="21" t="inlineStr">
        <ns0:is>
          <ns0:t>Not specified</ns0:t>
        </ns0:is>
      </ns0:c>
      <ns0:c r="K284" s="21" t="inlineStr">
        <ns0:is>
          <ns0:t>Proprietary AI; family unspecified</ns0:t>
        </ns0:is>
      </ns0:c>
      <ns0:c r="L284" s="21" t="inlineStr">
        <ns0:is>
          <ns0:t>Multiple/not uniquely specified</ns0:t>
        </ns0:is>
      </ns0:c>
      <ns0:c r="M284" s="21" t="inlineStr">
        <ns0:is>
          <ns0:t>Evaluated care-delivery platform</ns0:t>
        </ns0:is>
      </ns0:c>
      <ns0:c r="N284" s="21" t="inlineStr">
        <ns0:is>
          <ns0:t>Adaptive intervention</ns0:t>
        </ns0:is>
      </ns0:c>
      <ns0:c r="O284" s="21" t="inlineStr">
        <ns0:is>
          <ns0:t>Post-decision</ns0:t>
        </ns0:is>
      </ns0:c>
      <ns0:c r="P284" s="21" t="inlineStr">
        <ns0:is>
          <ns0:t>Post-decision</ns0:t>
        </ns0:is>
      </ns0:c>
      <ns0:c r="Q284" s="21" t="inlineStr">
        <ns0:is>
          <ns0:t>Not reported in assessed sources</ns0:t>
        </ns0:is>
      </ns0:c>
      <ns0:c r="R284" s="21" t="inlineStr">
        <ns0:is>
          <ns0:t>Not reported in assessed sources</ns0:t>
        </ns0:is>
      </ns0:c>
      <ns0:c r="S284" s="21" t="inlineStr">
        <ns0:is>
          <ns0:t>Not reported in assessed sources</ns0:t>
        </ns0:is>
      </ns0:c>
      <ns0:c r="T284" s="21" t="inlineStr">
        <ns0:is>
          <ns0:t>Not reported in assessed sources</ns0:t>
        </ns0:is>
      </ns0:c>
      <ns0:c r="U284" s="21" t="inlineStr">
        <ns0:is>
          <ns0:t>Not reported in assessed sources</ns0:t>
        </ns0:is>
      </ns0:c>
      <ns0:c r="V284" s="21" t="inlineStr">
        <ns0:is>
          <ns0:t>Not reported in assessed sources</ns0:t>
        </ns0:is>
      </ns0:c>
      <ns0:c r="W284" s="21" t="inlineStr">
        <ns0:is>
          <ns0:t>Not reported in assessed sources</ns0:t>
        </ns0:is>
      </ns0:c>
      <ns0:c r="X284" s="21" t="inlineStr">
        <ns0:is>
          <ns0:t>Reported</ns0:t>
        </ns0:is>
      </ns0:c>
      <ns0:c r="Y284" s="21" t="inlineStr">
        <ns0:is>
          <ns0:t>Not ascertainable</ns0:t>
        </ns0:is>
      </ns0:c>
      <ns0:c r="Z284" s="21" t="inlineStr">
        <ns0:is>
          <ns0:t>Not reported in assessed sources</ns0:t>
        </ns0:is>
      </ns0:c>
      <ns0:c r="AA284" s="21" t="inlineStr">
        <ns0:is>
          <ns0:t>Not recorded</ns0:t>
        </ns0:is>
      </ns0:c>
      <ns0:c r="AB284" s="28" t="n">
        <ns0:v>0</ns0:v>
      </ns0:c>
      <ns0:c r="AC284" s="28" t="n">
        <ns0:v>0</ns0:v>
      </ns0:c>
      <ns0:c r="AD284" s="29">
        <ns0:f>IF(AND(G284=1,AB284=0),1,0)</ns0:f>
        <ns0:v>1</ns0:v>
      </ns0:c>
      <ns0:c r="AE284" s="29">
        <ns0:f>IF(AND(AD284=1,AC284=0),1,0)</ns0:f>
        <ns0:v>1</ns0:v>
      </ns0:c>
      <ns0:c r="AF284" s="29">
        <ns0:f>IF(AND(G284=1,H284&lt;&gt;"Not specified"),1,0)</ns0:f>
        <ns0:v>1</ns0:v>
      </ns0:c>
      <ns0:c r="AG284" s="29">
        <ns0:f>IF(AND(AE284=1,AF284=1),1,0)</ns0:f>
        <ns0:v>1</ns0:v>
      </ns0:c>
      <ns0:c r="AH284" s="21" t="inlineStr">
        <ns0:is>
          <ns0:t>Supplied abstract/coding notes; no new full-text verification</ns0:t>
        </ns0:is>
      </ns0:c>
      <ns0:c r="AI284" s="21" t="inlineStr">
        <ns0:is>
          <ns0:t>https://doi.org/10.2196/70589</ns0:t>
        </ns0:is>
      </ns0:c>
      <ns0:c r="AJ284" s="21" t="inlineStr">
        <ns0:is>
          <ns0:t>EVIDENCIA; original abstract/coding notes and lot source trace; Inherited scoped adjudication; see source level and lot caveats</ns0:t>
        </ns0:is>
      </ns0:c>
      <ns0:c r="AK284" s="21" t="inlineStr">
        <ns0:is>
          <ns0:t>CognitiveBotics platform used alongside therapy over 12 months. Assessment scales are outcomes and do not establish the AI input modality or architecture.
Nonrandom adherence-defined groups and concurrent standard therapy; do not attribute observed improvement causally to AI.</ns0:t>
        </ns0:is>
      </ns0:c>
      <ns0:c r="AL284" s="21" t="inlineStr">
        <ns0:is>
          <ns0:t>Not applicable</ns0:t>
        </ns0:is>
      </ns0:c>
      <ns0:c r="AM284" s="21" t="inlineStr">
        <ns0:is>
          <ns0:t>Not separately specified</ns0:t>
        </ns0:is>
      </ns0:c>
      <ns0:c r="AN284" s="21" t="inlineStr"/>
      <ns0:c r="AO284" s="21" t="inlineStr">
        <ns0:is>
          <ns0:t>No additional status determination</ns0:t>
        </ns0:is>
      </ns0:c>
      <ns0:c r="AP284" s="21" t="inlineStr">
        <ns0:is>
          <ns0:t>Not documented for this recharting</ns0:t>
        </ns0:is>
      </ns0:c>
      <ns0:c r="AQ284" s="21" t="inlineStr">
        <ns0:is>
          <ns0:t>ChatGPT-assisted evidence recharting, 2026-09-08</ns0:t>
        </ns0:is>
      </ns0:c>
      <ns0:c r="AR284" s="21" t="inlineStr">
        <ns0:is>
          <ns0:t>Revisión asistida por IA (un revisor; requiere verificación independiente)</ns0:t>
        </ns0:is>
      </ns0:c>
      <ns0:c r="AS284" s="21" t="inlineStr">
        <ns0:is>
          <ns0:t>Retrieved and reviewed</ns0:t>
        </ns0:is>
      </ns0:c>
    </ns0:row>
    <ns0:row r="285" ht="50" customHeight="1">
      <ns0:c r="A285" s="19" t="inlineStr">
        <ns0:is>
          <ns0:t>new_93</ns0:t>
        </ns0:is>
      </ns0:c>
      <ns0:c r="B285" s="19" t="inlineStr">
        <ns0:is>
          <ns0:t>Update</ns0:t>
        </ns0:is>
      </ns0:c>
      <ns0:c r="C285" s="19" t="inlineStr">
        <ns0:is>
          <ns0:t>Large language models deconstruct the clinical intuition behind diagnosing autism</ns0:t>
        </ns0:is>
      </ns0:c>
      <ns0:c r="D285" s="19" t="inlineStr">
        <ns0:is>
          <ns0:t>10.1016/j.cell.2025.02.025</ns0:t>
        </ns0:is>
      </ns0:c>
      <ns0:c r="E285" s="26" t="n">
        <ns0:v>2025</ns0:v>
      </ns0:c>
      <ns0:c r="F285" s="19" t="inlineStr">
        <ns0:is>
          <ns0:t>Include</ns0:t>
        </ns0:is>
      </ns0:c>
      <ns0:c r="G285" s="27">
        <ns0:f>IF(F285="Include",1,0)</ns0:f>
        <ns0:v>1</ns0:v>
      </ns0:c>
      <ns0:c r="H285" s="19" t="inlineStr">
        <ns0:is>
          <ns0:t>Diagnosis</ns0:t>
        </ns0:is>
      </ns0:c>
      <ns0:c r="I285" s="19" t="inlineStr">
        <ns0:is>
          <ns0:t>Deep Learning</ns0:t>
        </ns0:is>
      </ns0:c>
      <ns0:c r="J285" s="19" t="inlineStr">
        <ns0:is>
          <ns0:t>Text/language</ns0:t>
        </ns0:is>
      </ns0:c>
      <ns0:c r="K285" s="19" t="inlineStr">
        <ns0:is>
          <ns0:t>Transformer</ns0:t>
        </ns0:is>
      </ns0:c>
      <ns0:c r="L285" s="19" t="inlineStr">
        <ns0:is>
          <ns0:t>Transformer</ns0:t>
        </ns0:is>
      </ns0:c>
      <ns0:c r="M285" s="19" t="inlineStr">
        <ns0:is>
          <ns0:t>Research only</ns0:t>
        </ns0:is>
      </ns0:c>
      <ns0:c r="N285" s="19" t="inlineStr">
        <ns0:is>
          <ns0:t>Automated measurement/classification</ns0:t>
        </ns0:is>
      </ns0:c>
      <ns0:c r="O285" s="19" t="inlineStr">
        <ns0:is>
          <ns0:t>Not observed in assessed sources</ns0:t>
        </ns0:is>
      </ns0:c>
      <ns0:c r="P285" s="19" t="inlineStr">
        <ns0:is>
          <ns0:t>Not observed in assessed sources</ns0:t>
        </ns0:is>
      </ns0:c>
      <ns0:c r="Q285" s="19" t="inlineStr">
        <ns0:is>
          <ns0:t>Not reported in assessed sources</ns0:t>
        </ns0:is>
      </ns0:c>
      <ns0:c r="R285" s="19" t="inlineStr">
        <ns0:is>
          <ns0:t>Not reported in assessed sources</ns0:t>
        </ns0:is>
      </ns0:c>
      <ns0:c r="S285" s="19" t="inlineStr">
        <ns0:is>
          <ns0:t>Reported</ns0:t>
        </ns0:is>
      </ns0:c>
      <ns0:c r="T285" s="19" t="inlineStr">
        <ns0:is>
          <ns0:t>Reported</ns0:t>
        </ns0:is>
      </ns0:c>
      <ns0:c r="U285" s="19" t="inlineStr">
        <ns0:is>
          <ns0:t>Not reported in assessed sources</ns0:t>
        </ns0:is>
      </ns0:c>
      <ns0:c r="V285" s="19" t="inlineStr">
        <ns0:is>
          <ns0:t>Not reported in assessed sources</ns0:t>
        </ns0:is>
      </ns0:c>
      <ns0:c r="W285" s="19" t="inlineStr">
        <ns0:is>
          <ns0:t>Not reported in assessed sources</ns0:t>
        </ns0:is>
      </ns0:c>
      <ns0:c r="X285" s="19" t="inlineStr">
        <ns0:is>
          <ns0:t>Not reported in assessed sources</ns0:t>
        </ns0:is>
      </ns0:c>
      <ns0:c r="Y285" s="19" t="inlineStr">
        <ns0:is>
          <ns0:t>Not ascertainable</ns0:t>
        </ns0:is>
      </ns0:c>
      <ns0:c r="Z285" s="19" t="inlineStr">
        <ns0:is>
          <ns0:t>Not reported in assessed sources</ns0:t>
        </ns0:is>
      </ns0:c>
      <ns0:c r="AA285" s="19" t="inlineStr">
        <ns0:is>
          <ns0:t>Not recorded</ns0:t>
        </ns0:is>
      </ns0:c>
      <ns0:c r="AB285" s="26" t="n">
        <ns0:v>0</ns0:v>
      </ns0:c>
      <ns0:c r="AC285" s="26" t="n">
        <ns0:v>0</ns0:v>
      </ns0:c>
      <ns0:c r="AD285" s="27">
        <ns0:f>IF(AND(G285=1,AB285=0),1,0)</ns0:f>
        <ns0:v>1</ns0:v>
      </ns0:c>
      <ns0:c r="AE285" s="27">
        <ns0:f>IF(AND(AD285=1,AC285=0),1,0)</ns0:f>
        <ns0:v>1</ns0:v>
      </ns0:c>
      <ns0:c r="AF285" s="27">
        <ns0:f>IF(AND(G285=1,H285&lt;&gt;"Not specified"),1,0)</ns0:f>
        <ns0:v>1</ns0:v>
      </ns0:c>
      <ns0:c r="AG285" s="27">
        <ns0:f>IF(AND(AE285=1,AF285=1),1,0)</ns0:f>
        <ns0:v>1</ns0:v>
      </ns0:c>
      <ns0:c r="AH285" s="19" t="inlineStr">
        <ns0:is>
          <ns0:t>Supplied abstract/coding notes; no new full-text verification</ns0:t>
        </ns0:is>
      </ns0:c>
      <ns0:c r="AI285" s="19" t="inlineStr">
        <ns0:is>
          <ns0:t>https://doi.org/10.1016/j.cell.2025.02.025</ns0:t>
        </ns0:is>
      </ns0:c>
      <ns0:c r="AJ285" s="19" t="inlineStr">
        <ns0:is>
          <ns0:t>EVIDENCIA; original abstract/coding notes and lot source trace; Inherited scoped adjudication; see source level and lot caveats</ns0:t>
        </ns0:is>
      </ns0:c>
      <ns0:c r="AK285" s="19" t="inlineStr">
        <ns0:is>
          <ns0:t>RoBERTa/clinical-note classification with sentence-level explanations, analyzed retrospectively.</ns0:t>
        </ns0:is>
      </ns0:c>
      <ns0:c r="AL285" s="19" t="inlineStr">
        <ns0:is>
          <ns0:t>Not applicable</ns0:t>
        </ns0:is>
      </ns0:c>
      <ns0:c r="AM285" s="19" t="inlineStr">
        <ns0:is>
          <ns0:t>Not separately specified</ns0:t>
        </ns0:is>
      </ns0:c>
      <ns0:c r="AN285" s="19" t="inlineStr"/>
      <ns0:c r="AO285" s="19" t="inlineStr">
        <ns0:is>
          <ns0:t>No additional status determination</ns0:t>
        </ns0:is>
      </ns0:c>
      <ns0:c r="AP285" s="19" t="inlineStr">
        <ns0:is>
          <ns0:t>Not documented for this recharting</ns0:t>
        </ns0:is>
      </ns0:c>
      <ns0:c r="AQ285" s="19" t="inlineStr">
        <ns0:is>
          <ns0:t>ChatGPT-assisted evidence recharting, 2026-09-08</ns0:t>
        </ns0:is>
      </ns0:c>
      <ns0:c r="AR285" s="19" t="inlineStr">
        <ns0:is>
          <ns0:t>Revisión asistida por IA (un revisor; requiere verificación independiente)</ns0:t>
        </ns0:is>
      </ns0:c>
      <ns0:c r="AS285" s="19" t="inlineStr">
        <ns0:is>
          <ns0:t>Retrieved and reviewed</ns0:t>
        </ns0:is>
      </ns0:c>
    </ns0:row>
    <ns0:row r="286" ht="50" customHeight="1">
      <ns0:c r="A286" s="21" t="inlineStr">
        <ns0:is>
          <ns0:t>new_96</ns0:t>
        </ns0:is>
      </ns0:c>
      <ns0:c r="B286" s="21" t="inlineStr">
        <ns0:is>
          <ns0:t>Update</ns0:t>
        </ns0:is>
      </ns0:c>
      <ns0:c r="C286" s="21" t="inlineStr">
        <ns0:is>
          <ns0:t>Ensemble of Deep Learning with Crested Porcupine Optimizer Based Autism Spectrum Disorder Detection Using Facial Images</ns0:t>
        </ns0:is>
      </ns0:c>
      <ns0:c r="D286" s="21" t="inlineStr">
        <ns0:is>
          <ns0:t>10.32604/cmc.2025.062266</ns0:t>
        </ns0:is>
      </ns0:c>
      <ns0:c r="E286" s="28" t="n">
        <ns0:v>2025</ns0:v>
      </ns0:c>
      <ns0:c r="F286" s="21" t="inlineStr">
        <ns0:is>
          <ns0:t>Include</ns0:t>
        </ns0:is>
      </ns0:c>
      <ns0:c r="G286" s="29">
        <ns0:f>IF(F286="Include",1,0)</ns0:f>
        <ns0:v>1</ns0:v>
      </ns0:c>
      <ns0:c r="H286" s="21" t="inlineStr">
        <ns0:is>
          <ns0:t>Diagnosis</ns0:t>
        </ns0:is>
      </ns0:c>
      <ns0:c r="I286" s="21" t="inlineStr">
        <ns0:is>
          <ns0:t>Deep Learning</ns0:t>
        </ns0:is>
      </ns0:c>
      <ns0:c r="J286" s="21" t="inlineStr">
        <ns0:is>
          <ns0:t>Behavioral images/video/gaze/movement</ns0:t>
        </ns0:is>
      </ns0:c>
      <ns0:c r="K286" s="21" t="inlineStr">
        <ns0:is>
          <ns0:t>Deep ensemble</ns0:t>
        </ns0:is>
      </ns0:c>
      <ns0:c r="L286" s="21" t="inlineStr">
        <ns0:is>
          <ns0:t>Other specified method</ns0:t>
        </ns0:is>
      </ns0:c>
      <ns0:c r="M286" s="21" t="inlineStr">
        <ns0:is>
          <ns0:t>Research only</ns0:t>
        </ns0:is>
      </ns0:c>
      <ns0:c r="N286" s="21" t="inlineStr">
        <ns0:is>
          <ns0:t>Automated measurement/classification</ns0:t>
        </ns0:is>
      </ns0:c>
      <ns0:c r="O286" s="21" t="inlineStr">
        <ns0:is>
          <ns0:t>Not observed in assessed sources</ns0:t>
        </ns0:is>
      </ns0:c>
      <ns0:c r="P286" s="21" t="inlineStr">
        <ns0:is>
          <ns0:t>Not observed in assessed sources</ns0:t>
        </ns0:is>
      </ns0:c>
      <ns0:c r="Q286" s="21" t="inlineStr">
        <ns0:is>
          <ns0:t>Not reported in assessed sources</ns0:t>
        </ns0:is>
      </ns0:c>
      <ns0:c r="R286" s="21" t="inlineStr">
        <ns0:is>
          <ns0:t>Not reported in assessed sources</ns0:t>
        </ns0:is>
      </ns0:c>
      <ns0:c r="S286" s="21" t="inlineStr">
        <ns0:is>
          <ns0:t>Not reported in assessed sources</ns0:t>
        </ns0:is>
      </ns0:c>
      <ns0:c r="T286" s="21" t="inlineStr">
        <ns0:is>
          <ns0:t>Not reported in assessed sources</ns0:t>
        </ns0:is>
      </ns0:c>
      <ns0:c r="U286" s="21" t="inlineStr">
        <ns0:is>
          <ns0:t>Not reported in assessed sources</ns0:t>
        </ns0:is>
      </ns0:c>
      <ns0:c r="V286" s="21" t="inlineStr">
        <ns0:is>
          <ns0:t>Not reported in assessed sources</ns0:t>
        </ns0:is>
      </ns0:c>
      <ns0:c r="W286" s="21" t="inlineStr">
        <ns0:is>
          <ns0:t>Not reported in assessed sources</ns0:t>
        </ns0:is>
      </ns0:c>
      <ns0:c r="X286" s="21" t="inlineStr">
        <ns0:is>
          <ns0:t>Not reported in assessed sources</ns0:t>
        </ns0:is>
      </ns0:c>
      <ns0:c r="Y286" s="21" t="inlineStr">
        <ns0:is>
          <ns0:t>Not ascertainable</ns0:t>
        </ns0:is>
      </ns0:c>
      <ns0:c r="Z286" s="21" t="inlineStr">
        <ns0:is>
          <ns0:t>Not reported in assessed sources</ns0:t>
        </ns0:is>
      </ns0:c>
      <ns0:c r="AA286" s="21" t="inlineStr">
        <ns0:is>
          <ns0:t>Not recorded</ns0:t>
        </ns0:is>
      </ns0:c>
      <ns0:c r="AB286" s="28" t="n">
        <ns0:v>0</ns0:v>
      </ns0:c>
      <ns0:c r="AC286" s="28" t="n">
        <ns0:v>0</ns0:v>
      </ns0:c>
      <ns0:c r="AD286" s="29">
        <ns0:f>IF(AND(G286=1,AB286=0),1,0)</ns0:f>
        <ns0:v>1</ns0:v>
      </ns0:c>
      <ns0:c r="AE286" s="29">
        <ns0:f>IF(AND(AD286=1,AC286=0),1,0)</ns0:f>
        <ns0:v>1</ns0:v>
      </ns0:c>
      <ns0:c r="AF286" s="29">
        <ns0:f>IF(AND(G286=1,H286&lt;&gt;"Not specified"),1,0)</ns0:f>
        <ns0:v>1</ns0:v>
      </ns0:c>
      <ns0:c r="AG286" s="29">
        <ns0:f>IF(AND(AE286=1,AF286=1),1,0)</ns0:f>
        <ns0:v>1</ns0:v>
      </ns0:c>
      <ns0:c r="AH286" s="21" t="inlineStr">
        <ns0:is>
          <ns0:t>Supplied abstract/coding notes; no new full-text verification</ns0:t>
        </ns0:is>
      </ns0:c>
      <ns0:c r="AI286" s="21" t="inlineStr">
        <ns0:is>
          <ns0:t>https://doi.org/10.32604/cmc.2025.062266</ns0:t>
        </ns0:is>
      </ns0:c>
      <ns0:c r="AJ286" s="21" t="inlineStr">
        <ns0:is>
          <ns0:t>EVIDENCIA; original abstract/coding notes and lot source trace; Inherited scoped adjudication; see source level and lot caveats</ns0:t>
        </ns0:is>
      </ns0:c>
      <ns0:c r="AK286" s="21" t="inlineStr">
        <ns0:is>
          <ns0:t>Facial-image deep-learning ensemble and optimizer; background CAD discussion is not a demonstrated clinician-facing workflow.</ns0:t>
        </ns0:is>
      </ns0:c>
      <ns0:c r="AL286" s="21" t="inlineStr">
        <ns0:is>
          <ns0:t>Not applicable</ns0:t>
        </ns0:is>
      </ns0:c>
      <ns0:c r="AM286" s="21" t="inlineStr">
        <ns0:is>
          <ns0:t>Not separately specified</ns0:t>
        </ns0:is>
      </ns0:c>
      <ns0:c r="AN286" s="21" t="inlineStr"/>
      <ns0:c r="AO286" s="21" t="inlineStr">
        <ns0:is>
          <ns0:t>No additional status determination</ns0:t>
        </ns0:is>
      </ns0:c>
      <ns0:c r="AP286" s="21" t="inlineStr">
        <ns0:is>
          <ns0:t>Not documented for this recharting</ns0:t>
        </ns0:is>
      </ns0:c>
      <ns0:c r="AQ286" s="21" t="inlineStr">
        <ns0:is>
          <ns0:t>ChatGPT-assisted evidence recharting, 2026-09-08</ns0:t>
        </ns0:is>
      </ns0:c>
      <ns0:c r="AR286" s="21" t="inlineStr">
        <ns0:is>
          <ns0:t>Revisión asistida por IA (un revisor; requiere verificación independiente)</ns0:t>
        </ns0:is>
      </ns0:c>
      <ns0:c r="AS286" s="21" t="inlineStr">
        <ns0:is>
          <ns0:t>Retrieved and reviewed</ns0:t>
        </ns0:is>
      </ns0:c>
    </ns0:row>
    <ns0:row r="287" ht="50" customHeight="1">
      <ns0:c r="A287" s="19" t="inlineStr">
        <ns0:is>
          <ns0:t>new_108</ns0:t>
        </ns0:is>
      </ns0:c>
      <ns0:c r="B287" s="19" t="inlineStr">
        <ns0:is>
          <ns0:t>Update</ns0:t>
        </ns0:is>
      </ns0:c>
      <ns0:c r="C287" s="19" t="inlineStr">
        <ns0:is>
          <ns0:t>Awareness with Machine: Hybrid Approach to Detecting ASD with a Clustering</ns0:t>
        </ns0:is>
      </ns0:c>
      <ns0:c r="D287" s="19" t="inlineStr">
        <ns0:is>
          <ns0:t>10.32604/cmc.2025.062643</ns0:t>
        </ns0:is>
      </ns0:c>
      <ns0:c r="E287" s="26" t="n">
        <ns0:v>2025</ns0:v>
      </ns0:c>
      <ns0:c r="F287" s="19" t="inlineStr">
        <ns0:is>
          <ns0:t>Include</ns0:t>
        </ns0:is>
      </ns0:c>
      <ns0:c r="G287" s="27">
        <ns0:f>IF(F287="Include",1,0)</ns0:f>
        <ns0:v>1</ns0:v>
      </ns0:c>
      <ns0:c r="H287" s="19" t="inlineStr">
        <ns0:is>
          <ns0:t>Screening</ns0:t>
        </ns0:is>
      </ns0:c>
      <ns0:c r="I287" s="19" t="inlineStr">
        <ns0:is>
          <ns0:t>Machine Learning</ns0:t>
        </ns0:is>
      </ns0:c>
      <ns0:c r="J287" s="19" t="inlineStr">
        <ns0:is>
          <ns0:t>Structured clinical/questionnaire data</ns0:t>
        </ns0:is>
      </ns0:c>
      <ns0:c r="K287" s="19" t="inlineStr">
        <ns0:is>
          <ns0:t>Clustering + classifier comparison</ns0:t>
        </ns0:is>
      </ns0:c>
      <ns0:c r="L287" s="19" t="inlineStr">
        <ns0:is>
          <ns0:t>Multiple/not uniquely specified</ns0:t>
        </ns0:is>
      </ns0:c>
      <ns0:c r="M287" s="19" t="inlineStr">
        <ns0:is>
          <ns0:t>Research only</ns0:t>
        </ns0:is>
      </ns0:c>
      <ns0:c r="N287" s="19" t="inlineStr">
        <ns0:is>
          <ns0:t>Automated measurement/classification</ns0:t>
        </ns0:is>
      </ns0:c>
      <ns0:c r="O287" s="19" t="inlineStr">
        <ns0:is>
          <ns0:t>Not observed in assessed sources</ns0:t>
        </ns0:is>
      </ns0:c>
      <ns0:c r="P287" s="19" t="inlineStr">
        <ns0:is>
          <ns0:t>Not observed in assessed sources</ns0:t>
        </ns0:is>
      </ns0:c>
      <ns0:c r="Q287" s="19" t="inlineStr">
        <ns0:is>
          <ns0:t>Not reported in assessed sources</ns0:t>
        </ns0:is>
      </ns0:c>
      <ns0:c r="R287" s="19" t="inlineStr">
        <ns0:is>
          <ns0:t>Not reported in assessed sources</ns0:t>
        </ns0:is>
      </ns0:c>
      <ns0:c r="S287" s="19" t="inlineStr">
        <ns0:is>
          <ns0:t>Not reported in assessed sources</ns0:t>
        </ns0:is>
      </ns0:c>
      <ns0:c r="T287" s="19" t="inlineStr">
        <ns0:is>
          <ns0:t>Not reported in assessed sources</ns0:t>
        </ns0:is>
      </ns0:c>
      <ns0:c r="U287" s="19" t="inlineStr">
        <ns0:is>
          <ns0:t>Not reported in assessed sources</ns0:t>
        </ns0:is>
      </ns0:c>
      <ns0:c r="V287" s="19" t="inlineStr">
        <ns0:is>
          <ns0:t>Not reported in assessed sources</ns0:t>
        </ns0:is>
      </ns0:c>
      <ns0:c r="W287" s="19" t="inlineStr">
        <ns0:is>
          <ns0:t>Not reported in assessed sources</ns0:t>
        </ns0:is>
      </ns0:c>
      <ns0:c r="X287" s="19" t="inlineStr">
        <ns0:is>
          <ns0:t>Not reported in assessed sources</ns0:t>
        </ns0:is>
      </ns0:c>
      <ns0:c r="Y287" s="19" t="inlineStr">
        <ns0:is>
          <ns0:t>Not ascertainable</ns0:t>
        </ns0:is>
      </ns0:c>
      <ns0:c r="Z287" s="19" t="inlineStr">
        <ns0:is>
          <ns0:t>Not reported in assessed sources</ns0:t>
        </ns0:is>
      </ns0:c>
      <ns0:c r="AA287" s="19" t="inlineStr">
        <ns0:is>
          <ns0:t>Not recorded</ns0:t>
        </ns0:is>
      </ns0:c>
      <ns0:c r="AB287" s="26" t="n">
        <ns0:v>0</ns0:v>
      </ns0:c>
      <ns0:c r="AC287" s="26" t="n">
        <ns0:v>0</ns0:v>
      </ns0:c>
      <ns0:c r="AD287" s="27">
        <ns0:f>IF(AND(G287=1,AB287=0),1,0)</ns0:f>
        <ns0:v>1</ns0:v>
      </ns0:c>
      <ns0:c r="AE287" s="27">
        <ns0:f>IF(AND(AD287=1,AC287=0),1,0)</ns0:f>
        <ns0:v>1</ns0:v>
      </ns0:c>
      <ns0:c r="AF287" s="27">
        <ns0:f>IF(AND(G287=1,H287&lt;&gt;"Not specified"),1,0)</ns0:f>
        <ns0:v>1</ns0:v>
      </ns0:c>
      <ns0:c r="AG287" s="27">
        <ns0:f>IF(AND(AE287=1,AF287=1),1,0)</ns0:f>
        <ns0:v>1</ns0:v>
      </ns0:c>
      <ns0:c r="AH287" s="19" t="inlineStr">
        <ns0:is>
          <ns0:t>Supplied abstract/coding notes; no new full-text verification</ns0:t>
        </ns0:is>
      </ns0:c>
      <ns0:c r="AI287" s="19" t="inlineStr">
        <ns0:is>
          <ns0:t>https://doi.org/10.32604/cmc.2025.062643</ns0:t>
        </ns0:is>
      </ns0:c>
      <ns0:c r="AJ287" s="19" t="inlineStr">
        <ns0:is>
          <ns0:t>EVIDENCIA; original abstract/coding notes and lot source trace; Inherited scoped adjudication; see source level and lot caveats</ns0:t>
        </ns0:is>
      </ns0:c>
      <ns0:c r="AK287" s="19" t="inlineStr">
        <ns0:is>
          <ns0:t>Conventional clustering and ten ML classifiers across age datasets; title word Hybrid does not establish ML/DL integration.</ns0:t>
        </ns0:is>
      </ns0:c>
      <ns0:c r="AL287" s="19" t="inlineStr">
        <ns0:is>
          <ns0:t>Not applicable</ns0:t>
        </ns0:is>
      </ns0:c>
      <ns0:c r="AM287" s="19" t="inlineStr">
        <ns0:is>
          <ns0:t>Not separately specified</ns0:t>
        </ns0:is>
      </ns0:c>
      <ns0:c r="AN287" s="19" t="inlineStr"/>
      <ns0:c r="AO287" s="19" t="inlineStr">
        <ns0:is>
          <ns0:t>No additional status determination</ns0:t>
        </ns0:is>
      </ns0:c>
      <ns0:c r="AP287" s="19" t="inlineStr">
        <ns0:is>
          <ns0:t>Not documented for this recharting</ns0:t>
        </ns0:is>
      </ns0:c>
      <ns0:c r="AQ287" s="19" t="inlineStr">
        <ns0:is>
          <ns0:t>ChatGPT-assisted evidence recharting, 2026-09-08</ns0:t>
        </ns0:is>
      </ns0:c>
      <ns0:c r="AR287" s="19" t="inlineStr">
        <ns0:is>
          <ns0:t>Revisión asistida por IA (un revisor; requiere verificación independiente)</ns0:t>
        </ns0:is>
      </ns0:c>
      <ns0:c r="AS287" s="19" t="inlineStr">
        <ns0:is>
          <ns0:t>Retrieved and reviewed</ns0:t>
        </ns0:is>
      </ns0:c>
    </ns0:row>
    <ns0:row r="288" ht="50" customHeight="1">
      <ns0:c r="A288" s="21" t="inlineStr">
        <ns0:is>
          <ns0:t>new_125</ns0:t>
        </ns0:is>
      </ns0:c>
      <ns0:c r="B288" s="21" t="inlineStr">
        <ns0:is>
          <ns0:t>Update</ns0:t>
        </ns0:is>
      </ns0:c>
      <ns0:c r="C288" s="23" t="inlineStr">
        <ns0:is>
          <ns0:t>Identification of critical brain regions for autism diagnosis from fMRI data using explainable AI: an observational analysis of the ABIDE dataset</ns0:t>
        </ns0:is>
      </ns0:c>
      <ns0:c r="D288" s="21" t="inlineStr">
        <ns0:is>
          <ns0:t>10.1016/j.eclinm.2025.103452</ns0:t>
        </ns0:is>
      </ns0:c>
      <ns0:c r="E288" s="28" t="n">
        <ns0:v>2025</ns0:v>
      </ns0:c>
      <ns0:c r="F288" s="21" t="inlineStr">
        <ns0:is>
          <ns0:t>Include</ns0:t>
        </ns0:is>
      </ns0:c>
      <ns0:c r="G288" s="29">
        <ns0:f>IF(F288="Include",1,0)</ns0:f>
        <ns0:v>1</ns0:v>
      </ns0:c>
      <ns0:c r="H288" s="21" t="inlineStr">
        <ns0:is>
          <ns0:t>Diagnosis</ns0:t>
        </ns0:is>
      </ns0:c>
      <ns0:c r="I288" s="21" t="inlineStr">
        <ns0:is>
          <ns0:t>Deep Learning</ns0:t>
        </ns0:is>
      </ns0:c>
      <ns0:c r="J288" s="21" t="inlineStr">
        <ns0:is>
          <ns0:t>Neuroimaging</ns0:t>
        </ns0:is>
      </ns0:c>
      <ns0:c r="K288" s="21" t="inlineStr">
        <ns0:is>
          <ns0:t>Autoencoder</ns0:t>
        </ns0:is>
      </ns0:c>
      <ns0:c r="L288" s="21" t="inlineStr">
        <ns0:is>
          <ns0:t>Autoencoder</ns0:t>
        </ns0:is>
      </ns0:c>
      <ns0:c r="M288" s="21" t="inlineStr">
        <ns0:is>
          <ns0:t>Research only</ns0:t>
        </ns0:is>
      </ns0:c>
      <ns0:c r="N288" s="21" t="inlineStr">
        <ns0:is>
          <ns0:t>Automated measurement/classification</ns0:t>
        </ns0:is>
      </ns0:c>
      <ns0:c r="O288" s="21" t="inlineStr">
        <ns0:is>
          <ns0:t>Not observed in assessed sources</ns0:t>
        </ns0:is>
      </ns0:c>
      <ns0:c r="P288" s="21" t="inlineStr">
        <ns0:is>
          <ns0:t>Not observed in assessed sources</ns0:t>
        </ns0:is>
      </ns0:c>
      <ns0:c r="Q288" s="21" t="inlineStr">
        <ns0:is>
          <ns0:t>Not reported in assessed sources</ns0:t>
        </ns0:is>
      </ns0:c>
      <ns0:c r="R288" s="21" t="inlineStr">
        <ns0:is>
          <ns0:t>Not reported in assessed sources</ns0:t>
        </ns0:is>
      </ns0:c>
      <ns0:c r="S288" s="21" t="inlineStr">
        <ns0:is>
          <ns0:t>Reported</ns0:t>
        </ns0:is>
      </ns0:c>
      <ns0:c r="T288" s="21" t="inlineStr">
        <ns0:is>
          <ns0:t>Reported</ns0:t>
        </ns0:is>
      </ns0:c>
      <ns0:c r="U288" s="21" t="inlineStr">
        <ns0:is>
          <ns0:t>Not reported in assessed sources</ns0:t>
        </ns0:is>
      </ns0:c>
      <ns0:c r="V288" s="21" t="inlineStr">
        <ns0:is>
          <ns0:t>Reported</ns0:t>
        </ns0:is>
      </ns0:c>
      <ns0:c r="W288" s="21" t="inlineStr">
        <ns0:is>
          <ns0:t>Not reported in assessed sources</ns0:t>
        </ns0:is>
      </ns0:c>
      <ns0:c r="X288" s="21" t="inlineStr">
        <ns0:is>
          <ns0:t>Not reported in assessed sources</ns0:t>
        </ns0:is>
      </ns0:c>
      <ns0:c r="Y288" s="21" t="inlineStr">
        <ns0:is>
          <ns0:t>Not ascertainable</ns0:t>
        </ns0:is>
      </ns0:c>
      <ns0:c r="Z288" s="21" t="inlineStr">
        <ns0:is>
          <ns0:t>Not reported in assessed sources</ns0:t>
        </ns0:is>
      </ns0:c>
      <ns0:c r="AA288" s="21" t="inlineStr">
        <ns0:is>
          <ns0:t>Expression of Concern</ns0:t>
        </ns0:is>
      </ns0:c>
      <ns0:c r="AB288" s="28" t="n">
        <ns0:v>1</ns0:v>
      </ns0:c>
      <ns0:c r="AC288" s="28" t="n">
        <ns0:v>0</ns0:v>
      </ns0:c>
      <ns0:c r="AD288" s="29">
        <ns0:f>IF(AND(G288=1,AB288=0),1,0)</ns0:f>
        <ns0:v>0</ns0:v>
      </ns0:c>
      <ns0:c r="AE288" s="29">
        <ns0:f>IF(AND(AD288=1,AC288=0),1,0)</ns0:f>
        <ns0:v>0</ns0:v>
      </ns0:c>
      <ns0:c r="AF288" s="29">
        <ns0:f>IF(AND(G288=1,H288&lt;&gt;"Not specified"),1,0)</ns0:f>
        <ns0:v>1</ns0:v>
      </ns0:c>
      <ns0:c r="AG288" s="29">
        <ns0:f>IF(AND(AE288=1,AF288=1),1,0)</ns0:f>
        <ns0:v>0</ns0:v>
      </ns0:c>
      <ns0:c r="AH288" s="21" t="inlineStr">
        <ns0:is>
          <ns0:t>Supplied abstract/coding notes; no new full-text verification</ns0:t>
        </ns0:is>
      </ns0:c>
      <ns0:c r="AI288" s="21" t="inlineStr">
        <ns0:is>
          <ns0:t>https://doi.org/10.1016/j.eclinm.2025.103452</ns0:t>
        </ns0:is>
      </ns0:c>
      <ns0:c r="AJ288" s="21" t="inlineStr">
        <ns0:is>
          <ns0:t>EVIDENCIA; original abstract/coding notes and lot source trace; Inherited scoped adjudication; see source level and lot caveats</ns0:t>
        </ns0:is>
      </ns0:c>
      <ns0:c r="AK288" s="21" t="inlineStr">
        <ns0:is>
          <ns0:t>SVM-RFE is feature selection ahead of sparse-autoencoder/Softmax classification. Retrospective ABIDE evaluation and explainability, with inherited expression-of-concern flag retained.</ns0:t>
        </ns0:is>
      </ns0:c>
      <ns0:c r="AL288" s="21" t="inlineStr">
        <ns0:is>
          <ns0:t>Not applicable</ns0:t>
        </ns0:is>
      </ns0:c>
      <ns0:c r="AM288" s="21" t="inlineStr">
        <ns0:is>
          <ns0:t>Not separately specified</ns0:t>
        </ns0:is>
      </ns0:c>
      <ns0:c r="AN288" s="21" t="inlineStr"/>
      <ns0:c r="AO288" s="21" t="inlineStr">
        <ns0:is>
          <ns0:t>No additional status determination</ns0:t>
        </ns0:is>
      </ns0:c>
      <ns0:c r="AP288" s="21" t="inlineStr">
        <ns0:is>
          <ns0:t>Not documented for this recharting</ns0:t>
        </ns0:is>
      </ns0:c>
      <ns0:c r="AQ288" s="21" t="inlineStr">
        <ns0:is>
          <ns0:t>ChatGPT-assisted evidence recharting, 2026-09-08</ns0:t>
        </ns0:is>
      </ns0:c>
      <ns0:c r="AR288" s="21" t="inlineStr">
        <ns0:is>
          <ns0:t>Revisión asistida por IA (un revisor; requiere verificación independiente)</ns0:t>
        </ns0:is>
      </ns0:c>
      <ns0:c r="AS288" s="21" t="inlineStr">
        <ns0:is>
          <ns0:t>Retrieved and reviewed</ns0:t>
        </ns0:is>
      </ns0:c>
    </ns0:row>
    <ns0:row r="289" ht="50" customHeight="1">
      <ns0:c r="A289" s="19" t="inlineStr">
        <ns0:is>
          <ns0:t>new_132</ns0:t>
        </ns0:is>
      </ns0:c>
      <ns0:c r="B289" s="19" t="inlineStr">
        <ns0:is>
          <ns0:t>Update</ns0:t>
        </ns0:is>
      </ns0:c>
      <ns0:c r="C289" s="19" t="inlineStr">
        <ns0:is>
          <ns0:t>A Brief Observation to Screen Autism in Toddlers and Predict Developmental Trajectory</ns0:t>
        </ns0:is>
      </ns0:c>
      <ns0:c r="D289" s="19" t="inlineStr">
        <ns0:is>
          <ns0:t>10.1016/j.jpedcp.2025.200176</ns0:t>
        </ns0:is>
      </ns0:c>
      <ns0:c r="E289" s="26" t="n">
        <ns0:v>2025</ns0:v>
      </ns0:c>
      <ns0:c r="F289" s="19" t="inlineStr">
        <ns0:is>
          <ns0:t>Include</ns0:t>
        </ns0:is>
      </ns0:c>
      <ns0:c r="G289" s="27">
        <ns0:f>IF(F289="Include",1,0)</ns0:f>
        <ns0:v>1</ns0:v>
      </ns0:c>
      <ns0:c r="H289" s="19" t="inlineStr">
        <ns0:is>
          <ns0:t>Screening</ns0:t>
        </ns0:is>
      </ns0:c>
      <ns0:c r="I289" s="19" t="inlineStr">
        <ns0:is>
          <ns0:t>Machine Learning</ns0:t>
        </ns0:is>
      </ns0:c>
      <ns0:c r="J289" s="19" t="inlineStr">
        <ns0:is>
          <ns0:t>Structured clinical/questionnaire data</ns0:t>
        </ns0:is>
      </ns0:c>
      <ns0:c r="K289" s="19" t="inlineStr">
        <ns0:is>
          <ns0:t>Decision tree</ns0:t>
        </ns0:is>
      </ns0:c>
      <ns0:c r="L289" s="19" t="inlineStr">
        <ns0:is>
          <ns0:t>Decision tree/rules</ns0:t>
        </ns0:is>
      </ns0:c>
      <ns0:c r="M289" s="19" t="inlineStr">
        <ns0:is>
          <ns0:t>Proposed only</ns0:t>
        </ns0:is>
      </ns0:c>
      <ns0:c r="N289" s="19" t="inlineStr">
        <ns0:is>
          <ns0:t>Triage/questionnaire assessment</ns0:t>
        </ns0:is>
      </ns0:c>
      <ns0:c r="O289" s="19" t="inlineStr">
        <ns0:is>
          <ns0:t>Pre-decision</ns0:t>
        </ns0:is>
      </ns0:c>
      <ns0:c r="P289" s="19" t="inlineStr">
        <ns0:is>
          <ns0:t>Not observed in assessed sources</ns0:t>
        </ns0:is>
      </ns0:c>
      <ns0:c r="Q289" s="19" t="inlineStr">
        <ns0:is>
          <ns0:t>Not reported in assessed sources</ns0:t>
        </ns0:is>
      </ns0:c>
      <ns0:c r="R289" s="19" t="inlineStr">
        <ns0:is>
          <ns0:t>Not reported in assessed sources</ns0:t>
        </ns0:is>
      </ns0:c>
      <ns0:c r="S289" s="19" t="inlineStr">
        <ns0:is>
          <ns0:t>Reported</ns0:t>
        </ns0:is>
      </ns0:c>
      <ns0:c r="T289" s="19" t="inlineStr">
        <ns0:is>
          <ns0:t>Not reported in assessed sources</ns0:t>
        </ns0:is>
      </ns0:c>
      <ns0:c r="U289" s="19" t="inlineStr">
        <ns0:is>
          <ns0:t>Not reported in assessed sources</ns0:t>
        </ns0:is>
      </ns0:c>
      <ns0:c r="V289" s="19" t="inlineStr">
        <ns0:is>
          <ns0:t>Not reported in assessed sources</ns0:t>
        </ns0:is>
      </ns0:c>
      <ns0:c r="W289" s="19" t="inlineStr">
        <ns0:is>
          <ns0:t>Not reported in assessed sources</ns0:t>
        </ns0:is>
      </ns0:c>
      <ns0:c r="X289" s="19" t="inlineStr">
        <ns0:is>
          <ns0:t>Not reported in assessed sources</ns0:t>
        </ns0:is>
      </ns0:c>
      <ns0:c r="Y289" s="19" t="inlineStr">
        <ns0:is>
          <ns0:t>Reported</ns0:t>
        </ns0:is>
      </ns0:c>
      <ns0:c r="Z289" s="19" t="inlineStr">
        <ns0:is>
          <ns0:t>Reported</ns0:t>
        </ns0:is>
      </ns0:c>
      <ns0:c r="AA289" s="19" t="inlineStr">
        <ns0:is>
          <ns0:t>Not recorded</ns0:t>
        </ns0:is>
      </ns0:c>
      <ns0:c r="AB289" s="26" t="n">
        <ns0:v>0</ns0:v>
      </ns0:c>
      <ns0:c r="AC289" s="26" t="n">
        <ns0:v>0</ns0:v>
      </ns0:c>
      <ns0:c r="AD289" s="27">
        <ns0:f>IF(AND(G289=1,AB289=0),1,0)</ns0:f>
        <ns0:v>1</ns0:v>
      </ns0:c>
      <ns0:c r="AE289" s="27">
        <ns0:f>IF(AND(AD289=1,AC289=0),1,0)</ns0:f>
        <ns0:v>1</ns0:v>
      </ns0:c>
      <ns0:c r="AF289" s="27">
        <ns0:f>IF(AND(G289=1,H289&lt;&gt;"Not specified"),1,0)</ns0:f>
        <ns0:v>1</ns0:v>
      </ns0:c>
      <ns0:c r="AG289" s="27">
        <ns0:f>IF(AND(AE289=1,AF289=1),1,0)</ns0:f>
        <ns0:v>1</ns0:v>
      </ns0:c>
      <ns0:c r="AH289" s="19" t="inlineStr">
        <ns0:is>
          <ns0:t>Supplied abstract/coding notes; no new full-text verification</ns0:t>
        </ns0:is>
      </ns0:c>
      <ns0:c r="AI289" s="19" t="inlineStr">
        <ns0:is>
          <ns0:t>https://doi.org/10.1016/j.jpedcp.2025.200176</ns0:t>
        </ns0:is>
      </ns0:c>
      <ns0:c r="AJ289" s="19" t="inlineStr">
        <ns0:is>
          <ns0:t>EVIDENCIA; original abstract/coding notes and lot source trace; Inherited scoped adjudication; see source level and lot caveats</ns0:t>
        </ns0:is>
      </ns0:c>
      <ns0:c r="AK289" s="19" t="inlineStr">
        <ns0:is>
          <ns0:t>ESCS decision algorithm explicitly intended to guide pediatricians; secondary future cognitive-outcome model recorded. Longitudinal analysis does not establish prospective model evaluation.</ns0:t>
        </ns0:is>
      </ns0:c>
      <ns0:c r="AL289" s="19" t="inlineStr">
        <ns0:is>
          <ns0:t>Not applicable</ns0:t>
        </ns0:is>
      </ns0:c>
      <ns0:c r="AM289" s="19" t="inlineStr">
        <ns0:is>
          <ns0:t>Not separately specified</ns0:t>
        </ns0:is>
      </ns0:c>
      <ns0:c r="AN289" s="19" t="inlineStr"/>
      <ns0:c r="AO289" s="19" t="inlineStr">
        <ns0:is>
          <ns0:t>No additional status determination</ns0:t>
        </ns0:is>
      </ns0:c>
      <ns0:c r="AP289" s="19" t="inlineStr">
        <ns0:is>
          <ns0:t>Not documented for this recharting</ns0:t>
        </ns0:is>
      </ns0:c>
      <ns0:c r="AQ289" s="19" t="inlineStr">
        <ns0:is>
          <ns0:t>ChatGPT-assisted evidence recharting, 2026-09-08</ns0:t>
        </ns0:is>
      </ns0:c>
      <ns0:c r="AR289" s="19" t="inlineStr">
        <ns0:is>
          <ns0:t>Revisión asistida por IA (un revisor; requiere verificación independiente)</ns0:t>
        </ns0:is>
      </ns0:c>
      <ns0:c r="AS289" s="19" t="inlineStr">
        <ns0:is>
          <ns0:t>Retrieved and reviewed</ns0:t>
        </ns0:is>
      </ns0:c>
    </ns0:row>
    <ns0:row r="290" ht="50" customHeight="1">
      <ns0:c r="A290" s="21" t="inlineStr">
        <ns0:is>
          <ns0:t>new_145</ns0:t>
        </ns0:is>
      </ns0:c>
      <ns0:c r="B290" s="21" t="inlineStr">
        <ns0:is>
          <ns0:t>Update</ns0:t>
        </ns0:is>
      </ns0:c>
      <ns0:c r="C290" s="21" t="inlineStr">
        <ns0:is>
          <ns0:t>Explainable Ensemble Learning Framework for Early Detection of Autism Spectrum Disorder: Enhancing Trust, Interpretability and Reliability in AI-Driven Healthcare</ns0:t>
        </ns0:is>
      </ns0:c>
      <ns0:c r="D290" s="21" t="inlineStr">
        <ns0:is>
          <ns0:t>10.32604/cmes.2025.074627</ns0:t>
        </ns0:is>
      </ns0:c>
      <ns0:c r="E290" s="28" t="n">
        <ns0:v>2026</ns0:v>
      </ns0:c>
      <ns0:c r="F290" s="21" t="inlineStr">
        <ns0:is>
          <ns0:t>Include</ns0:t>
        </ns0:is>
      </ns0:c>
      <ns0:c r="G290" s="29">
        <ns0:f>IF(F290="Include",1,0)</ns0:f>
        <ns0:v>1</ns0:v>
      </ns0:c>
      <ns0:c r="H290" s="21" t="inlineStr">
        <ns0:is>
          <ns0:t>Screening</ns0:t>
        </ns0:is>
      </ns0:c>
      <ns0:c r="I290" s="21" t="inlineStr">
        <ns0:is>
          <ns0:t>Hybrid</ns0:t>
        </ns0:is>
      </ns0:c>
      <ns0:c r="J290" s="21" t="inlineStr">
        <ns0:is>
          <ns0:t>Multiple source categories</ns0:t>
        </ns0:is>
      </ns0:c>
      <ns0:c r="K290" s="21" t="inlineStr">
        <ns0:is>
          <ns0:t>Mixed-model ensemble</ns0:t>
        </ns0:is>
      </ns0:c>
      <ns0:c r="L290" s="21" t="inlineStr">
        <ns0:is>
          <ns0:t>Other specified method</ns0:t>
        </ns0:is>
      </ns0:c>
      <ns0:c r="M290" s="21" t="inlineStr">
        <ns0:is>
          <ns0:t>Research only</ns0:t>
        </ns0:is>
      </ns0:c>
      <ns0:c r="N290" s="21" t="inlineStr">
        <ns0:is>
          <ns0:t>Automated measurement/classification</ns0:t>
        </ns0:is>
      </ns0:c>
      <ns0:c r="O290" s="21" t="inlineStr">
        <ns0:is>
          <ns0:t>Not observed in assessed sources</ns0:t>
        </ns0:is>
      </ns0:c>
      <ns0:c r="P290" s="21" t="inlineStr">
        <ns0:is>
          <ns0:t>Not observed in assessed sources</ns0:t>
        </ns0:is>
      </ns0:c>
      <ns0:c r="Q290" s="21" t="inlineStr">
        <ns0:is>
          <ns0:t>Not reported in assessed sources</ns0:t>
        </ns0:is>
      </ns0:c>
      <ns0:c r="R290" s="21" t="inlineStr">
        <ns0:is>
          <ns0:t>Reported</ns0:t>
        </ns0:is>
      </ns0:c>
      <ns0:c r="S290" s="21" t="inlineStr">
        <ns0:is>
          <ns0:t>Reported</ns0:t>
        </ns0:is>
      </ns0:c>
      <ns0:c r="T290" s="21" t="inlineStr">
        <ns0:is>
          <ns0:t>Reported</ns0:t>
        </ns0:is>
      </ns0:c>
      <ns0:c r="U290" s="21" t="inlineStr">
        <ns0:is>
          <ns0:t>Not reported in assessed sources</ns0:t>
        </ns0:is>
      </ns0:c>
      <ns0:c r="V290" s="21" t="inlineStr">
        <ns0:is>
          <ns0:t>Not reported in assessed sources</ns0:t>
        </ns0:is>
      </ns0:c>
      <ns0:c r="W290" s="21" t="inlineStr">
        <ns0:is>
          <ns0:t>Reported</ns0:t>
        </ns0:is>
      </ns0:c>
      <ns0:c r="X290" s="21" t="inlineStr">
        <ns0:is>
          <ns0:t>Not reported in assessed sources</ns0:t>
        </ns0:is>
      </ns0:c>
      <ns0:c r="Y290" s="21" t="inlineStr">
        <ns0:is>
          <ns0:t>Not ascertainable</ns0:t>
        </ns0:is>
      </ns0:c>
      <ns0:c r="Z290" s="21" t="inlineStr">
        <ns0:is>
          <ns0:t>Not reported in assessed sources</ns0:t>
        </ns0:is>
      </ns0:c>
      <ns0:c r="AA290" s="21" t="inlineStr">
        <ns0:is>
          <ns0:t>Not recorded</ns0:t>
        </ns0:is>
      </ns0:c>
      <ns0:c r="AB290" s="28" t="n">
        <ns0:v>0</ns0:v>
      </ns0:c>
      <ns0:c r="AC290" s="28" t="n">
        <ns0:v>0</ns0:v>
      </ns0:c>
      <ns0:c r="AD290" s="29">
        <ns0:f>IF(AND(G290=1,AB290=0),1,0)</ns0:f>
        <ns0:v>1</ns0:v>
      </ns0:c>
      <ns0:c r="AE290" s="29">
        <ns0:f>IF(AND(AD290=1,AC290=0),1,0)</ns0:f>
        <ns0:v>1</ns0:v>
      </ns0:c>
      <ns0:c r="AF290" s="29">
        <ns0:f>IF(AND(G290=1,H290&lt;&gt;"Not specified"),1,0)</ns0:f>
        <ns0:v>1</ns0:v>
      </ns0:c>
      <ns0:c r="AG290" s="29">
        <ns0:f>IF(AND(AE290=1,AF290=1),1,0)</ns0:f>
        <ns0:v>1</ns0:v>
      </ns0:c>
      <ns0:c r="AH290" s="21" t="inlineStr">
        <ns0:is>
          <ns0:t>Supplied abstract/coding notes; no new full-text verification</ns0:t>
        </ns0:is>
      </ns0:c>
      <ns0:c r="AI290" s="21" t="inlineStr">
        <ns0:is>
          <ns0:t>https://doi.org/10.32604/cmes.2025.074627</ns0:t>
        </ns0:is>
      </ns0:c>
      <ns0:c r="AJ290" s="21" t="inlineStr">
        <ns0:is>
          <ns0:t>EVIDENCIA; original abstract/coding notes and lot source trace; Inherited scoped adjudication; see source level and lot caveats</ns0:t>
        </ns0:is>
      </ns0:c>
      <ns0:c r="AK290" s="21" t="inlineStr">
        <ns0:is>
          <ns0:t>Behavioral and multimodal model experiments with SHAP/LIME; no actual clinician workflow use is reported.</ns0:t>
        </ns0:is>
      </ns0:c>
      <ns0:c r="AL290" s="21" t="inlineStr">
        <ns0:is>
          <ns0:t>Not applicable</ns0:t>
        </ns0:is>
      </ns0:c>
      <ns0:c r="AM290" s="21" t="inlineStr">
        <ns0:is>
          <ns0:t>Not separately specified</ns0:t>
        </ns0:is>
      </ns0:c>
      <ns0:c r="AN290" s="21" t="inlineStr"/>
      <ns0:c r="AO290" s="21" t="inlineStr">
        <ns0:is>
          <ns0:t>No additional status determination</ns0:t>
        </ns0:is>
      </ns0:c>
      <ns0:c r="AP290" s="21" t="inlineStr">
        <ns0:is>
          <ns0:t>Not documented for this recharting</ns0:t>
        </ns0:is>
      </ns0:c>
      <ns0:c r="AQ290" s="21" t="inlineStr">
        <ns0:is>
          <ns0:t>ChatGPT-assisted evidence recharting, 2026-09-08</ns0:t>
        </ns0:is>
      </ns0:c>
      <ns0:c r="AR290" s="21" t="inlineStr">
        <ns0:is>
          <ns0:t>Revisión asistida por IA (un revisor; requiere verificación independiente)</ns0:t>
        </ns0:is>
      </ns0:c>
      <ns0:c r="AS290" s="21" t="inlineStr">
        <ns0:is>
          <ns0:t>Retrieved and reviewed</ns0:t>
        </ns0:is>
      </ns0:c>
    </ns0:row>
    <ns0:row r="291" ht="50" customHeight="1">
      <ns0:c r="A291" s="19" t="inlineStr">
        <ns0:is>
          <ns0:t>new_160</ns0:t>
        </ns0:is>
      </ns0:c>
      <ns0:c r="B291" s="19" t="inlineStr">
        <ns0:is>
          <ns0:t>Update</ns0:t>
        </ns0:is>
      </ns0:c>
      <ns0:c r="C291" s="23" t="inlineStr">
        <ns0:is>
          <ns0:t>Large Language Model-Assisted Annotation Framework for Cross-Platform Analysis of Online Autism Communities: Implications for Parent Education and Digital Support</ns0:t>
        </ns0:is>
      </ns0:c>
      <ns0:c r="D291" s="19" t="inlineStr">
        <ns0:is>
          <ns0:t>10.2196/85290</ns0:t>
        </ns0:is>
      </ns0:c>
      <ns0:c r="E291" s="26" t="n">
        <ns0:v>2025</ns0:v>
      </ns0:c>
      <ns0:c r="F291" s="19" t="inlineStr">
        <ns0:is>
          <ns0:t>Include</ns0:t>
        </ns0:is>
      </ns0:c>
      <ns0:c r="G291" s="27">
        <ns0:f>IF(F291="Include",1,0)</ns0:f>
        <ns0:v>1</ns0:v>
      </ns0:c>
      <ns0:c r="H291" s="19" t="inlineStr">
        <ns0:is>
          <ns0:t>Not specified</ns0:t>
        </ns0:is>
      </ns0:c>
      <ns0:c r="I291" s="19" t="inlineStr">
        <ns0:is>
          <ns0:t>Deep Learning</ns0:t>
        </ns0:is>
      </ns0:c>
      <ns0:c r="J291" s="19" t="inlineStr">
        <ns0:is>
          <ns0:t>Text/language</ns0:t>
        </ns0:is>
      </ns0:c>
      <ns0:c r="K291" s="19" t="inlineStr">
        <ns0:is>
          <ns0:t>Transformer</ns0:t>
        </ns0:is>
      </ns0:c>
      <ns0:c r="L291" s="19" t="inlineStr">
        <ns0:is>
          <ns0:t>Transformer</ns0:t>
        </ns0:is>
      </ns0:c>
      <ns0:c r="M291" s="19" t="inlineStr">
        <ns0:is>
          <ns0:t>Research only</ns0:t>
        </ns0:is>
      </ns0:c>
      <ns0:c r="N291" s="19" t="inlineStr">
        <ns0:is>
          <ns0:t>Research characterization</ns0:t>
        </ns0:is>
      </ns0:c>
      <ns0:c r="O291" s="19" t="inlineStr">
        <ns0:is>
          <ns0:t>Not observed in assessed sources</ns0:t>
        </ns0:is>
      </ns0:c>
      <ns0:c r="P291" s="19" t="inlineStr">
        <ns0:is>
          <ns0:t>Not observed in assessed sources</ns0:t>
        </ns0:is>
      </ns0:c>
      <ns0:c r="Q291" s="19" t="inlineStr">
        <ns0:is>
          <ns0:t>Not reported in assessed sources</ns0:t>
        </ns0:is>
      </ns0:c>
      <ns0:c r="R291" s="19" t="inlineStr">
        <ns0:is>
          <ns0:t>Not reported in assessed sources</ns0:t>
        </ns0:is>
      </ns0:c>
      <ns0:c r="S291" s="19" t="inlineStr">
        <ns0:is>
          <ns0:t>Not reported in assessed sources</ns0:t>
        </ns0:is>
      </ns0:c>
      <ns0:c r="T291" s="19" t="inlineStr">
        <ns0:is>
          <ns0:t>Not reported in assessed sources</ns0:t>
        </ns0:is>
      </ns0:c>
      <ns0:c r="U291" s="19" t="inlineStr">
        <ns0:is>
          <ns0:t>Not reported in assessed sources</ns0:t>
        </ns0:is>
      </ns0:c>
      <ns0:c r="V291" s="19" t="inlineStr">
        <ns0:is>
          <ns0:t>Not reported in assessed sources</ns0:t>
        </ns0:is>
      </ns0:c>
      <ns0:c r="W291" s="19" t="inlineStr">
        <ns0:is>
          <ns0:t>Not reported in assessed sources</ns0:t>
        </ns0:is>
      </ns0:c>
      <ns0:c r="X291" s="19" t="inlineStr">
        <ns0:is>
          <ns0:t>Not reported in assessed sources</ns0:t>
        </ns0:is>
      </ns0:c>
      <ns0:c r="Y291" s="19" t="inlineStr">
        <ns0:is>
          <ns0:t>Not ascertainable</ns0:t>
        </ns0:is>
      </ns0:c>
      <ns0:c r="Z291" s="19" t="inlineStr">
        <ns0:is>
          <ns0:t>Not reported in assessed sources</ns0:t>
        </ns0:is>
      </ns0:c>
      <ns0:c r="AA291" s="19" t="inlineStr">
        <ns0:is>
          <ns0:t>Not recorded</ns0:t>
        </ns0:is>
      </ns0:c>
      <ns0:c r="AB291" s="26" t="n">
        <ns0:v>0</ns0:v>
      </ns0:c>
      <ns0:c r="AC291" s="26" t="n">
        <ns0:v>1</ns0:v>
      </ns0:c>
      <ns0:c r="AD291" s="27">
        <ns0:f>IF(AND(G291=1,AB291=0),1,0)</ns0:f>
        <ns0:v>1</ns0:v>
      </ns0:c>
      <ns0:c r="AE291" s="27">
        <ns0:f>IF(AND(AD291=1,AC291=0),1,0)</ns0:f>
        <ns0:v>0</ns0:v>
      </ns0:c>
      <ns0:c r="AF291" s="27">
        <ns0:f>IF(AND(G291=1,H291&lt;&gt;"Not specified"),1,0)</ns0:f>
        <ns0:v>0</ns0:v>
      </ns0:c>
      <ns0:c r="AG291" s="27">
        <ns0:f>IF(AND(AE291=1,AF291=1),1,0)</ns0:f>
        <ns0:v>0</ns0:v>
      </ns0:c>
      <ns0:c r="AH291" s="19" t="inlineStr">
        <ns0:is>
          <ns0:t>Primary-source final article abstract and publication metadata</ns0:t>
        </ns0:is>
      </ns0:c>
      <ns0:c r="AI291" s="19" t="inlineStr">
        <ns0:is>
          <ns0:t>https://www.jmir.org/2026/1/e85290</ns0:t>
        </ns0:is>
      </ns0:c>
      <ns0:c r="AJ291" s="19" t="inlineStr">
        <ns0:is>
          <ns0:t>Publication banner and final abstract</ns0:t>
        </ns0:is>
      </ns0:c>
      <ns0:c r="AK291" s="19" t="inlineStr">
        <ns0:is>
          <ns0:t>Published final article validates LLM annotation of caregiver health-information communities; no care decisions made by this model.
Caregiver information-needs research rather than an AI decision or delivered care-support system; exclude in direct clinical-endpoint sensitivity.</ns0:t>
        </ns0:is>
      </ns0:c>
      <ns0:c r="AL291" s="19" t="inlineStr">
        <ns0:is>
          <ns0:t>Not applicable</ns0:t>
        </ns0:is>
      </ns0:c>
      <ns0:c r="AM291" s="19" t="inlineStr">
        <ns0:is>
          <ns0:t>Not separately specified</ns0:t>
        </ns0:is>
      </ns0:c>
      <ns0:c r="AN291" s="19" t="inlineStr">
        <ns0:is>
          <ns0:t>Caregiver information-needs research rather than an AI decision or delivered care-support system; exclude in direct clinical-endpoint sensitivity.</ns0:t>
        </ns0:is>
      </ns0:c>
      <ns0:c r="AO291" s="19" t="inlineStr">
        <ns0:is>
          <ns0:t>Peer-reviewed journal article; published 2026-07-10</ns0:t>
        </ns0:is>
      </ns0:c>
      <ns0:c r="AP291" s="19" t="inlineStr">
        <ns0:is>
          <ns0:t>Not documented for this recharting</ns0:t>
        </ns0:is>
      </ns0:c>
      <ns0:c r="AQ291" s="19" t="inlineStr">
        <ns0:is>
          <ns0:t>ChatGPT-assisted evidence recharting, 2026-09-08</ns0:t>
        </ns0:is>
      </ns0:c>
      <ns0:c r="AR291" s="19" t="inlineStr">
        <ns0:is>
          <ns0:t>Revisión asistida por IA (un revisor; requiere verificación independiente)</ns0:t>
        </ns0:is>
      </ns0:c>
      <ns0:c r="AS291" s="19" t="inlineStr">
        <ns0:is>
          <ns0:t>Retrieved and reviewed</ns0:t>
        </ns0:is>
      </ns0:c>
    </ns0:row>
    <ns0:row r="292" ht="50" customHeight="1">
      <ns0:c r="A292" s="21" t="inlineStr">
        <ns0:is>
          <ns0:t>new_169</ns0:t>
        </ns0:is>
      </ns0:c>
      <ns0:c r="B292" s="21" t="inlineStr">
        <ns0:is>
          <ns0:t>Update</ns0:t>
        </ns0:is>
      </ns0:c>
      <ns0:c r="C292" s="21" t="inlineStr">
        <ns0:is>
          <ns0:t>GPT-Powered Chatbot-Based Positive Psychology Intervention for Well-Being Among Parents of Children With Autism Spectrum Disorder: Single-Arm Mixed Methods Study</ns0:t>
        </ns0:is>
      </ns0:c>
      <ns0:c r="D292" s="21" t="inlineStr">
        <ns0:is>
          <ns0:t>10.2196/85060</ns0:t>
        </ns0:is>
      </ns0:c>
      <ns0:c r="E292" s="28" t="n">
        <ns0:v>2026</ns0:v>
      </ns0:c>
      <ns0:c r="F292" s="21" t="inlineStr">
        <ns0:is>
          <ns0:t>Include</ns0:t>
        </ns0:is>
      </ns0:c>
      <ns0:c r="G292" s="29">
        <ns0:f>IF(F292="Include",1,0)</ns0:f>
        <ns0:v>1</ns0:v>
      </ns0:c>
      <ns0:c r="H292" s="21" t="inlineStr">
        <ns0:is>
          <ns0:t>Monitoring/intervention</ns0:t>
        </ns0:is>
      </ns0:c>
      <ns0:c r="I292" s="21" t="inlineStr">
        <ns0:is>
          <ns0:t>Deep Learning</ns0:t>
        </ns0:is>
      </ns0:c>
      <ns0:c r="J292" s="21" t="inlineStr">
        <ns0:is>
          <ns0:t>Text/language</ns0:t>
        </ns0:is>
      </ns0:c>
      <ns0:c r="K292" s="21" t="inlineStr">
        <ns0:is>
          <ns0:t>Transformer</ns0:t>
        </ns0:is>
      </ns0:c>
      <ns0:c r="L292" s="21" t="inlineStr">
        <ns0:is>
          <ns0:t>Transformer</ns0:t>
        </ns0:is>
      </ns0:c>
      <ns0:c r="M292" s="21" t="inlineStr">
        <ns0:is>
          <ns0:t>Evaluated AI-supported intervention</ns0:t>
        </ns0:is>
      </ns0:c>
      <ns0:c r="N292" s="21" t="inlineStr">
        <ns0:is>
          <ns0:t>Adaptive intervention</ns0:t>
        </ns0:is>
      </ns0:c>
      <ns0:c r="O292" s="21" t="inlineStr">
        <ns0:is>
          <ns0:t>Post-decision</ns0:t>
        </ns0:is>
      </ns0:c>
      <ns0:c r="P292" s="21" t="inlineStr">
        <ns0:is>
          <ns0:t>Post-decision</ns0:t>
        </ns0:is>
      </ns0:c>
      <ns0:c r="Q292" s="21" t="inlineStr">
        <ns0:is>
          <ns0:t>Not reported in assessed sources</ns0:t>
        </ns0:is>
      </ns0:c>
      <ns0:c r="R292" s="21" t="inlineStr">
        <ns0:is>
          <ns0:t>Not reported in assessed sources</ns0:t>
        </ns0:is>
      </ns0:c>
      <ns0:c r="S292" s="21" t="inlineStr">
        <ns0:is>
          <ns0:t>Not reported in assessed sources</ns0:t>
        </ns0:is>
      </ns0:c>
      <ns0:c r="T292" s="21" t="inlineStr">
        <ns0:is>
          <ns0:t>Not reported in assessed sources</ns0:t>
        </ns0:is>
      </ns0:c>
      <ns0:c r="U292" s="21" t="inlineStr">
        <ns0:is>
          <ns0:t>Not reported in assessed sources</ns0:t>
        </ns0:is>
      </ns0:c>
      <ns0:c r="V292" s="21" t="inlineStr">
        <ns0:is>
          <ns0:t>Not reported in assessed sources</ns0:t>
        </ns0:is>
      </ns0:c>
      <ns0:c r="W292" s="21" t="inlineStr">
        <ns0:is>
          <ns0:t>Not reported in assessed sources</ns0:t>
        </ns0:is>
      </ns0:c>
      <ns0:c r="X292" s="21" t="inlineStr">
        <ns0:is>
          <ns0:t>Reported</ns0:t>
        </ns0:is>
      </ns0:c>
      <ns0:c r="Y292" s="21" t="inlineStr">
        <ns0:is>
          <ns0:t>Not ascertainable</ns0:t>
        </ns0:is>
      </ns0:c>
      <ns0:c r="Z292" s="21" t="inlineStr">
        <ns0:is>
          <ns0:t>Not reported in assessed sources</ns0:t>
        </ns0:is>
      </ns0:c>
      <ns0:c r="AA292" s="21" t="inlineStr">
        <ns0:is>
          <ns0:t>Not recorded</ns0:t>
        </ns0:is>
      </ns0:c>
      <ns0:c r="AB292" s="28" t="n">
        <ns0:v>0</ns0:v>
      </ns0:c>
      <ns0:c r="AC292" s="28" t="n">
        <ns0:v>0</ns0:v>
      </ns0:c>
      <ns0:c r="AD292" s="29">
        <ns0:f>IF(AND(G292=1,AB292=0),1,0)</ns0:f>
        <ns0:v>1</ns0:v>
      </ns0:c>
      <ns0:c r="AE292" s="29">
        <ns0:f>IF(AND(AD292=1,AC292=0),1,0)</ns0:f>
        <ns0:v>1</ns0:v>
      </ns0:c>
      <ns0:c r="AF292" s="29">
        <ns0:f>IF(AND(G292=1,H292&lt;&gt;"Not specified"),1,0)</ns0:f>
        <ns0:v>1</ns0:v>
      </ns0:c>
      <ns0:c r="AG292" s="29">
        <ns0:f>IF(AND(AE292=1,AF292=1),1,0)</ns0:f>
        <ns0:v>1</ns0:v>
      </ns0:c>
      <ns0:c r="AH292" s="21" t="inlineStr">
        <ns0:is>
          <ns0:t>Supplied abstract/coding notes; no new full-text verification</ns0:t>
        </ns0:is>
      </ns0:c>
      <ns0:c r="AI292" s="21" t="inlineStr">
        <ns0:is>
          <ns0:t>https://doi.org/10.2196/85060</ns0:t>
        </ns0:is>
      </ns0:c>
      <ns0:c r="AJ292" s="21" t="inlineStr">
        <ns0:is>
          <ns0:t>EVIDENCIA; original abstract/coding notes and lot source trace; Inherited scoped adjudication; see source level and lot caveats</ns0:t>
        </ns0:is>
      </ns0:c>
      <ns0:c r="AK292" s="21" t="inlineStr">
        <ns0:is>
          <ns0:t>GPT chatbot delivers positive-psychology intervention to ASD caregivers. Well-being scales and interviews evaluate outcomes rather than establish multimodal AI input.</ns0:t>
        </ns0:is>
      </ns0:c>
      <ns0:c r="AL292" s="21" t="inlineStr">
        <ns0:is>
          <ns0:t>Not applicable</ns0:t>
        </ns0:is>
      </ns0:c>
      <ns0:c r="AM292" s="21" t="inlineStr">
        <ns0:is>
          <ns0:t>Not separately specified</ns0:t>
        </ns0:is>
      </ns0:c>
      <ns0:c r="AN292" s="21" t="inlineStr"/>
      <ns0:c r="AO292" s="21" t="inlineStr">
        <ns0:is>
          <ns0:t>No additional status determination</ns0:t>
        </ns0:is>
      </ns0:c>
      <ns0:c r="AP292" s="21" t="inlineStr">
        <ns0:is>
          <ns0:t>Not documented for this recharting</ns0:t>
        </ns0:is>
      </ns0:c>
      <ns0:c r="AQ292" s="21" t="inlineStr">
        <ns0:is>
          <ns0:t>ChatGPT-assisted evidence recharting, 2026-09-08</ns0:t>
        </ns0:is>
      </ns0:c>
      <ns0:c r="AR292" s="21" t="inlineStr">
        <ns0:is>
          <ns0:t>Revisión asistida por IA (un revisor; requiere verificación independiente)</ns0:t>
        </ns0:is>
      </ns0:c>
      <ns0:c r="AS292" s="21" t="inlineStr">
        <ns0:is>
          <ns0:t>Retrieved and reviewed</ns0:t>
        </ns0:is>
      </ns0:c>
    </ns0:row>
    <ns0:row r="293" ht="50" customHeight="1">
      <ns0:c r="A293" s="19" t="inlineStr">
        <ns0:is>
          <ns0:t>new_171</ns0:t>
        </ns0:is>
      </ns0:c>
      <ns0:c r="B293" s="19" t="inlineStr">
        <ns0:is>
          <ns0:t>Update</ns0:t>
        </ns0:is>
      </ns0:c>
      <ns0:c r="C293" s="19" t="inlineStr">
        <ns0:is>
          <ns0:t>Large Language Model Few-Shot Learning for Predicting Individual Treatment Response to Smartphone-Based Mindfulness in Autistic Adults With Anxiety: Secondary Analysis of a Randomized Controlled Trial</ns0:t>
        </ns0:is>
      </ns0:c>
      <ns0:c r="D293" s="19" t="inlineStr">
        <ns0:is>
          <ns0:t>10.2196/89054</ns0:t>
        </ns0:is>
      </ns0:c>
      <ns0:c r="E293" s="26" t="n">
        <ns0:v>2025</ns0:v>
      </ns0:c>
      <ns0:c r="F293" s="19" t="inlineStr">
        <ns0:is>
          <ns0:t>Include</ns0:t>
        </ns0:is>
      </ns0:c>
      <ns0:c r="G293" s="27">
        <ns0:f>IF(F293="Include",1,0)</ns0:f>
        <ns0:v>1</ns0:v>
      </ns0:c>
      <ns0:c r="H293" s="19" t="inlineStr">
        <ns0:is>
          <ns0:t>Prognosis</ns0:t>
        </ns0:is>
      </ns0:c>
      <ns0:c r="I293" s="19" t="inlineStr">
        <ns0:is>
          <ns0:t>Deep Learning</ns0:t>
        </ns0:is>
      </ns0:c>
      <ns0:c r="J293" s="19" t="inlineStr">
        <ns0:is>
          <ns0:t>Structured clinical/questionnaire data</ns0:t>
        </ns0:is>
      </ns0:c>
      <ns0:c r="K293" s="19" t="inlineStr">
        <ns0:is>
          <ns0:t>Transformer</ns0:t>
        </ns0:is>
      </ns0:c>
      <ns0:c r="L293" s="19" t="inlineStr">
        <ns0:is>
          <ns0:t>Transformer</ns0:t>
        </ns0:is>
      </ns0:c>
      <ns0:c r="M293" s="19" t="inlineStr">
        <ns0:is>
          <ns0:t>Research only</ns0:t>
        </ns0:is>
      </ns0:c>
      <ns0:c r="N293" s="19" t="inlineStr">
        <ns0:is>
          <ns0:t>Risk/trajectory estimation</ns0:t>
        </ns0:is>
      </ns0:c>
      <ns0:c r="O293" s="19" t="inlineStr">
        <ns0:is>
          <ns0:t>Not observed in assessed sources</ns0:t>
        </ns0:is>
      </ns0:c>
      <ns0:c r="P293" s="19" t="inlineStr">
        <ns0:is>
          <ns0:t>Not observed in assessed sources</ns0:t>
        </ns0:is>
      </ns0:c>
      <ns0:c r="Q293" s="19" t="inlineStr">
        <ns0:is>
          <ns0:t>Not reported in assessed sources</ns0:t>
        </ns0:is>
      </ns0:c>
      <ns0:c r="R293" s="19" t="inlineStr">
        <ns0:is>
          <ns0:t>Not reported in assessed sources</ns0:t>
        </ns0:is>
      </ns0:c>
      <ns0:c r="S293" s="19" t="inlineStr">
        <ns0:is>
          <ns0:t>Reported</ns0:t>
        </ns0:is>
      </ns0:c>
      <ns0:c r="T293" s="19" t="inlineStr">
        <ns0:is>
          <ns0:t>Not reported in assessed sources</ns0:t>
        </ns0:is>
      </ns0:c>
      <ns0:c r="U293" s="19" t="inlineStr">
        <ns0:is>
          <ns0:t>Not reported in assessed sources</ns0:t>
        </ns0:is>
      </ns0:c>
      <ns0:c r="V293" s="19" t="inlineStr">
        <ns0:is>
          <ns0:t>Not reported in assessed sources</ns0:t>
        </ns0:is>
      </ns0:c>
      <ns0:c r="W293" s="19" t="inlineStr">
        <ns0:is>
          <ns0:t>Not reported in assessed sources</ns0:t>
        </ns0:is>
      </ns0:c>
      <ns0:c r="X293" s="19" t="inlineStr">
        <ns0:is>
          <ns0:t>Not reported in assessed sources</ns0:t>
        </ns0:is>
      </ns0:c>
      <ns0:c r="Y293" s="19" t="inlineStr">
        <ns0:is>
          <ns0:t>Not ascertainable</ns0:t>
        </ns0:is>
      </ns0:c>
      <ns0:c r="Z293" s="19" t="inlineStr">
        <ns0:is>
          <ns0:t>Reported</ns0:t>
        </ns0:is>
      </ns0:c>
      <ns0:c r="AA293" s="19" t="inlineStr">
        <ns0:is>
          <ns0:t>Not recorded</ns0:t>
        </ns0:is>
      </ns0:c>
      <ns0:c r="AB293" s="26" t="n">
        <ns0:v>0</ns0:v>
      </ns0:c>
      <ns0:c r="AC293" s="26" t="n">
        <ns0:v>0</ns0:v>
      </ns0:c>
      <ns0:c r="AD293" s="27">
        <ns0:f>IF(AND(G293=1,AB293=0),1,0)</ns0:f>
        <ns0:v>1</ns0:v>
      </ns0:c>
      <ns0:c r="AE293" s="27">
        <ns0:f>IF(AND(AD293=1,AC293=0),1,0)</ns0:f>
        <ns0:v>1</ns0:v>
      </ns0:c>
      <ns0:c r="AF293" s="27">
        <ns0:f>IF(AND(G293=1,H293&lt;&gt;"Not specified"),1,0)</ns0:f>
        <ns0:v>1</ns0:v>
      </ns0:c>
      <ns0:c r="AG293" s="27">
        <ns0:f>IF(AND(AE293=1,AF293=1),1,0)</ns0:f>
        <ns0:v>1</ns0:v>
      </ns0:c>
      <ns0:c r="AH293" s="19" t="inlineStr">
        <ns0:is>
          <ns0:t>Primary-source final publication metadata</ns0:t>
        </ns0:is>
      </ns0:c>
      <ns0:c r="AI293" s="19" t="inlineStr">
        <ns0:is>
          <ns0:t>https://ai.jmir.org/2026/1/e89054</ns0:t>
        </ns0:is>
      </ns0:c>
      <ns0:c r="AJ293" s="19" t="inlineStr">
        <ns0:is>
          <ns0:t>Final publication title and metadata; linked from publisher preprint page</ns0:t>
        </ns0:is>
      </ns0:c>
      <ns0:c r="AK293" s="19" t="inlineStr">
        <ns0:is>
          <ns0:t>Published final article evaluates few-shot LLM prediction of individual mindfulness response in a secondary RCT analysis; not AI-assigned treatment.</ns0:t>
        </ns0:is>
      </ns0:c>
      <ns0:c r="AL293" s="19" t="inlineStr">
        <ns0:is>
          <ns0:t>Not applicable</ns0:t>
        </ns0:is>
      </ns0:c>
      <ns0:c r="AM293" s="19" t="inlineStr">
        <ns0:is>
          <ns0:t>Not separately specified</ns0:t>
        </ns0:is>
      </ns0:c>
      <ns0:c r="AN293" s="19" t="inlineStr"/>
      <ns0:c r="AO293" s="19" t="inlineStr">
        <ns0:is>
          <ns0:t>Peer-reviewed journal article; JMIR AI 2026;5:e89054</ns0:t>
        </ns0:is>
      </ns0:c>
      <ns0:c r="AP293" s="19" t="inlineStr">
        <ns0:is>
          <ns0:t>Not documented for this recharting</ns0:t>
        </ns0:is>
      </ns0:c>
      <ns0:c r="AQ293" s="19" t="inlineStr">
        <ns0:is>
          <ns0:t>ChatGPT-assisted evidence recharting, 2026-09-08</ns0:t>
        </ns0:is>
      </ns0:c>
      <ns0:c r="AR293" s="19" t="inlineStr">
        <ns0:is>
          <ns0:t>Revisión asistida por IA (un revisor; requiere verificación independiente)</ns0:t>
        </ns0:is>
      </ns0:c>
      <ns0:c r="AS293" s="19" t="inlineStr">
        <ns0:is>
          <ns0:t>Retrieved and reviewed</ns0:t>
        </ns0:is>
      </ns0:c>
    </ns0:row>
    <ns0:row r="294" ht="50" customHeight="1">
      <ns0:c r="A294" s="21" t="inlineStr">
        <ns0:is>
          <ns0:t>new_172</ns0:t>
        </ns0:is>
      </ns0:c>
      <ns0:c r="B294" s="21" t="inlineStr">
        <ns0:is>
          <ns0:t>Update</ns0:t>
        </ns0:is>
      </ns0:c>
      <ns0:c r="C294" s="21" t="inlineStr">
        <ns0:is>
          <ns0:t>Evaluating Public Sentiment on Attention-Deficit/Hyperactivity Disorder and Autism Spectrum Disorder Compared With Other Mental Health Disorders From Posts on X (Formerly Known as Twitter): Longitudinal Analysis</ns0:t>
        </ns0:is>
      </ns0:c>
      <ns0:c r="D294" s="21" t="inlineStr">
        <ns0:is>
          <ns0:t>10.2196/74440</ns0:t>
        </ns0:is>
      </ns0:c>
      <ns0:c r="E294" s="28" t="n">
        <ns0:v>2026</ns0:v>
      </ns0:c>
      <ns0:c r="F294" s="30" t="inlineStr">
        <ns0:is>
          <ns0:t>Exclude</ns0:t>
        </ns0:is>
      </ns0:c>
      <ns0:c r="G294" s="29">
        <ns0:f>IF(F294="Include",1,0)</ns0:f>
        <ns0:v>0</ns0:v>
      </ns0:c>
      <ns0:c r="H294" s="21" t="inlineStr">
        <ns0:is>
          <ns0:t>Excluded</ns0:t>
        </ns0:is>
      </ns0:c>
      <ns0:c r="I294" s="21" t="inlineStr">
        <ns0:is>
          <ns0:t>Excluded</ns0:t>
        </ns0:is>
      </ns0:c>
      <ns0:c r="J294" s="21" t="inlineStr">
        <ns0:is>
          <ns0:t>Excluded</ns0:t>
        </ns0:is>
      </ns0:c>
      <ns0:c r="K294" s="21" t="inlineStr">
        <ns0:is>
          <ns0:t>Supervised text classifiers</ns0:t>
        </ns0:is>
      </ns0:c>
      <ns0:c r="L294" s="21" t="inlineStr">
        <ns0:is>
          <ns0:t>Other specified method</ns0:t>
        </ns0:is>
      </ns0:c>
      <ns0:c r="M294" s="21" t="inlineStr">
        <ns0:is>
          <ns0:t>Excluded</ns0:t>
        </ns0:is>
      </ns0:c>
      <ns0:c r="N294" s="21" t="inlineStr">
        <ns0:is>
          <ns0:t>Excluded</ns0:t>
        </ns0:is>
      </ns0:c>
      <ns0:c r="O294" s="21" t="inlineStr">
        <ns0:is>
          <ns0:t>Not applicable - excluded</ns0:t>
        </ns0:is>
      </ns0:c>
      <ns0:c r="P294" s="21" t="inlineStr">
        <ns0:is>
          <ns0:t>Not applicable - excluded</ns0:t>
        </ns0:is>
      </ns0:c>
      <ns0:c r="Q294" s="21" t="inlineStr">
        <ns0:is>
          <ns0:t>Not reported in assessed sources</ns0:t>
        </ns0:is>
      </ns0:c>
      <ns0:c r="R294" s="21" t="inlineStr">
        <ns0:is>
          <ns0:t>Not reported in assessed sources</ns0:t>
        </ns0:is>
      </ns0:c>
      <ns0:c r="S294" s="21" t="inlineStr">
        <ns0:is>
          <ns0:t>Not reported in assessed sources</ns0:t>
        </ns0:is>
      </ns0:c>
      <ns0:c r="T294" s="21" t="inlineStr">
        <ns0:is>
          <ns0:t>Not reported in assessed sources</ns0:t>
        </ns0:is>
      </ns0:c>
      <ns0:c r="U294" s="21" t="inlineStr">
        <ns0:is>
          <ns0:t>Not reported in assessed sources</ns0:t>
        </ns0:is>
      </ns0:c>
      <ns0:c r="V294" s="21" t="inlineStr">
        <ns0:is>
          <ns0:t>Not reported in assessed sources</ns0:t>
        </ns0:is>
      </ns0:c>
      <ns0:c r="W294" s="21" t="inlineStr">
        <ns0:is>
          <ns0:t>Not reported in assessed sources</ns0:t>
        </ns0:is>
      </ns0:c>
      <ns0:c r="X294" s="21" t="inlineStr">
        <ns0:is>
          <ns0:t>Not reported in assessed sources</ns0:t>
        </ns0:is>
      </ns0:c>
      <ns0:c r="Y294" s="21" t="inlineStr">
        <ns0:is>
          <ns0:t>Not ascertainable</ns0:t>
        </ns0:is>
      </ns0:c>
      <ns0:c r="Z294" s="21" t="inlineStr">
        <ns0:is>
          <ns0:t>Not reported in assessed sources</ns0:t>
        </ns0:is>
      </ns0:c>
      <ns0:c r="AA294" s="21" t="inlineStr">
        <ns0:is>
          <ns0:t>Not recorded</ns0:t>
        </ns0:is>
      </ns0:c>
      <ns0:c r="AB294" s="28" t="n">
        <ns0:v>0</ns0:v>
      </ns0:c>
      <ns0:c r="AC294" s="28" t="n">
        <ns0:v>0</ns0:v>
      </ns0:c>
      <ns0:c r="AD294" s="29">
        <ns0:f>IF(AND(G294=1,AB294=0),1,0)</ns0:f>
        <ns0:v>0</ns0:v>
      </ns0:c>
      <ns0:c r="AE294" s="29">
        <ns0:f>IF(AND(AD294=1,AC294=0),1,0)</ns0:f>
        <ns0:v>0</ns0:v>
      </ns0:c>
      <ns0:c r="AF294" s="29">
        <ns0:f>IF(AND(G294=1,H294&lt;&gt;"Not specified"),1,0)</ns0:f>
        <ns0:v>0</ns0:v>
      </ns0:c>
      <ns0:c r="AG294" s="29">
        <ns0:f>IF(AND(AE294=1,AF294=1),1,0)</ns0:f>
        <ns0:v>0</ns0:v>
      </ns0:c>
      <ns0:c r="AH294" s="21" t="inlineStr">
        <ns0:is>
          <ns0:t>Supplied abstract/coding notes; no new full-text verification</ns0:t>
        </ns0:is>
      </ns0:c>
      <ns0:c r="AI294" s="21" t="inlineStr">
        <ns0:is>
          <ns0:t>https://doi.org/10.2196/74440</ns0:t>
        </ns0:is>
      </ns0:c>
      <ns0:c r="AJ294" s="21" t="inlineStr">
        <ns0:is>
          <ns0:t>EVIDENCIA; original abstract/coding notes and lot source trace; Inherited scoped adjudication; see source level and lot caveats</ns0:t>
        </ns0:is>
      </ns0:c>
      <ns0:c r="AK294" s="21" t="inlineStr">
        <ns0:is>
          <ns0:t>Public sentiment comparison of ADHD/ASD and other diagnoses on X; computational discourse analysis without an evaluated ASD clinical or care-support model.</ns0:t>
        </ns0:is>
      </ns0:c>
      <ns0:c r="AL294" s="21" t="inlineStr">
        <ns0:is>
          <ns0:t>EC4 No clinical or care-process model</ns0:t>
        </ns0:is>
      </ns0:c>
      <ns0:c r="AM294" s="21" t="inlineStr">
        <ns0:is>
          <ns0:t>Not separately specified</ns0:t>
        </ns0:is>
      </ns0:c>
      <ns0:c r="AN294" s="21" t="inlineStr"/>
      <ns0:c r="AO294" s="21" t="inlineStr">
        <ns0:is>
          <ns0:t>No additional status determination</ns0:t>
        </ns0:is>
      </ns0:c>
      <ns0:c r="AP294" s="21" t="inlineStr">
        <ns0:is>
          <ns0:t>Not documented for this recharting</ns0:t>
        </ns0:is>
      </ns0:c>
      <ns0:c r="AQ294" s="21" t="inlineStr">
        <ns0:is>
          <ns0:t>ChatGPT-assisted evidence recharting, 2026-09-08</ns0:t>
        </ns0:is>
      </ns0:c>
      <ns0:c r="AR294" s="21" t="inlineStr">
        <ns0:is>
          <ns0:t>Revisión asistida por IA (un revisor; requiere verificación independiente)</ns0:t>
        </ns0:is>
      </ns0:c>
      <ns0:c r="AS294" s="21" t="inlineStr">
        <ns0:is>
          <ns0:t>Retrieved and reviewed</ns0:t>
        </ns0:is>
      </ns0:c>
    </ns0:row>
    <ns0:row r="295" ht="50" customHeight="1">
      <ns0:c r="A295" s="19" t="inlineStr">
        <ns0:is>
          <ns0:t>new_173</ns0:t>
        </ns0:is>
      </ns0:c>
      <ns0:c r="B295" s="19" t="inlineStr">
        <ns0:is>
          <ns0:t>Update</ns0:t>
        </ns0:is>
      </ns0:c>
      <ns0:c r="C295" s="19" t="inlineStr">
        <ns0:is>
          <ns0:t>Autism-Related Information on Websites and General-Purpose Artificial Intelligence Chatbots: Comparative, Bilingual Study</ns0:t>
        </ns0:is>
      </ns0:c>
      <ns0:c r="D295" s="19" t="inlineStr">
        <ns0:is>
          <ns0:t>10.2196/85196</ns0:t>
        </ns0:is>
      </ns0:c>
      <ns0:c r="E295" s="26" t="n">
        <ns0:v>2025</ns0:v>
      </ns0:c>
      <ns0:c r="F295" s="19" t="inlineStr">
        <ns0:is>
          <ns0:t>Include</ns0:t>
        </ns0:is>
      </ns0:c>
      <ns0:c r="G295" s="27">
        <ns0:f>IF(F295="Include",1,0)</ns0:f>
        <ns0:v>1</ns0:v>
      </ns0:c>
      <ns0:c r="H295" s="19" t="inlineStr">
        <ns0:is>
          <ns0:t>Monitoring/intervention</ns0:t>
        </ns0:is>
      </ns0:c>
      <ns0:c r="I295" s="19" t="inlineStr">
        <ns0:is>
          <ns0:t>Deep Learning</ns0:t>
        </ns0:is>
      </ns0:c>
      <ns0:c r="J295" s="19" t="inlineStr">
        <ns0:is>
          <ns0:t>Text/language</ns0:t>
        </ns0:is>
      </ns0:c>
      <ns0:c r="K295" s="19" t="inlineStr">
        <ns0:is>
          <ns0:t>Transformer</ns0:t>
        </ns0:is>
      </ns0:c>
      <ns0:c r="L295" s="19" t="inlineStr">
        <ns0:is>
          <ns0:t>Transformer</ns0:t>
        </ns0:is>
      </ns0:c>
      <ns0:c r="M295" s="19" t="inlineStr">
        <ns0:is>
          <ns0:t>Research only</ns0:t>
        </ns0:is>
      </ns0:c>
      <ns0:c r="N295" s="19" t="inlineStr">
        <ns0:is>
          <ns0:t>Assistive support</ns0:t>
        </ns0:is>
      </ns0:c>
      <ns0:c r="O295" s="19" t="inlineStr">
        <ns0:is>
          <ns0:t>Not observed in assessed sources</ns0:t>
        </ns0:is>
      </ns0:c>
      <ns0:c r="P295" s="19" t="inlineStr">
        <ns0:is>
          <ns0:t>Not observed in assessed sources</ns0:t>
        </ns0:is>
      </ns0:c>
      <ns0:c r="Q295" s="19" t="inlineStr">
        <ns0:is>
          <ns0:t>Not reported in assessed sources</ns0:t>
        </ns0:is>
      </ns0:c>
      <ns0:c r="R295" s="19" t="inlineStr">
        <ns0:is>
          <ns0:t>Not reported in assessed sources</ns0:t>
        </ns0:is>
      </ns0:c>
      <ns0:c r="S295" s="19" t="inlineStr">
        <ns0:is>
          <ns0:t>Not reported in assessed sources</ns0:t>
        </ns0:is>
      </ns0:c>
      <ns0:c r="T295" s="19" t="inlineStr">
        <ns0:is>
          <ns0:t>Not reported in assessed sources</ns0:t>
        </ns0:is>
      </ns0:c>
      <ns0:c r="U295" s="19" t="inlineStr">
        <ns0:is>
          <ns0:t>Not reported in assessed sources</ns0:t>
        </ns0:is>
      </ns0:c>
      <ns0:c r="V295" s="19" t="inlineStr">
        <ns0:is>
          <ns0:t>Not reported in assessed sources</ns0:t>
        </ns0:is>
      </ns0:c>
      <ns0:c r="W295" s="19" t="inlineStr">
        <ns0:is>
          <ns0:t>Not reported in assessed sources</ns0:t>
        </ns0:is>
      </ns0:c>
      <ns0:c r="X295" s="19" t="inlineStr">
        <ns0:is>
          <ns0:t>Not reported in assessed sources</ns0:t>
        </ns0:is>
      </ns0:c>
      <ns0:c r="Y295" s="19" t="inlineStr">
        <ns0:is>
          <ns0:t>Not ascertainable</ns0:t>
        </ns0:is>
      </ns0:c>
      <ns0:c r="Z295" s="19" t="inlineStr">
        <ns0:is>
          <ns0:t>Not reported in assessed sources</ns0:t>
        </ns0:is>
      </ns0:c>
      <ns0:c r="AA295" s="19" t="inlineStr">
        <ns0:is>
          <ns0:t>Not recorded</ns0:t>
        </ns0:is>
      </ns0:c>
      <ns0:c r="AB295" s="26" t="n">
        <ns0:v>0</ns0:v>
      </ns0:c>
      <ns0:c r="AC295" s="26" t="n">
        <ns0:v>0</ns0:v>
      </ns0:c>
      <ns0:c r="AD295" s="27">
        <ns0:f>IF(AND(G295=1,AB295=0),1,0)</ns0:f>
        <ns0:v>1</ns0:v>
      </ns0:c>
      <ns0:c r="AE295" s="27">
        <ns0:f>IF(AND(AD295=1,AC295=0),1,0)</ns0:f>
        <ns0:v>1</ns0:v>
      </ns0:c>
      <ns0:c r="AF295" s="27">
        <ns0:f>IF(AND(G295=1,H295&lt;&gt;"Not specified"),1,0)</ns0:f>
        <ns0:v>1</ns0:v>
      </ns0:c>
      <ns0:c r="AG295" s="27">
        <ns0:f>IF(AND(AE295=1,AF295=1),1,0)</ns0:f>
        <ns0:v>1</ns0:v>
      </ns0:c>
      <ns0:c r="AH295" s="19" t="inlineStr">
        <ns0:is>
          <ns0:t>Primary-source abstract and final-publication metadata</ns0:t>
        </ns0:is>
      </ns0:c>
      <ns0:c r="AI295" s="19" t="inlineStr">
        <ns0:is>
          <ns0:t>https://preprints.jmir.org/preprint/85196</ns0:t>
        </ns0:is>
      </ns0:c>
      <ns0:c r="AJ295" s="19" t="inlineStr">
        <ns0:is>
          <ns0:t>Final-publication citation and abstract</ns0:t>
        </ns0:is>
      </ns0:c>
      <ns0:c r="AK295" s="19" t="inlineStr">
        <ns0:is>
          <ns0:t>Peer-reviewed final article benchmarks ASD information quality of general-purpose chatbots; no caregiver-outcome or clinical-use study.</ns0:t>
        </ns0:is>
      </ns0:c>
      <ns0:c r="AL295" s="19" t="inlineStr">
        <ns0:is>
          <ns0:t>Not applicable</ns0:t>
        </ns0:is>
      </ns0:c>
      <ns0:c r="AM295" s="19" t="inlineStr">
        <ns0:is>
          <ns0:t>Not separately specified</ns0:t>
        </ns0:is>
      </ns0:c>
      <ns0:c r="AN295" s="19" t="inlineStr"/>
      <ns0:c r="AO295" s="19" t="inlineStr">
        <ns0:is>
          <ns0:t>Peer-reviewed journal article; JMIR Formative Research 2026;10:e85196</ns0:t>
        </ns0:is>
      </ns0:c>
      <ns0:c r="AP295" s="19" t="inlineStr">
        <ns0:is>
          <ns0:t>Not documented for this recharting</ns0:t>
        </ns0:is>
      </ns0:c>
      <ns0:c r="AQ295" s="19" t="inlineStr">
        <ns0:is>
          <ns0:t>ChatGPT-assisted evidence recharting, 2026-09-08</ns0:t>
        </ns0:is>
      </ns0:c>
      <ns0:c r="AR295" s="19" t="inlineStr">
        <ns0:is>
          <ns0:t>Revisión asistida por IA (un revisor; requiere verificación independiente)</ns0:t>
        </ns0:is>
      </ns0:c>
      <ns0:c r="AS295" s="19" t="inlineStr">
        <ns0:is>
          <ns0:t>Retrieved and reviewed</ns0:t>
        </ns0:is>
      </ns0:c>
    </ns0:row>
    <ns0:row r="296" ht="50" customHeight="1">
      <ns0:c r="A296" s="21" t="inlineStr">
        <ns0:is>
          <ns0:t>new_179</ns0:t>
        </ns0:is>
      </ns0:c>
      <ns0:c r="B296" s="21" t="inlineStr">
        <ns0:is>
          <ns0:t>Update</ns0:t>
        </ns0:is>
      </ns0:c>
      <ns0:c r="C296" s="21" t="inlineStr">
        <ns0:is>
          <ns0:t>Free Water Corrected Diffusion Magnetic Resonance Imaging Reveals Microstructural Alterations in Corpus Callosum Subregions of Preschool Children With Autism</ns0:t>
        </ns0:is>
      </ns0:c>
      <ns0:c r="D296" s="21" t="inlineStr">
        <ns0:is>
          <ns0:t>10.1002/hbm.70435</ns0:t>
        </ns0:is>
      </ns0:c>
      <ns0:c r="E296" s="28" t="n">
        <ns0:v>2025</ns0:v>
      </ns0:c>
      <ns0:c r="F296" s="21" t="inlineStr">
        <ns0:is>
          <ns0:t>Include</ns0:t>
        </ns0:is>
      </ns0:c>
      <ns0:c r="G296" s="29">
        <ns0:f>IF(F296="Include",1,0)</ns0:f>
        <ns0:v>1</ns0:v>
      </ns0:c>
      <ns0:c r="H296" s="21" t="inlineStr">
        <ns0:is>
          <ns0:t>Not specified</ns0:t>
        </ns0:is>
      </ns0:c>
      <ns0:c r="I296" s="21" t="inlineStr">
        <ns0:is>
          <ns0:t>Machine Learning</ns0:t>
        </ns0:is>
      </ns0:c>
      <ns0:c r="J296" s="21" t="inlineStr">
        <ns0:is>
          <ns0:t>Neuroimaging</ns0:t>
        </ns0:is>
      </ns0:c>
      <ns0:c r="K296" s="21" t="inlineStr">
        <ns0:is>
          <ns0:t>Segmentation; family unspecified</ns0:t>
        </ns0:is>
      </ns0:c>
      <ns0:c r="L296" s="21" t="inlineStr">
        <ns0:is>
          <ns0:t>Multiple/not uniquely specified</ns0:t>
        </ns0:is>
      </ns0:c>
      <ns0:c r="M296" s="21" t="inlineStr">
        <ns0:is>
          <ns0:t>Research only</ns0:t>
        </ns0:is>
      </ns0:c>
      <ns0:c r="N296" s="21" t="inlineStr">
        <ns0:is>
          <ns0:t>Automated measurement/classification</ns0:t>
        </ns0:is>
      </ns0:c>
      <ns0:c r="O296" s="21" t="inlineStr">
        <ns0:is>
          <ns0:t>Not observed in assessed sources</ns0:t>
        </ns0:is>
      </ns0:c>
      <ns0:c r="P296" s="21" t="inlineStr">
        <ns0:is>
          <ns0:t>Not observed in assessed sources</ns0:t>
        </ns0:is>
      </ns0:c>
      <ns0:c r="Q296" s="21" t="inlineStr">
        <ns0:is>
          <ns0:t>Not reported in assessed sources</ns0:t>
        </ns0:is>
      </ns0:c>
      <ns0:c r="R296" s="21" t="inlineStr">
        <ns0:is>
          <ns0:t>Not reported in assessed sources</ns0:t>
        </ns0:is>
      </ns0:c>
      <ns0:c r="S296" s="21" t="inlineStr">
        <ns0:is>
          <ns0:t>Not reported in assessed sources</ns0:t>
        </ns0:is>
      </ns0:c>
      <ns0:c r="T296" s="21" t="inlineStr">
        <ns0:is>
          <ns0:t>Not reported in assessed sources</ns0:t>
        </ns0:is>
      </ns0:c>
      <ns0:c r="U296" s="21" t="inlineStr">
        <ns0:is>
          <ns0:t>Not reported in assessed sources</ns0:t>
        </ns0:is>
      </ns0:c>
      <ns0:c r="V296" s="21" t="inlineStr">
        <ns0:is>
          <ns0:t>Not reported in assessed sources</ns0:t>
        </ns0:is>
      </ns0:c>
      <ns0:c r="W296" s="21" t="inlineStr">
        <ns0:is>
          <ns0:t>Not reported in assessed sources</ns0:t>
        </ns0:is>
      </ns0:c>
      <ns0:c r="X296" s="21" t="inlineStr">
        <ns0:is>
          <ns0:t>Not reported in assessed sources</ns0:t>
        </ns0:is>
      </ns0:c>
      <ns0:c r="Y296" s="21" t="inlineStr">
        <ns0:is>
          <ns0:t>Not ascertainable</ns0:t>
        </ns0:is>
      </ns0:c>
      <ns0:c r="Z296" s="21" t="inlineStr">
        <ns0:is>
          <ns0:t>Not reported in assessed sources</ns0:t>
        </ns0:is>
      </ns0:c>
      <ns0:c r="AA296" s="21" t="inlineStr">
        <ns0:is>
          <ns0:t>Not recorded</ns0:t>
        </ns0:is>
      </ns0:c>
      <ns0:c r="AB296" s="28" t="n">
        <ns0:v>0</ns0:v>
      </ns0:c>
      <ns0:c r="AC296" s="28" t="n">
        <ns0:v>0</ns0:v>
      </ns0:c>
      <ns0:c r="AD296" s="29">
        <ns0:f>IF(AND(G296=1,AB296=0),1,0)</ns0:f>
        <ns0:v>1</ns0:v>
      </ns0:c>
      <ns0:c r="AE296" s="29">
        <ns0:f>IF(AND(AD296=1,AC296=0),1,0)</ns0:f>
        <ns0:v>1</ns0:v>
      </ns0:c>
      <ns0:c r="AF296" s="29">
        <ns0:f>IF(AND(G296=1,H296&lt;&gt;"Not specified"),1,0)</ns0:f>
        <ns0:v>0</ns0:v>
      </ns0:c>
      <ns0:c r="AG296" s="29">
        <ns0:f>IF(AND(AE296=1,AF296=1),1,0)</ns0:f>
        <ns0:v>0</ns0:v>
      </ns0:c>
      <ns0:c r="AH296" s="21" t="inlineStr">
        <ns0:is>
          <ns0:t>Supplied abstract/coding notes; no new full-text verification</ns0:t>
        </ns0:is>
      </ns0:c>
      <ns0:c r="AI296" s="21" t="inlineStr">
        <ns0:is>
          <ns0:t>https://doi.org/10.1002/hbm.70435</ns0:t>
        </ns0:is>
      </ns0:c>
      <ns0:c r="AJ296" s="21" t="inlineStr">
        <ns0:is>
          <ns0:t>EVIDENCIA; original abstract/coding notes and lot source trace; Inherited scoped adjudication; see source level and lot caveats</ns0:t>
        </ns0:is>
      </ns0:c>
      <ns0:c r="AK296" s="21" t="inlineStr">
        <ns0:is>
          <ns0:t>Diffusion microstructure comparison using tract segmentation. Healthy controls are not an independent external validation cohort for an ASD prediction model.</ns0:t>
        </ns0:is>
      </ns0:c>
      <ns0:c r="AL296" s="21" t="inlineStr">
        <ns0:is>
          <ns0:t>Not applicable</ns0:t>
        </ns0:is>
      </ns0:c>
      <ns0:c r="AM296" s="21" t="inlineStr">
        <ns0:is>
          <ns0:t>Not separately specified</ns0:t>
        </ns0:is>
      </ns0:c>
      <ns0:c r="AN296" s="21" t="inlineStr"/>
      <ns0:c r="AO296" s="21" t="inlineStr">
        <ns0:is>
          <ns0:t>No additional status determination</ns0:t>
        </ns0:is>
      </ns0:c>
      <ns0:c r="AP296" s="21" t="inlineStr">
        <ns0:is>
          <ns0:t>Not documented for this recharting</ns0:t>
        </ns0:is>
      </ns0:c>
      <ns0:c r="AQ296" s="21" t="inlineStr">
        <ns0:is>
          <ns0:t>ChatGPT-assisted evidence recharting, 2026-09-08</ns0:t>
        </ns0:is>
      </ns0:c>
      <ns0:c r="AR296" s="21" t="inlineStr">
        <ns0:is>
          <ns0:t>Revisión asistida por IA (un revisor; requiere verificación independiente)</ns0:t>
        </ns0:is>
      </ns0:c>
      <ns0:c r="AS296" s="21" t="inlineStr">
        <ns0:is>
          <ns0:t>Retrieved and reviewed</ns0:t>
        </ns0:is>
      </ns0:c>
    </ns0:row>
    <ns0:row r="297" ht="50" customHeight="1">
      <ns0:c r="A297" s="19" t="inlineStr">
        <ns0:is>
          <ns0:t>new_182</ns0:t>
        </ns0:is>
      </ns0:c>
      <ns0:c r="B297" s="19" t="inlineStr">
        <ns0:is>
          <ns0:t>Update</ns0:t>
        </ns0:is>
      </ns0:c>
      <ns0:c r="C297" s="19" t="inlineStr">
        <ns0:is>
          <ns0:t>Label leakage unmasked: a trustworthy-AI audit of autism screening models using the CLEAR-RD framework.</ns0:t>
        </ns0:is>
      </ns0:c>
      <ns0:c r="D297" s="19" t="inlineStr">
        <ns0:is>
          <ns0:t>10.3389/fpubh.2026.1881829</ns0:t>
        </ns0:is>
      </ns0:c>
      <ns0:c r="E297" s="26" t="n">
        <ns0:v>2026</ns0:v>
      </ns0:c>
      <ns0:c r="F297" s="19" t="inlineStr">
        <ns0:is>
          <ns0:t>Include</ns0:t>
        </ns0:is>
      </ns0:c>
      <ns0:c r="G297" s="27">
        <ns0:f>IF(F297="Include",1,0)</ns0:f>
        <ns0:v>1</ns0:v>
      </ns0:c>
      <ns0:c r="H297" s="19" t="inlineStr">
        <ns0:is>
          <ns0:t>Screening</ns0:t>
        </ns0:is>
      </ns0:c>
      <ns0:c r="I297" s="19" t="inlineStr">
        <ns0:is>
          <ns0:t>Machine Learning</ns0:t>
        </ns0:is>
      </ns0:c>
      <ns0:c r="J297" s="19" t="inlineStr">
        <ns0:is>
          <ns0:t>Structured clinical/questionnaire data</ns0:t>
        </ns0:is>
      </ns0:c>
      <ns0:c r="K297" s="19" t="inlineStr">
        <ns0:is>
          <ns0:t>Gradient boosting</ns0:t>
        </ns0:is>
      </ns0:c>
      <ns0:c r="L297" s="19" t="inlineStr">
        <ns0:is>
          <ns0:t>Gradient boosting</ns0:t>
        </ns0:is>
      </ns0:c>
      <ns0:c r="M297" s="19" t="inlineStr">
        <ns0:is>
          <ns0:t>Research only</ns0:t>
        </ns0:is>
      </ns0:c>
      <ns0:c r="N297" s="19" t="inlineStr">
        <ns0:is>
          <ns0:t>Automated measurement/classification</ns0:t>
        </ns0:is>
      </ns0:c>
      <ns0:c r="O297" s="19" t="inlineStr">
        <ns0:is>
          <ns0:t>Not observed in assessed sources</ns0:t>
        </ns0:is>
      </ns0:c>
      <ns0:c r="P297" s="19" t="inlineStr">
        <ns0:is>
          <ns0:t>Not observed in assessed sources</ns0:t>
        </ns0:is>
      </ns0:c>
      <ns0:c r="Q297" s="19" t="inlineStr">
        <ns0:is>
          <ns0:t>Not reported in assessed sources</ns0:t>
        </ns0:is>
      </ns0:c>
      <ns0:c r="R297" s="19" t="inlineStr">
        <ns0:is>
          <ns0:t>Not reported in assessed sources</ns0:t>
        </ns0:is>
      </ns0:c>
      <ns0:c r="S297" s="19" t="inlineStr">
        <ns0:is>
          <ns0:t>Reported</ns0:t>
        </ns0:is>
      </ns0:c>
      <ns0:c r="T297" s="19" t="inlineStr">
        <ns0:is>
          <ns0:t>Not reported in assessed sources</ns0:t>
        </ns0:is>
      </ns0:c>
      <ns0:c r="U297" s="19" t="inlineStr">
        <ns0:is>
          <ns0:t>Not reported in assessed sources</ns0:t>
        </ns0:is>
      </ns0:c>
      <ns0:c r="V297" s="19" t="inlineStr">
        <ns0:is>
          <ns0:t>Not reported in assessed sources</ns0:t>
        </ns0:is>
      </ns0:c>
      <ns0:c r="W297" s="19" t="inlineStr">
        <ns0:is>
          <ns0:t>Not reported in assessed sources</ns0:t>
        </ns0:is>
      </ns0:c>
      <ns0:c r="X297" s="19" t="inlineStr">
        <ns0:is>
          <ns0:t>Not reported in assessed sources</ns0:t>
        </ns0:is>
      </ns0:c>
      <ns0:c r="Y297" s="19" t="inlineStr">
        <ns0:is>
          <ns0:t>Not ascertainable</ns0:t>
        </ns0:is>
      </ns0:c>
      <ns0:c r="Z297" s="19" t="inlineStr">
        <ns0:is>
          <ns0:t>Reported</ns0:t>
        </ns0:is>
      </ns0:c>
      <ns0:c r="AA297" s="19" t="inlineStr">
        <ns0:is>
          <ns0:t>Not recorded</ns0:t>
        </ns0:is>
      </ns0:c>
      <ns0:c r="AB297" s="26" t="n">
        <ns0:v>0</ns0:v>
      </ns0:c>
      <ns0:c r="AC297" s="26" t="n">
        <ns0:v>0</ns0:v>
      </ns0:c>
      <ns0:c r="AD297" s="27">
        <ns0:f>IF(AND(G297=1,AB297=0),1,0)</ns0:f>
        <ns0:v>1</ns0:v>
      </ns0:c>
      <ns0:c r="AE297" s="27">
        <ns0:f>IF(AND(AD297=1,AC297=0),1,0)</ns0:f>
        <ns0:v>1</ns0:v>
      </ns0:c>
      <ns0:c r="AF297" s="27">
        <ns0:f>IF(AND(G297=1,H297&lt;&gt;"Not specified"),1,0)</ns0:f>
        <ns0:v>1</ns0:v>
      </ns0:c>
      <ns0:c r="AG297" s="27">
        <ns0:f>IF(AND(AE297=1,AF297=1),1,0)</ns0:f>
        <ns0:v>1</ns0:v>
      </ns0:c>
      <ns0:c r="AH297" s="19" t="inlineStr">
        <ns0:is>
          <ns0:t>Supplied abstract/coding notes; no new full-text verification</ns0:t>
        </ns0:is>
      </ns0:c>
      <ns0:c r="AI297" s="19" t="inlineStr">
        <ns0:is>
          <ns0:t>https://doi.org/10.3389/fpubh.2026.1881829</ns0:t>
        </ns0:is>
      </ns0:c>
      <ns0:c r="AJ297" s="19" t="inlineStr">
        <ns0:is>
          <ns0:t>EVIDENCIA; original abstract/coding notes and lot source trace; Inherited scoped adjudication; see source level and lot caveats</ns0:t>
        </ns0:is>
      </ns0:c>
      <ns0:c r="AK297" s="19" t="inlineStr">
        <ns0:is>
          <ns0:t>Model-family comparison audits rule-derived screening labels; gradient boosting leads the leakage-free scenario. Comparing deep and classical models is not a Hybrid pipeline.</ns0:t>
        </ns0:is>
      </ns0:c>
      <ns0:c r="AL297" s="19" t="inlineStr">
        <ns0:is>
          <ns0:t>Not applicable</ns0:t>
        </ns0:is>
      </ns0:c>
      <ns0:c r="AM297" s="19" t="inlineStr">
        <ns0:is>
          <ns0:t>Not separately specified</ns0:t>
        </ns0:is>
      </ns0:c>
      <ns0:c r="AN297" s="19" t="inlineStr"/>
      <ns0:c r="AO297" s="19" t="inlineStr">
        <ns0:is>
          <ns0:t>No additional status determination</ns0:t>
        </ns0:is>
      </ns0:c>
      <ns0:c r="AP297" s="19" t="inlineStr">
        <ns0:is>
          <ns0:t>Not documented for this recharting</ns0:t>
        </ns0:is>
      </ns0:c>
      <ns0:c r="AQ297" s="19" t="inlineStr">
        <ns0:is>
          <ns0:t>ChatGPT-assisted evidence recharting, 2026-09-08</ns0:t>
        </ns0:is>
      </ns0:c>
      <ns0:c r="AR297" s="19" t="inlineStr">
        <ns0:is>
          <ns0:t>Revisión asistida por IA (un revisor; requiere verificación independiente)</ns0:t>
        </ns0:is>
      </ns0:c>
      <ns0:c r="AS297" s="19" t="inlineStr">
        <ns0:is>
          <ns0:t>Retrieved and reviewed</ns0:t>
        </ns0:is>
      </ns0:c>
    </ns0:row>
    <ns0:row r="298" ht="50" customHeight="1">
      <ns0:c r="A298" s="21" t="inlineStr">
        <ns0:is>
          <ns0:t>new_185</ns0:t>
        </ns0:is>
      </ns0:c>
      <ns0:c r="B298" s="21" t="inlineStr">
        <ns0:is>
          <ns0:t>Update</ns0:t>
        </ns0:is>
      </ns0:c>
      <ns0:c r="C298" s="21" t="inlineStr">
        <ns0:is>
          <ns0:t>Early multimodal behavioral cues in autism: a micro-analytical exploration of actions, gestures and speech during naturalistic parent-child interactions</ns0:t>
        </ns0:is>
      </ns0:c>
      <ns0:c r="D298" s="21" t="inlineStr">
        <ns0:is>
          <ns0:t>10.1016/j.ijchp.2026.100664</ns0:t>
        </ns0:is>
      </ns0:c>
      <ns0:c r="E298" s="28" t="n">
        <ns0:v>2026</ns0:v>
      </ns0:c>
      <ns0:c r="F298" s="21" t="inlineStr">
        <ns0:is>
          <ns0:t>Include</ns0:t>
        </ns0:is>
      </ns0:c>
      <ns0:c r="G298" s="29">
        <ns0:f>IF(F298="Include",1,0)</ns0:f>
        <ns0:v>1</ns0:v>
      </ns0:c>
      <ns0:c r="H298" s="21" t="inlineStr">
        <ns0:is>
          <ns0:t>Screening</ns0:t>
        </ns0:is>
      </ns0:c>
      <ns0:c r="I298" s="21" t="inlineStr">
        <ns0:is>
          <ns0:t>Machine Learning</ns0:t>
        </ns0:is>
      </ns0:c>
      <ns0:c r="J298" s="21" t="inlineStr">
        <ns0:is>
          <ns0:t>Structured clinical/questionnaire data</ns0:t>
        </ns0:is>
      </ns0:c>
      <ns0:c r="K298" s="21" t="inlineStr">
        <ns0:is>
          <ns0:t>Logistic regression</ns0:t>
        </ns0:is>
      </ns0:c>
      <ns0:c r="L298" s="21" t="inlineStr">
        <ns0:is>
          <ns0:t>Logistic regression</ns0:t>
        </ns0:is>
      </ns0:c>
      <ns0:c r="M298" s="21" t="inlineStr">
        <ns0:is>
          <ns0:t>Research only</ns0:t>
        </ns0:is>
      </ns0:c>
      <ns0:c r="N298" s="21" t="inlineStr">
        <ns0:is>
          <ns0:t>Automated measurement/classification</ns0:t>
        </ns0:is>
      </ns0:c>
      <ns0:c r="O298" s="21" t="inlineStr">
        <ns0:is>
          <ns0:t>Not observed in assessed sources</ns0:t>
        </ns0:is>
      </ns0:c>
      <ns0:c r="P298" s="21" t="inlineStr">
        <ns0:is>
          <ns0:t>Not observed in assessed sources</ns0:t>
        </ns0:is>
      </ns0:c>
      <ns0:c r="Q298" s="21" t="inlineStr">
        <ns0:is>
          <ns0:t>Not reported in assessed sources</ns0:t>
        </ns0:is>
      </ns0:c>
      <ns0:c r="R298" s="21" t="inlineStr">
        <ns0:is>
          <ns0:t>Not reported in assessed sources</ns0:t>
        </ns0:is>
      </ns0:c>
      <ns0:c r="S298" s="21" t="inlineStr">
        <ns0:is>
          <ns0:t>Reported</ns0:t>
        </ns0:is>
      </ns0:c>
      <ns0:c r="T298" s="21" t="inlineStr">
        <ns0:is>
          <ns0:t>Not reported in assessed sources</ns0:t>
        </ns0:is>
      </ns0:c>
      <ns0:c r="U298" s="21" t="inlineStr">
        <ns0:is>
          <ns0:t>Not reported in assessed sources</ns0:t>
        </ns0:is>
      </ns0:c>
      <ns0:c r="V298" s="21" t="inlineStr">
        <ns0:is>
          <ns0:t>Not reported in assessed sources</ns0:t>
        </ns0:is>
      </ns0:c>
      <ns0:c r="W298" s="21" t="inlineStr">
        <ns0:is>
          <ns0:t>Not reported in assessed sources</ns0:t>
        </ns0:is>
      </ns0:c>
      <ns0:c r="X298" s="21" t="inlineStr">
        <ns0:is>
          <ns0:t>Not reported in assessed sources</ns0:t>
        </ns0:is>
      </ns0:c>
      <ns0:c r="Y298" s="21" t="inlineStr">
        <ns0:is>
          <ns0:t>Not ascertainable</ns0:t>
        </ns0:is>
      </ns0:c>
      <ns0:c r="Z298" s="21" t="inlineStr">
        <ns0:is>
          <ns0:t>Reported</ns0:t>
        </ns0:is>
      </ns0:c>
      <ns0:c r="AA298" s="21" t="inlineStr">
        <ns0:is>
          <ns0:t>Not recorded</ns0:t>
        </ns0:is>
      </ns0:c>
      <ns0:c r="AB298" s="28" t="n">
        <ns0:v>0</ns0:v>
      </ns0:c>
      <ns0:c r="AC298" s="28" t="n">
        <ns0:v>0</ns0:v>
      </ns0:c>
      <ns0:c r="AD298" s="29">
        <ns0:f>IF(AND(G298=1,AB298=0),1,0)</ns0:f>
        <ns0:v>1</ns0:v>
      </ns0:c>
      <ns0:c r="AE298" s="29">
        <ns0:f>IF(AND(AD298=1,AC298=0),1,0)</ns0:f>
        <ns0:v>1</ns0:v>
      </ns0:c>
      <ns0:c r="AF298" s="29">
        <ns0:f>IF(AND(G298=1,H298&lt;&gt;"Not specified"),1,0)</ns0:f>
        <ns0:v>1</ns0:v>
      </ns0:c>
      <ns0:c r="AG298" s="29">
        <ns0:f>IF(AND(AE298=1,AF298=1),1,0)</ns0:f>
        <ns0:v>1</ns0:v>
      </ns0:c>
      <ns0:c r="AH298" s="21" t="inlineStr">
        <ns0:is>
          <ns0:t>Supplied abstract/coding notes; no new full-text verification</ns0:t>
        </ns0:is>
      </ns0:c>
      <ns0:c r="AI298" s="21" t="inlineStr">
        <ns0:is>
          <ns0:t>https://doi.org/10.1016/j.ijchp.2026.100664</ns0:t>
        </ns0:is>
      </ns0:c>
      <ns0:c r="AJ298" s="21" t="inlineStr">
        <ns0:is>
          <ns0:t>EVIDENCIA; original abstract/coding notes and lot source trace; Inherited scoped adjudication; see source level and lot caveats</ns0:t>
        </ns0:is>
      </ns0:c>
      <ns0:c r="AK298" s="21" t="inlineStr">
        <ns0:is>
          <ns0:t>Microanalytically coded behavioral frequencies feed logistic regression; multiple behaviors from one coded observation do not automatically establish multimodal input fusion.</ns0:t>
        </ns0:is>
      </ns0:c>
      <ns0:c r="AL298" s="21" t="inlineStr">
        <ns0:is>
          <ns0:t>Not applicable</ns0:t>
        </ns0:is>
      </ns0:c>
      <ns0:c r="AM298" s="21" t="inlineStr">
        <ns0:is>
          <ns0:t>Not separately specified</ns0:t>
        </ns0:is>
      </ns0:c>
      <ns0:c r="AN298" s="21" t="inlineStr"/>
      <ns0:c r="AO298" s="21" t="inlineStr">
        <ns0:is>
          <ns0:t>No additional status determination</ns0:t>
        </ns0:is>
      </ns0:c>
      <ns0:c r="AP298" s="21" t="inlineStr">
        <ns0:is>
          <ns0:t>Not documented for this recharting</ns0:t>
        </ns0:is>
      </ns0:c>
      <ns0:c r="AQ298" s="21" t="inlineStr">
        <ns0:is>
          <ns0:t>ChatGPT-assisted evidence recharting, 2026-09-08</ns0:t>
        </ns0:is>
      </ns0:c>
      <ns0:c r="AR298" s="21" t="inlineStr">
        <ns0:is>
          <ns0:t>Revisión asistida por IA (un revisor; requiere verificación independiente)</ns0:t>
        </ns0:is>
      </ns0:c>
      <ns0:c r="AS298" s="21" t="inlineStr">
        <ns0:is>
          <ns0:t>Retrieved and reviewed</ns0:t>
        </ns0:is>
      </ns0:c>
    </ns0:row>
    <ns0:row r="299" ht="50" customHeight="1">
      <ns0:c r="A299" s="19" t="inlineStr">
        <ns0:is>
          <ns0:t>new_186</ns0:t>
        </ns0:is>
      </ns0:c>
      <ns0:c r="B299" s="19" t="inlineStr">
        <ns0:is>
          <ns0:t>Update</ns0:t>
        </ns0:is>
      </ns0:c>
      <ns0:c r="C299" s="19" t="inlineStr">
        <ns0:is>
          <ns0:t>Mood instability and mental health service use in autism and attention-deficit/hyperactivity disorder: a natural language processing analysis of CRIS electronic healthcare records from 21 906 children and adolescents.</ns0:t>
        </ns0:is>
      </ns0:c>
      <ns0:c r="D299" s="19" t="inlineStr">
        <ns0:is>
          <ns0:t>10.1136/bmjment-2026-302488</ns0:t>
        </ns0:is>
      </ns0:c>
      <ns0:c r="E299" s="26" t="n">
        <ns0:v>2026</ns0:v>
      </ns0:c>
      <ns0:c r="F299" s="19" t="inlineStr">
        <ns0:is>
          <ns0:t>Include</ns0:t>
        </ns0:is>
      </ns0:c>
      <ns0:c r="G299" s="27">
        <ns0:f>IF(F299="Include",1,0)</ns0:f>
        <ns0:v>1</ns0:v>
      </ns0:c>
      <ns0:c r="H299" s="19" t="inlineStr">
        <ns0:is>
          <ns0:t>Prognosis</ns0:t>
        </ns0:is>
      </ns0:c>
      <ns0:c r="I299" s="19" t="inlineStr">
        <ns0:is>
          <ns0:t>Machine Learning</ns0:t>
        </ns0:is>
      </ns0:c>
      <ns0:c r="J299" s="19" t="inlineStr">
        <ns0:is>
          <ns0:t>Multiple source categories</ns0:t>
        </ns0:is>
      </ns0:c>
      <ns0:c r="K299" s="19" t="inlineStr">
        <ns0:is>
          <ns0:t>NLP + regression</ns0:t>
        </ns0:is>
      </ns0:c>
      <ns0:c r="L299" s="19" t="inlineStr">
        <ns0:is>
          <ns0:t>Other specified method</ns0:t>
        </ns0:is>
      </ns0:c>
      <ns0:c r="M299" s="19" t="inlineStr">
        <ns0:is>
          <ns0:t>Research only</ns0:t>
        </ns0:is>
      </ns0:c>
      <ns0:c r="N299" s="19" t="inlineStr">
        <ns0:is>
          <ns0:t>Risk/trajectory estimation</ns0:t>
        </ns0:is>
      </ns0:c>
      <ns0:c r="O299" s="19" t="inlineStr">
        <ns0:is>
          <ns0:t>Not observed in assessed sources</ns0:t>
        </ns0:is>
      </ns0:c>
      <ns0:c r="P299" s="19" t="inlineStr">
        <ns0:is>
          <ns0:t>Not observed in assessed sources</ns0:t>
        </ns0:is>
      </ns0:c>
      <ns0:c r="Q299" s="19" t="inlineStr">
        <ns0:is>
          <ns0:t>Not reported in assessed sources</ns0:t>
        </ns0:is>
      </ns0:c>
      <ns0:c r="R299" s="19" t="inlineStr">
        <ns0:is>
          <ns0:t>Reported</ns0:t>
        </ns0:is>
      </ns0:c>
      <ns0:c r="S299" s="19" t="inlineStr">
        <ns0:is>
          <ns0:t>Not reported in assessed sources</ns0:t>
        </ns0:is>
      </ns0:c>
      <ns0:c r="T299" s="19" t="inlineStr">
        <ns0:is>
          <ns0:t>Not reported in assessed sources</ns0:t>
        </ns0:is>
      </ns0:c>
      <ns0:c r="U299" s="19" t="inlineStr">
        <ns0:is>
          <ns0:t>Not reported in assessed sources</ns0:t>
        </ns0:is>
      </ns0:c>
      <ns0:c r="V299" s="19" t="inlineStr">
        <ns0:is>
          <ns0:t>Not reported in assessed sources</ns0:t>
        </ns0:is>
      </ns0:c>
      <ns0:c r="W299" s="19" t="inlineStr">
        <ns0:is>
          <ns0:t>Reported</ns0:t>
        </ns0:is>
      </ns0:c>
      <ns0:c r="X299" s="19" t="inlineStr">
        <ns0:is>
          <ns0:t>Not reported in assessed sources</ns0:t>
        </ns0:is>
      </ns0:c>
      <ns0:c r="Y299" s="19" t="inlineStr">
        <ns0:is>
          <ns0:t>Not ascertainable</ns0:t>
        </ns0:is>
      </ns0:c>
      <ns0:c r="Z299" s="19" t="inlineStr">
        <ns0:is>
          <ns0:t>Not reported in assessed sources</ns0:t>
        </ns0:is>
      </ns0:c>
      <ns0:c r="AA299" s="19" t="inlineStr">
        <ns0:is>
          <ns0:t>Not recorded</ns0:t>
        </ns0:is>
      </ns0:c>
      <ns0:c r="AB299" s="26" t="n">
        <ns0:v>0</ns0:v>
      </ns0:c>
      <ns0:c r="AC299" s="26" t="n">
        <ns0:v>0</ns0:v>
      </ns0:c>
      <ns0:c r="AD299" s="27">
        <ns0:f>IF(AND(G299=1,AB299=0),1,0)</ns0:f>
        <ns0:v>1</ns0:v>
      </ns0:c>
      <ns0:c r="AE299" s="27">
        <ns0:f>IF(AND(AD299=1,AC299=0),1,0)</ns0:f>
        <ns0:v>1</ns0:v>
      </ns0:c>
      <ns0:c r="AF299" s="27">
        <ns0:f>IF(AND(G299=1,H299&lt;&gt;"Not specified"),1,0)</ns0:f>
        <ns0:v>1</ns0:v>
      </ns0:c>
      <ns0:c r="AG299" s="27">
        <ns0:f>IF(AND(AE299=1,AF299=1),1,0)</ns0:f>
        <ns0:v>1</ns0:v>
      </ns0:c>
      <ns0:c r="AH299" s="19" t="inlineStr">
        <ns0:is>
          <ns0:t>Supplied abstract/coding notes; no new full-text verification</ns0:t>
        </ns0:is>
      </ns0:c>
      <ns0:c r="AI299" s="19" t="inlineStr">
        <ns0:is>
          <ns0:t>https://doi.org/10.1136/bmjment-2026-302488</ns0:t>
        </ns0:is>
      </ns0:c>
      <ns0:c r="AJ299" s="19" t="inlineStr">
        <ns0:is>
          <ns0:t>EVIDENCIA; original abstract/coding notes and lot source trace; Inherited scoped adjudication; see source level and lot caveats</ns0:t>
        </ns0:is>
      </ns0:c>
      <ns0:c r="AK299" s="19" t="inlineStr">
        <ns0:is>
          <ns0:t>Baseline NLP-derived mood instability and structured covariates model subsequent service use/time to discharge; observational prognosis, not deployed monitoring.</ns0:t>
        </ns0:is>
      </ns0:c>
      <ns0:c r="AL299" s="19" t="inlineStr">
        <ns0:is>
          <ns0:t>Not applicable</ns0:t>
        </ns0:is>
      </ns0:c>
      <ns0:c r="AM299" s="19" t="inlineStr">
        <ns0:is>
          <ns0:t>Not separately specified</ns0:t>
        </ns0:is>
      </ns0:c>
      <ns0:c r="AN299" s="19" t="inlineStr"/>
      <ns0:c r="AO299" s="19" t="inlineStr">
        <ns0:is>
          <ns0:t>No additional status determination</ns0:t>
        </ns0:is>
      </ns0:c>
      <ns0:c r="AP299" s="19" t="inlineStr">
        <ns0:is>
          <ns0:t>Not documented for this recharting</ns0:t>
        </ns0:is>
      </ns0:c>
      <ns0:c r="AQ299" s="19" t="inlineStr">
        <ns0:is>
          <ns0:t>ChatGPT-assisted evidence recharting, 2026-09-08</ns0:t>
        </ns0:is>
      </ns0:c>
      <ns0:c r="AR299" s="19" t="inlineStr">
        <ns0:is>
          <ns0:t>Revisión asistida por IA (un revisor; requiere verificación independiente)</ns0:t>
        </ns0:is>
      </ns0:c>
      <ns0:c r="AS299" s="19" t="inlineStr">
        <ns0:is>
          <ns0:t>Retrieved and reviewed</ns0:t>
        </ns0:is>
      </ns0:c>
    </ns0:row>
    <ns0:row r="300" ht="50" customHeight="1">
      <ns0:c r="A300" s="21" t="inlineStr">
        <ns0:is>
          <ns0:t>new_191</ns0:t>
        </ns0:is>
      </ns0:c>
      <ns0:c r="B300" s="21" t="inlineStr">
        <ns0:is>
          <ns0:t>Update</ns0:t>
        </ns0:is>
      </ns0:c>
      <ns0:c r="C300" s="21" t="inlineStr">
        <ns0:is>
          <ns0:t>A functional system-informed graph neural network framework to quantify interpretable brain dysfunction in ASD</ns0:t>
        </ns0:is>
      </ns0:c>
      <ns0:c r="D300" s="21" t="inlineStr">
        <ns0:is>
          <ns0:t>10.1016/j.neunet.2025.108295</ns0:t>
        </ns0:is>
      </ns0:c>
      <ns0:c r="E300" s="28" t="n">
        <ns0:v>2026</ns0:v>
      </ns0:c>
      <ns0:c r="F300" s="21" t="inlineStr">
        <ns0:is>
          <ns0:t>Include</ns0:t>
        </ns0:is>
      </ns0:c>
      <ns0:c r="G300" s="29">
        <ns0:f>IF(F300="Include",1,0)</ns0:f>
        <ns0:v>1</ns0:v>
      </ns0:c>
      <ns0:c r="H300" s="21" t="inlineStr">
        <ns0:is>
          <ns0:t>Diagnosis</ns0:t>
        </ns0:is>
      </ns0:c>
      <ns0:c r="I300" s="21" t="inlineStr">
        <ns0:is>
          <ns0:t>Deep Learning</ns0:t>
        </ns0:is>
      </ns0:c>
      <ns0:c r="J300" s="21" t="inlineStr">
        <ns0:is>
          <ns0:t>Neuroimaging</ns0:t>
        </ns0:is>
      </ns0:c>
      <ns0:c r="K300" s="21" t="inlineStr">
        <ns0:is>
          <ns0:t>Graph neural network</ns0:t>
        </ns0:is>
      </ns0:c>
      <ns0:c r="L300" s="21" t="inlineStr">
        <ns0:is>
          <ns0:t>GNN</ns0:t>
        </ns0:is>
      </ns0:c>
      <ns0:c r="M300" s="21" t="inlineStr">
        <ns0:is>
          <ns0:t>Research only</ns0:t>
        </ns0:is>
      </ns0:c>
      <ns0:c r="N300" s="21" t="inlineStr">
        <ns0:is>
          <ns0:t>Automated measurement/classification</ns0:t>
        </ns0:is>
      </ns0:c>
      <ns0:c r="O300" s="21" t="inlineStr">
        <ns0:is>
          <ns0:t>Not observed in assessed sources</ns0:t>
        </ns0:is>
      </ns0:c>
      <ns0:c r="P300" s="21" t="inlineStr">
        <ns0:is>
          <ns0:t>Not observed in assessed sources</ns0:t>
        </ns0:is>
      </ns0:c>
      <ns0:c r="Q300" s="21" t="inlineStr">
        <ns0:is>
          <ns0:t>Not reported in assessed sources</ns0:t>
        </ns0:is>
      </ns0:c>
      <ns0:c r="R300" s="21" t="inlineStr">
        <ns0:is>
          <ns0:t>Not reported in assessed sources</ns0:t>
        </ns0:is>
      </ns0:c>
      <ns0:c r="S300" s="21" t="inlineStr">
        <ns0:is>
          <ns0:t>Reported</ns0:t>
        </ns0:is>
      </ns0:c>
      <ns0:c r="T300" s="21" t="inlineStr">
        <ns0:is>
          <ns0:t>Not reported in assessed sources</ns0:t>
        </ns0:is>
      </ns0:c>
      <ns0:c r="U300" s="21" t="inlineStr">
        <ns0:is>
          <ns0:t>Not reported in assessed sources</ns0:t>
        </ns0:is>
      </ns0:c>
      <ns0:c r="V300" s="21" t="inlineStr">
        <ns0:is>
          <ns0:t>Reported</ns0:t>
        </ns0:is>
      </ns0:c>
      <ns0:c r="W300" s="21" t="inlineStr">
        <ns0:is>
          <ns0:t>Not reported in assessed sources</ns0:t>
        </ns0:is>
      </ns0:c>
      <ns0:c r="X300" s="21" t="inlineStr">
        <ns0:is>
          <ns0:t>Not reported in assessed sources</ns0:t>
        </ns0:is>
      </ns0:c>
      <ns0:c r="Y300" s="21" t="inlineStr">
        <ns0:is>
          <ns0:t>Not ascertainable</ns0:t>
        </ns0:is>
      </ns0:c>
      <ns0:c r="Z300" s="21" t="inlineStr">
        <ns0:is>
          <ns0:t>Reported</ns0:t>
        </ns0:is>
      </ns0:c>
      <ns0:c r="AA300" s="21" t="inlineStr">
        <ns0:is>
          <ns0:t>Not recorded</ns0:t>
        </ns0:is>
      </ns0:c>
      <ns0:c r="AB300" s="28" t="n">
        <ns0:v>0</ns0:v>
      </ns0:c>
      <ns0:c r="AC300" s="28" t="n">
        <ns0:v>0</ns0:v>
      </ns0:c>
      <ns0:c r="AD300" s="29">
        <ns0:f>IF(AND(G300=1,AB300=0),1,0)</ns0:f>
        <ns0:v>1</ns0:v>
      </ns0:c>
      <ns0:c r="AE300" s="29">
        <ns0:f>IF(AND(AD300=1,AC300=0),1,0)</ns0:f>
        <ns0:v>1</ns0:v>
      </ns0:c>
      <ns0:c r="AF300" s="29">
        <ns0:f>IF(AND(G300=1,H300&lt;&gt;"Not specified"),1,0)</ns0:f>
        <ns0:v>1</ns0:v>
      </ns0:c>
      <ns0:c r="AG300" s="29">
        <ns0:f>IF(AND(AE300=1,AF300=1),1,0)</ns0:f>
        <ns0:v>1</ns0:v>
      </ns0:c>
      <ns0:c r="AH300" s="21" t="inlineStr">
        <ns0:is>
          <ns0:t>Supplied abstract/coding notes; no new full-text verification</ns0:t>
        </ns0:is>
      </ns0:c>
      <ns0:c r="AI300" s="21" t="inlineStr">
        <ns0:is>
          <ns0:t>https://doi.org/10.1016/j.neunet.2025.108295</ns0:t>
        </ns0:is>
      </ns0:c>
      <ns0:c r="AJ300" s="21" t="inlineStr">
        <ns0:is>
          <ns0:t>EVIDENCIA; original abstract/coding notes and lot source trace; Inherited scoped adjudication; see source level and lot caveats</ns0:t>
        </ns0:is>
      </ns0:c>
      <ns0:c r="AK300" s="21" t="inlineStr">
        <ns0:is>
          <ns0:t>Functional-system GNN on retrospective multisite fMRI; interpretive biomarker analysis but no tested clinical workflow.</ns0:t>
        </ns0:is>
      </ns0:c>
      <ns0:c r="AL300" s="21" t="inlineStr">
        <ns0:is>
          <ns0:t>Not applicable</ns0:t>
        </ns0:is>
      </ns0:c>
      <ns0:c r="AM300" s="21" t="inlineStr">
        <ns0:is>
          <ns0:t>Not separately specified</ns0:t>
        </ns0:is>
      </ns0:c>
      <ns0:c r="AN300" s="21" t="inlineStr"/>
      <ns0:c r="AO300" s="21" t="inlineStr">
        <ns0:is>
          <ns0:t>No additional status determination</ns0:t>
        </ns0:is>
      </ns0:c>
      <ns0:c r="AP300" s="21" t="inlineStr">
        <ns0:is>
          <ns0:t>Not documented for this recharting</ns0:t>
        </ns0:is>
      </ns0:c>
      <ns0:c r="AQ300" s="21" t="inlineStr">
        <ns0:is>
          <ns0:t>ChatGPT-assisted evidence recharting, 2026-09-08</ns0:t>
        </ns0:is>
      </ns0:c>
      <ns0:c r="AR300" s="21" t="inlineStr">
        <ns0:is>
          <ns0:t>Revisión asistida por IA (un revisor; requiere verificación independiente)</ns0:t>
        </ns0:is>
      </ns0:c>
      <ns0:c r="AS300" s="21" t="inlineStr">
        <ns0:is>
          <ns0:t>Retrieved and reviewed</ns0:t>
        </ns0:is>
      </ns0:c>
    </ns0:row>
    <ns0:row r="301" ht="50" customHeight="1">
      <ns0:c r="A301" s="19" t="inlineStr">
        <ns0:is>
          <ns0:t>new_197</ns0:t>
        </ns0:is>
      </ns0:c>
      <ns0:c r="B301" s="19" t="inlineStr">
        <ns0:is>
          <ns0:t>Update</ns0:t>
        </ns0:is>
      </ns0:c>
      <ns0:c r="C301" s="19" t="inlineStr">
        <ns0:is>
          <ns0:t>Deep learning for autism detection using clinical notes: A comparison of transfer learning for a transparent and black-box approach</ns0:t>
        </ns0:is>
      </ns0:c>
      <ns0:c r="D301" s="19" t="inlineStr">
        <ns0:is>
          <ns0:t>10.1016/j.artmed.2025.103318</ns0:t>
        </ns0:is>
      </ns0:c>
      <ns0:c r="E301" s="26" t="n">
        <ns0:v>2026</ns0:v>
      </ns0:c>
      <ns0:c r="F301" s="19" t="inlineStr">
        <ns0:is>
          <ns0:t>Include</ns0:t>
        </ns0:is>
      </ns0:c>
      <ns0:c r="G301" s="27">
        <ns0:f>IF(F301="Include",1,0)</ns0:f>
        <ns0:v>1</ns0:v>
      </ns0:c>
      <ns0:c r="H301" s="19" t="inlineStr">
        <ns0:is>
          <ns0:t>Diagnosis</ns0:t>
        </ns0:is>
      </ns0:c>
      <ns0:c r="I301" s="19" t="inlineStr">
        <ns0:is>
          <ns0:t>Deep Learning</ns0:t>
        </ns0:is>
      </ns0:c>
      <ns0:c r="J301" s="19" t="inlineStr">
        <ns0:is>
          <ns0:t>Text/language</ns0:t>
        </ns0:is>
      </ns0:c>
      <ns0:c r="K301" s="19" t="inlineStr">
        <ns0:is>
          <ns0:t>Transformer</ns0:t>
        </ns0:is>
      </ns0:c>
      <ns0:c r="L301" s="19" t="inlineStr">
        <ns0:is>
          <ns0:t>Transformer</ns0:t>
        </ns0:is>
      </ns0:c>
      <ns0:c r="M301" s="19" t="inlineStr">
        <ns0:is>
          <ns0:t>Research only</ns0:t>
        </ns0:is>
      </ns0:c>
      <ns0:c r="N301" s="19" t="inlineStr">
        <ns0:is>
          <ns0:t>Automated measurement/classification</ns0:t>
        </ns0:is>
      </ns0:c>
      <ns0:c r="O301" s="19" t="inlineStr">
        <ns0:is>
          <ns0:t>Not observed in assessed sources</ns0:t>
        </ns0:is>
      </ns0:c>
      <ns0:c r="P301" s="19" t="inlineStr">
        <ns0:is>
          <ns0:t>Not observed in assessed sources</ns0:t>
        </ns0:is>
      </ns0:c>
      <ns0:c r="Q301" s="19" t="inlineStr">
        <ns0:is>
          <ns0:t>Not ascertainable</ns0:t>
        </ns0:is>
      </ns0:c>
      <ns0:c r="R301" s="19" t="inlineStr">
        <ns0:is>
          <ns0:t>Not reported in assessed sources</ns0:t>
        </ns0:is>
      </ns0:c>
      <ns0:c r="S301" s="19" t="inlineStr">
        <ns0:is>
          <ns0:t>Reported</ns0:t>
        </ns0:is>
      </ns0:c>
      <ns0:c r="T301" s="19" t="inlineStr">
        <ns0:is>
          <ns0:t>Not reported in assessed sources</ns0:t>
        </ns0:is>
      </ns0:c>
      <ns0:c r="U301" s="19" t="inlineStr">
        <ns0:is>
          <ns0:t>Not reported in assessed sources</ns0:t>
        </ns0:is>
      </ns0:c>
      <ns0:c r="V301" s="19" t="inlineStr">
        <ns0:is>
          <ns0:t>Not reported in assessed sources</ns0:t>
        </ns0:is>
      </ns0:c>
      <ns0:c r="W301" s="19" t="inlineStr">
        <ns0:is>
          <ns0:t>Not reported in assessed sources</ns0:t>
        </ns0:is>
      </ns0:c>
      <ns0:c r="X301" s="19" t="inlineStr">
        <ns0:is>
          <ns0:t>Not reported in assessed sources</ns0:t>
        </ns0:is>
      </ns0:c>
      <ns0:c r="Y301" s="19" t="inlineStr">
        <ns0:is>
          <ns0:t>Not ascertainable</ns0:t>
        </ns0:is>
      </ns0:c>
      <ns0:c r="Z301" s="19" t="inlineStr">
        <ns0:is>
          <ns0:t>Reported</ns0:t>
        </ns0:is>
      </ns0:c>
      <ns0:c r="AA301" s="19" t="inlineStr">
        <ns0:is>
          <ns0:t>Not recorded</ns0:t>
        </ns0:is>
      </ns0:c>
      <ns0:c r="AB301" s="26" t="n">
        <ns0:v>0</ns0:v>
      </ns0:c>
      <ns0:c r="AC301" s="26" t="n">
        <ns0:v>0</ns0:v>
      </ns0:c>
      <ns0:c r="AD301" s="27">
        <ns0:f>IF(AND(G301=1,AB301=0),1,0)</ns0:f>
        <ns0:v>1</ns0:v>
      </ns0:c>
      <ns0:c r="AE301" s="27">
        <ns0:f>IF(AND(AD301=1,AC301=0),1,0)</ns0:f>
        <ns0:v>1</ns0:v>
      </ns0:c>
      <ns0:c r="AF301" s="27">
        <ns0:f>IF(AND(G301=1,H301&lt;&gt;"Not specified"),1,0)</ns0:f>
        <ns0:v>1</ns0:v>
      </ns0:c>
      <ns0:c r="AG301" s="27">
        <ns0:f>IF(AND(AE301=1,AF301=1),1,0)</ns0:f>
        <ns0:v>1</ns0:v>
      </ns0:c>
      <ns0:c r="AH301" s="19" t="inlineStr">
        <ns0:is>
          <ns0:t>Supplied abstract/coding notes; no new full-text verification</ns0:t>
        </ns0:is>
      </ns0:c>
      <ns0:c r="AI301" s="19" t="inlineStr">
        <ns0:is>
          <ns0:t>https://doi.org/10.1016/j.artmed.2025.103318</ns0:t>
        </ns0:is>
      </ns0:c>
      <ns0:c r="AJ301" s="19" t="inlineStr">
        <ns0:is>
          <ns0:t>EVIDENCIA; original abstract/coding notes and lot source trace; Inherited scoped adjudication; see source level and lot caveats</ns0:t>
        </ns0:is>
      </ns0:c>
      <ns0:c r="AK301" s="19" t="inlineStr">
        <ns0:is>
          <ns0:t>BioBERT clinical-note transfer experiments train sequentially or jointly on two datasets; untouched external validation is not established in available abstract.
Sequential/mixed-dataset transfer; training-test independence of an untouched external cohort not established</ns0:t>
        </ns0:is>
      </ns0:c>
      <ns0:c r="AL301" s="19" t="inlineStr">
        <ns0:is>
          <ns0:t>Not applicable</ns0:t>
        </ns0:is>
      </ns0:c>
      <ns0:c r="AM301" s="19" t="inlineStr">
        <ns0:is>
          <ns0:t>Not separately specified</ns0:t>
        </ns0:is>
      </ns0:c>
      <ns0:c r="AN301" s="19" t="inlineStr"/>
      <ns0:c r="AO301" s="19" t="inlineStr">
        <ns0:is>
          <ns0:t>No additional status determination</ns0:t>
        </ns0:is>
      </ns0:c>
      <ns0:c r="AP301" s="19" t="inlineStr">
        <ns0:is>
          <ns0:t>Not documented for this recharting</ns0:t>
        </ns0:is>
      </ns0:c>
      <ns0:c r="AQ301" s="19" t="inlineStr">
        <ns0:is>
          <ns0:t>ChatGPT-assisted evidence recharting, 2026-09-08</ns0:t>
        </ns0:is>
      </ns0:c>
      <ns0:c r="AR301" s="19" t="inlineStr">
        <ns0:is>
          <ns0:t>Revisión asistida por IA (un revisor; requiere verificación independiente)</ns0:t>
        </ns0:is>
      </ns0:c>
      <ns0:c r="AS301" s="19" t="inlineStr">
        <ns0:is>
          <ns0:t>Retrieved and reviewed</ns0:t>
        </ns0:is>
      </ns0:c>
    </ns0:row>
    <ns0:row r="302" ht="50" customHeight="1">
      <ns0:c r="A302" s="21" t="inlineStr">
        <ns0:is>
          <ns0:t>new_200</ns0:t>
        </ns0:is>
      </ns0:c>
      <ns0:c r="B302" s="21" t="inlineStr">
        <ns0:is>
          <ns0:t>Update</ns0:t>
        </ns0:is>
      </ns0:c>
      <ns0:c r="C302" s="21" t="inlineStr">
        <ns0:is>
          <ns0:t>Finding the forest in the trees: Using machine learning and online cognitive and perceptual measures to predict adult autism diagnosis</ns0:t>
        </ns0:is>
      </ns0:c>
      <ns0:c r="D302" s="21" t="inlineStr">
        <ns0:is>
          <ns0:t>10.1038/s41398-026-03823-y</ns0:t>
        </ns0:is>
      </ns0:c>
      <ns0:c r="E302" s="28" t="n">
        <ns0:v>2026</ns0:v>
      </ns0:c>
      <ns0:c r="F302" s="21" t="inlineStr">
        <ns0:is>
          <ns0:t>Include</ns0:t>
        </ns0:is>
      </ns0:c>
      <ns0:c r="G302" s="29">
        <ns0:f>IF(F302="Include",1,0)</ns0:f>
        <ns0:v>1</ns0:v>
      </ns0:c>
      <ns0:c r="H302" s="21" t="inlineStr">
        <ns0:is>
          <ns0:t>Screening</ns0:t>
        </ns0:is>
      </ns0:c>
      <ns0:c r="I302" s="21" t="inlineStr">
        <ns0:is>
          <ns0:t>Machine Learning</ns0:t>
        </ns0:is>
      </ns0:c>
      <ns0:c r="J302" s="21" t="inlineStr">
        <ns0:is>
          <ns0:t>Structured clinical/questionnaire data</ns0:t>
        </ns0:is>
      </ns0:c>
      <ns0:c r="K302" s="21" t="inlineStr">
        <ns0:is>
          <ns0:t>Random forest</ns0:t>
        </ns0:is>
      </ns0:c>
      <ns0:c r="L302" s="21" t="inlineStr">
        <ns0:is>
          <ns0:t>Random forest</ns0:t>
        </ns0:is>
      </ns0:c>
      <ns0:c r="M302" s="21" t="inlineStr">
        <ns0:is>
          <ns0:t>Proposed only</ns0:t>
        </ns0:is>
      </ns0:c>
      <ns0:c r="N302" s="21" t="inlineStr">
        <ns0:is>
          <ns0:t>Triage/questionnaire assessment</ns0:t>
        </ns0:is>
      </ns0:c>
      <ns0:c r="O302" s="21" t="inlineStr">
        <ns0:is>
          <ns0:t>Pre-decision</ns0:t>
        </ns0:is>
      </ns0:c>
      <ns0:c r="P302" s="21" t="inlineStr">
        <ns0:is>
          <ns0:t>Not observed in assessed sources</ns0:t>
        </ns0:is>
      </ns0:c>
      <ns0:c r="Q302" s="21" t="inlineStr">
        <ns0:is>
          <ns0:t>Not reported in assessed sources</ns0:t>
        </ns0:is>
      </ns0:c>
      <ns0:c r="R302" s="21" t="inlineStr">
        <ns0:is>
          <ns0:t>Reported</ns0:t>
        </ns0:is>
      </ns0:c>
      <ns0:c r="S302" s="21" t="inlineStr">
        <ns0:is>
          <ns0:t>Reported</ns0:t>
        </ns0:is>
      </ns0:c>
      <ns0:c r="T302" s="21" t="inlineStr">
        <ns0:is>
          <ns0:t>Not reported in assessed sources</ns0:t>
        </ns0:is>
      </ns0:c>
      <ns0:c r="U302" s="21" t="inlineStr">
        <ns0:is>
          <ns0:t>Not reported in assessed sources</ns0:t>
        </ns0:is>
      </ns0:c>
      <ns0:c r="V302" s="21" t="inlineStr">
        <ns0:is>
          <ns0:t>Not reported in assessed sources</ns0:t>
        </ns0:is>
      </ns0:c>
      <ns0:c r="W302" s="21" t="inlineStr">
        <ns0:is>
          <ns0:t>Reported</ns0:t>
        </ns0:is>
      </ns0:c>
      <ns0:c r="X302" s="21" t="inlineStr">
        <ns0:is>
          <ns0:t>Not reported in assessed sources</ns0:t>
        </ns0:is>
      </ns0:c>
      <ns0:c r="Y302" s="21" t="inlineStr">
        <ns0:is>
          <ns0:t>Not ascertainable</ns0:t>
        </ns0:is>
      </ns0:c>
      <ns0:c r="Z302" s="21" t="inlineStr">
        <ns0:is>
          <ns0:t>Reported</ns0:t>
        </ns0:is>
      </ns0:c>
      <ns0:c r="AA302" s="21" t="inlineStr">
        <ns0:is>
          <ns0:t>Not recorded</ns0:t>
        </ns0:is>
      </ns0:c>
      <ns0:c r="AB302" s="28" t="n">
        <ns0:v>0</ns0:v>
      </ns0:c>
      <ns0:c r="AC302" s="28" t="n">
        <ns0:v>0</ns0:v>
      </ns0:c>
      <ns0:c r="AD302" s="29">
        <ns0:f>IF(AND(G302=1,AB302=0),1,0)</ns0:f>
        <ns0:v>1</ns0:v>
      </ns0:c>
      <ns0:c r="AE302" s="29">
        <ns0:f>IF(AND(AD302=1,AC302=0),1,0)</ns0:f>
        <ns0:v>1</ns0:v>
      </ns0:c>
      <ns0:c r="AF302" s="29">
        <ns0:f>IF(AND(G302=1,H302&lt;&gt;"Not specified"),1,0)</ns0:f>
        <ns0:v>1</ns0:v>
      </ns0:c>
      <ns0:c r="AG302" s="29">
        <ns0:f>IF(AND(AE302=1,AF302=1),1,0)</ns0:f>
        <ns0:v>1</ns0:v>
      </ns0:c>
      <ns0:c r="AH302" s="21" t="inlineStr">
        <ns0:is>
          <ns0:t>Supplied abstract/coding notes; no new full-text verification</ns0:t>
        </ns0:is>
      </ns0:c>
      <ns0:c r="AI302" s="21" t="inlineStr">
        <ns0:is>
          <ns0:t>https://doi.org/10.1038/s41398-026-03823-y</ns0:t>
        </ns0:is>
      </ns0:c>
      <ns0:c r="AJ302" s="21" t="inlineStr">
        <ns0:is>
          <ns0:t>EVIDENCIA; original abstract/coding notes and lot source trace; Inherited scoped adjudication; see source level and lot caveats</ns0:t>
        </ns0:is>
      </ns0:c>
      <ns0:c r="AK302" s="21" t="inlineStr">
        <ns0:is>
          <ns0:t>Online cognitive task scores combined with a screening questionnaire; explicit intended screening tool but no demonstrated clinical deployment.</ns0:t>
        </ns0:is>
      </ns0:c>
      <ns0:c r="AL302" s="21" t="inlineStr">
        <ns0:is>
          <ns0:t>Not applicable</ns0:t>
        </ns0:is>
      </ns0:c>
      <ns0:c r="AM302" s="21" t="inlineStr">
        <ns0:is>
          <ns0:t>Not separately specified</ns0:t>
        </ns0:is>
      </ns0:c>
      <ns0:c r="AN302" s="21" t="inlineStr"/>
      <ns0:c r="AO302" s="21" t="inlineStr">
        <ns0:is>
          <ns0:t>No additional status determination</ns0:t>
        </ns0:is>
      </ns0:c>
      <ns0:c r="AP302" s="21" t="inlineStr">
        <ns0:is>
          <ns0:t>Not documented for this recharting</ns0:t>
        </ns0:is>
      </ns0:c>
      <ns0:c r="AQ302" s="21" t="inlineStr">
        <ns0:is>
          <ns0:t>ChatGPT-assisted evidence recharting, 2026-09-08</ns0:t>
        </ns0:is>
      </ns0:c>
      <ns0:c r="AR302" s="21" t="inlineStr">
        <ns0:is>
          <ns0:t>Revisión asistida por IA (un revisor; requiere verificación independiente)</ns0:t>
        </ns0:is>
      </ns0:c>
      <ns0:c r="AS302" s="21" t="inlineStr">
        <ns0:is>
          <ns0:t>Retrieved and reviewed</ns0:t>
        </ns0:is>
      </ns0:c>
    </ns0:row>
    <ns0:row r="303" ht="50" customHeight="1">
      <ns0:c r="A303" s="19" t="inlineStr">
        <ns0:is>
          <ns0:t>new_210</ns0:t>
        </ns0:is>
      </ns0:c>
      <ns0:c r="B303" s="19" t="inlineStr">
        <ns0:is>
          <ns0:t>Update</ns0:t>
        </ns0:is>
      </ns0:c>
      <ns0:c r="C303" s="19" t="inlineStr">
        <ns0:is>
          <ns0:t>Biomarker Discovery for Autism Prediction Using Massive Feature Extraction Based on EEG Signals</ns0:t>
        </ns0:is>
      </ns0:c>
      <ns0:c r="D303" s="19" t="inlineStr">
        <ns0:is>
          <ns0:t>10.3390/s26061862</ns0:t>
        </ns0:is>
      </ns0:c>
      <ns0:c r="E303" s="26" t="n">
        <ns0:v>2026</ns0:v>
      </ns0:c>
      <ns0:c r="F303" s="19" t="inlineStr">
        <ns0:is>
          <ns0:t>Include</ns0:t>
        </ns0:is>
      </ns0:c>
      <ns0:c r="G303" s="27">
        <ns0:f>IF(F303="Include",1,0)</ns0:f>
        <ns0:v>1</ns0:v>
      </ns0:c>
      <ns0:c r="H303" s="19" t="inlineStr">
        <ns0:is>
          <ns0:t>Diagnosis</ns0:t>
        </ns0:is>
      </ns0:c>
      <ns0:c r="I303" s="19" t="inlineStr">
        <ns0:is>
          <ns0:t>Machine Learning</ns0:t>
        </ns0:is>
      </ns0:c>
      <ns0:c r="J303" s="19" t="inlineStr">
        <ns0:is>
          <ns0:t>Physiological signals</ns0:t>
        </ns0:is>
      </ns0:c>
      <ns0:c r="K303" s="19" t="inlineStr">
        <ns0:is>
          <ns0:t>Multiple classifiers; primary unspecified</ns0:t>
        </ns0:is>
      </ns0:c>
      <ns0:c r="L303" s="19" t="inlineStr">
        <ns0:is>
          <ns0:t>Multiple/not uniquely specified</ns0:t>
        </ns0:is>
      </ns0:c>
      <ns0:c r="M303" s="19" t="inlineStr">
        <ns0:is>
          <ns0:t>Research only</ns0:t>
        </ns0:is>
      </ns0:c>
      <ns0:c r="N303" s="19" t="inlineStr">
        <ns0:is>
          <ns0:t>Automated measurement/classification</ns0:t>
        </ns0:is>
      </ns0:c>
      <ns0:c r="O303" s="19" t="inlineStr">
        <ns0:is>
          <ns0:t>Not observed in assessed sources</ns0:t>
        </ns0:is>
      </ns0:c>
      <ns0:c r="P303" s="19" t="inlineStr">
        <ns0:is>
          <ns0:t>Not observed in assessed sources</ns0:t>
        </ns0:is>
      </ns0:c>
      <ns0:c r="Q303" s="19" t="inlineStr">
        <ns0:is>
          <ns0:t>Not reported in assessed sources</ns0:t>
        </ns0:is>
      </ns0:c>
      <ns0:c r="R303" s="19" t="inlineStr">
        <ns0:is>
          <ns0:t>Not reported in assessed sources</ns0:t>
        </ns0:is>
      </ns0:c>
      <ns0:c r="S303" s="19" t="inlineStr">
        <ns0:is>
          <ns0:t>Reported</ns0:t>
        </ns0:is>
      </ns0:c>
      <ns0:c r="T303" s="19" t="inlineStr">
        <ns0:is>
          <ns0:t>Reported</ns0:t>
        </ns0:is>
      </ns0:c>
      <ns0:c r="U303" s="19" t="inlineStr">
        <ns0:is>
          <ns0:t>Not reported in assessed sources</ns0:t>
        </ns0:is>
      </ns0:c>
      <ns0:c r="V303" s="19" t="inlineStr">
        <ns0:is>
          <ns0:t>Not reported in assessed sources</ns0:t>
        </ns0:is>
      </ns0:c>
      <ns0:c r="W303" s="19" t="inlineStr">
        <ns0:is>
          <ns0:t>Not reported in assessed sources</ns0:t>
        </ns0:is>
      </ns0:c>
      <ns0:c r="X303" s="19" t="inlineStr">
        <ns0:is>
          <ns0:t>Not reported in assessed sources</ns0:t>
        </ns0:is>
      </ns0:c>
      <ns0:c r="Y303" s="19" t="inlineStr">
        <ns0:is>
          <ns0:t>Not ascertainable</ns0:t>
        </ns0:is>
      </ns0:c>
      <ns0:c r="Z303" s="19" t="inlineStr">
        <ns0:is>
          <ns0:t>Not reported in assessed sources</ns0:t>
        </ns0:is>
      </ns0:c>
      <ns0:c r="AA303" s="19" t="inlineStr">
        <ns0:is>
          <ns0:t>Not recorded</ns0:t>
        </ns0:is>
      </ns0:c>
      <ns0:c r="AB303" s="26" t="n">
        <ns0:v>0</ns0:v>
      </ns0:c>
      <ns0:c r="AC303" s="26" t="n">
        <ns0:v>0</ns0:v>
      </ns0:c>
      <ns0:c r="AD303" s="27">
        <ns0:f>IF(AND(G303=1,AB303=0),1,0)</ns0:f>
        <ns0:v>1</ns0:v>
      </ns0:c>
      <ns0:c r="AE303" s="27">
        <ns0:f>IF(AND(AD303=1,AC303=0),1,0)</ns0:f>
        <ns0:v>1</ns0:v>
      </ns0:c>
      <ns0:c r="AF303" s="27">
        <ns0:f>IF(AND(G303=1,H303&lt;&gt;"Not specified"),1,0)</ns0:f>
        <ns0:v>1</ns0:v>
      </ns0:c>
      <ns0:c r="AG303" s="27">
        <ns0:f>IF(AND(AE303=1,AF303=1),1,0)</ns0:f>
        <ns0:v>1</ns0:v>
      </ns0:c>
      <ns0:c r="AH303" s="19" t="inlineStr">
        <ns0:is>
          <ns0:t>Supplied abstract/coding notes; no new full-text verification</ns0:t>
        </ns0:is>
      </ns0:c>
      <ns0:c r="AI303" s="19" t="inlineStr">
        <ns0:is>
          <ns0:t>https://doi.org/10.3390/s26061862</ns0:t>
        </ns0:is>
      </ns0:c>
      <ns0:c r="AJ303" s="19" t="inlineStr">
        <ns0:is>
          <ns0:t>EVIDENCIA; original abstract/coding notes and lot source trace; Inherited scoped adjudication; see source level and lot caveats</ns0:t>
        </ns0:is>
      </ns0:c>
      <ns0:c r="AK303" s="19" t="inlineStr">
        <ns0:is>
          <ns0:t>EEG HCTSA features and conventional classifiers with Shapley explanations; single small dataset, not externally validated.</ns0:t>
        </ns0:is>
      </ns0:c>
      <ns0:c r="AL303" s="19" t="inlineStr">
        <ns0:is>
          <ns0:t>Not applicable</ns0:t>
        </ns0:is>
      </ns0:c>
      <ns0:c r="AM303" s="19" t="inlineStr">
        <ns0:is>
          <ns0:t>Not separately specified</ns0:t>
        </ns0:is>
      </ns0:c>
      <ns0:c r="AN303" s="19" t="inlineStr"/>
      <ns0:c r="AO303" s="19" t="inlineStr">
        <ns0:is>
          <ns0:t>No additional status determination</ns0:t>
        </ns0:is>
      </ns0:c>
      <ns0:c r="AP303" s="19" t="inlineStr">
        <ns0:is>
          <ns0:t>Not documented for this recharting</ns0:t>
        </ns0:is>
      </ns0:c>
      <ns0:c r="AQ303" s="19" t="inlineStr">
        <ns0:is>
          <ns0:t>ChatGPT-assisted evidence recharting, 2026-09-08</ns0:t>
        </ns0:is>
      </ns0:c>
      <ns0:c r="AR303" s="19" t="inlineStr">
        <ns0:is>
          <ns0:t>Revisión asistida por IA (un revisor; requiere verificación independiente)</ns0:t>
        </ns0:is>
      </ns0:c>
      <ns0:c r="AS303" s="19" t="inlineStr">
        <ns0:is>
          <ns0:t>Retrieved and reviewed</ns0:t>
        </ns0:is>
      </ns0:c>
    </ns0:row>
    <ns0:row r="304" ht="50" customHeight="1">
      <ns0:c r="A304" s="21" t="inlineStr">
        <ns0:is>
          <ns0:t>new_212</ns0:t>
        </ns0:is>
      </ns0:c>
      <ns0:c r="B304" s="21" t="inlineStr">
        <ns0:is>
          <ns0:t>Update</ns0:t>
        </ns0:is>
      </ns0:c>
      <ns0:c r="C304" s="21" t="inlineStr">
        <ns0:is>
          <ns0:t>Comparison of cognitive ability and its distribution between men with autism spectrum disorder and attention-deficit/hyperactivity disorder</ns0:t>
        </ns0:is>
      </ns0:c>
      <ns0:c r="D304" s="21" t="inlineStr">
        <ns0:is>
          <ns0:t>10.1371/journal.pone.0345522</ns0:t>
        </ns0:is>
      </ns0:c>
      <ns0:c r="E304" s="28" t="n">
        <ns0:v>2026</ns0:v>
      </ns0:c>
      <ns0:c r="F304" s="21" t="inlineStr">
        <ns0:is>
          <ns0:t>Include</ns0:t>
        </ns0:is>
      </ns0:c>
      <ns0:c r="G304" s="29">
        <ns0:f>IF(F304="Include",1,0)</ns0:f>
        <ns0:v>1</ns0:v>
      </ns0:c>
      <ns0:c r="H304" s="21" t="inlineStr">
        <ns0:is>
          <ns0:t>Diagnosis</ns0:t>
        </ns0:is>
      </ns0:c>
      <ns0:c r="I304" s="21" t="inlineStr">
        <ns0:is>
          <ns0:t>Machine Learning</ns0:t>
        </ns0:is>
      </ns0:c>
      <ns0:c r="J304" s="21" t="inlineStr">
        <ns0:is>
          <ns0:t>Structured clinical/questionnaire data</ns0:t>
        </ns0:is>
      </ns0:c>
      <ns0:c r="K304" s="21" t="inlineStr">
        <ns0:is>
          <ns0:t>Clustering / classifier unspecified</ns0:t>
        </ns0:is>
      </ns0:c>
      <ns0:c r="L304" s="21" t="inlineStr">
        <ns0:is>
          <ns0:t>Multiple/not uniquely specified</ns0:t>
        </ns0:is>
      </ns0:c>
      <ns0:c r="M304" s="21" t="inlineStr">
        <ns0:is>
          <ns0:t>Research only</ns0:t>
        </ns0:is>
      </ns0:c>
      <ns0:c r="N304" s="21" t="inlineStr">
        <ns0:is>
          <ns0:t>Automated measurement/classification</ns0:t>
        </ns0:is>
      </ns0:c>
      <ns0:c r="O304" s="21" t="inlineStr">
        <ns0:is>
          <ns0:t>Not observed in assessed sources</ns0:t>
        </ns0:is>
      </ns0:c>
      <ns0:c r="P304" s="21" t="inlineStr">
        <ns0:is>
          <ns0:t>Not observed in assessed sources</ns0:t>
        </ns0:is>
      </ns0:c>
      <ns0:c r="Q304" s="21" t="inlineStr">
        <ns0:is>
          <ns0:t>Not reported in assessed sources</ns0:t>
        </ns0:is>
      </ns0:c>
      <ns0:c r="R304" s="21" t="inlineStr">
        <ns0:is>
          <ns0:t>Not reported in assessed sources</ns0:t>
        </ns0:is>
      </ns0:c>
      <ns0:c r="S304" s="21" t="inlineStr">
        <ns0:is>
          <ns0:t>Not reported in assessed sources</ns0:t>
        </ns0:is>
      </ns0:c>
      <ns0:c r="T304" s="21" t="inlineStr">
        <ns0:is>
          <ns0:t>Not reported in assessed sources</ns0:t>
        </ns0:is>
      </ns0:c>
      <ns0:c r="U304" s="21" t="inlineStr">
        <ns0:is>
          <ns0:t>Not reported in assessed sources</ns0:t>
        </ns0:is>
      </ns0:c>
      <ns0:c r="V304" s="21" t="inlineStr">
        <ns0:is>
          <ns0:t>Not reported in assessed sources</ns0:t>
        </ns0:is>
      </ns0:c>
      <ns0:c r="W304" s="21" t="inlineStr">
        <ns0:is>
          <ns0:t>Not reported in assessed sources</ns0:t>
        </ns0:is>
      </ns0:c>
      <ns0:c r="X304" s="21" t="inlineStr">
        <ns0:is>
          <ns0:t>Not reported in assessed sources</ns0:t>
        </ns0:is>
      </ns0:c>
      <ns0:c r="Y304" s="21" t="inlineStr">
        <ns0:is>
          <ns0:t>Not ascertainable</ns0:t>
        </ns0:is>
      </ns0:c>
      <ns0:c r="Z304" s="21" t="inlineStr">
        <ns0:is>
          <ns0:t>Not reported in assessed sources</ns0:t>
        </ns0:is>
      </ns0:c>
      <ns0:c r="AA304" s="21" t="inlineStr">
        <ns0:is>
          <ns0:t>Not recorded</ns0:t>
        </ns0:is>
      </ns0:c>
      <ns0:c r="AB304" s="28" t="n">
        <ns0:v>0</ns0:v>
      </ns0:c>
      <ns0:c r="AC304" s="28" t="n">
        <ns0:v>0</ns0:v>
      </ns0:c>
      <ns0:c r="AD304" s="29">
        <ns0:f>IF(AND(G304=1,AB304=0),1,0)</ns0:f>
        <ns0:v>1</ns0:v>
      </ns0:c>
      <ns0:c r="AE304" s="29">
        <ns0:f>IF(AND(AD304=1,AC304=0),1,0)</ns0:f>
        <ns0:v>1</ns0:v>
      </ns0:c>
      <ns0:c r="AF304" s="29">
        <ns0:f>IF(AND(G304=1,H304&lt;&gt;"Not specified"),1,0)</ns0:f>
        <ns0:v>1</ns0:v>
      </ns0:c>
      <ns0:c r="AG304" s="29">
        <ns0:f>IF(AND(AE304=1,AF304=1),1,0)</ns0:f>
        <ns0:v>1</ns0:v>
      </ns0:c>
      <ns0:c r="AH304" s="21" t="inlineStr">
        <ns0:is>
          <ns0:t>Supplied abstract/coding notes; no new full-text verification</ns0:t>
        </ns0:is>
      </ns0:c>
      <ns0:c r="AI304" s="21" t="inlineStr">
        <ns0:is>
          <ns0:t>https://doi.org/10.1371/journal.pone.0345522</ns0:t>
        </ns0:is>
      </ns0:c>
      <ns0:c r="AJ304" s="21" t="inlineStr">
        <ns0:is>
          <ns0:t>EVIDENCIA; original abstract/coding notes and lot source trace; Inherited scoped adjudication; see source level and lot caveats</ns0:t>
        </ns0:is>
      </ns0:c>
      <ns0:c r="AK304" s="21" t="inlineStr">
        <ns0:is>
          <ns0:t>Wechsler cognitive profiles in ASD versus ADHD; exploratory cognitive characterization.</ns0:t>
        </ns0:is>
      </ns0:c>
      <ns0:c r="AL304" s="21" t="inlineStr">
        <ns0:is>
          <ns0:t>Not applicable</ns0:t>
        </ns0:is>
      </ns0:c>
      <ns0:c r="AM304" s="21" t="inlineStr">
        <ns0:is>
          <ns0:t>Not separately specified</ns0:t>
        </ns0:is>
      </ns0:c>
      <ns0:c r="AN304" s="21" t="inlineStr"/>
      <ns0:c r="AO304" s="21" t="inlineStr">
        <ns0:is>
          <ns0:t>No additional status determination</ns0:t>
        </ns0:is>
      </ns0:c>
      <ns0:c r="AP304" s="21" t="inlineStr">
        <ns0:is>
          <ns0:t>Not documented for this recharting</ns0:t>
        </ns0:is>
      </ns0:c>
      <ns0:c r="AQ304" s="21" t="inlineStr">
        <ns0:is>
          <ns0:t>ChatGPT-assisted evidence recharting, 2026-09-08</ns0:t>
        </ns0:is>
      </ns0:c>
      <ns0:c r="AR304" s="21" t="inlineStr">
        <ns0:is>
          <ns0:t>Revisión asistida por IA (un revisor; requiere verificación independiente)</ns0:t>
        </ns0:is>
      </ns0:c>
      <ns0:c r="AS304" s="21" t="inlineStr">
        <ns0:is>
          <ns0:t>Retrieved and reviewed</ns0:t>
        </ns0:is>
      </ns0:c>
    </ns0:row>
    <ns0:row r="305" ht="50" customHeight="1">
      <ns0:c r="A305" s="19" t="inlineStr">
        <ns0:is>
          <ns0:t>new_214</ns0:t>
        </ns0:is>
      </ns0:c>
      <ns0:c r="B305" s="19" t="inlineStr">
        <ns0:is>
          <ns0:t>Update</ns0:t>
        </ns0:is>
      </ns0:c>
      <ns0:c r="C305" s="19" t="inlineStr">
        <ns0:is>
          <ns0:t>Hippocampal Subregion Function and Its Clinical Correlations in Childhood Autism Spectrum Disorders</ns0:t>
        </ns0:is>
      </ns0:c>
      <ns0:c r="D305" s="19" t="inlineStr">
        <ns0:is>
          <ns0:t>10.1002/aur.70124</ns0:t>
        </ns0:is>
      </ns0:c>
      <ns0:c r="E305" s="26" t="n">
        <ns0:v>2025</ns0:v>
      </ns0:c>
      <ns0:c r="F305" s="19" t="inlineStr">
        <ns0:is>
          <ns0:t>Include</ns0:t>
        </ns0:is>
      </ns0:c>
      <ns0:c r="G305" s="27">
        <ns0:f>IF(F305="Include",1,0)</ns0:f>
        <ns0:v>1</ns0:v>
      </ns0:c>
      <ns0:c r="H305" s="19" t="inlineStr">
        <ns0:is>
          <ns0:t>Diagnosis</ns0:t>
        </ns0:is>
      </ns0:c>
      <ns0:c r="I305" s="19" t="inlineStr">
        <ns0:is>
          <ns0:t>Machine Learning</ns0:t>
        </ns0:is>
      </ns0:c>
      <ns0:c r="J305" s="19" t="inlineStr">
        <ns0:is>
          <ns0:t>Neuroimaging</ns0:t>
        </ns0:is>
      </ns0:c>
      <ns0:c r="K305" s="19" t="inlineStr">
        <ns0:is>
          <ns0:t>Random forest / classifier comparison</ns0:t>
        </ns0:is>
      </ns0:c>
      <ns0:c r="L305" s="19" t="inlineStr">
        <ns0:is>
          <ns0:t>Multiple/not uniquely specified</ns0:t>
        </ns0:is>
      </ns0:c>
      <ns0:c r="M305" s="19" t="inlineStr">
        <ns0:is>
          <ns0:t>Research only</ns0:t>
        </ns0:is>
      </ns0:c>
      <ns0:c r="N305" s="19" t="inlineStr">
        <ns0:is>
          <ns0:t>Automated measurement/classification</ns0:t>
        </ns0:is>
      </ns0:c>
      <ns0:c r="O305" s="19" t="inlineStr">
        <ns0:is>
          <ns0:t>Not observed in assessed sources</ns0:t>
        </ns0:is>
      </ns0:c>
      <ns0:c r="P305" s="19" t="inlineStr">
        <ns0:is>
          <ns0:t>Not observed in assessed sources</ns0:t>
        </ns0:is>
      </ns0:c>
      <ns0:c r="Q305" s="19" t="inlineStr">
        <ns0:is>
          <ns0:t>Not reported in assessed sources</ns0:t>
        </ns0:is>
      </ns0:c>
      <ns0:c r="R305" s="19" t="inlineStr">
        <ns0:is>
          <ns0:t>Not reported in assessed sources</ns0:t>
        </ns0:is>
      </ns0:c>
      <ns0:c r="S305" s="19" t="inlineStr">
        <ns0:is>
          <ns0:t>Not reported in assessed sources</ns0:t>
        </ns0:is>
      </ns0:c>
      <ns0:c r="T305" s="19" t="inlineStr">
        <ns0:is>
          <ns0:t>Not reported in assessed sources</ns0:t>
        </ns0:is>
      </ns0:c>
      <ns0:c r="U305" s="19" t="inlineStr">
        <ns0:is>
          <ns0:t>Not reported in assessed sources</ns0:t>
        </ns0:is>
      </ns0:c>
      <ns0:c r="V305" s="19" t="inlineStr">
        <ns0:is>
          <ns0:t>Reported</ns0:t>
        </ns0:is>
      </ns0:c>
      <ns0:c r="W305" s="19" t="inlineStr">
        <ns0:is>
          <ns0:t>Not reported in assessed sources</ns0:t>
        </ns0:is>
      </ns0:c>
      <ns0:c r="X305" s="19" t="inlineStr">
        <ns0:is>
          <ns0:t>Not reported in assessed sources</ns0:t>
        </ns0:is>
      </ns0:c>
      <ns0:c r="Y305" s="19" t="inlineStr">
        <ns0:is>
          <ns0:t>Not ascertainable</ns0:t>
        </ns0:is>
      </ns0:c>
      <ns0:c r="Z305" s="19" t="inlineStr">
        <ns0:is>
          <ns0:t>Not reported in assessed sources</ns0:t>
        </ns0:is>
      </ns0:c>
      <ns0:c r="AA305" s="19" t="inlineStr">
        <ns0:is>
          <ns0:t>Not recorded</ns0:t>
        </ns0:is>
      </ns0:c>
      <ns0:c r="AB305" s="26" t="n">
        <ns0:v>0</ns0:v>
      </ns0:c>
      <ns0:c r="AC305" s="26" t="n">
        <ns0:v>0</ns0:v>
      </ns0:c>
      <ns0:c r="AD305" s="27">
        <ns0:f>IF(AND(G305=1,AB305=0),1,0)</ns0:f>
        <ns0:v>1</ns0:v>
      </ns0:c>
      <ns0:c r="AE305" s="27">
        <ns0:f>IF(AND(AD305=1,AC305=0),1,0)</ns0:f>
        <ns0:v>1</ns0:v>
      </ns0:c>
      <ns0:c r="AF305" s="27">
        <ns0:f>IF(AND(G305=1,H305&lt;&gt;"Not specified"),1,0)</ns0:f>
        <ns0:v>1</ns0:v>
      </ns0:c>
      <ns0:c r="AG305" s="27">
        <ns0:f>IF(AND(AE305=1,AF305=1),1,0)</ns0:f>
        <ns0:v>1</ns0:v>
      </ns0:c>
      <ns0:c r="AH305" s="19" t="inlineStr">
        <ns0:is>
          <ns0:t>Supplied abstract/coding notes; no new full-text verification</ns0:t>
        </ns0:is>
      </ns0:c>
      <ns0:c r="AI305" s="19" t="inlineStr">
        <ns0:is>
          <ns0:t>https://doi.org/10.1002/aur.70124</ns0:t>
        </ns0:is>
      </ns0:c>
      <ns0:c r="AJ305" s="19" t="inlineStr">
        <ns0:is>
          <ns0:t>EVIDENCIA; original abstract/coding notes and lot source trace; Inherited scoped adjudication; see source level and lot caveats</ns0:t>
        </ns0:is>
      </ns0:c>
      <ns0:c r="AK305" s="19" t="inlineStr">
        <ns0:is>
          <ns0:t>Hippocampal fMRI classifier comparison and clinical associations; research use only.</ns0:t>
        </ns0:is>
      </ns0:c>
      <ns0:c r="AL305" s="19" t="inlineStr">
        <ns0:is>
          <ns0:t>Not applicable</ns0:t>
        </ns0:is>
      </ns0:c>
      <ns0:c r="AM305" s="19" t="inlineStr">
        <ns0:is>
          <ns0:t>Not separately specified</ns0:t>
        </ns0:is>
      </ns0:c>
      <ns0:c r="AN305" s="19" t="inlineStr"/>
      <ns0:c r="AO305" s="19" t="inlineStr">
        <ns0:is>
          <ns0:t>No additional status determination</ns0:t>
        </ns0:is>
      </ns0:c>
      <ns0:c r="AP305" s="19" t="inlineStr">
        <ns0:is>
          <ns0:t>Not documented for this recharting</ns0:t>
        </ns0:is>
      </ns0:c>
      <ns0:c r="AQ305" s="19" t="inlineStr">
        <ns0:is>
          <ns0:t>ChatGPT-assisted evidence recharting, 2026-09-08</ns0:t>
        </ns0:is>
      </ns0:c>
      <ns0:c r="AR305" s="19" t="inlineStr">
        <ns0:is>
          <ns0:t>Revisión asistida por IA (un revisor; requiere verificación independiente)</ns0:t>
        </ns0:is>
      </ns0:c>
      <ns0:c r="AS305" s="19" t="inlineStr">
        <ns0:is>
          <ns0:t>Retrieved and reviewed</ns0:t>
        </ns0:is>
      </ns0:c>
    </ns0:row>
    <ns0:row r="306" ht="50" customHeight="1">
      <ns0:c r="A306" s="21" t="inlineStr">
        <ns0:is>
          <ns0:t>new_216</ns0:t>
        </ns0:is>
      </ns0:c>
      <ns0:c r="B306" s="21" t="inlineStr">
        <ns0:is>
          <ns0:t>Update</ns0:t>
        </ns0:is>
      </ns0:c>
      <ns0:c r="C306" s="21" t="inlineStr">
        <ns0:is>
          <ns0:t>Parental Stress and Caregiver Role Modulate Child–Caregiver Prosodic Synchrony in Autism: A Computational Analysis</ns0:t>
        </ns0:is>
      </ns0:c>
      <ns0:c r="D306" s="21" t="inlineStr">
        <ns0:is>
          <ns0:t>10.1002/aur.70189</ns0:t>
        </ns0:is>
      </ns0:c>
      <ns0:c r="E306" s="28" t="n">
        <ns0:v>2026</ns0:v>
      </ns0:c>
      <ns0:c r="F306" s="21" t="inlineStr">
        <ns0:is>
          <ns0:t>Include</ns0:t>
        </ns0:is>
      </ns0:c>
      <ns0:c r="G306" s="29">
        <ns0:f>IF(F306="Include",1,0)</ns0:f>
        <ns0:v>1</ns0:v>
      </ns0:c>
      <ns0:c r="H306" s="21" t="inlineStr">
        <ns0:is>
          <ns0:t>Monitoring/intervention</ns0:t>
        </ns0:is>
      </ns0:c>
      <ns0:c r="I306" s="21" t="inlineStr">
        <ns0:is>
          <ns0:t>Deep Learning</ns0:t>
        </ns0:is>
      </ns0:c>
      <ns0:c r="J306" s="21" t="inlineStr">
        <ns0:is>
          <ns0:t>Audio/voice</ns0:t>
        </ns0:is>
      </ns0:c>
      <ns0:c r="K306" s="21" t="inlineStr">
        <ns0:is>
          <ns0:t>Speech-segmentation network; unspecified</ns0:t>
        </ns0:is>
      </ns0:c>
      <ns0:c r="L306" s="21" t="inlineStr">
        <ns0:is>
          <ns0:t>Multiple/not uniquely specified</ns0:t>
        </ns0:is>
      </ns0:c>
      <ns0:c r="M306" s="21" t="inlineStr">
        <ns0:is>
          <ns0:t>Research only</ns0:t>
        </ns0:is>
      </ns0:c>
      <ns0:c r="N306" s="21" t="inlineStr">
        <ns0:is>
          <ns0:t>Monitoring/longitudinal analysis</ns0:t>
        </ns0:is>
      </ns0:c>
      <ns0:c r="O306" s="21" t="inlineStr">
        <ns0:is>
          <ns0:t>Not observed in assessed sources</ns0:t>
        </ns0:is>
      </ns0:c>
      <ns0:c r="P306" s="21" t="inlineStr">
        <ns0:is>
          <ns0:t>Not observed in assessed sources</ns0:t>
        </ns0:is>
      </ns0:c>
      <ns0:c r="Q306" s="21" t="inlineStr">
        <ns0:is>
          <ns0:t>Not reported in assessed sources</ns0:t>
        </ns0:is>
      </ns0:c>
      <ns0:c r="R306" s="21" t="inlineStr">
        <ns0:is>
          <ns0:t>Not reported in assessed sources</ns0:t>
        </ns0:is>
      </ns0:c>
      <ns0:c r="S306" s="21" t="inlineStr">
        <ns0:is>
          <ns0:t>Not reported in assessed sources</ns0:t>
        </ns0:is>
      </ns0:c>
      <ns0:c r="T306" s="21" t="inlineStr">
        <ns0:is>
          <ns0:t>Not reported in assessed sources</ns0:t>
        </ns0:is>
      </ns0:c>
      <ns0:c r="U306" s="21" t="inlineStr">
        <ns0:is>
          <ns0:t>Not reported in assessed sources</ns0:t>
        </ns0:is>
      </ns0:c>
      <ns0:c r="V306" s="21" t="inlineStr">
        <ns0:is>
          <ns0:t>Not reported in assessed sources</ns0:t>
        </ns0:is>
      </ns0:c>
      <ns0:c r="W306" s="21" t="inlineStr">
        <ns0:is>
          <ns0:t>Not reported in assessed sources</ns0:t>
        </ns0:is>
      </ns0:c>
      <ns0:c r="X306" s="21" t="inlineStr">
        <ns0:is>
          <ns0:t>Not reported in assessed sources</ns0:t>
        </ns0:is>
      </ns0:c>
      <ns0:c r="Y306" s="21" t="inlineStr">
        <ns0:is>
          <ns0:t>Reported</ns0:t>
        </ns0:is>
      </ns0:c>
      <ns0:c r="Z306" s="21" t="inlineStr">
        <ns0:is>
          <ns0:t>Not reported in assessed sources</ns0:t>
        </ns0:is>
      </ns0:c>
      <ns0:c r="AA306" s="21" t="inlineStr">
        <ns0:is>
          <ns0:t>Not recorded</ns0:t>
        </ns0:is>
      </ns0:c>
      <ns0:c r="AB306" s="28" t="n">
        <ns0:v>0</ns0:v>
      </ns0:c>
      <ns0:c r="AC306" s="28" t="n">
        <ns0:v>0</ns0:v>
      </ns0:c>
      <ns0:c r="AD306" s="29">
        <ns0:f>IF(AND(G306=1,AB306=0),1,0)</ns0:f>
        <ns0:v>1</ns0:v>
      </ns0:c>
      <ns0:c r="AE306" s="29">
        <ns0:f>IF(AND(AD306=1,AC306=0),1,0)</ns0:f>
        <ns0:v>1</ns0:v>
      </ns0:c>
      <ns0:c r="AF306" s="29">
        <ns0:f>IF(AND(G306=1,H306&lt;&gt;"Not specified"),1,0)</ns0:f>
        <ns0:v>1</ns0:v>
      </ns0:c>
      <ns0:c r="AG306" s="29">
        <ns0:f>IF(AND(AE306=1,AF306=1),1,0)</ns0:f>
        <ns0:v>1</ns0:v>
      </ns0:c>
      <ns0:c r="AH306" s="21" t="inlineStr">
        <ns0:is>
          <ns0:t>Supplied abstract/coding notes; no new full-text verification</ns0:t>
        </ns0:is>
      </ns0:c>
      <ns0:c r="AI306" s="21" t="inlineStr">
        <ns0:is>
          <ns0:t>https://doi.org/10.1002/aur.70189</ns0:t>
        </ns0:is>
      </ns0:c>
      <ns0:c r="AJ306" s="21" t="inlineStr">
        <ns0:is>
          <ns0:t>EVIDENCIA; original abstract/coding notes and lot source trace; Inherited scoped adjudication; see source level and lot caveats</ns0:t>
        </ns0:is>
      </ns0:c>
      <ns0:c r="AK306" s="21" t="inlineStr">
        <ns0:is>
          <ns0:t>Deep acoustic segmentation and subsequent prosodic-synchrony analysis over two time points, without live care decisions.</ns0:t>
        </ns0:is>
      </ns0:c>
      <ns0:c r="AL306" s="21" t="inlineStr">
        <ns0:is>
          <ns0:t>Not applicable</ns0:t>
        </ns0:is>
      </ns0:c>
      <ns0:c r="AM306" s="21" t="inlineStr">
        <ns0:is>
          <ns0:t>Not separately specified</ns0:t>
        </ns0:is>
      </ns0:c>
      <ns0:c r="AN306" s="21" t="inlineStr"/>
      <ns0:c r="AO306" s="21" t="inlineStr">
        <ns0:is>
          <ns0:t>No additional status determination</ns0:t>
        </ns0:is>
      </ns0:c>
      <ns0:c r="AP306" s="21" t="inlineStr">
        <ns0:is>
          <ns0:t>Not documented for this recharting</ns0:t>
        </ns0:is>
      </ns0:c>
      <ns0:c r="AQ306" s="21" t="inlineStr">
        <ns0:is>
          <ns0:t>ChatGPT-assisted evidence recharting, 2026-09-08</ns0:t>
        </ns0:is>
      </ns0:c>
      <ns0:c r="AR306" s="21" t="inlineStr">
        <ns0:is>
          <ns0:t>Revisión asistida por IA (un revisor; requiere verificación independiente)</ns0:t>
        </ns0:is>
      </ns0:c>
      <ns0:c r="AS306" s="21" t="inlineStr">
        <ns0:is>
          <ns0:t>Retrieved and reviewed</ns0:t>
        </ns0:is>
      </ns0:c>
    </ns0:row>
    <ns0:row r="307" ht="50" customHeight="1">
      <ns0:c r="A307" s="19" t="inlineStr">
        <ns0:is>
          <ns0:t>new_217</ns0:t>
        </ns0:is>
      </ns0:c>
      <ns0:c r="B307" s="19" t="inlineStr">
        <ns0:is>
          <ns0:t>Update</ns0:t>
        </ns0:is>
      </ns0:c>
      <ns0:c r="C307" s="19" t="inlineStr">
        <ns0:is>
          <ns0:t>Predicting brain age in children aged 2–6 years with autism spectrum disorders using routine T1- and T2-weighted magnetic resonance imaging</ns0:t>
        </ns0:is>
      </ns0:c>
      <ns0:c r="D307" s="19" t="inlineStr">
        <ns0:is>
          <ns0:t>10.1002/ped4.70064</ns0:t>
        </ns0:is>
      </ns0:c>
      <ns0:c r="E307" s="26" t="n">
        <ns0:v>2026</ns0:v>
      </ns0:c>
      <ns0:c r="F307" s="19" t="inlineStr">
        <ns0:is>
          <ns0:t>Include</ns0:t>
        </ns0:is>
      </ns0:c>
      <ns0:c r="G307" s="27">
        <ns0:f>IF(F307="Include",1,0)</ns0:f>
        <ns0:v>1</ns0:v>
      </ns0:c>
      <ns0:c r="H307" s="19" t="inlineStr">
        <ns0:is>
          <ns0:t>Not specified</ns0:t>
        </ns0:is>
      </ns0:c>
      <ns0:c r="I307" s="19" t="inlineStr">
        <ns0:is>
          <ns0:t>Machine Learning</ns0:t>
        </ns0:is>
      </ns0:c>
      <ns0:c r="J307" s="19" t="inlineStr">
        <ns0:is>
          <ns0:t>Neuroimaging</ns0:t>
        </ns0:is>
      </ns0:c>
      <ns0:c r="K307" s="19" t="inlineStr">
        <ns0:is>
          <ns0:t>Ridge regression</ns0:t>
        </ns0:is>
      </ns0:c>
      <ns0:c r="L307" s="19" t="inlineStr">
        <ns0:is>
          <ns0:t>Other specified method</ns0:t>
        </ns0:is>
      </ns0:c>
      <ns0:c r="M307" s="19" t="inlineStr">
        <ns0:is>
          <ns0:t>Research only</ns0:t>
        </ns0:is>
      </ns0:c>
      <ns0:c r="N307" s="19" t="inlineStr">
        <ns0:is>
          <ns0:t>Research characterization</ns0:t>
        </ns0:is>
      </ns0:c>
      <ns0:c r="O307" s="19" t="inlineStr">
        <ns0:is>
          <ns0:t>Not observed in assessed sources</ns0:t>
        </ns0:is>
      </ns0:c>
      <ns0:c r="P307" s="19" t="inlineStr">
        <ns0:is>
          <ns0:t>Not observed in assessed sources</ns0:t>
        </ns0:is>
      </ns0:c>
      <ns0:c r="Q307" s="19" t="inlineStr">
        <ns0:is>
          <ns0:t>Not ascertainable</ns0:t>
        </ns0:is>
      </ns0:c>
      <ns0:c r="R307" s="19" t="inlineStr">
        <ns0:is>
          <ns0:t>Reported</ns0:t>
        </ns0:is>
      </ns0:c>
      <ns0:c r="S307" s="19" t="inlineStr">
        <ns0:is>
          <ns0:t>Not reported in assessed sources</ns0:t>
        </ns0:is>
      </ns0:c>
      <ns0:c r="T307" s="19" t="inlineStr">
        <ns0:is>
          <ns0:t>Not reported in assessed sources</ns0:t>
        </ns0:is>
      </ns0:c>
      <ns0:c r="U307" s="19" t="inlineStr">
        <ns0:is>
          <ns0:t>Not reported in assessed sources</ns0:t>
        </ns0:is>
      </ns0:c>
      <ns0:c r="V307" s="19" t="inlineStr">
        <ns0:is>
          <ns0:t>Not reported in assessed sources</ns0:t>
        </ns0:is>
      </ns0:c>
      <ns0:c r="W307" s="19" t="inlineStr">
        <ns0:is>
          <ns0:t>Reported</ns0:t>
        </ns0:is>
      </ns0:c>
      <ns0:c r="X307" s="19" t="inlineStr">
        <ns0:is>
          <ns0:t>Not reported in assessed sources</ns0:t>
        </ns0:is>
      </ns0:c>
      <ns0:c r="Y307" s="19" t="inlineStr">
        <ns0:is>
          <ns0:t>Not ascertainable</ns0:t>
        </ns0:is>
      </ns0:c>
      <ns0:c r="Z307" s="19" t="inlineStr">
        <ns0:is>
          <ns0:t>Not reported in assessed sources</ns0:t>
        </ns0:is>
      </ns0:c>
      <ns0:c r="AA307" s="19" t="inlineStr">
        <ns0:is>
          <ns0:t>Not recorded</ns0:t>
        </ns0:is>
      </ns0:c>
      <ns0:c r="AB307" s="26" t="n">
        <ns0:v>0</ns0:v>
      </ns0:c>
      <ns0:c r="AC307" s="26" t="n">
        <ns0:v>0</ns0:v>
      </ns0:c>
      <ns0:c r="AD307" s="27">
        <ns0:f>IF(AND(G307=1,AB307=0),1,0)</ns0:f>
        <ns0:v>1</ns0:v>
      </ns0:c>
      <ns0:c r="AE307" s="27">
        <ns0:f>IF(AND(AD307=1,AC307=0),1,0)</ns0:f>
        <ns0:v>1</ns0:v>
      </ns0:c>
      <ns0:c r="AF307" s="27">
        <ns0:f>IF(AND(G307=1,H307&lt;&gt;"Not specified"),1,0)</ns0:f>
        <ns0:v>0</ns0:v>
      </ns0:c>
      <ns0:c r="AG307" s="27">
        <ns0:f>IF(AND(AE307=1,AF307=1),1,0)</ns0:f>
        <ns0:v>0</ns0:v>
      </ns0:c>
      <ns0:c r="AH307" s="19" t="inlineStr">
        <ns0:is>
          <ns0:t>Supplied abstract/coding notes; no new full-text verification</ns0:t>
        </ns0:is>
      </ns0:c>
      <ns0:c r="AI307" s="19" t="inlineStr">
        <ns0:is>
          <ns0:t>https://doi.org/10.1002/ped4.70064</ns0:t>
        </ns0:is>
      </ns0:c>
      <ns0:c r="AJ307" s="19" t="inlineStr">
        <ns0:is>
          <ns0:t>EVIDENCIA; original abstract/coding notes and lot source trace; Inherited scoped adjudication; see source level and lot caveats</ns0:t>
        </ns0:is>
      </ns0:c>
      <ns0:c r="AK307" s="19" t="inlineStr">
        <ns0:is>
          <ns0:t>Predicts current brain age from T1/T2 MRI, not future clinical trajectory. Application to ASD participants does not itself establish external study-level validation.
Normative TDC-to-ASD application; independent acquisition cohort versus same-study held-out group unresolved</ns0:t>
        </ns0:is>
      </ns0:c>
      <ns0:c r="AL307" s="19" t="inlineStr">
        <ns0:is>
          <ns0:t>Not applicable</ns0:t>
        </ns0:is>
      </ns0:c>
      <ns0:c r="AM307" s="19" t="inlineStr">
        <ns0:is>
          <ns0:t>Not separately specified</ns0:t>
        </ns0:is>
      </ns0:c>
      <ns0:c r="AN307" s="19" t="inlineStr"/>
      <ns0:c r="AO307" s="19" t="inlineStr">
        <ns0:is>
          <ns0:t>No additional status determination</ns0:t>
        </ns0:is>
      </ns0:c>
      <ns0:c r="AP307" s="19" t="inlineStr">
        <ns0:is>
          <ns0:t>Not documented for this recharting</ns0:t>
        </ns0:is>
      </ns0:c>
      <ns0:c r="AQ307" s="19" t="inlineStr">
        <ns0:is>
          <ns0:t>ChatGPT-assisted evidence recharting, 2026-09-08</ns0:t>
        </ns0:is>
      </ns0:c>
      <ns0:c r="AR307" s="19" t="inlineStr">
        <ns0:is>
          <ns0:t>Revisión asistida por IA (un revisor; requiere verificación independiente)</ns0:t>
        </ns0:is>
      </ns0:c>
      <ns0:c r="AS307" s="19" t="inlineStr">
        <ns0:is>
          <ns0:t>Retrieved and reviewed</ns0:t>
        </ns0:is>
      </ns0:c>
    </ns0:row>
    <ns0:row r="308" ht="50" customHeight="1">
      <ns0:c r="A308" s="21" t="inlineStr">
        <ns0:is>
          <ns0:t>new_228</ns0:t>
        </ns0:is>
      </ns0:c>
      <ns0:c r="B308" s="21" t="inlineStr">
        <ns0:is>
          <ns0:t>Update</ns0:t>
        </ns0:is>
      </ns0:c>
      <ns0:c r="C308" s="21" t="inlineStr">
        <ns0:is>
          <ns0:t>Unveiling Diagnostic Biomarkers in Autism: A Comparative Proteome Analysis of CNTNAP2 Knockout Mice and Human ASD Patients</ns0:t>
        </ns0:is>
      </ns0:c>
      <ns0:c r="D308" s="21" t="inlineStr">
        <ns0:is>
          <ns0:t>10.3390/biom16030340</ns0:t>
        </ns0:is>
      </ns0:c>
      <ns0:c r="E308" s="28" t="n">
        <ns0:v>2026</ns0:v>
      </ns0:c>
      <ns0:c r="F308" s="21" t="inlineStr">
        <ns0:is>
          <ns0:t>Include</ns0:t>
        </ns0:is>
      </ns0:c>
      <ns0:c r="G308" s="29">
        <ns0:f>IF(F308="Include",1,0)</ns0:f>
        <ns0:v>1</ns0:v>
      </ns0:c>
      <ns0:c r="H308" s="21" t="inlineStr">
        <ns0:is>
          <ns0:t>Diagnosis</ns0:t>
        </ns0:is>
      </ns0:c>
      <ns0:c r="I308" s="21" t="inlineStr">
        <ns0:is>
          <ns0:t>Machine Learning</ns0:t>
        </ns0:is>
      </ns0:c>
      <ns0:c r="J308" s="21" t="inlineStr">
        <ns0:is>
          <ns0:t>Biological/omics</ns0:t>
        </ns0:is>
      </ns0:c>
      <ns0:c r="K308" s="21" t="inlineStr">
        <ns0:is>
          <ns0:t>Gradient boosting</ns0:t>
        </ns0:is>
      </ns0:c>
      <ns0:c r="L308" s="21" t="inlineStr">
        <ns0:is>
          <ns0:t>Gradient boosting</ns0:t>
        </ns0:is>
      </ns0:c>
      <ns0:c r="M308" s="21" t="inlineStr">
        <ns0:is>
          <ns0:t>Research only</ns0:t>
        </ns0:is>
      </ns0:c>
      <ns0:c r="N308" s="21" t="inlineStr">
        <ns0:is>
          <ns0:t>Automated measurement/classification</ns0:t>
        </ns0:is>
      </ns0:c>
      <ns0:c r="O308" s="21" t="inlineStr">
        <ns0:is>
          <ns0:t>Not observed in assessed sources</ns0:t>
        </ns0:is>
      </ns0:c>
      <ns0:c r="P308" s="21" t="inlineStr">
        <ns0:is>
          <ns0:t>Not observed in assessed sources</ns0:t>
        </ns0:is>
      </ns0:c>
      <ns0:c r="Q308" s="21" t="inlineStr">
        <ns0:is>
          <ns0:t>Not ascertainable</ns0:t>
        </ns0:is>
      </ns0:c>
      <ns0:c r="R308" s="21" t="inlineStr">
        <ns0:is>
          <ns0:t>Not ascertainable</ns0:t>
        </ns0:is>
      </ns0:c>
      <ns0:c r="S308" s="21" t="inlineStr">
        <ns0:is>
          <ns0:t>Reported</ns0:t>
        </ns0:is>
      </ns0:c>
      <ns0:c r="T308" s="21" t="inlineStr">
        <ns0:is>
          <ns0:t>Not reported in assessed sources</ns0:t>
        </ns0:is>
      </ns0:c>
      <ns0:c r="U308" s="21" t="inlineStr">
        <ns0:is>
          <ns0:t>Not reported in assessed sources</ns0:t>
        </ns0:is>
      </ns0:c>
      <ns0:c r="V308" s="21" t="inlineStr">
        <ns0:is>
          <ns0:t>Not reported in assessed sources</ns0:t>
        </ns0:is>
      </ns0:c>
      <ns0:c r="W308" s="21" t="inlineStr">
        <ns0:is>
          <ns0:t>Reported</ns0:t>
        </ns0:is>
      </ns0:c>
      <ns0:c r="X308" s="21" t="inlineStr">
        <ns0:is>
          <ns0:t>Not reported in assessed sources</ns0:t>
        </ns0:is>
      </ns0:c>
      <ns0:c r="Y308" s="21" t="inlineStr">
        <ns0:is>
          <ns0:t>Not ascertainable</ns0:t>
        </ns0:is>
      </ns0:c>
      <ns0:c r="Z308" s="21" t="inlineStr">
        <ns0:is>
          <ns0:t>Reported</ns0:t>
        </ns0:is>
      </ns0:c>
      <ns0:c r="AA308" s="21" t="inlineStr">
        <ns0:is>
          <ns0:t>Not recorded</ns0:t>
        </ns0:is>
      </ns0:c>
      <ns0:c r="AB308" s="28" t="n">
        <ns0:v>0</ns0:v>
      </ns0:c>
      <ns0:c r="AC308" s="28" t="n">
        <ns0:v>0</ns0:v>
      </ns0:c>
      <ns0:c r="AD308" s="29">
        <ns0:f>IF(AND(G308=1,AB308=0),1,0)</ns0:f>
        <ns0:v>1</ns0:v>
      </ns0:c>
      <ns0:c r="AE308" s="29">
        <ns0:f>IF(AND(AD308=1,AC308=0),1,0)</ns0:f>
        <ns0:v>1</ns0:v>
      </ns0:c>
      <ns0:c r="AF308" s="29">
        <ns0:f>IF(AND(G308=1,H308&lt;&gt;"Not specified"),1,0)</ns0:f>
        <ns0:v>1</ns0:v>
      </ns0:c>
      <ns0:c r="AG308" s="29">
        <ns0:f>IF(AND(AE308=1,AF308=1),1,0)</ns0:f>
        <ns0:v>1</ns0:v>
      </ns0:c>
      <ns0:c r="AH308" s="21" t="inlineStr">
        <ns0:is>
          <ns0:t>Supplied abstract/coding notes; no new full-text verification</ns0:t>
        </ns0:is>
      </ns0:c>
      <ns0:c r="AI308" s="21" t="inlineStr">
        <ns0:is>
          <ns0:t>https://doi.org/10.3390/biom16030340</ns0:t>
        </ns0:is>
      </ns0:c>
      <ns0:c r="AJ308" s="21" t="inlineStr">
        <ns0:is>
          <ns0:t>EVIDENCIA; original abstract/coding notes and lot source trace; Inherited scoped adjudication; see source level and lot caveats</ns0:t>
        </ns0:is>
      </ns0:c>
      <ns0:c r="AK308" s="21" t="inlineStr">
        <ns0:is>
          <ns0:t>Human serum proteomes are included alongside mouse proteomics, so not a mouse-only study. XGBoost biomarker classification reported.</ns0:t>
        </ns0:is>
      </ns0:c>
      <ns0:c r="AL308" s="21" t="inlineStr">
        <ns0:is>
          <ns0:t>Not applicable</ns0:t>
        </ns0:is>
      </ns0:c>
      <ns0:c r="AM308" s="21" t="inlineStr">
        <ns0:is>
          <ns0:t>Human serum biomarker classification with cross-species discovery</ns0:t>
        </ns0:is>
      </ns0:c>
      <ns0:c r="AN308" s="21" t="inlineStr"/>
      <ns0:c r="AO308" s="21" t="inlineStr">
        <ns0:is>
          <ns0:t>No additional status determination</ns0:t>
        </ns0:is>
      </ns0:c>
      <ns0:c r="AP308" s="21" t="inlineStr">
        <ns0:is>
          <ns0:t>Not documented for this recharting</ns0:t>
        </ns0:is>
      </ns0:c>
      <ns0:c r="AQ308" s="21" t="inlineStr">
        <ns0:is>
          <ns0:t>ChatGPT-assisted evidence recharting, 2026-09-08</ns0:t>
        </ns0:is>
      </ns0:c>
      <ns0:c r="AR308" s="21" t="inlineStr">
        <ns0:is>
          <ns0:t>Revisión asistida por IA (un revisor; requiere verificación independiente)</ns0:t>
        </ns0:is>
      </ns0:c>
      <ns0:c r="AS308" s="21" t="inlineStr">
        <ns0:is>
          <ns0:t>Retrieved and reviewed</ns0:t>
        </ns0:is>
      </ns0:c>
    </ns0:row>
    <ns0:row r="309" ht="50" customHeight="1">
      <ns0:c r="A309" s="19" t="inlineStr">
        <ns0:is>
          <ns0:t>new_237</ns0:t>
        </ns0:is>
      </ns0:c>
      <ns0:c r="B309" s="19" t="inlineStr">
        <ns0:is>
          <ns0:t>Update</ns0:t>
        </ns0:is>
      </ns0:c>
      <ns0:c r="C309" s="19" t="inlineStr">
        <ns0:is>
          <ns0:t>Late Fusion Model for Emotion Recognition from Facial Expressions and Biosignals in a Dataset of Children with Autism Spectrum Disorder</ns0:t>
        </ns0:is>
      </ns0:c>
      <ns0:c r="D309" s="19" t="inlineStr">
        <ns0:is>
          <ns0:t>10.3390/s25247485</ns0:t>
        </ns0:is>
      </ns0:c>
      <ns0:c r="E309" s="26" t="n">
        <ns0:v>2025</ns0:v>
      </ns0:c>
      <ns0:c r="F309" s="19" t="inlineStr">
        <ns0:is>
          <ns0:t>Include</ns0:t>
        </ns0:is>
      </ns0:c>
      <ns0:c r="G309" s="27">
        <ns0:f>IF(F309="Include",1,0)</ns0:f>
        <ns0:v>1</ns0:v>
      </ns0:c>
      <ns0:c r="H309" s="19" t="inlineStr">
        <ns0:is>
          <ns0:t>Monitoring/intervention</ns0:t>
        </ns0:is>
      </ns0:c>
      <ns0:c r="I309" s="19" t="inlineStr">
        <ns0:is>
          <ns0:t>Hybrid</ns0:t>
        </ns0:is>
      </ns0:c>
      <ns0:c r="J309" s="19" t="inlineStr">
        <ns0:is>
          <ns0:t>Multiple source categories</ns0:t>
        </ns0:is>
      </ns0:c>
      <ns0:c r="K309" s="19" t="inlineStr">
        <ns0:is>
          <ns0:t>Late-fusion ensemble</ns0:t>
        </ns0:is>
      </ns0:c>
      <ns0:c r="L309" s="19" t="inlineStr">
        <ns0:is>
          <ns0:t>Other specified method</ns0:t>
        </ns0:is>
      </ns0:c>
      <ns0:c r="M309" s="19" t="inlineStr">
        <ns0:is>
          <ns0:t>Research only</ns0:t>
        </ns0:is>
      </ns0:c>
      <ns0:c r="N309" s="19" t="inlineStr">
        <ns0:is>
          <ns0:t>Automated measurement/classification</ns0:t>
        </ns0:is>
      </ns0:c>
      <ns0:c r="O309" s="19" t="inlineStr">
        <ns0:is>
          <ns0:t>Not observed in assessed sources</ns0:t>
        </ns0:is>
      </ns0:c>
      <ns0:c r="P309" s="19" t="inlineStr">
        <ns0:is>
          <ns0:t>Not observed in assessed sources</ns0:t>
        </ns0:is>
      </ns0:c>
      <ns0:c r="Q309" s="19" t="inlineStr">
        <ns0:is>
          <ns0:t>Not reported in assessed sources</ns0:t>
        </ns0:is>
      </ns0:c>
      <ns0:c r="R309" s="19" t="inlineStr">
        <ns0:is>
          <ns0:t>Reported</ns0:t>
        </ns0:is>
      </ns0:c>
      <ns0:c r="S309" s="19" t="inlineStr">
        <ns0:is>
          <ns0:t>Not reported in assessed sources</ns0:t>
        </ns0:is>
      </ns0:c>
      <ns0:c r="T309" s="19" t="inlineStr">
        <ns0:is>
          <ns0:t>Not reported in assessed sources</ns0:t>
        </ns0:is>
      </ns0:c>
      <ns0:c r="U309" s="19" t="inlineStr">
        <ns0:is>
          <ns0:t>Not reported in assessed sources</ns0:t>
        </ns0:is>
      </ns0:c>
      <ns0:c r="V309" s="19" t="inlineStr">
        <ns0:is>
          <ns0:t>Not reported in assessed sources</ns0:t>
        </ns0:is>
      </ns0:c>
      <ns0:c r="W309" s="19" t="inlineStr">
        <ns0:is>
          <ns0:t>Reported</ns0:t>
        </ns0:is>
      </ns0:c>
      <ns0:c r="X309" s="19" t="inlineStr">
        <ns0:is>
          <ns0:t>Not reported in assessed sources</ns0:t>
        </ns0:is>
      </ns0:c>
      <ns0:c r="Y309" s="19" t="inlineStr">
        <ns0:is>
          <ns0:t>Not ascertainable</ns0:t>
        </ns0:is>
      </ns0:c>
      <ns0:c r="Z309" s="19" t="inlineStr">
        <ns0:is>
          <ns0:t>Not reported in assessed sources</ns0:t>
        </ns0:is>
      </ns0:c>
      <ns0:c r="AA309" s="19" t="inlineStr">
        <ns0:is>
          <ns0:t>Not recorded</ns0:t>
        </ns0:is>
      </ns0:c>
      <ns0:c r="AB309" s="26" t="n">
        <ns0:v>0</ns0:v>
      </ns0:c>
      <ns0:c r="AC309" s="26" t="n">
        <ns0:v>0</ns0:v>
      </ns0:c>
      <ns0:c r="AD309" s="27">
        <ns0:f>IF(AND(G309=1,AB309=0),1,0)</ns0:f>
        <ns0:v>1</ns0:v>
      </ns0:c>
      <ns0:c r="AE309" s="27">
        <ns0:f>IF(AND(AD309=1,AC309=0),1,0)</ns0:f>
        <ns0:v>1</ns0:v>
      </ns0:c>
      <ns0:c r="AF309" s="27">
        <ns0:f>IF(AND(G309=1,H309&lt;&gt;"Not specified"),1,0)</ns0:f>
        <ns0:v>1</ns0:v>
      </ns0:c>
      <ns0:c r="AG309" s="27">
        <ns0:f>IF(AND(AE309=1,AF309=1),1,0)</ns0:f>
        <ns0:v>1</ns0:v>
      </ns0:c>
      <ns0:c r="AH309" s="19" t="inlineStr">
        <ns0:is>
          <ns0:t>Supplied abstract/coding notes; no new full-text verification</ns0:t>
        </ns0:is>
      </ns0:c>
      <ns0:c r="AI309" s="19" t="inlineStr">
        <ns0:is>
          <ns0:t>https://doi.org/10.3390/s25247485</ns0:t>
        </ns0:is>
      </ns0:c>
      <ns0:c r="AJ309" s="19" t="inlineStr">
        <ns0:is>
          <ns0:t>EVIDENCIA; original abstract/coding notes and lot source trace; Inherited scoped adjudication; see source level and lot caveats</ns0:t>
        </ns0:is>
      </ns0:c>
      <ns0:c r="AK309" s="19" t="inlineStr">
        <ns0:is>
          <ns0:t>Explicit fusion of facial expression and EDA/temperature/heart rate on EMBOA recordings, not demonstrated robot-feedback deployment.</ns0:t>
        </ns0:is>
      </ns0:c>
      <ns0:c r="AL309" s="19" t="inlineStr">
        <ns0:is>
          <ns0:t>Not applicable</ns0:t>
        </ns0:is>
      </ns0:c>
      <ns0:c r="AM309" s="19" t="inlineStr">
        <ns0:is>
          <ns0:t>Not separately specified</ns0:t>
        </ns0:is>
      </ns0:c>
      <ns0:c r="AN309" s="19" t="inlineStr"/>
      <ns0:c r="AO309" s="19" t="inlineStr">
        <ns0:is>
          <ns0:t>No additional status determination</ns0:t>
        </ns0:is>
      </ns0:c>
      <ns0:c r="AP309" s="19" t="inlineStr">
        <ns0:is>
          <ns0:t>Not documented for this recharting</ns0:t>
        </ns0:is>
      </ns0:c>
      <ns0:c r="AQ309" s="19" t="inlineStr">
        <ns0:is>
          <ns0:t>ChatGPT-assisted evidence recharting, 2026-09-08</ns0:t>
        </ns0:is>
      </ns0:c>
      <ns0:c r="AR309" s="19" t="inlineStr">
        <ns0:is>
          <ns0:t>Revisión asistida por IA (un revisor; requiere verificación independiente)</ns0:t>
        </ns0:is>
      </ns0:c>
      <ns0:c r="AS309" s="19" t="inlineStr">
        <ns0:is>
          <ns0:t>Retrieved and reviewed</ns0:t>
        </ns0:is>
      </ns0:c>
    </ns0:row>
    <ns0:row r="310" ht="50" customHeight="1">
      <ns0:c r="A310" s="21" t="inlineStr">
        <ns0:is>
          <ns0:t>new_247</ns0:t>
        </ns0:is>
      </ns0:c>
      <ns0:c r="B310" s="21" t="inlineStr">
        <ns0:is>
          <ns0:t>Update</ns0:t>
        </ns0:is>
      </ns0:c>
      <ns0:c r="C310" s="21" t="inlineStr">
        <ns0:is>
          <ns0:t>New intelligent music therapy method for applications of enhancing social skills of autism children based on TL-GCN and deep learning</ns0:t>
        </ns0:is>
      </ns0:c>
      <ns0:c r="D310" s="21" t="inlineStr">
        <ns0:is>
          <ns0:t>10.1038/s41598-025-26307-3</ns0:t>
        </ns0:is>
      </ns0:c>
      <ns0:c r="E310" s="28" t="n">
        <ns0:v>2025</ns0:v>
      </ns0:c>
      <ns0:c r="F310" s="21" t="inlineStr">
        <ns0:is>
          <ns0:t>Include</ns0:t>
        </ns0:is>
      </ns0:c>
      <ns0:c r="G310" s="29">
        <ns0:f>IF(F310="Include",1,0)</ns0:f>
        <ns0:v>1</ns0:v>
      </ns0:c>
      <ns0:c r="H310" s="21" t="inlineStr">
        <ns0:is>
          <ns0:t>Monitoring/intervention</ns0:t>
        </ns0:is>
      </ns0:c>
      <ns0:c r="I310" s="21" t="inlineStr">
        <ns0:is>
          <ns0:t>Deep Learning</ns0:t>
        </ns0:is>
      </ns0:c>
      <ns0:c r="J310" s="21" t="inlineStr">
        <ns0:is>
          <ns0:t>Behavioral images/video/gaze/movement</ns0:t>
        </ns0:is>
      </ns0:c>
      <ns0:c r="K310" s="21" t="inlineStr">
        <ns0:is>
          <ns0:t>Transformer + graph neural network</ns0:t>
        </ns0:is>
      </ns0:c>
      <ns0:c r="L310" s="21" t="inlineStr">
        <ns0:is>
          <ns0:t>Composite/ensemble pipeline</ns0:t>
        </ns0:is>
      </ns0:c>
      <ns0:c r="M310" s="21" t="inlineStr">
        <ns0:is>
          <ns0:t>Evaluated AI-supported intervention</ns0:t>
        </ns0:is>
      </ns0:c>
      <ns0:c r="N310" s="21" t="inlineStr">
        <ns0:is>
          <ns0:t>Adaptive intervention</ns0:t>
        </ns0:is>
      </ns0:c>
      <ns0:c r="O310" s="21" t="inlineStr">
        <ns0:is>
          <ns0:t>Post-decision</ns0:t>
        </ns0:is>
      </ns0:c>
      <ns0:c r="P310" s="21" t="inlineStr">
        <ns0:is>
          <ns0:t>Post-decision</ns0:t>
        </ns0:is>
      </ns0:c>
      <ns0:c r="Q310" s="21" t="inlineStr">
        <ns0:is>
          <ns0:t>Not reported in assessed sources</ns0:t>
        </ns0:is>
      </ns0:c>
      <ns0:c r="R310" s="21" t="inlineStr">
        <ns0:is>
          <ns0:t>Not reported in assessed sources</ns0:t>
        </ns0:is>
      </ns0:c>
      <ns0:c r="S310" s="21" t="inlineStr">
        <ns0:is>
          <ns0:t>Not reported in assessed sources</ns0:t>
        </ns0:is>
      </ns0:c>
      <ns0:c r="T310" s="21" t="inlineStr">
        <ns0:is>
          <ns0:t>Not reported in assessed sources</ns0:t>
        </ns0:is>
      </ns0:c>
      <ns0:c r="U310" s="21" t="inlineStr">
        <ns0:is>
          <ns0:t>Not reported in assessed sources</ns0:t>
        </ns0:is>
      </ns0:c>
      <ns0:c r="V310" s="21" t="inlineStr">
        <ns0:is>
          <ns0:t>Not reported in assessed sources</ns0:t>
        </ns0:is>
      </ns0:c>
      <ns0:c r="W310" s="21" t="inlineStr">
        <ns0:is>
          <ns0:t>Not reported in assessed sources</ns0:t>
        </ns0:is>
      </ns0:c>
      <ns0:c r="X310" s="21" t="inlineStr">
        <ns0:is>
          <ns0:t>Reported</ns0:t>
        </ns0:is>
      </ns0:c>
      <ns0:c r="Y310" s="21" t="inlineStr">
        <ns0:is>
          <ns0:t>Not ascertainable</ns0:t>
        </ns0:is>
      </ns0:c>
      <ns0:c r="Z310" s="21" t="inlineStr">
        <ns0:is>
          <ns0:t>Not reported in assessed sources</ns0:t>
        </ns0:is>
      </ns0:c>
      <ns0:c r="AA310" s="21" t="inlineStr">
        <ns0:is>
          <ns0:t>Not recorded</ns0:t>
        </ns0:is>
      </ns0:c>
      <ns0:c r="AB310" s="28" t="n">
        <ns0:v>0</ns0:v>
      </ns0:c>
      <ns0:c r="AC310" s="28" t="n">
        <ns0:v>0</ns0:v>
      </ns0:c>
      <ns0:c r="AD310" s="29">
        <ns0:f>IF(AND(G310=1,AB310=0),1,0)</ns0:f>
        <ns0:v>1</ns0:v>
      </ns0:c>
      <ns0:c r="AE310" s="29">
        <ns0:f>IF(AND(AD310=1,AC310=0),1,0)</ns0:f>
        <ns0:v>1</ns0:v>
      </ns0:c>
      <ns0:c r="AF310" s="29">
        <ns0:f>IF(AND(G310=1,H310&lt;&gt;"Not specified"),1,0)</ns0:f>
        <ns0:v>1</ns0:v>
      </ns0:c>
      <ns0:c r="AG310" s="29">
        <ns0:f>IF(AND(AE310=1,AF310=1),1,0)</ns0:f>
        <ns0:v>1</ns0:v>
      </ns0:c>
      <ns0:c r="AH310" s="21" t="inlineStr">
        <ns0:is>
          <ns0:t>Supplied abstract/coding notes; no new full-text verification</ns0:t>
        </ns0:is>
      </ns0:c>
      <ns0:c r="AI310" s="21" t="inlineStr">
        <ns0:is>
          <ns0:t>https://doi.org/10.1038/s41598-025-26307-3</ns0:t>
        </ns0:is>
      </ns0:c>
      <ns0:c r="AJ310" s="21" t="inlineStr">
        <ns0:is>
          <ns0:t>EVIDENCIA; original abstract/coding notes and lot source trace; Inherited scoped adjudication; see source level and lot caveats</ns0:t>
        </ns0:is>
      </ns0:c>
      <ns0:c r="AK310" s="21" t="inlineStr">
        <ns0:is>
          <ns0:t>Emotion-video model linked to music therapy with reported pre/post evaluation in 182 families. Questionnaire outcomes are not additional AI inputs.
Reported uncontrolled pre/post study; it does not establish causal efficacy or external diagnostic validation.</ns0:t>
        </ns0:is>
      </ns0:c>
      <ns0:c r="AL310" s="21" t="inlineStr">
        <ns0:is>
          <ns0:t>Not applicable</ns0:t>
        </ns0:is>
      </ns0:c>
      <ns0:c r="AM310" s="21" t="inlineStr">
        <ns0:is>
          <ns0:t>Not separately specified</ns0:t>
        </ns0:is>
      </ns0:c>
      <ns0:c r="AN310" s="21" t="inlineStr"/>
      <ns0:c r="AO310" s="21" t="inlineStr">
        <ns0:is>
          <ns0:t>No additional status determination</ns0:t>
        </ns0:is>
      </ns0:c>
      <ns0:c r="AP310" s="21" t="inlineStr">
        <ns0:is>
          <ns0:t>Not documented for this recharting</ns0:t>
        </ns0:is>
      </ns0:c>
      <ns0:c r="AQ310" s="21" t="inlineStr">
        <ns0:is>
          <ns0:t>ChatGPT-assisted evidence recharting, 2026-09-08</ns0:t>
        </ns0:is>
      </ns0:c>
      <ns0:c r="AR310" s="21" t="inlineStr">
        <ns0:is>
          <ns0:t>Revisión asistida por IA (un revisor; requiere verificación independiente)</ns0:t>
        </ns0:is>
      </ns0:c>
      <ns0:c r="AS310" s="21" t="inlineStr">
        <ns0:is>
          <ns0:t>Retrieved and reviewed</ns0:t>
        </ns0:is>
      </ns0:c>
    </ns0:row>
    <ns0:row r="311" ht="50" customHeight="1">
      <ns0:c r="A311" s="19" t="inlineStr">
        <ns0:is>
          <ns0:t>new_257</ns0:t>
        </ns0:is>
      </ns0:c>
      <ns0:c r="B311" s="19" t="inlineStr">
        <ns0:is>
          <ns0:t>Update</ns0:t>
        </ns0:is>
      </ns0:c>
      <ns0:c r="C311" s="19" t="inlineStr">
        <ns0:is>
          <ns0:t>The Use of the Social Robot LOVOT for Children with Autism Spectrum Disorder: A Feasibility Study</ns0:t>
        </ns0:is>
      </ns0:c>
      <ns0:c r="D311" s="19" t="inlineStr">
        <ns0:is>
          <ns0:t>10.3233/shti251499</ns0:t>
        </ns0:is>
      </ns0:c>
      <ns0:c r="E311" s="26" t="n">
        <ns0:v>2025</ns0:v>
      </ns0:c>
      <ns0:c r="F311" s="19" t="inlineStr">
        <ns0:is>
          <ns0:t>Include</ns0:t>
        </ns0:is>
      </ns0:c>
      <ns0:c r="G311" s="27">
        <ns0:f>IF(F311="Include",1,0)</ns0:f>
        <ns0:v>1</ns0:v>
      </ns0:c>
      <ns0:c r="H311" s="19" t="inlineStr">
        <ns0:is>
          <ns0:t>Monitoring/intervention</ns0:t>
        </ns0:is>
      </ns0:c>
      <ns0:c r="I311" s="19" t="inlineStr">
        <ns0:is>
          <ns0:t>Not specified</ns0:t>
        </ns0:is>
      </ns0:c>
      <ns0:c r="J311" s="19" t="inlineStr">
        <ns0:is>
          <ns0:t>Other biomedical/digital data</ns0:t>
        </ns0:is>
      </ns0:c>
      <ns0:c r="K311" s="19" t="inlineStr">
        <ns0:is>
          <ns0:t>Proprietary robot AI; unspecified</ns0:t>
        </ns0:is>
      </ns0:c>
      <ns0:c r="L311" s="19" t="inlineStr">
        <ns0:is>
          <ns0:t>Multiple/not uniquely specified</ns0:t>
        </ns0:is>
      </ns0:c>
      <ns0:c r="M311" s="19" t="inlineStr">
        <ns0:is>
          <ns0:t>Evaluated AI-supported intervention</ns0:t>
        </ns0:is>
      </ns0:c>
      <ns0:c r="N311" s="19" t="inlineStr">
        <ns0:is>
          <ns0:t>Assistive support</ns0:t>
        </ns0:is>
      </ns0:c>
      <ns0:c r="O311" s="19" t="inlineStr">
        <ns0:is>
          <ns0:t>Post-decision</ns0:t>
        </ns0:is>
      </ns0:c>
      <ns0:c r="P311" s="19" t="inlineStr">
        <ns0:is>
          <ns0:t>Post-decision</ns0:t>
        </ns0:is>
      </ns0:c>
      <ns0:c r="Q311" s="19" t="inlineStr">
        <ns0:is>
          <ns0:t>Not reported in assessed sources</ns0:t>
        </ns0:is>
      </ns0:c>
      <ns0:c r="R311" s="19" t="inlineStr">
        <ns0:is>
          <ns0:t>Not reported in assessed sources</ns0:t>
        </ns0:is>
      </ns0:c>
      <ns0:c r="S311" s="19" t="inlineStr">
        <ns0:is>
          <ns0:t>Not reported in assessed sources</ns0:t>
        </ns0:is>
      </ns0:c>
      <ns0:c r="T311" s="19" t="inlineStr">
        <ns0:is>
          <ns0:t>Not reported in assessed sources</ns0:t>
        </ns0:is>
      </ns0:c>
      <ns0:c r="U311" s="19" t="inlineStr">
        <ns0:is>
          <ns0:t>Not reported in assessed sources</ns0:t>
        </ns0:is>
      </ns0:c>
      <ns0:c r="V311" s="19" t="inlineStr">
        <ns0:is>
          <ns0:t>Not reported in assessed sources</ns0:t>
        </ns0:is>
      </ns0:c>
      <ns0:c r="W311" s="19" t="inlineStr">
        <ns0:is>
          <ns0:t>Not reported in assessed sources</ns0:t>
        </ns0:is>
      </ns0:c>
      <ns0:c r="X311" s="19" t="inlineStr">
        <ns0:is>
          <ns0:t>Reported</ns0:t>
        </ns0:is>
      </ns0:c>
      <ns0:c r="Y311" s="19" t="inlineStr">
        <ns0:is>
          <ns0:t>Not ascertainable</ns0:t>
        </ns0:is>
      </ns0:c>
      <ns0:c r="Z311" s="19" t="inlineStr">
        <ns0:is>
          <ns0:t>Not reported in assessed sources</ns0:t>
        </ns0:is>
      </ns0:c>
      <ns0:c r="AA311" s="19" t="inlineStr">
        <ns0:is>
          <ns0:t>Not recorded</ns0:t>
        </ns0:is>
      </ns0:c>
      <ns0:c r="AB311" s="26" t="n">
        <ns0:v>0</ns0:v>
      </ns0:c>
      <ns0:c r="AC311" s="26" t="n">
        <ns0:v>0</ns0:v>
      </ns0:c>
      <ns0:c r="AD311" s="27">
        <ns0:f>IF(AND(G311=1,AB311=0),1,0)</ns0:f>
        <ns0:v>1</ns0:v>
      </ns0:c>
      <ns0:c r="AE311" s="27">
        <ns0:f>IF(AND(AD311=1,AC311=0),1,0)</ns0:f>
        <ns0:v>1</ns0:v>
      </ns0:c>
      <ns0:c r="AF311" s="27">
        <ns0:f>IF(AND(G311=1,H311&lt;&gt;"Not specified"),1,0)</ns0:f>
        <ns0:v>1</ns0:v>
      </ns0:c>
      <ns0:c r="AG311" s="27">
        <ns0:f>IF(AND(AE311=1,AF311=1),1,0)</ns0:f>
        <ns0:v>1</ns0:v>
      </ns0:c>
      <ns0:c r="AH311" s="19" t="inlineStr">
        <ns0:is>
          <ns0:t>Supplied abstract/coding notes; no new full-text verification</ns0:t>
        </ns0:is>
      </ns0:c>
      <ns0:c r="AI311" s="19" t="inlineStr">
        <ns0:is>
          <ns0:t>https://doi.org/10.3233/shti251499</ns0:t>
        </ns0:is>
      </ns0:c>
      <ns0:c r="AJ311" s="19" t="inlineStr">
        <ns0:is>
          <ns0:t>EVIDENCIA; original abstract/coding notes and lot source trace; Inherited scoped adjudication; see source level and lot caveats</ns0:t>
        </ns0:is>
      </ns0:c>
      <ns0:c r="AK311" s="19" t="inlineStr">
        <ns0:is>
          <ns0:t>LOVOT interaction sessions tested in four ASD children; actual assistive use, but AI architecture and causal efficacy remain unspecified.</ns0:t>
        </ns0:is>
      </ns0:c>
      <ns0:c r="AL311" s="19" t="inlineStr">
        <ns0:is>
          <ns0:t>Not applicable</ns0:t>
        </ns0:is>
      </ns0:c>
      <ns0:c r="AM311" s="19" t="inlineStr">
        <ns0:is>
          <ns0:t>Not separately specified</ns0:t>
        </ns0:is>
      </ns0:c>
      <ns0:c r="AN311" s="19" t="inlineStr"/>
      <ns0:c r="AO311" s="19" t="inlineStr">
        <ns0:is>
          <ns0:t>No additional status determination</ns0:t>
        </ns0:is>
      </ns0:c>
      <ns0:c r="AP311" s="19" t="inlineStr">
        <ns0:is>
          <ns0:t>Not documented for this recharting</ns0:t>
        </ns0:is>
      </ns0:c>
      <ns0:c r="AQ311" s="19" t="inlineStr">
        <ns0:is>
          <ns0:t>ChatGPT-assisted evidence recharting, 2026-09-08</ns0:t>
        </ns0:is>
      </ns0:c>
      <ns0:c r="AR311" s="19" t="inlineStr">
        <ns0:is>
          <ns0:t>Revisión asistida por IA (un revisor; requiere verificación independiente)</ns0:t>
        </ns0:is>
      </ns0:c>
      <ns0:c r="AS311" s="19" t="inlineStr">
        <ns0:is>
          <ns0:t>Retrieved and reviewed</ns0:t>
        </ns0:is>
      </ns0:c>
    </ns0:row>
    <ns0:row r="312" ht="50" customHeight="1">
      <ns0:c r="A312" s="21" t="inlineStr">
        <ns0:is>
          <ns0:t>new_259</ns0:t>
        </ns0:is>
      </ns0:c>
      <ns0:c r="B312" s="21" t="inlineStr">
        <ns0:is>
          <ns0:t>Update</ns0:t>
        </ns0:is>
      </ns0:c>
      <ns0:c r="C312" s="21" t="inlineStr">
        <ns0:is>
          <ns0:t>Data-Driven and Explainable Discovery of Autism Spectrum Disorder Patterns Across Age Groups</ns0:t>
        </ns0:is>
      </ns0:c>
      <ns0:c r="D312" s="21" t="inlineStr">
        <ns0:is>
          <ns0:t>10.1155/hbe2/1923339</ns0:t>
        </ns0:is>
      </ns0:c>
      <ns0:c r="E312" s="28" t="n">
        <ns0:v>2026</ns0:v>
      </ns0:c>
      <ns0:c r="F312" s="21" t="inlineStr">
        <ns0:is>
          <ns0:t>Include</ns0:t>
        </ns0:is>
      </ns0:c>
      <ns0:c r="G312" s="29">
        <ns0:f>IF(F312="Include",1,0)</ns0:f>
        <ns0:v>1</ns0:v>
      </ns0:c>
      <ns0:c r="H312" s="21" t="inlineStr">
        <ns0:is>
          <ns0:t>Screening</ns0:t>
        </ns0:is>
      </ns0:c>
      <ns0:c r="I312" s="21" t="inlineStr">
        <ns0:is>
          <ns0:t>Machine Learning</ns0:t>
        </ns0:is>
      </ns0:c>
      <ns0:c r="J312" s="21" t="inlineStr">
        <ns0:is>
          <ns0:t>Structured clinical/questionnaire data</ns0:t>
        </ns0:is>
      </ns0:c>
      <ns0:c r="K312" s="21" t="inlineStr">
        <ns0:is>
          <ns0:t>Decision tree</ns0:t>
        </ns0:is>
      </ns0:c>
      <ns0:c r="L312" s="21" t="inlineStr">
        <ns0:is>
          <ns0:t>Decision tree/rules</ns0:t>
        </ns0:is>
      </ns0:c>
      <ns0:c r="M312" s="21" t="inlineStr">
        <ns0:is>
          <ns0:t>Research only</ns0:t>
        </ns0:is>
      </ns0:c>
      <ns0:c r="N312" s="21" t="inlineStr">
        <ns0:is>
          <ns0:t>Automated measurement/classification</ns0:t>
        </ns0:is>
      </ns0:c>
      <ns0:c r="O312" s="21" t="inlineStr">
        <ns0:is>
          <ns0:t>Not observed in assessed sources</ns0:t>
        </ns0:is>
      </ns0:c>
      <ns0:c r="P312" s="21" t="inlineStr">
        <ns0:is>
          <ns0:t>Not observed in assessed sources</ns0:t>
        </ns0:is>
      </ns0:c>
      <ns0:c r="Q312" s="21" t="inlineStr">
        <ns0:is>
          <ns0:t>Not reported in assessed sources</ns0:t>
        </ns0:is>
      </ns0:c>
      <ns0:c r="R312" s="21" t="inlineStr">
        <ns0:is>
          <ns0:t>Not reported in assessed sources</ns0:t>
        </ns0:is>
      </ns0:c>
      <ns0:c r="S312" s="21" t="inlineStr">
        <ns0:is>
          <ns0:t>Reported</ns0:t>
        </ns0:is>
      </ns0:c>
      <ns0:c r="T312" s="21" t="inlineStr">
        <ns0:is>
          <ns0:t>Not reported in assessed sources</ns0:t>
        </ns0:is>
      </ns0:c>
      <ns0:c r="U312" s="21" t="inlineStr">
        <ns0:is>
          <ns0:t>Not reported in assessed sources</ns0:t>
        </ns0:is>
      </ns0:c>
      <ns0:c r="V312" s="21" t="inlineStr">
        <ns0:is>
          <ns0:t>Not reported in assessed sources</ns0:t>
        </ns0:is>
      </ns0:c>
      <ns0:c r="W312" s="21" t="inlineStr">
        <ns0:is>
          <ns0:t>Not reported in assessed sources</ns0:t>
        </ns0:is>
      </ns0:c>
      <ns0:c r="X312" s="21" t="inlineStr">
        <ns0:is>
          <ns0:t>Not reported in assessed sources</ns0:t>
        </ns0:is>
      </ns0:c>
      <ns0:c r="Y312" s="21" t="inlineStr">
        <ns0:is>
          <ns0:t>Not ascertainable</ns0:t>
        </ns0:is>
      </ns0:c>
      <ns0:c r="Z312" s="21" t="inlineStr">
        <ns0:is>
          <ns0:t>Reported</ns0:t>
        </ns0:is>
      </ns0:c>
      <ns0:c r="AA312" s="21" t="inlineStr">
        <ns0:is>
          <ns0:t>Not recorded</ns0:t>
        </ns0:is>
      </ns0:c>
      <ns0:c r="AB312" s="28" t="n">
        <ns0:v>0</ns0:v>
      </ns0:c>
      <ns0:c r="AC312" s="28" t="n">
        <ns0:v>0</ns0:v>
      </ns0:c>
      <ns0:c r="AD312" s="29">
        <ns0:f>IF(AND(G312=1,AB312=0),1,0)</ns0:f>
        <ns0:v>1</ns0:v>
      </ns0:c>
      <ns0:c r="AE312" s="29">
        <ns0:f>IF(AND(AD312=1,AC312=0),1,0)</ns0:f>
        <ns0:v>1</ns0:v>
      </ns0:c>
      <ns0:c r="AF312" s="29">
        <ns0:f>IF(AND(G312=1,H312&lt;&gt;"Not specified"),1,0)</ns0:f>
        <ns0:v>1</ns0:v>
      </ns0:c>
      <ns0:c r="AG312" s="29">
        <ns0:f>IF(AND(AE312=1,AF312=1),1,0)</ns0:f>
        <ns0:v>1</ns0:v>
      </ns0:c>
      <ns0:c r="AH312" s="21" t="inlineStr">
        <ns0:is>
          <ns0:t>Supplied abstract/coding notes; no new full-text verification</ns0:t>
        </ns0:is>
      </ns0:c>
      <ns0:c r="AI312" s="21" t="inlineStr">
        <ns0:is>
          <ns0:t>https://doi.org/10.1155/hbe2/1923339</ns0:t>
        </ns0:is>
      </ns0:c>
      <ns0:c r="AJ312" s="21" t="inlineStr">
        <ns0:is>
          <ns0:t>EVIDENCIA; original abstract/coding notes and lot source trace; Inherited scoped adjudication; see source level and lot caveats</ns0:t>
        </ns0:is>
      </ns0:c>
      <ns0:c r="AK312" s="21" t="inlineStr">
        <ns0:is>
          <ns0:t>Interpretable C4.5 screening-pattern analysis across age datasets; no workflow evaluation.</ns0:t>
        </ns0:is>
      </ns0:c>
      <ns0:c r="AL312" s="21" t="inlineStr">
        <ns0:is>
          <ns0:t>Not applicable</ns0:t>
        </ns0:is>
      </ns0:c>
      <ns0:c r="AM312" s="21" t="inlineStr">
        <ns0:is>
          <ns0:t>Not separately specified</ns0:t>
        </ns0:is>
      </ns0:c>
      <ns0:c r="AN312" s="21" t="inlineStr"/>
      <ns0:c r="AO312" s="21" t="inlineStr">
        <ns0:is>
          <ns0:t>No additional status determination</ns0:t>
        </ns0:is>
      </ns0:c>
      <ns0:c r="AP312" s="21" t="inlineStr">
        <ns0:is>
          <ns0:t>Not documented for this recharting</ns0:t>
        </ns0:is>
      </ns0:c>
      <ns0:c r="AQ312" s="21" t="inlineStr">
        <ns0:is>
          <ns0:t>ChatGPT-assisted evidence recharting, 2026-09-08</ns0:t>
        </ns0:is>
      </ns0:c>
      <ns0:c r="AR312" s="21" t="inlineStr">
        <ns0:is>
          <ns0:t>Revisión asistida por IA (un revisor; requiere verificación independiente)</ns0:t>
        </ns0:is>
      </ns0:c>
      <ns0:c r="AS312" s="21" t="inlineStr">
        <ns0:is>
          <ns0:t>Retrieved and reviewed</ns0:t>
        </ns0:is>
      </ns0:c>
    </ns0:row>
    <ns0:row r="313" ht="50" customHeight="1">
      <ns0:c r="A313" s="19" t="inlineStr">
        <ns0:is>
          <ns0:t>new_261</ns0:t>
        </ns0:is>
      </ns0:c>
      <ns0:c r="B313" s="19" t="inlineStr">
        <ns0:is>
          <ns0:t>Update</ns0:t>
        </ns0:is>
      </ns0:c>
      <ns0:c r="C313" s="19" t="inlineStr">
        <ns0:is>
          <ns0:t>Artificial Intelligence Networks Combining Histopathology and Machine Learning Can Extract Axon Pathology in Autism Spectrum Disorder</ns0:t>
        </ns0:is>
      </ns0:c>
      <ns0:c r="D313" s="19" t="inlineStr">
        <ns0:is>
          <ns0:t>10.1002/aur.70135</ns0:t>
        </ns0:is>
      </ns0:c>
      <ns0:c r="E313" s="26" t="n">
        <ns0:v>2025</ns0:v>
      </ns0:c>
      <ns0:c r="F313" s="19" t="inlineStr">
        <ns0:is>
          <ns0:t>Include</ns0:t>
        </ns0:is>
      </ns0:c>
      <ns0:c r="G313" s="27">
        <ns0:f>IF(F313="Include",1,0)</ns0:f>
        <ns0:v>1</ns0:v>
      </ns0:c>
      <ns0:c r="H313" s="19" t="inlineStr">
        <ns0:is>
          <ns0:t>Not specified</ns0:t>
        </ns0:is>
      </ns0:c>
      <ns0:c r="I313" s="19" t="inlineStr">
        <ns0:is>
          <ns0:t>Deep Learning</ns0:t>
        </ns0:is>
      </ns0:c>
      <ns0:c r="J313" s="19" t="inlineStr">
        <ns0:is>
          <ns0:t>Other biomedical/digital data</ns0:t>
        </ns0:is>
      </ns0:c>
      <ns0:c r="K313" s="19" t="inlineStr">
        <ns0:is>
          <ns0:t>CNN</ns0:t>
        </ns0:is>
      </ns0:c>
      <ns0:c r="L313" s="19" t="inlineStr">
        <ns0:is>
          <ns0:t>CNN</ns0:t>
        </ns0:is>
      </ns0:c>
      <ns0:c r="M313" s="19" t="inlineStr">
        <ns0:is>
          <ns0:t>Research only</ns0:t>
        </ns0:is>
      </ns0:c>
      <ns0:c r="N313" s="19" t="inlineStr">
        <ns0:is>
          <ns0:t>Automated measurement/classification</ns0:t>
        </ns0:is>
      </ns0:c>
      <ns0:c r="O313" s="19" t="inlineStr">
        <ns0:is>
          <ns0:t>Not observed in assessed sources</ns0:t>
        </ns0:is>
      </ns0:c>
      <ns0:c r="P313" s="19" t="inlineStr">
        <ns0:is>
          <ns0:t>Not observed in assessed sources</ns0:t>
        </ns0:is>
      </ns0:c>
      <ns0:c r="Q313" s="19" t="inlineStr">
        <ns0:is>
          <ns0:t>Not reported in assessed sources</ns0:t>
        </ns0:is>
      </ns0:c>
      <ns0:c r="R313" s="19" t="inlineStr">
        <ns0:is>
          <ns0:t>Not reported in assessed sources</ns0:t>
        </ns0:is>
      </ns0:c>
      <ns0:c r="S313" s="19" t="inlineStr">
        <ns0:is>
          <ns0:t>Reported</ns0:t>
        </ns0:is>
      </ns0:c>
      <ns0:c r="T313" s="19" t="inlineStr">
        <ns0:is>
          <ns0:t>Reported</ns0:t>
        </ns0:is>
      </ns0:c>
      <ns0:c r="U313" s="19" t="inlineStr">
        <ns0:is>
          <ns0:t>Not reported in assessed sources</ns0:t>
        </ns0:is>
      </ns0:c>
      <ns0:c r="V313" s="19" t="inlineStr">
        <ns0:is>
          <ns0:t>Not reported in assessed sources</ns0:t>
        </ns0:is>
      </ns0:c>
      <ns0:c r="W313" s="19" t="inlineStr">
        <ns0:is>
          <ns0:t>Not reported in assessed sources</ns0:t>
        </ns0:is>
      </ns0:c>
      <ns0:c r="X313" s="19" t="inlineStr">
        <ns0:is>
          <ns0:t>Not reported in assessed sources</ns0:t>
        </ns0:is>
      </ns0:c>
      <ns0:c r="Y313" s="19" t="inlineStr">
        <ns0:is>
          <ns0:t>Not ascertainable</ns0:t>
        </ns0:is>
      </ns0:c>
      <ns0:c r="Z313" s="19" t="inlineStr">
        <ns0:is>
          <ns0:t>Not reported in assessed sources</ns0:t>
        </ns0:is>
      </ns0:c>
      <ns0:c r="AA313" s="19" t="inlineStr">
        <ns0:is>
          <ns0:t>Not recorded</ns0:t>
        </ns0:is>
      </ns0:c>
      <ns0:c r="AB313" s="26" t="n">
        <ns0:v>0</ns0:v>
      </ns0:c>
      <ns0:c r="AC313" s="26" t="n">
        <ns0:v>0</ns0:v>
      </ns0:c>
      <ns0:c r="AD313" s="27">
        <ns0:f>IF(AND(G313=1,AB313=0),1,0)</ns0:f>
        <ns0:v>1</ns0:v>
      </ns0:c>
      <ns0:c r="AE313" s="27">
        <ns0:f>IF(AND(AD313=1,AC313=0),1,0)</ns0:f>
        <ns0:v>1</ns0:v>
      </ns0:c>
      <ns0:c r="AF313" s="27">
        <ns0:f>IF(AND(G313=1,H313&lt;&gt;"Not specified"),1,0)</ns0:f>
        <ns0:v>0</ns0:v>
      </ns0:c>
      <ns0:c r="AG313" s="27">
        <ns0:f>IF(AND(AE313=1,AF313=1),1,0)</ns0:f>
        <ns0:v>0</ns0:v>
      </ns0:c>
      <ns0:c r="AH313" s="19" t="inlineStr">
        <ns0:is>
          <ns0:t>Supplied abstract/coding notes; no new full-text verification</ns0:t>
        </ns0:is>
      </ns0:c>
      <ns0:c r="AI313" s="19" t="inlineStr">
        <ns0:is>
          <ns0:t>https://doi.org/10.1002/aur.70135</ns0:t>
        </ns0:is>
      </ns0:c>
      <ns0:c r="AJ313" s="19" t="inlineStr">
        <ns0:is>
          <ns0:t>EVIDENCIA; original abstract/coding notes and lot source trace; Inherited scoped adjudication; see source level and lot caveats</ns0:t>
        </ns0:is>
      </ns0:c>
      <ns0:c r="AK313" s="19" t="inlineStr">
        <ns0:is>
          <ns0:t>Postmortem human histopathology image classification; tissue regions are not distinct acquired modalities.</ns0:t>
        </ns0:is>
      </ns0:c>
      <ns0:c r="AL313" s="19" t="inlineStr">
        <ns0:is>
          <ns0:t>Not applicable</ns0:t>
        </ns0:is>
      </ns0:c>
      <ns0:c r="AM313" s="19" t="inlineStr">
        <ns0:is>
          <ns0:t>Postmortem human tissue classification; not patient diagnosis</ns0:t>
        </ns0:is>
      </ns0:c>
      <ns0:c r="AN313" s="19" t="inlineStr"/>
      <ns0:c r="AO313" s="19" t="inlineStr">
        <ns0:is>
          <ns0:t>No additional status determination</ns0:t>
        </ns0:is>
      </ns0:c>
      <ns0:c r="AP313" s="19" t="inlineStr">
        <ns0:is>
          <ns0:t>Not documented for this recharting</ns0:t>
        </ns0:is>
      </ns0:c>
      <ns0:c r="AQ313" s="19" t="inlineStr">
        <ns0:is>
          <ns0:t>ChatGPT-assisted evidence recharting, 2026-09-08</ns0:t>
        </ns0:is>
      </ns0:c>
      <ns0:c r="AR313" s="19" t="inlineStr">
        <ns0:is>
          <ns0:t>Revisión asistida por IA (un revisor; requiere verificación independiente)</ns0:t>
        </ns0:is>
      </ns0:c>
      <ns0:c r="AS313" s="19" t="inlineStr">
        <ns0:is>
          <ns0:t>Retrieved and reviewed</ns0:t>
        </ns0:is>
      </ns0:c>
    </ns0:row>
    <ns0:row r="314" ht="50" customHeight="1">
      <ns0:c r="A314" s="21" t="inlineStr">
        <ns0:is>
          <ns0:t>new_262</ns0:t>
        </ns0:is>
      </ns0:c>
      <ns0:c r="B314" s="21" t="inlineStr">
        <ns0:is>
          <ns0:t>Update</ns0:t>
        </ns0:is>
      </ns0:c>
      <ns0:c r="C314" s="21" t="inlineStr">
        <ns0:is>
          <ns0:t>Profiling Chinese children with symptoms of SpLD, ADHD, or ASD: a transdiagnostic and biopsychosocial study</ns0:t>
        </ns0:is>
      </ns0:c>
      <ns0:c r="D314" s="21" t="inlineStr">
        <ns0:is>
          <ns0:t>10.1186/s12888-025-07754-8</ns0:t>
        </ns0:is>
      </ns0:c>
      <ns0:c r="E314" s="28" t="n">
        <ns0:v>2026</ns0:v>
      </ns0:c>
      <ns0:c r="F314" s="21" t="inlineStr">
        <ns0:is>
          <ns0:t>Include</ns0:t>
        </ns0:is>
      </ns0:c>
      <ns0:c r="G314" s="29">
        <ns0:f>IF(F314="Include",1,0)</ns0:f>
        <ns0:v>1</ns0:v>
      </ns0:c>
      <ns0:c r="H314" s="21" t="inlineStr">
        <ns0:is>
          <ns0:t>Not specified</ns0:t>
        </ns0:is>
      </ns0:c>
      <ns0:c r="I314" s="21" t="inlineStr">
        <ns0:is>
          <ns0:t>Machine Learning</ns0:t>
        </ns0:is>
      </ns0:c>
      <ns0:c r="J314" s="21" t="inlineStr">
        <ns0:is>
          <ns0:t>Structured clinical/questionnaire data</ns0:t>
        </ns0:is>
      </ns0:c>
      <ns0:c r="K314" s="21" t="inlineStr">
        <ns0:is>
          <ns0:t>Clustering</ns0:t>
        </ns0:is>
      </ns0:c>
      <ns0:c r="L314" s="21" t="inlineStr">
        <ns0:is>
          <ns0:t>Clustering</ns0:t>
        </ns0:is>
      </ns0:c>
      <ns0:c r="M314" s="21" t="inlineStr">
        <ns0:is>
          <ns0:t>Research only</ns0:t>
        </ns0:is>
      </ns0:c>
      <ns0:c r="N314" s="21" t="inlineStr">
        <ns0:is>
          <ns0:t>Research characterization</ns0:t>
        </ns0:is>
      </ns0:c>
      <ns0:c r="O314" s="21" t="inlineStr">
        <ns0:is>
          <ns0:t>Not observed in assessed sources</ns0:t>
        </ns0:is>
      </ns0:c>
      <ns0:c r="P314" s="21" t="inlineStr">
        <ns0:is>
          <ns0:t>Not observed in assessed sources</ns0:t>
        </ns0:is>
      </ns0:c>
      <ns0:c r="Q314" s="21" t="inlineStr">
        <ns0:is>
          <ns0:t>Not reported in assessed sources</ns0:t>
        </ns0:is>
      </ns0:c>
      <ns0:c r="R314" s="21" t="inlineStr">
        <ns0:is>
          <ns0:t>Reported</ns0:t>
        </ns0:is>
      </ns0:c>
      <ns0:c r="S314" s="21" t="inlineStr">
        <ns0:is>
          <ns0:t>Reported</ns0:t>
        </ns0:is>
      </ns0:c>
      <ns0:c r="T314" s="21" t="inlineStr">
        <ns0:is>
          <ns0:t>Not reported in assessed sources</ns0:t>
        </ns0:is>
      </ns0:c>
      <ns0:c r="U314" s="21" t="inlineStr">
        <ns0:is>
          <ns0:t>Not reported in assessed sources</ns0:t>
        </ns0:is>
      </ns0:c>
      <ns0:c r="V314" s="21" t="inlineStr">
        <ns0:is>
          <ns0:t>Not reported in assessed sources</ns0:t>
        </ns0:is>
      </ns0:c>
      <ns0:c r="W314" s="21" t="inlineStr">
        <ns0:is>
          <ns0:t>Reported</ns0:t>
        </ns0:is>
      </ns0:c>
      <ns0:c r="X314" s="21" t="inlineStr">
        <ns0:is>
          <ns0:t>Not reported in assessed sources</ns0:t>
        </ns0:is>
      </ns0:c>
      <ns0:c r="Y314" s="21" t="inlineStr">
        <ns0:is>
          <ns0:t>Not ascertainable</ns0:t>
        </ns0:is>
      </ns0:c>
      <ns0:c r="Z314" s="21" t="inlineStr">
        <ns0:is>
          <ns0:t>Reported</ns0:t>
        </ns0:is>
      </ns0:c>
      <ns0:c r="AA314" s="21" t="inlineStr">
        <ns0:is>
          <ns0:t>Not recorded</ns0:t>
        </ns0:is>
      </ns0:c>
      <ns0:c r="AB314" s="28" t="n">
        <ns0:v>0</ns0:v>
      </ns0:c>
      <ns0:c r="AC314" s="28" t="n">
        <ns0:v>0</ns0:v>
      </ns0:c>
      <ns0:c r="AD314" s="29">
        <ns0:f>IF(AND(G314=1,AB314=0),1,0)</ns0:f>
        <ns0:v>1</ns0:v>
      </ns0:c>
      <ns0:c r="AE314" s="29">
        <ns0:f>IF(AND(AD314=1,AC314=0),1,0)</ns0:f>
        <ns0:v>1</ns0:v>
      </ns0:c>
      <ns0:c r="AF314" s="29">
        <ns0:f>IF(AND(G314=1,H314&lt;&gt;"Not specified"),1,0)</ns0:f>
        <ns0:v>0</ns0:v>
      </ns0:c>
      <ns0:c r="AG314" s="29">
        <ns0:f>IF(AND(AE314=1,AF314=1),1,0)</ns0:f>
        <ns0:v>0</ns0:v>
      </ns0:c>
      <ns0:c r="AH314" s="21" t="inlineStr">
        <ns0:is>
          <ns0:t>Supplied abstract/coding notes; no new full-text verification</ns0:t>
        </ns0:is>
      </ns0:c>
      <ns0:c r="AI314" s="21" t="inlineStr">
        <ns0:is>
          <ns0:t>https://doi.org/10.1186/s12888-025-07754-8</ns0:t>
        </ns0:is>
      </ns0:c>
      <ns0:c r="AJ314" s="21" t="inlineStr">
        <ns0:is>
          <ns0:t>EVIDENCIA; original abstract/coding notes and lot source trace; Inherited scoped adjudication; see source level and lot caveats</ns0:t>
        </ns0:is>
      </ns0:c>
      <ns0:c r="AK314" s="21" t="inlineStr">
        <ns0:is>
          <ns0:t>Cognitive and psychosocial scores jointly define transdiagnostic child clusters; substantive ASD-related sample but not an operational diagnosis system.</ns0:t>
        </ns0:is>
      </ns0:c>
      <ns0:c r="AL314" s="21" t="inlineStr">
        <ns0:is>
          <ns0:t>Not applicable</ns0:t>
        </ns0:is>
      </ns0:c>
      <ns0:c r="AM314" s="21" t="inlineStr">
        <ns0:is>
          <ns0:t>Not separately specified</ns0:t>
        </ns0:is>
      </ns0:c>
      <ns0:c r="AN314" s="21" t="inlineStr"/>
      <ns0:c r="AO314" s="21" t="inlineStr">
        <ns0:is>
          <ns0:t>No additional status determination</ns0:t>
        </ns0:is>
      </ns0:c>
      <ns0:c r="AP314" s="21" t="inlineStr">
        <ns0:is>
          <ns0:t>Not documented for this recharting</ns0:t>
        </ns0:is>
      </ns0:c>
      <ns0:c r="AQ314" s="21" t="inlineStr">
        <ns0:is>
          <ns0:t>ChatGPT-assisted evidence recharting, 2026-09-08</ns0:t>
        </ns0:is>
      </ns0:c>
      <ns0:c r="AR314" s="21" t="inlineStr">
        <ns0:is>
          <ns0:t>Revisión asistida por IA (un revisor; requiere verificación independiente)</ns0:t>
        </ns0:is>
      </ns0:c>
      <ns0:c r="AS314" s="21" t="inlineStr">
        <ns0:is>
          <ns0:t>Retrieved and reviewed</ns0:t>
        </ns0:is>
      </ns0:c>
    </ns0:row>
    <ns0:row r="315" ht="50" customHeight="1">
      <ns0:c r="A315" s="19" t="inlineStr">
        <ns0:is>
          <ns0:t>new_263</ns0:t>
        </ns0:is>
      </ns0:c>
      <ns0:c r="B315" s="19" t="inlineStr">
        <ns0:is>
          <ns0:t>Update</ns0:t>
        </ns0:is>
      </ns0:c>
      <ns0:c r="C315" s="19" t="inlineStr">
        <ns0:is>
          <ns0:t>Enhancing Psychological Assessments with Open-Ended Questionnaires and Large Language Models: An ASD Case Study</ns0:t>
        </ns0:is>
      </ns0:c>
      <ns0:c r="D315" s="19" t="inlineStr">
        <ns0:is>
          <ns0:t>10.1109/jbhi.2025.3599643</ns0:t>
        </ns0:is>
      </ns0:c>
      <ns0:c r="E315" s="26" t="n">
        <ns0:v>2026</ns0:v>
      </ns0:c>
      <ns0:c r="F315" s="19" t="inlineStr">
        <ns0:is>
          <ns0:t>Include</ns0:t>
        </ns0:is>
      </ns0:c>
      <ns0:c r="G315" s="27">
        <ns0:f>IF(F315="Include",1,0)</ns0:f>
        <ns0:v>1</ns0:v>
      </ns0:c>
      <ns0:c r="H315" s="19" t="inlineStr">
        <ns0:is>
          <ns0:t>Diagnosis</ns0:t>
        </ns0:is>
      </ns0:c>
      <ns0:c r="I315" s="19" t="inlineStr">
        <ns0:is>
          <ns0:t>Deep Learning</ns0:t>
        </ns0:is>
      </ns0:c>
      <ns0:c r="J315" s="19" t="inlineStr">
        <ns0:is>
          <ns0:t>Text/language</ns0:t>
        </ns0:is>
      </ns0:c>
      <ns0:c r="K315" s="19" t="inlineStr">
        <ns0:is>
          <ns0:t>Transformer</ns0:t>
        </ns0:is>
      </ns0:c>
      <ns0:c r="L315" s="19" t="inlineStr">
        <ns0:is>
          <ns0:t>Transformer</ns0:t>
        </ns0:is>
      </ns0:c>
      <ns0:c r="M315" s="19" t="inlineStr">
        <ns0:is>
          <ns0:t>Research only</ns0:t>
        </ns0:is>
      </ns0:c>
      <ns0:c r="N315" s="19" t="inlineStr">
        <ns0:is>
          <ns0:t>Automated measurement/classification</ns0:t>
        </ns0:is>
      </ns0:c>
      <ns0:c r="O315" s="19" t="inlineStr">
        <ns0:is>
          <ns0:t>Not observed in assessed sources</ns0:t>
        </ns0:is>
      </ns0:c>
      <ns0:c r="P315" s="19" t="inlineStr">
        <ns0:is>
          <ns0:t>Not observed in assessed sources</ns0:t>
        </ns0:is>
      </ns0:c>
      <ns0:c r="Q315" s="19" t="inlineStr">
        <ns0:is>
          <ns0:t>Not reported in assessed sources</ns0:t>
        </ns0:is>
      </ns0:c>
      <ns0:c r="R315" s="19" t="inlineStr">
        <ns0:is>
          <ns0:t>Not reported in assessed sources</ns0:t>
        </ns0:is>
      </ns0:c>
      <ns0:c r="S315" s="19" t="inlineStr">
        <ns0:is>
          <ns0:t>Reported</ns0:t>
        </ns0:is>
      </ns0:c>
      <ns0:c r="T315" s="19" t="inlineStr">
        <ns0:is>
          <ns0:t>Reported</ns0:t>
        </ns0:is>
      </ns0:c>
      <ns0:c r="U315" s="19" t="inlineStr">
        <ns0:is>
          <ns0:t>Not reported in assessed sources</ns0:t>
        </ns0:is>
      </ns0:c>
      <ns0:c r="V315" s="19" t="inlineStr">
        <ns0:is>
          <ns0:t>Not reported in assessed sources</ns0:t>
        </ns0:is>
      </ns0:c>
      <ns0:c r="W315" s="19" t="inlineStr">
        <ns0:is>
          <ns0:t>Not reported in assessed sources</ns0:t>
        </ns0:is>
      </ns0:c>
      <ns0:c r="X315" s="19" t="inlineStr">
        <ns0:is>
          <ns0:t>Not reported in assessed sources</ns0:t>
        </ns0:is>
      </ns0:c>
      <ns0:c r="Y315" s="19" t="inlineStr">
        <ns0:is>
          <ns0:t>Not ascertainable</ns0:t>
        </ns0:is>
      </ns0:c>
      <ns0:c r="Z315" s="19" t="inlineStr">
        <ns0:is>
          <ns0:t>Not reported in assessed sources</ns0:t>
        </ns0:is>
      </ns0:c>
      <ns0:c r="AA315" s="19" t="inlineStr">
        <ns0:is>
          <ns0:t>Not recorded</ns0:t>
        </ns0:is>
      </ns0:c>
      <ns0:c r="AB315" s="26" t="n">
        <ns0:v>0</ns0:v>
      </ns0:c>
      <ns0:c r="AC315" s="26" t="n">
        <ns0:v>0</ns0:v>
      </ns0:c>
      <ns0:c r="AD315" s="27">
        <ns0:f>IF(AND(G315=1,AB315=0),1,0)</ns0:f>
        <ns0:v>1</ns0:v>
      </ns0:c>
      <ns0:c r="AE315" s="27">
        <ns0:f>IF(AND(AD315=1,AC315=0),1,0)</ns0:f>
        <ns0:v>1</ns0:v>
      </ns0:c>
      <ns0:c r="AF315" s="27">
        <ns0:f>IF(AND(G315=1,H315&lt;&gt;"Not specified"),1,0)</ns0:f>
        <ns0:v>1</ns0:v>
      </ns0:c>
      <ns0:c r="AG315" s="27">
        <ns0:f>IF(AND(AE315=1,AF315=1),1,0)</ns0:f>
        <ns0:v>1</ns0:v>
      </ns0:c>
      <ns0:c r="AH315" s="19" t="inlineStr">
        <ns0:is>
          <ns0:t>Supplied abstract/coding notes; no new full-text verification</ns0:t>
        </ns0:is>
      </ns0:c>
      <ns0:c r="AI315" s="19" t="inlineStr">
        <ns0:is>
          <ns0:t>https://doi.org/10.1109/jbhi.2025.3599643</ns0:t>
        </ns0:is>
      </ns0:c>
      <ns0:c r="AJ315" s="19" t="inlineStr">
        <ns0:is>
          <ns0:t>EVIDENCIA; original abstract/coding notes and lot source trace; Inherited scoped adjudication; see source level and lot caveats</ns0:t>
        </ns0:is>
      </ns0:c>
      <ns0:c r="AK315" s="19" t="inlineStr">
        <ns0:is>
          <ns0:t>Open-ended questionnaire responses are free text; model/embedding comparisons and interpretability, not closed-item tabular input.</ns0:t>
        </ns0:is>
      </ns0:c>
      <ns0:c r="AL315" s="19" t="inlineStr">
        <ns0:is>
          <ns0:t>Not applicable</ns0:t>
        </ns0:is>
      </ns0:c>
      <ns0:c r="AM315" s="19" t="inlineStr">
        <ns0:is>
          <ns0:t>Not separately specified</ns0:t>
        </ns0:is>
      </ns0:c>
      <ns0:c r="AN315" s="19" t="inlineStr"/>
      <ns0:c r="AO315" s="19" t="inlineStr">
        <ns0:is>
          <ns0:t>No additional status determination</ns0:t>
        </ns0:is>
      </ns0:c>
      <ns0:c r="AP315" s="19" t="inlineStr">
        <ns0:is>
          <ns0:t>Not documented for this recharting</ns0:t>
        </ns0:is>
      </ns0:c>
      <ns0:c r="AQ315" s="19" t="inlineStr">
        <ns0:is>
          <ns0:t>ChatGPT-assisted evidence recharting, 2026-09-08</ns0:t>
        </ns0:is>
      </ns0:c>
      <ns0:c r="AR315" s="19" t="inlineStr">
        <ns0:is>
          <ns0:t>Revisión asistida por IA (un revisor; requiere verificación independiente)</ns0:t>
        </ns0:is>
      </ns0:c>
      <ns0:c r="AS315" s="19" t="inlineStr">
        <ns0:is>
          <ns0:t>Retrieved and reviewed</ns0:t>
        </ns0:is>
      </ns0:c>
    </ns0:row>
    <ns0:row r="316" ht="50" customHeight="1">
      <ns0:c r="A316" s="21" t="inlineStr">
        <ns0:is>
          <ns0:t>new_268</ns0:t>
        </ns0:is>
      </ns0:c>
      <ns0:c r="B316" s="21" t="inlineStr">
        <ns0:is>
          <ns0:t>Update</ns0:t>
        </ns0:is>
      </ns0:c>
      <ns0:c r="C316" s="21" t="inlineStr">
        <ns0:is>
          <ns0:t>Compact subsets of autism screening items predict clinical diagnoses with a machine learning analysis of the QCHAT-10</ns0:t>
        </ns0:is>
      </ns0:c>
      <ns0:c r="D316" s="21" t="inlineStr">
        <ns0:is>
          <ns0:t>10.1038/s41598-025-26131-9</ns0:t>
        </ns0:is>
      </ns0:c>
      <ns0:c r="E316" s="28" t="n">
        <ns0:v>2025</ns0:v>
      </ns0:c>
      <ns0:c r="F316" s="21" t="inlineStr">
        <ns0:is>
          <ns0:t>Include</ns0:t>
        </ns0:is>
      </ns0:c>
      <ns0:c r="G316" s="29">
        <ns0:f>IF(F316="Include",1,0)</ns0:f>
        <ns0:v>1</ns0:v>
      </ns0:c>
      <ns0:c r="H316" s="21" t="inlineStr">
        <ns0:is>
          <ns0:t>Screening</ns0:t>
        </ns0:is>
      </ns0:c>
      <ns0:c r="I316" s="21" t="inlineStr">
        <ns0:is>
          <ns0:t>Machine Learning</ns0:t>
        </ns0:is>
      </ns0:c>
      <ns0:c r="J316" s="21" t="inlineStr">
        <ns0:is>
          <ns0:t>Structured clinical/questionnaire data</ns0:t>
        </ns0:is>
      </ns0:c>
      <ns0:c r="K316" s="21" t="inlineStr">
        <ns0:is>
          <ns0:t>Gradient boosting / random forest</ns0:t>
        </ns0:is>
      </ns0:c>
      <ns0:c r="L316" s="21" t="inlineStr">
        <ns0:is>
          <ns0:t>Composite/ensemble pipeline</ns0:t>
        </ns0:is>
      </ns0:c>
      <ns0:c r="M316" s="21" t="inlineStr">
        <ns0:is>
          <ns0:t>Proposed only</ns0:t>
        </ns0:is>
      </ns0:c>
      <ns0:c r="N316" s="21" t="inlineStr">
        <ns0:is>
          <ns0:t>Triage/questionnaire assessment</ns0:t>
        </ns0:is>
      </ns0:c>
      <ns0:c r="O316" s="21" t="inlineStr">
        <ns0:is>
          <ns0:t>Pre-decision</ns0:t>
        </ns0:is>
      </ns0:c>
      <ns0:c r="P316" s="21" t="inlineStr">
        <ns0:is>
          <ns0:t>Not observed in assessed sources</ns0:t>
        </ns0:is>
      </ns0:c>
      <ns0:c r="Q316" s="21" t="inlineStr">
        <ns0:is>
          <ns0:t>Reported</ns0:t>
        </ns0:is>
      </ns0:c>
      <ns0:c r="R316" s="21" t="inlineStr">
        <ns0:is>
          <ns0:t>Not reported in assessed sources</ns0:t>
        </ns0:is>
      </ns0:c>
      <ns0:c r="S316" s="21" t="inlineStr">
        <ns0:is>
          <ns0:t>Reported</ns0:t>
        </ns0:is>
      </ns0:c>
      <ns0:c r="T316" s="21" t="inlineStr">
        <ns0:is>
          <ns0:t>Not reported in assessed sources</ns0:t>
        </ns0:is>
      </ns0:c>
      <ns0:c r="U316" s="21" t="inlineStr">
        <ns0:is>
          <ns0:t>Reported</ns0:t>
        </ns0:is>
      </ns0:c>
      <ns0:c r="V316" s="21" t="inlineStr">
        <ns0:is>
          <ns0:t>Reported</ns0:t>
        </ns0:is>
      </ns0:c>
      <ns0:c r="W316" s="21" t="inlineStr">
        <ns0:is>
          <ns0:t>Not reported in assessed sources</ns0:t>
        </ns0:is>
      </ns0:c>
      <ns0:c r="X316" s="21" t="inlineStr">
        <ns0:is>
          <ns0:t>Not reported in assessed sources</ns0:t>
        </ns0:is>
      </ns0:c>
      <ns0:c r="Y316" s="21" t="inlineStr">
        <ns0:is>
          <ns0:t>Not ascertainable</ns0:t>
        </ns0:is>
      </ns0:c>
      <ns0:c r="Z316" s="21" t="inlineStr">
        <ns0:is>
          <ns0:t>Reported</ns0:t>
        </ns0:is>
      </ns0:c>
      <ns0:c r="AA316" s="21" t="inlineStr">
        <ns0:is>
          <ns0:t>Not recorded</ns0:t>
        </ns0:is>
      </ns0:c>
      <ns0:c r="AB316" s="28" t="n">
        <ns0:v>0</ns0:v>
      </ns0:c>
      <ns0:c r="AC316" s="28" t="n">
        <ns0:v>0</ns0:v>
      </ns0:c>
      <ns0:c r="AD316" s="29">
        <ns0:f>IF(AND(G316=1,AB316=0),1,0)</ns0:f>
        <ns0:v>1</ns0:v>
      </ns0:c>
      <ns0:c r="AE316" s="29">
        <ns0:f>IF(AND(AD316=1,AC316=0),1,0)</ns0:f>
        <ns0:v>1</ns0:v>
      </ns0:c>
      <ns0:c r="AF316" s="29">
        <ns0:f>IF(AND(G316=1,H316&lt;&gt;"Not specified"),1,0)</ns0:f>
        <ns0:v>1</ns0:v>
      </ns0:c>
      <ns0:c r="AG316" s="29">
        <ns0:f>IF(AND(AE316=1,AF316=1),1,0)</ns0:f>
        <ns0:v>1</ns0:v>
      </ns0:c>
      <ns0:c r="AH316" s="21" t="inlineStr">
        <ns0:is>
          <ns0:t>Supplied abstract/coding notes; no new full-text verification</ns0:t>
        </ns0:is>
      </ns0:c>
      <ns0:c r="AI316" s="21" t="inlineStr">
        <ns0:is>
          <ns0:t>https://doi.org/10.1038/s41598-025-26131-9</ns0:t>
        </ns0:is>
      </ns0:c>
      <ns0:c r="AJ316" s="21" t="inlineStr">
        <ns0:is>
          <ns0:t>EVIDENCIA; original abstract/coding notes and lot source trace; Inherited scoped adjudication; see source level and lot caveats</ns0:t>
        </ns0:is>
      </ns0:c>
      <ns0:c r="AK316" s="21" t="inlineStr">
        <ns0:is>
          <ns0:t>QCHAT models trained in New Zealand/Saudi Arabia are explicitly tested on independent Polish clinical diagnoses; genuine cross-setting evaluation.</ns0:t>
        </ns0:is>
      </ns0:c>
      <ns0:c r="AL316" s="21" t="inlineStr">
        <ns0:is>
          <ns0:t>Not applicable</ns0:t>
        </ns0:is>
      </ns0:c>
      <ns0:c r="AM316" s="21" t="inlineStr">
        <ns0:is>
          <ns0:t>Not separately specified</ns0:t>
        </ns0:is>
      </ns0:c>
      <ns0:c r="AN316" s="21" t="inlineStr"/>
      <ns0:c r="AO316" s="21" t="inlineStr">
        <ns0:is>
          <ns0:t>No additional status determination</ns0:t>
        </ns0:is>
      </ns0:c>
      <ns0:c r="AP316" s="21" t="inlineStr">
        <ns0:is>
          <ns0:t>Not documented for this recharting</ns0:t>
        </ns0:is>
      </ns0:c>
      <ns0:c r="AQ316" s="21" t="inlineStr">
        <ns0:is>
          <ns0:t>ChatGPT-assisted evidence recharting, 2026-09-08</ns0:t>
        </ns0:is>
      </ns0:c>
      <ns0:c r="AR316" s="21" t="inlineStr">
        <ns0:is>
          <ns0:t>Revisión asistida por IA (un revisor; requiere verificación independiente)</ns0:t>
        </ns0:is>
      </ns0:c>
      <ns0:c r="AS316" s="21" t="inlineStr">
        <ns0:is>
          <ns0:t>Retrieved and reviewed</ns0:t>
        </ns0:is>
      </ns0:c>
    </ns0:row>
    <ns0:row r="317" ht="50" customHeight="1">
      <ns0:c r="A317" s="19" t="inlineStr">
        <ns0:is>
          <ns0:t>new_288</ns0:t>
        </ns0:is>
      </ns0:c>
      <ns0:c r="B317" s="19" t="inlineStr">
        <ns0:is>
          <ns0:t>Update</ns0:t>
        </ns0:is>
      </ns0:c>
      <ns0:c r="C317" s="19" t="inlineStr">
        <ns0:is>
          <ns0:t>Nonparametric motion control in functional connectivity studies in children with autism spectrum disorder</ns0:t>
        </ns0:is>
      </ns0:c>
      <ns0:c r="D317" s="19" t="inlineStr">
        <ns0:is>
          <ns0:t>10.1093/biomtc/ujag099</ns0:t>
        </ns0:is>
      </ns0:c>
      <ns0:c r="E317" s="26" t="n">
        <ns0:v>2026</ns0:v>
      </ns0:c>
      <ns0:c r="F317" s="19" t="inlineStr">
        <ns0:is>
          <ns0:t>Include</ns0:t>
        </ns0:is>
      </ns0:c>
      <ns0:c r="G317" s="27">
        <ns0:f>IF(F317="Include",1,0)</ns0:f>
        <ns0:v>1</ns0:v>
      </ns0:c>
      <ns0:c r="H317" s="19" t="inlineStr">
        <ns0:is>
          <ns0:t>Not specified</ns0:t>
        </ns0:is>
      </ns0:c>
      <ns0:c r="I317" s="19" t="inlineStr">
        <ns0:is>
          <ns0:t>Machine Learning</ns0:t>
        </ns0:is>
      </ns0:c>
      <ns0:c r="J317" s="19" t="inlineStr">
        <ns0:is>
          <ns0:t>Neuroimaging</ns0:t>
        </ns0:is>
      </ns0:c>
      <ns0:c r="K317" s="19" t="inlineStr">
        <ns0:is>
          <ns0:t>Super Learner</ns0:t>
        </ns0:is>
      </ns0:c>
      <ns0:c r="L317" s="19" t="inlineStr">
        <ns0:is>
          <ns0:t>Other specified method</ns0:t>
        </ns0:is>
      </ns0:c>
      <ns0:c r="M317" s="19" t="inlineStr">
        <ns0:is>
          <ns0:t>Research only</ns0:t>
        </ns0:is>
      </ns0:c>
      <ns0:c r="N317" s="19" t="inlineStr">
        <ns0:is>
          <ns0:t>Automated measurement/classification</ns0:t>
        </ns0:is>
      </ns0:c>
      <ns0:c r="O317" s="19" t="inlineStr">
        <ns0:is>
          <ns0:t>Not observed in assessed sources</ns0:t>
        </ns0:is>
      </ns0:c>
      <ns0:c r="P317" s="19" t="inlineStr">
        <ns0:is>
          <ns0:t>Not observed in assessed sources</ns0:t>
        </ns0:is>
      </ns0:c>
      <ns0:c r="Q317" s="19" t="inlineStr">
        <ns0:is>
          <ns0:t>Not reported in assessed sources</ns0:t>
        </ns0:is>
      </ns0:c>
      <ns0:c r="R317" s="19" t="inlineStr">
        <ns0:is>
          <ns0:t>Not reported in assessed sources</ns0:t>
        </ns0:is>
      </ns0:c>
      <ns0:c r="S317" s="19" t="inlineStr">
        <ns0:is>
          <ns0:t>Not reported in assessed sources</ns0:t>
        </ns0:is>
      </ns0:c>
      <ns0:c r="T317" s="19" t="inlineStr">
        <ns0:is>
          <ns0:t>Not reported in assessed sources</ns0:t>
        </ns0:is>
      </ns0:c>
      <ns0:c r="U317" s="19" t="inlineStr">
        <ns0:is>
          <ns0:t>Not reported in assessed sources</ns0:t>
        </ns0:is>
      </ns0:c>
      <ns0:c r="V317" s="19" t="inlineStr">
        <ns0:is>
          <ns0:t>Not reported in assessed sources</ns0:t>
        </ns0:is>
      </ns0:c>
      <ns0:c r="W317" s="19" t="inlineStr">
        <ns0:is>
          <ns0:t>Not reported in assessed sources</ns0:t>
        </ns0:is>
      </ns0:c>
      <ns0:c r="X317" s="19" t="inlineStr">
        <ns0:is>
          <ns0:t>Not reported in assessed sources</ns0:t>
        </ns0:is>
      </ns0:c>
      <ns0:c r="Y317" s="19" t="inlineStr">
        <ns0:is>
          <ns0:t>Not ascertainable</ns0:t>
        </ns0:is>
      </ns0:c>
      <ns0:c r="Z317" s="19" t="inlineStr">
        <ns0:is>
          <ns0:t>Not reported in assessed sources</ns0:t>
        </ns0:is>
      </ns0:c>
      <ns0:c r="AA317" s="19" t="inlineStr">
        <ns0:is>
          <ns0:t>Not recorded</ns0:t>
        </ns0:is>
      </ns0:c>
      <ns0:c r="AB317" s="26" t="n">
        <ns0:v>0</ns0:v>
      </ns0:c>
      <ns0:c r="AC317" s="26" t="n">
        <ns0:v>0</ns0:v>
      </ns0:c>
      <ns0:c r="AD317" s="27">
        <ns0:f>IF(AND(G317=1,AB317=0),1,0)</ns0:f>
        <ns0:v>1</ns0:v>
      </ns0:c>
      <ns0:c r="AE317" s="27">
        <ns0:f>IF(AND(AD317=1,AC317=0),1,0)</ns0:f>
        <ns0:v>1</ns0:v>
      </ns0:c>
      <ns0:c r="AF317" s="27">
        <ns0:f>IF(AND(G317=1,H317&lt;&gt;"Not specified"),1,0)</ns0:f>
        <ns0:v>0</ns0:v>
      </ns0:c>
      <ns0:c r="AG317" s="27">
        <ns0:f>IF(AND(AE317=1,AF317=1),1,0)</ns0:f>
        <ns0:v>0</ns0:v>
      </ns0:c>
      <ns0:c r="AH317" s="19" t="inlineStr">
        <ns0:is>
          <ns0:t>Supplied abstract/coding notes; no new full-text verification</ns0:t>
        </ns0:is>
      </ns0:c>
      <ns0:c r="AI317" s="19" t="inlineStr">
        <ns0:is>
          <ns0:t>https://doi.org/10.1093/biomtc/ujag099</ns0:t>
        </ns0:is>
      </ns0:c>
      <ns0:c r="AJ317" s="19" t="inlineStr">
        <ns0:is>
          <ns0:t>EVIDENCIA; original abstract/coding notes and lot source trace; Inherited scoped adjudication; see source level and lot caveats</ns0:t>
        </ns0:is>
      </ns0:c>
      <ns0:c r="AK317" s="19" t="inlineStr">
        <ns0:is>
          <ns0:t>Motion-adjusted functional-connectivity estimation; methodological research, not direct clinical prediction or generic cross-site robustness.</ns0:t>
        </ns0:is>
      </ns0:c>
      <ns0:c r="AL317" s="19" t="inlineStr">
        <ns0:is>
          <ns0:t>Not applicable</ns0:t>
        </ns0:is>
      </ns0:c>
      <ns0:c r="AM317" s="19" t="inlineStr">
        <ns0:is>
          <ns0:t>Not separately specified</ns0:t>
        </ns0:is>
      </ns0:c>
      <ns0:c r="AN317" s="19" t="inlineStr"/>
      <ns0:c r="AO317" s="19" t="inlineStr">
        <ns0:is>
          <ns0:t>No additional status determination</ns0:t>
        </ns0:is>
      </ns0:c>
      <ns0:c r="AP317" s="19" t="inlineStr">
        <ns0:is>
          <ns0:t>Not documented for this recharting</ns0:t>
        </ns0:is>
      </ns0:c>
      <ns0:c r="AQ317" s="19" t="inlineStr">
        <ns0:is>
          <ns0:t>ChatGPT-assisted evidence recharting, 2026-09-08</ns0:t>
        </ns0:is>
      </ns0:c>
      <ns0:c r="AR317" s="19" t="inlineStr">
        <ns0:is>
          <ns0:t>Revisión asistida por IA (un revisor; requiere verificación independiente)</ns0:t>
        </ns0:is>
      </ns0:c>
      <ns0:c r="AS317" s="19" t="inlineStr">
        <ns0:is>
          <ns0:t>Retrieved and reviewed</ns0:t>
        </ns0:is>
      </ns0:c>
    </ns0:row>
    <ns0:row r="318" ht="50" customHeight="1">
      <ns0:c r="A318" s="21" t="inlineStr">
        <ns0:is>
          <ns0:t>new_305</ns0:t>
        </ns0:is>
      </ns0:c>
      <ns0:c r="B318" s="21" t="inlineStr">
        <ns0:is>
          <ns0:t>Update</ns0:t>
        </ns0:is>
      </ns0:c>
      <ns0:c r="C318" s="21" t="inlineStr">
        <ns0:is>
          <ns0:t>Integrating Multimodal Neuroimaging and Physical-Health Markers for Autism Spectrum Disorder in the ABCD Study</ns0:t>
        </ns0:is>
      </ns0:c>
      <ns0:c r="D318" s="21" t="inlineStr">
        <ns0:is>
          <ns0:t>10.31083/jin48212</ns0:t>
        </ns0:is>
      </ns0:c>
      <ns0:c r="E318" s="28" t="n">
        <ns0:v>2026</ns0:v>
      </ns0:c>
      <ns0:c r="F318" s="21" t="inlineStr">
        <ns0:is>
          <ns0:t>Include</ns0:t>
        </ns0:is>
      </ns0:c>
      <ns0:c r="G318" s="29">
        <ns0:f>IF(F318="Include",1,0)</ns0:f>
        <ns0:v>1</ns0:v>
      </ns0:c>
      <ns0:c r="H318" s="21" t="inlineStr">
        <ns0:is>
          <ns0:t>Diagnosis</ns0:t>
        </ns0:is>
      </ns0:c>
      <ns0:c r="I318" s="21" t="inlineStr">
        <ns0:is>
          <ns0:t>Machine Learning</ns0:t>
        </ns0:is>
      </ns0:c>
      <ns0:c r="J318" s="21" t="inlineStr">
        <ns0:is>
          <ns0:t>Multiple source categories</ns0:t>
        </ns0:is>
      </ns0:c>
      <ns0:c r="K318" s="21" t="inlineStr">
        <ns0:is>
          <ns0:t>Not specified</ns0:t>
        </ns0:is>
      </ns0:c>
      <ns0:c r="L318" s="21" t="inlineStr">
        <ns0:is>
          <ns0:t>Multiple/not uniquely specified</ns0:t>
        </ns0:is>
      </ns0:c>
      <ns0:c r="M318" s="21" t="inlineStr">
        <ns0:is>
          <ns0:t>Research only</ns0:t>
        </ns0:is>
      </ns0:c>
      <ns0:c r="N318" s="21" t="inlineStr">
        <ns0:is>
          <ns0:t>Automated measurement/classification</ns0:t>
        </ns0:is>
      </ns0:c>
      <ns0:c r="O318" s="21" t="inlineStr">
        <ns0:is>
          <ns0:t>Not observed in assessed sources</ns0:t>
        </ns0:is>
      </ns0:c>
      <ns0:c r="P318" s="21" t="inlineStr">
        <ns0:is>
          <ns0:t>Not observed in assessed sources</ns0:t>
        </ns0:is>
      </ns0:c>
      <ns0:c r="Q318" s="21" t="inlineStr">
        <ns0:is>
          <ns0:t>Not reported in assessed sources</ns0:t>
        </ns0:is>
      </ns0:c>
      <ns0:c r="R318" s="21" t="inlineStr">
        <ns0:is>
          <ns0:t>Reported</ns0:t>
        </ns0:is>
      </ns0:c>
      <ns0:c r="S318" s="21" t="inlineStr">
        <ns0:is>
          <ns0:t>Reported</ns0:t>
        </ns0:is>
      </ns0:c>
      <ns0:c r="T318" s="21" t="inlineStr">
        <ns0:is>
          <ns0:t>Not reported in assessed sources</ns0:t>
        </ns0:is>
      </ns0:c>
      <ns0:c r="U318" s="21" t="inlineStr">
        <ns0:is>
          <ns0:t>Not reported in assessed sources</ns0:t>
        </ns0:is>
      </ns0:c>
      <ns0:c r="V318" s="21" t="inlineStr">
        <ns0:is>
          <ns0:t>Reported</ns0:t>
        </ns0:is>
      </ns0:c>
      <ns0:c r="W318" s="21" t="inlineStr">
        <ns0:is>
          <ns0:t>Reported</ns0:t>
        </ns0:is>
      </ns0:c>
      <ns0:c r="X318" s="21" t="inlineStr">
        <ns0:is>
          <ns0:t>Not reported in assessed sources</ns0:t>
        </ns0:is>
      </ns0:c>
      <ns0:c r="Y318" s="21" t="inlineStr">
        <ns0:is>
          <ns0:t>Not ascertainable</ns0:t>
        </ns0:is>
      </ns0:c>
      <ns0:c r="Z318" s="21" t="inlineStr">
        <ns0:is>
          <ns0:t>Reported</ns0:t>
        </ns0:is>
      </ns0:c>
      <ns0:c r="AA318" s="21" t="inlineStr">
        <ns0:is>
          <ns0:t>Not recorded</ns0:t>
        </ns0:is>
      </ns0:c>
      <ns0:c r="AB318" s="28" t="n">
        <ns0:v>0</ns0:v>
      </ns0:c>
      <ns0:c r="AC318" s="28" t="n">
        <ns0:v>0</ns0:v>
      </ns0:c>
      <ns0:c r="AD318" s="29">
        <ns0:f>IF(AND(G318=1,AB318=0),1,0)</ns0:f>
        <ns0:v>1</ns0:v>
      </ns0:c>
      <ns0:c r="AE318" s="29">
        <ns0:f>IF(AND(AD318=1,AC318=0),1,0)</ns0:f>
        <ns0:v>1</ns0:v>
      </ns0:c>
      <ns0:c r="AF318" s="29">
        <ns0:f>IF(AND(G318=1,H318&lt;&gt;"Not specified"),1,0)</ns0:f>
        <ns0:v>1</ns0:v>
      </ns0:c>
      <ns0:c r="AG318" s="29">
        <ns0:f>IF(AND(AE318=1,AF318=1),1,0)</ns0:f>
        <ns0:v>1</ns0:v>
      </ns0:c>
      <ns0:c r="AH318" s="21" t="inlineStr">
        <ns0:is>
          <ns0:t>Supplied abstract/coding notes; no new full-text verification</ns0:t>
        </ns0:is>
      </ns0:c>
      <ns0:c r="AI318" s="21" t="inlineStr">
        <ns0:is>
          <ns0:t>https://doi.org/10.31083/jin48212</ns0:t>
        </ns0:is>
      </ns0:c>
      <ns0:c r="AJ318" s="21" t="inlineStr">
        <ns0:is>
          <ns0:t>EVIDENCIA; original abstract/coding notes and lot source trace; Inherited scoped adjudication; see source level and lot caveats</ns0:t>
        </ns0:is>
      </ns0:c>
      <ns0:c r="AK318" s="21" t="inlineStr">
        <ns0:is>
          <ns0:t>Multimodal MRI combined with physical-health markers from ABCD; stratified internal cross-validation.</ns0:t>
        </ns0:is>
      </ns0:c>
      <ns0:c r="AL318" s="21" t="inlineStr">
        <ns0:is>
          <ns0:t>Not applicable</ns0:t>
        </ns0:is>
      </ns0:c>
      <ns0:c r="AM318" s="21" t="inlineStr">
        <ns0:is>
          <ns0:t>Not separately specified</ns0:t>
        </ns0:is>
      </ns0:c>
      <ns0:c r="AN318" s="21" t="inlineStr"/>
      <ns0:c r="AO318" s="21" t="inlineStr">
        <ns0:is>
          <ns0:t>No additional status determination</ns0:t>
        </ns0:is>
      </ns0:c>
      <ns0:c r="AP318" s="21" t="inlineStr">
        <ns0:is>
          <ns0:t>Not documented for this recharting</ns0:t>
        </ns0:is>
      </ns0:c>
      <ns0:c r="AQ318" s="21" t="inlineStr">
        <ns0:is>
          <ns0:t>ChatGPT-assisted evidence recharting, 2026-09-08</ns0:t>
        </ns0:is>
      </ns0:c>
      <ns0:c r="AR318" s="21" t="inlineStr">
        <ns0:is>
          <ns0:t>Revisión asistida por IA (un revisor; requiere verificación independiente)</ns0:t>
        </ns0:is>
      </ns0:c>
      <ns0:c r="AS318" s="21" t="inlineStr">
        <ns0:is>
          <ns0:t>Retrieved and reviewed</ns0:t>
        </ns0:is>
      </ns0:c>
    </ns0:row>
    <ns0:row r="319" ht="50" customHeight="1">
      <ns0:c r="A319" s="19" t="inlineStr">
        <ns0:is>
          <ns0:t>new_307</ns0:t>
        </ns0:is>
      </ns0:c>
      <ns0:c r="B319" s="19" t="inlineStr">
        <ns0:is>
          <ns0:t>Update</ns0:t>
        </ns0:is>
      </ns0:c>
      <ns0:c r="C319" s="19" t="inlineStr">
        <ns0:is>
          <ns0:t>Spatial structure based deep feature fusion network for autism spectrum disorder classification</ns0:t>
        </ns0:is>
      </ns0:c>
      <ns0:c r="D319" s="19" t="inlineStr">
        <ns0:is>
          <ns0:t>10.1038/s41598-026-48562-8</ns0:t>
        </ns0:is>
      </ns0:c>
      <ns0:c r="E319" s="26" t="n">
        <ns0:v>2026</ns0:v>
      </ns0:c>
      <ns0:c r="F319" s="19" t="inlineStr">
        <ns0:is>
          <ns0:t>Include</ns0:t>
        </ns0:is>
      </ns0:c>
      <ns0:c r="G319" s="27">
        <ns0:f>IF(F319="Include",1,0)</ns0:f>
        <ns0:v>1</ns0:v>
      </ns0:c>
      <ns0:c r="H319" s="19" t="inlineStr">
        <ns0:is>
          <ns0:t>Diagnosis</ns0:t>
        </ns0:is>
      </ns0:c>
      <ns0:c r="I319" s="19" t="inlineStr">
        <ns0:is>
          <ns0:t>Deep Learning</ns0:t>
        </ns0:is>
      </ns0:c>
      <ns0:c r="J319" s="19" t="inlineStr">
        <ns0:is>
          <ns0:t>Physiological signals</ns0:t>
        </ns0:is>
      </ns0:c>
      <ns0:c r="K319" s="19" t="inlineStr">
        <ns0:is>
          <ns0:t>Graph network + LSTM</ns0:t>
        </ns0:is>
      </ns0:c>
      <ns0:c r="L319" s="19" t="inlineStr">
        <ns0:is>
          <ns0:t>Recurrent network</ns0:t>
        </ns0:is>
      </ns0:c>
      <ns0:c r="M319" s="19" t="inlineStr">
        <ns0:is>
          <ns0:t>Research only</ns0:t>
        </ns0:is>
      </ns0:c>
      <ns0:c r="N319" s="19" t="inlineStr">
        <ns0:is>
          <ns0:t>Automated measurement/classification</ns0:t>
        </ns0:is>
      </ns0:c>
      <ns0:c r="O319" s="19" t="inlineStr">
        <ns0:is>
          <ns0:t>Not observed in assessed sources</ns0:t>
        </ns0:is>
      </ns0:c>
      <ns0:c r="P319" s="19" t="inlineStr">
        <ns0:is>
          <ns0:t>Not observed in assessed sources</ns0:t>
        </ns0:is>
      </ns0:c>
      <ns0:c r="Q319" s="19" t="inlineStr">
        <ns0:is>
          <ns0:t>Not ascertainable</ns0:t>
        </ns0:is>
      </ns0:c>
      <ns0:c r="R319" s="19" t="inlineStr">
        <ns0:is>
          <ns0:t>Not reported in assessed sources</ns0:t>
        </ns0:is>
      </ns0:c>
      <ns0:c r="S319" s="19" t="inlineStr">
        <ns0:is>
          <ns0:t>Reported</ns0:t>
        </ns0:is>
      </ns0:c>
      <ns0:c r="T319" s="19" t="inlineStr">
        <ns0:is>
          <ns0:t>Not reported in assessed sources</ns0:t>
        </ns0:is>
      </ns0:c>
      <ns0:c r="U319" s="19" t="inlineStr">
        <ns0:is>
          <ns0:t>Not reported in assessed sources</ns0:t>
        </ns0:is>
      </ns0:c>
      <ns0:c r="V319" s="19" t="inlineStr">
        <ns0:is>
          <ns0:t>Not reported in assessed sources</ns0:t>
        </ns0:is>
      </ns0:c>
      <ns0:c r="W319" s="19" t="inlineStr">
        <ns0:is>
          <ns0:t>Not reported in assessed sources</ns0:t>
        </ns0:is>
      </ns0:c>
      <ns0:c r="X319" s="19" t="inlineStr">
        <ns0:is>
          <ns0:t>Not reported in assessed sources</ns0:t>
        </ns0:is>
      </ns0:c>
      <ns0:c r="Y319" s="19" t="inlineStr">
        <ns0:is>
          <ns0:t>Not ascertainable</ns0:t>
        </ns0:is>
      </ns0:c>
      <ns0:c r="Z319" s="19" t="inlineStr">
        <ns0:is>
          <ns0:t>Reported</ns0:t>
        </ns0:is>
      </ns0:c>
      <ns0:c r="AA319" s="19" t="inlineStr">
        <ns0:is>
          <ns0:t>Not recorded</ns0:t>
        </ns0:is>
      </ns0:c>
      <ns0:c r="AB319" s="26" t="n">
        <ns0:v>0</ns0:v>
      </ns0:c>
      <ns0:c r="AC319" s="26" t="n">
        <ns0:v>0</ns0:v>
      </ns0:c>
      <ns0:c r="AD319" s="27">
        <ns0:f>IF(AND(G319=1,AB319=0),1,0)</ns0:f>
        <ns0:v>1</ns0:v>
      </ns0:c>
      <ns0:c r="AE319" s="27">
        <ns0:f>IF(AND(AD319=1,AC319=0),1,0)</ns0:f>
        <ns0:v>1</ns0:v>
      </ns0:c>
      <ns0:c r="AF319" s="27">
        <ns0:f>IF(AND(G319=1,H319&lt;&gt;"Not specified"),1,0)</ns0:f>
        <ns0:v>1</ns0:v>
      </ns0:c>
      <ns0:c r="AG319" s="27">
        <ns0:f>IF(AND(AE319=1,AF319=1),1,0)</ns0:f>
        <ns0:v>1</ns0:v>
      </ns0:c>
      <ns0:c r="AH319" s="19" t="inlineStr">
        <ns0:is>
          <ns0:t>Supplied abstract/coding notes; no new full-text verification</ns0:t>
        </ns0:is>
      </ns0:c>
      <ns0:c r="AI319" s="19" t="inlineStr">
        <ns0:is>
          <ns0:t>https://doi.org/10.1038/s41598-026-48562-8</ns0:t>
        </ns0:is>
      </ns0:c>
      <ns0:c r="AJ319" s="19" t="inlineStr">
        <ns0:is>
          <ns0:t>EVIDENCIA; original abstract/coding notes and lot source trace; Inherited scoped adjudication; see source level and lot caveats</ns0:t>
        </ns0:is>
      </ns0:c>
      <ns0:c r="AK319" s="19" t="inlineStr">
        <ns0:is>
          <ns0:t>EEG spatial/functional features from a single signal; two datasets evaluated, but external transfer design not established in available evidence.
Sheffield and KAU benchmark evaluations; train-on-one/test-on-the-other not established by abstract</ns0:t>
        </ns0:is>
      </ns0:c>
      <ns0:c r="AL319" s="19" t="inlineStr">
        <ns0:is>
          <ns0:t>Not applicable</ns0:t>
        </ns0:is>
      </ns0:c>
      <ns0:c r="AM319" s="19" t="inlineStr">
        <ns0:is>
          <ns0:t>Not separately specified</ns0:t>
        </ns0:is>
      </ns0:c>
      <ns0:c r="AN319" s="19" t="inlineStr"/>
      <ns0:c r="AO319" s="19" t="inlineStr">
        <ns0:is>
          <ns0:t>No additional status determination</ns0:t>
        </ns0:is>
      </ns0:c>
      <ns0:c r="AP319" s="19" t="inlineStr">
        <ns0:is>
          <ns0:t>Not documented for this recharting</ns0:t>
        </ns0:is>
      </ns0:c>
      <ns0:c r="AQ319" s="19" t="inlineStr">
        <ns0:is>
          <ns0:t>ChatGPT-assisted evidence recharting, 2026-09-08</ns0:t>
        </ns0:is>
      </ns0:c>
      <ns0:c r="AR319" s="19" t="inlineStr">
        <ns0:is>
          <ns0:t>Revisión asistida por IA (un revisor; requiere verificación independiente)</ns0:t>
        </ns0:is>
      </ns0:c>
      <ns0:c r="AS319" s="19" t="inlineStr">
        <ns0:is>
          <ns0:t>Retrieved and reviewed</ns0:t>
        </ns0:is>
      </ns0:c>
    </ns0:row>
    <ns0:row r="320" ht="50" customHeight="1">
      <ns0:c r="A320" s="21" t="inlineStr">
        <ns0:is>
          <ns0:t>new_313</ns0:t>
        </ns0:is>
      </ns0:c>
      <ns0:c r="B320" s="21" t="inlineStr">
        <ns0:is>
          <ns0:t>Update</ns0:t>
        </ns0:is>
      </ns0:c>
      <ns0:c r="C320" s="21" t="inlineStr">
        <ns0:is>
          <ns0:t>Metaheuristic hyperparameter optimization of deep neural networks for demographic-aware autism spectrum disorder classification.</ns0:t>
        </ns0:is>
      </ns0:c>
      <ns0:c r="D320" s="21" t="inlineStr">
        <ns0:is>
          <ns0:t>10.1038/s41598-026-58789-0</ns0:t>
        </ns0:is>
      </ns0:c>
      <ns0:c r="E320" s="28" t="n">
        <ns0:v>2026</ns0:v>
      </ns0:c>
      <ns0:c r="F320" s="21" t="inlineStr">
        <ns0:is>
          <ns0:t>Include</ns0:t>
        </ns0:is>
      </ns0:c>
      <ns0:c r="G320" s="29">
        <ns0:f>IF(F320="Include",1,0)</ns0:f>
        <ns0:v>1</ns0:v>
      </ns0:c>
      <ns0:c r="H320" s="21" t="inlineStr">
        <ns0:is>
          <ns0:t>Diagnosis</ns0:t>
        </ns0:is>
      </ns0:c>
      <ns0:c r="I320" s="21" t="inlineStr">
        <ns0:is>
          <ns0:t>Deep Learning</ns0:t>
        </ns0:is>
      </ns0:c>
      <ns0:c r="J320" s="21" t="inlineStr">
        <ns0:is>
          <ns0:t>Neuroimaging</ns0:t>
        </ns0:is>
      </ns0:c>
      <ns0:c r="K320" s="21" t="inlineStr">
        <ns0:is>
          <ns0:t>CNN</ns0:t>
        </ns0:is>
      </ns0:c>
      <ns0:c r="L320" s="21" t="inlineStr">
        <ns0:is>
          <ns0:t>CNN</ns0:t>
        </ns0:is>
      </ns0:c>
      <ns0:c r="M320" s="21" t="inlineStr">
        <ns0:is>
          <ns0:t>Research only</ns0:t>
        </ns0:is>
      </ns0:c>
      <ns0:c r="N320" s="21" t="inlineStr">
        <ns0:is>
          <ns0:t>Automated measurement/classification</ns0:t>
        </ns0:is>
      </ns0:c>
      <ns0:c r="O320" s="21" t="inlineStr">
        <ns0:is>
          <ns0:t>Not observed in assessed sources</ns0:t>
        </ns0:is>
      </ns0:c>
      <ns0:c r="P320" s="21" t="inlineStr">
        <ns0:is>
          <ns0:t>Not observed in assessed sources</ns0:t>
        </ns0:is>
      </ns0:c>
      <ns0:c r="Q320" s="21" t="inlineStr">
        <ns0:is>
          <ns0:t>Not reported in assessed sources</ns0:t>
        </ns0:is>
      </ns0:c>
      <ns0:c r="R320" s="21" t="inlineStr">
        <ns0:is>
          <ns0:t>Not reported in assessed sources</ns0:t>
        </ns0:is>
      </ns0:c>
      <ns0:c r="S320" s="21" t="inlineStr">
        <ns0:is>
          <ns0:t>Not reported in assessed sources</ns0:t>
        </ns0:is>
      </ns0:c>
      <ns0:c r="T320" s="21" t="inlineStr">
        <ns0:is>
          <ns0:t>Not reported in assessed sources</ns0:t>
        </ns0:is>
      </ns0:c>
      <ns0:c r="U320" s="21" t="inlineStr">
        <ns0:is>
          <ns0:t>Not reported in assessed sources</ns0:t>
        </ns0:is>
      </ns0:c>
      <ns0:c r="V320" s="21" t="inlineStr">
        <ns0:is>
          <ns0:t>Reported</ns0:t>
        </ns0:is>
      </ns0:c>
      <ns0:c r="W320" s="21" t="inlineStr">
        <ns0:is>
          <ns0:t>Not reported in assessed sources</ns0:t>
        </ns0:is>
      </ns0:c>
      <ns0:c r="X320" s="21" t="inlineStr">
        <ns0:is>
          <ns0:t>Not reported in assessed sources</ns0:t>
        </ns0:is>
      </ns0:c>
      <ns0:c r="Y320" s="21" t="inlineStr">
        <ns0:is>
          <ns0:t>Not ascertainable</ns0:t>
        </ns0:is>
      </ns0:c>
      <ns0:c r="Z320" s="21" t="inlineStr">
        <ns0:is>
          <ns0:t>Not reported in assessed sources</ns0:t>
        </ns0:is>
      </ns0:c>
      <ns0:c r="AA320" s="21" t="inlineStr">
        <ns0:is>
          <ns0:t>Not recorded</ns0:t>
        </ns0:is>
      </ns0:c>
      <ns0:c r="AB320" s="28" t="n">
        <ns0:v>0</ns0:v>
      </ns0:c>
      <ns0:c r="AC320" s="28" t="n">
        <ns0:v>0</ns0:v>
      </ns0:c>
      <ns0:c r="AD320" s="29">
        <ns0:f>IF(AND(G320=1,AB320=0),1,0)</ns0:f>
        <ns0:v>1</ns0:v>
      </ns0:c>
      <ns0:c r="AE320" s="29">
        <ns0:f>IF(AND(AD320=1,AC320=0),1,0)</ns0:f>
        <ns0:v>1</ns0:v>
      </ns0:c>
      <ns0:c r="AF320" s="29">
        <ns0:f>IF(AND(G320=1,H320&lt;&gt;"Not specified"),1,0)</ns0:f>
        <ns0:v>1</ns0:v>
      </ns0:c>
      <ns0:c r="AG320" s="29">
        <ns0:f>IF(AND(AE320=1,AF320=1),1,0)</ns0:f>
        <ns0:v>1</ns0:v>
      </ns0:c>
      <ns0:c r="AH320" s="21" t="inlineStr">
        <ns0:is>
          <ns0:t>Supplied abstract/coding notes; no new full-text verification</ns0:t>
        </ns0:is>
      </ns0:c>
      <ns0:c r="AI320" s="21" t="inlineStr">
        <ns0:is>
          <ns0:t>https://doi.org/10.1038/s41598-026-58789-0</ns0:t>
        </ns0:is>
      </ns0:c>
      <ns0:c r="AJ320" s="21" t="inlineStr">
        <ns0:is>
          <ns0:t>EVIDENCIA; original abstract/coding notes and lot source trace; Inherited scoped adjudication; see source level and lot caveats</ns0:t>
        </ns0:is>
      </ns0:c>
      <ns0:c r="AK320" s="21" t="inlineStr">
        <ns0:is>
          <ns0:t>Demographic-aware sMRI CNNs with internal five-fold validation; independent-data evaluation explicitly left for future work.</ns0:t>
        </ns0:is>
      </ns0:c>
      <ns0:c r="AL320" s="21" t="inlineStr">
        <ns0:is>
          <ns0:t>Not applicable</ns0:t>
        </ns0:is>
      </ns0:c>
      <ns0:c r="AM320" s="21" t="inlineStr">
        <ns0:is>
          <ns0:t>Not separately specified</ns0:t>
        </ns0:is>
      </ns0:c>
      <ns0:c r="AN320" s="21" t="inlineStr"/>
      <ns0:c r="AO320" s="21" t="inlineStr">
        <ns0:is>
          <ns0:t>No additional status determination</ns0:t>
        </ns0:is>
      </ns0:c>
      <ns0:c r="AP320" s="21" t="inlineStr">
        <ns0:is>
          <ns0:t>Not documented for this recharting</ns0:t>
        </ns0:is>
      </ns0:c>
      <ns0:c r="AQ320" s="21" t="inlineStr">
        <ns0:is>
          <ns0:t>ChatGPT-assisted evidence recharting, 2026-09-08</ns0:t>
        </ns0:is>
      </ns0:c>
      <ns0:c r="AR320" s="21" t="inlineStr">
        <ns0:is>
          <ns0:t>Revisión asistida por IA (un revisor; requiere verificación independiente)</ns0:t>
        </ns0:is>
      </ns0:c>
      <ns0:c r="AS320" s="21" t="inlineStr">
        <ns0:is>
          <ns0:t>Retrieved and reviewed</ns0:t>
        </ns0:is>
      </ns0:c>
    </ns0:row>
    <ns0:row r="321" ht="50" customHeight="1">
      <ns0:c r="A321" s="19" t="inlineStr">
        <ns0:is>
          <ns0:t>new_321</ns0:t>
        </ns0:is>
      </ns0:c>
      <ns0:c r="B321" s="19" t="inlineStr">
        <ns0:is>
          <ns0:t>Update</ns0:t>
        </ns0:is>
      </ns0:c>
      <ns0:c r="C321" s="19" t="inlineStr">
        <ns0:is>
          <ns0:t>Bridging the gap: explainable ai for autism diagnosis and parental support with TabPFNMix and SHAP</ns0:t>
        </ns0:is>
      </ns0:c>
      <ns0:c r="D321" s="19" t="inlineStr">
        <ns0:is>
          <ns0:t>10.1038/s41598-025-24662-9</ns0:t>
        </ns0:is>
      </ns0:c>
      <ns0:c r="E321" s="26" t="n">
        <ns0:v>2025</ns0:v>
      </ns0:c>
      <ns0:c r="F321" s="30" t="inlineStr">
        <ns0:is>
          <ns0:t>Exclude</ns0:t>
        </ns0:is>
      </ns0:c>
      <ns0:c r="G321" s="27">
        <ns0:f>IF(F321="Include",1,0)</ns0:f>
        <ns0:v>0</ns0:v>
      </ns0:c>
      <ns0:c r="H321" s="19" t="inlineStr">
        <ns0:is>
          <ns0:t>Excluded</ns0:t>
        </ns0:is>
      </ns0:c>
      <ns0:c r="I321" s="19" t="inlineStr">
        <ns0:is>
          <ns0:t>Excluded</ns0:t>
        </ns0:is>
      </ns0:c>
      <ns0:c r="J321" s="19" t="inlineStr">
        <ns0:is>
          <ns0:t>Excluded</ns0:t>
        </ns0:is>
      </ns0:c>
      <ns0:c r="K321" s="19" t="inlineStr">
        <ns0:is>
          <ns0:t>TabPFNMix + SHAP</ns0:t>
        </ns0:is>
      </ns0:c>
      <ns0:c r="L321" s="19" t="inlineStr">
        <ns0:is>
          <ns0:t>Transformer</ns0:t>
        </ns0:is>
      </ns0:c>
      <ns0:c r="M321" s="19" t="inlineStr">
        <ns0:is>
          <ns0:t>Excluded</ns0:t>
        </ns0:is>
      </ns0:c>
      <ns0:c r="N321" s="19" t="inlineStr">
        <ns0:is>
          <ns0:t>Excluded</ns0:t>
        </ns0:is>
      </ns0:c>
      <ns0:c r="O321" s="19" t="inlineStr">
        <ns0:is>
          <ns0:t>Not applicable - excluded</ns0:t>
        </ns0:is>
      </ns0:c>
      <ns0:c r="P321" s="19" t="inlineStr">
        <ns0:is>
          <ns0:t>Not applicable - excluded</ns0:t>
        </ns0:is>
      </ns0:c>
      <ns0:c r="Q321" s="19" t="inlineStr">
        <ns0:is>
          <ns0:t>Not reported in assessed sources</ns0:t>
        </ns0:is>
      </ns0:c>
      <ns0:c r="R321" s="19" t="inlineStr">
        <ns0:is>
          <ns0:t>Not reported in assessed sources</ns0:t>
        </ns0:is>
      </ns0:c>
      <ns0:c r="S321" s="19" t="inlineStr">
        <ns0:is>
          <ns0:t>Reported</ns0:t>
        </ns0:is>
      </ns0:c>
      <ns0:c r="T321" s="19" t="inlineStr">
        <ns0:is>
          <ns0:t>Reported</ns0:t>
        </ns0:is>
      </ns0:c>
      <ns0:c r="U321" s="19" t="inlineStr">
        <ns0:is>
          <ns0:t>Not reported in assessed sources</ns0:t>
        </ns0:is>
      </ns0:c>
      <ns0:c r="V321" s="19" t="inlineStr">
        <ns0:is>
          <ns0:t>Not reported in assessed sources</ns0:t>
        </ns0:is>
      </ns0:c>
      <ns0:c r="W321" s="19" t="inlineStr">
        <ns0:is>
          <ns0:t>Not reported in assessed sources</ns0:t>
        </ns0:is>
      </ns0:c>
      <ns0:c r="X321" s="19" t="inlineStr">
        <ns0:is>
          <ns0:t>Not reported in assessed sources</ns0:t>
        </ns0:is>
      </ns0:c>
      <ns0:c r="Y321" s="19" t="inlineStr">
        <ns0:is>
          <ns0:t>Not ascertainable</ns0:t>
        </ns0:is>
      </ns0:c>
      <ns0:c r="Z321" s="19" t="inlineStr">
        <ns0:is>
          <ns0:t>Not reported in assessed sources</ns0:t>
        </ns0:is>
      </ns0:c>
      <ns0:c r="AA321" s="19" t="inlineStr">
        <ns0:is>
          <ns0:t>Retracted; verified 2026-09-08</ns0:t>
        </ns0:is>
      </ns0:c>
      <ns0:c r="AB321" s="26" t="n">
        <ns0:v>0</ns0:v>
      </ns0:c>
      <ns0:c r="AC321" s="26" t="n">
        <ns0:v>0</ns0:v>
      </ns0:c>
      <ns0:c r="AD321" s="27">
        <ns0:f>IF(AND(G321=1,AB321=0),1,0)</ns0:f>
        <ns0:v>0</ns0:v>
      </ns0:c>
      <ns0:c r="AE321" s="27">
        <ns0:f>IF(AND(AD321=1,AC321=0),1,0)</ns0:f>
        <ns0:v>0</ns0:v>
      </ns0:c>
      <ns0:c r="AF321" s="27">
        <ns0:f>IF(AND(G321=1,H321&lt;&gt;"Not specified"),1,0)</ns0:f>
        <ns0:v>0</ns0:v>
      </ns0:c>
      <ns0:c r="AG321" s="27">
        <ns0:f>IF(AND(AE321=1,AF321=1),1,0)</ns0:f>
        <ns0:v>0</ns0:v>
      </ns0:c>
      <ns0:c r="AH321" s="19" t="inlineStr">
        <ns0:is>
          <ns0:t>Publisher integrity notice</ns0:t>
        </ns0:is>
      </ns0:c>
      <ns0:c r="AI321" s="19" t="inlineStr">
        <ns0:is>
          <ns0:t>https://www.nature.com/articles/s41598-025-24662-9</ns0:t>
        </ns0:is>
      </ns0:c>
      <ns0:c r="AJ321" s="19" t="inlineStr">
        <ns0:is>
          <ns0:t>Publisher banner and change history, 5 December 2025</ns0:t>
        </ns0:is>
      </ns0:c>
      <ns0:c r="AK321" s="19" t="inlineStr">
        <ns0:is>
          <ns0:t>Publisher labels the original article retracted on 2025-12-05; retraction DOI 10.1038/s41598-025-31337-y.</ns0:t>
        </ns0:is>
      </ns0:c>
      <ns0:c r="AL321" s="19" t="inlineStr">
        <ns0:is>
          <ns0:t>Retracted publication</ns0:t>
        </ns0:is>
      </ns0:c>
      <ns0:c r="AM321" s="19" t="inlineStr">
        <ns0:is>
          <ns0:t>Not separately specified</ns0:t>
        </ns0:is>
      </ns0:c>
      <ns0:c r="AN321" s="19" t="inlineStr"/>
      <ns0:c r="AO321" s="19" t="inlineStr">
        <ns0:is>
          <ns0:t>No additional status determination</ns0:t>
        </ns0:is>
      </ns0:c>
      <ns0:c r="AP321" s="19" t="inlineStr">
        <ns0:is>
          <ns0:t>Not documented for this recharting</ns0:t>
        </ns0:is>
      </ns0:c>
      <ns0:c r="AQ321" s="19" t="inlineStr">
        <ns0:is>
          <ns0:t>ChatGPT-assisted evidence recharting, 2026-09-08</ns0:t>
        </ns0:is>
      </ns0:c>
      <ns0:c r="AR321" s="19" t="inlineStr">
        <ns0:is>
          <ns0:t>Revisión asistida por IA (un revisor; requiere verificación independiente)</ns0:t>
        </ns0:is>
      </ns0:c>
      <ns0:c r="AS321" s="19" t="inlineStr">
        <ns0:is>
          <ns0:t>Retrieved and reviewed</ns0:t>
        </ns0:is>
      </ns0:c>
    </ns0:row>
    <ns0:row r="322" ht="50" customHeight="1">
      <ns0:c r="A322" s="21" t="inlineStr">
        <ns0:is>
          <ns0:t>new_331</ns0:t>
        </ns0:is>
      </ns0:c>
      <ns0:c r="B322" s="21" t="inlineStr">
        <ns0:is>
          <ns0:t>Update</ns0:t>
        </ns0:is>
      </ns0:c>
      <ns0:c r="C322" s="21" t="inlineStr">
        <ns0:is>
          <ns0:t>Hybrid deep learning and feature selection approach for autism detection from rs-fMRI data</ns0:t>
        </ns0:is>
      </ns0:c>
      <ns0:c r="D322" s="21" t="inlineStr">
        <ns0:is>
          <ns0:t>10.1371/journal.pone.0339921</ns0:t>
        </ns0:is>
      </ns0:c>
      <ns0:c r="E322" s="28" t="n">
        <ns0:v>2026</ns0:v>
      </ns0:c>
      <ns0:c r="F322" s="30" t="inlineStr">
        <ns0:is>
          <ns0:t>Exclude</ns0:t>
        </ns0:is>
      </ns0:c>
      <ns0:c r="G322" s="29">
        <ns0:f>IF(F322="Include",1,0)</ns0:f>
        <ns0:v>0</ns0:v>
      </ns0:c>
      <ns0:c r="H322" s="21" t="inlineStr">
        <ns0:is>
          <ns0:t>Excluded</ns0:t>
        </ns0:is>
      </ns0:c>
      <ns0:c r="I322" s="21" t="inlineStr">
        <ns0:is>
          <ns0:t>Excluded</ns0:t>
        </ns0:is>
      </ns0:c>
      <ns0:c r="J322" s="21" t="inlineStr">
        <ns0:is>
          <ns0:t>Excluded</ns0:t>
        </ns0:is>
      </ns0:c>
      <ns0:c r="K322" s="21" t="inlineStr">
        <ns0:is>
          <ns0:t>Hybrid deep learning + feature selection</ns0:t>
        </ns0:is>
      </ns0:c>
      <ns0:c r="L322" s="21" t="inlineStr">
        <ns0:is>
          <ns0:t>Other specified method</ns0:t>
        </ns0:is>
      </ns0:c>
      <ns0:c r="M322" s="21" t="inlineStr">
        <ns0:is>
          <ns0:t>Excluded</ns0:t>
        </ns0:is>
      </ns0:c>
      <ns0:c r="N322" s="21" t="inlineStr">
        <ns0:is>
          <ns0:t>Excluded</ns0:t>
        </ns0:is>
      </ns0:c>
      <ns0:c r="O322" s="21" t="inlineStr">
        <ns0:is>
          <ns0:t>Not applicable - excluded</ns0:t>
        </ns0:is>
      </ns0:c>
      <ns0:c r="P322" s="21" t="inlineStr">
        <ns0:is>
          <ns0:t>Not applicable - excluded</ns0:t>
        </ns0:is>
      </ns0:c>
      <ns0:c r="Q322" s="21" t="inlineStr">
        <ns0:is>
          <ns0:t>Not reported in assessed sources</ns0:t>
        </ns0:is>
      </ns0:c>
      <ns0:c r="R322" s="21" t="inlineStr">
        <ns0:is>
          <ns0:t>Not reported in assessed sources</ns0:t>
        </ns0:is>
      </ns0:c>
      <ns0:c r="S322" s="21" t="inlineStr">
        <ns0:is>
          <ns0:t>Not reported in assessed sources</ns0:t>
        </ns0:is>
      </ns0:c>
      <ns0:c r="T322" s="21" t="inlineStr">
        <ns0:is>
          <ns0:t>Not reported in assessed sources</ns0:t>
        </ns0:is>
      </ns0:c>
      <ns0:c r="U322" s="21" t="inlineStr">
        <ns0:is>
          <ns0:t>Not reported in assessed sources</ns0:t>
        </ns0:is>
      </ns0:c>
      <ns0:c r="V322" s="21" t="inlineStr">
        <ns0:is>
          <ns0:t>Reported</ns0:t>
        </ns0:is>
      </ns0:c>
      <ns0:c r="W322" s="21" t="inlineStr">
        <ns0:is>
          <ns0:t>Not reported in assessed sources</ns0:t>
        </ns0:is>
      </ns0:c>
      <ns0:c r="X322" s="21" t="inlineStr">
        <ns0:is>
          <ns0:t>Not reported in assessed sources</ns0:t>
        </ns0:is>
      </ns0:c>
      <ns0:c r="Y322" s="21" t="inlineStr">
        <ns0:is>
          <ns0:t>Not ascertainable</ns0:t>
        </ns0:is>
      </ns0:c>
      <ns0:c r="Z322" s="21" t="inlineStr">
        <ns0:is>
          <ns0:t>Not reported in assessed sources</ns0:t>
        </ns0:is>
      </ns0:c>
      <ns0:c r="AA322" s="21" t="inlineStr">
        <ns0:is>
          <ns0:t>Retracted</ns0:t>
        </ns0:is>
      </ns0:c>
      <ns0:c r="AB322" s="28" t="n">
        <ns0:v>0</ns0:v>
      </ns0:c>
      <ns0:c r="AC322" s="28" t="n">
        <ns0:v>0</ns0:v>
      </ns0:c>
      <ns0:c r="AD322" s="29">
        <ns0:f>IF(AND(G322=1,AB322=0),1,0)</ns0:f>
        <ns0:v>0</ns0:v>
      </ns0:c>
      <ns0:c r="AE322" s="29">
        <ns0:f>IF(AND(AD322=1,AC322=0),1,0)</ns0:f>
        <ns0:v>0</ns0:v>
      </ns0:c>
      <ns0:c r="AF322" s="29">
        <ns0:f>IF(AND(G322=1,H322&lt;&gt;"Not specified"),1,0)</ns0:f>
        <ns0:v>0</ns0:v>
      </ns0:c>
      <ns0:c r="AG322" s="29">
        <ns0:f>IF(AND(AE322=1,AF322=1),1,0)</ns0:f>
        <ns0:v>0</ns0:v>
      </ns0:c>
      <ns0:c r="AH322" s="21" t="inlineStr">
        <ns0:is>
          <ns0:t>Primary publisher integrity notice</ns0:t>
        </ns0:is>
      </ns0:c>
      <ns0:c r="AI322" s="21" t="inlineStr">
        <ns0:is>
          <ns0:t>https://journals.plos.org/plosone/article?id=10.1371/journal.pone.0354652</ns0:t>
        </ns0:is>
      </ns0:c>
      <ns0:c r="AJ322" s="21" t="inlineStr">
        <ns0:is>
          <ns0:t>Retraction notice, 27 July 2026; original article in reference 1</ns0:t>
        </ns0:is>
      </ns0:c>
      <ns0:c r="AK322" s="21" t="inlineStr">
        <ns0:is>
          <ns0:t>The PLOS One Editors retracted the original DOI 10.1371/journal.pone.0339921 on 27 July 2026 over result reliability and policy concerns. This is a primary notice, not a title-based integrity suspicion.</ns0:t>
        </ns0:is>
      </ns0:c>
      <ns0:c r="AL322" s="21" t="inlineStr">
        <ns0:is>
          <ns0:t>EC8 Retracted publication</ns0:t>
        </ns0:is>
      </ns0:c>
      <ns0:c r="AM322" s="21" t="inlineStr">
        <ns0:is>
          <ns0:t>Not separately specified</ns0:t>
        </ns0:is>
      </ns0:c>
      <ns0:c r="AN322" s="21" t="inlineStr"/>
      <ns0:c r="AO322" s="21" t="inlineStr">
        <ns0:is>
          <ns0:t>No additional status determination</ns0:t>
        </ns0:is>
      </ns0:c>
      <ns0:c r="AP322" s="21" t="inlineStr">
        <ns0:is>
          <ns0:t>Not documented for this recharting</ns0:t>
        </ns0:is>
      </ns0:c>
      <ns0:c r="AQ322" s="21" t="inlineStr">
        <ns0:is>
          <ns0:t>ChatGPT-assisted evidence recharting, 2026-09-08</ns0:t>
        </ns0:is>
      </ns0:c>
      <ns0:c r="AR322" s="21" t="inlineStr">
        <ns0:is>
          <ns0:t>Revisión asistida por IA (un revisor; requiere verificación independiente)</ns0:t>
        </ns0:is>
      </ns0:c>
      <ns0:c r="AS322" s="21" t="inlineStr">
        <ns0:is>
          <ns0:t>Retrieved and reviewed</ns0:t>
        </ns0:is>
      </ns0:c>
    </ns0:row>
    <ns0:row r="323" ht="50" customHeight="1">
      <ns0:c r="A323" s="19" t="inlineStr">
        <ns0:is>
          <ns0:t>new_335</ns0:t>
        </ns0:is>
      </ns0:c>
      <ns0:c r="B323" s="19" t="inlineStr">
        <ns0:is>
          <ns0:t>Update</ns0:t>
        </ns0:is>
      </ns0:c>
      <ns0:c r="C323" s="19" t="inlineStr">
        <ns0:is>
          <ns0:t>Diagnostic Classification of Autism Spectrum Disorder in the Frequency Domain Using Resting-State fMRI</ns0:t>
        </ns0:is>
      </ns0:c>
      <ns0:c r="D323" s="19" t="inlineStr">
        <ns0:is>
          <ns0:t>10.1007/s12021-026-09782-5</ns0:t>
        </ns0:is>
      </ns0:c>
      <ns0:c r="E323" s="26" t="n">
        <ns0:v>2026</ns0:v>
      </ns0:c>
      <ns0:c r="F323" s="19" t="inlineStr">
        <ns0:is>
          <ns0:t>Include</ns0:t>
        </ns0:is>
      </ns0:c>
      <ns0:c r="G323" s="27">
        <ns0:f>IF(F323="Include",1,0)</ns0:f>
        <ns0:v>1</ns0:v>
      </ns0:c>
      <ns0:c r="H323" s="19" t="inlineStr">
        <ns0:is>
          <ns0:t>Diagnosis</ns0:t>
        </ns0:is>
      </ns0:c>
      <ns0:c r="I323" s="19" t="inlineStr">
        <ns0:is>
          <ns0:t>Machine Learning</ns0:t>
        </ns0:is>
      </ns0:c>
      <ns0:c r="J323" s="19" t="inlineStr">
        <ns0:is>
          <ns0:t>Neuroimaging</ns0:t>
        </ns0:is>
      </ns0:c>
      <ns0:c r="K323" s="19" t="inlineStr">
        <ns0:is>
          <ns0:t>Frequency-domain classifiers; family unspecified</ns0:t>
        </ns0:is>
      </ns0:c>
      <ns0:c r="L323" s="19" t="inlineStr">
        <ns0:is>
          <ns0:t>Multiple/not uniquely specified</ns0:t>
        </ns0:is>
      </ns0:c>
      <ns0:c r="M323" s="19" t="inlineStr">
        <ns0:is>
          <ns0:t>Research only</ns0:t>
        </ns0:is>
      </ns0:c>
      <ns0:c r="N323" s="19" t="inlineStr">
        <ns0:is>
          <ns0:t>Automated measurement/classification</ns0:t>
        </ns0:is>
      </ns0:c>
      <ns0:c r="O323" s="19" t="inlineStr">
        <ns0:is>
          <ns0:t>Not observed in assessed sources</ns0:t>
        </ns0:is>
      </ns0:c>
      <ns0:c r="P323" s="19" t="inlineStr">
        <ns0:is>
          <ns0:t>Not observed in assessed sources</ns0:t>
        </ns0:is>
      </ns0:c>
      <ns0:c r="Q323" s="19" t="inlineStr">
        <ns0:is>
          <ns0:t>Not reported in assessed sources</ns0:t>
        </ns0:is>
      </ns0:c>
      <ns0:c r="R323" s="19" t="inlineStr">
        <ns0:is>
          <ns0:t>Not reported in assessed sources</ns0:t>
        </ns0:is>
      </ns0:c>
      <ns0:c r="S323" s="19" t="inlineStr">
        <ns0:is>
          <ns0:t>Not reported in assessed sources</ns0:t>
        </ns0:is>
      </ns0:c>
      <ns0:c r="T323" s="19" t="inlineStr">
        <ns0:is>
          <ns0:t>Not reported in assessed sources</ns0:t>
        </ns0:is>
      </ns0:c>
      <ns0:c r="U323" s="19" t="inlineStr">
        <ns0:is>
          <ns0:t>Not reported in assessed sources</ns0:t>
        </ns0:is>
      </ns0:c>
      <ns0:c r="V323" s="19" t="inlineStr">
        <ns0:is>
          <ns0:t>Reported</ns0:t>
        </ns0:is>
      </ns0:c>
      <ns0:c r="W323" s="19" t="inlineStr">
        <ns0:is>
          <ns0:t>Not reported in assessed sources</ns0:t>
        </ns0:is>
      </ns0:c>
      <ns0:c r="X323" s="19" t="inlineStr">
        <ns0:is>
          <ns0:t>Not reported in assessed sources</ns0:t>
        </ns0:is>
      </ns0:c>
      <ns0:c r="Y323" s="19" t="inlineStr">
        <ns0:is>
          <ns0:t>Not ascertainable</ns0:t>
        </ns0:is>
      </ns0:c>
      <ns0:c r="Z323" s="19" t="inlineStr">
        <ns0:is>
          <ns0:t>Not reported in assessed sources</ns0:t>
        </ns0:is>
      </ns0:c>
      <ns0:c r="AA323" s="19" t="inlineStr">
        <ns0:is>
          <ns0:t>Not recorded</ns0:t>
        </ns0:is>
      </ns0:c>
      <ns0:c r="AB323" s="26" t="n">
        <ns0:v>0</ns0:v>
      </ns0:c>
      <ns0:c r="AC323" s="26" t="n">
        <ns0:v>0</ns0:v>
      </ns0:c>
      <ns0:c r="AD323" s="27">
        <ns0:f>IF(AND(G323=1,AB323=0),1,0)</ns0:f>
        <ns0:v>1</ns0:v>
      </ns0:c>
      <ns0:c r="AE323" s="27">
        <ns0:f>IF(AND(AD323=1,AC323=0),1,0)</ns0:f>
        <ns0:v>1</ns0:v>
      </ns0:c>
      <ns0:c r="AF323" s="27">
        <ns0:f>IF(AND(G323=1,H323&lt;&gt;"Not specified"),1,0)</ns0:f>
        <ns0:v>1</ns0:v>
      </ns0:c>
      <ns0:c r="AG323" s="27">
        <ns0:f>IF(AND(AE323=1,AF323=1),1,0)</ns0:f>
        <ns0:v>1</ns0:v>
      </ns0:c>
      <ns0:c r="AH323" s="19" t="inlineStr">
        <ns0:is>
          <ns0:t>Supplied abstract/coding notes; no new full-text verification</ns0:t>
        </ns0:is>
      </ns0:c>
      <ns0:c r="AI323" s="19" t="inlineStr">
        <ns0:is>
          <ns0:t>https://doi.org/10.1007/s12021-026-09782-5</ns0:t>
        </ns0:is>
      </ns0:c>
      <ns0:c r="AJ323" s="19" t="inlineStr">
        <ns0:is>
          <ns0:t>EVIDENCIA; original abstract/coding notes and lot source trace; Inherited scoped adjudication; see source level and lot caveats</ns0:t>
        </ns0:is>
      </ns0:c>
      <ns0:c r="AK323" s="19" t="inlineStr">
        <ns0:is>
          <ns0:t>Frequency-domain rs-fMRI offline classifier; CAD motivation does not establish clinical use.</ns0:t>
        </ns0:is>
      </ns0:c>
      <ns0:c r="AL323" s="19" t="inlineStr">
        <ns0:is>
          <ns0:t>Not applicable</ns0:t>
        </ns0:is>
      </ns0:c>
      <ns0:c r="AM323" s="19" t="inlineStr">
        <ns0:is>
          <ns0:t>Not separately specified</ns0:t>
        </ns0:is>
      </ns0:c>
      <ns0:c r="AN323" s="19" t="inlineStr"/>
      <ns0:c r="AO323" s="19" t="inlineStr">
        <ns0:is>
          <ns0:t>No additional status determination</ns0:t>
        </ns0:is>
      </ns0:c>
      <ns0:c r="AP323" s="19" t="inlineStr">
        <ns0:is>
          <ns0:t>Not documented for this recharting</ns0:t>
        </ns0:is>
      </ns0:c>
      <ns0:c r="AQ323" s="19" t="inlineStr">
        <ns0:is>
          <ns0:t>ChatGPT-assisted evidence recharting, 2026-09-08</ns0:t>
        </ns0:is>
      </ns0:c>
      <ns0:c r="AR323" s="19" t="inlineStr">
        <ns0:is>
          <ns0:t>Revisión asistida por IA (un revisor; requiere verificación independiente)</ns0:t>
        </ns0:is>
      </ns0:c>
      <ns0:c r="AS323" s="19" t="inlineStr">
        <ns0:is>
          <ns0:t>Retrieved and reviewed</ns0:t>
        </ns0:is>
      </ns0:c>
    </ns0:row>
    <ns0:row r="324" ht="50" customHeight="1">
      <ns0:c r="A324" s="21" t="inlineStr">
        <ns0:is>
          <ns0:t>new_352</ns0:t>
        </ns0:is>
      </ns0:c>
      <ns0:c r="B324" s="21" t="inlineStr">
        <ns0:is>
          <ns0:t>Update</ns0:t>
        </ns0:is>
      </ns0:c>
      <ns0:c r="C324" s="21" t="inlineStr">
        <ns0:is>
          <ns0:t>Efficient Kulczynski EEG feature selection for autism spectrum disorder diagnosis over fog and cloud computing</ns0:t>
        </ns0:is>
      </ns0:c>
      <ns0:c r="D324" s="21" t="inlineStr">
        <ns0:is>
          <ns0:t>10.1007/s41870-025-02987-y</ns0:t>
        </ns0:is>
      </ns0:c>
      <ns0:c r="E324" s="28" t="n">
        <ns0:v>2025</ns0:v>
      </ns0:c>
      <ns0:c r="F324" s="21" t="inlineStr">
        <ns0:is>
          <ns0:t>Include</ns0:t>
        </ns0:is>
      </ns0:c>
      <ns0:c r="G324" s="29">
        <ns0:f>IF(F324="Include",1,0)</ns0:f>
        <ns0:v>1</ns0:v>
      </ns0:c>
      <ns0:c r="H324" s="21" t="inlineStr">
        <ns0:is>
          <ns0:t>Diagnosis</ns0:t>
        </ns0:is>
      </ns0:c>
      <ns0:c r="I324" s="21" t="inlineStr">
        <ns0:is>
          <ns0:t>Machine Learning</ns0:t>
        </ns0:is>
      </ns0:c>
      <ns0:c r="J324" s="21" t="inlineStr">
        <ns0:is>
          <ns0:t>Physiological signals</ns0:t>
        </ns0:is>
      </ns0:c>
      <ns0:c r="K324" s="21" t="inlineStr">
        <ns0:is>
          <ns0:t>Multiple classifiers; no single primary family</ns0:t>
        </ns0:is>
      </ns0:c>
      <ns0:c r="L324" s="21" t="inlineStr">
        <ns0:is>
          <ns0:t>Multiple/not uniquely specified</ns0:t>
        </ns0:is>
      </ns0:c>
      <ns0:c r="M324" s="21" t="inlineStr">
        <ns0:is>
          <ns0:t>Proposed only</ns0:t>
        </ns0:is>
      </ns0:c>
      <ns0:c r="N324" s="21" t="inlineStr">
        <ns0:is>
          <ns0:t>Diagnostic decision support</ns0:t>
        </ns0:is>
      </ns0:c>
      <ns0:c r="O324" s="21" t="inlineStr">
        <ns0:is>
          <ns0:t>In-decision</ns0:t>
        </ns0:is>
      </ns0:c>
      <ns0:c r="P324" s="21" t="inlineStr">
        <ns0:is>
          <ns0:t>Not observed in assessed sources</ns0:t>
        </ns0:is>
      </ns0:c>
      <ns0:c r="Q324" s="21" t="inlineStr">
        <ns0:is>
          <ns0:t>Not reported in assessed sources</ns0:t>
        </ns0:is>
      </ns0:c>
      <ns0:c r="R324" s="21" t="inlineStr">
        <ns0:is>
          <ns0:t>Not reported in assessed sources</ns0:t>
        </ns0:is>
      </ns0:c>
      <ns0:c r="S324" s="21" t="inlineStr">
        <ns0:is>
          <ns0:t>Not ascertainable</ns0:t>
        </ns0:is>
      </ns0:c>
      <ns0:c r="T324" s="21" t="inlineStr">
        <ns0:is>
          <ns0:t>Not reported in assessed sources</ns0:t>
        </ns0:is>
      </ns0:c>
      <ns0:c r="U324" s="21" t="inlineStr">
        <ns0:is>
          <ns0:t>Not reported in assessed sources</ns0:t>
        </ns0:is>
      </ns0:c>
      <ns0:c r="V324" s="21" t="inlineStr">
        <ns0:is>
          <ns0:t>Not reported in assessed sources</ns0:t>
        </ns0:is>
      </ns0:c>
      <ns0:c r="W324" s="21" t="inlineStr">
        <ns0:is>
          <ns0:t>Not reported in assessed sources</ns0:t>
        </ns0:is>
      </ns0:c>
      <ns0:c r="X324" s="21" t="inlineStr">
        <ns0:is>
          <ns0:t>Not reported in assessed sources</ns0:t>
        </ns0:is>
      </ns0:c>
      <ns0:c r="Y324" s="21" t="inlineStr">
        <ns0:is>
          <ns0:t>Not ascertainable</ns0:t>
        </ns0:is>
      </ns0:c>
      <ns0:c r="Z324" s="21" t="inlineStr">
        <ns0:is>
          <ns0:t>Not ascertainable</ns0:t>
        </ns0:is>
      </ns0:c>
      <ns0:c r="AA324" s="21" t="inlineStr">
        <ns0:is>
          <ns0:t>Not recorded</ns0:t>
        </ns0:is>
      </ns0:c>
      <ns0:c r="AB324" s="28" t="n">
        <ns0:v>0</ns0:v>
      </ns0:c>
      <ns0:c r="AC324" s="28" t="n">
        <ns0:v>0</ns0:v>
      </ns0:c>
      <ns0:c r="AD324" s="29">
        <ns0:f>IF(AND(G324=1,AB324=0),1,0)</ns0:f>
        <ns0:v>1</ns0:v>
      </ns0:c>
      <ns0:c r="AE324" s="29">
        <ns0:f>IF(AND(AD324=1,AC324=0),1,0)</ns0:f>
        <ns0:v>1</ns0:v>
      </ns0:c>
      <ns0:c r="AF324" s="29">
        <ns0:f>IF(AND(G324=1,H324&lt;&gt;"Not specified"),1,0)</ns0:f>
        <ns0:v>1</ns0:v>
      </ns0:c>
      <ns0:c r="AG324" s="29">
        <ns0:f>IF(AND(AE324=1,AF324=1),1,0)</ns0:f>
        <ns0:v>1</ns0:v>
      </ns0:c>
      <ns0:c r="AH324" s="21" t="inlineStr">
        <ns0:is>
          <ns0:t>Supplied abstract/coding notes; no new full-text verification</ns0:t>
        </ns0:is>
      </ns0:c>
      <ns0:c r="AI324" s="21" t="inlineStr">
        <ns0:is>
          <ns0:t>https://doi.org/10.1007/s41870-025-02987-y</ns0:t>
        </ns0:is>
      </ns0:c>
      <ns0:c r="AJ324" s="21" t="inlineStr">
        <ns0:is>
          <ns0:t>EVIDENCIA; original abstract/coding notes and lot source trace; Inherited scoped adjudication; see source level and lot caveats</ns0:t>
        </ns0:is>
      </ns0:c>
      <ns0:c r="AK324" s="21" t="inlineStr">
        <ns0:is>
          <ns0:t>Fog/cloud diagnostic architecture proposed; feature selection alone does not demonstrate model explanation.</ns0:t>
        </ns0:is>
      </ns0:c>
      <ns0:c r="AL324" s="21" t="inlineStr">
        <ns0:is>
          <ns0:t>Not applicable</ns0:t>
        </ns0:is>
      </ns0:c>
      <ns0:c r="AM324" s="21" t="inlineStr">
        <ns0:is>
          <ns0:t>Not separately specified</ns0:t>
        </ns0:is>
      </ns0:c>
      <ns0:c r="AN324" s="21" t="inlineStr"/>
      <ns0:c r="AO324" s="21" t="inlineStr">
        <ns0:is>
          <ns0:t>No additional status determination</ns0:t>
        </ns0:is>
      </ns0:c>
      <ns0:c r="AP324" s="21" t="inlineStr">
        <ns0:is>
          <ns0:t>Not documented for this recharting</ns0:t>
        </ns0:is>
      </ns0:c>
      <ns0:c r="AQ324" s="21" t="inlineStr">
        <ns0:is>
          <ns0:t>ChatGPT-assisted evidence recharting, 2026-09-08</ns0:t>
        </ns0:is>
      </ns0:c>
      <ns0:c r="AR324" s="21" t="inlineStr">
        <ns0:is>
          <ns0:t>Revisión asistida por IA (un revisor; requiere verificación independiente)</ns0:t>
        </ns0:is>
      </ns0:c>
      <ns0:c r="AS324" s="21" t="inlineStr">
        <ns0:is>
          <ns0:t>Retrieved and reviewed</ns0:t>
        </ns0:is>
      </ns0:c>
    </ns0:row>
    <ns0:row r="325" ht="50" customHeight="1">
      <ns0:c r="A325" s="19" t="inlineStr">
        <ns0:is>
          <ns0:t>new_359</ns0:t>
        </ns0:is>
      </ns0:c>
      <ns0:c r="B325" s="19" t="inlineStr">
        <ns0:is>
          <ns0:t>Update</ns0:t>
        </ns0:is>
      </ns0:c>
      <ns0:c r="C325" s="19" t="inlineStr">
        <ns0:is>
          <ns0:t>Privacy preserving federated framework for autism spectrum disorder screening with ensemble stacking and deep learning approaches</ns0:t>
        </ns0:is>
      </ns0:c>
      <ns0:c r="D325" s="19" t="inlineStr">
        <ns0:is>
          <ns0:t>10.1007/s44163-026-01103-8</ns0:t>
        </ns0:is>
      </ns0:c>
      <ns0:c r="E325" s="26" t="n">
        <ns0:v>2026</ns0:v>
      </ns0:c>
      <ns0:c r="F325" s="19" t="inlineStr">
        <ns0:is>
          <ns0:t>Include</ns0:t>
        </ns0:is>
      </ns0:c>
      <ns0:c r="G325" s="27">
        <ns0:f>IF(F325="Include",1,0)</ns0:f>
        <ns0:v>1</ns0:v>
      </ns0:c>
      <ns0:c r="H325" s="19" t="inlineStr">
        <ns0:is>
          <ns0:t>Screening</ns0:t>
        </ns0:is>
      </ns0:c>
      <ns0:c r="I325" s="19" t="inlineStr">
        <ns0:is>
          <ns0:t>Hybrid</ns0:t>
        </ns0:is>
      </ns0:c>
      <ns0:c r="J325" s="19" t="inlineStr">
        <ns0:is>
          <ns0:t>Structured clinical/questionnaire data</ns0:t>
        </ns0:is>
      </ns0:c>
      <ns0:c r="K325" s="19" t="inlineStr">
        <ns0:is>
          <ns0:t>Federated stacking and deep network</ns0:t>
        </ns0:is>
      </ns0:c>
      <ns0:c r="L325" s="19" t="inlineStr">
        <ns0:is>
          <ns0:t>Other specified method</ns0:t>
        </ns0:is>
      </ns0:c>
      <ns0:c r="M325" s="19" t="inlineStr">
        <ns0:is>
          <ns0:t>Proposed only</ns0:t>
        </ns0:is>
      </ns0:c>
      <ns0:c r="N325" s="19" t="inlineStr">
        <ns0:is>
          <ns0:t>Triage/questionnaire assessment</ns0:t>
        </ns0:is>
      </ns0:c>
      <ns0:c r="O325" s="19" t="inlineStr">
        <ns0:is>
          <ns0:t>Pre-decision</ns0:t>
        </ns0:is>
      </ns0:c>
      <ns0:c r="P325" s="19" t="inlineStr">
        <ns0:is>
          <ns0:t>Not observed in assessed sources</ns0:t>
        </ns0:is>
      </ns0:c>
      <ns0:c r="Q325" s="19" t="inlineStr">
        <ns0:is>
          <ns0:t>Not reported in assessed sources</ns0:t>
        </ns0:is>
      </ns0:c>
      <ns0:c r="R325" s="19" t="inlineStr">
        <ns0:is>
          <ns0:t>Not reported in assessed sources</ns0:t>
        </ns0:is>
      </ns0:c>
      <ns0:c r="S325" s="19" t="inlineStr">
        <ns0:is>
          <ns0:t>Not ascertainable</ns0:t>
        </ns0:is>
      </ns0:c>
      <ns0:c r="T325" s="19" t="inlineStr">
        <ns0:is>
          <ns0:t>Not reported in assessed sources</ns0:t>
        </ns0:is>
      </ns0:c>
      <ns0:c r="U325" s="19" t="inlineStr">
        <ns0:is>
          <ns0:t>Not reported in assessed sources</ns0:t>
        </ns0:is>
      </ns0:c>
      <ns0:c r="V325" s="19" t="inlineStr">
        <ns0:is>
          <ns0:t>Not reported in assessed sources</ns0:t>
        </ns0:is>
      </ns0:c>
      <ns0:c r="W325" s="19" t="inlineStr">
        <ns0:is>
          <ns0:t>Not reported in assessed sources</ns0:t>
        </ns0:is>
      </ns0:c>
      <ns0:c r="X325" s="19" t="inlineStr">
        <ns0:is>
          <ns0:t>Not reported in assessed sources</ns0:t>
        </ns0:is>
      </ns0:c>
      <ns0:c r="Y325" s="19" t="inlineStr">
        <ns0:is>
          <ns0:t>Not ascertainable</ns0:t>
        </ns0:is>
      </ns0:c>
      <ns0:c r="Z325" s="19" t="inlineStr">
        <ns0:is>
          <ns0:t>Not ascertainable</ns0:t>
        </ns0:is>
      </ns0:c>
      <ns0:c r="AA325" s="19" t="inlineStr">
        <ns0:is>
          <ns0:t>Not recorded</ns0:t>
        </ns0:is>
      </ns0:c>
      <ns0:c r="AB325" s="26" t="n">
        <ns0:v>0</ns0:v>
      </ns0:c>
      <ns0:c r="AC325" s="26" t="n">
        <ns0:v>0</ns0:v>
      </ns0:c>
      <ns0:c r="AD325" s="27">
        <ns0:f>IF(AND(G325=1,AB325=0),1,0)</ns0:f>
        <ns0:v>1</ns0:v>
      </ns0:c>
      <ns0:c r="AE325" s="27">
        <ns0:f>IF(AND(AD325=1,AC325=0),1,0)</ns0:f>
        <ns0:v>1</ns0:v>
      </ns0:c>
      <ns0:c r="AF325" s="27">
        <ns0:f>IF(AND(G325=1,H325&lt;&gt;"Not specified"),1,0)</ns0:f>
        <ns0:v>1</ns0:v>
      </ns0:c>
      <ns0:c r="AG325" s="27">
        <ns0:f>IF(AND(AE325=1,AF325=1),1,0)</ns0:f>
        <ns0:v>1</ns0:v>
      </ns0:c>
      <ns0:c r="AH325" s="19" t="inlineStr">
        <ns0:is>
          <ns0:t>Supplied abstract/coding notes; no new full-text verification</ns0:t>
        </ns0:is>
      </ns0:c>
      <ns0:c r="AI325" s="19" t="inlineStr">
        <ns0:is>
          <ns0:t>https://doi.org/10.1007/s44163-026-01103-8</ns0:t>
        </ns0:is>
      </ns0:c>
      <ns0:c r="AJ325" s="19" t="inlineStr">
        <ns0:is>
          <ns0:t>EVIDENCIA; original abstract/coding notes and lot source trace; Inherited scoped adjudication; see source level and lot caveats</ns0:t>
        </ns0:is>
      </ns0:c>
      <ns0:c r="AK325" s="19" t="inlineStr">
        <ns0:is>
          <ns0:t>Federated simulation with artificial clients; not observed multisite clinical evaluation or demonstrated privacy guarantee.</ns0:t>
        </ns0:is>
      </ns0:c>
      <ns0:c r="AL325" s="19" t="inlineStr">
        <ns0:is>
          <ns0:t>Not applicable</ns0:t>
        </ns0:is>
      </ns0:c>
      <ns0:c r="AM325" s="19" t="inlineStr">
        <ns0:is>
          <ns0:t>Not separately specified</ns0:t>
        </ns0:is>
      </ns0:c>
      <ns0:c r="AN325" s="19" t="inlineStr"/>
      <ns0:c r="AO325" s="19" t="inlineStr">
        <ns0:is>
          <ns0:t>No additional status determination</ns0:t>
        </ns0:is>
      </ns0:c>
      <ns0:c r="AP325" s="19" t="inlineStr">
        <ns0:is>
          <ns0:t>Not documented for this recharting</ns0:t>
        </ns0:is>
      </ns0:c>
      <ns0:c r="AQ325" s="19" t="inlineStr">
        <ns0:is>
          <ns0:t>ChatGPT-assisted evidence recharting, 2026-09-08</ns0:t>
        </ns0:is>
      </ns0:c>
      <ns0:c r="AR325" s="19" t="inlineStr">
        <ns0:is>
          <ns0:t>Revisión asistida por IA (un revisor; requiere verificación independiente)</ns0:t>
        </ns0:is>
      </ns0:c>
      <ns0:c r="AS325" s="19" t="inlineStr">
        <ns0:is>
          <ns0:t>Retrieved and reviewed</ns0:t>
        </ns0:is>
      </ns0:c>
    </ns0:row>
    <ns0:row r="326" ht="50" customHeight="1">
      <ns0:c r="A326" s="21" t="inlineStr">
        <ns0:is>
          <ns0:t>new_372</ns0:t>
        </ns0:is>
      </ns0:c>
      <ns0:c r="B326" s="21" t="inlineStr">
        <ns0:is>
          <ns0:t>Update</ns0:t>
        </ns0:is>
      </ns0:c>
      <ns0:c r="C326" s="21" t="inlineStr">
        <ns0:is>
          <ns0:t>Machine learning of clinical phenotypes facilitates autism screening and identifies novel subgroups with distinct transcriptomic profiles</ns0:t>
        </ns0:is>
      </ns0:c>
      <ns0:c r="D326" s="21" t="inlineStr">
        <ns0:is>
          <ns0:t>10.1038/s41598-025-95291-5</ns0:t>
        </ns0:is>
      </ns0:c>
      <ns0:c r="E326" s="28" t="n">
        <ns0:v>2025</ns0:v>
      </ns0:c>
      <ns0:c r="F326" s="21" t="inlineStr">
        <ns0:is>
          <ns0:t>Include</ns0:t>
        </ns0:is>
      </ns0:c>
      <ns0:c r="G326" s="29">
        <ns0:f>IF(F326="Include",1,0)</ns0:f>
        <ns0:v>1</ns0:v>
      </ns0:c>
      <ns0:c r="H326" s="21" t="inlineStr">
        <ns0:is>
          <ns0:t>Screening</ns0:t>
        </ns0:is>
      </ns0:c>
      <ns0:c r="I326" s="21" t="inlineStr">
        <ns0:is>
          <ns0:t>Deep Learning</ns0:t>
        </ns0:is>
      </ns0:c>
      <ns0:c r="J326" s="21" t="inlineStr">
        <ns0:is>
          <ns0:t>Structured clinical/questionnaire data</ns0:t>
        </ns0:is>
      </ns0:c>
      <ns0:c r="K326" s="21" t="inlineStr">
        <ns0:is>
          <ns0:t>Deep classifier; family unspecified</ns0:t>
        </ns0:is>
      </ns0:c>
      <ns0:c r="L326" s="21" t="inlineStr">
        <ns0:is>
          <ns0:t>Multiple/not uniquely specified</ns0:t>
        </ns0:is>
      </ns0:c>
      <ns0:c r="M326" s="21" t="inlineStr">
        <ns0:is>
          <ns0:t>Research only</ns0:t>
        </ns0:is>
      </ns0:c>
      <ns0:c r="N326" s="21" t="inlineStr">
        <ns0:is>
          <ns0:t>Triage/questionnaire assessment</ns0:t>
        </ns0:is>
      </ns0:c>
      <ns0:c r="O326" s="21" t="inlineStr">
        <ns0:is>
          <ns0:t>Not observed in assessed sources</ns0:t>
        </ns0:is>
      </ns0:c>
      <ns0:c r="P326" s="21" t="inlineStr">
        <ns0:is>
          <ns0:t>Not observed in assessed sources</ns0:t>
        </ns0:is>
      </ns0:c>
      <ns0:c r="Q326" s="21" t="inlineStr">
        <ns0:is>
          <ns0:t>Not reported in assessed sources</ns0:t>
        </ns0:is>
      </ns0:c>
      <ns0:c r="R326" s="21" t="inlineStr">
        <ns0:is>
          <ns0:t>Not ascertainable</ns0:t>
        </ns0:is>
      </ns0:c>
      <ns0:c r="S326" s="21" t="inlineStr">
        <ns0:is>
          <ns0:t>Not reported in assessed sources</ns0:t>
        </ns0:is>
      </ns0:c>
      <ns0:c r="T326" s="21" t="inlineStr">
        <ns0:is>
          <ns0:t>Not reported in assessed sources</ns0:t>
        </ns0:is>
      </ns0:c>
      <ns0:c r="U326" s="21" t="inlineStr">
        <ns0:is>
          <ns0:t>Not reported in assessed sources</ns0:t>
        </ns0:is>
      </ns0:c>
      <ns0:c r="V326" s="21" t="inlineStr">
        <ns0:is>
          <ns0:t>Not reported in assessed sources</ns0:t>
        </ns0:is>
      </ns0:c>
      <ns0:c r="W326" s="21" t="inlineStr">
        <ns0:is>
          <ns0:t>Reported</ns0:t>
        </ns0:is>
      </ns0:c>
      <ns0:c r="X326" s="21" t="inlineStr">
        <ns0:is>
          <ns0:t>Not reported in assessed sources</ns0:t>
        </ns0:is>
      </ns0:c>
      <ns0:c r="Y326" s="21" t="inlineStr">
        <ns0:is>
          <ns0:t>Not ascertainable</ns0:t>
        </ns0:is>
      </ns0:c>
      <ns0:c r="Z326" s="21" t="inlineStr">
        <ns0:is>
          <ns0:t>Not reported in assessed sources</ns0:t>
        </ns0:is>
      </ns0:c>
      <ns0:c r="AA326" s="21" t="inlineStr">
        <ns0:is>
          <ns0:t>Not recorded</ns0:t>
        </ns0:is>
      </ns0:c>
      <ns0:c r="AB326" s="28" t="n">
        <ns0:v>0</ns0:v>
      </ns0:c>
      <ns0:c r="AC326" s="28" t="n">
        <ns0:v>0</ns0:v>
      </ns0:c>
      <ns0:c r="AD326" s="29">
        <ns0:f>IF(AND(G326=1,AB326=0),1,0)</ns0:f>
        <ns0:v>1</ns0:v>
      </ns0:c>
      <ns0:c r="AE326" s="29">
        <ns0:f>IF(AND(AD326=1,AC326=0),1,0)</ns0:f>
        <ns0:v>1</ns0:v>
      </ns0:c>
      <ns0:c r="AF326" s="29">
        <ns0:f>IF(AND(G326=1,H326&lt;&gt;"Not specified"),1,0)</ns0:f>
        <ns0:v>1</ns0:v>
      </ns0:c>
      <ns0:c r="AG326" s="29">
        <ns0:f>IF(AND(AE326=1,AF326=1),1,0)</ns0:f>
        <ns0:v>1</ns0:v>
      </ns0:c>
      <ns0:c r="AH326" s="21" t="inlineStr">
        <ns0:is>
          <ns0:t>Supplied abstract/coding notes; no new full-text verification</ns0:t>
        </ns0:is>
      </ns0:c>
      <ns0:c r="AI326" s="21" t="inlineStr">
        <ns0:is>
          <ns0:t>https://doi.org/10.1038/s41598-025-95291-5</ns0:t>
        </ns0:is>
      </ns0:c>
      <ns0:c r="AJ326" s="21" t="inlineStr">
        <ns0:is>
          <ns0:t>EVIDENCIA; original abstract/coding notes and lot source trace; Inherited scoped adjudication; see source level and lot caveats</ns0:t>
        </ns0:is>
      </ns0:c>
      <ns0:c r="AK326" s="21" t="inlineStr">
        <ns0:is>
          <ns0:t>Screening model uses ADI-R phenotypes; transcriptomic subgroup characterization is secondary, not necessarily joint predictive input.</ns0:t>
        </ns0:is>
      </ns0:c>
      <ns0:c r="AL326" s="21" t="inlineStr">
        <ns0:is>
          <ns0:t>Not applicable</ns0:t>
        </ns0:is>
      </ns0:c>
      <ns0:c r="AM326" s="21" t="inlineStr">
        <ns0:is>
          <ns0:t>Not separately specified</ns0:t>
        </ns0:is>
      </ns0:c>
      <ns0:c r="AN326" s="21" t="inlineStr"/>
      <ns0:c r="AO326" s="21" t="inlineStr">
        <ns0:is>
          <ns0:t>No additional status determination</ns0:t>
        </ns0:is>
      </ns0:c>
      <ns0:c r="AP326" s="21" t="inlineStr">
        <ns0:is>
          <ns0:t>Not documented for this recharting</ns0:t>
        </ns0:is>
      </ns0:c>
      <ns0:c r="AQ326" s="21" t="inlineStr">
        <ns0:is>
          <ns0:t>ChatGPT-assisted evidence recharting, 2026-09-08</ns0:t>
        </ns0:is>
      </ns0:c>
      <ns0:c r="AR326" s="21" t="inlineStr">
        <ns0:is>
          <ns0:t>Revisión asistida por IA (un revisor; requiere verificación independiente)</ns0:t>
        </ns0:is>
      </ns0:c>
      <ns0:c r="AS326" s="21" t="inlineStr">
        <ns0:is>
          <ns0:t>Retrieved and reviewed</ns0:t>
        </ns0:is>
      </ns0:c>
    </ns0:row>
    <ns0:row r="327" ht="50" customHeight="1">
      <ns0:c r="A327" s="19" t="inlineStr">
        <ns0:is>
          <ns0:t>new_378</ns0:t>
        </ns0:is>
      </ns0:c>
      <ns0:c r="B327" s="19" t="inlineStr">
        <ns0:is>
          <ns0:t>Update</ns0:t>
        </ns0:is>
      </ns0:c>
      <ns0:c r="C327" s="19" t="inlineStr">
        <ns0:is>
          <ns0:t>Integrating Network Analysis and Machine Learning Identifies Key Autism Spectrum Disorder Genes Linked to Immune Dysregulation and Therapeutic Targets</ns0:t>
        </ns0:is>
      </ns0:c>
      <ns0:c r="D327" s="19" t="inlineStr">
        <ns0:is>
          <ns0:t>10.3390/genes16091109</ns0:t>
        </ns0:is>
      </ns0:c>
      <ns0:c r="E327" s="26" t="n">
        <ns0:v>2025</ns0:v>
      </ns0:c>
      <ns0:c r="F327" s="19" t="inlineStr">
        <ns0:is>
          <ns0:t>Include</ns0:t>
        </ns0:is>
      </ns0:c>
      <ns0:c r="G327" s="27">
        <ns0:f>IF(F327="Include",1,0)</ns0:f>
        <ns0:v>1</ns0:v>
      </ns0:c>
      <ns0:c r="H327" s="19" t="inlineStr">
        <ns0:is>
          <ns0:t>Not specified</ns0:t>
        </ns0:is>
      </ns0:c>
      <ns0:c r="I327" s="19" t="inlineStr">
        <ns0:is>
          <ns0:t>Machine Learning</ns0:t>
        </ns0:is>
      </ns0:c>
      <ns0:c r="J327" s="19" t="inlineStr">
        <ns0:is>
          <ns0:t>Biological/omics</ns0:t>
        </ns0:is>
      </ns0:c>
      <ns0:c r="K327" s="19" t="inlineStr">
        <ns0:is>
          <ns0:t>Random forest</ns0:t>
        </ns0:is>
      </ns0:c>
      <ns0:c r="L327" s="19" t="inlineStr">
        <ns0:is>
          <ns0:t>Random forest</ns0:t>
        </ns0:is>
      </ns0:c>
      <ns0:c r="M327" s="19" t="inlineStr">
        <ns0:is>
          <ns0:t>Research only</ns0:t>
        </ns0:is>
      </ns0:c>
      <ns0:c r="N327" s="19" t="inlineStr">
        <ns0:is>
          <ns0:t>Research characterization</ns0:t>
        </ns0:is>
      </ns0:c>
      <ns0:c r="O327" s="19" t="inlineStr">
        <ns0:is>
          <ns0:t>Not observed in assessed sources</ns0:t>
        </ns0:is>
      </ns0:c>
      <ns0:c r="P327" s="19" t="inlineStr">
        <ns0:is>
          <ns0:t>Not observed in assessed sources</ns0:t>
        </ns0:is>
      </ns0:c>
      <ns0:c r="Q327" s="19" t="inlineStr">
        <ns0:is>
          <ns0:t>Not reported in assessed sources</ns0:t>
        </ns0:is>
      </ns0:c>
      <ns0:c r="R327" s="19" t="inlineStr">
        <ns0:is>
          <ns0:t>Not reported in assessed sources</ns0:t>
        </ns0:is>
      </ns0:c>
      <ns0:c r="S327" s="19" t="inlineStr">
        <ns0:is>
          <ns0:t>Reported</ns0:t>
        </ns0:is>
      </ns0:c>
      <ns0:c r="T327" s="19" t="inlineStr">
        <ns0:is>
          <ns0:t>Not reported in assessed sources</ns0:t>
        </ns0:is>
      </ns0:c>
      <ns0:c r="U327" s="19" t="inlineStr">
        <ns0:is>
          <ns0:t>Not reported in assessed sources</ns0:t>
        </ns0:is>
      </ns0:c>
      <ns0:c r="V327" s="19" t="inlineStr">
        <ns0:is>
          <ns0:t>Not reported in assessed sources</ns0:t>
        </ns0:is>
      </ns0:c>
      <ns0:c r="W327" s="19" t="inlineStr">
        <ns0:is>
          <ns0:t>Not reported in assessed sources</ns0:t>
        </ns0:is>
      </ns0:c>
      <ns0:c r="X327" s="19" t="inlineStr">
        <ns0:is>
          <ns0:t>Not reported in assessed sources</ns0:t>
        </ns0:is>
      </ns0:c>
      <ns0:c r="Y327" s="19" t="inlineStr">
        <ns0:is>
          <ns0:t>Not ascertainable</ns0:t>
        </ns0:is>
      </ns0:c>
      <ns0:c r="Z327" s="19" t="inlineStr">
        <ns0:is>
          <ns0:t>Reported</ns0:t>
        </ns0:is>
      </ns0:c>
      <ns0:c r="AA327" s="19" t="inlineStr">
        <ns0:is>
          <ns0:t>Not recorded</ns0:t>
        </ns0:is>
      </ns0:c>
      <ns0:c r="AB327" s="26" t="n">
        <ns0:v>0</ns0:v>
      </ns0:c>
      <ns0:c r="AC327" s="26" t="n">
        <ns0:v>0</ns0:v>
      </ns0:c>
      <ns0:c r="AD327" s="27">
        <ns0:f>IF(AND(G327=1,AB327=0),1,0)</ns0:f>
        <ns0:v>1</ns0:v>
      </ns0:c>
      <ns0:c r="AE327" s="27">
        <ns0:f>IF(AND(AD327=1,AC327=0),1,0)</ns0:f>
        <ns0:v>1</ns0:v>
      </ns0:c>
      <ns0:c r="AF327" s="27">
        <ns0:f>IF(AND(G327=1,H327&lt;&gt;"Not specified"),1,0)</ns0:f>
        <ns0:v>0</ns0:v>
      </ns0:c>
      <ns0:c r="AG327" s="27">
        <ns0:f>IF(AND(AE327=1,AF327=1),1,0)</ns0:f>
        <ns0:v>0</ns0:v>
      </ns0:c>
      <ns0:c r="AH327" s="19" t="inlineStr">
        <ns0:is>
          <ns0:t>Supplied abstract/coding notes; no new full-text verification</ns0:t>
        </ns0:is>
      </ns0:c>
      <ns0:c r="AI327" s="19" t="inlineStr">
        <ns0:is>
          <ns0:t>https://doi.org/10.3390/genes16091109</ns0:t>
        </ns0:is>
      </ns0:c>
      <ns0:c r="AJ327" s="19" t="inlineStr">
        <ns0:is>
          <ns0:t>EVIDENCIA; original abstract/coding notes and lot source trace; Inherited scoped adjudication; see source level and lot caveats</ns0:t>
        </ns0:is>
      </ns0:c>
      <ns0:c r="AK327" s="19" t="inlineStr">
        <ns0:is>
          <ns0:t>Gene prioritization endpoint, not patient diagnostic prediction.</ns0:t>
        </ns0:is>
      </ns0:c>
      <ns0:c r="AL327" s="19" t="inlineStr">
        <ns0:is>
          <ns0:t>Not applicable</ns0:t>
        </ns0:is>
      </ns0:c>
      <ns0:c r="AM327" s="19" t="inlineStr">
        <ns0:is>
          <ns0:t>Not separately specified</ns0:t>
        </ns0:is>
      </ns0:c>
      <ns0:c r="AN327" s="19" t="inlineStr"/>
      <ns0:c r="AO327" s="19" t="inlineStr">
        <ns0:is>
          <ns0:t>No additional status determination</ns0:t>
        </ns0:is>
      </ns0:c>
      <ns0:c r="AP327" s="19" t="inlineStr">
        <ns0:is>
          <ns0:t>Not documented for this recharting</ns0:t>
        </ns0:is>
      </ns0:c>
      <ns0:c r="AQ327" s="19" t="inlineStr">
        <ns0:is>
          <ns0:t>ChatGPT-assisted evidence recharting, 2026-09-08</ns0:t>
        </ns0:is>
      </ns0:c>
      <ns0:c r="AR327" s="19" t="inlineStr">
        <ns0:is>
          <ns0:t>Revisión asistida por IA (un revisor; requiere verificación independiente)</ns0:t>
        </ns0:is>
      </ns0:c>
      <ns0:c r="AS327" s="19" t="inlineStr">
        <ns0:is>
          <ns0:t>Retrieved and reviewed</ns0:t>
        </ns0:is>
      </ns0:c>
    </ns0:row>
    <ns0:row r="328" ht="50" customHeight="1">
      <ns0:c r="A328" s="21" t="inlineStr">
        <ns0:is>
          <ns0:t>new_384</ns0:t>
        </ns0:is>
      </ns0:c>
      <ns0:c r="B328" s="21" t="inlineStr">
        <ns0:is>
          <ns0:t>Update</ns0:t>
        </ns0:is>
      </ns0:c>
      <ns0:c r="C328" s="23" t="inlineStr">
        <ns0:is>
          <ns0:t>Air pollution and autism-like traits: Sensitive periods and joint effects of exposure to sources and constituents of fine particulate matter</ns0:t>
        </ns0:is>
      </ns0:c>
      <ns0:c r="D328" s="21" t="inlineStr">
        <ns0:is>
          <ns0:t>10.1016/j.envres.2026.125213</ns0:t>
        </ns0:is>
      </ns0:c>
      <ns0:c r="E328" s="28" t="n">
        <ns0:v>2026</ns0:v>
      </ns0:c>
      <ns0:c r="F328" s="21" t="inlineStr">
        <ns0:is>
          <ns0:t>Include</ns0:t>
        </ns0:is>
      </ns0:c>
      <ns0:c r="G328" s="29">
        <ns0:f>IF(F328="Include",1,0)</ns0:f>
        <ns0:v>1</ns0:v>
      </ns0:c>
      <ns0:c r="H328" s="21" t="inlineStr">
        <ns0:is>
          <ns0:t>Not specified</ns0:t>
        </ns0:is>
      </ns0:c>
      <ns0:c r="I328" s="21" t="inlineStr">
        <ns0:is>
          <ns0:t>Machine Learning</ns0:t>
        </ns0:is>
      </ns0:c>
      <ns0:c r="J328" s="21" t="inlineStr">
        <ns0:is>
          <ns0:t>Multiple source categories</ns0:t>
        </ns0:is>
      </ns0:c>
      <ns0:c r="K328" s="21" t="inlineStr">
        <ns0:is>
          <ns0:t>Exposure estimation: neural network/RF/boosting</ns0:t>
        </ns0:is>
      </ns0:c>
      <ns0:c r="L328" s="21" t="inlineStr">
        <ns0:is>
          <ns0:t>Random forest</ns0:t>
        </ns0:is>
      </ns0:c>
      <ns0:c r="M328" s="21" t="inlineStr">
        <ns0:is>
          <ns0:t>Research only</ns0:t>
        </ns0:is>
      </ns0:c>
      <ns0:c r="N328" s="21" t="inlineStr">
        <ns0:is>
          <ns0:t>Research characterization</ns0:t>
        </ns0:is>
      </ns0:c>
      <ns0:c r="O328" s="21" t="inlineStr">
        <ns0:is>
          <ns0:t>Not observed in assessed sources</ns0:t>
        </ns0:is>
      </ns0:c>
      <ns0:c r="P328" s="21" t="inlineStr">
        <ns0:is>
          <ns0:t>Not observed in assessed sources</ns0:t>
        </ns0:is>
      </ns0:c>
      <ns0:c r="Q328" s="21" t="inlineStr">
        <ns0:is>
          <ns0:t>Not reported in assessed sources</ns0:t>
        </ns0:is>
      </ns0:c>
      <ns0:c r="R328" s="21" t="inlineStr">
        <ns0:is>
          <ns0:t>Not reported in assessed sources</ns0:t>
        </ns0:is>
      </ns0:c>
      <ns0:c r="S328" s="21" t="inlineStr">
        <ns0:is>
          <ns0:t>Not reported in assessed sources</ns0:t>
        </ns0:is>
      </ns0:c>
      <ns0:c r="T328" s="21" t="inlineStr">
        <ns0:is>
          <ns0:t>Not reported in assessed sources</ns0:t>
        </ns0:is>
      </ns0:c>
      <ns0:c r="U328" s="21" t="inlineStr">
        <ns0:is>
          <ns0:t>Not reported in assessed sources</ns0:t>
        </ns0:is>
      </ns0:c>
      <ns0:c r="V328" s="21" t="inlineStr">
        <ns0:is>
          <ns0:t>Not reported in assessed sources</ns0:t>
        </ns0:is>
      </ns0:c>
      <ns0:c r="W328" s="21" t="inlineStr">
        <ns0:is>
          <ns0:t>Not reported in assessed sources</ns0:t>
        </ns0:is>
      </ns0:c>
      <ns0:c r="X328" s="21" t="inlineStr">
        <ns0:is>
          <ns0:t>Not reported in assessed sources</ns0:t>
        </ns0:is>
      </ns0:c>
      <ns0:c r="Y328" s="21" t="inlineStr">
        <ns0:is>
          <ns0:t>Not ascertainable</ns0:t>
        </ns0:is>
      </ns0:c>
      <ns0:c r="Z328" s="21" t="inlineStr">
        <ns0:is>
          <ns0:t>Not reported in assessed sources</ns0:t>
        </ns0:is>
      </ns0:c>
      <ns0:c r="AA328" s="21" t="inlineStr">
        <ns0:is>
          <ns0:t>Not recorded</ns0:t>
        </ns0:is>
      </ns0:c>
      <ns0:c r="AB328" s="28" t="n">
        <ns0:v>0</ns0:v>
      </ns0:c>
      <ns0:c r="AC328" s="28" t="n">
        <ns0:v>1</ns0:v>
      </ns0:c>
      <ns0:c r="AD328" s="29">
        <ns0:f>IF(AND(G328=1,AB328=0),1,0)</ns0:f>
        <ns0:v>1</ns0:v>
      </ns0:c>
      <ns0:c r="AE328" s="29">
        <ns0:f>IF(AND(AD328=1,AC328=0),1,0)</ns0:f>
        <ns0:v>0</ns0:v>
      </ns0:c>
      <ns0:c r="AF328" s="29">
        <ns0:f>IF(AND(G328=1,H328&lt;&gt;"Not specified"),1,0)</ns0:f>
        <ns0:v>0</ns0:v>
      </ns0:c>
      <ns0:c r="AG328" s="29">
        <ns0:f>IF(AND(AE328=1,AF328=1),1,0)</ns0:f>
        <ns0:v>0</ns0:v>
      </ns0:c>
      <ns0:c r="AH328" s="21" t="inlineStr">
        <ns0:is>
          <ns0:t>Supplied abstract/coding notes; no new full-text verification</ns0:t>
        </ns0:is>
      </ns0:c>
      <ns0:c r="AI328" s="21" t="inlineStr">
        <ns0:is>
          <ns0:t>https://doi.org/10.1016/j.envres.2026.125213</ns0:t>
        </ns0:is>
      </ns0:c>
      <ns0:c r="AJ328" s="21" t="inlineStr">
        <ns0:is>
          <ns0:t>EVIDENCIA; original abstract/coding notes and lot source trace; Inherited scoped adjudication; see source level and lot caveats</ns0:t>
        </ns0:is>
      </ns0:c>
      <ns0:c r="AK328" s="21" t="inlineStr">
        <ns0:is>
          <ns0:t>ML exposure reconstruction plus ASD-trait epidemiology; not a prospectively evaluated ASD prognosis tool.
Indirect ASD relevance: ML estimates exposure, not the clinical outcome.</ns0:t>
        </ns0:is>
      </ns0:c>
      <ns0:c r="AL328" s="21" t="inlineStr">
        <ns0:is>
          <ns0:t>Not applicable</ns0:t>
        </ns0:is>
      </ns0:c>
      <ns0:c r="AM328" s="21" t="inlineStr">
        <ns0:is>
          <ns0:t>Exposure estimation and association</ns0:t>
        </ns0:is>
      </ns0:c>
      <ns0:c r="AN328" s="21" t="inlineStr">
        <ns0:is>
          <ns0:t>Indirect ASD relevance: ML estimates exposure, not the clinical outcome.</ns0:t>
        </ns0:is>
      </ns0:c>
      <ns0:c r="AO328" s="21" t="inlineStr">
        <ns0:is>
          <ns0:t>No additional status determination</ns0:t>
        </ns0:is>
      </ns0:c>
      <ns0:c r="AP328" s="21" t="inlineStr">
        <ns0:is>
          <ns0:t>Not documented for this recharting</ns0:t>
        </ns0:is>
      </ns0:c>
      <ns0:c r="AQ328" s="21" t="inlineStr">
        <ns0:is>
          <ns0:t>ChatGPT-assisted evidence recharting, 2026-09-08</ns0:t>
        </ns0:is>
      </ns0:c>
      <ns0:c r="AR328" s="21" t="inlineStr">
        <ns0:is>
          <ns0:t>Revisión asistida por IA (un revisor; requiere verificación independiente)</ns0:t>
        </ns0:is>
      </ns0:c>
      <ns0:c r="AS328" s="21" t="inlineStr">
        <ns0:is>
          <ns0:t>Retrieved and reviewed</ns0:t>
        </ns0:is>
      </ns0:c>
    </ns0:row>
    <ns0:row r="329" ht="50" customHeight="1">
      <ns0:c r="A329" s="19" t="inlineStr">
        <ns0:is>
          <ns0:t>new_395</ns0:t>
        </ns0:is>
      </ns0:c>
      <ns0:c r="B329" s="19" t="inlineStr">
        <ns0:is>
          <ns0:t>Update</ns0:t>
        </ns0:is>
      </ns0:c>
      <ns0:c r="C329" s="19" t="inlineStr">
        <ns0:is>
          <ns0:t>Prematurity and genetic liability for autism spectrum disorder</ns0:t>
        </ns0:is>
      </ns0:c>
      <ns0:c r="D329" s="19" t="inlineStr">
        <ns0:is>
          <ns0:t>10.1186/s13073-025-01552-3</ns0:t>
        </ns0:is>
      </ns0:c>
      <ns0:c r="E329" s="26" t="n">
        <ns0:v>2025</ns0:v>
      </ns0:c>
      <ns0:c r="F329" s="19" t="inlineStr">
        <ns0:is>
          <ns0:t>Include</ns0:t>
        </ns0:is>
      </ns0:c>
      <ns0:c r="G329" s="27">
        <ns0:f>IF(F329="Include",1,0)</ns0:f>
        <ns0:v>1</ns0:v>
      </ns0:c>
      <ns0:c r="H329" s="19" t="inlineStr">
        <ns0:is>
          <ns0:t>Prognosis</ns0:t>
        </ns0:is>
      </ns0:c>
      <ns0:c r="I329" s="19" t="inlineStr">
        <ns0:is>
          <ns0:t>Machine Learning</ns0:t>
        </ns0:is>
      </ns0:c>
      <ns0:c r="J329" s="19" t="inlineStr">
        <ns0:is>
          <ns0:t>Multiple source categories</ns0:t>
        </ns0:is>
      </ns0:c>
      <ns0:c r="K329" s="19" t="inlineStr">
        <ns0:is>
          <ns0:t>XGBoost / random forest / SVM comparison</ns0:t>
        </ns0:is>
      </ns0:c>
      <ns0:c r="L329" s="19" t="inlineStr">
        <ns0:is>
          <ns0:t>Multiple/not uniquely specified</ns0:t>
        </ns0:is>
      </ns0:c>
      <ns0:c r="M329" s="19" t="inlineStr">
        <ns0:is>
          <ns0:t>Research only</ns0:t>
        </ns0:is>
      </ns0:c>
      <ns0:c r="N329" s="19" t="inlineStr">
        <ns0:is>
          <ns0:t>Risk/trajectory estimation</ns0:t>
        </ns0:is>
      </ns0:c>
      <ns0:c r="O329" s="19" t="inlineStr">
        <ns0:is>
          <ns0:t>Not observed in assessed sources</ns0:t>
        </ns0:is>
      </ns0:c>
      <ns0:c r="P329" s="19" t="inlineStr">
        <ns0:is>
          <ns0:t>Not observed in assessed sources</ns0:t>
        </ns0:is>
      </ns0:c>
      <ns0:c r="Q329" s="19" t="inlineStr">
        <ns0:is>
          <ns0:t>Not reported in assessed sources</ns0:t>
        </ns0:is>
      </ns0:c>
      <ns0:c r="R329" s="19" t="inlineStr">
        <ns0:is>
          <ns0:t>Reported</ns0:t>
        </ns0:is>
      </ns0:c>
      <ns0:c r="S329" s="19" t="inlineStr">
        <ns0:is>
          <ns0:t>Reported</ns0:t>
        </ns0:is>
      </ns0:c>
      <ns0:c r="T329" s="19" t="inlineStr">
        <ns0:is>
          <ns0:t>Reported</ns0:t>
        </ns0:is>
      </ns0:c>
      <ns0:c r="U329" s="19" t="inlineStr">
        <ns0:is>
          <ns0:t>Not reported in assessed sources</ns0:t>
        </ns0:is>
      </ns0:c>
      <ns0:c r="V329" s="19" t="inlineStr">
        <ns0:is>
          <ns0:t>Not reported in assessed sources</ns0:t>
        </ns0:is>
      </ns0:c>
      <ns0:c r="W329" s="19" t="inlineStr">
        <ns0:is>
          <ns0:t>Reported</ns0:t>
        </ns0:is>
      </ns0:c>
      <ns0:c r="X329" s="19" t="inlineStr">
        <ns0:is>
          <ns0:t>Not reported in assessed sources</ns0:t>
        </ns0:is>
      </ns0:c>
      <ns0:c r="Y329" s="19" t="inlineStr">
        <ns0:is>
          <ns0:t>Not ascertainable</ns0:t>
        </ns0:is>
      </ns0:c>
      <ns0:c r="Z329" s="19" t="inlineStr">
        <ns0:is>
          <ns0:t>Not reported in assessed sources</ns0:t>
        </ns0:is>
      </ns0:c>
      <ns0:c r="AA329" s="19" t="inlineStr">
        <ns0:is>
          <ns0:t>Not recorded</ns0:t>
        </ns0:is>
      </ns0:c>
      <ns0:c r="AB329" s="26" t="n">
        <ns0:v>0</ns0:v>
      </ns0:c>
      <ns0:c r="AC329" s="26" t="n">
        <ns0:v>0</ns0:v>
      </ns0:c>
      <ns0:c r="AD329" s="27">
        <ns0:f>IF(AND(G329=1,AB329=0),1,0)</ns0:f>
        <ns0:v>1</ns0:v>
      </ns0:c>
      <ns0:c r="AE329" s="27">
        <ns0:f>IF(AND(AD329=1,AC329=0),1,0)</ns0:f>
        <ns0:v>1</ns0:v>
      </ns0:c>
      <ns0:c r="AF329" s="27">
        <ns0:f>IF(AND(G329=1,H329&lt;&gt;"Not specified"),1,0)</ns0:f>
        <ns0:v>1</ns0:v>
      </ns0:c>
      <ns0:c r="AG329" s="27">
        <ns0:f>IF(AND(AE329=1,AF329=1),1,0)</ns0:f>
        <ns0:v>1</ns0:v>
      </ns0:c>
      <ns0:c r="AH329" s="19" t="inlineStr">
        <ns0:is>
          <ns0:t>Primary-source full text (targeted sections)</ns0:t>
        </ns0:is>
      </ns0:c>
      <ns0:c r="AI329" s="19" t="inlineStr">
        <ns0:is>
          <ns0:t>https://link.springer.com/article/10.1186/s13073-025-01552-3</ns0:t>
        </ns0:is>
      </ns0:c>
      <ns0:c r="AJ329" s="19" t="inlineStr">
        <ns0:is>
          <ns0:t>Methods: Machine learning model; Discussion: lack of independent preterm cohort</ns0:t>
        </ns0:is>
      </ns0:c>
      <ns0:c r="AK329" s="19" t="inlineStr">
        <ns0:is>
          <ns0:t>Birth-available phenotype/genetic features predict later ASD; model uses nested CV, SSC validation is for association analyses rather than the ML model.
Nested cross-validation of ML model; SSC replication of associations is not external ML validation.</ns0:t>
        </ns0:is>
      </ns0:c>
      <ns0:c r="AL329" s="19" t="inlineStr">
        <ns0:is>
          <ns0:t>Not applicable</ns0:t>
        </ns0:is>
      </ns0:c>
      <ns0:c r="AM329" s="19" t="inlineStr">
        <ns0:is>
          <ns0:t>Not separately specified</ns0:t>
        </ns0:is>
      </ns0:c>
      <ns0:c r="AN329" s="19" t="inlineStr"/>
      <ns0:c r="AO329" s="19" t="inlineStr">
        <ns0:is>
          <ns0:t>No additional status determination</ns0:t>
        </ns0:is>
      </ns0:c>
      <ns0:c r="AP329" s="19" t="inlineStr">
        <ns0:is>
          <ns0:t>Not documented for this recharting</ns0:t>
        </ns0:is>
      </ns0:c>
      <ns0:c r="AQ329" s="19" t="inlineStr">
        <ns0:is>
          <ns0:t>ChatGPT-assisted evidence recharting, 2026-09-08</ns0:t>
        </ns0:is>
      </ns0:c>
      <ns0:c r="AR329" s="19" t="inlineStr">
        <ns0:is>
          <ns0:t>Revisión asistida por IA (un revisor; requiere verificación independiente)</ns0:t>
        </ns0:is>
      </ns0:c>
      <ns0:c r="AS329" s="19" t="inlineStr">
        <ns0:is>
          <ns0:t>Retrieved and reviewed</ns0:t>
        </ns0:is>
      </ns0:c>
    </ns0:row>
    <ns0:row r="330" ht="50" customHeight="1">
      <ns0:c r="A330" s="21" t="inlineStr">
        <ns0:is>
          <ns0:t>new_406</ns0:t>
        </ns0:is>
      </ns0:c>
      <ns0:c r="B330" s="21" t="inlineStr">
        <ns0:is>
          <ns0:t>Update</ns0:t>
        </ns0:is>
      </ns0:c>
      <ns0:c r="C330" s="21" t="inlineStr">
        <ns0:is>
          <ns0:t>NeuroCypher ASD: Machine Learning with Knowledge Graph-Based Representation for ASD Screening in Toddlers</ns0:t>
        </ns0:is>
      </ns0:c>
      <ns0:c r="D330" s="21" t="inlineStr">
        <ns0:is>
          <ns0:t>10.1007/s41666-026-00243-x</ns0:t>
        </ns0:is>
      </ns0:c>
      <ns0:c r="E330" s="28" t="n">
        <ns0:v>2026</ns0:v>
      </ns0:c>
      <ns0:c r="F330" s="21" t="inlineStr">
        <ns0:is>
          <ns0:t>Include</ns0:t>
        </ns0:is>
      </ns0:c>
      <ns0:c r="G330" s="29">
        <ns0:f>IF(F330="Include",1,0)</ns0:f>
        <ns0:v>1</ns0:v>
      </ns0:c>
      <ns0:c r="H330" s="21" t="inlineStr">
        <ns0:is>
          <ns0:t>Screening</ns0:t>
        </ns0:is>
      </ns0:c>
      <ns0:c r="I330" s="21" t="inlineStr">
        <ns0:is>
          <ns0:t>Hybrid</ns0:t>
        </ns0:is>
      </ns0:c>
      <ns0:c r="J330" s="21" t="inlineStr">
        <ns0:is>
          <ns0:t>Structured clinical/questionnaire data</ns0:t>
        </ns0:is>
      </ns0:c>
      <ns0:c r="K330" s="21" t="inlineStr">
        <ns0:is>
          <ns0:t>Tabular ML and graph representation</ns0:t>
        </ns0:is>
      </ns0:c>
      <ns0:c r="L330" s="21" t="inlineStr">
        <ns0:is>
          <ns0:t>Other specified method</ns0:t>
        </ns0:is>
      </ns0:c>
      <ns0:c r="M330" s="21" t="inlineStr">
        <ns0:is>
          <ns0:t>Proposed only</ns0:t>
        </ns0:is>
      </ns0:c>
      <ns0:c r="N330" s="21" t="inlineStr">
        <ns0:is>
          <ns0:t>Triage/questionnaire assessment</ns0:t>
        </ns0:is>
      </ns0:c>
      <ns0:c r="O330" s="21" t="inlineStr">
        <ns0:is>
          <ns0:t>Pre-decision</ns0:t>
        </ns0:is>
      </ns0:c>
      <ns0:c r="P330" s="21" t="inlineStr">
        <ns0:is>
          <ns0:t>Not observed in assessed sources</ns0:t>
        </ns0:is>
      </ns0:c>
      <ns0:c r="Q330" s="21" t="inlineStr">
        <ns0:is>
          <ns0:t>Not reported in assessed sources</ns0:t>
        </ns0:is>
      </ns0:c>
      <ns0:c r="R330" s="21" t="inlineStr">
        <ns0:is>
          <ns0:t>Not reported in assessed sources</ns0:t>
        </ns0:is>
      </ns0:c>
      <ns0:c r="S330" s="21" t="inlineStr">
        <ns0:is>
          <ns0:t>Reported</ns0:t>
        </ns0:is>
      </ns0:c>
      <ns0:c r="T330" s="21" t="inlineStr">
        <ns0:is>
          <ns0:t>Reported</ns0:t>
        </ns0:is>
      </ns0:c>
      <ns0:c r="U330" s="21" t="inlineStr">
        <ns0:is>
          <ns0:t>Not reported in assessed sources</ns0:t>
        </ns0:is>
      </ns0:c>
      <ns0:c r="V330" s="21" t="inlineStr">
        <ns0:is>
          <ns0:t>Not reported in assessed sources</ns0:t>
        </ns0:is>
      </ns0:c>
      <ns0:c r="W330" s="21" t="inlineStr">
        <ns0:is>
          <ns0:t>Not reported in assessed sources</ns0:t>
        </ns0:is>
      </ns0:c>
      <ns0:c r="X330" s="21" t="inlineStr">
        <ns0:is>
          <ns0:t>Not reported in assessed sources</ns0:t>
        </ns0:is>
      </ns0:c>
      <ns0:c r="Y330" s="21" t="inlineStr">
        <ns0:is>
          <ns0:t>Not ascertainable</ns0:t>
        </ns0:is>
      </ns0:c>
      <ns0:c r="Z330" s="21" t="inlineStr">
        <ns0:is>
          <ns0:t>Not reported in assessed sources</ns0:t>
        </ns0:is>
      </ns0:c>
      <ns0:c r="AA330" s="21" t="inlineStr">
        <ns0:is>
          <ns0:t>Not recorded</ns0:t>
        </ns0:is>
      </ns0:c>
      <ns0:c r="AB330" s="28" t="n">
        <ns0:v>0</ns0:v>
      </ns0:c>
      <ns0:c r="AC330" s="28" t="n">
        <ns0:v>0</ns0:v>
      </ns0:c>
      <ns0:c r="AD330" s="29">
        <ns0:f>IF(AND(G330=1,AB330=0),1,0)</ns0:f>
        <ns0:v>1</ns0:v>
      </ns0:c>
      <ns0:c r="AE330" s="29">
        <ns0:f>IF(AND(AD330=1,AC330=0),1,0)</ns0:f>
        <ns0:v>1</ns0:v>
      </ns0:c>
      <ns0:c r="AF330" s="29">
        <ns0:f>IF(AND(G330=1,H330&lt;&gt;"Not specified"),1,0)</ns0:f>
        <ns0:v>1</ns0:v>
      </ns0:c>
      <ns0:c r="AG330" s="29">
        <ns0:f>IF(AND(AE330=1,AF330=1),1,0)</ns0:f>
        <ns0:v>1</ns0:v>
      </ns0:c>
      <ns0:c r="AH330" s="21" t="inlineStr">
        <ns0:is>
          <ns0:t>Supplied abstract/coding notes; no new full-text verification</ns0:t>
        </ns0:is>
      </ns0:c>
      <ns0:c r="AI330" s="21" t="inlineStr">
        <ns0:is>
          <ns0:t>https://doi.org/10.1007/s41666-026-00243-x</ns0:t>
        </ns0:is>
      </ns0:c>
      <ns0:c r="AJ330" s="21" t="inlineStr">
        <ns0:is>
          <ns0:t>EVIDENCIA; original abstract/coding notes and lot source trace; Inherited scoped adjudication; see source level and lot caveats</ns0:t>
        </ns0:is>
      </ns0:c>
      <ns0:c r="AK330" s="21" t="inlineStr">
        <ns0:is>
          <ns0:t>Questionnaire-derived graph is a representation of the same input, not an independent modality; NLP interface is not evidence of new input data.</ns0:t>
        </ns0:is>
      </ns0:c>
      <ns0:c r="AL330" s="21" t="inlineStr">
        <ns0:is>
          <ns0:t>Not applicable</ns0:t>
        </ns0:is>
      </ns0:c>
      <ns0:c r="AM330" s="21" t="inlineStr">
        <ns0:is>
          <ns0:t>Not separately specified</ns0:t>
        </ns0:is>
      </ns0:c>
      <ns0:c r="AN330" s="21" t="inlineStr"/>
      <ns0:c r="AO330" s="21" t="inlineStr">
        <ns0:is>
          <ns0:t>No additional status determination</ns0:t>
        </ns0:is>
      </ns0:c>
      <ns0:c r="AP330" s="21" t="inlineStr">
        <ns0:is>
          <ns0:t>Not documented for this recharting</ns0:t>
        </ns0:is>
      </ns0:c>
      <ns0:c r="AQ330" s="21" t="inlineStr">
        <ns0:is>
          <ns0:t>ChatGPT-assisted evidence recharting, 2026-09-08</ns0:t>
        </ns0:is>
      </ns0:c>
      <ns0:c r="AR330" s="21" t="inlineStr">
        <ns0:is>
          <ns0:t>Revisión asistida por IA (un revisor; requiere verificación independiente)</ns0:t>
        </ns0:is>
      </ns0:c>
      <ns0:c r="AS330" s="21" t="inlineStr">
        <ns0:is>
          <ns0:t>Retrieved and reviewed</ns0:t>
        </ns0:is>
      </ns0:c>
    </ns0:row>
    <ns0:row r="331" ht="50" customHeight="1">
      <ns0:c r="A331" s="19" t="inlineStr">
        <ns0:is>
          <ns0:t>new_410</ns0:t>
        </ns0:is>
      </ns0:c>
      <ns0:c r="B331" s="19" t="inlineStr">
        <ns0:is>
          <ns0:t>Update</ns0:t>
        </ns0:is>
      </ns0:c>
      <ns0:c r="C331" s="19" t="inlineStr">
        <ns0:is>
          <ns0:t>Robust deep learning pipeline to improve access to autism triage and diagnosis</ns0:t>
        </ns0:is>
      </ns0:c>
      <ns0:c r="D331" s="19" t="inlineStr">
        <ns0:is>
          <ns0:t>10.1007/s44163-026-01299-9</ns0:t>
        </ns0:is>
      </ns0:c>
      <ns0:c r="E331" s="26" t="n">
        <ns0:v>2026</ns0:v>
      </ns0:c>
      <ns0:c r="F331" s="19" t="inlineStr">
        <ns0:is>
          <ns0:t>Include</ns0:t>
        </ns0:is>
      </ns0:c>
      <ns0:c r="G331" s="27">
        <ns0:f>IF(F331="Include",1,0)</ns0:f>
        <ns0:v>1</ns0:v>
      </ns0:c>
      <ns0:c r="H331" s="19" t="inlineStr">
        <ns0:is>
          <ns0:t>Screening</ns0:t>
        </ns0:is>
      </ns0:c>
      <ns0:c r="I331" s="19" t="inlineStr">
        <ns0:is>
          <ns0:t>Hybrid</ns0:t>
        </ns0:is>
      </ns0:c>
      <ns0:c r="J331" s="19" t="inlineStr">
        <ns0:is>
          <ns0:t>Multiple source categories</ns0:t>
        </ns0:is>
      </ns0:c>
      <ns0:c r="K331" s="19" t="inlineStr">
        <ns0:is>
          <ns0:t>3D neural networks and Lasso GLM</ns0:t>
        </ns0:is>
      </ns0:c>
      <ns0:c r="L331" s="19" t="inlineStr">
        <ns0:is>
          <ns0:t>Other specified method</ns0:t>
        </ns0:is>
      </ns0:c>
      <ns0:c r="M331" s="19" t="inlineStr">
        <ns0:is>
          <ns0:t>Proposed only</ns0:t>
        </ns0:is>
      </ns0:c>
      <ns0:c r="N331" s="19" t="inlineStr">
        <ns0:is>
          <ns0:t>Triage/questionnaire assessment</ns0:t>
        </ns0:is>
      </ns0:c>
      <ns0:c r="O331" s="19" t="inlineStr">
        <ns0:is>
          <ns0:t>Pre-decision</ns0:t>
        </ns0:is>
      </ns0:c>
      <ns0:c r="P331" s="19" t="inlineStr">
        <ns0:is>
          <ns0:t>Not observed in assessed sources</ns0:t>
        </ns0:is>
      </ns0:c>
      <ns0:c r="Q331" s="19" t="inlineStr">
        <ns0:is>
          <ns0:t>Not reported in assessed sources</ns0:t>
        </ns0:is>
      </ns0:c>
      <ns0:c r="R331" s="19" t="inlineStr">
        <ns0:is>
          <ns0:t>Reported</ns0:t>
        </ns0:is>
      </ns0:c>
      <ns0:c r="S331" s="19" t="inlineStr">
        <ns0:is>
          <ns0:t>Not reported in assessed sources</ns0:t>
        </ns0:is>
      </ns0:c>
      <ns0:c r="T331" s="19" t="inlineStr">
        <ns0:is>
          <ns0:t>Not reported in assessed sources</ns0:t>
        </ns0:is>
      </ns0:c>
      <ns0:c r="U331" s="19" t="inlineStr">
        <ns0:is>
          <ns0:t>Not reported in assessed sources</ns0:t>
        </ns0:is>
      </ns0:c>
      <ns0:c r="V331" s="19" t="inlineStr">
        <ns0:is>
          <ns0:t>Reported</ns0:t>
        </ns0:is>
      </ns0:c>
      <ns0:c r="W331" s="19" t="inlineStr">
        <ns0:is>
          <ns0:t>Reported</ns0:t>
        </ns0:is>
      </ns0:c>
      <ns0:c r="X331" s="19" t="inlineStr">
        <ns0:is>
          <ns0:t>Not reported in assessed sources</ns0:t>
        </ns0:is>
      </ns0:c>
      <ns0:c r="Y331" s="19" t="inlineStr">
        <ns0:is>
          <ns0:t>Not ascertainable</ns0:t>
        </ns0:is>
      </ns0:c>
      <ns0:c r="Z331" s="19" t="inlineStr">
        <ns0:is>
          <ns0:t>Not reported in assessed sources</ns0:t>
        </ns0:is>
      </ns0:c>
      <ns0:c r="AA331" s="19" t="inlineStr">
        <ns0:is>
          <ns0:t>Not recorded</ns0:t>
        </ns0:is>
      </ns0:c>
      <ns0:c r="AB331" s="26" t="n">
        <ns0:v>0</ns0:v>
      </ns0:c>
      <ns0:c r="AC331" s="26" t="n">
        <ns0:v>0</ns0:v>
      </ns0:c>
      <ns0:c r="AD331" s="27">
        <ns0:f>IF(AND(G331=1,AB331=0),1,0)</ns0:f>
        <ns0:v>1</ns0:v>
      </ns0:c>
      <ns0:c r="AE331" s="27">
        <ns0:f>IF(AND(AD331=1,AC331=0),1,0)</ns0:f>
        <ns0:v>1</ns0:v>
      </ns0:c>
      <ns0:c r="AF331" s="27">
        <ns0:f>IF(AND(G331=1,H331&lt;&gt;"Not specified"),1,0)</ns0:f>
        <ns0:v>1</ns0:v>
      </ns0:c>
      <ns0:c r="AG331" s="27">
        <ns0:f>IF(AND(AE331=1,AF331=1),1,0)</ns0:f>
        <ns0:v>1</ns0:v>
      </ns0:c>
      <ns0:c r="AH331" s="19" t="inlineStr">
        <ns0:is>
          <ns0:t>Supplied abstract/coding notes; no new full-text verification</ns0:t>
        </ns0:is>
      </ns0:c>
      <ns0:c r="AI331" s="19" t="inlineStr">
        <ns0:is>
          <ns0:t>https://doi.org/10.1007/s44163-026-01299-9</ns0:t>
        </ns0:is>
      </ns0:c>
      <ns0:c r="AJ331" s="19" t="inlineStr">
        <ns0:is>
          <ns0:t>EVIDENCIA; original abstract/coding notes and lot source trace; Inherited scoped adjudication; see source level and lot caveats</ns0:t>
        </ns0:is>
      </ns0:c>
      <ns0:c r="AK331" s="19" t="inlineStr">
        <ns0:is>
          <ns0:t>Proposed MRI/demographic triage pipeline; no actual clinical workflow evaluation established.</ns0:t>
        </ns0:is>
      </ns0:c>
      <ns0:c r="AL331" s="19" t="inlineStr">
        <ns0:is>
          <ns0:t>Not applicable</ns0:t>
        </ns0:is>
      </ns0:c>
      <ns0:c r="AM331" s="19" t="inlineStr">
        <ns0:is>
          <ns0:t>Not separately specified</ns0:t>
        </ns0:is>
      </ns0:c>
      <ns0:c r="AN331" s="19" t="inlineStr"/>
      <ns0:c r="AO331" s="19" t="inlineStr">
        <ns0:is>
          <ns0:t>No additional status determination</ns0:t>
        </ns0:is>
      </ns0:c>
      <ns0:c r="AP331" s="19" t="inlineStr">
        <ns0:is>
          <ns0:t>Not documented for this recharting</ns0:t>
        </ns0:is>
      </ns0:c>
      <ns0:c r="AQ331" s="19" t="inlineStr">
        <ns0:is>
          <ns0:t>ChatGPT-assisted evidence recharting, 2026-09-08</ns0:t>
        </ns0:is>
      </ns0:c>
      <ns0:c r="AR331" s="19" t="inlineStr">
        <ns0:is>
          <ns0:t>Revisión asistida por IA (un revisor; requiere verificación independiente)</ns0:t>
        </ns0:is>
      </ns0:c>
      <ns0:c r="AS331" s="19" t="inlineStr">
        <ns0:is>
          <ns0:t>Retrieved and reviewed</ns0:t>
        </ns0:is>
      </ns0:c>
    </ns0:row>
    <ns0:row r="332" ht="50" customHeight="1">
      <ns0:c r="A332" s="21" t="inlineStr">
        <ns0:is>
          <ns0:t>new_417</ns0:t>
        </ns0:is>
      </ns0:c>
      <ns0:c r="B332" s="21" t="inlineStr">
        <ns0:is>
          <ns0:t>Update</ns0:t>
        </ns0:is>
      </ns0:c>
      <ns0:c r="C332" s="21" t="inlineStr">
        <ns0:is>
          <ns0:t>Perivascular Space Burden in Children With Autism Spectrum Disorder Correlates With Neurodevelopmental Severity</ns0:t>
        </ns0:is>
      </ns0:c>
      <ns0:c r="D332" s="21" t="inlineStr">
        <ns0:is>
          <ns0:t>10.1002/jmri.70023</ns0:t>
        </ns0:is>
      </ns0:c>
      <ns0:c r="E332" s="28" t="n">
        <ns0:v>2025</ns0:v>
      </ns0:c>
      <ns0:c r="F332" s="21" t="inlineStr">
        <ns0:is>
          <ns0:t>Include</ns0:t>
        </ns0:is>
      </ns0:c>
      <ns0:c r="G332" s="29">
        <ns0:f>IF(F332="Include",1,0)</ns0:f>
        <ns0:v>1</ns0:v>
      </ns0:c>
      <ns0:c r="H332" s="21" t="inlineStr">
        <ns0:is>
          <ns0:t>Not specified</ns0:t>
        </ns0:is>
      </ns0:c>
      <ns0:c r="I332" s="21" t="inlineStr">
        <ns0:is>
          <ns0:t>Deep Learning</ns0:t>
        </ns0:is>
      </ns0:c>
      <ns0:c r="J332" s="21" t="inlineStr">
        <ns0:is>
          <ns0:t>Neuroimaging</ns0:t>
        </ns0:is>
      </ns0:c>
      <ns0:c r="K332" s="21" t="inlineStr">
        <ns0:is>
          <ns0:t>Weakly supervised segmentation network</ns0:t>
        </ns0:is>
      </ns0:c>
      <ns0:c r="L332" s="21" t="inlineStr">
        <ns0:is>
          <ns0:t>Other specified method</ns0:t>
        </ns0:is>
      </ns0:c>
      <ns0:c r="M332" s="21" t="inlineStr">
        <ns0:is>
          <ns0:t>Research only</ns0:t>
        </ns0:is>
      </ns0:c>
      <ns0:c r="N332" s="21" t="inlineStr">
        <ns0:is>
          <ns0:t>Research characterization</ns0:t>
        </ns0:is>
      </ns0:c>
      <ns0:c r="O332" s="21" t="inlineStr">
        <ns0:is>
          <ns0:t>Not observed in assessed sources</ns0:t>
        </ns0:is>
      </ns0:c>
      <ns0:c r="P332" s="21" t="inlineStr">
        <ns0:is>
          <ns0:t>Not observed in assessed sources</ns0:t>
        </ns0:is>
      </ns0:c>
      <ns0:c r="Q332" s="21" t="inlineStr">
        <ns0:is>
          <ns0:t>Not reported in assessed sources</ns0:t>
        </ns0:is>
      </ns0:c>
      <ns0:c r="R332" s="21" t="inlineStr">
        <ns0:is>
          <ns0:t>Not reported in assessed sources</ns0:t>
        </ns0:is>
      </ns0:c>
      <ns0:c r="S332" s="21" t="inlineStr">
        <ns0:is>
          <ns0:t>Not reported in assessed sources</ns0:t>
        </ns0:is>
      </ns0:c>
      <ns0:c r="T332" s="21" t="inlineStr">
        <ns0:is>
          <ns0:t>Not reported in assessed sources</ns0:t>
        </ns0:is>
      </ns0:c>
      <ns0:c r="U332" s="21" t="inlineStr">
        <ns0:is>
          <ns0:t>Not reported in assessed sources</ns0:t>
        </ns0:is>
      </ns0:c>
      <ns0:c r="V332" s="21" t="inlineStr">
        <ns0:is>
          <ns0:t>Not reported in assessed sources</ns0:t>
        </ns0:is>
      </ns0:c>
      <ns0:c r="W332" s="21" t="inlineStr">
        <ns0:is>
          <ns0:t>Not reported in assessed sources</ns0:t>
        </ns0:is>
      </ns0:c>
      <ns0:c r="X332" s="21" t="inlineStr">
        <ns0:is>
          <ns0:t>Not reported in assessed sources</ns0:t>
        </ns0:is>
      </ns0:c>
      <ns0:c r="Y332" s="21" t="inlineStr">
        <ns0:is>
          <ns0:t>Not ascertainable</ns0:t>
        </ns0:is>
      </ns0:c>
      <ns0:c r="Z332" s="21" t="inlineStr">
        <ns0:is>
          <ns0:t>Not reported in assessed sources</ns0:t>
        </ns0:is>
      </ns0:c>
      <ns0:c r="AA332" s="21" t="inlineStr">
        <ns0:is>
          <ns0:t>Not recorded</ns0:t>
        </ns0:is>
      </ns0:c>
      <ns0:c r="AB332" s="28" t="n">
        <ns0:v>0</ns0:v>
      </ns0:c>
      <ns0:c r="AC332" s="28" t="n">
        <ns0:v>0</ns0:v>
      </ns0:c>
      <ns0:c r="AD332" s="29">
        <ns0:f>IF(AND(G332=1,AB332=0),1,0)</ns0:f>
        <ns0:v>1</ns0:v>
      </ns0:c>
      <ns0:c r="AE332" s="29">
        <ns0:f>IF(AND(AD332=1,AC332=0),1,0)</ns0:f>
        <ns0:v>1</ns0:v>
      </ns0:c>
      <ns0:c r="AF332" s="29">
        <ns0:f>IF(AND(G332=1,H332&lt;&gt;"Not specified"),1,0)</ns0:f>
        <ns0:v>0</ns0:v>
      </ns0:c>
      <ns0:c r="AG332" s="29">
        <ns0:f>IF(AND(AE332=1,AF332=1),1,0)</ns0:f>
        <ns0:v>0</ns0:v>
      </ns0:c>
      <ns0:c r="AH332" s="21" t="inlineStr">
        <ns0:is>
          <ns0:t>Supplied abstract/coding notes; no new full-text verification</ns0:t>
        </ns0:is>
      </ns0:c>
      <ns0:c r="AI332" s="21" t="inlineStr">
        <ns0:is>
          <ns0:t>https://doi.org/10.1002/jmri.70023</ns0:t>
        </ns0:is>
      </ns0:c>
      <ns0:c r="AJ332" s="21" t="inlineStr">
        <ns0:is>
          <ns0:t>EVIDENCIA; original abstract/coding notes and lot source trace; Inherited scoped adjudication; see source level and lot caveats</ns0:t>
        </ns0:is>
      </ns0:c>
      <ns0:c r="AK332" s="21" t="inlineStr">
        <ns0:is>
          <ns0:t>Retrospective segmentation and concurrent severity association, not future prognosis.</ns0:t>
        </ns0:is>
      </ns0:c>
      <ns0:c r="AL332" s="21" t="inlineStr">
        <ns0:is>
          <ns0:t>Not applicable</ns0:t>
        </ns0:is>
      </ns0:c>
      <ns0:c r="AM332" s="21" t="inlineStr">
        <ns0:is>
          <ns0:t>Not separately specified</ns0:t>
        </ns0:is>
      </ns0:c>
      <ns0:c r="AN332" s="21" t="inlineStr"/>
      <ns0:c r="AO332" s="21" t="inlineStr">
        <ns0:is>
          <ns0:t>No additional status determination</ns0:t>
        </ns0:is>
      </ns0:c>
      <ns0:c r="AP332" s="21" t="inlineStr">
        <ns0:is>
          <ns0:t>Not documented for this recharting</ns0:t>
        </ns0:is>
      </ns0:c>
      <ns0:c r="AQ332" s="21" t="inlineStr">
        <ns0:is>
          <ns0:t>ChatGPT-assisted evidence recharting, 2026-09-08</ns0:t>
        </ns0:is>
      </ns0:c>
      <ns0:c r="AR332" s="21" t="inlineStr">
        <ns0:is>
          <ns0:t>Revisión asistida por IA (un revisor; requiere verificación independiente)</ns0:t>
        </ns0:is>
      </ns0:c>
      <ns0:c r="AS332" s="21" t="inlineStr">
        <ns0:is>
          <ns0:t>Retrieved and reviewed</ns0:t>
        </ns0:is>
      </ns0:c>
    </ns0:row>
    <ns0:row r="333" ht="50" customHeight="1">
      <ns0:c r="A333" s="19" t="inlineStr">
        <ns0:is>
          <ns0:t>new_420</ns0:t>
        </ns0:is>
      </ns0:c>
      <ns0:c r="B333" s="19" t="inlineStr">
        <ns0:is>
          <ns0:t>Update</ns0:t>
        </ns0:is>
      </ns0:c>
      <ns0:c r="C333" s="19" t="inlineStr">
        <ns0:is>
          <ns0:t>Two-tier nature inspired optimization-driven ensemble of deep learning models for effective autism spectrum disorder diagnosis in disabled persons</ns0:t>
        </ns0:is>
      </ns0:c>
      <ns0:c r="D333" s="19" t="inlineStr">
        <ns0:is>
          <ns0:t>10.1038/s41598-025-93802-y</ns0:t>
        </ns0:is>
      </ns0:c>
      <ns0:c r="E333" s="26" t="n">
        <ns0:v>2025</ns0:v>
      </ns0:c>
      <ns0:c r="F333" s="19" t="inlineStr">
        <ns0:is>
          <ns0:t>Include</ns0:t>
        </ns0:is>
      </ns0:c>
      <ns0:c r="G333" s="27">
        <ns0:f>IF(F333="Include",1,0)</ns0:f>
        <ns0:v>1</ns0:v>
      </ns0:c>
      <ns0:c r="H333" s="19" t="inlineStr">
        <ns0:is>
          <ns0:t>Diagnosis</ns0:t>
        </ns0:is>
      </ns0:c>
      <ns0:c r="I333" s="19" t="inlineStr">
        <ns0:is>
          <ns0:t>Deep Learning</ns0:t>
        </ns0:is>
      </ns0:c>
      <ns0:c r="J333" s="19" t="inlineStr">
        <ns0:is>
          <ns0:t>Structured clinical/questionnaire data</ns0:t>
        </ns0:is>
      </ns0:c>
      <ns0:c r="K333" s="19" t="inlineStr">
        <ns0:is>
          <ns0:t>Autoencoder / LSTM / DBN ensemble</ns0:t>
        </ns0:is>
      </ns0:c>
      <ns0:c r="L333" s="19" t="inlineStr">
        <ns0:is>
          <ns0:t>Composite/ensemble pipeline</ns0:t>
        </ns0:is>
      </ns0:c>
      <ns0:c r="M333" s="19" t="inlineStr">
        <ns0:is>
          <ns0:t>Research only</ns0:t>
        </ns0:is>
      </ns0:c>
      <ns0:c r="N333" s="19" t="inlineStr">
        <ns0:is>
          <ns0:t>Automated measurement/classification</ns0:t>
        </ns0:is>
      </ns0:c>
      <ns0:c r="O333" s="19" t="inlineStr">
        <ns0:is>
          <ns0:t>Not observed in assessed sources</ns0:t>
        </ns0:is>
      </ns0:c>
      <ns0:c r="P333" s="19" t="inlineStr">
        <ns0:is>
          <ns0:t>Not observed in assessed sources</ns0:t>
        </ns0:is>
      </ns0:c>
      <ns0:c r="Q333" s="19" t="inlineStr">
        <ns0:is>
          <ns0:t>Not reported in assessed sources</ns0:t>
        </ns0:is>
      </ns0:c>
      <ns0:c r="R333" s="19" t="inlineStr">
        <ns0:is>
          <ns0:t>Not reported in assessed sources</ns0:t>
        </ns0:is>
      </ns0:c>
      <ns0:c r="S333" s="19" t="inlineStr">
        <ns0:is>
          <ns0:t>Not reported in assessed sources</ns0:t>
        </ns0:is>
      </ns0:c>
      <ns0:c r="T333" s="19" t="inlineStr">
        <ns0:is>
          <ns0:t>Not reported in assessed sources</ns0:t>
        </ns0:is>
      </ns0:c>
      <ns0:c r="U333" s="19" t="inlineStr">
        <ns0:is>
          <ns0:t>Not reported in assessed sources</ns0:t>
        </ns0:is>
      </ns0:c>
      <ns0:c r="V333" s="19" t="inlineStr">
        <ns0:is>
          <ns0:t>Not reported in assessed sources</ns0:t>
        </ns0:is>
      </ns0:c>
      <ns0:c r="W333" s="19" t="inlineStr">
        <ns0:is>
          <ns0:t>Not reported in assessed sources</ns0:t>
        </ns0:is>
      </ns0:c>
      <ns0:c r="X333" s="19" t="inlineStr">
        <ns0:is>
          <ns0:t>Not reported in assessed sources</ns0:t>
        </ns0:is>
      </ns0:c>
      <ns0:c r="Y333" s="19" t="inlineStr">
        <ns0:is>
          <ns0:t>Not ascertainable</ns0:t>
        </ns0:is>
      </ns0:c>
      <ns0:c r="Z333" s="19" t="inlineStr">
        <ns0:is>
          <ns0:t>Not reported in assessed sources</ns0:t>
        </ns0:is>
      </ns0:c>
      <ns0:c r="AA333" s="19" t="inlineStr">
        <ns0:is>
          <ns0:t>Not recorded</ns0:t>
        </ns0:is>
      </ns0:c>
      <ns0:c r="AB333" s="26" t="n">
        <ns0:v>0</ns0:v>
      </ns0:c>
      <ns0:c r="AC333" s="26" t="n">
        <ns0:v>0</ns0:v>
      </ns0:c>
      <ns0:c r="AD333" s="27">
        <ns0:f>IF(AND(G333=1,AB333=0),1,0)</ns0:f>
        <ns0:v>1</ns0:v>
      </ns0:c>
      <ns0:c r="AE333" s="27">
        <ns0:f>IF(AND(AD333=1,AC333=0),1,0)</ns0:f>
        <ns0:v>1</ns0:v>
      </ns0:c>
      <ns0:c r="AF333" s="27">
        <ns0:f>IF(AND(G333=1,H333&lt;&gt;"Not specified"),1,0)</ns0:f>
        <ns0:v>1</ns0:v>
      </ns0:c>
      <ns0:c r="AG333" s="27">
        <ns0:f>IF(AND(AE333=1,AF333=1),1,0)</ns0:f>
        <ns0:v>1</ns0:v>
      </ns0:c>
      <ns0:c r="AH333" s="19" t="inlineStr">
        <ns0:is>
          <ns0:t>Supplied abstract/coding notes; no new full-text verification</ns0:t>
        </ns0:is>
      </ns0:c>
      <ns0:c r="AI333" s="19" t="inlineStr">
        <ns0:is>
          <ns0:t>https://doi.org/10.1038/s41598-025-93802-y</ns0:t>
        </ns0:is>
      </ns0:c>
      <ns0:c r="AJ333" s="19" t="inlineStr">
        <ns0:is>
          <ns0:t>EVIDENCIA; original abstract/coding notes and lot source trace; Inherited scoped adjudication; see source level and lot caveats</ns0:t>
        </ns0:is>
      </ns0:c>
      <ns0:c r="AK333" s="19" t="inlineStr">
        <ns0:is>
          <ns0:t>Public-data simulation; ensemble architecture is not clinical deployment.</ns0:t>
        </ns0:is>
      </ns0:c>
      <ns0:c r="AL333" s="19" t="inlineStr">
        <ns0:is>
          <ns0:t>Not applicable</ns0:t>
        </ns0:is>
      </ns0:c>
      <ns0:c r="AM333" s="19" t="inlineStr">
        <ns0:is>
          <ns0:t>Not separately specified</ns0:t>
        </ns0:is>
      </ns0:c>
      <ns0:c r="AN333" s="19" t="inlineStr"/>
      <ns0:c r="AO333" s="19" t="inlineStr">
        <ns0:is>
          <ns0:t>No additional status determination</ns0:t>
        </ns0:is>
      </ns0:c>
      <ns0:c r="AP333" s="19" t="inlineStr">
        <ns0:is>
          <ns0:t>Not documented for this recharting</ns0:t>
        </ns0:is>
      </ns0:c>
      <ns0:c r="AQ333" s="19" t="inlineStr">
        <ns0:is>
          <ns0:t>ChatGPT-assisted evidence recharting, 2026-09-08</ns0:t>
        </ns0:is>
      </ns0:c>
      <ns0:c r="AR333" s="19" t="inlineStr">
        <ns0:is>
          <ns0:t>Revisión asistida por IA (un revisor; requiere verificación independiente)</ns0:t>
        </ns0:is>
      </ns0:c>
      <ns0:c r="AS333" s="19" t="inlineStr">
        <ns0:is>
          <ns0:t>Retrieved and reviewed</ns0:t>
        </ns0:is>
      </ns0:c>
    </ns0:row>
    <ns0:row r="334" ht="50" customHeight="1">
      <ns0:c r="A334" s="21" t="inlineStr">
        <ns0:is>
          <ns0:t>new_422</ns0:t>
        </ns0:is>
      </ns0:c>
      <ns0:c r="B334" s="21" t="inlineStr">
        <ns0:is>
          <ns0:t>Update</ns0:t>
        </ns0:is>
      </ns0:c>
      <ns0:c r="C334" s="21" t="inlineStr">
        <ns0:is>
          <ns0:t>MIND-TEA: An Adaptive Multi-Agent Framework for Multimodal Autism Diagnosis</ns0:t>
        </ns0:is>
      </ns0:c>
      <ns0:c r="D334" s="21" t="inlineStr">
        <ns0:is>
          <ns0:t>10.1109/access.2026.3688987</ns0:t>
        </ns0:is>
      </ns0:c>
      <ns0:c r="E334" s="28" t="n">
        <ns0:v>2026</ns0:v>
      </ns0:c>
      <ns0:c r="F334" s="21" t="inlineStr">
        <ns0:is>
          <ns0:t>Include</ns0:t>
        </ns0:is>
      </ns0:c>
      <ns0:c r="G334" s="29">
        <ns0:f>IF(F334="Include",1,0)</ns0:f>
        <ns0:v>1</ns0:v>
      </ns0:c>
      <ns0:c r="H334" s="21" t="inlineStr">
        <ns0:is>
          <ns0:t>Diagnosis</ns0:t>
        </ns0:is>
      </ns0:c>
      <ns0:c r="I334" s="21" t="inlineStr">
        <ns0:is>
          <ns0:t>Deep Learning</ns0:t>
        </ns0:is>
      </ns0:c>
      <ns0:c r="J334" s="21" t="inlineStr">
        <ns0:is>
          <ns0:t>Multiple source categories</ns0:t>
        </ns0:is>
      </ns0:c>
      <ns0:c r="K334" s="21" t="inlineStr">
        <ns0:is>
          <ns0:t>Multi-agent neural meta-learning</ns0:t>
        </ns0:is>
      </ns0:c>
      <ns0:c r="L334" s="21" t="inlineStr">
        <ns0:is>
          <ns0:t>Other specified method</ns0:t>
        </ns0:is>
      </ns0:c>
      <ns0:c r="M334" s="21" t="inlineStr">
        <ns0:is>
          <ns0:t>Proposed only</ns0:t>
        </ns0:is>
      </ns0:c>
      <ns0:c r="N334" s="21" t="inlineStr">
        <ns0:is>
          <ns0:t>Diagnostic decision support</ns0:t>
        </ns0:is>
      </ns0:c>
      <ns0:c r="O334" s="21" t="inlineStr">
        <ns0:is>
          <ns0:t>In-decision</ns0:t>
        </ns0:is>
      </ns0:c>
      <ns0:c r="P334" s="21" t="inlineStr">
        <ns0:is>
          <ns0:t>Not observed in assessed sources</ns0:t>
        </ns0:is>
      </ns0:c>
      <ns0:c r="Q334" s="21" t="inlineStr">
        <ns0:is>
          <ns0:t>Reported</ns0:t>
        </ns0:is>
      </ns0:c>
      <ns0:c r="R334" s="21" t="inlineStr">
        <ns0:is>
          <ns0:t>Reported</ns0:t>
        </ns0:is>
      </ns0:c>
      <ns0:c r="S334" s="21" t="inlineStr">
        <ns0:is>
          <ns0:t>Not reported in assessed sources</ns0:t>
        </ns0:is>
      </ns0:c>
      <ns0:c r="T334" s="21" t="inlineStr">
        <ns0:is>
          <ns0:t>Not reported in assessed sources</ns0:t>
        </ns0:is>
      </ns0:c>
      <ns0:c r="U334" s="21" t="inlineStr">
        <ns0:is>
          <ns0:t>Reported</ns0:t>
        </ns0:is>
      </ns0:c>
      <ns0:c r="V334" s="21" t="inlineStr">
        <ns0:is>
          <ns0:t>Reported</ns0:t>
        </ns0:is>
      </ns0:c>
      <ns0:c r="W334" s="21" t="inlineStr">
        <ns0:is>
          <ns0:t>Reported</ns0:t>
        </ns0:is>
      </ns0:c>
      <ns0:c r="X334" s="21" t="inlineStr">
        <ns0:is>
          <ns0:t>Not reported in assessed sources</ns0:t>
        </ns0:is>
      </ns0:c>
      <ns0:c r="Y334" s="21" t="inlineStr">
        <ns0:is>
          <ns0:t>Not ascertainable</ns0:t>
        </ns0:is>
      </ns0:c>
      <ns0:c r="Z334" s="21" t="inlineStr">
        <ns0:is>
          <ns0:t>Not reported in assessed sources</ns0:t>
        </ns0:is>
      </ns0:c>
      <ns0:c r="AA334" s="21" t="inlineStr">
        <ns0:is>
          <ns0:t>Not recorded</ns0:t>
        </ns0:is>
      </ns0:c>
      <ns0:c r="AB334" s="28" t="n">
        <ns0:v>0</ns0:v>
      </ns0:c>
      <ns0:c r="AC334" s="28" t="n">
        <ns0:v>0</ns0:v>
      </ns0:c>
      <ns0:c r="AD334" s="29">
        <ns0:f>IF(AND(G334=1,AB334=0),1,0)</ns0:f>
        <ns0:v>1</ns0:v>
      </ns0:c>
      <ns0:c r="AE334" s="29">
        <ns0:f>IF(AND(AD334=1,AC334=0),1,0)</ns0:f>
        <ns0:v>1</ns0:v>
      </ns0:c>
      <ns0:c r="AF334" s="29">
        <ns0:f>IF(AND(G334=1,H334&lt;&gt;"Not specified"),1,0)</ns0:f>
        <ns0:v>1</ns0:v>
      </ns0:c>
      <ns0:c r="AG334" s="29">
        <ns0:f>IF(AND(AE334=1,AF334=1),1,0)</ns0:f>
        <ns0:v>1</ns0:v>
      </ns0:c>
      <ns0:c r="AH334" s="21" t="inlineStr">
        <ns0:is>
          <ns0:t>Supplied abstract/coding notes; no new full-text verification</ns0:t>
        </ns0:is>
      </ns0:c>
      <ns0:c r="AI334" s="21" t="inlineStr">
        <ns0:is>
          <ns0:t>https://doi.org/10.1109/access.2026.3688987</ns0:t>
        </ns0:is>
      </ns0:c>
      <ns0:c r="AJ334" s="21" t="inlineStr">
        <ns0:is>
          <ns0:t>EVIDENCIA; original abstract/coding notes and lot source trace; Inherited scoped adjudication; see source level and lot caveats</ns0:t>
        </ns0:is>
      </ns0:c>
      <ns0:c r="AK334" s="21" t="inlineStr">
        <ns0:is>
          <ns0:t>Explicit zero-shot ABIDE I to ABIDE II evaluation supports external testing; site-stratified internal CV alone would not. Clinical text provenance remains a caveat.
Zero-shot ABIDE I to ABIDE II; external accuracy 52.3% author-reported.
Clinical text origin and independence from labels require caution; not verified from full text in this pass.</ns0:t>
        </ns0:is>
      </ns0:c>
      <ns0:c r="AL334" s="21" t="inlineStr">
        <ns0:is>
          <ns0:t>Not applicable</ns0:t>
        </ns0:is>
      </ns0:c>
      <ns0:c r="AM334" s="21" t="inlineStr">
        <ns0:is>
          <ns0:t>Not separately specified</ns0:t>
        </ns0:is>
      </ns0:c>
      <ns0:c r="AN334" s="21" t="inlineStr"/>
      <ns0:c r="AO334" s="21" t="inlineStr">
        <ns0:is>
          <ns0:t>No additional status determination</ns0:t>
        </ns0:is>
      </ns0:c>
      <ns0:c r="AP334" s="21" t="inlineStr">
        <ns0:is>
          <ns0:t>Not documented for this recharting</ns0:t>
        </ns0:is>
      </ns0:c>
      <ns0:c r="AQ334" s="21" t="inlineStr">
        <ns0:is>
          <ns0:t>ChatGPT-assisted evidence recharting, 2026-09-08</ns0:t>
        </ns0:is>
      </ns0:c>
      <ns0:c r="AR334" s="21" t="inlineStr">
        <ns0:is>
          <ns0:t>Revisión asistida por IA (un revisor; requiere verificación independiente)</ns0:t>
        </ns0:is>
      </ns0:c>
      <ns0:c r="AS334" s="21" t="inlineStr">
        <ns0:is>
          <ns0:t>Retrieved and reviewed</ns0:t>
        </ns0:is>
      </ns0:c>
    </ns0:row>
    <ns0:row r="335" ht="50" customHeight="1">
      <ns0:c r="A335" s="19" t="inlineStr">
        <ns0:is>
          <ns0:t>new_424</ns0:t>
        </ns0:is>
      </ns0:c>
      <ns0:c r="B335" s="19" t="inlineStr">
        <ns0:is>
          <ns0:t>Update</ns0:t>
        </ns0:is>
      </ns0:c>
      <ns0:c r="C335" s="19" t="inlineStr">
        <ns0:is>
          <ns0:t>Interpretable Autism Screening via Object-Based Analysis of Child-Drawn Sketches</ns0:t>
        </ns0:is>
      </ns0:c>
      <ns0:c r="D335" s="19" t="inlineStr">
        <ns0:is>
          <ns0:t>10.1109/access.2025.3642950</ns0:t>
        </ns0:is>
      </ns0:c>
      <ns0:c r="E335" s="26" t="n">
        <ns0:v>2025</ns0:v>
      </ns0:c>
      <ns0:c r="F335" s="19" t="inlineStr">
        <ns0:is>
          <ns0:t>Include</ns0:t>
        </ns0:is>
      </ns0:c>
      <ns0:c r="G335" s="27">
        <ns0:f>IF(F335="Include",1,0)</ns0:f>
        <ns0:v>1</ns0:v>
      </ns0:c>
      <ns0:c r="H335" s="19" t="inlineStr">
        <ns0:is>
          <ns0:t>Screening</ns0:t>
        </ns0:is>
      </ns0:c>
      <ns0:c r="I335" s="19" t="inlineStr">
        <ns0:is>
          <ns0:t>Deep Learning</ns0:t>
        </ns0:is>
      </ns0:c>
      <ns0:c r="J335" s="19" t="inlineStr">
        <ns0:is>
          <ns0:t>Behavioral images/video/gaze/movement</ns0:t>
        </ns0:is>
      </ns0:c>
      <ns0:c r="K335" s="19" t="inlineStr">
        <ns0:is>
          <ns0:t>Vision Transformer</ns0:t>
        </ns0:is>
      </ns0:c>
      <ns0:c r="L335" s="19" t="inlineStr">
        <ns0:is>
          <ns0:t>Transformer</ns0:t>
        </ns0:is>
      </ns0:c>
      <ns0:c r="M335" s="19" t="inlineStr">
        <ns0:is>
          <ns0:t>Research only</ns0:t>
        </ns0:is>
      </ns0:c>
      <ns0:c r="N335" s="19" t="inlineStr">
        <ns0:is>
          <ns0:t>Automated measurement/classification</ns0:t>
        </ns0:is>
      </ns0:c>
      <ns0:c r="O335" s="19" t="inlineStr">
        <ns0:is>
          <ns0:t>Not observed in assessed sources</ns0:t>
        </ns0:is>
      </ns0:c>
      <ns0:c r="P335" s="19" t="inlineStr">
        <ns0:is>
          <ns0:t>Not observed in assessed sources</ns0:t>
        </ns0:is>
      </ns0:c>
      <ns0:c r="Q335" s="19" t="inlineStr">
        <ns0:is>
          <ns0:t>Not reported in assessed sources</ns0:t>
        </ns0:is>
      </ns0:c>
      <ns0:c r="R335" s="19" t="inlineStr">
        <ns0:is>
          <ns0:t>Not reported in assessed sources</ns0:t>
        </ns0:is>
      </ns0:c>
      <ns0:c r="S335" s="19" t="inlineStr">
        <ns0:is>
          <ns0:t>Reported</ns0:t>
        </ns0:is>
      </ns0:c>
      <ns0:c r="T335" s="19" t="inlineStr">
        <ns0:is>
          <ns0:t>Reported</ns0:t>
        </ns0:is>
      </ns0:c>
      <ns0:c r="U335" s="19" t="inlineStr">
        <ns0:is>
          <ns0:t>Not reported in assessed sources</ns0:t>
        </ns0:is>
      </ns0:c>
      <ns0:c r="V335" s="19" t="inlineStr">
        <ns0:is>
          <ns0:t>Not reported in assessed sources</ns0:t>
        </ns0:is>
      </ns0:c>
      <ns0:c r="W335" s="19" t="inlineStr">
        <ns0:is>
          <ns0:t>Not reported in assessed sources</ns0:t>
        </ns0:is>
      </ns0:c>
      <ns0:c r="X335" s="19" t="inlineStr">
        <ns0:is>
          <ns0:t>Not reported in assessed sources</ns0:t>
        </ns0:is>
      </ns0:c>
      <ns0:c r="Y335" s="19" t="inlineStr">
        <ns0:is>
          <ns0:t>Not ascertainable</ns0:t>
        </ns0:is>
      </ns0:c>
      <ns0:c r="Z335" s="19" t="inlineStr">
        <ns0:is>
          <ns0:t>Not reported in assessed sources</ns0:t>
        </ns0:is>
      </ns0:c>
      <ns0:c r="AA335" s="19" t="inlineStr">
        <ns0:is>
          <ns0:t>Not recorded</ns0:t>
        </ns0:is>
      </ns0:c>
      <ns0:c r="AB335" s="26" t="n">
        <ns0:v>0</ns0:v>
      </ns0:c>
      <ns0:c r="AC335" s="26" t="n">
        <ns0:v>0</ns0:v>
      </ns0:c>
      <ns0:c r="AD335" s="27">
        <ns0:f>IF(AND(G335=1,AB335=0),1,0)</ns0:f>
        <ns0:v>1</ns0:v>
      </ns0:c>
      <ns0:c r="AE335" s="27">
        <ns0:f>IF(AND(AD335=1,AC335=0),1,0)</ns0:f>
        <ns0:v>1</ns0:v>
      </ns0:c>
      <ns0:c r="AF335" s="27">
        <ns0:f>IF(AND(G335=1,H335&lt;&gt;"Not specified"),1,0)</ns0:f>
        <ns0:v>1</ns0:v>
      </ns0:c>
      <ns0:c r="AG335" s="27">
        <ns0:f>IF(AND(AE335=1,AF335=1),1,0)</ns0:f>
        <ns0:v>1</ns0:v>
      </ns0:c>
      <ns0:c r="AH335" s="19" t="inlineStr">
        <ns0:is>
          <ns0:t>Supplied abstract/coding notes; no new full-text verification</ns0:t>
        </ns0:is>
      </ns0:c>
      <ns0:c r="AI335" s="19" t="inlineStr">
        <ns0:is>
          <ns0:t>https://doi.org/10.1109/access.2025.3642950</ns0:t>
        </ns0:is>
      </ns0:c>
      <ns0:c r="AJ335" s="19" t="inlineStr">
        <ns0:is>
          <ns0:t>EVIDENCIA; original abstract/coding notes and lot source trace; Inherited scoped adjudication; see source level and lot caveats</ns0:t>
        </ns0:is>
      </ns0:c>
      <ns0:c r="AK335" s="19" t="inlineStr">
        <ns0:is>
          <ns0:t>Drawing-based developmental screening benchmark with LRP explanations, not clinical deployment.</ns0:t>
        </ns0:is>
      </ns0:c>
      <ns0:c r="AL335" s="19" t="inlineStr">
        <ns0:is>
          <ns0:t>Not applicable</ns0:t>
        </ns0:is>
      </ns0:c>
      <ns0:c r="AM335" s="19" t="inlineStr">
        <ns0:is>
          <ns0:t>Not separately specified</ns0:t>
        </ns0:is>
      </ns0:c>
      <ns0:c r="AN335" s="19" t="inlineStr"/>
      <ns0:c r="AO335" s="19" t="inlineStr">
        <ns0:is>
          <ns0:t>No additional status determination</ns0:t>
        </ns0:is>
      </ns0:c>
      <ns0:c r="AP335" s="19" t="inlineStr">
        <ns0:is>
          <ns0:t>Not documented for this recharting</ns0:t>
        </ns0:is>
      </ns0:c>
      <ns0:c r="AQ335" s="19" t="inlineStr">
        <ns0:is>
          <ns0:t>ChatGPT-assisted evidence recharting, 2026-09-08</ns0:t>
        </ns0:is>
      </ns0:c>
      <ns0:c r="AR335" s="19" t="inlineStr">
        <ns0:is>
          <ns0:t>Revisión asistida por IA (un revisor; requiere verificación independiente)</ns0:t>
        </ns0:is>
      </ns0:c>
      <ns0:c r="AS335" s="19" t="inlineStr">
        <ns0:is>
          <ns0:t>Retrieved and reviewed</ns0:t>
        </ns0:is>
      </ns0:c>
    </ns0:row>
    <ns0:row r="336" ht="50" customHeight="1">
      <ns0:c r="A336" s="21" t="inlineStr">
        <ns0:is>
          <ns0:t>new_425</ns0:t>
        </ns0:is>
      </ns0:c>
      <ns0:c r="B336" s="21" t="inlineStr">
        <ns0:is>
          <ns0:t>Update</ns0:t>
        </ns0:is>
      </ns0:c>
      <ns0:c r="C336" s="21" t="inlineStr">
        <ns0:is>
          <ns0:t>Bridging Deep Learning and Quantum Computing for EEG-Driven P300 Targeted ASD Response Detection</ns0:t>
        </ns0:is>
      </ns0:c>
      <ns0:c r="D336" s="21" t="inlineStr">
        <ns0:is>
          <ns0:t>10.1109/access.2025.3646589</ns0:t>
        </ns0:is>
      </ns0:c>
      <ns0:c r="E336" s="28" t="n">
        <ns0:v>2025</ns0:v>
      </ns0:c>
      <ns0:c r="F336" s="21" t="inlineStr">
        <ns0:is>
          <ns0:t>Include</ns0:t>
        </ns0:is>
      </ns0:c>
      <ns0:c r="G336" s="29">
        <ns0:f>IF(F336="Include",1,0)</ns0:f>
        <ns0:v>1</ns0:v>
      </ns0:c>
      <ns0:c r="H336" s="21" t="inlineStr">
        <ns0:is>
          <ns0:t>Monitoring/intervention</ns0:t>
        </ns0:is>
      </ns0:c>
      <ns0:c r="I336" s="21" t="inlineStr">
        <ns0:is>
          <ns0:t>Hybrid</ns0:t>
        </ns0:is>
      </ns0:c>
      <ns0:c r="J336" s="21" t="inlineStr">
        <ns0:is>
          <ns0:t>Physiological signals</ns0:t>
        </ns0:is>
      </ns0:c>
      <ns0:c r="K336" s="21" t="inlineStr">
        <ns0:is>
          <ns0:t>Transformer and quantum neural network</ns0:t>
        </ns0:is>
      </ns0:c>
      <ns0:c r="L336" s="21" t="inlineStr">
        <ns0:is>
          <ns0:t>Transformer</ns0:t>
        </ns0:is>
      </ns0:c>
      <ns0:c r="M336" s="21" t="inlineStr">
        <ns0:is>
          <ns0:t>Research only</ns0:t>
        </ns0:is>
      </ns0:c>
      <ns0:c r="N336" s="21" t="inlineStr">
        <ns0:is>
          <ns0:t>Automated measurement/classification</ns0:t>
        </ns0:is>
      </ns0:c>
      <ns0:c r="O336" s="21" t="inlineStr">
        <ns0:is>
          <ns0:t>Not observed in assessed sources</ns0:t>
        </ns0:is>
      </ns0:c>
      <ns0:c r="P336" s="21" t="inlineStr">
        <ns0:is>
          <ns0:t>Not observed in assessed sources</ns0:t>
        </ns0:is>
      </ns0:c>
      <ns0:c r="Q336" s="21" t="inlineStr">
        <ns0:is>
          <ns0:t>Not reported in assessed sources</ns0:t>
        </ns0:is>
      </ns0:c>
      <ns0:c r="R336" s="21" t="inlineStr">
        <ns0:is>
          <ns0:t>Not reported in assessed sources</ns0:t>
        </ns0:is>
      </ns0:c>
      <ns0:c r="S336" s="21" t="inlineStr">
        <ns0:is>
          <ns0:t>Not ascertainable</ns0:t>
        </ns0:is>
      </ns0:c>
      <ns0:c r="T336" s="21" t="inlineStr">
        <ns0:is>
          <ns0:t>Not reported in assessed sources</ns0:t>
        </ns0:is>
      </ns0:c>
      <ns0:c r="U336" s="21" t="inlineStr">
        <ns0:is>
          <ns0:t>Not reported in assessed sources</ns0:t>
        </ns0:is>
      </ns0:c>
      <ns0:c r="V336" s="21" t="inlineStr">
        <ns0:is>
          <ns0:t>Not reported in assessed sources</ns0:t>
        </ns0:is>
      </ns0:c>
      <ns0:c r="W336" s="21" t="inlineStr">
        <ns0:is>
          <ns0:t>Not reported in assessed sources</ns0:t>
        </ns0:is>
      </ns0:c>
      <ns0:c r="X336" s="21" t="inlineStr">
        <ns0:is>
          <ns0:t>Not reported in assessed sources</ns0:t>
        </ns0:is>
      </ns0:c>
      <ns0:c r="Y336" s="21" t="inlineStr">
        <ns0:is>
          <ns0:t>Not ascertainable</ns0:t>
        </ns0:is>
      </ns0:c>
      <ns0:c r="Z336" s="21" t="inlineStr">
        <ns0:is>
          <ns0:t>Not ascertainable</ns0:t>
        </ns0:is>
      </ns0:c>
      <ns0:c r="AA336" s="21" t="inlineStr">
        <ns0:is>
          <ns0:t>Not recorded</ns0:t>
        </ns0:is>
      </ns0:c>
      <ns0:c r="AB336" s="28" t="n">
        <ns0:v>0</ns0:v>
      </ns0:c>
      <ns0:c r="AC336" s="28" t="n">
        <ns0:v>0</ns0:v>
      </ns0:c>
      <ns0:c r="AD336" s="29">
        <ns0:f>IF(AND(G336=1,AB336=0),1,0)</ns0:f>
        <ns0:v>1</ns0:v>
      </ns0:c>
      <ns0:c r="AE336" s="29">
        <ns0:f>IF(AND(AD336=1,AC336=0),1,0)</ns0:f>
        <ns0:v>1</ns0:v>
      </ns0:c>
      <ns0:c r="AF336" s="29">
        <ns0:f>IF(AND(G336=1,H336&lt;&gt;"Not specified"),1,0)</ns0:f>
        <ns0:v>1</ns0:v>
      </ns0:c>
      <ns0:c r="AG336" s="29">
        <ns0:f>IF(AND(AE336=1,AF336=1),1,0)</ns0:f>
        <ns0:v>1</ns0:v>
      </ns0:c>
      <ns0:c r="AH336" s="21" t="inlineStr">
        <ns0:is>
          <ns0:t>Supplied abstract/coding notes; no new full-text verification</ns0:t>
        </ns0:is>
      </ns0:c>
      <ns0:c r="AI336" s="21" t="inlineStr">
        <ns0:is>
          <ns0:t>https://doi.org/10.1109/access.2025.3646589</ns0:t>
        </ns0:is>
      </ns0:c>
      <ns0:c r="AJ336" s="21" t="inlineStr">
        <ns0:is>
          <ns0:t>EVIDENCIA; original abstract/coding notes and lot source trace; Inherited scoped adjudication; see source level and lot caveats</ns0:t>
        </ns0:is>
      </ns0:c>
      <ns0:c r="AK336" s="21" t="inlineStr">
        <ns0:is>
          <ns0:t>Offline P300 target-response classifier; hybrid quantum-classical architecture kept explicit, not conventional ML plus DL.
Quantum-classical hybrid; not conventional ML-DL hybrid.
EEG P300</ns0:t>
        </ns0:is>
      </ns0:c>
      <ns0:c r="AL336" s="21" t="inlineStr">
        <ns0:is>
          <ns0:t>Not applicable</ns0:t>
        </ns0:is>
      </ns0:c>
      <ns0:c r="AM336" s="21" t="inlineStr">
        <ns0:is>
          <ns0:t>Not separately specified</ns0:t>
        </ns0:is>
      </ns0:c>
      <ns0:c r="AN336" s="21" t="inlineStr"/>
      <ns0:c r="AO336" s="21" t="inlineStr">
        <ns0:is>
          <ns0:t>No additional status determination</ns0:t>
        </ns0:is>
      </ns0:c>
      <ns0:c r="AP336" s="21" t="inlineStr">
        <ns0:is>
          <ns0:t>Not documented for this recharting</ns0:t>
        </ns0:is>
      </ns0:c>
      <ns0:c r="AQ336" s="21" t="inlineStr">
        <ns0:is>
          <ns0:t>ChatGPT-assisted evidence recharting, 2026-09-08</ns0:t>
        </ns0:is>
      </ns0:c>
      <ns0:c r="AR336" s="21" t="inlineStr">
        <ns0:is>
          <ns0:t>Revisión asistida por IA (un revisor; requiere verificación independiente)</ns0:t>
        </ns0:is>
      </ns0:c>
      <ns0:c r="AS336" s="21" t="inlineStr">
        <ns0:is>
          <ns0:t>Retrieved and reviewed</ns0:t>
        </ns0:is>
      </ns0:c>
    </ns0:row>
    <ns0:row r="337" ht="50" customHeight="1">
      <ns0:c r="A337" s="19" t="inlineStr">
        <ns0:is>
          <ns0:t>new_427</ns0:t>
        </ns0:is>
      </ns0:c>
      <ns0:c r="B337" s="19" t="inlineStr">
        <ns0:is>
          <ns0:t>Update</ns0:t>
        </ns0:is>
      </ns0:c>
      <ns0:c r="C337" s="19" t="inlineStr">
        <ns0:is>
          <ns0:t>A Hybrid Multi-Branch Deep Learning Model for Autism Spectrum Disorder Detection Using Spatiotemporal Gait Analysis</ns0:t>
        </ns0:is>
      </ns0:c>
      <ns0:c r="D337" s="19" t="inlineStr">
        <ns0:is>
          <ns0:t>10.1109/access.2026.3704046</ns0:t>
        </ns0:is>
      </ns0:c>
      <ns0:c r="E337" s="26" t="n">
        <ns0:v>2026</ns0:v>
      </ns0:c>
      <ns0:c r="F337" s="19" t="inlineStr">
        <ns0:is>
          <ns0:t>Include</ns0:t>
        </ns0:is>
      </ns0:c>
      <ns0:c r="G337" s="27">
        <ns0:f>IF(F337="Include",1,0)</ns0:f>
        <ns0:v>1</ns0:v>
      </ns0:c>
      <ns0:c r="H337" s="19" t="inlineStr">
        <ns0:is>
          <ns0:t>Diagnosis</ns0:t>
        </ns0:is>
      </ns0:c>
      <ns0:c r="I337" s="19" t="inlineStr">
        <ns0:is>
          <ns0:t>Deep Learning</ns0:t>
        </ns0:is>
      </ns0:c>
      <ns0:c r="J337" s="19" t="inlineStr">
        <ns0:is>
          <ns0:t>Behavioral images/video/gaze/movement</ns0:t>
        </ns0:is>
      </ns0:c>
      <ns0:c r="K337" s="19" t="inlineStr">
        <ns0:is>
          <ns0:t>Transformer / CNN / recurrent multi-branch network</ns0:t>
        </ns0:is>
      </ns0:c>
      <ns0:c r="L337" s="19" t="inlineStr">
        <ns0:is>
          <ns0:t>Composite/ensemble pipeline</ns0:t>
        </ns0:is>
      </ns0:c>
      <ns0:c r="M337" s="19" t="inlineStr">
        <ns0:is>
          <ns0:t>Research only</ns0:t>
        </ns0:is>
      </ns0:c>
      <ns0:c r="N337" s="19" t="inlineStr">
        <ns0:is>
          <ns0:t>Automated measurement/classification</ns0:t>
        </ns0:is>
      </ns0:c>
      <ns0:c r="O337" s="19" t="inlineStr">
        <ns0:is>
          <ns0:t>Not observed in assessed sources</ns0:t>
        </ns0:is>
      </ns0:c>
      <ns0:c r="P337" s="19" t="inlineStr">
        <ns0:is>
          <ns0:t>Not observed in assessed sources</ns0:t>
        </ns0:is>
      </ns0:c>
      <ns0:c r="Q337" s="19" t="inlineStr">
        <ns0:is>
          <ns0:t>Not reported in assessed sources</ns0:t>
        </ns0:is>
      </ns0:c>
      <ns0:c r="R337" s="19" t="inlineStr">
        <ns0:is>
          <ns0:t>Not reported in assessed sources</ns0:t>
        </ns0:is>
      </ns0:c>
      <ns0:c r="S337" s="19" t="inlineStr">
        <ns0:is>
          <ns0:t>Not reported in assessed sources</ns0:t>
        </ns0:is>
      </ns0:c>
      <ns0:c r="T337" s="19" t="inlineStr">
        <ns0:is>
          <ns0:t>Not reported in assessed sources</ns0:t>
        </ns0:is>
      </ns0:c>
      <ns0:c r="U337" s="19" t="inlineStr">
        <ns0:is>
          <ns0:t>Not reported in assessed sources</ns0:t>
        </ns0:is>
      </ns0:c>
      <ns0:c r="V337" s="19" t="inlineStr">
        <ns0:is>
          <ns0:t>Not reported in assessed sources</ns0:t>
        </ns0:is>
      </ns0:c>
      <ns0:c r="W337" s="19" t="inlineStr">
        <ns0:is>
          <ns0:t>Not reported in assessed sources</ns0:t>
        </ns0:is>
      </ns0:c>
      <ns0:c r="X337" s="19" t="inlineStr">
        <ns0:is>
          <ns0:t>Not reported in assessed sources</ns0:t>
        </ns0:is>
      </ns0:c>
      <ns0:c r="Y337" s="19" t="inlineStr">
        <ns0:is>
          <ns0:t>Not ascertainable</ns0:t>
        </ns0:is>
      </ns0:c>
      <ns0:c r="Z337" s="19" t="inlineStr">
        <ns0:is>
          <ns0:t>Not reported in assessed sources</ns0:t>
        </ns0:is>
      </ns0:c>
      <ns0:c r="AA337" s="19" t="inlineStr">
        <ns0:is>
          <ns0:t>Not recorded</ns0:t>
        </ns0:is>
      </ns0:c>
      <ns0:c r="AB337" s="26" t="n">
        <ns0:v>0</ns0:v>
      </ns0:c>
      <ns0:c r="AC337" s="26" t="n">
        <ns0:v>0</ns0:v>
      </ns0:c>
      <ns0:c r="AD337" s="27">
        <ns0:f>IF(AND(G337=1,AB337=0),1,0)</ns0:f>
        <ns0:v>1</ns0:v>
      </ns0:c>
      <ns0:c r="AE337" s="27">
        <ns0:f>IF(AND(AD337=1,AC337=0),1,0)</ns0:f>
        <ns0:v>1</ns0:v>
      </ns0:c>
      <ns0:c r="AF337" s="27">
        <ns0:f>IF(AND(G337=1,H337&lt;&gt;"Not specified"),1,0)</ns0:f>
        <ns0:v>1</ns0:v>
      </ns0:c>
      <ns0:c r="AG337" s="27">
        <ns0:f>IF(AND(AE337=1,AF337=1),1,0)</ns0:f>
        <ns0:v>1</ns0:v>
      </ns0:c>
      <ns0:c r="AH337" s="19" t="inlineStr">
        <ns0:is>
          <ns0:t>Supplied abstract/coding notes; no new full-text verification</ns0:t>
        </ns0:is>
      </ns0:c>
      <ns0:c r="AI337" s="19" t="inlineStr">
        <ns0:is>
          <ns0:t>https://doi.org/10.1109/access.2026.3704046</ns0:t>
        </ns0:is>
      </ns0:c>
      <ns0:c r="AJ337" s="19" t="inlineStr">
        <ns0:is>
          <ns0:t>EVIDENCIA; original abstract/coding notes and lot source trace; Inherited scoped adjudication; see source level and lot caveats</ns0:t>
        </ns0:is>
      </ns0:c>
      <ns0:c r="AK337" s="19" t="inlineStr">
        <ns0:is>
          <ns0:t>Gait classification benchmark; all-neural branches do not imply conventional ML-DL hybrid.</ns0:t>
        </ns0:is>
      </ns0:c>
      <ns0:c r="AL337" s="19" t="inlineStr">
        <ns0:is>
          <ns0:t>Not applicable</ns0:t>
        </ns0:is>
      </ns0:c>
      <ns0:c r="AM337" s="19" t="inlineStr">
        <ns0:is>
          <ns0:t>Not separately specified</ns0:t>
        </ns0:is>
      </ns0:c>
      <ns0:c r="AN337" s="19" t="inlineStr"/>
      <ns0:c r="AO337" s="19" t="inlineStr">
        <ns0:is>
          <ns0:t>No additional status determination</ns0:t>
        </ns0:is>
      </ns0:c>
      <ns0:c r="AP337" s="19" t="inlineStr">
        <ns0:is>
          <ns0:t>Not documented for this recharting</ns0:t>
        </ns0:is>
      </ns0:c>
      <ns0:c r="AQ337" s="19" t="inlineStr">
        <ns0:is>
          <ns0:t>ChatGPT-assisted evidence recharting, 2026-09-08</ns0:t>
        </ns0:is>
      </ns0:c>
      <ns0:c r="AR337" s="19" t="inlineStr">
        <ns0:is>
          <ns0:t>Revisión asistida por IA (un revisor; requiere verificación independiente)</ns0:t>
        </ns0:is>
      </ns0:c>
      <ns0:c r="AS337" s="19" t="inlineStr">
        <ns0:is>
          <ns0:t>Retrieved and reviewed</ns0:t>
        </ns0:is>
      </ns0:c>
    </ns0:row>
    <ns0:row r="338" ht="50" customHeight="1">
      <ns0:c r="A338" s="21" t="inlineStr">
        <ns0:is>
          <ns0:t>new_428</ns0:t>
        </ns0:is>
      </ns0:c>
      <ns0:c r="B338" s="21" t="inlineStr">
        <ns0:is>
          <ns0:t>Update</ns0:t>
        </ns0:is>
      </ns0:c>
      <ns0:c r="C338" s="21" t="inlineStr">
        <ns0:is>
          <ns0:t>Autism Action Dataset (AAD): A Comprehensive Video Benchmark for ASD Behavior Recognition Using Deep Learning</ns0:t>
        </ns0:is>
      </ns0:c>
      <ns0:c r="D338" s="21" t="inlineStr">
        <ns0:is>
          <ns0:t>10.1109/access.2026.3686583</ns0:t>
        </ns0:is>
      </ns0:c>
      <ns0:c r="E338" s="28" t="n">
        <ns0:v>2026</ns0:v>
      </ns0:c>
      <ns0:c r="F338" s="21" t="inlineStr">
        <ns0:is>
          <ns0:t>Include</ns0:t>
        </ns0:is>
      </ns0:c>
      <ns0:c r="G338" s="29">
        <ns0:f>IF(F338="Include",1,0)</ns0:f>
        <ns0:v>1</ns0:v>
      </ns0:c>
      <ns0:c r="H338" s="21" t="inlineStr">
        <ns0:is>
          <ns0:t>Monitoring/intervention</ns0:t>
        </ns0:is>
      </ns0:c>
      <ns0:c r="I338" s="21" t="inlineStr">
        <ns0:is>
          <ns0:t>Deep Learning</ns0:t>
        </ns0:is>
      </ns0:c>
      <ns0:c r="J338" s="21" t="inlineStr">
        <ns0:is>
          <ns0:t>Behavioral images/video/gaze/movement</ns0:t>
        </ns0:is>
      </ns0:c>
      <ns0:c r="K338" s="21" t="inlineStr">
        <ns0:is>
          <ns0:t>Multiple deep video models</ns0:t>
        </ns0:is>
      </ns0:c>
      <ns0:c r="L338" s="21" t="inlineStr">
        <ns0:is>
          <ns0:t>Multiple/not uniquely specified</ns0:t>
        </ns0:is>
      </ns0:c>
      <ns0:c r="M338" s="21" t="inlineStr">
        <ns0:is>
          <ns0:t>Research only</ns0:t>
        </ns0:is>
      </ns0:c>
      <ns0:c r="N338" s="21" t="inlineStr">
        <ns0:is>
          <ns0:t>Monitoring/longitudinal analysis</ns0:t>
        </ns0:is>
      </ns0:c>
      <ns0:c r="O338" s="21" t="inlineStr">
        <ns0:is>
          <ns0:t>Not observed in assessed sources</ns0:t>
        </ns0:is>
      </ns0:c>
      <ns0:c r="P338" s="21" t="inlineStr">
        <ns0:is>
          <ns0:t>Not observed in assessed sources</ns0:t>
        </ns0:is>
      </ns0:c>
      <ns0:c r="Q338" s="21" t="inlineStr">
        <ns0:is>
          <ns0:t>Not reported in assessed sources</ns0:t>
        </ns0:is>
      </ns0:c>
      <ns0:c r="R338" s="21" t="inlineStr">
        <ns0:is>
          <ns0:t>Not reported in assessed sources</ns0:t>
        </ns0:is>
      </ns0:c>
      <ns0:c r="S338" s="21" t="inlineStr">
        <ns0:is>
          <ns0:t>Reported</ns0:t>
        </ns0:is>
      </ns0:c>
      <ns0:c r="T338" s="21" t="inlineStr">
        <ns0:is>
          <ns0:t>Reported</ns0:t>
        </ns0:is>
      </ns0:c>
      <ns0:c r="U338" s="21" t="inlineStr">
        <ns0:is>
          <ns0:t>Not reported in assessed sources</ns0:t>
        </ns0:is>
      </ns0:c>
      <ns0:c r="V338" s="21" t="inlineStr">
        <ns0:is>
          <ns0:t>Not reported in assessed sources</ns0:t>
        </ns0:is>
      </ns0:c>
      <ns0:c r="W338" s="21" t="inlineStr">
        <ns0:is>
          <ns0:t>Not reported in assessed sources</ns0:t>
        </ns0:is>
      </ns0:c>
      <ns0:c r="X338" s="21" t="inlineStr">
        <ns0:is>
          <ns0:t>Not reported in assessed sources</ns0:t>
        </ns0:is>
      </ns0:c>
      <ns0:c r="Y338" s="21" t="inlineStr">
        <ns0:is>
          <ns0:t>Not ascertainable</ns0:t>
        </ns0:is>
      </ns0:c>
      <ns0:c r="Z338" s="21" t="inlineStr">
        <ns0:is>
          <ns0:t>Not reported in assessed sources</ns0:t>
        </ns0:is>
      </ns0:c>
      <ns0:c r="AA338" s="21" t="inlineStr">
        <ns0:is>
          <ns0:t>Not recorded</ns0:t>
        </ns0:is>
      </ns0:c>
      <ns0:c r="AB338" s="28" t="n">
        <ns0:v>0</ns0:v>
      </ns0:c>
      <ns0:c r="AC338" s="28" t="n">
        <ns0:v>0</ns0:v>
      </ns0:c>
      <ns0:c r="AD338" s="29">
        <ns0:f>IF(AND(G338=1,AB338=0),1,0)</ns0:f>
        <ns0:v>1</ns0:v>
      </ns0:c>
      <ns0:c r="AE338" s="29">
        <ns0:f>IF(AND(AD338=1,AC338=0),1,0)</ns0:f>
        <ns0:v>1</ns0:v>
      </ns0:c>
      <ns0:c r="AF338" s="29">
        <ns0:f>IF(AND(G338=1,H338&lt;&gt;"Not specified"),1,0)</ns0:f>
        <ns0:v>1</ns0:v>
      </ns0:c>
      <ns0:c r="AG338" s="29">
        <ns0:f>IF(AND(AE338=1,AF338=1),1,0)</ns0:f>
        <ns0:v>1</ns0:v>
      </ns0:c>
      <ns0:c r="AH338" s="21" t="inlineStr">
        <ns0:is>
          <ns0:t>Supplied abstract/coding notes; no new full-text verification</ns0:t>
        </ns0:is>
      </ns0:c>
      <ns0:c r="AI338" s="21" t="inlineStr">
        <ns0:is>
          <ns0:t>https://doi.org/10.1109/access.2026.3686583</ns0:t>
        </ns0:is>
      </ns0:c>
      <ns0:c r="AJ338" s="21" t="inlineStr">
        <ns0:is>
          <ns0:t>EVIDENCIA; original abstract/coding notes and lot source trace; Inherited scoped adjudication; see source level and lot caveats</ns0:t>
        </ns0:is>
      </ns0:c>
      <ns0:c r="AK338" s="21" t="inlineStr">
        <ns0:is>
          <ns0:t>Behavioral action dataset benchmark; no primary winning family inferred.</ns0:t>
        </ns0:is>
      </ns0:c>
      <ns0:c r="AL338" s="21" t="inlineStr">
        <ns0:is>
          <ns0:t>Not applicable</ns0:t>
        </ns0:is>
      </ns0:c>
      <ns0:c r="AM338" s="21" t="inlineStr">
        <ns0:is>
          <ns0:t>Not separately specified</ns0:t>
        </ns0:is>
      </ns0:c>
      <ns0:c r="AN338" s="21" t="inlineStr"/>
      <ns0:c r="AO338" s="21" t="inlineStr">
        <ns0:is>
          <ns0:t>No additional status determination</ns0:t>
        </ns0:is>
      </ns0:c>
      <ns0:c r="AP338" s="21" t="inlineStr">
        <ns0:is>
          <ns0:t>Not documented for this recharting</ns0:t>
        </ns0:is>
      </ns0:c>
      <ns0:c r="AQ338" s="21" t="inlineStr">
        <ns0:is>
          <ns0:t>ChatGPT-assisted evidence recharting, 2026-09-08</ns0:t>
        </ns0:is>
      </ns0:c>
      <ns0:c r="AR338" s="21" t="inlineStr">
        <ns0:is>
          <ns0:t>Revisión asistida por IA (un revisor; requiere verificación independiente)</ns0:t>
        </ns0:is>
      </ns0:c>
      <ns0:c r="AS338" s="21" t="inlineStr">
        <ns0:is>
          <ns0:t>Retrieved and reviewed</ns0:t>
        </ns0:is>
      </ns0:c>
    </ns0:row>
    <ns0:row r="339" ht="50" customHeight="1">
      <ns0:c r="A339" s="19" t="inlineStr">
        <ns0:is>
          <ns0:t>new_429</ns0:t>
        </ns0:is>
      </ns0:c>
      <ns0:c r="B339" s="19" t="inlineStr">
        <ns0:is>
          <ns0:t>Update</ns0:t>
        </ns0:is>
      </ns0:c>
      <ns0:c r="C339" s="19" t="inlineStr">
        <ns0:is>
          <ns0:t>A Data-Driven Approach for Autism Spectrum Disorder Screening</ns0:t>
        </ns0:is>
      </ns0:c>
      <ns0:c r="D339" s="19" t="inlineStr">
        <ns0:is>
          <ns0:t>10.1109/access.2026.3650856</ns0:t>
        </ns0:is>
      </ns0:c>
      <ns0:c r="E339" s="26" t="n">
        <ns0:v>2026</ns0:v>
      </ns0:c>
      <ns0:c r="F339" s="19" t="inlineStr">
        <ns0:is>
          <ns0:t>Include</ns0:t>
        </ns0:is>
      </ns0:c>
      <ns0:c r="G339" s="27">
        <ns0:f>IF(F339="Include",1,0)</ns0:f>
        <ns0:v>1</ns0:v>
      </ns0:c>
      <ns0:c r="H339" s="19" t="inlineStr">
        <ns0:is>
          <ns0:t>Screening</ns0:t>
        </ns0:is>
      </ns0:c>
      <ns0:c r="I339" s="19" t="inlineStr">
        <ns0:is>
          <ns0:t>Machine Learning</ns0:t>
        </ns0:is>
      </ns0:c>
      <ns0:c r="J339" s="19" t="inlineStr">
        <ns0:is>
          <ns0:t>Structured clinical/questionnaire data</ns0:t>
        </ns0:is>
      </ns0:c>
      <ns0:c r="K339" s="19" t="inlineStr">
        <ns0:is>
          <ns0:t>RF / XGBoost / CatBoost stacking</ns0:t>
        </ns0:is>
      </ns0:c>
      <ns0:c r="L339" s="19" t="inlineStr">
        <ns0:is>
          <ns0:t>Composite/ensemble pipeline</ns0:t>
        </ns0:is>
      </ns0:c>
      <ns0:c r="M339" s="19" t="inlineStr">
        <ns0:is>
          <ns0:t>Evaluated at point of use</ns0:t>
        </ns0:is>
      </ns0:c>
      <ns0:c r="N339" s="19" t="inlineStr">
        <ns0:is>
          <ns0:t>Triage/questionnaire assessment</ns0:t>
        </ns0:is>
      </ns0:c>
      <ns0:c r="O339" s="19" t="inlineStr">
        <ns0:is>
          <ns0:t>Pre-decision</ns0:t>
        </ns0:is>
      </ns0:c>
      <ns0:c r="P339" s="19" t="inlineStr">
        <ns0:is>
          <ns0:t>Pre-decision</ns0:t>
        </ns0:is>
      </ns0:c>
      <ns0:c r="Q339" s="19" t="inlineStr">
        <ns0:is>
          <ns0:t>Not reported in assessed sources</ns0:t>
        </ns0:is>
      </ns0:c>
      <ns0:c r="R339" s="19" t="inlineStr">
        <ns0:is>
          <ns0:t>Not reported in assessed sources</ns0:t>
        </ns0:is>
      </ns0:c>
      <ns0:c r="S339" s="19" t="inlineStr">
        <ns0:is>
          <ns0:t>Not reported in assessed sources</ns0:t>
        </ns0:is>
      </ns0:c>
      <ns0:c r="T339" s="19" t="inlineStr">
        <ns0:is>
          <ns0:t>Not reported in assessed sources</ns0:t>
        </ns0:is>
      </ns0:c>
      <ns0:c r="U339" s="19" t="inlineStr">
        <ns0:is>
          <ns0:t>Not reported in assessed sources</ns0:t>
        </ns0:is>
      </ns0:c>
      <ns0:c r="V339" s="19" t="inlineStr">
        <ns0:is>
          <ns0:t>Not reported in assessed sources</ns0:t>
        </ns0:is>
      </ns0:c>
      <ns0:c r="W339" s="19" t="inlineStr">
        <ns0:is>
          <ns0:t>Not reported in assessed sources</ns0:t>
        </ns0:is>
      </ns0:c>
      <ns0:c r="X339" s="19" t="inlineStr">
        <ns0:is>
          <ns0:t>Not reported in assessed sources</ns0:t>
        </ns0:is>
      </ns0:c>
      <ns0:c r="Y339" s="19" t="inlineStr">
        <ns0:is>
          <ns0:t>Not ascertainable</ns0:t>
        </ns0:is>
      </ns0:c>
      <ns0:c r="Z339" s="19" t="inlineStr">
        <ns0:is>
          <ns0:t>Not reported in assessed sources</ns0:t>
        </ns0:is>
      </ns0:c>
      <ns0:c r="AA339" s="19" t="inlineStr">
        <ns0:is>
          <ns0:t>Not recorded</ns0:t>
        </ns0:is>
      </ns0:c>
      <ns0:c r="AB339" s="26" t="n">
        <ns0:v>0</ns0:v>
      </ns0:c>
      <ns0:c r="AC339" s="26" t="n">
        <ns0:v>0</ns0:v>
      </ns0:c>
      <ns0:c r="AD339" s="27">
        <ns0:f>IF(AND(G339=1,AB339=0),1,0)</ns0:f>
        <ns0:v>1</ns0:v>
      </ns0:c>
      <ns0:c r="AE339" s="27">
        <ns0:f>IF(AND(AD339=1,AC339=0),1,0)</ns0:f>
        <ns0:v>1</ns0:v>
      </ns0:c>
      <ns0:c r="AF339" s="27">
        <ns0:f>IF(AND(G339=1,H339&lt;&gt;"Not specified"),1,0)</ns0:f>
        <ns0:v>1</ns0:v>
      </ns0:c>
      <ns0:c r="AG339" s="27">
        <ns0:f>IF(AND(AE339=1,AF339=1),1,0)</ns0:f>
        <ns0:v>1</ns0:v>
      </ns0:c>
      <ns0:c r="AH339" s="19" t="inlineStr">
        <ns0:is>
          <ns0:t>Supplied abstract/coding notes; no new full-text verification</ns0:t>
        </ns0:is>
      </ns0:c>
      <ns0:c r="AI339" s="19" t="inlineStr">
        <ns0:is>
          <ns0:t>https://doi.org/10.1109/access.2026.3650856</ns0:t>
        </ns0:is>
      </ns0:c>
      <ns0:c r="AJ339" s="19" t="inlineStr">
        <ns0:is>
          <ns0:t>EVIDENCIA; original abstract/coding notes and lot source trace; Inherited scoped adjudication; see source level and lot caveats</ns0:t>
        </ns0:is>
      </ns0:c>
      <ns0:c r="AK339" s="19" t="inlineStr">
        <ns0:is>
          <ns0:t>Abstract explicitly reports operation at a healthcare provider; deployment is author-reported, clinical benefit is not independently established.
Operational-use claim from abstract; no independently verified causal improvement in diagnostic outcomes.</ns0:t>
        </ns0:is>
      </ns0:c>
      <ns0:c r="AL339" s="19" t="inlineStr">
        <ns0:is>
          <ns0:t>Not applicable</ns0:t>
        </ns0:is>
      </ns0:c>
      <ns0:c r="AM339" s="19" t="inlineStr">
        <ns0:is>
          <ns0:t>Not separately specified</ns0:t>
        </ns0:is>
      </ns0:c>
      <ns0:c r="AN339" s="19" t="inlineStr"/>
      <ns0:c r="AO339" s="19" t="inlineStr">
        <ns0:is>
          <ns0:t>No additional status determination</ns0:t>
        </ns0:is>
      </ns0:c>
      <ns0:c r="AP339" s="19" t="inlineStr">
        <ns0:is>
          <ns0:t>Not documented for this recharting</ns0:t>
        </ns0:is>
      </ns0:c>
      <ns0:c r="AQ339" s="19" t="inlineStr">
        <ns0:is>
          <ns0:t>ChatGPT-assisted evidence recharting, 2026-09-08</ns0:t>
        </ns0:is>
      </ns0:c>
      <ns0:c r="AR339" s="19" t="inlineStr">
        <ns0:is>
          <ns0:t>Revisión asistida por IA (un revisor; requiere verificación independiente)</ns0:t>
        </ns0:is>
      </ns0:c>
      <ns0:c r="AS339" s="19" t="inlineStr">
        <ns0:is>
          <ns0:t>Retrieved and reviewed</ns0:t>
        </ns0:is>
      </ns0:c>
    </ns0:row>
    <ns0:row r="340" ht="50" customHeight="1">
      <ns0:c r="A340" s="21" t="inlineStr">
        <ns0:is>
          <ns0:t>new_1</ns0:t>
        </ns0:is>
      </ns0:c>
      <ns0:c r="B340" s="21" t="inlineStr">
        <ns0:is>
          <ns0:t>Update</ns0:t>
        </ns0:is>
      </ns0:c>
      <ns0:c r="C340" s="21" t="inlineStr">
        <ns0:is>
          <ns0:t>A novel thermal imaging-based framework for continuous ASD classification and behavior analysis using facial mood and skin temperature features</ns0:t>
        </ns0:is>
      </ns0:c>
      <ns0:c r="D340" s="21" t="inlineStr">
        <ns0:is>
          <ns0:t>10.1016/j.bspc.2024.107009</ns0:t>
        </ns0:is>
      </ns0:c>
      <ns0:c r="E340" s="28" t="n">
        <ns0:v>2025</ns0:v>
      </ns0:c>
      <ns0:c r="F340" s="21" t="inlineStr">
        <ns0:is>
          <ns0:t>Include</ns0:t>
        </ns0:is>
      </ns0:c>
      <ns0:c r="G340" s="29">
        <ns0:f>IF(F340="Include",1,0)</ns0:f>
        <ns0:v>1</ns0:v>
      </ns0:c>
      <ns0:c r="H340" s="21" t="inlineStr">
        <ns0:is>
          <ns0:t>Monitoring/intervention</ns0:t>
        </ns0:is>
      </ns0:c>
      <ns0:c r="I340" s="21" t="inlineStr">
        <ns0:is>
          <ns0:t>Hybrid</ns0:t>
        </ns0:is>
      </ns0:c>
      <ns0:c r="J340" s="21" t="inlineStr">
        <ns0:is>
          <ns0:t>Other biomedical/digital data</ns0:t>
        </ns0:is>
      </ns0:c>
      <ns0:c r="K340" s="21" t="inlineStr">
        <ns0:is>
          <ns0:t>Thermal feature encoder plus RF / SVM</ns0:t>
        </ns0:is>
      </ns0:c>
      <ns0:c r="L340" s="21" t="inlineStr">
        <ns0:is>
          <ns0:t>Composite/ensemble pipeline</ns0:t>
        </ns0:is>
      </ns0:c>
      <ns0:c r="M340" s="21" t="inlineStr">
        <ns0:is>
          <ns0:t>Proposed only</ns0:t>
        </ns0:is>
      </ns0:c>
      <ns0:c r="N340" s="21" t="inlineStr">
        <ns0:is>
          <ns0:t>Monitoring/longitudinal analysis</ns0:t>
        </ns0:is>
      </ns0:c>
      <ns0:c r="O340" s="21" t="inlineStr">
        <ns0:is>
          <ns0:t>Post-decision</ns0:t>
        </ns0:is>
      </ns0:c>
      <ns0:c r="P340" s="21" t="inlineStr">
        <ns0:is>
          <ns0:t>Not observed in assessed sources</ns0:t>
        </ns0:is>
      </ns0:c>
      <ns0:c r="Q340" s="21" t="inlineStr">
        <ns0:is>
          <ns0:t>Not reported in assessed sources</ns0:t>
        </ns0:is>
      </ns0:c>
      <ns0:c r="R340" s="21" t="inlineStr">
        <ns0:is>
          <ns0:t>Not reported in assessed sources</ns0:t>
        </ns0:is>
      </ns0:c>
      <ns0:c r="S340" s="21" t="inlineStr">
        <ns0:is>
          <ns0:t>Not reported in assessed sources</ns0:t>
        </ns0:is>
      </ns0:c>
      <ns0:c r="T340" s="21" t="inlineStr">
        <ns0:is>
          <ns0:t>Not reported in assessed sources</ns0:t>
        </ns0:is>
      </ns0:c>
      <ns0:c r="U340" s="21" t="inlineStr">
        <ns0:is>
          <ns0:t>Not reported in assessed sources</ns0:t>
        </ns0:is>
      </ns0:c>
      <ns0:c r="V340" s="21" t="inlineStr">
        <ns0:is>
          <ns0:t>Not reported in assessed sources</ns0:t>
        </ns0:is>
      </ns0:c>
      <ns0:c r="W340" s="21" t="inlineStr">
        <ns0:is>
          <ns0:t>Not reported in assessed sources</ns0:t>
        </ns0:is>
      </ns0:c>
      <ns0:c r="X340" s="21" t="inlineStr">
        <ns0:is>
          <ns0:t>Not reported in assessed sources</ns0:t>
        </ns0:is>
      </ns0:c>
      <ns0:c r="Y340" s="21" t="inlineStr">
        <ns0:is>
          <ns0:t>Not ascertainable</ns0:t>
        </ns0:is>
      </ns0:c>
      <ns0:c r="Z340" s="21" t="inlineStr">
        <ns0:is>
          <ns0:t>Not reported in assessed sources</ns0:t>
        </ns0:is>
      </ns0:c>
      <ns0:c r="AA340" s="21" t="inlineStr">
        <ns0:is>
          <ns0:t>Not recorded</ns0:t>
        </ns0:is>
      </ns0:c>
      <ns0:c r="AB340" s="28" t="n">
        <ns0:v>0</ns0:v>
      </ns0:c>
      <ns0:c r="AC340" s="28" t="n">
        <ns0:v>0</ns0:v>
      </ns0:c>
      <ns0:c r="AD340" s="29">
        <ns0:f>IF(AND(G340=1,AB340=0),1,0)</ns0:f>
        <ns0:v>1</ns0:v>
      </ns0:c>
      <ns0:c r="AE340" s="29">
        <ns0:f>IF(AND(AD340=1,AC340=0),1,0)</ns0:f>
        <ns0:v>1</ns0:v>
      </ns0:c>
      <ns0:c r="AF340" s="29">
        <ns0:f>IF(AND(G340=1,H340&lt;&gt;"Not specified"),1,0)</ns0:f>
        <ns0:v>1</ns0:v>
      </ns0:c>
      <ns0:c r="AG340" s="29">
        <ns0:f>IF(AND(AE340=1,AF340=1),1,0)</ns0:f>
        <ns0:v>1</ns0:v>
      </ns0:c>
      <ns0:c r="AH340" s="21" t="inlineStr">
        <ns0:is>
          <ns0:t>Prior source-specific extraction retained; no new full-text retrieval</ns0:t>
        </ns0:is>
      </ns0:c>
      <ns0:c r="AI340" s="21" t="inlineStr">
        <ns0:is>
          <ns0:t>https://doi.org/10.1016/j.bspc.2024.107009</ns0:t>
        </ns0:is>
      </ns0:c>
      <ns0:c r="AJ340" s="21" t="inlineStr">
        <ns0:is>
          <ns0:t>EVIDENCIA; original abstract/coding notes and lot source trace; Inherited scoped adjudication; see source level and lot caveats</ns0:t>
        </ns0:is>
      </ns0:c>
      <ns0:c r="AK340" s="21" t="inlineStr">
        <ns0:is>
          <ns0:t>Thermal facial monitoring prototype; proposed medication adjustment is not evidence of actual treatment decisions.</ns0:t>
        </ns0:is>
      </ns0:c>
      <ns0:c r="AL340" s="21" t="inlineStr">
        <ns0:is>
          <ns0:t>Not applicable</ns0:t>
        </ns0:is>
      </ns0:c>
      <ns0:c r="AM340" s="21" t="inlineStr">
        <ns0:is>
          <ns0:t>Not separately specified</ns0:t>
        </ns0:is>
      </ns0:c>
      <ns0:c r="AN340" s="21" t="inlineStr"/>
      <ns0:c r="AO340" s="21" t="inlineStr">
        <ns0:is>
          <ns0:t>No additional status determination</ns0:t>
        </ns0:is>
      </ns0:c>
      <ns0:c r="AP340" s="21" t="inlineStr">
        <ns0:is>
          <ns0:t>Not documented for this recharting</ns0:t>
        </ns0:is>
      </ns0:c>
      <ns0:c r="AQ340" s="21" t="inlineStr">
        <ns0:is>
          <ns0:t>ChatGPT-assisted evidence recharting, 2026-09-08</ns0:t>
        </ns0:is>
      </ns0:c>
      <ns0:c r="AR340" s="21" t="inlineStr">
        <ns0:is>
          <ns0:t>Revisión asistida por IA (un revisor; requiere verificación independiente)</ns0:t>
        </ns0:is>
      </ns0:c>
      <ns0:c r="AS340" s="21" t="inlineStr">
        <ns0:is>
          <ns0:t>Retrieved and reviewed</ns0:t>
        </ns0:is>
      </ns0:c>
    </ns0:row>
    <ns0:row r="341" ht="50" customHeight="1">
      <ns0:c r="A341" s="19" t="inlineStr">
        <ns0:is>
          <ns0:t>new_3</ns0:t>
        </ns0:is>
      </ns0:c>
      <ns0:c r="B341" s="19" t="inlineStr">
        <ns0:is>
          <ns0:t>Update</ns0:t>
        </ns0:is>
      </ns0:c>
      <ns0:c r="C341" s="19" t="inlineStr">
        <ns0:is>
          <ns0:t>Efficient machine learning models across multiple datasets for autism spectrum disorder diagnoses</ns0:t>
        </ns0:is>
      </ns0:c>
      <ns0:c r="D341" s="19" t="inlineStr">
        <ns0:is>
          <ns0:t>10.1016/j.bspc.2024.106949</ns0:t>
        </ns0:is>
      </ns0:c>
      <ns0:c r="E341" s="26" t="n">
        <ns0:v>2025</ns0:v>
      </ns0:c>
      <ns0:c r="F341" s="19" t="inlineStr">
        <ns0:is>
          <ns0:t>Include</ns0:t>
        </ns0:is>
      </ns0:c>
      <ns0:c r="G341" s="27">
        <ns0:f>IF(F341="Include",1,0)</ns0:f>
        <ns0:v>1</ns0:v>
      </ns0:c>
      <ns0:c r="H341" s="19" t="inlineStr">
        <ns0:is>
          <ns0:t>Screening</ns0:t>
        </ns0:is>
      </ns0:c>
      <ns0:c r="I341" s="19" t="inlineStr">
        <ns0:is>
          <ns0:t>Machine Learning</ns0:t>
        </ns0:is>
      </ns0:c>
      <ns0:c r="J341" s="19" t="inlineStr">
        <ns0:is>
          <ns0:t>Structured clinical/questionnaire data</ns0:t>
        </ns0:is>
      </ns0:c>
      <ns0:c r="K341" s="19" t="inlineStr">
        <ns0:is>
          <ns0:t>AutoML/ensemble framework (27 ML models; voting/bagging)</ns0:t>
        </ns0:is>
      </ns0:c>
      <ns0:c r="L341" s="19" t="inlineStr">
        <ns0:is>
          <ns0:t>Other specified method</ns0:t>
        </ns0:is>
      </ns0:c>
      <ns0:c r="M341" s="19" t="inlineStr">
        <ns0:is>
          <ns0:t>Research only</ns0:t>
        </ns0:is>
      </ns0:c>
      <ns0:c r="N341" s="19" t="inlineStr">
        <ns0:is>
          <ns0:t>Triage/questionnaire assessment</ns0:t>
        </ns0:is>
      </ns0:c>
      <ns0:c r="O341" s="19" t="inlineStr">
        <ns0:is>
          <ns0:t>Not observed in assessed sources</ns0:t>
        </ns0:is>
      </ns0:c>
      <ns0:c r="P341" s="19" t="inlineStr">
        <ns0:is>
          <ns0:t>Not observed in assessed sources</ns0:t>
        </ns0:is>
      </ns0:c>
      <ns0:c r="Q341" s="19" t="inlineStr">
        <ns0:is>
          <ns0:t>Not reported in assessed sources</ns0:t>
        </ns0:is>
      </ns0:c>
      <ns0:c r="R341" s="19" t="inlineStr">
        <ns0:is>
          <ns0:t>Not reported in assessed sources</ns0:t>
        </ns0:is>
      </ns0:c>
      <ns0:c r="S341" s="19" t="inlineStr">
        <ns0:is>
          <ns0:t>Not reported in assessed sources</ns0:t>
        </ns0:is>
      </ns0:c>
      <ns0:c r="T341" s="19" t="inlineStr">
        <ns0:is>
          <ns0:t>Not reported in assessed sources</ns0:t>
        </ns0:is>
      </ns0:c>
      <ns0:c r="U341" s="19" t="inlineStr">
        <ns0:is>
          <ns0:t>Not reported in assessed sources</ns0:t>
        </ns0:is>
      </ns0:c>
      <ns0:c r="V341" s="19" t="inlineStr">
        <ns0:is>
          <ns0:t>Not reported in assessed sources</ns0:t>
        </ns0:is>
      </ns0:c>
      <ns0:c r="W341" s="19" t="inlineStr">
        <ns0:is>
          <ns0:t>Not reported in assessed sources</ns0:t>
        </ns0:is>
      </ns0:c>
      <ns0:c r="X341" s="19" t="inlineStr">
        <ns0:is>
          <ns0:t>Not reported in assessed sources</ns0:t>
        </ns0:is>
      </ns0:c>
      <ns0:c r="Y341" s="19" t="inlineStr">
        <ns0:is>
          <ns0:t>Not ascertainable</ns0:t>
        </ns0:is>
      </ns0:c>
      <ns0:c r="Z341" s="19" t="inlineStr">
        <ns0:is>
          <ns0:t>Not reported in assessed sources</ns0:t>
        </ns0:is>
      </ns0:c>
      <ns0:c r="AA341" s="19" t="inlineStr">
        <ns0:is>
          <ns0:t>Not recorded</ns0:t>
        </ns0:is>
      </ns0:c>
      <ns0:c r="AB341" s="26" t="n">
        <ns0:v>0</ns0:v>
      </ns0:c>
      <ns0:c r="AC341" s="26" t="n">
        <ns0:v>0</ns0:v>
      </ns0:c>
      <ns0:c r="AD341" s="27">
        <ns0:f>IF(AND(G341=1,AB341=0),1,0)</ns0:f>
        <ns0:v>1</ns0:v>
      </ns0:c>
      <ns0:c r="AE341" s="27">
        <ns0:f>IF(AND(AD341=1,AC341=0),1,0)</ns0:f>
        <ns0:v>1</ns0:v>
      </ns0:c>
      <ns0:c r="AF341" s="27">
        <ns0:f>IF(AND(G341=1,H341&lt;&gt;"Not specified"),1,0)</ns0:f>
        <ns0:v>1</ns0:v>
      </ns0:c>
      <ns0:c r="AG341" s="27">
        <ns0:f>IF(AND(AE341=1,AF341=1),1,0)</ns0:f>
        <ns0:v>1</ns0:v>
      </ns0:c>
      <ns0:c r="AH341" s="19" t="inlineStr">
        <ns0:is>
          <ns0:t>Prior source-specific extraction retained; no new full-text retrieval</ns0:t>
        </ns0:is>
      </ns0:c>
      <ns0:c r="AI341" s="19" t="inlineStr">
        <ns0:is>
          <ns0:t>https://doi.org/10.1016/j.bspc.2024.106949</ns0:t>
        </ns0:is>
      </ns0:c>
      <ns0:c r="AJ341" s="19" t="inlineStr">
        <ns0:is>
          <ns0:t>EVIDENCIA; original abstract/coding notes and lot source trace; Inherited scoped adjudication; see source level and lot caveats</ns0:t>
        </ns0:is>
      </ns0:c>
      <ns0:c r="AK341" s="19" t="inlineStr">
        <ns0:is>
          <ns0:t>Retained source-specific coding after review of the supplied extraction notes; not a new full-text retrieval. ASDD evalúa 27 modelos y herramientas AutoML sobre siete datasets y un dataset combinado; varios resultados llegan a 100% de accuracy/F1. Los resultados perfectos exigen cautela. No se identificó una validación externa fija en un cohort/dataset independiente del proceso de desarrollo; múltiples datasets no equivalen automáticamente a external validation.</ns0:t>
        </ns0:is>
      </ns0:c>
      <ns0:c r="AL341" s="19" t="inlineStr">
        <ns0:is>
          <ns0:t>Not applicable</ns0:t>
        </ns0:is>
      </ns0:c>
      <ns0:c r="AM341" s="19" t="inlineStr">
        <ns0:is>
          <ns0:t>Not separately specified</ns0:t>
        </ns0:is>
      </ns0:c>
      <ns0:c r="AN341" s="19" t="inlineStr"/>
      <ns0:c r="AO341" s="19" t="inlineStr">
        <ns0:is>
          <ns0:t>No additional status determination</ns0:t>
        </ns0:is>
      </ns0:c>
      <ns0:c r="AP341" s="19" t="inlineStr">
        <ns0:is>
          <ns0:t>Not documented for this recharting</ns0:t>
        </ns0:is>
      </ns0:c>
      <ns0:c r="AQ341" s="19" t="inlineStr">
        <ns0:is>
          <ns0:t>ChatGPT-assisted evidence recharting, 2026-09-08</ns0:t>
        </ns0:is>
      </ns0:c>
      <ns0:c r="AR341" s="19" t="inlineStr">
        <ns0:is>
          <ns0:t>Revisión asistida por IA (un revisor; requiere verificación independiente)</ns0:t>
        </ns0:is>
      </ns0:c>
      <ns0:c r="AS341" s="19" t="inlineStr">
        <ns0:is>
          <ns0:t>Retrieved and reviewed</ns0:t>
        </ns0:is>
      </ns0:c>
    </ns0:row>
    <ns0:row r="342" ht="50" customHeight="1">
      <ns0:c r="A342" s="21" t="inlineStr">
        <ns0:is>
          <ns0:t>new_4</ns0:t>
        </ns0:is>
      </ns0:c>
      <ns0:c r="B342" s="21" t="inlineStr">
        <ns0:is>
          <ns0:t>Update</ns0:t>
        </ns0:is>
      </ns0:c>
      <ns0:c r="C342" s="21" t="inlineStr">
        <ns0:is>
          <ns0:t>EmoLand: Utilizing narrative animations, multilevel games, and affective computing to foster emotional development in children with autism spectrum disorder</ns0:t>
        </ns0:is>
      </ns0:c>
      <ns0:c r="D342" s="21" t="inlineStr">
        <ns0:is>
          <ns0:t>10.1016/j.ijhcs.2025.103486</ns0:t>
        </ns0:is>
      </ns0:c>
      <ns0:c r="E342" s="28" t="n">
        <ns0:v>2025</ns0:v>
      </ns0:c>
      <ns0:c r="F342" s="21" t="inlineStr">
        <ns0:is>
          <ns0:t>Include</ns0:t>
        </ns0:is>
      </ns0:c>
      <ns0:c r="G342" s="29">
        <ns0:f>IF(F342="Include",1,0)</ns0:f>
        <ns0:v>1</ns0:v>
      </ns0:c>
      <ns0:c r="H342" s="21" t="inlineStr">
        <ns0:is>
          <ns0:t>Monitoring/intervention</ns0:t>
        </ns0:is>
      </ns0:c>
      <ns0:c r="I342" s="21" t="inlineStr">
        <ns0:is>
          <ns0:t>Deep Learning</ns0:t>
        </ns0:is>
      </ns0:c>
      <ns0:c r="J342" s="21" t="inlineStr">
        <ns0:is>
          <ns0:t>Behavioral images/video/gaze/movement</ns0:t>
        </ns0:is>
      </ns0:c>
      <ns0:c r="K342" s="21" t="inlineStr">
        <ns0:is>
          <ns0:t>CNN facial-expression recognition</ns0:t>
        </ns0:is>
      </ns0:c>
      <ns0:c r="L342" s="21" t="inlineStr">
        <ns0:is>
          <ns0:t>CNN</ns0:t>
        </ns0:is>
      </ns0:c>
      <ns0:c r="M342" s="21" t="inlineStr">
        <ns0:is>
          <ns0:t>Evaluated AI-supported intervention</ns0:t>
        </ns0:is>
      </ns0:c>
      <ns0:c r="N342" s="21" t="inlineStr">
        <ns0:is>
          <ns0:t>Adaptive intervention</ns0:t>
        </ns0:is>
      </ns0:c>
      <ns0:c r="O342" s="21" t="inlineStr">
        <ns0:is>
          <ns0:t>Post-decision</ns0:t>
        </ns0:is>
      </ns0:c>
      <ns0:c r="P342" s="21" t="inlineStr">
        <ns0:is>
          <ns0:t>Post-decision</ns0:t>
        </ns0:is>
      </ns0:c>
      <ns0:c r="Q342" s="21" t="inlineStr">
        <ns0:is>
          <ns0:t>Not reported in assessed sources</ns0:t>
        </ns0:is>
      </ns0:c>
      <ns0:c r="R342" s="21" t="inlineStr">
        <ns0:is>
          <ns0:t>Not reported in assessed sources</ns0:t>
        </ns0:is>
      </ns0:c>
      <ns0:c r="S342" s="21" t="inlineStr">
        <ns0:is>
          <ns0:t>Not reported in assessed sources</ns0:t>
        </ns0:is>
      </ns0:c>
      <ns0:c r="T342" s="21" t="inlineStr">
        <ns0:is>
          <ns0:t>Not reported in assessed sources</ns0:t>
        </ns0:is>
      </ns0:c>
      <ns0:c r="U342" s="21" t="inlineStr">
        <ns0:is>
          <ns0:t>Not reported in assessed sources</ns0:t>
        </ns0:is>
      </ns0:c>
      <ns0:c r="V342" s="21" t="inlineStr">
        <ns0:is>
          <ns0:t>Not reported in assessed sources</ns0:t>
        </ns0:is>
      </ns0:c>
      <ns0:c r="W342" s="21" t="inlineStr">
        <ns0:is>
          <ns0:t>Not reported in assessed sources</ns0:t>
        </ns0:is>
      </ns0:c>
      <ns0:c r="X342" s="21" t="inlineStr">
        <ns0:is>
          <ns0:t>Reported</ns0:t>
        </ns0:is>
      </ns0:c>
      <ns0:c r="Y342" s="21" t="inlineStr">
        <ns0:is>
          <ns0:t>Not ascertainable</ns0:t>
        </ns0:is>
      </ns0:c>
      <ns0:c r="Z342" s="21" t="inlineStr">
        <ns0:is>
          <ns0:t>Not reported in assessed sources</ns0:t>
        </ns0:is>
      </ns0:c>
      <ns0:c r="AA342" s="21" t="inlineStr">
        <ns0:is>
          <ns0:t>Not recorded</ns0:t>
        </ns0:is>
      </ns0:c>
      <ns0:c r="AB342" s="28" t="n">
        <ns0:v>0</ns0:v>
      </ns0:c>
      <ns0:c r="AC342" s="28" t="n">
        <ns0:v>0</ns0:v>
      </ns0:c>
      <ns0:c r="AD342" s="29">
        <ns0:f>IF(AND(G342=1,AB342=0),1,0)</ns0:f>
        <ns0:v>1</ns0:v>
      </ns0:c>
      <ns0:c r="AE342" s="29">
        <ns0:f>IF(AND(AD342=1,AC342=0),1,0)</ns0:f>
        <ns0:v>1</ns0:v>
      </ns0:c>
      <ns0:c r="AF342" s="29">
        <ns0:f>IF(AND(G342=1,H342&lt;&gt;"Not specified"),1,0)</ns0:f>
        <ns0:v>1</ns0:v>
      </ns0:c>
      <ns0:c r="AG342" s="29">
        <ns0:f>IF(AND(AE342=1,AF342=1),1,0)</ns0:f>
        <ns0:v>1</ns0:v>
      </ns0:c>
      <ns0:c r="AH342" s="21" t="inlineStr">
        <ns0:is>
          <ns0:t>Prior source-specific extraction retained; no new full-text retrieval</ns0:t>
        </ns0:is>
      </ns0:c>
      <ns0:c r="AI342" s="21" t="inlineStr">
        <ns0:is>
          <ns0:t>https://doi.org/10.1016/j.ijhcs.2025.103486</ns0:t>
        </ns0:is>
      </ns0:c>
      <ns0:c r="AJ342" s="21" t="inlineStr">
        <ns0:is>
          <ns0:t>EVIDENCIA; original abstract/coding notes and lot source trace; Inherited scoped adjudication; see source level and lot caveats</ns0:t>
        </ns0:is>
      </ns0:c>
      <ns0:c r="AK342" s="21" t="inlineStr">
        <ns0:is>
          <ns0:t>Retained source-specific coding after review of the supplied extraction notes; not a new full-text retrieval. Evaluación de campo de 3 semanas en escuela especial: 12 niños con ASD, 5 tutores, 330 clips revisados; el módulo de feedback afectivo reporta 97.6% de acierto. Muestra pequeña y evaluación breve. La precisión del módulo de feedback no debe confundirse con eficacia clínica de largo plazo.</ns0:t>
        </ns0:is>
      </ns0:c>
      <ns0:c r="AL342" s="21" t="inlineStr">
        <ns0:is>
          <ns0:t>Not applicable</ns0:t>
        </ns0:is>
      </ns0:c>
      <ns0:c r="AM342" s="21" t="inlineStr">
        <ns0:is>
          <ns0:t>Not separately specified</ns0:t>
        </ns0:is>
      </ns0:c>
      <ns0:c r="AN342" s="21" t="inlineStr"/>
      <ns0:c r="AO342" s="21" t="inlineStr">
        <ns0:is>
          <ns0:t>No additional status determination</ns0:t>
        </ns0:is>
      </ns0:c>
      <ns0:c r="AP342" s="21" t="inlineStr">
        <ns0:is>
          <ns0:t>Not documented for this recharting</ns0:t>
        </ns0:is>
      </ns0:c>
      <ns0:c r="AQ342" s="21" t="inlineStr">
        <ns0:is>
          <ns0:t>ChatGPT-assisted evidence recharting, 2026-09-08</ns0:t>
        </ns0:is>
      </ns0:c>
      <ns0:c r="AR342" s="21" t="inlineStr">
        <ns0:is>
          <ns0:t>Revisión asistida por IA (un revisor; requiere verificación independiente)</ns0:t>
        </ns0:is>
      </ns0:c>
      <ns0:c r="AS342" s="21" t="inlineStr">
        <ns0:is>
          <ns0:t>Retrieved and reviewed</ns0:t>
        </ns0:is>
      </ns0:c>
    </ns0:row>
    <ns0:row r="343" ht="50" customHeight="1">
      <ns0:c r="A343" s="19" t="inlineStr">
        <ns0:is>
          <ns0:t>new_7</ns0:t>
        </ns0:is>
      </ns0:c>
      <ns0:c r="B343" s="19" t="inlineStr">
        <ns0:is>
          <ns0:t>Update</ns0:t>
        </ns0:is>
      </ns0:c>
      <ns0:c r="C343" s="19" t="inlineStr">
        <ns0:is>
          <ns0:t>Hybrid optimization enabled DenseNet for autism spectrum disorders using MRI image</ns0:t>
        </ns0:is>
      </ns0:c>
      <ns0:c r="D343" s="19" t="inlineStr">
        <ns0:is>
          <ns0:t>10.1016/j.compbiolchem.2024.108335</ns0:t>
        </ns0:is>
      </ns0:c>
      <ns0:c r="E343" s="26" t="n">
        <ns0:v>2025</ns0:v>
      </ns0:c>
      <ns0:c r="F343" s="19" t="inlineStr">
        <ns0:is>
          <ns0:t>Include</ns0:t>
        </ns0:is>
      </ns0:c>
      <ns0:c r="G343" s="27">
        <ns0:f>IF(F343="Include",1,0)</ns0:f>
        <ns0:v>1</ns0:v>
      </ns0:c>
      <ns0:c r="H343" s="19" t="inlineStr">
        <ns0:is>
          <ns0:t>Diagnosis</ns0:t>
        </ns0:is>
      </ns0:c>
      <ns0:c r="I343" s="19" t="inlineStr">
        <ns0:is>
          <ns0:t>Deep Learning</ns0:t>
        </ns0:is>
      </ns0:c>
      <ns0:c r="J343" s="19" t="inlineStr">
        <ns0:is>
          <ns0:t>Neuroimaging</ns0:t>
        </ns0:is>
      </ns0:c>
      <ns0:c r="K343" s="19" t="inlineStr">
        <ns0:is>
          <ns0:t>JSTO-optimized DenseNet</ns0:t>
        </ns0:is>
      </ns0:c>
      <ns0:c r="L343" s="19" t="inlineStr">
        <ns0:is>
          <ns0:t>CNN</ns0:t>
        </ns0:is>
      </ns0:c>
      <ns0:c r="M343" s="19" t="inlineStr">
        <ns0:is>
          <ns0:t>Research only</ns0:t>
        </ns0:is>
      </ns0:c>
      <ns0:c r="N343" s="19" t="inlineStr">
        <ns0:is>
          <ns0:t>Automated measurement/classification</ns0:t>
        </ns0:is>
      </ns0:c>
      <ns0:c r="O343" s="19" t="inlineStr">
        <ns0:is>
          <ns0:t>Not observed in assessed sources</ns0:t>
        </ns0:is>
      </ns0:c>
      <ns0:c r="P343" s="19" t="inlineStr">
        <ns0:is>
          <ns0:t>Not observed in assessed sources</ns0:t>
        </ns0:is>
      </ns0:c>
      <ns0:c r="Q343" s="19" t="inlineStr">
        <ns0:is>
          <ns0:t>Not reported in assessed sources</ns0:t>
        </ns0:is>
      </ns0:c>
      <ns0:c r="R343" s="19" t="inlineStr">
        <ns0:is>
          <ns0:t>Not reported in assessed sources</ns0:t>
        </ns0:is>
      </ns0:c>
      <ns0:c r="S343" s="19" t="inlineStr">
        <ns0:is>
          <ns0:t>Not reported in assessed sources</ns0:t>
        </ns0:is>
      </ns0:c>
      <ns0:c r="T343" s="19" t="inlineStr">
        <ns0:is>
          <ns0:t>Not reported in assessed sources</ns0:t>
        </ns0:is>
      </ns0:c>
      <ns0:c r="U343" s="19" t="inlineStr">
        <ns0:is>
          <ns0:t>Not reported in assessed sources</ns0:t>
        </ns0:is>
      </ns0:c>
      <ns0:c r="V343" s="19" t="inlineStr">
        <ns0:is>
          <ns0:t>Not reported in assessed sources</ns0:t>
        </ns0:is>
      </ns0:c>
      <ns0:c r="W343" s="19" t="inlineStr">
        <ns0:is>
          <ns0:t>Not reported in assessed sources</ns0:t>
        </ns0:is>
      </ns0:c>
      <ns0:c r="X343" s="19" t="inlineStr">
        <ns0:is>
          <ns0:t>Not reported in assessed sources</ns0:t>
        </ns0:is>
      </ns0:c>
      <ns0:c r="Y343" s="19" t="inlineStr">
        <ns0:is>
          <ns0:t>Not ascertainable</ns0:t>
        </ns0:is>
      </ns0:c>
      <ns0:c r="Z343" s="19" t="inlineStr">
        <ns0:is>
          <ns0:t>Not reported in assessed sources</ns0:t>
        </ns0:is>
      </ns0:c>
      <ns0:c r="AA343" s="19" t="inlineStr">
        <ns0:is>
          <ns0:t>Not recorded</ns0:t>
        </ns0:is>
      </ns0:c>
      <ns0:c r="AB343" s="26" t="n">
        <ns0:v>0</ns0:v>
      </ns0:c>
      <ns0:c r="AC343" s="26" t="n">
        <ns0:v>0</ns0:v>
      </ns0:c>
      <ns0:c r="AD343" s="27">
        <ns0:f>IF(AND(G343=1,AB343=0),1,0)</ns0:f>
        <ns0:v>1</ns0:v>
      </ns0:c>
      <ns0:c r="AE343" s="27">
        <ns0:f>IF(AND(AD343=1,AC343=0),1,0)</ns0:f>
        <ns0:v>1</ns0:v>
      </ns0:c>
      <ns0:c r="AF343" s="27">
        <ns0:f>IF(AND(G343=1,H343&lt;&gt;"Not specified"),1,0)</ns0:f>
        <ns0:v>1</ns0:v>
      </ns0:c>
      <ns0:c r="AG343" s="27">
        <ns0:f>IF(AND(AE343=1,AF343=1),1,0)</ns0:f>
        <ns0:v>1</ns0:v>
      </ns0:c>
      <ns0:c r="AH343" s="19" t="inlineStr">
        <ns0:is>
          <ns0:t>Prior source-specific extraction retained; no new full-text retrieval</ns0:t>
        </ns0:is>
      </ns0:c>
      <ns0:c r="AI343" s="19" t="inlineStr">
        <ns0:is>
          <ns0:t>https://doi.org/10.1016/j.compbiolchem.2024.108335</ns0:t>
        </ns0:is>
      </ns0:c>
      <ns0:c r="AJ343" s="19" t="inlineStr">
        <ns0:is>
          <ns0:t>EVIDENCIA; original abstract/coding notes and lot source trace; Inherited scoped adjudication; see source level and lot caveats</ns0:t>
        </ns0:is>
      </ns0:c>
      <ns0:c r="AK343" s="19" t="inlineStr">
        <ns0:is>
          <ns0:t>Retained source-specific coding after review of the supplied extraction notes; not a new full-text retrieval. Pipeline con preprocesamiento MRI, extracción ROI/rasgos y DenseNet optimizado con JSTO; reporta accuracy de 94.8%. No se identificó validación externa independiente. Además, el texto indexado reporta FNR/FPR que parecen incompatibles con TPR/TNR simultáneamente reportados bajo definiciones estándar; requiere comprobación de tabla en verificación independiente.</ns0:t>
        </ns0:is>
      </ns0:c>
      <ns0:c r="AL343" s="19" t="inlineStr">
        <ns0:is>
          <ns0:t>Not applicable</ns0:t>
        </ns0:is>
      </ns0:c>
      <ns0:c r="AM343" s="19" t="inlineStr">
        <ns0:is>
          <ns0:t>Not separately specified</ns0:t>
        </ns0:is>
      </ns0:c>
      <ns0:c r="AN343" s="19" t="inlineStr"/>
      <ns0:c r="AO343" s="19" t="inlineStr">
        <ns0:is>
          <ns0:t>No additional status determination</ns0:t>
        </ns0:is>
      </ns0:c>
      <ns0:c r="AP343" s="19" t="inlineStr">
        <ns0:is>
          <ns0:t>Not documented for this recharting</ns0:t>
        </ns0:is>
      </ns0:c>
      <ns0:c r="AQ343" s="19" t="inlineStr">
        <ns0:is>
          <ns0:t>ChatGPT-assisted evidence recharting, 2026-09-08</ns0:t>
        </ns0:is>
      </ns0:c>
      <ns0:c r="AR343" s="19" t="inlineStr">
        <ns0:is>
          <ns0:t>Revisión asistida por IA (un revisor; requiere verificación independiente)</ns0:t>
        </ns0:is>
      </ns0:c>
      <ns0:c r="AS343" s="19" t="inlineStr">
        <ns0:is>
          <ns0:t>Retrieved and reviewed</ns0:t>
        </ns0:is>
      </ns0:c>
    </ns0:row>
    <ns0:row r="344" ht="50" customHeight="1">
      <ns0:c r="A344" s="21" t="inlineStr">
        <ns0:is>
          <ns0:t>new_15</ns0:t>
        </ns0:is>
      </ns0:c>
      <ns0:c r="B344" s="21" t="inlineStr">
        <ns0:is>
          <ns0:t>Update</ns0:t>
        </ns0:is>
      </ns0:c>
      <ns0:c r="C344" s="21" t="inlineStr">
        <ns0:is>
          <ns0:t>MCBERT: A multi-modal framework for the diagnosis of autism spectrum disorder</ns0:t>
        </ns0:is>
      </ns0:c>
      <ns0:c r="D344" s="21" t="inlineStr">
        <ns0:is>
          <ns0:t>10.1016/j.biopsycho.2024.108976</ns0:t>
        </ns0:is>
      </ns0:c>
      <ns0:c r="E344" s="28" t="n">
        <ns0:v>2025</ns0:v>
      </ns0:c>
      <ns0:c r="F344" s="21" t="inlineStr">
        <ns0:is>
          <ns0:t>Include</ns0:t>
        </ns0:is>
      </ns0:c>
      <ns0:c r="G344" s="29">
        <ns0:f>IF(F344="Include",1,0)</ns0:f>
        <ns0:v>1</ns0:v>
      </ns0:c>
      <ns0:c r="H344" s="21" t="inlineStr">
        <ns0:is>
          <ns0:t>Diagnosis</ns0:t>
        </ns0:is>
      </ns0:c>
      <ns0:c r="I344" s="21" t="inlineStr">
        <ns0:is>
          <ns0:t>Deep Learning</ns0:t>
        </ns0:is>
      </ns0:c>
      <ns0:c r="J344" s="21" t="inlineStr">
        <ns0:is>
          <ns0:t>Multiple source categories</ns0:t>
        </ns0:is>
      </ns0:c>
      <ns0:c r="K344" s="21" t="inlineStr">
        <ns0:is>
          <ns0:t>MCBERT (multi-head CNN + BERT with spatial/channel attention)</ns0:t>
        </ns0:is>
      </ns0:c>
      <ns0:c r="L344" s="21" t="inlineStr">
        <ns0:is>
          <ns0:t>Composite/ensemble pipeline</ns0:t>
        </ns0:is>
      </ns0:c>
      <ns0:c r="M344" s="21" t="inlineStr">
        <ns0:is>
          <ns0:t>Research only</ns0:t>
        </ns0:is>
      </ns0:c>
      <ns0:c r="N344" s="21" t="inlineStr">
        <ns0:is>
          <ns0:t>Automated measurement/classification</ns0:t>
        </ns0:is>
      </ns0:c>
      <ns0:c r="O344" s="21" t="inlineStr">
        <ns0:is>
          <ns0:t>Not observed in assessed sources</ns0:t>
        </ns0:is>
      </ns0:c>
      <ns0:c r="P344" s="21" t="inlineStr">
        <ns0:is>
          <ns0:t>Not observed in assessed sources</ns0:t>
        </ns0:is>
      </ns0:c>
      <ns0:c r="Q344" s="21" t="inlineStr">
        <ns0:is>
          <ns0:t>Reported</ns0:t>
        </ns0:is>
      </ns0:c>
      <ns0:c r="R344" s="21" t="inlineStr">
        <ns0:is>
          <ns0:t>Reported</ns0:t>
        </ns0:is>
      </ns0:c>
      <ns0:c r="S344" s="21" t="inlineStr">
        <ns0:is>
          <ns0:t>Not reported in assessed sources</ns0:t>
        </ns0:is>
      </ns0:c>
      <ns0:c r="T344" s="21" t="inlineStr">
        <ns0:is>
          <ns0:t>Not reported in assessed sources</ns0:t>
        </ns0:is>
      </ns0:c>
      <ns0:c r="U344" s="21" t="inlineStr">
        <ns0:is>
          <ns0:t>Reported</ns0:t>
        </ns0:is>
      </ns0:c>
      <ns0:c r="V344" s="21" t="inlineStr">
        <ns0:is>
          <ns0:t>Reported</ns0:t>
        </ns0:is>
      </ns0:c>
      <ns0:c r="W344" s="21" t="inlineStr">
        <ns0:is>
          <ns0:t>Reported</ns0:t>
        </ns0:is>
      </ns0:c>
      <ns0:c r="X344" s="21" t="inlineStr">
        <ns0:is>
          <ns0:t>Not reported in assessed sources</ns0:t>
        </ns0:is>
      </ns0:c>
      <ns0:c r="Y344" s="21" t="inlineStr">
        <ns0:is>
          <ns0:t>Not ascertainable</ns0:t>
        </ns0:is>
      </ns0:c>
      <ns0:c r="Z344" s="21" t="inlineStr">
        <ns0:is>
          <ns0:t>Not reported in assessed sources</ns0:t>
        </ns0:is>
      </ns0:c>
      <ns0:c r="AA344" s="21" t="inlineStr">
        <ns0:is>
          <ns0:t>Not recorded</ns0:t>
        </ns0:is>
      </ns0:c>
      <ns0:c r="AB344" s="28" t="n">
        <ns0:v>0</ns0:v>
      </ns0:c>
      <ns0:c r="AC344" s="28" t="n">
        <ns0:v>0</ns0:v>
      </ns0:c>
      <ns0:c r="AD344" s="29">
        <ns0:f>IF(AND(G344=1,AB344=0),1,0)</ns0:f>
        <ns0:v>1</ns0:v>
      </ns0:c>
      <ns0:c r="AE344" s="29">
        <ns0:f>IF(AND(AD344=1,AC344=0),1,0)</ns0:f>
        <ns0:v>1</ns0:v>
      </ns0:c>
      <ns0:c r="AF344" s="29">
        <ns0:f>IF(AND(G344=1,H344&lt;&gt;"Not specified"),1,0)</ns0:f>
        <ns0:v>1</ns0:v>
      </ns0:c>
      <ns0:c r="AG344" s="29">
        <ns0:f>IF(AND(AE344=1,AF344=1),1,0)</ns0:f>
        <ns0:v>1</ns0:v>
      </ns0:c>
      <ns0:c r="AH344" s="21" t="inlineStr">
        <ns0:is>
          <ns0:t>Prior source-specific extraction retained; no new full-text retrieval</ns0:t>
        </ns0:is>
      </ns0:c>
      <ns0:c r="AI344" s="21" t="inlineStr">
        <ns0:is>
          <ns0:t>https://doi.org/10.1016/j.biopsycho.2024.108976</ns0:t>
        </ns0:is>
      </ns0:c>
      <ns0:c r="AJ344" s="21" t="inlineStr">
        <ns0:is>
          <ns0:t>EVIDENCIA; original abstract/coding notes and lot source trace; Inherited scoped adjudication; see source level and lot caveats</ns0:t>
        </ns0:is>
      </ns0:c>
      <ns0:c r="AK344" s="21" t="inlineStr">
        <ns0:is>
          <ns0:t>Retained source-specific coding after review of the supplied extraction notes; not a new full-text retrieval. MCBERT fusiona MRI y meta-features en ABIDE-I y usa leave-one-site-out; se reporta accuracy máxima de 93.4%. LOSO sí aporta evaluación entre sitios y se codifica como external/site-held-out validation. El uso de atención arquitectónica no se contabilizó como XAI porque no se identificó una evaluación explícita de explicaciones.</ns0:t>
        </ns0:is>
      </ns0:c>
      <ns0:c r="AL344" s="21" t="inlineStr">
        <ns0:is>
          <ns0:t>Not applicable</ns0:t>
        </ns0:is>
      </ns0:c>
      <ns0:c r="AM344" s="21" t="inlineStr">
        <ns0:is>
          <ns0:t>Not separately specified</ns0:t>
        </ns0:is>
      </ns0:c>
      <ns0:c r="AN344" s="21" t="inlineStr"/>
      <ns0:c r="AO344" s="21" t="inlineStr">
        <ns0:is>
          <ns0:t>No additional status determination</ns0:t>
        </ns0:is>
      </ns0:c>
      <ns0:c r="AP344" s="21" t="inlineStr">
        <ns0:is>
          <ns0:t>Not documented for this recharting</ns0:t>
        </ns0:is>
      </ns0:c>
      <ns0:c r="AQ344" s="21" t="inlineStr">
        <ns0:is>
          <ns0:t>ChatGPT-assisted evidence recharting, 2026-09-08</ns0:t>
        </ns0:is>
      </ns0:c>
      <ns0:c r="AR344" s="21" t="inlineStr">
        <ns0:is>
          <ns0:t>Revisión asistida por IA (un revisor; requiere verificación independiente)</ns0:t>
        </ns0:is>
      </ns0:c>
      <ns0:c r="AS344" s="21" t="inlineStr">
        <ns0:is>
          <ns0:t>Retrieved and reviewed</ns0:t>
        </ns0:is>
      </ns0:c>
    </ns0:row>
    <ns0:row r="345" ht="50" customHeight="1">
      <ns0:c r="A345" s="19" t="inlineStr">
        <ns0:is>
          <ns0:t>new_21</ns0:t>
        </ns0:is>
      </ns0:c>
      <ns0:c r="B345" s="19" t="inlineStr">
        <ns0:is>
          <ns0:t>Update</ns0:t>
        </ns0:is>
      </ns0:c>
      <ns0:c r="C345" s="19" t="inlineStr">
        <ns0:is>
          <ns0:t>Screening biomarkers for autism spectrum disorder using plasma proteomics combined with machine learning methods</ns0:t>
        </ns0:is>
      </ns0:c>
      <ns0:c r="D345" s="19" t="inlineStr">
        <ns0:is>
          <ns0:t>10.1016/j.cca.2024.120018</ns0:t>
        </ns0:is>
      </ns0:c>
      <ns0:c r="E345" s="26" t="n">
        <ns0:v>2025</ns0:v>
      </ns0:c>
      <ns0:c r="F345" s="19" t="inlineStr">
        <ns0:is>
          <ns0:t>Include</ns0:t>
        </ns0:is>
      </ns0:c>
      <ns0:c r="G345" s="27">
        <ns0:f>IF(F345="Include",1,0)</ns0:f>
        <ns0:v>1</ns0:v>
      </ns0:c>
      <ns0:c r="H345" s="19" t="inlineStr">
        <ns0:is>
          <ns0:t>Screening</ns0:t>
        </ns0:is>
      </ns0:c>
      <ns0:c r="I345" s="19" t="inlineStr">
        <ns0:is>
          <ns0:t>Machine Learning</ns0:t>
        </ns0:is>
      </ns0:c>
      <ns0:c r="J345" s="19" t="inlineStr">
        <ns0:is>
          <ns0:t>Biological/omics</ns0:t>
        </ns0:is>
      </ns0:c>
      <ns0:c r="K345" s="19" t="inlineStr">
        <ns0:is>
          <ns0:t>Machine-learning biomarker selection pipeline</ns0:t>
        </ns0:is>
      </ns0:c>
      <ns0:c r="L345" s="19" t="inlineStr">
        <ns0:is>
          <ns0:t>Other specified method</ns0:t>
        </ns0:is>
      </ns0:c>
      <ns0:c r="M345" s="19" t="inlineStr">
        <ns0:is>
          <ns0:t>Research only</ns0:t>
        </ns0:is>
      </ns0:c>
      <ns0:c r="N345" s="19" t="inlineStr">
        <ns0:is>
          <ns0:t>Triage/questionnaire assessment</ns0:t>
        </ns0:is>
      </ns0:c>
      <ns0:c r="O345" s="19" t="inlineStr">
        <ns0:is>
          <ns0:t>Not observed in assessed sources</ns0:t>
        </ns0:is>
      </ns0:c>
      <ns0:c r="P345" s="19" t="inlineStr">
        <ns0:is>
          <ns0:t>Not observed in assessed sources</ns0:t>
        </ns0:is>
      </ns0:c>
      <ns0:c r="Q345" s="19" t="inlineStr">
        <ns0:is>
          <ns0:t>Reported</ns0:t>
        </ns0:is>
      </ns0:c>
      <ns0:c r="R345" s="19" t="inlineStr">
        <ns0:is>
          <ns0:t>Not reported in assessed sources</ns0:t>
        </ns0:is>
      </ns0:c>
      <ns0:c r="S345" s="19" t="inlineStr">
        <ns0:is>
          <ns0:t>Not reported in assessed sources</ns0:t>
        </ns0:is>
      </ns0:c>
      <ns0:c r="T345" s="19" t="inlineStr">
        <ns0:is>
          <ns0:t>Not reported in assessed sources</ns0:t>
        </ns0:is>
      </ns0:c>
      <ns0:c r="U345" s="19" t="inlineStr">
        <ns0:is>
          <ns0:t>Not reported in assessed sources</ns0:t>
        </ns0:is>
      </ns0:c>
      <ns0:c r="V345" s="19" t="inlineStr">
        <ns0:is>
          <ns0:t>Not reported in assessed sources</ns0:t>
        </ns0:is>
      </ns0:c>
      <ns0:c r="W345" s="19" t="inlineStr">
        <ns0:is>
          <ns0:t>Not reported in assessed sources</ns0:t>
        </ns0:is>
      </ns0:c>
      <ns0:c r="X345" s="19" t="inlineStr">
        <ns0:is>
          <ns0:t>Not reported in assessed sources</ns0:t>
        </ns0:is>
      </ns0:c>
      <ns0:c r="Y345" s="19" t="inlineStr">
        <ns0:is>
          <ns0:t>Not ascertainable</ns0:t>
        </ns0:is>
      </ns0:c>
      <ns0:c r="Z345" s="19" t="inlineStr">
        <ns0:is>
          <ns0:t>Not reported in assessed sources</ns0:t>
        </ns0:is>
      </ns0:c>
      <ns0:c r="AA345" s="19" t="inlineStr">
        <ns0:is>
          <ns0:t>Not recorded</ns0:t>
        </ns0:is>
      </ns0:c>
      <ns0:c r="AB345" s="26" t="n">
        <ns0:v>0</ns0:v>
      </ns0:c>
      <ns0:c r="AC345" s="26" t="n">
        <ns0:v>0</ns0:v>
      </ns0:c>
      <ns0:c r="AD345" s="27">
        <ns0:f>IF(AND(G345=1,AB345=0),1,0)</ns0:f>
        <ns0:v>1</ns0:v>
      </ns0:c>
      <ns0:c r="AE345" s="27">
        <ns0:f>IF(AND(AD345=1,AC345=0),1,0)</ns0:f>
        <ns0:v>1</ns0:v>
      </ns0:c>
      <ns0:c r="AF345" s="27">
        <ns0:f>IF(AND(G345=1,H345&lt;&gt;"Not specified"),1,0)</ns0:f>
        <ns0:v>1</ns0:v>
      </ns0:c>
      <ns0:c r="AG345" s="27">
        <ns0:f>IF(AND(AE345=1,AF345=1),1,0)</ns0:f>
        <ns0:v>1</ns0:v>
      </ns0:c>
      <ns0:c r="AH345" s="19" t="inlineStr">
        <ns0:is>
          <ns0:t>Prior source-specific extraction retained; no new full-text retrieval</ns0:t>
        </ns0:is>
      </ns0:c>
      <ns0:c r="AI345" s="19" t="inlineStr">
        <ns0:is>
          <ns0:t>https://doi.org/10.1016/j.cca.2024.120018</ns0:t>
        </ns0:is>
      </ns0:c>
      <ns0:c r="AJ345" s="19" t="inlineStr">
        <ns0:is>
          <ns0:t>EVIDENCIA; original abstract/coding notes and lot source trace; Inherited scoped adjudication; see source level and lot caveats</ns0:t>
        </ns0:is>
      </ns0:c>
      <ns0:c r="AK345" s="19" t="inlineStr">
        <ns0:is>
          <ns0:t>Retained source-specific coding after review of the supplied extraction notes; not a new full-text retrieval. SWATH-MS en 30 ASD vs controles seleccionó biomarcadores mediante ML; un grupo independiente adicional de 30 ASD vs controles fue validado por MRM. Panel de 4 proteínas: AUC 0.8087. La validación independiente fortalece el biomarcador, pero parece provenir del mismo entorno institucional y no demuestra generalización cross-site.</ns0:t>
        </ns0:is>
      </ns0:c>
      <ns0:c r="AL345" s="19" t="inlineStr">
        <ns0:is>
          <ns0:t>Not applicable</ns0:t>
        </ns0:is>
      </ns0:c>
      <ns0:c r="AM345" s="19" t="inlineStr">
        <ns0:is>
          <ns0:t>Not separately specified</ns0:t>
        </ns0:is>
      </ns0:c>
      <ns0:c r="AN345" s="19" t="inlineStr"/>
      <ns0:c r="AO345" s="19" t="inlineStr">
        <ns0:is>
          <ns0:t>No additional status determination</ns0:t>
        </ns0:is>
      </ns0:c>
      <ns0:c r="AP345" s="19" t="inlineStr">
        <ns0:is>
          <ns0:t>Not documented for this recharting</ns0:t>
        </ns0:is>
      </ns0:c>
      <ns0:c r="AQ345" s="19" t="inlineStr">
        <ns0:is>
          <ns0:t>ChatGPT-assisted evidence recharting, 2026-09-08</ns0:t>
        </ns0:is>
      </ns0:c>
      <ns0:c r="AR345" s="19" t="inlineStr">
        <ns0:is>
          <ns0:t>Revisión asistida por IA (un revisor; requiere verificación independiente)</ns0:t>
        </ns0:is>
      </ns0:c>
      <ns0:c r="AS345" s="19" t="inlineStr">
        <ns0:is>
          <ns0:t>Retrieved and reviewed</ns0:t>
        </ns0:is>
      </ns0:c>
    </ns0:row>
    <ns0:row r="346" ht="50" customHeight="1">
      <ns0:c r="A346" s="21" t="inlineStr">
        <ns0:is>
          <ns0:t>new_23</ns0:t>
        </ns0:is>
      </ns0:c>
      <ns0:c r="B346" s="21" t="inlineStr">
        <ns0:is>
          <ns0:t>Update</ns0:t>
        </ns0:is>
      </ns0:c>
      <ns0:c r="C346" s="21" t="inlineStr">
        <ns0:is>
          <ns0:t>Introducing 3DCNN ResNets for ASD full-body kinematic assessment: A comparison with hand-crafted features</ns0:t>
        </ns0:is>
      </ns0:c>
      <ns0:c r="D346" s="21" t="inlineStr">
        <ns0:is>
          <ns0:t>10.1016/j.eswa.2024.126295</ns0:t>
        </ns0:is>
      </ns0:c>
      <ns0:c r="E346" s="28" t="n">
        <ns0:v>2025</ns0:v>
      </ns0:c>
      <ns0:c r="F346" s="21" t="inlineStr">
        <ns0:is>
          <ns0:t>Include</ns0:t>
        </ns0:is>
      </ns0:c>
      <ns0:c r="G346" s="29">
        <ns0:f>IF(F346="Include",1,0)</ns0:f>
        <ns0:v>1</ns0:v>
      </ns0:c>
      <ns0:c r="H346" s="21" t="inlineStr">
        <ns0:is>
          <ns0:t>Diagnosis</ns0:t>
        </ns0:is>
      </ns0:c>
      <ns0:c r="I346" s="21" t="inlineStr">
        <ns0:is>
          <ns0:t>Deep Learning</ns0:t>
        </ns0:is>
      </ns0:c>
      <ns0:c r="J346" s="21" t="inlineStr">
        <ns0:is>
          <ns0:t>Behavioral images/video/gaze/movement</ns0:t>
        </ns0:is>
      </ns0:c>
      <ns0:c r="K346" s="21" t="inlineStr">
        <ns0:is>
          <ns0:t>PoseConv3D / SlowOnly 3D CNN-ResNet</ns0:t>
        </ns0:is>
      </ns0:c>
      <ns0:c r="L346" s="21" t="inlineStr">
        <ns0:is>
          <ns0:t>CNN</ns0:t>
        </ns0:is>
      </ns0:c>
      <ns0:c r="M346" s="21" t="inlineStr">
        <ns0:is>
          <ns0:t>Research only</ns0:t>
        </ns0:is>
      </ns0:c>
      <ns0:c r="N346" s="21" t="inlineStr">
        <ns0:is>
          <ns0:t>Automated measurement/classification</ns0:t>
        </ns0:is>
      </ns0:c>
      <ns0:c r="O346" s="21" t="inlineStr">
        <ns0:is>
          <ns0:t>Not observed in assessed sources</ns0:t>
        </ns0:is>
      </ns0:c>
      <ns0:c r="P346" s="21" t="inlineStr">
        <ns0:is>
          <ns0:t>Not observed in assessed sources</ns0:t>
        </ns0:is>
      </ns0:c>
      <ns0:c r="Q346" s="21" t="inlineStr">
        <ns0:is>
          <ns0:t>Not reported in assessed sources</ns0:t>
        </ns0:is>
      </ns0:c>
      <ns0:c r="R346" s="21" t="inlineStr">
        <ns0:is>
          <ns0:t>Not reported in assessed sources</ns0:t>
        </ns0:is>
      </ns0:c>
      <ns0:c r="S346" s="21" t="inlineStr">
        <ns0:is>
          <ns0:t>Reported</ns0:t>
        </ns0:is>
      </ns0:c>
      <ns0:c r="T346" s="21" t="inlineStr">
        <ns0:is>
          <ns0:t>Reported</ns0:t>
        </ns0:is>
      </ns0:c>
      <ns0:c r="U346" s="21" t="inlineStr">
        <ns0:is>
          <ns0:t>Not reported in assessed sources</ns0:t>
        </ns0:is>
      </ns0:c>
      <ns0:c r="V346" s="21" t="inlineStr">
        <ns0:is>
          <ns0:t>Not reported in assessed sources</ns0:t>
        </ns0:is>
      </ns0:c>
      <ns0:c r="W346" s="21" t="inlineStr">
        <ns0:is>
          <ns0:t>Not reported in assessed sources</ns0:t>
        </ns0:is>
      </ns0:c>
      <ns0:c r="X346" s="21" t="inlineStr">
        <ns0:is>
          <ns0:t>Not reported in assessed sources</ns0:t>
        </ns0:is>
      </ns0:c>
      <ns0:c r="Y346" s="21" t="inlineStr">
        <ns0:is>
          <ns0:t>Not ascertainable</ns0:t>
        </ns0:is>
      </ns0:c>
      <ns0:c r="Z346" s="21" t="inlineStr">
        <ns0:is>
          <ns0:t>Not reported in assessed sources</ns0:t>
        </ns0:is>
      </ns0:c>
      <ns0:c r="AA346" s="21" t="inlineStr">
        <ns0:is>
          <ns0:t>Not recorded</ns0:t>
        </ns0:is>
      </ns0:c>
      <ns0:c r="AB346" s="28" t="n">
        <ns0:v>0</ns0:v>
      </ns0:c>
      <ns0:c r="AC346" s="28" t="n">
        <ns0:v>0</ns0:v>
      </ns0:c>
      <ns0:c r="AD346" s="29">
        <ns0:f>IF(AND(G346=1,AB346=0),1,0)</ns0:f>
        <ns0:v>1</ns0:v>
      </ns0:c>
      <ns0:c r="AE346" s="29">
        <ns0:f>IF(AND(AD346=1,AC346=0),1,0)</ns0:f>
        <ns0:v>1</ns0:v>
      </ns0:c>
      <ns0:c r="AF346" s="29">
        <ns0:f>IF(AND(G346=1,H346&lt;&gt;"Not specified"),1,0)</ns0:f>
        <ns0:v>1</ns0:v>
      </ns0:c>
      <ns0:c r="AG346" s="29">
        <ns0:f>IF(AND(AE346=1,AF346=1),1,0)</ns0:f>
        <ns0:v>1</ns0:v>
      </ns0:c>
      <ns0:c r="AH346" s="21" t="inlineStr">
        <ns0:is>
          <ns0:t>Prior source-specific extraction retained; no new full-text retrieval</ns0:t>
        </ns0:is>
      </ns0:c>
      <ns0:c r="AI346" s="21" t="inlineStr">
        <ns0:is>
          <ns0:t>https://doi.org/10.1016/j.eswa.2024.126295</ns0:t>
        </ns0:is>
      </ns0:c>
      <ns0:c r="AJ346" s="21" t="inlineStr">
        <ns0:is>
          <ns0:t>EVIDENCIA; original abstract/coding notes and lot source trace; Inherited scoped adjudication; see source level and lot caveats</ns0:t>
        </ns0:is>
      </ns0:c>
      <ns0:c r="AK346" s="21" t="inlineStr">
        <ns0:is>
          <ns0:t>Retained source-specific coding after review of the supplied extraction notes; not a new full-text retrieval. n=81 (42 TD, 39 ASD); validación anidada repetida separada por sujeto; compara modelos end-to-end 3D CNN-ResNet con rasgos manuales y aplica SHAP. La validación interna está bien protegida contra mezcla de sujetos, pero el tamaño muestral sigue siendo pequeño y no existe cohorte externa independiente.</ns0:t>
        </ns0:is>
      </ns0:c>
      <ns0:c r="AL346" s="21" t="inlineStr">
        <ns0:is>
          <ns0:t>Not applicable</ns0:t>
        </ns0:is>
      </ns0:c>
      <ns0:c r="AM346" s="21" t="inlineStr">
        <ns0:is>
          <ns0:t>Not separately specified</ns0:t>
        </ns0:is>
      </ns0:c>
      <ns0:c r="AN346" s="21" t="inlineStr"/>
      <ns0:c r="AO346" s="21" t="inlineStr">
        <ns0:is>
          <ns0:t>No additional status determination</ns0:t>
        </ns0:is>
      </ns0:c>
      <ns0:c r="AP346" s="21" t="inlineStr">
        <ns0:is>
          <ns0:t>Not documented for this recharting</ns0:t>
        </ns0:is>
      </ns0:c>
      <ns0:c r="AQ346" s="21" t="inlineStr">
        <ns0:is>
          <ns0:t>ChatGPT-assisted evidence recharting, 2026-09-08</ns0:t>
        </ns0:is>
      </ns0:c>
      <ns0:c r="AR346" s="21" t="inlineStr">
        <ns0:is>
          <ns0:t>Revisión asistida por IA (un revisor; requiere verificación independiente)</ns0:t>
        </ns0:is>
      </ns0:c>
      <ns0:c r="AS346" s="21" t="inlineStr">
        <ns0:is>
          <ns0:t>Retrieved and reviewed</ns0:t>
        </ns0:is>
      </ns0:c>
    </ns0:row>
    <ns0:row r="347" ht="50" customHeight="1">
      <ns0:c r="A347" s="19" t="inlineStr">
        <ns0:is>
          <ns0:t>new_37</ns0:t>
        </ns0:is>
      </ns0:c>
      <ns0:c r="B347" s="19" t="inlineStr">
        <ns0:is>
          <ns0:t>Update</ns0:t>
        </ns0:is>
      </ns0:c>
      <ns0:c r="C347" s="19" t="inlineStr">
        <ns0:is>
          <ns0:t>Design of adaptive recommendation system for autism children using optimal feature selection-based adaptive dilated 1DCNN-LSTM with attention mechanism</ns0:t>
        </ns0:is>
      </ns0:c>
      <ns0:c r="D347" s="19" t="inlineStr">
        <ns0:is>
          <ns0:t>10.1016/j.eswa.2024.125399</ns0:t>
        </ns0:is>
      </ns0:c>
      <ns0:c r="E347" s="26" t="n">
        <ns0:v>2025</ns0:v>
      </ns0:c>
      <ns0:c r="F347" s="19" t="inlineStr">
        <ns0:is>
          <ns0:t>Include</ns0:t>
        </ns0:is>
      </ns0:c>
      <ns0:c r="G347" s="27">
        <ns0:f>IF(F347="Include",1,0)</ns0:f>
        <ns0:v>1</ns0:v>
      </ns0:c>
      <ns0:c r="H347" s="19" t="inlineStr">
        <ns0:is>
          <ns0:t>Monitoring/intervention</ns0:t>
        </ns0:is>
      </ns0:c>
      <ns0:c r="I347" s="19" t="inlineStr">
        <ns0:is>
          <ns0:t>Deep Learning</ns0:t>
        </ns0:is>
      </ns0:c>
      <ns0:c r="J347" s="19" t="inlineStr">
        <ns0:is>
          <ns0:t>Not specified</ns0:t>
        </ns0:is>
      </ns0:c>
      <ns0:c r="K347" s="19" t="inlineStr">
        <ns0:is>
          <ns0:t>MGSOA-optimized adaptive dilated 1DCNN-LSTM with attention</ns0:t>
        </ns0:is>
      </ns0:c>
      <ns0:c r="L347" s="19" t="inlineStr">
        <ns0:is>
          <ns0:t>Composite/ensemble pipeline</ns0:t>
        </ns0:is>
      </ns0:c>
      <ns0:c r="M347" s="19" t="inlineStr">
        <ns0:is>
          <ns0:t>Proposed only</ns0:t>
        </ns0:is>
      </ns0:c>
      <ns0:c r="N347" s="19" t="inlineStr">
        <ns0:is>
          <ns0:t>Monitoring/longitudinal analysis</ns0:t>
        </ns0:is>
      </ns0:c>
      <ns0:c r="O347" s="19" t="inlineStr">
        <ns0:is>
          <ns0:t>Post-decision</ns0:t>
        </ns0:is>
      </ns0:c>
      <ns0:c r="P347" s="19" t="inlineStr">
        <ns0:is>
          <ns0:t>Not observed in assessed sources</ns0:t>
        </ns0:is>
      </ns0:c>
      <ns0:c r="Q347" s="19" t="inlineStr">
        <ns0:is>
          <ns0:t>Not reported in assessed sources</ns0:t>
        </ns0:is>
      </ns0:c>
      <ns0:c r="R347" s="19" t="inlineStr">
        <ns0:is>
          <ns0:t>Not reported in assessed sources</ns0:t>
        </ns0:is>
      </ns0:c>
      <ns0:c r="S347" s="19" t="inlineStr">
        <ns0:is>
          <ns0:t>Not reported in assessed sources</ns0:t>
        </ns0:is>
      </ns0:c>
      <ns0:c r="T347" s="19" t="inlineStr">
        <ns0:is>
          <ns0:t>Not reported in assessed sources</ns0:t>
        </ns0:is>
      </ns0:c>
      <ns0:c r="U347" s="19" t="inlineStr">
        <ns0:is>
          <ns0:t>Not reported in assessed sources</ns0:t>
        </ns0:is>
      </ns0:c>
      <ns0:c r="V347" s="19" t="inlineStr">
        <ns0:is>
          <ns0:t>Not reported in assessed sources</ns0:t>
        </ns0:is>
      </ns0:c>
      <ns0:c r="W347" s="19" t="inlineStr">
        <ns0:is>
          <ns0:t>Not reported in assessed sources</ns0:t>
        </ns0:is>
      </ns0:c>
      <ns0:c r="X347" s="19" t="inlineStr">
        <ns0:is>
          <ns0:t>Not reported in assessed sources</ns0:t>
        </ns0:is>
      </ns0:c>
      <ns0:c r="Y347" s="19" t="inlineStr">
        <ns0:is>
          <ns0:t>Not ascertainable</ns0:t>
        </ns0:is>
      </ns0:c>
      <ns0:c r="Z347" s="19" t="inlineStr">
        <ns0:is>
          <ns0:t>Not reported in assessed sources</ns0:t>
        </ns0:is>
      </ns0:c>
      <ns0:c r="AA347" s="19" t="inlineStr">
        <ns0:is>
          <ns0:t>Not recorded</ns0:t>
        </ns0:is>
      </ns0:c>
      <ns0:c r="AB347" s="26" t="n">
        <ns0:v>0</ns0:v>
      </ns0:c>
      <ns0:c r="AC347" s="26" t="n">
        <ns0:v>0</ns0:v>
      </ns0:c>
      <ns0:c r="AD347" s="27">
        <ns0:f>IF(AND(G347=1,AB347=0),1,0)</ns0:f>
        <ns0:v>1</ns0:v>
      </ns0:c>
      <ns0:c r="AE347" s="27">
        <ns0:f>IF(AND(AD347=1,AC347=0),1,0)</ns0:f>
        <ns0:v>1</ns0:v>
      </ns0:c>
      <ns0:c r="AF347" s="27">
        <ns0:f>IF(AND(G347=1,H347&lt;&gt;"Not specified"),1,0)</ns0:f>
        <ns0:v>1</ns0:v>
      </ns0:c>
      <ns0:c r="AG347" s="27">
        <ns0:f>IF(AND(AE347=1,AF347=1),1,0)</ns0:f>
        <ns0:v>1</ns0:v>
      </ns0:c>
      <ns0:c r="AH347" s="19" t="inlineStr">
        <ns0:is>
          <ns0:t>Prior source-specific extraction retained; no new full-text retrieval</ns0:t>
        </ns0:is>
      </ns0:c>
      <ns0:c r="AI347" s="19" t="inlineStr">
        <ns0:is>
          <ns0:t>https://doi.org/10.1016/j.eswa.2024.125399</ns0:t>
        </ns0:is>
      </ns0:c>
      <ns0:c r="AJ347" s="19" t="inlineStr">
        <ns0:is>
          <ns0:t>EVIDENCIA; original abstract/coding notes and lot source trace; Inherited scoped adjudication; see source level and lot caveats</ns0:t>
        </ns0:is>
      </ns0:c>
      <ns0:c r="AK347" s="19" t="inlineStr">
        <ns0:is>
          <ns0:t>Retained source-specific coding after review of the supplied extraction notes; not a new full-text retrieval. Sistema adaptativo con selección/optimización MGSOA y red dilated 1DCNN-LSTM con atención para detectar estados y recomendar acciones; la evaluación descrita es computacional/simulada. No se identificó despliegue real ni evaluación clínica prospectiva; la modalidad primaria de datos no quedó suficientemente especificada para codificarla sin inferencia.</ns0:t>
        </ns0:is>
      </ns0:c>
      <ns0:c r="AL347" s="19" t="inlineStr">
        <ns0:is>
          <ns0:t>Not applicable</ns0:t>
        </ns0:is>
      </ns0:c>
      <ns0:c r="AM347" s="19" t="inlineStr">
        <ns0:is>
          <ns0:t>Not separately specified</ns0:t>
        </ns0:is>
      </ns0:c>
      <ns0:c r="AN347" s="19" t="inlineStr"/>
      <ns0:c r="AO347" s="19" t="inlineStr">
        <ns0:is>
          <ns0:t>No additional status determination</ns0:t>
        </ns0:is>
      </ns0:c>
      <ns0:c r="AP347" s="19" t="inlineStr">
        <ns0:is>
          <ns0:t>Not documented for this recharting</ns0:t>
        </ns0:is>
      </ns0:c>
      <ns0:c r="AQ347" s="19" t="inlineStr">
        <ns0:is>
          <ns0:t>ChatGPT-assisted evidence recharting, 2026-09-08</ns0:t>
        </ns0:is>
      </ns0:c>
      <ns0:c r="AR347" s="19" t="inlineStr">
        <ns0:is>
          <ns0:t>Revisión asistida por IA (un revisor; requiere verificación independiente)</ns0:t>
        </ns0:is>
      </ns0:c>
      <ns0:c r="AS347" s="19" t="inlineStr">
        <ns0:is>
          <ns0:t>Retrieved and reviewed</ns0:t>
        </ns0:is>
      </ns0:c>
    </ns0:row>
    <ns0:row r="348" ht="50" customHeight="1">
      <ns0:c r="A348" s="21" t="inlineStr">
        <ns0:is>
          <ns0:t>new_38</ns0:t>
        </ns0:is>
      </ns0:c>
      <ns0:c r="B348" s="21" t="inlineStr">
        <ns0:is>
          <ns0:t>Update</ns0:t>
        </ns0:is>
      </ns0:c>
      <ns0:c r="C348" s="21" t="inlineStr">
        <ns0:is>
          <ns0:t>Early detection of autism spectrum disorder using explainable AI and optimized teaching strategies</ns0:t>
        </ns0:is>
      </ns0:c>
      <ns0:c r="D348" s="21" t="inlineStr">
        <ns0:is>
          <ns0:t>10.1016/j.jneumeth.2024.110315</ns0:t>
        </ns0:is>
      </ns0:c>
      <ns0:c r="E348" s="28" t="n">
        <ns0:v>2025</ns0:v>
      </ns0:c>
      <ns0:c r="F348" s="21" t="inlineStr">
        <ns0:is>
          <ns0:t>Include</ns0:t>
        </ns0:is>
      </ns0:c>
      <ns0:c r="G348" s="29">
        <ns0:f>IF(F348="Include",1,0)</ns0:f>
        <ns0:v>1</ns0:v>
      </ns0:c>
      <ns0:c r="H348" s="21" t="inlineStr">
        <ns0:is>
          <ns0:t>Screening</ns0:t>
        </ns0:is>
      </ns0:c>
      <ns0:c r="I348" s="21" t="inlineStr">
        <ns0:is>
          <ns0:t>Machine Learning</ns0:t>
        </ns0:is>
      </ns0:c>
      <ns0:c r="J348" s="21" t="inlineStr">
        <ns0:is>
          <ns0:t>Structured clinical/questionnaire data</ns0:t>
        </ns0:is>
      </ns0:c>
      <ns0:c r="K348" s="21" t="inlineStr">
        <ns0:is>
          <ns0:t>LR-SVM soft-voting ensemble with Chi-square feature selection</ns0:t>
        </ns0:is>
      </ns0:c>
      <ns0:c r="L348" s="21" t="inlineStr">
        <ns0:is>
          <ns0:t>SVM</ns0:t>
        </ns0:is>
      </ns0:c>
      <ns0:c r="M348" s="21" t="inlineStr">
        <ns0:is>
          <ns0:t>Proposed only</ns0:t>
        </ns0:is>
      </ns0:c>
      <ns0:c r="N348" s="21" t="inlineStr">
        <ns0:is>
          <ns0:t>Triage/questionnaire assessment</ns0:t>
        </ns0:is>
      </ns0:c>
      <ns0:c r="O348" s="21" t="inlineStr">
        <ns0:is>
          <ns0:t>Pre-decision</ns0:t>
        </ns0:is>
      </ns0:c>
      <ns0:c r="P348" s="21" t="inlineStr">
        <ns0:is>
          <ns0:t>Not observed in assessed sources</ns0:t>
        </ns0:is>
      </ns0:c>
      <ns0:c r="Q348" s="21" t="inlineStr">
        <ns0:is>
          <ns0:t>Not reported in assessed sources</ns0:t>
        </ns0:is>
      </ns0:c>
      <ns0:c r="R348" s="21" t="inlineStr">
        <ns0:is>
          <ns0:t>Not reported in assessed sources</ns0:t>
        </ns0:is>
      </ns0:c>
      <ns0:c r="S348" s="21" t="inlineStr">
        <ns0:is>
          <ns0:t>Not ascertainable</ns0:t>
        </ns0:is>
      </ns0:c>
      <ns0:c r="T348" s="21" t="inlineStr">
        <ns0:is>
          <ns0:t>Not reported in assessed sources</ns0:t>
        </ns0:is>
      </ns0:c>
      <ns0:c r="U348" s="21" t="inlineStr">
        <ns0:is>
          <ns0:t>Not reported in assessed sources</ns0:t>
        </ns0:is>
      </ns0:c>
      <ns0:c r="V348" s="21" t="inlineStr">
        <ns0:is>
          <ns0:t>Not reported in assessed sources</ns0:t>
        </ns0:is>
      </ns0:c>
      <ns0:c r="W348" s="21" t="inlineStr">
        <ns0:is>
          <ns0:t>Not reported in assessed sources</ns0:t>
        </ns0:is>
      </ns0:c>
      <ns0:c r="X348" s="21" t="inlineStr">
        <ns0:is>
          <ns0:t>Not reported in assessed sources</ns0:t>
        </ns0:is>
      </ns0:c>
      <ns0:c r="Y348" s="21" t="inlineStr">
        <ns0:is>
          <ns0:t>Not ascertainable</ns0:t>
        </ns0:is>
      </ns0:c>
      <ns0:c r="Z348" s="21" t="inlineStr">
        <ns0:is>
          <ns0:t>Not ascertainable</ns0:t>
        </ns0:is>
      </ns0:c>
      <ns0:c r="AA348" s="21" t="inlineStr">
        <ns0:is>
          <ns0:t>Not recorded</ns0:t>
        </ns0:is>
      </ns0:c>
      <ns0:c r="AB348" s="28" t="n">
        <ns0:v>0</ns0:v>
      </ns0:c>
      <ns0:c r="AC348" s="28" t="n">
        <ns0:v>0</ns0:v>
      </ns0:c>
      <ns0:c r="AD348" s="29">
        <ns0:f>IF(AND(G348=1,AB348=0),1,0)</ns0:f>
        <ns0:v>1</ns0:v>
      </ns0:c>
      <ns0:c r="AE348" s="29">
        <ns0:f>IF(AND(AD348=1,AC348=0),1,0)</ns0:f>
        <ns0:v>1</ns0:v>
      </ns0:c>
      <ns0:c r="AF348" s="29">
        <ns0:f>IF(AND(G348=1,H348&lt;&gt;"Not specified"),1,0)</ns0:f>
        <ns0:v>1</ns0:v>
      </ns0:c>
      <ns0:c r="AG348" s="29">
        <ns0:f>IF(AND(AE348=1,AF348=1),1,0)</ns0:f>
        <ns0:v>1</ns0:v>
      </ns0:c>
      <ns0:c r="AH348" s="21" t="inlineStr">
        <ns0:is>
          <ns0:t>Prior source-specific extraction retained; no new full-text retrieval</ns0:t>
        </ns0:is>
      </ns0:c>
      <ns0:c r="AI348" s="21" t="inlineStr">
        <ns0:is>
          <ns0:t>https://doi.org/10.1016/j.jneumeth.2024.110315</ns0:t>
        </ns0:is>
      </ns0:c>
      <ns0:c r="AJ348" s="21" t="inlineStr">
        <ns0:is>
          <ns0:t>EVIDENCIA; original abstract/coding notes and lot source trace; Inherited scoped adjudication; see source level and lot caveats</ns0:t>
        </ns0:is>
      </ns0:c>
      <ns0:c r="AK348" s="21" t="inlineStr">
        <ns0:is>
          <ns0:t>Retained source-specific coding after review of the supplied extraction notes; not a new full-text retrieval. Combina dos datasets de toddlers, usa split 80:20, SMOTE, tres métodos de selección y ensamble LR-SVM; reporta 94% para ASD y 99.29% para estrategia docente. Aunque el título usa “explainable AI”, no se identificó SHAP/LIME u otro método XAI formal en el texto recuperado; se codificó solo interpretabilidad parcial por selección de rasgos. No hay validación externa independiente.</ns0:t>
        </ns0:is>
      </ns0:c>
      <ns0:c r="AL348" s="21" t="inlineStr">
        <ns0:is>
          <ns0:t>Not applicable</ns0:t>
        </ns0:is>
      </ns0:c>
      <ns0:c r="AM348" s="21" t="inlineStr">
        <ns0:is>
          <ns0:t>Not separately specified</ns0:t>
        </ns0:is>
      </ns0:c>
      <ns0:c r="AN348" s="21" t="inlineStr"/>
      <ns0:c r="AO348" s="21" t="inlineStr">
        <ns0:is>
          <ns0:t>No additional status determination</ns0:t>
        </ns0:is>
      </ns0:c>
      <ns0:c r="AP348" s="21" t="inlineStr">
        <ns0:is>
          <ns0:t>Not documented for this recharting</ns0:t>
        </ns0:is>
      </ns0:c>
      <ns0:c r="AQ348" s="21" t="inlineStr">
        <ns0:is>
          <ns0:t>ChatGPT-assisted evidence recharting, 2026-09-08</ns0:t>
        </ns0:is>
      </ns0:c>
      <ns0:c r="AR348" s="21" t="inlineStr">
        <ns0:is>
          <ns0:t>Revisión asistida por IA (un revisor; requiere verificación independiente)</ns0:t>
        </ns0:is>
      </ns0:c>
      <ns0:c r="AS348" s="21" t="inlineStr">
        <ns0:is>
          <ns0:t>Retrieved and reviewed</ns0:t>
        </ns0:is>
      </ns0:c>
    </ns0:row>
    <ns0:row r="349" ht="50" customHeight="1">
      <ns0:c r="A349" s="19" t="inlineStr">
        <ns0:is>
          <ns0:t>new_41</ns0:t>
        </ns0:is>
      </ns0:c>
      <ns0:c r="B349" s="19" t="inlineStr">
        <ns0:is>
          <ns0:t>Update</ns0:t>
        </ns0:is>
      </ns0:c>
      <ns0:c r="C349" s="19" t="inlineStr">
        <ns0:is>
          <ns0:t>A systematic evaluation of autism spectrum disorder identification with Scanpath Trend Analysis (STA)</ns0:t>
        </ns0:is>
      </ns0:c>
      <ns0:c r="D349" s="19" t="inlineStr">
        <ns0:is>
          <ns0:t>10.1016/j.bspc.2024.107414</ns0:t>
        </ns0:is>
      </ns0:c>
      <ns0:c r="E349" s="26" t="n">
        <ns0:v>2025</ns0:v>
      </ns0:c>
      <ns0:c r="F349" s="19" t="inlineStr">
        <ns0:is>
          <ns0:t>Include</ns0:t>
        </ns0:is>
      </ns0:c>
      <ns0:c r="G349" s="27">
        <ns0:f>IF(F349="Include",1,0)</ns0:f>
        <ns0:v>1</ns0:v>
      </ns0:c>
      <ns0:c r="H349" s="19" t="inlineStr">
        <ns0:is>
          <ns0:t>Screening</ns0:t>
        </ns0:is>
      </ns0:c>
      <ns0:c r="I349" s="19" t="inlineStr">
        <ns0:is>
          <ns0:t>Machine Learning</ns0:t>
        </ns0:is>
      </ns0:c>
      <ns0:c r="J349" s="19" t="inlineStr">
        <ns0:is>
          <ns0:t>Behavioral images/video/gaze/movement</ns0:t>
        </ns0:is>
      </ns0:c>
      <ns0:c r="K349" s="19" t="inlineStr">
        <ns0:is>
          <ns0:t>Scanpath Trend Analysis (STA)</ns0:t>
        </ns0:is>
      </ns0:c>
      <ns0:c r="L349" s="19" t="inlineStr">
        <ns0:is>
          <ns0:t>Other specified method</ns0:t>
        </ns0:is>
      </ns0:c>
      <ns0:c r="M349" s="19" t="inlineStr">
        <ns0:is>
          <ns0:t>Research only</ns0:t>
        </ns0:is>
      </ns0:c>
      <ns0:c r="N349" s="19" t="inlineStr">
        <ns0:is>
          <ns0:t>Triage/questionnaire assessment</ns0:t>
        </ns0:is>
      </ns0:c>
      <ns0:c r="O349" s="19" t="inlineStr">
        <ns0:is>
          <ns0:t>Not observed in assessed sources</ns0:t>
        </ns0:is>
      </ns0:c>
      <ns0:c r="P349" s="19" t="inlineStr">
        <ns0:is>
          <ns0:t>Not observed in assessed sources</ns0:t>
        </ns0:is>
      </ns0:c>
      <ns0:c r="Q349" s="19" t="inlineStr">
        <ns0:is>
          <ns0:t>Not reported in assessed sources</ns0:t>
        </ns0:is>
      </ns0:c>
      <ns0:c r="R349" s="19" t="inlineStr">
        <ns0:is>
          <ns0:t>Not reported in assessed sources</ns0:t>
        </ns0:is>
      </ns0:c>
      <ns0:c r="S349" s="19" t="inlineStr">
        <ns0:is>
          <ns0:t>Not reported in assessed sources</ns0:t>
        </ns0:is>
      </ns0:c>
      <ns0:c r="T349" s="19" t="inlineStr">
        <ns0:is>
          <ns0:t>Not reported in assessed sources</ns0:t>
        </ns0:is>
      </ns0:c>
      <ns0:c r="U349" s="19" t="inlineStr">
        <ns0:is>
          <ns0:t>Not reported in assessed sources</ns0:t>
        </ns0:is>
      </ns0:c>
      <ns0:c r="V349" s="19" t="inlineStr">
        <ns0:is>
          <ns0:t>Not reported in assessed sources</ns0:t>
        </ns0:is>
      </ns0:c>
      <ns0:c r="W349" s="19" t="inlineStr">
        <ns0:is>
          <ns0:t>Not reported in assessed sources</ns0:t>
        </ns0:is>
      </ns0:c>
      <ns0:c r="X349" s="19" t="inlineStr">
        <ns0:is>
          <ns0:t>Not reported in assessed sources</ns0:t>
        </ns0:is>
      </ns0:c>
      <ns0:c r="Y349" s="19" t="inlineStr">
        <ns0:is>
          <ns0:t>Not ascertainable</ns0:t>
        </ns0:is>
      </ns0:c>
      <ns0:c r="Z349" s="19" t="inlineStr">
        <ns0:is>
          <ns0:t>Not reported in assessed sources</ns0:t>
        </ns0:is>
      </ns0:c>
      <ns0:c r="AA349" s="19" t="inlineStr">
        <ns0:is>
          <ns0:t>Not recorded</ns0:t>
        </ns0:is>
      </ns0:c>
      <ns0:c r="AB349" s="26" t="n">
        <ns0:v>0</ns0:v>
      </ns0:c>
      <ns0:c r="AC349" s="26" t="n">
        <ns0:v>0</ns0:v>
      </ns0:c>
      <ns0:c r="AD349" s="27">
        <ns0:f>IF(AND(G349=1,AB349=0),1,0)</ns0:f>
        <ns0:v>1</ns0:v>
      </ns0:c>
      <ns0:c r="AE349" s="27">
        <ns0:f>IF(AND(AD349=1,AC349=0),1,0)</ns0:f>
        <ns0:v>1</ns0:v>
      </ns0:c>
      <ns0:c r="AF349" s="27">
        <ns0:f>IF(AND(G349=1,H349&lt;&gt;"Not specified"),1,0)</ns0:f>
        <ns0:v>1</ns0:v>
      </ns0:c>
      <ns0:c r="AG349" s="27">
        <ns0:f>IF(AND(AE349=1,AF349=1),1,0)</ns0:f>
        <ns0:v>1</ns0:v>
      </ns0:c>
      <ns0:c r="AH349" s="19" t="inlineStr">
        <ns0:is>
          <ns0:t>Prior source-specific extraction retained; no new full-text retrieval</ns0:t>
        </ns0:is>
      </ns0:c>
      <ns0:c r="AI349" s="19" t="inlineStr">
        <ns0:is>
          <ns0:t>https://doi.org/10.1016/j.bspc.2024.107414</ns0:t>
        </ns0:is>
      </ns0:c>
      <ns0:c r="AJ349" s="19" t="inlineStr">
        <ns0:is>
          <ns0:t>EVIDENCIA; original abstract/coding notes and lot source trace; Inherited scoped adjudication; see source level and lot caveats</ns0:t>
        </ns0:is>
      </ns0:c>
      <ns0:c r="AK349" s="19" t="inlineStr">
        <ns0:is>
          <ns0:t>Retained source-specific coding after review of the supplied extraction notes; not a new full-text retrieval. Evalúa STA en tres datasets de eye-tracking y diferentes páginas/tareas; obtiene ~60% de éxito, con menor variación que comparadores ML. La repetición en tres datasets muestra consistencia del algoritmo, pero no se identificó un esquema de entrenamiento fijo en una cohorte y validación externa en otra; no se codifica external validation.</ns0:t>
        </ns0:is>
      </ns0:c>
      <ns0:c r="AL349" s="19" t="inlineStr">
        <ns0:is>
          <ns0:t>Not applicable</ns0:t>
        </ns0:is>
      </ns0:c>
      <ns0:c r="AM349" s="19" t="inlineStr">
        <ns0:is>
          <ns0:t>Not separately specified</ns0:t>
        </ns0:is>
      </ns0:c>
      <ns0:c r="AN349" s="19" t="inlineStr"/>
      <ns0:c r="AO349" s="19" t="inlineStr">
        <ns0:is>
          <ns0:t>No additional status determination</ns0:t>
        </ns0:is>
      </ns0:c>
      <ns0:c r="AP349" s="19" t="inlineStr">
        <ns0:is>
          <ns0:t>Not documented for this recharting</ns0:t>
        </ns0:is>
      </ns0:c>
      <ns0:c r="AQ349" s="19" t="inlineStr">
        <ns0:is>
          <ns0:t>ChatGPT-assisted evidence recharting, 2026-09-08</ns0:t>
        </ns0:is>
      </ns0:c>
      <ns0:c r="AR349" s="19" t="inlineStr">
        <ns0:is>
          <ns0:t>Revisión asistida por IA (un revisor; requiere verificación independiente)</ns0:t>
        </ns0:is>
      </ns0:c>
      <ns0:c r="AS349" s="19" t="inlineStr">
        <ns0:is>
          <ns0:t>Retrieved and reviewed</ns0:t>
        </ns0:is>
      </ns0:c>
    </ns0:row>
    <ns0:row r="350" ht="50" customHeight="1">
      <ns0:c r="A350" s="21" t="inlineStr">
        <ns0:is>
          <ns0:t>new_46</ns0:t>
        </ns0:is>
      </ns0:c>
      <ns0:c r="B350" s="21" t="inlineStr">
        <ns0:is>
          <ns0:t>Update</ns0:t>
        </ns0:is>
      </ns0:c>
      <ns0:c r="C350" s="21" t="inlineStr">
        <ns0:is>
          <ns0:t>Recognition of autism in subcortical brain volumetric images using autoencoding-based region selection method and Siamese Convolutional Neural Network</ns0:t>
        </ns0:is>
      </ns0:c>
      <ns0:c r="D350" s="21" t="inlineStr">
        <ns0:is>
          <ns0:t>10.1016/j.ijmedinf.2024.105707</ns0:t>
        </ns0:is>
      </ns0:c>
      <ns0:c r="E350" s="28" t="n">
        <ns0:v>2025</ns0:v>
      </ns0:c>
      <ns0:c r="F350" s="21" t="inlineStr">
        <ns0:is>
          <ns0:t>Include</ns0:t>
        </ns0:is>
      </ns0:c>
      <ns0:c r="G350" s="29">
        <ns0:f>IF(F350="Include",1,0)</ns0:f>
        <ns0:v>1</ns0:v>
      </ns0:c>
      <ns0:c r="H350" s="21" t="inlineStr">
        <ns0:is>
          <ns0:t>Diagnosis</ns0:t>
        </ns0:is>
      </ns0:c>
      <ns0:c r="I350" s="21" t="inlineStr">
        <ns0:is>
          <ns0:t>Deep Learning</ns0:t>
        </ns0:is>
      </ns0:c>
      <ns0:c r="J350" s="21" t="inlineStr">
        <ns0:is>
          <ns0:t>Neuroimaging</ns0:t>
        </ns0:is>
      </ns0:c>
      <ns0:c r="K350" s="21" t="inlineStr">
        <ns0:is>
          <ns0:t>3D autoencoder + Siamese CNN</ns0:t>
        </ns0:is>
      </ns0:c>
      <ns0:c r="L350" s="21" t="inlineStr">
        <ns0:is>
          <ns0:t>Composite/ensemble pipeline</ns0:t>
        </ns0:is>
      </ns0:c>
      <ns0:c r="M350" s="21" t="inlineStr">
        <ns0:is>
          <ns0:t>Research only</ns0:t>
        </ns0:is>
      </ns0:c>
      <ns0:c r="N350" s="21" t="inlineStr">
        <ns0:is>
          <ns0:t>Automated measurement/classification</ns0:t>
        </ns0:is>
      </ns0:c>
      <ns0:c r="O350" s="21" t="inlineStr">
        <ns0:is>
          <ns0:t>Not observed in assessed sources</ns0:t>
        </ns0:is>
      </ns0:c>
      <ns0:c r="P350" s="21" t="inlineStr">
        <ns0:is>
          <ns0:t>Not observed in assessed sources</ns0:t>
        </ns0:is>
      </ns0:c>
      <ns0:c r="Q350" s="21" t="inlineStr">
        <ns0:is>
          <ns0:t>Not reported in assessed sources</ns0:t>
        </ns0:is>
      </ns0:c>
      <ns0:c r="R350" s="21" t="inlineStr">
        <ns0:is>
          <ns0:t>Not reported in assessed sources</ns0:t>
        </ns0:is>
      </ns0:c>
      <ns0:c r="S350" s="21" t="inlineStr">
        <ns0:is>
          <ns0:t>Reported</ns0:t>
        </ns0:is>
      </ns0:c>
      <ns0:c r="T350" s="21" t="inlineStr">
        <ns0:is>
          <ns0:t>Not reported in assessed sources</ns0:t>
        </ns0:is>
      </ns0:c>
      <ns0:c r="U350" s="21" t="inlineStr">
        <ns0:is>
          <ns0:t>Not reported in assessed sources</ns0:t>
        </ns0:is>
      </ns0:c>
      <ns0:c r="V350" s="21" t="inlineStr">
        <ns0:is>
          <ns0:t>Reported</ns0:t>
        </ns0:is>
      </ns0:c>
      <ns0:c r="W350" s="21" t="inlineStr">
        <ns0:is>
          <ns0:t>Not reported in assessed sources</ns0:t>
        </ns0:is>
      </ns0:c>
      <ns0:c r="X350" s="21" t="inlineStr">
        <ns0:is>
          <ns0:t>Not reported in assessed sources</ns0:t>
        </ns0:is>
      </ns0:c>
      <ns0:c r="Y350" s="21" t="inlineStr">
        <ns0:is>
          <ns0:t>Not ascertainable</ns0:t>
        </ns0:is>
      </ns0:c>
      <ns0:c r="Z350" s="21" t="inlineStr">
        <ns0:is>
          <ns0:t>Reported</ns0:t>
        </ns0:is>
      </ns0:c>
      <ns0:c r="AA350" s="21" t="inlineStr">
        <ns0:is>
          <ns0:t>Not recorded</ns0:t>
        </ns0:is>
      </ns0:c>
      <ns0:c r="AB350" s="28" t="n">
        <ns0:v>0</ns0:v>
      </ns0:c>
      <ns0:c r="AC350" s="28" t="n">
        <ns0:v>0</ns0:v>
      </ns0:c>
      <ns0:c r="AD350" s="29">
        <ns0:f>IF(AND(G350=1,AB350=0),1,0)</ns0:f>
        <ns0:v>1</ns0:v>
      </ns0:c>
      <ns0:c r="AE350" s="29">
        <ns0:f>IF(AND(AD350=1,AC350=0),1,0)</ns0:f>
        <ns0:v>1</ns0:v>
      </ns0:c>
      <ns0:c r="AF350" s="29">
        <ns0:f>IF(AND(G350=1,H350&lt;&gt;"Not specified"),1,0)</ns0:f>
        <ns0:v>1</ns0:v>
      </ns0:c>
      <ns0:c r="AG350" s="29">
        <ns0:f>IF(AND(AE350=1,AF350=1),1,0)</ns0:f>
        <ns0:v>1</ns0:v>
      </ns0:c>
      <ns0:c r="AH350" s="21" t="inlineStr">
        <ns0:is>
          <ns0:t>Prior source-specific extraction retained; no new full-text retrieval</ns0:t>
        </ns0:is>
      </ns0:c>
      <ns0:c r="AI350" s="21" t="inlineStr">
        <ns0:is>
          <ns0:t>https://doi.org/10.1016/j.ijmedinf.2024.105707</ns0:t>
        </ns0:is>
      </ns0:c>
      <ns0:c r="AJ350" s="21" t="inlineStr">
        <ns0:is>
          <ns0:t>EVIDENCIA; original abstract/coding notes and lot source trace; Inherited scoped adjudication; see source level and lot caveats</ns0:t>
        </ns0:is>
      </ns0:c>
      <ns0:c r="AK350" s="21" t="inlineStr">
        <ns0:is>
          <ns0:t>Retained source-specific coding after review of the supplied extraction notes; not a new full-text retrieval. Usa ABIDE-II, autoencoder 3D para representación/selección regional y Siamese CNN; la selección MI alcanza accuracy máxima reportada cercana a 0.66. ABIDE-II es multisitio, pero no se identificó validación site-held-out. La selección de regiones aporta interpretabilidad anatómica parcial, no XAI formal.</ns0:t>
        </ns0:is>
      </ns0:c>
      <ns0:c r="AL350" s="21" t="inlineStr">
        <ns0:is>
          <ns0:t>Not applicable</ns0:t>
        </ns0:is>
      </ns0:c>
      <ns0:c r="AM350" s="21" t="inlineStr">
        <ns0:is>
          <ns0:t>Not separately specified</ns0:t>
        </ns0:is>
      </ns0:c>
      <ns0:c r="AN350" s="21" t="inlineStr"/>
      <ns0:c r="AO350" s="21" t="inlineStr">
        <ns0:is>
          <ns0:t>No additional status determination</ns0:t>
        </ns0:is>
      </ns0:c>
      <ns0:c r="AP350" s="21" t="inlineStr">
        <ns0:is>
          <ns0:t>Not documented for this recharting</ns0:t>
        </ns0:is>
      </ns0:c>
      <ns0:c r="AQ350" s="21" t="inlineStr">
        <ns0:is>
          <ns0:t>ChatGPT-assisted evidence recharting, 2026-09-08</ns0:t>
        </ns0:is>
      </ns0:c>
      <ns0:c r="AR350" s="21" t="inlineStr">
        <ns0:is>
          <ns0:t>Revisión asistida por IA (un revisor; requiere verificación independiente)</ns0:t>
        </ns0:is>
      </ns0:c>
      <ns0:c r="AS350" s="21" t="inlineStr">
        <ns0:is>
          <ns0:t>Retrieved and reviewed</ns0:t>
        </ns0:is>
      </ns0:c>
    </ns0:row>
    <ns0:row r="351" ht="50" customHeight="1">
      <ns0:c r="A351" s="19" t="inlineStr">
        <ns0:is>
          <ns0:t>new_47</ns0:t>
        </ns0:is>
      </ns0:c>
      <ns0:c r="B351" s="19" t="inlineStr">
        <ns0:is>
          <ns0:t>Update</ns0:t>
        </ns0:is>
      </ns0:c>
      <ns0:c r="C351" s="19" t="inlineStr">
        <ns0:is>
          <ns0:t>Leveraging deep learning for enhanced diagnosis of autism spectrum disorder using resting-state functional magnetic resonance imaging and clinical data</ns0:t>
        </ns0:is>
      </ns0:c>
      <ns0:c r="D351" s="19" t="inlineStr">
        <ns0:is>
          <ns0:t>10.1016/j.rineng.2025.104444</ns0:t>
        </ns0:is>
      </ns0:c>
      <ns0:c r="E351" s="26" t="n">
        <ns0:v>2025</ns0:v>
      </ns0:c>
      <ns0:c r="F351" s="19" t="inlineStr">
        <ns0:is>
          <ns0:t>Include</ns0:t>
        </ns0:is>
      </ns0:c>
      <ns0:c r="G351" s="27">
        <ns0:f>IF(F351="Include",1,0)</ns0:f>
        <ns0:v>1</ns0:v>
      </ns0:c>
      <ns0:c r="H351" s="19" t="inlineStr">
        <ns0:is>
          <ns0:t>Diagnosis</ns0:t>
        </ns0:is>
      </ns0:c>
      <ns0:c r="I351" s="19" t="inlineStr">
        <ns0:is>
          <ns0:t>Deep Learning</ns0:t>
        </ns0:is>
      </ns0:c>
      <ns0:c r="J351" s="19" t="inlineStr">
        <ns0:is>
          <ns0:t>Multiple source categories</ns0:t>
        </ns0:is>
      </ns0:c>
      <ns0:c r="K351" s="19" t="inlineStr">
        <ns0:is>
          <ns0:t>CNN-BiLSTM with attention</ns0:t>
        </ns0:is>
      </ns0:c>
      <ns0:c r="L351" s="19" t="inlineStr">
        <ns0:is>
          <ns0:t>Composite/ensemble pipeline</ns0:t>
        </ns0:is>
      </ns0:c>
      <ns0:c r="M351" s="19" t="inlineStr">
        <ns0:is>
          <ns0:t>Proposed only</ns0:t>
        </ns0:is>
      </ns0:c>
      <ns0:c r="N351" s="19" t="inlineStr">
        <ns0:is>
          <ns0:t>Automated measurement/classification</ns0:t>
        </ns0:is>
      </ns0:c>
      <ns0:c r="O351" s="19" t="inlineStr">
        <ns0:is>
          <ns0:t>In-decision</ns0:t>
        </ns0:is>
      </ns0:c>
      <ns0:c r="P351" s="19" t="inlineStr">
        <ns0:is>
          <ns0:t>Not observed in assessed sources</ns0:t>
        </ns0:is>
      </ns0:c>
      <ns0:c r="Q351" s="19" t="inlineStr">
        <ns0:is>
          <ns0:t>Not reported in assessed sources</ns0:t>
        </ns0:is>
      </ns0:c>
      <ns0:c r="R351" s="19" t="inlineStr">
        <ns0:is>
          <ns0:t>Reported</ns0:t>
        </ns0:is>
      </ns0:c>
      <ns0:c r="S351" s="19" t="inlineStr">
        <ns0:is>
          <ns0:t>Not reported in assessed sources</ns0:t>
        </ns0:is>
      </ns0:c>
      <ns0:c r="T351" s="19" t="inlineStr">
        <ns0:is>
          <ns0:t>Not reported in assessed sources</ns0:t>
        </ns0:is>
      </ns0:c>
      <ns0:c r="U351" s="19" t="inlineStr">
        <ns0:is>
          <ns0:t>Not reported in assessed sources</ns0:t>
        </ns0:is>
      </ns0:c>
      <ns0:c r="V351" s="19" t="inlineStr">
        <ns0:is>
          <ns0:t>Reported</ns0:t>
        </ns0:is>
      </ns0:c>
      <ns0:c r="W351" s="19" t="inlineStr">
        <ns0:is>
          <ns0:t>Reported</ns0:t>
        </ns0:is>
      </ns0:c>
      <ns0:c r="X351" s="19" t="inlineStr">
        <ns0:is>
          <ns0:t>Not reported in assessed sources</ns0:t>
        </ns0:is>
      </ns0:c>
      <ns0:c r="Y351" s="19" t="inlineStr">
        <ns0:is>
          <ns0:t>Not ascertainable</ns0:t>
        </ns0:is>
      </ns0:c>
      <ns0:c r="Z351" s="19" t="inlineStr">
        <ns0:is>
          <ns0:t>Not reported in assessed sources</ns0:t>
        </ns0:is>
      </ns0:c>
      <ns0:c r="AA351" s="19" t="inlineStr">
        <ns0:is>
          <ns0:t>Not recorded</ns0:t>
        </ns0:is>
      </ns0:c>
      <ns0:c r="AB351" s="26" t="n">
        <ns0:v>0</ns0:v>
      </ns0:c>
      <ns0:c r="AC351" s="26" t="n">
        <ns0:v>0</ns0:v>
      </ns0:c>
      <ns0:c r="AD351" s="27">
        <ns0:f>IF(AND(G351=1,AB351=0),1,0)</ns0:f>
        <ns0:v>1</ns0:v>
      </ns0:c>
      <ns0:c r="AE351" s="27">
        <ns0:f>IF(AND(AD351=1,AC351=0),1,0)</ns0:f>
        <ns0:v>1</ns0:v>
      </ns0:c>
      <ns0:c r="AF351" s="27">
        <ns0:f>IF(AND(G351=1,H351&lt;&gt;"Not specified"),1,0)</ns0:f>
        <ns0:v>1</ns0:v>
      </ns0:c>
      <ns0:c r="AG351" s="27">
        <ns0:f>IF(AND(AE351=1,AF351=1),1,0)</ns0:f>
        <ns0:v>1</ns0:v>
      </ns0:c>
      <ns0:c r="AH351" s="19" t="inlineStr">
        <ns0:is>
          <ns0:t>Prior source-specific extraction retained; no new full-text retrieval</ns0:t>
        </ns0:is>
      </ns0:c>
      <ns0:c r="AI351" s="19" t="inlineStr">
        <ns0:is>
          <ns0:t>https://doi.org/10.1016/j.rineng.2025.104444</ns0:t>
        </ns0:is>
      </ns0:c>
      <ns0:c r="AJ351" s="19" t="inlineStr">
        <ns0:is>
          <ns0:t>EVIDENCIA; original abstract/coding notes and lot source trace; Inherited scoped adjudication; see source level and lot caveats</ns0:t>
        </ns0:is>
      </ns0:c>
      <ns0:c r="AK351" s="19" t="inlineStr">
        <ns0:is>
          <ns0:t>Retained source-specific coding after review of the supplied extraction notes; not a new full-text retrieval. ABIDE (n≈1112) con conectividad rs-fMRI + datos fenotípicos; CNN-BiLSTM con atención y split interno 70/30. El conjunto es multisitio y multifuente, pero la evaluación reportada es un split interno; no se identificó site-held-out/cross-site validation. Atención arquitectónica no se contó como XAI sin análisis de explicación.</ns0:t>
        </ns0:is>
      </ns0:c>
      <ns0:c r="AL351" s="19" t="inlineStr">
        <ns0:is>
          <ns0:t>Not applicable</ns0:t>
        </ns0:is>
      </ns0:c>
      <ns0:c r="AM351" s="19" t="inlineStr">
        <ns0:is>
          <ns0:t>Not separately specified</ns0:t>
        </ns0:is>
      </ns0:c>
      <ns0:c r="AN351" s="19" t="inlineStr"/>
      <ns0:c r="AO351" s="19" t="inlineStr">
        <ns0:is>
          <ns0:t>No additional status determination</ns0:t>
        </ns0:is>
      </ns0:c>
      <ns0:c r="AP351" s="19" t="inlineStr">
        <ns0:is>
          <ns0:t>Not documented for this recharting</ns0:t>
        </ns0:is>
      </ns0:c>
      <ns0:c r="AQ351" s="19" t="inlineStr">
        <ns0:is>
          <ns0:t>ChatGPT-assisted evidence recharting, 2026-09-08</ns0:t>
        </ns0:is>
      </ns0:c>
      <ns0:c r="AR351" s="19" t="inlineStr">
        <ns0:is>
          <ns0:t>Revisión asistida por IA (un revisor; requiere verificación independiente)</ns0:t>
        </ns0:is>
      </ns0:c>
      <ns0:c r="AS351" s="19" t="inlineStr">
        <ns0:is>
          <ns0:t>Retrieved and reviewed</ns0:t>
        </ns0:is>
      </ns0:c>
    </ns0:row>
    <ns0:row r="352" ht="50" customHeight="1">
      <ns0:c r="A352" s="21" t="inlineStr">
        <ns0:is>
          <ns0:t>new_51</ns0:t>
        </ns0:is>
      </ns0:c>
      <ns0:c r="B352" s="21" t="inlineStr">
        <ns0:is>
          <ns0:t>Update</ns0:t>
        </ns0:is>
      </ns0:c>
      <ns0:c r="C352" s="21" t="inlineStr">
        <ns0:is>
          <ns0:t>Involution fused convolution for classifying eye-tracking patterns of children with Autism Spectrum Disorder</ns0:t>
        </ns0:is>
      </ns0:c>
      <ns0:c r="D352" s="21" t="inlineStr">
        <ns0:is>
          <ns0:t>10.1016/j.engappai.2024.109475</ns0:t>
        </ns0:is>
      </ns0:c>
      <ns0:c r="E352" s="28" t="n">
        <ns0:v>2025</ns0:v>
      </ns0:c>
      <ns0:c r="F352" s="21" t="inlineStr">
        <ns0:is>
          <ns0:t>Include</ns0:t>
        </ns0:is>
      </ns0:c>
      <ns0:c r="G352" s="29">
        <ns0:f>IF(F352="Include",1,0)</ns0:f>
        <ns0:v>1</ns0:v>
      </ns0:c>
      <ns0:c r="H352" s="21" t="inlineStr">
        <ns0:is>
          <ns0:t>Screening</ns0:t>
        </ns0:is>
      </ns0:c>
      <ns0:c r="I352" s="21" t="inlineStr">
        <ns0:is>
          <ns0:t>Deep Learning</ns0:t>
        </ns0:is>
      </ns0:c>
      <ns0:c r="J352" s="21" t="inlineStr">
        <ns0:is>
          <ns0:t>Behavioral images/video/gaze/movement</ns0:t>
        </ns0:is>
      </ns0:c>
      <ns0:c r="K352" s="21" t="inlineStr">
        <ns0:is>
          <ns0:t>Hybrid involution-convolution neural network</ns0:t>
        </ns0:is>
      </ns0:c>
      <ns0:c r="L352" s="21" t="inlineStr">
        <ns0:is>
          <ns0:t>Other specified method</ns0:t>
        </ns0:is>
      </ns0:c>
      <ns0:c r="M352" s="21" t="inlineStr">
        <ns0:is>
          <ns0:t>Research only</ns0:t>
        </ns0:is>
      </ns0:c>
      <ns0:c r="N352" s="21" t="inlineStr">
        <ns0:is>
          <ns0:t>Triage/questionnaire assessment</ns0:t>
        </ns0:is>
      </ns0:c>
      <ns0:c r="O352" s="21" t="inlineStr">
        <ns0:is>
          <ns0:t>Not observed in assessed sources</ns0:t>
        </ns0:is>
      </ns0:c>
      <ns0:c r="P352" s="21" t="inlineStr">
        <ns0:is>
          <ns0:t>Not observed in assessed sources</ns0:t>
        </ns0:is>
      </ns0:c>
      <ns0:c r="Q352" s="21" t="inlineStr">
        <ns0:is>
          <ns0:t>Not reported in assessed sources</ns0:t>
        </ns0:is>
      </ns0:c>
      <ns0:c r="R352" s="21" t="inlineStr">
        <ns0:is>
          <ns0:t>Not reported in assessed sources</ns0:t>
        </ns0:is>
      </ns0:c>
      <ns0:c r="S352" s="21" t="inlineStr">
        <ns0:is>
          <ns0:t>Not reported in assessed sources</ns0:t>
        </ns0:is>
      </ns0:c>
      <ns0:c r="T352" s="21" t="inlineStr">
        <ns0:is>
          <ns0:t>Not reported in assessed sources</ns0:t>
        </ns0:is>
      </ns0:c>
      <ns0:c r="U352" s="21" t="inlineStr">
        <ns0:is>
          <ns0:t>Not reported in assessed sources</ns0:t>
        </ns0:is>
      </ns0:c>
      <ns0:c r="V352" s="21" t="inlineStr">
        <ns0:is>
          <ns0:t>Not reported in assessed sources</ns0:t>
        </ns0:is>
      </ns0:c>
      <ns0:c r="W352" s="21" t="inlineStr">
        <ns0:is>
          <ns0:t>Not reported in assessed sources</ns0:t>
        </ns0:is>
      </ns0:c>
      <ns0:c r="X352" s="21" t="inlineStr">
        <ns0:is>
          <ns0:t>Not reported in assessed sources</ns0:t>
        </ns0:is>
      </ns0:c>
      <ns0:c r="Y352" s="21" t="inlineStr">
        <ns0:is>
          <ns0:t>Not ascertainable</ns0:t>
        </ns0:is>
      </ns0:c>
      <ns0:c r="Z352" s="21" t="inlineStr">
        <ns0:is>
          <ns0:t>Not reported in assessed sources</ns0:t>
        </ns0:is>
      </ns0:c>
      <ns0:c r="AA352" s="21" t="inlineStr">
        <ns0:is>
          <ns0:t>Not recorded</ns0:t>
        </ns0:is>
      </ns0:c>
      <ns0:c r="AB352" s="28" t="n">
        <ns0:v>0</ns0:v>
      </ns0:c>
      <ns0:c r="AC352" s="28" t="n">
        <ns0:v>0</ns0:v>
      </ns0:c>
      <ns0:c r="AD352" s="29">
        <ns0:f>IF(AND(G352=1,AB352=0),1,0)</ns0:f>
        <ns0:v>1</ns0:v>
      </ns0:c>
      <ns0:c r="AE352" s="29">
        <ns0:f>IF(AND(AD352=1,AC352=0),1,0)</ns0:f>
        <ns0:v>1</ns0:v>
      </ns0:c>
      <ns0:c r="AF352" s="29">
        <ns0:f>IF(AND(G352=1,H352&lt;&gt;"Not specified"),1,0)</ns0:f>
        <ns0:v>1</ns0:v>
      </ns0:c>
      <ns0:c r="AG352" s="29">
        <ns0:f>IF(AND(AE352=1,AF352=1),1,0)</ns0:f>
        <ns0:v>1</ns0:v>
      </ns0:c>
      <ns0:c r="AH352" s="21" t="inlineStr">
        <ns0:is>
          <ns0:t>Prior source-specific extraction retained; no new full-text retrieval</ns0:t>
        </ns0:is>
      </ns0:c>
      <ns0:c r="AI352" s="21" t="inlineStr">
        <ns0:is>
          <ns0:t>https://doi.org/10.1016/j.engappai.2024.109475</ns0:t>
        </ns0:is>
      </ns0:c>
      <ns0:c r="AJ352" s="21" t="inlineStr">
        <ns0:is>
          <ns0:t>EVIDENCIA; original abstract/coding notes and lot source trace; Inherited scoped adjudication; see source level and lot caveats</ns0:t>
        </ns0:is>
      </ns0:c>
      <ns0:c r="AK352" s="21" t="inlineStr">
        <ns0:is>
          <ns0:t>Retained source-specific coding after review of the supplied extraction notes; not a new full-text retrieval. Evalúa involution+convolution en dos datasets de eye-tracking y su combinación; el modelo IC con tres capas de involution supera comparadores. Se usa partición aleatoria tras combinar/aumentar imágenes. Esto plantea un riesgo potencial de dependencia entre imágenes/sujetos si la partición no fue totalmente subject-wise; no se afirma leakage porque el texto no lo demuestra.</ns0:t>
        </ns0:is>
      </ns0:c>
      <ns0:c r="AL352" s="21" t="inlineStr">
        <ns0:is>
          <ns0:t>Not applicable</ns0:t>
        </ns0:is>
      </ns0:c>
      <ns0:c r="AM352" s="21" t="inlineStr">
        <ns0:is>
          <ns0:t>Not separately specified</ns0:t>
        </ns0:is>
      </ns0:c>
      <ns0:c r="AN352" s="21" t="inlineStr"/>
      <ns0:c r="AO352" s="21" t="inlineStr">
        <ns0:is>
          <ns0:t>No additional status determination</ns0:t>
        </ns0:is>
      </ns0:c>
      <ns0:c r="AP352" s="21" t="inlineStr">
        <ns0:is>
          <ns0:t>Not documented for this recharting</ns0:t>
        </ns0:is>
      </ns0:c>
      <ns0:c r="AQ352" s="21" t="inlineStr">
        <ns0:is>
          <ns0:t>ChatGPT-assisted evidence recharting, 2026-09-08</ns0:t>
        </ns0:is>
      </ns0:c>
      <ns0:c r="AR352" s="21" t="inlineStr">
        <ns0:is>
          <ns0:t>Revisión asistida por IA (un revisor; requiere verificación independiente)</ns0:t>
        </ns0:is>
      </ns0:c>
      <ns0:c r="AS352" s="21" t="inlineStr">
        <ns0:is>
          <ns0:t>Retrieved and reviewed</ns0:t>
        </ns0:is>
      </ns0:c>
    </ns0:row>
    <ns0:row r="353" ht="50" customHeight="1">
      <ns0:c r="A353" s="19" t="inlineStr">
        <ns0:is>
          <ns0:t>new_59</ns0:t>
        </ns0:is>
      </ns0:c>
      <ns0:c r="B353" s="19" t="inlineStr">
        <ns0:is>
          <ns0:t>Update</ns0:t>
        </ns0:is>
      </ns0:c>
      <ns0:c r="C353" s="19" t="inlineStr">
        <ns0:is>
          <ns0:t>Advanced autism detection and visualization through XGBoost algorithm for fNIRS hemo-dynamic signals</ns0:t>
        </ns0:is>
      </ns0:c>
      <ns0:c r="D353" s="19" t="inlineStr">
        <ns0:is>
          <ns0:t>10.1016/j.eswa.2025.127013</ns0:t>
        </ns0:is>
      </ns0:c>
      <ns0:c r="E353" s="26" t="n">
        <ns0:v>2025</ns0:v>
      </ns0:c>
      <ns0:c r="F353" s="19" t="inlineStr">
        <ns0:is>
          <ns0:t>Include</ns0:t>
        </ns0:is>
      </ns0:c>
      <ns0:c r="G353" s="27">
        <ns0:f>IF(F353="Include",1,0)</ns0:f>
        <ns0:v>1</ns0:v>
      </ns0:c>
      <ns0:c r="H353" s="19" t="inlineStr">
        <ns0:is>
          <ns0:t>Diagnosis</ns0:t>
        </ns0:is>
      </ns0:c>
      <ns0:c r="I353" s="19" t="inlineStr">
        <ns0:is>
          <ns0:t>Machine Learning</ns0:t>
        </ns0:is>
      </ns0:c>
      <ns0:c r="J353" s="19" t="inlineStr">
        <ns0:is>
          <ns0:t>Physiological signals</ns0:t>
        </ns0:is>
      </ns0:c>
      <ns0:c r="K353" s="19" t="inlineStr">
        <ns0:is>
          <ns0:t>XGBoost</ns0:t>
        </ns0:is>
      </ns0:c>
      <ns0:c r="L353" s="19" t="inlineStr">
        <ns0:is>
          <ns0:t>Gradient boosting</ns0:t>
        </ns0:is>
      </ns0:c>
      <ns0:c r="M353" s="19" t="inlineStr">
        <ns0:is>
          <ns0:t>Research only</ns0:t>
        </ns0:is>
      </ns0:c>
      <ns0:c r="N353" s="19" t="inlineStr">
        <ns0:is>
          <ns0:t>Automated measurement/classification</ns0:t>
        </ns0:is>
      </ns0:c>
      <ns0:c r="O353" s="19" t="inlineStr">
        <ns0:is>
          <ns0:t>Not observed in assessed sources</ns0:t>
        </ns0:is>
      </ns0:c>
      <ns0:c r="P353" s="19" t="inlineStr">
        <ns0:is>
          <ns0:t>Not observed in assessed sources</ns0:t>
        </ns0:is>
      </ns0:c>
      <ns0:c r="Q353" s="19" t="inlineStr">
        <ns0:is>
          <ns0:t>Not reported in assessed sources</ns0:t>
        </ns0:is>
      </ns0:c>
      <ns0:c r="R353" s="19" t="inlineStr">
        <ns0:is>
          <ns0:t>Not reported in assessed sources</ns0:t>
        </ns0:is>
      </ns0:c>
      <ns0:c r="S353" s="19" t="inlineStr">
        <ns0:is>
          <ns0:t>Not reported in assessed sources</ns0:t>
        </ns0:is>
      </ns0:c>
      <ns0:c r="T353" s="19" t="inlineStr">
        <ns0:is>
          <ns0:t>Not reported in assessed sources</ns0:t>
        </ns0:is>
      </ns0:c>
      <ns0:c r="U353" s="19" t="inlineStr">
        <ns0:is>
          <ns0:t>Not reported in assessed sources</ns0:t>
        </ns0:is>
      </ns0:c>
      <ns0:c r="V353" s="19" t="inlineStr">
        <ns0:is>
          <ns0:t>Not reported in assessed sources</ns0:t>
        </ns0:is>
      </ns0:c>
      <ns0:c r="W353" s="19" t="inlineStr">
        <ns0:is>
          <ns0:t>Not reported in assessed sources</ns0:t>
        </ns0:is>
      </ns0:c>
      <ns0:c r="X353" s="19" t="inlineStr">
        <ns0:is>
          <ns0:t>Not reported in assessed sources</ns0:t>
        </ns0:is>
      </ns0:c>
      <ns0:c r="Y353" s="19" t="inlineStr">
        <ns0:is>
          <ns0:t>Reported</ns0:t>
        </ns0:is>
      </ns0:c>
      <ns0:c r="Z353" s="19" t="inlineStr">
        <ns0:is>
          <ns0:t>Not reported in assessed sources</ns0:t>
        </ns0:is>
      </ns0:c>
      <ns0:c r="AA353" s="19" t="inlineStr">
        <ns0:is>
          <ns0:t>Not recorded</ns0:t>
        </ns0:is>
      </ns0:c>
      <ns0:c r="AB353" s="26" t="n">
        <ns0:v>0</ns0:v>
      </ns0:c>
      <ns0:c r="AC353" s="26" t="n">
        <ns0:v>0</ns0:v>
      </ns0:c>
      <ns0:c r="AD353" s="27">
        <ns0:f>IF(AND(G353=1,AB353=0),1,0)</ns0:f>
        <ns0:v>1</ns0:v>
      </ns0:c>
      <ns0:c r="AE353" s="27">
        <ns0:f>IF(AND(AD353=1,AC353=0),1,0)</ns0:f>
        <ns0:v>1</ns0:v>
      </ns0:c>
      <ns0:c r="AF353" s="27">
        <ns0:f>IF(AND(G353=1,H353&lt;&gt;"Not specified"),1,0)</ns0:f>
        <ns0:v>1</ns0:v>
      </ns0:c>
      <ns0:c r="AG353" s="27">
        <ns0:f>IF(AND(AE353=1,AF353=1),1,0)</ns0:f>
        <ns0:v>1</ns0:v>
      </ns0:c>
      <ns0:c r="AH353" s="19" t="inlineStr">
        <ns0:is>
          <ns0:t>Prior source-specific extraction retained; no new full-text retrieval</ns0:t>
        </ns0:is>
      </ns0:c>
      <ns0:c r="AI353" s="19" t="inlineStr">
        <ns0:is>
          <ns0:t>https://doi.org/10.1016/j.eswa.2025.127013</ns0:t>
        </ns0:is>
      </ns0:c>
      <ns0:c r="AJ353" s="19" t="inlineStr">
        <ns0:is>
          <ns0:t>EVIDENCIA; original abstract/coding notes and lot source trace; Inherited scoped adjudication; see source level and lot caveats</ns0:t>
        </ns0:is>
      </ns0:c>
      <ns0:c r="AK353" s="19" t="inlineStr">
        <ns0:is>
          <ns0:t>Retained source-specific coding after review of the supplied extraction notes; not a new full-text retrieval. Estudio clínico prospectivo con 24 ASD y 27 TD, fNIRS de 41 canales y XGBoost con validación anidada (outer 10, inner 5); reporta accuracy 96%. La validación es interna. Los autores reconocen muestra pequeña y ausencia de ADI-R/ADOS como gold-standard; no hay cohorte externa.</ns0:t>
        </ns0:is>
      </ns0:c>
      <ns0:c r="AL353" s="19" t="inlineStr">
        <ns0:is>
          <ns0:t>Not applicable</ns0:t>
        </ns0:is>
      </ns0:c>
      <ns0:c r="AM353" s="19" t="inlineStr">
        <ns0:is>
          <ns0:t>Not separately specified</ns0:t>
        </ns0:is>
      </ns0:c>
      <ns0:c r="AN353" s="19" t="inlineStr"/>
      <ns0:c r="AO353" s="19" t="inlineStr">
        <ns0:is>
          <ns0:t>No additional status determination</ns0:t>
        </ns0:is>
      </ns0:c>
      <ns0:c r="AP353" s="19" t="inlineStr">
        <ns0:is>
          <ns0:t>Not documented for this recharting</ns0:t>
        </ns0:is>
      </ns0:c>
      <ns0:c r="AQ353" s="19" t="inlineStr">
        <ns0:is>
          <ns0:t>ChatGPT-assisted evidence recharting, 2026-09-08</ns0:t>
        </ns0:is>
      </ns0:c>
      <ns0:c r="AR353" s="19" t="inlineStr">
        <ns0:is>
          <ns0:t>Revisión asistida por IA (un revisor; requiere verificación independiente)</ns0:t>
        </ns0:is>
      </ns0:c>
      <ns0:c r="AS353" s="19" t="inlineStr">
        <ns0:is>
          <ns0:t>Retrieved and reviewed</ns0:t>
        </ns0:is>
      </ns0:c>
    </ns0:row>
    <ns0:row r="354" ht="50" customHeight="1">
      <ns0:c r="A354" s="21" t="inlineStr">
        <ns0:is>
          <ns0:t>new_60</ns0:t>
        </ns0:is>
      </ns0:c>
      <ns0:c r="B354" s="21" t="inlineStr">
        <ns0:is>
          <ns0:t>Update</ns0:t>
        </ns0:is>
      </ns0:c>
      <ns0:c r="C354" s="21" t="inlineStr">
        <ns0:is>
          <ns0:t>Using convolutional network in graphical model detection of autism disorders with fuzzy inference systems</ns0:t>
        </ns0:is>
      </ns0:c>
      <ns0:c r="D354" s="21" t="inlineStr">
        <ns0:is>
          <ns0:t>10.1016/j.ibmed.2025.100213</ns0:t>
        </ns0:is>
      </ns0:c>
      <ns0:c r="E354" s="28" t="n">
        <ns0:v>2025</ns0:v>
      </ns0:c>
      <ns0:c r="F354" s="21" t="inlineStr">
        <ns0:is>
          <ns0:t>Include</ns0:t>
        </ns0:is>
      </ns0:c>
      <ns0:c r="G354" s="29">
        <ns0:f>IF(F354="Include",1,0)</ns0:f>
        <ns0:v>1</ns0:v>
      </ns0:c>
      <ns0:c r="H354" s="21" t="inlineStr">
        <ns0:is>
          <ns0:t>Diagnosis</ns0:t>
        </ns0:is>
      </ns0:c>
      <ns0:c r="I354" s="21" t="inlineStr">
        <ns0:is>
          <ns0:t>Hybrid</ns0:t>
        </ns0:is>
      </ns0:c>
      <ns0:c r="J354" s="21" t="inlineStr">
        <ns0:is>
          <ns0:t>Multiple source categories</ns0:t>
        </ns0:is>
      </ns0:c>
      <ns0:c r="K354" s="21" t="inlineStr">
        <ns0:is>
          <ns0:t>Fuzzy multi-scale enhanced graph convolutional network (MSE-GCN)</ns0:t>
        </ns0:is>
      </ns0:c>
      <ns0:c r="L354" s="21" t="inlineStr">
        <ns0:is>
          <ns0:t>GNN</ns0:t>
        </ns0:is>
      </ns0:c>
      <ns0:c r="M354" s="21" t="inlineStr">
        <ns0:is>
          <ns0:t>Research only</ns0:t>
        </ns0:is>
      </ns0:c>
      <ns0:c r="N354" s="21" t="inlineStr">
        <ns0:is>
          <ns0:t>Automated measurement/classification</ns0:t>
        </ns0:is>
      </ns0:c>
      <ns0:c r="O354" s="21" t="inlineStr">
        <ns0:is>
          <ns0:t>Not observed in assessed sources</ns0:t>
        </ns0:is>
      </ns0:c>
      <ns0:c r="P354" s="21" t="inlineStr">
        <ns0:is>
          <ns0:t>Not observed in assessed sources</ns0:t>
        </ns0:is>
      </ns0:c>
      <ns0:c r="Q354" s="21" t="inlineStr">
        <ns0:is>
          <ns0:t>Not reported in assessed sources</ns0:t>
        </ns0:is>
      </ns0:c>
      <ns0:c r="R354" s="21" t="inlineStr">
        <ns0:is>
          <ns0:t>Reported</ns0:t>
        </ns0:is>
      </ns0:c>
      <ns0:c r="S354" s="21" t="inlineStr">
        <ns0:is>
          <ns0:t>Reported</ns0:t>
        </ns0:is>
      </ns0:c>
      <ns0:c r="T354" s="21" t="inlineStr">
        <ns0:is>
          <ns0:t>Not reported in assessed sources</ns0:t>
        </ns0:is>
      </ns0:c>
      <ns0:c r="U354" s="21" t="inlineStr">
        <ns0:is>
          <ns0:t>Not reported in assessed sources</ns0:t>
        </ns0:is>
      </ns0:c>
      <ns0:c r="V354" s="21" t="inlineStr">
        <ns0:is>
          <ns0:t>Reported</ns0:t>
        </ns0:is>
      </ns0:c>
      <ns0:c r="W354" s="21" t="inlineStr">
        <ns0:is>
          <ns0:t>Reported</ns0:t>
        </ns0:is>
      </ns0:c>
      <ns0:c r="X354" s="21" t="inlineStr">
        <ns0:is>
          <ns0:t>Not reported in assessed sources</ns0:t>
        </ns0:is>
      </ns0:c>
      <ns0:c r="Y354" s="21" t="inlineStr">
        <ns0:is>
          <ns0:t>Not ascertainable</ns0:t>
        </ns0:is>
      </ns0:c>
      <ns0:c r="Z354" s="21" t="inlineStr">
        <ns0:is>
          <ns0:t>Reported</ns0:t>
        </ns0:is>
      </ns0:c>
      <ns0:c r="AA354" s="21" t="inlineStr">
        <ns0:is>
          <ns0:t>Not recorded</ns0:t>
        </ns0:is>
      </ns0:c>
      <ns0:c r="AB354" s="28" t="n">
        <ns0:v>0</ns0:v>
      </ns0:c>
      <ns0:c r="AC354" s="28" t="n">
        <ns0:v>0</ns0:v>
      </ns0:c>
      <ns0:c r="AD354" s="29">
        <ns0:f>IF(AND(G354=1,AB354=0),1,0)</ns0:f>
        <ns0:v>1</ns0:v>
      </ns0:c>
      <ns0:c r="AE354" s="29">
        <ns0:f>IF(AND(AD354=1,AC354=0),1,0)</ns0:f>
        <ns0:v>1</ns0:v>
      </ns0:c>
      <ns0:c r="AF354" s="29">
        <ns0:f>IF(AND(G354=1,H354&lt;&gt;"Not specified"),1,0)</ns0:f>
        <ns0:v>1</ns0:v>
      </ns0:c>
      <ns0:c r="AG354" s="29">
        <ns0:f>IF(AND(AE354=1,AF354=1),1,0)</ns0:f>
        <ns0:v>1</ns0:v>
      </ns0:c>
      <ns0:c r="AH354" s="21" t="inlineStr">
        <ns0:is>
          <ns0:t>Prior source-specific extraction retained; no new full-text retrieval</ns0:t>
        </ns0:is>
      </ns0:c>
      <ns0:c r="AI354" s="21" t="inlineStr">
        <ns0:is>
          <ns0:t>https://doi.org/10.1016/j.ibmed.2025.100213</ns0:t>
        </ns0:is>
      </ns0:c>
      <ns0:c r="AJ354" s="21" t="inlineStr">
        <ns0:is>
          <ns0:t>EVIDENCIA; original abstract/coding notes and lot source trace; Inherited scoped adjudication; see source level and lot caveats</ns0:t>
        </ns0:is>
      </ns0:c>
      <ns0:c r="AK354" s="21" t="inlineStr">
        <ns0:is>
          <ns0:t>Retained source-specific coding after review of the supplied extraction notes; not a new full-text retrieval. Combina conectividad rs-fMRI y variables fenotípicas de ABIDE-I en un GCN multiescala con inferencia difusa; usa 11-fold CV interno. Aunque ABIDE-I es multisitio, no se identificó site-held-out validation. El sitio de adquisición aparece entre rasgos fenotípicos, lo que puede introducir dependencia del sitio; se requiere análisis específico antes de afirmar robustez cross-site.</ns0:t>
        </ns0:is>
      </ns0:c>
      <ns0:c r="AL354" s="21" t="inlineStr">
        <ns0:is>
          <ns0:t>Not applicable</ns0:t>
        </ns0:is>
      </ns0:c>
      <ns0:c r="AM354" s="21" t="inlineStr">
        <ns0:is>
          <ns0:t>Not separately specified</ns0:t>
        </ns0:is>
      </ns0:c>
      <ns0:c r="AN354" s="21" t="inlineStr"/>
      <ns0:c r="AO354" s="21" t="inlineStr">
        <ns0:is>
          <ns0:t>No additional status determination</ns0:t>
        </ns0:is>
      </ns0:c>
      <ns0:c r="AP354" s="21" t="inlineStr">
        <ns0:is>
          <ns0:t>Not documented for this recharting</ns0:t>
        </ns0:is>
      </ns0:c>
      <ns0:c r="AQ354" s="21" t="inlineStr">
        <ns0:is>
          <ns0:t>ChatGPT-assisted evidence recharting, 2026-09-08</ns0:t>
        </ns0:is>
      </ns0:c>
      <ns0:c r="AR354" s="21" t="inlineStr">
        <ns0:is>
          <ns0:t>Revisión asistida por IA (un revisor; requiere verificación independiente)</ns0:t>
        </ns0:is>
      </ns0:c>
      <ns0:c r="AS354" s="21" t="inlineStr">
        <ns0:is>
          <ns0:t>Retrieved and reviewed</ns0:t>
        </ns0:is>
      </ns0:c>
    </ns0:row>
    <ns0:row r="355" ht="50" customHeight="1">
      <ns0:c r="A355" s="19" t="inlineStr">
        <ns0:is>
          <ns0:t>new_63</ns0:t>
        </ns0:is>
      </ns0:c>
      <ns0:c r="B355" s="19" t="inlineStr">
        <ns0:is>
          <ns0:t>Update</ns0:t>
        </ns0:is>
      </ns0:c>
      <ns0:c r="C355" s="19" t="inlineStr">
        <ns0:is>
          <ns0:t>Enhancing autism spectrum disorder early detection with parent-child dyads block-play protocol and attention-enhanced hybrid deep learning framework</ns0:t>
        </ns0:is>
      </ns0:c>
      <ns0:c r="D355" s="19" t="inlineStr">
        <ns0:is>
          <ns0:t>10.1016/j.engappai.2025.110430</ns0:t>
        </ns0:is>
      </ns0:c>
      <ns0:c r="E355" s="26" t="n">
        <ns0:v>2025</ns0:v>
      </ns0:c>
      <ns0:c r="F355" s="19" t="inlineStr">
        <ns0:is>
          <ns0:t>Include</ns0:t>
        </ns0:is>
      </ns0:c>
      <ns0:c r="G355" s="27">
        <ns0:f>IF(F355="Include",1,0)</ns0:f>
        <ns0:v>1</ns0:v>
      </ns0:c>
      <ns0:c r="H355" s="19" t="inlineStr">
        <ns0:is>
          <ns0:t>Screening</ns0:t>
        </ns0:is>
      </ns0:c>
      <ns0:c r="I355" s="19" t="inlineStr">
        <ns0:is>
          <ns0:t>Deep Learning</ns0:t>
        </ns0:is>
      </ns0:c>
      <ns0:c r="J355" s="19" t="inlineStr">
        <ns0:is>
          <ns0:t>Behavioral images/video/gaze/movement</ns0:t>
        </ns0:is>
      </ns0:c>
      <ns0:c r="K355" s="19" t="inlineStr">
        <ns0:is>
          <ns0:t>2sGCN-AxLSTM (two-stream GCN + attention-enhanced xLSTM)</ns0:t>
        </ns0:is>
      </ns0:c>
      <ns0:c r="L355" s="19" t="inlineStr">
        <ns0:is>
          <ns0:t>Composite/ensemble pipeline</ns0:t>
        </ns0:is>
      </ns0:c>
      <ns0:c r="M355" s="19" t="inlineStr">
        <ns0:is>
          <ns0:t>Research only</ns0:t>
        </ns0:is>
      </ns0:c>
      <ns0:c r="N355" s="19" t="inlineStr">
        <ns0:is>
          <ns0:t>Triage/questionnaire assessment</ns0:t>
        </ns0:is>
      </ns0:c>
      <ns0:c r="O355" s="19" t="inlineStr">
        <ns0:is>
          <ns0:t>Not observed in assessed sources</ns0:t>
        </ns0:is>
      </ns0:c>
      <ns0:c r="P355" s="19" t="inlineStr">
        <ns0:is>
          <ns0:t>Not observed in assessed sources</ns0:t>
        </ns0:is>
      </ns0:c>
      <ns0:c r="Q355" s="19" t="inlineStr">
        <ns0:is>
          <ns0:t>Not reported in assessed sources</ns0:t>
        </ns0:is>
      </ns0:c>
      <ns0:c r="R355" s="19" t="inlineStr">
        <ns0:is>
          <ns0:t>Not reported in assessed sources</ns0:t>
        </ns0:is>
      </ns0:c>
      <ns0:c r="S355" s="19" t="inlineStr">
        <ns0:is>
          <ns0:t>Not reported in assessed sources</ns0:t>
        </ns0:is>
      </ns0:c>
      <ns0:c r="T355" s="19" t="inlineStr">
        <ns0:is>
          <ns0:t>Not reported in assessed sources</ns0:t>
        </ns0:is>
      </ns0:c>
      <ns0:c r="U355" s="19" t="inlineStr">
        <ns0:is>
          <ns0:t>Not reported in assessed sources</ns0:t>
        </ns0:is>
      </ns0:c>
      <ns0:c r="V355" s="19" t="inlineStr">
        <ns0:is>
          <ns0:t>Not reported in assessed sources</ns0:t>
        </ns0:is>
      </ns0:c>
      <ns0:c r="W355" s="19" t="inlineStr">
        <ns0:is>
          <ns0:t>Not reported in assessed sources</ns0:t>
        </ns0:is>
      </ns0:c>
      <ns0:c r="X355" s="19" t="inlineStr">
        <ns0:is>
          <ns0:t>Not reported in assessed sources</ns0:t>
        </ns0:is>
      </ns0:c>
      <ns0:c r="Y355" s="19" t="inlineStr">
        <ns0:is>
          <ns0:t>Reported</ns0:t>
        </ns0:is>
      </ns0:c>
      <ns0:c r="Z355" s="19" t="inlineStr">
        <ns0:is>
          <ns0:t>Not reported in assessed sources</ns0:t>
        </ns0:is>
      </ns0:c>
      <ns0:c r="AA355" s="19" t="inlineStr">
        <ns0:is>
          <ns0:t>Not recorded</ns0:t>
        </ns0:is>
      </ns0:c>
      <ns0:c r="AB355" s="26" t="n">
        <ns0:v>0</ns0:v>
      </ns0:c>
      <ns0:c r="AC355" s="26" t="n">
        <ns0:v>0</ns0:v>
      </ns0:c>
      <ns0:c r="AD355" s="27">
        <ns0:f>IF(AND(G355=1,AB355=0),1,0)</ns0:f>
        <ns0:v>1</ns0:v>
      </ns0:c>
      <ns0:c r="AE355" s="27">
        <ns0:f>IF(AND(AD355=1,AC355=0),1,0)</ns0:f>
        <ns0:v>1</ns0:v>
      </ns0:c>
      <ns0:c r="AF355" s="27">
        <ns0:f>IF(AND(G355=1,H355&lt;&gt;"Not specified"),1,0)</ns0:f>
        <ns0:v>1</ns0:v>
      </ns0:c>
      <ns0:c r="AG355" s="27">
        <ns0:f>IF(AND(AE355=1,AF355=1),1,0)</ns0:f>
        <ns0:v>1</ns0:v>
      </ns0:c>
      <ns0:c r="AH355" s="19" t="inlineStr">
        <ns0:is>
          <ns0:t>Prior source-specific extraction retained; no new full-text retrieval</ns0:t>
        </ns0:is>
      </ns0:c>
      <ns0:c r="AI355" s="19" t="inlineStr">
        <ns0:is>
          <ns0:t>https://doi.org/10.1016/j.engappai.2025.110430</ns0:t>
        </ns0:is>
      </ns0:c>
      <ns0:c r="AJ355" s="19" t="inlineStr">
        <ns0:is>
          <ns0:t>EVIDENCIA; original abstract/coding notes and lot source trace; Inherited scoped adjudication; see source level and lot caveats</ns0:t>
        </ns0:is>
      </ns0:c>
      <ns0:c r="AK355" s="19" t="inlineStr">
        <ns0:is>
          <ns0:t>Retained source-specific coding after review of the supplied extraction notes; not a new full-text retrieval. Protocolo de block-play parent-child con 40 ASD y 89 TD; cámara RGB, pose con Faster R-CNN+HRNet y clasificador 2sGCN-AxLSTM; accuracy reportada 89.6%. Datos recogidos prospectivamente en un único entorno y n=129; no hay validación externa independiente. El módulo de atención no se contó como XAI porque no se presentó como explicación clínica.</ns0:t>
        </ns0:is>
      </ns0:c>
      <ns0:c r="AL355" s="19" t="inlineStr">
        <ns0:is>
          <ns0:t>Not applicable</ns0:t>
        </ns0:is>
      </ns0:c>
      <ns0:c r="AM355" s="19" t="inlineStr">
        <ns0:is>
          <ns0:t>Not separately specified</ns0:t>
        </ns0:is>
      </ns0:c>
      <ns0:c r="AN355" s="19" t="inlineStr"/>
      <ns0:c r="AO355" s="19" t="inlineStr">
        <ns0:is>
          <ns0:t>No additional status determination</ns0:t>
        </ns0:is>
      </ns0:c>
      <ns0:c r="AP355" s="19" t="inlineStr">
        <ns0:is>
          <ns0:t>Not documented for this recharting</ns0:t>
        </ns0:is>
      </ns0:c>
      <ns0:c r="AQ355" s="19" t="inlineStr">
        <ns0:is>
          <ns0:t>ChatGPT-assisted evidence recharting, 2026-09-08</ns0:t>
        </ns0:is>
      </ns0:c>
      <ns0:c r="AR355" s="19" t="inlineStr">
        <ns0:is>
          <ns0:t>Revisión asistida por IA (un revisor; requiere verificación independiente)</ns0:t>
        </ns0:is>
      </ns0:c>
      <ns0:c r="AS355" s="19" t="inlineStr">
        <ns0:is>
          <ns0:t>Retrieved and reviewed</ns0:t>
        </ns0:is>
      </ns0:c>
    </ns0:row>
    <ns0:row r="356" ht="50" customHeight="1">
      <ns0:c r="A356" s="21" t="inlineStr">
        <ns0:is>
          <ns0:t>new_64</ns0:t>
        </ns0:is>
      </ns0:c>
      <ns0:c r="B356" s="21" t="inlineStr">
        <ns0:is>
          <ns0:t>Update</ns0:t>
        </ns0:is>
      </ns0:c>
      <ns0:c r="C356" s="21" t="inlineStr">
        <ns0:is>
          <ns0:t>Involvement of disulfidptosis in the pathophysiology of autism spectrum disorder</ns0:t>
        </ns0:is>
      </ns0:c>
      <ns0:c r="D356" s="21" t="inlineStr">
        <ns0:is>
          <ns0:t>10.1016/j.lfs.2025.123531</ns0:t>
        </ns0:is>
      </ns0:c>
      <ns0:c r="E356" s="28" t="n">
        <ns0:v>2025</ns0:v>
      </ns0:c>
      <ns0:c r="F356" s="21" t="inlineStr">
        <ns0:is>
          <ns0:t>Include</ns0:t>
        </ns0:is>
      </ns0:c>
      <ns0:c r="G356" s="29">
        <ns0:f>IF(F356="Include",1,0)</ns0:f>
        <ns0:v>1</ns0:v>
      </ns0:c>
      <ns0:c r="H356" s="21" t="inlineStr">
        <ns0:is>
          <ns0:t>Not specified</ns0:t>
        </ns0:is>
      </ns0:c>
      <ns0:c r="I356" s="21" t="inlineStr">
        <ns0:is>
          <ns0:t>Machine Learning</ns0:t>
        </ns0:is>
      </ns0:c>
      <ns0:c r="J356" s="21" t="inlineStr">
        <ns0:is>
          <ns0:t>Biological/omics</ns0:t>
        </ns0:is>
      </ns0:c>
      <ns0:c r="K356" s="21" t="inlineStr">
        <ns0:is>
          <ns0:t>ML gene-signature predictive model (7-gene panel; final classifier not clearly specified in indexed text)</ns0:t>
        </ns0:is>
      </ns0:c>
      <ns0:c r="L356" s="21" t="inlineStr">
        <ns0:is>
          <ns0:t>Other specified method</ns0:t>
        </ns0:is>
      </ns0:c>
      <ns0:c r="M356" s="21" t="inlineStr">
        <ns0:is>
          <ns0:t>Research only</ns0:t>
        </ns0:is>
      </ns0:c>
      <ns0:c r="N356" s="21" t="inlineStr">
        <ns0:is>
          <ns0:t>Research characterization</ns0:t>
        </ns0:is>
      </ns0:c>
      <ns0:c r="O356" s="21" t="inlineStr">
        <ns0:is>
          <ns0:t>Not observed in assessed sources</ns0:t>
        </ns0:is>
      </ns0:c>
      <ns0:c r="P356" s="21" t="inlineStr">
        <ns0:is>
          <ns0:t>Not observed in assessed sources</ns0:t>
        </ns0:is>
      </ns0:c>
      <ns0:c r="Q356" s="21" t="inlineStr">
        <ns0:is>
          <ns0:t>Reported</ns0:t>
        </ns0:is>
      </ns0:c>
      <ns0:c r="R356" s="21" t="inlineStr">
        <ns0:is>
          <ns0:t>Not reported in assessed sources</ns0:t>
        </ns0:is>
      </ns0:c>
      <ns0:c r="S356" s="21" t="inlineStr">
        <ns0:is>
          <ns0:t>Not reported in assessed sources</ns0:t>
        </ns0:is>
      </ns0:c>
      <ns0:c r="T356" s="21" t="inlineStr">
        <ns0:is>
          <ns0:t>Not reported in assessed sources</ns0:t>
        </ns0:is>
      </ns0:c>
      <ns0:c r="U356" s="21" t="inlineStr">
        <ns0:is>
          <ns0:t>Not reported in assessed sources</ns0:t>
        </ns0:is>
      </ns0:c>
      <ns0:c r="V356" s="21" t="inlineStr">
        <ns0:is>
          <ns0:t>Not reported in assessed sources</ns0:t>
        </ns0:is>
      </ns0:c>
      <ns0:c r="W356" s="21" t="inlineStr">
        <ns0:is>
          <ns0:t>Not reported in assessed sources</ns0:t>
        </ns0:is>
      </ns0:c>
      <ns0:c r="X356" s="21" t="inlineStr">
        <ns0:is>
          <ns0:t>Not reported in assessed sources</ns0:t>
        </ns0:is>
      </ns0:c>
      <ns0:c r="Y356" s="21" t="inlineStr">
        <ns0:is>
          <ns0:t>Not ascertainable</ns0:t>
        </ns0:is>
      </ns0:c>
      <ns0:c r="Z356" s="21" t="inlineStr">
        <ns0:is>
          <ns0:t>Not reported in assessed sources</ns0:t>
        </ns0:is>
      </ns0:c>
      <ns0:c r="AA356" s="21" t="inlineStr">
        <ns0:is>
          <ns0:t>Not recorded</ns0:t>
        </ns0:is>
      </ns0:c>
      <ns0:c r="AB356" s="28" t="n">
        <ns0:v>0</ns0:v>
      </ns0:c>
      <ns0:c r="AC356" s="28" t="n">
        <ns0:v>0</ns0:v>
      </ns0:c>
      <ns0:c r="AD356" s="29">
        <ns0:f>IF(AND(G356=1,AB356=0),1,0)</ns0:f>
        <ns0:v>1</ns0:v>
      </ns0:c>
      <ns0:c r="AE356" s="29">
        <ns0:f>IF(AND(AD356=1,AC356=0),1,0)</ns0:f>
        <ns0:v>1</ns0:v>
      </ns0:c>
      <ns0:c r="AF356" s="29">
        <ns0:f>IF(AND(G356=1,H356&lt;&gt;"Not specified"),1,0)</ns0:f>
        <ns0:v>0</ns0:v>
      </ns0:c>
      <ns0:c r="AG356" s="29">
        <ns0:f>IF(AND(AE356=1,AF356=1),1,0)</ns0:f>
        <ns0:v>0</ns0:v>
      </ns0:c>
      <ns0:c r="AH356" s="21" t="inlineStr">
        <ns0:is>
          <ns0:t>Prior source-specific extraction retained; no new full-text retrieval</ns0:t>
        </ns0:is>
      </ns0:c>
      <ns0:c r="AI356" s="21" t="inlineStr">
        <ns0:is>
          <ns0:t>https://doi.org/10.1016/j.lfs.2025.123531</ns0:t>
        </ns0:is>
      </ns0:c>
      <ns0:c r="AJ356" s="21" t="inlineStr">
        <ns0:is>
          <ns0:t>EVIDENCIA; original abstract/coding notes and lot source trace; Inherited scoped adjudication; see source level and lot caveats</ns0:t>
        </ns0:is>
      </ns0:c>
      <ns0:c r="AK356" s="21" t="inlineStr">
        <ns0:is>
          <ns0:t>Retained source-specific coding after review of the supplied extraction notes; not a new full-text retrieval. Identifies seven disulfidptosis-related genes and reports a predictive model (AUC 0.759) with external validation (AUC 0.811), plus animal follow-up. The paper is primarily mechanistic/biomarker research. External datasets support validation, but no real clinical workflow or site-held-out evaluation was demonstrated.</ns0:t>
        </ns0:is>
      </ns0:c>
      <ns0:c r="AL356" s="21" t="inlineStr">
        <ns0:is>
          <ns0:t>Not applicable</ns0:t>
        </ns0:is>
      </ns0:c>
      <ns0:c r="AM356" s="21" t="inlineStr">
        <ns0:is>
          <ns0:t>Not separately specified</ns0:t>
        </ns0:is>
      </ns0:c>
      <ns0:c r="AN356" s="21" t="inlineStr"/>
      <ns0:c r="AO356" s="21" t="inlineStr">
        <ns0:is>
          <ns0:t>No additional status determination</ns0:t>
        </ns0:is>
      </ns0:c>
      <ns0:c r="AP356" s="21" t="inlineStr">
        <ns0:is>
          <ns0:t>Not documented for this recharting</ns0:t>
        </ns0:is>
      </ns0:c>
      <ns0:c r="AQ356" s="21" t="inlineStr">
        <ns0:is>
          <ns0:t>ChatGPT-assisted evidence recharting, 2026-09-08</ns0:t>
        </ns0:is>
      </ns0:c>
      <ns0:c r="AR356" s="21" t="inlineStr">
        <ns0:is>
          <ns0:t>Revisión asistida por IA (un revisor; requiere verificación independiente)</ns0:t>
        </ns0:is>
      </ns0:c>
      <ns0:c r="AS356" s="21" t="inlineStr">
        <ns0:is>
          <ns0:t>Retrieved and reviewed</ns0:t>
        </ns0:is>
      </ns0:c>
    </ns0:row>
    <ns0:row r="357" ht="50" customHeight="1">
      <ns0:c r="A357" s="19" t="inlineStr">
        <ns0:is>
          <ns0:t>new_67</ns0:t>
        </ns0:is>
      </ns0:c>
      <ns0:c r="B357" s="19" t="inlineStr">
        <ns0:is>
          <ns0:t>Update</ns0:t>
        </ns0:is>
      </ns0:c>
      <ns0:c r="C357" s="19" t="inlineStr">
        <ns0:is>
          <ns0:t>Enhancing the identification of autism spectrum disorder in facial expressions using DenseResNet-Based transfer learning approach</ns0:t>
        </ns0:is>
      </ns0:c>
      <ns0:c r="D357" s="19" t="inlineStr">
        <ns0:is>
          <ns0:t>10.1016/j.bspc.2024.107433</ns0:t>
        </ns0:is>
      </ns0:c>
      <ns0:c r="E357" s="26" t="n">
        <ns0:v>2025</ns0:v>
      </ns0:c>
      <ns0:c r="F357" s="19" t="inlineStr">
        <ns0:is>
          <ns0:t>Include</ns0:t>
        </ns0:is>
      </ns0:c>
      <ns0:c r="G357" s="27">
        <ns0:f>IF(F357="Include",1,0)</ns0:f>
        <ns0:v>1</ns0:v>
      </ns0:c>
      <ns0:c r="H357" s="19" t="inlineStr">
        <ns0:is>
          <ns0:t>Screening</ns0:t>
        </ns0:is>
      </ns0:c>
      <ns0:c r="I357" s="19" t="inlineStr">
        <ns0:is>
          <ns0:t>Deep Learning</ns0:t>
        </ns0:is>
      </ns0:c>
      <ns0:c r="J357" s="19" t="inlineStr">
        <ns0:is>
          <ns0:t>Behavioral images/video/gaze/movement</ns0:t>
        </ns0:is>
      </ns0:c>
      <ns0:c r="K357" s="19" t="inlineStr">
        <ns0:is>
          <ns0:t>DenseResNet transfer learning (DenseNet + ResNet)</ns0:t>
        </ns0:is>
      </ns0:c>
      <ns0:c r="L357" s="19" t="inlineStr">
        <ns0:is>
          <ns0:t>CNN</ns0:t>
        </ns0:is>
      </ns0:c>
      <ns0:c r="M357" s="19" t="inlineStr">
        <ns0:is>
          <ns0:t>Proposed only</ns0:t>
        </ns0:is>
      </ns0:c>
      <ns0:c r="N357" s="19" t="inlineStr">
        <ns0:is>
          <ns0:t>Triage/questionnaire assessment</ns0:t>
        </ns0:is>
      </ns0:c>
      <ns0:c r="O357" s="19" t="inlineStr">
        <ns0:is>
          <ns0:t>Pre-decision</ns0:t>
        </ns0:is>
      </ns0:c>
      <ns0:c r="P357" s="19" t="inlineStr">
        <ns0:is>
          <ns0:t>Not observed in assessed sources</ns0:t>
        </ns0:is>
      </ns0:c>
      <ns0:c r="Q357" s="19" t="inlineStr">
        <ns0:is>
          <ns0:t>Not reported in assessed sources</ns0:t>
        </ns0:is>
      </ns0:c>
      <ns0:c r="R357" s="19" t="inlineStr">
        <ns0:is>
          <ns0:t>Not reported in assessed sources</ns0:t>
        </ns0:is>
      </ns0:c>
      <ns0:c r="S357" s="19" t="inlineStr">
        <ns0:is>
          <ns0:t>Not reported in assessed sources</ns0:t>
        </ns0:is>
      </ns0:c>
      <ns0:c r="T357" s="19" t="inlineStr">
        <ns0:is>
          <ns0:t>Not reported in assessed sources</ns0:t>
        </ns0:is>
      </ns0:c>
      <ns0:c r="U357" s="19" t="inlineStr">
        <ns0:is>
          <ns0:t>Not reported in assessed sources</ns0:t>
        </ns0:is>
      </ns0:c>
      <ns0:c r="V357" s="19" t="inlineStr">
        <ns0:is>
          <ns0:t>Not reported in assessed sources</ns0:t>
        </ns0:is>
      </ns0:c>
      <ns0:c r="W357" s="19" t="inlineStr">
        <ns0:is>
          <ns0:t>Not reported in assessed sources</ns0:t>
        </ns0:is>
      </ns0:c>
      <ns0:c r="X357" s="19" t="inlineStr">
        <ns0:is>
          <ns0:t>Not reported in assessed sources</ns0:t>
        </ns0:is>
      </ns0:c>
      <ns0:c r="Y357" s="19" t="inlineStr">
        <ns0:is>
          <ns0:t>Not ascertainable</ns0:t>
        </ns0:is>
      </ns0:c>
      <ns0:c r="Z357" s="19" t="inlineStr">
        <ns0:is>
          <ns0:t>Not reported in assessed sources</ns0:t>
        </ns0:is>
      </ns0:c>
      <ns0:c r="AA357" s="19" t="inlineStr">
        <ns0:is>
          <ns0:t>Not recorded</ns0:t>
        </ns0:is>
      </ns0:c>
      <ns0:c r="AB357" s="26" t="n">
        <ns0:v>0</ns0:v>
      </ns0:c>
      <ns0:c r="AC357" s="26" t="n">
        <ns0:v>0</ns0:v>
      </ns0:c>
      <ns0:c r="AD357" s="27">
        <ns0:f>IF(AND(G357=1,AB357=0),1,0)</ns0:f>
        <ns0:v>1</ns0:v>
      </ns0:c>
      <ns0:c r="AE357" s="27">
        <ns0:f>IF(AND(AD357=1,AC357=0),1,0)</ns0:f>
        <ns0:v>1</ns0:v>
      </ns0:c>
      <ns0:c r="AF357" s="27">
        <ns0:f>IF(AND(G357=1,H357&lt;&gt;"Not specified"),1,0)</ns0:f>
        <ns0:v>1</ns0:v>
      </ns0:c>
      <ns0:c r="AG357" s="27">
        <ns0:f>IF(AND(AE357=1,AF357=1),1,0)</ns0:f>
        <ns0:v>1</ns0:v>
      </ns0:c>
      <ns0:c r="AH357" s="19" t="inlineStr">
        <ns0:is>
          <ns0:t>Prior source-specific extraction retained; no new full-text retrieval</ns0:t>
        </ns0:is>
      </ns0:c>
      <ns0:c r="AI357" s="19" t="inlineStr">
        <ns0:is>
          <ns0:t>https://doi.org/10.1016/j.bspc.2024.107433</ns0:t>
        </ns0:is>
      </ns0:c>
      <ns0:c r="AJ357" s="19" t="inlineStr">
        <ns0:is>
          <ns0:t>EVIDENCIA; original abstract/coding notes and lot source trace; Inherited scoped adjudication; see source level and lot caveats</ns0:t>
        </ns0:is>
      </ns0:c>
      <ns0:c r="AK357" s="19" t="inlineStr">
        <ns0:is>
          <ns0:t>Retained source-specific coding after review of the supplied extraction notes; not a new full-text retrieval. DenseResNet combines DenseNet and ResNet transfer learning on facial images; 2526 training and 200 test images; reported accuracy 97.07%. Internal dataset evaluation only. No independent external cohort, prospective clinical workflow, cross-site test, or formal XAI was identified.</ns0:t>
        </ns0:is>
      </ns0:c>
      <ns0:c r="AL357" s="19" t="inlineStr">
        <ns0:is>
          <ns0:t>Not applicable</ns0:t>
        </ns0:is>
      </ns0:c>
      <ns0:c r="AM357" s="19" t="inlineStr">
        <ns0:is>
          <ns0:t>Not separately specified</ns0:t>
        </ns0:is>
      </ns0:c>
      <ns0:c r="AN357" s="19" t="inlineStr"/>
      <ns0:c r="AO357" s="19" t="inlineStr">
        <ns0:is>
          <ns0:t>No additional status determination</ns0:t>
        </ns0:is>
      </ns0:c>
      <ns0:c r="AP357" s="19" t="inlineStr">
        <ns0:is>
          <ns0:t>Not documented for this recharting</ns0:t>
        </ns0:is>
      </ns0:c>
      <ns0:c r="AQ357" s="19" t="inlineStr">
        <ns0:is>
          <ns0:t>ChatGPT-assisted evidence recharting, 2026-09-08</ns0:t>
        </ns0:is>
      </ns0:c>
      <ns0:c r="AR357" s="19" t="inlineStr">
        <ns0:is>
          <ns0:t>Revisión asistida por IA (un revisor; requiere verificación independiente)</ns0:t>
        </ns0:is>
      </ns0:c>
      <ns0:c r="AS357" s="19" t="inlineStr">
        <ns0:is>
          <ns0:t>Retrieved and reviewed</ns0:t>
        </ns0:is>
      </ns0:c>
    </ns0:row>
    <ns0:row r="358" ht="50" customHeight="1">
      <ns0:c r="A358" s="21" t="inlineStr">
        <ns0:is>
          <ns0:t>new_74</ns0:t>
        </ns0:is>
      </ns0:c>
      <ns0:c r="B358" s="21" t="inlineStr">
        <ns0:is>
          <ns0:t>Update</ns0:t>
        </ns0:is>
      </ns0:c>
      <ns0:c r="C358" s="21" t="inlineStr">
        <ns0:is>
          <ns0:t>Deep neurocomputational fusion for ASD diagnosis using multi-domain EEG analysis</ns0:t>
        </ns0:is>
      </ns0:c>
      <ns0:c r="D358" s="21" t="inlineStr">
        <ns0:is>
          <ns0:t>10.1016/j.neucom.2025.130353</ns0:t>
        </ns0:is>
      </ns0:c>
      <ns0:c r="E358" s="28" t="n">
        <ns0:v>2025</ns0:v>
      </ns0:c>
      <ns0:c r="F358" s="21" t="inlineStr">
        <ns0:is>
          <ns0:t>Include</ns0:t>
        </ns0:is>
      </ns0:c>
      <ns0:c r="G358" s="29">
        <ns0:f>IF(F358="Include",1,0)</ns0:f>
        <ns0:v>1</ns0:v>
      </ns0:c>
      <ns0:c r="H358" s="21" t="inlineStr">
        <ns0:is>
          <ns0:t>Diagnosis</ns0:t>
        </ns0:is>
      </ns0:c>
      <ns0:c r="I358" s="21" t="inlineStr">
        <ns0:is>
          <ns0:t>Hybrid</ns0:t>
        </ns0:is>
      </ns0:c>
      <ns0:c r="J358" s="21" t="inlineStr">
        <ns0:is>
          <ns0:t>Physiological signals</ns0:t>
        </ns0:is>
      </ns0:c>
      <ns0:c r="K358" s="21" t="inlineStr">
        <ns0:is>
          <ns0:t>EEFM (LSTM autoencoder + XGBoost regressor + linear regression)</ns0:t>
        </ns0:is>
      </ns0:c>
      <ns0:c r="L358" s="21" t="inlineStr">
        <ns0:is>
          <ns0:t>Composite/ensemble pipeline</ns0:t>
        </ns0:is>
      </ns0:c>
      <ns0:c r="M358" s="21" t="inlineStr">
        <ns0:is>
          <ns0:t>Research only</ns0:t>
        </ns0:is>
      </ns0:c>
      <ns0:c r="N358" s="21" t="inlineStr">
        <ns0:is>
          <ns0:t>Automated measurement/classification</ns0:t>
        </ns0:is>
      </ns0:c>
      <ns0:c r="O358" s="21" t="inlineStr">
        <ns0:is>
          <ns0:t>Not observed in assessed sources</ns0:t>
        </ns0:is>
      </ns0:c>
      <ns0:c r="P358" s="21" t="inlineStr">
        <ns0:is>
          <ns0:t>Not observed in assessed sources</ns0:t>
        </ns0:is>
      </ns0:c>
      <ns0:c r="Q358" s="21" t="inlineStr">
        <ns0:is>
          <ns0:t>Not reported in assessed sources</ns0:t>
        </ns0:is>
      </ns0:c>
      <ns0:c r="R358" s="21" t="inlineStr">
        <ns0:is>
          <ns0:t>Not reported in assessed sources</ns0:t>
        </ns0:is>
      </ns0:c>
      <ns0:c r="S358" s="21" t="inlineStr">
        <ns0:is>
          <ns0:t>Not reported in assessed sources</ns0:t>
        </ns0:is>
      </ns0:c>
      <ns0:c r="T358" s="21" t="inlineStr">
        <ns0:is>
          <ns0:t>Not reported in assessed sources</ns0:t>
        </ns0:is>
      </ns0:c>
      <ns0:c r="U358" s="21" t="inlineStr">
        <ns0:is>
          <ns0:t>Not reported in assessed sources</ns0:t>
        </ns0:is>
      </ns0:c>
      <ns0:c r="V358" s="21" t="inlineStr">
        <ns0:is>
          <ns0:t>Not reported in assessed sources</ns0:t>
        </ns0:is>
      </ns0:c>
      <ns0:c r="W358" s="21" t="inlineStr">
        <ns0:is>
          <ns0:t>Not reported in assessed sources</ns0:t>
        </ns0:is>
      </ns0:c>
      <ns0:c r="X358" s="21" t="inlineStr">
        <ns0:is>
          <ns0:t>Not reported in assessed sources</ns0:t>
        </ns0:is>
      </ns0:c>
      <ns0:c r="Y358" s="21" t="inlineStr">
        <ns0:is>
          <ns0:t>Not ascertainable</ns0:t>
        </ns0:is>
      </ns0:c>
      <ns0:c r="Z358" s="21" t="inlineStr">
        <ns0:is>
          <ns0:t>Not reported in assessed sources</ns0:t>
        </ns0:is>
      </ns0:c>
      <ns0:c r="AA358" s="21" t="inlineStr">
        <ns0:is>
          <ns0:t>Not recorded</ns0:t>
        </ns0:is>
      </ns0:c>
      <ns0:c r="AB358" s="28" t="n">
        <ns0:v>0</ns0:v>
      </ns0:c>
      <ns0:c r="AC358" s="28" t="n">
        <ns0:v>0</ns0:v>
      </ns0:c>
      <ns0:c r="AD358" s="29">
        <ns0:f>IF(AND(G358=1,AB358=0),1,0)</ns0:f>
        <ns0:v>1</ns0:v>
      </ns0:c>
      <ns0:c r="AE358" s="29">
        <ns0:f>IF(AND(AD358=1,AC358=0),1,0)</ns0:f>
        <ns0:v>1</ns0:v>
      </ns0:c>
      <ns0:c r="AF358" s="29">
        <ns0:f>IF(AND(G358=1,H358&lt;&gt;"Not specified"),1,0)</ns0:f>
        <ns0:v>1</ns0:v>
      </ns0:c>
      <ns0:c r="AG358" s="29">
        <ns0:f>IF(AND(AE358=1,AF358=1),1,0)</ns0:f>
        <ns0:v>1</ns0:v>
      </ns0:c>
      <ns0:c r="AH358" s="21" t="inlineStr">
        <ns0:is>
          <ns0:t>Prior source-specific extraction retained; no new full-text retrieval</ns0:t>
        </ns0:is>
      </ns0:c>
      <ns0:c r="AI358" s="21" t="inlineStr">
        <ns0:is>
          <ns0:t>https://doi.org/10.1016/j.neucom.2025.130353</ns0:t>
        </ns0:is>
      </ns0:c>
      <ns0:c r="AJ358" s="21" t="inlineStr">
        <ns0:is>
          <ns0:t>EVIDENCIA; original abstract/coding notes and lot source trace; Inherited scoped adjudication; see source level and lot caveats</ns0:t>
        </ns0:is>
      </ns0:c>
      <ns0:c r="AK358" s="21" t="inlineStr">
        <ns0:is>
          <ns0:t>Retained source-specific coding after review of the supplied extraction notes; not a new full-text retrieval. EEFM fuses time/frequency EEG features using an LSTM autoencoder, XGBoost and linear regression; reported ASD-vs-TD accuracy is 93%. Multiple EEG collections do not by themselves establish independent external validation or cross-site robustness; no formal XAI was reported.</ns0:t>
        </ns0:is>
      </ns0:c>
      <ns0:c r="AL358" s="21" t="inlineStr">
        <ns0:is>
          <ns0:t>Not applicable</ns0:t>
        </ns0:is>
      </ns0:c>
      <ns0:c r="AM358" s="21" t="inlineStr">
        <ns0:is>
          <ns0:t>Not separately specified</ns0:t>
        </ns0:is>
      </ns0:c>
      <ns0:c r="AN358" s="21" t="inlineStr"/>
      <ns0:c r="AO358" s="21" t="inlineStr">
        <ns0:is>
          <ns0:t>No additional status determination</ns0:t>
        </ns0:is>
      </ns0:c>
      <ns0:c r="AP358" s="21" t="inlineStr">
        <ns0:is>
          <ns0:t>Not documented for this recharting</ns0:t>
        </ns0:is>
      </ns0:c>
      <ns0:c r="AQ358" s="21" t="inlineStr">
        <ns0:is>
          <ns0:t>ChatGPT-assisted evidence recharting, 2026-09-08</ns0:t>
        </ns0:is>
      </ns0:c>
      <ns0:c r="AR358" s="21" t="inlineStr">
        <ns0:is>
          <ns0:t>Revisión asistida por IA (un revisor; requiere verificación independiente)</ns0:t>
        </ns0:is>
      </ns0:c>
      <ns0:c r="AS358" s="21" t="inlineStr">
        <ns0:is>
          <ns0:t>Retrieved and reviewed</ns0:t>
        </ns0:is>
      </ns0:c>
    </ns0:row>
    <ns0:row r="359" ht="50" customHeight="1">
      <ns0:c r="A359" s="19" t="inlineStr">
        <ns0:is>
          <ns0:t>new_76</ns0:t>
        </ns0:is>
      </ns0:c>
      <ns0:c r="B359" s="19" t="inlineStr">
        <ns0:is>
          <ns0:t>Update</ns0:t>
        </ns0:is>
      </ns0:c>
      <ns0:c r="C359" s="19" t="inlineStr">
        <ns0:is>
          <ns0:t>Female autism categorization using CNN based NeuroNet57 and ant colony optimization</ns0:t>
        </ns0:is>
      </ns0:c>
      <ns0:c r="D359" s="19" t="inlineStr">
        <ns0:is>
          <ns0:t>10.1016/j.compbiomed.2025.109926</ns0:t>
        </ns0:is>
      </ns0:c>
      <ns0:c r="E359" s="26" t="n">
        <ns0:v>2025</ns0:v>
      </ns0:c>
      <ns0:c r="F359" s="19" t="inlineStr">
        <ns0:is>
          <ns0:t>Include</ns0:t>
        </ns0:is>
      </ns0:c>
      <ns0:c r="G359" s="27">
        <ns0:f>IF(F359="Include",1,0)</ns0:f>
        <ns0:v>1</ns0:v>
      </ns0:c>
      <ns0:c r="H359" s="19" t="inlineStr">
        <ns0:is>
          <ns0:t>Diagnosis</ns0:t>
        </ns0:is>
      </ns0:c>
      <ns0:c r="I359" s="19" t="inlineStr">
        <ns0:is>
          <ns0:t>Hybrid</ns0:t>
        </ns0:is>
      </ns0:c>
      <ns0:c r="J359" s="19" t="inlineStr">
        <ns0:is>
          <ns0:t>Neuroimaging</ns0:t>
        </ns0:is>
      </ns0:c>
      <ns0:c r="K359" s="19" t="inlineStr">
        <ns0:is>
          <ns0:t>NeuroNet57 + ant colony optimization + FineKNN</ns0:t>
        </ns0:is>
      </ns0:c>
      <ns0:c r="L359" s="19" t="inlineStr">
        <ns0:is>
          <ns0:t>Other specified method</ns0:t>
        </ns0:is>
      </ns0:c>
      <ns0:c r="M359" s="19" t="inlineStr">
        <ns0:is>
          <ns0:t>Research only</ns0:t>
        </ns0:is>
      </ns0:c>
      <ns0:c r="N359" s="19" t="inlineStr">
        <ns0:is>
          <ns0:t>Automated measurement/classification</ns0:t>
        </ns0:is>
      </ns0:c>
      <ns0:c r="O359" s="19" t="inlineStr">
        <ns0:is>
          <ns0:t>Not observed in assessed sources</ns0:t>
        </ns0:is>
      </ns0:c>
      <ns0:c r="P359" s="19" t="inlineStr">
        <ns0:is>
          <ns0:t>Not observed in assessed sources</ns0:t>
        </ns0:is>
      </ns0:c>
      <ns0:c r="Q359" s="19" t="inlineStr">
        <ns0:is>
          <ns0:t>Not reported in assessed sources</ns0:t>
        </ns0:is>
      </ns0:c>
      <ns0:c r="R359" s="19" t="inlineStr">
        <ns0:is>
          <ns0:t>Not reported in assessed sources</ns0:t>
        </ns0:is>
      </ns0:c>
      <ns0:c r="S359" s="19" t="inlineStr">
        <ns0:is>
          <ns0:t>Not reported in assessed sources</ns0:t>
        </ns0:is>
      </ns0:c>
      <ns0:c r="T359" s="19" t="inlineStr">
        <ns0:is>
          <ns0:t>Not reported in assessed sources</ns0:t>
        </ns0:is>
      </ns0:c>
      <ns0:c r="U359" s="19" t="inlineStr">
        <ns0:is>
          <ns0:t>Not reported in assessed sources</ns0:t>
        </ns0:is>
      </ns0:c>
      <ns0:c r="V359" s="19" t="inlineStr">
        <ns0:is>
          <ns0:t>Reported</ns0:t>
        </ns0:is>
      </ns0:c>
      <ns0:c r="W359" s="19" t="inlineStr">
        <ns0:is>
          <ns0:t>Not reported in assessed sources</ns0:t>
        </ns0:is>
      </ns0:c>
      <ns0:c r="X359" s="19" t="inlineStr">
        <ns0:is>
          <ns0:t>Not reported in assessed sources</ns0:t>
        </ns0:is>
      </ns0:c>
      <ns0:c r="Y359" s="19" t="inlineStr">
        <ns0:is>
          <ns0:t>Not ascertainable</ns0:t>
        </ns0:is>
      </ns0:c>
      <ns0:c r="Z359" s="19" t="inlineStr">
        <ns0:is>
          <ns0:t>Not reported in assessed sources</ns0:t>
        </ns0:is>
      </ns0:c>
      <ns0:c r="AA359" s="19" t="inlineStr">
        <ns0:is>
          <ns0:t>Not recorded</ns0:t>
        </ns0:is>
      </ns0:c>
      <ns0:c r="AB359" s="26" t="n">
        <ns0:v>0</ns0:v>
      </ns0:c>
      <ns0:c r="AC359" s="26" t="n">
        <ns0:v>0</ns0:v>
      </ns0:c>
      <ns0:c r="AD359" s="27">
        <ns0:f>IF(AND(G359=1,AB359=0),1,0)</ns0:f>
        <ns0:v>1</ns0:v>
      </ns0:c>
      <ns0:c r="AE359" s="27">
        <ns0:f>IF(AND(AD359=1,AC359=0),1,0)</ns0:f>
        <ns0:v>1</ns0:v>
      </ns0:c>
      <ns0:c r="AF359" s="27">
        <ns0:f>IF(AND(G359=1,H359&lt;&gt;"Not specified"),1,0)</ns0:f>
        <ns0:v>1</ns0:v>
      </ns0:c>
      <ns0:c r="AG359" s="27">
        <ns0:f>IF(AND(AE359=1,AF359=1),1,0)</ns0:f>
        <ns0:v>1</ns0:v>
      </ns0:c>
      <ns0:c r="AH359" s="19" t="inlineStr">
        <ns0:is>
          <ns0:t>Prior source-specific extraction retained; no new full-text retrieval</ns0:t>
        </ns0:is>
      </ns0:c>
      <ns0:c r="AI359" s="19" t="inlineStr">
        <ns0:is>
          <ns0:t>https://doi.org/10.1016/j.compbiomed.2025.109926</ns0:t>
        </ns0:is>
      </ns0:c>
      <ns0:c r="AJ359" s="19" t="inlineStr">
        <ns0:is>
          <ns0:t>EVIDENCIA; original abstract/coding notes and lot source trace; Inherited scoped adjudication; see source level and lot caveats</ns0:t>
        </ns0:is>
      </ns0:c>
      <ns0:c r="AK359" s="19" t="inlineStr">
        <ns0:is>
          <ns0:t>Retained source-specific coding after review of the supplied extraction notes; not a new full-text retrieval. NeuroNet57 extracts ABIDE-I/II features, ACO selects features, and FineKNN reports 92.21% accuracy on ABIDE-I and 93.49% on ABIDE-II. ABIDE is multisite, but the recovered text did not document site-held-out testing or a fixed development-versus-external validation design.</ns0:t>
        </ns0:is>
      </ns0:c>
      <ns0:c r="AL359" s="19" t="inlineStr">
        <ns0:is>
          <ns0:t>Not applicable</ns0:t>
        </ns0:is>
      </ns0:c>
      <ns0:c r="AM359" s="19" t="inlineStr">
        <ns0:is>
          <ns0:t>Not separately specified</ns0:t>
        </ns0:is>
      </ns0:c>
      <ns0:c r="AN359" s="19" t="inlineStr"/>
      <ns0:c r="AO359" s="19" t="inlineStr">
        <ns0:is>
          <ns0:t>No additional status determination</ns0:t>
        </ns0:is>
      </ns0:c>
      <ns0:c r="AP359" s="19" t="inlineStr">
        <ns0:is>
          <ns0:t>Not documented for this recharting</ns0:t>
        </ns0:is>
      </ns0:c>
      <ns0:c r="AQ359" s="19" t="inlineStr">
        <ns0:is>
          <ns0:t>ChatGPT-assisted evidence recharting, 2026-09-08</ns0:t>
        </ns0:is>
      </ns0:c>
      <ns0:c r="AR359" s="19" t="inlineStr">
        <ns0:is>
          <ns0:t>Revisión asistida por IA (un revisor; requiere verificación independiente)</ns0:t>
        </ns0:is>
      </ns0:c>
      <ns0:c r="AS359" s="19" t="inlineStr">
        <ns0:is>
          <ns0:t>Retrieved and reviewed</ns0:t>
        </ns0:is>
      </ns0:c>
    </ns0:row>
    <ns0:row r="360" ht="50" customHeight="1">
      <ns0:c r="A360" s="21" t="inlineStr">
        <ns0:is>
          <ns0:t>new_78</ns0:t>
        </ns0:is>
      </ns0:c>
      <ns0:c r="B360" s="21" t="inlineStr">
        <ns0:is>
          <ns0:t>Update</ns0:t>
        </ns0:is>
      </ns0:c>
      <ns0:c r="C360" s="21" t="inlineStr">
        <ns0:is>
          <ns0:t>Capsule DenseNet++: Enhanced autism detection framework with deep learning and reinforcement learning-based lifestyle recommendation</ns0:t>
        </ns0:is>
      </ns0:c>
      <ns0:c r="D360" s="21" t="inlineStr">
        <ns0:is>
          <ns0:t>10.1016/j.compbiomed.2025.110038</ns0:t>
        </ns0:is>
      </ns0:c>
      <ns0:c r="E360" s="28" t="n">
        <ns0:v>2025</ns0:v>
      </ns0:c>
      <ns0:c r="F360" s="21" t="inlineStr">
        <ns0:is>
          <ns0:t>Include</ns0:t>
        </ns0:is>
      </ns0:c>
      <ns0:c r="G360" s="29">
        <ns0:f>IF(F360="Include",1,0)</ns0:f>
        <ns0:v>1</ns0:v>
      </ns0:c>
      <ns0:c r="H360" s="21" t="inlineStr">
        <ns0:is>
          <ns0:t>Screening</ns0:t>
        </ns0:is>
      </ns0:c>
      <ns0:c r="I360" s="21" t="inlineStr">
        <ns0:is>
          <ns0:t>Deep Learning</ns0:t>
        </ns0:is>
      </ns0:c>
      <ns0:c r="J360" s="21" t="inlineStr">
        <ns0:is>
          <ns0:t>Structured clinical/questionnaire data</ns0:t>
        </ns0:is>
      </ns0:c>
      <ns0:c r="K360" s="21" t="inlineStr">
        <ns0:is>
          <ns0:t>Capsule DenseNet++ + CosmoNest optimization + PPO recommendation</ns0:t>
        </ns0:is>
      </ns0:c>
      <ns0:c r="L360" s="21" t="inlineStr">
        <ns0:is>
          <ns0:t>CNN</ns0:t>
        </ns0:is>
      </ns0:c>
      <ns0:c r="M360" s="21" t="inlineStr">
        <ns0:is>
          <ns0:t>Proposed only</ns0:t>
        </ns0:is>
      </ns0:c>
      <ns0:c r="N360" s="21" t="inlineStr">
        <ns0:is>
          <ns0:t>Triage/questionnaire assessment</ns0:t>
        </ns0:is>
      </ns0:c>
      <ns0:c r="O360" s="21" t="inlineStr">
        <ns0:is>
          <ns0:t>Pre-decision</ns0:t>
        </ns0:is>
      </ns0:c>
      <ns0:c r="P360" s="21" t="inlineStr">
        <ns0:is>
          <ns0:t>Not observed in assessed sources</ns0:t>
        </ns0:is>
      </ns0:c>
      <ns0:c r="Q360" s="21" t="inlineStr">
        <ns0:is>
          <ns0:t>Not reported in assessed sources</ns0:t>
        </ns0:is>
      </ns0:c>
      <ns0:c r="R360" s="21" t="inlineStr">
        <ns0:is>
          <ns0:t>Not reported in assessed sources</ns0:t>
        </ns0:is>
      </ns0:c>
      <ns0:c r="S360" s="21" t="inlineStr">
        <ns0:is>
          <ns0:t>Not reported in assessed sources</ns0:t>
        </ns0:is>
      </ns0:c>
      <ns0:c r="T360" s="21" t="inlineStr">
        <ns0:is>
          <ns0:t>Not reported in assessed sources</ns0:t>
        </ns0:is>
      </ns0:c>
      <ns0:c r="U360" s="21" t="inlineStr">
        <ns0:is>
          <ns0:t>Not reported in assessed sources</ns0:t>
        </ns0:is>
      </ns0:c>
      <ns0:c r="V360" s="21" t="inlineStr">
        <ns0:is>
          <ns0:t>Not reported in assessed sources</ns0:t>
        </ns0:is>
      </ns0:c>
      <ns0:c r="W360" s="21" t="inlineStr">
        <ns0:is>
          <ns0:t>Not reported in assessed sources</ns0:t>
        </ns0:is>
      </ns0:c>
      <ns0:c r="X360" s="21" t="inlineStr">
        <ns0:is>
          <ns0:t>Not reported in assessed sources</ns0:t>
        </ns0:is>
      </ns0:c>
      <ns0:c r="Y360" s="21" t="inlineStr">
        <ns0:is>
          <ns0:t>Not ascertainable</ns0:t>
        </ns0:is>
      </ns0:c>
      <ns0:c r="Z360" s="21" t="inlineStr">
        <ns0:is>
          <ns0:t>Not reported in assessed sources</ns0:t>
        </ns0:is>
      </ns0:c>
      <ns0:c r="AA360" s="21" t="inlineStr">
        <ns0:is>
          <ns0:t>Not recorded</ns0:t>
        </ns0:is>
      </ns0:c>
      <ns0:c r="AB360" s="28" t="n">
        <ns0:v>0</ns0:v>
      </ns0:c>
      <ns0:c r="AC360" s="28" t="n">
        <ns0:v>0</ns0:v>
      </ns0:c>
      <ns0:c r="AD360" s="29">
        <ns0:f>IF(AND(G360=1,AB360=0),1,0)</ns0:f>
        <ns0:v>1</ns0:v>
      </ns0:c>
      <ns0:c r="AE360" s="29">
        <ns0:f>IF(AND(AD360=1,AC360=0),1,0)</ns0:f>
        <ns0:v>1</ns0:v>
      </ns0:c>
      <ns0:c r="AF360" s="29">
        <ns0:f>IF(AND(G360=1,H360&lt;&gt;"Not specified"),1,0)</ns0:f>
        <ns0:v>1</ns0:v>
      </ns0:c>
      <ns0:c r="AG360" s="29">
        <ns0:f>IF(AND(AE360=1,AF360=1),1,0)</ns0:f>
        <ns0:v>1</ns0:v>
      </ns0:c>
      <ns0:c r="AH360" s="21" t="inlineStr">
        <ns0:is>
          <ns0:t>Prior source-specific extraction retained; no new full-text retrieval</ns0:t>
        </ns0:is>
      </ns0:c>
      <ns0:c r="AI360" s="21" t="inlineStr">
        <ns0:is>
          <ns0:t>https://doi.org/10.1016/j.compbiomed.2025.110038</ns0:t>
        </ns0:is>
      </ns0:c>
      <ns0:c r="AJ360" s="21" t="inlineStr">
        <ns0:is>
          <ns0:t>EVIDENCIA; original abstract/coding notes and lot source trace; Inherited scoped adjudication; see source level and lot caveats</ns0:t>
        </ns0:is>
      </ns0:c>
      <ns0:c r="AK360" s="21" t="inlineStr">
        <ns0:is>
          <ns0:t>Retained source-specific coding after review of the supplied extraction notes; not a new full-text retrieval. Uses Capsule DenseNet++ with optimization for ASD screening on two public datasets and a PPO component for lifestyle recommendation; reported accuracies are about 99.2-99.3%. The two datasets were not documented as a fixed independent external-validation scheme, and the recommendation component was not evaluated in a prospective care workflow.
All-neural/optimization pipeline in recovered evidence; hybrid title is not sufficient for mixed conventional-ML/DL classification.</ns0:t>
        </ns0:is>
      </ns0:c>
      <ns0:c r="AL360" s="21" t="inlineStr">
        <ns0:is>
          <ns0:t>Not applicable</ns0:t>
        </ns0:is>
      </ns0:c>
      <ns0:c r="AM360" s="21" t="inlineStr">
        <ns0:is>
          <ns0:t>Not separately specified</ns0:t>
        </ns0:is>
      </ns0:c>
      <ns0:c r="AN360" s="21" t="inlineStr"/>
      <ns0:c r="AO360" s="21" t="inlineStr">
        <ns0:is>
          <ns0:t>No additional status determination</ns0:t>
        </ns0:is>
      </ns0:c>
      <ns0:c r="AP360" s="21" t="inlineStr">
        <ns0:is>
          <ns0:t>Not documented for this recharting</ns0:t>
        </ns0:is>
      </ns0:c>
      <ns0:c r="AQ360" s="21" t="inlineStr">
        <ns0:is>
          <ns0:t>ChatGPT-assisted evidence recharting, 2026-09-08</ns0:t>
        </ns0:is>
      </ns0:c>
      <ns0:c r="AR360" s="21" t="inlineStr">
        <ns0:is>
          <ns0:t>Revisión asistida por IA (un revisor; requiere verificación independiente)</ns0:t>
        </ns0:is>
      </ns0:c>
      <ns0:c r="AS360" s="21" t="inlineStr">
        <ns0:is>
          <ns0:t>Retrieved and reviewed</ns0:t>
        </ns0:is>
      </ns0:c>
    </ns0:row>
    <ns0:row r="361" ht="50" customHeight="1">
      <ns0:c r="A361" s="19" t="inlineStr">
        <ns0:is>
          <ns0:t>new_81</ns0:t>
        </ns0:is>
      </ns0:c>
      <ns0:c r="B361" s="19" t="inlineStr">
        <ns0:is>
          <ns0:t>Update</ns0:t>
        </ns0:is>
      </ns0:c>
      <ns0:c r="C361" s="19" t="inlineStr">
        <ns0:is>
          <ns0:t>Self-training EEG discrimination model with weakly supervised sample construction: An age-based perspective on ASD evaluation</ns0:t>
        </ns0:is>
      </ns0:c>
      <ns0:c r="D361" s="19" t="inlineStr">
        <ns0:is>
          <ns0:t>10.1016/j.neunet.2025.107337</ns0:t>
        </ns0:is>
      </ns0:c>
      <ns0:c r="E361" s="26" t="n">
        <ns0:v>2025</ns0:v>
      </ns0:c>
      <ns0:c r="F361" s="19" t="inlineStr">
        <ns0:is>
          <ns0:t>Include</ns0:t>
        </ns0:is>
      </ns0:c>
      <ns0:c r="G361" s="27">
        <ns0:f>IF(F361="Include",1,0)</ns0:f>
        <ns0:v>1</ns0:v>
      </ns0:c>
      <ns0:c r="H361" s="19" t="inlineStr">
        <ns0:is>
          <ns0:t>Diagnosis</ns0:t>
        </ns0:is>
      </ns0:c>
      <ns0:c r="I361" s="19" t="inlineStr">
        <ns0:is>
          <ns0:t>Deep Learning</ns0:t>
        </ns0:is>
      </ns0:c>
      <ns0:c r="J361" s="19" t="inlineStr">
        <ns0:is>
          <ns0:t>Physiological signals</ns0:t>
        </ns0:is>
      </ns0:c>
      <ns0:c r="K361" s="19" t="inlineStr">
        <ns0:is>
          <ns0:t>STEM / MAC autoencoder + depthwise-separable CNN + BiGRU with PLASC self-training</ns0:t>
        </ns0:is>
      </ns0:c>
      <ns0:c r="L361" s="19" t="inlineStr">
        <ns0:is>
          <ns0:t>Composite/ensemble pipeline</ns0:t>
        </ns0:is>
      </ns0:c>
      <ns0:c r="M361" s="19" t="inlineStr">
        <ns0:is>
          <ns0:t>Research only</ns0:t>
        </ns0:is>
      </ns0:c>
      <ns0:c r="N361" s="19" t="inlineStr">
        <ns0:is>
          <ns0:t>Automated measurement/classification</ns0:t>
        </ns0:is>
      </ns0:c>
      <ns0:c r="O361" s="19" t="inlineStr">
        <ns0:is>
          <ns0:t>Not observed in assessed sources</ns0:t>
        </ns0:is>
      </ns0:c>
      <ns0:c r="P361" s="19" t="inlineStr">
        <ns0:is>
          <ns0:t>Not observed in assessed sources</ns0:t>
        </ns0:is>
      </ns0:c>
      <ns0:c r="Q361" s="19" t="inlineStr">
        <ns0:is>
          <ns0:t>Not reported in assessed sources</ns0:t>
        </ns0:is>
      </ns0:c>
      <ns0:c r="R361" s="19" t="inlineStr">
        <ns0:is>
          <ns0:t>Not reported in assessed sources</ns0:t>
        </ns0:is>
      </ns0:c>
      <ns0:c r="S361" s="19" t="inlineStr">
        <ns0:is>
          <ns0:t>Not reported in assessed sources</ns0:t>
        </ns0:is>
      </ns0:c>
      <ns0:c r="T361" s="19" t="inlineStr">
        <ns0:is>
          <ns0:t>Not reported in assessed sources</ns0:t>
        </ns0:is>
      </ns0:c>
      <ns0:c r="U361" s="19" t="inlineStr">
        <ns0:is>
          <ns0:t>Not reported in assessed sources</ns0:t>
        </ns0:is>
      </ns0:c>
      <ns0:c r="V361" s="19" t="inlineStr">
        <ns0:is>
          <ns0:t>Not reported in assessed sources</ns0:t>
        </ns0:is>
      </ns0:c>
      <ns0:c r="W361" s="19" t="inlineStr">
        <ns0:is>
          <ns0:t>Not reported in assessed sources</ns0:t>
        </ns0:is>
      </ns0:c>
      <ns0:c r="X361" s="19" t="inlineStr">
        <ns0:is>
          <ns0:t>Not reported in assessed sources</ns0:t>
        </ns0:is>
      </ns0:c>
      <ns0:c r="Y361" s="19" t="inlineStr">
        <ns0:is>
          <ns0:t>Not ascertainable</ns0:t>
        </ns0:is>
      </ns0:c>
      <ns0:c r="Z361" s="19" t="inlineStr">
        <ns0:is>
          <ns0:t>Not reported in assessed sources</ns0:t>
        </ns0:is>
      </ns0:c>
      <ns0:c r="AA361" s="19" t="inlineStr">
        <ns0:is>
          <ns0:t>Not recorded</ns0:t>
        </ns0:is>
      </ns0:c>
      <ns0:c r="AB361" s="26" t="n">
        <ns0:v>0</ns0:v>
      </ns0:c>
      <ns0:c r="AC361" s="26" t="n">
        <ns0:v>0</ns0:v>
      </ns0:c>
      <ns0:c r="AD361" s="27">
        <ns0:f>IF(AND(G361=1,AB361=0),1,0)</ns0:f>
        <ns0:v>1</ns0:v>
      </ns0:c>
      <ns0:c r="AE361" s="27">
        <ns0:f>IF(AND(AD361=1,AC361=0),1,0)</ns0:f>
        <ns0:v>1</ns0:v>
      </ns0:c>
      <ns0:c r="AF361" s="27">
        <ns0:f>IF(AND(G361=1,H361&lt;&gt;"Not specified"),1,0)</ns0:f>
        <ns0:v>1</ns0:v>
      </ns0:c>
      <ns0:c r="AG361" s="27">
        <ns0:f>IF(AND(AE361=1,AF361=1),1,0)</ns0:f>
        <ns0:v>1</ns0:v>
      </ns0:c>
      <ns0:c r="AH361" s="19" t="inlineStr">
        <ns0:is>
          <ns0:t>Prior source-specific extraction retained; no new full-text retrieval</ns0:t>
        </ns0:is>
      </ns0:c>
      <ns0:c r="AI361" s="19" t="inlineStr">
        <ns0:is>
          <ns0:t>https://doi.org/10.1016/j.neunet.2025.107337</ns0:t>
        </ns0:is>
      </ns0:c>
      <ns0:c r="AJ361" s="19" t="inlineStr">
        <ns0:is>
          <ns0:t>EVIDENCIA; original abstract/coding notes and lot source trace; Inherited scoped adjudication; see source level and lot caveats</ns0:t>
        </ns0:is>
      </ns0:c>
      <ns0:c r="AK361" s="19" t="inlineStr">
        <ns0:is>
          <ns0:t>Retained source-specific coding after review of the supplied extraction notes; not a new full-text retrieval. STEM combines an autoencoder, depthwise-separable convolution, BiGRU and pseudo-label self-training across EEG data; reported accuracy is 88.33% and F1 87.24%. Use of several EEG datasets does not automatically prove external validation; no explicit site-held-out or prospective clinical evaluation was identified.</ns0:t>
        </ns0:is>
      </ns0:c>
      <ns0:c r="AL361" s="19" t="inlineStr">
        <ns0:is>
          <ns0:t>Not applicable</ns0:t>
        </ns0:is>
      </ns0:c>
      <ns0:c r="AM361" s="19" t="inlineStr">
        <ns0:is>
          <ns0:t>Not separately specified</ns0:t>
        </ns0:is>
      </ns0:c>
      <ns0:c r="AN361" s="19" t="inlineStr"/>
      <ns0:c r="AO361" s="19" t="inlineStr">
        <ns0:is>
          <ns0:t>No additional status determination</ns0:t>
        </ns0:is>
      </ns0:c>
      <ns0:c r="AP361" s="19" t="inlineStr">
        <ns0:is>
          <ns0:t>Not documented for this recharting</ns0:t>
        </ns0:is>
      </ns0:c>
      <ns0:c r="AQ361" s="19" t="inlineStr">
        <ns0:is>
          <ns0:t>ChatGPT-assisted evidence recharting, 2026-09-08</ns0:t>
        </ns0:is>
      </ns0:c>
      <ns0:c r="AR361" s="19" t="inlineStr">
        <ns0:is>
          <ns0:t>Revisión asistida por IA (un revisor; requiere verificación independiente)</ns0:t>
        </ns0:is>
      </ns0:c>
      <ns0:c r="AS361" s="19" t="inlineStr">
        <ns0:is>
          <ns0:t>Retrieved and reviewed</ns0:t>
        </ns0:is>
      </ns0:c>
    </ns0:row>
    <ns0:row r="362" ht="50" customHeight="1">
      <ns0:c r="A362" s="21" t="inlineStr">
        <ns0:is>
          <ns0:t>new_84</ns0:t>
        </ns0:is>
      </ns0:c>
      <ns0:c r="B362" s="21" t="inlineStr">
        <ns0:is>
          <ns0:t>Update</ns0:t>
        </ns0:is>
      </ns0:c>
      <ns0:c r="C362" s="21" t="inlineStr">
        <ns0:is>
          <ns0:t>Towards screening of children students with autism spectrum disorder based on executive functions with serious game and machine learning approaches</ns0:t>
        </ns0:is>
      </ns0:c>
      <ns0:c r="D362" s="21" t="inlineStr">
        <ns0:is>
          <ns0:t>10.1016/j.eswa.2025.128884</ns0:t>
        </ns0:is>
      </ns0:c>
      <ns0:c r="E362" s="28" t="n">
        <ns0:v>2026</ns0:v>
      </ns0:c>
      <ns0:c r="F362" s="21" t="inlineStr">
        <ns0:is>
          <ns0:t>Include</ns0:t>
        </ns0:is>
      </ns0:c>
      <ns0:c r="G362" s="29">
        <ns0:f>IF(F362="Include",1,0)</ns0:f>
        <ns0:v>1</ns0:v>
      </ns0:c>
      <ns0:c r="H362" s="21" t="inlineStr">
        <ns0:is>
          <ns0:t>Screening</ns0:t>
        </ns0:is>
      </ns0:c>
      <ns0:c r="I362" s="21" t="inlineStr">
        <ns0:is>
          <ns0:t>Machine Learning</ns0:t>
        </ns0:is>
      </ns0:c>
      <ns0:c r="J362" s="21" t="inlineStr">
        <ns0:is>
          <ns0:t>Other biomedical/digital data</ns0:t>
        </ns0:is>
      </ns0:c>
      <ns0:c r="K362" s="21" t="inlineStr">
        <ns0:is>
          <ns0:t>Random Forest (best-performing among seven ML models)</ns0:t>
        </ns0:is>
      </ns0:c>
      <ns0:c r="L362" s="21" t="inlineStr">
        <ns0:is>
          <ns0:t>Random forest</ns0:t>
        </ns0:is>
      </ns0:c>
      <ns0:c r="M362" s="21" t="inlineStr">
        <ns0:is>
          <ns0:t>Research only</ns0:t>
        </ns0:is>
      </ns0:c>
      <ns0:c r="N362" s="21" t="inlineStr">
        <ns0:is>
          <ns0:t>Triage/questionnaire assessment</ns0:t>
        </ns0:is>
      </ns0:c>
      <ns0:c r="O362" s="21" t="inlineStr">
        <ns0:is>
          <ns0:t>Not observed in assessed sources</ns0:t>
        </ns0:is>
      </ns0:c>
      <ns0:c r="P362" s="21" t="inlineStr">
        <ns0:is>
          <ns0:t>Not observed in assessed sources</ns0:t>
        </ns0:is>
      </ns0:c>
      <ns0:c r="Q362" s="21" t="inlineStr">
        <ns0:is>
          <ns0:t>Not reported in assessed sources</ns0:t>
        </ns0:is>
      </ns0:c>
      <ns0:c r="R362" s="21" t="inlineStr">
        <ns0:is>
          <ns0:t>Not reported in assessed sources</ns0:t>
        </ns0:is>
      </ns0:c>
      <ns0:c r="S362" s="21" t="inlineStr">
        <ns0:is>
          <ns0:t>Not reported in assessed sources</ns0:t>
        </ns0:is>
      </ns0:c>
      <ns0:c r="T362" s="21" t="inlineStr">
        <ns0:is>
          <ns0:t>Not reported in assessed sources</ns0:t>
        </ns0:is>
      </ns0:c>
      <ns0:c r="U362" s="21" t="inlineStr">
        <ns0:is>
          <ns0:t>Not reported in assessed sources</ns0:t>
        </ns0:is>
      </ns0:c>
      <ns0:c r="V362" s="21" t="inlineStr">
        <ns0:is>
          <ns0:t>Not reported in assessed sources</ns0:t>
        </ns0:is>
      </ns0:c>
      <ns0:c r="W362" s="21" t="inlineStr">
        <ns0:is>
          <ns0:t>Not reported in assessed sources</ns0:t>
        </ns0:is>
      </ns0:c>
      <ns0:c r="X362" s="21" t="inlineStr">
        <ns0:is>
          <ns0:t>Not reported in assessed sources</ns0:t>
        </ns0:is>
      </ns0:c>
      <ns0:c r="Y362" s="21" t="inlineStr">
        <ns0:is>
          <ns0:t>Reported</ns0:t>
        </ns0:is>
      </ns0:c>
      <ns0:c r="Z362" s="21" t="inlineStr">
        <ns0:is>
          <ns0:t>Not reported in assessed sources</ns0:t>
        </ns0:is>
      </ns0:c>
      <ns0:c r="AA362" s="21" t="inlineStr">
        <ns0:is>
          <ns0:t>Not recorded</ns0:t>
        </ns0:is>
      </ns0:c>
      <ns0:c r="AB362" s="28" t="n">
        <ns0:v>0</ns0:v>
      </ns0:c>
      <ns0:c r="AC362" s="28" t="n">
        <ns0:v>0</ns0:v>
      </ns0:c>
      <ns0:c r="AD362" s="29">
        <ns0:f>IF(AND(G362=1,AB362=0),1,0)</ns0:f>
        <ns0:v>1</ns0:v>
      </ns0:c>
      <ns0:c r="AE362" s="29">
        <ns0:f>IF(AND(AD362=1,AC362=0),1,0)</ns0:f>
        <ns0:v>1</ns0:v>
      </ns0:c>
      <ns0:c r="AF362" s="29">
        <ns0:f>IF(AND(G362=1,H362&lt;&gt;"Not specified"),1,0)</ns0:f>
        <ns0:v>1</ns0:v>
      </ns0:c>
      <ns0:c r="AG362" s="29">
        <ns0:f>IF(AND(AE362=1,AF362=1),1,0)</ns0:f>
        <ns0:v>1</ns0:v>
      </ns0:c>
      <ns0:c r="AH362" s="21" t="inlineStr">
        <ns0:is>
          <ns0:t>Prior source-specific extraction retained; no new full-text retrieval</ns0:t>
        </ns0:is>
      </ns0:c>
      <ns0:c r="AI362" s="21" t="inlineStr">
        <ns0:is>
          <ns0:t>https://doi.org/10.1016/j.eswa.2025.128884</ns0:t>
        </ns0:is>
      </ns0:c>
      <ns0:c r="AJ362" s="21" t="inlineStr">
        <ns0:is>
          <ns0:t>EVIDENCIA; original abstract/coding notes and lot source trace; Inherited scoped adjudication; see source level and lot caveats</ns0:t>
        </ns0:is>
      </ns0:c>
      <ns0:c r="AK362" s="21" t="inlineStr">
        <ns0:is>
          <ns0:t>Retained source-specific coding after review of the supplied extraction notes; not a new full-text retrieval. Three teachers supervised 12 children (6 ASD, 6 TD) over three months and 640 game sessions; Random Forest was best, with reported accuracy near 96%. Very small single-context sample. Data collection was prospective, but the classifier was not shown to operate as an independent deployed screening decision in routine practice.</ns0:t>
        </ns0:is>
      </ns0:c>
      <ns0:c r="AL362" s="21" t="inlineStr">
        <ns0:is>
          <ns0:t>Not applicable</ns0:t>
        </ns0:is>
      </ns0:c>
      <ns0:c r="AM362" s="21" t="inlineStr">
        <ns0:is>
          <ns0:t>Not separately specified</ns0:t>
        </ns0:is>
      </ns0:c>
      <ns0:c r="AN362" s="21" t="inlineStr"/>
      <ns0:c r="AO362" s="21" t="inlineStr">
        <ns0:is>
          <ns0:t>No additional status determination</ns0:t>
        </ns0:is>
      </ns0:c>
      <ns0:c r="AP362" s="21" t="inlineStr">
        <ns0:is>
          <ns0:t>Not documented for this recharting</ns0:t>
        </ns0:is>
      </ns0:c>
      <ns0:c r="AQ362" s="21" t="inlineStr">
        <ns0:is>
          <ns0:t>ChatGPT-assisted evidence recharting, 2026-09-08</ns0:t>
        </ns0:is>
      </ns0:c>
      <ns0:c r="AR362" s="21" t="inlineStr">
        <ns0:is>
          <ns0:t>Revisión asistida por IA (un revisor; requiere verificación independiente)</ns0:t>
        </ns0:is>
      </ns0:c>
      <ns0:c r="AS362" s="21" t="inlineStr">
        <ns0:is>
          <ns0:t>Retrieved and reviewed</ns0:t>
        </ns0:is>
      </ns0:c>
    </ns0:row>
    <ns0:row r="363" ht="50" customHeight="1">
      <ns0:c r="A363" s="19" t="inlineStr">
        <ns0:is>
          <ns0:t>new_86</ns0:t>
        </ns0:is>
      </ns0:c>
      <ns0:c r="B363" s="19" t="inlineStr">
        <ns0:is>
          <ns0:t>Update</ns0:t>
        </ns0:is>
      </ns0:c>
      <ns0:c r="C363" s="19" t="inlineStr">
        <ns0:is>
          <ns0:t>Optimized attention-enhanced U-Net for autism detection and region localization in MRI</ns0:t>
        </ns0:is>
      </ns0:c>
      <ns0:c r="D363" s="19" t="inlineStr">
        <ns0:is>
          <ns0:t>10.1016/j.pscychresns.2025.111970</ns0:t>
        </ns0:is>
      </ns0:c>
      <ns0:c r="E363" s="26" t="n">
        <ns0:v>2025</ns0:v>
      </ns0:c>
      <ns0:c r="F363" s="19" t="inlineStr">
        <ns0:is>
          <ns0:t>Include</ns0:t>
        </ns0:is>
      </ns0:c>
      <ns0:c r="G363" s="27">
        <ns0:f>IF(F363="Include",1,0)</ns0:f>
        <ns0:v>1</ns0:v>
      </ns0:c>
      <ns0:c r="H363" s="19" t="inlineStr">
        <ns0:is>
          <ns0:t>Diagnosis</ns0:t>
        </ns0:is>
      </ns0:c>
      <ns0:c r="I363" s="19" t="inlineStr">
        <ns0:is>
          <ns0:t>Deep Learning</ns0:t>
        </ns0:is>
      </ns0:c>
      <ns0:c r="J363" s="19" t="inlineStr">
        <ns0:is>
          <ns0:t>Neuroimaging</ns0:t>
        </ns0:is>
      </ns0:c>
      <ns0:c r="K363" s="19" t="inlineStr">
        <ns0:is>
          <ns0:t>RA-EBO optimized SSM-AM classifier + MDA-AUnet localization</ns0:t>
        </ns0:is>
      </ns0:c>
      <ns0:c r="L363" s="19" t="inlineStr">
        <ns0:is>
          <ns0:t>CNN</ns0:t>
        </ns0:is>
      </ns0:c>
      <ns0:c r="M363" s="19" t="inlineStr">
        <ns0:is>
          <ns0:t>Research only</ns0:t>
        </ns0:is>
      </ns0:c>
      <ns0:c r="N363" s="19" t="inlineStr">
        <ns0:is>
          <ns0:t>Automated measurement/classification</ns0:t>
        </ns0:is>
      </ns0:c>
      <ns0:c r="O363" s="19" t="inlineStr">
        <ns0:is>
          <ns0:t>Not observed in assessed sources</ns0:t>
        </ns0:is>
      </ns0:c>
      <ns0:c r="P363" s="19" t="inlineStr">
        <ns0:is>
          <ns0:t>Not observed in assessed sources</ns0:t>
        </ns0:is>
      </ns0:c>
      <ns0:c r="Q363" s="19" t="inlineStr">
        <ns0:is>
          <ns0:t>Not reported in assessed sources</ns0:t>
        </ns0:is>
      </ns0:c>
      <ns0:c r="R363" s="19" t="inlineStr">
        <ns0:is>
          <ns0:t>Not reported in assessed sources</ns0:t>
        </ns0:is>
      </ns0:c>
      <ns0:c r="S363" s="19" t="inlineStr">
        <ns0:is>
          <ns0:t>Reported</ns0:t>
        </ns0:is>
      </ns0:c>
      <ns0:c r="T363" s="19" t="inlineStr">
        <ns0:is>
          <ns0:t>Not reported in assessed sources</ns0:t>
        </ns0:is>
      </ns0:c>
      <ns0:c r="U363" s="19" t="inlineStr">
        <ns0:is>
          <ns0:t>Not reported in assessed sources</ns0:t>
        </ns0:is>
      </ns0:c>
      <ns0:c r="V363" s="19" t="inlineStr">
        <ns0:is>
          <ns0:t>Reported</ns0:t>
        </ns0:is>
      </ns0:c>
      <ns0:c r="W363" s="19" t="inlineStr">
        <ns0:is>
          <ns0:t>Not reported in assessed sources</ns0:t>
        </ns0:is>
      </ns0:c>
      <ns0:c r="X363" s="19" t="inlineStr">
        <ns0:is>
          <ns0:t>Not reported in assessed sources</ns0:t>
        </ns0:is>
      </ns0:c>
      <ns0:c r="Y363" s="19" t="inlineStr">
        <ns0:is>
          <ns0:t>Not ascertainable</ns0:t>
        </ns0:is>
      </ns0:c>
      <ns0:c r="Z363" s="19" t="inlineStr">
        <ns0:is>
          <ns0:t>Reported</ns0:t>
        </ns0:is>
      </ns0:c>
      <ns0:c r="AA363" s="19" t="inlineStr">
        <ns0:is>
          <ns0:t>Not recorded</ns0:t>
        </ns0:is>
      </ns0:c>
      <ns0:c r="AB363" s="26" t="n">
        <ns0:v>0</ns0:v>
      </ns0:c>
      <ns0:c r="AC363" s="26" t="n">
        <ns0:v>0</ns0:v>
      </ns0:c>
      <ns0:c r="AD363" s="27">
        <ns0:f>IF(AND(G363=1,AB363=0),1,0)</ns0:f>
        <ns0:v>1</ns0:v>
      </ns0:c>
      <ns0:c r="AE363" s="27">
        <ns0:f>IF(AND(AD363=1,AC363=0),1,0)</ns0:f>
        <ns0:v>1</ns0:v>
      </ns0:c>
      <ns0:c r="AF363" s="27">
        <ns0:f>IF(AND(G363=1,H363&lt;&gt;"Not specified"),1,0)</ns0:f>
        <ns0:v>1</ns0:v>
      </ns0:c>
      <ns0:c r="AG363" s="27">
        <ns0:f>IF(AND(AE363=1,AF363=1),1,0)</ns0:f>
        <ns0:v>1</ns0:v>
      </ns0:c>
      <ns0:c r="AH363" s="19" t="inlineStr">
        <ns0:is>
          <ns0:t>Prior source-specific extraction retained; no new full-text retrieval</ns0:t>
        </ns0:is>
      </ns0:c>
      <ns0:c r="AI363" s="19" t="inlineStr">
        <ns0:is>
          <ns0:t>https://doi.org/10.1016/j.pscychresns.2025.111970</ns0:t>
        </ns0:is>
      </ns0:c>
      <ns0:c r="AJ363" s="19" t="inlineStr">
        <ns0:is>
          <ns0:t>EVIDENCIA; original abstract/coding notes and lot source trace; Inherited scoped adjudication; see source level and lot caveats</ns0:t>
        </ns0:is>
      </ns0:c>
      <ns0:c r="AK363" s="19" t="inlineStr">
        <ns0:is>
          <ns0:t>Retained source-specific coding after review of the supplied extraction notes; not a new full-text retrieval. An optimized attention-enhanced MRI pipeline classifies ASD and localizes abnormal regions; reported accuracy is 97.29% on ABIDE-derived data. ABIDE provides multisite data, but no site-held-out validation was identified. Region localization was coded as partial interpretability, not formal XAI.</ns0:t>
        </ns0:is>
      </ns0:c>
      <ns0:c r="AL363" s="19" t="inlineStr">
        <ns0:is>
          <ns0:t>Not applicable</ns0:t>
        </ns0:is>
      </ns0:c>
      <ns0:c r="AM363" s="19" t="inlineStr">
        <ns0:is>
          <ns0:t>Not separately specified</ns0:t>
        </ns0:is>
      </ns0:c>
      <ns0:c r="AN363" s="19" t="inlineStr"/>
      <ns0:c r="AO363" s="19" t="inlineStr">
        <ns0:is>
          <ns0:t>No additional status determination</ns0:t>
        </ns0:is>
      </ns0:c>
      <ns0:c r="AP363" s="19" t="inlineStr">
        <ns0:is>
          <ns0:t>Not documented for this recharting</ns0:t>
        </ns0:is>
      </ns0:c>
      <ns0:c r="AQ363" s="19" t="inlineStr">
        <ns0:is>
          <ns0:t>ChatGPT-assisted evidence recharting, 2026-09-08</ns0:t>
        </ns0:is>
      </ns0:c>
      <ns0:c r="AR363" s="19" t="inlineStr">
        <ns0:is>
          <ns0:t>Revisión asistida por IA (un revisor; requiere verificación independiente)</ns0:t>
        </ns0:is>
      </ns0:c>
      <ns0:c r="AS363" s="19" t="inlineStr">
        <ns0:is>
          <ns0:t>Retrieved and reviewed</ns0:t>
        </ns0:is>
      </ns0:c>
    </ns0:row>
    <ns0:row r="364" ht="50" customHeight="1">
      <ns0:c r="A364" s="21" t="inlineStr">
        <ns0:is>
          <ns0:t>new_97</ns0:t>
        </ns0:is>
      </ns0:c>
      <ns0:c r="B364" s="21" t="inlineStr">
        <ns0:is>
          <ns0:t>Update</ns0:t>
        </ns0:is>
      </ns0:c>
      <ns0:c r="C364" s="21" t="inlineStr">
        <ns0:is>
          <ns0:t>Child-therapist acoustic synchrony and response trajectories in autism intervention: an AI-based automated analysis using dynamic systems theory and affective computing</ns0:t>
        </ns0:is>
      </ns0:c>
      <ns0:c r="D364" s="21" t="inlineStr">
        <ns0:is>
          <ns0:t>10.1016/j.etdah.2025.100176</ns0:t>
        </ns0:is>
      </ns0:c>
      <ns0:c r="E364" s="28" t="n">
        <ns0:v>2025</ns0:v>
      </ns0:c>
      <ns0:c r="F364" s="21" t="inlineStr">
        <ns0:is>
          <ns0:t>Include</ns0:t>
        </ns0:is>
      </ns0:c>
      <ns0:c r="G364" s="29">
        <ns0:f>IF(F364="Include",1,0)</ns0:f>
        <ns0:v>1</ns0:v>
      </ns0:c>
      <ns0:c r="H364" s="21" t="inlineStr">
        <ns0:is>
          <ns0:t>Monitoring/intervention</ns0:t>
        </ns0:is>
      </ns0:c>
      <ns0:c r="I364" s="21" t="inlineStr">
        <ns0:is>
          <ns0:t>Not specified</ns0:t>
        </ns0:is>
      </ns0:c>
      <ns0:c r="J364" s="21" t="inlineStr">
        <ns0:is>
          <ns0:t>Audio/voice</ns0:t>
        </ns0:is>
      </ns0:c>
      <ns0:c r="K364" s="21" t="inlineStr">
        <ns0:is>
          <ns0:t>Speech-segmentation AI; underlying family unspecified</ns0:t>
        </ns0:is>
      </ns0:c>
      <ns0:c r="L364" s="21" t="inlineStr">
        <ns0:is>
          <ns0:t>Multiple/not uniquely specified</ns0:t>
        </ns0:is>
      </ns0:c>
      <ns0:c r="M364" s="21" t="inlineStr">
        <ns0:is>
          <ns0:t>Research only</ns0:t>
        </ns0:is>
      </ns0:c>
      <ns0:c r="N364" s="21" t="inlineStr">
        <ns0:is>
          <ns0:t>Monitoring/longitudinal analysis</ns0:t>
        </ns0:is>
      </ns0:c>
      <ns0:c r="O364" s="21" t="inlineStr">
        <ns0:is>
          <ns0:t>Not observed in assessed sources</ns0:t>
        </ns0:is>
      </ns0:c>
      <ns0:c r="P364" s="21" t="inlineStr">
        <ns0:is>
          <ns0:t>Not observed in assessed sources</ns0:t>
        </ns0:is>
      </ns0:c>
      <ns0:c r="Q364" s="21" t="inlineStr">
        <ns0:is>
          <ns0:t>Not reported in assessed sources</ns0:t>
        </ns0:is>
      </ns0:c>
      <ns0:c r="R364" s="21" t="inlineStr">
        <ns0:is>
          <ns0:t>Not reported in assessed sources</ns0:t>
        </ns0:is>
      </ns0:c>
      <ns0:c r="S364" s="21" t="inlineStr">
        <ns0:is>
          <ns0:t>Not reported in assessed sources</ns0:t>
        </ns0:is>
      </ns0:c>
      <ns0:c r="T364" s="21" t="inlineStr">
        <ns0:is>
          <ns0:t>Not reported in assessed sources</ns0:t>
        </ns0:is>
      </ns0:c>
      <ns0:c r="U364" s="21" t="inlineStr">
        <ns0:is>
          <ns0:t>Not reported in assessed sources</ns0:t>
        </ns0:is>
      </ns0:c>
      <ns0:c r="V364" s="21" t="inlineStr">
        <ns0:is>
          <ns0:t>Not reported in assessed sources</ns0:t>
        </ns0:is>
      </ns0:c>
      <ns0:c r="W364" s="21" t="inlineStr">
        <ns0:is>
          <ns0:t>Not reported in assessed sources</ns0:t>
        </ns0:is>
      </ns0:c>
      <ns0:c r="X364" s="21" t="inlineStr">
        <ns0:is>
          <ns0:t>Not reported in assessed sources</ns0:t>
        </ns0:is>
      </ns0:c>
      <ns0:c r="Y364" s="21" t="inlineStr">
        <ns0:is>
          <ns0:t>Reported</ns0:t>
        </ns0:is>
      </ns0:c>
      <ns0:c r="Z364" s="21" t="inlineStr">
        <ns0:is>
          <ns0:t>Not reported in assessed sources</ns0:t>
        </ns0:is>
      </ns0:c>
      <ns0:c r="AA364" s="21" t="inlineStr">
        <ns0:is>
          <ns0:t>Not recorded</ns0:t>
        </ns0:is>
      </ns0:c>
      <ns0:c r="AB364" s="28" t="n">
        <ns0:v>0</ns0:v>
      </ns0:c>
      <ns0:c r="AC364" s="28" t="n">
        <ns0:v>0</ns0:v>
      </ns0:c>
      <ns0:c r="AD364" s="29">
        <ns0:f>IF(AND(G364=1,AB364=0),1,0)</ns0:f>
        <ns0:v>1</ns0:v>
      </ns0:c>
      <ns0:c r="AE364" s="29">
        <ns0:f>IF(AND(AD364=1,AC364=0),1,0)</ns0:f>
        <ns0:v>1</ns0:v>
      </ns0:c>
      <ns0:c r="AF364" s="29">
        <ns0:f>IF(AND(G364=1,H364&lt;&gt;"Not specified"),1,0)</ns0:f>
        <ns0:v>1</ns0:v>
      </ns0:c>
      <ns0:c r="AG364" s="29">
        <ns0:f>IF(AND(AE364=1,AF364=1),1,0)</ns0:f>
        <ns0:v>1</ns0:v>
      </ns0:c>
      <ns0:c r="AH364" s="21" t="inlineStr">
        <ns0:is>
          <ns0:t>Prior source-specific extraction retained; no new full-text retrieval</ns0:t>
        </ns0:is>
      </ns0:c>
      <ns0:c r="AI364" s="21" t="inlineStr">
        <ns0:is>
          <ns0:t>https://doi.org/10.1016/j.etdah.2025.100176</ns0:t>
        </ns0:is>
      </ns0:c>
      <ns0:c r="AJ364" s="21" t="inlineStr">
        <ns0:is>
          <ns0:t>EVIDENCIA; original abstract/coding notes and lot source trace; Inherited scoped adjudication; see source level and lot caveats</ns0:t>
        </ns0:is>
      </ns0:c>
      <ns0:c r="AK364" s="21" t="inlineStr">
        <ns0:is>
          <ns0:t>Retained source-specific coding after review of the supplied extraction notes; not a new full-text retrieval. Follows 25 autistic preschoolers over one year of NDBI; 75 intervention videos are analyzed with automatic speech segmentation and CRQA acoustic synchrony. Prospective longitudinal data support monitoring research, but the AI output was analyzed as a research measure rather than used to alter therapy decisions in real time.</ns0:t>
        </ns0:is>
      </ns0:c>
      <ns0:c r="AL364" s="21" t="inlineStr">
        <ns0:is>
          <ns0:t>Not applicable</ns0:t>
        </ns0:is>
      </ns0:c>
      <ns0:c r="AM364" s="21" t="inlineStr">
        <ns0:is>
          <ns0:t>Not separately specified</ns0:t>
        </ns0:is>
      </ns0:c>
      <ns0:c r="AN364" s="21" t="inlineStr"/>
      <ns0:c r="AO364" s="21" t="inlineStr">
        <ns0:is>
          <ns0:t>No additional status determination</ns0:t>
        </ns0:is>
      </ns0:c>
      <ns0:c r="AP364" s="21" t="inlineStr">
        <ns0:is>
          <ns0:t>Not documented for this recharting</ns0:t>
        </ns0:is>
      </ns0:c>
      <ns0:c r="AQ364" s="21" t="inlineStr">
        <ns0:is>
          <ns0:t>ChatGPT-assisted evidence recharting, 2026-09-08</ns0:t>
        </ns0:is>
      </ns0:c>
      <ns0:c r="AR364" s="21" t="inlineStr">
        <ns0:is>
          <ns0:t>Revisión asistida por IA (un revisor; requiere verificación independiente)</ns0:t>
        </ns0:is>
      </ns0:c>
      <ns0:c r="AS364" s="21" t="inlineStr">
        <ns0:is>
          <ns0:t>Retrieved and reviewed</ns0:t>
        </ns0:is>
      </ns0:c>
    </ns0:row>
    <ns0:row r="365" ht="50" customHeight="1">
      <ns0:c r="A365" s="19" t="inlineStr">
        <ns0:is>
          <ns0:t>new_103</ns0:t>
        </ns0:is>
      </ns0:c>
      <ns0:c r="B365" s="19" t="inlineStr">
        <ns0:is>
          <ns0:t>Update</ns0:t>
        </ns0:is>
      </ns0:c>
      <ns0:c r="C365" s="19" t="inlineStr">
        <ns0:is>
          <ns0:t>Early fusion for Autism classification with biomarker detection using rs-fMRI and phenotypic data</ns0:t>
        </ns0:is>
      </ns0:c>
      <ns0:c r="D365" s="19" t="inlineStr">
        <ns0:is>
          <ns0:t>10.1016/j.bspc.2025.108020</ns0:t>
        </ns0:is>
      </ns0:c>
      <ns0:c r="E365" s="26" t="n">
        <ns0:v>2025</ns0:v>
      </ns0:c>
      <ns0:c r="F365" s="19" t="inlineStr">
        <ns0:is>
          <ns0:t>Include</ns0:t>
        </ns0:is>
      </ns0:c>
      <ns0:c r="G365" s="27">
        <ns0:f>IF(F365="Include",1,0)</ns0:f>
        <ns0:v>1</ns0:v>
      </ns0:c>
      <ns0:c r="H365" s="19" t="inlineStr">
        <ns0:is>
          <ns0:t>Diagnosis</ns0:t>
        </ns0:is>
      </ns0:c>
      <ns0:c r="I365" s="19" t="inlineStr">
        <ns0:is>
          <ns0:t>Hybrid</ns0:t>
        </ns0:is>
      </ns0:c>
      <ns0:c r="J365" s="19" t="inlineStr">
        <ns0:is>
          <ns0:t>Multiple source categories</ns0:t>
        </ns0:is>
      </ns0:c>
      <ns0:c r="K365" s="19" t="inlineStr">
        <ns0:is>
          <ns0:t>Convolutional autoencoder + conventional classifiers in early-fusion pipeline</ns0:t>
        </ns0:is>
      </ns0:c>
      <ns0:c r="L365" s="19" t="inlineStr">
        <ns0:is>
          <ns0:t>Autoencoder</ns0:t>
        </ns0:is>
      </ns0:c>
      <ns0:c r="M365" s="19" t="inlineStr">
        <ns0:is>
          <ns0:t>Research only</ns0:t>
        </ns0:is>
      </ns0:c>
      <ns0:c r="N365" s="19" t="inlineStr">
        <ns0:is>
          <ns0:t>Automated measurement/classification</ns0:t>
        </ns0:is>
      </ns0:c>
      <ns0:c r="O365" s="19" t="inlineStr">
        <ns0:is>
          <ns0:t>Not observed in assessed sources</ns0:t>
        </ns0:is>
      </ns0:c>
      <ns0:c r="P365" s="19" t="inlineStr">
        <ns0:is>
          <ns0:t>Not observed in assessed sources</ns0:t>
        </ns0:is>
      </ns0:c>
      <ns0:c r="Q365" s="19" t="inlineStr">
        <ns0:is>
          <ns0:t>Reported</ns0:t>
        </ns0:is>
      </ns0:c>
      <ns0:c r="R365" s="19" t="inlineStr">
        <ns0:is>
          <ns0:t>Reported</ns0:t>
        </ns0:is>
      </ns0:c>
      <ns0:c r="S365" s="19" t="inlineStr">
        <ns0:is>
          <ns0:t>Reported</ns0:t>
        </ns0:is>
      </ns0:c>
      <ns0:c r="T365" s="19" t="inlineStr">
        <ns0:is>
          <ns0:t>Reported</ns0:t>
        </ns0:is>
      </ns0:c>
      <ns0:c r="U365" s="19" t="inlineStr">
        <ns0:is>
          <ns0:t>Reported</ns0:t>
        </ns0:is>
      </ns0:c>
      <ns0:c r="V365" s="19" t="inlineStr">
        <ns0:is>
          <ns0:t>Reported</ns0:t>
        </ns0:is>
      </ns0:c>
      <ns0:c r="W365" s="19" t="inlineStr">
        <ns0:is>
          <ns0:t>Reported</ns0:t>
        </ns0:is>
      </ns0:c>
      <ns0:c r="X365" s="19" t="inlineStr">
        <ns0:is>
          <ns0:t>Not reported in assessed sources</ns0:t>
        </ns0:is>
      </ns0:c>
      <ns0:c r="Y365" s="19" t="inlineStr">
        <ns0:is>
          <ns0:t>Not ascertainable</ns0:t>
        </ns0:is>
      </ns0:c>
      <ns0:c r="Z365" s="19" t="inlineStr">
        <ns0:is>
          <ns0:t>Not reported in assessed sources</ns0:t>
        </ns0:is>
      </ns0:c>
      <ns0:c r="AA365" s="19" t="inlineStr">
        <ns0:is>
          <ns0:t>Not recorded</ns0:t>
        </ns0:is>
      </ns0:c>
      <ns0:c r="AB365" s="26" t="n">
        <ns0:v>0</ns0:v>
      </ns0:c>
      <ns0:c r="AC365" s="26" t="n">
        <ns0:v>0</ns0:v>
      </ns0:c>
      <ns0:c r="AD365" s="27">
        <ns0:f>IF(AND(G365=1,AB365=0),1,0)</ns0:f>
        <ns0:v>1</ns0:v>
      </ns0:c>
      <ns0:c r="AE365" s="27">
        <ns0:f>IF(AND(AD365=1,AC365=0),1,0)</ns0:f>
        <ns0:v>1</ns0:v>
      </ns0:c>
      <ns0:c r="AF365" s="27">
        <ns0:f>IF(AND(G365=1,H365&lt;&gt;"Not specified"),1,0)</ns0:f>
        <ns0:v>1</ns0:v>
      </ns0:c>
      <ns0:c r="AG365" s="27">
        <ns0:f>IF(AND(AE365=1,AF365=1),1,0)</ns0:f>
        <ns0:v>1</ns0:v>
      </ns0:c>
      <ns0:c r="AH365" s="19" t="inlineStr">
        <ns0:is>
          <ns0:t>Prior source-specific extraction retained; no new full-text retrieval</ns0:t>
        </ns0:is>
      </ns0:c>
      <ns0:c r="AI365" s="19" t="inlineStr">
        <ns0:is>
          <ns0:t>https://doi.org/10.1016/j.bspc.2025.108020</ns0:t>
        </ns0:is>
      </ns0:c>
      <ns0:c r="AJ365" s="19" t="inlineStr">
        <ns0:is>
          <ns0:t>EVIDENCIA; original abstract/coding notes and lot source trace; Inherited scoped adjudication; see source level and lot caveats</ns0:t>
        </ns0:is>
      </ns0:c>
      <ns0:c r="AK365" s="19" t="inlineStr">
        <ns0:is>
          <ns0:t>Retained source-specific coding after review of the supplied extraction notes; not a new full-text retrieval. Early fusion combines rs-fMRI and phenotypic features; the study reports explainable biomarker analysis and leave-one-site-out evaluation on multisite ABIDE data. LOSO is strong evidence of site-level generalization but performance remains moderate; it is still retrospective research rather than prospective clinical deployment.</ns0:t>
        </ns0:is>
      </ns0:c>
      <ns0:c r="AL365" s="19" t="inlineStr">
        <ns0:is>
          <ns0:t>Not applicable</ns0:t>
        </ns0:is>
      </ns0:c>
      <ns0:c r="AM365" s="19" t="inlineStr">
        <ns0:is>
          <ns0:t>Not separately specified</ns0:t>
        </ns0:is>
      </ns0:c>
      <ns0:c r="AN365" s="19" t="inlineStr"/>
      <ns0:c r="AO365" s="19" t="inlineStr">
        <ns0:is>
          <ns0:t>No additional status determination</ns0:t>
        </ns0:is>
      </ns0:c>
      <ns0:c r="AP365" s="19" t="inlineStr">
        <ns0:is>
          <ns0:t>Not documented for this recharting</ns0:t>
        </ns0:is>
      </ns0:c>
      <ns0:c r="AQ365" s="19" t="inlineStr">
        <ns0:is>
          <ns0:t>ChatGPT-assisted evidence recharting, 2026-09-08</ns0:t>
        </ns0:is>
      </ns0:c>
      <ns0:c r="AR365" s="19" t="inlineStr">
        <ns0:is>
          <ns0:t>Revisión asistida por IA (un revisor; requiere verificación independiente)</ns0:t>
        </ns0:is>
      </ns0:c>
      <ns0:c r="AS365" s="19" t="inlineStr">
        <ns0:is>
          <ns0:t>Retrieved and reviewed</ns0:t>
        </ns0:is>
      </ns0:c>
    </ns0:row>
    <ns0:row r="366" ht="50" customHeight="1">
      <ns0:c r="A366" s="21" t="inlineStr">
        <ns0:is>
          <ns0:t>new_110</ns0:t>
        </ns0:is>
      </ns0:c>
      <ns0:c r="B366" s="21" t="inlineStr">
        <ns0:is>
          <ns0:t>Update</ns0:t>
        </ns0:is>
      </ns0:c>
      <ns0:c r="C366" s="21" t="inlineStr">
        <ns0:is>
          <ns0:t>A deep learning model for diagnosing autism using brain time series</ns0:t>
        </ns0:is>
      </ns0:c>
      <ns0:c r="D366" s="21" t="inlineStr">
        <ns0:is>
          <ns0:t>10.1016/j.neuroscience.2025.08.001</ns0:t>
        </ns0:is>
      </ns0:c>
      <ns0:c r="E366" s="28" t="n">
        <ns0:v>2025</ns0:v>
      </ns0:c>
      <ns0:c r="F366" s="21" t="inlineStr">
        <ns0:is>
          <ns0:t>Include</ns0:t>
        </ns0:is>
      </ns0:c>
      <ns0:c r="G366" s="29">
        <ns0:f>IF(F366="Include",1,0)</ns0:f>
        <ns0:v>1</ns0:v>
      </ns0:c>
      <ns0:c r="H366" s="21" t="inlineStr">
        <ns0:is>
          <ns0:t>Diagnosis</ns0:t>
        </ns0:is>
      </ns0:c>
      <ns0:c r="I366" s="21" t="inlineStr">
        <ns0:is>
          <ns0:t>Deep Learning</ns0:t>
        </ns0:is>
      </ns0:c>
      <ns0:c r="J366" s="21" t="inlineStr">
        <ns0:is>
          <ns0:t>Neuroimaging</ns0:t>
        </ns0:is>
      </ns0:c>
      <ns0:c r="K366" s="21" t="inlineStr">
        <ns0:is>
          <ns0:t>LSTM with attention and residual/channel-attention components</ns0:t>
        </ns0:is>
      </ns0:c>
      <ns0:c r="L366" s="21" t="inlineStr">
        <ns0:is>
          <ns0:t>Recurrent network</ns0:t>
        </ns0:is>
      </ns0:c>
      <ns0:c r="M366" s="21" t="inlineStr">
        <ns0:is>
          <ns0:t>Research only</ns0:t>
        </ns0:is>
      </ns0:c>
      <ns0:c r="N366" s="21" t="inlineStr">
        <ns0:is>
          <ns0:t>Automated measurement/classification</ns0:t>
        </ns0:is>
      </ns0:c>
      <ns0:c r="O366" s="21" t="inlineStr">
        <ns0:is>
          <ns0:t>Not observed in assessed sources</ns0:t>
        </ns0:is>
      </ns0:c>
      <ns0:c r="P366" s="21" t="inlineStr">
        <ns0:is>
          <ns0:t>Not observed in assessed sources</ns0:t>
        </ns0:is>
      </ns0:c>
      <ns0:c r="Q366" s="21" t="inlineStr">
        <ns0:is>
          <ns0:t>Not reported in assessed sources</ns0:t>
        </ns0:is>
      </ns0:c>
      <ns0:c r="R366" s="21" t="inlineStr">
        <ns0:is>
          <ns0:t>Not reported in assessed sources</ns0:t>
        </ns0:is>
      </ns0:c>
      <ns0:c r="S366" s="21" t="inlineStr">
        <ns0:is>
          <ns0:t>Not reported in assessed sources</ns0:t>
        </ns0:is>
      </ns0:c>
      <ns0:c r="T366" s="21" t="inlineStr">
        <ns0:is>
          <ns0:t>Not reported in assessed sources</ns0:t>
        </ns0:is>
      </ns0:c>
      <ns0:c r="U366" s="21" t="inlineStr">
        <ns0:is>
          <ns0:t>Not reported in assessed sources</ns0:t>
        </ns0:is>
      </ns0:c>
      <ns0:c r="V366" s="21" t="inlineStr">
        <ns0:is>
          <ns0:t>Reported</ns0:t>
        </ns0:is>
      </ns0:c>
      <ns0:c r="W366" s="21" t="inlineStr">
        <ns0:is>
          <ns0:t>Not reported in assessed sources</ns0:t>
        </ns0:is>
      </ns0:c>
      <ns0:c r="X366" s="21" t="inlineStr">
        <ns0:is>
          <ns0:t>Not reported in assessed sources</ns0:t>
        </ns0:is>
      </ns0:c>
      <ns0:c r="Y366" s="21" t="inlineStr">
        <ns0:is>
          <ns0:t>Not ascertainable</ns0:t>
        </ns0:is>
      </ns0:c>
      <ns0:c r="Z366" s="21" t="inlineStr">
        <ns0:is>
          <ns0:t>Not reported in assessed sources</ns0:t>
        </ns0:is>
      </ns0:c>
      <ns0:c r="AA366" s="21" t="inlineStr">
        <ns0:is>
          <ns0:t>Not recorded</ns0:t>
        </ns0:is>
      </ns0:c>
      <ns0:c r="AB366" s="28" t="n">
        <ns0:v>0</ns0:v>
      </ns0:c>
      <ns0:c r="AC366" s="28" t="n">
        <ns0:v>0</ns0:v>
      </ns0:c>
      <ns0:c r="AD366" s="29">
        <ns0:f>IF(AND(G366=1,AB366=0),1,0)</ns0:f>
        <ns0:v>1</ns0:v>
      </ns0:c>
      <ns0:c r="AE366" s="29">
        <ns0:f>IF(AND(AD366=1,AC366=0),1,0)</ns0:f>
        <ns0:v>1</ns0:v>
      </ns0:c>
      <ns0:c r="AF366" s="29">
        <ns0:f>IF(AND(G366=1,H366&lt;&gt;"Not specified"),1,0)</ns0:f>
        <ns0:v>1</ns0:v>
      </ns0:c>
      <ns0:c r="AG366" s="29">
        <ns0:f>IF(AND(AE366=1,AF366=1),1,0)</ns0:f>
        <ns0:v>1</ns0:v>
      </ns0:c>
      <ns0:c r="AH366" s="21" t="inlineStr">
        <ns0:is>
          <ns0:t>Prior source-specific extraction retained; no new full-text retrieval</ns0:t>
        </ns0:is>
      </ns0:c>
      <ns0:c r="AI366" s="21" t="inlineStr">
        <ns0:is>
          <ns0:t>https://doi.org/10.1016/j.neuroscience.2025.08.001</ns0:t>
        </ns0:is>
      </ns0:c>
      <ns0:c r="AJ366" s="21" t="inlineStr">
        <ns0:is>
          <ns0:t>EVIDENCIA; original abstract/coding notes and lot source trace; Inherited scoped adjudication; see source level and lot caveats</ns0:t>
        </ns0:is>
      </ns0:c>
      <ns0:c r="AK366" s="21" t="inlineStr">
        <ns0:is>
          <ns0:t>Retained source-specific coding after review of the supplied extraction notes; not a new full-text retrieval. Uses ABIDE brain time series with an LSTM-attention architecture; evaluation uses an internal subject split and cross-validation, with no separate external test set. ABIDE is multisite, but the recovered evaluation is not site-held-out. Architectural attention was not counted as XAI without explicit explanation analysis.</ns0:t>
        </ns0:is>
      </ns0:c>
      <ns0:c r="AL366" s="21" t="inlineStr">
        <ns0:is>
          <ns0:t>Not applicable</ns0:t>
        </ns0:is>
      </ns0:c>
      <ns0:c r="AM366" s="21" t="inlineStr">
        <ns0:is>
          <ns0:t>Not separately specified</ns0:t>
        </ns0:is>
      </ns0:c>
      <ns0:c r="AN366" s="21" t="inlineStr"/>
      <ns0:c r="AO366" s="21" t="inlineStr">
        <ns0:is>
          <ns0:t>No additional status determination</ns0:t>
        </ns0:is>
      </ns0:c>
      <ns0:c r="AP366" s="21" t="inlineStr">
        <ns0:is>
          <ns0:t>Not documented for this recharting</ns0:t>
        </ns0:is>
      </ns0:c>
      <ns0:c r="AQ366" s="21" t="inlineStr">
        <ns0:is>
          <ns0:t>ChatGPT-assisted evidence recharting, 2026-09-08</ns0:t>
        </ns0:is>
      </ns0:c>
      <ns0:c r="AR366" s="21" t="inlineStr">
        <ns0:is>
          <ns0:t>Revisión asistida por IA (un revisor; requiere verificación independiente)</ns0:t>
        </ns0:is>
      </ns0:c>
      <ns0:c r="AS366" s="21" t="inlineStr">
        <ns0:is>
          <ns0:t>Retrieved and reviewed</ns0:t>
        </ns0:is>
      </ns0:c>
    </ns0:row>
    <ns0:row r="367" ht="50" customHeight="1">
      <ns0:c r="A367" s="19" t="inlineStr">
        <ns0:is>
          <ns0:t>new_118</ns0:t>
        </ns0:is>
      </ns0:c>
      <ns0:c r="B367" s="19" t="inlineStr">
        <ns0:is>
          <ns0:t>Update</ns0:t>
        </ns0:is>
      </ns0:c>
      <ns0:c r="C367" s="19" t="inlineStr">
        <ns0:is>
          <ns0:t>Massively parallel characterization of non-coding de novo mutations in autism spectrum disorder</ns0:t>
        </ns0:is>
      </ns0:c>
      <ns0:c r="D367" s="19" t="inlineStr">
        <ns0:is>
          <ns0:t>10.1016/j.jgg.2025.07.008</ns0:t>
        </ns0:is>
      </ns0:c>
      <ns0:c r="E367" s="26" t="n">
        <ns0:v>2025</ns0:v>
      </ns0:c>
      <ns0:c r="F367" s="19" t="inlineStr">
        <ns0:is>
          <ns0:t>Include</ns0:t>
        </ns0:is>
      </ns0:c>
      <ns0:c r="G367" s="27">
        <ns0:f>IF(F367="Include",1,0)</ns0:f>
        <ns0:v>1</ns0:v>
      </ns0:c>
      <ns0:c r="H367" s="19" t="inlineStr">
        <ns0:is>
          <ns0:t>Not specified</ns0:t>
        </ns0:is>
      </ns0:c>
      <ns0:c r="I367" s="19" t="inlineStr">
        <ns0:is>
          <ns0:t>Deep Learning</ns0:t>
        </ns0:is>
      </ns0:c>
      <ns0:c r="J367" s="19" t="inlineStr">
        <ns0:is>
          <ns0:t>Biological/omics</ns0:t>
        </ns0:is>
      </ns0:c>
      <ns0:c r="K367" s="19" t="inlineStr">
        <ns0:is>
          <ns0:t>Cell-specific deep-learning variant-effect prediction model</ns0:t>
        </ns0:is>
      </ns0:c>
      <ns0:c r="L367" s="19" t="inlineStr">
        <ns0:is>
          <ns0:t>Other specified method</ns0:t>
        </ns0:is>
      </ns0:c>
      <ns0:c r="M367" s="19" t="inlineStr">
        <ns0:is>
          <ns0:t>Research only</ns0:t>
        </ns0:is>
      </ns0:c>
      <ns0:c r="N367" s="19" t="inlineStr">
        <ns0:is>
          <ns0:t>Research characterization</ns0:t>
        </ns0:is>
      </ns0:c>
      <ns0:c r="O367" s="19" t="inlineStr">
        <ns0:is>
          <ns0:t>Not observed in assessed sources</ns0:t>
        </ns0:is>
      </ns0:c>
      <ns0:c r="P367" s="19" t="inlineStr">
        <ns0:is>
          <ns0:t>Not observed in assessed sources</ns0:t>
        </ns0:is>
      </ns0:c>
      <ns0:c r="Q367" s="19" t="inlineStr">
        <ns0:is>
          <ns0:t>Not reported in assessed sources</ns0:t>
        </ns0:is>
      </ns0:c>
      <ns0:c r="R367" s="19" t="inlineStr">
        <ns0:is>
          <ns0:t>Not reported in assessed sources</ns0:t>
        </ns0:is>
      </ns0:c>
      <ns0:c r="S367" s="19" t="inlineStr">
        <ns0:is>
          <ns0:t>Not reported in assessed sources</ns0:t>
        </ns0:is>
      </ns0:c>
      <ns0:c r="T367" s="19" t="inlineStr">
        <ns0:is>
          <ns0:t>Not reported in assessed sources</ns0:t>
        </ns0:is>
      </ns0:c>
      <ns0:c r="U367" s="19" t="inlineStr">
        <ns0:is>
          <ns0:t>Not reported in assessed sources</ns0:t>
        </ns0:is>
      </ns0:c>
      <ns0:c r="V367" s="19" t="inlineStr">
        <ns0:is>
          <ns0:t>Not reported in assessed sources</ns0:t>
        </ns0:is>
      </ns0:c>
      <ns0:c r="W367" s="19" t="inlineStr">
        <ns0:is>
          <ns0:t>Not reported in assessed sources</ns0:t>
        </ns0:is>
      </ns0:c>
      <ns0:c r="X367" s="19" t="inlineStr">
        <ns0:is>
          <ns0:t>Not reported in assessed sources</ns0:t>
        </ns0:is>
      </ns0:c>
      <ns0:c r="Y367" s="19" t="inlineStr">
        <ns0:is>
          <ns0:t>Not ascertainable</ns0:t>
        </ns0:is>
      </ns0:c>
      <ns0:c r="Z367" s="19" t="inlineStr">
        <ns0:is>
          <ns0:t>Not reported in assessed sources</ns0:t>
        </ns0:is>
      </ns0:c>
      <ns0:c r="AA367" s="19" t="inlineStr">
        <ns0:is>
          <ns0:t>Not recorded</ns0:t>
        </ns0:is>
      </ns0:c>
      <ns0:c r="AB367" s="26" t="n">
        <ns0:v>0</ns0:v>
      </ns0:c>
      <ns0:c r="AC367" s="26" t="n">
        <ns0:v>0</ns0:v>
      </ns0:c>
      <ns0:c r="AD367" s="27">
        <ns0:f>IF(AND(G367=1,AB367=0),1,0)</ns0:f>
        <ns0:v>1</ns0:v>
      </ns0:c>
      <ns0:c r="AE367" s="27">
        <ns0:f>IF(AND(AD367=1,AC367=0),1,0)</ns0:f>
        <ns0:v>1</ns0:v>
      </ns0:c>
      <ns0:c r="AF367" s="27">
        <ns0:f>IF(AND(G367=1,H367&lt;&gt;"Not specified"),1,0)</ns0:f>
        <ns0:v>0</ns0:v>
      </ns0:c>
      <ns0:c r="AG367" s="27">
        <ns0:f>IF(AND(AE367=1,AF367=1),1,0)</ns0:f>
        <ns0:v>0</ns0:v>
      </ns0:c>
      <ns0:c r="AH367" s="19" t="inlineStr">
        <ns0:is>
          <ns0:t>Prior source-specific extraction retained; no new full-text retrieval</ns0:t>
        </ns0:is>
      </ns0:c>
      <ns0:c r="AI367" s="19" t="inlineStr">
        <ns0:is>
          <ns0:t>https://doi.org/10.1016/j.jgg.2025.07.008</ns0:t>
        </ns0:is>
      </ns0:c>
      <ns0:c r="AJ367" s="19" t="inlineStr">
        <ns0:is>
          <ns0:t>EVIDENCIA; original abstract/coding notes and lot source trace; Inherited scoped adjudication; see source level and lot caveats</ns0:t>
        </ns0:is>
      </ns0:c>
      <ns0:c r="AK367" s="19" t="inlineStr">
        <ns0:is>
          <ns0:t>Retained source-specific coding after review of the supplied extraction notes; not a new full-text retrieval. Analyzes ncDNMs from SSC and MSSNG using a cell-specific variant-effect model and MPRA follow-up, prioritizing ASD-risk regulatory mutations. This is mechanistic genomic research rather than a clinical-stage decision tool. Multiple cohorts/assays were not coded as formal multisource model fusion or cross-site validation.</ns0:t>
        </ns0:is>
      </ns0:c>
      <ns0:c r="AL367" s="19" t="inlineStr">
        <ns0:is>
          <ns0:t>Not applicable</ns0:t>
        </ns0:is>
      </ns0:c>
      <ns0:c r="AM367" s="19" t="inlineStr">
        <ns0:is>
          <ns0:t>Not separately specified</ns0:t>
        </ns0:is>
      </ns0:c>
      <ns0:c r="AN367" s="19" t="inlineStr"/>
      <ns0:c r="AO367" s="19" t="inlineStr">
        <ns0:is>
          <ns0:t>No additional status determination</ns0:t>
        </ns0:is>
      </ns0:c>
      <ns0:c r="AP367" s="19" t="inlineStr">
        <ns0:is>
          <ns0:t>Not documented for this recharting</ns0:t>
        </ns0:is>
      </ns0:c>
      <ns0:c r="AQ367" s="19" t="inlineStr">
        <ns0:is>
          <ns0:t>ChatGPT-assisted evidence recharting, 2026-09-08</ns0:t>
        </ns0:is>
      </ns0:c>
      <ns0:c r="AR367" s="19" t="inlineStr">
        <ns0:is>
          <ns0:t>Revisión asistida por IA (un revisor; requiere verificación independiente)</ns0:t>
        </ns0:is>
      </ns0:c>
      <ns0:c r="AS367" s="19" t="inlineStr">
        <ns0:is>
          <ns0:t>Retrieved and reviewed</ns0:t>
        </ns0:is>
      </ns0:c>
    </ns0:row>
    <ns0:row r="368" ht="50" customHeight="1">
      <ns0:c r="A368" s="21" t="inlineStr">
        <ns0:is>
          <ns0:t>new_122</ns0:t>
        </ns0:is>
      </ns0:c>
      <ns0:c r="B368" s="21" t="inlineStr">
        <ns0:is>
          <ns0:t>Update</ns0:t>
        </ns0:is>
      </ns0:c>
      <ns0:c r="C368" s="21" t="inlineStr">
        <ns0:is>
          <ns0:t>A novel hybrid deep learning model using MEResNextfor autism spectrum disorder detection</ns0:t>
        </ns0:is>
      </ns0:c>
      <ns0:c r="D368" s="21" t="inlineStr">
        <ns0:is>
          <ns0:t>10.1016/j.compbiolchem.2025.108619</ns0:t>
        </ns0:is>
      </ns0:c>
      <ns0:c r="E368" s="28" t="n">
        <ns0:v>2026</ns0:v>
      </ns0:c>
      <ns0:c r="F368" s="21" t="inlineStr">
        <ns0:is>
          <ns0:t>Include</ns0:t>
        </ns0:is>
      </ns0:c>
      <ns0:c r="G368" s="29">
        <ns0:f>IF(F368="Include",1,0)</ns0:f>
        <ns0:v>1</ns0:v>
      </ns0:c>
      <ns0:c r="H368" s="21" t="inlineStr">
        <ns0:is>
          <ns0:t>Screening</ns0:t>
        </ns0:is>
      </ns0:c>
      <ns0:c r="I368" s="21" t="inlineStr">
        <ns0:is>
          <ns0:t>Deep Learning</ns0:t>
        </ns0:is>
      </ns0:c>
      <ns0:c r="J368" s="21" t="inlineStr">
        <ns0:is>
          <ns0:t>Structured clinical/questionnaire data</ns0:t>
        </ns0:is>
      </ns0:c>
      <ns0:c r="K368" s="21" t="inlineStr">
        <ns0:is>
          <ns0:t>MEResNeXt (MoNet + ResNeXt) with DeSEHO feature selection</ns0:t>
        </ns0:is>
      </ns0:c>
      <ns0:c r="L368" s="21" t="inlineStr">
        <ns0:is>
          <ns0:t>Other specified method</ns0:t>
        </ns0:is>
      </ns0:c>
      <ns0:c r="M368" s="21" t="inlineStr">
        <ns0:is>
          <ns0:t>Research only</ns0:t>
        </ns0:is>
      </ns0:c>
      <ns0:c r="N368" s="21" t="inlineStr">
        <ns0:is>
          <ns0:t>Triage/questionnaire assessment</ns0:t>
        </ns0:is>
      </ns0:c>
      <ns0:c r="O368" s="21" t="inlineStr">
        <ns0:is>
          <ns0:t>Not observed in assessed sources</ns0:t>
        </ns0:is>
      </ns0:c>
      <ns0:c r="P368" s="21" t="inlineStr">
        <ns0:is>
          <ns0:t>Not observed in assessed sources</ns0:t>
        </ns0:is>
      </ns0:c>
      <ns0:c r="Q368" s="21" t="inlineStr">
        <ns0:is>
          <ns0:t>Not reported in assessed sources</ns0:t>
        </ns0:is>
      </ns0:c>
      <ns0:c r="R368" s="21" t="inlineStr">
        <ns0:is>
          <ns0:t>Not reported in assessed sources</ns0:t>
        </ns0:is>
      </ns0:c>
      <ns0:c r="S368" s="21" t="inlineStr">
        <ns0:is>
          <ns0:t>Not reported in assessed sources</ns0:t>
        </ns0:is>
      </ns0:c>
      <ns0:c r="T368" s="21" t="inlineStr">
        <ns0:is>
          <ns0:t>Not reported in assessed sources</ns0:t>
        </ns0:is>
      </ns0:c>
      <ns0:c r="U368" s="21" t="inlineStr">
        <ns0:is>
          <ns0:t>Not reported in assessed sources</ns0:t>
        </ns0:is>
      </ns0:c>
      <ns0:c r="V368" s="21" t="inlineStr">
        <ns0:is>
          <ns0:t>Not reported in assessed sources</ns0:t>
        </ns0:is>
      </ns0:c>
      <ns0:c r="W368" s="21" t="inlineStr">
        <ns0:is>
          <ns0:t>Not reported in assessed sources</ns0:t>
        </ns0:is>
      </ns0:c>
      <ns0:c r="X368" s="21" t="inlineStr">
        <ns0:is>
          <ns0:t>Not reported in assessed sources</ns0:t>
        </ns0:is>
      </ns0:c>
      <ns0:c r="Y368" s="21" t="inlineStr">
        <ns0:is>
          <ns0:t>Not ascertainable</ns0:t>
        </ns0:is>
      </ns0:c>
      <ns0:c r="Z368" s="21" t="inlineStr">
        <ns0:is>
          <ns0:t>Not reported in assessed sources</ns0:t>
        </ns0:is>
      </ns0:c>
      <ns0:c r="AA368" s="21" t="inlineStr">
        <ns0:is>
          <ns0:t>Not recorded</ns0:t>
        </ns0:is>
      </ns0:c>
      <ns0:c r="AB368" s="28" t="n">
        <ns0:v>0</ns0:v>
      </ns0:c>
      <ns0:c r="AC368" s="28" t="n">
        <ns0:v>0</ns0:v>
      </ns0:c>
      <ns0:c r="AD368" s="29">
        <ns0:f>IF(AND(G368=1,AB368=0),1,0)</ns0:f>
        <ns0:v>1</ns0:v>
      </ns0:c>
      <ns0:c r="AE368" s="29">
        <ns0:f>IF(AND(AD368=1,AC368=0),1,0)</ns0:f>
        <ns0:v>1</ns0:v>
      </ns0:c>
      <ns0:c r="AF368" s="29">
        <ns0:f>IF(AND(G368=1,H368&lt;&gt;"Not specified"),1,0)</ns0:f>
        <ns0:v>1</ns0:v>
      </ns0:c>
      <ns0:c r="AG368" s="29">
        <ns0:f>IF(AND(AE368=1,AF368=1),1,0)</ns0:f>
        <ns0:v>1</ns0:v>
      </ns0:c>
      <ns0:c r="AH368" s="21" t="inlineStr">
        <ns0:is>
          <ns0:t>Prior source-specific extraction retained; no new full-text retrieval</ns0:t>
        </ns0:is>
      </ns0:c>
      <ns0:c r="AI368" s="21" t="inlineStr">
        <ns0:is>
          <ns0:t>https://doi.org/10.1016/j.compbiolchem.2025.108619</ns0:t>
        </ns0:is>
      </ns0:c>
      <ns0:c r="AJ368" s="21" t="inlineStr">
        <ns0:is>
          <ns0:t>EVIDENCIA; original abstract/coding notes and lot source trace; Inherited scoped adjudication; see source level and lot caveats</ns0:t>
        </ns0:is>
      </ns0:c>
      <ns0:c r="AK368" s="21" t="inlineStr">
        <ns0:is>
          <ns0:t>Retained source-specific coding after review of the supplied extraction notes; not a new full-text retrieval. Proposes MEResNeXt with feature selection for ASD detection on a structured toddler screening dataset and reports high classification performance. No independent external cohort, prospective workflow, cross-site test or formal XAI was identified in the recovered article text.
All-neural/optimization pipeline in recovered evidence; hybrid title is not sufficient for mixed conventional-ML/DL classification.</ns0:t>
        </ns0:is>
      </ns0:c>
      <ns0:c r="AL368" s="21" t="inlineStr">
        <ns0:is>
          <ns0:t>Not applicable</ns0:t>
        </ns0:is>
      </ns0:c>
      <ns0:c r="AM368" s="21" t="inlineStr">
        <ns0:is>
          <ns0:t>Not separately specified</ns0:t>
        </ns0:is>
      </ns0:c>
      <ns0:c r="AN368" s="21" t="inlineStr"/>
      <ns0:c r="AO368" s="21" t="inlineStr">
        <ns0:is>
          <ns0:t>No additional status determination</ns0:t>
        </ns0:is>
      </ns0:c>
      <ns0:c r="AP368" s="21" t="inlineStr">
        <ns0:is>
          <ns0:t>Not documented for this recharting</ns0:t>
        </ns0:is>
      </ns0:c>
      <ns0:c r="AQ368" s="21" t="inlineStr">
        <ns0:is>
          <ns0:t>ChatGPT-assisted evidence recharting, 2026-09-08</ns0:t>
        </ns0:is>
      </ns0:c>
      <ns0:c r="AR368" s="21" t="inlineStr">
        <ns0:is>
          <ns0:t>Revisión asistida por IA (un revisor; requiere verificación independiente)</ns0:t>
        </ns0:is>
      </ns0:c>
      <ns0:c r="AS368" s="21" t="inlineStr">
        <ns0:is>
          <ns0:t>Retrieved and reviewed</ns0:t>
        </ns0:is>
      </ns0:c>
    </ns0:row>
    <ns0:row r="369" ht="50" customHeight="1">
      <ns0:c r="A369" s="19" t="inlineStr">
        <ns0:is>
          <ns0:t>new_123</ns0:t>
        </ns0:is>
      </ns0:c>
      <ns0:c r="B369" s="19" t="inlineStr">
        <ns0:is>
          <ns0:t>Update</ns0:t>
        </ns0:is>
      </ns0:c>
      <ns0:c r="C369" s="19" t="inlineStr">
        <ns0:is>
          <ns0:t>FaithfulNet: An explainable deep learning framework for autism diagnosis using structural MRI</ns0:t>
        </ns0:is>
      </ns0:c>
      <ns0:c r="D369" s="19" t="inlineStr">
        <ns0:is>
          <ns0:t>10.1016/j.brainres.2025.149904</ns0:t>
        </ns0:is>
      </ns0:c>
      <ns0:c r="E369" s="26" t="n">
        <ns0:v>2025</ns0:v>
      </ns0:c>
      <ns0:c r="F369" s="19" t="inlineStr">
        <ns0:is>
          <ns0:t>Include</ns0:t>
        </ns0:is>
      </ns0:c>
      <ns0:c r="G369" s="27">
        <ns0:f>IF(F369="Include",1,0)</ns0:f>
        <ns0:v>1</ns0:v>
      </ns0:c>
      <ns0:c r="H369" s="19" t="inlineStr">
        <ns0:is>
          <ns0:t>Diagnosis</ns0:t>
        </ns0:is>
      </ns0:c>
      <ns0:c r="I369" s="19" t="inlineStr">
        <ns0:is>
          <ns0:t>Deep Learning</ns0:t>
        </ns0:is>
      </ns0:c>
      <ns0:c r="J369" s="19" t="inlineStr">
        <ns0:is>
          <ns0:t>Neuroimaging</ns0:t>
        </ns0:is>
      </ns0:c>
      <ns0:c r="K369" s="19" t="inlineStr">
        <ns0:is>
          <ns0:t>FaithfulNet 3D CNN + Faith_CAM (Grad-CAM + SHAP)</ns0:t>
        </ns0:is>
      </ns0:c>
      <ns0:c r="L369" s="19" t="inlineStr">
        <ns0:is>
          <ns0:t>CNN</ns0:t>
        </ns0:is>
      </ns0:c>
      <ns0:c r="M369" s="19" t="inlineStr">
        <ns0:is>
          <ns0:t>Research only</ns0:t>
        </ns0:is>
      </ns0:c>
      <ns0:c r="N369" s="19" t="inlineStr">
        <ns0:is>
          <ns0:t>Automated measurement/classification</ns0:t>
        </ns0:is>
      </ns0:c>
      <ns0:c r="O369" s="19" t="inlineStr">
        <ns0:is>
          <ns0:t>Not observed in assessed sources</ns0:t>
        </ns0:is>
      </ns0:c>
      <ns0:c r="P369" s="19" t="inlineStr">
        <ns0:is>
          <ns0:t>Not observed in assessed sources</ns0:t>
        </ns0:is>
      </ns0:c>
      <ns0:c r="Q369" s="19" t="inlineStr">
        <ns0:is>
          <ns0:t>Not reported in assessed sources</ns0:t>
        </ns0:is>
      </ns0:c>
      <ns0:c r="R369" s="19" t="inlineStr">
        <ns0:is>
          <ns0:t>Not reported in assessed sources</ns0:t>
        </ns0:is>
      </ns0:c>
      <ns0:c r="S369" s="19" t="inlineStr">
        <ns0:is>
          <ns0:t>Reported</ns0:t>
        </ns0:is>
      </ns0:c>
      <ns0:c r="T369" s="19" t="inlineStr">
        <ns0:is>
          <ns0:t>Reported</ns0:t>
        </ns0:is>
      </ns0:c>
      <ns0:c r="U369" s="19" t="inlineStr">
        <ns0:is>
          <ns0:t>Not reported in assessed sources</ns0:t>
        </ns0:is>
      </ns0:c>
      <ns0:c r="V369" s="19" t="inlineStr">
        <ns0:is>
          <ns0:t>Reported</ns0:t>
        </ns0:is>
      </ns0:c>
      <ns0:c r="W369" s="19" t="inlineStr">
        <ns0:is>
          <ns0:t>Not reported in assessed sources</ns0:t>
        </ns0:is>
      </ns0:c>
      <ns0:c r="X369" s="19" t="inlineStr">
        <ns0:is>
          <ns0:t>Not reported in assessed sources</ns0:t>
        </ns0:is>
      </ns0:c>
      <ns0:c r="Y369" s="19" t="inlineStr">
        <ns0:is>
          <ns0:t>Not ascertainable</ns0:t>
        </ns0:is>
      </ns0:c>
      <ns0:c r="Z369" s="19" t="inlineStr">
        <ns0:is>
          <ns0:t>Not reported in assessed sources</ns0:t>
        </ns0:is>
      </ns0:c>
      <ns0:c r="AA369" s="19" t="inlineStr">
        <ns0:is>
          <ns0:t>Not recorded</ns0:t>
        </ns0:is>
      </ns0:c>
      <ns0:c r="AB369" s="26" t="n">
        <ns0:v>0</ns0:v>
      </ns0:c>
      <ns0:c r="AC369" s="26" t="n">
        <ns0:v>0</ns0:v>
      </ns0:c>
      <ns0:c r="AD369" s="27">
        <ns0:f>IF(AND(G369=1,AB369=0),1,0)</ns0:f>
        <ns0:v>1</ns0:v>
      </ns0:c>
      <ns0:c r="AE369" s="27">
        <ns0:f>IF(AND(AD369=1,AC369=0),1,0)</ns0:f>
        <ns0:v>1</ns0:v>
      </ns0:c>
      <ns0:c r="AF369" s="27">
        <ns0:f>IF(AND(G369=1,H369&lt;&gt;"Not specified"),1,0)</ns0:f>
        <ns0:v>1</ns0:v>
      </ns0:c>
      <ns0:c r="AG369" s="27">
        <ns0:f>IF(AND(AE369=1,AF369=1),1,0)</ns0:f>
        <ns0:v>1</ns0:v>
      </ns0:c>
      <ns0:c r="AH369" s="19" t="inlineStr">
        <ns0:is>
          <ns0:t>Prior source-specific extraction retained; no new full-text retrieval</ns0:t>
        </ns0:is>
      </ns0:c>
      <ns0:c r="AI369" s="19" t="inlineStr">
        <ns0:is>
          <ns0:t>https://doi.org/10.1016/j.brainres.2025.149904</ns0:t>
        </ns0:is>
      </ns0:c>
      <ns0:c r="AJ369" s="19" t="inlineStr">
        <ns0:is>
          <ns0:t>EVIDENCIA; original abstract/coding notes and lot source trace; Inherited scoped adjudication; see source level and lot caveats</ns0:t>
        </ns0:is>
      </ns0:c>
      <ns0:c r="AK369" s="19" t="inlineStr">
        <ns0:is>
          <ns0:t>Retained source-specific coding after review of the supplied extraction notes; not a new full-text retrieval. FaithfulNet classifies ABIDE-II sMRI and Faith_CAM combines Grad-CAM with SHAP for explanation/region localization; very high internal performance is reported. ABIDE-II is multisite, but no site-held-out or independent external validation was identified. Very high performance warrants leakage/partition review during human verification.</ns0:t>
        </ns0:is>
      </ns0:c>
      <ns0:c r="AL369" s="19" t="inlineStr">
        <ns0:is>
          <ns0:t>Not applicable</ns0:t>
        </ns0:is>
      </ns0:c>
      <ns0:c r="AM369" s="19" t="inlineStr">
        <ns0:is>
          <ns0:t>Not separately specified</ns0:t>
        </ns0:is>
      </ns0:c>
      <ns0:c r="AN369" s="19" t="inlineStr"/>
      <ns0:c r="AO369" s="19" t="inlineStr">
        <ns0:is>
          <ns0:t>No additional status determination</ns0:t>
        </ns0:is>
      </ns0:c>
      <ns0:c r="AP369" s="19" t="inlineStr">
        <ns0:is>
          <ns0:t>Not documented for this recharting</ns0:t>
        </ns0:is>
      </ns0:c>
      <ns0:c r="AQ369" s="19" t="inlineStr">
        <ns0:is>
          <ns0:t>ChatGPT-assisted evidence recharting, 2026-09-08</ns0:t>
        </ns0:is>
      </ns0:c>
      <ns0:c r="AR369" s="19" t="inlineStr">
        <ns0:is>
          <ns0:t>Revisión asistida por IA (un revisor; requiere verificación independiente)</ns0:t>
        </ns0:is>
      </ns0:c>
      <ns0:c r="AS369" s="19" t="inlineStr">
        <ns0:is>
          <ns0:t>Retrieved and reviewed</ns0:t>
        </ns0:is>
      </ns0:c>
    </ns0:row>
    <ns0:row r="370" ht="50" customHeight="1">
      <ns0:c r="A370" s="21" t="inlineStr">
        <ns0:is>
          <ns0:t>new_126</ns0:t>
        </ns0:is>
      </ns0:c>
      <ns0:c r="B370" s="21" t="inlineStr">
        <ns0:is>
          <ns0:t>Update</ns0:t>
        </ns0:is>
      </ns0:c>
      <ns0:c r="C370" s="21" t="inlineStr">
        <ns0:is>
          <ns0:t>CARE: Comprehensive Artificial Intelligence Techniques for Reliable Autism Evaluation in Pediatric Care</ns0:t>
        </ns0:is>
      </ns0:c>
      <ns0:c r="D370" s="21" t="inlineStr">
        <ns0:is>
          <ns0:t>10.32604/cmc.2025.067784</ns0:t>
        </ns0:is>
      </ns0:c>
      <ns0:c r="E370" s="28" t="n">
        <ns0:v>2025</ns0:v>
      </ns0:c>
      <ns0:c r="F370" s="21" t="inlineStr">
        <ns0:is>
          <ns0:t>Include</ns0:t>
        </ns0:is>
      </ns0:c>
      <ns0:c r="G370" s="29">
        <ns0:f>IF(F370="Include",1,0)</ns0:f>
        <ns0:v>1</ns0:v>
      </ns0:c>
      <ns0:c r="H370" s="21" t="inlineStr">
        <ns0:is>
          <ns0:t>Screening</ns0:t>
        </ns0:is>
      </ns0:c>
      <ns0:c r="I370" s="21" t="inlineStr">
        <ns0:is>
          <ns0:t>Machine Learning</ns0:t>
        </ns0:is>
      </ns0:c>
      <ns0:c r="J370" s="21" t="inlineStr">
        <ns0:is>
          <ns0:t>Structured clinical/questionnaire data</ns0:t>
        </ns0:is>
      </ns0:c>
      <ns0:c r="K370" s="21" t="inlineStr">
        <ns0:is>
          <ns0:t>CatBoost + PyCaret AutoML + SHAP</ns0:t>
        </ns0:is>
      </ns0:c>
      <ns0:c r="L370" s="21" t="inlineStr">
        <ns0:is>
          <ns0:t>Gradient boosting</ns0:t>
        </ns0:is>
      </ns0:c>
      <ns0:c r="M370" s="21" t="inlineStr">
        <ns0:is>
          <ns0:t>Proposed only</ns0:t>
        </ns0:is>
      </ns0:c>
      <ns0:c r="N370" s="21" t="inlineStr">
        <ns0:is>
          <ns0:t>Triage/questionnaire assessment</ns0:t>
        </ns0:is>
      </ns0:c>
      <ns0:c r="O370" s="21" t="inlineStr">
        <ns0:is>
          <ns0:t>Pre-decision</ns0:t>
        </ns0:is>
      </ns0:c>
      <ns0:c r="P370" s="21" t="inlineStr">
        <ns0:is>
          <ns0:t>Not observed in assessed sources</ns0:t>
        </ns0:is>
      </ns0:c>
      <ns0:c r="Q370" s="21" t="inlineStr">
        <ns0:is>
          <ns0:t>Not reported in assessed sources</ns0:t>
        </ns0:is>
      </ns0:c>
      <ns0:c r="R370" s="21" t="inlineStr">
        <ns0:is>
          <ns0:t>Not reported in assessed sources</ns0:t>
        </ns0:is>
      </ns0:c>
      <ns0:c r="S370" s="21" t="inlineStr">
        <ns0:is>
          <ns0:t>Reported</ns0:t>
        </ns0:is>
      </ns0:c>
      <ns0:c r="T370" s="21" t="inlineStr">
        <ns0:is>
          <ns0:t>Reported</ns0:t>
        </ns0:is>
      </ns0:c>
      <ns0:c r="U370" s="21" t="inlineStr">
        <ns0:is>
          <ns0:t>Not reported in assessed sources</ns0:t>
        </ns0:is>
      </ns0:c>
      <ns0:c r="V370" s="21" t="inlineStr">
        <ns0:is>
          <ns0:t>Not reported in assessed sources</ns0:t>
        </ns0:is>
      </ns0:c>
      <ns0:c r="W370" s="21" t="inlineStr">
        <ns0:is>
          <ns0:t>Not reported in assessed sources</ns0:t>
        </ns0:is>
      </ns0:c>
      <ns0:c r="X370" s="21" t="inlineStr">
        <ns0:is>
          <ns0:t>Not reported in assessed sources</ns0:t>
        </ns0:is>
      </ns0:c>
      <ns0:c r="Y370" s="21" t="inlineStr">
        <ns0:is>
          <ns0:t>Not ascertainable</ns0:t>
        </ns0:is>
      </ns0:c>
      <ns0:c r="Z370" s="21" t="inlineStr">
        <ns0:is>
          <ns0:t>Not reported in assessed sources</ns0:t>
        </ns0:is>
      </ns0:c>
      <ns0:c r="AA370" s="21" t="inlineStr">
        <ns0:is>
          <ns0:t>Not recorded</ns0:t>
        </ns0:is>
      </ns0:c>
      <ns0:c r="AB370" s="28" t="n">
        <ns0:v>0</ns0:v>
      </ns0:c>
      <ns0:c r="AC370" s="28" t="n">
        <ns0:v>0</ns0:v>
      </ns0:c>
      <ns0:c r="AD370" s="29">
        <ns0:f>IF(AND(G370=1,AB370=0),1,0)</ns0:f>
        <ns0:v>1</ns0:v>
      </ns0:c>
      <ns0:c r="AE370" s="29">
        <ns0:f>IF(AND(AD370=1,AC370=0),1,0)</ns0:f>
        <ns0:v>1</ns0:v>
      </ns0:c>
      <ns0:c r="AF370" s="29">
        <ns0:f>IF(AND(G370=1,H370&lt;&gt;"Not specified"),1,0)</ns0:f>
        <ns0:v>1</ns0:v>
      </ns0:c>
      <ns0:c r="AG370" s="29">
        <ns0:f>IF(AND(AE370=1,AF370=1),1,0)</ns0:f>
        <ns0:v>1</ns0:v>
      </ns0:c>
      <ns0:c r="AH370" s="21" t="inlineStr">
        <ns0:is>
          <ns0:t>Prior source-specific extraction retained; no new full-text retrieval</ns0:t>
        </ns0:is>
      </ns0:c>
      <ns0:c r="AI370" s="21" t="inlineStr">
        <ns0:is>
          <ns0:t>https://doi.org/10.32604/cmc.2025.067784</ns0:t>
        </ns0:is>
      </ns0:c>
      <ns0:c r="AJ370" s="21" t="inlineStr">
        <ns0:is>
          <ns0:t>EVIDENCIA; original abstract/coding notes and lot source trace; Inherited scoped adjudication; see source level and lot caveats</ns0:t>
        </ns0:is>
      </ns0:c>
      <ns0:c r="AK370" s="21" t="inlineStr">
        <ns0:is>
          <ns0:t>Retained source-specific coding after review of the supplied extraction notes; not a new full-text retrieval. CARE evaluates AutoML/CatBoost on a pediatric ASD-traits dataset and uses SHAP for explicit feature-level explanation. Retrospective/public structured-data modeling only; no independent external cohort or prospective pediatric workflow evaluation was demonstrated.</ns0:t>
        </ns0:is>
      </ns0:c>
      <ns0:c r="AL370" s="21" t="inlineStr">
        <ns0:is>
          <ns0:t>Not applicable</ns0:t>
        </ns0:is>
      </ns0:c>
      <ns0:c r="AM370" s="21" t="inlineStr">
        <ns0:is>
          <ns0:t>Not separately specified</ns0:t>
        </ns0:is>
      </ns0:c>
      <ns0:c r="AN370" s="21" t="inlineStr"/>
      <ns0:c r="AO370" s="21" t="inlineStr">
        <ns0:is>
          <ns0:t>No additional status determination</ns0:t>
        </ns0:is>
      </ns0:c>
      <ns0:c r="AP370" s="21" t="inlineStr">
        <ns0:is>
          <ns0:t>Not documented for this recharting</ns0:t>
        </ns0:is>
      </ns0:c>
      <ns0:c r="AQ370" s="21" t="inlineStr">
        <ns0:is>
          <ns0:t>ChatGPT-assisted evidence recharting, 2026-09-08</ns0:t>
        </ns0:is>
      </ns0:c>
      <ns0:c r="AR370" s="21" t="inlineStr">
        <ns0:is>
          <ns0:t>Revisión asistida por IA (un revisor; requiere verificación independiente)</ns0:t>
        </ns0:is>
      </ns0:c>
      <ns0:c r="AS370" s="21" t="inlineStr">
        <ns0:is>
          <ns0:t>Retrieved and reviewed</ns0:t>
        </ns0:is>
      </ns0:c>
    </ns0:row>
    <ns0:row r="371" ht="50" customHeight="1">
      <ns0:c r="A371" s="19" t="inlineStr">
        <ns0:is>
          <ns0:t>new_134</ns0:t>
        </ns0:is>
      </ns0:c>
      <ns0:c r="B371" s="19" t="inlineStr">
        <ns0:is>
          <ns0:t>Update</ns0:t>
        </ns0:is>
      </ns0:c>
      <ns0:c r="C371" s="19" t="inlineStr">
        <ns0:is>
          <ns0:t>ASD-HybridNet: A hybrid deep learning framework for detection of autism spectrum disorder</ns0:t>
        </ns0:is>
      </ns0:c>
      <ns0:c r="D371" s="19" t="inlineStr">
        <ns0:is>
          <ns0:t>10.1016/j.mri.2025.110492</ns0:t>
        </ns0:is>
      </ns0:c>
      <ns0:c r="E371" s="26" t="n">
        <ns0:v>2025</ns0:v>
      </ns0:c>
      <ns0:c r="F371" s="19" t="inlineStr">
        <ns0:is>
          <ns0:t>Include</ns0:t>
        </ns0:is>
      </ns0:c>
      <ns0:c r="G371" s="27">
        <ns0:f>IF(F371="Include",1,0)</ns0:f>
        <ns0:v>1</ns0:v>
      </ns0:c>
      <ns0:c r="H371" s="19" t="inlineStr">
        <ns0:is>
          <ns0:t>Diagnosis</ns0:t>
        </ns0:is>
      </ns0:c>
      <ns0:c r="I371" s="19" t="inlineStr">
        <ns0:is>
          <ns0:t>Deep Learning</ns0:t>
        </ns0:is>
      </ns0:c>
      <ns0:c r="J371" s="19" t="inlineStr">
        <ns0:is>
          <ns0:t>Neuroimaging</ns0:t>
        </ns0:is>
      </ns0:c>
      <ns0:c r="K371" s="19" t="inlineStr">
        <ns0:is>
          <ns0:t>ASD-HybridNet (ROI time-series + functional-connectivity map fusion)</ns0:t>
        </ns0:is>
      </ns0:c>
      <ns0:c r="L371" s="19" t="inlineStr">
        <ns0:is>
          <ns0:t>Other specified method</ns0:t>
        </ns0:is>
      </ns0:c>
      <ns0:c r="M371" s="19" t="inlineStr">
        <ns0:is>
          <ns0:t>Research only</ns0:t>
        </ns0:is>
      </ns0:c>
      <ns0:c r="N371" s="19" t="inlineStr">
        <ns0:is>
          <ns0:t>Automated measurement/classification</ns0:t>
        </ns0:is>
      </ns0:c>
      <ns0:c r="O371" s="19" t="inlineStr">
        <ns0:is>
          <ns0:t>Not observed in assessed sources</ns0:t>
        </ns0:is>
      </ns0:c>
      <ns0:c r="P371" s="19" t="inlineStr">
        <ns0:is>
          <ns0:t>Not observed in assessed sources</ns0:t>
        </ns0:is>
      </ns0:c>
      <ns0:c r="Q371" s="19" t="inlineStr">
        <ns0:is>
          <ns0:t>Not reported in assessed sources</ns0:t>
        </ns0:is>
      </ns0:c>
      <ns0:c r="R371" s="19" t="inlineStr">
        <ns0:is>
          <ns0:t>Not reported in assessed sources</ns0:t>
        </ns0:is>
      </ns0:c>
      <ns0:c r="S371" s="19" t="inlineStr">
        <ns0:is>
          <ns0:t>Not reported in assessed sources</ns0:t>
        </ns0:is>
      </ns0:c>
      <ns0:c r="T371" s="19" t="inlineStr">
        <ns0:is>
          <ns0:t>Not reported in assessed sources</ns0:t>
        </ns0:is>
      </ns0:c>
      <ns0:c r="U371" s="19" t="inlineStr">
        <ns0:is>
          <ns0:t>Not reported in assessed sources</ns0:t>
        </ns0:is>
      </ns0:c>
      <ns0:c r="V371" s="19" t="inlineStr">
        <ns0:is>
          <ns0:t>Reported</ns0:t>
        </ns0:is>
      </ns0:c>
      <ns0:c r="W371" s="19" t="inlineStr">
        <ns0:is>
          <ns0:t>Not reported in assessed sources</ns0:t>
        </ns0:is>
      </ns0:c>
      <ns0:c r="X371" s="19" t="inlineStr">
        <ns0:is>
          <ns0:t>Not reported in assessed sources</ns0:t>
        </ns0:is>
      </ns0:c>
      <ns0:c r="Y371" s="19" t="inlineStr">
        <ns0:is>
          <ns0:t>Not ascertainable</ns0:t>
        </ns0:is>
      </ns0:c>
      <ns0:c r="Z371" s="19" t="inlineStr">
        <ns0:is>
          <ns0:t>Not reported in assessed sources</ns0:t>
        </ns0:is>
      </ns0:c>
      <ns0:c r="AA371" s="19" t="inlineStr">
        <ns0:is>
          <ns0:t>Not recorded</ns0:t>
        </ns0:is>
      </ns0:c>
      <ns0:c r="AB371" s="26" t="n">
        <ns0:v>0</ns0:v>
      </ns0:c>
      <ns0:c r="AC371" s="26" t="n">
        <ns0:v>0</ns0:v>
      </ns0:c>
      <ns0:c r="AD371" s="27">
        <ns0:f>IF(AND(G371=1,AB371=0),1,0)</ns0:f>
        <ns0:v>1</ns0:v>
      </ns0:c>
      <ns0:c r="AE371" s="27">
        <ns0:f>IF(AND(AD371=1,AC371=0),1,0)</ns0:f>
        <ns0:v>1</ns0:v>
      </ns0:c>
      <ns0:c r="AF371" s="27">
        <ns0:f>IF(AND(G371=1,H371&lt;&gt;"Not specified"),1,0)</ns0:f>
        <ns0:v>1</ns0:v>
      </ns0:c>
      <ns0:c r="AG371" s="27">
        <ns0:f>IF(AND(AE371=1,AF371=1),1,0)</ns0:f>
        <ns0:v>1</ns0:v>
      </ns0:c>
      <ns0:c r="AH371" s="19" t="inlineStr">
        <ns0:is>
          <ns0:t>Prior source-specific extraction retained; no new full-text retrieval</ns0:t>
        </ns0:is>
      </ns0:c>
      <ns0:c r="AI371" s="19" t="inlineStr">
        <ns0:is>
          <ns0:t>https://doi.org/10.1016/j.mri.2025.110492</ns0:t>
        </ns0:is>
      </ns0:c>
      <ns0:c r="AJ371" s="19" t="inlineStr">
        <ns0:is>
          <ns0:t>EVIDENCIA; original abstract/coding notes and lot source trace; Inherited scoped adjudication; see source level and lot caveats</ns0:t>
        </ns0:is>
      </ns0:c>
      <ns0:c r="AK371" s="19" t="inlineStr">
        <ns0:is>
          <ns0:t>Retained source-specific coding after review of the supplied extraction notes; not a new full-text retrieval. ASD-HybridNet fuses ROI time-series and functional-connectivity representations from ABIDE-I; reported accuracy is about 71.87%. The fused inputs are representations of the same rs-fMRI source, so q3_multisource_data remains 0. ABIDE-I is multisite but no site-held-out test was identified.</ns0:t>
        </ns0:is>
      </ns0:c>
      <ns0:c r="AL371" s="19" t="inlineStr">
        <ns0:is>
          <ns0:t>Not applicable</ns0:t>
        </ns0:is>
      </ns0:c>
      <ns0:c r="AM371" s="19" t="inlineStr">
        <ns0:is>
          <ns0:t>Not separately specified</ns0:t>
        </ns0:is>
      </ns0:c>
      <ns0:c r="AN371" s="19" t="inlineStr"/>
      <ns0:c r="AO371" s="19" t="inlineStr">
        <ns0:is>
          <ns0:t>No additional status determination</ns0:t>
        </ns0:is>
      </ns0:c>
      <ns0:c r="AP371" s="19" t="inlineStr">
        <ns0:is>
          <ns0:t>Not documented for this recharting</ns0:t>
        </ns0:is>
      </ns0:c>
      <ns0:c r="AQ371" s="19" t="inlineStr">
        <ns0:is>
          <ns0:t>ChatGPT-assisted evidence recharting, 2026-09-08</ns0:t>
        </ns0:is>
      </ns0:c>
      <ns0:c r="AR371" s="19" t="inlineStr">
        <ns0:is>
          <ns0:t>Revisión asistida por IA (un revisor; requiere verificación independiente)</ns0:t>
        </ns0:is>
      </ns0:c>
      <ns0:c r="AS371" s="19" t="inlineStr">
        <ns0:is>
          <ns0:t>Retrieved and reviewed</ns0:t>
        </ns0:is>
      </ns0:c>
    </ns0:row>
    <ns0:row r="372" ht="50" customHeight="1">
      <ns0:c r="A372" s="21" t="inlineStr">
        <ns0:is>
          <ns0:t>new_146</ns0:t>
        </ns0:is>
      </ns0:c>
      <ns0:c r="B372" s="21" t="inlineStr">
        <ns0:is>
          <ns0:t>Update</ns0:t>
        </ns0:is>
      </ns0:c>
      <ns0:c r="C372" s="21" t="inlineStr">
        <ns0:is>
          <ns0:t>Deep learning-based detection of autism spectrum disorder and emotion recognition in children</ns0:t>
        </ns0:is>
      </ns0:c>
      <ns0:c r="D372" s="21" t="inlineStr">
        <ns0:is>
          <ns0:t>10.1016/j.patcog.2025.112906</ns0:t>
        </ns0:is>
      </ns0:c>
      <ns0:c r="E372" s="28" t="n">
        <ns0:v>2026</ns0:v>
      </ns0:c>
      <ns0:c r="F372" s="21" t="inlineStr">
        <ns0:is>
          <ns0:t>Include</ns0:t>
        </ns0:is>
      </ns0:c>
      <ns0:c r="G372" s="29">
        <ns0:f>IF(F372="Include",1,0)</ns0:f>
        <ns0:v>1</ns0:v>
      </ns0:c>
      <ns0:c r="H372" s="21" t="inlineStr">
        <ns0:is>
          <ns0:t>Screening</ns0:t>
        </ns0:is>
      </ns0:c>
      <ns0:c r="I372" s="21" t="inlineStr">
        <ns0:is>
          <ns0:t>Deep Learning</ns0:t>
        </ns0:is>
      </ns0:c>
      <ns0:c r="J372" s="21" t="inlineStr">
        <ns0:is>
          <ns0:t>Behavioral images/video/gaze/movement</ns0:t>
        </ns0:is>
      </ns0:c>
      <ns0:c r="K372" s="21" t="inlineStr">
        <ns0:is>
          <ns0:t>ResNet50V2 + InceptionV3 for ASD detection; Enhanced MobileNet for emotion recognition</ns0:t>
        </ns0:is>
      </ns0:c>
      <ns0:c r="L372" s="21" t="inlineStr">
        <ns0:is>
          <ns0:t>CNN</ns0:t>
        </ns0:is>
      </ns0:c>
      <ns0:c r="M372" s="21" t="inlineStr">
        <ns0:is>
          <ns0:t>Proposed only</ns0:t>
        </ns0:is>
      </ns0:c>
      <ns0:c r="N372" s="21" t="inlineStr">
        <ns0:is>
          <ns0:t>Triage/questionnaire assessment</ns0:t>
        </ns0:is>
      </ns0:c>
      <ns0:c r="O372" s="21" t="inlineStr">
        <ns0:is>
          <ns0:t>Pre-decision</ns0:t>
        </ns0:is>
      </ns0:c>
      <ns0:c r="P372" s="21" t="inlineStr">
        <ns0:is>
          <ns0:t>Not observed in assessed sources</ns0:t>
        </ns0:is>
      </ns0:c>
      <ns0:c r="Q372" s="21" t="inlineStr">
        <ns0:is>
          <ns0:t>Not reported in assessed sources</ns0:t>
        </ns0:is>
      </ns0:c>
      <ns0:c r="R372" s="21" t="inlineStr">
        <ns0:is>
          <ns0:t>Not reported in assessed sources</ns0:t>
        </ns0:is>
      </ns0:c>
      <ns0:c r="S372" s="21" t="inlineStr">
        <ns0:is>
          <ns0:t>Not reported in assessed sources</ns0:t>
        </ns0:is>
      </ns0:c>
      <ns0:c r="T372" s="21" t="inlineStr">
        <ns0:is>
          <ns0:t>Not reported in assessed sources</ns0:t>
        </ns0:is>
      </ns0:c>
      <ns0:c r="U372" s="21" t="inlineStr">
        <ns0:is>
          <ns0:t>Not reported in assessed sources</ns0:t>
        </ns0:is>
      </ns0:c>
      <ns0:c r="V372" s="21" t="inlineStr">
        <ns0:is>
          <ns0:t>Not reported in assessed sources</ns0:t>
        </ns0:is>
      </ns0:c>
      <ns0:c r="W372" s="21" t="inlineStr">
        <ns0:is>
          <ns0:t>Not reported in assessed sources</ns0:t>
        </ns0:is>
      </ns0:c>
      <ns0:c r="X372" s="21" t="inlineStr">
        <ns0:is>
          <ns0:t>Not reported in assessed sources</ns0:t>
        </ns0:is>
      </ns0:c>
      <ns0:c r="Y372" s="21" t="inlineStr">
        <ns0:is>
          <ns0:t>Not ascertainable</ns0:t>
        </ns0:is>
      </ns0:c>
      <ns0:c r="Z372" s="21" t="inlineStr">
        <ns0:is>
          <ns0:t>Not reported in assessed sources</ns0:t>
        </ns0:is>
      </ns0:c>
      <ns0:c r="AA372" s="21" t="inlineStr">
        <ns0:is>
          <ns0:t>Not recorded</ns0:t>
        </ns0:is>
      </ns0:c>
      <ns0:c r="AB372" s="28" t="n">
        <ns0:v>0</ns0:v>
      </ns0:c>
      <ns0:c r="AC372" s="28" t="n">
        <ns0:v>0</ns0:v>
      </ns0:c>
      <ns0:c r="AD372" s="29">
        <ns0:f>IF(AND(G372=1,AB372=0),1,0)</ns0:f>
        <ns0:v>1</ns0:v>
      </ns0:c>
      <ns0:c r="AE372" s="29">
        <ns0:f>IF(AND(AD372=1,AC372=0),1,0)</ns0:f>
        <ns0:v>1</ns0:v>
      </ns0:c>
      <ns0:c r="AF372" s="29">
        <ns0:f>IF(AND(G372=1,H372&lt;&gt;"Not specified"),1,0)</ns0:f>
        <ns0:v>1</ns0:v>
      </ns0:c>
      <ns0:c r="AG372" s="29">
        <ns0:f>IF(AND(AE372=1,AF372=1),1,0)</ns0:f>
        <ns0:v>1</ns0:v>
      </ns0:c>
      <ns0:c r="AH372" s="21" t="inlineStr">
        <ns0:is>
          <ns0:t>Prior source-specific extraction retained; no new full-text retrieval</ns0:t>
        </ns0:is>
      </ns0:c>
      <ns0:c r="AI372" s="21" t="inlineStr">
        <ns0:is>
          <ns0:t>https://doi.org/10.1016/j.patcog.2025.112906</ns0:t>
        </ns0:is>
      </ns0:c>
      <ns0:c r="AJ372" s="21" t="inlineStr">
        <ns0:is>
          <ns0:t>EVIDENCIA; original abstract/coding notes and lot source trace; Inherited scoped adjudication; see source level and lot caveats</ns0:t>
        </ns0:is>
      </ns0:c>
      <ns0:c r="AK372" s="21" t="inlineStr">
        <ns0:is>
          <ns0:t>Retained source-specific coding after review of the supplied extraction notes; not a new full-text retrieval. Combines deep CNN architectures for child facial ASD detection and emotion recognition on public image datasets; ASD accuracy is reported near 95%. No external clinical cohort, prospective workflow or formal XAI was identified; explainability/multimodal extensions are presented as future directions.</ns0:t>
        </ns0:is>
      </ns0:c>
      <ns0:c r="AL372" s="21" t="inlineStr">
        <ns0:is>
          <ns0:t>Not applicable</ns0:t>
        </ns0:is>
      </ns0:c>
      <ns0:c r="AM372" s="21" t="inlineStr">
        <ns0:is>
          <ns0:t>Not separately specified</ns0:t>
        </ns0:is>
      </ns0:c>
      <ns0:c r="AN372" s="21" t="inlineStr"/>
      <ns0:c r="AO372" s="21" t="inlineStr">
        <ns0:is>
          <ns0:t>No additional status determination</ns0:t>
        </ns0:is>
      </ns0:c>
      <ns0:c r="AP372" s="21" t="inlineStr">
        <ns0:is>
          <ns0:t>Not documented for this recharting</ns0:t>
        </ns0:is>
      </ns0:c>
      <ns0:c r="AQ372" s="21" t="inlineStr">
        <ns0:is>
          <ns0:t>ChatGPT-assisted evidence recharting, 2026-09-08</ns0:t>
        </ns0:is>
      </ns0:c>
      <ns0:c r="AR372" s="21" t="inlineStr">
        <ns0:is>
          <ns0:t>Revisión asistida por IA (un revisor; requiere verificación independiente)</ns0:t>
        </ns0:is>
      </ns0:c>
      <ns0:c r="AS372" s="21" t="inlineStr">
        <ns0:is>
          <ns0:t>Retrieved and reviewed</ns0:t>
        </ns0:is>
      </ns0:c>
    </ns0:row>
    <ns0:row r="373" ht="50" customHeight="1">
      <ns0:c r="A373" s="19" t="inlineStr">
        <ns0:is>
          <ns0:t>new_149</ns0:t>
        </ns0:is>
      </ns0:c>
      <ns0:c r="B373" s="19" t="inlineStr">
        <ns0:is>
          <ns0:t>Update</ns0:t>
        </ns0:is>
      </ns0:c>
      <ns0:c r="C373" s="19" t="inlineStr">
        <ns0:is>
          <ns0:t>A new approach in autism diagnosis: Evaluating natural interaction using point of view (POV) glasses</ns0:t>
        </ns0:is>
      </ns0:c>
      <ns0:c r="D373" s="19" t="inlineStr">
        <ns0:is>
          <ns0:t>10.1016/j.ajp.2025.104798</ns0:t>
        </ns0:is>
      </ns0:c>
      <ns0:c r="E373" s="26" t="n">
        <ns0:v>2026</ns0:v>
      </ns0:c>
      <ns0:c r="F373" s="19" t="inlineStr">
        <ns0:is>
          <ns0:t>Include</ns0:t>
        </ns0:is>
      </ns0:c>
      <ns0:c r="G373" s="27">
        <ns0:f>IF(F373="Include",1,0)</ns0:f>
        <ns0:v>1</ns0:v>
      </ns0:c>
      <ns0:c r="H373" s="19" t="inlineStr">
        <ns0:is>
          <ns0:t>Diagnosis</ns0:t>
        </ns0:is>
      </ns0:c>
      <ns0:c r="I373" s="19" t="inlineStr">
        <ns0:is>
          <ns0:t>Hybrid</ns0:t>
        </ns0:is>
      </ns0:c>
      <ns0:c r="J373" s="19" t="inlineStr">
        <ns0:is>
          <ns0:t>Behavioral images/video/gaze/movement</ns0:t>
        </ns0:is>
      </ns0:c>
      <ns0:c r="K373" s="19" t="inlineStr">
        <ns0:is>
          <ns0:t>OpenFace + MediaPipe features with AdaBoost/decision-tree classification</ns0:t>
        </ns0:is>
      </ns0:c>
      <ns0:c r="L373" s="19" t="inlineStr">
        <ns0:is>
          <ns0:t>Gradient boosting</ns0:t>
        </ns0:is>
      </ns0:c>
      <ns0:c r="M373" s="19" t="inlineStr">
        <ns0:is>
          <ns0:t>Research only</ns0:t>
        </ns0:is>
      </ns0:c>
      <ns0:c r="N373" s="19" t="inlineStr">
        <ns0:is>
          <ns0:t>Automated measurement/classification</ns0:t>
        </ns0:is>
      </ns0:c>
      <ns0:c r="O373" s="19" t="inlineStr">
        <ns0:is>
          <ns0:t>Not observed in assessed sources</ns0:t>
        </ns0:is>
      </ns0:c>
      <ns0:c r="P373" s="19" t="inlineStr">
        <ns0:is>
          <ns0:t>Not observed in assessed sources</ns0:t>
        </ns0:is>
      </ns0:c>
      <ns0:c r="Q373" s="19" t="inlineStr">
        <ns0:is>
          <ns0:t>Not reported in assessed sources</ns0:t>
        </ns0:is>
      </ns0:c>
      <ns0:c r="R373" s="19" t="inlineStr">
        <ns0:is>
          <ns0:t>Not reported in assessed sources</ns0:t>
        </ns0:is>
      </ns0:c>
      <ns0:c r="S373" s="19" t="inlineStr">
        <ns0:is>
          <ns0:t>Not reported in assessed sources</ns0:t>
        </ns0:is>
      </ns0:c>
      <ns0:c r="T373" s="19" t="inlineStr">
        <ns0:is>
          <ns0:t>Not reported in assessed sources</ns0:t>
        </ns0:is>
      </ns0:c>
      <ns0:c r="U373" s="19" t="inlineStr">
        <ns0:is>
          <ns0:t>Not reported in assessed sources</ns0:t>
        </ns0:is>
      </ns0:c>
      <ns0:c r="V373" s="19" t="inlineStr">
        <ns0:is>
          <ns0:t>Not reported in assessed sources</ns0:t>
        </ns0:is>
      </ns0:c>
      <ns0:c r="W373" s="19" t="inlineStr">
        <ns0:is>
          <ns0:t>Not reported in assessed sources</ns0:t>
        </ns0:is>
      </ns0:c>
      <ns0:c r="X373" s="19" t="inlineStr">
        <ns0:is>
          <ns0:t>Not reported in assessed sources</ns0:t>
        </ns0:is>
      </ns0:c>
      <ns0:c r="Y373" s="19" t="inlineStr">
        <ns0:is>
          <ns0:t>Reported</ns0:t>
        </ns0:is>
      </ns0:c>
      <ns0:c r="Z373" s="19" t="inlineStr">
        <ns0:is>
          <ns0:t>Not reported in assessed sources</ns0:t>
        </ns0:is>
      </ns0:c>
      <ns0:c r="AA373" s="19" t="inlineStr">
        <ns0:is>
          <ns0:t>Not recorded</ns0:t>
        </ns0:is>
      </ns0:c>
      <ns0:c r="AB373" s="26" t="n">
        <ns0:v>0</ns0:v>
      </ns0:c>
      <ns0:c r="AC373" s="26" t="n">
        <ns0:v>0</ns0:v>
      </ns0:c>
      <ns0:c r="AD373" s="27">
        <ns0:f>IF(AND(G373=1,AB373=0),1,0)</ns0:f>
        <ns0:v>1</ns0:v>
      </ns0:c>
      <ns0:c r="AE373" s="27">
        <ns0:f>IF(AND(AD373=1,AC373=0),1,0)</ns0:f>
        <ns0:v>1</ns0:v>
      </ns0:c>
      <ns0:c r="AF373" s="27">
        <ns0:f>IF(AND(G373=1,H373&lt;&gt;"Not specified"),1,0)</ns0:f>
        <ns0:v>1</ns0:v>
      </ns0:c>
      <ns0:c r="AG373" s="27">
        <ns0:f>IF(AND(AE373=1,AF373=1),1,0)</ns0:f>
        <ns0:v>1</ns0:v>
      </ns0:c>
      <ns0:c r="AH373" s="19" t="inlineStr">
        <ns0:is>
          <ns0:t>Prior source-specific extraction retained; no new full-text retrieval</ns0:t>
        </ns0:is>
      </ns0:c>
      <ns0:c r="AI373" s="19" t="inlineStr">
        <ns0:is>
          <ns0:t>https://doi.org/10.1016/j.ajp.2025.104798</ns0:t>
        </ns0:is>
      </ns0:c>
      <ns0:c r="AJ373" s="19" t="inlineStr">
        <ns0:is>
          <ns0:t>EVIDENCIA; original abstract/coding notes and lot source trace; Inherited scoped adjudication; see source level and lot caveats</ns0:t>
        </ns0:is>
      </ns0:c>
      <ns0:c r="AK373" s="19" t="inlineStr">
        <ns0:is>
          <ns0:t>Retained source-specific coding after review of the supplied extraction notes; not a new full-text retrieval. Uses examiner-worn POV glasses with 29 ASD and 27 non-ASD children aged 17-36 months; CV features feed AdaBoost/decision trees, with reported AUC about 0.95. Prospective participant data were collected, but the model was not validated in an independent site/cohort or used to determine real clinical decisions during care.
Learned OpenFace/MediaPipe vision pipeline combined with conventional AdaBoost/tree classifier.</ns0:t>
        </ns0:is>
      </ns0:c>
      <ns0:c r="AL373" s="19" t="inlineStr">
        <ns0:is>
          <ns0:t>Not applicable</ns0:t>
        </ns0:is>
      </ns0:c>
      <ns0:c r="AM373" s="19" t="inlineStr">
        <ns0:is>
          <ns0:t>Not separately specified</ns0:t>
        </ns0:is>
      </ns0:c>
      <ns0:c r="AN373" s="19" t="inlineStr"/>
      <ns0:c r="AO373" s="19" t="inlineStr">
        <ns0:is>
          <ns0:t>No additional status determination</ns0:t>
        </ns0:is>
      </ns0:c>
      <ns0:c r="AP373" s="19" t="inlineStr">
        <ns0:is>
          <ns0:t>Not documented for this recharting</ns0:t>
        </ns0:is>
      </ns0:c>
      <ns0:c r="AQ373" s="19" t="inlineStr">
        <ns0:is>
          <ns0:t>ChatGPT-assisted evidence recharting, 2026-09-08</ns0:t>
        </ns0:is>
      </ns0:c>
      <ns0:c r="AR373" s="19" t="inlineStr">
        <ns0:is>
          <ns0:t>Revisión asistida por IA (un revisor; requiere verificación independiente)</ns0:t>
        </ns0:is>
      </ns0:c>
      <ns0:c r="AS373" s="19" t="inlineStr">
        <ns0:is>
          <ns0:t>Retrieved and reviewed</ns0:t>
        </ns0:is>
      </ns0:c>
    </ns0:row>
    <ns0:row r="374" ht="50" customHeight="1">
      <ns0:c r="A374" s="21" t="inlineStr">
        <ns0:is>
          <ns0:t>new_154</ns0:t>
        </ns0:is>
      </ns0:c>
      <ns0:c r="B374" s="21" t="inlineStr">
        <ns0:is>
          <ns0:t>Update</ns0:t>
        </ns0:is>
      </ns0:c>
      <ns0:c r="C374" s="21" t="inlineStr">
        <ns0:is>
          <ns0:t>A two-step temporal data augmentation and supervised learning framework for predicting autism diagnosis at 36 months in patients with tuberous sclerosis complex</ns0:t>
        </ns0:is>
      </ns0:c>
      <ns0:c r="D374" s="21" t="inlineStr">
        <ns0:is>
          <ns0:t>10.1016/j.compbiomed.2026.111719</ns0:t>
        </ns0:is>
      </ns0:c>
      <ns0:c r="E374" s="28" t="n">
        <ns0:v>2026</ns0:v>
      </ns0:c>
      <ns0:c r="F374" s="21" t="inlineStr">
        <ns0:is>
          <ns0:t>Include</ns0:t>
        </ns0:is>
      </ns0:c>
      <ns0:c r="G374" s="29">
        <ns0:f>IF(F374="Include",1,0)</ns0:f>
        <ns0:v>1</ns0:v>
      </ns0:c>
      <ns0:c r="H374" s="21" t="inlineStr">
        <ns0:is>
          <ns0:t>Prognosis</ns0:t>
        </ns0:is>
      </ns0:c>
      <ns0:c r="I374" s="21" t="inlineStr">
        <ns0:is>
          <ns0:t>Machine Learning</ns0:t>
        </ns0:is>
      </ns0:c>
      <ns0:c r="J374" s="21" t="inlineStr">
        <ns0:is>
          <ns0:t>Multiple source categories</ns0:t>
        </ns0:is>
      </ns0:c>
      <ns0:c r="K374" s="21" t="inlineStr">
        <ns0:is>
          <ns0:t>Regularized logistic regression (LASSO / elastic net)</ns0:t>
        </ns0:is>
      </ns0:c>
      <ns0:c r="L374" s="21" t="inlineStr">
        <ns0:is>
          <ns0:t>Logistic regression</ns0:t>
        </ns0:is>
      </ns0:c>
      <ns0:c r="M374" s="21" t="inlineStr">
        <ns0:is>
          <ns0:t>Research only</ns0:t>
        </ns0:is>
      </ns0:c>
      <ns0:c r="N374" s="21" t="inlineStr">
        <ns0:is>
          <ns0:t>Risk/trajectory estimation</ns0:t>
        </ns0:is>
      </ns0:c>
      <ns0:c r="O374" s="21" t="inlineStr">
        <ns0:is>
          <ns0:t>Not observed in assessed sources</ns0:t>
        </ns0:is>
      </ns0:c>
      <ns0:c r="P374" s="21" t="inlineStr">
        <ns0:is>
          <ns0:t>Not observed in assessed sources</ns0:t>
        </ns0:is>
      </ns0:c>
      <ns0:c r="Q374" s="21" t="inlineStr">
        <ns0:is>
          <ns0:t>Not reported in assessed sources</ns0:t>
        </ns0:is>
      </ns0:c>
      <ns0:c r="R374" s="21" t="inlineStr">
        <ns0:is>
          <ns0:t>Reported</ns0:t>
        </ns0:is>
      </ns0:c>
      <ns0:c r="S374" s="21" t="inlineStr">
        <ns0:is>
          <ns0:t>Not reported in assessed sources</ns0:t>
        </ns0:is>
      </ns0:c>
      <ns0:c r="T374" s="21" t="inlineStr">
        <ns0:is>
          <ns0:t>Not reported in assessed sources</ns0:t>
        </ns0:is>
      </ns0:c>
      <ns0:c r="U374" s="21" t="inlineStr">
        <ns0:is>
          <ns0:t>Not reported in assessed sources</ns0:t>
        </ns0:is>
      </ns0:c>
      <ns0:c r="V374" s="21" t="inlineStr">
        <ns0:is>
          <ns0:t>Reported</ns0:t>
        </ns0:is>
      </ns0:c>
      <ns0:c r="W374" s="21" t="inlineStr">
        <ns0:is>
          <ns0:t>Reported</ns0:t>
        </ns0:is>
      </ns0:c>
      <ns0:c r="X374" s="21" t="inlineStr">
        <ns0:is>
          <ns0:t>Not reported in assessed sources</ns0:t>
        </ns0:is>
      </ns0:c>
      <ns0:c r="Y374" s="21" t="inlineStr">
        <ns0:is>
          <ns0:t>Reported</ns0:t>
        </ns0:is>
      </ns0:c>
      <ns0:c r="Z374" s="21" t="inlineStr">
        <ns0:is>
          <ns0:t>Not reported in assessed sources</ns0:t>
        </ns0:is>
      </ns0:c>
      <ns0:c r="AA374" s="21" t="inlineStr">
        <ns0:is>
          <ns0:t>Not recorded</ns0:t>
        </ns0:is>
      </ns0:c>
      <ns0:c r="AB374" s="28" t="n">
        <ns0:v>0</ns0:v>
      </ns0:c>
      <ns0:c r="AC374" s="28" t="n">
        <ns0:v>0</ns0:v>
      </ns0:c>
      <ns0:c r="AD374" s="29">
        <ns0:f>IF(AND(G374=1,AB374=0),1,0)</ns0:f>
        <ns0:v>1</ns0:v>
      </ns0:c>
      <ns0:c r="AE374" s="29">
        <ns0:f>IF(AND(AD374=1,AC374=0),1,0)</ns0:f>
        <ns0:v>1</ns0:v>
      </ns0:c>
      <ns0:c r="AF374" s="29">
        <ns0:f>IF(AND(G374=1,H374&lt;&gt;"Not specified"),1,0)</ns0:f>
        <ns0:v>1</ns0:v>
      </ns0:c>
      <ns0:c r="AG374" s="29">
        <ns0:f>IF(AND(AE374=1,AF374=1),1,0)</ns0:f>
        <ns0:v>1</ns0:v>
      </ns0:c>
      <ns0:c r="AH374" s="21" t="inlineStr">
        <ns0:is>
          <ns0:t>Prior source-specific extraction retained; no new full-text retrieval</ns0:t>
        </ns0:is>
      </ns0:c>
      <ns0:c r="AI374" s="21" t="inlineStr">
        <ns0:is>
          <ns0:t>https://doi.org/10.1016/j.compbiomed.2026.111719</ns0:t>
        </ns0:is>
      </ns0:c>
      <ns0:c r="AJ374" s="21" t="inlineStr">
        <ns0:is>
          <ns0:t>EVIDENCIA; original abstract/coding notes and lot source trace; Inherited scoped adjudication; see source level and lot caveats</ns0:t>
        </ns0:is>
      </ns0:c>
      <ns0:c r="AK374" s="21" t="inlineStr">
        <ns0:is>
          <ns0:t>Retained source-specific coding after review of the supplied extraction notes; not a new full-text retrieval. TACERN is a prospective longitudinal multisite study; DTI plus behavioral features from 93 children predict 36-month ASD diagnosis, with regularized logistic regression AUC about 0.808-0.831. Although the cohort is multisite and prospective, the recovered evaluation uses repeated train-test procedures rather than an explicit site-held-out or independent external validation cohort.</ns0:t>
        </ns0:is>
      </ns0:c>
      <ns0:c r="AL374" s="21" t="inlineStr">
        <ns0:is>
          <ns0:t>Not applicable</ns0:t>
        </ns0:is>
      </ns0:c>
      <ns0:c r="AM374" s="21" t="inlineStr">
        <ns0:is>
          <ns0:t>Not separately specified</ns0:t>
        </ns0:is>
      </ns0:c>
      <ns0:c r="AN374" s="21" t="inlineStr"/>
      <ns0:c r="AO374" s="21" t="inlineStr">
        <ns0:is>
          <ns0:t>No additional status determination</ns0:t>
        </ns0:is>
      </ns0:c>
      <ns0:c r="AP374" s="21" t="inlineStr">
        <ns0:is>
          <ns0:t>Not documented for this recharting</ns0:t>
        </ns0:is>
      </ns0:c>
      <ns0:c r="AQ374" s="21" t="inlineStr">
        <ns0:is>
          <ns0:t>ChatGPT-assisted evidence recharting, 2026-09-08</ns0:t>
        </ns0:is>
      </ns0:c>
      <ns0:c r="AR374" s="21" t="inlineStr">
        <ns0:is>
          <ns0:t>Revisión asistida por IA (un revisor; requiere verificación independiente)</ns0:t>
        </ns0:is>
      </ns0:c>
      <ns0:c r="AS374" s="21" t="inlineStr">
        <ns0:is>
          <ns0:t>Retrieved and reviewed</ns0:t>
        </ns0:is>
      </ns0:c>
    </ns0:row>
    <ns0:row r="375" ht="50" customHeight="1">
      <ns0:c r="A375" s="19" t="inlineStr">
        <ns0:is>
          <ns0:t>new_162</ns0:t>
        </ns0:is>
      </ns0:c>
      <ns0:c r="B375" s="19" t="inlineStr">
        <ns0:is>
          <ns0:t>Update</ns0:t>
        </ns0:is>
      </ns0:c>
      <ns0:c r="C375" s="19" t="inlineStr">
        <ns0:is>
          <ns0:t>EMLF-Net: A multi-level feature fusion network based on autism EEG signals for autism spectrum disorder classification</ns0:t>
        </ns0:is>
      </ns0:c>
      <ns0:c r="D375" s="19" t="inlineStr">
        <ns0:is>
          <ns0:t>10.1016/j.bspc.2025.109180</ns0:t>
        </ns0:is>
      </ns0:c>
      <ns0:c r="E375" s="26" t="n">
        <ns0:v>2026</ns0:v>
      </ns0:c>
      <ns0:c r="F375" s="19" t="inlineStr">
        <ns0:is>
          <ns0:t>Include</ns0:t>
        </ns0:is>
      </ns0:c>
      <ns0:c r="G375" s="27">
        <ns0:f>IF(F375="Include",1,0)</ns0:f>
        <ns0:v>1</ns0:v>
      </ns0:c>
      <ns0:c r="H375" s="19" t="inlineStr">
        <ns0:is>
          <ns0:t>Diagnosis</ns0:t>
        </ns0:is>
      </ns0:c>
      <ns0:c r="I375" s="19" t="inlineStr">
        <ns0:is>
          <ns0:t>Deep Learning</ns0:t>
        </ns0:is>
      </ns0:c>
      <ns0:c r="J375" s="19" t="inlineStr">
        <ns0:is>
          <ns0:t>Physiological signals</ns0:t>
        </ns0:is>
      </ns0:c>
      <ns0:c r="K375" s="19" t="inlineStr">
        <ns0:is>
          <ns0:t>EMLF-Net (HDFR + DFB + OFB multi-level feature fusion)</ns0:t>
        </ns0:is>
      </ns0:c>
      <ns0:c r="L375" s="19" t="inlineStr">
        <ns0:is>
          <ns0:t>Other specified method</ns0:t>
        </ns0:is>
      </ns0:c>
      <ns0:c r="M375" s="19" t="inlineStr">
        <ns0:is>
          <ns0:t>Research only</ns0:t>
        </ns0:is>
      </ns0:c>
      <ns0:c r="N375" s="19" t="inlineStr">
        <ns0:is>
          <ns0:t>Automated measurement/classification</ns0:t>
        </ns0:is>
      </ns0:c>
      <ns0:c r="O375" s="19" t="inlineStr">
        <ns0:is>
          <ns0:t>Not observed in assessed sources</ns0:t>
        </ns0:is>
      </ns0:c>
      <ns0:c r="P375" s="19" t="inlineStr">
        <ns0:is>
          <ns0:t>Not observed in assessed sources</ns0:t>
        </ns0:is>
      </ns0:c>
      <ns0:c r="Q375" s="19" t="inlineStr">
        <ns0:is>
          <ns0:t>Not reported in assessed sources</ns0:t>
        </ns0:is>
      </ns0:c>
      <ns0:c r="R375" s="19" t="inlineStr">
        <ns0:is>
          <ns0:t>Not reported in assessed sources</ns0:t>
        </ns0:is>
      </ns0:c>
      <ns0:c r="S375" s="19" t="inlineStr">
        <ns0:is>
          <ns0:t>Reported</ns0:t>
        </ns0:is>
      </ns0:c>
      <ns0:c r="T375" s="19" t="inlineStr">
        <ns0:is>
          <ns0:t>Not reported in assessed sources</ns0:t>
        </ns0:is>
      </ns0:c>
      <ns0:c r="U375" s="19" t="inlineStr">
        <ns0:is>
          <ns0:t>Not reported in assessed sources</ns0:t>
        </ns0:is>
      </ns0:c>
      <ns0:c r="V375" s="19" t="inlineStr">
        <ns0:is>
          <ns0:t>Not reported in assessed sources</ns0:t>
        </ns0:is>
      </ns0:c>
      <ns0:c r="W375" s="19" t="inlineStr">
        <ns0:is>
          <ns0:t>Not reported in assessed sources</ns0:t>
        </ns0:is>
      </ns0:c>
      <ns0:c r="X375" s="19" t="inlineStr">
        <ns0:is>
          <ns0:t>Not reported in assessed sources</ns0:t>
        </ns0:is>
      </ns0:c>
      <ns0:c r="Y375" s="19" t="inlineStr">
        <ns0:is>
          <ns0:t>Not ascertainable</ns0:t>
        </ns0:is>
      </ns0:c>
      <ns0:c r="Z375" s="19" t="inlineStr">
        <ns0:is>
          <ns0:t>Reported</ns0:t>
        </ns0:is>
      </ns0:c>
      <ns0:c r="AA375" s="19" t="inlineStr">
        <ns0:is>
          <ns0:t>Not recorded</ns0:t>
        </ns0:is>
      </ns0:c>
      <ns0:c r="AB375" s="26" t="n">
        <ns0:v>0</ns0:v>
      </ns0:c>
      <ns0:c r="AC375" s="26" t="n">
        <ns0:v>0</ns0:v>
      </ns0:c>
      <ns0:c r="AD375" s="27">
        <ns0:f>IF(AND(G375=1,AB375=0),1,0)</ns0:f>
        <ns0:v>1</ns0:v>
      </ns0:c>
      <ns0:c r="AE375" s="27">
        <ns0:f>IF(AND(AD375=1,AC375=0),1,0)</ns0:f>
        <ns0:v>1</ns0:v>
      </ns0:c>
      <ns0:c r="AF375" s="27">
        <ns0:f>IF(AND(G375=1,H375&lt;&gt;"Not specified"),1,0)</ns0:f>
        <ns0:v>1</ns0:v>
      </ns0:c>
      <ns0:c r="AG375" s="27">
        <ns0:f>IF(AND(AE375=1,AF375=1),1,0)</ns0:f>
        <ns0:v>1</ns0:v>
      </ns0:c>
      <ns0:c r="AH375" s="19" t="inlineStr">
        <ns0:is>
          <ns0:t>Prior source-specific extraction retained; no new full-text retrieval</ns0:t>
        </ns0:is>
      </ns0:c>
      <ns0:c r="AI375" s="19" t="inlineStr">
        <ns0:is>
          <ns0:t>https://doi.org/10.1016/j.bspc.2025.109180</ns0:t>
        </ns0:is>
      </ns0:c>
      <ns0:c r="AJ375" s="19" t="inlineStr">
        <ns0:is>
          <ns0:t>EVIDENCIA; original abstract/coding notes and lot source trace; Inherited scoped adjudication; see source level and lot caveats</ns0:t>
        </ns0:is>
      </ns0:c>
      <ns0:c r="AK375" s="19" t="inlineStr">
        <ns0:is>
          <ns0:t>Retained source-specific coding after review of the supplied extraction notes; not a new full-text retrieval. EMLF-Net fuses time- and frequency-domain EEG features; KAU results are 99.20% subject-dependent and 92.09% subject-independent; topographic analysis shows channel importance. Single small public dataset (12 ASD, 5 TD). Topographic/channel-importance visualization was coded as partial interpretability, not formal XAI.</ns0:t>
        </ns0:is>
      </ns0:c>
      <ns0:c r="AL375" s="19" t="inlineStr">
        <ns0:is>
          <ns0:t>Not applicable</ns0:t>
        </ns0:is>
      </ns0:c>
      <ns0:c r="AM375" s="19" t="inlineStr">
        <ns0:is>
          <ns0:t>Not separately specified</ns0:t>
        </ns0:is>
      </ns0:c>
      <ns0:c r="AN375" s="19" t="inlineStr"/>
      <ns0:c r="AO375" s="19" t="inlineStr">
        <ns0:is>
          <ns0:t>No additional status determination</ns0:t>
        </ns0:is>
      </ns0:c>
      <ns0:c r="AP375" s="19" t="inlineStr">
        <ns0:is>
          <ns0:t>Not documented for this recharting</ns0:t>
        </ns0:is>
      </ns0:c>
      <ns0:c r="AQ375" s="19" t="inlineStr">
        <ns0:is>
          <ns0:t>ChatGPT-assisted evidence recharting, 2026-09-08</ns0:t>
        </ns0:is>
      </ns0:c>
      <ns0:c r="AR375" s="19" t="inlineStr">
        <ns0:is>
          <ns0:t>Revisión asistida por IA (un revisor; requiere verificación independiente)</ns0:t>
        </ns0:is>
      </ns0:c>
      <ns0:c r="AS375" s="19" t="inlineStr">
        <ns0:is>
          <ns0:t>Retrieved and reviewed</ns0:t>
        </ns0:is>
      </ns0:c>
    </ns0:row>
    <ns0:row r="376" ht="50" customHeight="1">
      <ns0:c r="A376" s="21" t="inlineStr">
        <ns0:is>
          <ns0:t>new_180</ns0:t>
        </ns0:is>
      </ns0:c>
      <ns0:c r="B376" s="21" t="inlineStr">
        <ns0:is>
          <ns0:t>Update</ns0:t>
        </ns0:is>
      </ns0:c>
      <ns0:c r="C376" s="21" t="inlineStr">
        <ns0:is>
          <ns0:t>The effect of spatial and intensity level augmentation of structural magnetic resonance images on autism diagnosis model</ns0:t>
        </ns0:is>
      </ns0:c>
      <ns0:c r="D376" s="21" t="inlineStr">
        <ns0:is>
          <ns0:t>10.1016/j.ajp.2026.104830</ns0:t>
        </ns0:is>
      </ns0:c>
      <ns0:c r="E376" s="28" t="n">
        <ns0:v>2026</ns0:v>
      </ns0:c>
      <ns0:c r="F376" s="21" t="inlineStr">
        <ns0:is>
          <ns0:t>Include</ns0:t>
        </ns0:is>
      </ns0:c>
      <ns0:c r="G376" s="29">
        <ns0:f>IF(F376="Include",1,0)</ns0:f>
        <ns0:v>1</ns0:v>
      </ns0:c>
      <ns0:c r="H376" s="21" t="inlineStr">
        <ns0:is>
          <ns0:t>Diagnosis</ns0:t>
        </ns0:is>
      </ns0:c>
      <ns0:c r="I376" s="21" t="inlineStr">
        <ns0:is>
          <ns0:t>Deep Learning</ns0:t>
        </ns0:is>
      </ns0:c>
      <ns0:c r="J376" s="21" t="inlineStr">
        <ns0:is>
          <ns0:t>Neuroimaging</ns0:t>
        </ns0:is>
      </ns0:c>
      <ns0:c r="K376" s="21" t="inlineStr">
        <ns0:is>
          <ns0:t>ResNet34 with spatial and intensity data augmentation</ns0:t>
        </ns0:is>
      </ns0:c>
      <ns0:c r="L376" s="21" t="inlineStr">
        <ns0:is>
          <ns0:t>CNN</ns0:t>
        </ns0:is>
      </ns0:c>
      <ns0:c r="M376" s="21" t="inlineStr">
        <ns0:is>
          <ns0:t>Research only</ns0:t>
        </ns0:is>
      </ns0:c>
      <ns0:c r="N376" s="21" t="inlineStr">
        <ns0:is>
          <ns0:t>Automated measurement/classification</ns0:t>
        </ns0:is>
      </ns0:c>
      <ns0:c r="O376" s="21" t="inlineStr">
        <ns0:is>
          <ns0:t>Not observed in assessed sources</ns0:t>
        </ns0:is>
      </ns0:c>
      <ns0:c r="P376" s="21" t="inlineStr">
        <ns0:is>
          <ns0:t>Not observed in assessed sources</ns0:t>
        </ns0:is>
      </ns0:c>
      <ns0:c r="Q376" s="21" t="inlineStr">
        <ns0:is>
          <ns0:t>Not reported in assessed sources</ns0:t>
        </ns0:is>
      </ns0:c>
      <ns0:c r="R376" s="21" t="inlineStr">
        <ns0:is>
          <ns0:t>Not reported in assessed sources</ns0:t>
        </ns0:is>
      </ns0:c>
      <ns0:c r="S376" s="21" t="inlineStr">
        <ns0:is>
          <ns0:t>Not reported in assessed sources</ns0:t>
        </ns0:is>
      </ns0:c>
      <ns0:c r="T376" s="21" t="inlineStr">
        <ns0:is>
          <ns0:t>Not reported in assessed sources</ns0:t>
        </ns0:is>
      </ns0:c>
      <ns0:c r="U376" s="21" t="inlineStr">
        <ns0:is>
          <ns0:t>Not reported in assessed sources</ns0:t>
        </ns0:is>
      </ns0:c>
      <ns0:c r="V376" s="21" t="inlineStr">
        <ns0:is>
          <ns0:t>Reported</ns0:t>
        </ns0:is>
      </ns0:c>
      <ns0:c r="W376" s="21" t="inlineStr">
        <ns0:is>
          <ns0:t>Not reported in assessed sources</ns0:t>
        </ns0:is>
      </ns0:c>
      <ns0:c r="X376" s="21" t="inlineStr">
        <ns0:is>
          <ns0:t>Not reported in assessed sources</ns0:t>
        </ns0:is>
      </ns0:c>
      <ns0:c r="Y376" s="21" t="inlineStr">
        <ns0:is>
          <ns0:t>Not ascertainable</ns0:t>
        </ns0:is>
      </ns0:c>
      <ns0:c r="Z376" s="21" t="inlineStr">
        <ns0:is>
          <ns0:t>Not reported in assessed sources</ns0:t>
        </ns0:is>
      </ns0:c>
      <ns0:c r="AA376" s="21" t="inlineStr">
        <ns0:is>
          <ns0:t>Not recorded</ns0:t>
        </ns0:is>
      </ns0:c>
      <ns0:c r="AB376" s="28" t="n">
        <ns0:v>0</ns0:v>
      </ns0:c>
      <ns0:c r="AC376" s="28" t="n">
        <ns0:v>0</ns0:v>
      </ns0:c>
      <ns0:c r="AD376" s="29">
        <ns0:f>IF(AND(G376=1,AB376=0),1,0)</ns0:f>
        <ns0:v>1</ns0:v>
      </ns0:c>
      <ns0:c r="AE376" s="29">
        <ns0:f>IF(AND(AD376=1,AC376=0),1,0)</ns0:f>
        <ns0:v>1</ns0:v>
      </ns0:c>
      <ns0:c r="AF376" s="29">
        <ns0:f>IF(AND(G376=1,H376&lt;&gt;"Not specified"),1,0)</ns0:f>
        <ns0:v>1</ns0:v>
      </ns0:c>
      <ns0:c r="AG376" s="29">
        <ns0:f>IF(AND(AE376=1,AF376=1),1,0)</ns0:f>
        <ns0:v>1</ns0:v>
      </ns0:c>
      <ns0:c r="AH376" s="21" t="inlineStr">
        <ns0:is>
          <ns0:t>Prior source-specific extraction retained; no new full-text retrieval</ns0:t>
        </ns0:is>
      </ns0:c>
      <ns0:c r="AI376" s="21" t="inlineStr">
        <ns0:is>
          <ns0:t>https://doi.org/10.1016/j.ajp.2026.104830</ns0:t>
        </ns0:is>
      </ns0:c>
      <ns0:c r="AJ376" s="21" t="inlineStr">
        <ns0:is>
          <ns0:t>EVIDENCIA; original abstract/coding notes and lot source trace; Inherited scoped adjudication; see source level and lot caveats</ns0:t>
        </ns0:is>
      </ns0:c>
      <ns0:c r="AK376" s="21" t="inlineStr">
        <ns0:is>
          <ns0:t>Retained source-specific coding after review of the supplied extraction notes; not a new full-text retrieval. Systematically evaluates spatial and intensity augmentation on structural MRI with ResNet34; combined augmentation improves reported AUC to 0.7433. ABIDE data are multisite, but no site-held-out cross-site evaluation was identified. The study evaluates augmentation robustness, not external clinical generalization.</ns0:t>
        </ns0:is>
      </ns0:c>
      <ns0:c r="AL376" s="21" t="inlineStr">
        <ns0:is>
          <ns0:t>Not applicable</ns0:t>
        </ns0:is>
      </ns0:c>
      <ns0:c r="AM376" s="21" t="inlineStr">
        <ns0:is>
          <ns0:t>Not separately specified</ns0:t>
        </ns0:is>
      </ns0:c>
      <ns0:c r="AN376" s="21" t="inlineStr"/>
      <ns0:c r="AO376" s="21" t="inlineStr">
        <ns0:is>
          <ns0:t>No additional status determination</ns0:t>
        </ns0:is>
      </ns0:c>
      <ns0:c r="AP376" s="21" t="inlineStr">
        <ns0:is>
          <ns0:t>Not documented for this recharting</ns0:t>
        </ns0:is>
      </ns0:c>
      <ns0:c r="AQ376" s="21" t="inlineStr">
        <ns0:is>
          <ns0:t>ChatGPT-assisted evidence recharting, 2026-09-08</ns0:t>
        </ns0:is>
      </ns0:c>
      <ns0:c r="AR376" s="21" t="inlineStr">
        <ns0:is>
          <ns0:t>Revisión asistida por IA (un revisor; requiere verificación independiente)</ns0:t>
        </ns0:is>
      </ns0:c>
      <ns0:c r="AS376" s="21" t="inlineStr">
        <ns0:is>
          <ns0:t>Retrieved and reviewed</ns0:t>
        </ns0:is>
      </ns0:c>
    </ns0:row>
    <ns0:row r="377" ht="50" customHeight="1">
      <ns0:c r="A377" s="19" t="inlineStr">
        <ns0:is>
          <ns0:t>new_181</ns0:t>
        </ns0:is>
      </ns0:c>
      <ns0:c r="B377" s="19" t="inlineStr">
        <ns0:is>
          <ns0:t>Update</ns0:t>
        </ns0:is>
      </ns0:c>
      <ns0:c r="C377" s="19" t="inlineStr">
        <ns0:is>
          <ns0:t>Human-centered AI for inclusive tourism: enhancing travel planning for adults with autism spectrum disorder</ns0:t>
        </ns0:is>
      </ns0:c>
      <ns0:c r="D377" s="19" t="inlineStr">
        <ns0:is>
          <ns0:t>10.1016/j.ijhcs.2025.103696</ns0:t>
        </ns0:is>
      </ns0:c>
      <ns0:c r="E377" s="26" t="n">
        <ns0:v>2026</ns0:v>
      </ns0:c>
      <ns0:c r="F377" s="19" t="inlineStr">
        <ns0:is>
          <ns0:t>Include</ns0:t>
        </ns0:is>
      </ns0:c>
      <ns0:c r="G377" s="27">
        <ns0:f>IF(F377="Include",1,0)</ns0:f>
        <ns0:v>1</ns0:v>
      </ns0:c>
      <ns0:c r="H377" s="19" t="inlineStr">
        <ns0:is>
          <ns0:t>Monitoring/intervention</ns0:t>
        </ns0:is>
      </ns0:c>
      <ns0:c r="I377" s="19" t="inlineStr">
        <ns0:is>
          <ns0:t>Not specified</ns0:t>
        </ns0:is>
      </ns0:c>
      <ns0:c r="J377" s="19" t="inlineStr">
        <ns0:is>
          <ns0:t>Other biomedical/digital data</ns0:t>
        </ns0:is>
      </ns0:c>
      <ns0:c r="K377" s="19" t="inlineStr">
        <ns0:is>
          <ns0:t>CARES AI-driven information-filtering and interactive itinerary-planning system</ns0:t>
        </ns0:is>
      </ns0:c>
      <ns0:c r="L377" s="19" t="inlineStr">
        <ns0:is>
          <ns0:t>Other specified method</ns0:t>
        </ns0:is>
      </ns0:c>
      <ns0:c r="M377" s="19" t="inlineStr">
        <ns0:is>
          <ns0:t>Evaluated AI-supported intervention</ns0:t>
        </ns0:is>
      </ns0:c>
      <ns0:c r="N377" s="19" t="inlineStr">
        <ns0:is>
          <ns0:t>Assistive support</ns0:t>
        </ns0:is>
      </ns0:c>
      <ns0:c r="O377" s="19" t="inlineStr">
        <ns0:is>
          <ns0:t>Post-decision</ns0:t>
        </ns0:is>
      </ns0:c>
      <ns0:c r="P377" s="19" t="inlineStr">
        <ns0:is>
          <ns0:t>Post-decision</ns0:t>
        </ns0:is>
      </ns0:c>
      <ns0:c r="Q377" s="19" t="inlineStr">
        <ns0:is>
          <ns0:t>Not reported in assessed sources</ns0:t>
        </ns0:is>
      </ns0:c>
      <ns0:c r="R377" s="19" t="inlineStr">
        <ns0:is>
          <ns0:t>Not reported in assessed sources</ns0:t>
        </ns0:is>
      </ns0:c>
      <ns0:c r="S377" s="19" t="inlineStr">
        <ns0:is>
          <ns0:t>Not reported in assessed sources</ns0:t>
        </ns0:is>
      </ns0:c>
      <ns0:c r="T377" s="19" t="inlineStr">
        <ns0:is>
          <ns0:t>Not reported in assessed sources</ns0:t>
        </ns0:is>
      </ns0:c>
      <ns0:c r="U377" s="19" t="inlineStr">
        <ns0:is>
          <ns0:t>Not reported in assessed sources</ns0:t>
        </ns0:is>
      </ns0:c>
      <ns0:c r="V377" s="19" t="inlineStr">
        <ns0:is>
          <ns0:t>Not reported in assessed sources</ns0:t>
        </ns0:is>
      </ns0:c>
      <ns0:c r="W377" s="19" t="inlineStr">
        <ns0:is>
          <ns0:t>Not reported in assessed sources</ns0:t>
        </ns0:is>
      </ns0:c>
      <ns0:c r="X377" s="19" t="inlineStr">
        <ns0:is>
          <ns0:t>Reported</ns0:t>
        </ns0:is>
      </ns0:c>
      <ns0:c r="Y377" s="19" t="inlineStr">
        <ns0:is>
          <ns0:t>Not ascertainable</ns0:t>
        </ns0:is>
      </ns0:c>
      <ns0:c r="Z377" s="19" t="inlineStr">
        <ns0:is>
          <ns0:t>Not reported in assessed sources</ns0:t>
        </ns0:is>
      </ns0:c>
      <ns0:c r="AA377" s="19" t="inlineStr">
        <ns0:is>
          <ns0:t>Not recorded</ns0:t>
        </ns0:is>
      </ns0:c>
      <ns0:c r="AB377" s="26" t="n">
        <ns0:v>0</ns0:v>
      </ns0:c>
      <ns0:c r="AC377" s="26" t="n">
        <ns0:v>0</ns0:v>
      </ns0:c>
      <ns0:c r="AD377" s="27">
        <ns0:f>IF(AND(G377=1,AB377=0),1,0)</ns0:f>
        <ns0:v>1</ns0:v>
      </ns0:c>
      <ns0:c r="AE377" s="27">
        <ns0:f>IF(AND(AD377=1,AC377=0),1,0)</ns0:f>
        <ns0:v>1</ns0:v>
      </ns0:c>
      <ns0:c r="AF377" s="27">
        <ns0:f>IF(AND(G377=1,H377&lt;&gt;"Not specified"),1,0)</ns0:f>
        <ns0:v>1</ns0:v>
      </ns0:c>
      <ns0:c r="AG377" s="27">
        <ns0:f>IF(AND(AE377=1,AF377=1),1,0)</ns0:f>
        <ns0:v>1</ns0:v>
      </ns0:c>
      <ns0:c r="AH377" s="19" t="inlineStr">
        <ns0:is>
          <ns0:t>Prior source-specific extraction retained; no new full-text retrieval</ns0:t>
        </ns0:is>
      </ns0:c>
      <ns0:c r="AI377" s="19" t="inlineStr">
        <ns0:is>
          <ns0:t>https://doi.org/10.1016/j.ijhcs.2025.103696</ns0:t>
        </ns0:is>
      </ns0:c>
      <ns0:c r="AJ377" s="19" t="inlineStr">
        <ns0:is>
          <ns0:t>EVIDENCIA; original abstract/coding notes and lot source trace; Inherited scoped adjudication; see source level and lot caveats</ns0:t>
        </ns0:is>
      </ns0:c>
      <ns0:c r="AK377" s="19" t="inlineStr">
        <ns0:is>
          <ns0:t>Retained source-specific coding after review of the supplied extraction notes; not a new full-text retrieval. CARES is a human-centered AI trip planner tested with 14 autistic adults, designed to reduce information overload while preserving user decision autonomy. The paper demonstrates an assistive user-facing intervention, not a clinical diagnostic workflow. The exact algorithm family does not map cleanly to ML/DL and is therefore left Not specified.
Assistive travel-planning user evaluation, not clinical treatment efficacy.</ns0:t>
        </ns0:is>
      </ns0:c>
      <ns0:c r="AL377" s="19" t="inlineStr">
        <ns0:is>
          <ns0:t>Not applicable</ns0:t>
        </ns0:is>
      </ns0:c>
      <ns0:c r="AM377" s="19" t="inlineStr">
        <ns0:is>
          <ns0:t>Not separately specified</ns0:t>
        </ns0:is>
      </ns0:c>
      <ns0:c r="AN377" s="19" t="inlineStr"/>
      <ns0:c r="AO377" s="19" t="inlineStr">
        <ns0:is>
          <ns0:t>No additional status determination</ns0:t>
        </ns0:is>
      </ns0:c>
      <ns0:c r="AP377" s="19" t="inlineStr">
        <ns0:is>
          <ns0:t>Not documented for this recharting</ns0:t>
        </ns0:is>
      </ns0:c>
      <ns0:c r="AQ377" s="19" t="inlineStr">
        <ns0:is>
          <ns0:t>ChatGPT-assisted evidence recharting, 2026-09-08</ns0:t>
        </ns0:is>
      </ns0:c>
      <ns0:c r="AR377" s="19" t="inlineStr">
        <ns0:is>
          <ns0:t>Revisión asistida por IA (un revisor; requiere verificación independiente)</ns0:t>
        </ns0:is>
      </ns0:c>
      <ns0:c r="AS377" s="19" t="inlineStr">
        <ns0:is>
          <ns0:t>Retrieved and reviewed</ns0:t>
        </ns0:is>
      </ns0:c>
    </ns0:row>
    <ns0:row r="378" ht="50" customHeight="1">
      <ns0:c r="A378" s="21" t="inlineStr">
        <ns0:is>
          <ns0:t>new_187</ns0:t>
        </ns0:is>
      </ns0:c>
      <ns0:c r="B378" s="21" t="inlineStr">
        <ns0:is>
          <ns0:t>Update</ns0:t>
        </ns0:is>
      </ns0:c>
      <ns0:c r="C378" s="21" t="inlineStr">
        <ns0:is>
          <ns0:t>Early Identification of Autism Spectrum Disorder using a Hybrid ViT–Mamba Multimodal Architecture</ns0:t>
        </ns0:is>
      </ns0:c>
      <ns0:c r="D378" s="21" t="inlineStr">
        <ns0:is>
          <ns0:t>10.1016/j.procs.2026.06.363</ns0:t>
        </ns0:is>
      </ns0:c>
      <ns0:c r="E378" s="28" t="n">
        <ns0:v>2026</ns0:v>
      </ns0:c>
      <ns0:c r="F378" s="21" t="inlineStr">
        <ns0:is>
          <ns0:t>Include</ns0:t>
        </ns0:is>
      </ns0:c>
      <ns0:c r="G378" s="29">
        <ns0:f>IF(F378="Include",1,0)</ns0:f>
        <ns0:v>1</ns0:v>
      </ns0:c>
      <ns0:c r="H378" s="21" t="inlineStr">
        <ns0:is>
          <ns0:t>Screening</ns0:t>
        </ns0:is>
      </ns0:c>
      <ns0:c r="I378" s="21" t="inlineStr">
        <ns0:is>
          <ns0:t>Deep Learning</ns0:t>
        </ns0:is>
      </ns0:c>
      <ns0:c r="J378" s="21" t="inlineStr">
        <ns0:is>
          <ns0:t>Multiple source categories</ns0:t>
        </ns0:is>
      </ns0:c>
      <ns0:c r="K378" s="21" t="inlineStr">
        <ns0:is>
          <ns0:t>Hybrid ViT-Mamba / Mamba state-space multimodal architecture</ns0:t>
        </ns0:is>
      </ns0:c>
      <ns0:c r="L378" s="21" t="inlineStr">
        <ns0:is>
          <ns0:t>Transformer</ns0:t>
        </ns0:is>
      </ns0:c>
      <ns0:c r="M378" s="21" t="inlineStr">
        <ns0:is>
          <ns0:t>Proposed only</ns0:t>
        </ns0:is>
      </ns0:c>
      <ns0:c r="N378" s="21" t="inlineStr">
        <ns0:is>
          <ns0:t>Triage/questionnaire assessment</ns0:t>
        </ns0:is>
      </ns0:c>
      <ns0:c r="O378" s="21" t="inlineStr">
        <ns0:is>
          <ns0:t>Pre-decision</ns0:t>
        </ns0:is>
      </ns0:c>
      <ns0:c r="P378" s="21" t="inlineStr">
        <ns0:is>
          <ns0:t>Not observed in assessed sources</ns0:t>
        </ns0:is>
      </ns0:c>
      <ns0:c r="Q378" s="21" t="inlineStr">
        <ns0:is>
          <ns0:t>Not reported in assessed sources</ns0:t>
        </ns0:is>
      </ns0:c>
      <ns0:c r="R378" s="21" t="inlineStr">
        <ns0:is>
          <ns0:t>Reported</ns0:t>
        </ns0:is>
      </ns0:c>
      <ns0:c r="S378" s="21" t="inlineStr">
        <ns0:is>
          <ns0:t>Not reported in assessed sources</ns0:t>
        </ns0:is>
      </ns0:c>
      <ns0:c r="T378" s="21" t="inlineStr">
        <ns0:is>
          <ns0:t>Not reported in assessed sources</ns0:t>
        </ns0:is>
      </ns0:c>
      <ns0:c r="U378" s="21" t="inlineStr">
        <ns0:is>
          <ns0:t>Not reported in assessed sources</ns0:t>
        </ns0:is>
      </ns0:c>
      <ns0:c r="V378" s="21" t="inlineStr">
        <ns0:is>
          <ns0:t>Not reported in assessed sources</ns0:t>
        </ns0:is>
      </ns0:c>
      <ns0:c r="W378" s="21" t="inlineStr">
        <ns0:is>
          <ns0:t>Reported</ns0:t>
        </ns0:is>
      </ns0:c>
      <ns0:c r="X378" s="21" t="inlineStr">
        <ns0:is>
          <ns0:t>Not reported in assessed sources</ns0:t>
        </ns0:is>
      </ns0:c>
      <ns0:c r="Y378" s="21" t="inlineStr">
        <ns0:is>
          <ns0:t>Not ascertainable</ns0:t>
        </ns0:is>
      </ns0:c>
      <ns0:c r="Z378" s="21" t="inlineStr">
        <ns0:is>
          <ns0:t>Not reported in assessed sources</ns0:t>
        </ns0:is>
      </ns0:c>
      <ns0:c r="AA378" s="21" t="inlineStr">
        <ns0:is>
          <ns0:t>Not recorded</ns0:t>
        </ns0:is>
      </ns0:c>
      <ns0:c r="AB378" s="28" t="n">
        <ns0:v>0</ns0:v>
      </ns0:c>
      <ns0:c r="AC378" s="28" t="n">
        <ns0:v>0</ns0:v>
      </ns0:c>
      <ns0:c r="AD378" s="29">
        <ns0:f>IF(AND(G378=1,AB378=0),1,0)</ns0:f>
        <ns0:v>1</ns0:v>
      </ns0:c>
      <ns0:c r="AE378" s="29">
        <ns0:f>IF(AND(AD378=1,AC378=0),1,0)</ns0:f>
        <ns0:v>1</ns0:v>
      </ns0:c>
      <ns0:c r="AF378" s="29">
        <ns0:f>IF(AND(G378=1,H378&lt;&gt;"Not specified"),1,0)</ns0:f>
        <ns0:v>1</ns0:v>
      </ns0:c>
      <ns0:c r="AG378" s="29">
        <ns0:f>IF(AND(AE378=1,AF378=1),1,0)</ns0:f>
        <ns0:v>1</ns0:v>
      </ns0:c>
      <ns0:c r="AH378" s="21" t="inlineStr">
        <ns0:is>
          <ns0:t>Prior source-specific extraction retained; no new full-text retrieval</ns0:t>
        </ns0:is>
      </ns0:c>
      <ns0:c r="AI378" s="21" t="inlineStr">
        <ns0:is>
          <ns0:t>https://doi.org/10.1016/j.procs.2026.06.363</ns0:t>
        </ns0:is>
      </ns0:c>
      <ns0:c r="AJ378" s="21" t="inlineStr">
        <ns0:is>
          <ns0:t>EVIDENCIA; original abstract/coding notes and lot source trace; Inherited scoped adjudication; see source level and lot caveats</ns0:t>
        </ns0:is>
      </ns0:c>
      <ns0:c r="AK378" s="21" t="inlineStr">
        <ns0:is>
          <ns0:t>Retained source-specific coding after review of the supplied extraction notes; not a new full-text retrieval. Combines handwriting and behavioral questionnaire data with a Mamba-enabled multimodal architecture; reported screening accuracy is 95%. Evaluation is experimental and the article itself describes uncertain/limited datasets; no independent external cohort, prospective deployment, site-held-out robustness, or formal XAI was identified.
All-neural/optimization pipeline in recovered evidence; hybrid title is not sufficient for mixed conventional-ML/DL classification.</ns0:t>
        </ns0:is>
      </ns0:c>
      <ns0:c r="AL378" s="21" t="inlineStr">
        <ns0:is>
          <ns0:t>Not applicable</ns0:t>
        </ns0:is>
      </ns0:c>
      <ns0:c r="AM378" s="21" t="inlineStr">
        <ns0:is>
          <ns0:t>Not separately specified</ns0:t>
        </ns0:is>
      </ns0:c>
      <ns0:c r="AN378" s="21" t="inlineStr"/>
      <ns0:c r="AO378" s="21" t="inlineStr">
        <ns0:is>
          <ns0:t>No additional status determination</ns0:t>
        </ns0:is>
      </ns0:c>
      <ns0:c r="AP378" s="21" t="inlineStr">
        <ns0:is>
          <ns0:t>Not documented for this recharting</ns0:t>
        </ns0:is>
      </ns0:c>
      <ns0:c r="AQ378" s="21" t="inlineStr">
        <ns0:is>
          <ns0:t>ChatGPT-assisted evidence recharting, 2026-09-08</ns0:t>
        </ns0:is>
      </ns0:c>
      <ns0:c r="AR378" s="21" t="inlineStr">
        <ns0:is>
          <ns0:t>Revision asistida por IA (un revisor; requiere verificacion independiente)</ns0:t>
        </ns0:is>
      </ns0:c>
      <ns0:c r="AS378" s="21" t="inlineStr">
        <ns0:is>
          <ns0:t>Retrieved and reviewed</ns0:t>
        </ns0:is>
      </ns0:c>
    </ns0:row>
    <ns0:row r="379" ht="50" customHeight="1">
      <ns0:c r="A379" s="19" t="inlineStr">
        <ns0:is>
          <ns0:t>new_188</ns0:t>
        </ns0:is>
      </ns0:c>
      <ns0:c r="B379" s="19" t="inlineStr">
        <ns0:is>
          <ns0:t>Update</ns0:t>
        </ns0:is>
      </ns0:c>
      <ns0:c r="C379" s="19" t="inlineStr">
        <ns0:is>
          <ns0:t>Baseline symptom severity and response to multisession cathodal transcranial direct current stimulation in adolescents and young adults with autism: an exploratory analysis</ns0:t>
        </ns0:is>
      </ns0:c>
      <ns0:c r="D379" s="19" t="inlineStr">
        <ns0:is>
          <ns0:t>10.1016/j.jpsychires.2026.03.043</ns0:t>
        </ns0:is>
      </ns0:c>
      <ns0:c r="E379" s="26" t="n">
        <ns0:v>2026</ns0:v>
      </ns0:c>
      <ns0:c r="F379" s="19" t="inlineStr">
        <ns0:is>
          <ns0:t>Include</ns0:t>
        </ns0:is>
      </ns0:c>
      <ns0:c r="G379" s="27">
        <ns0:f>IF(F379="Include",1,0)</ns0:f>
        <ns0:v>1</ns0:v>
      </ns0:c>
      <ns0:c r="H379" s="19" t="inlineStr">
        <ns0:is>
          <ns0:t>Prognosis</ns0:t>
        </ns0:is>
      </ns0:c>
      <ns0:c r="I379" s="19" t="inlineStr">
        <ns0:is>
          <ns0:t>Machine Learning</ns0:t>
        </ns0:is>
      </ns0:c>
      <ns0:c r="J379" s="19" t="inlineStr">
        <ns0:is>
          <ns0:t>Structured clinical/questionnaire data</ns0:t>
        </ns0:is>
      </ns0:c>
      <ns0:c r="K379" s="19" t="inlineStr">
        <ns0:is>
          <ns0:t>Predictive modelling with normalized feature importance + SHAP (base learner not specified in recovered text)</ns0:t>
        </ns0:is>
      </ns0:c>
      <ns0:c r="L379" s="19" t="inlineStr">
        <ns0:is>
          <ns0:t>Multiple/not uniquely specified</ns0:t>
        </ns0:is>
      </ns0:c>
      <ns0:c r="M379" s="19" t="inlineStr">
        <ns0:is>
          <ns0:t>Research only</ns0:t>
        </ns0:is>
      </ns0:c>
      <ns0:c r="N379" s="19" t="inlineStr">
        <ns0:is>
          <ns0:t>Risk/trajectory estimation</ns0:t>
        </ns0:is>
      </ns0:c>
      <ns0:c r="O379" s="19" t="inlineStr">
        <ns0:is>
          <ns0:t>Not observed in assessed sources</ns0:t>
        </ns0:is>
      </ns0:c>
      <ns0:c r="P379" s="19" t="inlineStr">
        <ns0:is>
          <ns0:t>Not observed in assessed sources</ns0:t>
        </ns0:is>
      </ns0:c>
      <ns0:c r="Q379" s="19" t="inlineStr">
        <ns0:is>
          <ns0:t>Not reported in assessed sources</ns0:t>
        </ns0:is>
      </ns0:c>
      <ns0:c r="R379" s="19" t="inlineStr">
        <ns0:is>
          <ns0:t>Not reported in assessed sources</ns0:t>
        </ns0:is>
      </ns0:c>
      <ns0:c r="S379" s="19" t="inlineStr">
        <ns0:is>
          <ns0:t>Reported</ns0:t>
        </ns0:is>
      </ns0:c>
      <ns0:c r="T379" s="19" t="inlineStr">
        <ns0:is>
          <ns0:t>Reported</ns0:t>
        </ns0:is>
      </ns0:c>
      <ns0:c r="U379" s="19" t="inlineStr">
        <ns0:is>
          <ns0:t>Not reported in assessed sources</ns0:t>
        </ns0:is>
      </ns0:c>
      <ns0:c r="V379" s="19" t="inlineStr">
        <ns0:is>
          <ns0:t>Not reported in assessed sources</ns0:t>
        </ns0:is>
      </ns0:c>
      <ns0:c r="W379" s="19" t="inlineStr">
        <ns0:is>
          <ns0:t>Not reported in assessed sources</ns0:t>
        </ns0:is>
      </ns0:c>
      <ns0:c r="X379" s="19" t="inlineStr">
        <ns0:is>
          <ns0:t>Not reported in assessed sources</ns0:t>
        </ns0:is>
      </ns0:c>
      <ns0:c r="Y379" s="19" t="inlineStr">
        <ns0:is>
          <ns0:t>Reported</ns0:t>
        </ns0:is>
      </ns0:c>
      <ns0:c r="Z379" s="19" t="inlineStr">
        <ns0:is>
          <ns0:t>Not reported in assessed sources</ns0:t>
        </ns0:is>
      </ns0:c>
      <ns0:c r="AA379" s="19" t="inlineStr">
        <ns0:is>
          <ns0:t>Not recorded</ns0:t>
        </ns0:is>
      </ns0:c>
      <ns0:c r="AB379" s="26" t="n">
        <ns0:v>0</ns0:v>
      </ns0:c>
      <ns0:c r="AC379" s="26" t="n">
        <ns0:v>0</ns0:v>
      </ns0:c>
      <ns0:c r="AD379" s="27">
        <ns0:f>IF(AND(G379=1,AB379=0),1,0)</ns0:f>
        <ns0:v>1</ns0:v>
      </ns0:c>
      <ns0:c r="AE379" s="27">
        <ns0:f>IF(AND(AD379=1,AC379=0),1,0)</ns0:f>
        <ns0:v>1</ns0:v>
      </ns0:c>
      <ns0:c r="AF379" s="27">
        <ns0:f>IF(AND(G379=1,H379&lt;&gt;"Not specified"),1,0)</ns0:f>
        <ns0:v>1</ns0:v>
      </ns0:c>
      <ns0:c r="AG379" s="27">
        <ns0:f>IF(AND(AE379=1,AF379=1),1,0)</ns0:f>
        <ns0:v>1</ns0:v>
      </ns0:c>
      <ns0:c r="AH379" s="19" t="inlineStr">
        <ns0:is>
          <ns0:t>Prior source-specific extraction retained; no new full-text retrieval</ns0:t>
        </ns0:is>
      </ns0:c>
      <ns0:c r="AI379" s="19" t="inlineStr">
        <ns0:is>
          <ns0:t>https://doi.org/10.1016/j.jpsychires.2026.03.043</ns0:t>
        </ns0:is>
      </ns0:c>
      <ns0:c r="AJ379" s="19" t="inlineStr">
        <ns0:is>
          <ns0:t>EVIDENCIA; original abstract/coding notes and lot source trace; Inherited scoped adjudication; see source level and lot caveats</ns0:t>
        </ns0:is>
      </ns0:c>
      <ns0:c r="AK379" s="19" t="inlineStr">
        <ns0:is>
          <ns0:t>Retained source-specific coding after review of the supplied extraction notes; not a new full-text retrieval. Baseline ADI-R features were used to distinguish tDCS responders; SHAP linked lower verbal communication severity to greater RRB reduction and a model-derived threshold of 19.6 was reported. Exploratory analysis from a registered intervention protocol. The article explicitly calls for replication in larger independent cohorts; the exact base learner was not recoverable from the indexed text.</ns0:t>
        </ns0:is>
      </ns0:c>
      <ns0:c r="AL379" s="19" t="inlineStr">
        <ns0:is>
          <ns0:t>Not applicable</ns0:t>
        </ns0:is>
      </ns0:c>
      <ns0:c r="AM379" s="19" t="inlineStr">
        <ns0:is>
          <ns0:t>Not separately specified</ns0:t>
        </ns0:is>
      </ns0:c>
      <ns0:c r="AN379" s="19" t="inlineStr"/>
      <ns0:c r="AO379" s="19" t="inlineStr">
        <ns0:is>
          <ns0:t>No additional status determination</ns0:t>
        </ns0:is>
      </ns0:c>
      <ns0:c r="AP379" s="19" t="inlineStr">
        <ns0:is>
          <ns0:t>Not documented for this recharting</ns0:t>
        </ns0:is>
      </ns0:c>
      <ns0:c r="AQ379" s="19" t="inlineStr">
        <ns0:is>
          <ns0:t>ChatGPT-assisted evidence recharting, 2026-09-08</ns0:t>
        </ns0:is>
      </ns0:c>
      <ns0:c r="AR379" s="19" t="inlineStr">
        <ns0:is>
          <ns0:t>Revision asistida por IA (un revisor; requiere verificacion independiente)</ns0:t>
        </ns0:is>
      </ns0:c>
      <ns0:c r="AS379" s="19" t="inlineStr">
        <ns0:is>
          <ns0:t>Retrieved and reviewed</ns0:t>
        </ns0:is>
      </ns0:c>
    </ns0:row>
    <ns0:row r="380" ht="50" customHeight="1">
      <ns0:c r="A380" s="21" t="inlineStr">
        <ns0:is>
          <ns0:t>new_190</ns0:t>
        </ns0:is>
      </ns0:c>
      <ns0:c r="B380" s="21" t="inlineStr">
        <ns0:is>
          <ns0:t>Update</ns0:t>
        </ns0:is>
      </ns0:c>
      <ns0:c r="C380" s="21" t="inlineStr">
        <ns0:is>
          <ns0:t>DenWide-Net: Dense WideresNet for autism spectrum disorder detection using MRI image</ns0:t>
        </ns0:is>
      </ns0:c>
      <ns0:c r="D380" s="21" t="inlineStr">
        <ns0:is>
          <ns0:t>10.1016/j.bspc.2025.108976</ns0:t>
        </ns0:is>
      </ns0:c>
      <ns0:c r="E380" s="28" t="n">
        <ns0:v>2026</ns0:v>
      </ns0:c>
      <ns0:c r="F380" s="21" t="inlineStr">
        <ns0:is>
          <ns0:t>Include</ns0:t>
        </ns0:is>
      </ns0:c>
      <ns0:c r="G380" s="29">
        <ns0:f>IF(F380="Include",1,0)</ns0:f>
        <ns0:v>1</ns0:v>
      </ns0:c>
      <ns0:c r="H380" s="21" t="inlineStr">
        <ns0:is>
          <ns0:t>Diagnosis</ns0:t>
        </ns0:is>
      </ns0:c>
      <ns0:c r="I380" s="21" t="inlineStr">
        <ns0:is>
          <ns0:t>Deep Learning</ns0:t>
        </ns0:is>
      </ns0:c>
      <ns0:c r="J380" s="21" t="inlineStr">
        <ns0:is>
          <ns0:t>Neuroimaging</ns0:t>
        </ns0:is>
      </ns0:c>
      <ns0:c r="K380" s="21" t="inlineStr">
        <ns0:is>
          <ns0:t>FHOA + DenWide-Net (DenseNet/WideResNet optimization pipeline)</ns0:t>
        </ns0:is>
      </ns0:c>
      <ns0:c r="L380" s="21" t="inlineStr">
        <ns0:is>
          <ns0:t>CNN</ns0:t>
        </ns0:is>
      </ns0:c>
      <ns0:c r="M380" s="21" t="inlineStr">
        <ns0:is>
          <ns0:t>Research only</ns0:t>
        </ns0:is>
      </ns0:c>
      <ns0:c r="N380" s="21" t="inlineStr">
        <ns0:is>
          <ns0:t>Automated measurement/classification</ns0:t>
        </ns0:is>
      </ns0:c>
      <ns0:c r="O380" s="21" t="inlineStr">
        <ns0:is>
          <ns0:t>Not observed in assessed sources</ns0:t>
        </ns0:is>
      </ns0:c>
      <ns0:c r="P380" s="21" t="inlineStr">
        <ns0:is>
          <ns0:t>Not observed in assessed sources</ns0:t>
        </ns0:is>
      </ns0:c>
      <ns0:c r="Q380" s="21" t="inlineStr">
        <ns0:is>
          <ns0:t>Not reported in assessed sources</ns0:t>
        </ns0:is>
      </ns0:c>
      <ns0:c r="R380" s="21" t="inlineStr">
        <ns0:is>
          <ns0:t>Not reported in assessed sources</ns0:t>
        </ns0:is>
      </ns0:c>
      <ns0:c r="S380" s="21" t="inlineStr">
        <ns0:is>
          <ns0:t>Not reported in assessed sources</ns0:t>
        </ns0:is>
      </ns0:c>
      <ns0:c r="T380" s="21" t="inlineStr">
        <ns0:is>
          <ns0:t>Not reported in assessed sources</ns0:t>
        </ns0:is>
      </ns0:c>
      <ns0:c r="U380" s="21" t="inlineStr">
        <ns0:is>
          <ns0:t>Not reported in assessed sources</ns0:t>
        </ns0:is>
      </ns0:c>
      <ns0:c r="V380" s="21" t="inlineStr">
        <ns0:is>
          <ns0:t>Reported</ns0:t>
        </ns0:is>
      </ns0:c>
      <ns0:c r="W380" s="21" t="inlineStr">
        <ns0:is>
          <ns0:t>Not reported in assessed sources</ns0:t>
        </ns0:is>
      </ns0:c>
      <ns0:c r="X380" s="21" t="inlineStr">
        <ns0:is>
          <ns0:t>Not reported in assessed sources</ns0:t>
        </ns0:is>
      </ns0:c>
      <ns0:c r="Y380" s="21" t="inlineStr">
        <ns0:is>
          <ns0:t>Not ascertainable</ns0:t>
        </ns0:is>
      </ns0:c>
      <ns0:c r="Z380" s="21" t="inlineStr">
        <ns0:is>
          <ns0:t>Not reported in assessed sources</ns0:t>
        </ns0:is>
      </ns0:c>
      <ns0:c r="AA380" s="21" t="inlineStr">
        <ns0:is>
          <ns0:t>Not recorded</ns0:t>
        </ns0:is>
      </ns0:c>
      <ns0:c r="AB380" s="28" t="n">
        <ns0:v>0</ns0:v>
      </ns0:c>
      <ns0:c r="AC380" s="28" t="n">
        <ns0:v>0</ns0:v>
      </ns0:c>
      <ns0:c r="AD380" s="29">
        <ns0:f>IF(AND(G380=1,AB380=0),1,0)</ns0:f>
        <ns0:v>1</ns0:v>
      </ns0:c>
      <ns0:c r="AE380" s="29">
        <ns0:f>IF(AND(AD380=1,AC380=0),1,0)</ns0:f>
        <ns0:v>1</ns0:v>
      </ns0:c>
      <ns0:c r="AF380" s="29">
        <ns0:f>IF(AND(G380=1,H380&lt;&gt;"Not specified"),1,0)</ns0:f>
        <ns0:v>1</ns0:v>
      </ns0:c>
      <ns0:c r="AG380" s="29">
        <ns0:f>IF(AND(AE380=1,AF380=1),1,0)</ns0:f>
        <ns0:v>1</ns0:v>
      </ns0:c>
      <ns0:c r="AH380" s="21" t="inlineStr">
        <ns0:is>
          <ns0:t>Prior source-specific extraction retained; no new full-text retrieval</ns0:t>
        </ns0:is>
      </ns0:c>
      <ns0:c r="AI380" s="21" t="inlineStr">
        <ns0:is>
          <ns0:t>https://doi.org/10.1016/j.bspc.2025.108976</ns0:t>
        </ns0:is>
      </ns0:c>
      <ns0:c r="AJ380" s="21" t="inlineStr">
        <ns0:is>
          <ns0:t>EVIDENCIA; original abstract/coding notes and lot source trace; Inherited scoped adjudication; see source level and lot caveats</ns0:t>
        </ns0:is>
      </ns0:c>
      <ns0:c r="AK380" s="21" t="inlineStr">
        <ns0:is>
          <ns0:t>Retained source-specific coding after review of the supplied extraction notes; not a new full-text retrieval. Uses Acerta-ABIDE brain MRI with Wiener filtering, ROI extraction, fractional hiking optimization and Dense WideResNet; reported accuracy is about 91%. ABIDE is multisite, but no explicit site-held-out or independent external validation design was identified; no prospective clinical evaluation or formal XAI was reported.
All-neural/optimization pipeline in recovered evidence; hybrid title is not sufficient for mixed conventional-ML/DL classification.</ns0:t>
        </ns0:is>
      </ns0:c>
      <ns0:c r="AL380" s="21" t="inlineStr">
        <ns0:is>
          <ns0:t>Not applicable</ns0:t>
        </ns0:is>
      </ns0:c>
      <ns0:c r="AM380" s="21" t="inlineStr">
        <ns0:is>
          <ns0:t>Not separately specified</ns0:t>
        </ns0:is>
      </ns0:c>
      <ns0:c r="AN380" s="21" t="inlineStr"/>
      <ns0:c r="AO380" s="21" t="inlineStr">
        <ns0:is>
          <ns0:t>No additional status determination</ns0:t>
        </ns0:is>
      </ns0:c>
      <ns0:c r="AP380" s="21" t="inlineStr">
        <ns0:is>
          <ns0:t>Not documented for this recharting</ns0:t>
        </ns0:is>
      </ns0:c>
      <ns0:c r="AQ380" s="21" t="inlineStr">
        <ns0:is>
          <ns0:t>ChatGPT-assisted evidence recharting, 2026-09-08</ns0:t>
        </ns0:is>
      </ns0:c>
      <ns0:c r="AR380" s="21" t="inlineStr">
        <ns0:is>
          <ns0:t>Revision asistida por IA (un revisor; requiere verificacion independiente)</ns0:t>
        </ns0:is>
      </ns0:c>
      <ns0:c r="AS380" s="21" t="inlineStr">
        <ns0:is>
          <ns0:t>Retrieved and reviewed</ns0:t>
        </ns0:is>
      </ns0:c>
    </ns0:row>
    <ns0:row r="381" ht="50" customHeight="1">
      <ns0:c r="A381" s="19" t="inlineStr">
        <ns0:is>
          <ns0:t>new_199</ns0:t>
        </ns0:is>
      </ns0:c>
      <ns0:c r="B381" s="19" t="inlineStr">
        <ns0:is>
          <ns0:t>Update</ns0:t>
        </ns0:is>
      </ns0:c>
      <ns0:c r="C381" s="19" t="inlineStr">
        <ns0:is>
          <ns0:t>Artificial Intelligence for Enhancing Emotion Expression in Augmentative and Alternative Communication Systems: A Preliminary Study Including Children Both With and Without Autism.</ns0:t>
        </ns0:is>
      </ns0:c>
      <ns0:c r="D381" s="19" t="inlineStr">
        <ns0:is>
          <ns0:t>10.1044/2026_ajslp-25-00469</ns0:t>
        </ns0:is>
      </ns0:c>
      <ns0:c r="E381" s="26" t="n">
        <ns0:v>2026</ns0:v>
      </ns0:c>
      <ns0:c r="F381" s="19" t="inlineStr">
        <ns0:is>
          <ns0:t>Include</ns0:t>
        </ns0:is>
      </ns0:c>
      <ns0:c r="G381" s="27">
        <ns0:f>IF(F381="Include",1,0)</ns0:f>
        <ns0:v>1</ns0:v>
      </ns0:c>
      <ns0:c r="H381" s="19" t="inlineStr">
        <ns0:is>
          <ns0:t>Monitoring/intervention</ns0:t>
        </ns0:is>
      </ns0:c>
      <ns0:c r="I381" s="19" t="inlineStr">
        <ns0:is>
          <ns0:t>Deep Learning</ns0:t>
        </ns0:is>
      </ns0:c>
      <ns0:c r="J381" s="19" t="inlineStr">
        <ns0:is>
          <ns0:t>Behavioral images/video/gaze/movement</ns0:t>
        </ns0:is>
      </ns0:c>
      <ns0:c r="K381" s="19" t="inlineStr">
        <ns0:is>
          <ns0:t>DeepFace facial emotion recognition with individualized calibration</ns0:t>
        </ns0:is>
      </ns0:c>
      <ns0:c r="L381" s="19" t="inlineStr">
        <ns0:is>
          <ns0:t>Other specified method</ns0:t>
        </ns0:is>
      </ns0:c>
      <ns0:c r="M381" s="19" t="inlineStr">
        <ns0:is>
          <ns0:t>Proposed only</ns0:t>
        </ns0:is>
      </ns0:c>
      <ns0:c r="N381" s="19" t="inlineStr">
        <ns0:is>
          <ns0:t>Assistive support</ns0:t>
        </ns0:is>
      </ns0:c>
      <ns0:c r="O381" s="19" t="inlineStr">
        <ns0:is>
          <ns0:t>Post-decision</ns0:t>
        </ns0:is>
      </ns0:c>
      <ns0:c r="P381" s="19" t="inlineStr">
        <ns0:is>
          <ns0:t>Not observed in assessed sources</ns0:t>
        </ns0:is>
      </ns0:c>
      <ns0:c r="Q381" s="19" t="inlineStr">
        <ns0:is>
          <ns0:t>Not reported in assessed sources</ns0:t>
        </ns0:is>
      </ns0:c>
      <ns0:c r="R381" s="19" t="inlineStr">
        <ns0:is>
          <ns0:t>Not reported in assessed sources</ns0:t>
        </ns0:is>
      </ns0:c>
      <ns0:c r="S381" s="19" t="inlineStr">
        <ns0:is>
          <ns0:t>Not reported in assessed sources</ns0:t>
        </ns0:is>
      </ns0:c>
      <ns0:c r="T381" s="19" t="inlineStr">
        <ns0:is>
          <ns0:t>Not reported in assessed sources</ns0:t>
        </ns0:is>
      </ns0:c>
      <ns0:c r="U381" s="19" t="inlineStr">
        <ns0:is>
          <ns0:t>Not reported in assessed sources</ns0:t>
        </ns0:is>
      </ns0:c>
      <ns0:c r="V381" s="19" t="inlineStr">
        <ns0:is>
          <ns0:t>Not reported in assessed sources</ns0:t>
        </ns0:is>
      </ns0:c>
      <ns0:c r="W381" s="19" t="inlineStr">
        <ns0:is>
          <ns0:t>Not reported in assessed sources</ns0:t>
        </ns0:is>
      </ns0:c>
      <ns0:c r="X381" s="19" t="inlineStr">
        <ns0:is>
          <ns0:t>Not ascertainable</ns0:t>
        </ns0:is>
      </ns0:c>
      <ns0:c r="Y381" s="19" t="inlineStr">
        <ns0:is>
          <ns0:t>Reported</ns0:t>
        </ns0:is>
      </ns0:c>
      <ns0:c r="Z381" s="19" t="inlineStr">
        <ns0:is>
          <ns0:t>Not reported in assessed sources</ns0:t>
        </ns0:is>
      </ns0:c>
      <ns0:c r="AA381" s="19" t="inlineStr">
        <ns0:is>
          <ns0:t>Not recorded</ns0:t>
        </ns0:is>
      </ns0:c>
      <ns0:c r="AB381" s="26" t="n">
        <ns0:v>0</ns0:v>
      </ns0:c>
      <ns0:c r="AC381" s="26" t="n">
        <ns0:v>0</ns0:v>
      </ns0:c>
      <ns0:c r="AD381" s="27">
        <ns0:f>IF(AND(G381=1,AB381=0),1,0)</ns0:f>
        <ns0:v>1</ns0:v>
      </ns0:c>
      <ns0:c r="AE381" s="27">
        <ns0:f>IF(AND(AD381=1,AC381=0),1,0)</ns0:f>
        <ns0:v>1</ns0:v>
      </ns0:c>
      <ns0:c r="AF381" s="27">
        <ns0:f>IF(AND(G381=1,H381&lt;&gt;"Not specified"),1,0)</ns0:f>
        <ns0:v>1</ns0:v>
      </ns0:c>
      <ns0:c r="AG381" s="27">
        <ns0:f>IF(AND(AE381=1,AF381=1),1,0)</ns0:f>
        <ns0:v>1</ns0:v>
      </ns0:c>
      <ns0:c r="AH381" s="19" t="inlineStr">
        <ns0:is>
          <ns0:t>Prior source-specific extraction retained; no new full-text retrieval</ns0:t>
        </ns0:is>
      </ns0:c>
      <ns0:c r="AI381" s="19" t="inlineStr">
        <ns0:is>
          <ns0:t>https://doi.org/10.1044/2026_ajslp-25-00469</ns0:t>
        </ns0:is>
      </ns0:c>
      <ns0:c r="AJ381" s="19" t="inlineStr">
        <ns0:is>
          <ns0:t>EVIDENCIA; original abstract/coding notes and lot source trace; Inherited scoped adjudication; see source level and lot caveats</ns0:t>
        </ns0:is>
      </ns0:c>
      <ns0:c r="AK381" s="19" t="inlineStr">
        <ns0:is>
          <ns0:t>Retained source-specific coding after review of the supplied extraction notes; not a new full-text retrieval. Twelve neurotypical children and four autistic children completed imitation and semispontaneous emotion tasks using DeepFace with individualized calibration; provisional accuracy and user experience were reported. Very small ASD subgroup and no active AAC users. The study is preliminary; multimodal inputs, broader populations and real-world AAC deployment remain future work.
Small emotion-task feasibility study, no active AAC users; not an integrated AAC clinical evaluation.</ns0:t>
        </ns0:is>
      </ns0:c>
      <ns0:c r="AL381" s="19" t="inlineStr">
        <ns0:is>
          <ns0:t>Not applicable</ns0:t>
        </ns0:is>
      </ns0:c>
      <ns0:c r="AM381" s="19" t="inlineStr">
        <ns0:is>
          <ns0:t>Not separately specified</ns0:t>
        </ns0:is>
      </ns0:c>
      <ns0:c r="AN381" s="19" t="inlineStr"/>
      <ns0:c r="AO381" s="19" t="inlineStr">
        <ns0:is>
          <ns0:t>No additional status determination</ns0:t>
        </ns0:is>
      </ns0:c>
      <ns0:c r="AP381" s="19" t="inlineStr">
        <ns0:is>
          <ns0:t>Not documented for this recharting</ns0:t>
        </ns0:is>
      </ns0:c>
      <ns0:c r="AQ381" s="19" t="inlineStr">
        <ns0:is>
          <ns0:t>ChatGPT-assisted evidence recharting, 2026-09-08</ns0:t>
        </ns0:is>
      </ns0:c>
      <ns0:c r="AR381" s="19" t="inlineStr">
        <ns0:is>
          <ns0:t>Revision asistida por IA (un revisor; requiere verificacion independiente)</ns0:t>
        </ns0:is>
      </ns0:c>
      <ns0:c r="AS381" s="19" t="inlineStr">
        <ns0:is>
          <ns0:t>Retrieved and reviewed</ns0:t>
        </ns0:is>
      </ns0:c>
    </ns0:row>
    <ns0:row r="382" ht="50" customHeight="1">
      <ns0:c r="A382" s="21" t="inlineStr">
        <ns0:is>
          <ns0:t>new_203</ns0:t>
        </ns0:is>
      </ns0:c>
      <ns0:c r="B382" s="21" t="inlineStr">
        <ns0:is>
          <ns0:t>Update</ns0:t>
        </ns0:is>
      </ns0:c>
      <ns0:c r="C382" s="21" t="inlineStr">
        <ns0:is>
          <ns0:t>Individuation of predictive parameters of posterior cranial fossa decompression in pediatric patients with Chiari I malformation and autism spectrum disorder</ns0:t>
        </ns0:is>
      </ns0:c>
      <ns0:c r="D382" s="21" t="inlineStr">
        <ns0:is>
          <ns0:t>10.1007/s00381-025-07119-2</ns0:t>
        </ns0:is>
      </ns0:c>
      <ns0:c r="E382" s="28" t="n">
        <ns0:v>2026</ns0:v>
      </ns0:c>
      <ns0:c r="F382" s="21" t="inlineStr">
        <ns0:is>
          <ns0:t>Include</ns0:t>
        </ns0:is>
      </ns0:c>
      <ns0:c r="G382" s="29">
        <ns0:f>IF(F382="Include",1,0)</ns0:f>
        <ns0:v>1</ns0:v>
      </ns0:c>
      <ns0:c r="H382" s="21" t="inlineStr">
        <ns0:is>
          <ns0:t>Prognosis</ns0:t>
        </ns0:is>
      </ns0:c>
      <ns0:c r="I382" s="21" t="inlineStr">
        <ns0:is>
          <ns0:t>Machine Learning</ns0:t>
        </ns0:is>
      </ns0:c>
      <ns0:c r="J382" s="21" t="inlineStr">
        <ns0:is>
          <ns0:t>Neuroimaging</ns0:t>
        </ns0:is>
      </ns0:c>
      <ns0:c r="K382" s="21" t="inlineStr">
        <ns0:is>
          <ns0:t>Binary decision tree classifier on cranial morphometric parameters</ns0:t>
        </ns0:is>
      </ns0:c>
      <ns0:c r="L382" s="21" t="inlineStr">
        <ns0:is>
          <ns0:t>Decision tree/rules</ns0:t>
        </ns0:is>
      </ns0:c>
      <ns0:c r="M382" s="21" t="inlineStr">
        <ns0:is>
          <ns0:t>Research only</ns0:t>
        </ns0:is>
      </ns0:c>
      <ns0:c r="N382" s="21" t="inlineStr">
        <ns0:is>
          <ns0:t>Risk/trajectory estimation</ns0:t>
        </ns0:is>
      </ns0:c>
      <ns0:c r="O382" s="21" t="inlineStr">
        <ns0:is>
          <ns0:t>Not observed in assessed sources</ns0:t>
        </ns0:is>
      </ns0:c>
      <ns0:c r="P382" s="21" t="inlineStr">
        <ns0:is>
          <ns0:t>Not observed in assessed sources</ns0:t>
        </ns0:is>
      </ns0:c>
      <ns0:c r="Q382" s="21" t="inlineStr">
        <ns0:is>
          <ns0:t>Not reported in assessed sources</ns0:t>
        </ns0:is>
      </ns0:c>
      <ns0:c r="R382" s="21" t="inlineStr">
        <ns0:is>
          <ns0:t>Reported</ns0:t>
        </ns0:is>
      </ns0:c>
      <ns0:c r="S382" s="21" t="inlineStr">
        <ns0:is>
          <ns0:t>Reported</ns0:t>
        </ns0:is>
      </ns0:c>
      <ns0:c r="T382" s="21" t="inlineStr">
        <ns0:is>
          <ns0:t>Not reported in assessed sources</ns0:t>
        </ns0:is>
      </ns0:c>
      <ns0:c r="U382" s="21" t="inlineStr">
        <ns0:is>
          <ns0:t>Not reported in assessed sources</ns0:t>
        </ns0:is>
      </ns0:c>
      <ns0:c r="V382" s="21" t="inlineStr">
        <ns0:is>
          <ns0:t>Not reported in assessed sources</ns0:t>
        </ns0:is>
      </ns0:c>
      <ns0:c r="W382" s="21" t="inlineStr">
        <ns0:is>
          <ns0:t>Reported</ns0:t>
        </ns0:is>
      </ns0:c>
      <ns0:c r="X382" s="21" t="inlineStr">
        <ns0:is>
          <ns0:t>Not reported in assessed sources</ns0:t>
        </ns0:is>
      </ns0:c>
      <ns0:c r="Y382" s="21" t="inlineStr">
        <ns0:is>
          <ns0:t>Not ascertainable</ns0:t>
        </ns0:is>
      </ns0:c>
      <ns0:c r="Z382" s="21" t="inlineStr">
        <ns0:is>
          <ns0:t>Reported</ns0:t>
        </ns0:is>
      </ns0:c>
      <ns0:c r="AA382" s="21" t="inlineStr">
        <ns0:is>
          <ns0:t>Not recorded</ns0:t>
        </ns0:is>
      </ns0:c>
      <ns0:c r="AB382" s="28" t="n">
        <ns0:v>0</ns0:v>
      </ns0:c>
      <ns0:c r="AC382" s="28" t="n">
        <ns0:v>0</ns0:v>
      </ns0:c>
      <ns0:c r="AD382" s="29">
        <ns0:f>IF(AND(G382=1,AB382=0),1,0)</ns0:f>
        <ns0:v>1</ns0:v>
      </ns0:c>
      <ns0:c r="AE382" s="29">
        <ns0:f>IF(AND(AD382=1,AC382=0),1,0)</ns0:f>
        <ns0:v>1</ns0:v>
      </ns0:c>
      <ns0:c r="AF382" s="29">
        <ns0:f>IF(AND(G382=1,H382&lt;&gt;"Not specified"),1,0)</ns0:f>
        <ns0:v>1</ns0:v>
      </ns0:c>
      <ns0:c r="AG382" s="29">
        <ns0:f>IF(AND(AE382=1,AF382=1),1,0)</ns0:f>
        <ns0:v>1</ns0:v>
      </ns0:c>
      <ns0:c r="AH382" s="21" t="inlineStr">
        <ns0:is>
          <ns0:t>Prior source-specific extraction retained; no new full-text retrieval</ns0:t>
        </ns0:is>
      </ns0:c>
      <ns0:c r="AI382" s="21" t="inlineStr">
        <ns0:is>
          <ns0:t>https://doi.org/10.1007/s00381-025-07119-2</ns0:t>
        </ns0:is>
      </ns0:c>
      <ns0:c r="AJ382" s="21" t="inlineStr">
        <ns0:is>
          <ns0:t>EVIDENCIA; original abstract/coding notes and lot source trace; Inherited scoped adjudication; see source level and lot caveats</ns0:t>
        </ns0:is>
      </ns0:c>
      <ns0:c r="AK382" s="21" t="inlineStr">
        <ns0:is>
          <ns0:t>Retained source-specific coding after review of the supplied extraction notes; not a new full-text retrieval. CT/MRI morphometry and a binary tree classifier identified tentorium angle as a potential predictor of postsurgical ASD symptom improvement in children with Chiari I malformation. Narrow comorbid pediatric population and retrospective/small-cohort design limit generalizability. The tree/cutoff is interpretable, but no external or prospective validation was identified.
CT and MRI morphometry</ns0:t>
        </ns0:is>
      </ns0:c>
      <ns0:c r="AL382" s="21" t="inlineStr">
        <ns0:is>
          <ns0:t>Not applicable</ns0:t>
        </ns0:is>
      </ns0:c>
      <ns0:c r="AM382" s="21" t="inlineStr">
        <ns0:is>
          <ns0:t>Not separately specified</ns0:t>
        </ns0:is>
      </ns0:c>
      <ns0:c r="AN382" s="21" t="inlineStr"/>
      <ns0:c r="AO382" s="21" t="inlineStr">
        <ns0:is>
          <ns0:t>No additional status determination</ns0:t>
        </ns0:is>
      </ns0:c>
      <ns0:c r="AP382" s="21" t="inlineStr">
        <ns0:is>
          <ns0:t>Not documented for this recharting</ns0:t>
        </ns0:is>
      </ns0:c>
      <ns0:c r="AQ382" s="21" t="inlineStr">
        <ns0:is>
          <ns0:t>ChatGPT-assisted evidence recharting, 2026-09-08</ns0:t>
        </ns0:is>
      </ns0:c>
      <ns0:c r="AR382" s="21" t="inlineStr">
        <ns0:is>
          <ns0:t>Revision asistida por IA (un revisor; requiere verificacion independiente)</ns0:t>
        </ns0:is>
      </ns0:c>
      <ns0:c r="AS382" s="21" t="inlineStr">
        <ns0:is>
          <ns0:t>Retrieved and reviewed</ns0:t>
        </ns0:is>
      </ns0:c>
    </ns0:row>
    <ns0:row r="383" ht="50" customHeight="1">
      <ns0:c r="A383" s="19" t="inlineStr">
        <ns0:is>
          <ns0:t>new_204</ns0:t>
        </ns0:is>
      </ns0:c>
      <ns0:c r="B383" s="19" t="inlineStr">
        <ns0:is>
          <ns0:t>Update</ns0:t>
        </ns0:is>
      </ns0:c>
      <ns0:c r="C383" s="19" t="inlineStr">
        <ns0:is>
          <ns0:t>An automated detection system of autism spectrum disorder using meta-heuristic approach of adaptive LSTM with bayesian learning technique</ns0:t>
        </ns0:is>
      </ns0:c>
      <ns0:c r="D383" s="19" t="inlineStr">
        <ns0:is>
          <ns0:t>10.1007/s13246-025-01681-4</ns0:t>
        </ns0:is>
      </ns0:c>
      <ns0:c r="E383" s="26" t="n">
        <ns0:v>2026</ns0:v>
      </ns0:c>
      <ns0:c r="F383" s="19" t="inlineStr">
        <ns0:is>
          <ns0:t>Include</ns0:t>
        </ns0:is>
      </ns0:c>
      <ns0:c r="G383" s="27">
        <ns0:f>IF(F383="Include",1,0)</ns0:f>
        <ns0:v>1</ns0:v>
      </ns0:c>
      <ns0:c r="H383" s="19" t="inlineStr">
        <ns0:is>
          <ns0:t>Diagnosis</ns0:t>
        </ns0:is>
      </ns0:c>
      <ns0:c r="I383" s="19" t="inlineStr">
        <ns0:is>
          <ns0:t>Deep Learning</ns0:t>
        </ns0:is>
      </ns0:c>
      <ns0:c r="J383" s="19" t="inlineStr">
        <ns0:is>
          <ns0:t>Neuroimaging</ns0:t>
        </ns0:is>
      </ns0:c>
      <ns0:c r="K383" s="19" t="inlineStr">
        <ns0:is>
          <ns0:t>MResNet + ACAL-BL adaptive-attention LSTM with Bayesian learning + RFMPA optimization</ns0:t>
        </ns0:is>
      </ns0:c>
      <ns0:c r="L383" s="19" t="inlineStr">
        <ns0:is>
          <ns0:t>Composite/ensemble pipeline</ns0:t>
        </ns0:is>
      </ns0:c>
      <ns0:c r="M383" s="19" t="inlineStr">
        <ns0:is>
          <ns0:t>Research only</ns0:t>
        </ns0:is>
      </ns0:c>
      <ns0:c r="N383" s="19" t="inlineStr">
        <ns0:is>
          <ns0:t>Automated measurement/classification</ns0:t>
        </ns0:is>
      </ns0:c>
      <ns0:c r="O383" s="19" t="inlineStr">
        <ns0:is>
          <ns0:t>Not observed in assessed sources</ns0:t>
        </ns0:is>
      </ns0:c>
      <ns0:c r="P383" s="19" t="inlineStr">
        <ns0:is>
          <ns0:t>Not observed in assessed sources</ns0:t>
        </ns0:is>
      </ns0:c>
      <ns0:c r="Q383" s="19" t="inlineStr">
        <ns0:is>
          <ns0:t>Not reported in assessed sources</ns0:t>
        </ns0:is>
      </ns0:c>
      <ns0:c r="R383" s="19" t="inlineStr">
        <ns0:is>
          <ns0:t>Not reported in assessed sources</ns0:t>
        </ns0:is>
      </ns0:c>
      <ns0:c r="S383" s="19" t="inlineStr">
        <ns0:is>
          <ns0:t>Not reported in assessed sources</ns0:t>
        </ns0:is>
      </ns0:c>
      <ns0:c r="T383" s="19" t="inlineStr">
        <ns0:is>
          <ns0:t>Not reported in assessed sources</ns0:t>
        </ns0:is>
      </ns0:c>
      <ns0:c r="U383" s="19" t="inlineStr">
        <ns0:is>
          <ns0:t>Not reported in assessed sources</ns0:t>
        </ns0:is>
      </ns0:c>
      <ns0:c r="V383" s="19" t="inlineStr">
        <ns0:is>
          <ns0:t>Reported</ns0:t>
        </ns0:is>
      </ns0:c>
      <ns0:c r="W383" s="19" t="inlineStr">
        <ns0:is>
          <ns0:t>Not reported in assessed sources</ns0:t>
        </ns0:is>
      </ns0:c>
      <ns0:c r="X383" s="19" t="inlineStr">
        <ns0:is>
          <ns0:t>Not reported in assessed sources</ns0:t>
        </ns0:is>
      </ns0:c>
      <ns0:c r="Y383" s="19" t="inlineStr">
        <ns0:is>
          <ns0:t>Not ascertainable</ns0:t>
        </ns0:is>
      </ns0:c>
      <ns0:c r="Z383" s="19" t="inlineStr">
        <ns0:is>
          <ns0:t>Not reported in assessed sources</ns0:t>
        </ns0:is>
      </ns0:c>
      <ns0:c r="AA383" s="19" t="inlineStr">
        <ns0:is>
          <ns0:t>Not recorded</ns0:t>
        </ns0:is>
      </ns0:c>
      <ns0:c r="AB383" s="26" t="n">
        <ns0:v>0</ns0:v>
      </ns0:c>
      <ns0:c r="AC383" s="26" t="n">
        <ns0:v>0</ns0:v>
      </ns0:c>
      <ns0:c r="AD383" s="27">
        <ns0:f>IF(AND(G383=1,AB383=0),1,0)</ns0:f>
        <ns0:v>1</ns0:v>
      </ns0:c>
      <ns0:c r="AE383" s="27">
        <ns0:f>IF(AND(AD383=1,AC383=0),1,0)</ns0:f>
        <ns0:v>1</ns0:v>
      </ns0:c>
      <ns0:c r="AF383" s="27">
        <ns0:f>IF(AND(G383=1,H383&lt;&gt;"Not specified"),1,0)</ns0:f>
        <ns0:v>1</ns0:v>
      </ns0:c>
      <ns0:c r="AG383" s="27">
        <ns0:f>IF(AND(AE383=1,AF383=1),1,0)</ns0:f>
        <ns0:v>1</ns0:v>
      </ns0:c>
      <ns0:c r="AH383" s="19" t="inlineStr">
        <ns0:is>
          <ns0:t>Prior source-specific extraction retained; no new full-text retrieval</ns0:t>
        </ns0:is>
      </ns0:c>
      <ns0:c r="AI383" s="19" t="inlineStr">
        <ns0:is>
          <ns0:t>https://doi.org/10.1007/s13246-025-01681-4</ns0:t>
        </ns0:is>
      </ns0:c>
      <ns0:c r="AJ383" s="19" t="inlineStr">
        <ns0:is>
          <ns0:t>EVIDENCIA; original abstract/coding notes and lot source trace; Inherited scoped adjudication; see source level and lot caveats</ns0:t>
        </ns0:is>
      </ns0:c>
      <ns0:c r="AK383" s="19" t="inlineStr">
        <ns0:is>
          <ns0:t>Retained source-specific coding after review of the supplied extraction notes; not a new full-text retrieval. Combines MResNet feature extraction, adaptive cascaded-attention LSTM with Bayesian learning and metaheuristic optimization on ABIDE brain images. Public multisite dataset use does not establish independent external or site-held-out validation. Attention is architectural and was not counted as formal XAI.
All-neural/optimization pipeline in recovered evidence; hybrid title is not sufficient for mixed conventional-ML/DL classification.</ns0:t>
        </ns0:is>
      </ns0:c>
      <ns0:c r="AL383" s="19" t="inlineStr">
        <ns0:is>
          <ns0:t>Not applicable</ns0:t>
        </ns0:is>
      </ns0:c>
      <ns0:c r="AM383" s="19" t="inlineStr">
        <ns0:is>
          <ns0:t>Not separately specified</ns0:t>
        </ns0:is>
      </ns0:c>
      <ns0:c r="AN383" s="19" t="inlineStr"/>
      <ns0:c r="AO383" s="19" t="inlineStr">
        <ns0:is>
          <ns0:t>No additional status determination</ns0:t>
        </ns0:is>
      </ns0:c>
      <ns0:c r="AP383" s="19" t="inlineStr">
        <ns0:is>
          <ns0:t>Not documented for this recharting</ns0:t>
        </ns0:is>
      </ns0:c>
      <ns0:c r="AQ383" s="19" t="inlineStr">
        <ns0:is>
          <ns0:t>ChatGPT-assisted evidence recharting, 2026-09-08</ns0:t>
        </ns0:is>
      </ns0:c>
      <ns0:c r="AR383" s="19" t="inlineStr">
        <ns0:is>
          <ns0:t>Revision asistida por IA (un revisor; requiere verificacion independiente)</ns0:t>
        </ns0:is>
      </ns0:c>
      <ns0:c r="AS383" s="19" t="inlineStr">
        <ns0:is>
          <ns0:t>Retrieved and reviewed</ns0:t>
        </ns0:is>
      </ns0:c>
    </ns0:row>
    <ns0:row r="384" ht="50" customHeight="1">
      <ns0:c r="A384" s="21" t="inlineStr">
        <ns0:is>
          <ns0:t>new_208</ns0:t>
        </ns0:is>
      </ns0:c>
      <ns0:c r="B384" s="21" t="inlineStr">
        <ns0:is>
          <ns0:t>Update</ns0:t>
        </ns0:is>
      </ns0:c>
      <ns0:c r="C384" s="21" t="inlineStr">
        <ns0:is>
          <ns0:t>ADBrainNet: a deep neural network for Autism Spectrum Disorder (ASD) and Attention Deficit and Hyperactivity Disorder (ADHD) classification using resting-state fMRI images based on explainable artificial intelligence.</ns0:t>
        </ns0:is>
      </ns0:c>
      <ns0:c r="D384" s="21" t="inlineStr">
        <ns0:is>
          <ns0:t>10.1007/s11517-026-03530-2</ns0:t>
        </ns0:is>
      </ns0:c>
      <ns0:c r="E384" s="28" t="n">
        <ns0:v>2026</ns0:v>
      </ns0:c>
      <ns0:c r="F384" s="21" t="inlineStr">
        <ns0:is>
          <ns0:t>Include</ns0:t>
        </ns0:is>
      </ns0:c>
      <ns0:c r="G384" s="29">
        <ns0:f>IF(F384="Include",1,0)</ns0:f>
        <ns0:v>1</ns0:v>
      </ns0:c>
      <ns0:c r="H384" s="21" t="inlineStr">
        <ns0:is>
          <ns0:t>Diagnosis</ns0:t>
        </ns0:is>
      </ns0:c>
      <ns0:c r="I384" s="21" t="inlineStr">
        <ns0:is>
          <ns0:t>Deep Learning</ns0:t>
        </ns0:is>
      </ns0:c>
      <ns0:c r="J384" s="21" t="inlineStr">
        <ns0:is>
          <ns0:t>Neuroimaging</ns0:t>
        </ns0:is>
      </ns0:c>
      <ns0:c r="K384" s="21" t="inlineStr">
        <ns0:is>
          <ns0:t>ADBrainNet lightweight deep neural network + LIME</ns0:t>
        </ns0:is>
      </ns0:c>
      <ns0:c r="L384" s="21" t="inlineStr">
        <ns0:is>
          <ns0:t>Other specified method</ns0:t>
        </ns0:is>
      </ns0:c>
      <ns0:c r="M384" s="21" t="inlineStr">
        <ns0:is>
          <ns0:t>Research only</ns0:t>
        </ns0:is>
      </ns0:c>
      <ns0:c r="N384" s="21" t="inlineStr">
        <ns0:is>
          <ns0:t>Automated measurement/classification</ns0:t>
        </ns0:is>
      </ns0:c>
      <ns0:c r="O384" s="21" t="inlineStr">
        <ns0:is>
          <ns0:t>Not observed in assessed sources</ns0:t>
        </ns0:is>
      </ns0:c>
      <ns0:c r="P384" s="21" t="inlineStr">
        <ns0:is>
          <ns0:t>Not observed in assessed sources</ns0:t>
        </ns0:is>
      </ns0:c>
      <ns0:c r="Q384" s="21" t="inlineStr">
        <ns0:is>
          <ns0:t>Not ascertainable</ns0:t>
        </ns0:is>
      </ns0:c>
      <ns0:c r="R384" s="21" t="inlineStr">
        <ns0:is>
          <ns0:t>Not reported in assessed sources</ns0:t>
        </ns0:is>
      </ns0:c>
      <ns0:c r="S384" s="21" t="inlineStr">
        <ns0:is>
          <ns0:t>Reported</ns0:t>
        </ns0:is>
      </ns0:c>
      <ns0:c r="T384" s="21" t="inlineStr">
        <ns0:is>
          <ns0:t>Reported</ns0:t>
        </ns0:is>
      </ns0:c>
      <ns0:c r="U384" s="21" t="inlineStr">
        <ns0:is>
          <ns0:t>Not reported in assessed sources</ns0:t>
        </ns0:is>
      </ns0:c>
      <ns0:c r="V384" s="21" t="inlineStr">
        <ns0:is>
          <ns0:t>Reported</ns0:t>
        </ns0:is>
      </ns0:c>
      <ns0:c r="W384" s="21" t="inlineStr">
        <ns0:is>
          <ns0:t>Not reported in assessed sources</ns0:t>
        </ns0:is>
      </ns0:c>
      <ns0:c r="X384" s="21" t="inlineStr">
        <ns0:is>
          <ns0:t>Not reported in assessed sources</ns0:t>
        </ns0:is>
      </ns0:c>
      <ns0:c r="Y384" s="21" t="inlineStr">
        <ns0:is>
          <ns0:t>Not ascertainable</ns0:t>
        </ns0:is>
      </ns0:c>
      <ns0:c r="Z384" s="21" t="inlineStr">
        <ns0:is>
          <ns0:t>Not reported in assessed sources</ns0:t>
        </ns0:is>
      </ns0:c>
      <ns0:c r="AA384" s="21" t="inlineStr">
        <ns0:is>
          <ns0:t>Not recorded</ns0:t>
        </ns0:is>
      </ns0:c>
      <ns0:c r="AB384" s="28" t="n">
        <ns0:v>0</ns0:v>
      </ns0:c>
      <ns0:c r="AC384" s="28" t="n">
        <ns0:v>0</ns0:v>
      </ns0:c>
      <ns0:c r="AD384" s="29">
        <ns0:f>IF(AND(G384=1,AB384=0),1,0)</ns0:f>
        <ns0:v>1</ns0:v>
      </ns0:c>
      <ns0:c r="AE384" s="29">
        <ns0:f>IF(AND(AD384=1,AC384=0),1,0)</ns0:f>
        <ns0:v>1</ns0:v>
      </ns0:c>
      <ns0:c r="AF384" s="29">
        <ns0:f>IF(AND(G384=1,H384&lt;&gt;"Not specified"),1,0)</ns0:f>
        <ns0:v>1</ns0:v>
      </ns0:c>
      <ns0:c r="AG384" s="29">
        <ns0:f>IF(AND(AE384=1,AF384=1),1,0)</ns0:f>
        <ns0:v>1</ns0:v>
      </ns0:c>
      <ns0:c r="AH384" s="21" t="inlineStr">
        <ns0:is>
          <ns0:t>Prior source-specific extraction retained; no new full-text retrieval</ns0:t>
        </ns0:is>
      </ns0:c>
      <ns0:c r="AI384" s="21" t="inlineStr">
        <ns0:is>
          <ns0:t>https://doi.org/10.1007/s11517-026-03530-2</ns0:t>
        </ns0:is>
      </ns0:c>
      <ns0:c r="AJ384" s="21" t="inlineStr">
        <ns0:is>
          <ns0:t>EVIDENCIA; original abstract/coding notes and lot source trace; Inherited scoped adjudication; see source level and lot caveats</ns0:t>
        </ns0:is>
      </ns0:c>
      <ns0:c r="AK384" s="21" t="inlineStr">
        <ns0:is>
          <ns0:t>Retained source-specific coding after review of the supplied extraction notes; not a new full-text retrieval. ADBrainNet uses rs-fMRI from ABIDE and ADHD-200 and reports an independent external testing set; LIME was used to identify influential features. The abstract describes the external test together with five-fold cross-validation, so the exact independence of the external evaluation should be checked manually. No explicit site-held-out robustness analysis was identified.
External-test claim and five-fold CV are not sufficiently disambiguated in recovered evidence.</ns0:t>
        </ns0:is>
      </ns0:c>
      <ns0:c r="AL384" s="21" t="inlineStr">
        <ns0:is>
          <ns0:t>Not applicable</ns0:t>
        </ns0:is>
      </ns0:c>
      <ns0:c r="AM384" s="21" t="inlineStr">
        <ns0:is>
          <ns0:t>Not separately specified</ns0:t>
        </ns0:is>
      </ns0:c>
      <ns0:c r="AN384" s="21" t="inlineStr"/>
      <ns0:c r="AO384" s="21" t="inlineStr">
        <ns0:is>
          <ns0:t>No additional status determination</ns0:t>
        </ns0:is>
      </ns0:c>
      <ns0:c r="AP384" s="21" t="inlineStr">
        <ns0:is>
          <ns0:t>Not documented for this recharting</ns0:t>
        </ns0:is>
      </ns0:c>
      <ns0:c r="AQ384" s="21" t="inlineStr">
        <ns0:is>
          <ns0:t>ChatGPT-assisted evidence recharting, 2026-09-08</ns0:t>
        </ns0:is>
      </ns0:c>
      <ns0:c r="AR384" s="21" t="inlineStr">
        <ns0:is>
          <ns0:t>Revision asistida por IA (un revisor; requiere verificacion independiente)</ns0:t>
        </ns0:is>
      </ns0:c>
      <ns0:c r="AS384" s="21" t="inlineStr">
        <ns0:is>
          <ns0:t>Retrieved and reviewed</ns0:t>
        </ns0:is>
      </ns0:c>
    </ns0:row>
    <ns0:row r="385" ht="50" customHeight="1">
      <ns0:c r="A385" s="19" t="inlineStr">
        <ns0:is>
          <ns0:t>new_209</ns0:t>
        </ns0:is>
      </ns0:c>
      <ns0:c r="B385" s="19" t="inlineStr">
        <ns0:is>
          <ns0:t>Update</ns0:t>
        </ns0:is>
      </ns0:c>
      <ns0:c r="C385" s="19" t="inlineStr">
        <ns0:is>
          <ns0:t>Integrating EEG microstate dynamics in a stacked ensemble for neurodiagnostic ASD assessment</ns0:t>
        </ns0:is>
      </ns0:c>
      <ns0:c r="D385" s="19" t="inlineStr">
        <ns0:is>
          <ns0:t>10.1016/j.bbr.2026.116220</ns0:t>
        </ns0:is>
      </ns0:c>
      <ns0:c r="E385" s="26" t="n">
        <ns0:v>2026</ns0:v>
      </ns0:c>
      <ns0:c r="F385" s="19" t="inlineStr">
        <ns0:is>
          <ns0:t>Include</ns0:t>
        </ns0:is>
      </ns0:c>
      <ns0:c r="G385" s="27">
        <ns0:f>IF(F385="Include",1,0)</ns0:f>
        <ns0:v>1</ns0:v>
      </ns0:c>
      <ns0:c r="H385" s="19" t="inlineStr">
        <ns0:is>
          <ns0:t>Diagnosis</ns0:t>
        </ns0:is>
      </ns0:c>
      <ns0:c r="I385" s="19" t="inlineStr">
        <ns0:is>
          <ns0:t>Machine Learning</ns0:t>
        </ns0:is>
      </ns0:c>
      <ns0:c r="J385" s="19" t="inlineStr">
        <ns0:is>
          <ns0:t>Physiological signals</ns0:t>
        </ns0:is>
      </ns0:c>
      <ns0:c r="K385" s="19" t="inlineStr">
        <ns0:is>
          <ns0:t>Stacked Random Forest ensemble using spatial EEG and temporal microstate/HMM features</ns0:t>
        </ns0:is>
      </ns0:c>
      <ns0:c r="L385" s="19" t="inlineStr">
        <ns0:is>
          <ns0:t>Random forest</ns0:t>
        </ns0:is>
      </ns0:c>
      <ns0:c r="M385" s="19" t="inlineStr">
        <ns0:is>
          <ns0:t>Research only</ns0:t>
        </ns0:is>
      </ns0:c>
      <ns0:c r="N385" s="19" t="inlineStr">
        <ns0:is>
          <ns0:t>Automated measurement/classification</ns0:t>
        </ns0:is>
      </ns0:c>
      <ns0:c r="O385" s="19" t="inlineStr">
        <ns0:is>
          <ns0:t>Not observed in assessed sources</ns0:t>
        </ns0:is>
      </ns0:c>
      <ns0:c r="P385" s="19" t="inlineStr">
        <ns0:is>
          <ns0:t>Not observed in assessed sources</ns0:t>
        </ns0:is>
      </ns0:c>
      <ns0:c r="Q385" s="19" t="inlineStr">
        <ns0:is>
          <ns0:t>Not reported in assessed sources</ns0:t>
        </ns0:is>
      </ns0:c>
      <ns0:c r="R385" s="19" t="inlineStr">
        <ns0:is>
          <ns0:t>Not reported in assessed sources</ns0:t>
        </ns0:is>
      </ns0:c>
      <ns0:c r="S385" s="19" t="inlineStr">
        <ns0:is>
          <ns0:t>Not reported in assessed sources</ns0:t>
        </ns0:is>
      </ns0:c>
      <ns0:c r="T385" s="19" t="inlineStr">
        <ns0:is>
          <ns0:t>Not reported in assessed sources</ns0:t>
        </ns0:is>
      </ns0:c>
      <ns0:c r="U385" s="19" t="inlineStr">
        <ns0:is>
          <ns0:t>Not reported in assessed sources</ns0:t>
        </ns0:is>
      </ns0:c>
      <ns0:c r="V385" s="19" t="inlineStr">
        <ns0:is>
          <ns0:t>Not reported in assessed sources</ns0:t>
        </ns0:is>
      </ns0:c>
      <ns0:c r="W385" s="19" t="inlineStr">
        <ns0:is>
          <ns0:t>Not reported in assessed sources</ns0:t>
        </ns0:is>
      </ns0:c>
      <ns0:c r="X385" s="19" t="inlineStr">
        <ns0:is>
          <ns0:t>Not reported in assessed sources</ns0:t>
        </ns0:is>
      </ns0:c>
      <ns0:c r="Y385" s="19" t="inlineStr">
        <ns0:is>
          <ns0:t>Not ascertainable</ns0:t>
        </ns0:is>
      </ns0:c>
      <ns0:c r="Z385" s="19" t="inlineStr">
        <ns0:is>
          <ns0:t>Not reported in assessed sources</ns0:t>
        </ns0:is>
      </ns0:c>
      <ns0:c r="AA385" s="19" t="inlineStr">
        <ns0:is>
          <ns0:t>Not recorded</ns0:t>
        </ns0:is>
      </ns0:c>
      <ns0:c r="AB385" s="26" t="n">
        <ns0:v>0</ns0:v>
      </ns0:c>
      <ns0:c r="AC385" s="26" t="n">
        <ns0:v>0</ns0:v>
      </ns0:c>
      <ns0:c r="AD385" s="27">
        <ns0:f>IF(AND(G385=1,AB385=0),1,0)</ns0:f>
        <ns0:v>1</ns0:v>
      </ns0:c>
      <ns0:c r="AE385" s="27">
        <ns0:f>IF(AND(AD385=1,AC385=0),1,0)</ns0:f>
        <ns0:v>1</ns0:v>
      </ns0:c>
      <ns0:c r="AF385" s="27">
        <ns0:f>IF(AND(G385=1,H385&lt;&gt;"Not specified"),1,0)</ns0:f>
        <ns0:v>1</ns0:v>
      </ns0:c>
      <ns0:c r="AG385" s="27">
        <ns0:f>IF(AND(AE385=1,AF385=1),1,0)</ns0:f>
        <ns0:v>1</ns0:v>
      </ns0:c>
      <ns0:c r="AH385" s="19" t="inlineStr">
        <ns0:is>
          <ns0:t>Prior source-specific extraction retained; no new full-text retrieval</ns0:t>
        </ns0:is>
      </ns0:c>
      <ns0:c r="AI385" s="19" t="inlineStr">
        <ns0:is>
          <ns0:t>https://doi.org/10.1016/j.bbr.2026.116220</ns0:t>
        </ns0:is>
      </ns0:c>
      <ns0:c r="AJ385" s="19" t="inlineStr">
        <ns0:is>
          <ns0:t>EVIDENCIA; original abstract/coding notes and lot source trace; Inherited scoped adjudication; see source level and lot caveats</ns0:t>
        </ns0:is>
      </ns0:c>
      <ns0:c r="AK385" s="19" t="inlineStr">
        <ns0:is>
          <ns0:t>Retained source-specific coding after review of the supplied extraction notes; not a new full-text retrieval. A stacked Random Forest ensemble integrates spectral/connectivity/complexity features with microstate and HMM dynamics, reaching 96.3% accuracy under GroupKFold validation. Validation is internal GroupKFold; no independent external cohort, multisite/site-held-out robustness, prospective evaluation, or formal XAI was identified.</ns0:t>
        </ns0:is>
      </ns0:c>
      <ns0:c r="AL385" s="19" t="inlineStr">
        <ns0:is>
          <ns0:t>Not applicable</ns0:t>
        </ns0:is>
      </ns0:c>
      <ns0:c r="AM385" s="19" t="inlineStr">
        <ns0:is>
          <ns0:t>Not separately specified</ns0:t>
        </ns0:is>
      </ns0:c>
      <ns0:c r="AN385" s="19" t="inlineStr"/>
      <ns0:c r="AO385" s="19" t="inlineStr">
        <ns0:is>
          <ns0:t>No additional status determination</ns0:t>
        </ns0:is>
      </ns0:c>
      <ns0:c r="AP385" s="19" t="inlineStr">
        <ns0:is>
          <ns0:t>Not documented for this recharting</ns0:t>
        </ns0:is>
      </ns0:c>
      <ns0:c r="AQ385" s="19" t="inlineStr">
        <ns0:is>
          <ns0:t>ChatGPT-assisted evidence recharting, 2026-09-08</ns0:t>
        </ns0:is>
      </ns0:c>
      <ns0:c r="AR385" s="19" t="inlineStr">
        <ns0:is>
          <ns0:t>Revision asistida por IA (un revisor; requiere verificacion independiente)</ns0:t>
        </ns0:is>
      </ns0:c>
      <ns0:c r="AS385" s="19" t="inlineStr">
        <ns0:is>
          <ns0:t>Retrieved and reviewed</ns0:t>
        </ns0:is>
      </ns0:c>
    </ns0:row>
    <ns0:row r="386" ht="50" customHeight="1">
      <ns0:c r="A386" s="21" t="inlineStr">
        <ns0:is>
          <ns0:t>new_213</ns0:t>
        </ns0:is>
      </ns0:c>
      <ns0:c r="B386" s="21" t="inlineStr">
        <ns0:is>
          <ns0:t>Update</ns0:t>
        </ns0:is>
      </ns0:c>
      <ns0:c r="C386" s="21" t="inlineStr">
        <ns0:is>
          <ns0:t>Identifying autism spectrum disorder diagnosis in children via temporal-frequency hyperdimensional computing with resting-state EEG</ns0:t>
        </ns0:is>
      </ns0:c>
      <ns0:c r="D386" s="21" t="inlineStr">
        <ns0:is>
          <ns0:t>10.1016/j.eswa.2025.130671</ns0:t>
        </ns0:is>
      </ns0:c>
      <ns0:c r="E386" s="28" t="n">
        <ns0:v>2026</ns0:v>
      </ns0:c>
      <ns0:c r="F386" s="21" t="inlineStr">
        <ns0:is>
          <ns0:t>Include</ns0:t>
        </ns0:is>
      </ns0:c>
      <ns0:c r="G386" s="29">
        <ns0:f>IF(F386="Include",1,0)</ns0:f>
        <ns0:v>1</ns0:v>
      </ns0:c>
      <ns0:c r="H386" s="21" t="inlineStr">
        <ns0:is>
          <ns0:t>Diagnosis</ns0:t>
        </ns0:is>
      </ns0:c>
      <ns0:c r="I386" s="21" t="inlineStr">
        <ns0:is>
          <ns0:t>Machine Learning</ns0:t>
        </ns0:is>
      </ns0:c>
      <ns0:c r="J386" s="21" t="inlineStr">
        <ns0:is>
          <ns0:t>Physiological signals</ns0:t>
        </ns0:is>
      </ns0:c>
      <ns0:c r="K386" s="21" t="inlineStr">
        <ns0:is>
          <ns0:t>Temporal-frequency hyperdimensional computing (TF-HDC)</ns0:t>
        </ns0:is>
      </ns0:c>
      <ns0:c r="L386" s="21" t="inlineStr">
        <ns0:is>
          <ns0:t>Other specified method</ns0:t>
        </ns0:is>
      </ns0:c>
      <ns0:c r="M386" s="21" t="inlineStr">
        <ns0:is>
          <ns0:t>Research only</ns0:t>
        </ns0:is>
      </ns0:c>
      <ns0:c r="N386" s="21" t="inlineStr">
        <ns0:is>
          <ns0:t>Automated measurement/classification</ns0:t>
        </ns0:is>
      </ns0:c>
      <ns0:c r="O386" s="21" t="inlineStr">
        <ns0:is>
          <ns0:t>Not observed in assessed sources</ns0:t>
        </ns0:is>
      </ns0:c>
      <ns0:c r="P386" s="21" t="inlineStr">
        <ns0:is>
          <ns0:t>Not observed in assessed sources</ns0:t>
        </ns0:is>
      </ns0:c>
      <ns0:c r="Q386" s="21" t="inlineStr">
        <ns0:is>
          <ns0:t>Not reported in assessed sources</ns0:t>
        </ns0:is>
      </ns0:c>
      <ns0:c r="R386" s="21" t="inlineStr">
        <ns0:is>
          <ns0:t>Not reported in assessed sources</ns0:t>
        </ns0:is>
      </ns0:c>
      <ns0:c r="S386" s="21" t="inlineStr">
        <ns0:is>
          <ns0:t>Not reported in assessed sources</ns0:t>
        </ns0:is>
      </ns0:c>
      <ns0:c r="T386" s="21" t="inlineStr">
        <ns0:is>
          <ns0:t>Not reported in assessed sources</ns0:t>
        </ns0:is>
      </ns0:c>
      <ns0:c r="U386" s="21" t="inlineStr">
        <ns0:is>
          <ns0:t>Not reported in assessed sources</ns0:t>
        </ns0:is>
      </ns0:c>
      <ns0:c r="V386" s="21" t="inlineStr">
        <ns0:is>
          <ns0:t>Not reported in assessed sources</ns0:t>
        </ns0:is>
      </ns0:c>
      <ns0:c r="W386" s="21" t="inlineStr">
        <ns0:is>
          <ns0:t>Not reported in assessed sources</ns0:t>
        </ns0:is>
      </ns0:c>
      <ns0:c r="X386" s="21" t="inlineStr">
        <ns0:is>
          <ns0:t>Not reported in assessed sources</ns0:t>
        </ns0:is>
      </ns0:c>
      <ns0:c r="Y386" s="21" t="inlineStr">
        <ns0:is>
          <ns0:t>Not ascertainable</ns0:t>
        </ns0:is>
      </ns0:c>
      <ns0:c r="Z386" s="21" t="inlineStr">
        <ns0:is>
          <ns0:t>Not reported in assessed sources</ns0:t>
        </ns0:is>
      </ns0:c>
      <ns0:c r="AA386" s="21" t="inlineStr">
        <ns0:is>
          <ns0:t>Not recorded</ns0:t>
        </ns0:is>
      </ns0:c>
      <ns0:c r="AB386" s="28" t="n">
        <ns0:v>0</ns0:v>
      </ns0:c>
      <ns0:c r="AC386" s="28" t="n">
        <ns0:v>0</ns0:v>
      </ns0:c>
      <ns0:c r="AD386" s="29">
        <ns0:f>IF(AND(G386=1,AB386=0),1,0)</ns0:f>
        <ns0:v>1</ns0:v>
      </ns0:c>
      <ns0:c r="AE386" s="29">
        <ns0:f>IF(AND(AD386=1,AC386=0),1,0)</ns0:f>
        <ns0:v>1</ns0:v>
      </ns0:c>
      <ns0:c r="AF386" s="29">
        <ns0:f>IF(AND(G386=1,H386&lt;&gt;"Not specified"),1,0)</ns0:f>
        <ns0:v>1</ns0:v>
      </ns0:c>
      <ns0:c r="AG386" s="29">
        <ns0:f>IF(AND(AE386=1,AF386=1),1,0)</ns0:f>
        <ns0:v>1</ns0:v>
      </ns0:c>
      <ns0:c r="AH386" s="21" t="inlineStr">
        <ns0:is>
          <ns0:t>Prior source-specific extraction retained; no new full-text retrieval</ns0:t>
        </ns0:is>
      </ns0:c>
      <ns0:c r="AI386" s="21" t="inlineStr">
        <ns0:is>
          <ns0:t>https://doi.org/10.1016/j.eswa.2025.130671</ns0:t>
        </ns0:is>
      </ns0:c>
      <ns0:c r="AJ386" s="21" t="inlineStr">
        <ns0:is>
          <ns0:t>EVIDENCIA; original abstract/coding notes and lot source trace; Inherited scoped adjudication; see source level and lot caveats</ns0:t>
        </ns0:is>
      </ns0:c>
      <ns0:c r="AK386" s="21" t="inlineStr">
        <ns0:is>
          <ns0:t>Retained source-specific coding after review of the supplied extraction notes; not a new full-text retrieval. TF-HDC classifies resting-state EEG from 120 age-matched male participants (60 ASD, 60 TD) and reports about 90.9% accuracy while benchmarking conventional ML/DL models. Small single-cohort evaluation with no independent external dataset, site-held-out test, prospective clinical workflow, or formal XAI identified.</ns0:t>
        </ns0:is>
      </ns0:c>
      <ns0:c r="AL386" s="21" t="inlineStr">
        <ns0:is>
          <ns0:t>Not applicable</ns0:t>
        </ns0:is>
      </ns0:c>
      <ns0:c r="AM386" s="21" t="inlineStr">
        <ns0:is>
          <ns0:t>Not separately specified</ns0:t>
        </ns0:is>
      </ns0:c>
      <ns0:c r="AN386" s="21" t="inlineStr"/>
      <ns0:c r="AO386" s="21" t="inlineStr">
        <ns0:is>
          <ns0:t>No additional status determination</ns0:t>
        </ns0:is>
      </ns0:c>
      <ns0:c r="AP386" s="21" t="inlineStr">
        <ns0:is>
          <ns0:t>Not documented for this recharting</ns0:t>
        </ns0:is>
      </ns0:c>
      <ns0:c r="AQ386" s="21" t="inlineStr">
        <ns0:is>
          <ns0:t>ChatGPT-assisted evidence recharting, 2026-09-08</ns0:t>
        </ns0:is>
      </ns0:c>
      <ns0:c r="AR386" s="21" t="inlineStr">
        <ns0:is>
          <ns0:t>Revision asistida por IA (un revisor; requiere verificacion independiente)</ns0:t>
        </ns0:is>
      </ns0:c>
      <ns0:c r="AS386" s="21" t="inlineStr">
        <ns0:is>
          <ns0:t>Retrieved and reviewed</ns0:t>
        </ns0:is>
      </ns0:c>
    </ns0:row>
    <ns0:row r="387" ht="50" customHeight="1">
      <ns0:c r="A387" s="19" t="inlineStr">
        <ns0:is>
          <ns0:t>new_215</ns0:t>
        </ns0:is>
      </ns0:c>
      <ns0:c r="B387" s="19" t="inlineStr">
        <ns0:is>
          <ns0:t>Update</ns0:t>
        </ns0:is>
      </ns0:c>
      <ns0:c r="C387" s="19" t="inlineStr">
        <ns0:is>
          <ns0:t>Integrated transcriptomic and clinical analysis of autism spectrum disorder reveals structured heterogeneity and links Methyl-CpG Binding Domain Protein 2 expression with symptom severity</ns0:t>
        </ns0:is>
      </ns0:c>
      <ns0:c r="D387" s="19" t="inlineStr">
        <ns0:is>
          <ns0:t>10.1111/pcn.70065</ns0:t>
        </ns0:is>
      </ns0:c>
      <ns0:c r="E387" s="26" t="n">
        <ns0:v>2026</ns0:v>
      </ns0:c>
      <ns0:c r="F387" s="19" t="inlineStr">
        <ns0:is>
          <ns0:t>Include</ns0:t>
        </ns0:is>
      </ns0:c>
      <ns0:c r="G387" s="27">
        <ns0:f>IF(F387="Include",1,0)</ns0:f>
        <ns0:v>1</ns0:v>
      </ns0:c>
      <ns0:c r="H387" s="19" t="inlineStr">
        <ns0:is>
          <ns0:t>Screening</ns0:t>
        </ns0:is>
      </ns0:c>
      <ns0:c r="I387" s="19" t="inlineStr">
        <ns0:is>
          <ns0:t>Machine Learning</ns0:t>
        </ns0:is>
      </ns0:c>
      <ns0:c r="J387" s="19" t="inlineStr">
        <ns0:is>
          <ns0:t>Multiple source categories</ns0:t>
        </ns0:is>
      </ns0:c>
      <ns0:c r="K387" s="19" t="inlineStr">
        <ns0:is>
          <ns0:t>Unsupervised molecular clustering + integrative multiomics/clinical ML; refined 17-transcript panel</ns0:t>
        </ns0:is>
      </ns0:c>
      <ns0:c r="L387" s="19" t="inlineStr">
        <ns0:is>
          <ns0:t>Clustering</ns0:t>
        </ns0:is>
      </ns0:c>
      <ns0:c r="M387" s="19" t="inlineStr">
        <ns0:is>
          <ns0:t>Research only</ns0:t>
        </ns0:is>
      </ns0:c>
      <ns0:c r="N387" s="19" t="inlineStr">
        <ns0:is>
          <ns0:t>Triage/questionnaire assessment</ns0:t>
        </ns0:is>
      </ns0:c>
      <ns0:c r="O387" s="19" t="inlineStr">
        <ns0:is>
          <ns0:t>Not observed in assessed sources</ns0:t>
        </ns0:is>
      </ns0:c>
      <ns0:c r="P387" s="19" t="inlineStr">
        <ns0:is>
          <ns0:t>Not observed in assessed sources</ns0:t>
        </ns0:is>
      </ns0:c>
      <ns0:c r="Q387" s="19" t="inlineStr">
        <ns0:is>
          <ns0:t>Not reported in assessed sources</ns0:t>
        </ns0:is>
      </ns0:c>
      <ns0:c r="R387" s="19" t="inlineStr">
        <ns0:is>
          <ns0:t>Reported</ns0:t>
        </ns0:is>
      </ns0:c>
      <ns0:c r="S387" s="19" t="inlineStr">
        <ns0:is>
          <ns0:t>Reported</ns0:t>
        </ns0:is>
      </ns0:c>
      <ns0:c r="T387" s="19" t="inlineStr">
        <ns0:is>
          <ns0:t>Not reported in assessed sources</ns0:t>
        </ns0:is>
      </ns0:c>
      <ns0:c r="U387" s="19" t="inlineStr">
        <ns0:is>
          <ns0:t>Not reported in assessed sources</ns0:t>
        </ns0:is>
      </ns0:c>
      <ns0:c r="V387" s="19" t="inlineStr">
        <ns0:is>
          <ns0:t>Not reported in assessed sources</ns0:t>
        </ns0:is>
      </ns0:c>
      <ns0:c r="W387" s="19" t="inlineStr">
        <ns0:is>
          <ns0:t>Reported</ns0:t>
        </ns0:is>
      </ns0:c>
      <ns0:c r="X387" s="19" t="inlineStr">
        <ns0:is>
          <ns0:t>Not reported in assessed sources</ns0:t>
        </ns0:is>
      </ns0:c>
      <ns0:c r="Y387" s="19" t="inlineStr">
        <ns0:is>
          <ns0:t>Not ascertainable</ns0:t>
        </ns0:is>
      </ns0:c>
      <ns0:c r="Z387" s="19" t="inlineStr">
        <ns0:is>
          <ns0:t>Reported</ns0:t>
        </ns0:is>
      </ns0:c>
      <ns0:c r="AA387" s="19" t="inlineStr">
        <ns0:is>
          <ns0:t>Not recorded</ns0:t>
        </ns0:is>
      </ns0:c>
      <ns0:c r="AB387" s="26" t="n">
        <ns0:v>0</ns0:v>
      </ns0:c>
      <ns0:c r="AC387" s="26" t="n">
        <ns0:v>0</ns0:v>
      </ns0:c>
      <ns0:c r="AD387" s="27">
        <ns0:f>IF(AND(G387=1,AB387=0),1,0)</ns0:f>
        <ns0:v>1</ns0:v>
      </ns0:c>
      <ns0:c r="AE387" s="27">
        <ns0:f>IF(AND(AD387=1,AC387=0),1,0)</ns0:f>
        <ns0:v>1</ns0:v>
      </ns0:c>
      <ns0:c r="AF387" s="27">
        <ns0:f>IF(AND(G387=1,H387&lt;&gt;"Not specified"),1,0)</ns0:f>
        <ns0:v>1</ns0:v>
      </ns0:c>
      <ns0:c r="AG387" s="27">
        <ns0:f>IF(AND(AE387=1,AF387=1),1,0)</ns0:f>
        <ns0:v>1</ns0:v>
      </ns0:c>
      <ns0:c r="AH387" s="19" t="inlineStr">
        <ns0:is>
          <ns0:t>Prior source-specific extraction retained; no new full-text retrieval</ns0:t>
        </ns0:is>
      </ns0:c>
      <ns0:c r="AI387" s="19" t="inlineStr">
        <ns0:is>
          <ns0:t>https://doi.org/10.1111/pcn.70065</ns0:t>
        </ns0:is>
      </ns0:c>
      <ns0:c r="AJ387" s="19" t="inlineStr">
        <ns0:is>
          <ns0:t>EVIDENCIA; original abstract/coding notes and lot source trace; Inherited scoped adjudication; see source level and lot caveats</ns0:t>
        </ns0:is>
      </ns0:c>
      <ns0:c r="AK387" s="19" t="inlineStr">
        <ns0:is>
          <ns0:t>Retained source-specific coding after review of the supplied extraction notes; not a new full-text retrieval. Transcriptomic profiling (150 ASD/70 TD) and clinical data (200 ASD/110 TD) were analyzed with clustering, integrative modeling and clinical ML; a 17-transcript panel showed discriminative performance. Screening performance is explicitly within-cohort and no external/site-held-out validation was reported in the accessible text. Molecular clusters only partially corresponded to clinical phenotype.</ns0:t>
        </ns0:is>
      </ns0:c>
      <ns0:c r="AL387" s="19" t="inlineStr">
        <ns0:is>
          <ns0:t>Not applicable</ns0:t>
        </ns0:is>
      </ns0:c>
      <ns0:c r="AM387" s="19" t="inlineStr">
        <ns0:is>
          <ns0:t>Not separately specified</ns0:t>
        </ns0:is>
      </ns0:c>
      <ns0:c r="AN387" s="19" t="inlineStr"/>
      <ns0:c r="AO387" s="19" t="inlineStr">
        <ns0:is>
          <ns0:t>No additional status determination</ns0:t>
        </ns0:is>
      </ns0:c>
      <ns0:c r="AP387" s="19" t="inlineStr">
        <ns0:is>
          <ns0:t>Not documented for this recharting</ns0:t>
        </ns0:is>
      </ns0:c>
      <ns0:c r="AQ387" s="19" t="inlineStr">
        <ns0:is>
          <ns0:t>ChatGPT-assisted evidence recharting, 2026-09-08</ns0:t>
        </ns0:is>
      </ns0:c>
      <ns0:c r="AR387" s="19" t="inlineStr">
        <ns0:is>
          <ns0:t>Revision asistida por IA (un revisor; requiere verificacion independiente)</ns0:t>
        </ns0:is>
      </ns0:c>
      <ns0:c r="AS387" s="19" t="inlineStr">
        <ns0:is>
          <ns0:t>Retrieved and reviewed</ns0:t>
        </ns0:is>
      </ns0:c>
    </ns0:row>
    <ns0:row r="388" ht="50" customHeight="1">
      <ns0:c r="A388" s="21" t="inlineStr">
        <ns0:is>
          <ns0:t>new_218</ns0:t>
        </ns0:is>
      </ns0:c>
      <ns0:c r="B388" s="21" t="inlineStr">
        <ns0:is>
          <ns0:t>Update</ns0:t>
        </ns0:is>
      </ns0:c>
      <ns0:c r="C388" s="21" t="inlineStr">
        <ns0:is>
          <ns0:t>A Robust Computational Framework for Autism Spectrum Disorder Identification Using Optimized Image Processing and Hybrid Learning Models</ns0:t>
        </ns0:is>
      </ns0:c>
      <ns0:c r="D388" s="21" t="inlineStr">
        <ns0:is>
          <ns0:t>10.1002/dneu.70028</ns0:t>
        </ns0:is>
      </ns0:c>
      <ns0:c r="E388" s="28" t="n">
        <ns0:v>2026</ns0:v>
      </ns0:c>
      <ns0:c r="F388" s="21" t="inlineStr">
        <ns0:is>
          <ns0:t>Include</ns0:t>
        </ns0:is>
      </ns0:c>
      <ns0:c r="G388" s="29">
        <ns0:f>IF(F388="Include",1,0)</ns0:f>
        <ns0:v>1</ns0:v>
      </ns0:c>
      <ns0:c r="H388" s="21" t="inlineStr">
        <ns0:is>
          <ns0:t>Screening</ns0:t>
        </ns0:is>
      </ns0:c>
      <ns0:c r="I388" s="21" t="inlineStr">
        <ns0:is>
          <ns0:t>Hybrid</ns0:t>
        </ns0:is>
      </ns0:c>
      <ns0:c r="J388" s="21" t="inlineStr">
        <ns0:is>
          <ns0:t>Not specified</ns0:t>
        </ns0:is>
      </ns0:c>
      <ns0:c r="K388" s="21" t="inlineStr">
        <ns0:is>
          <ns0:t>DWT-GFK + VGG16 + ELBN-HLNCL optimized with Walrus Optimization Algorithm</ns0:t>
        </ns0:is>
      </ns0:c>
      <ns0:c r="L388" s="21" t="inlineStr">
        <ns0:is>
          <ns0:t>CNN</ns0:t>
        </ns0:is>
      </ns0:c>
      <ns0:c r="M388" s="21" t="inlineStr">
        <ns0:is>
          <ns0:t>Proposed only</ns0:t>
        </ns0:is>
      </ns0:c>
      <ns0:c r="N388" s="21" t="inlineStr">
        <ns0:is>
          <ns0:t>Triage/questionnaire assessment</ns0:t>
        </ns0:is>
      </ns0:c>
      <ns0:c r="O388" s="21" t="inlineStr">
        <ns0:is>
          <ns0:t>Pre-decision</ns0:t>
        </ns0:is>
      </ns0:c>
      <ns0:c r="P388" s="21" t="inlineStr">
        <ns0:is>
          <ns0:t>Not observed in assessed sources</ns0:t>
        </ns0:is>
      </ns0:c>
      <ns0:c r="Q388" s="21" t="inlineStr">
        <ns0:is>
          <ns0:t>Not reported in assessed sources</ns0:t>
        </ns0:is>
      </ns0:c>
      <ns0:c r="R388" s="21" t="inlineStr">
        <ns0:is>
          <ns0:t>Not ascertainable</ns0:t>
        </ns0:is>
      </ns0:c>
      <ns0:c r="S388" s="21" t="inlineStr">
        <ns0:is>
          <ns0:t>Not reported in assessed sources</ns0:t>
        </ns0:is>
      </ns0:c>
      <ns0:c r="T388" s="21" t="inlineStr">
        <ns0:is>
          <ns0:t>Not reported in assessed sources</ns0:t>
        </ns0:is>
      </ns0:c>
      <ns0:c r="U388" s="21" t="inlineStr">
        <ns0:is>
          <ns0:t>Not reported in assessed sources</ns0:t>
        </ns0:is>
      </ns0:c>
      <ns0:c r="V388" s="21" t="inlineStr">
        <ns0:is>
          <ns0:t>Reported</ns0:t>
        </ns0:is>
      </ns0:c>
      <ns0:c r="W388" s="21" t="inlineStr">
        <ns0:is>
          <ns0:t>Not reported in assessed sources</ns0:t>
        </ns0:is>
      </ns0:c>
      <ns0:c r="X388" s="21" t="inlineStr">
        <ns0:is>
          <ns0:t>Not reported in assessed sources</ns0:t>
        </ns0:is>
      </ns0:c>
      <ns0:c r="Y388" s="21" t="inlineStr">
        <ns0:is>
          <ns0:t>Not ascertainable</ns0:t>
        </ns0:is>
      </ns0:c>
      <ns0:c r="Z388" s="21" t="inlineStr">
        <ns0:is>
          <ns0:t>Not reported in assessed sources</ns0:t>
        </ns0:is>
      </ns0:c>
      <ns0:c r="AA388" s="21" t="inlineStr">
        <ns0:is>
          <ns0:t>Not recorded</ns0:t>
        </ns0:is>
      </ns0:c>
      <ns0:c r="AB388" s="28" t="n">
        <ns0:v>0</ns0:v>
      </ns0:c>
      <ns0:c r="AC388" s="28" t="n">
        <ns0:v>0</ns0:v>
      </ns0:c>
      <ns0:c r="AD388" s="29">
        <ns0:f>IF(AND(G388=1,AB388=0),1,0)</ns0:f>
        <ns0:v>1</ns0:v>
      </ns0:c>
      <ns0:c r="AE388" s="29">
        <ns0:f>IF(AND(AD388=1,AC388=0),1,0)</ns0:f>
        <ns0:v>1</ns0:v>
      </ns0:c>
      <ns0:c r="AF388" s="29">
        <ns0:f>IF(AND(G388=1,H388&lt;&gt;"Not specified"),1,0)</ns0:f>
        <ns0:v>1</ns0:v>
      </ns0:c>
      <ns0:c r="AG388" s="29">
        <ns0:f>IF(AND(AE388=1,AF388=1),1,0)</ns0:f>
        <ns0:v>1</ns0:v>
      </ns0:c>
      <ns0:c r="AH388" s="21" t="inlineStr">
        <ns0:is>
          <ns0:t>Prior source-specific extraction retained; no new full-text retrieval</ns0:t>
        </ns0:is>
      </ns0:c>
      <ns0:c r="AI388" s="21" t="inlineStr">
        <ns0:is>
          <ns0:t>https://doi.org/10.1002/dneu.70028</ns0:t>
        </ns0:is>
      </ns0:c>
      <ns0:c r="AJ388" s="21" t="inlineStr">
        <ns0:is>
          <ns0:t>EVIDENCIA; original abstract/coding notes and lot source trace; Inherited scoped adjudication; see source level and lot caveats</ns0:t>
        </ns0:is>
      </ns0:c>
      <ns0:c r="AK388" s="21" t="inlineStr">
        <ns0:is>
          <ns0:t>Retained source-specific coding after review of the supplied extraction notes; not a new full-text retrieval. The hybrid pipeline was tested on AID, structured ASD screening data and ABIDE and reports very high performance (accuracy 99.95%). The accessible report does not establish a fixed development-versus-independent-external design or cross-site evaluation. Heterogeneous public datasets are evaluated, but explicit multisource fusion is not demonstrated.
Multiple datasets are described but the recovered evidence does not establish a single primary source or participant-linked multisource fusion.</ns0:t>
        </ns0:is>
      </ns0:c>
      <ns0:c r="AL388" s="21" t="inlineStr">
        <ns0:is>
          <ns0:t>Not applicable</ns0:t>
        </ns0:is>
      </ns0:c>
      <ns0:c r="AM388" s="21" t="inlineStr">
        <ns0:is>
          <ns0:t>Not separately specified</ns0:t>
        </ns0:is>
      </ns0:c>
      <ns0:c r="AN388" s="21" t="inlineStr"/>
      <ns0:c r="AO388" s="21" t="inlineStr">
        <ns0:is>
          <ns0:t>No additional status determination</ns0:t>
        </ns0:is>
      </ns0:c>
      <ns0:c r="AP388" s="21" t="inlineStr">
        <ns0:is>
          <ns0:t>Not documented for this recharting</ns0:t>
        </ns0:is>
      </ns0:c>
      <ns0:c r="AQ388" s="21" t="inlineStr">
        <ns0:is>
          <ns0:t>ChatGPT-assisted evidence recharting, 2026-09-08</ns0:t>
        </ns0:is>
      </ns0:c>
      <ns0:c r="AR388" s="21" t="inlineStr">
        <ns0:is>
          <ns0:t>Revision asistida por IA (un revisor; requiere verificacion independiente)</ns0:t>
        </ns0:is>
      </ns0:c>
      <ns0:c r="AS388" s="21" t="inlineStr">
        <ns0:is>
          <ns0:t>Retrieved and reviewed</ns0:t>
        </ns0:is>
      </ns0:c>
    </ns0:row>
    <ns0:row r="389" ht="50" customHeight="1">
      <ns0:c r="A389" s="19" t="inlineStr">
        <ns0:is>
          <ns0:t>new_222</ns0:t>
        </ns0:is>
      </ns0:c>
      <ns0:c r="B389" s="19" t="inlineStr">
        <ns0:is>
          <ns0:t>Update</ns0:t>
        </ns0:is>
      </ns0:c>
      <ns0:c r="C389" s="19" t="inlineStr">
        <ns0:is>
          <ns0:t>Adaptive network based fuzzy inference system efficientnet for autism spectrum disorder detection with optimization based pivotal region extraction</ns0:t>
        </ns0:is>
      </ns0:c>
      <ns0:c r="D389" s="19" t="inlineStr">
        <ns0:is>
          <ns0:t>10.1016/j.pscychresns.2025.112109</ns0:t>
        </ns0:is>
      </ns0:c>
      <ns0:c r="E389" s="26" t="n">
        <ns0:v>2026</ns0:v>
      </ns0:c>
      <ns0:c r="F389" s="19" t="inlineStr">
        <ns0:is>
          <ns0:t>Include</ns0:t>
        </ns0:is>
      </ns0:c>
      <ns0:c r="G389" s="27">
        <ns0:f>IF(F389="Include",1,0)</ns0:f>
        <ns0:v>1</ns0:v>
      </ns0:c>
      <ns0:c r="H389" s="19" t="inlineStr">
        <ns0:is>
          <ns0:t>Diagnosis</ns0:t>
        </ns0:is>
      </ns0:c>
      <ns0:c r="I389" s="19" t="inlineStr">
        <ns0:is>
          <ns0:t>Hybrid</ns0:t>
        </ns0:is>
      </ns0:c>
      <ns0:c r="J389" s="19" t="inlineStr">
        <ns0:is>
          <ns0:t>Neuroimaging</ns0:t>
        </ns0:is>
      </ns0:c>
      <ns0:c r="K389" s="19" t="inlineStr">
        <ns0:is>
          <ns0:t>ANFIS-EffNet + AWSO pivotal-region extraction</ns0:t>
        </ns0:is>
      </ns0:c>
      <ns0:c r="L389" s="19" t="inlineStr">
        <ns0:is>
          <ns0:t>Other specified method</ns0:t>
        </ns0:is>
      </ns0:c>
      <ns0:c r="M389" s="19" t="inlineStr">
        <ns0:is>
          <ns0:t>Research only</ns0:t>
        </ns0:is>
      </ns0:c>
      <ns0:c r="N389" s="19" t="inlineStr">
        <ns0:is>
          <ns0:t>Automated measurement/classification</ns0:t>
        </ns0:is>
      </ns0:c>
      <ns0:c r="O389" s="19" t="inlineStr">
        <ns0:is>
          <ns0:t>Not observed in assessed sources</ns0:t>
        </ns0:is>
      </ns0:c>
      <ns0:c r="P389" s="19" t="inlineStr">
        <ns0:is>
          <ns0:t>Not observed in assessed sources</ns0:t>
        </ns0:is>
      </ns0:c>
      <ns0:c r="Q389" s="19" t="inlineStr">
        <ns0:is>
          <ns0:t>Not reported in assessed sources</ns0:t>
        </ns0:is>
      </ns0:c>
      <ns0:c r="R389" s="19" t="inlineStr">
        <ns0:is>
          <ns0:t>Not reported in assessed sources</ns0:t>
        </ns0:is>
      </ns0:c>
      <ns0:c r="S389" s="19" t="inlineStr">
        <ns0:is>
          <ns0:t>Not reported in assessed sources</ns0:t>
        </ns0:is>
      </ns0:c>
      <ns0:c r="T389" s="19" t="inlineStr">
        <ns0:is>
          <ns0:t>Not reported in assessed sources</ns0:t>
        </ns0:is>
      </ns0:c>
      <ns0:c r="U389" s="19" t="inlineStr">
        <ns0:is>
          <ns0:t>Not reported in assessed sources</ns0:t>
        </ns0:is>
      </ns0:c>
      <ns0:c r="V389" s="19" t="inlineStr">
        <ns0:is>
          <ns0:t>Reported</ns0:t>
        </ns0:is>
      </ns0:c>
      <ns0:c r="W389" s="19" t="inlineStr">
        <ns0:is>
          <ns0:t>Not reported in assessed sources</ns0:t>
        </ns0:is>
      </ns0:c>
      <ns0:c r="X389" s="19" t="inlineStr">
        <ns0:is>
          <ns0:t>Not reported in assessed sources</ns0:t>
        </ns0:is>
      </ns0:c>
      <ns0:c r="Y389" s="19" t="inlineStr">
        <ns0:is>
          <ns0:t>Not ascertainable</ns0:t>
        </ns0:is>
      </ns0:c>
      <ns0:c r="Z389" s="19" t="inlineStr">
        <ns0:is>
          <ns0:t>Not reported in assessed sources</ns0:t>
        </ns0:is>
      </ns0:c>
      <ns0:c r="AA389" s="19" t="inlineStr">
        <ns0:is>
          <ns0:t>Not recorded</ns0:t>
        </ns0:is>
      </ns0:c>
      <ns0:c r="AB389" s="26" t="n">
        <ns0:v>0</ns0:v>
      </ns0:c>
      <ns0:c r="AC389" s="26" t="n">
        <ns0:v>0</ns0:v>
      </ns0:c>
      <ns0:c r="AD389" s="27">
        <ns0:f>IF(AND(G389=1,AB389=0),1,0)</ns0:f>
        <ns0:v>1</ns0:v>
      </ns0:c>
      <ns0:c r="AE389" s="27">
        <ns0:f>IF(AND(AD389=1,AC389=0),1,0)</ns0:f>
        <ns0:v>1</ns0:v>
      </ns0:c>
      <ns0:c r="AF389" s="27">
        <ns0:f>IF(AND(G389=1,H389&lt;&gt;"Not specified"),1,0)</ns0:f>
        <ns0:v>1</ns0:v>
      </ns0:c>
      <ns0:c r="AG389" s="27">
        <ns0:f>IF(AND(AE389=1,AF389=1),1,0)</ns0:f>
        <ns0:v>1</ns0:v>
      </ns0:c>
      <ns0:c r="AH389" s="19" t="inlineStr">
        <ns0:is>
          <ns0:t>Prior source-specific extraction retained; no new full-text retrieval</ns0:t>
        </ns0:is>
      </ns0:c>
      <ns0:c r="AI389" s="19" t="inlineStr">
        <ns0:is>
          <ns0:t>https://doi.org/10.1016/j.pscychresns.2025.112109</ns0:t>
        </ns0:is>
      </ns0:c>
      <ns0:c r="AJ389" s="19" t="inlineStr">
        <ns0:is>
          <ns0:t>EVIDENCIA; original abstract/coding notes and lot source trace; Inherited scoped adjudication; see source level and lot caveats</ns0:t>
        </ns0:is>
      </ns0:c>
      <ns0:c r="AK389" s="19" t="inlineStr">
        <ns0:is>
          <ns0:t>Retained source-specific coding after review of the supplied extraction notes; not a new full-text retrieval. ANFIS-EffNet combines fuzzy inference and EfficientNet with optimization-based pivotal-region extraction; reported accuracy is about 93.2% on ABIDE-related imaging. ABIDE-I/II use was treated as multisite evidence only; no explicit train-on-one/test-on-another or site-held-out robustness design was identified. Pivotal-region extraction was not counted as formal XAI.</ns0:t>
        </ns0:is>
      </ns0:c>
      <ns0:c r="AL389" s="19" t="inlineStr">
        <ns0:is>
          <ns0:t>Not applicable</ns0:t>
        </ns0:is>
      </ns0:c>
      <ns0:c r="AM389" s="19" t="inlineStr">
        <ns0:is>
          <ns0:t>Not separately specified</ns0:t>
        </ns0:is>
      </ns0:c>
      <ns0:c r="AN389" s="19" t="inlineStr"/>
      <ns0:c r="AO389" s="19" t="inlineStr">
        <ns0:is>
          <ns0:t>No additional status determination</ns0:t>
        </ns0:is>
      </ns0:c>
      <ns0:c r="AP389" s="19" t="inlineStr">
        <ns0:is>
          <ns0:t>Not documented for this recharting</ns0:t>
        </ns0:is>
      </ns0:c>
      <ns0:c r="AQ389" s="19" t="inlineStr">
        <ns0:is>
          <ns0:t>ChatGPT-assisted evidence recharting, 2026-09-08</ns0:t>
        </ns0:is>
      </ns0:c>
      <ns0:c r="AR389" s="19" t="inlineStr">
        <ns0:is>
          <ns0:t>Revision asistida por IA (un revisor; requiere verificacion independiente)</ns0:t>
        </ns0:is>
      </ns0:c>
      <ns0:c r="AS389" s="19" t="inlineStr">
        <ns0:is>
          <ns0:t>Retrieved and reviewed</ns0:t>
        </ns0:is>
      </ns0:c>
    </ns0:row>
    <ns0:row r="390" ht="50" customHeight="1">
      <ns0:c r="A390" s="21" t="inlineStr">
        <ns0:is>
          <ns0:t>new_223</ns0:t>
        </ns0:is>
      </ns0:c>
      <ns0:c r="B390" s="21" t="inlineStr">
        <ns0:is>
          <ns0:t>Update</ns0:t>
        </ns0:is>
      </ns0:c>
      <ns0:c r="C390" s="21" t="inlineStr">
        <ns0:is>
          <ns0:t>Identification of Autism Through Fractal Analysis of EEG Signals and Bayesian Optimized Artificial Neural Network</ns0:t>
        </ns0:is>
      </ns0:c>
      <ns0:c r="D390" s="21" t="inlineStr">
        <ns0:is>
          <ns0:t>10.1002/ima.70326</ns0:t>
        </ns0:is>
      </ns0:c>
      <ns0:c r="E390" s="28" t="n">
        <ns0:v>2026</ns0:v>
      </ns0:c>
      <ns0:c r="F390" s="21" t="inlineStr">
        <ns0:is>
          <ns0:t>Include</ns0:t>
        </ns0:is>
      </ns0:c>
      <ns0:c r="G390" s="29">
        <ns0:f>IF(F390="Include",1,0)</ns0:f>
        <ns0:v>1</ns0:v>
      </ns0:c>
      <ns0:c r="H390" s="21" t="inlineStr">
        <ns0:is>
          <ns0:t>Diagnosis</ns0:t>
        </ns0:is>
      </ns0:c>
      <ns0:c r="I390" s="21" t="inlineStr">
        <ns0:is>
          <ns0:t>Machine Learning</ns0:t>
        </ns0:is>
      </ns0:c>
      <ns0:c r="J390" s="21" t="inlineStr">
        <ns0:is>
          <ns0:t>Physiological signals</ns0:t>
        </ns0:is>
      </ns0:c>
      <ns0:c r="K390" s="21" t="inlineStr">
        <ns0:is>
          <ns0:t>Bayesian-optimized ANN (BO-ANN) on fractal-dimension EEG features</ns0:t>
        </ns0:is>
      </ns0:c>
      <ns0:c r="L390" s="21" t="inlineStr">
        <ns0:is>
          <ns0:t>MLP/ANN</ns0:t>
        </ns0:is>
      </ns0:c>
      <ns0:c r="M390" s="21" t="inlineStr">
        <ns0:is>
          <ns0:t>Research only</ns0:t>
        </ns0:is>
      </ns0:c>
      <ns0:c r="N390" s="21" t="inlineStr">
        <ns0:is>
          <ns0:t>Automated measurement/classification</ns0:t>
        </ns0:is>
      </ns0:c>
      <ns0:c r="O390" s="21" t="inlineStr">
        <ns0:is>
          <ns0:t>Not observed in assessed sources</ns0:t>
        </ns0:is>
      </ns0:c>
      <ns0:c r="P390" s="21" t="inlineStr">
        <ns0:is>
          <ns0:t>Not observed in assessed sources</ns0:t>
        </ns0:is>
      </ns0:c>
      <ns0:c r="Q390" s="21" t="inlineStr">
        <ns0:is>
          <ns0:t>Not reported in assessed sources</ns0:t>
        </ns0:is>
      </ns0:c>
      <ns0:c r="R390" s="21" t="inlineStr">
        <ns0:is>
          <ns0:t>Not reported in assessed sources</ns0:t>
        </ns0:is>
      </ns0:c>
      <ns0:c r="S390" s="21" t="inlineStr">
        <ns0:is>
          <ns0:t>Reported</ns0:t>
        </ns0:is>
      </ns0:c>
      <ns0:c r="T390" s="21" t="inlineStr">
        <ns0:is>
          <ns0:t>Not reported in assessed sources</ns0:t>
        </ns0:is>
      </ns0:c>
      <ns0:c r="U390" s="21" t="inlineStr">
        <ns0:is>
          <ns0:t>Not reported in assessed sources</ns0:t>
        </ns0:is>
      </ns0:c>
      <ns0:c r="V390" s="21" t="inlineStr">
        <ns0:is>
          <ns0:t>Not reported in assessed sources</ns0:t>
        </ns0:is>
      </ns0:c>
      <ns0:c r="W390" s="21" t="inlineStr">
        <ns0:is>
          <ns0:t>Not reported in assessed sources</ns0:t>
        </ns0:is>
      </ns0:c>
      <ns0:c r="X390" s="21" t="inlineStr">
        <ns0:is>
          <ns0:t>Not reported in assessed sources</ns0:t>
        </ns0:is>
      </ns0:c>
      <ns0:c r="Y390" s="21" t="inlineStr">
        <ns0:is>
          <ns0:t>Not ascertainable</ns0:t>
        </ns0:is>
      </ns0:c>
      <ns0:c r="Z390" s="21" t="inlineStr">
        <ns0:is>
          <ns0:t>Reported</ns0:t>
        </ns0:is>
      </ns0:c>
      <ns0:c r="AA390" s="21" t="inlineStr">
        <ns0:is>
          <ns0:t>Not recorded</ns0:t>
        </ns0:is>
      </ns0:c>
      <ns0:c r="AB390" s="28" t="n">
        <ns0:v>0</ns0:v>
      </ns0:c>
      <ns0:c r="AC390" s="28" t="n">
        <ns0:v>0</ns0:v>
      </ns0:c>
      <ns0:c r="AD390" s="29">
        <ns0:f>IF(AND(G390=1,AB390=0),1,0)</ns0:f>
        <ns0:v>1</ns0:v>
      </ns0:c>
      <ns0:c r="AE390" s="29">
        <ns0:f>IF(AND(AD390=1,AC390=0),1,0)</ns0:f>
        <ns0:v>1</ns0:v>
      </ns0:c>
      <ns0:c r="AF390" s="29">
        <ns0:f>IF(AND(G390=1,H390&lt;&gt;"Not specified"),1,0)</ns0:f>
        <ns0:v>1</ns0:v>
      </ns0:c>
      <ns0:c r="AG390" s="29">
        <ns0:f>IF(AND(AE390=1,AF390=1),1,0)</ns0:f>
        <ns0:v>1</ns0:v>
      </ns0:c>
      <ns0:c r="AH390" s="21" t="inlineStr">
        <ns0:is>
          <ns0:t>Prior source-specific extraction retained; no new full-text retrieval</ns0:t>
        </ns0:is>
      </ns0:c>
      <ns0:c r="AI390" s="21" t="inlineStr">
        <ns0:is>
          <ns0:t>https://doi.org/10.1002/ima.70326</ns0:t>
        </ns0:is>
      </ns0:c>
      <ns0:c r="AJ390" s="21" t="inlineStr">
        <ns0:is>
          <ns0:t>EVIDENCIA; original abstract/coding notes and lot source trace; Inherited scoped adjudication; see source level and lot caveats</ns0:t>
        </ns0:is>
      </ns0:c>
      <ns0:c r="AK390" s="21" t="inlineStr">
        <ns0:is>
          <ns0:t>Retained source-specific coding after review of the supplied extraction notes; not a new full-text retrieval. Five fractal-dimension measures from 16 EEG channels feed several classifiers; BO-ANN reached 97.38% accuracy and XGBoost feature importance identified influential channels/features. Small sample (29 ASD, 30 TD) and no independent external/site-held-out validation. Feature importance supports XAI coding but does not establish clinical interpretability or utility.</ns0:t>
        </ns0:is>
      </ns0:c>
      <ns0:c r="AL390" s="21" t="inlineStr">
        <ns0:is>
          <ns0:t>Not applicable</ns0:t>
        </ns0:is>
      </ns0:c>
      <ns0:c r="AM390" s="21" t="inlineStr">
        <ns0:is>
          <ns0:t>Not separately specified</ns0:t>
        </ns0:is>
      </ns0:c>
      <ns0:c r="AN390" s="21" t="inlineStr"/>
      <ns0:c r="AO390" s="21" t="inlineStr">
        <ns0:is>
          <ns0:t>No additional status determination</ns0:t>
        </ns0:is>
      </ns0:c>
      <ns0:c r="AP390" s="21" t="inlineStr">
        <ns0:is>
          <ns0:t>Not documented for this recharting</ns0:t>
        </ns0:is>
      </ns0:c>
      <ns0:c r="AQ390" s="21" t="inlineStr">
        <ns0:is>
          <ns0:t>ChatGPT-assisted evidence recharting, 2026-09-08</ns0:t>
        </ns0:is>
      </ns0:c>
      <ns0:c r="AR390" s="21" t="inlineStr">
        <ns0:is>
          <ns0:t>Revision asistida por IA (un revisor; requiere verificacion independiente)</ns0:t>
        </ns0:is>
      </ns0:c>
      <ns0:c r="AS390" s="21" t="inlineStr">
        <ns0:is>
          <ns0:t>Retrieved and reviewed</ns0:t>
        </ns0:is>
      </ns0:c>
    </ns0:row>
    <ns0:row r="391" ht="50" customHeight="1">
      <ns0:c r="A391" s="19" t="inlineStr">
        <ns0:is>
          <ns0:t>new_231</ns0:t>
        </ns0:is>
      </ns0:c>
      <ns0:c r="B391" s="19" t="inlineStr">
        <ns0:is>
          <ns0:t>Update</ns0:t>
        </ns0:is>
      </ns0:c>
      <ns0:c r="C391" s="19" t="inlineStr">
        <ns0:is>
          <ns0:t>Linguistic Explanations of Deep Models in Detecting Autism and Schizophrenia</ns0:t>
        </ns0:is>
      </ns0:c>
      <ns0:c r="D391" s="19" t="inlineStr">
        <ns0:is>
          <ns0:t>10.1111/coin.70158</ns0:t>
        </ns0:is>
      </ns0:c>
      <ns0:c r="E391" s="26" t="n">
        <ns0:v>2025</ns0:v>
      </ns0:c>
      <ns0:c r="F391" s="19" t="inlineStr">
        <ns0:is>
          <ns0:t>Include</ns0:t>
        </ns0:is>
      </ns0:c>
      <ns0:c r="G391" s="27">
        <ns0:f>IF(F391="Include",1,0)</ns0:f>
        <ns0:v>1</ns0:v>
      </ns0:c>
      <ns0:c r="H391" s="19" t="inlineStr">
        <ns0:is>
          <ns0:t>Diagnosis</ns0:t>
        </ns0:is>
      </ns0:c>
      <ns0:c r="I391" s="19" t="inlineStr">
        <ns0:is>
          <ns0:t>Deep Learning</ns0:t>
        </ns0:is>
      </ns0:c>
      <ns0:c r="J391" s="19" t="inlineStr">
        <ns0:is>
          <ns0:t>Text/language</ns0:t>
        </ns0:is>
      </ns0:c>
      <ns0:c r="K391" s="19" t="inlineStr">
        <ns0:is>
          <ns0:t>HerBERT transformer + Integrated Gradients + explainable linguistic models</ns0:t>
        </ns0:is>
      </ns0:c>
      <ns0:c r="L391" s="19" t="inlineStr">
        <ns0:is>
          <ns0:t>Transformer</ns0:t>
        </ns0:is>
      </ns0:c>
      <ns0:c r="M391" s="19" t="inlineStr">
        <ns0:is>
          <ns0:t>Research only</ns0:t>
        </ns0:is>
      </ns0:c>
      <ns0:c r="N391" s="19" t="inlineStr">
        <ns0:is>
          <ns0:t>Automated measurement/classification</ns0:t>
        </ns0:is>
      </ns0:c>
      <ns0:c r="O391" s="19" t="inlineStr">
        <ns0:is>
          <ns0:t>Not observed in assessed sources</ns0:t>
        </ns0:is>
      </ns0:c>
      <ns0:c r="P391" s="19" t="inlineStr">
        <ns0:is>
          <ns0:t>Not observed in assessed sources</ns0:t>
        </ns0:is>
      </ns0:c>
      <ns0:c r="Q391" s="19" t="inlineStr">
        <ns0:is>
          <ns0:t>Not reported in assessed sources</ns0:t>
        </ns0:is>
      </ns0:c>
      <ns0:c r="R391" s="19" t="inlineStr">
        <ns0:is>
          <ns0:t>Not reported in assessed sources</ns0:t>
        </ns0:is>
      </ns0:c>
      <ns0:c r="S391" s="19" t="inlineStr">
        <ns0:is>
          <ns0:t>Reported</ns0:t>
        </ns0:is>
      </ns0:c>
      <ns0:c r="T391" s="19" t="inlineStr">
        <ns0:is>
          <ns0:t>Reported</ns0:t>
        </ns0:is>
      </ns0:c>
      <ns0:c r="U391" s="19" t="inlineStr">
        <ns0:is>
          <ns0:t>Not reported in assessed sources</ns0:t>
        </ns0:is>
      </ns0:c>
      <ns0:c r="V391" s="19" t="inlineStr">
        <ns0:is>
          <ns0:t>Not reported in assessed sources</ns0:t>
        </ns0:is>
      </ns0:c>
      <ns0:c r="W391" s="19" t="inlineStr">
        <ns0:is>
          <ns0:t>Not reported in assessed sources</ns0:t>
        </ns0:is>
      </ns0:c>
      <ns0:c r="X391" s="19" t="inlineStr">
        <ns0:is>
          <ns0:t>Not reported in assessed sources</ns0:t>
        </ns0:is>
      </ns0:c>
      <ns0:c r="Y391" s="19" t="inlineStr">
        <ns0:is>
          <ns0:t>Not ascertainable</ns0:t>
        </ns0:is>
      </ns0:c>
      <ns0:c r="Z391" s="19" t="inlineStr">
        <ns0:is>
          <ns0:t>Not reported in assessed sources</ns0:t>
        </ns0:is>
      </ns0:c>
      <ns0:c r="AA391" s="19" t="inlineStr">
        <ns0:is>
          <ns0:t>Not recorded</ns0:t>
        </ns0:is>
      </ns0:c>
      <ns0:c r="AB391" s="26" t="n">
        <ns0:v>0</ns0:v>
      </ns0:c>
      <ns0:c r="AC391" s="26" t="n">
        <ns0:v>0</ns0:v>
      </ns0:c>
      <ns0:c r="AD391" s="27">
        <ns0:f>IF(AND(G391=1,AB391=0),1,0)</ns0:f>
        <ns0:v>1</ns0:v>
      </ns0:c>
      <ns0:c r="AE391" s="27">
        <ns0:f>IF(AND(AD391=1,AC391=0),1,0)</ns0:f>
        <ns0:v>1</ns0:v>
      </ns0:c>
      <ns0:c r="AF391" s="27">
        <ns0:f>IF(AND(G391=1,H391&lt;&gt;"Not specified"),1,0)</ns0:f>
        <ns0:v>1</ns0:v>
      </ns0:c>
      <ns0:c r="AG391" s="27">
        <ns0:f>IF(AND(AE391=1,AF391=1),1,0)</ns0:f>
        <ns0:v>1</ns0:v>
      </ns0:c>
      <ns0:c r="AH391" s="19" t="inlineStr">
        <ns0:is>
          <ns0:t>Prior source-specific extraction retained; no new full-text retrieval</ns0:t>
        </ns0:is>
      </ns0:c>
      <ns0:c r="AI391" s="19" t="inlineStr">
        <ns0:is>
          <ns0:t>https://doi.org/10.1111/coin.70158</ns0:t>
        </ns0:is>
      </ns0:c>
      <ns0:c r="AJ391" s="19" t="inlineStr">
        <ns0:is>
          <ns0:t>EVIDENCIA; original abstract/coding notes and lot source trace; Inherited scoped adjudication; see source level and lot caveats</ns0:t>
        </ns0:is>
      </ns0:c>
      <ns0:c r="AK391" s="19" t="inlineStr">
        <ns0:is>
          <ns0:t>Retained source-specific coding after review of the supplied extraction notes; not a new full-text retrieval. Integrated Gradients token attributions from HerBERT are mapped to syntactic and psycholinguistic variables and linked to feature importance and selected clinical tests. The indexed text does not expose the full sampling/validation design or evidence of independent external testing; data are restricted and available on request.</ns0:t>
        </ns0:is>
      </ns0:c>
      <ns0:c r="AL391" s="19" t="inlineStr">
        <ns0:is>
          <ns0:t>Not applicable</ns0:t>
        </ns0:is>
      </ns0:c>
      <ns0:c r="AM391" s="19" t="inlineStr">
        <ns0:is>
          <ns0:t>Not separately specified</ns0:t>
        </ns0:is>
      </ns0:c>
      <ns0:c r="AN391" s="19" t="inlineStr"/>
      <ns0:c r="AO391" s="19" t="inlineStr">
        <ns0:is>
          <ns0:t>No additional status determination</ns0:t>
        </ns0:is>
      </ns0:c>
      <ns0:c r="AP391" s="19" t="inlineStr">
        <ns0:is>
          <ns0:t>Not documented for this recharting</ns0:t>
        </ns0:is>
      </ns0:c>
      <ns0:c r="AQ391" s="19" t="inlineStr">
        <ns0:is>
          <ns0:t>ChatGPT-assisted evidence recharting, 2026-09-08</ns0:t>
        </ns0:is>
      </ns0:c>
      <ns0:c r="AR391" s="19" t="inlineStr">
        <ns0:is>
          <ns0:t>Revision asistida por IA (un revisor; requiere verificacion independiente)</ns0:t>
        </ns0:is>
      </ns0:c>
      <ns0:c r="AS391" s="19" t="inlineStr">
        <ns0:is>
          <ns0:t>Retrieved and reviewed</ns0:t>
        </ns0:is>
      </ns0:c>
    </ns0:row>
    <ns0:row r="392" ht="50" customHeight="1">
      <ns0:c r="A392" s="21" t="inlineStr">
        <ns0:is>
          <ns0:t>new_233</ns0:t>
        </ns0:is>
      </ns0:c>
      <ns0:c r="B392" s="21" t="inlineStr">
        <ns0:is>
          <ns0:t>Update</ns0:t>
        </ns0:is>
      </ns0:c>
      <ns0:c r="C392" s="21" t="inlineStr">
        <ns0:is>
          <ns0:t>Autism Screening Based on Deep Learning Analysis of Eye Movement Trajectories</ns0:t>
        </ns0:is>
      </ns0:c>
      <ns0:c r="D392" s="21" t="inlineStr">
        <ns0:is>
          <ns0:t>10.1049/cvi2.70078</ns0:t>
        </ns0:is>
      </ns0:c>
      <ns0:c r="E392" s="28" t="n">
        <ns0:v>2026</ns0:v>
      </ns0:c>
      <ns0:c r="F392" s="21" t="inlineStr">
        <ns0:is>
          <ns0:t>Include</ns0:t>
        </ns0:is>
      </ns0:c>
      <ns0:c r="G392" s="29">
        <ns0:f>IF(F392="Include",1,0)</ns0:f>
        <ns0:v>1</ns0:v>
      </ns0:c>
      <ns0:c r="H392" s="21" t="inlineStr">
        <ns0:is>
          <ns0:t>Screening</ns0:t>
        </ns0:is>
      </ns0:c>
      <ns0:c r="I392" s="21" t="inlineStr">
        <ns0:is>
          <ns0:t>Deep Learning</ns0:t>
        </ns0:is>
      </ns0:c>
      <ns0:c r="J392" s="21" t="inlineStr">
        <ns0:is>
          <ns0:t>Behavioral images/video/gaze/movement</ns0:t>
        </ns0:is>
      </ns0:c>
      <ns0:c r="K392" s="21" t="inlineStr">
        <ns0:is>
          <ns0:t>ET-ASDNet (ResNet18 backbone + trajectory processing/fusion modules)</ns0:t>
        </ns0:is>
      </ns0:c>
      <ns0:c r="L392" s="21" t="inlineStr">
        <ns0:is>
          <ns0:t>CNN</ns0:t>
        </ns0:is>
      </ns0:c>
      <ns0:c r="M392" s="21" t="inlineStr">
        <ns0:is>
          <ns0:t>Proposed only</ns0:t>
        </ns0:is>
      </ns0:c>
      <ns0:c r="N392" s="21" t="inlineStr">
        <ns0:is>
          <ns0:t>Triage/questionnaire assessment</ns0:t>
        </ns0:is>
      </ns0:c>
      <ns0:c r="O392" s="21" t="inlineStr">
        <ns0:is>
          <ns0:t>Pre-decision</ns0:t>
        </ns0:is>
      </ns0:c>
      <ns0:c r="P392" s="21" t="inlineStr">
        <ns0:is>
          <ns0:t>Not observed in assessed sources</ns0:t>
        </ns0:is>
      </ns0:c>
      <ns0:c r="Q392" s="21" t="inlineStr">
        <ns0:is>
          <ns0:t>Not reported in assessed sources</ns0:t>
        </ns0:is>
      </ns0:c>
      <ns0:c r="R392" s="21" t="inlineStr">
        <ns0:is>
          <ns0:t>Not reported in assessed sources</ns0:t>
        </ns0:is>
      </ns0:c>
      <ns0:c r="S392" s="21" t="inlineStr">
        <ns0:is>
          <ns0:t>Not reported in assessed sources</ns0:t>
        </ns0:is>
      </ns0:c>
      <ns0:c r="T392" s="21" t="inlineStr">
        <ns0:is>
          <ns0:t>Not reported in assessed sources</ns0:t>
        </ns0:is>
      </ns0:c>
      <ns0:c r="U392" s="21" t="inlineStr">
        <ns0:is>
          <ns0:t>Not reported in assessed sources</ns0:t>
        </ns0:is>
      </ns0:c>
      <ns0:c r="V392" s="21" t="inlineStr">
        <ns0:is>
          <ns0:t>Not reported in assessed sources</ns0:t>
        </ns0:is>
      </ns0:c>
      <ns0:c r="W392" s="21" t="inlineStr">
        <ns0:is>
          <ns0:t>Not reported in assessed sources</ns0:t>
        </ns0:is>
      </ns0:c>
      <ns0:c r="X392" s="21" t="inlineStr">
        <ns0:is>
          <ns0:t>Not reported in assessed sources</ns0:t>
        </ns0:is>
      </ns0:c>
      <ns0:c r="Y392" s="21" t="inlineStr">
        <ns0:is>
          <ns0:t>Not ascertainable</ns0:t>
        </ns0:is>
      </ns0:c>
      <ns0:c r="Z392" s="21" t="inlineStr">
        <ns0:is>
          <ns0:t>Not reported in assessed sources</ns0:t>
        </ns0:is>
      </ns0:c>
      <ns0:c r="AA392" s="21" t="inlineStr">
        <ns0:is>
          <ns0:t>Not recorded</ns0:t>
        </ns0:is>
      </ns0:c>
      <ns0:c r="AB392" s="28" t="n">
        <ns0:v>0</ns0:v>
      </ns0:c>
      <ns0:c r="AC392" s="28" t="n">
        <ns0:v>0</ns0:v>
      </ns0:c>
      <ns0:c r="AD392" s="29">
        <ns0:f>IF(AND(G392=1,AB392=0),1,0)</ns0:f>
        <ns0:v>1</ns0:v>
      </ns0:c>
      <ns0:c r="AE392" s="29">
        <ns0:f>IF(AND(AD392=1,AC392=0),1,0)</ns0:f>
        <ns0:v>1</ns0:v>
      </ns0:c>
      <ns0:c r="AF392" s="29">
        <ns0:f>IF(AND(G392=1,H392&lt;&gt;"Not specified"),1,0)</ns0:f>
        <ns0:v>1</ns0:v>
      </ns0:c>
      <ns0:c r="AG392" s="29">
        <ns0:f>IF(AND(AE392=1,AF392=1),1,0)</ns0:f>
        <ns0:v>1</ns0:v>
      </ns0:c>
      <ns0:c r="AH392" s="21" t="inlineStr">
        <ns0:is>
          <ns0:t>Prior source-specific extraction retained; no new full-text retrieval</ns0:t>
        </ns0:is>
      </ns0:c>
      <ns0:c r="AI392" s="21" t="inlineStr">
        <ns0:is>
          <ns0:t>https://doi.org/10.1049/cvi2.70078</ns0:t>
        </ns0:is>
      </ns0:c>
      <ns0:c r="AJ392" s="21" t="inlineStr">
        <ns0:is>
          <ns0:t>EVIDENCIA; original abstract/coding notes and lot source trace; Inherited scoped adjudication; see source level and lot caveats</ns0:t>
        </ns0:is>
      </ns0:c>
      <ns0:c r="AK392" s="21" t="inlineStr">
        <ns0:is>
          <ns0:t>Retained source-specific coding after review of the supplied extraction notes; not a new full-text retrieval. ET-ASDNet analyzes eye-movement trajectories and reports 85.19% and 72.67% accuracy on two public datasets. Use of two public datasets does not by itself establish external validation unless a fixed development/external design is shown. Attention/fusion modules were not counted as formal XAI.</ns0:t>
        </ns0:is>
      </ns0:c>
      <ns0:c r="AL392" s="21" t="inlineStr">
        <ns0:is>
          <ns0:t>Not applicable</ns0:t>
        </ns0:is>
      </ns0:c>
      <ns0:c r="AM392" s="21" t="inlineStr">
        <ns0:is>
          <ns0:t>Not separately specified</ns0:t>
        </ns0:is>
      </ns0:c>
      <ns0:c r="AN392" s="21" t="inlineStr"/>
      <ns0:c r="AO392" s="21" t="inlineStr">
        <ns0:is>
          <ns0:t>No additional status determination</ns0:t>
        </ns0:is>
      </ns0:c>
      <ns0:c r="AP392" s="21" t="inlineStr">
        <ns0:is>
          <ns0:t>Not documented for this recharting</ns0:t>
        </ns0:is>
      </ns0:c>
      <ns0:c r="AQ392" s="21" t="inlineStr">
        <ns0:is>
          <ns0:t>ChatGPT-assisted evidence recharting, 2026-09-08</ns0:t>
        </ns0:is>
      </ns0:c>
      <ns0:c r="AR392" s="21" t="inlineStr">
        <ns0:is>
          <ns0:t>Revision asistida por IA (un revisor; requiere verificacion independiente)</ns0:t>
        </ns0:is>
      </ns0:c>
      <ns0:c r="AS392" s="21" t="inlineStr">
        <ns0:is>
          <ns0:t>Retrieved and reviewed</ns0:t>
        </ns0:is>
      </ns0:c>
    </ns0:row>
    <ns0:row r="393" ht="50" customHeight="1">
      <ns0:c r="A393" s="19" t="inlineStr">
        <ns0:is>
          <ns0:t>new_235</ns0:t>
        </ns0:is>
      </ns0:c>
      <ns0:c r="B393" s="19" t="inlineStr">
        <ns0:is>
          <ns0:t>Update</ns0:t>
        </ns0:is>
      </ns0:c>
      <ns0:c r="C393" s="19" t="inlineStr">
        <ns0:is>
          <ns0:t>Automatic measurement of social gaze during naturalistic conversations in autism</ns0:t>
        </ns0:is>
      </ns0:c>
      <ns0:c r="D393" s="19" t="inlineStr">
        <ns0:is>
          <ns0:t>10.1016/j.jpsychires.2026.05.015</ns0:t>
        </ns0:is>
      </ns0:c>
      <ns0:c r="E393" s="26" t="n">
        <ns0:v>2026</ns0:v>
      </ns0:c>
      <ns0:c r="F393" s="19" t="inlineStr">
        <ns0:is>
          <ns0:t>Include</ns0:t>
        </ns0:is>
      </ns0:c>
      <ns0:c r="G393" s="27">
        <ns0:f>IF(F393="Include",1,0)</ns0:f>
        <ns0:v>1</ns0:v>
      </ns0:c>
      <ns0:c r="H393" s="19" t="inlineStr">
        <ns0:is>
          <ns0:t>Diagnosis</ns0:t>
        </ns0:is>
      </ns0:c>
      <ns0:c r="I393" s="19" t="inlineStr">
        <ns0:is>
          <ns0:t>Hybrid</ns0:t>
        </ns0:is>
      </ns0:c>
      <ns0:c r="J393" s="19" t="inlineStr">
        <ns0:is>
          <ns0:t>Behavioral images/video/gaze/movement</ns0:t>
        </ns0:is>
      </ns0:c>
      <ns0:c r="K393" s="19" t="inlineStr">
        <ns0:is>
          <ns0:t>Automated social-gaze detector (CNN/computer vision) + SVM-RBF diagnostic classifier</ns0:t>
        </ns0:is>
      </ns0:c>
      <ns0:c r="L393" s="19" t="inlineStr">
        <ns0:is>
          <ns0:t>Composite/ensemble pipeline</ns0:t>
        </ns0:is>
      </ns0:c>
      <ns0:c r="M393" s="19" t="inlineStr">
        <ns0:is>
          <ns0:t>Research only</ns0:t>
        </ns0:is>
      </ns0:c>
      <ns0:c r="N393" s="19" t="inlineStr">
        <ns0:is>
          <ns0:t>Automated measurement/classification</ns0:t>
        </ns0:is>
      </ns0:c>
      <ns0:c r="O393" s="19" t="inlineStr">
        <ns0:is>
          <ns0:t>Not observed in assessed sources</ns0:t>
        </ns0:is>
      </ns0:c>
      <ns0:c r="P393" s="19" t="inlineStr">
        <ns0:is>
          <ns0:t>Not observed in assessed sources</ns0:t>
        </ns0:is>
      </ns0:c>
      <ns0:c r="Q393" s="19" t="inlineStr">
        <ns0:is>
          <ns0:t>Not reported in assessed sources</ns0:t>
        </ns0:is>
      </ns0:c>
      <ns0:c r="R393" s="19" t="inlineStr">
        <ns0:is>
          <ns0:t>Not reported in assessed sources</ns0:t>
        </ns0:is>
      </ns0:c>
      <ns0:c r="S393" s="19" t="inlineStr">
        <ns0:is>
          <ns0:t>Reported</ns0:t>
        </ns0:is>
      </ns0:c>
      <ns0:c r="T393" s="19" t="inlineStr">
        <ns0:is>
          <ns0:t>Not reported in assessed sources</ns0:t>
        </ns0:is>
      </ns0:c>
      <ns0:c r="U393" s="19" t="inlineStr">
        <ns0:is>
          <ns0:t>Not reported in assessed sources</ns0:t>
        </ns0:is>
      </ns0:c>
      <ns0:c r="V393" s="19" t="inlineStr">
        <ns0:is>
          <ns0:t>Not reported in assessed sources</ns0:t>
        </ns0:is>
      </ns0:c>
      <ns0:c r="W393" s="19" t="inlineStr">
        <ns0:is>
          <ns0:t>Not reported in assessed sources</ns0:t>
        </ns0:is>
      </ns0:c>
      <ns0:c r="X393" s="19" t="inlineStr">
        <ns0:is>
          <ns0:t>Not reported in assessed sources</ns0:t>
        </ns0:is>
      </ns0:c>
      <ns0:c r="Y393" s="19" t="inlineStr">
        <ns0:is>
          <ns0:t>Reported</ns0:t>
        </ns0:is>
      </ns0:c>
      <ns0:c r="Z393" s="19" t="inlineStr">
        <ns0:is>
          <ns0:t>Reported</ns0:t>
        </ns0:is>
      </ns0:c>
      <ns0:c r="AA393" s="19" t="inlineStr">
        <ns0:is>
          <ns0:t>Not recorded</ns0:t>
        </ns0:is>
      </ns0:c>
      <ns0:c r="AB393" s="26" t="n">
        <ns0:v>0</ns0:v>
      </ns0:c>
      <ns0:c r="AC393" s="26" t="n">
        <ns0:v>0</ns0:v>
      </ns0:c>
      <ns0:c r="AD393" s="27">
        <ns0:f>IF(AND(G393=1,AB393=0),1,0)</ns0:f>
        <ns0:v>1</ns0:v>
      </ns0:c>
      <ns0:c r="AE393" s="27">
        <ns0:f>IF(AND(AD393=1,AC393=0),1,0)</ns0:f>
        <ns0:v>1</ns0:v>
      </ns0:c>
      <ns0:c r="AF393" s="27">
        <ns0:f>IF(AND(G393=1,H393&lt;&gt;"Not specified"),1,0)</ns0:f>
        <ns0:v>1</ns0:v>
      </ns0:c>
      <ns0:c r="AG393" s="27">
        <ns0:f>IF(AND(AE393=1,AF393=1),1,0)</ns0:f>
        <ns0:v>1</ns0:v>
      </ns0:c>
      <ns0:c r="AH393" s="19" t="inlineStr">
        <ns0:is>
          <ns0:t>Prior source-specific extraction retained; no new full-text retrieval</ns0:t>
        </ns0:is>
      </ns0:c>
      <ns0:c r="AI393" s="19" t="inlineStr">
        <ns0:is>
          <ns0:t>https://doi.org/10.1016/j.jpsychires.2026.05.015</ns0:t>
        </ns0:is>
      </ns0:c>
      <ns0:c r="AJ393" s="19" t="inlineStr">
        <ns0:is>
          <ns0:t>EVIDENCIA; original abstract/coding notes and lot source trace; Inherited scoped adjudication; see source level and lot caveats</ns0:t>
        </ns0:is>
      </ns0:c>
      <ns0:c r="AK393" s="19" t="inlineStr">
        <ns0:is>
          <ns0:t>Retained source-specific coding after review of the supplied extraction notes; not a new full-text retrieval. Videos from 46 autistic and 36 neurotypical participants were used to train an automatic gaze detector; granular gaze features correlated with ADOS-2 Social Affect and classified ASD vs NT at 73%. Cross-validation is internal and no independent cohort/site test was reported. Human-defined gaze features are interpretable, but no formal post-hoc XAI method was used.</ns0:t>
        </ns0:is>
      </ns0:c>
      <ns0:c r="AL393" s="19" t="inlineStr">
        <ns0:is>
          <ns0:t>Not applicable</ns0:t>
        </ns0:is>
      </ns0:c>
      <ns0:c r="AM393" s="19" t="inlineStr">
        <ns0:is>
          <ns0:t>Not separately specified</ns0:t>
        </ns0:is>
      </ns0:c>
      <ns0:c r="AN393" s="19" t="inlineStr"/>
      <ns0:c r="AO393" s="19" t="inlineStr">
        <ns0:is>
          <ns0:t>No additional status determination</ns0:t>
        </ns0:is>
      </ns0:c>
      <ns0:c r="AP393" s="19" t="inlineStr">
        <ns0:is>
          <ns0:t>Not documented for this recharting</ns0:t>
        </ns0:is>
      </ns0:c>
      <ns0:c r="AQ393" s="19" t="inlineStr">
        <ns0:is>
          <ns0:t>ChatGPT-assisted evidence recharting, 2026-09-08</ns0:t>
        </ns0:is>
      </ns0:c>
      <ns0:c r="AR393" s="19" t="inlineStr">
        <ns0:is>
          <ns0:t>Revision asistida por IA (un revisor; requiere verificacion independiente)</ns0:t>
        </ns0:is>
      </ns0:c>
      <ns0:c r="AS393" s="19" t="inlineStr">
        <ns0:is>
          <ns0:t>Retrieved and reviewed</ns0:t>
        </ns0:is>
      </ns0:c>
    </ns0:row>
    <ns0:row r="394" ht="50" customHeight="1">
      <ns0:c r="A394" s="21" t="inlineStr">
        <ns0:is>
          <ns0:t>new_236</ns0:t>
        </ns0:is>
      </ns0:c>
      <ns0:c r="B394" s="21" t="inlineStr">
        <ns0:is>
          <ns0:t>Update</ns0:t>
        </ns0:is>
      </ns0:c>
      <ns0:c r="C394" s="21" t="inlineStr">
        <ns0:is>
          <ns0:t>An image-based analytics framework for early autism detection using eye movements</ns0:t>
        </ns0:is>
      </ns0:c>
      <ns0:c r="D394" s="21" t="inlineStr">
        <ns0:is>
          <ns0:t>10.1016/j.health.2025.100439</ns0:t>
        </ns0:is>
      </ns0:c>
      <ns0:c r="E394" s="28" t="n">
        <ns0:v>2025</ns0:v>
      </ns0:c>
      <ns0:c r="F394" s="21" t="inlineStr">
        <ns0:is>
          <ns0:t>Include</ns0:t>
        </ns0:is>
      </ns0:c>
      <ns0:c r="G394" s="29">
        <ns0:f>IF(F394="Include",1,0)</ns0:f>
        <ns0:v>1</ns0:v>
      </ns0:c>
      <ns0:c r="H394" s="21" t="inlineStr">
        <ns0:is>
          <ns0:t>Screening</ns0:t>
        </ns0:is>
      </ns0:c>
      <ns0:c r="I394" s="21" t="inlineStr">
        <ns0:is>
          <ns0:t>Deep Learning</ns0:t>
        </ns0:is>
      </ns0:c>
      <ns0:c r="J394" s="21" t="inlineStr">
        <ns0:is>
          <ns0:t>Behavioral images/video/gaze/movement</ns0:t>
        </ns0:is>
      </ns0:c>
      <ns0:c r="K394" s="21" t="inlineStr">
        <ns0:is>
          <ns0:t>GazeScan lightweight CNN on grayscale scanpath images</ns0:t>
        </ns0:is>
      </ns0:c>
      <ns0:c r="L394" s="21" t="inlineStr">
        <ns0:is>
          <ns0:t>CNN</ns0:t>
        </ns0:is>
      </ns0:c>
      <ns0:c r="M394" s="21" t="inlineStr">
        <ns0:is>
          <ns0:t>Proposed only</ns0:t>
        </ns0:is>
      </ns0:c>
      <ns0:c r="N394" s="21" t="inlineStr">
        <ns0:is>
          <ns0:t>Triage/questionnaire assessment</ns0:t>
        </ns0:is>
      </ns0:c>
      <ns0:c r="O394" s="21" t="inlineStr">
        <ns0:is>
          <ns0:t>Pre-decision</ns0:t>
        </ns0:is>
      </ns0:c>
      <ns0:c r="P394" s="21" t="inlineStr">
        <ns0:is>
          <ns0:t>Not observed in assessed sources</ns0:t>
        </ns0:is>
      </ns0:c>
      <ns0:c r="Q394" s="21" t="inlineStr">
        <ns0:is>
          <ns0:t>Not reported in assessed sources</ns0:t>
        </ns0:is>
      </ns0:c>
      <ns0:c r="R394" s="21" t="inlineStr">
        <ns0:is>
          <ns0:t>Not reported in assessed sources</ns0:t>
        </ns0:is>
      </ns0:c>
      <ns0:c r="S394" s="21" t="inlineStr">
        <ns0:is>
          <ns0:t>Not reported in assessed sources</ns0:t>
        </ns0:is>
      </ns0:c>
      <ns0:c r="T394" s="21" t="inlineStr">
        <ns0:is>
          <ns0:t>Not reported in assessed sources</ns0:t>
        </ns0:is>
      </ns0:c>
      <ns0:c r="U394" s="21" t="inlineStr">
        <ns0:is>
          <ns0:t>Not reported in assessed sources</ns0:t>
        </ns0:is>
      </ns0:c>
      <ns0:c r="V394" s="21" t="inlineStr">
        <ns0:is>
          <ns0:t>Not reported in assessed sources</ns0:t>
        </ns0:is>
      </ns0:c>
      <ns0:c r="W394" s="21" t="inlineStr">
        <ns0:is>
          <ns0:t>Not reported in assessed sources</ns0:t>
        </ns0:is>
      </ns0:c>
      <ns0:c r="X394" s="21" t="inlineStr">
        <ns0:is>
          <ns0:t>Not reported in assessed sources</ns0:t>
        </ns0:is>
      </ns0:c>
      <ns0:c r="Y394" s="21" t="inlineStr">
        <ns0:is>
          <ns0:t>Not ascertainable</ns0:t>
        </ns0:is>
      </ns0:c>
      <ns0:c r="Z394" s="21" t="inlineStr">
        <ns0:is>
          <ns0:t>Not reported in assessed sources</ns0:t>
        </ns0:is>
      </ns0:c>
      <ns0:c r="AA394" s="21" t="inlineStr">
        <ns0:is>
          <ns0:t>Not recorded</ns0:t>
        </ns0:is>
      </ns0:c>
      <ns0:c r="AB394" s="28" t="n">
        <ns0:v>0</ns0:v>
      </ns0:c>
      <ns0:c r="AC394" s="28" t="n">
        <ns0:v>0</ns0:v>
      </ns0:c>
      <ns0:c r="AD394" s="29">
        <ns0:f>IF(AND(G394=1,AB394=0),1,0)</ns0:f>
        <ns0:v>1</ns0:v>
      </ns0:c>
      <ns0:c r="AE394" s="29">
        <ns0:f>IF(AND(AD394=1,AC394=0),1,0)</ns0:f>
        <ns0:v>1</ns0:v>
      </ns0:c>
      <ns0:c r="AF394" s="29">
        <ns0:f>IF(AND(G394=1,H394&lt;&gt;"Not specified"),1,0)</ns0:f>
        <ns0:v>1</ns0:v>
      </ns0:c>
      <ns0:c r="AG394" s="29">
        <ns0:f>IF(AND(AE394=1,AF394=1),1,0)</ns0:f>
        <ns0:v>1</ns0:v>
      </ns0:c>
      <ns0:c r="AH394" s="21" t="inlineStr">
        <ns0:is>
          <ns0:t>Prior source-specific extraction retained; no new full-text retrieval</ns0:t>
        </ns0:is>
      </ns0:c>
      <ns0:c r="AI394" s="21" t="inlineStr">
        <ns0:is>
          <ns0:t>https://doi.org/10.1016/j.health.2025.100439</ns0:t>
        </ns0:is>
      </ns0:c>
      <ns0:c r="AJ394" s="21" t="inlineStr">
        <ns0:is>
          <ns0:t>EVIDENCIA; original abstract/coding notes and lot source trace; Inherited scoped adjudication; see source level and lot caveats</ns0:t>
        </ns0:is>
      </ns0:c>
      <ns0:c r="AK394" s="21" t="inlineStr">
        <ns0:is>
          <ns0:t>Retained source-specific coding after review of the supplied extraction notes; not a new full-text retrieval. GazeScan converts gaze trajectories into grayscale scanpath images and uses a lightweight CNN; five-fold CV on ETSP reports 97.01% accuracy and AUC 0.98. Public single-dataset internal cross-validation only; no independent external cohort, multisite robustness, prospective clinical evaluation, or formal XAI identified.</ns0:t>
        </ns0:is>
      </ns0:c>
      <ns0:c r="AL394" s="21" t="inlineStr">
        <ns0:is>
          <ns0:t>Not applicable</ns0:t>
        </ns0:is>
      </ns0:c>
      <ns0:c r="AM394" s="21" t="inlineStr">
        <ns0:is>
          <ns0:t>Not separately specified</ns0:t>
        </ns0:is>
      </ns0:c>
      <ns0:c r="AN394" s="21" t="inlineStr"/>
      <ns0:c r="AO394" s="21" t="inlineStr">
        <ns0:is>
          <ns0:t>No additional status determination</ns0:t>
        </ns0:is>
      </ns0:c>
      <ns0:c r="AP394" s="21" t="inlineStr">
        <ns0:is>
          <ns0:t>Not documented for this recharting</ns0:t>
        </ns0:is>
      </ns0:c>
      <ns0:c r="AQ394" s="21" t="inlineStr">
        <ns0:is>
          <ns0:t>ChatGPT-assisted evidence recharting, 2026-09-08</ns0:t>
        </ns0:is>
      </ns0:c>
      <ns0:c r="AR394" s="21" t="inlineStr">
        <ns0:is>
          <ns0:t>Revision asistida por IA (un revisor; requiere verificacion independiente)</ns0:t>
        </ns0:is>
      </ns0:c>
      <ns0:c r="AS394" s="21" t="inlineStr">
        <ns0:is>
          <ns0:t>Retrieved and reviewed</ns0:t>
        </ns0:is>
      </ns0:c>
    </ns0:row>
    <ns0:row r="395" ht="50" customHeight="1">
      <ns0:c r="A395" s="19" t="inlineStr">
        <ns0:is>
          <ns0:t>new_242</ns0:t>
        </ns0:is>
      </ns0:c>
      <ns0:c r="B395" s="19" t="inlineStr">
        <ns0:is>
          <ns0:t>Update</ns0:t>
        </ns0:is>
      </ns0:c>
      <ns0:c r="C395" s="19" t="inlineStr">
        <ns0:is>
          <ns0:t>Neurophysiological EEG Characterization of Autism Spectrum Disorder Using DWT-Based Frequency Analysis With Selective Electrodes and Brain Segmentation: An Explainable AI-Driven Approach</ns0:t>
        </ns0:is>
      </ns0:c>
      <ns0:c r="D395" s="19" t="inlineStr">
        <ns0:is>
          <ns0:t>10.1096/fj.202600019r</ns0:t>
        </ns0:is>
      </ns0:c>
      <ns0:c r="E395" s="26" t="n">
        <ns0:v>2026</ns0:v>
      </ns0:c>
      <ns0:c r="F395" s="19" t="inlineStr">
        <ns0:is>
          <ns0:t>Include</ns0:t>
        </ns0:is>
      </ns0:c>
      <ns0:c r="G395" s="27">
        <ns0:f>IF(F395="Include",1,0)</ns0:f>
        <ns0:v>1</ns0:v>
      </ns0:c>
      <ns0:c r="H395" s="19" t="inlineStr">
        <ns0:is>
          <ns0:t>Diagnosis</ns0:t>
        </ns0:is>
      </ns0:c>
      <ns0:c r="I395" s="19" t="inlineStr">
        <ns0:is>
          <ns0:t>Machine Learning</ns0:t>
        </ns0:is>
      </ns0:c>
      <ns0:c r="J395" s="19" t="inlineStr">
        <ns0:is>
          <ns0:t>Physiological signals</ns0:t>
        </ns0:is>
      </ns0:c>
      <ns0:c r="K395" s="19" t="inlineStr">
        <ns0:is>
          <ns0:t>Logistic Regression on DWT spectral/statistical EEG features (comparative ML/DL/meta-learning benchmark)</ns0:t>
        </ns0:is>
      </ns0:c>
      <ns0:c r="L395" s="19" t="inlineStr">
        <ns0:is>
          <ns0:t>Logistic regression</ns0:t>
        </ns0:is>
      </ns0:c>
      <ns0:c r="M395" s="19" t="inlineStr">
        <ns0:is>
          <ns0:t>Research only</ns0:t>
        </ns0:is>
      </ns0:c>
      <ns0:c r="N395" s="19" t="inlineStr">
        <ns0:is>
          <ns0:t>Automated measurement/classification</ns0:t>
        </ns0:is>
      </ns0:c>
      <ns0:c r="O395" s="19" t="inlineStr">
        <ns0:is>
          <ns0:t>Not observed in assessed sources</ns0:t>
        </ns0:is>
      </ns0:c>
      <ns0:c r="P395" s="19" t="inlineStr">
        <ns0:is>
          <ns0:t>Not observed in assessed sources</ns0:t>
        </ns0:is>
      </ns0:c>
      <ns0:c r="Q395" s="19" t="inlineStr">
        <ns0:is>
          <ns0:t>Not reported in assessed sources</ns0:t>
        </ns0:is>
      </ns0:c>
      <ns0:c r="R395" s="19" t="inlineStr">
        <ns0:is>
          <ns0:t>Not reported in assessed sources</ns0:t>
        </ns0:is>
      </ns0:c>
      <ns0:c r="S395" s="19" t="inlineStr">
        <ns0:is>
          <ns0:t>Reported</ns0:t>
        </ns0:is>
      </ns0:c>
      <ns0:c r="T395" s="19" t="inlineStr">
        <ns0:is>
          <ns0:t>Reported</ns0:t>
        </ns0:is>
      </ns0:c>
      <ns0:c r="U395" s="19" t="inlineStr">
        <ns0:is>
          <ns0:t>Not reported in assessed sources</ns0:t>
        </ns0:is>
      </ns0:c>
      <ns0:c r="V395" s="19" t="inlineStr">
        <ns0:is>
          <ns0:t>Not reported in assessed sources</ns0:t>
        </ns0:is>
      </ns0:c>
      <ns0:c r="W395" s="19" t="inlineStr">
        <ns0:is>
          <ns0:t>Not reported in assessed sources</ns0:t>
        </ns0:is>
      </ns0:c>
      <ns0:c r="X395" s="19" t="inlineStr">
        <ns0:is>
          <ns0:t>Not reported in assessed sources</ns0:t>
        </ns0:is>
      </ns0:c>
      <ns0:c r="Y395" s="19" t="inlineStr">
        <ns0:is>
          <ns0:t>Not ascertainable</ns0:t>
        </ns0:is>
      </ns0:c>
      <ns0:c r="Z395" s="19" t="inlineStr">
        <ns0:is>
          <ns0:t>Not reported in assessed sources</ns0:t>
        </ns0:is>
      </ns0:c>
      <ns0:c r="AA395" s="19" t="inlineStr">
        <ns0:is>
          <ns0:t>Not recorded</ns0:t>
        </ns0:is>
      </ns0:c>
      <ns0:c r="AB395" s="26" t="n">
        <ns0:v>0</ns0:v>
      </ns0:c>
      <ns0:c r="AC395" s="26" t="n">
        <ns0:v>0</ns0:v>
      </ns0:c>
      <ns0:c r="AD395" s="27">
        <ns0:f>IF(AND(G395=1,AB395=0),1,0)</ns0:f>
        <ns0:v>1</ns0:v>
      </ns0:c>
      <ns0:c r="AE395" s="27">
        <ns0:f>IF(AND(AD395=1,AC395=0),1,0)</ns0:f>
        <ns0:v>1</ns0:v>
      </ns0:c>
      <ns0:c r="AF395" s="27">
        <ns0:f>IF(AND(G395=1,H395&lt;&gt;"Not specified"),1,0)</ns0:f>
        <ns0:v>1</ns0:v>
      </ns0:c>
      <ns0:c r="AG395" s="27">
        <ns0:f>IF(AND(AE395=1,AF395=1),1,0)</ns0:f>
        <ns0:v>1</ns0:v>
      </ns0:c>
      <ns0:c r="AH395" s="19" t="inlineStr">
        <ns0:is>
          <ns0:t>Prior source-specific extraction retained; no new full-text retrieval</ns0:t>
        </ns0:is>
      </ns0:c>
      <ns0:c r="AI395" s="19" t="inlineStr">
        <ns0:is>
          <ns0:t>https://doi.org/10.1096/fj.202600019r</ns0:t>
        </ns0:is>
      </ns0:c>
      <ns0:c r="AJ395" s="19" t="inlineStr">
        <ns0:is>
          <ns0:t>EVIDENCIA; original abstract/coding notes and lot source trace; Inherited scoped adjudication; see source level and lot caveats</ns0:t>
        </ns0:is>
      </ns0:c>
      <ns0:c r="AK395" s="19" t="inlineStr">
        <ns0:is>
          <ns0:t>Retained source-specific coding after review of the supplied extraction notes; not a new full-text retrieval. DWT features from 15 EEG electrodes were benchmarked across 21 models; Logistic Regression performed best at 88.57% accuracy, and explainability identified delta/theta power as key features. Preliminary small-cohort study with internal validation; the authors explicitly state that larger independent cohorts are needed.</ns0:t>
        </ns0:is>
      </ns0:c>
      <ns0:c r="AL395" s="19" t="inlineStr">
        <ns0:is>
          <ns0:t>Not applicable</ns0:t>
        </ns0:is>
      </ns0:c>
      <ns0:c r="AM395" s="19" t="inlineStr">
        <ns0:is>
          <ns0:t>Not separately specified</ns0:t>
        </ns0:is>
      </ns0:c>
      <ns0:c r="AN395" s="19" t="inlineStr"/>
      <ns0:c r="AO395" s="19" t="inlineStr">
        <ns0:is>
          <ns0:t>No additional status determination</ns0:t>
        </ns0:is>
      </ns0:c>
      <ns0:c r="AP395" s="19" t="inlineStr">
        <ns0:is>
          <ns0:t>Not documented for this recharting</ns0:t>
        </ns0:is>
      </ns0:c>
      <ns0:c r="AQ395" s="19" t="inlineStr">
        <ns0:is>
          <ns0:t>ChatGPT-assisted evidence recharting, 2026-09-08</ns0:t>
        </ns0:is>
      </ns0:c>
      <ns0:c r="AR395" s="19" t="inlineStr">
        <ns0:is>
          <ns0:t>Revision asistida por IA (un revisor; requiere verificacion independiente)</ns0:t>
        </ns0:is>
      </ns0:c>
      <ns0:c r="AS395" s="19" t="inlineStr">
        <ns0:is>
          <ns0:t>Retrieved and reviewed</ns0:t>
        </ns0:is>
      </ns0:c>
    </ns0:row>
    <ns0:row r="396" ht="50" customHeight="1">
      <ns0:c r="A396" s="21" t="inlineStr">
        <ns0:is>
          <ns0:t>new_244</ns0:t>
        </ns0:is>
      </ns0:c>
      <ns0:c r="B396" s="21" t="inlineStr">
        <ns0:is>
          <ns0:t>Update</ns0:t>
        </ns0:is>
      </ns0:c>
      <ns0:c r="C396" s="21" t="inlineStr">
        <ns0:is>
          <ns0:t>DHCA-Net: A Novel Dual-Stream Hierarchical Channel Attention Network for Explainable Autism Spectrum Disorder Detection From Facial Images</ns0:t>
        </ns0:is>
      </ns0:c>
      <ns0:c r="D396" s="21" t="inlineStr">
        <ns0:is>
          <ns0:t>10.1002/jdn.70158</ns0:t>
        </ns0:is>
      </ns0:c>
      <ns0:c r="E396" s="28" t="n">
        <ns0:v>2026</ns0:v>
      </ns0:c>
      <ns0:c r="F396" s="21" t="inlineStr">
        <ns0:is>
          <ns0:t>Include</ns0:t>
        </ns0:is>
      </ns0:c>
      <ns0:c r="G396" s="29">
        <ns0:f>IF(F396="Include",1,0)</ns0:f>
        <ns0:v>1</ns0:v>
      </ns0:c>
      <ns0:c r="H396" s="21" t="inlineStr">
        <ns0:is>
          <ns0:t>Screening</ns0:t>
        </ns0:is>
      </ns0:c>
      <ns0:c r="I396" s="21" t="inlineStr">
        <ns0:is>
          <ns0:t>Deep Learning</ns0:t>
        </ns0:is>
      </ns0:c>
      <ns0:c r="J396" s="21" t="inlineStr">
        <ns0:is>
          <ns0:t>Behavioral images/video/gaze/movement</ns0:t>
        </ns0:is>
      </ns0:c>
      <ns0:c r="K396" s="21" t="inlineStr">
        <ns0:is>
          <ns0:t>DHCA-Net dual-stream hierarchical channel-attention network + multi-head feature fusion</ns0:t>
        </ns0:is>
      </ns0:c>
      <ns0:c r="L396" s="21" t="inlineStr">
        <ns0:is>
          <ns0:t>Other specified method</ns0:t>
        </ns0:is>
      </ns0:c>
      <ns0:c r="M396" s="21" t="inlineStr">
        <ns0:is>
          <ns0:t>Proposed only</ns0:t>
        </ns0:is>
      </ns0:c>
      <ns0:c r="N396" s="21" t="inlineStr">
        <ns0:is>
          <ns0:t>Triage/questionnaire assessment</ns0:t>
        </ns0:is>
      </ns0:c>
      <ns0:c r="O396" s="21" t="inlineStr">
        <ns0:is>
          <ns0:t>Pre-decision</ns0:t>
        </ns0:is>
      </ns0:c>
      <ns0:c r="P396" s="21" t="inlineStr">
        <ns0:is>
          <ns0:t>Not observed in assessed sources</ns0:t>
        </ns0:is>
      </ns0:c>
      <ns0:c r="Q396" s="21" t="inlineStr">
        <ns0:is>
          <ns0:t>Not reported in assessed sources</ns0:t>
        </ns0:is>
      </ns0:c>
      <ns0:c r="R396" s="21" t="inlineStr">
        <ns0:is>
          <ns0:t>Not reported in assessed sources</ns0:t>
        </ns0:is>
      </ns0:c>
      <ns0:c r="S396" s="21" t="inlineStr">
        <ns0:is>
          <ns0:t>Not reported in assessed sources</ns0:t>
        </ns0:is>
      </ns0:c>
      <ns0:c r="T396" s="21" t="inlineStr">
        <ns0:is>
          <ns0:t>Not reported in assessed sources</ns0:t>
        </ns0:is>
      </ns0:c>
      <ns0:c r="U396" s="21" t="inlineStr">
        <ns0:is>
          <ns0:t>Not reported in assessed sources</ns0:t>
        </ns0:is>
      </ns0:c>
      <ns0:c r="V396" s="21" t="inlineStr">
        <ns0:is>
          <ns0:t>Not reported in assessed sources</ns0:t>
        </ns0:is>
      </ns0:c>
      <ns0:c r="W396" s="21" t="inlineStr">
        <ns0:is>
          <ns0:t>Not reported in assessed sources</ns0:t>
        </ns0:is>
      </ns0:c>
      <ns0:c r="X396" s="21" t="inlineStr">
        <ns0:is>
          <ns0:t>Not reported in assessed sources</ns0:t>
        </ns0:is>
      </ns0:c>
      <ns0:c r="Y396" s="21" t="inlineStr">
        <ns0:is>
          <ns0:t>Not ascertainable</ns0:t>
        </ns0:is>
      </ns0:c>
      <ns0:c r="Z396" s="21" t="inlineStr">
        <ns0:is>
          <ns0:t>Not reported in assessed sources</ns0:t>
        </ns0:is>
      </ns0:c>
      <ns0:c r="AA396" s="21" t="inlineStr">
        <ns0:is>
          <ns0:t>Not recorded</ns0:t>
        </ns0:is>
      </ns0:c>
      <ns0:c r="AB396" s="28" t="n">
        <ns0:v>0</ns0:v>
      </ns0:c>
      <ns0:c r="AC396" s="28" t="n">
        <ns0:v>0</ns0:v>
      </ns0:c>
      <ns0:c r="AD396" s="29">
        <ns0:f>IF(AND(G396=1,AB396=0),1,0)</ns0:f>
        <ns0:v>1</ns0:v>
      </ns0:c>
      <ns0:c r="AE396" s="29">
        <ns0:f>IF(AND(AD396=1,AC396=0),1,0)</ns0:f>
        <ns0:v>1</ns0:v>
      </ns0:c>
      <ns0:c r="AF396" s="29">
        <ns0:f>IF(AND(G396=1,H396&lt;&gt;"Not specified"),1,0)</ns0:f>
        <ns0:v>1</ns0:v>
      </ns0:c>
      <ns0:c r="AG396" s="29">
        <ns0:f>IF(AND(AE396=1,AF396=1),1,0)</ns0:f>
        <ns0:v>1</ns0:v>
      </ns0:c>
      <ns0:c r="AH396" s="21" t="inlineStr">
        <ns0:is>
          <ns0:t>Prior source-specific extraction retained; no new full-text retrieval</ns0:t>
        </ns0:is>
      </ns0:c>
      <ns0:c r="AI396" s="21" t="inlineStr">
        <ns0:is>
          <ns0:t>https://doi.org/10.1002/jdn.70158</ns0:t>
        </ns0:is>
      </ns0:c>
      <ns0:c r="AJ396" s="21" t="inlineStr">
        <ns0:is>
          <ns0:t>EVIDENCIA; original abstract/coding notes and lot source trace; Inherited scoped adjudication; see source level and lot caveats</ns0:t>
        </ns0:is>
      </ns0:c>
      <ns0:c r="AK396" s="21" t="inlineStr">
        <ns0:is>
          <ns0:t>Retained source-specific coding after review of the supplied extraction notes; not a new full-text retrieval. DHCA-Net was tested on 2,936 facial images using train/test/validation splits and achieved 93.7% accuracy, F1 0.9365 and AUC 0.9887. Despite the word explainable in the title, the accessible report describes attention mechanisms but no explicit explanation method/output satisfying strict XAI criteria. Broader demographic generalization remains future work.</ns0:t>
        </ns0:is>
      </ns0:c>
      <ns0:c r="AL396" s="21" t="inlineStr">
        <ns0:is>
          <ns0:t>Not applicable</ns0:t>
        </ns0:is>
      </ns0:c>
      <ns0:c r="AM396" s="21" t="inlineStr">
        <ns0:is>
          <ns0:t>Not separately specified</ns0:t>
        </ns0:is>
      </ns0:c>
      <ns0:c r="AN396" s="21" t="inlineStr"/>
      <ns0:c r="AO396" s="21" t="inlineStr">
        <ns0:is>
          <ns0:t>No additional status determination</ns0:t>
        </ns0:is>
      </ns0:c>
      <ns0:c r="AP396" s="21" t="inlineStr">
        <ns0:is>
          <ns0:t>Not documented for this recharting</ns0:t>
        </ns0:is>
      </ns0:c>
      <ns0:c r="AQ396" s="21" t="inlineStr">
        <ns0:is>
          <ns0:t>ChatGPT-assisted evidence recharting, 2026-09-08</ns0:t>
        </ns0:is>
      </ns0:c>
      <ns0:c r="AR396" s="21" t="inlineStr">
        <ns0:is>
          <ns0:t>Revision asistida por IA (un revisor; requiere verificacion independiente)</ns0:t>
        </ns0:is>
      </ns0:c>
      <ns0:c r="AS396" s="21" t="inlineStr">
        <ns0:is>
          <ns0:t>Retrieved and reviewed</ns0:t>
        </ns0:is>
      </ns0:c>
    </ns0:row>
    <ns0:row r="397" ht="50" customHeight="1">
      <ns0:c r="A397" s="19" t="inlineStr">
        <ns0:is>
          <ns0:t>new_246</ns0:t>
        </ns0:is>
      </ns0:c>
      <ns0:c r="B397" s="19" t="inlineStr">
        <ns0:is>
          <ns0:t>Update</ns0:t>
        </ns0:is>
      </ns0:c>
      <ns0:c r="C397" s="19" t="inlineStr">
        <ns0:is>
          <ns0:t>MTT: Multi-Tier Transformer for Early Diagnosis of Autism Spectrum Disorder and Language Disorder in Infants</ns0:t>
        </ns0:is>
      </ns0:c>
      <ns0:c r="D397" s="19" t="inlineStr">
        <ns0:is>
          <ns0:t>10.1111/coin.70131</ns0:t>
        </ns0:is>
      </ns0:c>
      <ns0:c r="E397" s="26" t="n">
        <ns0:v>2025</ns0:v>
      </ns0:c>
      <ns0:c r="F397" s="19" t="inlineStr">
        <ns0:is>
          <ns0:t>Include</ns0:t>
        </ns0:is>
      </ns0:c>
      <ns0:c r="G397" s="27">
        <ns0:f>IF(F397="Include",1,0)</ns0:f>
        <ns0:v>1</ns0:v>
      </ns0:c>
      <ns0:c r="H397" s="19" t="inlineStr">
        <ns0:is>
          <ns0:t>Diagnosis</ns0:t>
        </ns0:is>
      </ns0:c>
      <ns0:c r="I397" s="19" t="inlineStr">
        <ns0:is>
          <ns0:t>Deep Learning</ns0:t>
        </ns0:is>
      </ns0:c>
      <ns0:c r="J397" s="19" t="inlineStr">
        <ns0:is>
          <ns0:t>Physiological signals</ns0:t>
        </ns0:is>
      </ns0:c>
      <ns0:c r="K397" s="19" t="inlineStr">
        <ns0:is>
          <ns0:t>Multi-Tier Transformer (feature attention + dual self/cross-attention)</ns0:t>
        </ns0:is>
      </ns0:c>
      <ns0:c r="L397" s="19" t="inlineStr">
        <ns0:is>
          <ns0:t>Transformer</ns0:t>
        </ns0:is>
      </ns0:c>
      <ns0:c r="M397" s="19" t="inlineStr">
        <ns0:is>
          <ns0:t>Proposed only</ns0:t>
        </ns0:is>
      </ns0:c>
      <ns0:c r="N397" s="19" t="inlineStr">
        <ns0:is>
          <ns0:t>Automated measurement/classification</ns0:t>
        </ns0:is>
      </ns0:c>
      <ns0:c r="O397" s="19" t="inlineStr">
        <ns0:is>
          <ns0:t>In-decision</ns0:t>
        </ns0:is>
      </ns0:c>
      <ns0:c r="P397" s="19" t="inlineStr">
        <ns0:is>
          <ns0:t>Not observed in assessed sources</ns0:t>
        </ns0:is>
      </ns0:c>
      <ns0:c r="Q397" s="19" t="inlineStr">
        <ns0:is>
          <ns0:t>Not reported in assessed sources</ns0:t>
        </ns0:is>
      </ns0:c>
      <ns0:c r="R397" s="19" t="inlineStr">
        <ns0:is>
          <ns0:t>Not reported in assessed sources</ns0:t>
        </ns0:is>
      </ns0:c>
      <ns0:c r="S397" s="19" t="inlineStr">
        <ns0:is>
          <ns0:t>Not ascertainable</ns0:t>
        </ns0:is>
      </ns0:c>
      <ns0:c r="T397" s="19" t="inlineStr">
        <ns0:is>
          <ns0:t>Not reported in assessed sources</ns0:t>
        </ns0:is>
      </ns0:c>
      <ns0:c r="U397" s="19" t="inlineStr">
        <ns0:is>
          <ns0:t>Not reported in assessed sources</ns0:t>
        </ns0:is>
      </ns0:c>
      <ns0:c r="V397" s="19" t="inlineStr">
        <ns0:is>
          <ns0:t>Not reported in assessed sources</ns0:t>
        </ns0:is>
      </ns0:c>
      <ns0:c r="W397" s="19" t="inlineStr">
        <ns0:is>
          <ns0:t>Not reported in assessed sources</ns0:t>
        </ns0:is>
      </ns0:c>
      <ns0:c r="X397" s="19" t="inlineStr">
        <ns0:is>
          <ns0:t>Not reported in assessed sources</ns0:t>
        </ns0:is>
      </ns0:c>
      <ns0:c r="Y397" s="19" t="inlineStr">
        <ns0:is>
          <ns0:t>Not ascertainable</ns0:t>
        </ns0:is>
      </ns0:c>
      <ns0:c r="Z397" s="19" t="inlineStr">
        <ns0:is>
          <ns0:t>Not ascertainable</ns0:t>
        </ns0:is>
      </ns0:c>
      <ns0:c r="AA397" s="19" t="inlineStr">
        <ns0:is>
          <ns0:t>Not recorded</ns0:t>
        </ns0:is>
      </ns0:c>
      <ns0:c r="AB397" s="26" t="n">
        <ns0:v>0</ns0:v>
      </ns0:c>
      <ns0:c r="AC397" s="26" t="n">
        <ns0:v>0</ns0:v>
      </ns0:c>
      <ns0:c r="AD397" s="27">
        <ns0:f>IF(AND(G397=1,AB397=0),1,0)</ns0:f>
        <ns0:v>1</ns0:v>
      </ns0:c>
      <ns0:c r="AE397" s="27">
        <ns0:f>IF(AND(AD397=1,AC397=0),1,0)</ns0:f>
        <ns0:v>1</ns0:v>
      </ns0:c>
      <ns0:c r="AF397" s="27">
        <ns0:f>IF(AND(G397=1,H397&lt;&gt;"Not specified"),1,0)</ns0:f>
        <ns0:v>1</ns0:v>
      </ns0:c>
      <ns0:c r="AG397" s="27">
        <ns0:f>IF(AND(AE397=1,AF397=1),1,0)</ns0:f>
        <ns0:v>1</ns0:v>
      </ns0:c>
      <ns0:c r="AH397" s="19" t="inlineStr">
        <ns0:is>
          <ns0:t>Prior source-specific extraction retained; no new full-text retrieval</ns0:t>
        </ns0:is>
      </ns0:c>
      <ns0:c r="AI397" s="19" t="inlineStr">
        <ns0:is>
          <ns0:t>https://doi.org/10.1111/coin.70131</ns0:t>
        </ns0:is>
      </ns0:c>
      <ns0:c r="AJ397" s="19" t="inlineStr">
        <ns0:is>
          <ns0:t>EVIDENCIA; original abstract/coding notes and lot source trace; Inherited scoped adjudication; see source level and lot caveats</ns0:t>
        </ns0:is>
      </ns0:c>
      <ns0:c r="AK397" s="19" t="inlineStr">
        <ns0:is>
          <ns0:t>Retained source-specific coding after review of the supplied extraction notes; not a new full-text retrieval. MTT uses resting-state infant EEG baseline power, SMOTE, transfer learning and feature/self/cross-attention; reported accuracy is 0.91 and AUC 0.97. No independent external/site-held-out evaluation is identified. Interpretability is attention-based only, so it was coded as partial rather than strict XAI.</ns0:t>
        </ns0:is>
      </ns0:c>
      <ns0:c r="AL397" s="19" t="inlineStr">
        <ns0:is>
          <ns0:t>Not applicable</ns0:t>
        </ns0:is>
      </ns0:c>
      <ns0:c r="AM397" s="19" t="inlineStr">
        <ns0:is>
          <ns0:t>Not separately specified</ns0:t>
        </ns0:is>
      </ns0:c>
      <ns0:c r="AN397" s="19" t="inlineStr"/>
      <ns0:c r="AO397" s="19" t="inlineStr">
        <ns0:is>
          <ns0:t>No additional status determination</ns0:t>
        </ns0:is>
      </ns0:c>
      <ns0:c r="AP397" s="19" t="inlineStr">
        <ns0:is>
          <ns0:t>Not documented for this recharting</ns0:t>
        </ns0:is>
      </ns0:c>
      <ns0:c r="AQ397" s="19" t="inlineStr">
        <ns0:is>
          <ns0:t>ChatGPT-assisted evidence recharting, 2026-09-08</ns0:t>
        </ns0:is>
      </ns0:c>
      <ns0:c r="AR397" s="19" t="inlineStr">
        <ns0:is>
          <ns0:t>Revision asistida por IA (un revisor; requiere verificacion independiente)</ns0:t>
        </ns0:is>
      </ns0:c>
      <ns0:c r="AS397" s="19" t="inlineStr">
        <ns0:is>
          <ns0:t>Retrieved and reviewed</ns0:t>
        </ns0:is>
      </ns0:c>
    </ns0:row>
    <ns0:row r="398" ht="50" customHeight="1">
      <ns0:c r="A398" s="21" t="inlineStr">
        <ns0:is>
          <ns0:t>new_248</ns0:t>
        </ns0:is>
      </ns0:c>
      <ns0:c r="B398" s="21" t="inlineStr">
        <ns0:is>
          <ns0:t>Update</ns0:t>
        </ns0:is>
      </ns0:c>
      <ns0:c r="C398" s="21" t="inlineStr">
        <ns0:is>
          <ns0:t>Optimized quadrangle attention consolidated convolutional multi-scale vision transformer based autism detection</ns0:t>
        </ns0:is>
      </ns0:c>
      <ns0:c r="D398" s="21" t="inlineStr">
        <ns0:is>
          <ns0:t>10.1016/j.pscychresns.2026.112251</ns0:t>
        </ns0:is>
      </ns0:c>
      <ns0:c r="E398" s="28" t="n">
        <ns0:v>2026</ns0:v>
      </ns0:c>
      <ns0:c r="F398" s="21" t="inlineStr">
        <ns0:is>
          <ns0:t>Include</ns0:t>
        </ns0:is>
      </ns0:c>
      <ns0:c r="G398" s="29">
        <ns0:f>IF(F398="Include",1,0)</ns0:f>
        <ns0:v>1</ns0:v>
      </ns0:c>
      <ns0:c r="H398" s="21" t="inlineStr">
        <ns0:is>
          <ns0:t>Diagnosis</ns0:t>
        </ns0:is>
      </ns0:c>
      <ns0:c r="I398" s="21" t="inlineStr">
        <ns0:is>
          <ns0:t>Deep Learning</ns0:t>
        </ns0:is>
      </ns0:c>
      <ns0:c r="J398" s="21" t="inlineStr">
        <ns0:is>
          <ns0:t>Behavioral images/video/gaze/movement</ns0:t>
        </ns0:is>
      </ns0:c>
      <ns0:c r="K398" s="21" t="inlineStr">
        <ns0:is>
          <ns0:t>OQA-CMVT + DMM-AND + GAN, optimized with RS-COA</ns0:t>
        </ns0:is>
      </ns0:c>
      <ns0:c r="L398" s="21" t="inlineStr">
        <ns0:is>
          <ns0:t>Other specified method</ns0:t>
        </ns0:is>
      </ns0:c>
      <ns0:c r="M398" s="21" t="inlineStr">
        <ns0:is>
          <ns0:t>Proposed only</ns0:t>
        </ns0:is>
      </ns0:c>
      <ns0:c r="N398" s="21" t="inlineStr">
        <ns0:is>
          <ns0:t>Automated measurement/classification</ns0:t>
        </ns0:is>
      </ns0:c>
      <ns0:c r="O398" s="21" t="inlineStr">
        <ns0:is>
          <ns0:t>In-decision</ns0:t>
        </ns0:is>
      </ns0:c>
      <ns0:c r="P398" s="21" t="inlineStr">
        <ns0:is>
          <ns0:t>Not observed in assessed sources</ns0:t>
        </ns0:is>
      </ns0:c>
      <ns0:c r="Q398" s="21" t="inlineStr">
        <ns0:is>
          <ns0:t>Not reported in assessed sources</ns0:t>
        </ns0:is>
      </ns0:c>
      <ns0:c r="R398" s="21" t="inlineStr">
        <ns0:is>
          <ns0:t>Not reported in assessed sources</ns0:t>
        </ns0:is>
      </ns0:c>
      <ns0:c r="S398" s="21" t="inlineStr">
        <ns0:is>
          <ns0:t>Not reported in assessed sources</ns0:t>
        </ns0:is>
      </ns0:c>
      <ns0:c r="T398" s="21" t="inlineStr">
        <ns0:is>
          <ns0:t>Not reported in assessed sources</ns0:t>
        </ns0:is>
      </ns0:c>
      <ns0:c r="U398" s="21" t="inlineStr">
        <ns0:is>
          <ns0:t>Not reported in assessed sources</ns0:t>
        </ns0:is>
      </ns0:c>
      <ns0:c r="V398" s="21" t="inlineStr">
        <ns0:is>
          <ns0:t>Not reported in assessed sources</ns0:t>
        </ns0:is>
      </ns0:c>
      <ns0:c r="W398" s="21" t="inlineStr">
        <ns0:is>
          <ns0:t>Not reported in assessed sources</ns0:t>
        </ns0:is>
      </ns0:c>
      <ns0:c r="X398" s="21" t="inlineStr">
        <ns0:is>
          <ns0:t>Not reported in assessed sources</ns0:t>
        </ns0:is>
      </ns0:c>
      <ns0:c r="Y398" s="21" t="inlineStr">
        <ns0:is>
          <ns0:t>Not ascertainable</ns0:t>
        </ns0:is>
      </ns0:c>
      <ns0:c r="Z398" s="21" t="inlineStr">
        <ns0:is>
          <ns0:t>Not reported in assessed sources</ns0:t>
        </ns0:is>
      </ns0:c>
      <ns0:c r="AA398" s="21" t="inlineStr">
        <ns0:is>
          <ns0:t>Not recorded</ns0:t>
        </ns0:is>
      </ns0:c>
      <ns0:c r="AB398" s="28" t="n">
        <ns0:v>0</ns0:v>
      </ns0:c>
      <ns0:c r="AC398" s="28" t="n">
        <ns0:v>0</ns0:v>
      </ns0:c>
      <ns0:c r="AD398" s="29">
        <ns0:f>IF(AND(G398=1,AB398=0),1,0)</ns0:f>
        <ns0:v>1</ns0:v>
      </ns0:c>
      <ns0:c r="AE398" s="29">
        <ns0:f>IF(AND(AD398=1,AC398=0),1,0)</ns0:f>
        <ns0:v>1</ns0:v>
      </ns0:c>
      <ns0:c r="AF398" s="29">
        <ns0:f>IF(AND(G398=1,H398&lt;&gt;"Not specified"),1,0)</ns0:f>
        <ns0:v>1</ns0:v>
      </ns0:c>
      <ns0:c r="AG398" s="29">
        <ns0:f>IF(AND(AE398=1,AF398=1),1,0)</ns0:f>
        <ns0:v>1</ns0:v>
      </ns0:c>
      <ns0:c r="AH398" s="21" t="inlineStr">
        <ns0:is>
          <ns0:t>Prior source-specific extraction retained; no new full-text retrieval</ns0:t>
        </ns0:is>
      </ns0:c>
      <ns0:c r="AI398" s="21" t="inlineStr">
        <ns0:is>
          <ns0:t>https://doi.org/10.1016/j.pscychresns.2026.112251</ns0:t>
        </ns0:is>
      </ns0:c>
      <ns0:c r="AJ398" s="21" t="inlineStr">
        <ns0:is>
          <ns0:t>EVIDENCIA; original abstract/coding notes and lot source trace; Inherited scoped adjudication; see source level and lot caveats</ns0:t>
        </ns0:is>
      </ns0:c>
      <ns0:c r="AK398" s="21" t="inlineStr">
        <ns0:is>
          <ns0:t>Retained source-specific coding after review of the supplied extraction notes; not a new full-text retrieval. Uses two facial-image datasets, AMGF preprocessing, GAN augmentation, DMM-AND feature extraction and an optimized convolutional multi-scale vision transformer; reported accuracies are 97.96% and 98.04%. Evaluation on two datasets is not documented as an independent external-validation design or site-held-out test in the accessible material; very high performance warrants independent replication.
All-neural/optimization pipeline in recovered evidence; hybrid title is not sufficient for mixed conventional-ML/DL classification.</ns0:t>
        </ns0:is>
      </ns0:c>
      <ns0:c r="AL398" s="21" t="inlineStr">
        <ns0:is>
          <ns0:t>Not applicable</ns0:t>
        </ns0:is>
      </ns0:c>
      <ns0:c r="AM398" s="21" t="inlineStr">
        <ns0:is>
          <ns0:t>Not separately specified</ns0:t>
        </ns0:is>
      </ns0:c>
      <ns0:c r="AN398" s="21" t="inlineStr"/>
      <ns0:c r="AO398" s="21" t="inlineStr">
        <ns0:is>
          <ns0:t>No additional status determination</ns0:t>
        </ns0:is>
      </ns0:c>
      <ns0:c r="AP398" s="21" t="inlineStr">
        <ns0:is>
          <ns0:t>Not documented for this recharting</ns0:t>
        </ns0:is>
      </ns0:c>
      <ns0:c r="AQ398" s="21" t="inlineStr">
        <ns0:is>
          <ns0:t>ChatGPT-assisted evidence recharting, 2026-09-08</ns0:t>
        </ns0:is>
      </ns0:c>
      <ns0:c r="AR398" s="21" t="inlineStr">
        <ns0:is>
          <ns0:t>Revision asistida por IA (un revisor; requiere verificacion independiente)</ns0:t>
        </ns0:is>
      </ns0:c>
      <ns0:c r="AS398" s="21" t="inlineStr">
        <ns0:is>
          <ns0:t>Report located; publisher/PubMed content sufficient for scoped adjudication</ns0:t>
        </ns0:is>
      </ns0:c>
    </ns0:row>
    <ns0:row r="399" ht="50" customHeight="1">
      <ns0:c r="A399" s="19" t="inlineStr">
        <ns0:is>
          <ns0:t>new_249</ns0:t>
        </ns0:is>
      </ns0:c>
      <ns0:c r="B399" s="19" t="inlineStr">
        <ns0:is>
          <ns0:t>Update</ns0:t>
        </ns0:is>
      </ns0:c>
      <ns0:c r="C399" s="19" t="inlineStr">
        <ns0:is>
          <ns0:t>An early detection of autism spectrum disorder using machine learning</ns0:t>
        </ns0:is>
      </ns0:c>
      <ns0:c r="D399" s="19" t="inlineStr">
        <ns0:is>
          <ns0:t>10.1016/j.compbiomed.2025.111238</ns0:t>
        </ns0:is>
      </ns0:c>
      <ns0:c r="E399" s="26" t="n">
        <ns0:v>2025</ns0:v>
      </ns0:c>
      <ns0:c r="F399" s="19" t="inlineStr">
        <ns0:is>
          <ns0:t>Include</ns0:t>
        </ns0:is>
      </ns0:c>
      <ns0:c r="G399" s="27">
        <ns0:f>IF(F399="Include",1,0)</ns0:f>
        <ns0:v>1</ns0:v>
      </ns0:c>
      <ns0:c r="H399" s="19" t="inlineStr">
        <ns0:is>
          <ns0:t>Screening</ns0:t>
        </ns0:is>
      </ns0:c>
      <ns0:c r="I399" s="19" t="inlineStr">
        <ns0:is>
          <ns0:t>Machine Learning</ns0:t>
        </ns0:is>
      </ns0:c>
      <ns0:c r="J399" s="19" t="inlineStr">
        <ns0:is>
          <ns0:t>Physiological signals</ns0:t>
        </ns0:is>
      </ns0:c>
      <ns0:c r="K399" s="19" t="inlineStr">
        <ns0:is>
          <ns0:t>SVM (best) with random forest / decision tree comparison + SHAP</ns0:t>
        </ns0:is>
      </ns0:c>
      <ns0:c r="L399" s="19" t="inlineStr">
        <ns0:is>
          <ns0:t>Multiple/not uniquely specified</ns0:t>
        </ns0:is>
      </ns0:c>
      <ns0:c r="M399" s="19" t="inlineStr">
        <ns0:is>
          <ns0:t>Proposed only</ns0:t>
        </ns0:is>
      </ns0:c>
      <ns0:c r="N399" s="19" t="inlineStr">
        <ns0:is>
          <ns0:t>Triage/questionnaire assessment</ns0:t>
        </ns0:is>
      </ns0:c>
      <ns0:c r="O399" s="19" t="inlineStr">
        <ns0:is>
          <ns0:t>Pre-decision</ns0:t>
        </ns0:is>
      </ns0:c>
      <ns0:c r="P399" s="19" t="inlineStr">
        <ns0:is>
          <ns0:t>Not observed in assessed sources</ns0:t>
        </ns0:is>
      </ns0:c>
      <ns0:c r="Q399" s="19" t="inlineStr">
        <ns0:is>
          <ns0:t>Not reported in assessed sources</ns0:t>
        </ns0:is>
      </ns0:c>
      <ns0:c r="R399" s="19" t="inlineStr">
        <ns0:is>
          <ns0:t>Not reported in assessed sources</ns0:t>
        </ns0:is>
      </ns0:c>
      <ns0:c r="S399" s="19" t="inlineStr">
        <ns0:is>
          <ns0:t>Reported</ns0:t>
        </ns0:is>
      </ns0:c>
      <ns0:c r="T399" s="19" t="inlineStr">
        <ns0:is>
          <ns0:t>Reported</ns0:t>
        </ns0:is>
      </ns0:c>
      <ns0:c r="U399" s="19" t="inlineStr">
        <ns0:is>
          <ns0:t>Not reported in assessed sources</ns0:t>
        </ns0:is>
      </ns0:c>
      <ns0:c r="V399" s="19" t="inlineStr">
        <ns0:is>
          <ns0:t>Not reported in assessed sources</ns0:t>
        </ns0:is>
      </ns0:c>
      <ns0:c r="W399" s="19" t="inlineStr">
        <ns0:is>
          <ns0:t>Not reported in assessed sources</ns0:t>
        </ns0:is>
      </ns0:c>
      <ns0:c r="X399" s="19" t="inlineStr">
        <ns0:is>
          <ns0:t>Not reported in assessed sources</ns0:t>
        </ns0:is>
      </ns0:c>
      <ns0:c r="Y399" s="19" t="inlineStr">
        <ns0:is>
          <ns0:t>Not ascertainable</ns0:t>
        </ns0:is>
      </ns0:c>
      <ns0:c r="Z399" s="19" t="inlineStr">
        <ns0:is>
          <ns0:t>Not reported in assessed sources</ns0:t>
        </ns0:is>
      </ns0:c>
      <ns0:c r="AA399" s="19" t="inlineStr">
        <ns0:is>
          <ns0:t>Not recorded</ns0:t>
        </ns0:is>
      </ns0:c>
      <ns0:c r="AB399" s="26" t="n">
        <ns0:v>0</ns0:v>
      </ns0:c>
      <ns0:c r="AC399" s="26" t="n">
        <ns0:v>0</ns0:v>
      </ns0:c>
      <ns0:c r="AD399" s="27">
        <ns0:f>IF(AND(G399=1,AB399=0),1,0)</ns0:f>
        <ns0:v>1</ns0:v>
      </ns0:c>
      <ns0:c r="AE399" s="27">
        <ns0:f>IF(AND(AD399=1,AC399=0),1,0)</ns0:f>
        <ns0:v>1</ns0:v>
      </ns0:c>
      <ns0:c r="AF399" s="27">
        <ns0:f>IF(AND(G399=1,H399&lt;&gt;"Not specified"),1,0)</ns0:f>
        <ns0:v>1</ns0:v>
      </ns0:c>
      <ns0:c r="AG399" s="27">
        <ns0:f>IF(AND(AE399=1,AF399=1),1,0)</ns0:f>
        <ns0:v>1</ns0:v>
      </ns0:c>
      <ns0:c r="AH399" s="19" t="inlineStr">
        <ns0:is>
          <ns0:t>Prior source-specific extraction retained; no new full-text retrieval</ns0:t>
        </ns0:is>
      </ns0:c>
      <ns0:c r="AI399" s="19" t="inlineStr">
        <ns0:is>
          <ns0:t>https://doi.org/10.1016/j.compbiomed.2025.111238</ns0:t>
        </ns0:is>
      </ns0:c>
      <ns0:c r="AJ399" s="19" t="inlineStr">
        <ns0:is>
          <ns0:t>EVIDENCIA; original abstract/coding notes and lot source trace; Inherited scoped adjudication; see source level and lot caveats</ns0:t>
        </ns0:is>
      </ns0:c>
      <ns0:c r="AK399" s="19" t="inlineStr">
        <ns0:is>
          <ns0:t>Retained source-specific coding after review of the supplied extraction notes; not a new full-text retrieval. Baseline infant EEG power features were analyzed with DT, RF and SVM; SVM reached AUC 0.93 and SHAP was used to explain the best-performing model. The accessible record does not establish an independent external cohort, multisite evaluation or prospective clinical deployment.</ns0:t>
        </ns0:is>
      </ns0:c>
      <ns0:c r="AL399" s="19" t="inlineStr">
        <ns0:is>
          <ns0:t>Not applicable</ns0:t>
        </ns0:is>
      </ns0:c>
      <ns0:c r="AM399" s="19" t="inlineStr">
        <ns0:is>
          <ns0:t>Not separately specified</ns0:t>
        </ns0:is>
      </ns0:c>
      <ns0:c r="AN399" s="19" t="inlineStr"/>
      <ns0:c r="AO399" s="19" t="inlineStr">
        <ns0:is>
          <ns0:t>No additional status determination</ns0:t>
        </ns0:is>
      </ns0:c>
      <ns0:c r="AP399" s="19" t="inlineStr">
        <ns0:is>
          <ns0:t>Not documented for this recharting</ns0:t>
        </ns0:is>
      </ns0:c>
      <ns0:c r="AQ399" s="19" t="inlineStr">
        <ns0:is>
          <ns0:t>ChatGPT-assisted evidence recharting, 2026-09-08</ns0:t>
        </ns0:is>
      </ns0:c>
      <ns0:c r="AR399" s="19" t="inlineStr">
        <ns0:is>
          <ns0:t>Revision asistida por IA (un revisor; requiere verificacion independiente)</ns0:t>
        </ns0:is>
      </ns0:c>
      <ns0:c r="AS399" s="19" t="inlineStr">
        <ns0:is>
          <ns0:t>Report located; publisher/PubMed content sufficient for scoped adjudication</ns0:t>
        </ns0:is>
      </ns0:c>
    </ns0:row>
    <ns0:row r="400" ht="50" customHeight="1">
      <ns0:c r="A400" s="21" t="inlineStr">
        <ns0:is>
          <ns0:t>new_250</ns0:t>
        </ns0:is>
      </ns0:c>
      <ns0:c r="B400" s="21" t="inlineStr">
        <ns0:is>
          <ns0:t>Update</ns0:t>
        </ns0:is>
      </ns0:c>
      <ns0:c r="C400" s="21" t="inlineStr">
        <ns0:is>
          <ns0:t>An Effective LRSF-DLNN-Based Autism Spectrum Disorder Prediction Using EEG and fMRI</ns0:t>
        </ns0:is>
      </ns0:c>
      <ns0:c r="D400" s="21" t="inlineStr">
        <ns0:is>
          <ns0:t>10.1002/dneu.70047</ns0:t>
        </ns0:is>
      </ns0:c>
      <ns0:c r="E400" s="28" t="n">
        <ns0:v>2026</ns0:v>
      </ns0:c>
      <ns0:c r="F400" s="21" t="inlineStr">
        <ns0:is>
          <ns0:t>Include</ns0:t>
        </ns0:is>
      </ns0:c>
      <ns0:c r="G400" s="29">
        <ns0:f>IF(F400="Include",1,0)</ns0:f>
        <ns0:v>1</ns0:v>
      </ns0:c>
      <ns0:c r="H400" s="21" t="inlineStr">
        <ns0:is>
          <ns0:t>Diagnosis</ns0:t>
        </ns0:is>
      </ns0:c>
      <ns0:c r="I400" s="21" t="inlineStr">
        <ns0:is>
          <ns0:t>Deep Learning</ns0:t>
        </ns0:is>
      </ns0:c>
      <ns0:c r="J400" s="21" t="inlineStr">
        <ns0:is>
          <ns0:t>Multiple source categories</ns0:t>
        </ns0:is>
      </ns0:c>
      <ns0:c r="K400" s="21" t="inlineStr">
        <ns0:is>
          <ns0:t>LRSF-DLNN + DFGAO feature selection with EEG/fMRI fusion pipeline</ns0:t>
        </ns0:is>
      </ns0:c>
      <ns0:c r="L400" s="21" t="inlineStr">
        <ns0:is>
          <ns0:t>Other specified method</ns0:t>
        </ns0:is>
      </ns0:c>
      <ns0:c r="M400" s="21" t="inlineStr">
        <ns0:is>
          <ns0:t>Proposed only</ns0:t>
        </ns0:is>
      </ns0:c>
      <ns0:c r="N400" s="21" t="inlineStr">
        <ns0:is>
          <ns0:t>Automated measurement/classification</ns0:t>
        </ns0:is>
      </ns0:c>
      <ns0:c r="O400" s="21" t="inlineStr">
        <ns0:is>
          <ns0:t>In-decision</ns0:t>
        </ns0:is>
      </ns0:c>
      <ns0:c r="P400" s="21" t="inlineStr">
        <ns0:is>
          <ns0:t>Not observed in assessed sources</ns0:t>
        </ns0:is>
      </ns0:c>
      <ns0:c r="Q400" s="21" t="inlineStr">
        <ns0:is>
          <ns0:t>Not reported in assessed sources</ns0:t>
        </ns0:is>
      </ns0:c>
      <ns0:c r="R400" s="21" t="inlineStr">
        <ns0:is>
          <ns0:t>Reported</ns0:t>
        </ns0:is>
      </ns0:c>
      <ns0:c r="S400" s="21" t="inlineStr">
        <ns0:is>
          <ns0:t>Not reported in assessed sources</ns0:t>
        </ns0:is>
      </ns0:c>
      <ns0:c r="T400" s="21" t="inlineStr">
        <ns0:is>
          <ns0:t>Not reported in assessed sources</ns0:t>
        </ns0:is>
      </ns0:c>
      <ns0:c r="U400" s="21" t="inlineStr">
        <ns0:is>
          <ns0:t>Not reported in assessed sources</ns0:t>
        </ns0:is>
      </ns0:c>
      <ns0:c r="V400" s="21" t="inlineStr">
        <ns0:is>
          <ns0:t>Not reported in assessed sources</ns0:t>
        </ns0:is>
      </ns0:c>
      <ns0:c r="W400" s="21" t="inlineStr">
        <ns0:is>
          <ns0:t>Reported</ns0:t>
        </ns0:is>
      </ns0:c>
      <ns0:c r="X400" s="21" t="inlineStr">
        <ns0:is>
          <ns0:t>Not reported in assessed sources</ns0:t>
        </ns0:is>
      </ns0:c>
      <ns0:c r="Y400" s="21" t="inlineStr">
        <ns0:is>
          <ns0:t>Not ascertainable</ns0:t>
        </ns0:is>
      </ns0:c>
      <ns0:c r="Z400" s="21" t="inlineStr">
        <ns0:is>
          <ns0:t>Not reported in assessed sources</ns0:t>
        </ns0:is>
      </ns0:c>
      <ns0:c r="AA400" s="21" t="inlineStr">
        <ns0:is>
          <ns0:t>Not recorded</ns0:t>
        </ns0:is>
      </ns0:c>
      <ns0:c r="AB400" s="28" t="n">
        <ns0:v>0</ns0:v>
      </ns0:c>
      <ns0:c r="AC400" s="28" t="n">
        <ns0:v>0</ns0:v>
      </ns0:c>
      <ns0:c r="AD400" s="29">
        <ns0:f>IF(AND(G400=1,AB400=0),1,0)</ns0:f>
        <ns0:v>1</ns0:v>
      </ns0:c>
      <ns0:c r="AE400" s="29">
        <ns0:f>IF(AND(AD400=1,AC400=0),1,0)</ns0:f>
        <ns0:v>1</ns0:v>
      </ns0:c>
      <ns0:c r="AF400" s="29">
        <ns0:f>IF(AND(G400=1,H400&lt;&gt;"Not specified"),1,0)</ns0:f>
        <ns0:v>1</ns0:v>
      </ns0:c>
      <ns0:c r="AG400" s="29">
        <ns0:f>IF(AND(AE400=1,AF400=1),1,0)</ns0:f>
        <ns0:v>1</ns0:v>
      </ns0:c>
      <ns0:c r="AH400" s="21" t="inlineStr">
        <ns0:is>
          <ns0:t>Prior source-specific extraction retained; no new full-text retrieval</ns0:t>
        </ns0:is>
      </ns0:c>
      <ns0:c r="AI400" s="21" t="inlineStr">
        <ns0:is>
          <ns0:t>https://doi.org/10.1002/dneu.70047</ns0:t>
        </ns0:is>
      </ns0:c>
      <ns0:c r="AJ400" s="21" t="inlineStr">
        <ns0:is>
          <ns0:t>EVIDENCIA; original abstract/coding notes and lot source trace; Inherited scoped adjudication; see source level and lot caveats</ns0:t>
        </ns0:is>
      </ns0:c>
      <ns0:c r="AK400" s="21" t="inlineStr">
        <ns0:is>
          <ns0:t>Retained source-specific coding after review of the supplied extraction notes; not a new full-text retrieval. Combines EEG and fMRI after modality-specific preprocessing and feature extraction, followed by DFGAO feature selection and LRSF-DLNN classification; reported accuracy is 98.8%. No independent external validation, site-held-out robustness or explicit XAI method is established in the accessible material.
All-neural/optimization pipeline in recovered evidence; hybrid title is not sufficient for mixed conventional-ML/DL classification.</ns0:t>
        </ns0:is>
      </ns0:c>
      <ns0:c r="AL400" s="21" t="inlineStr">
        <ns0:is>
          <ns0:t>Not applicable</ns0:t>
        </ns0:is>
      </ns0:c>
      <ns0:c r="AM400" s="21" t="inlineStr">
        <ns0:is>
          <ns0:t>Not separately specified</ns0:t>
        </ns0:is>
      </ns0:c>
      <ns0:c r="AN400" s="21" t="inlineStr"/>
      <ns0:c r="AO400" s="21" t="inlineStr">
        <ns0:is>
          <ns0:t>No additional status determination</ns0:t>
        </ns0:is>
      </ns0:c>
      <ns0:c r="AP400" s="21" t="inlineStr">
        <ns0:is>
          <ns0:t>Not documented for this recharting</ns0:t>
        </ns0:is>
      </ns0:c>
      <ns0:c r="AQ400" s="21" t="inlineStr">
        <ns0:is>
          <ns0:t>ChatGPT-assisted evidence recharting, 2026-09-08</ns0:t>
        </ns0:is>
      </ns0:c>
      <ns0:c r="AR400" s="21" t="inlineStr">
        <ns0:is>
          <ns0:t>Revision asistida por IA (un revisor; requiere verificacion independiente)</ns0:t>
        </ns0:is>
      </ns0:c>
      <ns0:c r="AS400" s="21" t="inlineStr">
        <ns0:is>
          <ns0:t>Report located; publisher/PubMed content sufficient for scoped adjudication</ns0:t>
        </ns0:is>
      </ns0:c>
    </ns0:row>
    <ns0:row r="401" ht="50" customHeight="1">
      <ns0:c r="A401" s="19" t="inlineStr">
        <ns0:is>
          <ns0:t>new_252</ns0:t>
        </ns0:is>
      </ns0:c>
      <ns0:c r="B401" s="19" t="inlineStr">
        <ns0:is>
          <ns0:t>Update</ns0:t>
        </ns0:is>
      </ns0:c>
      <ns0:c r="C401" s="19" t="inlineStr">
        <ns0:is>
          <ns0:t>A New Paradigm for Autism Spectrum Disorder Discrimination in Children Utilizing EEG Data Collected During Cartoon Viewing With a Focus on Atypical Semantic Processing</ns0:t>
        </ns0:is>
      </ns0:c>
      <ns0:c r="D401" s="19" t="inlineStr">
        <ns0:is>
          <ns0:t>10.1002/aur.70105</ns0:t>
        </ns0:is>
      </ns0:c>
      <ns0:c r="E401" s="26" t="n">
        <ns0:v>2025</ns0:v>
      </ns0:c>
      <ns0:c r="F401" s="19" t="inlineStr">
        <ns0:is>
          <ns0:t>Include</ns0:t>
        </ns0:is>
      </ns0:c>
      <ns0:c r="G401" s="27">
        <ns0:f>IF(F401="Include",1,0)</ns0:f>
        <ns0:v>1</ns0:v>
      </ns0:c>
      <ns0:c r="H401" s="19" t="inlineStr">
        <ns0:is>
          <ns0:t>Diagnosis</ns0:t>
        </ns0:is>
      </ns0:c>
      <ns0:c r="I401" s="19" t="inlineStr">
        <ns0:is>
          <ns0:t>Hybrid</ns0:t>
        </ns0:is>
      </ns0:c>
      <ns0:c r="J401" s="19" t="inlineStr">
        <ns0:is>
          <ns0:t>Physiological signals</ns0:t>
        </ns0:is>
      </ns0:c>
      <ns0:c r="K401" s="19" t="inlineStr">
        <ns0:is>
          <ns0:t>Pretrained language-model semantic features + regression-based EEG semantic-processing model</ns0:t>
        </ns0:is>
      </ns0:c>
      <ns0:c r="L401" s="19" t="inlineStr">
        <ns0:is>
          <ns0:t>Other specified method</ns0:t>
        </ns0:is>
      </ns0:c>
      <ns0:c r="M401" s="19" t="inlineStr">
        <ns0:is>
          <ns0:t>Research only</ns0:t>
        </ns0:is>
      </ns0:c>
      <ns0:c r="N401" s="19" t="inlineStr">
        <ns0:is>
          <ns0:t>Automated measurement/classification</ns0:t>
        </ns0:is>
      </ns0:c>
      <ns0:c r="O401" s="19" t="inlineStr">
        <ns0:is>
          <ns0:t>Not observed in assessed sources</ns0:t>
        </ns0:is>
      </ns0:c>
      <ns0:c r="P401" s="19" t="inlineStr">
        <ns0:is>
          <ns0:t>Not observed in assessed sources</ns0:t>
        </ns0:is>
      </ns0:c>
      <ns0:c r="Q401" s="19" t="inlineStr">
        <ns0:is>
          <ns0:t>Not reported in assessed sources</ns0:t>
        </ns0:is>
      </ns0:c>
      <ns0:c r="R401" s="19" t="inlineStr">
        <ns0:is>
          <ns0:t>Not reported in assessed sources</ns0:t>
        </ns0:is>
      </ns0:c>
      <ns0:c r="S401" s="19" t="inlineStr">
        <ns0:is>
          <ns0:t>Not reported in assessed sources</ns0:t>
        </ns0:is>
      </ns0:c>
      <ns0:c r="T401" s="19" t="inlineStr">
        <ns0:is>
          <ns0:t>Not reported in assessed sources</ns0:t>
        </ns0:is>
      </ns0:c>
      <ns0:c r="U401" s="19" t="inlineStr">
        <ns0:is>
          <ns0:t>Not reported in assessed sources</ns0:t>
        </ns0:is>
      </ns0:c>
      <ns0:c r="V401" s="19" t="inlineStr">
        <ns0:is>
          <ns0:t>Not reported in assessed sources</ns0:t>
        </ns0:is>
      </ns0:c>
      <ns0:c r="W401" s="19" t="inlineStr">
        <ns0:is>
          <ns0:t>Not reported in assessed sources</ns0:t>
        </ns0:is>
      </ns0:c>
      <ns0:c r="X401" s="19" t="inlineStr">
        <ns0:is>
          <ns0:t>Not reported in assessed sources</ns0:t>
        </ns0:is>
      </ns0:c>
      <ns0:c r="Y401" s="19" t="inlineStr">
        <ns0:is>
          <ns0:t>Not ascertainable</ns0:t>
        </ns0:is>
      </ns0:c>
      <ns0:c r="Z401" s="19" t="inlineStr">
        <ns0:is>
          <ns0:t>Not reported in assessed sources</ns0:t>
        </ns0:is>
      </ns0:c>
      <ns0:c r="AA401" s="19" t="inlineStr">
        <ns0:is>
          <ns0:t>Not recorded</ns0:t>
        </ns0:is>
      </ns0:c>
      <ns0:c r="AB401" s="26" t="n">
        <ns0:v>0</ns0:v>
      </ns0:c>
      <ns0:c r="AC401" s="26" t="n">
        <ns0:v>0</ns0:v>
      </ns0:c>
      <ns0:c r="AD401" s="27">
        <ns0:f>IF(AND(G401=1,AB401=0),1,0)</ns0:f>
        <ns0:v>1</ns0:v>
      </ns0:c>
      <ns0:c r="AE401" s="27">
        <ns0:f>IF(AND(AD401=1,AC401=0),1,0)</ns0:f>
        <ns0:v>1</ns0:v>
      </ns0:c>
      <ns0:c r="AF401" s="27">
        <ns0:f>IF(AND(G401=1,H401&lt;&gt;"Not specified"),1,0)</ns0:f>
        <ns0:v>1</ns0:v>
      </ns0:c>
      <ns0:c r="AG401" s="27">
        <ns0:f>IF(AND(AE401=1,AF401=1),1,0)</ns0:f>
        <ns0:v>1</ns0:v>
      </ns0:c>
      <ns0:c r="AH401" s="19" t="inlineStr">
        <ns0:is>
          <ns0:t>Prior source-specific extraction retained; no new full-text retrieval</ns0:t>
        </ns0:is>
      </ns0:c>
      <ns0:c r="AI401" s="19" t="inlineStr">
        <ns0:is>
          <ns0:t>https://doi.org/10.1002/aur.70105</ns0:t>
        </ns0:is>
      </ns0:c>
      <ns0:c r="AJ401" s="19" t="inlineStr">
        <ns0:is>
          <ns0:t>EVIDENCIA; original abstract/coding notes and lot source trace; Inherited scoped adjudication; see source level and lot caveats</ns0:t>
        </ns0:is>
      </ns0:c>
      <ns0:c r="AK401" s="19" t="inlineStr">
        <ns0:is>
          <ns0:t>Retained source-specific coding after review of the supplied extraction notes; not a new full-text retrieval. EEG recorded during naturalistic cartoon viewing was linked to semantic representations derived from pretrained language models; the study reports ASD/TD discrimination and a validation analysis. The accessible description does not establish that the reported validation analysis used an independent external cohort; semantic annotations are stimulus descriptors rather than a second human data modality.</ns0:t>
        </ns0:is>
      </ns0:c>
      <ns0:c r="AL401" s="19" t="inlineStr">
        <ns0:is>
          <ns0:t>Not applicable</ns0:t>
        </ns0:is>
      </ns0:c>
      <ns0:c r="AM401" s="19" t="inlineStr">
        <ns0:is>
          <ns0:t>Not separately specified</ns0:t>
        </ns0:is>
      </ns0:c>
      <ns0:c r="AN401" s="19" t="inlineStr"/>
      <ns0:c r="AO401" s="19" t="inlineStr">
        <ns0:is>
          <ns0:t>No additional status determination</ns0:t>
        </ns0:is>
      </ns0:c>
      <ns0:c r="AP401" s="19" t="inlineStr">
        <ns0:is>
          <ns0:t>Not documented for this recharting</ns0:t>
        </ns0:is>
      </ns0:c>
      <ns0:c r="AQ401" s="19" t="inlineStr">
        <ns0:is>
          <ns0:t>ChatGPT-assisted evidence recharting, 2026-09-08</ns0:t>
        </ns0:is>
      </ns0:c>
      <ns0:c r="AR401" s="19" t="inlineStr">
        <ns0:is>
          <ns0:t>Revision asistida por IA (un revisor; requiere verificacion independiente)</ns0:t>
        </ns0:is>
      </ns0:c>
      <ns0:c r="AS401" s="19" t="inlineStr">
        <ns0:is>
          <ns0:t>Report located; publisher/PubMed content sufficient for scoped adjudication</ns0:t>
        </ns0:is>
      </ns0:c>
    </ns0:row>
    <ns0:row r="402" ht="50" customHeight="1">
      <ns0:c r="A402" s="21" t="inlineStr">
        <ns0:is>
          <ns0:t>new_254</ns0:t>
        </ns0:is>
      </ns0:c>
      <ns0:c r="B402" s="21" t="inlineStr">
        <ns0:is>
          <ns0:t>Update</ns0:t>
        </ns0:is>
      </ns0:c>
      <ns0:c r="C402" s="21" t="inlineStr">
        <ns0:is>
          <ns0:t>Hybrid groupers-moray orangutan optimization algorithm-based dense-resolution network for autism spectrum disorder detection using multimodal data</ns0:t>
        </ns0:is>
      </ns0:c>
      <ns0:c r="D402" s="21" t="inlineStr">
        <ns0:is>
          <ns0:t>10.1016/j.pscychresns.2026.112204</ns0:t>
        </ns0:is>
      </ns0:c>
      <ns0:c r="E402" s="28" t="n">
        <ns0:v>2026</ns0:v>
      </ns0:c>
      <ns0:c r="F402" s="21" t="inlineStr">
        <ns0:is>
          <ns0:t>Include</ns0:t>
        </ns0:is>
      </ns0:c>
      <ns0:c r="G402" s="29">
        <ns0:f>IF(F402="Include",1,0)</ns0:f>
        <ns0:v>1</ns0:v>
      </ns0:c>
      <ns0:c r="H402" s="21" t="inlineStr">
        <ns0:is>
          <ns0:t>Diagnosis</ns0:t>
        </ns0:is>
      </ns0:c>
      <ns0:c r="I402" s="21" t="inlineStr">
        <ns0:is>
          <ns0:t>Deep Learning</ns0:t>
        </ns0:is>
      </ns0:c>
      <ns0:c r="J402" s="21" t="inlineStr">
        <ns0:is>
          <ns0:t>Multiple source categories</ns0:t>
        </ns0:is>
      </ns0:c>
      <ns0:c r="K402" s="21" t="inlineStr">
        <ns0:is>
          <ns0:t>GMOA-DRNet with imaging/phenotypic feature integration</ns0:t>
        </ns0:is>
      </ns0:c>
      <ns0:c r="L402" s="21" t="inlineStr">
        <ns0:is>
          <ns0:t>Other specified method</ns0:t>
        </ns0:is>
      </ns0:c>
      <ns0:c r="M402" s="21" t="inlineStr">
        <ns0:is>
          <ns0:t>Proposed only</ns0:t>
        </ns0:is>
      </ns0:c>
      <ns0:c r="N402" s="21" t="inlineStr">
        <ns0:is>
          <ns0:t>Automated measurement/classification</ns0:t>
        </ns0:is>
      </ns0:c>
      <ns0:c r="O402" s="21" t="inlineStr">
        <ns0:is>
          <ns0:t>In-decision</ns0:t>
        </ns0:is>
      </ns0:c>
      <ns0:c r="P402" s="21" t="inlineStr">
        <ns0:is>
          <ns0:t>Not observed in assessed sources</ns0:t>
        </ns0:is>
      </ns0:c>
      <ns0:c r="Q402" s="21" t="inlineStr">
        <ns0:is>
          <ns0:t>Not reported in assessed sources</ns0:t>
        </ns0:is>
      </ns0:c>
      <ns0:c r="R402" s="21" t="inlineStr">
        <ns0:is>
          <ns0:t>Reported</ns0:t>
        </ns0:is>
      </ns0:c>
      <ns0:c r="S402" s="21" t="inlineStr">
        <ns0:is>
          <ns0:t>Not reported in assessed sources</ns0:t>
        </ns0:is>
      </ns0:c>
      <ns0:c r="T402" s="21" t="inlineStr">
        <ns0:is>
          <ns0:t>Not reported in assessed sources</ns0:t>
        </ns0:is>
      </ns0:c>
      <ns0:c r="U402" s="21" t="inlineStr">
        <ns0:is>
          <ns0:t>Not reported in assessed sources</ns0:t>
        </ns0:is>
      </ns0:c>
      <ns0:c r="V402" s="21" t="inlineStr">
        <ns0:is>
          <ns0:t>Not reported in assessed sources</ns0:t>
        </ns0:is>
      </ns0:c>
      <ns0:c r="W402" s="21" t="inlineStr">
        <ns0:is>
          <ns0:t>Reported</ns0:t>
        </ns0:is>
      </ns0:c>
      <ns0:c r="X402" s="21" t="inlineStr">
        <ns0:is>
          <ns0:t>Not reported in assessed sources</ns0:t>
        </ns0:is>
      </ns0:c>
      <ns0:c r="Y402" s="21" t="inlineStr">
        <ns0:is>
          <ns0:t>Not ascertainable</ns0:t>
        </ns0:is>
      </ns0:c>
      <ns0:c r="Z402" s="21" t="inlineStr">
        <ns0:is>
          <ns0:t>Not reported in assessed sources</ns0:t>
        </ns0:is>
      </ns0:c>
      <ns0:c r="AA402" s="21" t="inlineStr">
        <ns0:is>
          <ns0:t>Not recorded</ns0:t>
        </ns0:is>
      </ns0:c>
      <ns0:c r="AB402" s="28" t="n">
        <ns0:v>0</ns0:v>
      </ns0:c>
      <ns0:c r="AC402" s="28" t="n">
        <ns0:v>0</ns0:v>
      </ns0:c>
      <ns0:c r="AD402" s="29">
        <ns0:f>IF(AND(G402=1,AB402=0),1,0)</ns0:f>
        <ns0:v>1</ns0:v>
      </ns0:c>
      <ns0:c r="AE402" s="29">
        <ns0:f>IF(AND(AD402=1,AC402=0),1,0)</ns0:f>
        <ns0:v>1</ns0:v>
      </ns0:c>
      <ns0:c r="AF402" s="29">
        <ns0:f>IF(AND(G402=1,H402&lt;&gt;"Not specified"),1,0)</ns0:f>
        <ns0:v>1</ns0:v>
      </ns0:c>
      <ns0:c r="AG402" s="29">
        <ns0:f>IF(AND(AE402=1,AF402=1),1,0)</ns0:f>
        <ns0:v>1</ns0:v>
      </ns0:c>
      <ns0:c r="AH402" s="21" t="inlineStr">
        <ns0:is>
          <ns0:t>Prior source-specific extraction retained; no new full-text retrieval</ns0:t>
        </ns0:is>
      </ns0:c>
      <ns0:c r="AI402" s="21" t="inlineStr">
        <ns0:is>
          <ns0:t>https://doi.org/10.1016/j.pscychresns.2026.112204</ns0:t>
        </ns0:is>
      </ns0:c>
      <ns0:c r="AJ402" s="21" t="inlineStr">
        <ns0:is>
          <ns0:t>EVIDENCIA; original abstract/coding notes and lot source trace; Inherited scoped adjudication; see source level and lot caveats</ns0:t>
        </ns0:is>
      </ns0:c>
      <ns0:c r="AK402" s="21" t="inlineStr">
        <ns0:is>
          <ns0:t>Retained source-specific coding after review of the supplied extraction notes; not a new full-text retrieval. Integrates MRI-derived features with phenotypic variables, applies feature selection/optimization and DRNet classification; reported accuracy is 92.77%. No independent external validation, prospective evaluation or explicit site-held-out robustness is established in the accessible record.
All-neural/optimization pipeline in recovered evidence; hybrid title is not sufficient for mixed conventional-ML/DL classification.</ns0:t>
        </ns0:is>
      </ns0:c>
      <ns0:c r="AL402" s="21" t="inlineStr">
        <ns0:is>
          <ns0:t>Not applicable</ns0:t>
        </ns0:is>
      </ns0:c>
      <ns0:c r="AM402" s="21" t="inlineStr">
        <ns0:is>
          <ns0:t>Not separately specified</ns0:t>
        </ns0:is>
      </ns0:c>
      <ns0:c r="AN402" s="21" t="inlineStr"/>
      <ns0:c r="AO402" s="21" t="inlineStr">
        <ns0:is>
          <ns0:t>No additional status determination</ns0:t>
        </ns0:is>
      </ns0:c>
      <ns0:c r="AP402" s="21" t="inlineStr">
        <ns0:is>
          <ns0:t>Not documented for this recharting</ns0:t>
        </ns0:is>
      </ns0:c>
      <ns0:c r="AQ402" s="21" t="inlineStr">
        <ns0:is>
          <ns0:t>ChatGPT-assisted evidence recharting, 2026-09-08</ns0:t>
        </ns0:is>
      </ns0:c>
      <ns0:c r="AR402" s="21" t="inlineStr">
        <ns0:is>
          <ns0:t>Revision asistida por IA (un revisor; requiere verificacion independiente)</ns0:t>
        </ns0:is>
      </ns0:c>
      <ns0:c r="AS402" s="21" t="inlineStr">
        <ns0:is>
          <ns0:t>Report located; publisher/PubMed content sufficient for scoped adjudication</ns0:t>
        </ns0:is>
      </ns0:c>
    </ns0:row>
    <ns0:row r="403" ht="50" customHeight="1">
      <ns0:c r="A403" s="19" t="inlineStr">
        <ns0:is>
          <ns0:t>new_266</ns0:t>
        </ns0:is>
      </ns0:c>
      <ns0:c r="B403" s="19" t="inlineStr">
        <ns0:is>
          <ns0:t>Update</ns0:t>
        </ns0:is>
      </ns0:c>
      <ns0:c r="C403" s="19" t="inlineStr">
        <ns0:is>
          <ns0:t>Machine Learning-Based Early Prediction Model for Autism Spectrum Disorder in Infants Using Acoustic Feature</ns0:t>
        </ns0:is>
      </ns0:c>
      <ns0:c r="D403" s="19" t="inlineStr">
        <ns0:is>
          <ns0:t>10.1002/aur.70179</ns0:t>
        </ns0:is>
      </ns0:c>
      <ns0:c r="E403" s="26" t="n">
        <ns0:v>2026</ns0:v>
      </ns0:c>
      <ns0:c r="F403" s="19" t="inlineStr">
        <ns0:is>
          <ns0:t>Include</ns0:t>
        </ns0:is>
      </ns0:c>
      <ns0:c r="G403" s="27">
        <ns0:f>IF(F403="Include",1,0)</ns0:f>
        <ns0:v>1</ns0:v>
      </ns0:c>
      <ns0:c r="H403" s="19" t="inlineStr">
        <ns0:is>
          <ns0:t>Prognosis</ns0:t>
        </ns0:is>
      </ns0:c>
      <ns0:c r="I403" s="19" t="inlineStr">
        <ns0:is>
          <ns0:t>Machine Learning</ns0:t>
        </ns0:is>
      </ns0:c>
      <ns0:c r="J403" s="19" t="inlineStr">
        <ns0:is>
          <ns0:t>Audio/voice</ns0:t>
        </ns0:is>
      </ns0:c>
      <ns0:c r="K403" s="19" t="inlineStr">
        <ns0:is>
          <ns0:t>LASSO feature selection + sigmoid-kernel SVM</ns0:t>
        </ns0:is>
      </ns0:c>
      <ns0:c r="L403" s="19" t="inlineStr">
        <ns0:is>
          <ns0:t>SVM</ns0:t>
        </ns0:is>
      </ns0:c>
      <ns0:c r="M403" s="19" t="inlineStr">
        <ns0:is>
          <ns0:t>Research only</ns0:t>
        </ns0:is>
      </ns0:c>
      <ns0:c r="N403" s="19" t="inlineStr">
        <ns0:is>
          <ns0:t>Risk/trajectory estimation</ns0:t>
        </ns0:is>
      </ns0:c>
      <ns0:c r="O403" s="19" t="inlineStr">
        <ns0:is>
          <ns0:t>Not observed in assessed sources</ns0:t>
        </ns0:is>
      </ns0:c>
      <ns0:c r="P403" s="19" t="inlineStr">
        <ns0:is>
          <ns0:t>Not observed in assessed sources</ns0:t>
        </ns0:is>
      </ns0:c>
      <ns0:c r="Q403" s="19" t="inlineStr">
        <ns0:is>
          <ns0:t>Not reported in assessed sources</ns0:t>
        </ns0:is>
      </ns0:c>
      <ns0:c r="R403" s="19" t="inlineStr">
        <ns0:is>
          <ns0:t>Not reported in assessed sources</ns0:t>
        </ns0:is>
      </ns0:c>
      <ns0:c r="S403" s="19" t="inlineStr">
        <ns0:is>
          <ns0:t>Not ascertainable</ns0:t>
        </ns0:is>
      </ns0:c>
      <ns0:c r="T403" s="19" t="inlineStr">
        <ns0:is>
          <ns0:t>Not reported in assessed sources</ns0:t>
        </ns0:is>
      </ns0:c>
      <ns0:c r="U403" s="19" t="inlineStr">
        <ns0:is>
          <ns0:t>Not reported in assessed sources</ns0:t>
        </ns0:is>
      </ns0:c>
      <ns0:c r="V403" s="19" t="inlineStr">
        <ns0:is>
          <ns0:t>Not reported in assessed sources</ns0:t>
        </ns0:is>
      </ns0:c>
      <ns0:c r="W403" s="19" t="inlineStr">
        <ns0:is>
          <ns0:t>Not reported in assessed sources</ns0:t>
        </ns0:is>
      </ns0:c>
      <ns0:c r="X403" s="19" t="inlineStr">
        <ns0:is>
          <ns0:t>Not reported in assessed sources</ns0:t>
        </ns0:is>
      </ns0:c>
      <ns0:c r="Y403" s="19" t="inlineStr">
        <ns0:is>
          <ns0:t>Reported</ns0:t>
        </ns0:is>
      </ns0:c>
      <ns0:c r="Z403" s="19" t="inlineStr">
        <ns0:is>
          <ns0:t>Not ascertainable</ns0:t>
        </ns0:is>
      </ns0:c>
      <ns0:c r="AA403" s="19" t="inlineStr">
        <ns0:is>
          <ns0:t>Not recorded</ns0:t>
        </ns0:is>
      </ns0:c>
      <ns0:c r="AB403" s="26" t="n">
        <ns0:v>0</ns0:v>
      </ns0:c>
      <ns0:c r="AC403" s="26" t="n">
        <ns0:v>0</ns0:v>
      </ns0:c>
      <ns0:c r="AD403" s="27">
        <ns0:f>IF(AND(G403=1,AB403=0),1,0)</ns0:f>
        <ns0:v>1</ns0:v>
      </ns0:c>
      <ns0:c r="AE403" s="27">
        <ns0:f>IF(AND(AD403=1,AC403=0),1,0)</ns0:f>
        <ns0:v>1</ns0:v>
      </ns0:c>
      <ns0:c r="AF403" s="27">
        <ns0:f>IF(AND(G403=1,H403&lt;&gt;"Not specified"),1,0)</ns0:f>
        <ns0:v>1</ns0:v>
      </ns0:c>
      <ns0:c r="AG403" s="27">
        <ns0:f>IF(AND(AE403=1,AF403=1),1,0)</ns0:f>
        <ns0:v>1</ns0:v>
      </ns0:c>
      <ns0:c r="AH403" s="19" t="inlineStr">
        <ns0:is>
          <ns0:t>Prior source-specific extraction retained; no new full-text retrieval</ns0:t>
        </ns0:is>
      </ns0:c>
      <ns0:c r="AI403" s="19" t="inlineStr">
        <ns0:is>
          <ns0:t>https://doi.org/10.1002/aur.70179</ns0:t>
        </ns0:is>
      </ns0:c>
      <ns0:c r="AJ403" s="19" t="inlineStr">
        <ns0:is>
          <ns0:t>EVIDENCIA; original abstract/coding notes and lot source trace; Inherited scoped adjudication; see source level and lot caveats</ns0:t>
        </ns0:is>
      </ns0:c>
      <ns0:c r="AK403" s="19" t="inlineStr">
        <ns0:is>
          <ns0:t>Retained source-specific coding after review of the supplied extraction notes; not a new full-text retrieval. In a prospective infant-sibling cohort, vocalizations at 9-18 months were parameterized into thousands of acoustic features, reduced with LASSO, and classified with SVM against ASD outcome confirmed at 36 months. The cohort is relatively small and the accessible record does not establish independent external validation; LASSO-based feature reduction is treated as partial interpretability rather than strict XAI.</ns0:t>
        </ns0:is>
      </ns0:c>
      <ns0:c r="AL403" s="19" t="inlineStr">
        <ns0:is>
          <ns0:t>Not applicable</ns0:t>
        </ns0:is>
      </ns0:c>
      <ns0:c r="AM403" s="19" t="inlineStr">
        <ns0:is>
          <ns0:t>Not separately specified</ns0:t>
        </ns0:is>
      </ns0:c>
      <ns0:c r="AN403" s="19" t="inlineStr"/>
      <ns0:c r="AO403" s="19" t="inlineStr">
        <ns0:is>
          <ns0:t>No additional status determination</ns0:t>
        </ns0:is>
      </ns0:c>
      <ns0:c r="AP403" s="19" t="inlineStr">
        <ns0:is>
          <ns0:t>Not documented for this recharting</ns0:t>
        </ns0:is>
      </ns0:c>
      <ns0:c r="AQ403" s="19" t="inlineStr">
        <ns0:is>
          <ns0:t>ChatGPT-assisted evidence recharting, 2026-09-08</ns0:t>
        </ns0:is>
      </ns0:c>
      <ns0:c r="AR403" s="19" t="inlineStr">
        <ns0:is>
          <ns0:t>Revision asistida por IA (un revisor; requiere verificacion independiente)</ns0:t>
        </ns0:is>
      </ns0:c>
      <ns0:c r="AS403" s="19" t="inlineStr">
        <ns0:is>
          <ns0:t>Report located; publisher/PubMed content sufficient for scoped adjudication</ns0:t>
        </ns0:is>
      </ns0:c>
    </ns0:row>
    <ns0:row r="404" ht="50" customHeight="1">
      <ns0:c r="A404" s="21" t="inlineStr">
        <ns0:is>
          <ns0:t>new_269</ns0:t>
        </ns0:is>
      </ns0:c>
      <ns0:c r="B404" s="21" t="inlineStr">
        <ns0:is>
          <ns0:t>Update</ns0:t>
        </ns0:is>
      </ns0:c>
      <ns0:c r="C404" s="21" t="inlineStr">
        <ns0:is>
          <ns0:t>Predicting fine motor deficit in autism by measuring brain activities and characterizing motor impairments</ns0:t>
        </ns0:is>
      </ns0:c>
      <ns0:c r="D404" s="21" t="inlineStr">
        <ns0:is>
          <ns0:t>10.1016/j.compbiomed.2026.111470</ns0:t>
        </ns0:is>
      </ns0:c>
      <ns0:c r="E404" s="28" t="n">
        <ns0:v>2026</ns0:v>
      </ns0:c>
      <ns0:c r="F404" s="21" t="inlineStr">
        <ns0:is>
          <ns0:t>Include</ns0:t>
        </ns0:is>
      </ns0:c>
      <ns0:c r="G404" s="29">
        <ns0:f>IF(F404="Include",1,0)</ns0:f>
        <ns0:v>1</ns0:v>
      </ns0:c>
      <ns0:c r="H404" s="21" t="inlineStr">
        <ns0:is>
          <ns0:t>Not specified</ns0:t>
        </ns0:is>
      </ns0:c>
      <ns0:c r="I404" s="21" t="inlineStr">
        <ns0:is>
          <ns0:t>Machine Learning</ns0:t>
        </ns0:is>
      </ns0:c>
      <ns0:c r="J404" s="21" t="inlineStr">
        <ns0:is>
          <ns0:t>Multiple source categories</ns0:t>
        </ns0:is>
      </ns0:c>
      <ns0:c r="K404" s="21" t="inlineStr">
        <ns0:is>
          <ns0:t>Logistic regression (best), with SVM/KNN/RF/NN and ensemble comparison</ns0:t>
        </ns0:is>
      </ns0:c>
      <ns0:c r="L404" s="21" t="inlineStr">
        <ns0:is>
          <ns0:t>Multiple/not uniquely specified</ns0:t>
        </ns0:is>
      </ns0:c>
      <ns0:c r="M404" s="21" t="inlineStr">
        <ns0:is>
          <ns0:t>Research only</ns0:t>
        </ns0:is>
      </ns0:c>
      <ns0:c r="N404" s="21" t="inlineStr">
        <ns0:is>
          <ns0:t>Research characterization</ns0:t>
        </ns0:is>
      </ns0:c>
      <ns0:c r="O404" s="21" t="inlineStr">
        <ns0:is>
          <ns0:t>Not observed in assessed sources</ns0:t>
        </ns0:is>
      </ns0:c>
      <ns0:c r="P404" s="21" t="inlineStr">
        <ns0:is>
          <ns0:t>Not observed in assessed sources</ns0:t>
        </ns0:is>
      </ns0:c>
      <ns0:c r="Q404" s="21" t="inlineStr">
        <ns0:is>
          <ns0:t>Not reported in assessed sources</ns0:t>
        </ns0:is>
      </ns0:c>
      <ns0:c r="R404" s="21" t="inlineStr">
        <ns0:is>
          <ns0:t>Reported</ns0:t>
        </ns0:is>
      </ns0:c>
      <ns0:c r="S404" s="21" t="inlineStr">
        <ns0:is>
          <ns0:t>Reported</ns0:t>
        </ns0:is>
      </ns0:c>
      <ns0:c r="T404" s="21" t="inlineStr">
        <ns0:is>
          <ns0:t>Not reported in assessed sources</ns0:t>
        </ns0:is>
      </ns0:c>
      <ns0:c r="U404" s="21" t="inlineStr">
        <ns0:is>
          <ns0:t>Not reported in assessed sources</ns0:t>
        </ns0:is>
      </ns0:c>
      <ns0:c r="V404" s="21" t="inlineStr">
        <ns0:is>
          <ns0:t>Not reported in assessed sources</ns0:t>
        </ns0:is>
      </ns0:c>
      <ns0:c r="W404" s="21" t="inlineStr">
        <ns0:is>
          <ns0:t>Reported</ns0:t>
        </ns0:is>
      </ns0:c>
      <ns0:c r="X404" s="21" t="inlineStr">
        <ns0:is>
          <ns0:t>Not reported in assessed sources</ns0:t>
        </ns0:is>
      </ns0:c>
      <ns0:c r="Y404" s="21" t="inlineStr">
        <ns0:is>
          <ns0:t>Not ascertainable</ns0:t>
        </ns0:is>
      </ns0:c>
      <ns0:c r="Z404" s="21" t="inlineStr">
        <ns0:is>
          <ns0:t>Reported</ns0:t>
        </ns0:is>
      </ns0:c>
      <ns0:c r="AA404" s="21" t="inlineStr">
        <ns0:is>
          <ns0:t>Not recorded</ns0:t>
        </ns0:is>
      </ns0:c>
      <ns0:c r="AB404" s="28" t="n">
        <ns0:v>0</ns0:v>
      </ns0:c>
      <ns0:c r="AC404" s="28" t="n">
        <ns0:v>0</ns0:v>
      </ns0:c>
      <ns0:c r="AD404" s="29">
        <ns0:f>IF(AND(G404=1,AB404=0),1,0)</ns0:f>
        <ns0:v>1</ns0:v>
      </ns0:c>
      <ns0:c r="AE404" s="29">
        <ns0:f>IF(AND(AD404=1,AC404=0),1,0)</ns0:f>
        <ns0:v>1</ns0:v>
      </ns0:c>
      <ns0:c r="AF404" s="29">
        <ns0:f>IF(AND(G404=1,H404&lt;&gt;"Not specified"),1,0)</ns0:f>
        <ns0:v>0</ns0:v>
      </ns0:c>
      <ns0:c r="AG404" s="29">
        <ns0:f>IF(AND(AE404=1,AF404=1),1,0)</ns0:f>
        <ns0:v>0</ns0:v>
      </ns0:c>
      <ns0:c r="AH404" s="21" t="inlineStr">
        <ns0:is>
          <ns0:t>Prior source-specific extraction retained; no new full-text retrieval</ns0:t>
        </ns0:is>
      </ns0:c>
      <ns0:c r="AI404" s="21" t="inlineStr">
        <ns0:is>
          <ns0:t>https://doi.org/10.1016/j.compbiomed.2026.111470</ns0:t>
        </ns0:is>
      </ns0:c>
      <ns0:c r="AJ404" s="21" t="inlineStr">
        <ns0:is>
          <ns0:t>EVIDENCIA; original abstract/coding notes and lot source trace; Inherited scoped adjudication; see source level and lot caveats</ns0:t>
        </ns0:is>
      </ns0:c>
      <ns0:c r="AK404" s="21" t="inlineStr">
        <ns0:is>
          <ns0:t>Retained source-specific coding after review of the supplied extraction notes; not a new full-text retrieval. The publisher article contains participant recruitment, data collection, Methods and Results. It integrates QEEG, Finger Tapping, Hand-Eye Coordination, Visual Memory and AQ-10 variables; logistic regression was the best model and RF Gini plots were used for feature interpretation. PubMed labels the record as Review, but the publisher full article is clearly an original empirical study with recruited participants and primary data collection. The metadata conflict should be checked independently; stage is left Not specified because the AI endpoint is fine-motor deficit rather than a unique ASD screening/diagnostic stage.</ns0:t>
        </ns0:is>
      </ns0:c>
      <ns0:c r="AL404" s="21" t="inlineStr">
        <ns0:is>
          <ns0:t>Not applicable</ns0:t>
        </ns0:is>
      </ns0:c>
      <ns0:c r="AM404" s="21" t="inlineStr">
        <ns0:is>
          <ns0:t>Not separately specified</ns0:t>
        </ns0:is>
      </ns0:c>
      <ns0:c r="AN404" s="21" t="inlineStr"/>
      <ns0:c r="AO404" s="21" t="inlineStr">
        <ns0:is>
          <ns0:t>No additional status determination</ns0:t>
        </ns0:is>
      </ns0:c>
      <ns0:c r="AP404" s="21" t="inlineStr">
        <ns0:is>
          <ns0:t>Not documented for this recharting</ns0:t>
        </ns0:is>
      </ns0:c>
      <ns0:c r="AQ404" s="21" t="inlineStr">
        <ns0:is>
          <ns0:t>ChatGPT-assisted evidence recharting, 2026-09-08</ns0:t>
        </ns0:is>
      </ns0:c>
      <ns0:c r="AR404" s="21" t="inlineStr">
        <ns0:is>
          <ns0:t>Revision asistida por IA (un revisor; requiere verificacion independiente)</ns0:t>
        </ns0:is>
      </ns0:c>
      <ns0:c r="AS404" s="21" t="inlineStr">
        <ns0:is>
          <ns0:t>Report located; publisher/PubMed content sufficient for scoped adjudication</ns0:t>
        </ns0:is>
      </ns0:c>
    </ns0:row>
    <ns0:row r="405" ht="50" customHeight="1">
      <ns0:c r="A405" s="19" t="inlineStr">
        <ns0:is>
          <ns0:t>new_270</ns0:t>
        </ns0:is>
      </ns0:c>
      <ns0:c r="B405" s="19" t="inlineStr">
        <ns0:is>
          <ns0:t>Update</ns0:t>
        </ns0:is>
      </ns0:c>
      <ns0:c r="C405" s="19" t="inlineStr">
        <ns0:is>
          <ns0:t>Diagnosing autism spectrum disorders using ensemble-aided weighted fused features and attention-based residual LSTM with brain MRI images</ns0:t>
        </ns0:is>
      </ns0:c>
      <ns0:c r="D405" s="19" t="inlineStr">
        <ns0:is>
          <ns0:t>10.1016/j.pscychresns.2026.112230</ns0:t>
        </ns0:is>
      </ns0:c>
      <ns0:c r="E405" s="26" t="n">
        <ns0:v>2026</ns0:v>
      </ns0:c>
      <ns0:c r="F405" s="19" t="inlineStr">
        <ns0:is>
          <ns0:t>Include</ns0:t>
        </ns0:is>
      </ns0:c>
      <ns0:c r="G405" s="27">
        <ns0:f>IF(F405="Include",1,0)</ns0:f>
        <ns0:v>1</ns0:v>
      </ns0:c>
      <ns0:c r="H405" s="19" t="inlineStr">
        <ns0:is>
          <ns0:t>Diagnosis</ns0:t>
        </ns0:is>
      </ns0:c>
      <ns0:c r="I405" s="19" t="inlineStr">
        <ns0:is>
          <ns0:t>Deep Learning</ns0:t>
        </ns0:is>
      </ns0:c>
      <ns0:c r="J405" s="19" t="inlineStr">
        <ns0:is>
          <ns0:t>Neuroimaging</ns0:t>
        </ns0:is>
      </ns0:c>
      <ns0:c r="K405" s="19" t="inlineStr">
        <ns0:is>
          <ns0:t>EDCNN (VGG16/ResNet/Inception) + IRUN-HSOA weighted fusion + ARLSTM</ns0:t>
        </ns0:is>
      </ns0:c>
      <ns0:c r="L405" s="19" t="inlineStr">
        <ns0:is>
          <ns0:t>Composite/ensemble pipeline</ns0:t>
        </ns0:is>
      </ns0:c>
      <ns0:c r="M405" s="19" t="inlineStr">
        <ns0:is>
          <ns0:t>Proposed only</ns0:t>
        </ns0:is>
      </ns0:c>
      <ns0:c r="N405" s="19" t="inlineStr">
        <ns0:is>
          <ns0:t>Automated measurement/classification</ns0:t>
        </ns0:is>
      </ns0:c>
      <ns0:c r="O405" s="19" t="inlineStr">
        <ns0:is>
          <ns0:t>In-decision</ns0:t>
        </ns0:is>
      </ns0:c>
      <ns0:c r="P405" s="19" t="inlineStr">
        <ns0:is>
          <ns0:t>Not observed in assessed sources</ns0:t>
        </ns0:is>
      </ns0:c>
      <ns0:c r="Q405" s="19" t="inlineStr">
        <ns0:is>
          <ns0:t>Not reported in assessed sources</ns0:t>
        </ns0:is>
      </ns0:c>
      <ns0:c r="R405" s="19" t="inlineStr">
        <ns0:is>
          <ns0:t>Not reported in assessed sources</ns0:t>
        </ns0:is>
      </ns0:c>
      <ns0:c r="S405" s="19" t="inlineStr">
        <ns0:is>
          <ns0:t>Not reported in assessed sources</ns0:t>
        </ns0:is>
      </ns0:c>
      <ns0:c r="T405" s="19" t="inlineStr">
        <ns0:is>
          <ns0:t>Not reported in assessed sources</ns0:t>
        </ns0:is>
      </ns0:c>
      <ns0:c r="U405" s="19" t="inlineStr">
        <ns0:is>
          <ns0:t>Not reported in assessed sources</ns0:t>
        </ns0:is>
      </ns0:c>
      <ns0:c r="V405" s="19" t="inlineStr">
        <ns0:is>
          <ns0:t>Not reported in assessed sources</ns0:t>
        </ns0:is>
      </ns0:c>
      <ns0:c r="W405" s="19" t="inlineStr">
        <ns0:is>
          <ns0:t>Not reported in assessed sources</ns0:t>
        </ns0:is>
      </ns0:c>
      <ns0:c r="X405" s="19" t="inlineStr">
        <ns0:is>
          <ns0:t>Not reported in assessed sources</ns0:t>
        </ns0:is>
      </ns0:c>
      <ns0:c r="Y405" s="19" t="inlineStr">
        <ns0:is>
          <ns0:t>Not ascertainable</ns0:t>
        </ns0:is>
      </ns0:c>
      <ns0:c r="Z405" s="19" t="inlineStr">
        <ns0:is>
          <ns0:t>Not reported in assessed sources</ns0:t>
        </ns0:is>
      </ns0:c>
      <ns0:c r="AA405" s="19" t="inlineStr">
        <ns0:is>
          <ns0:t>Not recorded</ns0:t>
        </ns0:is>
      </ns0:c>
      <ns0:c r="AB405" s="26" t="n">
        <ns0:v>0</ns0:v>
      </ns0:c>
      <ns0:c r="AC405" s="26" t="n">
        <ns0:v>0</ns0:v>
      </ns0:c>
      <ns0:c r="AD405" s="27">
        <ns0:f>IF(AND(G405=1,AB405=0),1,0)</ns0:f>
        <ns0:v>1</ns0:v>
      </ns0:c>
      <ns0:c r="AE405" s="27">
        <ns0:f>IF(AND(AD405=1,AC405=0),1,0)</ns0:f>
        <ns0:v>1</ns0:v>
      </ns0:c>
      <ns0:c r="AF405" s="27">
        <ns0:f>IF(AND(G405=1,H405&lt;&gt;"Not specified"),1,0)</ns0:f>
        <ns0:v>1</ns0:v>
      </ns0:c>
      <ns0:c r="AG405" s="27">
        <ns0:f>IF(AND(AE405=1,AF405=1),1,0)</ns0:f>
        <ns0:v>1</ns0:v>
      </ns0:c>
      <ns0:c r="AH405" s="19" t="inlineStr">
        <ns0:is>
          <ns0:t>Prior source-specific extraction retained; no new full-text retrieval</ns0:t>
        </ns0:is>
      </ns0:c>
      <ns0:c r="AI405" s="19" t="inlineStr">
        <ns0:is>
          <ns0:t>https://doi.org/10.1016/j.pscychresns.2026.112230</ns0:t>
        </ns0:is>
      </ns0:c>
      <ns0:c r="AJ405" s="19" t="inlineStr">
        <ns0:is>
          <ns0:t>EVIDENCIA; original abstract/coding notes and lot source trace; Inherited scoped adjudication; see source level and lot caveats</ns0:t>
        </ns0:is>
      </ns0:c>
      <ns0:c r="AK405" s="19" t="inlineStr">
        <ns0:is>
          <ns0:t>Retained source-specific coding after review of the supplied extraction notes; not a new full-text retrieval. Uses an ensemble CNN feature extractor, optimized weighted feature fusion and ARLSTM classification for MRI-based ASD diagnosis. Attention/recurrent architecture alone is not coded as XAI; no independent external, prospective or site-held-out evaluation is established in the accessible material.
All-neural/optimization pipeline in recovered evidence; hybrid title is not sufficient for mixed conventional-ML/DL classification.</ns0:t>
        </ns0:is>
      </ns0:c>
      <ns0:c r="AL405" s="19" t="inlineStr">
        <ns0:is>
          <ns0:t>Not applicable</ns0:t>
        </ns0:is>
      </ns0:c>
      <ns0:c r="AM405" s="19" t="inlineStr">
        <ns0:is>
          <ns0:t>Not separately specified</ns0:t>
        </ns0:is>
      </ns0:c>
      <ns0:c r="AN405" s="19" t="inlineStr"/>
      <ns0:c r="AO405" s="19" t="inlineStr">
        <ns0:is>
          <ns0:t>No additional status determination</ns0:t>
        </ns0:is>
      </ns0:c>
      <ns0:c r="AP405" s="19" t="inlineStr">
        <ns0:is>
          <ns0:t>Not documented for this recharting</ns0:t>
        </ns0:is>
      </ns0:c>
      <ns0:c r="AQ405" s="19" t="inlineStr">
        <ns0:is>
          <ns0:t>ChatGPT-assisted evidence recharting, 2026-09-08</ns0:t>
        </ns0:is>
      </ns0:c>
      <ns0:c r="AR405" s="19" t="inlineStr">
        <ns0:is>
          <ns0:t>Revision asistida por IA (un revisor; requiere verificacion independiente)</ns0:t>
        </ns0:is>
      </ns0:c>
      <ns0:c r="AS405" s="19" t="inlineStr">
        <ns0:is>
          <ns0:t>Report located; publisher/PubMed content sufficient for scoped adjudication</ns0:t>
        </ns0:is>
      </ns0:c>
    </ns0:row>
    <ns0:row r="406" ht="50" customHeight="1">
      <ns0:c r="A406" s="21" t="inlineStr">
        <ns0:is>
          <ns0:t>new_271</ns0:t>
        </ns0:is>
      </ns0:c>
      <ns0:c r="B406" s="21" t="inlineStr">
        <ns0:is>
          <ns0:t>Update</ns0:t>
        </ns0:is>
      </ns0:c>
      <ns0:c r="C406" s="21" t="inlineStr">
        <ns0:is>
          <ns0:t>Early Autism Spectrum Disorder Detection Using SMOTE-Enhanced 1D-CNN and Behavioral Screening Data</ns0:t>
        </ns0:is>
      </ns0:c>
      <ns0:c r="D406" s="21" t="inlineStr">
        <ns0:is>
          <ns0:t>10.1155/ahci/1316854</ns0:t>
        </ns0:is>
      </ns0:c>
      <ns0:c r="E406" s="28" t="n">
        <ns0:v>2025</ns0:v>
      </ns0:c>
      <ns0:c r="F406" s="21" t="inlineStr">
        <ns0:is>
          <ns0:t>Include</ns0:t>
        </ns0:is>
      </ns0:c>
      <ns0:c r="G406" s="29">
        <ns0:f>IF(F406="Include",1,0)</ns0:f>
        <ns0:v>1</ns0:v>
      </ns0:c>
      <ns0:c r="H406" s="21" t="inlineStr">
        <ns0:is>
          <ns0:t>Screening</ns0:t>
        </ns0:is>
      </ns0:c>
      <ns0:c r="I406" s="21" t="inlineStr">
        <ns0:is>
          <ns0:t>Deep Learning</ns0:t>
        </ns0:is>
      </ns0:c>
      <ns0:c r="J406" s="21" t="inlineStr">
        <ns0:is>
          <ns0:t>Structured clinical/questionnaire data</ns0:t>
        </ns0:is>
      </ns0:c>
      <ns0:c r="K406" s="21" t="inlineStr">
        <ns0:is>
          <ns0:t>SMOTE-enhanced 1D-CNN</ns0:t>
        </ns0:is>
      </ns0:c>
      <ns0:c r="L406" s="21" t="inlineStr">
        <ns0:is>
          <ns0:t>CNN</ns0:t>
        </ns0:is>
      </ns0:c>
      <ns0:c r="M406" s="21" t="inlineStr">
        <ns0:is>
          <ns0:t>Proposed only</ns0:t>
        </ns0:is>
      </ns0:c>
      <ns0:c r="N406" s="21" t="inlineStr">
        <ns0:is>
          <ns0:t>Triage/questionnaire assessment</ns0:t>
        </ns0:is>
      </ns0:c>
      <ns0:c r="O406" s="21" t="inlineStr">
        <ns0:is>
          <ns0:t>Pre-decision</ns0:t>
        </ns0:is>
      </ns0:c>
      <ns0:c r="P406" s="21" t="inlineStr">
        <ns0:is>
          <ns0:t>Not observed in assessed sources</ns0:t>
        </ns0:is>
      </ns0:c>
      <ns0:c r="Q406" s="21" t="inlineStr">
        <ns0:is>
          <ns0:t>Not reported in assessed sources</ns0:t>
        </ns0:is>
      </ns0:c>
      <ns0:c r="R406" s="21" t="inlineStr">
        <ns0:is>
          <ns0:t>Not reported in assessed sources</ns0:t>
        </ns0:is>
      </ns0:c>
      <ns0:c r="S406" s="21" t="inlineStr">
        <ns0:is>
          <ns0:t>Not reported in assessed sources</ns0:t>
        </ns0:is>
      </ns0:c>
      <ns0:c r="T406" s="21" t="inlineStr">
        <ns0:is>
          <ns0:t>Not reported in assessed sources</ns0:t>
        </ns0:is>
      </ns0:c>
      <ns0:c r="U406" s="21" t="inlineStr">
        <ns0:is>
          <ns0:t>Not reported in assessed sources</ns0:t>
        </ns0:is>
      </ns0:c>
      <ns0:c r="V406" s="21" t="inlineStr">
        <ns0:is>
          <ns0:t>Not reported in assessed sources</ns0:t>
        </ns0:is>
      </ns0:c>
      <ns0:c r="W406" s="21" t="inlineStr">
        <ns0:is>
          <ns0:t>Not reported in assessed sources</ns0:t>
        </ns0:is>
      </ns0:c>
      <ns0:c r="X406" s="21" t="inlineStr">
        <ns0:is>
          <ns0:t>Not reported in assessed sources</ns0:t>
        </ns0:is>
      </ns0:c>
      <ns0:c r="Y406" s="21" t="inlineStr">
        <ns0:is>
          <ns0:t>Not ascertainable</ns0:t>
        </ns0:is>
      </ns0:c>
      <ns0:c r="Z406" s="21" t="inlineStr">
        <ns0:is>
          <ns0:t>Not reported in assessed sources</ns0:t>
        </ns0:is>
      </ns0:c>
      <ns0:c r="AA406" s="21" t="inlineStr">
        <ns0:is>
          <ns0:t>Not recorded</ns0:t>
        </ns0:is>
      </ns0:c>
      <ns0:c r="AB406" s="28" t="n">
        <ns0:v>0</ns0:v>
      </ns0:c>
      <ns0:c r="AC406" s="28" t="n">
        <ns0:v>0</ns0:v>
      </ns0:c>
      <ns0:c r="AD406" s="29">
        <ns0:f>IF(AND(G406=1,AB406=0),1,0)</ns0:f>
        <ns0:v>1</ns0:v>
      </ns0:c>
      <ns0:c r="AE406" s="29">
        <ns0:f>IF(AND(AD406=1,AC406=0),1,0)</ns0:f>
        <ns0:v>1</ns0:v>
      </ns0:c>
      <ns0:c r="AF406" s="29">
        <ns0:f>IF(AND(G406=1,H406&lt;&gt;"Not specified"),1,0)</ns0:f>
        <ns0:v>1</ns0:v>
      </ns0:c>
      <ns0:c r="AG406" s="29">
        <ns0:f>IF(AND(AE406=1,AF406=1),1,0)</ns0:f>
        <ns0:v>1</ns0:v>
      </ns0:c>
      <ns0:c r="AH406" s="21" t="inlineStr">
        <ns0:is>
          <ns0:t>Prior source-specific extraction retained; no new full-text retrieval</ns0:t>
        </ns0:is>
      </ns0:c>
      <ns0:c r="AI406" s="21" t="inlineStr">
        <ns0:is>
          <ns0:t>https://doi.org/10.1155/ahci/1316854</ns0:t>
        </ns0:is>
      </ns0:c>
      <ns0:c r="AJ406" s="21" t="inlineStr">
        <ns0:is>
          <ns0:t>EVIDENCIA; original abstract/coding notes and lot source trace; Inherited scoped adjudication; see source level and lot caveats</ns0:t>
        </ns0:is>
      </ns0:c>
      <ns0:c r="AK406" s="21" t="inlineStr">
        <ns0:is>
          <ns0:t>Retained source-specific coding after review of the supplied extraction notes; not a new full-text retrieval. Uses a public toddler-autism behavioral dataset with SMOTE and a 1D-CNN; evaluation is based on train/test splitting and internal cross-validation. Internal validation does not constitute external validation; no prospective workflow, multisite robustness or explicit XAI is reported.</ns0:t>
        </ns0:is>
      </ns0:c>
      <ns0:c r="AL406" s="21" t="inlineStr">
        <ns0:is>
          <ns0:t>Not applicable</ns0:t>
        </ns0:is>
      </ns0:c>
      <ns0:c r="AM406" s="21" t="inlineStr">
        <ns0:is>
          <ns0:t>Not separately specified</ns0:t>
        </ns0:is>
      </ns0:c>
      <ns0:c r="AN406" s="21" t="inlineStr"/>
      <ns0:c r="AO406" s="21" t="inlineStr">
        <ns0:is>
          <ns0:t>No additional status determination</ns0:t>
        </ns0:is>
      </ns0:c>
      <ns0:c r="AP406" s="21" t="inlineStr">
        <ns0:is>
          <ns0:t>Not documented for this recharting</ns0:t>
        </ns0:is>
      </ns0:c>
      <ns0:c r="AQ406" s="21" t="inlineStr">
        <ns0:is>
          <ns0:t>ChatGPT-assisted evidence recharting, 2026-09-08</ns0:t>
        </ns0:is>
      </ns0:c>
      <ns0:c r="AR406" s="21" t="inlineStr">
        <ns0:is>
          <ns0:t>Revision asistida por IA (un revisor; requiere verificacion independiente)</ns0:t>
        </ns0:is>
      </ns0:c>
      <ns0:c r="AS406" s="21" t="inlineStr">
        <ns0:is>
          <ns0:t>Retrieved and reviewed</ns0:t>
        </ns0:is>
      </ns0:c>
    </ns0:row>
    <ns0:row r="407" ht="50" customHeight="1">
      <ns0:c r="A407" s="19" t="inlineStr">
        <ns0:is>
          <ns0:t>new_273</ns0:t>
        </ns0:is>
      </ns0:c>
      <ns0:c r="B407" s="19" t="inlineStr">
        <ns0:is>
          <ns0:t>Update</ns0:t>
        </ns0:is>
      </ns0:c>
      <ns0:c r="C407" s="19" t="inlineStr">
        <ns0:is>
          <ns0:t>Optimizing Autism Spectrum Disorder Diagnosis with VGG16-Based Facial Landmark Recognition</ns0:t>
        </ns0:is>
      </ns0:c>
      <ns0:c r="D407" s="19" t="inlineStr">
        <ns0:is>
          <ns0:t>10.1016/j.procs.2026.06.483</ns0:t>
        </ns0:is>
      </ns0:c>
      <ns0:c r="E407" s="26" t="n">
        <ns0:v>2026</ns0:v>
      </ns0:c>
      <ns0:c r="F407" s="19" t="inlineStr">
        <ns0:is>
          <ns0:t>Include</ns0:t>
        </ns0:is>
      </ns0:c>
      <ns0:c r="G407" s="27">
        <ns0:f>IF(F407="Include",1,0)</ns0:f>
        <ns0:v>1</ns0:v>
      </ns0:c>
      <ns0:c r="H407" s="19" t="inlineStr">
        <ns0:is>
          <ns0:t>Screening</ns0:t>
        </ns0:is>
      </ns0:c>
      <ns0:c r="I407" s="19" t="inlineStr">
        <ns0:is>
          <ns0:t>Deep Learning</ns0:t>
        </ns0:is>
      </ns0:c>
      <ns0:c r="J407" s="19" t="inlineStr">
        <ns0:is>
          <ns0:t>Behavioral images/video/gaze/movement</ns0:t>
        </ns0:is>
      </ns0:c>
      <ns0:c r="K407" s="19" t="inlineStr">
        <ns0:is>
          <ns0:t>VGG16 CNN</ns0:t>
        </ns0:is>
      </ns0:c>
      <ns0:c r="L407" s="19" t="inlineStr">
        <ns0:is>
          <ns0:t>CNN</ns0:t>
        </ns0:is>
      </ns0:c>
      <ns0:c r="M407" s="19" t="inlineStr">
        <ns0:is>
          <ns0:t>Proposed only</ns0:t>
        </ns0:is>
      </ns0:c>
      <ns0:c r="N407" s="19" t="inlineStr">
        <ns0:is>
          <ns0:t>Triage/questionnaire assessment</ns0:t>
        </ns0:is>
      </ns0:c>
      <ns0:c r="O407" s="19" t="inlineStr">
        <ns0:is>
          <ns0:t>Pre-decision</ns0:t>
        </ns0:is>
      </ns0:c>
      <ns0:c r="P407" s="19" t="inlineStr">
        <ns0:is>
          <ns0:t>Not observed in assessed sources</ns0:t>
        </ns0:is>
      </ns0:c>
      <ns0:c r="Q407" s="19" t="inlineStr">
        <ns0:is>
          <ns0:t>Not reported in assessed sources</ns0:t>
        </ns0:is>
      </ns0:c>
      <ns0:c r="R407" s="19" t="inlineStr">
        <ns0:is>
          <ns0:t>Not reported in assessed sources</ns0:t>
        </ns0:is>
      </ns0:c>
      <ns0:c r="S407" s="19" t="inlineStr">
        <ns0:is>
          <ns0:t>Not reported in assessed sources</ns0:t>
        </ns0:is>
      </ns0:c>
      <ns0:c r="T407" s="19" t="inlineStr">
        <ns0:is>
          <ns0:t>Not reported in assessed sources</ns0:t>
        </ns0:is>
      </ns0:c>
      <ns0:c r="U407" s="19" t="inlineStr">
        <ns0:is>
          <ns0:t>Not reported in assessed sources</ns0:t>
        </ns0:is>
      </ns0:c>
      <ns0:c r="V407" s="19" t="inlineStr">
        <ns0:is>
          <ns0:t>Not reported in assessed sources</ns0:t>
        </ns0:is>
      </ns0:c>
      <ns0:c r="W407" s="19" t="inlineStr">
        <ns0:is>
          <ns0:t>Not reported in assessed sources</ns0:t>
        </ns0:is>
      </ns0:c>
      <ns0:c r="X407" s="19" t="inlineStr">
        <ns0:is>
          <ns0:t>Not reported in assessed sources</ns0:t>
        </ns0:is>
      </ns0:c>
      <ns0:c r="Y407" s="19" t="inlineStr">
        <ns0:is>
          <ns0:t>Not ascertainable</ns0:t>
        </ns0:is>
      </ns0:c>
      <ns0:c r="Z407" s="19" t="inlineStr">
        <ns0:is>
          <ns0:t>Not reported in assessed sources</ns0:t>
        </ns0:is>
      </ns0:c>
      <ns0:c r="AA407" s="19" t="inlineStr">
        <ns0:is>
          <ns0:t>Not recorded</ns0:t>
        </ns0:is>
      </ns0:c>
      <ns0:c r="AB407" s="26" t="n">
        <ns0:v>0</ns0:v>
      </ns0:c>
      <ns0:c r="AC407" s="26" t="n">
        <ns0:v>0</ns0:v>
      </ns0:c>
      <ns0:c r="AD407" s="27">
        <ns0:f>IF(AND(G407=1,AB407=0),1,0)</ns0:f>
        <ns0:v>1</ns0:v>
      </ns0:c>
      <ns0:c r="AE407" s="27">
        <ns0:f>IF(AND(AD407=1,AC407=0),1,0)</ns0:f>
        <ns0:v>1</ns0:v>
      </ns0:c>
      <ns0:c r="AF407" s="27">
        <ns0:f>IF(AND(G407=1,H407&lt;&gt;"Not specified"),1,0)</ns0:f>
        <ns0:v>1</ns0:v>
      </ns0:c>
      <ns0:c r="AG407" s="27">
        <ns0:f>IF(AND(AE407=1,AF407=1),1,0)</ns0:f>
        <ns0:v>1</ns0:v>
      </ns0:c>
      <ns0:c r="AH407" s="19" t="inlineStr">
        <ns0:is>
          <ns0:t>Prior source-specific extraction retained; no new full-text retrieval</ns0:t>
        </ns0:is>
      </ns0:c>
      <ns0:c r="AI407" s="19" t="inlineStr">
        <ns0:is>
          <ns0:t>https://doi.org/10.1016/j.procs.2026.06.483</ns0:t>
        </ns0:is>
      </ns0:c>
      <ns0:c r="AJ407" s="19" t="inlineStr">
        <ns0:is>
          <ns0:t>EVIDENCIA; original abstract/coding notes and lot source trace; Inherited scoped adjudication; see source level and lot caveats</ns0:t>
        </ns0:is>
      </ns0:c>
      <ns0:c r="AK407" s="19" t="inlineStr">
        <ns0:is>
          <ns0:t>Retained source-specific coding after review of the supplied extraction notes; not a new full-text retrieval. Applies VGG16 to a Kaggle facial-image dataset of autistic and non-autistic children and reports 98.1% classification accuracy. Single public image dataset and no independent external/prospective evaluation are established; performance may be sensitive to dataset leakage or source bias.</ns0:t>
        </ns0:is>
      </ns0:c>
      <ns0:c r="AL407" s="19" t="inlineStr">
        <ns0:is>
          <ns0:t>Not applicable</ns0:t>
        </ns0:is>
      </ns0:c>
      <ns0:c r="AM407" s="19" t="inlineStr">
        <ns0:is>
          <ns0:t>Not separately specified</ns0:t>
        </ns0:is>
      </ns0:c>
      <ns0:c r="AN407" s="19" t="inlineStr"/>
      <ns0:c r="AO407" s="19" t="inlineStr">
        <ns0:is>
          <ns0:t>No additional status determination</ns0:t>
        </ns0:is>
      </ns0:c>
      <ns0:c r="AP407" s="19" t="inlineStr">
        <ns0:is>
          <ns0:t>Not documented for this recharting</ns0:t>
        </ns0:is>
      </ns0:c>
      <ns0:c r="AQ407" s="19" t="inlineStr">
        <ns0:is>
          <ns0:t>ChatGPT-assisted evidence recharting, 2026-09-08</ns0:t>
        </ns0:is>
      </ns0:c>
      <ns0:c r="AR407" s="19" t="inlineStr">
        <ns0:is>
          <ns0:t>Revision asistida por IA (un revisor; requiere verificacion independiente)</ns0:t>
        </ns0:is>
      </ns0:c>
      <ns0:c r="AS407" s="19" t="inlineStr">
        <ns0:is>
          <ns0:t>Report located; publisher/PubMed content sufficient for scoped adjudication</ns0:t>
        </ns0:is>
      </ns0:c>
    </ns0:row>
    <ns0:row r="408" ht="50" customHeight="1">
      <ns0:c r="A408" s="21" t="inlineStr">
        <ns0:is>
          <ns0:t>new_275</ns0:t>
        </ns0:is>
      </ns0:c>
      <ns0:c r="B408" s="21" t="inlineStr">
        <ns0:is>
          <ns0:t>Update</ns0:t>
        </ns0:is>
      </ns0:c>
      <ns0:c r="C408" s="21" t="inlineStr">
        <ns0:is>
          <ns0:t>Machine Learning Techniques to Uncover Sociodemographic Risk Factors of Autism Spectrum Disorder (ASD) Among Children and Adolescents in Bangladesh</ns0:t>
        </ns0:is>
      </ns0:c>
      <ns0:c r="D408" s="21" t="inlineStr">
        <ns0:is>
          <ns0:t>10.1155/acis/6410913</ns0:t>
        </ns0:is>
      </ns0:c>
      <ns0:c r="E408" s="28" t="n">
        <ns0:v>2025</ns0:v>
      </ns0:c>
      <ns0:c r="F408" s="21" t="inlineStr">
        <ns0:is>
          <ns0:t>Include</ns0:t>
        </ns0:is>
      </ns0:c>
      <ns0:c r="G408" s="29">
        <ns0:f>IF(F408="Include",1,0)</ns0:f>
        <ns0:v>1</ns0:v>
      </ns0:c>
      <ns0:c r="H408" s="21" t="inlineStr">
        <ns0:is>
          <ns0:t>Prescreening</ns0:t>
        </ns0:is>
      </ns0:c>
      <ns0:c r="I408" s="21" t="inlineStr">
        <ns0:is>
          <ns0:t>Machine Learning</ns0:t>
        </ns0:is>
      </ns0:c>
      <ns0:c r="J408" s="21" t="inlineStr">
        <ns0:is>
          <ns0:t>Structured clinical/questionnaire data</ns0:t>
        </ns0:is>
      </ns0:c>
      <ns0:c r="K408" s="21" t="inlineStr">
        <ns0:is>
          <ns0:t>Decision tree with F-classify feature selection (best of 8 classifiers)</ns0:t>
        </ns0:is>
      </ns0:c>
      <ns0:c r="L408" s="21" t="inlineStr">
        <ns0:is>
          <ns0:t>Decision tree/rules</ns0:t>
        </ns0:is>
      </ns0:c>
      <ns0:c r="M408" s="21" t="inlineStr">
        <ns0:is>
          <ns0:t>Research only</ns0:t>
        </ns0:is>
      </ns0:c>
      <ns0:c r="N408" s="21" t="inlineStr">
        <ns0:is>
          <ns0:t>Risk/trajectory estimation</ns0:t>
        </ns0:is>
      </ns0:c>
      <ns0:c r="O408" s="21" t="inlineStr">
        <ns0:is>
          <ns0:t>Not observed in assessed sources</ns0:t>
        </ns0:is>
      </ns0:c>
      <ns0:c r="P408" s="21" t="inlineStr">
        <ns0:is>
          <ns0:t>Not observed in assessed sources</ns0:t>
        </ns0:is>
      </ns0:c>
      <ns0:c r="Q408" s="21" t="inlineStr">
        <ns0:is>
          <ns0:t>Not reported in assessed sources</ns0:t>
        </ns0:is>
      </ns0:c>
      <ns0:c r="R408" s="21" t="inlineStr">
        <ns0:is>
          <ns0:t>Not reported in assessed sources</ns0:t>
        </ns0:is>
      </ns0:c>
      <ns0:c r="S408" s="21" t="inlineStr">
        <ns0:is>
          <ns0:t>Reported</ns0:t>
        </ns0:is>
      </ns0:c>
      <ns0:c r="T408" s="21" t="inlineStr">
        <ns0:is>
          <ns0:t>Not reported in assessed sources</ns0:t>
        </ns0:is>
      </ns0:c>
      <ns0:c r="U408" s="21" t="inlineStr">
        <ns0:is>
          <ns0:t>Not reported in assessed sources</ns0:t>
        </ns0:is>
      </ns0:c>
      <ns0:c r="V408" s="21" t="inlineStr">
        <ns0:is>
          <ns0:t>Reported</ns0:t>
        </ns0:is>
      </ns0:c>
      <ns0:c r="W408" s="21" t="inlineStr">
        <ns0:is>
          <ns0:t>Not reported in assessed sources</ns0:t>
        </ns0:is>
      </ns0:c>
      <ns0:c r="X408" s="21" t="inlineStr">
        <ns0:is>
          <ns0:t>Not reported in assessed sources</ns0:t>
        </ns0:is>
      </ns0:c>
      <ns0:c r="Y408" s="21" t="inlineStr">
        <ns0:is>
          <ns0:t>Not ascertainable</ns0:t>
        </ns0:is>
      </ns0:c>
      <ns0:c r="Z408" s="21" t="inlineStr">
        <ns0:is>
          <ns0:t>Reported</ns0:t>
        </ns0:is>
      </ns0:c>
      <ns0:c r="AA408" s="21" t="inlineStr">
        <ns0:is>
          <ns0:t>Not recorded</ns0:t>
        </ns0:is>
      </ns0:c>
      <ns0:c r="AB408" s="28" t="n">
        <ns0:v>0</ns0:v>
      </ns0:c>
      <ns0:c r="AC408" s="28" t="n">
        <ns0:v>0</ns0:v>
      </ns0:c>
      <ns0:c r="AD408" s="29">
        <ns0:f>IF(AND(G408=1,AB408=0),1,0)</ns0:f>
        <ns0:v>1</ns0:v>
      </ns0:c>
      <ns0:c r="AE408" s="29">
        <ns0:f>IF(AND(AD408=1,AC408=0),1,0)</ns0:f>
        <ns0:v>1</ns0:v>
      </ns0:c>
      <ns0:c r="AF408" s="29">
        <ns0:f>IF(AND(G408=1,H408&lt;&gt;"Not specified"),1,0)</ns0:f>
        <ns0:v>1</ns0:v>
      </ns0:c>
      <ns0:c r="AG408" s="29">
        <ns0:f>IF(AND(AE408=1,AF408=1),1,0)</ns0:f>
        <ns0:v>1</ns0:v>
      </ns0:c>
      <ns0:c r="AH408" s="21" t="inlineStr">
        <ns0:is>
          <ns0:t>Prior source-specific extraction retained; no new full-text retrieval</ns0:t>
        </ns0:is>
      </ns0:c>
      <ns0:c r="AI408" s="21" t="inlineStr">
        <ns0:is>
          <ns0:t>https://doi.org/10.1155/acis/6410913</ns0:t>
        </ns0:is>
      </ns0:c>
      <ns0:c r="AJ408" s="21" t="inlineStr">
        <ns0:is>
          <ns0:t>EVIDENCIA; original abstract/coding notes and lot source trace; Inherited scoped adjudication; see source level and lot caveats</ns0:t>
        </ns0:is>
      </ns0:c>
      <ns0:c r="AK408" s="21" t="inlineStr">
        <ns0:is>
          <ns0:t>Retained source-specific coding after review of the supplied extraction notes; not a new full-text retrieval. Analyzes a Bangladesh dataset collected across multiple geographic locations; compares eight classifiers after feature selection, with decision tree reported as best, and identifies interpretable sociodemographic/perinatal predictors. The reported test/CV is internal and geographic sources are pooled rather than site-held-out; regional sampling limits generalizability.</ns0:t>
        </ns0:is>
      </ns0:c>
      <ns0:c r="AL408" s="21" t="inlineStr">
        <ns0:is>
          <ns0:t>Not applicable</ns0:t>
        </ns0:is>
      </ns0:c>
      <ns0:c r="AM408" s="21" t="inlineStr">
        <ns0:is>
          <ns0:t>Not separately specified</ns0:t>
        </ns0:is>
      </ns0:c>
      <ns0:c r="AN408" s="21" t="inlineStr"/>
      <ns0:c r="AO408" s="21" t="inlineStr">
        <ns0:is>
          <ns0:t>No additional status determination</ns0:t>
        </ns0:is>
      </ns0:c>
      <ns0:c r="AP408" s="21" t="inlineStr">
        <ns0:is>
          <ns0:t>Not documented for this recharting</ns0:t>
        </ns0:is>
      </ns0:c>
      <ns0:c r="AQ408" s="21" t="inlineStr">
        <ns0:is>
          <ns0:t>ChatGPT-assisted evidence recharting, 2026-09-08</ns0:t>
        </ns0:is>
      </ns0:c>
      <ns0:c r="AR408" s="21" t="inlineStr">
        <ns0:is>
          <ns0:t>Revision asistida por IA (un revisor; requiere verificacion independiente)</ns0:t>
        </ns0:is>
      </ns0:c>
      <ns0:c r="AS408" s="21" t="inlineStr">
        <ns0:is>
          <ns0:t>Retrieved and reviewed</ns0:t>
        </ns0:is>
      </ns0:c>
    </ns0:row>
    <ns0:row r="409" ht="50" customHeight="1">
      <ns0:c r="A409" s="19" t="inlineStr">
        <ns0:is>
          <ns0:t>new_277</ns0:t>
        </ns0:is>
      </ns0:c>
      <ns0:c r="B409" s="19" t="inlineStr">
        <ns0:is>
          <ns0:t>Update</ns0:t>
        </ns0:is>
      </ns0:c>
      <ns0:c r="C409" s="19" t="inlineStr">
        <ns0:is>
          <ns0:t>A comprehensive causal and machine learning framework for autism spectrum disorder risk prediction and high-risk subgroup identification from children with chronic health and genetic disorders in the United States</ns0:t>
        </ns0:is>
      </ns0:c>
      <ns0:c r="D409" s="19" t="inlineStr">
        <ns0:is>
          <ns0:t>10.1016/j.reia.2026.202826</ns0:t>
        </ns0:is>
      </ns0:c>
      <ns0:c r="E409" s="26" t="n">
        <ns0:v>2026</ns0:v>
      </ns0:c>
      <ns0:c r="F409" s="19" t="inlineStr">
        <ns0:is>
          <ns0:t>Include</ns0:t>
        </ns0:is>
      </ns0:c>
      <ns0:c r="G409" s="27">
        <ns0:f>IF(F409="Include",1,0)</ns0:f>
        <ns0:v>1</ns0:v>
      </ns0:c>
      <ns0:c r="H409" s="19" t="inlineStr">
        <ns0:is>
          <ns0:t>Prescreening</ns0:t>
        </ns0:is>
      </ns0:c>
      <ns0:c r="I409" s="19" t="inlineStr">
        <ns0:is>
          <ns0:t>Machine Learning</ns0:t>
        </ns0:is>
      </ns0:c>
      <ns0:c r="J409" s="19" t="inlineStr">
        <ns0:is>
          <ns0:t>Structured clinical/questionnaire data</ns0:t>
        </ns0:is>
      </ns0:c>
      <ns0:c r="K409" s="19" t="inlineStr">
        <ns0:is>
          <ns0:t>Multiple ML classifiers + propensity-score matching; best learner not specified in accessible text</ns0:t>
        </ns0:is>
      </ns0:c>
      <ns0:c r="L409" s="19" t="inlineStr">
        <ns0:is>
          <ns0:t>Multiple/not uniquely specified</ns0:t>
        </ns0:is>
      </ns0:c>
      <ns0:c r="M409" s="19" t="inlineStr">
        <ns0:is>
          <ns0:t>Research only</ns0:t>
        </ns0:is>
      </ns0:c>
      <ns0:c r="N409" s="19" t="inlineStr">
        <ns0:is>
          <ns0:t>Risk/trajectory estimation</ns0:t>
        </ns0:is>
      </ns0:c>
      <ns0:c r="O409" s="19" t="inlineStr">
        <ns0:is>
          <ns0:t>Not observed in assessed sources</ns0:t>
        </ns0:is>
      </ns0:c>
      <ns0:c r="P409" s="19" t="inlineStr">
        <ns0:is>
          <ns0:t>Not observed in assessed sources</ns0:t>
        </ns0:is>
      </ns0:c>
      <ns0:c r="Q409" s="19" t="inlineStr">
        <ns0:is>
          <ns0:t>Not reported in assessed sources</ns0:t>
        </ns0:is>
      </ns0:c>
      <ns0:c r="R409" s="19" t="inlineStr">
        <ns0:is>
          <ns0:t>Not reported in assessed sources</ns0:t>
        </ns0:is>
      </ns0:c>
      <ns0:c r="S409" s="19" t="inlineStr">
        <ns0:is>
          <ns0:t>Reported</ns0:t>
        </ns0:is>
      </ns0:c>
      <ns0:c r="T409" s="19" t="inlineStr">
        <ns0:is>
          <ns0:t>Not reported in assessed sources</ns0:t>
        </ns0:is>
      </ns0:c>
      <ns0:c r="U409" s="19" t="inlineStr">
        <ns0:is>
          <ns0:t>Not reported in assessed sources</ns0:t>
        </ns0:is>
      </ns0:c>
      <ns0:c r="V409" s="19" t="inlineStr">
        <ns0:is>
          <ns0:t>Not reported in assessed sources</ns0:t>
        </ns0:is>
      </ns0:c>
      <ns0:c r="W409" s="19" t="inlineStr">
        <ns0:is>
          <ns0:t>Not reported in assessed sources</ns0:t>
        </ns0:is>
      </ns0:c>
      <ns0:c r="X409" s="19" t="inlineStr">
        <ns0:is>
          <ns0:t>Not reported in assessed sources</ns0:t>
        </ns0:is>
      </ns0:c>
      <ns0:c r="Y409" s="19" t="inlineStr">
        <ns0:is>
          <ns0:t>Not ascertainable</ns0:t>
        </ns0:is>
      </ns0:c>
      <ns0:c r="Z409" s="19" t="inlineStr">
        <ns0:is>
          <ns0:t>Reported</ns0:t>
        </ns0:is>
      </ns0:c>
      <ns0:c r="AA409" s="19" t="inlineStr">
        <ns0:is>
          <ns0:t>Not recorded</ns0:t>
        </ns0:is>
      </ns0:c>
      <ns0:c r="AB409" s="26" t="n">
        <ns0:v>0</ns0:v>
      </ns0:c>
      <ns0:c r="AC409" s="26" t="n">
        <ns0:v>0</ns0:v>
      </ns0:c>
      <ns0:c r="AD409" s="27">
        <ns0:f>IF(AND(G409=1,AB409=0),1,0)</ns0:f>
        <ns0:v>1</ns0:v>
      </ns0:c>
      <ns0:c r="AE409" s="27">
        <ns0:f>IF(AND(AD409=1,AC409=0),1,0)</ns0:f>
        <ns0:v>1</ns0:v>
      </ns0:c>
      <ns0:c r="AF409" s="27">
        <ns0:f>IF(AND(G409=1,H409&lt;&gt;"Not specified"),1,0)</ns0:f>
        <ns0:v>1</ns0:v>
      </ns0:c>
      <ns0:c r="AG409" s="27">
        <ns0:f>IF(AND(AE409=1,AF409=1),1,0)</ns0:f>
        <ns0:v>1</ns0:v>
      </ns0:c>
      <ns0:c r="AH409" s="19" t="inlineStr">
        <ns0:is>
          <ns0:t>Prior source-specific extraction retained; no new full-text retrieval</ns0:t>
        </ns0:is>
      </ns0:c>
      <ns0:c r="AI409" s="19" t="inlineStr">
        <ns0:is>
          <ns0:t>https://doi.org/10.1016/j.reia.2026.202826</ns0:t>
        </ns0:is>
      </ns0:c>
      <ns0:c r="AJ409" s="19" t="inlineStr">
        <ns0:is>
          <ns0:t>EVIDENCIA; original abstract/coding notes and lot source trace; Inherited scoped adjudication; see source level and lot caveats</ns0:t>
        </ns0:is>
      </ns0:c>
      <ns0:c r="AK409" s="19" t="inlineStr">
        <ns0:is>
          <ns0:t>National Survey of Children Health contains reported chronic/genetic conditions; these are survey variables, not measured genomic input.</ns0:t>
        </ns0:is>
      </ns0:c>
      <ns0:c r="AL409" s="19" t="inlineStr">
        <ns0:is>
          <ns0:t>Not applicable</ns0:t>
        </ns0:is>
      </ns0:c>
      <ns0:c r="AM409" s="19" t="inlineStr">
        <ns0:is>
          <ns0:t>Not separately specified</ns0:t>
        </ns0:is>
      </ns0:c>
      <ns0:c r="AN409" s="19" t="inlineStr"/>
      <ns0:c r="AO409" s="19" t="inlineStr">
        <ns0:is>
          <ns0:t>No additional status determination</ns0:t>
        </ns0:is>
      </ns0:c>
      <ns0:c r="AP409" s="19" t="inlineStr">
        <ns0:is>
          <ns0:t>Not documented for this recharting</ns0:t>
        </ns0:is>
      </ns0:c>
      <ns0:c r="AQ409" s="19" t="inlineStr">
        <ns0:is>
          <ns0:t>ChatGPT-assisted evidence recharting, 2026-09-08</ns0:t>
        </ns0:is>
      </ns0:c>
      <ns0:c r="AR409" s="19" t="inlineStr">
        <ns0:is>
          <ns0:t>Revision asistida por IA (un revisor; requiere verificacion independiente)</ns0:t>
        </ns0:is>
      </ns0:c>
      <ns0:c r="AS409" s="19" t="inlineStr">
        <ns0:is>
          <ns0:t>Report located; publisher/PubMed content sufficient for scoped adjudication</ns0:t>
        </ns0:is>
      </ns0:c>
    </ns0:row>
    <ns0:row r="410" ht="50" customHeight="1">
      <ns0:c r="A410" s="21" t="inlineStr">
        <ns0:is>
          <ns0:t>new_280</ns0:t>
        </ns0:is>
      </ns0:c>
      <ns0:c r="B410" s="21" t="inlineStr">
        <ns0:is>
          <ns0:t>Update</ns0:t>
        </ns0:is>
      </ns0:c>
      <ns0:c r="C410" s="21" t="inlineStr">
        <ns0:is>
          <ns0:t>Sleep pattern consistency and autism spectrum disorder in U.S. children: Associations and identification of high-risk subgroups</ns0:t>
        </ns0:is>
      </ns0:c>
      <ns0:c r="D410" s="21" t="inlineStr">
        <ns0:is>
          <ns0:t>10.1016/j.ridd.2025.105201</ns0:t>
        </ns0:is>
      </ns0:c>
      <ns0:c r="E410" s="28" t="n">
        <ns0:v>2026</ns0:v>
      </ns0:c>
      <ns0:c r="F410" s="21" t="inlineStr">
        <ns0:is>
          <ns0:t>Include</ns0:t>
        </ns0:is>
      </ns0:c>
      <ns0:c r="G410" s="29">
        <ns0:f>IF(F410="Include",1,0)</ns0:f>
        <ns0:v>1</ns0:v>
      </ns0:c>
      <ns0:c r="H410" s="21" t="inlineStr">
        <ns0:is>
          <ns0:t>Prescreening</ns0:t>
        </ns0:is>
      </ns0:c>
      <ns0:c r="I410" s="21" t="inlineStr">
        <ns0:is>
          <ns0:t>Machine Learning</ns0:t>
        </ns0:is>
      </ns0:c>
      <ns0:c r="J410" s="21" t="inlineStr">
        <ns0:is>
          <ns0:t>Structured clinical/questionnaire data</ns0:t>
        </ns0:is>
      </ns0:c>
      <ns0:c r="K410" s="21" t="inlineStr">
        <ns0:is>
          <ns0:t>Multivariable logistic regression + machine-learning risk-profile modeling</ns0:t>
        </ns0:is>
      </ns0:c>
      <ns0:c r="L410" s="21" t="inlineStr">
        <ns0:is>
          <ns0:t>Logistic regression</ns0:t>
        </ns0:is>
      </ns0:c>
      <ns0:c r="M410" s="21" t="inlineStr">
        <ns0:is>
          <ns0:t>Research only</ns0:t>
        </ns0:is>
      </ns0:c>
      <ns0:c r="N410" s="21" t="inlineStr">
        <ns0:is>
          <ns0:t>Risk/trajectory estimation</ns0:t>
        </ns0:is>
      </ns0:c>
      <ns0:c r="O410" s="21" t="inlineStr">
        <ns0:is>
          <ns0:t>Not observed in assessed sources</ns0:t>
        </ns0:is>
      </ns0:c>
      <ns0:c r="P410" s="21" t="inlineStr">
        <ns0:is>
          <ns0:t>Not observed in assessed sources</ns0:t>
        </ns0:is>
      </ns0:c>
      <ns0:c r="Q410" s="21" t="inlineStr">
        <ns0:is>
          <ns0:t>Not reported in assessed sources</ns0:t>
        </ns0:is>
      </ns0:c>
      <ns0:c r="R410" s="21" t="inlineStr">
        <ns0:is>
          <ns0:t>Not reported in assessed sources</ns0:t>
        </ns0:is>
      </ns0:c>
      <ns0:c r="S410" s="21" t="inlineStr">
        <ns0:is>
          <ns0:t>Reported</ns0:t>
        </ns0:is>
      </ns0:c>
      <ns0:c r="T410" s="21" t="inlineStr">
        <ns0:is>
          <ns0:t>Not reported in assessed sources</ns0:t>
        </ns0:is>
      </ns0:c>
      <ns0:c r="U410" s="21" t="inlineStr">
        <ns0:is>
          <ns0:t>Not reported in assessed sources</ns0:t>
        </ns0:is>
      </ns0:c>
      <ns0:c r="V410" s="21" t="inlineStr">
        <ns0:is>
          <ns0:t>Not reported in assessed sources</ns0:t>
        </ns0:is>
      </ns0:c>
      <ns0:c r="W410" s="21" t="inlineStr">
        <ns0:is>
          <ns0:t>Not reported in assessed sources</ns0:t>
        </ns0:is>
      </ns0:c>
      <ns0:c r="X410" s="21" t="inlineStr">
        <ns0:is>
          <ns0:t>Not reported in assessed sources</ns0:t>
        </ns0:is>
      </ns0:c>
      <ns0:c r="Y410" s="21" t="inlineStr">
        <ns0:is>
          <ns0:t>Not ascertainable</ns0:t>
        </ns0:is>
      </ns0:c>
      <ns0:c r="Z410" s="21" t="inlineStr">
        <ns0:is>
          <ns0:t>Reported</ns0:t>
        </ns0:is>
      </ns0:c>
      <ns0:c r="AA410" s="21" t="inlineStr">
        <ns0:is>
          <ns0:t>Not recorded</ns0:t>
        </ns0:is>
      </ns0:c>
      <ns0:c r="AB410" s="28" t="n">
        <ns0:v>0</ns0:v>
      </ns0:c>
      <ns0:c r="AC410" s="28" t="n">
        <ns0:v>0</ns0:v>
      </ns0:c>
      <ns0:c r="AD410" s="29">
        <ns0:f>IF(AND(G410=1,AB410=0),1,0)</ns0:f>
        <ns0:v>1</ns0:v>
      </ns0:c>
      <ns0:c r="AE410" s="29">
        <ns0:f>IF(AND(AD410=1,AC410=0),1,0)</ns0:f>
        <ns0:v>1</ns0:v>
      </ns0:c>
      <ns0:c r="AF410" s="29">
        <ns0:f>IF(AND(G410=1,H410&lt;&gt;"Not specified"),1,0)</ns0:f>
        <ns0:v>1</ns0:v>
      </ns0:c>
      <ns0:c r="AG410" s="29">
        <ns0:f>IF(AND(AE410=1,AF410=1),1,0)</ns0:f>
        <ns0:v>1</ns0:v>
      </ns0:c>
      <ns0:c r="AH410" s="21" t="inlineStr">
        <ns0:is>
          <ns0:t>Prior source-specific extraction retained; no new full-text retrieval</ns0:t>
        </ns0:is>
      </ns0:c>
      <ns0:c r="AI410" s="21" t="inlineStr">
        <ns0:is>
          <ns0:t>https://doi.org/10.1016/j.ridd.2025.105201</ns0:t>
        </ns0:is>
      </ns0:c>
      <ns0:c r="AJ410" s="21" t="inlineStr">
        <ns0:is>
          <ns0:t>EVIDENCIA; original abstract/coding notes and lot source trace; Inherited scoped adjudication; see source level and lot caveats</ns0:t>
        </ns0:is>
      </ns0:c>
      <ns0:c r="AK410" s="21" t="inlineStr">
        <ns0:is>
          <ns0:t>Retained source-specific coding after review of the supplied extraction notes; not a new full-text retrieval. Analyzes 63,866 children from the 2022-2023 NSCH using sleep routines, demographics and comorbidities with regression/ML to identify ASD-associated risk profiles and high-risk subgroups. Cross-sectional survey prediction does not establish prospective or external validation; interpretable risk profiles are coded as partial rather than strict XAI.</ns0:t>
        </ns0:is>
      </ns0:c>
      <ns0:c r="AL410" s="21" t="inlineStr">
        <ns0:is>
          <ns0:t>Not applicable</ns0:t>
        </ns0:is>
      </ns0:c>
      <ns0:c r="AM410" s="21" t="inlineStr">
        <ns0:is>
          <ns0:t>Not separately specified</ns0:t>
        </ns0:is>
      </ns0:c>
      <ns0:c r="AN410" s="21" t="inlineStr"/>
      <ns0:c r="AO410" s="21" t="inlineStr">
        <ns0:is>
          <ns0:t>No additional status determination</ns0:t>
        </ns0:is>
      </ns0:c>
      <ns0:c r="AP410" s="21" t="inlineStr">
        <ns0:is>
          <ns0:t>Not documented for this recharting</ns0:t>
        </ns0:is>
      </ns0:c>
      <ns0:c r="AQ410" s="21" t="inlineStr">
        <ns0:is>
          <ns0:t>ChatGPT-assisted evidence recharting, 2026-09-08</ns0:t>
        </ns0:is>
      </ns0:c>
      <ns0:c r="AR410" s="21" t="inlineStr">
        <ns0:is>
          <ns0:t>Revision asistida por IA (un revisor; requiere verificacion independiente)</ns0:t>
        </ns0:is>
      </ns0:c>
      <ns0:c r="AS410" s="21" t="inlineStr">
        <ns0:is>
          <ns0:t>Report located; publisher/PubMed content sufficient for scoped adjudication</ns0:t>
        </ns0:is>
      </ns0:c>
    </ns0:row>
    <ns0:row r="411" ht="50" customHeight="1">
      <ns0:c r="A411" s="19" t="inlineStr">
        <ns0:is>
          <ns0:t>new_286</ns0:t>
        </ns0:is>
      </ns0:c>
      <ns0:c r="B411" s="19" t="inlineStr">
        <ns0:is>
          <ns0:t>Update</ns0:t>
        </ns0:is>
      </ns0:c>
      <ns0:c r="C411" s="19" t="inlineStr">
        <ns0:is>
          <ns0:t>Identification of Potential Biomarkers in ASD Integrating RNA Seq Data and Machine Learning Approaches</ns0:t>
        </ns0:is>
      </ns0:c>
      <ns0:c r="D411" s="19" t="inlineStr">
        <ns0:is>
          <ns0:t>10.3233/shti260609</ns0:t>
        </ns0:is>
      </ns0:c>
      <ns0:c r="E411" s="26" t="n">
        <ns0:v>2026</ns0:v>
      </ns0:c>
      <ns0:c r="F411" s="19" t="inlineStr">
        <ns0:is>
          <ns0:t>Include</ns0:t>
        </ns0:is>
      </ns0:c>
      <ns0:c r="G411" s="27">
        <ns0:f>IF(F411="Include",1,0)</ns0:f>
        <ns0:v>1</ns0:v>
      </ns0:c>
      <ns0:c r="H411" s="19" t="inlineStr">
        <ns0:is>
          <ns0:t>Screening</ns0:t>
        </ns0:is>
      </ns0:c>
      <ns0:c r="I411" s="19" t="inlineStr">
        <ns0:is>
          <ns0:t>Machine Learning</ns0:t>
        </ns0:is>
      </ns0:c>
      <ns0:c r="J411" s="19" t="inlineStr">
        <ns0:is>
          <ns0:t>Biological/omics</ns0:t>
        </ns0:is>
      </ns0:c>
      <ns0:c r="K411" s="19" t="inlineStr">
        <ns0:is>
          <ns0:t>XGBoost + random forest</ns0:t>
        </ns0:is>
      </ns0:c>
      <ns0:c r="L411" s="19" t="inlineStr">
        <ns0:is>
          <ns0:t>Composite/ensemble pipeline</ns0:t>
        </ns0:is>
      </ns0:c>
      <ns0:c r="M411" s="19" t="inlineStr">
        <ns0:is>
          <ns0:t>Research only</ns0:t>
        </ns0:is>
      </ns0:c>
      <ns0:c r="N411" s="19" t="inlineStr">
        <ns0:is>
          <ns0:t>Triage/questionnaire assessment</ns0:t>
        </ns0:is>
      </ns0:c>
      <ns0:c r="O411" s="19" t="inlineStr">
        <ns0:is>
          <ns0:t>Not observed in assessed sources</ns0:t>
        </ns0:is>
      </ns0:c>
      <ns0:c r="P411" s="19" t="inlineStr">
        <ns0:is>
          <ns0:t>Not observed in assessed sources</ns0:t>
        </ns0:is>
      </ns0:c>
      <ns0:c r="Q411" s="19" t="inlineStr">
        <ns0:is>
          <ns0:t>Not reported in assessed sources</ns0:t>
        </ns0:is>
      </ns0:c>
      <ns0:c r="R411" s="19" t="inlineStr">
        <ns0:is>
          <ns0:t>Not reported in assessed sources</ns0:t>
        </ns0:is>
      </ns0:c>
      <ns0:c r="S411" s="19" t="inlineStr">
        <ns0:is>
          <ns0:t>Reported</ns0:t>
        </ns0:is>
      </ns0:c>
      <ns0:c r="T411" s="19" t="inlineStr">
        <ns0:is>
          <ns0:t>Not reported in assessed sources</ns0:t>
        </ns0:is>
      </ns0:c>
      <ns0:c r="U411" s="19" t="inlineStr">
        <ns0:is>
          <ns0:t>Not reported in assessed sources</ns0:t>
        </ns0:is>
      </ns0:c>
      <ns0:c r="V411" s="19" t="inlineStr">
        <ns0:is>
          <ns0:t>Not reported in assessed sources</ns0:t>
        </ns0:is>
      </ns0:c>
      <ns0:c r="W411" s="19" t="inlineStr">
        <ns0:is>
          <ns0:t>Not reported in assessed sources</ns0:t>
        </ns0:is>
      </ns0:c>
      <ns0:c r="X411" s="19" t="inlineStr">
        <ns0:is>
          <ns0:t>Not reported in assessed sources</ns0:t>
        </ns0:is>
      </ns0:c>
      <ns0:c r="Y411" s="19" t="inlineStr">
        <ns0:is>
          <ns0:t>Not ascertainable</ns0:t>
        </ns0:is>
      </ns0:c>
      <ns0:c r="Z411" s="19" t="inlineStr">
        <ns0:is>
          <ns0:t>Reported</ns0:t>
        </ns0:is>
      </ns0:c>
      <ns0:c r="AA411" s="19" t="inlineStr">
        <ns0:is>
          <ns0:t>Not recorded</ns0:t>
        </ns0:is>
      </ns0:c>
      <ns0:c r="AB411" s="26" t="n">
        <ns0:v>0</ns0:v>
      </ns0:c>
      <ns0:c r="AC411" s="26" t="n">
        <ns0:v>0</ns0:v>
      </ns0:c>
      <ns0:c r="AD411" s="27">
        <ns0:f>IF(AND(G411=1,AB411=0),1,0)</ns0:f>
        <ns0:v>1</ns0:v>
      </ns0:c>
      <ns0:c r="AE411" s="27">
        <ns0:f>IF(AND(AD411=1,AC411=0),1,0)</ns0:f>
        <ns0:v>1</ns0:v>
      </ns0:c>
      <ns0:c r="AF411" s="27">
        <ns0:f>IF(AND(G411=1,H411&lt;&gt;"Not specified"),1,0)</ns0:f>
        <ns0:v>1</ns0:v>
      </ns0:c>
      <ns0:c r="AG411" s="27">
        <ns0:f>IF(AND(AE411=1,AF411=1),1,0)</ns0:f>
        <ns0:v>1</ns0:v>
      </ns0:c>
      <ns0:c r="AH411" s="19" t="inlineStr">
        <ns0:is>
          <ns0:t>Prior source-specific extraction retained; no new full-text retrieval</ns0:t>
        </ns0:is>
      </ns0:c>
      <ns0:c r="AI411" s="19" t="inlineStr">
        <ns0:is>
          <ns0:t>https://doi.org/10.3233/shti260609</ns0:t>
        </ns0:is>
      </ns0:c>
      <ns0:c r="AJ411" s="19" t="inlineStr">
        <ns0:is>
          <ns0:t>EVIDENCIA; original abstract/coding notes and lot source trace; Inherited scoped adjudication; see source level and lot caveats</ns0:t>
        </ns0:is>
      </ns0:c>
      <ns0:c r="AK411" s="19" t="inlineStr">
        <ns0:is>
          <ns0:t>Retained source-specific coding after review of the supplied extraction notes; not a new full-text retrieval. Uses RNA-seq gene-expression data from NCBI GEO, compares RF and XGBoost with fivefold CV, and ranks a compact set of candidate transcriptomic biomarkers. Small dataset and internal CV only; ranked biomarkers are treated as partial interpretability, not strict XAI or external validation.</ns0:t>
        </ns0:is>
      </ns0:c>
      <ns0:c r="AL411" s="19" t="inlineStr">
        <ns0:is>
          <ns0:t>Not applicable</ns0:t>
        </ns0:is>
      </ns0:c>
      <ns0:c r="AM411" s="19" t="inlineStr">
        <ns0:is>
          <ns0:t>Not separately specified</ns0:t>
        </ns0:is>
      </ns0:c>
      <ns0:c r="AN411" s="19" t="inlineStr"/>
      <ns0:c r="AO411" s="19" t="inlineStr">
        <ns0:is>
          <ns0:t>No additional status determination</ns0:t>
        </ns0:is>
      </ns0:c>
      <ns0:c r="AP411" s="19" t="inlineStr">
        <ns0:is>
          <ns0:t>Not documented for this recharting</ns0:t>
        </ns0:is>
      </ns0:c>
      <ns0:c r="AQ411" s="19" t="inlineStr">
        <ns0:is>
          <ns0:t>ChatGPT-assisted evidence recharting, 2026-09-08</ns0:t>
        </ns0:is>
      </ns0:c>
      <ns0:c r="AR411" s="19" t="inlineStr">
        <ns0:is>
          <ns0:t>Revision asistida por IA (un revisor; requiere verificacion independiente)</ns0:t>
        </ns0:is>
      </ns0:c>
      <ns0:c r="AS411" s="19" t="inlineStr">
        <ns0:is>
          <ns0:t>Report located; publisher/PubMed content sufficient for scoped adjudication</ns0:t>
        </ns0:is>
      </ns0:c>
    </ns0:row>
    <ns0:row r="412" ht="50" customHeight="1">
      <ns0:c r="A412" s="21" t="inlineStr">
        <ns0:is>
          <ns0:t>new_287</ns0:t>
        </ns0:is>
      </ns0:c>
      <ns0:c r="B412" s="21" t="inlineStr">
        <ns0:is>
          <ns0:t>Update</ns0:t>
        </ns0:is>
      </ns0:c>
      <ns0:c r="C412" s="21" t="inlineStr">
        <ns0:is>
          <ns0:t>REM Sleep Abnormalities in Children With Autism Spectrum Disorder</ns0:t>
        </ns0:is>
      </ns0:c>
      <ns0:c r="D412" s="21" t="inlineStr">
        <ns0:is>
          <ns0:t>10.1002/aur.70222</ns0:t>
        </ns0:is>
      </ns0:c>
      <ns0:c r="E412" s="28" t="n">
        <ns0:v>2026</ns0:v>
      </ns0:c>
      <ns0:c r="F412" s="21" t="inlineStr">
        <ns0:is>
          <ns0:t>Include</ns0:t>
        </ns0:is>
      </ns0:c>
      <ns0:c r="G412" s="29">
        <ns0:f>IF(F412="Include",1,0)</ns0:f>
        <ns0:v>1</ns0:v>
      </ns0:c>
      <ns0:c r="H412" s="21" t="inlineStr">
        <ns0:is>
          <ns0:t>Diagnosis</ns0:t>
        </ns0:is>
      </ns0:c>
      <ns0:c r="I412" s="21" t="inlineStr">
        <ns0:is>
          <ns0:t>Machine Learning</ns0:t>
        </ns0:is>
      </ns0:c>
      <ns0:c r="J412" s="21" t="inlineStr">
        <ns0:is>
          <ns0:t>Physiological signals</ns0:t>
        </ns0:is>
      </ns0:c>
      <ns0:c r="K412" s="21" t="inlineStr">
        <ns0:is>
          <ns0:t>XGBoost + SHAP</ns0:t>
        </ns0:is>
      </ns0:c>
      <ns0:c r="L412" s="21" t="inlineStr">
        <ns0:is>
          <ns0:t>Gradient boosting</ns0:t>
        </ns0:is>
      </ns0:c>
      <ns0:c r="M412" s="21" t="inlineStr">
        <ns0:is>
          <ns0:t>Research only</ns0:t>
        </ns0:is>
      </ns0:c>
      <ns0:c r="N412" s="21" t="inlineStr">
        <ns0:is>
          <ns0:t>Automated measurement/classification</ns0:t>
        </ns0:is>
      </ns0:c>
      <ns0:c r="O412" s="21" t="inlineStr">
        <ns0:is>
          <ns0:t>Not observed in assessed sources</ns0:t>
        </ns0:is>
      </ns0:c>
      <ns0:c r="P412" s="21" t="inlineStr">
        <ns0:is>
          <ns0:t>Not observed in assessed sources</ns0:t>
        </ns0:is>
      </ns0:c>
      <ns0:c r="Q412" s="21" t="inlineStr">
        <ns0:is>
          <ns0:t>Not reported in assessed sources</ns0:t>
        </ns0:is>
      </ns0:c>
      <ns0:c r="R412" s="21" t="inlineStr">
        <ns0:is>
          <ns0:t>Not reported in assessed sources</ns0:t>
        </ns0:is>
      </ns0:c>
      <ns0:c r="S412" s="21" t="inlineStr">
        <ns0:is>
          <ns0:t>Reported</ns0:t>
        </ns0:is>
      </ns0:c>
      <ns0:c r="T412" s="21" t="inlineStr">
        <ns0:is>
          <ns0:t>Reported</ns0:t>
        </ns0:is>
      </ns0:c>
      <ns0:c r="U412" s="21" t="inlineStr">
        <ns0:is>
          <ns0:t>Not reported in assessed sources</ns0:t>
        </ns0:is>
      </ns0:c>
      <ns0:c r="V412" s="21" t="inlineStr">
        <ns0:is>
          <ns0:t>Not reported in assessed sources</ns0:t>
        </ns0:is>
      </ns0:c>
      <ns0:c r="W412" s="21" t="inlineStr">
        <ns0:is>
          <ns0:t>Not reported in assessed sources</ns0:t>
        </ns0:is>
      </ns0:c>
      <ns0:c r="X412" s="21" t="inlineStr">
        <ns0:is>
          <ns0:t>Not reported in assessed sources</ns0:t>
        </ns0:is>
      </ns0:c>
      <ns0:c r="Y412" s="21" t="inlineStr">
        <ns0:is>
          <ns0:t>Not ascertainable</ns0:t>
        </ns0:is>
      </ns0:c>
      <ns0:c r="Z412" s="21" t="inlineStr">
        <ns0:is>
          <ns0:t>Not reported in assessed sources</ns0:t>
        </ns0:is>
      </ns0:c>
      <ns0:c r="AA412" s="21" t="inlineStr">
        <ns0:is>
          <ns0:t>Not recorded</ns0:t>
        </ns0:is>
      </ns0:c>
      <ns0:c r="AB412" s="28" t="n">
        <ns0:v>0</ns0:v>
      </ns0:c>
      <ns0:c r="AC412" s="28" t="n">
        <ns0:v>0</ns0:v>
      </ns0:c>
      <ns0:c r="AD412" s="29">
        <ns0:f>IF(AND(G412=1,AB412=0),1,0)</ns0:f>
        <ns0:v>1</ns0:v>
      </ns0:c>
      <ns0:c r="AE412" s="29">
        <ns0:f>IF(AND(AD412=1,AC412=0),1,0)</ns0:f>
        <ns0:v>1</ns0:v>
      </ns0:c>
      <ns0:c r="AF412" s="29">
        <ns0:f>IF(AND(G412=1,H412&lt;&gt;"Not specified"),1,0)</ns0:f>
        <ns0:v>1</ns0:v>
      </ns0:c>
      <ns0:c r="AG412" s="29">
        <ns0:f>IF(AND(AE412=1,AF412=1),1,0)</ns0:f>
        <ns0:v>1</ns0:v>
      </ns0:c>
      <ns0:c r="AH412" s="21" t="inlineStr">
        <ns0:is>
          <ns0:t>Prior source-specific extraction retained; no new full-text retrieval</ns0:t>
        </ns0:is>
      </ns0:c>
      <ns0:c r="AI412" s="21" t="inlineStr">
        <ns0:is>
          <ns0:t>https://doi.org/10.1002/aur.70222</ns0:t>
        </ns0:is>
      </ns0:c>
      <ns0:c r="AJ412" s="21" t="inlineStr">
        <ns0:is>
          <ns0:t>EVIDENCIA; original abstract/coding notes and lot source trace; Inherited scoped adjudication; see source level and lot caveats</ns0:t>
        </ns0:is>
      </ns0:c>
      <ns0:c r="AK412" s="21" t="inlineStr">
        <ns0:is>
          <ns0:t>Retained source-specific coding after review of the supplied extraction notes; not a new full-text retrieval. Matched ASD and non-ASD participants from the NCH Sleep Databank, compared ML models on REM-sleep features, and used SHAP to identify discriminative predictors. Single databank analysis without independent external or prospective validation; SHAP supports strict XAI coding.</ns0:t>
        </ns0:is>
      </ns0:c>
      <ns0:c r="AL412" s="21" t="inlineStr">
        <ns0:is>
          <ns0:t>Not applicable</ns0:t>
        </ns0:is>
      </ns0:c>
      <ns0:c r="AM412" s="21" t="inlineStr">
        <ns0:is>
          <ns0:t>Not separately specified</ns0:t>
        </ns0:is>
      </ns0:c>
      <ns0:c r="AN412" s="21" t="inlineStr"/>
      <ns0:c r="AO412" s="21" t="inlineStr">
        <ns0:is>
          <ns0:t>No additional status determination</ns0:t>
        </ns0:is>
      </ns0:c>
      <ns0:c r="AP412" s="21" t="inlineStr">
        <ns0:is>
          <ns0:t>Not documented for this recharting</ns0:t>
        </ns0:is>
      </ns0:c>
      <ns0:c r="AQ412" s="21" t="inlineStr">
        <ns0:is>
          <ns0:t>ChatGPT-assisted evidence recharting, 2026-09-08</ns0:t>
        </ns0:is>
      </ns0:c>
      <ns0:c r="AR412" s="21" t="inlineStr">
        <ns0:is>
          <ns0:t>Revision asistida por IA (un revisor; requiere verificacion independiente)</ns0:t>
        </ns0:is>
      </ns0:c>
      <ns0:c r="AS412" s="21" t="inlineStr">
        <ns0:is>
          <ns0:t>Retrieved and reviewed</ns0:t>
        </ns0:is>
      </ns0:c>
    </ns0:row>
    <ns0:row r="413" ht="50" customHeight="1">
      <ns0:c r="A413" s="19" t="inlineStr">
        <ns0:is>
          <ns0:t>new_289</ns0:t>
        </ns0:is>
      </ns0:c>
      <ns0:c r="B413" s="19" t="inlineStr">
        <ns0:is>
          <ns0:t>Update</ns0:t>
        </ns0:is>
      </ns0:c>
      <ns0:c r="C413" s="19" t="inlineStr">
        <ns0:is>
          <ns0:t>Diagnosis of autism disorder from rs-fMRI brain images through hierarchical YOLO and mechanism of attention (HYMA)</ns0:t>
        </ns0:is>
      </ns0:c>
      <ns0:c r="D413" s="19" t="inlineStr">
        <ns0:is>
          <ns0:t>10.1016/j.asoc.2026.114655</ns0:t>
        </ns0:is>
      </ns0:c>
      <ns0:c r="E413" s="26" t="n">
        <ns0:v>2026</ns0:v>
      </ns0:c>
      <ns0:c r="F413" s="19" t="inlineStr">
        <ns0:is>
          <ns0:t>Include</ns0:t>
        </ns0:is>
      </ns0:c>
      <ns0:c r="G413" s="27">
        <ns0:f>IF(F413="Include",1,0)</ns0:f>
        <ns0:v>1</ns0:v>
      </ns0:c>
      <ns0:c r="H413" s="19" t="inlineStr">
        <ns0:is>
          <ns0:t>Diagnosis</ns0:t>
        </ns0:is>
      </ns0:c>
      <ns0:c r="I413" s="19" t="inlineStr">
        <ns0:is>
          <ns0:t>Deep Learning</ns0:t>
        </ns0:is>
      </ns0:c>
      <ns0:c r="J413" s="19" t="inlineStr">
        <ns0:is>
          <ns0:t>Neuroimaging</ns0:t>
        </ns0:is>
      </ns0:c>
      <ns0:c r="K413" s="19" t="inlineStr">
        <ns0:is>
          <ns0:t>HYMA: hierarchical YOLO + BAM attention + Mixture-of-Experts + ensemble decision fusion</ns0:t>
        </ns0:is>
      </ns0:c>
      <ns0:c r="L413" s="19" t="inlineStr">
        <ns0:is>
          <ns0:t>CNN</ns0:t>
        </ns0:is>
      </ns0:c>
      <ns0:c r="M413" s="19" t="inlineStr">
        <ns0:is>
          <ns0:t>Research only</ns0:t>
        </ns0:is>
      </ns0:c>
      <ns0:c r="N413" s="19" t="inlineStr">
        <ns0:is>
          <ns0:t>Automated measurement/classification</ns0:t>
        </ns0:is>
      </ns0:c>
      <ns0:c r="O413" s="19" t="inlineStr">
        <ns0:is>
          <ns0:t>Not observed in assessed sources</ns0:t>
        </ns0:is>
      </ns0:c>
      <ns0:c r="P413" s="19" t="inlineStr">
        <ns0:is>
          <ns0:t>Not observed in assessed sources</ns0:t>
        </ns0:is>
      </ns0:c>
      <ns0:c r="Q413" s="19" t="inlineStr">
        <ns0:is>
          <ns0:t>Not reported in assessed sources</ns0:t>
        </ns0:is>
      </ns0:c>
      <ns0:c r="R413" s="19" t="inlineStr">
        <ns0:is>
          <ns0:t>Not reported in assessed sources</ns0:t>
        </ns0:is>
      </ns0:c>
      <ns0:c r="S413" s="19" t="inlineStr">
        <ns0:is>
          <ns0:t>Reported</ns0:t>
        </ns0:is>
      </ns0:c>
      <ns0:c r="T413" s="19" t="inlineStr">
        <ns0:is>
          <ns0:t>Reported</ns0:t>
        </ns0:is>
      </ns0:c>
      <ns0:c r="U413" s="19" t="inlineStr">
        <ns0:is>
          <ns0:t>Reported</ns0:t>
        </ns0:is>
      </ns0:c>
      <ns0:c r="V413" s="19" t="inlineStr">
        <ns0:is>
          <ns0:t>Reported</ns0:t>
        </ns0:is>
      </ns0:c>
      <ns0:c r="W413" s="19" t="inlineStr">
        <ns0:is>
          <ns0:t>Not reported in assessed sources</ns0:t>
        </ns0:is>
      </ns0:c>
      <ns0:c r="X413" s="19" t="inlineStr">
        <ns0:is>
          <ns0:t>Not reported in assessed sources</ns0:t>
        </ns0:is>
      </ns0:c>
      <ns0:c r="Y413" s="19" t="inlineStr">
        <ns0:is>
          <ns0:t>Not ascertainable</ns0:t>
        </ns0:is>
      </ns0:c>
      <ns0:c r="Z413" s="19" t="inlineStr">
        <ns0:is>
          <ns0:t>Not reported in assessed sources</ns0:t>
        </ns0:is>
      </ns0:c>
      <ns0:c r="AA413" s="19" t="inlineStr">
        <ns0:is>
          <ns0:t>Not recorded</ns0:t>
        </ns0:is>
      </ns0:c>
      <ns0:c r="AB413" s="26" t="n">
        <ns0:v>0</ns0:v>
      </ns0:c>
      <ns0:c r="AC413" s="26" t="n">
        <ns0:v>0</ns0:v>
      </ns0:c>
      <ns0:c r="AD413" s="27">
        <ns0:f>IF(AND(G413=1,AB413=0),1,0)</ns0:f>
        <ns0:v>1</ns0:v>
      </ns0:c>
      <ns0:c r="AE413" s="27">
        <ns0:f>IF(AND(AD413=1,AC413=0),1,0)</ns0:f>
        <ns0:v>1</ns0:v>
      </ns0:c>
      <ns0:c r="AF413" s="27">
        <ns0:f>IF(AND(G413=1,H413&lt;&gt;"Not specified"),1,0)</ns0:f>
        <ns0:v>1</ns0:v>
      </ns0:c>
      <ns0:c r="AG413" s="27">
        <ns0:f>IF(AND(AE413=1,AF413=1),1,0)</ns0:f>
        <ns0:v>1</ns0:v>
      </ns0:c>
      <ns0:c r="AH413" s="19" t="inlineStr">
        <ns0:is>
          <ns0:t>Prior source-specific extraction retained; no new full-text retrieval</ns0:t>
        </ns0:is>
      </ns0:c>
      <ns0:c r="AI413" s="19" t="inlineStr">
        <ns0:is>
          <ns0:t>https://doi.org/10.1016/j.asoc.2026.114655</ns0:t>
        </ns0:is>
      </ns0:c>
      <ns0:c r="AJ413" s="19" t="inlineStr">
        <ns0:is>
          <ns0:t>EVIDENCIA; original abstract/coding notes and lot source trace; Inherited scoped adjudication; see source level and lot caveats</ns0:t>
        </ns0:is>
      </ns0:c>
      <ns0:c r="AK413" s="19" t="inlineStr">
        <ns0:is>
          <ns0:t>Retained source-specific coding after review of the supplied extraction notes; not a new full-text retrieval. HYMA combines axis-specific YOLO experts, attention and expert fusion; the publisher explicitly reports subject-wise and cross-site evaluations on ABIDE I/II and interprets attention maps over clinically relevant brain regions. The 99.3% accuracy is unusually high for ABIDE and merits independent replication. Cross-site robustness is counted because the paper explicitly reports cross-site evaluation, but external validation is kept at 0 because the exact independent train/external-test relationship is not unambiguously established.
All-neural/optimization pipeline in recovered evidence; hybrid title is not sufficient for mixed conventional-ML/DL classification.</ns0:t>
        </ns0:is>
      </ns0:c>
      <ns0:c r="AL413" s="19" t="inlineStr">
        <ns0:is>
          <ns0:t>Not applicable</ns0:t>
        </ns0:is>
      </ns0:c>
      <ns0:c r="AM413" s="19" t="inlineStr">
        <ns0:is>
          <ns0:t>Not separately specified</ns0:t>
        </ns0:is>
      </ns0:c>
      <ns0:c r="AN413" s="19" t="inlineStr"/>
      <ns0:c r="AO413" s="19" t="inlineStr">
        <ns0:is>
          <ns0:t>No additional status determination</ns0:t>
        </ns0:is>
      </ns0:c>
      <ns0:c r="AP413" s="19" t="inlineStr">
        <ns0:is>
          <ns0:t>Not documented for this recharting</ns0:t>
        </ns0:is>
      </ns0:c>
      <ns0:c r="AQ413" s="19" t="inlineStr">
        <ns0:is>
          <ns0:t>ChatGPT-assisted evidence recharting, 2026-09-08</ns0:t>
        </ns0:is>
      </ns0:c>
      <ns0:c r="AR413" s="19" t="inlineStr">
        <ns0:is>
          <ns0:t>Revision asistida por IA (un revisor; requiere verificacion independiente)</ns0:t>
        </ns0:is>
      </ns0:c>
      <ns0:c r="AS413" s="19" t="inlineStr">
        <ns0:is>
          <ns0:t>Retrieved and reviewed</ns0:t>
        </ns0:is>
      </ns0:c>
    </ns0:row>
    <ns0:row r="414" ht="50" customHeight="1">
      <ns0:c r="A414" s="21" t="inlineStr">
        <ns0:is>
          <ns0:t>new_295</ns0:t>
        </ns0:is>
      </ns0:c>
      <ns0:c r="B414" s="21" t="inlineStr">
        <ns0:is>
          <ns0:t>Update</ns0:t>
        </ns0:is>
      </ns0:c>
      <ns0:c r="C414" s="21" t="inlineStr">
        <ns0:is>
          <ns0:t>Comparing Machine Learning Models for Pupillary Light Reflex–Based Autism Spectrum Disorder Classification</ns0:t>
        </ns0:is>
      </ns0:c>
      <ns0:c r="D414" s="21" t="inlineStr">
        <ns0:is>
          <ns0:t>10.1155/acis/1906938</ns0:t>
        </ns0:is>
      </ns0:c>
      <ns0:c r="E414" s="28" t="n">
        <ns0:v>2026</ns0:v>
      </ns0:c>
      <ns0:c r="F414" s="21" t="inlineStr">
        <ns0:is>
          <ns0:t>Include</ns0:t>
        </ns0:is>
      </ns0:c>
      <ns0:c r="G414" s="29">
        <ns0:f>IF(F414="Include",1,0)</ns0:f>
        <ns0:v>1</ns0:v>
      </ns0:c>
      <ns0:c r="H414" s="21" t="inlineStr">
        <ns0:is>
          <ns0:t>Screening</ns0:t>
        </ns0:is>
      </ns0:c>
      <ns0:c r="I414" s="21" t="inlineStr">
        <ns0:is>
          <ns0:t>Deep Learning</ns0:t>
        </ns0:is>
      </ns0:c>
      <ns0:c r="J414" s="21" t="inlineStr">
        <ns0:is>
          <ns0:t>Physiological signals</ns0:t>
        </ns0:is>
      </ns0:c>
      <ns0:c r="K414" s="21" t="inlineStr">
        <ns0:is>
          <ns0:t>Deep neural network (best) vs NB/LR/DT/LDA</ns0:t>
        </ns0:is>
      </ns0:c>
      <ns0:c r="L414" s="21" t="inlineStr">
        <ns0:is>
          <ns0:t>Other specified method</ns0:t>
        </ns0:is>
      </ns0:c>
      <ns0:c r="M414" s="21" t="inlineStr">
        <ns0:is>
          <ns0:t>Proposed only</ns0:t>
        </ns0:is>
      </ns0:c>
      <ns0:c r="N414" s="21" t="inlineStr">
        <ns0:is>
          <ns0:t>Triage/questionnaire assessment</ns0:t>
        </ns0:is>
      </ns0:c>
      <ns0:c r="O414" s="21" t="inlineStr">
        <ns0:is>
          <ns0:t>Pre-decision</ns0:t>
        </ns0:is>
      </ns0:c>
      <ns0:c r="P414" s="21" t="inlineStr">
        <ns0:is>
          <ns0:t>Not observed in assessed sources</ns0:t>
        </ns0:is>
      </ns0:c>
      <ns0:c r="Q414" s="21" t="inlineStr">
        <ns0:is>
          <ns0:t>Not reported in assessed sources</ns0:t>
        </ns0:is>
      </ns0:c>
      <ns0:c r="R414" s="21" t="inlineStr">
        <ns0:is>
          <ns0:t>Not reported in assessed sources</ns0:t>
        </ns0:is>
      </ns0:c>
      <ns0:c r="S414" s="21" t="inlineStr">
        <ns0:is>
          <ns0:t>Not reported in assessed sources</ns0:t>
        </ns0:is>
      </ns0:c>
      <ns0:c r="T414" s="21" t="inlineStr">
        <ns0:is>
          <ns0:t>Not reported in assessed sources</ns0:t>
        </ns0:is>
      </ns0:c>
      <ns0:c r="U414" s="21" t="inlineStr">
        <ns0:is>
          <ns0:t>Not reported in assessed sources</ns0:t>
        </ns0:is>
      </ns0:c>
      <ns0:c r="V414" s="21" t="inlineStr">
        <ns0:is>
          <ns0:t>Not reported in assessed sources</ns0:t>
        </ns0:is>
      </ns0:c>
      <ns0:c r="W414" s="21" t="inlineStr">
        <ns0:is>
          <ns0:t>Not reported in assessed sources</ns0:t>
        </ns0:is>
      </ns0:c>
      <ns0:c r="X414" s="21" t="inlineStr">
        <ns0:is>
          <ns0:t>Not reported in assessed sources</ns0:t>
        </ns0:is>
      </ns0:c>
      <ns0:c r="Y414" s="21" t="inlineStr">
        <ns0:is>
          <ns0:t>Not ascertainable</ns0:t>
        </ns0:is>
      </ns0:c>
      <ns0:c r="Z414" s="21" t="inlineStr">
        <ns0:is>
          <ns0:t>Not reported in assessed sources</ns0:t>
        </ns0:is>
      </ns0:c>
      <ns0:c r="AA414" s="21" t="inlineStr">
        <ns0:is>
          <ns0:t>Not recorded</ns0:t>
        </ns0:is>
      </ns0:c>
      <ns0:c r="AB414" s="28" t="n">
        <ns0:v>0</ns0:v>
      </ns0:c>
      <ns0:c r="AC414" s="28" t="n">
        <ns0:v>0</ns0:v>
      </ns0:c>
      <ns0:c r="AD414" s="29">
        <ns0:f>IF(AND(G414=1,AB414=0),1,0)</ns0:f>
        <ns0:v>1</ns0:v>
      </ns0:c>
      <ns0:c r="AE414" s="29">
        <ns0:f>IF(AND(AD414=1,AC414=0),1,0)</ns0:f>
        <ns0:v>1</ns0:v>
      </ns0:c>
      <ns0:c r="AF414" s="29">
        <ns0:f>IF(AND(G414=1,H414&lt;&gt;"Not specified"),1,0)</ns0:f>
        <ns0:v>1</ns0:v>
      </ns0:c>
      <ns0:c r="AG414" s="29">
        <ns0:f>IF(AND(AE414=1,AF414=1),1,0)</ns0:f>
        <ns0:v>1</ns0:v>
      </ns0:c>
      <ns0:c r="AH414" s="21" t="inlineStr">
        <ns0:is>
          <ns0:t>Prior source-specific extraction retained; no new full-text retrieval</ns0:t>
        </ns0:is>
      </ns0:c>
      <ns0:c r="AI414" s="21" t="inlineStr">
        <ns0:is>
          <ns0:t>https://doi.org/10.1155/acis/1906938</ns0:t>
        </ns0:is>
      </ns0:c>
      <ns0:c r="AJ414" s="21" t="inlineStr">
        <ns0:is>
          <ns0:t>EVIDENCIA; original abstract/coding notes and lot source trace; Inherited scoped adjudication; see source level and lot caveats</ns0:t>
        </ns0:is>
      </ns0:c>
      <ns0:c r="AK414" s="21" t="inlineStr">
        <ns0:is>
          <ns0:t>Retained source-specific coding after review of the supplied extraction notes; not a new full-text retrieval. Compares conventional classifiers and a DNN on pupillary-light-reflex features from ASD and typically developing children; the DNN gives the strongest test performance. Small sample and no independent external/prospective validation or explicit explainability analysis.</ns0:t>
        </ns0:is>
      </ns0:c>
      <ns0:c r="AL414" s="21" t="inlineStr">
        <ns0:is>
          <ns0:t>Not applicable</ns0:t>
        </ns0:is>
      </ns0:c>
      <ns0:c r="AM414" s="21" t="inlineStr">
        <ns0:is>
          <ns0:t>Not separately specified</ns0:t>
        </ns0:is>
      </ns0:c>
      <ns0:c r="AN414" s="21" t="inlineStr"/>
      <ns0:c r="AO414" s="21" t="inlineStr">
        <ns0:is>
          <ns0:t>No additional status determination</ns0:t>
        </ns0:is>
      </ns0:c>
      <ns0:c r="AP414" s="21" t="inlineStr">
        <ns0:is>
          <ns0:t>Not documented for this recharting</ns0:t>
        </ns0:is>
      </ns0:c>
      <ns0:c r="AQ414" s="21" t="inlineStr">
        <ns0:is>
          <ns0:t>ChatGPT-assisted evidence recharting, 2026-09-08</ns0:t>
        </ns0:is>
      </ns0:c>
      <ns0:c r="AR414" s="21" t="inlineStr">
        <ns0:is>
          <ns0:t>Revision asistida por IA (un revisor; requiere verificacion independiente)</ns0:t>
        </ns0:is>
      </ns0:c>
      <ns0:c r="AS414" s="21" t="inlineStr">
        <ns0:is>
          <ns0:t>Retrieved and reviewed</ns0:t>
        </ns0:is>
      </ns0:c>
    </ns0:row>
    <ns0:row r="415" ht="50" customHeight="1">
      <ns0:c r="A415" s="19" t="inlineStr">
        <ns0:is>
          <ns0:t>new_296</ns0:t>
        </ns0:is>
      </ns0:c>
      <ns0:c r="B415" s="19" t="inlineStr">
        <ns0:is>
          <ns0:t>Update</ns0:t>
        </ns0:is>
      </ns0:c>
      <ns0:c r="C415" s="19" t="inlineStr">
        <ns0:is>
          <ns0:t>Deep learning for diagnosing autism spectrum disorder using EEG with upright and inverted face processing tasks</ns0:t>
        </ns0:is>
      </ns0:c>
      <ns0:c r="D415" s="19" t="inlineStr">
        <ns0:is>
          <ns0:t>10.1016/j.bspc.2026.109655</ns0:t>
        </ns0:is>
      </ns0:c>
      <ns0:c r="E415" s="26" t="n">
        <ns0:v>2026</ns0:v>
      </ns0:c>
      <ns0:c r="F415" s="19" t="inlineStr">
        <ns0:is>
          <ns0:t>Include</ns0:t>
        </ns0:is>
      </ns0:c>
      <ns0:c r="G415" s="27">
        <ns0:f>IF(F415="Include",1,0)</ns0:f>
        <ns0:v>1</ns0:v>
      </ns0:c>
      <ns0:c r="H415" s="19" t="inlineStr">
        <ns0:is>
          <ns0:t>Diagnosis</ns0:t>
        </ns0:is>
      </ns0:c>
      <ns0:c r="I415" s="19" t="inlineStr">
        <ns0:is>
          <ns0:t>Deep Learning</ns0:t>
        </ns0:is>
      </ns0:c>
      <ns0:c r="J415" s="19" t="inlineStr">
        <ns0:is>
          <ns0:t>Physiological signals</ns0:t>
        </ns0:is>
      </ns0:c>
      <ns0:c r="K415" s="19" t="inlineStr">
        <ns0:is>
          <ns0:t>Lightweight 1D-CNN variants (including InceptionNet/ResNet-style models)</ns0:t>
        </ns0:is>
      </ns0:c>
      <ns0:c r="L415" s="19" t="inlineStr">
        <ns0:is>
          <ns0:t>CNN</ns0:t>
        </ns0:is>
      </ns0:c>
      <ns0:c r="M415" s="19" t="inlineStr">
        <ns0:is>
          <ns0:t>Research only</ns0:t>
        </ns0:is>
      </ns0:c>
      <ns0:c r="N415" s="19" t="inlineStr">
        <ns0:is>
          <ns0:t>Automated measurement/classification</ns0:t>
        </ns0:is>
      </ns0:c>
      <ns0:c r="O415" s="19" t="inlineStr">
        <ns0:is>
          <ns0:t>Not observed in assessed sources</ns0:t>
        </ns0:is>
      </ns0:c>
      <ns0:c r="P415" s="19" t="inlineStr">
        <ns0:is>
          <ns0:t>Not observed in assessed sources</ns0:t>
        </ns0:is>
      </ns0:c>
      <ns0:c r="Q415" s="19" t="inlineStr">
        <ns0:is>
          <ns0:t>Not reported in assessed sources</ns0:t>
        </ns0:is>
      </ns0:c>
      <ns0:c r="R415" s="19" t="inlineStr">
        <ns0:is>
          <ns0:t>Not reported in assessed sources</ns0:t>
        </ns0:is>
      </ns0:c>
      <ns0:c r="S415" s="19" t="inlineStr">
        <ns0:is>
          <ns0:t>Not reported in assessed sources</ns0:t>
        </ns0:is>
      </ns0:c>
      <ns0:c r="T415" s="19" t="inlineStr">
        <ns0:is>
          <ns0:t>Not reported in assessed sources</ns0:t>
        </ns0:is>
      </ns0:c>
      <ns0:c r="U415" s="19" t="inlineStr">
        <ns0:is>
          <ns0:t>Not reported in assessed sources</ns0:t>
        </ns0:is>
      </ns0:c>
      <ns0:c r="V415" s="19" t="inlineStr">
        <ns0:is>
          <ns0:t>Not reported in assessed sources</ns0:t>
        </ns0:is>
      </ns0:c>
      <ns0:c r="W415" s="19" t="inlineStr">
        <ns0:is>
          <ns0:t>Not reported in assessed sources</ns0:t>
        </ns0:is>
      </ns0:c>
      <ns0:c r="X415" s="19" t="inlineStr">
        <ns0:is>
          <ns0:t>Not reported in assessed sources</ns0:t>
        </ns0:is>
      </ns0:c>
      <ns0:c r="Y415" s="19" t="inlineStr">
        <ns0:is>
          <ns0:t>Not ascertainable</ns0:t>
        </ns0:is>
      </ns0:c>
      <ns0:c r="Z415" s="19" t="inlineStr">
        <ns0:is>
          <ns0:t>Not reported in assessed sources</ns0:t>
        </ns0:is>
      </ns0:c>
      <ns0:c r="AA415" s="19" t="inlineStr">
        <ns0:is>
          <ns0:t>Not recorded</ns0:t>
        </ns0:is>
      </ns0:c>
      <ns0:c r="AB415" s="26" t="n">
        <ns0:v>0</ns0:v>
      </ns0:c>
      <ns0:c r="AC415" s="26" t="n">
        <ns0:v>0</ns0:v>
      </ns0:c>
      <ns0:c r="AD415" s="27">
        <ns0:f>IF(AND(G415=1,AB415=0),1,0)</ns0:f>
        <ns0:v>1</ns0:v>
      </ns0:c>
      <ns0:c r="AE415" s="27">
        <ns0:f>IF(AND(AD415=1,AC415=0),1,0)</ns0:f>
        <ns0:v>1</ns0:v>
      </ns0:c>
      <ns0:c r="AF415" s="27">
        <ns0:f>IF(AND(G415=1,H415&lt;&gt;"Not specified"),1,0)</ns0:f>
        <ns0:v>1</ns0:v>
      </ns0:c>
      <ns0:c r="AG415" s="27">
        <ns0:f>IF(AND(AE415=1,AF415=1),1,0)</ns0:f>
        <ns0:v>1</ns0:v>
      </ns0:c>
      <ns0:c r="AH415" s="19" t="inlineStr">
        <ns0:is>
          <ns0:t>Prior source-specific extraction retained; no new full-text retrieval</ns0:t>
        </ns0:is>
      </ns0:c>
      <ns0:c r="AI415" s="19" t="inlineStr">
        <ns0:is>
          <ns0:t>https://doi.org/10.1016/j.bspc.2026.109655</ns0:t>
        </ns0:is>
      </ns0:c>
      <ns0:c r="AJ415" s="19" t="inlineStr">
        <ns0:is>
          <ns0:t>EVIDENCIA; original abstract/coding notes and lot source trace; Inherited scoped adjudication; see source level and lot caveats</ns0:t>
        </ns0:is>
      </ns0:c>
      <ns0:c r="AK415" s="19" t="inlineStr">
        <ns0:is>
          <ns0:t>Retained source-specific coding after review of the supplied extraction notes; not a new full-text retrieval. Uses raw EEG recorded from ASD and TD children during upright/inverted face-processing tasks and evaluates lightweight one-dimensional CNN architectures for classification. Accessible material does not establish prospective enrollment, independent external validation, site-held-out robustness or formal XAI.</ns0:t>
        </ns0:is>
      </ns0:c>
      <ns0:c r="AL415" s="19" t="inlineStr">
        <ns0:is>
          <ns0:t>Not applicable</ns0:t>
        </ns0:is>
      </ns0:c>
      <ns0:c r="AM415" s="19" t="inlineStr">
        <ns0:is>
          <ns0:t>Not separately specified</ns0:t>
        </ns0:is>
      </ns0:c>
      <ns0:c r="AN415" s="19" t="inlineStr"/>
      <ns0:c r="AO415" s="19" t="inlineStr">
        <ns0:is>
          <ns0:t>No additional status determination</ns0:t>
        </ns0:is>
      </ns0:c>
      <ns0:c r="AP415" s="19" t="inlineStr">
        <ns0:is>
          <ns0:t>Not documented for this recharting</ns0:t>
        </ns0:is>
      </ns0:c>
      <ns0:c r="AQ415" s="19" t="inlineStr">
        <ns0:is>
          <ns0:t>ChatGPT-assisted evidence recharting, 2026-09-08</ns0:t>
        </ns0:is>
      </ns0:c>
      <ns0:c r="AR415" s="19" t="inlineStr">
        <ns0:is>
          <ns0:t>Revision asistida por IA (un revisor; requiere verificacion independiente)</ns0:t>
        </ns0:is>
      </ns0:c>
      <ns0:c r="AS415" s="19" t="inlineStr">
        <ns0:is>
          <ns0:t>Report located; publisher/PubMed content sufficient for scoped adjudication</ns0:t>
        </ns0:is>
      </ns0:c>
    </ns0:row>
    <ns0:row r="416" ht="50" customHeight="1">
      <ns0:c r="A416" s="21" t="inlineStr">
        <ns0:is>
          <ns0:t>new_298</ns0:t>
        </ns0:is>
      </ns0:c>
      <ns0:c r="B416" s="21" t="inlineStr">
        <ns0:is>
          <ns0:t>Update</ns0:t>
        </ns0:is>
      </ns0:c>
      <ns0:c r="C416" s="21" t="inlineStr">
        <ns0:is>
          <ns0:t>Effects of conversational AI-enhanced peer-mediated intervention by peers with intellectual disabilities on conversational skills in children with ASD</ns0:t>
        </ns0:is>
      </ns0:c>
      <ns0:c r="D416" s="21" t="inlineStr">
        <ns0:is>
          <ns0:t>10.1016/j.ridd.2026.105249</ns0:t>
        </ns0:is>
      </ns0:c>
      <ns0:c r="E416" s="28" t="n">
        <ns0:v>2026</ns0:v>
      </ns0:c>
      <ns0:c r="F416" s="21" t="inlineStr">
        <ns0:is>
          <ns0:t>Include</ns0:t>
        </ns0:is>
      </ns0:c>
      <ns0:c r="G416" s="29">
        <ns0:f>IF(F416="Include",1,0)</ns0:f>
        <ns0:v>1</ns0:v>
      </ns0:c>
      <ns0:c r="H416" s="21" t="inlineStr">
        <ns0:is>
          <ns0:t>Monitoring/intervention</ns0:t>
        </ns0:is>
      </ns0:c>
      <ns0:c r="I416" s="21" t="inlineStr">
        <ns0:is>
          <ns0:t>Not specified</ns0:t>
        </ns0:is>
      </ns0:c>
      <ns0:c r="J416" s="21" t="inlineStr">
        <ns0:is>
          <ns0:t>Text/language</ns0:t>
        </ns0:is>
      </ns0:c>
      <ns0:c r="K416" s="21" t="inlineStr">
        <ns0:is>
          <ns0:t>Conversational AI virtual peer (underlying model not specified in accessible text)</ns0:t>
        </ns0:is>
      </ns0:c>
      <ns0:c r="L416" s="21" t="inlineStr">
        <ns0:is>
          <ns0:t>Multiple/not uniquely specified</ns0:t>
        </ns0:is>
      </ns0:c>
      <ns0:c r="M416" s="21" t="inlineStr">
        <ns0:is>
          <ns0:t>Evaluated AI-supported intervention</ns0:t>
        </ns0:is>
      </ns0:c>
      <ns0:c r="N416" s="21" t="inlineStr">
        <ns0:is>
          <ns0:t>Adaptive intervention</ns0:t>
        </ns0:is>
      </ns0:c>
      <ns0:c r="O416" s="21" t="inlineStr">
        <ns0:is>
          <ns0:t>Post-decision</ns0:t>
        </ns0:is>
      </ns0:c>
      <ns0:c r="P416" s="21" t="inlineStr">
        <ns0:is>
          <ns0:t>Post-decision</ns0:t>
        </ns0:is>
      </ns0:c>
      <ns0:c r="Q416" s="21" t="inlineStr">
        <ns0:is>
          <ns0:t>Not reported in assessed sources</ns0:t>
        </ns0:is>
      </ns0:c>
      <ns0:c r="R416" s="21" t="inlineStr">
        <ns0:is>
          <ns0:t>Not reported in assessed sources</ns0:t>
        </ns0:is>
      </ns0:c>
      <ns0:c r="S416" s="21" t="inlineStr">
        <ns0:is>
          <ns0:t>Not reported in assessed sources</ns0:t>
        </ns0:is>
      </ns0:c>
      <ns0:c r="T416" s="21" t="inlineStr">
        <ns0:is>
          <ns0:t>Not reported in assessed sources</ns0:t>
        </ns0:is>
      </ns0:c>
      <ns0:c r="U416" s="21" t="inlineStr">
        <ns0:is>
          <ns0:t>Not reported in assessed sources</ns0:t>
        </ns0:is>
      </ns0:c>
      <ns0:c r="V416" s="21" t="inlineStr">
        <ns0:is>
          <ns0:t>Not reported in assessed sources</ns0:t>
        </ns0:is>
      </ns0:c>
      <ns0:c r="W416" s="21" t="inlineStr">
        <ns0:is>
          <ns0:t>Not reported in assessed sources</ns0:t>
        </ns0:is>
      </ns0:c>
      <ns0:c r="X416" s="21" t="inlineStr">
        <ns0:is>
          <ns0:t>Reported</ns0:t>
        </ns0:is>
      </ns0:c>
      <ns0:c r="Y416" s="21" t="inlineStr">
        <ns0:is>
          <ns0:t>Not ascertainable</ns0:t>
        </ns0:is>
      </ns0:c>
      <ns0:c r="Z416" s="21" t="inlineStr">
        <ns0:is>
          <ns0:t>Not reported in assessed sources</ns0:t>
        </ns0:is>
      </ns0:c>
      <ns0:c r="AA416" s="21" t="inlineStr">
        <ns0:is>
          <ns0:t>Not recorded</ns0:t>
        </ns0:is>
      </ns0:c>
      <ns0:c r="AB416" s="28" t="n">
        <ns0:v>0</ns0:v>
      </ns0:c>
      <ns0:c r="AC416" s="28" t="n">
        <ns0:v>0</ns0:v>
      </ns0:c>
      <ns0:c r="AD416" s="29">
        <ns0:f>IF(AND(G416=1,AB416=0),1,0)</ns0:f>
        <ns0:v>1</ns0:v>
      </ns0:c>
      <ns0:c r="AE416" s="29">
        <ns0:f>IF(AND(AD416=1,AC416=0),1,0)</ns0:f>
        <ns0:v>1</ns0:v>
      </ns0:c>
      <ns0:c r="AF416" s="29">
        <ns0:f>IF(AND(G416=1,H416&lt;&gt;"Not specified"),1,0)</ns0:f>
        <ns0:v>1</ns0:v>
      </ns0:c>
      <ns0:c r="AG416" s="29">
        <ns0:f>IF(AND(AE416=1,AF416=1),1,0)</ns0:f>
        <ns0:v>1</ns0:v>
      </ns0:c>
      <ns0:c r="AH416" s="21" t="inlineStr">
        <ns0:is>
          <ns0:t>Prior source-specific extraction retained; no new full-text retrieval</ns0:t>
        </ns0:is>
      </ns0:c>
      <ns0:c r="AI416" s="21" t="inlineStr">
        <ns0:is>
          <ns0:t>https://doi.org/10.1016/j.ridd.2026.105249</ns0:t>
        </ns0:is>
      </ns0:c>
      <ns0:c r="AJ416" s="21" t="inlineStr">
        <ns0:is>
          <ns0:t>EVIDENCIA; original abstract/coding notes and lot source trace; Inherited scoped adjudication; see source level and lot caveats</ns0:t>
        </ns0:is>
      </ns0:c>
      <ns0:c r="AK416" s="21" t="inlineStr">
        <ns0:is>
          <ns0:t>Retained source-specific coding after review of the supplied extraction notes; not a new full-text retrieval. A multiple-probe/alternating-treatment intervention compares conversational-AI-enhanced peer mediation with peer-mediated instruction alone and reports gains in initiations, responses, lexical diversity and generalization. The underlying conversational model is not technically specified in the accessible material; the small single-case design limits generalizability despite real intervention deployment.</ns0:t>
        </ns0:is>
      </ns0:c>
      <ns0:c r="AL416" s="21" t="inlineStr">
        <ns0:is>
          <ns0:t>Not applicable</ns0:t>
        </ns0:is>
      </ns0:c>
      <ns0:c r="AM416" s="21" t="inlineStr">
        <ns0:is>
          <ns0:t>Not separately specified</ns0:t>
        </ns0:is>
      </ns0:c>
      <ns0:c r="AN416" s="21" t="inlineStr"/>
      <ns0:c r="AO416" s="21" t="inlineStr">
        <ns0:is>
          <ns0:t>No additional status determination</ns0:t>
        </ns0:is>
      </ns0:c>
      <ns0:c r="AP416" s="21" t="inlineStr">
        <ns0:is>
          <ns0:t>Not documented for this recharting</ns0:t>
        </ns0:is>
      </ns0:c>
      <ns0:c r="AQ416" s="21" t="inlineStr">
        <ns0:is>
          <ns0:t>ChatGPT-assisted evidence recharting, 2026-09-08</ns0:t>
        </ns0:is>
      </ns0:c>
      <ns0:c r="AR416" s="21" t="inlineStr">
        <ns0:is>
          <ns0:t>Revision asistida por IA (un revisor; requiere verificacion independiente)</ns0:t>
        </ns0:is>
      </ns0:c>
      <ns0:c r="AS416" s="21" t="inlineStr">
        <ns0:is>
          <ns0:t>Report located; publisher/PubMed content sufficient for scoped adjudication</ns0:t>
        </ns0:is>
      </ns0:c>
    </ns0:row>
    <ns0:row r="417" ht="50" customHeight="1">
      <ns0:c r="A417" s="19" t="inlineStr">
        <ns0:is>
          <ns0:t>new_299</ns0:t>
        </ns0:is>
      </ns0:c>
      <ns0:c r="B417" s="19" t="inlineStr">
        <ns0:is>
          <ns0:t>Update</ns0:t>
        </ns0:is>
      </ns0:c>
      <ns0:c r="C417" s="19" t="inlineStr">
        <ns0:is>
          <ns0:t>Decoding the Neural Basis of Sensory Phenotypes in Autism</ns0:t>
        </ns0:is>
      </ns0:c>
      <ns0:c r="D417" s="19" t="inlineStr">
        <ns0:is>
          <ns0:t>10.1016/j.bpsc.2025.12.013</ns0:t>
        </ns0:is>
      </ns0:c>
      <ns0:c r="E417" s="26" t="n">
        <ns0:v>2026</ns0:v>
      </ns0:c>
      <ns0:c r="F417" s="19" t="inlineStr">
        <ns0:is>
          <ns0:t>Include</ns0:t>
        </ns0:is>
      </ns0:c>
      <ns0:c r="G417" s="27">
        <ns0:f>IF(F417="Include",1,0)</ns0:f>
        <ns0:v>1</ns0:v>
      </ns0:c>
      <ns0:c r="H417" s="19" t="inlineStr">
        <ns0:is>
          <ns0:t>Not specified</ns0:t>
        </ns0:is>
      </ns0:c>
      <ns0:c r="I417" s="19" t="inlineStr">
        <ns0:is>
          <ns0:t>Machine Learning</ns0:t>
        </ns0:is>
      </ns0:c>
      <ns0:c r="J417" s="19" t="inlineStr">
        <ns0:is>
          <ns0:t>Neuroimaging</ns0:t>
        </ns0:is>
      </ns0:c>
      <ns0:c r="K417" s="19" t="inlineStr">
        <ns0:is>
          <ns0:t>k-means sensory-phenotype clustering + linear SVC on graph-theoretical fMRI features</ns0:t>
        </ns0:is>
      </ns0:c>
      <ns0:c r="L417" s="19" t="inlineStr">
        <ns0:is>
          <ns0:t>Composite/ensemble pipeline</ns0:t>
        </ns0:is>
      </ns0:c>
      <ns0:c r="M417" s="19" t="inlineStr">
        <ns0:is>
          <ns0:t>Research only</ns0:t>
        </ns0:is>
      </ns0:c>
      <ns0:c r="N417" s="19" t="inlineStr">
        <ns0:is>
          <ns0:t>Research characterization</ns0:t>
        </ns0:is>
      </ns0:c>
      <ns0:c r="O417" s="19" t="inlineStr">
        <ns0:is>
          <ns0:t>Not observed in assessed sources</ns0:t>
        </ns0:is>
      </ns0:c>
      <ns0:c r="P417" s="19" t="inlineStr">
        <ns0:is>
          <ns0:t>Not observed in assessed sources</ns0:t>
        </ns0:is>
      </ns0:c>
      <ns0:c r="Q417" s="19" t="inlineStr">
        <ns0:is>
          <ns0:t>Not reported in assessed sources</ns0:t>
        </ns0:is>
      </ns0:c>
      <ns0:c r="R417" s="19" t="inlineStr">
        <ns0:is>
          <ns0:t>Not reported in assessed sources</ns0:t>
        </ns0:is>
      </ns0:c>
      <ns0:c r="S417" s="19" t="inlineStr">
        <ns0:is>
          <ns0:t>Reported</ns0:t>
        </ns0:is>
      </ns0:c>
      <ns0:c r="T417" s="19" t="inlineStr">
        <ns0:is>
          <ns0:t>Not reported in assessed sources</ns0:t>
        </ns0:is>
      </ns0:c>
      <ns0:c r="U417" s="19" t="inlineStr">
        <ns0:is>
          <ns0:t>Not reported in assessed sources</ns0:t>
        </ns0:is>
      </ns0:c>
      <ns0:c r="V417" s="19" t="inlineStr">
        <ns0:is>
          <ns0:t>Reported</ns0:t>
        </ns0:is>
      </ns0:c>
      <ns0:c r="W417" s="19" t="inlineStr">
        <ns0:is>
          <ns0:t>Not reported in assessed sources</ns0:t>
        </ns0:is>
      </ns0:c>
      <ns0:c r="X417" s="19" t="inlineStr">
        <ns0:is>
          <ns0:t>Not reported in assessed sources</ns0:t>
        </ns0:is>
      </ns0:c>
      <ns0:c r="Y417" s="19" t="inlineStr">
        <ns0:is>
          <ns0:t>Not ascertainable</ns0:t>
        </ns0:is>
      </ns0:c>
      <ns0:c r="Z417" s="19" t="inlineStr">
        <ns0:is>
          <ns0:t>Reported</ns0:t>
        </ns0:is>
      </ns0:c>
      <ns0:c r="AA417" s="19" t="inlineStr">
        <ns0:is>
          <ns0:t>Not recorded</ns0:t>
        </ns0:is>
      </ns0:c>
      <ns0:c r="AB417" s="26" t="n">
        <ns0:v>0</ns0:v>
      </ns0:c>
      <ns0:c r="AC417" s="26" t="n">
        <ns0:v>0</ns0:v>
      </ns0:c>
      <ns0:c r="AD417" s="27">
        <ns0:f>IF(AND(G417=1,AB417=0),1,0)</ns0:f>
        <ns0:v>1</ns0:v>
      </ns0:c>
      <ns0:c r="AE417" s="27">
        <ns0:f>IF(AND(AD417=1,AC417=0),1,0)</ns0:f>
        <ns0:v>1</ns0:v>
      </ns0:c>
      <ns0:c r="AF417" s="27">
        <ns0:f>IF(AND(G417=1,H417&lt;&gt;"Not specified"),1,0)</ns0:f>
        <ns0:v>0</ns0:v>
      </ns0:c>
      <ns0:c r="AG417" s="27">
        <ns0:f>IF(AND(AE417=1,AF417=1),1,0)</ns0:f>
        <ns0:v>0</ns0:v>
      </ns0:c>
      <ns0:c r="AH417" s="19" t="inlineStr">
        <ns0:is>
          <ns0:t>Prior source-specific extraction retained; no new full-text retrieval</ns0:t>
        </ns0:is>
      </ns0:c>
      <ns0:c r="AI417" s="19" t="inlineStr">
        <ns0:is>
          <ns0:t>https://doi.org/10.1016/j.bpsc.2025.12.013</ns0:t>
        </ns0:is>
      </ns0:c>
      <ns0:c r="AJ417" s="19" t="inlineStr">
        <ns0:is>
          <ns0:t>EVIDENCIA; original abstract/coding notes and lot source trace; Inherited scoped adjudication; see source level and lot caveats</ns0:t>
        </ns0:is>
      </ns0:c>
      <ns0:c r="AK417" s="19" t="inlineStr">
        <ns0:is>
          <ns0:t>Retained source-specific coding after review of the supplied extraction notes; not a new full-text retrieval. Uses POND Network data to derive sensory phenotypes from Short Sensory Profile scores and classify phenotype pairs using graph-theoretical rs-fMRI features and linear SVC. POND is multisite, but no site-held-out generalization analysis is reported. SSP is used to define labels rather than fused as a second model-input modality, so multisource integration is not counted.</ns0:t>
        </ns0:is>
      </ns0:c>
      <ns0:c r="AL417" s="19" t="inlineStr">
        <ns0:is>
          <ns0:t>Not applicable</ns0:t>
        </ns0:is>
      </ns0:c>
      <ns0:c r="AM417" s="19" t="inlineStr">
        <ns0:is>
          <ns0:t>Not separately specified</ns0:t>
        </ns0:is>
      </ns0:c>
      <ns0:c r="AN417" s="19" t="inlineStr"/>
      <ns0:c r="AO417" s="19" t="inlineStr">
        <ns0:is>
          <ns0:t>No additional status determination</ns0:t>
        </ns0:is>
      </ns0:c>
      <ns0:c r="AP417" s="19" t="inlineStr">
        <ns0:is>
          <ns0:t>Not documented for this recharting</ns0:t>
        </ns0:is>
      </ns0:c>
      <ns0:c r="AQ417" s="19" t="inlineStr">
        <ns0:is>
          <ns0:t>ChatGPT-assisted evidence recharting, 2026-09-08</ns0:t>
        </ns0:is>
      </ns0:c>
      <ns0:c r="AR417" s="19" t="inlineStr">
        <ns0:is>
          <ns0:t>Revision asistida por IA (un revisor; requiere verificacion independiente)</ns0:t>
        </ns0:is>
      </ns0:c>
      <ns0:c r="AS417" s="19" t="inlineStr">
        <ns0:is>
          <ns0:t>Retrieved and reviewed</ns0:t>
        </ns0:is>
      </ns0:c>
    </ns0:row>
    <ns0:row r="418" ht="50" customHeight="1">
      <ns0:c r="A418" s="21" t="inlineStr">
        <ns0:is>
          <ns0:t>new_306</ns0:t>
        </ns0:is>
      </ns0:c>
      <ns0:c r="B418" s="21" t="inlineStr">
        <ns0:is>
          <ns0:t>Update</ns0:t>
        </ns0:is>
      </ns0:c>
      <ns0:c r="C418" s="21" t="inlineStr">
        <ns0:is>
          <ns0:t>Hybrid ensemble learning for Autism Spectrum Disorder screening using eye-tracking scanpath</ns0:t>
        </ns0:is>
      </ns0:c>
      <ns0:c r="D418" s="21" t="inlineStr">
        <ns0:is>
          <ns0:t>10.1016/j.array.2026.100753</ns0:t>
        </ns0:is>
      </ns0:c>
      <ns0:c r="E418" s="28" t="n">
        <ns0:v>2026</ns0:v>
      </ns0:c>
      <ns0:c r="F418" s="21" t="inlineStr">
        <ns0:is>
          <ns0:t>Include</ns0:t>
        </ns0:is>
      </ns0:c>
      <ns0:c r="G418" s="29">
        <ns0:f>IF(F418="Include",1,0)</ns0:f>
        <ns0:v>1</ns0:v>
      </ns0:c>
      <ns0:c r="H418" s="21" t="inlineStr">
        <ns0:is>
          <ns0:t>Screening</ns0:t>
        </ns0:is>
      </ns0:c>
      <ns0:c r="I418" s="21" t="inlineStr">
        <ns0:is>
          <ns0:t>Machine Learning</ns0:t>
        </ns0:is>
      </ns0:c>
      <ns0:c r="J418" s="21" t="inlineStr">
        <ns0:is>
          <ns0:t>Behavioral images/video/gaze/movement</ns0:t>
        </ns0:is>
      </ns0:c>
      <ns0:c r="K418" s="21" t="inlineStr">
        <ns0:is>
          <ns0:t>Stacking ensemble (DT/RF/KNN/AdaBoost/gradient boosting)</ns0:t>
        </ns0:is>
      </ns0:c>
      <ns0:c r="L418" s="21" t="inlineStr">
        <ns0:is>
          <ns0:t>Composite/ensemble pipeline</ns0:t>
        </ns0:is>
      </ns0:c>
      <ns0:c r="M418" s="21" t="inlineStr">
        <ns0:is>
          <ns0:t>Proposed only</ns0:t>
        </ns0:is>
      </ns0:c>
      <ns0:c r="N418" s="21" t="inlineStr">
        <ns0:is>
          <ns0:t>Triage/questionnaire assessment</ns0:t>
        </ns0:is>
      </ns0:c>
      <ns0:c r="O418" s="21" t="inlineStr">
        <ns0:is>
          <ns0:t>Pre-decision</ns0:t>
        </ns0:is>
      </ns0:c>
      <ns0:c r="P418" s="21" t="inlineStr">
        <ns0:is>
          <ns0:t>Not observed in assessed sources</ns0:t>
        </ns0:is>
      </ns0:c>
      <ns0:c r="Q418" s="21" t="inlineStr">
        <ns0:is>
          <ns0:t>Not reported in assessed sources</ns0:t>
        </ns0:is>
      </ns0:c>
      <ns0:c r="R418" s="21" t="inlineStr">
        <ns0:is>
          <ns0:t>Not reported in assessed sources</ns0:t>
        </ns0:is>
      </ns0:c>
      <ns0:c r="S418" s="21" t="inlineStr">
        <ns0:is>
          <ns0:t>Not ascertainable</ns0:t>
        </ns0:is>
      </ns0:c>
      <ns0:c r="T418" s="21" t="inlineStr">
        <ns0:is>
          <ns0:t>Not reported in assessed sources</ns0:t>
        </ns0:is>
      </ns0:c>
      <ns0:c r="U418" s="21" t="inlineStr">
        <ns0:is>
          <ns0:t>Not reported in assessed sources</ns0:t>
        </ns0:is>
      </ns0:c>
      <ns0:c r="V418" s="21" t="inlineStr">
        <ns0:is>
          <ns0:t>Not reported in assessed sources</ns0:t>
        </ns0:is>
      </ns0:c>
      <ns0:c r="W418" s="21" t="inlineStr">
        <ns0:is>
          <ns0:t>Not reported in assessed sources</ns0:t>
        </ns0:is>
      </ns0:c>
      <ns0:c r="X418" s="21" t="inlineStr">
        <ns0:is>
          <ns0:t>Not reported in assessed sources</ns0:t>
        </ns0:is>
      </ns0:c>
      <ns0:c r="Y418" s="21" t="inlineStr">
        <ns0:is>
          <ns0:t>Not ascertainable</ns0:t>
        </ns0:is>
      </ns0:c>
      <ns0:c r="Z418" s="21" t="inlineStr">
        <ns0:is>
          <ns0:t>Not ascertainable</ns0:t>
        </ns0:is>
      </ns0:c>
      <ns0:c r="AA418" s="21" t="inlineStr">
        <ns0:is>
          <ns0:t>Not recorded</ns0:t>
        </ns0:is>
      </ns0:c>
      <ns0:c r="AB418" s="28" t="n">
        <ns0:v>0</ns0:v>
      </ns0:c>
      <ns0:c r="AC418" s="28" t="n">
        <ns0:v>0</ns0:v>
      </ns0:c>
      <ns0:c r="AD418" s="29">
        <ns0:f>IF(AND(G418=1,AB418=0),1,0)</ns0:f>
        <ns0:v>1</ns0:v>
      </ns0:c>
      <ns0:c r="AE418" s="29">
        <ns0:f>IF(AND(AD418=1,AC418=0),1,0)</ns0:f>
        <ns0:v>1</ns0:v>
      </ns0:c>
      <ns0:c r="AF418" s="29">
        <ns0:f>IF(AND(G418=1,H418&lt;&gt;"Not specified"),1,0)</ns0:f>
        <ns0:v>1</ns0:v>
      </ns0:c>
      <ns0:c r="AG418" s="29">
        <ns0:f>IF(AND(AE418=1,AF418=1),1,0)</ns0:f>
        <ns0:v>1</ns0:v>
      </ns0:c>
      <ns0:c r="AH418" s="21" t="inlineStr">
        <ns0:is>
          <ns0:t>Prior source-specific extraction retained; no new full-text retrieval</ns0:t>
        </ns0:is>
      </ns0:c>
      <ns0:c r="AI418" s="21" t="inlineStr">
        <ns0:is>
          <ns0:t>https://doi.org/10.1016/j.array.2026.100753</ns0:t>
        </ns0:is>
      </ns0:c>
      <ns0:c r="AJ418" s="21" t="inlineStr">
        <ns0:is>
          <ns0:t>EVIDENCIA; original abstract/coding notes and lot source trace; Inherited scoped adjudication; see source level and lot caveats</ns0:t>
        </ns0:is>
      </ns0:c>
      <ns0:c r="AK418" s="21" t="inlineStr">
        <ns0:is>
          <ns0:t>Retained source-specific coding after review of the supplied extraction notes; not a new full-text retrieval. Benchmarks bagging, boosting and stacking on eye-tracking scanpaths; stacking reaches about 0.96 accuracy and the article explicitly argues that raw scanpath representation improves interpretability. Very small benchmark sample and internal fivefold CV; the interpretability claim lacks a formal attribution method and is therefore coded only as partial XAI.</ns0:t>
        </ns0:is>
      </ns0:c>
      <ns0:c r="AL418" s="21" t="inlineStr">
        <ns0:is>
          <ns0:t>Not applicable</ns0:t>
        </ns0:is>
      </ns0:c>
      <ns0:c r="AM418" s="21" t="inlineStr">
        <ns0:is>
          <ns0:t>Not separately specified</ns0:t>
        </ns0:is>
      </ns0:c>
      <ns0:c r="AN418" s="21" t="inlineStr"/>
      <ns0:c r="AO418" s="21" t="inlineStr">
        <ns0:is>
          <ns0:t>No additional status determination</ns0:t>
        </ns0:is>
      </ns0:c>
      <ns0:c r="AP418" s="21" t="inlineStr">
        <ns0:is>
          <ns0:t>Not documented for this recharting</ns0:t>
        </ns0:is>
      </ns0:c>
      <ns0:c r="AQ418" s="21" t="inlineStr">
        <ns0:is>
          <ns0:t>ChatGPT-assisted evidence recharting, 2026-09-08</ns0:t>
        </ns0:is>
      </ns0:c>
      <ns0:c r="AR418" s="21" t="inlineStr">
        <ns0:is>
          <ns0:t>Revision asistida por IA (un revisor; requiere verificacion independiente)</ns0:t>
        </ns0:is>
      </ns0:c>
      <ns0:c r="AS418" s="21" t="inlineStr">
        <ns0:is>
          <ns0:t>Retrieved and reviewed</ns0:t>
        </ns0:is>
      </ns0:c>
    </ns0:row>
    <ns0:row r="419" ht="50" customHeight="1">
      <ns0:c r="A419" s="19" t="inlineStr">
        <ns0:is>
          <ns0:t>new_316</ns0:t>
        </ns0:is>
      </ns0:c>
      <ns0:c r="B419" s="19" t="inlineStr">
        <ns0:is>
          <ns0:t>Update</ns0:t>
        </ns0:is>
      </ns0:c>
      <ns0:c r="C419" s="19" t="inlineStr">
        <ns0:is>
          <ns0:t>Identifying Immune-related Molecular Biomarkers in Autism Spectrum Disorder Using Data-independent Acquisition Proteomics and Machine Learning.</ns0:t>
        </ns0:is>
      </ns0:c>
      <ns0:c r="D419" s="19" t="inlineStr">
        <ns0:is>
          <ns0:t>10.3791/68949</ns0:t>
        </ns0:is>
      </ns0:c>
      <ns0:c r="E419" s="26" t="n">
        <ns0:v>2025</ns0:v>
      </ns0:c>
      <ns0:c r="F419" s="19" t="inlineStr">
        <ns0:is>
          <ns0:t>Include</ns0:t>
        </ns0:is>
      </ns0:c>
      <ns0:c r="G419" s="27">
        <ns0:f>IF(F419="Include",1,0)</ns0:f>
        <ns0:v>1</ns0:v>
      </ns0:c>
      <ns0:c r="H419" s="19" t="inlineStr">
        <ns0:is>
          <ns0:t>Diagnosis</ns0:t>
        </ns0:is>
      </ns0:c>
      <ns0:c r="I419" s="19" t="inlineStr">
        <ns0:is>
          <ns0:t>Machine Learning</ns0:t>
        </ns0:is>
      </ns0:c>
      <ns0:c r="J419" s="19" t="inlineStr">
        <ns0:is>
          <ns0:t>Biological/omics</ns0:t>
        </ns0:is>
      </ns0:c>
      <ns0:c r="K419" s="19" t="inlineStr">
        <ns0:is>
          <ns0:t>Logistic regression on an 8-protein biomarker panel</ns0:t>
        </ns0:is>
      </ns0:c>
      <ns0:c r="L419" s="19" t="inlineStr">
        <ns0:is>
          <ns0:t>Logistic regression</ns0:t>
        </ns0:is>
      </ns0:c>
      <ns0:c r="M419" s="19" t="inlineStr">
        <ns0:is>
          <ns0:t>Research only</ns0:t>
        </ns0:is>
      </ns0:c>
      <ns0:c r="N419" s="19" t="inlineStr">
        <ns0:is>
          <ns0:t>Automated measurement/classification</ns0:t>
        </ns0:is>
      </ns0:c>
      <ns0:c r="O419" s="19" t="inlineStr">
        <ns0:is>
          <ns0:t>Not observed in assessed sources</ns0:t>
        </ns0:is>
      </ns0:c>
      <ns0:c r="P419" s="19" t="inlineStr">
        <ns0:is>
          <ns0:t>Not observed in assessed sources</ns0:t>
        </ns0:is>
      </ns0:c>
      <ns0:c r="Q419" s="19" t="inlineStr">
        <ns0:is>
          <ns0:t>Not reported in assessed sources</ns0:t>
        </ns0:is>
      </ns0:c>
      <ns0:c r="R419" s="19" t="inlineStr">
        <ns0:is>
          <ns0:t>Not reported in assessed sources</ns0:t>
        </ns0:is>
      </ns0:c>
      <ns0:c r="S419" s="19" t="inlineStr">
        <ns0:is>
          <ns0:t>Reported</ns0:t>
        </ns0:is>
      </ns0:c>
      <ns0:c r="T419" s="19" t="inlineStr">
        <ns0:is>
          <ns0:t>Not reported in assessed sources</ns0:t>
        </ns0:is>
      </ns0:c>
      <ns0:c r="U419" s="19" t="inlineStr">
        <ns0:is>
          <ns0:t>Not reported in assessed sources</ns0:t>
        </ns0:is>
      </ns0:c>
      <ns0:c r="V419" s="19" t="inlineStr">
        <ns0:is>
          <ns0:t>Not reported in assessed sources</ns0:t>
        </ns0:is>
      </ns0:c>
      <ns0:c r="W419" s="19" t="inlineStr">
        <ns0:is>
          <ns0:t>Not reported in assessed sources</ns0:t>
        </ns0:is>
      </ns0:c>
      <ns0:c r="X419" s="19" t="inlineStr">
        <ns0:is>
          <ns0:t>Not reported in assessed sources</ns0:t>
        </ns0:is>
      </ns0:c>
      <ns0:c r="Y419" s="19" t="inlineStr">
        <ns0:is>
          <ns0:t>Not ascertainable</ns0:t>
        </ns0:is>
      </ns0:c>
      <ns0:c r="Z419" s="19" t="inlineStr">
        <ns0:is>
          <ns0:t>Reported</ns0:t>
        </ns0:is>
      </ns0:c>
      <ns0:c r="AA419" s="19" t="inlineStr">
        <ns0:is>
          <ns0:t>Not recorded</ns0:t>
        </ns0:is>
      </ns0:c>
      <ns0:c r="AB419" s="26" t="n">
        <ns0:v>0</ns0:v>
      </ns0:c>
      <ns0:c r="AC419" s="26" t="n">
        <ns0:v>0</ns0:v>
      </ns0:c>
      <ns0:c r="AD419" s="27">
        <ns0:f>IF(AND(G419=1,AB419=0),1,0)</ns0:f>
        <ns0:v>1</ns0:v>
      </ns0:c>
      <ns0:c r="AE419" s="27">
        <ns0:f>IF(AND(AD419=1,AC419=0),1,0)</ns0:f>
        <ns0:v>1</ns0:v>
      </ns0:c>
      <ns0:c r="AF419" s="27">
        <ns0:f>IF(AND(G419=1,H419&lt;&gt;"Not specified"),1,0)</ns0:f>
        <ns0:v>1</ns0:v>
      </ns0:c>
      <ns0:c r="AG419" s="27">
        <ns0:f>IF(AND(AE419=1,AF419=1),1,0)</ns0:f>
        <ns0:v>1</ns0:v>
      </ns0:c>
      <ns0:c r="AH419" s="19" t="inlineStr">
        <ns0:is>
          <ns0:t>Prior source-specific extraction retained; no new full-text retrieval</ns0:t>
        </ns0:is>
      </ns0:c>
      <ns0:c r="AI419" s="19" t="inlineStr">
        <ns0:is>
          <ns0:t>https://doi.org/10.3791/68949</ns0:t>
        </ns0:is>
      </ns0:c>
      <ns0:c r="AJ419" s="19" t="inlineStr">
        <ns0:is>
          <ns0:t>EVIDENCIA; original abstract/coding notes and lot source trace; Inherited scoped adjudication; see source level and lot caveats</ns0:t>
        </ns0:is>
      </ns0:c>
      <ns0:c r="AK419" s="19" t="inlineStr">
        <ns0:is>
          <ns0:t>Retained source-specific coding after review of the supplied extraction notes; not a new full-text retrieval. Serum proteomics in ASD and age-matched controls yielded an immune-related protein panel modeled with logistic regression; the biomarker panel is also checked using an orthogonal ELISA assay. Accessible material does not establish that ELISA validation used an independent cohort, so external validation is not counted. The compact biomarker panel supports partial interpretability.</ns0:t>
        </ns0:is>
      </ns0:c>
      <ns0:c r="AL419" s="19" t="inlineStr">
        <ns0:is>
          <ns0:t>Not applicable</ns0:t>
        </ns0:is>
      </ns0:c>
      <ns0:c r="AM419" s="19" t="inlineStr">
        <ns0:is>
          <ns0:t>Not separately specified</ns0:t>
        </ns0:is>
      </ns0:c>
      <ns0:c r="AN419" s="19" t="inlineStr"/>
      <ns0:c r="AO419" s="19" t="inlineStr">
        <ns0:is>
          <ns0:t>No additional status determination</ns0:t>
        </ns0:is>
      </ns0:c>
      <ns0:c r="AP419" s="19" t="inlineStr">
        <ns0:is>
          <ns0:t>Not documented for this recharting</ns0:t>
        </ns0:is>
      </ns0:c>
      <ns0:c r="AQ419" s="19" t="inlineStr">
        <ns0:is>
          <ns0:t>ChatGPT-assisted evidence recharting, 2026-09-08</ns0:t>
        </ns0:is>
      </ns0:c>
      <ns0:c r="AR419" s="19" t="inlineStr">
        <ns0:is>
          <ns0:t>Revision asistida por IA (un revisor; requiere verificacion independiente)</ns0:t>
        </ns0:is>
      </ns0:c>
      <ns0:c r="AS419" s="19" t="inlineStr">
        <ns0:is>
          <ns0:t>Retrieved and reviewed</ns0:t>
        </ns0:is>
      </ns0:c>
    </ns0:row>
    <ns0:row r="420" ht="50" customHeight="1">
      <ns0:c r="A420" s="21" t="inlineStr">
        <ns0:is>
          <ns0:t>new_319</ns0:t>
        </ns0:is>
      </ns0:c>
      <ns0:c r="B420" s="21" t="inlineStr">
        <ns0:is>
          <ns0:t>Update</ns0:t>
        </ns0:is>
      </ns0:c>
      <ns0:c r="C420" s="21" t="inlineStr">
        <ns0:is>
          <ns0:t>Enhanced detection of autism spectrum disorder through neuroimaging data using stack classifier ensembled with modified VGG-19</ns0:t>
        </ns0:is>
      </ns0:c>
      <ns0:c r="D420" s="21" t="inlineStr">
        <ns0:is>
          <ns0:t>10.1177/02841851251333974</ns0:t>
        </ns0:is>
      </ns0:c>
      <ns0:c r="E420" s="28" t="n">
        <ns0:v>2025</ns0:v>
      </ns0:c>
      <ns0:c r="F420" s="21" t="inlineStr">
        <ns0:is>
          <ns0:t>Include</ns0:t>
        </ns0:is>
      </ns0:c>
      <ns0:c r="G420" s="29">
        <ns0:f>IF(F420="Include",1,0)</ns0:f>
        <ns0:v>1</ns0:v>
      </ns0:c>
      <ns0:c r="H420" s="21" t="inlineStr">
        <ns0:is>
          <ns0:t>Diagnosis</ns0:t>
        </ns0:is>
      </ns0:c>
      <ns0:c r="I420" s="21" t="inlineStr">
        <ns0:is>
          <ns0:t>Hybrid</ns0:t>
        </ns0:is>
      </ns0:c>
      <ns0:c r="J420" s="21" t="inlineStr">
        <ns0:is>
          <ns0:t>Neuroimaging</ns0:t>
        </ns0:is>
      </ns0:c>
      <ns0:c r="K420" s="21" t="inlineStr">
        <ns0:is>
          <ns0:t>Stacking classifier ensemble with modified VGG-19 features</ns0:t>
        </ns0:is>
      </ns0:c>
      <ns0:c r="L420" s="21" t="inlineStr">
        <ns0:is>
          <ns0:t>CNN</ns0:t>
        </ns0:is>
      </ns0:c>
      <ns0:c r="M420" s="21" t="inlineStr">
        <ns0:is>
          <ns0:t>Research only</ns0:t>
        </ns0:is>
      </ns0:c>
      <ns0:c r="N420" s="21" t="inlineStr">
        <ns0:is>
          <ns0:t>Automated measurement/classification</ns0:t>
        </ns0:is>
      </ns0:c>
      <ns0:c r="O420" s="21" t="inlineStr">
        <ns0:is>
          <ns0:t>Not observed in assessed sources</ns0:t>
        </ns0:is>
      </ns0:c>
      <ns0:c r="P420" s="21" t="inlineStr">
        <ns0:is>
          <ns0:t>Not observed in assessed sources</ns0:t>
        </ns0:is>
      </ns0:c>
      <ns0:c r="Q420" s="21" t="inlineStr">
        <ns0:is>
          <ns0:t>Not reported in assessed sources</ns0:t>
        </ns0:is>
      </ns0:c>
      <ns0:c r="R420" s="21" t="inlineStr">
        <ns0:is>
          <ns0:t>Reported</ns0:t>
        </ns0:is>
      </ns0:c>
      <ns0:c r="S420" s="21" t="inlineStr">
        <ns0:is>
          <ns0:t>Not reported in assessed sources</ns0:t>
        </ns0:is>
      </ns0:c>
      <ns0:c r="T420" s="21" t="inlineStr">
        <ns0:is>
          <ns0:t>Not reported in assessed sources</ns0:t>
        </ns0:is>
      </ns0:c>
      <ns0:c r="U420" s="21" t="inlineStr">
        <ns0:is>
          <ns0:t>Not reported in assessed sources</ns0:t>
        </ns0:is>
      </ns0:c>
      <ns0:c r="V420" s="21" t="inlineStr">
        <ns0:is>
          <ns0:t>Reported</ns0:t>
        </ns0:is>
      </ns0:c>
      <ns0:c r="W420" s="21" t="inlineStr">
        <ns0:is>
          <ns0:t>Reported</ns0:t>
        </ns0:is>
      </ns0:c>
      <ns0:c r="X420" s="21" t="inlineStr">
        <ns0:is>
          <ns0:t>Not reported in assessed sources</ns0:t>
        </ns0:is>
      </ns0:c>
      <ns0:c r="Y420" s="21" t="inlineStr">
        <ns0:is>
          <ns0:t>Not ascertainable</ns0:t>
        </ns0:is>
      </ns0:c>
      <ns0:c r="Z420" s="21" t="inlineStr">
        <ns0:is>
          <ns0:t>Not reported in assessed sources</ns0:t>
        </ns0:is>
      </ns0:c>
      <ns0:c r="AA420" s="21" t="inlineStr">
        <ns0:is>
          <ns0:t>Not recorded</ns0:t>
        </ns0:is>
      </ns0:c>
      <ns0:c r="AB420" s="28" t="n">
        <ns0:v>0</ns0:v>
      </ns0:c>
      <ns0:c r="AC420" s="28" t="n">
        <ns0:v>0</ns0:v>
      </ns0:c>
      <ns0:c r="AD420" s="29">
        <ns0:f>IF(AND(G420=1,AB420=0),1,0)</ns0:f>
        <ns0:v>1</ns0:v>
      </ns0:c>
      <ns0:c r="AE420" s="29">
        <ns0:f>IF(AND(AD420=1,AC420=0),1,0)</ns0:f>
        <ns0:v>1</ns0:v>
      </ns0:c>
      <ns0:c r="AF420" s="29">
        <ns0:f>IF(AND(G420=1,H420&lt;&gt;"Not specified"),1,0)</ns0:f>
        <ns0:v>1</ns0:v>
      </ns0:c>
      <ns0:c r="AG420" s="29">
        <ns0:f>IF(AND(AE420=1,AF420=1),1,0)</ns0:f>
        <ns0:v>1</ns0:v>
      </ns0:c>
      <ns0:c r="AH420" s="21" t="inlineStr">
        <ns0:is>
          <ns0:t>Prior source-specific extraction retained; no new full-text retrieval</ns0:t>
        </ns0:is>
      </ns0:c>
      <ns0:c r="AI420" s="21" t="inlineStr">
        <ns0:is>
          <ns0:t>https://doi.org/10.1177/02841851251333974</ns0:t>
        </ns0:is>
      </ns0:c>
      <ns0:c r="AJ420" s="21" t="inlineStr">
        <ns0:is>
          <ns0:t>EVIDENCIA; original abstract/coding notes and lot source trace; Inherited scoped adjudication; see source level and lot caveats</ns0:t>
        </ns0:is>
      </ns0:c>
      <ns0:c r="AK420" s="21" t="inlineStr">
        <ns0:is>
          <ns0:t>Retained source-specific coding after review of the supplied extraction notes; not a new full-text retrieval. Combines structural and functional MRI from ABIDE I and II with conventional classifiers, stacking and modified VGG-19 features; performance is reported separately for both datasets. ABIDE is multisite and the model is multimodal, but the accessible description does not establish site-held-out robustness or a strict independent external-validation design.
Structural and functional MRI combined</ns0:t>
        </ns0:is>
      </ns0:c>
      <ns0:c r="AL420" s="21" t="inlineStr">
        <ns0:is>
          <ns0:t>Not applicable</ns0:t>
        </ns0:is>
      </ns0:c>
      <ns0:c r="AM420" s="21" t="inlineStr">
        <ns0:is>
          <ns0:t>Not separately specified</ns0:t>
        </ns0:is>
      </ns0:c>
      <ns0:c r="AN420" s="21" t="inlineStr"/>
      <ns0:c r="AO420" s="21" t="inlineStr">
        <ns0:is>
          <ns0:t>No additional status determination</ns0:t>
        </ns0:is>
      </ns0:c>
      <ns0:c r="AP420" s="21" t="inlineStr">
        <ns0:is>
          <ns0:t>Not documented for this recharting</ns0:t>
        </ns0:is>
      </ns0:c>
      <ns0:c r="AQ420" s="21" t="inlineStr">
        <ns0:is>
          <ns0:t>ChatGPT-assisted evidence recharting, 2026-09-08</ns0:t>
        </ns0:is>
      </ns0:c>
      <ns0:c r="AR420" s="21" t="inlineStr">
        <ns0:is>
          <ns0:t>Revision asistida por IA (un revisor; requiere verificacion independiente)</ns0:t>
        </ns0:is>
      </ns0:c>
      <ns0:c r="AS420" s="21" t="inlineStr">
        <ns0:is>
          <ns0:t>Report located; publisher/PubMed content sufficient for scoped adjudication</ns0:t>
        </ns0:is>
      </ns0:c>
    </ns0:row>
    <ns0:row r="421" ht="50" customHeight="1">
      <ns0:c r="A421" s="19" t="inlineStr">
        <ns0:is>
          <ns0:t>new_323</ns0:t>
        </ns0:is>
      </ns0:c>
      <ns0:c r="B421" s="19" t="inlineStr">
        <ns0:is>
          <ns0:t>Update</ns0:t>
        </ns0:is>
      </ns0:c>
      <ns0:c r="C421" s="19" t="inlineStr">
        <ns0:is>
          <ns0:t>Energy-Efficient EEG-Based Autism Spectrum Disorder Detection Using a Hyperbolic Attention Neural Network</ns0:t>
        </ns0:is>
      </ns0:c>
      <ns0:c r="D421" s="19" t="inlineStr">
        <ns0:is>
          <ns0:t>10.1002/dneu.70011</ns0:t>
        </ns0:is>
      </ns0:c>
      <ns0:c r="E421" s="26" t="n">
        <ns0:v>2026</ns0:v>
      </ns0:c>
      <ns0:c r="F421" s="19" t="inlineStr">
        <ns0:is>
          <ns0:t>Include</ns0:t>
        </ns0:is>
      </ns0:c>
      <ns0:c r="G421" s="27">
        <ns0:f>IF(F421="Include",1,0)</ns0:f>
        <ns0:v>1</ns0:v>
      </ns0:c>
      <ns0:c r="H421" s="19" t="inlineStr">
        <ns0:is>
          <ns0:t>Diagnosis</ns0:t>
        </ns0:is>
      </ns0:c>
      <ns0:c r="I421" s="19" t="inlineStr">
        <ns0:is>
          <ns0:t>Deep Learning</ns0:t>
        </ns0:is>
      </ns0:c>
      <ns0:c r="J421" s="19" t="inlineStr">
        <ns0:is>
          <ns0:t>Physiological signals</ns0:t>
        </ns0:is>
      </ns0:c>
      <ns0:c r="K421" s="19" t="inlineStr">
        <ns0:is>
          <ns0:t>HyperCrossNet + Parrot Optimization + Pied Kingfisher Optimization</ns0:t>
        </ns0:is>
      </ns0:c>
      <ns0:c r="L421" s="19" t="inlineStr">
        <ns0:is>
          <ns0:t>Other specified method</ns0:t>
        </ns0:is>
      </ns0:c>
      <ns0:c r="M421" s="19" t="inlineStr">
        <ns0:is>
          <ns0:t>Proposed only</ns0:t>
        </ns0:is>
      </ns0:c>
      <ns0:c r="N421" s="19" t="inlineStr">
        <ns0:is>
          <ns0:t>Automated measurement/classification</ns0:t>
        </ns0:is>
      </ns0:c>
      <ns0:c r="O421" s="19" t="inlineStr">
        <ns0:is>
          <ns0:t>In-decision</ns0:t>
        </ns0:is>
      </ns0:c>
      <ns0:c r="P421" s="19" t="inlineStr">
        <ns0:is>
          <ns0:t>Not observed in assessed sources</ns0:t>
        </ns0:is>
      </ns0:c>
      <ns0:c r="Q421" s="19" t="inlineStr">
        <ns0:is>
          <ns0:t>Not reported in assessed sources</ns0:t>
        </ns0:is>
      </ns0:c>
      <ns0:c r="R421" s="19" t="inlineStr">
        <ns0:is>
          <ns0:t>Not reported in assessed sources</ns0:t>
        </ns0:is>
      </ns0:c>
      <ns0:c r="S421" s="19" t="inlineStr">
        <ns0:is>
          <ns0:t>Not reported in assessed sources</ns0:t>
        </ns0:is>
      </ns0:c>
      <ns0:c r="T421" s="19" t="inlineStr">
        <ns0:is>
          <ns0:t>Not reported in assessed sources</ns0:t>
        </ns0:is>
      </ns0:c>
      <ns0:c r="U421" s="19" t="inlineStr">
        <ns0:is>
          <ns0:t>Not reported in assessed sources</ns0:t>
        </ns0:is>
      </ns0:c>
      <ns0:c r="V421" s="19" t="inlineStr">
        <ns0:is>
          <ns0:t>Not reported in assessed sources</ns0:t>
        </ns0:is>
      </ns0:c>
      <ns0:c r="W421" s="19" t="inlineStr">
        <ns0:is>
          <ns0:t>Not reported in assessed sources</ns0:t>
        </ns0:is>
      </ns0:c>
      <ns0:c r="X421" s="19" t="inlineStr">
        <ns0:is>
          <ns0:t>Not reported in assessed sources</ns0:t>
        </ns0:is>
      </ns0:c>
      <ns0:c r="Y421" s="19" t="inlineStr">
        <ns0:is>
          <ns0:t>Not ascertainable</ns0:t>
        </ns0:is>
      </ns0:c>
      <ns0:c r="Z421" s="19" t="inlineStr">
        <ns0:is>
          <ns0:t>Not reported in assessed sources</ns0:t>
        </ns0:is>
      </ns0:c>
      <ns0:c r="AA421" s="19" t="inlineStr">
        <ns0:is>
          <ns0:t>Not recorded</ns0:t>
        </ns0:is>
      </ns0:c>
      <ns0:c r="AB421" s="26" t="n">
        <ns0:v>0</ns0:v>
      </ns0:c>
      <ns0:c r="AC421" s="26" t="n">
        <ns0:v>0</ns0:v>
      </ns0:c>
      <ns0:c r="AD421" s="27">
        <ns0:f>IF(AND(G421=1,AB421=0),1,0)</ns0:f>
        <ns0:v>1</ns0:v>
      </ns0:c>
      <ns0:c r="AE421" s="27">
        <ns0:f>IF(AND(AD421=1,AC421=0),1,0)</ns0:f>
        <ns0:v>1</ns0:v>
      </ns0:c>
      <ns0:c r="AF421" s="27">
        <ns0:f>IF(AND(G421=1,H421&lt;&gt;"Not specified"),1,0)</ns0:f>
        <ns0:v>1</ns0:v>
      </ns0:c>
      <ns0:c r="AG421" s="27">
        <ns0:f>IF(AND(AE421=1,AF421=1),1,0)</ns0:f>
        <ns0:v>1</ns0:v>
      </ns0:c>
      <ns0:c r="AH421" s="19" t="inlineStr">
        <ns0:is>
          <ns0:t>Prior source-specific extraction retained; no new full-text retrieval</ns0:t>
        </ns0:is>
      </ns0:c>
      <ns0:c r="AI421" s="19" t="inlineStr">
        <ns0:is>
          <ns0:t>https://doi.org/10.1002/dneu.70011</ns0:t>
        </ns0:is>
      </ns0:c>
      <ns0:c r="AJ421" s="19" t="inlineStr">
        <ns0:is>
          <ns0:t>EVIDENCIA; original abstract/coding notes and lot source trace; Inherited scoped adjudication; see source level and lot caveats</ns0:t>
        </ns0:is>
      </ns0:c>
      <ns0:c r="AK421" s="19" t="inlineStr">
        <ns0:is>
          <ns0:t>Retained source-specific coding after review of the supplied extraction notes; not a new full-text retrieval. EEG is denoised and transformed with DT-DWT, features are selected with Parrot Optimization, and HyperCrossNet with Pied Kingfisher Optimization is used for ASD classification; the abstract reports 99.92% accuracy. Public benchmark evaluation with extremely high performance; no independent external cohort, site-held-out analysis, prospective evaluation, or formal XAI was established in the accessible evidence.</ns0:t>
        </ns0:is>
      </ns0:c>
      <ns0:c r="AL421" s="19" t="inlineStr">
        <ns0:is>
          <ns0:t>Not applicable</ns0:t>
        </ns0:is>
      </ns0:c>
      <ns0:c r="AM421" s="19" t="inlineStr">
        <ns0:is>
          <ns0:t>Not separately specified</ns0:t>
        </ns0:is>
      </ns0:c>
      <ns0:c r="AN421" s="19" t="inlineStr"/>
      <ns0:c r="AO421" s="19" t="inlineStr">
        <ns0:is>
          <ns0:t>No additional status determination</ns0:t>
        </ns0:is>
      </ns0:c>
      <ns0:c r="AP421" s="19" t="inlineStr">
        <ns0:is>
          <ns0:t>Not documented for this recharting</ns0:t>
        </ns0:is>
      </ns0:c>
      <ns0:c r="AQ421" s="19" t="inlineStr">
        <ns0:is>
          <ns0:t>ChatGPT-assisted evidence recharting, 2026-09-08</ns0:t>
        </ns0:is>
      </ns0:c>
      <ns0:c r="AR421" s="19" t="inlineStr">
        <ns0:is>
          <ns0:t>Revision asistida por IA (un revisor; requiere verificacion independiente)</ns0:t>
        </ns0:is>
      </ns0:c>
      <ns0:c r="AS421" s="19" t="inlineStr">
        <ns0:is>
          <ns0:t>Retrieved/reviewed; content sufficient for scoped adjudication</ns0:t>
        </ns0:is>
      </ns0:c>
    </ns0:row>
    <ns0:row r="422" ht="50" customHeight="1">
      <ns0:c r="A422" s="21" t="inlineStr">
        <ns0:is>
          <ns0:t>new_326</ns0:t>
        </ns0:is>
      </ns0:c>
      <ns0:c r="B422" s="21" t="inlineStr">
        <ns0:is>
          <ns0:t>Update</ns0:t>
        </ns0:is>
      </ns0:c>
      <ns0:c r="C422" s="21" t="inlineStr">
        <ns0:is>
          <ns0:t>Classification of Autism Spectrum Disorder Using Edge-Weight Enhanced Graph Attention Network With Multiple Features of Resting-State fNIRS Signals</ns0:t>
        </ns0:is>
      </ns0:c>
      <ns0:c r="D422" s="21" t="inlineStr">
        <ns0:is>
          <ns0:t>10.1002/jbio.202500138</ns0:t>
        </ns0:is>
      </ns0:c>
      <ns0:c r="E422" s="28" t="n">
        <ns0:v>2025</ns0:v>
      </ns0:c>
      <ns0:c r="F422" s="21" t="inlineStr">
        <ns0:is>
          <ns0:t>Include</ns0:t>
        </ns0:is>
      </ns0:c>
      <ns0:c r="G422" s="29">
        <ns0:f>IF(F422="Include",1,0)</ns0:f>
        <ns0:v>1</ns0:v>
      </ns0:c>
      <ns0:c r="H422" s="21" t="inlineStr">
        <ns0:is>
          <ns0:t>Diagnosis</ns0:t>
        </ns0:is>
      </ns0:c>
      <ns0:c r="I422" s="21" t="inlineStr">
        <ns0:is>
          <ns0:t>Deep Learning</ns0:t>
        </ns0:is>
      </ns0:c>
      <ns0:c r="J422" s="21" t="inlineStr">
        <ns0:is>
          <ns0:t>Physiological signals</ns0:t>
        </ns0:is>
      </ns0:c>
      <ns0:c r="K422" s="21" t="inlineStr">
        <ns0:is>
          <ns0:t>Edge-Weight Enhanced Graph Attention Network (EWE-GAT)</ns0:t>
        </ns0:is>
      </ns0:c>
      <ns0:c r="L422" s="21" t="inlineStr">
        <ns0:is>
          <ns0:t>GNN</ns0:t>
        </ns0:is>
      </ns0:c>
      <ns0:c r="M422" s="21" t="inlineStr">
        <ns0:is>
          <ns0:t>Research only</ns0:t>
        </ns0:is>
      </ns0:c>
      <ns0:c r="N422" s="21" t="inlineStr">
        <ns0:is>
          <ns0:t>Automated measurement/classification</ns0:t>
        </ns0:is>
      </ns0:c>
      <ns0:c r="O422" s="21" t="inlineStr">
        <ns0:is>
          <ns0:t>Not observed in assessed sources</ns0:t>
        </ns0:is>
      </ns0:c>
      <ns0:c r="P422" s="21" t="inlineStr">
        <ns0:is>
          <ns0:t>Not observed in assessed sources</ns0:t>
        </ns0:is>
      </ns0:c>
      <ns0:c r="Q422" s="21" t="inlineStr">
        <ns0:is>
          <ns0:t>Not reported in assessed sources</ns0:t>
        </ns0:is>
      </ns0:c>
      <ns0:c r="R422" s="21" t="inlineStr">
        <ns0:is>
          <ns0:t>Not reported in assessed sources</ns0:t>
        </ns0:is>
      </ns0:c>
      <ns0:c r="S422" s="21" t="inlineStr">
        <ns0:is>
          <ns0:t>Not reported in assessed sources</ns0:t>
        </ns0:is>
      </ns0:c>
      <ns0:c r="T422" s="21" t="inlineStr">
        <ns0:is>
          <ns0:t>Not reported in assessed sources</ns0:t>
        </ns0:is>
      </ns0:c>
      <ns0:c r="U422" s="21" t="inlineStr">
        <ns0:is>
          <ns0:t>Not reported in assessed sources</ns0:t>
        </ns0:is>
      </ns0:c>
      <ns0:c r="V422" s="21" t="inlineStr">
        <ns0:is>
          <ns0:t>Not reported in assessed sources</ns0:t>
        </ns0:is>
      </ns0:c>
      <ns0:c r="W422" s="21" t="inlineStr">
        <ns0:is>
          <ns0:t>Not reported in assessed sources</ns0:t>
        </ns0:is>
      </ns0:c>
      <ns0:c r="X422" s="21" t="inlineStr">
        <ns0:is>
          <ns0:t>Not reported in assessed sources</ns0:t>
        </ns0:is>
      </ns0:c>
      <ns0:c r="Y422" s="21" t="inlineStr">
        <ns0:is>
          <ns0:t>Not ascertainable</ns0:t>
        </ns0:is>
      </ns0:c>
      <ns0:c r="Z422" s="21" t="inlineStr">
        <ns0:is>
          <ns0:t>Not reported in assessed sources</ns0:t>
        </ns0:is>
      </ns0:c>
      <ns0:c r="AA422" s="21" t="inlineStr">
        <ns0:is>
          <ns0:t>Not recorded</ns0:t>
        </ns0:is>
      </ns0:c>
      <ns0:c r="AB422" s="28" t="n">
        <ns0:v>0</ns0:v>
      </ns0:c>
      <ns0:c r="AC422" s="28" t="n">
        <ns0:v>0</ns0:v>
      </ns0:c>
      <ns0:c r="AD422" s="29">
        <ns0:f>IF(AND(G422=1,AB422=0),1,0)</ns0:f>
        <ns0:v>1</ns0:v>
      </ns0:c>
      <ns0:c r="AE422" s="29">
        <ns0:f>IF(AND(AD422=1,AC422=0),1,0)</ns0:f>
        <ns0:v>1</ns0:v>
      </ns0:c>
      <ns0:c r="AF422" s="29">
        <ns0:f>IF(AND(G422=1,H422&lt;&gt;"Not specified"),1,0)</ns0:f>
        <ns0:v>1</ns0:v>
      </ns0:c>
      <ns0:c r="AG422" s="29">
        <ns0:f>IF(AND(AE422=1,AF422=1),1,0)</ns0:f>
        <ns0:v>1</ns0:v>
      </ns0:c>
      <ns0:c r="AH422" s="21" t="inlineStr">
        <ns0:is>
          <ns0:t>Prior source-specific extraction retained; no new full-text retrieval</ns0:t>
        </ns0:is>
      </ns0:c>
      <ns0:c r="AI422" s="21" t="inlineStr">
        <ns0:is>
          <ns0:t>https://doi.org/10.1002/jbio.202500138</ns0:t>
        </ns0:is>
      </ns0:c>
      <ns0:c r="AJ422" s="21" t="inlineStr">
        <ns0:is>
          <ns0:t>EVIDENCIA; original abstract/coding notes and lot source trace; Inherited scoped adjudication; see source level and lot caveats</ns0:t>
        </ns0:is>
      </ns0:c>
      <ns0:c r="AK422" s="21" t="inlineStr">
        <ns0:is>
          <ns0:t>Retained source-specific coding after review of the supplied extraction notes; not a new full-text retrieval. Resting-state fNIRS from 22 TD and 25 ASD children was represented with HbO/Hb node and edge features and classified using EWE-GAT; reported accuracy was 97.92%. Very small single cohort; no independent external validation, prospective workflow evaluation, or explicit site-robustness analysis was established.</ns0:t>
        </ns0:is>
      </ns0:c>
      <ns0:c r="AL422" s="21" t="inlineStr">
        <ns0:is>
          <ns0:t>Not applicable</ns0:t>
        </ns0:is>
      </ns0:c>
      <ns0:c r="AM422" s="21" t="inlineStr">
        <ns0:is>
          <ns0:t>Not separately specified</ns0:t>
        </ns0:is>
      </ns0:c>
      <ns0:c r="AN422" s="21" t="inlineStr"/>
      <ns0:c r="AO422" s="21" t="inlineStr">
        <ns0:is>
          <ns0:t>No additional status determination</ns0:t>
        </ns0:is>
      </ns0:c>
      <ns0:c r="AP422" s="21" t="inlineStr">
        <ns0:is>
          <ns0:t>Not documented for this recharting</ns0:t>
        </ns0:is>
      </ns0:c>
      <ns0:c r="AQ422" s="21" t="inlineStr">
        <ns0:is>
          <ns0:t>ChatGPT-assisted evidence recharting, 2026-09-08</ns0:t>
        </ns0:is>
      </ns0:c>
      <ns0:c r="AR422" s="21" t="inlineStr">
        <ns0:is>
          <ns0:t>Revision asistida por IA (un revisor; requiere verificacion independiente)</ns0:t>
        </ns0:is>
      </ns0:c>
      <ns0:c r="AS422" s="21" t="inlineStr">
        <ns0:is>
          <ns0:t>Retrieved/reviewed; content sufficient for scoped adjudication</ns0:t>
        </ns0:is>
      </ns0:c>
    </ns0:row>
    <ns0:row r="423" ht="50" customHeight="1">
      <ns0:c r="A423" s="19" t="inlineStr">
        <ns0:is>
          <ns0:t>new_334</ns0:t>
        </ns0:is>
      </ns0:c>
      <ns0:c r="B423" s="19" t="inlineStr">
        <ns0:is>
          <ns0:t>Update</ns0:t>
        </ns0:is>
      </ns0:c>
      <ns0:c r="C423" s="19" t="inlineStr">
        <ns0:is>
          <ns0:t>Constructing a Predictive Model for Children with Autism Spectrum Disorder Based on Whole-Brain MR Radiomics: A Machine Learning Study</ns0:t>
        </ns0:is>
      </ns0:c>
      <ns0:c r="D423" s="19" t="inlineStr">
        <ns0:is>
          <ns0:t>10.3174/ajnr.a8939</ns0:t>
        </ns0:is>
      </ns0:c>
      <ns0:c r="E423" s="26" t="n">
        <ns0:v>2026</ns0:v>
      </ns0:c>
      <ns0:c r="F423" s="19" t="inlineStr">
        <ns0:is>
          <ns0:t>Include</ns0:t>
        </ns0:is>
      </ns0:c>
      <ns0:c r="G423" s="27">
        <ns0:f>IF(F423="Include",1,0)</ns0:f>
        <ns0:v>1</ns0:v>
      </ns0:c>
      <ns0:c r="H423" s="19" t="inlineStr">
        <ns0:is>
          <ns0:t>Diagnosis</ns0:t>
        </ns0:is>
      </ns0:c>
      <ns0:c r="I423" s="19" t="inlineStr">
        <ns0:is>
          <ns0:t>Machine Learning</ns0:t>
        </ns0:is>
      </ns0:c>
      <ns0:c r="J423" s="19" t="inlineStr">
        <ns0:is>
          <ns0:t>Multiple source categories</ns0:t>
        </ns0:is>
      </ns0:c>
      <ns0:c r="K423" s="19" t="inlineStr">
        <ns0:is>
          <ns0:t>Decision tree joint model with whole-brain radiomics signature and VIQ</ns0:t>
        </ns0:is>
      </ns0:c>
      <ns0:c r="L423" s="19" t="inlineStr">
        <ns0:is>
          <ns0:t>Decision tree/rules</ns0:t>
        </ns0:is>
      </ns0:c>
      <ns0:c r="M423" s="19" t="inlineStr">
        <ns0:is>
          <ns0:t>Research only</ns0:t>
        </ns0:is>
      </ns0:c>
      <ns0:c r="N423" s="19" t="inlineStr">
        <ns0:is>
          <ns0:t>Automated measurement/classification</ns0:t>
        </ns0:is>
      </ns0:c>
      <ns0:c r="O423" s="19" t="inlineStr">
        <ns0:is>
          <ns0:t>Not observed in assessed sources</ns0:t>
        </ns0:is>
      </ns0:c>
      <ns0:c r="P423" s="19" t="inlineStr">
        <ns0:is>
          <ns0:t>Not observed in assessed sources</ns0:t>
        </ns0:is>
      </ns0:c>
      <ns0:c r="Q423" s="19" t="inlineStr">
        <ns0:is>
          <ns0:t>Reported</ns0:t>
        </ns0:is>
      </ns0:c>
      <ns0:c r="R423" s="19" t="inlineStr">
        <ns0:is>
          <ns0:t>Reported</ns0:t>
        </ns0:is>
      </ns0:c>
      <ns0:c r="S423" s="19" t="inlineStr">
        <ns0:is>
          <ns0:t>Reported</ns0:t>
        </ns0:is>
      </ns0:c>
      <ns0:c r="T423" s="19" t="inlineStr">
        <ns0:is>
          <ns0:t>Not reported in assessed sources</ns0:t>
        </ns0:is>
      </ns0:c>
      <ns0:c r="U423" s="19" t="inlineStr">
        <ns0:is>
          <ns0:t>Reported</ns0:t>
        </ns0:is>
      </ns0:c>
      <ns0:c r="V423" s="19" t="inlineStr">
        <ns0:is>
          <ns0:t>Reported</ns0:t>
        </ns0:is>
      </ns0:c>
      <ns0:c r="W423" s="19" t="inlineStr">
        <ns0:is>
          <ns0:t>Reported</ns0:t>
        </ns0:is>
      </ns0:c>
      <ns0:c r="X423" s="19" t="inlineStr">
        <ns0:is>
          <ns0:t>Not reported in assessed sources</ns0:t>
        </ns0:is>
      </ns0:c>
      <ns0:c r="Y423" s="19" t="inlineStr">
        <ns0:is>
          <ns0:t>Not ascertainable</ns0:t>
        </ns0:is>
      </ns0:c>
      <ns0:c r="Z423" s="19" t="inlineStr">
        <ns0:is>
          <ns0:t>Reported</ns0:t>
        </ns0:is>
      </ns0:c>
      <ns0:c r="AA423" s="19" t="inlineStr">
        <ns0:is>
          <ns0:t>Not recorded</ns0:t>
        </ns0:is>
      </ns0:c>
      <ns0:c r="AB423" s="26" t="n">
        <ns0:v>0</ns0:v>
      </ns0:c>
      <ns0:c r="AC423" s="26" t="n">
        <ns0:v>0</ns0:v>
      </ns0:c>
      <ns0:c r="AD423" s="27">
        <ns0:f>IF(AND(G423=1,AB423=0),1,0)</ns0:f>
        <ns0:v>1</ns0:v>
      </ns0:c>
      <ns0:c r="AE423" s="27">
        <ns0:f>IF(AND(AD423=1,AC423=0),1,0)</ns0:f>
        <ns0:v>1</ns0:v>
      </ns0:c>
      <ns0:c r="AF423" s="27">
        <ns0:f>IF(AND(G423=1,H423&lt;&gt;"Not specified"),1,0)</ns0:f>
        <ns0:v>1</ns0:v>
      </ns0:c>
      <ns0:c r="AG423" s="27">
        <ns0:f>IF(AND(AE423=1,AF423=1),1,0)</ns0:f>
        <ns0:v>1</ns0:v>
      </ns0:c>
      <ns0:c r="AH423" s="19" t="inlineStr">
        <ns0:is>
          <ns0:t>Prior source-specific extraction retained; no new full-text retrieval</ns0:t>
        </ns0:is>
      </ns0:c>
      <ns0:c r="AI423" s="19" t="inlineStr">
        <ns0:is>
          <ns0:t>https://doi.org/10.3174/ajnr.a8939</ns0:t>
        </ns0:is>
      </ns0:c>
      <ns0:c r="AJ423" s="19" t="inlineStr">
        <ns0:is>
          <ns0:t>EVIDENCIA; original abstract/coding notes and lot source trace; Inherited scoped adjudication; see source level and lot caveats</ns0:t>
        </ns0:is>
      </ns0:c>
      <ns0:c r="AK423" s="19" t="inlineStr">
        <ns0:is>
          <ns0:t>Retained source-specific coding after review of the supplied extraction notes; not a new full-text retrieval. Whole-brain structural-MRI radiomics and VIQ were modeled in 223 ABIDE participants, with an independent external set of 87 participants from Georgetown and Miami; the decision-tree joint model achieved AUCs 0.87/0.84/0.83 in training/test/external sets. External validation is present, but the accessible report does not describe an explicit leave-site-out robustness design. The radiomics signature and VIQ provide feature-level interpretability rather than a formal post-hoc XAI method.
Independent external sample from Georgetown and Miami supports cross-site testing; LOSO is not the only valid cross-site design.</ns0:t>
        </ns0:is>
      </ns0:c>
      <ns0:c r="AL423" s="19" t="inlineStr">
        <ns0:is>
          <ns0:t>Not applicable</ns0:t>
        </ns0:is>
      </ns0:c>
      <ns0:c r="AM423" s="19" t="inlineStr">
        <ns0:is>
          <ns0:t>Not separately specified</ns0:t>
        </ns0:is>
      </ns0:c>
      <ns0:c r="AN423" s="19" t="inlineStr"/>
      <ns0:c r="AO423" s="19" t="inlineStr">
        <ns0:is>
          <ns0:t>No additional status determination</ns0:t>
        </ns0:is>
      </ns0:c>
      <ns0:c r="AP423" s="19" t="inlineStr">
        <ns0:is>
          <ns0:t>Not documented for this recharting</ns0:t>
        </ns0:is>
      </ns0:c>
      <ns0:c r="AQ423" s="19" t="inlineStr">
        <ns0:is>
          <ns0:t>ChatGPT-assisted evidence recharting, 2026-09-08</ns0:t>
        </ns0:is>
      </ns0:c>
      <ns0:c r="AR423" s="19" t="inlineStr">
        <ns0:is>
          <ns0:t>Revision asistida por IA (un revisor; requiere verificacion independiente)</ns0:t>
        </ns0:is>
      </ns0:c>
      <ns0:c r="AS423" s="19" t="inlineStr">
        <ns0:is>
          <ns0:t>Retrieved/reviewed; content sufficient for scoped adjudication</ns0:t>
        </ns0:is>
      </ns0:c>
    </ns0:row>
    <ns0:row r="424" ht="50" customHeight="1">
      <ns0:c r="A424" s="21" t="inlineStr">
        <ns0:is>
          <ns0:t>new_342</ns0:t>
        </ns0:is>
      </ns0:c>
      <ns0:c r="B424" s="21" t="inlineStr">
        <ns0:is>
          <ns0:t>Update</ns0:t>
        </ns0:is>
      </ns0:c>
      <ns0:c r="C424" s="21" t="inlineStr">
        <ns0:is>
          <ns0:t>Auditory brainstem response abnormalities in autism spectrum disorder: A deep learning approach to characterize time-frequency signatures</ns0:t>
        </ns0:is>
      </ns0:c>
      <ns0:c r="D424" s="21" t="inlineStr">
        <ns0:is>
          <ns0:t>10.1016/j.heares.2026.109654</ns0:t>
        </ns0:is>
      </ns0:c>
      <ns0:c r="E424" s="28" t="n">
        <ns0:v>2026</ns0:v>
      </ns0:c>
      <ns0:c r="F424" s="21" t="inlineStr">
        <ns0:is>
          <ns0:t>Include</ns0:t>
        </ns0:is>
      </ns0:c>
      <ns0:c r="G424" s="29">
        <ns0:f>IF(F424="Include",1,0)</ns0:f>
        <ns0:v>1</ns0:v>
      </ns0:c>
      <ns0:c r="H424" s="21" t="inlineStr">
        <ns0:is>
          <ns0:t>Screening</ns0:t>
        </ns0:is>
      </ns0:c>
      <ns0:c r="I424" s="21" t="inlineStr">
        <ns0:is>
          <ns0:t>Deep Learning</ns0:t>
        </ns0:is>
      </ns0:c>
      <ns0:c r="J424" s="21" t="inlineStr">
        <ns0:is>
          <ns0:t>Physiological signals</ns0:t>
        </ns0:is>
      </ns0:c>
      <ns0:c r="K424" s="21" t="inlineStr">
        <ns0:is>
          <ns0:t>TF-TBN: Transformer-enhanced 1D-CNN + Vision Transformer time-frequency fusion</ns0:t>
        </ns0:is>
      </ns0:c>
      <ns0:c r="L424" s="21" t="inlineStr">
        <ns0:is>
          <ns0:t>Composite/ensemble pipeline</ns0:t>
        </ns0:is>
      </ns0:c>
      <ns0:c r="M424" s="21" t="inlineStr">
        <ns0:is>
          <ns0:t>Research only</ns0:t>
        </ns0:is>
      </ns0:c>
      <ns0:c r="N424" s="21" t="inlineStr">
        <ns0:is>
          <ns0:t>Triage/questionnaire assessment</ns0:t>
        </ns0:is>
      </ns0:c>
      <ns0:c r="O424" s="21" t="inlineStr">
        <ns0:is>
          <ns0:t>Not observed in assessed sources</ns0:t>
        </ns0:is>
      </ns0:c>
      <ns0:c r="P424" s="21" t="inlineStr">
        <ns0:is>
          <ns0:t>Not observed in assessed sources</ns0:t>
        </ns0:is>
      </ns0:c>
      <ns0:c r="Q424" s="21" t="inlineStr">
        <ns0:is>
          <ns0:t>Not reported in assessed sources</ns0:t>
        </ns0:is>
      </ns0:c>
      <ns0:c r="R424" s="21" t="inlineStr">
        <ns0:is>
          <ns0:t>Not reported in assessed sources</ns0:t>
        </ns0:is>
      </ns0:c>
      <ns0:c r="S424" s="21" t="inlineStr">
        <ns0:is>
          <ns0:t>Reported</ns0:t>
        </ns0:is>
      </ns0:c>
      <ns0:c r="T424" s="21" t="inlineStr">
        <ns0:is>
          <ns0:t>Reported</ns0:t>
        </ns0:is>
      </ns0:c>
      <ns0:c r="U424" s="21" t="inlineStr">
        <ns0:is>
          <ns0:t>Not reported in assessed sources</ns0:t>
        </ns0:is>
      </ns0:c>
      <ns0:c r="V424" s="21" t="inlineStr">
        <ns0:is>
          <ns0:t>Not reported in assessed sources</ns0:t>
        </ns0:is>
      </ns0:c>
      <ns0:c r="W424" s="21" t="inlineStr">
        <ns0:is>
          <ns0:t>Not reported in assessed sources</ns0:t>
        </ns0:is>
      </ns0:c>
      <ns0:c r="X424" s="21" t="inlineStr">
        <ns0:is>
          <ns0:t>Not reported in assessed sources</ns0:t>
        </ns0:is>
      </ns0:c>
      <ns0:c r="Y424" s="21" t="inlineStr">
        <ns0:is>
          <ns0:t>Not ascertainable</ns0:t>
        </ns0:is>
      </ns0:c>
      <ns0:c r="Z424" s="21" t="inlineStr">
        <ns0:is>
          <ns0:t>Not reported in assessed sources</ns0:t>
        </ns0:is>
      </ns0:c>
      <ns0:c r="AA424" s="21" t="inlineStr">
        <ns0:is>
          <ns0:t>Not recorded</ns0:t>
        </ns0:is>
      </ns0:c>
      <ns0:c r="AB424" s="28" t="n">
        <ns0:v>0</ns0:v>
      </ns0:c>
      <ns0:c r="AC424" s="28" t="n">
        <ns0:v>0</ns0:v>
      </ns0:c>
      <ns0:c r="AD424" s="29">
        <ns0:f>IF(AND(G424=1,AB424=0),1,0)</ns0:f>
        <ns0:v>1</ns0:v>
      </ns0:c>
      <ns0:c r="AE424" s="29">
        <ns0:f>IF(AND(AD424=1,AC424=0),1,0)</ns0:f>
        <ns0:v>1</ns0:v>
      </ns0:c>
      <ns0:c r="AF424" s="29">
        <ns0:f>IF(AND(G424=1,H424&lt;&gt;"Not specified"),1,0)</ns0:f>
        <ns0:v>1</ns0:v>
      </ns0:c>
      <ns0:c r="AG424" s="29">
        <ns0:f>IF(AND(AE424=1,AF424=1),1,0)</ns0:f>
        <ns0:v>1</ns0:v>
      </ns0:c>
      <ns0:c r="AH424" s="21" t="inlineStr">
        <ns0:is>
          <ns0:t>Prior source-specific extraction retained; no new full-text retrieval</ns0:t>
        </ns0:is>
      </ns0:c>
      <ns0:c r="AI424" s="21" t="inlineStr">
        <ns0:is>
          <ns0:t>https://doi.org/10.1016/j.heares.2026.109654</ns0:t>
        </ns0:is>
      </ns0:c>
      <ns0:c r="AJ424" s="21" t="inlineStr">
        <ns0:is>
          <ns0:t>EVIDENCIA; original abstract/coding notes and lot source trace; Inherited scoped adjudication; see source level and lot caveats</ns0:t>
        </ns0:is>
      </ns0:c>
      <ns0:c r="AK424" s="21" t="inlineStr">
        <ns0:is>
          <ns0:t>Retained source-specific coding after review of the supplied extraction notes; not a new full-text retrieval. A dual-branch TF-TBN combines raw ABR waveforms and CWT spectrograms from 1,209 recordings; reported accuracy was 96.62%, and interpretability analysis linked decisions to wave III/V and interpeak latency abnormalities. No independent external cohort, site-held-out evaluation, or prospective clinical deployment was identified in the accessible material.
All-neural/optimization pipeline in recovered evidence; hybrid title is not sufficient for mixed conventional-ML/DL classification.</ns0:t>
        </ns0:is>
      </ns0:c>
      <ns0:c r="AL424" s="21" t="inlineStr">
        <ns0:is>
          <ns0:t>Not applicable</ns0:t>
        </ns0:is>
      </ns0:c>
      <ns0:c r="AM424" s="21" t="inlineStr">
        <ns0:is>
          <ns0:t>Not separately specified</ns0:t>
        </ns0:is>
      </ns0:c>
      <ns0:c r="AN424" s="21" t="inlineStr"/>
      <ns0:c r="AO424" s="21" t="inlineStr">
        <ns0:is>
          <ns0:t>No additional status determination</ns0:t>
        </ns0:is>
      </ns0:c>
      <ns0:c r="AP424" s="21" t="inlineStr">
        <ns0:is>
          <ns0:t>Not documented for this recharting</ns0:t>
        </ns0:is>
      </ns0:c>
      <ns0:c r="AQ424" s="21" t="inlineStr">
        <ns0:is>
          <ns0:t>ChatGPT-assisted evidence recharting, 2026-09-08</ns0:t>
        </ns0:is>
      </ns0:c>
      <ns0:c r="AR424" s="21" t="inlineStr">
        <ns0:is>
          <ns0:t>Revision asistida por IA (un revisor; requiere verificacion independiente)</ns0:t>
        </ns0:is>
      </ns0:c>
      <ns0:c r="AS424" s="21" t="inlineStr">
        <ns0:is>
          <ns0:t>Retrieved/reviewed; content sufficient for scoped adjudication</ns0:t>
        </ns0:is>
      </ns0:c>
    </ns0:row>
    <ns0:row r="425" ht="50" customHeight="1">
      <ns0:c r="A425" s="19" t="inlineStr">
        <ns0:is>
          <ns0:t>new_343</ns0:t>
        </ns0:is>
      </ns0:c>
      <ns0:c r="B425" s="19" t="inlineStr">
        <ns0:is>
          <ns0:t>Update</ns0:t>
        </ns0:is>
      </ns0:c>
      <ns0:c r="C425" s="19" t="inlineStr">
        <ns0:is>
          <ns0:t>An explainable machine unlearning algorithm framework for early detection of autism spectrum disorder and brain disabilities in newborns</ns0:t>
        </ns0:is>
      </ns0:c>
      <ns0:c r="D425" s="19" t="inlineStr">
        <ns0:is>
          <ns0:t>10.1016/j.aej.2026.04.002</ns0:t>
        </ns0:is>
      </ns0:c>
      <ns0:c r="E425" s="26" t="n">
        <ns0:v>2026</ns0:v>
      </ns0:c>
      <ns0:c r="F425" s="19" t="inlineStr">
        <ns0:is>
          <ns0:t>Include</ns0:t>
        </ns0:is>
      </ns0:c>
      <ns0:c r="G425" s="27">
        <ns0:f>IF(F425="Include",1,0)</ns0:f>
        <ns0:v>1</ns0:v>
      </ns0:c>
      <ns0:c r="H425" s="19" t="inlineStr">
        <ns0:is>
          <ns0:t>Screening</ns0:t>
        </ns0:is>
      </ns0:c>
      <ns0:c r="I425" s="19" t="inlineStr">
        <ns0:is>
          <ns0:t>Deep Learning</ns0:t>
        </ns0:is>
      </ns0:c>
      <ns0:c r="J425" s="19" t="inlineStr">
        <ns0:is>
          <ns0:t>Not specified</ns0:t>
        </ns0:is>
      </ns0:c>
      <ns0:c r="K425" s="19" t="inlineStr">
        <ns0:is>
          <ns0:t>MUXAI-ASDBD (CNN + machine unlearning + partitioning XAI)</ns0:t>
        </ns0:is>
      </ns0:c>
      <ns0:c r="L425" s="19" t="inlineStr">
        <ns0:is>
          <ns0:t>CNN</ns0:t>
        </ns0:is>
      </ns0:c>
      <ns0:c r="M425" s="19" t="inlineStr">
        <ns0:is>
          <ns0:t>Proposed only</ns0:t>
        </ns0:is>
      </ns0:c>
      <ns0:c r="N425" s="19" t="inlineStr">
        <ns0:is>
          <ns0:t>Triage/questionnaire assessment</ns0:t>
        </ns0:is>
      </ns0:c>
      <ns0:c r="O425" s="19" t="inlineStr">
        <ns0:is>
          <ns0:t>Pre-decision</ns0:t>
        </ns0:is>
      </ns0:c>
      <ns0:c r="P425" s="19" t="inlineStr">
        <ns0:is>
          <ns0:t>Not observed in assessed sources</ns0:t>
        </ns0:is>
      </ns0:c>
      <ns0:c r="Q425" s="19" t="inlineStr">
        <ns0:is>
          <ns0:t>Not reported in assessed sources</ns0:t>
        </ns0:is>
      </ns0:c>
      <ns0:c r="R425" s="19" t="inlineStr">
        <ns0:is>
          <ns0:t>Not ascertainable</ns0:t>
        </ns0:is>
      </ns0:c>
      <ns0:c r="S425" s="19" t="inlineStr">
        <ns0:is>
          <ns0:t>Reported</ns0:t>
        </ns0:is>
      </ns0:c>
      <ns0:c r="T425" s="19" t="inlineStr">
        <ns0:is>
          <ns0:t>Reported</ns0:t>
        </ns0:is>
      </ns0:c>
      <ns0:c r="U425" s="19" t="inlineStr">
        <ns0:is>
          <ns0:t>Not reported in assessed sources</ns0:t>
        </ns0:is>
      </ns0:c>
      <ns0:c r="V425" s="19" t="inlineStr">
        <ns0:is>
          <ns0:t>Not reported in assessed sources</ns0:t>
        </ns0:is>
      </ns0:c>
      <ns0:c r="W425" s="19" t="inlineStr">
        <ns0:is>
          <ns0:t>Reported</ns0:t>
        </ns0:is>
      </ns0:c>
      <ns0:c r="X425" s="19" t="inlineStr">
        <ns0:is>
          <ns0:t>Not reported in assessed sources</ns0:t>
        </ns0:is>
      </ns0:c>
      <ns0:c r="Y425" s="19" t="inlineStr">
        <ns0:is>
          <ns0:t>Not ascertainable</ns0:t>
        </ns0:is>
      </ns0:c>
      <ns0:c r="Z425" s="19" t="inlineStr">
        <ns0:is>
          <ns0:t>Not reported in assessed sources</ns0:t>
        </ns0:is>
      </ns0:c>
      <ns0:c r="AA425" s="19" t="inlineStr">
        <ns0:is>
          <ns0:t>Not recorded</ns0:t>
        </ns0:is>
      </ns0:c>
      <ns0:c r="AB425" s="26" t="n">
        <ns0:v>0</ns0:v>
      </ns0:c>
      <ns0:c r="AC425" s="26" t="n">
        <ns0:v>0</ns0:v>
      </ns0:c>
      <ns0:c r="AD425" s="27">
        <ns0:f>IF(AND(G425=1,AB425=0),1,0)</ns0:f>
        <ns0:v>1</ns0:v>
      </ns0:c>
      <ns0:c r="AE425" s="27">
        <ns0:f>IF(AND(AD425=1,AC425=0),1,0)</ns0:f>
        <ns0:v>1</ns0:v>
      </ns0:c>
      <ns0:c r="AF425" s="27">
        <ns0:f>IF(AND(G425=1,H425&lt;&gt;"Not specified"),1,0)</ns0:f>
        <ns0:v>1</ns0:v>
      </ns0:c>
      <ns0:c r="AG425" s="27">
        <ns0:f>IF(AND(AE425=1,AF425=1),1,0)</ns0:f>
        <ns0:v>1</ns0:v>
      </ns0:c>
      <ns0:c r="AH425" s="19" t="inlineStr">
        <ns0:is>
          <ns0:t>Prior source-specific extraction retained; no new full-text retrieval</ns0:t>
        </ns0:is>
      </ns0:c>
      <ns0:c r="AI425" s="19" t="inlineStr">
        <ns0:is>
          <ns0:t>https://doi.org/10.1016/j.aej.2026.04.002</ns0:t>
        </ns0:is>
      </ns0:c>
      <ns0:c r="AJ425" s="19" t="inlineStr">
        <ns0:is>
          <ns0:t>EVIDENCIA; original abstract/coding notes and lot source trace; Inherited scoped adjudication; see source level and lot caveats</ns0:t>
        </ns0:is>
      </ns0:c>
      <ns0:c r="AK425" s="19" t="inlineStr">
        <ns0:is>
          <ns0:t>Retained source-specific coding after review of the supplied extraction notes; not a new full-text retrieval. MUXAI-ASDBD combines CNN-based modeling, partition-oriented explainability and machine unlearning across screening, MRI and EEG benchmark datasets; the paper reports strong classification performance. Benchmark-based evaluation across heterogeneous tasks/datasets does not establish prospective clinical deployment or an independent external/site-held-out validation protocol.
Multiple datasets are described but the recovered evidence does not establish a single primary source or participant-linked multisource fusion.</ns0:t>
        </ns0:is>
      </ns0:c>
      <ns0:c r="AL425" s="19" t="inlineStr">
        <ns0:is>
          <ns0:t>Not applicable</ns0:t>
        </ns0:is>
      </ns0:c>
      <ns0:c r="AM425" s="19" t="inlineStr">
        <ns0:is>
          <ns0:t>Not separately specified</ns0:t>
        </ns0:is>
      </ns0:c>
      <ns0:c r="AN425" s="19" t="inlineStr"/>
      <ns0:c r="AO425" s="19" t="inlineStr">
        <ns0:is>
          <ns0:t>No additional status determination</ns0:t>
        </ns0:is>
      </ns0:c>
      <ns0:c r="AP425" s="19" t="inlineStr">
        <ns0:is>
          <ns0:t>Not documented for this recharting</ns0:t>
        </ns0:is>
      </ns0:c>
      <ns0:c r="AQ425" s="19" t="inlineStr">
        <ns0:is>
          <ns0:t>ChatGPT-assisted evidence recharting, 2026-09-08</ns0:t>
        </ns0:is>
      </ns0:c>
      <ns0:c r="AR425" s="19" t="inlineStr">
        <ns0:is>
          <ns0:t>Revision asistida por IA (un revisor; requiere verificacion independiente)</ns0:t>
        </ns0:is>
      </ns0:c>
      <ns0:c r="AS425" s="19" t="inlineStr">
        <ns0:is>
          <ns0:t>Retrieved/reviewed; content sufficient for scoped adjudication</ns0:t>
        </ns0:is>
      </ns0:c>
    </ns0:row>
    <ns0:row r="426" ht="50" customHeight="1">
      <ns0:c r="A426" s="21" t="inlineStr">
        <ns0:is>
          <ns0:t>new_347</ns0:t>
        </ns0:is>
      </ns0:c>
      <ns0:c r="B426" s="21" t="inlineStr">
        <ns0:is>
          <ns0:t>Update</ns0:t>
        </ns0:is>
      </ns0:c>
      <ns0:c r="C426" s="21" t="inlineStr">
        <ns0:is>
          <ns0:t>Vision transformer and complex network analysis for autism spectrum disorder classification in T1 structural MRI</ns0:t>
        </ns0:is>
      </ns0:c>
      <ns0:c r="D426" s="21" t="inlineStr">
        <ns0:is>
          <ns0:t>10.1007/s11604-025-01832-3</ns0:t>
        </ns0:is>
      </ns0:c>
      <ns0:c r="E426" s="28" t="n">
        <ns0:v>2025</ns0:v>
      </ns0:c>
      <ns0:c r="F426" s="21" t="inlineStr">
        <ns0:is>
          <ns0:t>Include</ns0:t>
        </ns0:is>
      </ns0:c>
      <ns0:c r="G426" s="29">
        <ns0:f>IF(F426="Include",1,0)</ns0:f>
        <ns0:v>1</ns0:v>
      </ns0:c>
      <ns0:c r="H426" s="21" t="inlineStr">
        <ns0:is>
          <ns0:t>Diagnosis</ns0:t>
        </ns0:is>
      </ns0:c>
      <ns0:c r="I426" s="21" t="inlineStr">
        <ns0:is>
          <ns0:t>Hybrid</ns0:t>
        </ns0:is>
      </ns0:c>
      <ns0:c r="J426" s="21" t="inlineStr">
        <ns0:is>
          <ns0:t>Neuroimaging</ns0:t>
        </ns0:is>
      </ns0:c>
      <ns0:c r="K426" s="21" t="inlineStr">
        <ns0:is>
          <ns0:t>Federated CNA(KNN)-ViT(NN)</ns0:t>
        </ns0:is>
      </ns0:c>
      <ns0:c r="L426" s="21" t="inlineStr">
        <ns0:is>
          <ns0:t>Composite/ensemble pipeline</ns0:t>
        </ns0:is>
      </ns0:c>
      <ns0:c r="M426" s="21" t="inlineStr">
        <ns0:is>
          <ns0:t>Research only</ns0:t>
        </ns0:is>
      </ns0:c>
      <ns0:c r="N426" s="21" t="inlineStr">
        <ns0:is>
          <ns0:t>Automated measurement/classification</ns0:t>
        </ns0:is>
      </ns0:c>
      <ns0:c r="O426" s="21" t="inlineStr">
        <ns0:is>
          <ns0:t>Not observed in assessed sources</ns0:t>
        </ns0:is>
      </ns0:c>
      <ns0:c r="P426" s="21" t="inlineStr">
        <ns0:is>
          <ns0:t>Not observed in assessed sources</ns0:t>
        </ns0:is>
      </ns0:c>
      <ns0:c r="Q426" s="21" t="inlineStr">
        <ns0:is>
          <ns0:t>Not reported in assessed sources</ns0:t>
        </ns0:is>
      </ns0:c>
      <ns0:c r="R426" s="21" t="inlineStr">
        <ns0:is>
          <ns0:t>Not reported in assessed sources</ns0:t>
        </ns0:is>
      </ns0:c>
      <ns0:c r="S426" s="21" t="inlineStr">
        <ns0:is>
          <ns0:t>Not reported in assessed sources</ns0:t>
        </ns0:is>
      </ns0:c>
      <ns0:c r="T426" s="21" t="inlineStr">
        <ns0:is>
          <ns0:t>Not reported in assessed sources</ns0:t>
        </ns0:is>
      </ns0:c>
      <ns0:c r="U426" s="21" t="inlineStr">
        <ns0:is>
          <ns0:t>Not reported in assessed sources</ns0:t>
        </ns0:is>
      </ns0:c>
      <ns0:c r="V426" s="21" t="inlineStr">
        <ns0:is>
          <ns0:t>Reported</ns0:t>
        </ns0:is>
      </ns0:c>
      <ns0:c r="W426" s="21" t="inlineStr">
        <ns0:is>
          <ns0:t>Not reported in assessed sources</ns0:t>
        </ns0:is>
      </ns0:c>
      <ns0:c r="X426" s="21" t="inlineStr">
        <ns0:is>
          <ns0:t>Not reported in assessed sources</ns0:t>
        </ns0:is>
      </ns0:c>
      <ns0:c r="Y426" s="21" t="inlineStr">
        <ns0:is>
          <ns0:t>Not ascertainable</ns0:t>
        </ns0:is>
      </ns0:c>
      <ns0:c r="Z426" s="21" t="inlineStr">
        <ns0:is>
          <ns0:t>Not reported in assessed sources</ns0:t>
        </ns0:is>
      </ns0:c>
      <ns0:c r="AA426" s="21" t="inlineStr">
        <ns0:is>
          <ns0:t>Not recorded</ns0:t>
        </ns0:is>
      </ns0:c>
      <ns0:c r="AB426" s="28" t="n">
        <ns0:v>0</ns0:v>
      </ns0:c>
      <ns0:c r="AC426" s="28" t="n">
        <ns0:v>0</ns0:v>
      </ns0:c>
      <ns0:c r="AD426" s="29">
        <ns0:f>IF(AND(G426=1,AB426=0),1,0)</ns0:f>
        <ns0:v>1</ns0:v>
      </ns0:c>
      <ns0:c r="AE426" s="29">
        <ns0:f>IF(AND(AD426=1,AC426=0),1,0)</ns0:f>
        <ns0:v>1</ns0:v>
      </ns0:c>
      <ns0:c r="AF426" s="29">
        <ns0:f>IF(AND(G426=1,H426&lt;&gt;"Not specified"),1,0)</ns0:f>
        <ns0:v>1</ns0:v>
      </ns0:c>
      <ns0:c r="AG426" s="29">
        <ns0:f>IF(AND(AE426=1,AF426=1),1,0)</ns0:f>
        <ns0:v>1</ns0:v>
      </ns0:c>
      <ns0:c r="AH426" s="21" t="inlineStr">
        <ns0:is>
          <ns0:t>Prior source-specific extraction retained; no new full-text retrieval</ns0:t>
        </ns0:is>
      </ns0:c>
      <ns0:c r="AI426" s="21" t="inlineStr">
        <ns0:is>
          <ns0:t>https://doi.org/10.1007/s11604-025-01832-3</ns0:t>
        </ns0:is>
      </ns0:c>
      <ns0:c r="AJ426" s="21" t="inlineStr">
        <ns0:is>
          <ns0:t>EVIDENCIA; original abstract/coding notes and lot source trace; Inherited scoped adjudication; see source level and lot caveats</ns0:t>
        </ns0:is>
      </ns0:c>
      <ns0:c r="AK426" s="21" t="inlineStr">
        <ns0:is>
          <ns0:t>Retained source-specific coding after review of the supplied extraction notes; not a new full-text retrieval. T1 structural MRI from ABIDE was analyzed using complex-network analysis and Vision Transformer features across multiple federated combinations; the CNA(KNN)-ViT(NN) configuration reported accuracy 0.951 and AUC 0.98. ABIDE is multisite, but the reported evaluation is internal five-fold validation rather than an explicit site-held-out or independent external robustness test.</ns0:t>
        </ns0:is>
      </ns0:c>
      <ns0:c r="AL426" s="21" t="inlineStr">
        <ns0:is>
          <ns0:t>Not applicable</ns0:t>
        </ns0:is>
      </ns0:c>
      <ns0:c r="AM426" s="21" t="inlineStr">
        <ns0:is>
          <ns0:t>Not separately specified</ns0:t>
        </ns0:is>
      </ns0:c>
      <ns0:c r="AN426" s="21" t="inlineStr"/>
      <ns0:c r="AO426" s="21" t="inlineStr">
        <ns0:is>
          <ns0:t>No additional status determination</ns0:t>
        </ns0:is>
      </ns0:c>
      <ns0:c r="AP426" s="21" t="inlineStr">
        <ns0:is>
          <ns0:t>Not documented for this recharting</ns0:t>
        </ns0:is>
      </ns0:c>
      <ns0:c r="AQ426" s="21" t="inlineStr">
        <ns0:is>
          <ns0:t>ChatGPT-assisted evidence recharting, 2026-09-08</ns0:t>
        </ns0:is>
      </ns0:c>
      <ns0:c r="AR426" s="21" t="inlineStr">
        <ns0:is>
          <ns0:t>Revision asistida por IA (un revisor; requiere verificacion independiente)</ns0:t>
        </ns0:is>
      </ns0:c>
      <ns0:c r="AS426" s="21" t="inlineStr">
        <ns0:is>
          <ns0:t>Retrieved/reviewed; content sufficient for scoped adjudication</ns0:t>
        </ns0:is>
      </ns0:c>
    </ns0:row>
    <ns0:row r="427" ht="50" customHeight="1">
      <ns0:c r="A427" s="19" t="inlineStr">
        <ns0:is>
          <ns0:t>new_349</ns0:t>
        </ns0:is>
      </ns0:c>
      <ns0:c r="B427" s="19" t="inlineStr">
        <ns0:is>
          <ns0:t>Update</ns0:t>
        </ns0:is>
      </ns0:c>
      <ns0:c r="C427" s="19" t="inlineStr">
        <ns0:is>
          <ns0:t>Dominant cross-frequency analysis-based early diagnosis of Autism Spectrum Disorder in pediatrics using FRHIS and DSTCNN</ns0:t>
        </ns0:is>
      </ns0:c>
      <ns0:c r="D427" s="19" t="inlineStr">
        <ns0:is>
          <ns0:t>10.1016/j.pscychresns.2026.112270</ns0:t>
        </ns0:is>
      </ns0:c>
      <ns0:c r="E427" s="26" t="n">
        <ns0:v>2026</ns0:v>
      </ns0:c>
      <ns0:c r="F427" s="19" t="inlineStr">
        <ns0:is>
          <ns0:t>Include</ns0:t>
        </ns0:is>
      </ns0:c>
      <ns0:c r="G427" s="27">
        <ns0:f>IF(F427="Include",1,0)</ns0:f>
        <ns0:v>1</ns0:v>
      </ns0:c>
      <ns0:c r="H427" s="19" t="inlineStr">
        <ns0:is>
          <ns0:t>Diagnosis</ns0:t>
        </ns0:is>
      </ns0:c>
      <ns0:c r="I427" s="19" t="inlineStr">
        <ns0:is>
          <ns0:t>Deep Learning</ns0:t>
        </ns0:is>
      </ns0:c>
      <ns0:c r="J427" s="19" t="inlineStr">
        <ns0:is>
          <ns0:t>Physiological signals</ns0:t>
        </ns0:is>
      </ns0:c>
      <ns0:c r="K427" s="19" t="inlineStr">
        <ns0:is>
          <ns0:t>FRHIS + CRBM feature selection + DSTCNN</ns0:t>
        </ns0:is>
      </ns0:c>
      <ns0:c r="L427" s="19" t="inlineStr">
        <ns0:is>
          <ns0:t>CNN</ns0:t>
        </ns0:is>
      </ns0:c>
      <ns0:c r="M427" s="19" t="inlineStr">
        <ns0:is>
          <ns0:t>Research only</ns0:t>
        </ns0:is>
      </ns0:c>
      <ns0:c r="N427" s="19" t="inlineStr">
        <ns0:is>
          <ns0:t>Automated measurement/classification</ns0:t>
        </ns0:is>
      </ns0:c>
      <ns0:c r="O427" s="19" t="inlineStr">
        <ns0:is>
          <ns0:t>Not observed in assessed sources</ns0:t>
        </ns0:is>
      </ns0:c>
      <ns0:c r="P427" s="19" t="inlineStr">
        <ns0:is>
          <ns0:t>Not observed in assessed sources</ns0:t>
        </ns0:is>
      </ns0:c>
      <ns0:c r="Q427" s="19" t="inlineStr">
        <ns0:is>
          <ns0:t>Not reported in assessed sources</ns0:t>
        </ns0:is>
      </ns0:c>
      <ns0:c r="R427" s="19" t="inlineStr">
        <ns0:is>
          <ns0:t>Not reported in assessed sources</ns0:t>
        </ns0:is>
      </ns0:c>
      <ns0:c r="S427" s="19" t="inlineStr">
        <ns0:is>
          <ns0:t>Not reported in assessed sources</ns0:t>
        </ns0:is>
      </ns0:c>
      <ns0:c r="T427" s="19" t="inlineStr">
        <ns0:is>
          <ns0:t>Not reported in assessed sources</ns0:t>
        </ns0:is>
      </ns0:c>
      <ns0:c r="U427" s="19" t="inlineStr">
        <ns0:is>
          <ns0:t>Not reported in assessed sources</ns0:t>
        </ns0:is>
      </ns0:c>
      <ns0:c r="V427" s="19" t="inlineStr">
        <ns0:is>
          <ns0:t>Not reported in assessed sources</ns0:t>
        </ns0:is>
      </ns0:c>
      <ns0:c r="W427" s="19" t="inlineStr">
        <ns0:is>
          <ns0:t>Not reported in assessed sources</ns0:t>
        </ns0:is>
      </ns0:c>
      <ns0:c r="X427" s="19" t="inlineStr">
        <ns0:is>
          <ns0:t>Not reported in assessed sources</ns0:t>
        </ns0:is>
      </ns0:c>
      <ns0:c r="Y427" s="19" t="inlineStr">
        <ns0:is>
          <ns0:t>Not ascertainable</ns0:t>
        </ns0:is>
      </ns0:c>
      <ns0:c r="Z427" s="19" t="inlineStr">
        <ns0:is>
          <ns0:t>Not reported in assessed sources</ns0:t>
        </ns0:is>
      </ns0:c>
      <ns0:c r="AA427" s="19" t="inlineStr">
        <ns0:is>
          <ns0:t>Not recorded</ns0:t>
        </ns0:is>
      </ns0:c>
      <ns0:c r="AB427" s="26" t="n">
        <ns0:v>0</ns0:v>
      </ns0:c>
      <ns0:c r="AC427" s="26" t="n">
        <ns0:v>0</ns0:v>
      </ns0:c>
      <ns0:c r="AD427" s="27">
        <ns0:f>IF(AND(G427=1,AB427=0),1,0)</ns0:f>
        <ns0:v>1</ns0:v>
      </ns0:c>
      <ns0:c r="AE427" s="27">
        <ns0:f>IF(AND(AD427=1,AC427=0),1,0)</ns0:f>
        <ns0:v>1</ns0:v>
      </ns0:c>
      <ns0:c r="AF427" s="27">
        <ns0:f>IF(AND(G427=1,H427&lt;&gt;"Not specified"),1,0)</ns0:f>
        <ns0:v>1</ns0:v>
      </ns0:c>
      <ns0:c r="AG427" s="27">
        <ns0:f>IF(AND(AE427=1,AF427=1),1,0)</ns0:f>
        <ns0:v>1</ns0:v>
      </ns0:c>
      <ns0:c r="AH427" s="19" t="inlineStr">
        <ns0:is>
          <ns0:t>Prior source-specific extraction retained; no new full-text retrieval</ns0:t>
        </ns0:is>
      </ns0:c>
      <ns0:c r="AI427" s="19" t="inlineStr">
        <ns0:is>
          <ns0:t>https://doi.org/10.1016/j.pscychresns.2026.112270</ns0:t>
        </ns0:is>
      </ns0:c>
      <ns0:c r="AJ427" s="19" t="inlineStr">
        <ns0:is>
          <ns0:t>EVIDENCIA; original abstract/coding notes and lot source trace; Inherited scoped adjudication; see source level and lot caveats</ns0:t>
        </ns0:is>
      </ns0:c>
      <ns0:c r="AK427" s="19" t="inlineStr">
        <ns0:is>
          <ns0:t>Retained source-specific coding after review of the supplied extraction notes; not a new full-text retrieval. The study applies dominant cross-frequency EEG analysis, FRHIS/CRBM-based feature processing and a DSTCNN classifier for pediatric ASD; the abstract reports 99.03% accuracy. The very high reported performance is not accompanied by an independent external cohort, prospective evaluation, or explicit cross-site robustness analysis in the accessible source.
All-neural/optimization pipeline in recovered evidence; hybrid title is not sufficient for mixed conventional-ML/DL classification.</ns0:t>
        </ns0:is>
      </ns0:c>
      <ns0:c r="AL427" s="19" t="inlineStr">
        <ns0:is>
          <ns0:t>Not applicable</ns0:t>
        </ns0:is>
      </ns0:c>
      <ns0:c r="AM427" s="19" t="inlineStr">
        <ns0:is>
          <ns0:t>Not separately specified</ns0:t>
        </ns0:is>
      </ns0:c>
      <ns0:c r="AN427" s="19" t="inlineStr"/>
      <ns0:c r="AO427" s="19" t="inlineStr">
        <ns0:is>
          <ns0:t>No additional status determination</ns0:t>
        </ns0:is>
      </ns0:c>
      <ns0:c r="AP427" s="19" t="inlineStr">
        <ns0:is>
          <ns0:t>Not documented for this recharting</ns0:t>
        </ns0:is>
      </ns0:c>
      <ns0:c r="AQ427" s="19" t="inlineStr">
        <ns0:is>
          <ns0:t>ChatGPT-assisted evidence recharting, 2026-09-08</ns0:t>
        </ns0:is>
      </ns0:c>
      <ns0:c r="AR427" s="19" t="inlineStr">
        <ns0:is>
          <ns0:t>Revision asistida por IA (un revisor; requiere verificacion independiente)</ns0:t>
        </ns0:is>
      </ns0:c>
      <ns0:c r="AS427" s="19" t="inlineStr">
        <ns0:is>
          <ns0:t>Retrieved/reviewed; content sufficient for scoped adjudication</ns0:t>
        </ns0:is>
      </ns0:c>
    </ns0:row>
    <ns0:row r="428" ht="50" customHeight="1">
      <ns0:c r="A428" s="21" t="inlineStr">
        <ns0:is>
          <ns0:t>new_354</ns0:t>
        </ns0:is>
      </ns0:c>
      <ns0:c r="B428" s="21" t="inlineStr">
        <ns0:is>
          <ns0:t>Update</ns0:t>
        </ns0:is>
      </ns0:c>
      <ns0:c r="C428" s="21" t="inlineStr">
        <ns0:is>
          <ns0:t>Contrastive diffusion adaptation network with rs-fMRI for domain adaptation classification of autism spectrum disorder</ns0:t>
        </ns0:is>
      </ns0:c>
      <ns0:c r="D428" s="21" t="inlineStr">
        <ns0:is>
          <ns0:t>10.1016/j.asoc.2026.115959</ns0:t>
        </ns0:is>
      </ns0:c>
      <ns0:c r="E428" s="28" t="n">
        <ns0:v>2026</ns0:v>
      </ns0:c>
      <ns0:c r="F428" s="21" t="inlineStr">
        <ns0:is>
          <ns0:t>Include</ns0:t>
        </ns0:is>
      </ns0:c>
      <ns0:c r="G428" s="29">
        <ns0:f>IF(F428="Include",1,0)</ns0:f>
        <ns0:v>1</ns0:v>
      </ns0:c>
      <ns0:c r="H428" s="21" t="inlineStr">
        <ns0:is>
          <ns0:t>Diagnosis</ns0:t>
        </ns0:is>
      </ns0:c>
      <ns0:c r="I428" s="21" t="inlineStr">
        <ns0:is>
          <ns0:t>Deep Learning</ns0:t>
        </ns0:is>
      </ns0:c>
      <ns0:c r="J428" s="21" t="inlineStr">
        <ns0:is>
          <ns0:t>Neuroimaging</ns0:t>
        </ns0:is>
      </ns0:c>
      <ns0:c r="K428" s="21" t="inlineStr">
        <ns0:is>
          <ns0:t>CoNA-Net: Contrastive Variational Graph Transformer + GraphDDPMAugmentor + BrainNode-Attention GNN</ns0:t>
        </ns0:is>
      </ns0:c>
      <ns0:c r="L428" s="21" t="inlineStr">
        <ns0:is>
          <ns0:t>Composite/ensemble pipeline</ns0:t>
        </ns0:is>
      </ns0:c>
      <ns0:c r="M428" s="21" t="inlineStr">
        <ns0:is>
          <ns0:t>Research only</ns0:t>
        </ns0:is>
      </ns0:c>
      <ns0:c r="N428" s="21" t="inlineStr">
        <ns0:is>
          <ns0:t>Automated measurement/classification</ns0:t>
        </ns0:is>
      </ns0:c>
      <ns0:c r="O428" s="21" t="inlineStr">
        <ns0:is>
          <ns0:t>Not observed in assessed sources</ns0:t>
        </ns0:is>
      </ns0:c>
      <ns0:c r="P428" s="21" t="inlineStr">
        <ns0:is>
          <ns0:t>Not observed in assessed sources</ns0:t>
        </ns0:is>
      </ns0:c>
      <ns0:c r="Q428" s="21" t="inlineStr">
        <ns0:is>
          <ns0:t>Not reported in assessed sources</ns0:t>
        </ns0:is>
      </ns0:c>
      <ns0:c r="R428" s="21" t="inlineStr">
        <ns0:is>
          <ns0:t>Not reported in assessed sources</ns0:t>
        </ns0:is>
      </ns0:c>
      <ns0:c r="S428" s="21" t="inlineStr">
        <ns0:is>
          <ns0:t>Reported</ns0:t>
        </ns0:is>
      </ns0:c>
      <ns0:c r="T428" s="21" t="inlineStr">
        <ns0:is>
          <ns0:t>Reported</ns0:t>
        </ns0:is>
      </ns0:c>
      <ns0:c r="U428" s="21" t="inlineStr">
        <ns0:is>
          <ns0:t>Reported</ns0:t>
        </ns0:is>
      </ns0:c>
      <ns0:c r="V428" s="21" t="inlineStr">
        <ns0:is>
          <ns0:t>Reported</ns0:t>
        </ns0:is>
      </ns0:c>
      <ns0:c r="W428" s="21" t="inlineStr">
        <ns0:is>
          <ns0:t>Not reported in assessed sources</ns0:t>
        </ns0:is>
      </ns0:c>
      <ns0:c r="X428" s="21" t="inlineStr">
        <ns0:is>
          <ns0:t>Not reported in assessed sources</ns0:t>
        </ns0:is>
      </ns0:c>
      <ns0:c r="Y428" s="21" t="inlineStr">
        <ns0:is>
          <ns0:t>Not ascertainable</ns0:t>
        </ns0:is>
      </ns0:c>
      <ns0:c r="Z428" s="21" t="inlineStr">
        <ns0:is>
          <ns0:t>Not reported in assessed sources</ns0:t>
        </ns0:is>
      </ns0:c>
      <ns0:c r="AA428" s="21" t="inlineStr">
        <ns0:is>
          <ns0:t>Not recorded</ns0:t>
        </ns0:is>
      </ns0:c>
      <ns0:c r="AB428" s="28" t="n">
        <ns0:v>0</ns0:v>
      </ns0:c>
      <ns0:c r="AC428" s="28" t="n">
        <ns0:v>0</ns0:v>
      </ns0:c>
      <ns0:c r="AD428" s="29">
        <ns0:f>IF(AND(G428=1,AB428=0),1,0)</ns0:f>
        <ns0:v>1</ns0:v>
      </ns0:c>
      <ns0:c r="AE428" s="29">
        <ns0:f>IF(AND(AD428=1,AC428=0),1,0)</ns0:f>
        <ns0:v>1</ns0:v>
      </ns0:c>
      <ns0:c r="AF428" s="29">
        <ns0:f>IF(AND(G428=1,H428&lt;&gt;"Not specified"),1,0)</ns0:f>
        <ns0:v>1</ns0:v>
      </ns0:c>
      <ns0:c r="AG428" s="29">
        <ns0:f>IF(AND(AE428=1,AF428=1),1,0)</ns0:f>
        <ns0:v>1</ns0:v>
      </ns0:c>
      <ns0:c r="AH428" s="21" t="inlineStr">
        <ns0:is>
          <ns0:t>Prior source-specific extraction retained; no new full-text retrieval</ns0:t>
        </ns0:is>
      </ns0:c>
      <ns0:c r="AI428" s="21" t="inlineStr">
        <ns0:is>
          <ns0:t>https://doi.org/10.1016/j.asoc.2026.115959</ns0:t>
        </ns0:is>
      </ns0:c>
      <ns0:c r="AJ428" s="21" t="inlineStr">
        <ns0:is>
          <ns0:t>EVIDENCIA; original abstract/coding notes and lot source trace; Inherited scoped adjudication; see source level and lot caveats</ns0:t>
        </ns0:is>
      </ns0:c>
      <ns0:c r="AK428" s="21" t="inlineStr">
        <ns0:is>
          <ns0:t>Retained source-specific coding after review of the supplied extraction notes; not a new full-text retrieval. CoNA-Net combines contrastive graph representation learning, diffusion-based augmentation and brain-node attention to address domain shift across ABIDE sites and to identify influential brain regions. Cross-site/domain-adaptation testing supports robustness but is not equivalent to an independent prospective external clinical validation cohort.
All-neural/optimization pipeline in recovered evidence; hybrid title is not sufficient for mixed conventional-ML/DL classification.</ns0:t>
        </ns0:is>
      </ns0:c>
      <ns0:c r="AL428" s="21" t="inlineStr">
        <ns0:is>
          <ns0:t>Not applicable</ns0:t>
        </ns0:is>
      </ns0:c>
      <ns0:c r="AM428" s="21" t="inlineStr">
        <ns0:is>
          <ns0:t>Not separately specified</ns0:t>
        </ns0:is>
      </ns0:c>
      <ns0:c r="AN428" s="21" t="inlineStr"/>
      <ns0:c r="AO428" s="21" t="inlineStr">
        <ns0:is>
          <ns0:t>No additional status determination</ns0:t>
        </ns0:is>
      </ns0:c>
      <ns0:c r="AP428" s="21" t="inlineStr">
        <ns0:is>
          <ns0:t>Not documented for this recharting</ns0:t>
        </ns0:is>
      </ns0:c>
      <ns0:c r="AQ428" s="21" t="inlineStr">
        <ns0:is>
          <ns0:t>ChatGPT-assisted evidence recharting, 2026-09-08</ns0:t>
        </ns0:is>
      </ns0:c>
      <ns0:c r="AR428" s="21" t="inlineStr">
        <ns0:is>
          <ns0:t>Revision asistida por IA (un revisor; requiere verificacion independiente)</ns0:t>
        </ns0:is>
      </ns0:c>
      <ns0:c r="AS428" s="21" t="inlineStr">
        <ns0:is>
          <ns0:t>Retrieved/reviewed; content sufficient for scoped adjudication</ns0:t>
        </ns0:is>
      </ns0:c>
    </ns0:row>
    <ns0:row r="429" ht="50" customHeight="1">
      <ns0:c r="A429" s="19" t="inlineStr">
        <ns0:is>
          <ns0:t>new_355</ns0:t>
        </ns0:is>
      </ns0:c>
      <ns0:c r="B429" s="19" t="inlineStr">
        <ns0:is>
          <ns0:t>Update</ns0:t>
        </ns0:is>
      </ns0:c>
      <ns0:c r="C429" s="19" t="inlineStr">
        <ns0:is>
          <ns0:t>Hybrid HOG–ResNet50V2 framework for early autism spectrum disorder detection from facial images</ns0:t>
        </ns0:is>
      </ns0:c>
      <ns0:c r="D429" s="19" t="inlineStr">
        <ns0:is>
          <ns0:t>10.1016/j.array.2026.100936</ns0:t>
        </ns0:is>
      </ns0:c>
      <ns0:c r="E429" s="26" t="n">
        <ns0:v>2026</ns0:v>
      </ns0:c>
      <ns0:c r="F429" s="19" t="inlineStr">
        <ns0:is>
          <ns0:t>Include</ns0:t>
        </ns0:is>
      </ns0:c>
      <ns0:c r="G429" s="27">
        <ns0:f>IF(F429="Include",1,0)</ns0:f>
        <ns0:v>1</ns0:v>
      </ns0:c>
      <ns0:c r="H429" s="19" t="inlineStr">
        <ns0:is>
          <ns0:t>Screening</ns0:t>
        </ns0:is>
      </ns0:c>
      <ns0:c r="I429" s="19" t="inlineStr">
        <ns0:is>
          <ns0:t>Deep Learning</ns0:t>
        </ns0:is>
      </ns0:c>
      <ns0:c r="J429" s="19" t="inlineStr">
        <ns0:is>
          <ns0:t>Behavioral images/video/gaze/movement</ns0:t>
        </ns0:is>
      </ns0:c>
      <ns0:c r="K429" s="19" t="inlineStr">
        <ns0:is>
          <ns0:t>HOG + ResNet50V2 transfer learning</ns0:t>
        </ns0:is>
      </ns0:c>
      <ns0:c r="L429" s="19" t="inlineStr">
        <ns0:is>
          <ns0:t>CNN</ns0:t>
        </ns0:is>
      </ns0:c>
      <ns0:c r="M429" s="19" t="inlineStr">
        <ns0:is>
          <ns0:t>Proposed only</ns0:t>
        </ns0:is>
      </ns0:c>
      <ns0:c r="N429" s="19" t="inlineStr">
        <ns0:is>
          <ns0:t>Triage/questionnaire assessment</ns0:t>
        </ns0:is>
      </ns0:c>
      <ns0:c r="O429" s="19" t="inlineStr">
        <ns0:is>
          <ns0:t>Pre-decision</ns0:t>
        </ns0:is>
      </ns0:c>
      <ns0:c r="P429" s="19" t="inlineStr">
        <ns0:is>
          <ns0:t>Not observed in assessed sources</ns0:t>
        </ns0:is>
      </ns0:c>
      <ns0:c r="Q429" s="19" t="inlineStr">
        <ns0:is>
          <ns0:t>Not reported in assessed sources</ns0:t>
        </ns0:is>
      </ns0:c>
      <ns0:c r="R429" s="19" t="inlineStr">
        <ns0:is>
          <ns0:t>Not reported in assessed sources</ns0:t>
        </ns0:is>
      </ns0:c>
      <ns0:c r="S429" s="19" t="inlineStr">
        <ns0:is>
          <ns0:t>Not reported in assessed sources</ns0:t>
        </ns0:is>
      </ns0:c>
      <ns0:c r="T429" s="19" t="inlineStr">
        <ns0:is>
          <ns0:t>Not reported in assessed sources</ns0:t>
        </ns0:is>
      </ns0:c>
      <ns0:c r="U429" s="19" t="inlineStr">
        <ns0:is>
          <ns0:t>Not reported in assessed sources</ns0:t>
        </ns0:is>
      </ns0:c>
      <ns0:c r="V429" s="19" t="inlineStr">
        <ns0:is>
          <ns0:t>Not reported in assessed sources</ns0:t>
        </ns0:is>
      </ns0:c>
      <ns0:c r="W429" s="19" t="inlineStr">
        <ns0:is>
          <ns0:t>Not reported in assessed sources</ns0:t>
        </ns0:is>
      </ns0:c>
      <ns0:c r="X429" s="19" t="inlineStr">
        <ns0:is>
          <ns0:t>Not reported in assessed sources</ns0:t>
        </ns0:is>
      </ns0:c>
      <ns0:c r="Y429" s="19" t="inlineStr">
        <ns0:is>
          <ns0:t>Not ascertainable</ns0:t>
        </ns0:is>
      </ns0:c>
      <ns0:c r="Z429" s="19" t="inlineStr">
        <ns0:is>
          <ns0:t>Not reported in assessed sources</ns0:t>
        </ns0:is>
      </ns0:c>
      <ns0:c r="AA429" s="19" t="inlineStr">
        <ns0:is>
          <ns0:t>Not recorded</ns0:t>
        </ns0:is>
      </ns0:c>
      <ns0:c r="AB429" s="26" t="n">
        <ns0:v>0</ns0:v>
      </ns0:c>
      <ns0:c r="AC429" s="26" t="n">
        <ns0:v>0</ns0:v>
      </ns0:c>
      <ns0:c r="AD429" s="27">
        <ns0:f>IF(AND(G429=1,AB429=0),1,0)</ns0:f>
        <ns0:v>1</ns0:v>
      </ns0:c>
      <ns0:c r="AE429" s="27">
        <ns0:f>IF(AND(AD429=1,AC429=0),1,0)</ns0:f>
        <ns0:v>1</ns0:v>
      </ns0:c>
      <ns0:c r="AF429" s="27">
        <ns0:f>IF(AND(G429=1,H429&lt;&gt;"Not specified"),1,0)</ns0:f>
        <ns0:v>1</ns0:v>
      </ns0:c>
      <ns0:c r="AG429" s="27">
        <ns0:f>IF(AND(AE429=1,AF429=1),1,0)</ns0:f>
        <ns0:v>1</ns0:v>
      </ns0:c>
      <ns0:c r="AH429" s="19" t="inlineStr">
        <ns0:is>
          <ns0:t>Prior source-specific extraction retained; no new full-text retrieval</ns0:t>
        </ns0:is>
      </ns0:c>
      <ns0:c r="AI429" s="19" t="inlineStr">
        <ns0:is>
          <ns0:t>https://doi.org/10.1016/j.array.2026.100936</ns0:t>
        </ns0:is>
      </ns0:c>
      <ns0:c r="AJ429" s="19" t="inlineStr">
        <ns0:is>
          <ns0:t>EVIDENCIA; original abstract/coding notes and lot source trace; Inherited scoped adjudication; see source level and lot caveats</ns0:t>
        </ns0:is>
      </ns0:c>
      <ns0:c r="AK429" s="19" t="inlineStr">
        <ns0:is>
          <ns0:t>Retained source-specific coding after review of the supplied extraction notes; not a new full-text retrieval. The study combines HOG descriptors with ResNet50V2 transfer learning for ASD classification from facial images. The accessible material does not establish independent external validation, prospective deployment, cross-site robustness, or an explicit XAI method.
HOG is a hand-crafted descriptor, not a learned conventional ML classifier; classifier is ResNet50V2.</ns0:t>
        </ns0:is>
      </ns0:c>
      <ns0:c r="AL429" s="19" t="inlineStr">
        <ns0:is>
          <ns0:t>Not applicable</ns0:t>
        </ns0:is>
      </ns0:c>
      <ns0:c r="AM429" s="19" t="inlineStr">
        <ns0:is>
          <ns0:t>Not separately specified</ns0:t>
        </ns0:is>
      </ns0:c>
      <ns0:c r="AN429" s="19" t="inlineStr"/>
      <ns0:c r="AO429" s="19" t="inlineStr">
        <ns0:is>
          <ns0:t>No additional status determination</ns0:t>
        </ns0:is>
      </ns0:c>
      <ns0:c r="AP429" s="19" t="inlineStr">
        <ns0:is>
          <ns0:t>Not documented for this recharting</ns0:t>
        </ns0:is>
      </ns0:c>
      <ns0:c r="AQ429" s="19" t="inlineStr">
        <ns0:is>
          <ns0:t>ChatGPT-assisted evidence recharting, 2026-09-08</ns0:t>
        </ns0:is>
      </ns0:c>
      <ns0:c r="AR429" s="19" t="inlineStr">
        <ns0:is>
          <ns0:t>Revision asistida por IA (un revisor; requiere verificacion independiente)</ns0:t>
        </ns0:is>
      </ns0:c>
      <ns0:c r="AS429" s="19" t="inlineStr">
        <ns0:is>
          <ns0:t>Retrieved/reviewed; content sufficient for scoped adjudication</ns0:t>
        </ns0:is>
      </ns0:c>
    </ns0:row>
    <ns0:row r="430" ht="50" customHeight="1">
      <ns0:c r="A430" s="21" t="inlineStr">
        <ns0:is>
          <ns0:t>new_364</ns0:t>
        </ns0:is>
      </ns0:c>
      <ns0:c r="B430" s="21" t="inlineStr">
        <ns0:is>
          <ns0:t>Update</ns0:t>
        </ns0:is>
      </ns0:c>
      <ns0:c r="C430" s="23" t="inlineStr">
        <ns0:is>
          <ns0:t>Smart detection of autism spectrum disorder using optimized deep learner for transforming early diagnosis and intervention</ns0:t>
        </ns0:is>
      </ns0:c>
      <ns0:c r="D430" s="21" t="inlineStr">
        <ns0:is>
          <ns0:t>10.1007/s12065-026-01162-x</ns0:t>
        </ns0:is>
      </ns0:c>
      <ns0:c r="E430" s="28" t="n">
        <ns0:v>2026</ns0:v>
      </ns0:c>
      <ns0:c r="F430" s="21" t="inlineStr">
        <ns0:is>
          <ns0:t>Include</ns0:t>
        </ns0:is>
      </ns0:c>
      <ns0:c r="G430" s="29">
        <ns0:f>IF(F430="Include",1,0)</ns0:f>
        <ns0:v>1</ns0:v>
      </ns0:c>
      <ns0:c r="H430" s="21" t="inlineStr">
        <ns0:is>
          <ns0:t>Screening</ns0:t>
        </ns0:is>
      </ns0:c>
      <ns0:c r="I430" s="21" t="inlineStr">
        <ns0:is>
          <ns0:t>Deep Learning</ns0:t>
        </ns0:is>
      </ns0:c>
      <ns0:c r="J430" s="21" t="inlineStr">
        <ns0:is>
          <ns0:t>Not specified</ns0:t>
        </ns0:is>
      </ns0:c>
      <ns0:c r="K430" s="21" t="inlineStr">
        <ns0:is>
          <ns0:t>NeD-TraF + EVA-Search</ns0:t>
        </ns0:is>
      </ns0:c>
      <ns0:c r="L430" s="21" t="inlineStr">
        <ns0:is>
          <ns0:t>Other specified method</ns0:t>
        </ns0:is>
      </ns0:c>
      <ns0:c r="M430" s="21" t="inlineStr">
        <ns0:is>
          <ns0:t>Proposed only</ns0:t>
        </ns0:is>
      </ns0:c>
      <ns0:c r="N430" s="21" t="inlineStr">
        <ns0:is>
          <ns0:t>Triage/questionnaire assessment</ns0:t>
        </ns0:is>
      </ns0:c>
      <ns0:c r="O430" s="21" t="inlineStr">
        <ns0:is>
          <ns0:t>Pre-decision</ns0:t>
        </ns0:is>
      </ns0:c>
      <ns0:c r="P430" s="21" t="inlineStr">
        <ns0:is>
          <ns0:t>Not observed in assessed sources</ns0:t>
        </ns0:is>
      </ns0:c>
      <ns0:c r="Q430" s="21" t="inlineStr">
        <ns0:is>
          <ns0:t>Not reported in assessed sources</ns0:t>
        </ns0:is>
      </ns0:c>
      <ns0:c r="R430" s="21" t="inlineStr">
        <ns0:is>
          <ns0:t>Not ascertainable</ns0:t>
        </ns0:is>
      </ns0:c>
      <ns0:c r="S430" s="21" t="inlineStr">
        <ns0:is>
          <ns0:t>Not reported in assessed sources</ns0:t>
        </ns0:is>
      </ns0:c>
      <ns0:c r="T430" s="21" t="inlineStr">
        <ns0:is>
          <ns0:t>Not reported in assessed sources</ns0:t>
        </ns0:is>
      </ns0:c>
      <ns0:c r="U430" s="21" t="inlineStr">
        <ns0:is>
          <ns0:t>Not reported in assessed sources</ns0:t>
        </ns0:is>
      </ns0:c>
      <ns0:c r="V430" s="21" t="inlineStr">
        <ns0:is>
          <ns0:t>Not reported in assessed sources</ns0:t>
        </ns0:is>
      </ns0:c>
      <ns0:c r="W430" s="21" t="inlineStr">
        <ns0:is>
          <ns0:t>Not reported in assessed sources</ns0:t>
        </ns0:is>
      </ns0:c>
      <ns0:c r="X430" s="21" t="inlineStr">
        <ns0:is>
          <ns0:t>Not reported in assessed sources</ns0:t>
        </ns0:is>
      </ns0:c>
      <ns0:c r="Y430" s="21" t="inlineStr">
        <ns0:is>
          <ns0:t>Not ascertainable</ns0:t>
        </ns0:is>
      </ns0:c>
      <ns0:c r="Z430" s="21" t="inlineStr">
        <ns0:is>
          <ns0:t>Not reported in assessed sources</ns0:t>
        </ns0:is>
      </ns0:c>
      <ns0:c r="AA430" s="21" t="inlineStr">
        <ns0:is>
          <ns0:t>Not recorded</ns0:t>
        </ns0:is>
      </ns0:c>
      <ns0:c r="AB430" s="28" t="n">
        <ns0:v>0</ns0:v>
      </ns0:c>
      <ns0:c r="AC430" s="28" t="n">
        <ns0:v>1</ns0:v>
      </ns0:c>
      <ns0:c r="AD430" s="29">
        <ns0:f>IF(AND(G430=1,AB430=0),1,0)</ns0:f>
        <ns0:v>1</ns0:v>
      </ns0:c>
      <ns0:c r="AE430" s="29">
        <ns0:f>IF(AND(AD430=1,AC430=0),1,0)</ns0:f>
        <ns0:v>0</ns0:v>
      </ns0:c>
      <ns0:c r="AF430" s="29">
        <ns0:f>IF(AND(G430=1,H430&lt;&gt;"Not specified"),1,0)</ns0:f>
        <ns0:v>1</ns0:v>
      </ns0:c>
      <ns0:c r="AG430" s="29">
        <ns0:f>IF(AND(AE430=1,AF430=1),1,0)</ns0:f>
        <ns0:v>0</ns0:v>
      </ns0:c>
      <ns0:c r="AH430" s="21" t="inlineStr">
        <ns0:is>
          <ns0:t>Prior source-specific extraction retained; no new full-text retrieval</ns0:t>
        </ns0:is>
      </ns0:c>
      <ns0:c r="AI430" s="21" t="inlineStr">
        <ns0:is>
          <ns0:t>https://doi.org/10.1007/s12065-026-01162-x</ns0:t>
        </ns0:is>
      </ns0:c>
      <ns0:c r="AJ430" s="21" t="inlineStr">
        <ns0:is>
          <ns0:t>EVIDENCIA; original abstract/coding notes and lot source trace; Inherited scoped adjudication; see source level and lot caveats</ns0:t>
        </ns0:is>
      </ns0:c>
      <ns0:c r="AK430" s="21" t="inlineStr">
        <ns0:is>
          <ns0:t>Retained source-specific coding after review of the supplied extraction notes; not a new full-text retrieval. The full text describes experiments on the Reddit Mental Health Dataset and ASD Screening Dataset, including stratified 70/15/15 train/validation/test splits and reported performance near 99%. Material reporting contradiction: the Methods/Results explicitly analyze two datasets, while the Data Availability statement says no datasets were generated or analysed. Inclusion is retained provisionally, but this requires high-priority human verification before final synthesis.
The full text describes experiments on the Reddit Mental Health Dataset and ASD Screening Dataset, including stratified 70/15/15 train/validation/test splits and reported performance near 99%. Material reporting contradiction: the Methods/Results explicitly analyze two datasets, while the Data Availability statement says no datasets were generated or analysed. Inclusion is retained provisionally, but this requires high-priority human verification before final synthesis.
Material reporting/source-lineage inconsistency preserved; excluded in conservative sensitivity analysis.</ns0:t>
        </ns0:is>
      </ns0:c>
      <ns0:c r="AL430" s="21" t="inlineStr">
        <ns0:is>
          <ns0:t>Not applicable</ns0:t>
        </ns0:is>
      </ns0:c>
      <ns0:c r="AM430" s="21" t="inlineStr">
        <ns0:is>
          <ns0:t>Not separately specified</ns0:t>
        </ns0:is>
      </ns0:c>
      <ns0:c r="AN430" s="21" t="inlineStr">
        <ns0:is>
          <ns0:t>Material reporting/source-lineage inconsistency preserved; excluded in conservative sensitivity analysis.</ns0:t>
        </ns0:is>
      </ns0:c>
      <ns0:c r="AO430" s="21" t="inlineStr">
        <ns0:is>
          <ns0:t>No additional status determination</ns0:t>
        </ns0:is>
      </ns0:c>
      <ns0:c r="AP430" s="21" t="inlineStr">
        <ns0:is>
          <ns0:t>Not documented for this recharting</ns0:t>
        </ns0:is>
      </ns0:c>
      <ns0:c r="AQ430" s="21" t="inlineStr">
        <ns0:is>
          <ns0:t>ChatGPT-assisted evidence recharting, 2026-09-08</ns0:t>
        </ns0:is>
      </ns0:c>
      <ns0:c r="AR430" s="21" t="inlineStr">
        <ns0:is>
          <ns0:t>Revision asistida por IA (un revisor; requiere verificacion independiente)</ns0:t>
        </ns0:is>
      </ns0:c>
      <ns0:c r="AS430" s="21" t="inlineStr">
        <ns0:is>
          <ns0:t>Retrieved/reviewed; content sufficient for scoped adjudication</ns0:t>
        </ns0:is>
      </ns0:c>
    </ns0:row>
    <ns0:row r="431" ht="50" customHeight="1">
      <ns0:c r="A431" s="19" t="inlineStr">
        <ns0:is>
          <ns0:t>new_366</ns0:t>
        </ns0:is>
      </ns0:c>
      <ns0:c r="B431" s="19" t="inlineStr">
        <ns0:is>
          <ns0:t>Update</ns0:t>
        </ns0:is>
      </ns0:c>
      <ns0:c r="C431" s="23" t="inlineStr">
        <ns0:is>
          <ns0:t>Hybrid deep learning with cross-attention fusion for autism spectrum disorder classification from facial images</ns0:t>
        </ns0:is>
      </ns0:c>
      <ns0:c r="D431" s="19" t="inlineStr">
        <ns0:is>
          <ns0:t>10.1016/j.ibmed.2026.100421</ns0:t>
        </ns0:is>
      </ns0:c>
      <ns0:c r="E431" s="26" t="n">
        <ns0:v>2026</ns0:v>
      </ns0:c>
      <ns0:c r="F431" s="19" t="inlineStr">
        <ns0:is>
          <ns0:t>Include</ns0:t>
        </ns0:is>
      </ns0:c>
      <ns0:c r="G431" s="27">
        <ns0:f>IF(F431="Include",1,0)</ns0:f>
        <ns0:v>1</ns0:v>
      </ns0:c>
      <ns0:c r="H431" s="19" t="inlineStr">
        <ns0:is>
          <ns0:t>Screening</ns0:t>
        </ns0:is>
      </ns0:c>
      <ns0:c r="I431" s="19" t="inlineStr">
        <ns0:is>
          <ns0:t>Deep Learning</ns0:t>
        </ns0:is>
      </ns0:c>
      <ns0:c r="J431" s="19" t="inlineStr">
        <ns0:is>
          <ns0:t>Behavioral images/video/gaze/movement</ns0:t>
        </ns0:is>
      </ns0:c>
      <ns0:c r="K431" s="19" t="inlineStr">
        <ns0:is>
          <ns0:t>ResNet-152-CBAM + ViT-Large bidirectional cross-attention + weighted ensemble/TTA</ns0:t>
        </ns0:is>
      </ns0:c>
      <ns0:c r="L431" s="19" t="inlineStr">
        <ns0:is>
          <ns0:t>Composite/ensemble pipeline</ns0:t>
        </ns0:is>
      </ns0:c>
      <ns0:c r="M431" s="19" t="inlineStr">
        <ns0:is>
          <ns0:t>Proposed only</ns0:t>
        </ns0:is>
      </ns0:c>
      <ns0:c r="N431" s="19" t="inlineStr">
        <ns0:is>
          <ns0:t>Triage/questionnaire assessment</ns0:t>
        </ns0:is>
      </ns0:c>
      <ns0:c r="O431" s="19" t="inlineStr">
        <ns0:is>
          <ns0:t>Pre-decision</ns0:t>
        </ns0:is>
      </ns0:c>
      <ns0:c r="P431" s="19" t="inlineStr">
        <ns0:is>
          <ns0:t>Not observed in assessed sources</ns0:t>
        </ns0:is>
      </ns0:c>
      <ns0:c r="Q431" s="19" t="inlineStr">
        <ns0:is>
          <ns0:t>Not reported in assessed sources</ns0:t>
        </ns0:is>
      </ns0:c>
      <ns0:c r="R431" s="19" t="inlineStr">
        <ns0:is>
          <ns0:t>Not reported in assessed sources</ns0:t>
        </ns0:is>
      </ns0:c>
      <ns0:c r="S431" s="19" t="inlineStr">
        <ns0:is>
          <ns0:t>Reported</ns0:t>
        </ns0:is>
      </ns0:c>
      <ns0:c r="T431" s="19" t="inlineStr">
        <ns0:is>
          <ns0:t>Reported</ns0:t>
        </ns0:is>
      </ns0:c>
      <ns0:c r="U431" s="19" t="inlineStr">
        <ns0:is>
          <ns0:t>Not reported in assessed sources</ns0:t>
        </ns0:is>
      </ns0:c>
      <ns0:c r="V431" s="19" t="inlineStr">
        <ns0:is>
          <ns0:t>Not reported in assessed sources</ns0:t>
        </ns0:is>
      </ns0:c>
      <ns0:c r="W431" s="19" t="inlineStr">
        <ns0:is>
          <ns0:t>Not reported in assessed sources</ns0:t>
        </ns0:is>
      </ns0:c>
      <ns0:c r="X431" s="19" t="inlineStr">
        <ns0:is>
          <ns0:t>Not reported in assessed sources</ns0:t>
        </ns0:is>
      </ns0:c>
      <ns0:c r="Y431" s="19" t="inlineStr">
        <ns0:is>
          <ns0:t>Not ascertainable</ns0:t>
        </ns0:is>
      </ns0:c>
      <ns0:c r="Z431" s="19" t="inlineStr">
        <ns0:is>
          <ns0:t>Not reported in assessed sources</ns0:t>
        </ns0:is>
      </ns0:c>
      <ns0:c r="AA431" s="19" t="inlineStr">
        <ns0:is>
          <ns0:t>Not recorded</ns0:t>
        </ns0:is>
      </ns0:c>
      <ns0:c r="AB431" s="26" t="n">
        <ns0:v>0</ns0:v>
      </ns0:c>
      <ns0:c r="AC431" s="26" t="n">
        <ns0:v>1</ns0:v>
      </ns0:c>
      <ns0:c r="AD431" s="27">
        <ns0:f>IF(AND(G431=1,AB431=0),1,0)</ns0:f>
        <ns0:v>1</ns0:v>
      </ns0:c>
      <ns0:c r="AE431" s="27">
        <ns0:f>IF(AND(AD431=1,AC431=0),1,0)</ns0:f>
        <ns0:v>0</ns0:v>
      </ns0:c>
      <ns0:c r="AF431" s="27">
        <ns0:f>IF(AND(G431=1,H431&lt;&gt;"Not specified"),1,0)</ns0:f>
        <ns0:v>1</ns0:v>
      </ns0:c>
      <ns0:c r="AG431" s="27">
        <ns0:f>IF(AND(AE431=1,AF431=1),1,0)</ns0:f>
        <ns0:v>0</ns0:v>
      </ns0:c>
      <ns0:c r="AH431" s="19" t="inlineStr">
        <ns0:is>
          <ns0:t>Prior source-specific extraction retained; no new full-text retrieval</ns0:t>
        </ns0:is>
      </ns0:c>
      <ns0:c r="AI431" s="19" t="inlineStr">
        <ns0:is>
          <ns0:t>https://doi.org/10.1016/j.ibmed.2026.100421</ns0:t>
        </ns0:is>
      </ns0:c>
      <ns0:c r="AJ431" s="19" t="inlineStr">
        <ns0:is>
          <ns0:t>EVIDENCIA; original abstract/coding notes and lot source trace; Inherited scoped adjudication; see source level and lot caveats</ns0:t>
        </ns0:is>
      </ns0:c>
      <ns0:c r="AK431" s="19" t="inlineStr">
        <ns0:is>
          <ns0:t>Retained source-specific coding after review of the supplied extraction notes; not a new full-text retrieval. A hybrid ResNet-152-CBAM/ViT-Large model with bidirectional cross-attention, weighted ensemble and test-time augmentation is evaluated on 2,940 public facial images; Grad-CAM highlights periocular regions and the ensemble reports 92% accuracy. The article reports a fixed 86.4%/3.4%/10.2% train/validation/test partition while the abstract also reports mean±SD across 5-fold cross-validation, creating an evaluation-protocol inconsistency that should be reconciled manually. No independent external dataset was used.
A hybrid ResNet-152-CBAM/ViT-Large model with bidirectional cross-attention, weighted ensemble and test-time augmentation is evaluated on 2,940 public facial images; Grad-CAM highlights periocular regions and the ensemble reports 92% accuracy. The article reports a fixed 86.4%/3.4%/10.2% train/validation/test partition while the abstract also reports mean±SD across 5-fold cross-validation, creating an evaluation-protocol inconsistency that should be reconciled manually. No independent external dataset was used.
Material reporting/source-lineage inconsistency preserved; excluded in conservative sensitivity analysis.
All-neural/optimization pipeline in recovered evidence; hybrid title is not sufficient for mixed conventional-ML/DL classification.</ns0:t>
        </ns0:is>
      </ns0:c>
      <ns0:c r="AL431" s="19" t="inlineStr">
        <ns0:is>
          <ns0:t>Not applicable</ns0:t>
        </ns0:is>
      </ns0:c>
      <ns0:c r="AM431" s="19" t="inlineStr">
        <ns0:is>
          <ns0:t>Not separately specified</ns0:t>
        </ns0:is>
      </ns0:c>
      <ns0:c r="AN431" s="19" t="inlineStr">
        <ns0:is>
          <ns0:t>Material reporting/source-lineage inconsistency preserved; excluded in conservative sensitivity analysis.</ns0:t>
        </ns0:is>
      </ns0:c>
      <ns0:c r="AO431" s="19" t="inlineStr">
        <ns0:is>
          <ns0:t>No additional status determination</ns0:t>
        </ns0:is>
      </ns0:c>
      <ns0:c r="AP431" s="19" t="inlineStr">
        <ns0:is>
          <ns0:t>Not documented for this recharting</ns0:t>
        </ns0:is>
      </ns0:c>
      <ns0:c r="AQ431" s="19" t="inlineStr">
        <ns0:is>
          <ns0:t>ChatGPT-assisted evidence recharting, 2026-09-08</ns0:t>
        </ns0:is>
      </ns0:c>
      <ns0:c r="AR431" s="19" t="inlineStr">
        <ns0:is>
          <ns0:t>Revision asistida por IA (un revisor; requiere verificacion independiente)</ns0:t>
        </ns0:is>
      </ns0:c>
      <ns0:c r="AS431" s="19" t="inlineStr">
        <ns0:is>
          <ns0:t>Retrieved/reviewed; content sufficient for scoped adjudication</ns0:t>
        </ns0:is>
      </ns0:c>
    </ns0:row>
    <ns0:row r="432" ht="50" customHeight="1">
      <ns0:c r="A432" s="21" t="inlineStr">
        <ns0:is>
          <ns0:t>new_371</ns0:t>
        </ns0:is>
      </ns0:c>
      <ns0:c r="B432" s="21" t="inlineStr">
        <ns0:is>
          <ns0:t>Update</ns0:t>
        </ns0:is>
      </ns0:c>
      <ns0:c r="C432" s="21" t="inlineStr">
        <ns0:is>
          <ns0:t>A Hybrid CNN-GAT Model for MRI Screening of Autism Spectrum Disorder</ns0:t>
        </ns0:is>
      </ns0:c>
      <ns0:c r="D432" s="21" t="inlineStr">
        <ns0:is>
          <ns0:t>10.1007/978-3-032-14531-4_4</ns0:t>
        </ns0:is>
      </ns0:c>
      <ns0:c r="E432" s="28" t="n">
        <ns0:v>2026</ns0:v>
      </ns0:c>
      <ns0:c r="F432" s="21" t="inlineStr">
        <ns0:is>
          <ns0:t>Include</ns0:t>
        </ns0:is>
      </ns0:c>
      <ns0:c r="G432" s="29">
        <ns0:f>IF(F432="Include",1,0)</ns0:f>
        <ns0:v>1</ns0:v>
      </ns0:c>
      <ns0:c r="H432" s="21" t="inlineStr">
        <ns0:is>
          <ns0:t>Screening</ns0:t>
        </ns0:is>
      </ns0:c>
      <ns0:c r="I432" s="21" t="inlineStr">
        <ns0:is>
          <ns0:t>Deep Learning</ns0:t>
        </ns0:is>
      </ns0:c>
      <ns0:c r="J432" s="21" t="inlineStr">
        <ns0:is>
          <ns0:t>Neuroimaging</ns0:t>
        </ns0:is>
      </ns0:c>
      <ns0:c r="K432" s="21" t="inlineStr">
        <ns0:is>
          <ns0:t>Hybrid CNN-GAT (Convolutional Neural Network + Graph Attention Network)</ns0:t>
        </ns0:is>
      </ns0:c>
      <ns0:c r="L432" s="21" t="inlineStr">
        <ns0:is>
          <ns0:t>Composite/ensemble pipeline</ns0:t>
        </ns0:is>
      </ns0:c>
      <ns0:c r="M432" s="21" t="inlineStr">
        <ns0:is>
          <ns0:t>Proposed only</ns0:t>
        </ns0:is>
      </ns0:c>
      <ns0:c r="N432" s="21" t="inlineStr">
        <ns0:is>
          <ns0:t>Triage/questionnaire assessment</ns0:t>
        </ns0:is>
      </ns0:c>
      <ns0:c r="O432" s="21" t="inlineStr">
        <ns0:is>
          <ns0:t>Pre-decision</ns0:t>
        </ns0:is>
      </ns0:c>
      <ns0:c r="P432" s="21" t="inlineStr">
        <ns0:is>
          <ns0:t>Not observed in assessed sources</ns0:t>
        </ns0:is>
      </ns0:c>
      <ns0:c r="Q432" s="21" t="inlineStr">
        <ns0:is>
          <ns0:t>Not reported in assessed sources</ns0:t>
        </ns0:is>
      </ns0:c>
      <ns0:c r="R432" s="21" t="inlineStr">
        <ns0:is>
          <ns0:t>Not reported in assessed sources</ns0:t>
        </ns0:is>
      </ns0:c>
      <ns0:c r="S432" s="21" t="inlineStr">
        <ns0:is>
          <ns0:t>Reported</ns0:t>
        </ns0:is>
      </ns0:c>
      <ns0:c r="T432" s="21" t="inlineStr">
        <ns0:is>
          <ns0:t>Reported</ns0:t>
        </ns0:is>
      </ns0:c>
      <ns0:c r="U432" s="21" t="inlineStr">
        <ns0:is>
          <ns0:t>Not reported in assessed sources</ns0:t>
        </ns0:is>
      </ns0:c>
      <ns0:c r="V432" s="21" t="inlineStr">
        <ns0:is>
          <ns0:t>Not reported in assessed sources</ns0:t>
        </ns0:is>
      </ns0:c>
      <ns0:c r="W432" s="21" t="inlineStr">
        <ns0:is>
          <ns0:t>Not reported in assessed sources</ns0:t>
        </ns0:is>
      </ns0:c>
      <ns0:c r="X432" s="21" t="inlineStr">
        <ns0:is>
          <ns0:t>Not reported in assessed sources</ns0:t>
        </ns0:is>
      </ns0:c>
      <ns0:c r="Y432" s="21" t="inlineStr">
        <ns0:is>
          <ns0:t>Not ascertainable</ns0:t>
        </ns0:is>
      </ns0:c>
      <ns0:c r="Z432" s="21" t="inlineStr">
        <ns0:is>
          <ns0:t>Not reported in assessed sources</ns0:t>
        </ns0:is>
      </ns0:c>
      <ns0:c r="AA432" s="21" t="inlineStr">
        <ns0:is>
          <ns0:t>Not recorded</ns0:t>
        </ns0:is>
      </ns0:c>
      <ns0:c r="AB432" s="28" t="n">
        <ns0:v>0</ns0:v>
      </ns0:c>
      <ns0:c r="AC432" s="28" t="n">
        <ns0:v>0</ns0:v>
      </ns0:c>
      <ns0:c r="AD432" s="29">
        <ns0:f>IF(AND(G432=1,AB432=0),1,0)</ns0:f>
        <ns0:v>1</ns0:v>
      </ns0:c>
      <ns0:c r="AE432" s="29">
        <ns0:f>IF(AND(AD432=1,AC432=0),1,0)</ns0:f>
        <ns0:v>1</ns0:v>
      </ns0:c>
      <ns0:c r="AF432" s="29">
        <ns0:f>IF(AND(G432=1,H432&lt;&gt;"Not specified"),1,0)</ns0:f>
        <ns0:v>1</ns0:v>
      </ns0:c>
      <ns0:c r="AG432" s="29">
        <ns0:f>IF(AND(AE432=1,AF432=1),1,0)</ns0:f>
        <ns0:v>1</ns0:v>
      </ns0:c>
      <ns0:c r="AH432" s="21" t="inlineStr">
        <ns0:is>
          <ns0:t>Prior source-specific extraction retained; no new full-text retrieval</ns0:t>
        </ns0:is>
      </ns0:c>
      <ns0:c r="AI432" s="21" t="inlineStr">
        <ns0:is>
          <ns0:t>https://doi.org/10.1007/978-3-032-14531-4_4</ns0:t>
        </ns0:is>
      </ns0:c>
      <ns0:c r="AJ432" s="21" t="inlineStr">
        <ns0:is>
          <ns0:t>EVIDENCIA; original abstract/coding notes and lot source trace; Inherited scoped adjudication; see source level and lot caveats</ns0:t>
        </ns0:is>
      </ns0:c>
      <ns0:c r="AK432" s="21" t="inlineStr">
        <ns0:is>
          <ns0:t>Retained source-specific coding after review of the supplied extraction notes; not a new full-text retrieval. Springer identifies this as a full conference paper in peer-reviewed MIND 2024 proceedings. The study proposes a hybrid CNN-GAT on publicly accessible MRI data and reports 88% ASD versus non-ASD classification accuracy. GAT attention is used to identify critical brain regions/connections. No independent external cohort, prospective clinical evaluation, or explicit cross-site robustness was established from the accessible evidence.</ns0:t>
        </ns0:is>
      </ns0:c>
      <ns0:c r="AL432" s="21" t="inlineStr">
        <ns0:is>
          <ns0:t>Not applicable</ns0:t>
        </ns0:is>
      </ns0:c>
      <ns0:c r="AM432" s="21" t="inlineStr">
        <ns0:is>
          <ns0:t>Not separately specified</ns0:t>
        </ns0:is>
      </ns0:c>
      <ns0:c r="AN432" s="21" t="inlineStr"/>
      <ns0:c r="AO432" s="21" t="inlineStr">
        <ns0:is>
          <ns0:t>No additional status determination</ns0:t>
        </ns0:is>
      </ns0:c>
      <ns0:c r="AP432" s="21" t="inlineStr">
        <ns0:is>
          <ns0:t>Not documented for this recharting</ns0:t>
        </ns0:is>
      </ns0:c>
      <ns0:c r="AQ432" s="21" t="inlineStr">
        <ns0:is>
          <ns0:t>ChatGPT-assisted evidence recharting, 2026-09-08</ns0:t>
        </ns0:is>
      </ns0:c>
      <ns0:c r="AR432" s="21" t="inlineStr">
        <ns0:is>
          <ns0:t>Revisión asistida por IA (un revisor; requiere verificación independiente)</ns0:t>
        </ns0:is>
      </ns0:c>
      <ns0:c r="AS432" s="21" t="inlineStr">
        <ns0:is>
          <ns0:t>Retrieved/reviewed; conference/proceedings publication type verified; scoped adjudication completed</ns0:t>
        </ns0:is>
      </ns0:c>
    </ns0:row>
    <ns0:row r="433" ht="50" customHeight="1">
      <ns0:c r="A433" s="19" t="inlineStr">
        <ns0:is>
          <ns0:t>new_373</ns0:t>
        </ns0:is>
      </ns0:c>
      <ns0:c r="B433" s="19" t="inlineStr">
        <ns0:is>
          <ns0:t>Update</ns0:t>
        </ns0:is>
      </ns0:c>
      <ns0:c r="C433" s="19" t="inlineStr">
        <ns0:is>
          <ns0:t>Multi-feature fusion transformer network for Autism spectrum disorder detection via facial images</ns0:t>
        </ns0:is>
      </ns0:c>
      <ns0:c r="D433" s="19" t="inlineStr">
        <ns0:is>
          <ns0:t>10.1016/j.bspc.2026.110970</ns0:t>
        </ns0:is>
      </ns0:c>
      <ns0:c r="E433" s="26" t="n">
        <ns0:v>2026</ns0:v>
      </ns0:c>
      <ns0:c r="F433" s="19" t="inlineStr">
        <ns0:is>
          <ns0:t>Include</ns0:t>
        </ns0:is>
      </ns0:c>
      <ns0:c r="G433" s="27">
        <ns0:f>IF(F433="Include",1,0)</ns0:f>
        <ns0:v>1</ns0:v>
      </ns0:c>
      <ns0:c r="H433" s="19" t="inlineStr">
        <ns0:is>
          <ns0:t>Screening</ns0:t>
        </ns0:is>
      </ns0:c>
      <ns0:c r="I433" s="19" t="inlineStr">
        <ns0:is>
          <ns0:t>Deep Learning</ns0:t>
        </ns0:is>
      </ns0:c>
      <ns0:c r="J433" s="19" t="inlineStr">
        <ns0:is>
          <ns0:t>Behavioral images/video/gaze/movement</ns0:t>
        </ns0:is>
      </ns0:c>
      <ns0:c r="K433" s="19" t="inlineStr">
        <ns0:is>
          <ns0:t>MACFUT (Multi-Aspect Cross-Fusion Transformer)</ns0:t>
        </ns0:is>
      </ns0:c>
      <ns0:c r="L433" s="19" t="inlineStr">
        <ns0:is>
          <ns0:t>Transformer</ns0:t>
        </ns0:is>
      </ns0:c>
      <ns0:c r="M433" s="19" t="inlineStr">
        <ns0:is>
          <ns0:t>Proposed only</ns0:t>
        </ns0:is>
      </ns0:c>
      <ns0:c r="N433" s="19" t="inlineStr">
        <ns0:is>
          <ns0:t>Triage/questionnaire assessment</ns0:t>
        </ns0:is>
      </ns0:c>
      <ns0:c r="O433" s="19" t="inlineStr">
        <ns0:is>
          <ns0:t>Pre-decision</ns0:t>
        </ns0:is>
      </ns0:c>
      <ns0:c r="P433" s="19" t="inlineStr">
        <ns0:is>
          <ns0:t>Not observed in assessed sources</ns0:t>
        </ns0:is>
      </ns0:c>
      <ns0:c r="Q433" s="19" t="inlineStr">
        <ns0:is>
          <ns0:t>Reported</ns0:t>
        </ns0:is>
      </ns0:c>
      <ns0:c r="R433" s="19" t="inlineStr">
        <ns0:is>
          <ns0:t>Not reported in assessed sources</ns0:t>
        </ns0:is>
      </ns0:c>
      <ns0:c r="S433" s="19" t="inlineStr">
        <ns0:is>
          <ns0:t>Reported</ns0:t>
        </ns0:is>
      </ns0:c>
      <ns0:c r="T433" s="19" t="inlineStr">
        <ns0:is>
          <ns0:t>Reported</ns0:t>
        </ns0:is>
      </ns0:c>
      <ns0:c r="U433" s="19" t="inlineStr">
        <ns0:is>
          <ns0:t>Reported</ns0:t>
        </ns0:is>
      </ns0:c>
      <ns0:c r="V433" s="19" t="inlineStr">
        <ns0:is>
          <ns0:t>Reported</ns0:t>
        </ns0:is>
      </ns0:c>
      <ns0:c r="W433" s="19" t="inlineStr">
        <ns0:is>
          <ns0:t>Not reported in assessed sources</ns0:t>
        </ns0:is>
      </ns0:c>
      <ns0:c r="X433" s="19" t="inlineStr">
        <ns0:is>
          <ns0:t>Not reported in assessed sources</ns0:t>
        </ns0:is>
      </ns0:c>
      <ns0:c r="Y433" s="19" t="inlineStr">
        <ns0:is>
          <ns0:t>Not ascertainable</ns0:t>
        </ns0:is>
      </ns0:c>
      <ns0:c r="Z433" s="19" t="inlineStr">
        <ns0:is>
          <ns0:t>Not reported in assessed sources</ns0:t>
        </ns0:is>
      </ns0:c>
      <ns0:c r="AA433" s="19" t="inlineStr">
        <ns0:is>
          <ns0:t>Not recorded</ns0:t>
        </ns0:is>
      </ns0:c>
      <ns0:c r="AB433" s="26" t="n">
        <ns0:v>0</ns0:v>
      </ns0:c>
      <ns0:c r="AC433" s="26" t="n">
        <ns0:v>0</ns0:v>
      </ns0:c>
      <ns0:c r="AD433" s="27">
        <ns0:f>IF(AND(G433=1,AB433=0),1,0)</ns0:f>
        <ns0:v>1</ns0:v>
      </ns0:c>
      <ns0:c r="AE433" s="27">
        <ns0:f>IF(AND(AD433=1,AC433=0),1,0)</ns0:f>
        <ns0:v>1</ns0:v>
      </ns0:c>
      <ns0:c r="AF433" s="27">
        <ns0:f>IF(AND(G433=1,H433&lt;&gt;"Not specified"),1,0)</ns0:f>
        <ns0:v>1</ns0:v>
      </ns0:c>
      <ns0:c r="AG433" s="27">
        <ns0:f>IF(AND(AE433=1,AF433=1),1,0)</ns0:f>
        <ns0:v>1</ns0:v>
      </ns0:c>
      <ns0:c r="AH433" s="19" t="inlineStr">
        <ns0:is>
          <ns0:t>Prior source-specific extraction retained; no new full-text retrieval</ns0:t>
        </ns0:is>
      </ns0:c>
      <ns0:c r="AI433" s="19" t="inlineStr">
        <ns0:is>
          <ns0:t>https://doi.org/10.1016/j.bspc.2026.110970</ns0:t>
        </ns0:is>
      </ns0:c>
      <ns0:c r="AJ433" s="19" t="inlineStr">
        <ns0:is>
          <ns0:t>EVIDENCIA; original abstract/coding notes and lot source trace; Inherited scoped adjudication; see source level and lot caveats</ns0:t>
        </ns0:is>
      </ns0:c>
      <ns0:c r="AK433" s="19" t="inlineStr">
        <ns0:is>
          <ns0:t>Retained source-specific coding after review of the supplied extraction notes; not a new full-text retrieval. MACFUT fuses facial-image features with landmark geometry, is trained on AFID with 10-fold CV, and is tested on an independent Bangladesh dataset (BACFED), reporting 86.51% external accuracy/AUC 94.78%; attention maps and facial anthropometry support interpretation. External cross-dataset testing strengthens generalization evidence, but the system is not prospectively deployed and image-source/demographic biases remain possible. Landmarks are derived from the same image source, so this was not counted as multisource data.
AFID development followed by BACFED independent Bangladesh image dataset test.</ns0:t>
        </ns0:is>
      </ns0:c>
      <ns0:c r="AL433" s="19" t="inlineStr">
        <ns0:is>
          <ns0:t>Not applicable</ns0:t>
        </ns0:is>
      </ns0:c>
      <ns0:c r="AM433" s="19" t="inlineStr">
        <ns0:is>
          <ns0:t>Not separately specified</ns0:t>
        </ns0:is>
      </ns0:c>
      <ns0:c r="AN433" s="19" t="inlineStr"/>
      <ns0:c r="AO433" s="19" t="inlineStr">
        <ns0:is>
          <ns0:t>No additional status determination</ns0:t>
        </ns0:is>
      </ns0:c>
      <ns0:c r="AP433" s="19" t="inlineStr">
        <ns0:is>
          <ns0:t>Not documented for this recharting</ns0:t>
        </ns0:is>
      </ns0:c>
      <ns0:c r="AQ433" s="19" t="inlineStr">
        <ns0:is>
          <ns0:t>ChatGPT-assisted evidence recharting, 2026-09-08</ns0:t>
        </ns0:is>
      </ns0:c>
      <ns0:c r="AR433" s="19" t="inlineStr">
        <ns0:is>
          <ns0:t>Revision asistida por IA (un revisor; requiere verificacion independiente)</ns0:t>
        </ns0:is>
      </ns0:c>
      <ns0:c r="AS433" s="19" t="inlineStr">
        <ns0:is>
          <ns0:t>Retrieved/reviewed; content sufficient for scoped adjudication</ns0:t>
        </ns0:is>
      </ns0:c>
    </ns0:row>
    <ns0:row r="434" ht="50" customHeight="1">
      <ns0:c r="A434" s="21" t="inlineStr">
        <ns0:is>
          <ns0:t>new_383</ns0:t>
        </ns0:is>
      </ns0:c>
      <ns0:c r="B434" s="21" t="inlineStr">
        <ns0:is>
          <ns0:t>Update</ns0:t>
        </ns0:is>
      </ns0:c>
      <ns0:c r="C434" s="21" t="inlineStr">
        <ns0:is>
          <ns0:t>Longitudinal multi-omics analysis of umbilical cord blood and childhood serum in Autism</ns0:t>
        </ns0:is>
      </ns0:c>
      <ns0:c r="D434" s="21" t="inlineStr">
        <ns0:is>
          <ns0:t>10.1038/s41380-025-03157-z</ns0:t>
        </ns0:is>
      </ns0:c>
      <ns0:c r="E434" s="28" t="n">
        <ns0:v>2026</ns0:v>
      </ns0:c>
      <ns0:c r="F434" s="21" t="inlineStr">
        <ns0:is>
          <ns0:t>Include</ns0:t>
        </ns0:is>
      </ns0:c>
      <ns0:c r="G434" s="29">
        <ns0:f>IF(F434="Include",1,0)</ns0:f>
        <ns0:v>1</ns0:v>
      </ns0:c>
      <ns0:c r="H434" s="21" t="inlineStr">
        <ns0:is>
          <ns0:t>Prognosis</ns0:t>
        </ns0:is>
      </ns0:c>
      <ns0:c r="I434" s="21" t="inlineStr">
        <ns0:is>
          <ns0:t>Machine Learning</ns0:t>
        </ns0:is>
      </ns0:c>
      <ns0:c r="J434" s="21" t="inlineStr">
        <ns0:is>
          <ns0:t>Biological/omics</ns0:t>
        </ns0:is>
      </ns0:c>
      <ns0:c r="K434" s="21" t="inlineStr">
        <ns0:is>
          <ns0:t>Machine-learning prediction models on proteomic and metabolomic signatures (specific family not stated in accessible text)</ns0:t>
        </ns0:is>
      </ns0:c>
      <ns0:c r="L434" s="21" t="inlineStr">
        <ns0:is>
          <ns0:t>Multiple/not uniquely specified</ns0:t>
        </ns0:is>
      </ns0:c>
      <ns0:c r="M434" s="21" t="inlineStr">
        <ns0:is>
          <ns0:t>Research only</ns0:t>
        </ns0:is>
      </ns0:c>
      <ns0:c r="N434" s="21" t="inlineStr">
        <ns0:is>
          <ns0:t>Risk/trajectory estimation</ns0:t>
        </ns0:is>
      </ns0:c>
      <ns0:c r="O434" s="21" t="inlineStr">
        <ns0:is>
          <ns0:t>Not observed in assessed sources</ns0:t>
        </ns0:is>
      </ns0:c>
      <ns0:c r="P434" s="21" t="inlineStr">
        <ns0:is>
          <ns0:t>Not observed in assessed sources</ns0:t>
        </ns0:is>
      </ns0:c>
      <ns0:c r="Q434" s="21" t="inlineStr">
        <ns0:is>
          <ns0:t>Not reported in assessed sources</ns0:t>
        </ns0:is>
      </ns0:c>
      <ns0:c r="R434" s="21" t="inlineStr">
        <ns0:is>
          <ns0:t>Reported</ns0:t>
        </ns0:is>
      </ns0:c>
      <ns0:c r="S434" s="21" t="inlineStr">
        <ns0:is>
          <ns0:t>Reported</ns0:t>
        </ns0:is>
      </ns0:c>
      <ns0:c r="T434" s="21" t="inlineStr">
        <ns0:is>
          <ns0:t>Not reported in assessed sources</ns0:t>
        </ns0:is>
      </ns0:c>
      <ns0:c r="U434" s="21" t="inlineStr">
        <ns0:is>
          <ns0:t>Not reported in assessed sources</ns0:t>
        </ns0:is>
      </ns0:c>
      <ns0:c r="V434" s="21" t="inlineStr">
        <ns0:is>
          <ns0:t>Not reported in assessed sources</ns0:t>
        </ns0:is>
      </ns0:c>
      <ns0:c r="W434" s="21" t="inlineStr">
        <ns0:is>
          <ns0:t>Reported</ns0:t>
        </ns0:is>
      </ns0:c>
      <ns0:c r="X434" s="21" t="inlineStr">
        <ns0:is>
          <ns0:t>Not reported in assessed sources</ns0:t>
        </ns0:is>
      </ns0:c>
      <ns0:c r="Y434" s="21" t="inlineStr">
        <ns0:is>
          <ns0:t>Reported</ns0:t>
        </ns0:is>
      </ns0:c>
      <ns0:c r="Z434" s="21" t="inlineStr">
        <ns0:is>
          <ns0:t>Reported</ns0:t>
        </ns0:is>
      </ns0:c>
      <ns0:c r="AA434" s="21" t="inlineStr">
        <ns0:is>
          <ns0:t>Not recorded</ns0:t>
        </ns0:is>
      </ns0:c>
      <ns0:c r="AB434" s="28" t="n">
        <ns0:v>0</ns0:v>
      </ns0:c>
      <ns0:c r="AC434" s="28" t="n">
        <ns0:v>0</ns0:v>
      </ns0:c>
      <ns0:c r="AD434" s="29">
        <ns0:f>IF(AND(G434=1,AB434=0),1,0)</ns0:f>
        <ns0:v>1</ns0:v>
      </ns0:c>
      <ns0:c r="AE434" s="29">
        <ns0:f>IF(AND(AD434=1,AC434=0),1,0)</ns0:f>
        <ns0:v>1</ns0:v>
      </ns0:c>
      <ns0:c r="AF434" s="29">
        <ns0:f>IF(AND(G434=1,H434&lt;&gt;"Not specified"),1,0)</ns0:f>
        <ns0:v>1</ns0:v>
      </ns0:c>
      <ns0:c r="AG434" s="29">
        <ns0:f>IF(AND(AE434=1,AF434=1),1,0)</ns0:f>
        <ns0:v>1</ns0:v>
      </ns0:c>
      <ns0:c r="AH434" s="21" t="inlineStr">
        <ns0:is>
          <ns0:t>Prior source-specific extraction retained; no new full-text retrieval</ns0:t>
        </ns0:is>
      </ns0:c>
      <ns0:c r="AI434" s="21" t="inlineStr">
        <ns0:is>
          <ns0:t>https://doi.org/10.1038/s41380-025-03157-z</ns0:t>
        </ns0:is>
      </ns0:c>
      <ns0:c r="AJ434" s="21" t="inlineStr">
        <ns0:is>
          <ns0:t>EVIDENCIA; original abstract/coding notes and lot source trace; Inherited scoped adjudication; see source level and lot caveats</ns0:t>
        </ns0:is>
      </ns0:c>
      <ns0:c r="AK434" s="21" t="inlineStr">
        <ns0:is>
          <ns0:t>Retained source-specific coding after review of the supplied extraction notes; not a new full-text retrieval. Within the BASELINE birth cohort, cord-blood proteomics/metabolomics from children later diagnosed with autism were analyzed and followed with childhood serum profiling; ML prediction models reported AUROC 0.82-0.85. The omics case numbers are small (22 future ASD cases in cord blood; 24 in follow-up), and the accessible report does not identify an independent external validation cohort or the specific ML family. Longitudinal collection supports prospective-evidence coding, not prospective clinical deployment.
Proteomics and metabolomics combined</ns0:t>
        </ns0:is>
      </ns0:c>
      <ns0:c r="AL434" s="21" t="inlineStr">
        <ns0:is>
          <ns0:t>Not applicable</ns0:t>
        </ns0:is>
      </ns0:c>
      <ns0:c r="AM434" s="21" t="inlineStr">
        <ns0:is>
          <ns0:t>Not separately specified</ns0:t>
        </ns0:is>
      </ns0:c>
      <ns0:c r="AN434" s="21" t="inlineStr"/>
      <ns0:c r="AO434" s="21" t="inlineStr">
        <ns0:is>
          <ns0:t>No additional status determination</ns0:t>
        </ns0:is>
      </ns0:c>
      <ns0:c r="AP434" s="21" t="inlineStr">
        <ns0:is>
          <ns0:t>Not documented for this recharting</ns0:t>
        </ns0:is>
      </ns0:c>
      <ns0:c r="AQ434" s="21" t="inlineStr">
        <ns0:is>
          <ns0:t>ChatGPT-assisted evidence recharting, 2026-09-08</ns0:t>
        </ns0:is>
      </ns0:c>
      <ns0:c r="AR434" s="21" t="inlineStr">
        <ns0:is>
          <ns0:t>Revision asistida por IA (un revisor; requiere verificacion independiente)</ns0:t>
        </ns0:is>
      </ns0:c>
      <ns0:c r="AS434" s="21" t="inlineStr">
        <ns0:is>
          <ns0:t>Retrieved/reviewed; content sufficient for scoped adjudication</ns0:t>
        </ns0:is>
      </ns0:c>
    </ns0:row>
    <ns0:row r="435" ht="50" customHeight="1">
      <ns0:c r="A435" s="19" t="inlineStr">
        <ns0:is>
          <ns0:t>new_386</ns0:t>
        </ns0:is>
      </ns0:c>
      <ns0:c r="B435" s="19" t="inlineStr">
        <ns0:is>
          <ns0:t>Update</ns0:t>
        </ns0:is>
      </ns0:c>
      <ns0:c r="C435" s="19" t="inlineStr">
        <ns0:is>
          <ns0:t>3T dilated inception network for enhanced autism spectrum disorder diagnosis using resting-state fMRI data</ns0:t>
        </ns0:is>
      </ns0:c>
      <ns0:c r="D435" s="19" t="inlineStr">
        <ns0:is>
          <ns0:t>10.1007/s11571-024-10202-0</ns0:t>
        </ns0:is>
      </ns0:c>
      <ns0:c r="E435" s="26" t="n">
        <ns0:v>2025</ns0:v>
      </ns0:c>
      <ns0:c r="F435" s="19" t="inlineStr">
        <ns0:is>
          <ns0:t>Include</ns0:t>
        </ns0:is>
      </ns0:c>
      <ns0:c r="G435" s="27">
        <ns0:f>IF(F435="Include",1,0)</ns0:f>
        <ns0:v>1</ns0:v>
      </ns0:c>
      <ns0:c r="H435" s="19" t="inlineStr">
        <ns0:is>
          <ns0:t>Diagnosis</ns0:t>
        </ns0:is>
      </ns0:c>
      <ns0:c r="I435" s="19" t="inlineStr">
        <ns0:is>
          <ns0:t>Deep Learning</ns0:t>
        </ns0:is>
      </ns0:c>
      <ns0:c r="J435" s="19" t="inlineStr">
        <ns0:is>
          <ns0:t>Neuroimaging</ns0:t>
        </ns0:is>
      </ns0:c>
      <ns0:c r="K435" s="19" t="inlineStr">
        <ns0:is>
          <ns0:t>3T-DINet (3T dilated inception + ResNet + Crossover-based Black Widow Optimization)</ns0:t>
        </ns0:is>
      </ns0:c>
      <ns0:c r="L435" s="19" t="inlineStr">
        <ns0:is>
          <ns0:t>CNN</ns0:t>
        </ns0:is>
      </ns0:c>
      <ns0:c r="M435" s="19" t="inlineStr">
        <ns0:is>
          <ns0:t>Research only</ns0:t>
        </ns0:is>
      </ns0:c>
      <ns0:c r="N435" s="19" t="inlineStr">
        <ns0:is>
          <ns0:t>Automated measurement/classification</ns0:t>
        </ns0:is>
      </ns0:c>
      <ns0:c r="O435" s="19" t="inlineStr">
        <ns0:is>
          <ns0:t>Not observed in assessed sources</ns0:t>
        </ns0:is>
      </ns0:c>
      <ns0:c r="P435" s="19" t="inlineStr">
        <ns0:is>
          <ns0:t>Not observed in assessed sources</ns0:t>
        </ns0:is>
      </ns0:c>
      <ns0:c r="Q435" s="19" t="inlineStr">
        <ns0:is>
          <ns0:t>Not reported in assessed sources</ns0:t>
        </ns0:is>
      </ns0:c>
      <ns0:c r="R435" s="19" t="inlineStr">
        <ns0:is>
          <ns0:t>Not reported in assessed sources</ns0:t>
        </ns0:is>
      </ns0:c>
      <ns0:c r="S435" s="19" t="inlineStr">
        <ns0:is>
          <ns0:t>Not reported in assessed sources</ns0:t>
        </ns0:is>
      </ns0:c>
      <ns0:c r="T435" s="19" t="inlineStr">
        <ns0:is>
          <ns0:t>Not reported in assessed sources</ns0:t>
        </ns0:is>
      </ns0:c>
      <ns0:c r="U435" s="19" t="inlineStr">
        <ns0:is>
          <ns0:t>Not reported in assessed sources</ns0:t>
        </ns0:is>
      </ns0:c>
      <ns0:c r="V435" s="19" t="inlineStr">
        <ns0:is>
          <ns0:t>Reported</ns0:t>
        </ns0:is>
      </ns0:c>
      <ns0:c r="W435" s="19" t="inlineStr">
        <ns0:is>
          <ns0:t>Not reported in assessed sources</ns0:t>
        </ns0:is>
      </ns0:c>
      <ns0:c r="X435" s="19" t="inlineStr">
        <ns0:is>
          <ns0:t>Not reported in assessed sources</ns0:t>
        </ns0:is>
      </ns0:c>
      <ns0:c r="Y435" s="19" t="inlineStr">
        <ns0:is>
          <ns0:t>Not ascertainable</ns0:t>
        </ns0:is>
      </ns0:c>
      <ns0:c r="Z435" s="19" t="inlineStr">
        <ns0:is>
          <ns0:t>Not reported in assessed sources</ns0:t>
        </ns0:is>
      </ns0:c>
      <ns0:c r="AA435" s="19" t="inlineStr">
        <ns0:is>
          <ns0:t>Not recorded</ns0:t>
        </ns0:is>
      </ns0:c>
      <ns0:c r="AB435" s="26" t="n">
        <ns0:v>0</ns0:v>
      </ns0:c>
      <ns0:c r="AC435" s="26" t="n">
        <ns0:v>0</ns0:v>
      </ns0:c>
      <ns0:c r="AD435" s="27">
        <ns0:f>IF(AND(G435=1,AB435=0),1,0)</ns0:f>
        <ns0:v>1</ns0:v>
      </ns0:c>
      <ns0:c r="AE435" s="27">
        <ns0:f>IF(AND(AD435=1,AC435=0),1,0)</ns0:f>
        <ns0:v>1</ns0:v>
      </ns0:c>
      <ns0:c r="AF435" s="27">
        <ns0:f>IF(AND(G435=1,H435&lt;&gt;"Not specified"),1,0)</ns0:f>
        <ns0:v>1</ns0:v>
      </ns0:c>
      <ns0:c r="AG435" s="27">
        <ns0:f>IF(AND(AE435=1,AF435=1),1,0)</ns0:f>
        <ns0:v>1</ns0:v>
      </ns0:c>
      <ns0:c r="AH435" s="19" t="inlineStr">
        <ns0:is>
          <ns0:t>Prior source-specific extraction retained; no new full-text retrieval</ns0:t>
        </ns0:is>
      </ns0:c>
      <ns0:c r="AI435" s="19" t="inlineStr">
        <ns0:is>
          <ns0:t>https://doi.org/10.1007/s11571-024-10202-0</ns0:t>
        </ns0:is>
      </ns0:c>
      <ns0:c r="AJ435" s="19" t="inlineStr">
        <ns0:is>
          <ns0:t>EVIDENCIA; original abstract/coding notes and lot source trace; Inherited scoped adjudication; see source level and lot caveats</ns0:t>
        </ns0:is>
      </ns0:c>
      <ns0:c r="AK435" s="19" t="inlineStr">
        <ns0:is>
          <ns0:t>Retained source-specific coding after review of the supplied extraction notes; not a new full-text retrieval. 3T-DINet combines dilated inception, ResNet components and optimization and is evaluated across five ASD rs-fMRI datasets. Use of multiple ASD datasets was coded as multisite/multidataset evidence, but the accessible report does not establish an explicit leave-site-out or independent prospective external-validation design.</ns0:t>
        </ns0:is>
      </ns0:c>
      <ns0:c r="AL435" s="19" t="inlineStr">
        <ns0:is>
          <ns0:t>Not applicable</ns0:t>
        </ns0:is>
      </ns0:c>
      <ns0:c r="AM435" s="19" t="inlineStr">
        <ns0:is>
          <ns0:t>Not separately specified</ns0:t>
        </ns0:is>
      </ns0:c>
      <ns0:c r="AN435" s="19" t="inlineStr"/>
      <ns0:c r="AO435" s="19" t="inlineStr">
        <ns0:is>
          <ns0:t>No additional status determination</ns0:t>
        </ns0:is>
      </ns0:c>
      <ns0:c r="AP435" s="19" t="inlineStr">
        <ns0:is>
          <ns0:t>Not documented for this recharting</ns0:t>
        </ns0:is>
      </ns0:c>
      <ns0:c r="AQ435" s="19" t="inlineStr">
        <ns0:is>
          <ns0:t>ChatGPT-assisted evidence recharting, 2026-09-08</ns0:t>
        </ns0:is>
      </ns0:c>
      <ns0:c r="AR435" s="19" t="inlineStr">
        <ns0:is>
          <ns0:t>Revision asistida por IA (un revisor; requiere verificacion independiente)</ns0:t>
        </ns0:is>
      </ns0:c>
      <ns0:c r="AS435" s="19" t="inlineStr">
        <ns0:is>
          <ns0:t>Retrieved/reviewed; content sufficient for scoped adjudication</ns0:t>
        </ns0:is>
      </ns0:c>
    </ns0:row>
    <ns0:row r="436" ht="50" customHeight="1">
      <ns0:c r="A436" s="21" t="inlineStr">
        <ns0:is>
          <ns0:t>new_387</ns0:t>
        </ns0:is>
      </ns0:c>
      <ns0:c r="B436" s="21" t="inlineStr">
        <ns0:is>
          <ns0:t>Update</ns0:t>
        </ns0:is>
      </ns0:c>
      <ns0:c r="C436" s="21" t="inlineStr">
        <ns0:is>
          <ns0:t>Predicting pragmatic language abilities from brain structural MRI in preschool children with ASD by NBS-Predict</ns0:t>
        </ns0:is>
      </ns0:c>
      <ns0:c r="D436" s="21" t="inlineStr">
        <ns0:is>
          <ns0:t>10.1007/s00787-025-02775-w</ns0:t>
        </ns0:is>
      </ns0:c>
      <ns0:c r="E436" s="28" t="n">
        <ns0:v>2025</ns0:v>
      </ns0:c>
      <ns0:c r="F436" s="21" t="inlineStr">
        <ns0:is>
          <ns0:t>Include</ns0:t>
        </ns0:is>
      </ns0:c>
      <ns0:c r="G436" s="29">
        <ns0:f>IF(F436="Include",1,0)</ns0:f>
        <ns0:v>1</ns0:v>
      </ns0:c>
      <ns0:c r="H436" s="21" t="inlineStr">
        <ns0:is>
          <ns0:t>Diagnosis</ns0:t>
        </ns0:is>
      </ns0:c>
      <ns0:c r="I436" s="21" t="inlineStr">
        <ns0:is>
          <ns0:t>Machine Learning</ns0:t>
        </ns0:is>
      </ns0:c>
      <ns0:c r="J436" s="21" t="inlineStr">
        <ns0:is>
          <ns0:t>Neuroimaging</ns0:t>
        </ns0:is>
      </ns0:c>
      <ns0:c r="K436" s="21" t="inlineStr">
        <ns0:is>
          <ns0:t>NBS-Predict with linear discriminant analysis</ns0:t>
        </ns0:is>
      </ns0:c>
      <ns0:c r="L436" s="21" t="inlineStr">
        <ns0:is>
          <ns0:t>Other specified method</ns0:t>
        </ns0:is>
      </ns0:c>
      <ns0:c r="M436" s="21" t="inlineStr">
        <ns0:is>
          <ns0:t>Research only</ns0:t>
        </ns0:is>
      </ns0:c>
      <ns0:c r="N436" s="21" t="inlineStr">
        <ns0:is>
          <ns0:t>Automated measurement/classification</ns0:t>
        </ns0:is>
      </ns0:c>
      <ns0:c r="O436" s="21" t="inlineStr">
        <ns0:is>
          <ns0:t>Not observed in assessed sources</ns0:t>
        </ns0:is>
      </ns0:c>
      <ns0:c r="P436" s="21" t="inlineStr">
        <ns0:is>
          <ns0:t>Not observed in assessed sources</ns0:t>
        </ns0:is>
      </ns0:c>
      <ns0:c r="Q436" s="21" t="inlineStr">
        <ns0:is>
          <ns0:t>Not reported in assessed sources</ns0:t>
        </ns0:is>
      </ns0:c>
      <ns0:c r="R436" s="21" t="inlineStr">
        <ns0:is>
          <ns0:t>Not reported in assessed sources</ns0:t>
        </ns0:is>
      </ns0:c>
      <ns0:c r="S436" s="21" t="inlineStr">
        <ns0:is>
          <ns0:t>Reported</ns0:t>
        </ns0:is>
      </ns0:c>
      <ns0:c r="T436" s="21" t="inlineStr">
        <ns0:is>
          <ns0:t>Not reported in assessed sources</ns0:t>
        </ns0:is>
      </ns0:c>
      <ns0:c r="U436" s="21" t="inlineStr">
        <ns0:is>
          <ns0:t>Not reported in assessed sources</ns0:t>
        </ns0:is>
      </ns0:c>
      <ns0:c r="V436" s="21" t="inlineStr">
        <ns0:is>
          <ns0:t>Not reported in assessed sources</ns0:t>
        </ns0:is>
      </ns0:c>
      <ns0:c r="W436" s="21" t="inlineStr">
        <ns0:is>
          <ns0:t>Not reported in assessed sources</ns0:t>
        </ns0:is>
      </ns0:c>
      <ns0:c r="X436" s="21" t="inlineStr">
        <ns0:is>
          <ns0:t>Not reported in assessed sources</ns0:t>
        </ns0:is>
      </ns0:c>
      <ns0:c r="Y436" s="21" t="inlineStr">
        <ns0:is>
          <ns0:t>Not ascertainable</ns0:t>
        </ns0:is>
      </ns0:c>
      <ns0:c r="Z436" s="21" t="inlineStr">
        <ns0:is>
          <ns0:t>Reported</ns0:t>
        </ns0:is>
      </ns0:c>
      <ns0:c r="AA436" s="21" t="inlineStr">
        <ns0:is>
          <ns0:t>Not recorded</ns0:t>
        </ns0:is>
      </ns0:c>
      <ns0:c r="AB436" s="28" t="n">
        <ns0:v>0</ns0:v>
      </ns0:c>
      <ns0:c r="AC436" s="28" t="n">
        <ns0:v>0</ns0:v>
      </ns0:c>
      <ns0:c r="AD436" s="29">
        <ns0:f>IF(AND(G436=1,AB436=0),1,0)</ns0:f>
        <ns0:v>1</ns0:v>
      </ns0:c>
      <ns0:c r="AE436" s="29">
        <ns0:f>IF(AND(AD436=1,AC436=0),1,0)</ns0:f>
        <ns0:v>1</ns0:v>
      </ns0:c>
      <ns0:c r="AF436" s="29">
        <ns0:f>IF(AND(G436=1,H436&lt;&gt;"Not specified"),1,0)</ns0:f>
        <ns0:v>1</ns0:v>
      </ns0:c>
      <ns0:c r="AG436" s="29">
        <ns0:f>IF(AND(AE436=1,AF436=1),1,0)</ns0:f>
        <ns0:v>1</ns0:v>
      </ns0:c>
      <ns0:c r="AH436" s="21" t="inlineStr">
        <ns0:is>
          <ns0:t>Prior source-specific extraction retained; no new full-text retrieval</ns0:t>
        </ns0:is>
      </ns0:c>
      <ns0:c r="AI436" s="21" t="inlineStr">
        <ns0:is>
          <ns0:t>https://doi.org/10.1007/s00787-025-02775-w</ns0:t>
        </ns0:is>
      </ns0:c>
      <ns0:c r="AJ436" s="21" t="inlineStr">
        <ns0:is>
          <ns0:t>EVIDENCIA; original abstract/coding notes and lot source trace; Inherited scoped adjudication; see source level and lot caveats</ns0:t>
        </ns0:is>
      </ns0:c>
      <ns0:c r="AK436" s="21" t="inlineStr">
        <ns0:is>
          <ns0:t>Retained source-specific coding after review of the supplied extraction notes; not a new full-text retrieval. In 92 preschool children with ASD and 52 TD controls, NBS-Predict identified a 42-connection structural subnetwork; an LDA classifier reported 79.4% ASD/TD accuracy and the network also showed a modest association with pragmatic-language ability. Single-center/cross-sectional evidence with no independent external validation. Diagnosis is used as the primary stage because the qualifying ASD/TD classifier is explicit; the paper also emphasizes pragmatic-language characterization.</ns0:t>
        </ns0:is>
      </ns0:c>
      <ns0:c r="AL436" s="21" t="inlineStr">
        <ns0:is>
          <ns0:t>Not applicable</ns0:t>
        </ns0:is>
      </ns0:c>
      <ns0:c r="AM436" s="21" t="inlineStr">
        <ns0:is>
          <ns0:t>Not separately specified</ns0:t>
        </ns0:is>
      </ns0:c>
      <ns0:c r="AN436" s="21" t="inlineStr"/>
      <ns0:c r="AO436" s="21" t="inlineStr">
        <ns0:is>
          <ns0:t>No additional status determination</ns0:t>
        </ns0:is>
      </ns0:c>
      <ns0:c r="AP436" s="21" t="inlineStr">
        <ns0:is>
          <ns0:t>Not documented for this recharting</ns0:t>
        </ns0:is>
      </ns0:c>
      <ns0:c r="AQ436" s="21" t="inlineStr">
        <ns0:is>
          <ns0:t>ChatGPT-assisted evidence recharting, 2026-09-08</ns0:t>
        </ns0:is>
      </ns0:c>
      <ns0:c r="AR436" s="21" t="inlineStr">
        <ns0:is>
          <ns0:t>Revision asistida por IA (un revisor; requiere verificacion independiente)</ns0:t>
        </ns0:is>
      </ns0:c>
      <ns0:c r="AS436" s="21" t="inlineStr">
        <ns0:is>
          <ns0:t>Retrieved/reviewed; content sufficient for scoped adjudication</ns0:t>
        </ns0:is>
      </ns0:c>
    </ns0:row>
    <ns0:row r="437" ht="50" customHeight="1">
      <ns0:c r="A437" s="19" t="inlineStr">
        <ns0:is>
          <ns0:t>new_391</ns0:t>
        </ns0:is>
      </ns0:c>
      <ns0:c r="B437" s="19" t="inlineStr">
        <ns0:is>
          <ns0:t>Update</ns0:t>
        </ns0:is>
      </ns0:c>
      <ns0:c r="C437" s="19" t="inlineStr">
        <ns0:is>
          <ns0:t>Cell death-associated genes as novel diagnostic biomarkers for autism spectrum disorder</ns0:t>
        </ns0:is>
      </ns0:c>
      <ns0:c r="D437" s="19" t="inlineStr">
        <ns0:is>
          <ns0:t>10.1007/s10495-025-02201-1</ns0:t>
        </ns0:is>
      </ns0:c>
      <ns0:c r="E437" s="26" t="n">
        <ns0:v>2026</ns0:v>
      </ns0:c>
      <ns0:c r="F437" s="19" t="inlineStr">
        <ns0:is>
          <ns0:t>Include</ns0:t>
        </ns0:is>
      </ns0:c>
      <ns0:c r="G437" s="27">
        <ns0:f>IF(F437="Include",1,0)</ns0:f>
        <ns0:v>1</ns0:v>
      </ns0:c>
      <ns0:c r="H437" s="19" t="inlineStr">
        <ns0:is>
          <ns0:t>Diagnosis</ns0:t>
        </ns0:is>
      </ns0:c>
      <ns0:c r="I437" s="19" t="inlineStr">
        <ns0:is>
          <ns0:t>Machine Learning</ns0:t>
        </ns0:is>
      </ns0:c>
      <ns0:c r="J437" s="19" t="inlineStr">
        <ns0:is>
          <ns0:t>Biological/omics</ns0:t>
        </ns0:is>
      </ns0:c>
      <ns0:c r="K437" s="19" t="inlineStr">
        <ns0:is>
          <ns0:t>K-nearest neighbors (KNN) + WGCNA-derived six-gene panel</ns0:t>
        </ns0:is>
      </ns0:c>
      <ns0:c r="L437" s="19" t="inlineStr">
        <ns0:is>
          <ns0:t>Composite/ensemble pipeline</ns0:t>
        </ns0:is>
      </ns0:c>
      <ns0:c r="M437" s="19" t="inlineStr">
        <ns0:is>
          <ns0:t>Research only</ns0:t>
        </ns0:is>
      </ns0:c>
      <ns0:c r="N437" s="19" t="inlineStr">
        <ns0:is>
          <ns0:t>Automated measurement/classification</ns0:t>
        </ns0:is>
      </ns0:c>
      <ns0:c r="O437" s="19" t="inlineStr">
        <ns0:is>
          <ns0:t>Not observed in assessed sources</ns0:t>
        </ns0:is>
      </ns0:c>
      <ns0:c r="P437" s="19" t="inlineStr">
        <ns0:is>
          <ns0:t>Not observed in assessed sources</ns0:t>
        </ns0:is>
      </ns0:c>
      <ns0:c r="Q437" s="19" t="inlineStr">
        <ns0:is>
          <ns0:t>Reported</ns0:t>
        </ns0:is>
      </ns0:c>
      <ns0:c r="R437" s="19" t="inlineStr">
        <ns0:is>
          <ns0:t>Not reported in assessed sources</ns0:t>
        </ns0:is>
      </ns0:c>
      <ns0:c r="S437" s="19" t="inlineStr">
        <ns0:is>
          <ns0:t>Reported</ns0:t>
        </ns0:is>
      </ns0:c>
      <ns0:c r="T437" s="19" t="inlineStr">
        <ns0:is>
          <ns0:t>Not reported in assessed sources</ns0:t>
        </ns0:is>
      </ns0:c>
      <ns0:c r="U437" s="19" t="inlineStr">
        <ns0:is>
          <ns0:t>Not reported in assessed sources</ns0:t>
        </ns0:is>
      </ns0:c>
      <ns0:c r="V437" s="19" t="inlineStr">
        <ns0:is>
          <ns0:t>Not reported in assessed sources</ns0:t>
        </ns0:is>
      </ns0:c>
      <ns0:c r="W437" s="19" t="inlineStr">
        <ns0:is>
          <ns0:t>Not reported in assessed sources</ns0:t>
        </ns0:is>
      </ns0:c>
      <ns0:c r="X437" s="19" t="inlineStr">
        <ns0:is>
          <ns0:t>Not reported in assessed sources</ns0:t>
        </ns0:is>
      </ns0:c>
      <ns0:c r="Y437" s="19" t="inlineStr">
        <ns0:is>
          <ns0:t>Not ascertainable</ns0:t>
        </ns0:is>
      </ns0:c>
      <ns0:c r="Z437" s="19" t="inlineStr">
        <ns0:is>
          <ns0:t>Reported</ns0:t>
        </ns0:is>
      </ns0:c>
      <ns0:c r="AA437" s="19" t="inlineStr">
        <ns0:is>
          <ns0:t>Not recorded</ns0:t>
        </ns0:is>
      </ns0:c>
      <ns0:c r="AB437" s="26" t="n">
        <ns0:v>0</ns0:v>
      </ns0:c>
      <ns0:c r="AC437" s="26" t="n">
        <ns0:v>0</ns0:v>
      </ns0:c>
      <ns0:c r="AD437" s="27">
        <ns0:f>IF(AND(G437=1,AB437=0),1,0)</ns0:f>
        <ns0:v>1</ns0:v>
      </ns0:c>
      <ns0:c r="AE437" s="27">
        <ns0:f>IF(AND(AD437=1,AC437=0),1,0)</ns0:f>
        <ns0:v>1</ns0:v>
      </ns0:c>
      <ns0:c r="AF437" s="27">
        <ns0:f>IF(AND(G437=1,H437&lt;&gt;"Not specified"),1,0)</ns0:f>
        <ns0:v>1</ns0:v>
      </ns0:c>
      <ns0:c r="AG437" s="27">
        <ns0:f>IF(AND(AE437=1,AF437=1),1,0)</ns0:f>
        <ns0:v>1</ns0:v>
      </ns0:c>
      <ns0:c r="AH437" s="19" t="inlineStr">
        <ns0:is>
          <ns0:t>Prior source-specific extraction retained; no new full-text retrieval</ns0:t>
        </ns0:is>
      </ns0:c>
      <ns0:c r="AI437" s="19" t="inlineStr">
        <ns0:is>
          <ns0:t>https://doi.org/10.1007/s10495-025-02201-1</ns0:t>
        </ns0:is>
      </ns0:c>
      <ns0:c r="AJ437" s="19" t="inlineStr">
        <ns0:is>
          <ns0:t>EVIDENCIA; original abstract/coding notes and lot source trace; Inherited scoped adjudication; see source level and lot caveats</ns0:t>
        </ns0:is>
      </ns0:c>
      <ns0:c r="AK437" s="19" t="inlineStr">
        <ns0:is>
          <ns0:t>Retained source-specific coding after review of the supplied extraction notes; not a new full-text retrieval. Six ML algorithms and WGCNA were used to derive a six-gene diagnostic panel; KNN performed best, with external human blood GSE42133 AUC 0.722 and local-sample AUC 0.781. External human validation is present but discrimination is moderate; mouse prefrontal-cortex validation is not counted as clinical external validation, and real-world replication remains needed.</ns0:t>
        </ns0:is>
      </ns0:c>
      <ns0:c r="AL437" s="19" t="inlineStr">
        <ns0:is>
          <ns0:t>Not applicable</ns0:t>
        </ns0:is>
      </ns0:c>
      <ns0:c r="AM437" s="19" t="inlineStr">
        <ns0:is>
          <ns0:t>Not separately specified</ns0:t>
        </ns0:is>
      </ns0:c>
      <ns0:c r="AN437" s="19" t="inlineStr"/>
      <ns0:c r="AO437" s="19" t="inlineStr">
        <ns0:is>
          <ns0:t>No additional status determination</ns0:t>
        </ns0:is>
      </ns0:c>
      <ns0:c r="AP437" s="19" t="inlineStr">
        <ns0:is>
          <ns0:t>Not documented for this recharting</ns0:t>
        </ns0:is>
      </ns0:c>
      <ns0:c r="AQ437" s="19" t="inlineStr">
        <ns0:is>
          <ns0:t>ChatGPT-assisted evidence recharting, 2026-09-08</ns0:t>
        </ns0:is>
      </ns0:c>
      <ns0:c r="AR437" s="19" t="inlineStr">
        <ns0:is>
          <ns0:t>Revision asistida por IA (un revisor; requiere verificacion independiente)</ns0:t>
        </ns0:is>
      </ns0:c>
      <ns0:c r="AS437" s="19" t="inlineStr">
        <ns0:is>
          <ns0:t>Retrieved/reviewed; content sufficient for scoped adjudication</ns0:t>
        </ns0:is>
      </ns0:c>
    </ns0:row>
    <ns0:row r="438" ht="50" customHeight="1">
      <ns0:c r="A438" s="21" t="inlineStr">
        <ns0:is>
          <ns0:t>new_393</ns0:t>
        </ns0:is>
      </ns0:c>
      <ns0:c r="B438" s="21" t="inlineStr">
        <ns0:is>
          <ns0:t>Update</ns0:t>
        </ns0:is>
      </ns0:c>
      <ns0:c r="C438" s="21" t="inlineStr">
        <ns0:is>
          <ns0:t>Integrating explainable AI with machine learning for reliable autism spectrum disorder diagnosis</ns0:t>
        </ns0:is>
      </ns0:c>
      <ns0:c r="D438" s="21" t="inlineStr">
        <ns0:is>
          <ns0:t>10.1007/s42454-025-00087-7</ns0:t>
        </ns0:is>
      </ns0:c>
      <ns0:c r="E438" s="28" t="n">
        <ns0:v>2025</ns0:v>
      </ns0:c>
      <ns0:c r="F438" s="21" t="inlineStr">
        <ns0:is>
          <ns0:t>Include</ns0:t>
        </ns0:is>
      </ns0:c>
      <ns0:c r="G438" s="29">
        <ns0:f>IF(F438="Include",1,0)</ns0:f>
        <ns0:v>1</ns0:v>
      </ns0:c>
      <ns0:c r="H438" s="21" t="inlineStr">
        <ns0:is>
          <ns0:t>Screening</ns0:t>
        </ns0:is>
      </ns0:c>
      <ns0:c r="I438" s="21" t="inlineStr">
        <ns0:is>
          <ns0:t>Machine Learning</ns0:t>
        </ns0:is>
      </ns0:c>
      <ns0:c r="J438" s="21" t="inlineStr">
        <ns0:is>
          <ns0:t>Structured clinical/questionnaire data</ns0:t>
        </ns0:is>
      </ns0:c>
      <ns0:c r="K438" s="21" t="inlineStr">
        <ns0:is>
          <ns0:t>XGBoost (best-performing) with LIME and SHAP</ns0:t>
        </ns0:is>
      </ns0:c>
      <ns0:c r="L438" s="21" t="inlineStr">
        <ns0:is>
          <ns0:t>Gradient boosting</ns0:t>
        </ns0:is>
      </ns0:c>
      <ns0:c r="M438" s="21" t="inlineStr">
        <ns0:is>
          <ns0:t>Proposed only</ns0:t>
        </ns0:is>
      </ns0:c>
      <ns0:c r="N438" s="21" t="inlineStr">
        <ns0:is>
          <ns0:t>Triage/questionnaire assessment</ns0:t>
        </ns0:is>
      </ns0:c>
      <ns0:c r="O438" s="21" t="inlineStr">
        <ns0:is>
          <ns0:t>Pre-decision</ns0:t>
        </ns0:is>
      </ns0:c>
      <ns0:c r="P438" s="21" t="inlineStr">
        <ns0:is>
          <ns0:t>Not observed in assessed sources</ns0:t>
        </ns0:is>
      </ns0:c>
      <ns0:c r="Q438" s="21" t="inlineStr">
        <ns0:is>
          <ns0:t>Not reported in assessed sources</ns0:t>
        </ns0:is>
      </ns0:c>
      <ns0:c r="R438" s="21" t="inlineStr">
        <ns0:is>
          <ns0:t>Not reported in assessed sources</ns0:t>
        </ns0:is>
      </ns0:c>
      <ns0:c r="S438" s="21" t="inlineStr">
        <ns0:is>
          <ns0:t>Reported</ns0:t>
        </ns0:is>
      </ns0:c>
      <ns0:c r="T438" s="21" t="inlineStr">
        <ns0:is>
          <ns0:t>Reported</ns0:t>
        </ns0:is>
      </ns0:c>
      <ns0:c r="U438" s="21" t="inlineStr">
        <ns0:is>
          <ns0:t>Not reported in assessed sources</ns0:t>
        </ns0:is>
      </ns0:c>
      <ns0:c r="V438" s="21" t="inlineStr">
        <ns0:is>
          <ns0:t>Not reported in assessed sources</ns0:t>
        </ns0:is>
      </ns0:c>
      <ns0:c r="W438" s="21" t="inlineStr">
        <ns0:is>
          <ns0:t>Not reported in assessed sources</ns0:t>
        </ns0:is>
      </ns0:c>
      <ns0:c r="X438" s="21" t="inlineStr">
        <ns0:is>
          <ns0:t>Not reported in assessed sources</ns0:t>
        </ns0:is>
      </ns0:c>
      <ns0:c r="Y438" s="21" t="inlineStr">
        <ns0:is>
          <ns0:t>Not ascertainable</ns0:t>
        </ns0:is>
      </ns0:c>
      <ns0:c r="Z438" s="21" t="inlineStr">
        <ns0:is>
          <ns0:t>Not reported in assessed sources</ns0:t>
        </ns0:is>
      </ns0:c>
      <ns0:c r="AA438" s="21" t="inlineStr">
        <ns0:is>
          <ns0:t>Not recorded</ns0:t>
        </ns0:is>
      </ns0:c>
      <ns0:c r="AB438" s="28" t="n">
        <ns0:v>0</ns0:v>
      </ns0:c>
      <ns0:c r="AC438" s="28" t="n">
        <ns0:v>0</ns0:v>
      </ns0:c>
      <ns0:c r="AD438" s="29">
        <ns0:f>IF(AND(G438=1,AB438=0),1,0)</ns0:f>
        <ns0:v>1</ns0:v>
      </ns0:c>
      <ns0:c r="AE438" s="29">
        <ns0:f>IF(AND(AD438=1,AC438=0),1,0)</ns0:f>
        <ns0:v>1</ns0:v>
      </ns0:c>
      <ns0:c r="AF438" s="29">
        <ns0:f>IF(AND(G438=1,H438&lt;&gt;"Not specified"),1,0)</ns0:f>
        <ns0:v>1</ns0:v>
      </ns0:c>
      <ns0:c r="AG438" s="29">
        <ns0:f>IF(AND(AE438=1,AF438=1),1,0)</ns0:f>
        <ns0:v>1</ns0:v>
      </ns0:c>
      <ns0:c r="AH438" s="21" t="inlineStr">
        <ns0:is>
          <ns0:t>Prior source-specific extraction retained; no new full-text retrieval</ns0:t>
        </ns0:is>
      </ns0:c>
      <ns0:c r="AI438" s="21" t="inlineStr">
        <ns0:is>
          <ns0:t>https://doi.org/10.1007/s42454-025-00087-7</ns0:t>
        </ns0:is>
      </ns0:c>
      <ns0:c r="AJ438" s="21" t="inlineStr">
        <ns0:is>
          <ns0:t>EVIDENCIA; original abstract/coding notes and lot source trace; Inherited scoped adjudication; see source level and lot caveats</ns0:t>
        </ns0:is>
      </ns0:c>
      <ns0:c r="AK438" s="21" t="inlineStr">
        <ns0:is>
          <ns0:t>Retained source-specific coding after review of the supplied extraction notes; not a new full-text retrieval. The study compares LR, DT, RF, SVM, KNN, CNN and XGBoost on structured toddler/child/adult ASD screening data; XGBoost is reported as best and explanations are generated with LIME and SHAP. Very high reported performance is based on benchmark/combined structured screening data; no independent external cohort, site-held-out analysis or prospective clinical deployment was established in the accessible full text.</ns0:t>
        </ns0:is>
      </ns0:c>
      <ns0:c r="AL438" s="21" t="inlineStr">
        <ns0:is>
          <ns0:t>Not applicable</ns0:t>
        </ns0:is>
      </ns0:c>
      <ns0:c r="AM438" s="21" t="inlineStr">
        <ns0:is>
          <ns0:t>Not separately specified</ns0:t>
        </ns0:is>
      </ns0:c>
      <ns0:c r="AN438" s="21" t="inlineStr"/>
      <ns0:c r="AO438" s="21" t="inlineStr">
        <ns0:is>
          <ns0:t>No additional status determination</ns0:t>
        </ns0:is>
      </ns0:c>
      <ns0:c r="AP438" s="21" t="inlineStr">
        <ns0:is>
          <ns0:t>Not documented for this recharting</ns0:t>
        </ns0:is>
      </ns0:c>
      <ns0:c r="AQ438" s="21" t="inlineStr">
        <ns0:is>
          <ns0:t>ChatGPT-assisted evidence recharting, 2026-09-08</ns0:t>
        </ns0:is>
      </ns0:c>
      <ns0:c r="AR438" s="21" t="inlineStr">
        <ns0:is>
          <ns0:t>Revision asistida por IA (un revisor; requiere verificacion independiente)</ns0:t>
        </ns0:is>
      </ns0:c>
      <ns0:c r="AS438" s="21" t="inlineStr">
        <ns0:is>
          <ns0:t>Retrieved/reviewed; content sufficient for scoped adjudication</ns0:t>
        </ns0:is>
      </ns0:c>
    </ns0:row>
    <ns0:row r="439" ht="50" customHeight="1">
      <ns0:c r="A439" s="19" t="inlineStr">
        <ns0:is>
          <ns0:t>new_398</ns0:t>
        </ns0:is>
      </ns0:c>
      <ns0:c r="B439" s="19" t="inlineStr">
        <ns0:is>
          <ns0:t>Update</ns0:t>
        </ns0:is>
      </ns0:c>
      <ns0:c r="C439" s="19" t="inlineStr">
        <ns0:is>
          <ns0:t>Diagnostic Classification of Autism Spectrum Disorder Using SD Maps of fMRI Data and Machine Learning</ns0:t>
        </ns0:is>
      </ns0:c>
      <ns0:c r="D439" s="19" t="inlineStr">
        <ns0:is>
          <ns0:t>10.1007/s40846-026-01044-8</ns0:t>
        </ns0:is>
      </ns0:c>
      <ns0:c r="E439" s="26" t="n">
        <ns0:v>2026</ns0:v>
      </ns0:c>
      <ns0:c r="F439" s="19" t="inlineStr">
        <ns0:is>
          <ns0:t>Include</ns0:t>
        </ns0:is>
      </ns0:c>
      <ns0:c r="G439" s="27">
        <ns0:f>IF(F439="Include",1,0)</ns0:f>
        <ns0:v>1</ns0:v>
      </ns0:c>
      <ns0:c r="H439" s="19" t="inlineStr">
        <ns0:is>
          <ns0:t>Diagnosis</ns0:t>
        </ns0:is>
      </ns0:c>
      <ns0:c r="I439" s="19" t="inlineStr">
        <ns0:is>
          <ns0:t>Machine Learning</ns0:t>
        </ns0:is>
      </ns0:c>
      <ns0:c r="J439" s="19" t="inlineStr">
        <ns0:is>
          <ns0:t>Neuroimaging</ns0:t>
        </ns0:is>
      </ns0:c>
      <ns0:c r="K439" s="19" t="inlineStr">
        <ns0:is>
          <ns0:t>Logistic regression (best), with ridge/gradient boosting/XGBoost comparison</ns0:t>
        </ns0:is>
      </ns0:c>
      <ns0:c r="L439" s="19" t="inlineStr">
        <ns0:is>
          <ns0:t>Multiple/not uniquely specified</ns0:t>
        </ns0:is>
      </ns0:c>
      <ns0:c r="M439" s="19" t="inlineStr">
        <ns0:is>
          <ns0:t>Research only</ns0:t>
        </ns0:is>
      </ns0:c>
      <ns0:c r="N439" s="19" t="inlineStr">
        <ns0:is>
          <ns0:t>Automated measurement/classification</ns0:t>
        </ns0:is>
      </ns0:c>
      <ns0:c r="O439" s="19" t="inlineStr">
        <ns0:is>
          <ns0:t>Not observed in assessed sources</ns0:t>
        </ns0:is>
      </ns0:c>
      <ns0:c r="P439" s="19" t="inlineStr">
        <ns0:is>
          <ns0:t>Not observed in assessed sources</ns0:t>
        </ns0:is>
      </ns0:c>
      <ns0:c r="Q439" s="19" t="inlineStr">
        <ns0:is>
          <ns0:t>Not reported in assessed sources</ns0:t>
        </ns0:is>
      </ns0:c>
      <ns0:c r="R439" s="19" t="inlineStr">
        <ns0:is>
          <ns0:t>Not reported in assessed sources</ns0:t>
        </ns0:is>
      </ns0:c>
      <ns0:c r="S439" s="19" t="inlineStr">
        <ns0:is>
          <ns0:t>Reported</ns0:t>
        </ns0:is>
      </ns0:c>
      <ns0:c r="T439" s="19" t="inlineStr">
        <ns0:is>
          <ns0:t>Not reported in assessed sources</ns0:t>
        </ns0:is>
      </ns0:c>
      <ns0:c r="U439" s="19" t="inlineStr">
        <ns0:is>
          <ns0:t>Not reported in assessed sources</ns0:t>
        </ns0:is>
      </ns0:c>
      <ns0:c r="V439" s="19" t="inlineStr">
        <ns0:is>
          <ns0:t>Reported</ns0:t>
        </ns0:is>
      </ns0:c>
      <ns0:c r="W439" s="19" t="inlineStr">
        <ns0:is>
          <ns0:t>Not reported in assessed sources</ns0:t>
        </ns0:is>
      </ns0:c>
      <ns0:c r="X439" s="19" t="inlineStr">
        <ns0:is>
          <ns0:t>Not reported in assessed sources</ns0:t>
        </ns0:is>
      </ns0:c>
      <ns0:c r="Y439" s="19" t="inlineStr">
        <ns0:is>
          <ns0:t>Not ascertainable</ns0:t>
        </ns0:is>
      </ns0:c>
      <ns0:c r="Z439" s="19" t="inlineStr">
        <ns0:is>
          <ns0:t>Reported</ns0:t>
        </ns0:is>
      </ns0:c>
      <ns0:c r="AA439" s="19" t="inlineStr">
        <ns0:is>
          <ns0:t>Not recorded</ns0:t>
        </ns0:is>
      </ns0:c>
      <ns0:c r="AB439" s="26" t="n">
        <ns0:v>0</ns0:v>
      </ns0:c>
      <ns0:c r="AC439" s="26" t="n">
        <ns0:v>0</ns0:v>
      </ns0:c>
      <ns0:c r="AD439" s="27">
        <ns0:f>IF(AND(G439=1,AB439=0),1,0)</ns0:f>
        <ns0:v>1</ns0:v>
      </ns0:c>
      <ns0:c r="AE439" s="27">
        <ns0:f>IF(AND(AD439=1,AC439=0),1,0)</ns0:f>
        <ns0:v>1</ns0:v>
      </ns0:c>
      <ns0:c r="AF439" s="27">
        <ns0:f>IF(AND(G439=1,H439&lt;&gt;"Not specified"),1,0)</ns0:f>
        <ns0:v>1</ns0:v>
      </ns0:c>
      <ns0:c r="AG439" s="27">
        <ns0:f>IF(AND(AE439=1,AF439=1),1,0)</ns0:f>
        <ns0:v>1</ns0:v>
      </ns0:c>
      <ns0:c r="AH439" s="19" t="inlineStr">
        <ns0:is>
          <ns0:t>Prior source-specific extraction retained; no new full-text retrieval</ns0:t>
        </ns0:is>
      </ns0:c>
      <ns0:c r="AI439" s="19" t="inlineStr">
        <ns0:is>
          <ns0:t>https://doi.org/10.1007/s40846-026-01044-8</ns0:t>
        </ns0:is>
      </ns0:c>
      <ns0:c r="AJ439" s="19" t="inlineStr">
        <ns0:is>
          <ns0:t>EVIDENCIA; original abstract/coding notes and lot source trace; Inherited scoped adjudication; see source level and lot caveats</ns0:t>
        </ns0:is>
      </ns0:c>
      <ns0:c r="AK439" s="19" t="inlineStr">
        <ns0:is>
          <ns0:t>Retained source-specific coding after review of the supplied extraction notes; not a new full-text retrieval. 3D SD maps from ABIDE-I/II rs-fMRI were converted to 110 features and evaluated with LR, ridge, gradient boosting and XGBoost using 5-fold nested CV; LR achieved mean accuracy 70.71%. Nested cross-validation is methodologically stronger than a simple split but does not establish an independent/site-held-out external validation. Feature-contribution analysis was coded as partial interpretability, not strict XAI.</ns0:t>
        </ns0:is>
      </ns0:c>
      <ns0:c r="AL439" s="19" t="inlineStr">
        <ns0:is>
          <ns0:t>Not applicable</ns0:t>
        </ns0:is>
      </ns0:c>
      <ns0:c r="AM439" s="19" t="inlineStr">
        <ns0:is>
          <ns0:t>Not separately specified</ns0:t>
        </ns0:is>
      </ns0:c>
      <ns0:c r="AN439" s="19" t="inlineStr"/>
      <ns0:c r="AO439" s="19" t="inlineStr">
        <ns0:is>
          <ns0:t>No additional status determination</ns0:t>
        </ns0:is>
      </ns0:c>
      <ns0:c r="AP439" s="19" t="inlineStr">
        <ns0:is>
          <ns0:t>Not documented for this recharting</ns0:t>
        </ns0:is>
      </ns0:c>
      <ns0:c r="AQ439" s="19" t="inlineStr">
        <ns0:is>
          <ns0:t>ChatGPT-assisted evidence recharting, 2026-09-08</ns0:t>
        </ns0:is>
      </ns0:c>
      <ns0:c r="AR439" s="19" t="inlineStr">
        <ns0:is>
          <ns0:t>Revision asistida por IA (un revisor; requiere verificacion independiente)</ns0:t>
        </ns0:is>
      </ns0:c>
      <ns0:c r="AS439" s="19" t="inlineStr">
        <ns0:is>
          <ns0:t>Retrieved/reviewed; content sufficient for scoped adjudication</ns0:t>
        </ns0:is>
      </ns0:c>
    </ns0:row>
    <ns0:row r="440" ht="50" customHeight="1">
      <ns0:c r="A440" s="21" t="inlineStr">
        <ns0:is>
          <ns0:t>new_5</ns0:t>
        </ns0:is>
      </ns0:c>
      <ns0:c r="B440" s="21" t="inlineStr">
        <ns0:is>
          <ns0:t>Update</ns0:t>
        </ns0:is>
      </ns0:c>
      <ns0:c r="C440" s="21" t="inlineStr">
        <ns0:is>
          <ns0:t>An exploration of machine learning approaches for early Autism Spectrum Disorder detection</ns0:t>
        </ns0:is>
      </ns0:c>
      <ns0:c r="D440" s="21" t="inlineStr">
        <ns0:is>
          <ns0:t>10.1016/j.health.2024.100379</ns0:t>
        </ns0:is>
      </ns0:c>
      <ns0:c r="E440" s="28" t="n">
        <ns0:v>2025</ns0:v>
      </ns0:c>
      <ns0:c r="F440" s="21" t="inlineStr">
        <ns0:is>
          <ns0:t>Include</ns0:t>
        </ns0:is>
      </ns0:c>
      <ns0:c r="G440" s="29">
        <ns0:f>IF(F440="Include",1,0)</ns0:f>
        <ns0:v>1</ns0:v>
      </ns0:c>
      <ns0:c r="H440" s="21" t="inlineStr">
        <ns0:is>
          <ns0:t>Screening</ns0:t>
        </ns0:is>
      </ns0:c>
      <ns0:c r="I440" s="21" t="inlineStr">
        <ns0:is>
          <ns0:t>Machine Learning</ns0:t>
        </ns0:is>
      </ns0:c>
      <ns0:c r="J440" s="21" t="inlineStr">
        <ns0:is>
          <ns0:t>Structured clinical/questionnaire data</ns0:t>
        </ns0:is>
      </ns0:c>
      <ns0:c r="K440" s="21" t="inlineStr">
        <ns0:is>
          <ns0:t>Support Vector Classifier (best-performing; compared with LR/KNN/DT/RF)</ns0:t>
        </ns0:is>
      </ns0:c>
      <ns0:c r="L440" s="21" t="inlineStr">
        <ns0:is>
          <ns0:t>Composite/ensemble pipeline</ns0:t>
        </ns0:is>
      </ns0:c>
      <ns0:c r="M440" s="21" t="inlineStr">
        <ns0:is>
          <ns0:t>Proposed only</ns0:t>
        </ns0:is>
      </ns0:c>
      <ns0:c r="N440" s="21" t="inlineStr">
        <ns0:is>
          <ns0:t>Triage/questionnaire assessment</ns0:t>
        </ns0:is>
      </ns0:c>
      <ns0:c r="O440" s="21" t="inlineStr">
        <ns0:is>
          <ns0:t>Pre-decision</ns0:t>
        </ns0:is>
      </ns0:c>
      <ns0:c r="P440" s="21" t="inlineStr">
        <ns0:is>
          <ns0:t>Not observed in assessed sources</ns0:t>
        </ns0:is>
      </ns0:c>
      <ns0:c r="Q440" s="21" t="inlineStr">
        <ns0:is>
          <ns0:t>Not reported in assessed sources</ns0:t>
        </ns0:is>
      </ns0:c>
      <ns0:c r="R440" s="21" t="inlineStr">
        <ns0:is>
          <ns0:t>Not reported in assessed sources</ns0:t>
        </ns0:is>
      </ns0:c>
      <ns0:c r="S440" s="21" t="inlineStr">
        <ns0:is>
          <ns0:t>Not reported in assessed sources</ns0:t>
        </ns0:is>
      </ns0:c>
      <ns0:c r="T440" s="21" t="inlineStr">
        <ns0:is>
          <ns0:t>Not reported in assessed sources</ns0:t>
        </ns0:is>
      </ns0:c>
      <ns0:c r="U440" s="21" t="inlineStr">
        <ns0:is>
          <ns0:t>Not reported in assessed sources</ns0:t>
        </ns0:is>
      </ns0:c>
      <ns0:c r="V440" s="21" t="inlineStr">
        <ns0:is>
          <ns0:t>Not ascertainable</ns0:t>
        </ns0:is>
      </ns0:c>
      <ns0:c r="W440" s="21" t="inlineStr">
        <ns0:is>
          <ns0:t>Not reported in assessed sources</ns0:t>
        </ns0:is>
      </ns0:c>
      <ns0:c r="X440" s="21" t="inlineStr">
        <ns0:is>
          <ns0:t>Not reported in assessed sources</ns0:t>
        </ns0:is>
      </ns0:c>
      <ns0:c r="Y440" s="21" t="inlineStr">
        <ns0:is>
          <ns0:t>Not ascertainable</ns0:t>
        </ns0:is>
      </ns0:c>
      <ns0:c r="Z440" s="21" t="inlineStr">
        <ns0:is>
          <ns0:t>Not reported in assessed sources</ns0:t>
        </ns0:is>
      </ns0:c>
      <ns0:c r="AA440" s="21" t="inlineStr">
        <ns0:is>
          <ns0:t>Not recorded</ns0:t>
        </ns0:is>
      </ns0:c>
      <ns0:c r="AB440" s="28" t="n">
        <ns0:v>0</ns0:v>
      </ns0:c>
      <ns0:c r="AC440" s="28" t="n">
        <ns0:v>0</ns0:v>
      </ns0:c>
      <ns0:c r="AD440" s="29">
        <ns0:f>IF(AND(G440=1,AB440=0),1,0)</ns0:f>
        <ns0:v>1</ns0:v>
      </ns0:c>
      <ns0:c r="AE440" s="29">
        <ns0:f>IF(AND(AD440=1,AC440=0),1,0)</ns0:f>
        <ns0:v>1</ns0:v>
      </ns0:c>
      <ns0:c r="AF440" s="29">
        <ns0:f>IF(AND(G440=1,H440&lt;&gt;"Not specified"),1,0)</ns0:f>
        <ns0:v>1</ns0:v>
      </ns0:c>
      <ns0:c r="AG440" s="29">
        <ns0:f>IF(AND(AE440=1,AF440=1),1,0)</ns0:f>
        <ns0:v>1</ns0:v>
      </ns0:c>
      <ns0:c r="AH440" s="21" t="inlineStr">
        <ns0:is>
          <ns0:t>Prior source-specific extraction retained; no new full-text retrieval</ns0:t>
        </ns0:is>
      </ns0:c>
      <ns0:c r="AI440" s="21" t="inlineStr">
        <ns0:is>
          <ns0:t>https://doi.org/10.1016/j.health.2024.100379</ns0:t>
        </ns0:is>
      </ns0:c>
      <ns0:c r="AJ440" s="21" t="inlineStr">
        <ns0:is>
          <ns0:t>EVIDENCIA; original abstract/coding notes and lot source trace; Inherited scoped adjudication; see source level and lot caveats</ns0:t>
        </ns0:is>
      </ns0:c>
      <ns0:c r="AK440" s="21" t="inlineStr">
        <ns0:is>
          <ns0:t>Child/toddler public datasets are not necessarily distinct clinical sites; geographic multisite provenance is not established.</ns0:t>
        </ns0:is>
      </ns0:c>
      <ns0:c r="AL440" s="21" t="inlineStr">
        <ns0:is>
          <ns0:t>Not applicable</ns0:t>
        </ns0:is>
      </ns0:c>
      <ns0:c r="AM440" s="21" t="inlineStr">
        <ns0:is>
          <ns0:t>Not separately specified</ns0:t>
        </ns0:is>
      </ns0:c>
      <ns0:c r="AN440" s="21" t="inlineStr"/>
      <ns0:c r="AO440" s="21" t="inlineStr">
        <ns0:is>
          <ns0:t>No additional status determination</ns0:t>
        </ns0:is>
      </ns0:c>
      <ns0:c r="AP440" s="21" t="inlineStr">
        <ns0:is>
          <ns0:t>Not documented for this recharting</ns0:t>
        </ns0:is>
      </ns0:c>
      <ns0:c r="AQ440" s="21" t="inlineStr">
        <ns0:is>
          <ns0:t>ChatGPT-assisted evidence recharting, 2026-09-08</ns0:t>
        </ns0:is>
      </ns0:c>
      <ns0:c r="AR440" s="21" t="inlineStr">
        <ns0:is>
          <ns0:t>Revisión asistida por IA (un revisor; requiere verificación independiente)</ns0:t>
        </ns0:is>
      </ns0:c>
      <ns0:c r="AS440" s="21" t="inlineStr">
        <ns0:is>
          <ns0:t>Eligibility reviewed from accessible primary-source content; scoped adjudication completed</ns0:t>
        </ns0:is>
      </ns0:c>
    </ns0:row>
    <ns0:row r="441" ht="50" customHeight="1">
      <ns0:c r="A441" s="19" t="inlineStr">
        <ns0:is>
          <ns0:t>new_11</ns0:t>
        </ns0:is>
      </ns0:c>
      <ns0:c r="B441" s="19" t="inlineStr">
        <ns0:is>
          <ns0:t>Update</ns0:t>
        </ns0:is>
      </ns0:c>
      <ns0:c r="C441" s="19" t="inlineStr">
        <ns0:is>
          <ns0:t>Ensembler_fMRI: An Intelligent Approach for the Early Prediction of Autism Disorder</ns0:t>
        </ns0:is>
      </ns0:c>
      <ns0:c r="D441" s="19" t="inlineStr">
        <ns0:is>
          <ns0:t>10.1016/j.procs.2025.04.142</ns0:t>
        </ns0:is>
      </ns0:c>
      <ns0:c r="E441" s="26" t="n">
        <ns0:v>2025</ns0:v>
      </ns0:c>
      <ns0:c r="F441" s="19" t="inlineStr">
        <ns0:is>
          <ns0:t>Include</ns0:t>
        </ns0:is>
      </ns0:c>
      <ns0:c r="G441" s="27">
        <ns0:f>IF(F441="Include",1,0)</ns0:f>
        <ns0:v>1</ns0:v>
      </ns0:c>
      <ns0:c r="H441" s="19" t="inlineStr">
        <ns0:is>
          <ns0:t>Diagnosis</ns0:t>
        </ns0:is>
      </ns0:c>
      <ns0:c r="I441" s="19" t="inlineStr">
        <ns0:is>
          <ns0:t>Not specified</ns0:t>
        </ns0:is>
      </ns0:c>
      <ns0:c r="J441" s="19" t="inlineStr">
        <ns0:is>
          <ns0:t>Neuroimaging</ns0:t>
        </ns0:is>
      </ns0:c>
      <ns0:c r="K441" s="19" t="inlineStr">
        <ns0:is>
          <ns0:t>Ensemble; component families not specified</ns0:t>
        </ns0:is>
      </ns0:c>
      <ns0:c r="L441" s="19" t="inlineStr">
        <ns0:is>
          <ns0:t>Multiple/not uniquely specified</ns0:t>
        </ns0:is>
      </ns0:c>
      <ns0:c r="M441" s="19" t="inlineStr">
        <ns0:is>
          <ns0:t>Research only</ns0:t>
        </ns0:is>
      </ns0:c>
      <ns0:c r="N441" s="19" t="inlineStr">
        <ns0:is>
          <ns0:t>Automated measurement/classification</ns0:t>
        </ns0:is>
      </ns0:c>
      <ns0:c r="O441" s="19" t="inlineStr">
        <ns0:is>
          <ns0:t>Not observed in assessed sources</ns0:t>
        </ns0:is>
      </ns0:c>
      <ns0:c r="P441" s="19" t="inlineStr">
        <ns0:is>
          <ns0:t>Not observed in assessed sources</ns0:t>
        </ns0:is>
      </ns0:c>
      <ns0:c r="Q441" s="19" t="inlineStr">
        <ns0:is>
          <ns0:t>Not reported in assessed sources</ns0:t>
        </ns0:is>
      </ns0:c>
      <ns0:c r="R441" s="19" t="inlineStr">
        <ns0:is>
          <ns0:t>Not reported in assessed sources</ns0:t>
        </ns0:is>
      </ns0:c>
      <ns0:c r="S441" s="19" t="inlineStr">
        <ns0:is>
          <ns0:t>Not reported in assessed sources</ns0:t>
        </ns0:is>
      </ns0:c>
      <ns0:c r="T441" s="19" t="inlineStr">
        <ns0:is>
          <ns0:t>Not reported in assessed sources</ns0:t>
        </ns0:is>
      </ns0:c>
      <ns0:c r="U441" s="19" t="inlineStr">
        <ns0:is>
          <ns0:t>Not reported in assessed sources</ns0:t>
        </ns0:is>
      </ns0:c>
      <ns0:c r="V441" s="19" t="inlineStr">
        <ns0:is>
          <ns0:t>Reported</ns0:t>
        </ns0:is>
      </ns0:c>
      <ns0:c r="W441" s="19" t="inlineStr">
        <ns0:is>
          <ns0:t>Not reported in assessed sources</ns0:t>
        </ns0:is>
      </ns0:c>
      <ns0:c r="X441" s="19" t="inlineStr">
        <ns0:is>
          <ns0:t>Not reported in assessed sources</ns0:t>
        </ns0:is>
      </ns0:c>
      <ns0:c r="Y441" s="19" t="inlineStr">
        <ns0:is>
          <ns0:t>Not ascertainable</ns0:t>
        </ns0:is>
      </ns0:c>
      <ns0:c r="Z441" s="19" t="inlineStr">
        <ns0:is>
          <ns0:t>Not reported in assessed sources</ns0:t>
        </ns0:is>
      </ns0:c>
      <ns0:c r="AA441" s="19" t="inlineStr">
        <ns0:is>
          <ns0:t>Not recorded</ns0:t>
        </ns0:is>
      </ns0:c>
      <ns0:c r="AB441" s="26" t="n">
        <ns0:v>0</ns0:v>
      </ns0:c>
      <ns0:c r="AC441" s="26" t="n">
        <ns0:v>0</ns0:v>
      </ns0:c>
      <ns0:c r="AD441" s="27">
        <ns0:f>IF(AND(G441=1,AB441=0),1,0)</ns0:f>
        <ns0:v>1</ns0:v>
      </ns0:c>
      <ns0:c r="AE441" s="27">
        <ns0:f>IF(AND(AD441=1,AC441=0),1,0)</ns0:f>
        <ns0:v>1</ns0:v>
      </ns0:c>
      <ns0:c r="AF441" s="27">
        <ns0:f>IF(AND(G441=1,H441&lt;&gt;"Not specified"),1,0)</ns0:f>
        <ns0:v>1</ns0:v>
      </ns0:c>
      <ns0:c r="AG441" s="27">
        <ns0:f>IF(AND(AE441=1,AF441=1),1,0)</ns0:f>
        <ns0:v>1</ns0:v>
      </ns0:c>
      <ns0:c r="AH441" s="19" t="inlineStr">
        <ns0:is>
          <ns0:t>Prior source-specific extraction retained; no new full-text retrieval</ns0:t>
        </ns0:is>
      </ns0:c>
      <ns0:c r="AI441" s="19" t="inlineStr">
        <ns0:is>
          <ns0:t>https://doi.org/10.1016/j.procs.2025.04.142</ns0:t>
        </ns0:is>
      </ns0:c>
      <ns0:c r="AJ441" s="19" t="inlineStr">
        <ns0:is>
          <ns0:t>EVIDENCIA; original abstract/coding notes and lot source trace; Inherited scoped adjudication; see source level and lot caveats</ns0:t>
        </ns0:is>
      </ns0:c>
      <ns0:c r="AK441" s="19" t="inlineStr">
        <ns0:is>
          <ns0:t>Retained source-specific coding after review of the supplied extraction notes; not a new full-text retrieval. Ensembler_fMRI combines multiple AI techniques on fMRI data from ABIDE and ADHD-200 to distinguish ASD from ADHD; the abstract reports 98% accuracy. Use of multisite/multidataset repositories does not itself demonstrate held-out cross-site robustness or external validation; component model details are incomplete in the accessible abstract.
Do not infer mixed ML/DL from ensemble terminology.</ns0:t>
        </ns0:is>
      </ns0:c>
      <ns0:c r="AL441" s="19" t="inlineStr">
        <ns0:is>
          <ns0:t>Not applicable</ns0:t>
        </ns0:is>
      </ns0:c>
      <ns0:c r="AM441" s="19" t="inlineStr">
        <ns0:is>
          <ns0:t>Not separately specified</ns0:t>
        </ns0:is>
      </ns0:c>
      <ns0:c r="AN441" s="19" t="inlineStr"/>
      <ns0:c r="AO441" s="19" t="inlineStr">
        <ns0:is>
          <ns0:t>No additional status determination</ns0:t>
        </ns0:is>
      </ns0:c>
      <ns0:c r="AP441" s="19" t="inlineStr">
        <ns0:is>
          <ns0:t>Not documented for this recharting</ns0:t>
        </ns0:is>
      </ns0:c>
      <ns0:c r="AQ441" s="19" t="inlineStr">
        <ns0:is>
          <ns0:t>ChatGPT-assisted evidence recharting, 2026-09-08</ns0:t>
        </ns0:is>
      </ns0:c>
      <ns0:c r="AR441" s="19" t="inlineStr">
        <ns0:is>
          <ns0:t>Revisión asistida por IA (un revisor; requiere verificación independiente)</ns0:t>
        </ns0:is>
      </ns0:c>
      <ns0:c r="AS441" s="19" t="inlineStr">
        <ns0:is>
          <ns0:t>Eligibility reviewed from accessible primary-source content; scoped adjudication completed</ns0:t>
        </ns0:is>
      </ns0:c>
    </ns0:row>
    <ns0:row r="442" ht="50" customHeight="1">
      <ns0:c r="A442" s="21" t="inlineStr">
        <ns0:is>
          <ns0:t>new_16</ns0:t>
        </ns0:is>
      </ns0:c>
      <ns0:c r="B442" s="21" t="inlineStr">
        <ns0:is>
          <ns0:t>Update</ns0:t>
        </ns0:is>
      </ns0:c>
      <ns0:c r="C442" s="21" t="inlineStr">
        <ns0:is>
          <ns0:t>Unraveling pathogenesis and potential biomarkers for autism spectrum disorder associated with HIF1A pathway based on machine learning and experiment validation</ns0:t>
        </ns0:is>
      </ns0:c>
      <ns0:c r="D442" s="21" t="inlineStr">
        <ns0:is>
          <ns0:t>10.1016/j.nbd.2024.106763</ns0:t>
        </ns0:is>
      </ns0:c>
      <ns0:c r="E442" s="28" t="n">
        <ns0:v>2025</ns0:v>
      </ns0:c>
      <ns0:c r="F442" s="21" t="inlineStr">
        <ns0:is>
          <ns0:t>Include</ns0:t>
        </ns0:is>
      </ns0:c>
      <ns0:c r="G442" s="29">
        <ns0:f>IF(F442="Include",1,0)</ns0:f>
        <ns0:v>1</ns0:v>
      </ns0:c>
      <ns0:c r="H442" s="21" t="inlineStr">
        <ns0:is>
          <ns0:t>Diagnosis</ns0:t>
        </ns0:is>
      </ns0:c>
      <ns0:c r="I442" s="21" t="inlineStr">
        <ns0:is>
          <ns0:t>Machine Learning</ns0:t>
        </ns0:is>
      </ns0:c>
      <ns0:c r="J442" s="21" t="inlineStr">
        <ns0:is>
          <ns0:t>Biological/omics</ns0:t>
        </ns0:is>
      </ns0:c>
      <ns0:c r="K442" s="21" t="inlineStr">
        <ns0:is>
          <ns0:t>Machine-learning hub-gene selection (specific model family not stated in accessible source)</ns0:t>
        </ns0:is>
      </ns0:c>
      <ns0:c r="L442" s="21" t="inlineStr">
        <ns0:is>
          <ns0:t>Multiple/not uniquely specified</ns0:t>
        </ns0:is>
      </ns0:c>
      <ns0:c r="M442" s="21" t="inlineStr">
        <ns0:is>
          <ns0:t>Research only</ns0:t>
        </ns0:is>
      </ns0:c>
      <ns0:c r="N442" s="21" t="inlineStr">
        <ns0:is>
          <ns0:t>Automated measurement/classification</ns0:t>
        </ns0:is>
      </ns0:c>
      <ns0:c r="O442" s="21" t="inlineStr">
        <ns0:is>
          <ns0:t>Not observed in assessed sources</ns0:t>
        </ns0:is>
      </ns0:c>
      <ns0:c r="P442" s="21" t="inlineStr">
        <ns0:is>
          <ns0:t>Not observed in assessed sources</ns0:t>
        </ns0:is>
      </ns0:c>
      <ns0:c r="Q442" s="21" t="inlineStr">
        <ns0:is>
          <ns0:t>Not reported in assessed sources</ns0:t>
        </ns0:is>
      </ns0:c>
      <ns0:c r="R442" s="21" t="inlineStr">
        <ns0:is>
          <ns0:t>Not reported in assessed sources</ns0:t>
        </ns0:is>
      </ns0:c>
      <ns0:c r="S442" s="21" t="inlineStr">
        <ns0:is>
          <ns0:t>Reported</ns0:t>
        </ns0:is>
      </ns0:c>
      <ns0:c r="T442" s="21" t="inlineStr">
        <ns0:is>
          <ns0:t>Not reported in assessed sources</ns0:t>
        </ns0:is>
      </ns0:c>
      <ns0:c r="U442" s="21" t="inlineStr">
        <ns0:is>
          <ns0:t>Not reported in assessed sources</ns0:t>
        </ns0:is>
      </ns0:c>
      <ns0:c r="V442" s="21" t="inlineStr">
        <ns0:is>
          <ns0:t>Reported</ns0:t>
        </ns0:is>
      </ns0:c>
      <ns0:c r="W442" s="21" t="inlineStr">
        <ns0:is>
          <ns0:t>Not reported in assessed sources</ns0:t>
        </ns0:is>
      </ns0:c>
      <ns0:c r="X442" s="21" t="inlineStr">
        <ns0:is>
          <ns0:t>Not reported in assessed sources</ns0:t>
        </ns0:is>
      </ns0:c>
      <ns0:c r="Y442" s="21" t="inlineStr">
        <ns0:is>
          <ns0:t>Not ascertainable</ns0:t>
        </ns0:is>
      </ns0:c>
      <ns0:c r="Z442" s="21" t="inlineStr">
        <ns0:is>
          <ns0:t>Reported</ns0:t>
        </ns0:is>
      </ns0:c>
      <ns0:c r="AA442" s="21" t="inlineStr">
        <ns0:is>
          <ns0:t>Not recorded</ns0:t>
        </ns0:is>
      </ns0:c>
      <ns0:c r="AB442" s="28" t="n">
        <ns0:v>0</ns0:v>
      </ns0:c>
      <ns0:c r="AC442" s="28" t="n">
        <ns0:v>0</ns0:v>
      </ns0:c>
      <ns0:c r="AD442" s="29">
        <ns0:f>IF(AND(G442=1,AB442=0),1,0)</ns0:f>
        <ns0:v>1</ns0:v>
      </ns0:c>
      <ns0:c r="AE442" s="29">
        <ns0:f>IF(AND(AD442=1,AC442=0),1,0)</ns0:f>
        <ns0:v>1</ns0:v>
      </ns0:c>
      <ns0:c r="AF442" s="29">
        <ns0:f>IF(AND(G442=1,H442&lt;&gt;"Not specified"),1,0)</ns0:f>
        <ns0:v>1</ns0:v>
      </ns0:c>
      <ns0:c r="AG442" s="29">
        <ns0:f>IF(AND(AE442=1,AF442=1),1,0)</ns0:f>
        <ns0:v>1</ns0:v>
      </ns0:c>
      <ns0:c r="AH442" s="21" t="inlineStr">
        <ns0:is>
          <ns0:t>Prior source-specific extraction retained; no new full-text retrieval</ns0:t>
        </ns0:is>
      </ns0:c>
      <ns0:c r="AI442" s="21" t="inlineStr">
        <ns0:is>
          <ns0:t>https://doi.org/10.1016/j.nbd.2024.106763</ns0:t>
        </ns0:is>
      </ns0:c>
      <ns0:c r="AJ442" s="21" t="inlineStr">
        <ns0:is>
          <ns0:t>EVIDENCIA; original abstract/coding notes and lot source trace; Inherited scoped adjudication; see source level and lot caveats</ns0:t>
        </ns0:is>
      </ns0:c>
      <ns0:c r="AK442" s="21" t="inlineStr">
        <ns0:is>
          <ns0:t>Retained source-specific coding after review of the supplied extraction notes; not a new full-text retrieval. Human GEO transcriptomic data are used to identify HIF1A-related hub genes with ML; single-cell analysis and MIA mouse/cell experiments support mechanistic interpretation. Human data therefore prevent an animal-only exclusion. Animal/cell validation is mechanistic, not independent clinical external validation; the accessible abstract does not identify a site-held-out human validation design or the exact ML family used for hub-gene selection.</ns0:t>
        </ns0:is>
      </ns0:c>
      <ns0:c r="AL442" s="21" t="inlineStr">
        <ns0:is>
          <ns0:t>Not applicable</ns0:t>
        </ns0:is>
      </ns0:c>
      <ns0:c r="AM442" s="21" t="inlineStr">
        <ns0:is>
          <ns0:t>Not separately specified</ns0:t>
        </ns0:is>
      </ns0:c>
      <ns0:c r="AN442" s="21" t="inlineStr"/>
      <ns0:c r="AO442" s="21" t="inlineStr">
        <ns0:is>
          <ns0:t>No additional status determination</ns0:t>
        </ns0:is>
      </ns0:c>
      <ns0:c r="AP442" s="21" t="inlineStr">
        <ns0:is>
          <ns0:t>Not documented for this recharting</ns0:t>
        </ns0:is>
      </ns0:c>
      <ns0:c r="AQ442" s="21" t="inlineStr">
        <ns0:is>
          <ns0:t>ChatGPT-assisted evidence recharting, 2026-09-08</ns0:t>
        </ns0:is>
      </ns0:c>
      <ns0:c r="AR442" s="21" t="inlineStr">
        <ns0:is>
          <ns0:t>Revisión asistida por IA (un revisor; requiere verificación independiente)</ns0:t>
        </ns0:is>
      </ns0:c>
      <ns0:c r="AS442" s="21" t="inlineStr">
        <ns0:is>
          <ns0:t>Eligibility reviewed from accessible primary-source content; scoped adjudication completed</ns0:t>
        </ns0:is>
      </ns0:c>
    </ns0:row>
    <ns0:row r="443" ht="50" customHeight="1">
      <ns0:c r="A443" s="19" t="inlineStr">
        <ns0:is>
          <ns0:t>new_27</ns0:t>
        </ns0:is>
      </ns0:c>
      <ns0:c r="B443" s="19" t="inlineStr">
        <ns0:is>
          <ns0:t>Update</ns0:t>
        </ns0:is>
      </ns0:c>
      <ns0:c r="C443" s="19" t="inlineStr">
        <ns0:is>
          <ns0:t>Developing a simplified measure to predict the risk of autism spectrum disorders: Abbreviating the M-CHAT-R using a machine learning approach in China</ns0:t>
        </ns0:is>
      </ns0:c>
      <ns0:c r="D443" s="19" t="inlineStr">
        <ns0:is>
          <ns0:t>10.1016/j.psychres.2025.116353</ns0:t>
        </ns0:is>
      </ns0:c>
      <ns0:c r="E443" s="26" t="n">
        <ns0:v>2025</ns0:v>
      </ns0:c>
      <ns0:c r="F443" s="19" t="inlineStr">
        <ns0:is>
          <ns0:t>Include</ns0:t>
        </ns0:is>
      </ns0:c>
      <ns0:c r="G443" s="27">
        <ns0:f>IF(F443="Include",1,0)</ns0:f>
        <ns0:v>1</ns0:v>
      </ns0:c>
      <ns0:c r="H443" s="19" t="inlineStr">
        <ns0:is>
          <ns0:t>Screening</ns0:t>
        </ns0:is>
      </ns0:c>
      <ns0:c r="I443" s="19" t="inlineStr">
        <ns0:is>
          <ns0:t>Machine Learning</ns0:t>
        </ns0:is>
      </ns0:c>
      <ns0:c r="J443" s="19" t="inlineStr">
        <ns0:is>
          <ns0:t>Structured clinical/questionnaire data</ns0:t>
        </ns0:is>
      </ns0:c>
      <ns0:c r="K443" s="19" t="inlineStr">
        <ns0:is>
          <ns0:t>Best-performing classifier among six ML models after multi-method feature selection (family not uniquely stated in accessible abstract)</ns0:t>
        </ns0:is>
      </ns0:c>
      <ns0:c r="L443" s="19" t="inlineStr">
        <ns0:is>
          <ns0:t>Multiple/not uniquely specified</ns0:t>
        </ns0:is>
      </ns0:c>
      <ns0:c r="M443" s="19" t="inlineStr">
        <ns0:is>
          <ns0:t>Proposed only</ns0:t>
        </ns0:is>
      </ns0:c>
      <ns0:c r="N443" s="19" t="inlineStr">
        <ns0:is>
          <ns0:t>Triage/questionnaire assessment</ns0:t>
        </ns0:is>
      </ns0:c>
      <ns0:c r="O443" s="19" t="inlineStr">
        <ns0:is>
          <ns0:t>Pre-decision</ns0:t>
        </ns0:is>
      </ns0:c>
      <ns0:c r="P443" s="19" t="inlineStr">
        <ns0:is>
          <ns0:t>Not observed in assessed sources</ns0:t>
        </ns0:is>
      </ns0:c>
      <ns0:c r="Q443" s="19" t="inlineStr">
        <ns0:is>
          <ns0:t>Not reported in assessed sources</ns0:t>
        </ns0:is>
      </ns0:c>
      <ns0:c r="R443" s="19" t="inlineStr">
        <ns0:is>
          <ns0:t>Reported</ns0:t>
        </ns0:is>
      </ns0:c>
      <ns0:c r="S443" s="19" t="inlineStr">
        <ns0:is>
          <ns0:t>Reported</ns0:t>
        </ns0:is>
      </ns0:c>
      <ns0:c r="T443" s="19" t="inlineStr">
        <ns0:is>
          <ns0:t>Not reported in assessed sources</ns0:t>
        </ns0:is>
      </ns0:c>
      <ns0:c r="U443" s="19" t="inlineStr">
        <ns0:is>
          <ns0:t>Not reported in assessed sources</ns0:t>
        </ns0:is>
      </ns0:c>
      <ns0:c r="V443" s="19" t="inlineStr">
        <ns0:is>
          <ns0:t>Not reported in assessed sources</ns0:t>
        </ns0:is>
      </ns0:c>
      <ns0:c r="W443" s="19" t="inlineStr">
        <ns0:is>
          <ns0:t>Reported</ns0:t>
        </ns0:is>
      </ns0:c>
      <ns0:c r="X443" s="19" t="inlineStr">
        <ns0:is>
          <ns0:t>Not reported in assessed sources</ns0:t>
        </ns0:is>
      </ns0:c>
      <ns0:c r="Y443" s="19" t="inlineStr">
        <ns0:is>
          <ns0:t>Not ascertainable</ns0:t>
        </ns0:is>
      </ns0:c>
      <ns0:c r="Z443" s="19" t="inlineStr">
        <ns0:is>
          <ns0:t>Reported</ns0:t>
        </ns0:is>
      </ns0:c>
      <ns0:c r="AA443" s="19" t="inlineStr">
        <ns0:is>
          <ns0:t>Not recorded</ns0:t>
        </ns0:is>
      </ns0:c>
      <ns0:c r="AB443" s="26" t="n">
        <ns0:v>0</ns0:v>
      </ns0:c>
      <ns0:c r="AC443" s="26" t="n">
        <ns0:v>0</ns0:v>
      </ns0:c>
      <ns0:c r="AD443" s="27">
        <ns0:f>IF(AND(G443=1,AB443=0),1,0)</ns0:f>
        <ns0:v>1</ns0:v>
      </ns0:c>
      <ns0:c r="AE443" s="27">
        <ns0:f>IF(AND(AD443=1,AC443=0),1,0)</ns0:f>
        <ns0:v>1</ns0:v>
      </ns0:c>
      <ns0:c r="AF443" s="27">
        <ns0:f>IF(AND(G443=1,H443&lt;&gt;"Not specified"),1,0)</ns0:f>
        <ns0:v>1</ns0:v>
      </ns0:c>
      <ns0:c r="AG443" s="27">
        <ns0:f>IF(AND(AE443=1,AF443=1),1,0)</ns0:f>
        <ns0:v>1</ns0:v>
      </ns0:c>
      <ns0:c r="AH443" s="19" t="inlineStr">
        <ns0:is>
          <ns0:t>Prior source-specific extraction retained; no new full-text retrieval</ns0:t>
        </ns0:is>
      </ns0:c>
      <ns0:c r="AI443" s="19" t="inlineStr">
        <ns0:is>
          <ns0:t>https://doi.org/10.1016/j.psychres.2025.116353</ns0:t>
        </ns0:is>
      </ns0:c>
      <ns0:c r="AJ443" s="19" t="inlineStr">
        <ns0:is>
          <ns0:t>EVIDENCIA; original abstract/coding notes and lot source trace; Inherited scoped adjudication; see source level and lot caveats</ns0:t>
        </ns0:is>
      </ns0:c>
      <ns0:c r="AK443" s="19" t="inlineStr">
        <ns0:is>
          <ns0:t>Retained source-specific coding after review of the supplied extraction notes; not a new full-text retrieval. Retrospective analysis of 6,049 Chinese toddlers combines M-CHAT-R items with 17 sociodemographic/environmental factors, uses multiple feature-selection methods and six ML models, and derives a shortened screening measure. Derived from an existing validation cohort and not independently externally validated; strong sensitivity/specificity can coexist with low PPV in low-prevalence screening, so clinical utility should not be inferred from discrimination alone.</ns0:t>
        </ns0:is>
      </ns0:c>
      <ns0:c r="AL443" s="19" t="inlineStr">
        <ns0:is>
          <ns0:t>Not applicable</ns0:t>
        </ns0:is>
      </ns0:c>
      <ns0:c r="AM443" s="19" t="inlineStr">
        <ns0:is>
          <ns0:t>Not separately specified</ns0:t>
        </ns0:is>
      </ns0:c>
      <ns0:c r="AN443" s="19" t="inlineStr"/>
      <ns0:c r="AO443" s="19" t="inlineStr">
        <ns0:is>
          <ns0:t>No additional status determination</ns0:t>
        </ns0:is>
      </ns0:c>
      <ns0:c r="AP443" s="19" t="inlineStr">
        <ns0:is>
          <ns0:t>Not documented for this recharting</ns0:t>
        </ns0:is>
      </ns0:c>
      <ns0:c r="AQ443" s="19" t="inlineStr">
        <ns0:is>
          <ns0:t>ChatGPT-assisted evidence recharting, 2026-09-08</ns0:t>
        </ns0:is>
      </ns0:c>
      <ns0:c r="AR443" s="19" t="inlineStr">
        <ns0:is>
          <ns0:t>Revisión asistida por IA (un revisor; requiere verificación independiente)</ns0:t>
        </ns0:is>
      </ns0:c>
      <ns0:c r="AS443" s="19" t="inlineStr">
        <ns0:is>
          <ns0:t>Eligibility reviewed from accessible primary-source content; scoped adjudication completed</ns0:t>
        </ns0:is>
      </ns0:c>
    </ns0:row>
    <ns0:row r="444" ht="50" customHeight="1">
      <ns0:c r="A444" s="21" t="inlineStr">
        <ns0:is>
          <ns0:t>new_31</ns0:t>
        </ns0:is>
      </ns0:c>
      <ns0:c r="B444" s="21" t="inlineStr">
        <ns0:is>
          <ns0:t>Update</ns0:t>
        </ns0:is>
      </ns0:c>
      <ns0:c r="C444" s="21" t="inlineStr">
        <ns0:is>
          <ns0:t>Replication of rs10099100 Association with Autism Spectrum Disorder Risk in a Polish‐Origin Cohort</ns0:t>
        </ns0:is>
      </ns0:c>
      <ns0:c r="D444" s="21" t="inlineStr">
        <ns0:is>
          <ns0:t>10.1016/j.reia.2025.202542</ns0:t>
        </ns0:is>
      </ns0:c>
      <ns0:c r="E444" s="28" t="n">
        <ns0:v>2025</ns0:v>
      </ns0:c>
      <ns0:c r="F444" s="21" t="inlineStr">
        <ns0:is>
          <ns0:t>Include</ns0:t>
        </ns0:is>
      </ns0:c>
      <ns0:c r="G444" s="29">
        <ns0:f>IF(F444="Include",1,0)</ns0:f>
        <ns0:v>1</ns0:v>
      </ns0:c>
      <ns0:c r="H444" s="21" t="inlineStr">
        <ns0:is>
          <ns0:t>Diagnosis</ns0:t>
        </ns0:is>
      </ns0:c>
      <ns0:c r="I444" s="21" t="inlineStr">
        <ns0:is>
          <ns0:t>Machine Learning</ns0:t>
        </ns0:is>
      </ns0:c>
      <ns0:c r="J444" s="21" t="inlineStr">
        <ns0:is>
          <ns0:t>Multiple source categories</ns0:t>
        </ns0:is>
      </ns0:c>
      <ns0:c r="K444" s="21" t="inlineStr">
        <ns0:is>
          <ns0:t>Boruta feature selection + Random Forest</ns0:t>
        </ns0:is>
      </ns0:c>
      <ns0:c r="L444" s="21" t="inlineStr">
        <ns0:is>
          <ns0:t>Random forest</ns0:t>
        </ns0:is>
      </ns0:c>
      <ns0:c r="M444" s="21" t="inlineStr">
        <ns0:is>
          <ns0:t>Research only</ns0:t>
        </ns0:is>
      </ns0:c>
      <ns0:c r="N444" s="21" t="inlineStr">
        <ns0:is>
          <ns0:t>Automated measurement/classification</ns0:t>
        </ns0:is>
      </ns0:c>
      <ns0:c r="O444" s="21" t="inlineStr">
        <ns0:is>
          <ns0:t>Not observed in assessed sources</ns0:t>
        </ns0:is>
      </ns0:c>
      <ns0:c r="P444" s="21" t="inlineStr">
        <ns0:is>
          <ns0:t>Not observed in assessed sources</ns0:t>
        </ns0:is>
      </ns0:c>
      <ns0:c r="Q444" s="21" t="inlineStr">
        <ns0:is>
          <ns0:t>Not reported in assessed sources</ns0:t>
        </ns0:is>
      </ns0:c>
      <ns0:c r="R444" s="21" t="inlineStr">
        <ns0:is>
          <ns0:t>Reported</ns0:t>
        </ns0:is>
      </ns0:c>
      <ns0:c r="S444" s="21" t="inlineStr">
        <ns0:is>
          <ns0:t>Reported</ns0:t>
        </ns0:is>
      </ns0:c>
      <ns0:c r="T444" s="21" t="inlineStr">
        <ns0:is>
          <ns0:t>Not reported in assessed sources</ns0:t>
        </ns0:is>
      </ns0:c>
      <ns0:c r="U444" s="21" t="inlineStr">
        <ns0:is>
          <ns0:t>Not reported in assessed sources</ns0:t>
        </ns0:is>
      </ns0:c>
      <ns0:c r="V444" s="21" t="inlineStr">
        <ns0:is>
          <ns0:t>Not reported in assessed sources</ns0:t>
        </ns0:is>
      </ns0:c>
      <ns0:c r="W444" s="21" t="inlineStr">
        <ns0:is>
          <ns0:t>Reported</ns0:t>
        </ns0:is>
      </ns0:c>
      <ns0:c r="X444" s="21" t="inlineStr">
        <ns0:is>
          <ns0:t>Not reported in assessed sources</ns0:t>
        </ns0:is>
      </ns0:c>
      <ns0:c r="Y444" s="21" t="inlineStr">
        <ns0:is>
          <ns0:t>Not ascertainable</ns0:t>
        </ns0:is>
      </ns0:c>
      <ns0:c r="Z444" s="21" t="inlineStr">
        <ns0:is>
          <ns0:t>Reported</ns0:t>
        </ns0:is>
      </ns0:c>
      <ns0:c r="AA444" s="21" t="inlineStr">
        <ns0:is>
          <ns0:t>Not recorded</ns0:t>
        </ns0:is>
      </ns0:c>
      <ns0:c r="AB444" s="28" t="n">
        <ns0:v>0</ns0:v>
      </ns0:c>
      <ns0:c r="AC444" s="28" t="n">
        <ns0:v>0</ns0:v>
      </ns0:c>
      <ns0:c r="AD444" s="29">
        <ns0:f>IF(AND(G444=1,AB444=0),1,0)</ns0:f>
        <ns0:v>1</ns0:v>
      </ns0:c>
      <ns0:c r="AE444" s="29">
        <ns0:f>IF(AND(AD444=1,AC444=0),1,0)</ns0:f>
        <ns0:v>1</ns0:v>
      </ns0:c>
      <ns0:c r="AF444" s="29">
        <ns0:f>IF(AND(G444=1,H444&lt;&gt;"Not specified"),1,0)</ns0:f>
        <ns0:v>1</ns0:v>
      </ns0:c>
      <ns0:c r="AG444" s="29">
        <ns0:f>IF(AND(AE444=1,AF444=1),1,0)</ns0:f>
        <ns0:v>1</ns0:v>
      </ns0:c>
      <ns0:c r="AH444" s="21" t="inlineStr">
        <ns0:is>
          <ns0:t>Prior source-specific extraction retained; no new full-text retrieval</ns0:t>
        </ns0:is>
      </ns0:c>
      <ns0:c r="AI444" s="21" t="inlineStr">
        <ns0:is>
          <ns0:t>https://doi.org/10.1016/j.reia.2025.202542</ns0:t>
        </ns0:is>
      </ns0:c>
      <ns0:c r="AJ444" s="21" t="inlineStr">
        <ns0:is>
          <ns0:t>EVIDENCIA; original abstract/coding notes and lot source trace; Inherited scoped adjudication; see source level and lot caveats</ns0:t>
        </ns0:is>
      </ns0:c>
      <ns0:c r="AK444" s="21" t="inlineStr">
        <ns0:is>
          <ns0:t>Retained source-specific coding after review of the supplied extraction notes; not a new full-text retrieval. A Polish-origin ASD/control cohort is analyzed with Boruta and Random Forest to prioritize genetic and phenotypic markers, including replication of rs10099100-related risk evidence. Single ancestry-specific cohort with no independent external validation; association/feature importance is not equivalent to prospective screening performance.</ns0:t>
        </ns0:is>
      </ns0:c>
      <ns0:c r="AL444" s="21" t="inlineStr">
        <ns0:is>
          <ns0:t>Not applicable</ns0:t>
        </ns0:is>
      </ns0:c>
      <ns0:c r="AM444" s="21" t="inlineStr">
        <ns0:is>
          <ns0:t>Not separately specified</ns0:t>
        </ns0:is>
      </ns0:c>
      <ns0:c r="AN444" s="21" t="inlineStr"/>
      <ns0:c r="AO444" s="21" t="inlineStr">
        <ns0:is>
          <ns0:t>No additional status determination</ns0:t>
        </ns0:is>
      </ns0:c>
      <ns0:c r="AP444" s="21" t="inlineStr">
        <ns0:is>
          <ns0:t>Not documented for this recharting</ns0:t>
        </ns0:is>
      </ns0:c>
      <ns0:c r="AQ444" s="21" t="inlineStr">
        <ns0:is>
          <ns0:t>ChatGPT-assisted evidence recharting, 2026-09-08</ns0:t>
        </ns0:is>
      </ns0:c>
      <ns0:c r="AR444" s="21" t="inlineStr">
        <ns0:is>
          <ns0:t>Revisión asistida por IA (un revisor; requiere verificación independiente)</ns0:t>
        </ns0:is>
      </ns0:c>
      <ns0:c r="AS444" s="21" t="inlineStr">
        <ns0:is>
          <ns0:t>Eligibility reviewed from accessible primary-source content; scoped adjudication completed</ns0:t>
        </ns0:is>
      </ns0:c>
    </ns0:row>
    <ns0:row r="445" ht="50" customHeight="1">
      <ns0:c r="A445" s="19" t="inlineStr">
        <ns0:is>
          <ns0:t>new_42</ns0:t>
        </ns0:is>
      </ns0:c>
      <ns0:c r="B445" s="19" t="inlineStr">
        <ns0:is>
          <ns0:t>Update</ns0:t>
        </ns0:is>
      </ns0:c>
      <ns0:c r="C445" s="19" t="inlineStr">
        <ns0:is>
          <ns0:t>Enhancing Early Diagnosis of Autism Spectrum Disorder Using a Bayesian-Optimized Random Forest Algorithm</ns0:t>
        </ns0:is>
      </ns0:c>
      <ns0:c r="D445" s="19" t="inlineStr">
        <ns0:is>
          <ns0:t>10.1016/j.procs.2025.04.389</ns0:t>
        </ns0:is>
      </ns0:c>
      <ns0:c r="E445" s="26" t="n">
        <ns0:v>2025</ns0:v>
      </ns0:c>
      <ns0:c r="F445" s="19" t="inlineStr">
        <ns0:is>
          <ns0:t>Include</ns0:t>
        </ns0:is>
      </ns0:c>
      <ns0:c r="G445" s="27">
        <ns0:f>IF(F445="Include",1,0)</ns0:f>
        <ns0:v>1</ns0:v>
      </ns0:c>
      <ns0:c r="H445" s="19" t="inlineStr">
        <ns0:is>
          <ns0:t>Screening</ns0:t>
        </ns0:is>
      </ns0:c>
      <ns0:c r="I445" s="19" t="inlineStr">
        <ns0:is>
          <ns0:t>Machine Learning</ns0:t>
        </ns0:is>
      </ns0:c>
      <ns0:c r="J445" s="19" t="inlineStr">
        <ns0:is>
          <ns0:t>Structured clinical/questionnaire data</ns0:t>
        </ns0:is>
      </ns0:c>
      <ns0:c r="K445" s="19" t="inlineStr">
        <ns0:is>
          <ns0:t>Bayesian-optimized Random Forest</ns0:t>
        </ns0:is>
      </ns0:c>
      <ns0:c r="L445" s="19" t="inlineStr">
        <ns0:is>
          <ns0:t>Random forest</ns0:t>
        </ns0:is>
      </ns0:c>
      <ns0:c r="M445" s="19" t="inlineStr">
        <ns0:is>
          <ns0:t>Proposed only</ns0:t>
        </ns0:is>
      </ns0:c>
      <ns0:c r="N445" s="19" t="inlineStr">
        <ns0:is>
          <ns0:t>Triage/questionnaire assessment</ns0:t>
        </ns0:is>
      </ns0:c>
      <ns0:c r="O445" s="19" t="inlineStr">
        <ns0:is>
          <ns0:t>Pre-decision</ns0:t>
        </ns0:is>
      </ns0:c>
      <ns0:c r="P445" s="19" t="inlineStr">
        <ns0:is>
          <ns0:t>Not observed in assessed sources</ns0:t>
        </ns0:is>
      </ns0:c>
      <ns0:c r="Q445" s="19" t="inlineStr">
        <ns0:is>
          <ns0:t>Not reported in assessed sources</ns0:t>
        </ns0:is>
      </ns0:c>
      <ns0:c r="R445" s="19" t="inlineStr">
        <ns0:is>
          <ns0:t>Not reported in assessed sources</ns0:t>
        </ns0:is>
      </ns0:c>
      <ns0:c r="S445" s="19" t="inlineStr">
        <ns0:is>
          <ns0:t>Not reported in assessed sources</ns0:t>
        </ns0:is>
      </ns0:c>
      <ns0:c r="T445" s="19" t="inlineStr">
        <ns0:is>
          <ns0:t>Not reported in assessed sources</ns0:t>
        </ns0:is>
      </ns0:c>
      <ns0:c r="U445" s="19" t="inlineStr">
        <ns0:is>
          <ns0:t>Not reported in assessed sources</ns0:t>
        </ns0:is>
      </ns0:c>
      <ns0:c r="V445" s="19" t="inlineStr">
        <ns0:is>
          <ns0:t>Not reported in assessed sources</ns0:t>
        </ns0:is>
      </ns0:c>
      <ns0:c r="W445" s="19" t="inlineStr">
        <ns0:is>
          <ns0:t>Not reported in assessed sources</ns0:t>
        </ns0:is>
      </ns0:c>
      <ns0:c r="X445" s="19" t="inlineStr">
        <ns0:is>
          <ns0:t>Not reported in assessed sources</ns0:t>
        </ns0:is>
      </ns0:c>
      <ns0:c r="Y445" s="19" t="inlineStr">
        <ns0:is>
          <ns0:t>Not ascertainable</ns0:t>
        </ns0:is>
      </ns0:c>
      <ns0:c r="Z445" s="19" t="inlineStr">
        <ns0:is>
          <ns0:t>Not reported in assessed sources</ns0:t>
        </ns0:is>
      </ns0:c>
      <ns0:c r="AA445" s="19" t="inlineStr">
        <ns0:is>
          <ns0:t>Not recorded</ns0:t>
        </ns0:is>
      </ns0:c>
      <ns0:c r="AB445" s="26" t="n">
        <ns0:v>0</ns0:v>
      </ns0:c>
      <ns0:c r="AC445" s="26" t="n">
        <ns0:v>0</ns0:v>
      </ns0:c>
      <ns0:c r="AD445" s="27">
        <ns0:f>IF(AND(G445=1,AB445=0),1,0)</ns0:f>
        <ns0:v>1</ns0:v>
      </ns0:c>
      <ns0:c r="AE445" s="27">
        <ns0:f>IF(AND(AD445=1,AC445=0),1,0)</ns0:f>
        <ns0:v>1</ns0:v>
      </ns0:c>
      <ns0:c r="AF445" s="27">
        <ns0:f>IF(AND(G445=1,H445&lt;&gt;"Not specified"),1,0)</ns0:f>
        <ns0:v>1</ns0:v>
      </ns0:c>
      <ns0:c r="AG445" s="27">
        <ns0:f>IF(AND(AE445=1,AF445=1),1,0)</ns0:f>
        <ns0:v>1</ns0:v>
      </ns0:c>
      <ns0:c r="AH445" s="19" t="inlineStr">
        <ns0:is>
          <ns0:t>Prior source-specific extraction retained; no new full-text retrieval</ns0:t>
        </ns0:is>
      </ns0:c>
      <ns0:c r="AI445" s="19" t="inlineStr">
        <ns0:is>
          <ns0:t>https://doi.org/10.1016/j.procs.2025.04.389</ns0:t>
        </ns0:is>
      </ns0:c>
      <ns0:c r="AJ445" s="19" t="inlineStr">
        <ns0:is>
          <ns0:t>EVIDENCIA; original abstract/coding notes and lot source trace; Inherited scoped adjudication; see source level and lot caveats</ns0:t>
        </ns0:is>
      </ns0:c>
      <ns0:c r="AK445" s="19" t="inlineStr">
        <ns0:is>
          <ns0:t>Retained source-specific coding after review of the supplied extraction notes; not a new full-text retrieval. Uses Bayesian optimization to tune a Random Forest on behavioral, cognitive and demographic ASD variables; the paper reports very high classification performance. No independent external cohort, prospective deployment, or explicit explanation method was established; near-ceiling performance on structured ASD datasets requires careful leakage/selection-bias checks.</ns0:t>
        </ns0:is>
      </ns0:c>
      <ns0:c r="AL445" s="19" t="inlineStr">
        <ns0:is>
          <ns0:t>Not applicable</ns0:t>
        </ns0:is>
      </ns0:c>
      <ns0:c r="AM445" s="19" t="inlineStr">
        <ns0:is>
          <ns0:t>Not separately specified</ns0:t>
        </ns0:is>
      </ns0:c>
      <ns0:c r="AN445" s="19" t="inlineStr"/>
      <ns0:c r="AO445" s="19" t="inlineStr">
        <ns0:is>
          <ns0:t>No additional status determination</ns0:t>
        </ns0:is>
      </ns0:c>
      <ns0:c r="AP445" s="19" t="inlineStr">
        <ns0:is>
          <ns0:t>Not documented for this recharting</ns0:t>
        </ns0:is>
      </ns0:c>
      <ns0:c r="AQ445" s="19" t="inlineStr">
        <ns0:is>
          <ns0:t>ChatGPT-assisted evidence recharting, 2026-09-08</ns0:t>
        </ns0:is>
      </ns0:c>
      <ns0:c r="AR445" s="19" t="inlineStr">
        <ns0:is>
          <ns0:t>Revisión asistida por IA (un revisor; requiere verificación independiente)</ns0:t>
        </ns0:is>
      </ns0:c>
      <ns0:c r="AS445" s="19" t="inlineStr">
        <ns0:is>
          <ns0:t>Eligibility reviewed from accessible primary-source content; scoped adjudication completed</ns0:t>
        </ns0:is>
      </ns0:c>
    </ns0:row>
    <ns0:row r="446" ht="50" customHeight="1">
      <ns0:c r="A446" s="21" t="inlineStr">
        <ns0:is>
          <ns0:t>new_45</ns0:t>
        </ns0:is>
      </ns0:c>
      <ns0:c r="B446" s="21" t="inlineStr">
        <ns0:is>
          <ns0:t>Update</ns0:t>
        </ns0:is>
      </ns0:c>
      <ns0:c r="C446" s="21" t="inlineStr">
        <ns0:is>
          <ns0:t>Autism Spectrum Disorder Detection using Attention-Based CNN and ML Classifiers</ns0:t>
        </ns0:is>
      </ns0:c>
      <ns0:c r="D446" s="21" t="inlineStr">
        <ns0:is>
          <ns0:t>10.1016/j.procs.2025.04.671</ns0:t>
        </ns0:is>
      </ns0:c>
      <ns0:c r="E446" s="28" t="n">
        <ns0:v>2025</ns0:v>
      </ns0:c>
      <ns0:c r="F446" s="21" t="inlineStr">
        <ns0:is>
          <ns0:t>Include</ns0:t>
        </ns0:is>
      </ns0:c>
      <ns0:c r="G446" s="29">
        <ns0:f>IF(F446="Include",1,0)</ns0:f>
        <ns0:v>1</ns0:v>
      </ns0:c>
      <ns0:c r="H446" s="21" t="inlineStr">
        <ns0:is>
          <ns0:t>Diagnosis</ns0:t>
        </ns0:is>
      </ns0:c>
      <ns0:c r="I446" s="21" t="inlineStr">
        <ns0:is>
          <ns0:t>Hybrid</ns0:t>
        </ns0:is>
      </ns0:c>
      <ns0:c r="J446" s="21" t="inlineStr">
        <ns0:is>
          <ns0:t>Neuroimaging</ns0:t>
        </ns0:is>
      </ns0:c>
      <ns0:c r="K446" s="21" t="inlineStr">
        <ns0:is>
          <ns0:t>Attention-based CNN feature extractor + conventional ML classifier</ns0:t>
        </ns0:is>
      </ns0:c>
      <ns0:c r="L446" s="21" t="inlineStr">
        <ns0:is>
          <ns0:t>CNN</ns0:t>
        </ns0:is>
      </ns0:c>
      <ns0:c r="M446" s="21" t="inlineStr">
        <ns0:is>
          <ns0:t>Research only</ns0:t>
        </ns0:is>
      </ns0:c>
      <ns0:c r="N446" s="21" t="inlineStr">
        <ns0:is>
          <ns0:t>Automated measurement/classification</ns0:t>
        </ns0:is>
      </ns0:c>
      <ns0:c r="O446" s="21" t="inlineStr">
        <ns0:is>
          <ns0:t>Not observed in assessed sources</ns0:t>
        </ns0:is>
      </ns0:c>
      <ns0:c r="P446" s="21" t="inlineStr">
        <ns0:is>
          <ns0:t>Not observed in assessed sources</ns0:t>
        </ns0:is>
      </ns0:c>
      <ns0:c r="Q446" s="21" t="inlineStr">
        <ns0:is>
          <ns0:t>Not reported in assessed sources</ns0:t>
        </ns0:is>
      </ns0:c>
      <ns0:c r="R446" s="21" t="inlineStr">
        <ns0:is>
          <ns0:t>Not reported in assessed sources</ns0:t>
        </ns0:is>
      </ns0:c>
      <ns0:c r="S446" s="21" t="inlineStr">
        <ns0:is>
          <ns0:t>Not reported in assessed sources</ns0:t>
        </ns0:is>
      </ns0:c>
      <ns0:c r="T446" s="21" t="inlineStr">
        <ns0:is>
          <ns0:t>Not reported in assessed sources</ns0:t>
        </ns0:is>
      </ns0:c>
      <ns0:c r="U446" s="21" t="inlineStr">
        <ns0:is>
          <ns0:t>Not reported in assessed sources</ns0:t>
        </ns0:is>
      </ns0:c>
      <ns0:c r="V446" s="21" t="inlineStr">
        <ns0:is>
          <ns0:t>Reported</ns0:t>
        </ns0:is>
      </ns0:c>
      <ns0:c r="W446" s="21" t="inlineStr">
        <ns0:is>
          <ns0:t>Not reported in assessed sources</ns0:t>
        </ns0:is>
      </ns0:c>
      <ns0:c r="X446" s="21" t="inlineStr">
        <ns0:is>
          <ns0:t>Not reported in assessed sources</ns0:t>
        </ns0:is>
      </ns0:c>
      <ns0:c r="Y446" s="21" t="inlineStr">
        <ns0:is>
          <ns0:t>Not ascertainable</ns0:t>
        </ns0:is>
      </ns0:c>
      <ns0:c r="Z446" s="21" t="inlineStr">
        <ns0:is>
          <ns0:t>Not reported in assessed sources</ns0:t>
        </ns0:is>
      </ns0:c>
      <ns0:c r="AA446" s="21" t="inlineStr">
        <ns0:is>
          <ns0:t>Not recorded</ns0:t>
        </ns0:is>
      </ns0:c>
      <ns0:c r="AB446" s="28" t="n">
        <ns0:v>0</ns0:v>
      </ns0:c>
      <ns0:c r="AC446" s="28" t="n">
        <ns0:v>0</ns0:v>
      </ns0:c>
      <ns0:c r="AD446" s="29">
        <ns0:f>IF(AND(G446=1,AB446=0),1,0)</ns0:f>
        <ns0:v>1</ns0:v>
      </ns0:c>
      <ns0:c r="AE446" s="29">
        <ns0:f>IF(AND(AD446=1,AC446=0),1,0)</ns0:f>
        <ns0:v>1</ns0:v>
      </ns0:c>
      <ns0:c r="AF446" s="29">
        <ns0:f>IF(AND(G446=1,H446&lt;&gt;"Not specified"),1,0)</ns0:f>
        <ns0:v>1</ns0:v>
      </ns0:c>
      <ns0:c r="AG446" s="29">
        <ns0:f>IF(AND(AE446=1,AF446=1),1,0)</ns0:f>
        <ns0:v>1</ns0:v>
      </ns0:c>
      <ns0:c r="AH446" s="21" t="inlineStr">
        <ns0:is>
          <ns0:t>Prior source-specific extraction retained; no new full-text retrieval</ns0:t>
        </ns0:is>
      </ns0:c>
      <ns0:c r="AI446" s="21" t="inlineStr">
        <ns0:is>
          <ns0:t>https://doi.org/10.1016/j.procs.2025.04.671</ns0:t>
        </ns0:is>
      </ns0:c>
      <ns0:c r="AJ446" s="21" t="inlineStr">
        <ns0:is>
          <ns0:t>EVIDENCIA; original abstract/coding notes and lot source trace; Inherited scoped adjudication; see source level and lot caveats</ns0:t>
        </ns0:is>
      </ns0:c>
      <ns0:c r="AK446" s="21" t="inlineStr">
        <ns0:is>
          <ns0:t>Retained source-specific coding after review of the supplied extraction notes; not a new full-text retrieval. An attention-based CNN/Squeeze-and-Excitation pipeline extracts fMRI features and feeds ML classifiers for ASD detection on ABIDE; very high accuracy is reported. ABIDE is multisite, but no explicit site-held-out or independent external evaluation was established. Architectural attention was not counted as XAI because no explanation analysis was demonstrated.</ns0:t>
        </ns0:is>
      </ns0:c>
      <ns0:c r="AL446" s="21" t="inlineStr">
        <ns0:is>
          <ns0:t>Not applicable</ns0:t>
        </ns0:is>
      </ns0:c>
      <ns0:c r="AM446" s="21" t="inlineStr">
        <ns0:is>
          <ns0:t>Not separately specified</ns0:t>
        </ns0:is>
      </ns0:c>
      <ns0:c r="AN446" s="21" t="inlineStr"/>
      <ns0:c r="AO446" s="21" t="inlineStr">
        <ns0:is>
          <ns0:t>No additional status determination</ns0:t>
        </ns0:is>
      </ns0:c>
      <ns0:c r="AP446" s="21" t="inlineStr">
        <ns0:is>
          <ns0:t>Not documented for this recharting</ns0:t>
        </ns0:is>
      </ns0:c>
      <ns0:c r="AQ446" s="21" t="inlineStr">
        <ns0:is>
          <ns0:t>ChatGPT-assisted evidence recharting, 2026-09-08</ns0:t>
        </ns0:is>
      </ns0:c>
      <ns0:c r="AR446" s="21" t="inlineStr">
        <ns0:is>
          <ns0:t>Revisión asistida por IA (un revisor; requiere verificación independiente)</ns0:t>
        </ns0:is>
      </ns0:c>
      <ns0:c r="AS446" s="21" t="inlineStr">
        <ns0:is>
          <ns0:t>Eligibility reviewed from accessible primary-source content; scoped adjudication completed</ns0:t>
        </ns0:is>
      </ns0:c>
    </ns0:row>
    <ns0:row r="447" ht="50" customHeight="1">
      <ns0:c r="A447" s="19" t="inlineStr">
        <ns0:is>
          <ns0:t>new_56</ns0:t>
        </ns0:is>
      </ns0:c>
      <ns0:c r="B447" s="19" t="inlineStr">
        <ns0:is>
          <ns0:t>Update</ns0:t>
        </ns0:is>
      </ns0:c>
      <ns0:c r="C447" s="19" t="inlineStr">
        <ns0:is>
          <ns0:t>Effective AI Techniques for Analyzing Risk Factors in Autism Spectrum Disorder (ASD)</ns0:t>
        </ns0:is>
      </ns0:c>
      <ns0:c r="D447" s="19" t="inlineStr">
        <ns0:is>
          <ns0:t>10.1016/j.procs.2025.10.018</ns0:t>
        </ns0:is>
      </ns0:c>
      <ns0:c r="E447" s="26" t="n">
        <ns0:v>2025</ns0:v>
      </ns0:c>
      <ns0:c r="F447" s="19" t="inlineStr">
        <ns0:is>
          <ns0:t>Include</ns0:t>
        </ns0:is>
      </ns0:c>
      <ns0:c r="G447" s="27">
        <ns0:f>IF(F447="Include",1,0)</ns0:f>
        <ns0:v>1</ns0:v>
      </ns0:c>
      <ns0:c r="H447" s="19" t="inlineStr">
        <ns0:is>
          <ns0:t>Prescreening</ns0:t>
        </ns0:is>
      </ns0:c>
      <ns0:c r="I447" s="19" t="inlineStr">
        <ns0:is>
          <ns0:t>Machine Learning</ns0:t>
        </ns0:is>
      </ns0:c>
      <ns0:c r="J447" s="19" t="inlineStr">
        <ns0:is>
          <ns0:t>Multiple source categories</ns0:t>
        </ns0:is>
      </ns0:c>
      <ns0:c r="K447" s="19" t="inlineStr">
        <ns0:is>
          <ns0:t>Random Forest + XGBoost with SHAP</ns0:t>
        </ns0:is>
      </ns0:c>
      <ns0:c r="L447" s="19" t="inlineStr">
        <ns0:is>
          <ns0:t>Composite/ensemble pipeline</ns0:t>
        </ns0:is>
      </ns0:c>
      <ns0:c r="M447" s="19" t="inlineStr">
        <ns0:is>
          <ns0:t>Research only</ns0:t>
        </ns0:is>
      </ns0:c>
      <ns0:c r="N447" s="19" t="inlineStr">
        <ns0:is>
          <ns0:t>Risk/trajectory estimation</ns0:t>
        </ns0:is>
      </ns0:c>
      <ns0:c r="O447" s="19" t="inlineStr">
        <ns0:is>
          <ns0:t>Not observed in assessed sources</ns0:t>
        </ns0:is>
      </ns0:c>
      <ns0:c r="P447" s="19" t="inlineStr">
        <ns0:is>
          <ns0:t>Not observed in assessed sources</ns0:t>
        </ns0:is>
      </ns0:c>
      <ns0:c r="Q447" s="19" t="inlineStr">
        <ns0:is>
          <ns0:t>Not reported in assessed sources</ns0:t>
        </ns0:is>
      </ns0:c>
      <ns0:c r="R447" s="19" t="inlineStr">
        <ns0:is>
          <ns0:t>Not ascertainable</ns0:t>
        </ns0:is>
      </ns0:c>
      <ns0:c r="S447" s="19" t="inlineStr">
        <ns0:is>
          <ns0:t>Reported</ns0:t>
        </ns0:is>
      </ns0:c>
      <ns0:c r="T447" s="19" t="inlineStr">
        <ns0:is>
          <ns0:t>Reported</ns0:t>
        </ns0:is>
      </ns0:c>
      <ns0:c r="U447" s="19" t="inlineStr">
        <ns0:is>
          <ns0:t>Not reported in assessed sources</ns0:t>
        </ns0:is>
      </ns0:c>
      <ns0:c r="V447" s="19" t="inlineStr">
        <ns0:is>
          <ns0:t>Not reported in assessed sources</ns0:t>
        </ns0:is>
      </ns0:c>
      <ns0:c r="W447" s="19" t="inlineStr">
        <ns0:is>
          <ns0:t>Reported</ns0:t>
        </ns0:is>
      </ns0:c>
      <ns0:c r="X447" s="19" t="inlineStr">
        <ns0:is>
          <ns0:t>Not reported in assessed sources</ns0:t>
        </ns0:is>
      </ns0:c>
      <ns0:c r="Y447" s="19" t="inlineStr">
        <ns0:is>
          <ns0:t>Not ascertainable</ns0:t>
        </ns0:is>
      </ns0:c>
      <ns0:c r="Z447" s="19" t="inlineStr">
        <ns0:is>
          <ns0:t>Not reported in assessed sources</ns0:t>
        </ns0:is>
      </ns0:c>
      <ns0:c r="AA447" s="19" t="inlineStr">
        <ns0:is>
          <ns0:t>Not recorded</ns0:t>
        </ns0:is>
      </ns0:c>
      <ns0:c r="AB447" s="26" t="n">
        <ns0:v>0</ns0:v>
      </ns0:c>
      <ns0:c r="AC447" s="26" t="n">
        <ns0:v>0</ns0:v>
      </ns0:c>
      <ns0:c r="AD447" s="27">
        <ns0:f>IF(AND(G447=1,AB447=0),1,0)</ns0:f>
        <ns0:v>1</ns0:v>
      </ns0:c>
      <ns0:c r="AE447" s="27">
        <ns0:f>IF(AND(AD447=1,AC447=0),1,0)</ns0:f>
        <ns0:v>1</ns0:v>
      </ns0:c>
      <ns0:c r="AF447" s="27">
        <ns0:f>IF(AND(G447=1,H447&lt;&gt;"Not specified"),1,0)</ns0:f>
        <ns0:v>1</ns0:v>
      </ns0:c>
      <ns0:c r="AG447" s="27">
        <ns0:f>IF(AND(AE447=1,AF447=1),1,0)</ns0:f>
        <ns0:v>1</ns0:v>
      </ns0:c>
      <ns0:c r="AH447" s="19" t="inlineStr">
        <ns0:is>
          <ns0:t>Prior source-specific extraction retained; no new full-text retrieval</ns0:t>
        </ns0:is>
      </ns0:c>
      <ns0:c r="AI447" s="19" t="inlineStr">
        <ns0:is>
          <ns0:t>https://doi.org/10.1016/j.procs.2025.10.018</ns0:t>
        </ns0:is>
      </ns0:c>
      <ns0:c r="AJ447" s="19" t="inlineStr">
        <ns0:is>
          <ns0:t>EVIDENCIA; original abstract/coding notes and lot source trace; Inherited scoped adjudication; see source level and lot caveats</ns0:t>
        </ns0:is>
      </ns0:c>
      <ns0:c r="AK447" s="19" t="inlineStr">
        <ns0:is>
          <ns0:t>Risk-factor identification without a demonstrated temporal forecast; genetic/environmental sources reported but predictive fusion not established.</ns0:t>
        </ns0:is>
      </ns0:c>
      <ns0:c r="AL447" s="19" t="inlineStr">
        <ns0:is>
          <ns0:t>Not applicable</ns0:t>
        </ns0:is>
      </ns0:c>
      <ns0:c r="AM447" s="19" t="inlineStr">
        <ns0:is>
          <ns0:t>Not separately specified</ns0:t>
        </ns0:is>
      </ns0:c>
      <ns0:c r="AN447" s="19" t="inlineStr"/>
      <ns0:c r="AO447" s="19" t="inlineStr">
        <ns0:is>
          <ns0:t>No additional status determination</ns0:t>
        </ns0:is>
      </ns0:c>
      <ns0:c r="AP447" s="19" t="inlineStr">
        <ns0:is>
          <ns0:t>Not documented for this recharting</ns0:t>
        </ns0:is>
      </ns0:c>
      <ns0:c r="AQ447" s="19" t="inlineStr">
        <ns0:is>
          <ns0:t>ChatGPT-assisted evidence recharting, 2026-09-08</ns0:t>
        </ns0:is>
      </ns0:c>
      <ns0:c r="AR447" s="19" t="inlineStr">
        <ns0:is>
          <ns0:t>Revisión asistida por IA (un revisor; requiere verificación independiente)</ns0:t>
        </ns0:is>
      </ns0:c>
      <ns0:c r="AS447" s="19" t="inlineStr">
        <ns0:is>
          <ns0:t>Eligibility reviewed from accessible primary-source content; scoped adjudication completed</ns0:t>
        </ns0:is>
      </ns0:c>
    </ns0:row>
    <ns0:row r="448" ht="50" customHeight="1">
      <ns0:c r="A448" s="21" t="inlineStr">
        <ns0:is>
          <ns0:t>new_92</ns0:t>
        </ns0:is>
      </ns0:c>
      <ns0:c r="B448" s="21" t="inlineStr">
        <ns0:is>
          <ns0:t>Update</ns0:t>
        </ns0:is>
      </ns0:c>
      <ns0:c r="C448" s="21" t="inlineStr">
        <ns0:is>
          <ns0:t>Data independent acquisition proteomics and machine learning reveals that proteins associated with immunity are potential molecular markers for early diagnosis of autism</ns0:t>
        </ns0:is>
      </ns0:c>
      <ns0:c r="D448" s="21" t="inlineStr">
        <ns0:is>
          <ns0:t>10.1016/j.cca.2025.120238</ns0:t>
        </ns0:is>
      </ns0:c>
      <ns0:c r="E448" s="28" t="n">
        <ns0:v>2025</ns0:v>
      </ns0:c>
      <ns0:c r="F448" s="21" t="inlineStr">
        <ns0:is>
          <ns0:t>Include</ns0:t>
        </ns0:is>
      </ns0:c>
      <ns0:c r="G448" s="29">
        <ns0:f>IF(F448="Include",1,0)</ns0:f>
        <ns0:v>1</ns0:v>
      </ns0:c>
      <ns0:c r="H448" s="21" t="inlineStr">
        <ns0:is>
          <ns0:t>Diagnosis</ns0:t>
        </ns0:is>
      </ns0:c>
      <ns0:c r="I448" s="21" t="inlineStr">
        <ns0:is>
          <ns0:t>Machine Learning</ns0:t>
        </ns0:is>
      </ns0:c>
      <ns0:c r="J448" s="21" t="inlineStr">
        <ns0:is>
          <ns0:t>Biological/omics</ns0:t>
        </ns0:is>
      </ns0:c>
      <ns0:c r="K448" s="21" t="inlineStr">
        <ns0:is>
          <ns0:t>Eight-protein ML classifier with bidirectional feature screening (abstract reports logic-regression/leave-one-out validation)</ns0:t>
        </ns0:is>
      </ns0:c>
      <ns0:c r="L448" s="21" t="inlineStr">
        <ns0:is>
          <ns0:t>Logistic regression</ns0:t>
        </ns0:is>
      </ns0:c>
      <ns0:c r="M448" s="21" t="inlineStr">
        <ns0:is>
          <ns0:t>Research only</ns0:t>
        </ns0:is>
      </ns0:c>
      <ns0:c r="N448" s="21" t="inlineStr">
        <ns0:is>
          <ns0:t>Automated measurement/classification</ns0:t>
        </ns0:is>
      </ns0:c>
      <ns0:c r="O448" s="21" t="inlineStr">
        <ns0:is>
          <ns0:t>Not observed in assessed sources</ns0:t>
        </ns0:is>
      </ns0:c>
      <ns0:c r="P448" s="21" t="inlineStr">
        <ns0:is>
          <ns0:t>Not observed in assessed sources</ns0:t>
        </ns0:is>
      </ns0:c>
      <ns0:c r="Q448" s="21" t="inlineStr">
        <ns0:is>
          <ns0:t>Not reported in assessed sources</ns0:t>
        </ns0:is>
      </ns0:c>
      <ns0:c r="R448" s="21" t="inlineStr">
        <ns0:is>
          <ns0:t>Not reported in assessed sources</ns0:t>
        </ns0:is>
      </ns0:c>
      <ns0:c r="S448" s="21" t="inlineStr">
        <ns0:is>
          <ns0:t>Reported</ns0:t>
        </ns0:is>
      </ns0:c>
      <ns0:c r="T448" s="21" t="inlineStr">
        <ns0:is>
          <ns0:t>Not reported in assessed sources</ns0:t>
        </ns0:is>
      </ns0:c>
      <ns0:c r="U448" s="21" t="inlineStr">
        <ns0:is>
          <ns0:t>Not reported in assessed sources</ns0:t>
        </ns0:is>
      </ns0:c>
      <ns0:c r="V448" s="21" t="inlineStr">
        <ns0:is>
          <ns0:t>Not reported in assessed sources</ns0:t>
        </ns0:is>
      </ns0:c>
      <ns0:c r="W448" s="21" t="inlineStr">
        <ns0:is>
          <ns0:t>Not reported in assessed sources</ns0:t>
        </ns0:is>
      </ns0:c>
      <ns0:c r="X448" s="21" t="inlineStr">
        <ns0:is>
          <ns0:t>Not reported in assessed sources</ns0:t>
        </ns0:is>
      </ns0:c>
      <ns0:c r="Y448" s="21" t="inlineStr">
        <ns0:is>
          <ns0:t>Not ascertainable</ns0:t>
        </ns0:is>
      </ns0:c>
      <ns0:c r="Z448" s="21" t="inlineStr">
        <ns0:is>
          <ns0:t>Reported</ns0:t>
        </ns0:is>
      </ns0:c>
      <ns0:c r="AA448" s="21" t="inlineStr">
        <ns0:is>
          <ns0:t>Not recorded</ns0:t>
        </ns0:is>
      </ns0:c>
      <ns0:c r="AB448" s="28" t="n">
        <ns0:v>0</ns0:v>
      </ns0:c>
      <ns0:c r="AC448" s="28" t="n">
        <ns0:v>0</ns0:v>
      </ns0:c>
      <ns0:c r="AD448" s="29">
        <ns0:f>IF(AND(G448=1,AB448=0),1,0)</ns0:f>
        <ns0:v>1</ns0:v>
      </ns0:c>
      <ns0:c r="AE448" s="29">
        <ns0:f>IF(AND(AD448=1,AC448=0),1,0)</ns0:f>
        <ns0:v>1</ns0:v>
      </ns0:c>
      <ns0:c r="AF448" s="29">
        <ns0:f>IF(AND(G448=1,H448&lt;&gt;"Not specified"),1,0)</ns0:f>
        <ns0:v>1</ns0:v>
      </ns0:c>
      <ns0:c r="AG448" s="29">
        <ns0:f>IF(AND(AE448=1,AF448=1),1,0)</ns0:f>
        <ns0:v>1</ns0:v>
      </ns0:c>
      <ns0:c r="AH448" s="21" t="inlineStr">
        <ns0:is>
          <ns0:t>Prior source-specific extraction retained; no new full-text retrieval</ns0:t>
        </ns0:is>
      </ns0:c>
      <ns0:c r="AI448" s="21" t="inlineStr">
        <ns0:is>
          <ns0:t>https://doi.org/10.1016/j.cca.2025.120238</ns0:t>
        </ns0:is>
      </ns0:c>
      <ns0:c r="AJ448" s="21" t="inlineStr">
        <ns0:is>
          <ns0:t>EVIDENCIA; original abstract/coding notes and lot source trace; Inherited scoped adjudication; see source level and lot caveats</ns0:t>
        </ns0:is>
      </ns0:c>
      <ns0:c r="AK448" s="21" t="inlineStr">
        <ns0:is>
          <ns0:t>Retained source-specific coding after review of the supplied extraction notes; not a new full-text retrieval. DIA serum proteomics in 99 ASD and 70 control children yields an eight-protein ML model after bidirectional feature screening; ELISA follow-up is reported for LYZ. Leave-one-out validation is internal; ELISA confirmation of selected proteins is not an independent external cohort test. The sample is geographically limited and biomarker selection can be optimistic without nested external replication.</ns0:t>
        </ns0:is>
      </ns0:c>
      <ns0:c r="AL448" s="21" t="inlineStr">
        <ns0:is>
          <ns0:t>Not applicable</ns0:t>
        </ns0:is>
      </ns0:c>
      <ns0:c r="AM448" s="21" t="inlineStr">
        <ns0:is>
          <ns0:t>Not separately specified</ns0:t>
        </ns0:is>
      </ns0:c>
      <ns0:c r="AN448" s="21" t="inlineStr"/>
      <ns0:c r="AO448" s="21" t="inlineStr">
        <ns0:is>
          <ns0:t>No additional status determination</ns0:t>
        </ns0:is>
      </ns0:c>
      <ns0:c r="AP448" s="21" t="inlineStr">
        <ns0:is>
          <ns0:t>Not documented for this recharting</ns0:t>
        </ns0:is>
      </ns0:c>
      <ns0:c r="AQ448" s="21" t="inlineStr">
        <ns0:is>
          <ns0:t>ChatGPT-assisted evidence recharting, 2026-09-08</ns0:t>
        </ns0:is>
      </ns0:c>
      <ns0:c r="AR448" s="21" t="inlineStr">
        <ns0:is>
          <ns0:t>Revisión asistida por IA (un revisor; requiere verificación independiente)</ns0:t>
        </ns0:is>
      </ns0:c>
      <ns0:c r="AS448" s="21" t="inlineStr">
        <ns0:is>
          <ns0:t>Eligibility reviewed from accessible primary-source content; scoped adjudication completed</ns0:t>
        </ns0:is>
      </ns0:c>
    </ns0:row>
    <ns0:row r="449" ht="50" customHeight="1">
      <ns0:c r="A449" s="19" t="inlineStr">
        <ns0:is>
          <ns0:t>new_183</ns0:t>
        </ns0:is>
      </ns0:c>
      <ns0:c r="B449" s="19" t="inlineStr">
        <ns0:is>
          <ns0:t>Update</ns0:t>
        </ns0:is>
      </ns0:c>
      <ns0:c r="C449" s="19" t="inlineStr">
        <ns0:is>
          <ns0:t>Adaptive Multi-Scale Dynamic Graph Representation Learning With Overlapping Community-Awareness for ASD Classification</ns0:t>
        </ns0:is>
      </ns0:c>
      <ns0:c r="D449" s="19" t="inlineStr">
        <ns0:is>
          <ns0:t>10.1109/jbhi.2025.3622540</ns0:t>
        </ns0:is>
      </ns0:c>
      <ns0:c r="E449" s="26" t="n">
        <ns0:v>2025</ns0:v>
      </ns0:c>
      <ns0:c r="F449" s="19" t="inlineStr">
        <ns0:is>
          <ns0:t>Include</ns0:t>
        </ns0:is>
      </ns0:c>
      <ns0:c r="G449" s="27">
        <ns0:f>IF(F449="Include",1,0)</ns0:f>
        <ns0:v>1</ns0:v>
      </ns0:c>
      <ns0:c r="H449" s="19" t="inlineStr">
        <ns0:is>
          <ns0:t>Diagnosis</ns0:t>
        </ns0:is>
      </ns0:c>
      <ns0:c r="I449" s="19" t="inlineStr">
        <ns0:is>
          <ns0:t>Deep Learning</ns0:t>
        </ns0:is>
      </ns0:c>
      <ns0:c r="J449" s="19" t="inlineStr">
        <ns0:is>
          <ns0:t>Neuroimaging</ns0:t>
        </ns0:is>
      </ns0:c>
      <ns0:c r="K449" s="19" t="inlineStr">
        <ns0:is>
          <ns0:t>Ada-MST adaptive multi-scale dynamic graph neural network with overlapping-community-aware readout</ns0:t>
        </ns0:is>
      </ns0:c>
      <ns0:c r="L449" s="19" t="inlineStr">
        <ns0:is>
          <ns0:t>GNN</ns0:t>
        </ns0:is>
      </ns0:c>
      <ns0:c r="M449" s="19" t="inlineStr">
        <ns0:is>
          <ns0:t>Research only</ns0:t>
        </ns0:is>
      </ns0:c>
      <ns0:c r="N449" s="19" t="inlineStr">
        <ns0:is>
          <ns0:t>Automated measurement/classification</ns0:t>
        </ns0:is>
      </ns0:c>
      <ns0:c r="O449" s="19" t="inlineStr">
        <ns0:is>
          <ns0:t>Not observed in assessed sources</ns0:t>
        </ns0:is>
      </ns0:c>
      <ns0:c r="P449" s="19" t="inlineStr">
        <ns0:is>
          <ns0:t>Not observed in assessed sources</ns0:t>
        </ns0:is>
      </ns0:c>
      <ns0:c r="Q449" s="19" t="inlineStr">
        <ns0:is>
          <ns0:t>Not reported in assessed sources</ns0:t>
        </ns0:is>
      </ns0:c>
      <ns0:c r="R449" s="19" t="inlineStr">
        <ns0:is>
          <ns0:t>Not reported in assessed sources</ns0:t>
        </ns0:is>
      </ns0:c>
      <ns0:c r="S449" s="19" t="inlineStr">
        <ns0:is>
          <ns0:t>Reported</ns0:t>
        </ns0:is>
      </ns0:c>
      <ns0:c r="T449" s="19" t="inlineStr">
        <ns0:is>
          <ns0:t>Not reported in assessed sources</ns0:t>
        </ns0:is>
      </ns0:c>
      <ns0:c r="U449" s="19" t="inlineStr">
        <ns0:is>
          <ns0:t>Not reported in assessed sources</ns0:t>
        </ns0:is>
      </ns0:c>
      <ns0:c r="V449" s="19" t="inlineStr">
        <ns0:is>
          <ns0:t>Reported</ns0:t>
        </ns0:is>
      </ns0:c>
      <ns0:c r="W449" s="19" t="inlineStr">
        <ns0:is>
          <ns0:t>Not reported in assessed sources</ns0:t>
        </ns0:is>
      </ns0:c>
      <ns0:c r="X449" s="19" t="inlineStr">
        <ns0:is>
          <ns0:t>Not reported in assessed sources</ns0:t>
        </ns0:is>
      </ns0:c>
      <ns0:c r="Y449" s="19" t="inlineStr">
        <ns0:is>
          <ns0:t>Not ascertainable</ns0:t>
        </ns0:is>
      </ns0:c>
      <ns0:c r="Z449" s="19" t="inlineStr">
        <ns0:is>
          <ns0:t>Reported</ns0:t>
        </ns0:is>
      </ns0:c>
      <ns0:c r="AA449" s="19" t="inlineStr">
        <ns0:is>
          <ns0:t>Not recorded</ns0:t>
        </ns0:is>
      </ns0:c>
      <ns0:c r="AB449" s="26" t="n">
        <ns0:v>0</ns0:v>
      </ns0:c>
      <ns0:c r="AC449" s="26" t="n">
        <ns0:v>0</ns0:v>
      </ns0:c>
      <ns0:c r="AD449" s="27">
        <ns0:f>IF(AND(G449=1,AB449=0),1,0)</ns0:f>
        <ns0:v>1</ns0:v>
      </ns0:c>
      <ns0:c r="AE449" s="27">
        <ns0:f>IF(AND(AD449=1,AC449=0),1,0)</ns0:f>
        <ns0:v>1</ns0:v>
      </ns0:c>
      <ns0:c r="AF449" s="27">
        <ns0:f>IF(AND(G449=1,H449&lt;&gt;"Not specified"),1,0)</ns0:f>
        <ns0:v>1</ns0:v>
      </ns0:c>
      <ns0:c r="AG449" s="27">
        <ns0:f>IF(AND(AE449=1,AF449=1),1,0)</ns0:f>
        <ns0:v>1</ns0:v>
      </ns0:c>
      <ns0:c r="AH449" s="19" t="inlineStr">
        <ns0:is>
          <ns0:t>Prior source-specific extraction retained; no new full-text retrieval</ns0:t>
        </ns0:is>
      </ns0:c>
      <ns0:c r="AI449" s="19" t="inlineStr">
        <ns0:is>
          <ns0:t>https://doi.org/10.1109/jbhi.2025.3622540</ns0:t>
        </ns0:is>
      </ns0:c>
      <ns0:c r="AJ449" s="19" t="inlineStr">
        <ns0:is>
          <ns0:t>EVIDENCIA; original abstract/coding notes and lot source trace; Inherited scoped adjudication; see source level and lot caveats</ns0:t>
        </ns0:is>
      </ns0:c>
      <ns0:c r="AK449" s="19" t="inlineStr">
        <ns0:is>
          <ns0:t>Retained source-specific coding after review of the supplied extraction notes; not a new full-text retrieval. Ada-MST learns adaptive multi-scale dynamic graph representations from ABIDE-I/II rs-fMRI and includes community-aware readout/visualization for ASD classification. ABIDE-I/II are multisite datasets, but no explicit held-out-site robustness design was established in the accessible report. Visualization was treated as partial interpretability, not strict XAI.</ns0:t>
        </ns0:is>
      </ns0:c>
      <ns0:c r="AL449" s="19" t="inlineStr">
        <ns0:is>
          <ns0:t>Not applicable</ns0:t>
        </ns0:is>
      </ns0:c>
      <ns0:c r="AM449" s="19" t="inlineStr">
        <ns0:is>
          <ns0:t>Not separately specified</ns0:t>
        </ns0:is>
      </ns0:c>
      <ns0:c r="AN449" s="19" t="inlineStr"/>
      <ns0:c r="AO449" s="19" t="inlineStr">
        <ns0:is>
          <ns0:t>No additional status determination</ns0:t>
        </ns0:is>
      </ns0:c>
      <ns0:c r="AP449" s="19" t="inlineStr">
        <ns0:is>
          <ns0:t>Not documented for this recharting</ns0:t>
        </ns0:is>
      </ns0:c>
      <ns0:c r="AQ449" s="19" t="inlineStr">
        <ns0:is>
          <ns0:t>ChatGPT-assisted evidence recharting, 2026-09-08</ns0:t>
        </ns0:is>
      </ns0:c>
      <ns0:c r="AR449" s="19" t="inlineStr">
        <ns0:is>
          <ns0:t>Revisión asistida por IA (un revisor; requiere verificación independiente)</ns0:t>
        </ns0:is>
      </ns0:c>
      <ns0:c r="AS449" s="19" t="inlineStr">
        <ns0:is>
          <ns0:t>Eligibility reviewed from accessible primary-source content; scoped adjudication completed</ns0:t>
        </ns0:is>
      </ns0:c>
    </ns0:row>
    <ns0:row r="450" ht="50" customHeight="1">
      <ns0:c r="A450" s="21" t="inlineStr">
        <ns0:is>
          <ns0:t>new_198</ns0:t>
        </ns0:is>
      </ns0:c>
      <ns0:c r="B450" s="21" t="inlineStr">
        <ns0:is>
          <ns0:t>Update</ns0:t>
        </ns0:is>
      </ns0:c>
      <ns0:c r="C450" s="23" t="inlineStr">
        <ns0:is>
          <ns0:t>A Multimodal AI Framework for Early Autism Identification Using CbRNN–Ensemble Modelling and Advanced NCIAPPF-Based Temporal Encoding</ns0:t>
        </ns0:is>
      </ns0:c>
      <ns0:c r="D450" s="21" t="inlineStr">
        <ns0:is>
          <ns0:t>10.1002/jdn.70117</ns0:t>
        </ns0:is>
      </ns0:c>
      <ns0:c r="E450" s="28" t="n">
        <ns0:v>2026</ns0:v>
      </ns0:c>
      <ns0:c r="F450" s="21" t="inlineStr">
        <ns0:is>
          <ns0:t>Include</ns0:t>
        </ns0:is>
      </ns0:c>
      <ns0:c r="G450" s="29">
        <ns0:f>IF(F450="Include",1,0)</ns0:f>
        <ns0:v>1</ns0:v>
      </ns0:c>
      <ns0:c r="H450" s="21" t="inlineStr">
        <ns0:is>
          <ns0:t>Screening</ns0:t>
        </ns0:is>
      </ns0:c>
      <ns0:c r="I450" s="21" t="inlineStr">
        <ns0:is>
          <ns0:t>Hybrid</ns0:t>
        </ns0:is>
      </ns0:c>
      <ns0:c r="J450" s="21" t="inlineStr">
        <ns0:is>
          <ns0:t>Multiple source categories</ns0:t>
        </ns0:is>
      </ns0:c>
      <ns0:c r="K450" s="21" t="inlineStr">
        <ns0:is>
          <ns0:t>CbRNN-EM + NCIAPPF temporal encoding/fusion</ns0:t>
        </ns0:is>
      </ns0:c>
      <ns0:c r="L450" s="21" t="inlineStr">
        <ns0:is>
          <ns0:t>Other specified method</ns0:t>
        </ns0:is>
      </ns0:c>
      <ns0:c r="M450" s="21" t="inlineStr">
        <ns0:is>
          <ns0:t>Proposed only</ns0:t>
        </ns0:is>
      </ns0:c>
      <ns0:c r="N450" s="21" t="inlineStr">
        <ns0:is>
          <ns0:t>Triage/questionnaire assessment</ns0:t>
        </ns0:is>
      </ns0:c>
      <ns0:c r="O450" s="21" t="inlineStr">
        <ns0:is>
          <ns0:t>Pre-decision</ns0:t>
        </ns0:is>
      </ns0:c>
      <ns0:c r="P450" s="21" t="inlineStr">
        <ns0:is>
          <ns0:t>Not observed in assessed sources</ns0:t>
        </ns0:is>
      </ns0:c>
      <ns0:c r="Q450" s="21" t="inlineStr">
        <ns0:is>
          <ns0:t>Not reported in assessed sources</ns0:t>
        </ns0:is>
      </ns0:c>
      <ns0:c r="R450" s="21" t="inlineStr">
        <ns0:is>
          <ns0:t>Reported</ns0:t>
        </ns0:is>
      </ns0:c>
      <ns0:c r="S450" s="21" t="inlineStr">
        <ns0:is>
          <ns0:t>Not reported in assessed sources</ns0:t>
        </ns0:is>
      </ns0:c>
      <ns0:c r="T450" s="21" t="inlineStr">
        <ns0:is>
          <ns0:t>Not reported in assessed sources</ns0:t>
        </ns0:is>
      </ns0:c>
      <ns0:c r="U450" s="21" t="inlineStr">
        <ns0:is>
          <ns0:t>Not reported in assessed sources</ns0:t>
        </ns0:is>
      </ns0:c>
      <ns0:c r="V450" s="21" t="inlineStr">
        <ns0:is>
          <ns0:t>Not reported in assessed sources</ns0:t>
        </ns0:is>
      </ns0:c>
      <ns0:c r="W450" s="21" t="inlineStr">
        <ns0:is>
          <ns0:t>Reported</ns0:t>
        </ns0:is>
      </ns0:c>
      <ns0:c r="X450" s="21" t="inlineStr">
        <ns0:is>
          <ns0:t>Not reported in assessed sources</ns0:t>
        </ns0:is>
      </ns0:c>
      <ns0:c r="Y450" s="21" t="inlineStr">
        <ns0:is>
          <ns0:t>Not ascertainable</ns0:t>
        </ns0:is>
      </ns0:c>
      <ns0:c r="Z450" s="21" t="inlineStr">
        <ns0:is>
          <ns0:t>Not reported in assessed sources</ns0:t>
        </ns0:is>
      </ns0:c>
      <ns0:c r="AA450" s="21" t="inlineStr">
        <ns0:is>
          <ns0:t>Not recorded</ns0:t>
        </ns0:is>
      </ns0:c>
      <ns0:c r="AB450" s="28" t="n">
        <ns0:v>0</ns0:v>
      </ns0:c>
      <ns0:c r="AC450" s="28" t="n">
        <ns0:v>1</ns0:v>
      </ns0:c>
      <ns0:c r="AD450" s="29">
        <ns0:f>IF(AND(G450=1,AB450=0),1,0)</ns0:f>
        <ns0:v>1</ns0:v>
      </ns0:c>
      <ns0:c r="AE450" s="29">
        <ns0:f>IF(AND(AD450=1,AC450=0),1,0)</ns0:f>
        <ns0:v>0</ns0:v>
      </ns0:c>
      <ns0:c r="AF450" s="29">
        <ns0:f>IF(AND(G450=1,H450&lt;&gt;"Not specified"),1,0)</ns0:f>
        <ns0:v>1</ns0:v>
      </ns0:c>
      <ns0:c r="AG450" s="29">
        <ns0:f>IF(AND(AE450=1,AF450=1),1,0)</ns0:f>
        <ns0:v>0</ns0:v>
      </ns0:c>
      <ns0:c r="AH450" s="21" t="inlineStr">
        <ns0:is>
          <ns0:t>Prior source-specific extraction retained; no new full-text retrieval</ns0:t>
        </ns0:is>
      </ns0:c>
      <ns0:c r="AI450" s="21" t="inlineStr">
        <ns0:is>
          <ns0:t>https://doi.org/10.1002/jdn.70117</ns0:t>
        </ns0:is>
      </ns0:c>
      <ns0:c r="AJ450" s="21" t="inlineStr">
        <ns0:is>
          <ns0:t>EVIDENCIA; original abstract/coding notes and lot source trace; Inherited scoped adjudication; see source level and lot caveats</ns0:t>
        </ns0:is>
      </ns0:c>
      <ns0:c r="AK450" s="21" t="inlineStr">
        <ns0:is>
          <ns0:t>Retained source-specific coding after review of the supplied extraction notes; not a new full-text retrieval. AutiScan fuses facial-expression, eye-gaze, speech-prosody and behavioral cues using CbRNN-EM and NCIAPPF temporal processing for early ASD identification. High-priority reporting inconsistency: the article describes experimental multimodal analyses, while the publisher Data Availability Statement says that no datasets were generated or analyzed. Independent source/sample and validation verification is required.
AutiScan fuses facial-expression, eye-gaze, speech-prosody and behavioral cues using CbRNN-EM and NCIAPPF temporal processing for early ASD identification. High-priority reporting inconsistency: the article describes experimental multimodal analyses, while the publisher Data Availability Statement says that no datasets were generated or analyzed. Independent source/sample and validation verification is required.
Material reporting/source-lineage inconsistency preserved; excluded in conservative sensitivity analysis.</ns0:t>
        </ns0:is>
      </ns0:c>
      <ns0:c r="AL450" s="21" t="inlineStr">
        <ns0:is>
          <ns0:t>Not applicable</ns0:t>
        </ns0:is>
      </ns0:c>
      <ns0:c r="AM450" s="21" t="inlineStr">
        <ns0:is>
          <ns0:t>Not separately specified</ns0:t>
        </ns0:is>
      </ns0:c>
      <ns0:c r="AN450" s="21" t="inlineStr">
        <ns0:is>
          <ns0:t>Material reporting/source-lineage inconsistency preserved; excluded in conservative sensitivity analysis.</ns0:t>
        </ns0:is>
      </ns0:c>
      <ns0:c r="AO450" s="21" t="inlineStr">
        <ns0:is>
          <ns0:t>No additional status determination</ns0:t>
        </ns0:is>
      </ns0:c>
      <ns0:c r="AP450" s="21" t="inlineStr">
        <ns0:is>
          <ns0:t>Not documented for this recharting</ns0:t>
        </ns0:is>
      </ns0:c>
      <ns0:c r="AQ450" s="21" t="inlineStr">
        <ns0:is>
          <ns0:t>ChatGPT-assisted evidence recharting, 2026-09-08</ns0:t>
        </ns0:is>
      </ns0:c>
      <ns0:c r="AR450" s="21" t="inlineStr">
        <ns0:is>
          <ns0:t>Revisión asistida por IA (un revisor; requiere verificación independiente)</ns0:t>
        </ns0:is>
      </ns0:c>
      <ns0:c r="AS450" s="21" t="inlineStr">
        <ns0:is>
          <ns0:t>Eligibility reviewed from accessible primary-source content; scoped adjudication completed</ns0:t>
        </ns0:is>
      </ns0:c>
    </ns0:row>
    <ns0:row r="451" ht="50" customHeight="1">
      <ns0:c r="A451" s="19" t="inlineStr">
        <ns0:is>
          <ns0:t>new_239</ns0:t>
        </ns0:is>
      </ns0:c>
      <ns0:c r="B451" s="19" t="inlineStr">
        <ns0:is>
          <ns0:t>Update</ns0:t>
        </ns0:is>
      </ns0:c>
      <ns0:c r="C451" s="23" t="inlineStr">
        <ns0:is>
          <ns0:t>Real-Time Classification for EEG Data in Children With ASD Using Deep Learning Techniques</ns0:t>
        </ns0:is>
      </ns0:c>
      <ns0:c r="D451" s="19" t="inlineStr">
        <ns0:is>
          <ns0:t>10.1002/dneu.23009</ns0:t>
        </ns0:is>
      </ns0:c>
      <ns0:c r="E451" s="26" t="n">
        <ns0:v>2025</ns0:v>
      </ns0:c>
      <ns0:c r="F451" s="19" t="inlineStr">
        <ns0:is>
          <ns0:t>Include</ns0:t>
        </ns0:is>
      </ns0:c>
      <ns0:c r="G451" s="27">
        <ns0:f>IF(F451="Include",1,0)</ns0:f>
        <ns0:v>1</ns0:v>
      </ns0:c>
      <ns0:c r="H451" s="19" t="inlineStr">
        <ns0:is>
          <ns0:t>Diagnosis</ns0:t>
        </ns0:is>
      </ns0:c>
      <ns0:c r="I451" s="19" t="inlineStr">
        <ns0:is>
          <ns0:t>Deep Learning</ns0:t>
        </ns0:is>
      </ns0:c>
      <ns0:c r="J451" s="19" t="inlineStr">
        <ns0:is>
          <ns0:t>Physiological signals</ns0:t>
        </ns0:is>
      </ns0:c>
      <ns0:c r="K451" s="19" t="inlineStr">
        <ns0:is>
          <ns0:t>CNN-LSTM with STFT/ICA preprocessing and grid-search optimization</ns0:t>
        </ns0:is>
      </ns0:c>
      <ns0:c r="L451" s="19" t="inlineStr">
        <ns0:is>
          <ns0:t>Composite/ensemble pipeline</ns0:t>
        </ns0:is>
      </ns0:c>
      <ns0:c r="M451" s="19" t="inlineStr">
        <ns0:is>
          <ns0:t>Research only</ns0:t>
        </ns0:is>
      </ns0:c>
      <ns0:c r="N451" s="19" t="inlineStr">
        <ns0:is>
          <ns0:t>Automated measurement/classification</ns0:t>
        </ns0:is>
      </ns0:c>
      <ns0:c r="O451" s="19" t="inlineStr">
        <ns0:is>
          <ns0:t>Not observed in assessed sources</ns0:t>
        </ns0:is>
      </ns0:c>
      <ns0:c r="P451" s="19" t="inlineStr">
        <ns0:is>
          <ns0:t>Not observed in assessed sources</ns0:t>
        </ns0:is>
      </ns0:c>
      <ns0:c r="Q451" s="19" t="inlineStr">
        <ns0:is>
          <ns0:t>Not reported in assessed sources</ns0:t>
        </ns0:is>
      </ns0:c>
      <ns0:c r="R451" s="19" t="inlineStr">
        <ns0:is>
          <ns0:t>Not reported in assessed sources</ns0:t>
        </ns0:is>
      </ns0:c>
      <ns0:c r="S451" s="19" t="inlineStr">
        <ns0:is>
          <ns0:t>Not reported in assessed sources</ns0:t>
        </ns0:is>
      </ns0:c>
      <ns0:c r="T451" s="19" t="inlineStr">
        <ns0:is>
          <ns0:t>Not reported in assessed sources</ns0:t>
        </ns0:is>
      </ns0:c>
      <ns0:c r="U451" s="19" t="inlineStr">
        <ns0:is>
          <ns0:t>Not reported in assessed sources</ns0:t>
        </ns0:is>
      </ns0:c>
      <ns0:c r="V451" s="19" t="inlineStr">
        <ns0:is>
          <ns0:t>Not reported in assessed sources</ns0:t>
        </ns0:is>
      </ns0:c>
      <ns0:c r="W451" s="19" t="inlineStr">
        <ns0:is>
          <ns0:t>Not reported in assessed sources</ns0:t>
        </ns0:is>
      </ns0:c>
      <ns0:c r="X451" s="19" t="inlineStr">
        <ns0:is>
          <ns0:t>Not reported in assessed sources</ns0:t>
        </ns0:is>
      </ns0:c>
      <ns0:c r="Y451" s="19" t="inlineStr">
        <ns0:is>
          <ns0:t>Not ascertainable</ns0:t>
        </ns0:is>
      </ns0:c>
      <ns0:c r="Z451" s="19" t="inlineStr">
        <ns0:is>
          <ns0:t>Not reported in assessed sources</ns0:t>
        </ns0:is>
      </ns0:c>
      <ns0:c r="AA451" s="19" t="inlineStr">
        <ns0:is>
          <ns0:t>Not recorded</ns0:t>
        </ns0:is>
      </ns0:c>
      <ns0:c r="AB451" s="26" t="n">
        <ns0:v>0</ns0:v>
      </ns0:c>
      <ns0:c r="AC451" s="26" t="n">
        <ns0:v>1</ns0:v>
      </ns0:c>
      <ns0:c r="AD451" s="27">
        <ns0:f>IF(AND(G451=1,AB451=0),1,0)</ns0:f>
        <ns0:v>1</ns0:v>
      </ns0:c>
      <ns0:c r="AE451" s="27">
        <ns0:f>IF(AND(AD451=1,AC451=0),1,0)</ns0:f>
        <ns0:v>0</ns0:v>
      </ns0:c>
      <ns0:c r="AF451" s="27">
        <ns0:f>IF(AND(G451=1,H451&lt;&gt;"Not specified"),1,0)</ns0:f>
        <ns0:v>1</ns0:v>
      </ns0:c>
      <ns0:c r="AG451" s="27">
        <ns0:f>IF(AND(AE451=1,AF451=1),1,0)</ns0:f>
        <ns0:v>0</ns0:v>
      </ns0:c>
      <ns0:c r="AH451" s="19" t="inlineStr">
        <ns0:is>
          <ns0:t>Prior source-specific extraction retained; no new full-text retrieval</ns0:t>
        </ns0:is>
      </ns0:c>
      <ns0:c r="AI451" s="19" t="inlineStr">
        <ns0:is>
          <ns0:t>https://doi.org/10.1002/dneu.23009</ns0:t>
        </ns0:is>
      </ns0:c>
      <ns0:c r="AJ451" s="19" t="inlineStr">
        <ns0:is>
          <ns0:t>EVIDENCIA; original abstract/coding notes and lot source trace; Inherited scoped adjudication; see source level and lot caveats</ns0:t>
        </ns0:is>
      </ns0:c>
      <ns0:c r="AK451" s="19" t="inlineStr">
        <ns0:is>
          <ns0:t>Retained source-specific coding after review of the supplied extraction notes; not a new full-text retrieval. EEG from 60 children (30 ASD/30 TD) is processed with STFT/ICA and classified using CNN-LSTM; the paper reports 87.5% accuracy, while a ResNet baseline reports 89.1%. High-priority internal inconsistency: the abstract states that a 60-child EEG dataset was analyzed, while the publisher Data Availability Statement says no datasets were generated or analyzed. No external cohort or real-time prospective deployment was established.
EEG from 60 children (30 ASD/30 TD) is processed with STFT/ICA and classified using CNN-LSTM; the paper reports 87.5% accuracy, while a ResNet baseline reports 89.1%. High-priority internal inconsistency: the abstract states that a 60-child EEG dataset was analyzed, while the publisher Data Availability Statement says no datasets were generated or analyzed. No external cohort or real-time prospective deployment was established.
Material reporting/source-lineage inconsistency preserved; excluded in conservative sensitivity analysis.
All-neural/optimization pipeline in recovered evidence; hybrid title is not sufficient for mixed conventional-ML/DL classification.</ns0:t>
        </ns0:is>
      </ns0:c>
      <ns0:c r="AL451" s="19" t="inlineStr">
        <ns0:is>
          <ns0:t>Not applicable</ns0:t>
        </ns0:is>
      </ns0:c>
      <ns0:c r="AM451" s="19" t="inlineStr">
        <ns0:is>
          <ns0:t>Not separately specified</ns0:t>
        </ns0:is>
      </ns0:c>
      <ns0:c r="AN451" s="19" t="inlineStr">
        <ns0:is>
          <ns0:t>Material reporting/source-lineage inconsistency preserved; excluded in conservative sensitivity analysis.</ns0:t>
        </ns0:is>
      </ns0:c>
      <ns0:c r="AO451" s="19" t="inlineStr">
        <ns0:is>
          <ns0:t>No additional status determination</ns0:t>
        </ns0:is>
      </ns0:c>
      <ns0:c r="AP451" s="19" t="inlineStr">
        <ns0:is>
          <ns0:t>Not documented for this recharting</ns0:t>
        </ns0:is>
      </ns0:c>
      <ns0:c r="AQ451" s="19" t="inlineStr">
        <ns0:is>
          <ns0:t>ChatGPT-assisted evidence recharting, 2026-09-08</ns0:t>
        </ns0:is>
      </ns0:c>
      <ns0:c r="AR451" s="19" t="inlineStr">
        <ns0:is>
          <ns0:t>Revisión asistida por IA (un revisor; requiere verificación independiente)</ns0:t>
        </ns0:is>
      </ns0:c>
      <ns0:c r="AS451" s="19" t="inlineStr">
        <ns0:is>
          <ns0:t>Eligibility reviewed from accessible primary-source content; scoped adjudication completed</ns0:t>
        </ns0:is>
      </ns0:c>
    </ns0:row>
    <ns0:row r="452" ht="50" customHeight="1">
      <ns0:c r="A452" s="21" t="inlineStr">
        <ns0:is>
          <ns0:t>new_400</ns0:t>
        </ns0:is>
      </ns0:c>
      <ns0:c r="B452" s="21" t="inlineStr">
        <ns0:is>
          <ns0:t>Update</ns0:t>
        </ns0:is>
      </ns0:c>
      <ns0:c r="C452" s="21" t="inlineStr">
        <ns0:is>
          <ns0:t>Mitochondrial Gene Signature Reveals Novel Diagnostic Biomarkers for Autism Spectrum Disorder</ns0:t>
        </ns0:is>
      </ns0:c>
      <ns0:c r="D452" s="21" t="inlineStr">
        <ns0:is>
          <ns0:t>10.1007/s12035-026-05911-y</ns0:t>
        </ns0:is>
      </ns0:c>
      <ns0:c r="E452" s="28" t="n">
        <ns0:v>2026</ns0:v>
      </ns0:c>
      <ns0:c r="F452" s="21" t="inlineStr">
        <ns0:is>
          <ns0:t>Include</ns0:t>
        </ns0:is>
      </ns0:c>
      <ns0:c r="G452" s="29">
        <ns0:f>IF(F452="Include",1,0)</ns0:f>
        <ns0:v>1</ns0:v>
      </ns0:c>
      <ns0:c r="H452" s="21" t="inlineStr">
        <ns0:is>
          <ns0:t>Diagnosis</ns0:t>
        </ns0:is>
      </ns0:c>
      <ns0:c r="I452" s="21" t="inlineStr">
        <ns0:is>
          <ns0:t>Machine Learning</ns0:t>
        </ns0:is>
      </ns0:c>
      <ns0:c r="J452" s="21" t="inlineStr">
        <ns0:is>
          <ns0:t>Biological/omics</ns0:t>
        </ns0:is>
      </ns0:c>
      <ns0:c r="K452" s="21" t="inlineStr">
        <ns0:is>
          <ns0:t>LASSO + Random Forest + SVM-RFE feature selection; ANN/linear predictive model</ns0:t>
        </ns0:is>
      </ns0:c>
      <ns0:c r="L452" s="21" t="inlineStr">
        <ns0:is>
          <ns0:t>Composite/ensemble pipeline</ns0:t>
        </ns0:is>
      </ns0:c>
      <ns0:c r="M452" s="21" t="inlineStr">
        <ns0:is>
          <ns0:t>Research only</ns0:t>
        </ns0:is>
      </ns0:c>
      <ns0:c r="N452" s="21" t="inlineStr">
        <ns0:is>
          <ns0:t>Automated measurement/classification</ns0:t>
        </ns0:is>
      </ns0:c>
      <ns0:c r="O452" s="21" t="inlineStr">
        <ns0:is>
          <ns0:t>Not observed in assessed sources</ns0:t>
        </ns0:is>
      </ns0:c>
      <ns0:c r="P452" s="21" t="inlineStr">
        <ns0:is>
          <ns0:t>Not observed in assessed sources</ns0:t>
        </ns0:is>
      </ns0:c>
      <ns0:c r="Q452" s="21" t="inlineStr">
        <ns0:is>
          <ns0:t>Reported</ns0:t>
        </ns0:is>
      </ns0:c>
      <ns0:c r="R452" s="21" t="inlineStr">
        <ns0:is>
          <ns0:t>Not reported in assessed sources</ns0:t>
        </ns0:is>
      </ns0:c>
      <ns0:c r="S452" s="21" t="inlineStr">
        <ns0:is>
          <ns0:t>Reported</ns0:t>
        </ns0:is>
      </ns0:c>
      <ns0:c r="T452" s="21" t="inlineStr">
        <ns0:is>
          <ns0:t>Not reported in assessed sources</ns0:t>
        </ns0:is>
      </ns0:c>
      <ns0:c r="U452" s="21" t="inlineStr">
        <ns0:is>
          <ns0:t>Not reported in assessed sources</ns0:t>
        </ns0:is>
      </ns0:c>
      <ns0:c r="V452" s="21" t="inlineStr">
        <ns0:is>
          <ns0:t>Reported</ns0:t>
        </ns0:is>
      </ns0:c>
      <ns0:c r="W452" s="21" t="inlineStr">
        <ns0:is>
          <ns0:t>Not reported in assessed sources</ns0:t>
        </ns0:is>
      </ns0:c>
      <ns0:c r="X452" s="21" t="inlineStr">
        <ns0:is>
          <ns0:t>Not reported in assessed sources</ns0:t>
        </ns0:is>
      </ns0:c>
      <ns0:c r="Y452" s="21" t="inlineStr">
        <ns0:is>
          <ns0:t>Not ascertainable</ns0:t>
        </ns0:is>
      </ns0:c>
      <ns0:c r="Z452" s="21" t="inlineStr">
        <ns0:is>
          <ns0:t>Reported</ns0:t>
        </ns0:is>
      </ns0:c>
      <ns0:c r="AA452" s="21" t="inlineStr">
        <ns0:is>
          <ns0:t>Not recorded</ns0:t>
        </ns0:is>
      </ns0:c>
      <ns0:c r="AB452" s="28" t="n">
        <ns0:v>0</ns0:v>
      </ns0:c>
      <ns0:c r="AC452" s="28" t="n">
        <ns0:v>0</ns0:v>
      </ns0:c>
      <ns0:c r="AD452" s="29">
        <ns0:f>IF(AND(G452=1,AB452=0),1,0)</ns0:f>
        <ns0:v>1</ns0:v>
      </ns0:c>
      <ns0:c r="AE452" s="29">
        <ns0:f>IF(AND(AD452=1,AC452=0),1,0)</ns0:f>
        <ns0:v>1</ns0:v>
      </ns0:c>
      <ns0:c r="AF452" s="29">
        <ns0:f>IF(AND(G452=1,H452&lt;&gt;"Not specified"),1,0)</ns0:f>
        <ns0:v>1</ns0:v>
      </ns0:c>
      <ns0:c r="AG452" s="29">
        <ns0:f>IF(AND(AE452=1,AF452=1),1,0)</ns0:f>
        <ns0:v>1</ns0:v>
      </ns0:c>
      <ns0:c r="AH452" s="21" t="inlineStr">
        <ns0:is>
          <ns0:t>Prior source-specific extraction retained; no new full-text retrieval</ns0:t>
        </ns0:is>
      </ns0:c>
      <ns0:c r="AI452" s="21" t="inlineStr">
        <ns0:is>
          <ns0:t>https://doi.org/10.1007/s12035-026-05911-y</ns0:t>
        </ns0:is>
      </ns0:c>
      <ns0:c r="AJ452" s="21" t="inlineStr">
        <ns0:is>
          <ns0:t>EVIDENCIA; original abstract/coding notes and lot source trace; Inherited scoped adjudication; see source level and lot caveats</ns0:t>
        </ns0:is>
      </ns0:c>
      <ns0:c r="AK452" s="21" t="inlineStr">
        <ns0:is>
          <ns0:t>Retained source-specific coding after review of the supplied extraction notes; not a new full-text retrieval. Mitochondrial-gene signatures are selected from GSE28521 using LASSO/RF/SVM-RFE and evaluated in GSE64018; ANN/linear/nomogram models are reported, with separate mouse qPCR support. External validation is dataset-level but remains retrospective transcriptomic validation; postmortem cortex limits direct clinical deployability, and mouse qPCR is not human clinical validation.</ns0:t>
        </ns0:is>
      </ns0:c>
      <ns0:c r="AL452" s="21" t="inlineStr">
        <ns0:is>
          <ns0:t>Not applicable</ns0:t>
        </ns0:is>
      </ns0:c>
      <ns0:c r="AM452" s="21" t="inlineStr">
        <ns0:is>
          <ns0:t>Not separately specified</ns0:t>
        </ns0:is>
      </ns0:c>
      <ns0:c r="AN452" s="21" t="inlineStr"/>
      <ns0:c r="AO452" s="21" t="inlineStr">
        <ns0:is>
          <ns0:t>No additional status determination</ns0:t>
        </ns0:is>
      </ns0:c>
      <ns0:c r="AP452" s="21" t="inlineStr">
        <ns0:is>
          <ns0:t>Not documented for this recharting</ns0:t>
        </ns0:is>
      </ns0:c>
      <ns0:c r="AQ452" s="21" t="inlineStr">
        <ns0:is>
          <ns0:t>ChatGPT-assisted evidence recharting, 2026-09-08</ns0:t>
        </ns0:is>
      </ns0:c>
      <ns0:c r="AR452" s="21" t="inlineStr">
        <ns0:is>
          <ns0:t>Revisión asistida por IA (un revisor; requiere verificación independiente)</ns0:t>
        </ns0:is>
      </ns0:c>
      <ns0:c r="AS452" s="21" t="inlineStr">
        <ns0:is>
          <ns0:t>Eligibility reviewed from accessible primary-source content; scoped adjudication completed</ns0:t>
        </ns0:is>
      </ns0:c>
    </ns0:row>
    <ns0:row r="453" ht="50" customHeight="1">
      <ns0:c r="A453" s="19" t="inlineStr">
        <ns0:is>
          <ns0:t>new_411</ns0:t>
        </ns0:is>
      </ns0:c>
      <ns0:c r="B453" s="19" t="inlineStr">
        <ns0:is>
          <ns0:t>Update</ns0:t>
        </ns0:is>
      </ns0:c>
      <ns0:c r="C453" s="19" t="inlineStr">
        <ns0:is>
          <ns0:t>Blood-based DNA methylation markers for autism spectrum disorder identification using machine learning</ns0:t>
        </ns0:is>
      </ns0:c>
      <ns0:c r="D453" s="19" t="inlineStr">
        <ns0:is>
          <ns0:t>10.1080/17501911.2025.2557186</ns0:t>
        </ns0:is>
      </ns0:c>
      <ns0:c r="E453" s="26" t="n">
        <ns0:v>2025</ns0:v>
      </ns0:c>
      <ns0:c r="F453" s="19" t="inlineStr">
        <ns0:is>
          <ns0:t>Include</ns0:t>
        </ns0:is>
      </ns0:c>
      <ns0:c r="G453" s="27">
        <ns0:f>IF(F453="Include",1,0)</ns0:f>
        <ns0:v>1</ns0:v>
      </ns0:c>
      <ns0:c r="H453" s="19" t="inlineStr">
        <ns0:is>
          <ns0:t>Diagnosis</ns0:t>
        </ns0:is>
      </ns0:c>
      <ns0:c r="I453" s="19" t="inlineStr">
        <ns0:is>
          <ns0:t>Machine Learning</ns0:t>
        </ns0:is>
      </ns0:c>
      <ns0:c r="J453" s="19" t="inlineStr">
        <ns0:is>
          <ns0:t>Biological/omics</ns0:t>
        </ns0:is>
      </ns0:c>
      <ns0:c r="K453" s="19" t="inlineStr">
        <ns0:is>
          <ns0:t>Random Forest / XGBoost after SVM-RFECV feature selection</ns0:t>
        </ns0:is>
      </ns0:c>
      <ns0:c r="L453" s="19" t="inlineStr">
        <ns0:is>
          <ns0:t>Composite/ensemble pipeline</ns0:t>
        </ns0:is>
      </ns0:c>
      <ns0:c r="M453" s="19" t="inlineStr">
        <ns0:is>
          <ns0:t>Research only</ns0:t>
        </ns0:is>
      </ns0:c>
      <ns0:c r="N453" s="19" t="inlineStr">
        <ns0:is>
          <ns0:t>Automated measurement/classification</ns0:t>
        </ns0:is>
      </ns0:c>
      <ns0:c r="O453" s="19" t="inlineStr">
        <ns0:is>
          <ns0:t>Not observed in assessed sources</ns0:t>
        </ns0:is>
      </ns0:c>
      <ns0:c r="P453" s="19" t="inlineStr">
        <ns0:is>
          <ns0:t>Not observed in assessed sources</ns0:t>
        </ns0:is>
      </ns0:c>
      <ns0:c r="Q453" s="19" t="inlineStr">
        <ns0:is>
          <ns0:t>Not reported in assessed sources</ns0:t>
        </ns0:is>
      </ns0:c>
      <ns0:c r="R453" s="19" t="inlineStr">
        <ns0:is>
          <ns0:t>Not reported in assessed sources</ns0:t>
        </ns0:is>
      </ns0:c>
      <ns0:c r="S453" s="19" t="inlineStr">
        <ns0:is>
          <ns0:t>Not ascertainable</ns0:t>
        </ns0:is>
      </ns0:c>
      <ns0:c r="T453" s="19" t="inlineStr">
        <ns0:is>
          <ns0:t>Not reported in assessed sources</ns0:t>
        </ns0:is>
      </ns0:c>
      <ns0:c r="U453" s="19" t="inlineStr">
        <ns0:is>
          <ns0:t>Not reported in assessed sources</ns0:t>
        </ns0:is>
      </ns0:c>
      <ns0:c r="V453" s="19" t="inlineStr">
        <ns0:is>
          <ns0:t>Not reported in assessed sources</ns0:t>
        </ns0:is>
      </ns0:c>
      <ns0:c r="W453" s="19" t="inlineStr">
        <ns0:is>
          <ns0:t>Not reported in assessed sources</ns0:t>
        </ns0:is>
      </ns0:c>
      <ns0:c r="X453" s="19" t="inlineStr">
        <ns0:is>
          <ns0:t>Not reported in assessed sources</ns0:t>
        </ns0:is>
      </ns0:c>
      <ns0:c r="Y453" s="19" t="inlineStr">
        <ns0:is>
          <ns0:t>Not ascertainable</ns0:t>
        </ns0:is>
      </ns0:c>
      <ns0:c r="Z453" s="19" t="inlineStr">
        <ns0:is>
          <ns0:t>Not ascertainable</ns0:t>
        </ns0:is>
      </ns0:c>
      <ns0:c r="AA453" s="19" t="inlineStr">
        <ns0:is>
          <ns0:t>Not recorded</ns0:t>
        </ns0:is>
      </ns0:c>
      <ns0:c r="AB453" s="26" t="n">
        <ns0:v>0</ns0:v>
      </ns0:c>
      <ns0:c r="AC453" s="26" t="n">
        <ns0:v>0</ns0:v>
      </ns0:c>
      <ns0:c r="AD453" s="27">
        <ns0:f>IF(AND(G453=1,AB453=0),1,0)</ns0:f>
        <ns0:v>1</ns0:v>
      </ns0:c>
      <ns0:c r="AE453" s="27">
        <ns0:f>IF(AND(AD453=1,AC453=0),1,0)</ns0:f>
        <ns0:v>1</ns0:v>
      </ns0:c>
      <ns0:c r="AF453" s="27">
        <ns0:f>IF(AND(G453=1,H453&lt;&gt;"Not specified"),1,0)</ns0:f>
        <ns0:v>1</ns0:v>
      </ns0:c>
      <ns0:c r="AG453" s="27">
        <ns0:f>IF(AND(AE453=1,AF453=1),1,0)</ns0:f>
        <ns0:v>1</ns0:v>
      </ns0:c>
      <ns0:c r="AH453" s="19" t="inlineStr">
        <ns0:is>
          <ns0:t>Prior source-specific extraction retained; no new full-text retrieval</ns0:t>
        </ns0:is>
      </ns0:c>
      <ns0:c r="AI453" s="19" t="inlineStr">
        <ns0:is>
          <ns0:t>https://doi.org/10.1080/17501911.2025.2557186</ns0:t>
        </ns0:is>
      </ns0:c>
      <ns0:c r="AJ453" s="19" t="inlineStr">
        <ns0:is>
          <ns0:t>EVIDENCIA; original abstract/coding notes and lot source trace; Inherited scoped adjudication; see source level and lot caveats</ns0:t>
        </ns0:is>
      </ns0:c>
      <ns0:c r="AK453" s="19" t="inlineStr">
        <ns0:is>
          <ns0:t>Retained source-specific coding after review of the supplied extraction notes; not a new full-text retrieval. Whole-blood DNA methylation data (52 ASD, 48 TD) are reduced using SVM-RFECV and classified with RF/XGBoost/DT; RF and XGBoost are reported as best-performing. Small single public dataset with no independent external cohort; feature selection and model evaluation on the same source can inflate biomarker optimism without external replication.</ns0:t>
        </ns0:is>
      </ns0:c>
      <ns0:c r="AL453" s="19" t="inlineStr">
        <ns0:is>
          <ns0:t>Not applicable</ns0:t>
        </ns0:is>
      </ns0:c>
      <ns0:c r="AM453" s="19" t="inlineStr">
        <ns0:is>
          <ns0:t>Not separately specified</ns0:t>
        </ns0:is>
      </ns0:c>
      <ns0:c r="AN453" s="19" t="inlineStr"/>
      <ns0:c r="AO453" s="19" t="inlineStr">
        <ns0:is>
          <ns0:t>No additional status determination</ns0:t>
        </ns0:is>
      </ns0:c>
      <ns0:c r="AP453" s="19" t="inlineStr">
        <ns0:is>
          <ns0:t>Not documented for this recharting</ns0:t>
        </ns0:is>
      </ns0:c>
      <ns0:c r="AQ453" s="19" t="inlineStr">
        <ns0:is>
          <ns0:t>ChatGPT-assisted evidence recharting, 2026-09-08</ns0:t>
        </ns0:is>
      </ns0:c>
      <ns0:c r="AR453" s="19" t="inlineStr">
        <ns0:is>
          <ns0:t>Revisión asistida por IA (un revisor; requiere verificación independiente)</ns0:t>
        </ns0:is>
      </ns0:c>
      <ns0:c r="AS453" s="19" t="inlineStr">
        <ns0:is>
          <ns0:t>Eligibility reviewed from accessible primary-source content; scoped adjudication completed</ns0:t>
        </ns0:is>
      </ns0:c>
    </ns0:row>
    <ns0:row r="454" ht="50" customHeight="1">
      <ns0:c r="A454" s="21" t="inlineStr">
        <ns0:is>
          <ns0:t>new_412</ns0:t>
        </ns0:is>
      </ns0:c>
      <ns0:c r="B454" s="21" t="inlineStr">
        <ns0:is>
          <ns0:t>Update</ns0:t>
        </ns0:is>
      </ns0:c>
      <ns0:c r="C454" s="21" t="inlineStr">
        <ns0:is>
          <ns0:t>Federated Transformer-Based Deep Learning Framework for Secure and Early Autism Diagnosis</ns0:t>
        </ns0:is>
      </ns0:c>
      <ns0:c r="D454" s="21" t="inlineStr">
        <ns0:is>
          <ns0:t>10.1007/s42979-026-04806-y</ns0:t>
        </ns0:is>
      </ns0:c>
      <ns0:c r="E454" s="28" t="n">
        <ns0:v>2026</ns0:v>
      </ns0:c>
      <ns0:c r="F454" s="21" t="inlineStr">
        <ns0:is>
          <ns0:t>Include</ns0:t>
        </ns0:is>
      </ns0:c>
      <ns0:c r="G454" s="29">
        <ns0:f>IF(F454="Include",1,0)</ns0:f>
        <ns0:v>1</ns0:v>
      </ns0:c>
      <ns0:c r="H454" s="21" t="inlineStr">
        <ns0:is>
          <ns0:t>Diagnosis</ns0:t>
        </ns0:is>
      </ns0:c>
      <ns0:c r="I454" s="21" t="inlineStr">
        <ns0:is>
          <ns0:t>Deep Learning</ns0:t>
        </ns0:is>
      </ns0:c>
      <ns0:c r="J454" s="21" t="inlineStr">
        <ns0:is>
          <ns0:t>Not specified</ns0:t>
        </ns0:is>
      </ns0:c>
      <ns0:c r="K454" s="21" t="inlineStr">
        <ns0:is>
          <ns0:t>Federated Transformer encoder with secure aggregation / federated weighted averaging</ns0:t>
        </ns0:is>
      </ns0:c>
      <ns0:c r="L454" s="21" t="inlineStr">
        <ns0:is>
          <ns0:t>Transformer</ns0:t>
        </ns0:is>
      </ns0:c>
      <ns0:c r="M454" s="21" t="inlineStr">
        <ns0:is>
          <ns0:t>Proposed only</ns0:t>
        </ns0:is>
      </ns0:c>
      <ns0:c r="N454" s="21" t="inlineStr">
        <ns0:is>
          <ns0:t>Automated measurement/classification</ns0:t>
        </ns0:is>
      </ns0:c>
      <ns0:c r="O454" s="21" t="inlineStr">
        <ns0:is>
          <ns0:t>In-decision</ns0:t>
        </ns0:is>
      </ns0:c>
      <ns0:c r="P454" s="21" t="inlineStr">
        <ns0:is>
          <ns0:t>Not observed in assessed sources</ns0:t>
        </ns0:is>
      </ns0:c>
      <ns0:c r="Q454" s="21" t="inlineStr">
        <ns0:is>
          <ns0:t>Not reported in assessed sources</ns0:t>
        </ns0:is>
      </ns0:c>
      <ns0:c r="R454" s="21" t="inlineStr">
        <ns0:is>
          <ns0:t>Not ascertainable</ns0:t>
        </ns0:is>
      </ns0:c>
      <ns0:c r="S454" s="21" t="inlineStr">
        <ns0:is>
          <ns0:t>Not reported in assessed sources</ns0:t>
        </ns0:is>
      </ns0:c>
      <ns0:c r="T454" s="21" t="inlineStr">
        <ns0:is>
          <ns0:t>Not reported in assessed sources</ns0:t>
        </ns0:is>
      </ns0:c>
      <ns0:c r="U454" s="21" t="inlineStr">
        <ns0:is>
          <ns0:t>Not reported in assessed sources</ns0:t>
        </ns0:is>
      </ns0:c>
      <ns0:c r="V454" s="21" t="inlineStr">
        <ns0:is>
          <ns0:t>Reported</ns0:t>
        </ns0:is>
      </ns0:c>
      <ns0:c r="W454" s="21" t="inlineStr">
        <ns0:is>
          <ns0:t>Reported</ns0:t>
        </ns0:is>
      </ns0:c>
      <ns0:c r="X454" s="21" t="inlineStr">
        <ns0:is>
          <ns0:t>Not reported in assessed sources</ns0:t>
        </ns0:is>
      </ns0:c>
      <ns0:c r="Y454" s="21" t="inlineStr">
        <ns0:is>
          <ns0:t>Not ascertainable</ns0:t>
        </ns0:is>
      </ns0:c>
      <ns0:c r="Z454" s="21" t="inlineStr">
        <ns0:is>
          <ns0:t>Not reported in assessed sources</ns0:t>
        </ns0:is>
      </ns0:c>
      <ns0:c r="AA454" s="21" t="inlineStr">
        <ns0:is>
          <ns0:t>Not recorded</ns0:t>
        </ns0:is>
      </ns0:c>
      <ns0:c r="AB454" s="28" t="n">
        <ns0:v>0</ns0:v>
      </ns0:c>
      <ns0:c r="AC454" s="28" t="n">
        <ns0:v>0</ns0:v>
      </ns0:c>
      <ns0:c r="AD454" s="29">
        <ns0:f>IF(AND(G454=1,AB454=0),1,0)</ns0:f>
        <ns0:v>1</ns0:v>
      </ns0:c>
      <ns0:c r="AE454" s="29">
        <ns0:f>IF(AND(AD454=1,AC454=0),1,0)</ns0:f>
        <ns0:v>1</ns0:v>
      </ns0:c>
      <ns0:c r="AF454" s="29">
        <ns0:f>IF(AND(G454=1,H454&lt;&gt;"Not specified"),1,0)</ns0:f>
        <ns0:v>1</ns0:v>
      </ns0:c>
      <ns0:c r="AG454" s="29">
        <ns0:f>IF(AND(AE454=1,AF454=1),1,0)</ns0:f>
        <ns0:v>1</ns0:v>
      </ns0:c>
      <ns0:c r="AH454" s="21" t="inlineStr">
        <ns0:is>
          <ns0:t>Prior source-specific extraction retained; no new full-text retrieval</ns0:t>
        </ns0:is>
      </ns0:c>
      <ns0:c r="AI454" s="21" t="inlineStr">
        <ns0:is>
          <ns0:t>https://doi.org/10.1007/s42979-026-04806-y</ns0:t>
        </ns0:is>
      </ns0:c>
      <ns0:c r="AJ454" s="21" t="inlineStr">
        <ns0:is>
          <ns0:t>EVIDENCIA; original abstract/coding notes and lot source trace; Inherited scoped adjudication; see source level and lot caveats</ns0:t>
        </ns0:is>
      </ns0:c>
      <ns0:c r="AK454" s="21" t="inlineStr">
        <ns0:is>
          <ns0:t>Retained source-specific coding after review of the supplied extraction notes; not a new full-text retrieval. A federated Transformer framework is evaluated on ABIDE- and SPARK-derived data with secure aggregation and model compression, reporting very high classification accuracy. Federated/multisite training is not equivalent to a held-out-site robustness test. The accessible evidence does not establish independent external or prospective clinical validation, and near-ceiling accuracy requires leakage/partition checks.
Multiple datasets are described but the recovered evidence does not establish a single primary source or participant-linked multisource fusion.</ns0:t>
        </ns0:is>
      </ns0:c>
      <ns0:c r="AL454" s="21" t="inlineStr">
        <ns0:is>
          <ns0:t>Not applicable</ns0:t>
        </ns0:is>
      </ns0:c>
      <ns0:c r="AM454" s="21" t="inlineStr">
        <ns0:is>
          <ns0:t>Not separately specified</ns0:t>
        </ns0:is>
      </ns0:c>
      <ns0:c r="AN454" s="21" t="inlineStr"/>
      <ns0:c r="AO454" s="21" t="inlineStr">
        <ns0:is>
          <ns0:t>No additional status determination</ns0:t>
        </ns0:is>
      </ns0:c>
      <ns0:c r="AP454" s="21" t="inlineStr">
        <ns0:is>
          <ns0:t>Not documented for this recharting</ns0:t>
        </ns0:is>
      </ns0:c>
      <ns0:c r="AQ454" s="21" t="inlineStr">
        <ns0:is>
          <ns0:t>ChatGPT-assisted evidence recharting, 2026-09-08</ns0:t>
        </ns0:is>
      </ns0:c>
      <ns0:c r="AR454" s="21" t="inlineStr">
        <ns0:is>
          <ns0:t>Revisión asistida por IA (un revisor; requiere verificación independiente)</ns0:t>
        </ns0:is>
      </ns0:c>
      <ns0:c r="AS454" s="21" t="inlineStr">
        <ns0:is>
          <ns0:t>Eligibility reviewed from accessible primary-source content; scoped adjudication completed</ns0:t>
        </ns0:is>
      </ns0:c>
    </ns0:row>
    <ns0:row r="455" ht="50" customHeight="1">
      <ns0:c r="A455" s="19" t="inlineStr">
        <ns0:is>
          <ns0:t>new_415</ns0:t>
        </ns0:is>
      </ns0:c>
      <ns0:c r="B455" s="19" t="inlineStr">
        <ns0:is>
          <ns0:t>Update</ns0:t>
        </ns0:is>
      </ns0:c>
      <ns0:c r="C455" s="23" t="inlineStr">
        <ns0:is>
          <ns0:t>Artificial intelligence-based diagnostic model for autism spectrum disorder using blood biomarkers</ns0:t>
        </ns0:is>
      </ns0:c>
      <ns0:c r="D455" s="19" t="inlineStr">
        <ns0:is>
          <ns0:t>10.1007/s00521-025-11553-3</ns0:t>
        </ns0:is>
      </ns0:c>
      <ns0:c r="E455" s="26" t="n">
        <ns0:v>2025</ns0:v>
      </ns0:c>
      <ns0:c r="F455" s="19" t="inlineStr">
        <ns0:is>
          <ns0:t>Include</ns0:t>
        </ns0:is>
      </ns0:c>
      <ns0:c r="G455" s="27">
        <ns0:f>IF(F455="Include",1,0)</ns0:f>
        <ns0:v>1</ns0:v>
      </ns0:c>
      <ns0:c r="H455" s="19" t="inlineStr">
        <ns0:is>
          <ns0:t>Screening</ns0:t>
        </ns0:is>
      </ns0:c>
      <ns0:c r="I455" s="19" t="inlineStr">
        <ns0:is>
          <ns0:t>Deep Learning</ns0:t>
        </ns0:is>
      </ns0:c>
      <ns0:c r="J455" s="19" t="inlineStr">
        <ns0:is>
          <ns0:t>Not specified</ns0:t>
        </ns0:is>
      </ns0:c>
      <ns0:c r="K455" s="19" t="inlineStr">
        <ns0:is>
          <ns0:t>ASA: Improved Genetic Algorithm feature selection + Optimized Deep Neural Network (ODNN)</ns0:t>
        </ns0:is>
      </ns0:c>
      <ns0:c r="L455" s="19" t="inlineStr">
        <ns0:is>
          <ns0:t>Other specified method</ns0:t>
        </ns0:is>
      </ns0:c>
      <ns0:c r="M455" s="19" t="inlineStr">
        <ns0:is>
          <ns0:t>Proposed only</ns0:t>
        </ns0:is>
      </ns0:c>
      <ns0:c r="N455" s="19" t="inlineStr">
        <ns0:is>
          <ns0:t>Triage/questionnaire assessment</ns0:t>
        </ns0:is>
      </ns0:c>
      <ns0:c r="O455" s="19" t="inlineStr">
        <ns0:is>
          <ns0:t>Pre-decision</ns0:t>
        </ns0:is>
      </ns0:c>
      <ns0:c r="P455" s="19" t="inlineStr">
        <ns0:is>
          <ns0:t>Not observed in assessed sources</ns0:t>
        </ns0:is>
      </ns0:c>
      <ns0:c r="Q455" s="19" t="inlineStr">
        <ns0:is>
          <ns0:t>Not reported in assessed sources</ns0:t>
        </ns0:is>
      </ns0:c>
      <ns0:c r="R455" s="19" t="inlineStr">
        <ns0:is>
          <ns0:t>Not ascertainable</ns0:t>
        </ns0:is>
      </ns0:c>
      <ns0:c r="S455" s="19" t="inlineStr">
        <ns0:is>
          <ns0:t>Reported</ns0:t>
        </ns0:is>
      </ns0:c>
      <ns0:c r="T455" s="19" t="inlineStr">
        <ns0:is>
          <ns0:t>Not reported in assessed sources</ns0:t>
        </ns0:is>
      </ns0:c>
      <ns0:c r="U455" s="19" t="inlineStr">
        <ns0:is>
          <ns0:t>Not reported in assessed sources</ns0:t>
        </ns0:is>
      </ns0:c>
      <ns0:c r="V455" s="19" t="inlineStr">
        <ns0:is>
          <ns0:t>Not ascertainable</ns0:t>
        </ns0:is>
      </ns0:c>
      <ns0:c r="W455" s="19" t="inlineStr">
        <ns0:is>
          <ns0:t>Not reported in assessed sources</ns0:t>
        </ns0:is>
      </ns0:c>
      <ns0:c r="X455" s="19" t="inlineStr">
        <ns0:is>
          <ns0:t>Not reported in assessed sources</ns0:t>
        </ns0:is>
      </ns0:c>
      <ns0:c r="Y455" s="19" t="inlineStr">
        <ns0:is>
          <ns0:t>Not ascertainable</ns0:t>
        </ns0:is>
      </ns0:c>
      <ns0:c r="Z455" s="19" t="inlineStr">
        <ns0:is>
          <ns0:t>Reported</ns0:t>
        </ns0:is>
      </ns0:c>
      <ns0:c r="AA455" s="19" t="inlineStr">
        <ns0:is>
          <ns0:t>Not recorded</ns0:t>
        </ns0:is>
      </ns0:c>
      <ns0:c r="AB455" s="26" t="n">
        <ns0:v>0</ns0:v>
      </ns0:c>
      <ns0:c r="AC455" s="26" t="n">
        <ns0:v>1</ns0:v>
      </ns0:c>
      <ns0:c r="AD455" s="27">
        <ns0:f>IF(AND(G455=1,AB455=0),1,0)</ns0:f>
        <ns0:v>1</ns0:v>
      </ns0:c>
      <ns0:c r="AE455" s="27">
        <ns0:f>IF(AND(AD455=1,AC455=0),1,0)</ns0:f>
        <ns0:v>0</ns0:v>
      </ns0:c>
      <ns0:c r="AF455" s="27">
        <ns0:f>IF(AND(G455=1,H455&lt;&gt;"Not specified"),1,0)</ns0:f>
        <ns0:v>1</ns0:v>
      </ns0:c>
      <ns0:c r="AG455" s="27">
        <ns0:f>IF(AND(AE455=1,AF455=1),1,0)</ns0:f>
        <ns0:v>0</ns0:v>
      </ns0:c>
      <ns0:c r="AH455" s="19" t="inlineStr">
        <ns0:is>
          <ns0:t>Prior source-specific extraction retained; no new full-text retrieval</ns0:t>
        </ns0:is>
      </ns0:c>
      <ns0:c r="AI455" s="19" t="inlineStr">
        <ns0:is>
          <ns0:t>https://doi.org/10.1007/s00521-025-11553-3</ns0:t>
        </ns0:is>
      </ns0:c>
      <ns0:c r="AJ455" s="19" t="inlineStr">
        <ns0:is>
          <ns0:t>EVIDENCIA; original abstract/coding notes and lot source trace; Inherited scoped adjudication; see source level and lot caveats</ns0:t>
        </ns0:is>
      </ns0:c>
      <ns0:c r="AK455" s="19" t="inlineStr">
        <ns0:is>
          <ns0:t>Retained source-specific coding after review of the supplied extraction notes; not a new full-text retrieval. The ASA framework combines information-gain/Genetic-Algorithm feature selection with an optimized DNN and reports approximately 99% accuracy. 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
The ASA framework combines information-gain/Genetic-Algorithm feature selection with an optimized DNN and reports approximately 99% accuracy. 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
Material reporting/source-lineage inconsistency preserved; excluded in conservative sensitivity analysis.</ns0:t>
        </ns0:is>
      </ns0:c>
      <ns0:c r="AL455" s="19" t="inlineStr">
        <ns0:is>
          <ns0:t>Not applicable</ns0:t>
        </ns0:is>
      </ns0:c>
      <ns0:c r="AM455" s="19" t="inlineStr">
        <ns0:is>
          <ns0:t>Not separately specified</ns0:t>
        </ns0:is>
      </ns0:c>
      <ns0:c r="AN455" s="19" t="inlineStr">
        <ns0:is>
          <ns0:t>Material reporting/source-lineage inconsistency preserved; excluded in conservative sensitivity analysis.</ns0:t>
        </ns0:is>
      </ns0:c>
      <ns0:c r="AO455" s="19" t="inlineStr">
        <ns0:is>
          <ns0:t>No additional status determination</ns0:t>
        </ns0:is>
      </ns0:c>
      <ns0:c r="AP455" s="19" t="inlineStr">
        <ns0:is>
          <ns0:t>Not documented for this recharting</ns0:t>
        </ns0:is>
      </ns0:c>
      <ns0:c r="AQ455" s="19" t="inlineStr">
        <ns0:is>
          <ns0:t>ChatGPT-assisted evidence recharting, 2026-09-08</ns0:t>
        </ns0:is>
      </ns0:c>
      <ns0:c r="AR455" s="19" t="inlineStr">
        <ns0:is>
          <ns0:t>Revisión asistida por IA (un revisor; requiere verificación independiente)</ns0:t>
        </ns0:is>
      </ns0:c>
      <ns0:c r="AS455" s="19" t="inlineStr">
        <ns0:is>
          <ns0:t>Eligibility reviewed from accessible primary-source content; scoped adjudication completed</ns0:t>
        </ns0:is>
      </ns0:c>
    </ns0:row>
    <ns0:row r="456" ht="50" customHeight="1">
      <ns0:c r="A456" s="21" t="inlineStr">
        <ns0:is>
          <ns0:t>new_416</ns0:t>
        </ns0:is>
      </ns0:c>
      <ns0:c r="B456" s="21" t="inlineStr">
        <ns0:is>
          <ns0:t>Update</ns0:t>
        </ns0:is>
      </ns0:c>
      <ns0:c r="C456" s="21" t="inlineStr">
        <ns0:is>
          <ns0:t>An explainable deep learning framework for screening level autism severity using behavioural data</ns0:t>
        </ns0:is>
      </ns0:c>
      <ns0:c r="D456" s="21" t="inlineStr">
        <ns0:is>
          <ns0:t>10.1007/s42452-026-08352-3</ns0:t>
        </ns0:is>
      </ns0:c>
      <ns0:c r="E456" s="28" t="n">
        <ns0:v>2026</ns0:v>
      </ns0:c>
      <ns0:c r="F456" s="21" t="inlineStr">
        <ns0:is>
          <ns0:t>Include</ns0:t>
        </ns0:is>
      </ns0:c>
      <ns0:c r="G456" s="29">
        <ns0:f>IF(F456="Include",1,0)</ns0:f>
        <ns0:v>1</ns0:v>
      </ns0:c>
      <ns0:c r="H456" s="21" t="inlineStr">
        <ns0:is>
          <ns0:t>Screening</ns0:t>
        </ns0:is>
      </ns0:c>
      <ns0:c r="I456" s="21" t="inlineStr">
        <ns0:is>
          <ns0:t>Deep Learning</ns0:t>
        </ns0:is>
      </ns0:c>
      <ns0:c r="J456" s="21" t="inlineStr">
        <ns0:is>
          <ns0:t>Structured clinical/questionnaire data</ns0:t>
        </ns0:is>
      </ns0:c>
      <ns0:c r="K456" s="21" t="inlineStr">
        <ns0:is>
          <ns0:t>BiLSTM-CGBO</ns0:t>
        </ns0:is>
      </ns0:c>
      <ns0:c r="L456" s="21" t="inlineStr">
        <ns0:is>
          <ns0:t>Recurrent network</ns0:t>
        </ns0:is>
      </ns0:c>
      <ns0:c r="M456" s="21" t="inlineStr">
        <ns0:is>
          <ns0:t>Proposed only</ns0:t>
        </ns0:is>
      </ns0:c>
      <ns0:c r="N456" s="21" t="inlineStr">
        <ns0:is>
          <ns0:t>Triage/questionnaire assessment</ns0:t>
        </ns0:is>
      </ns0:c>
      <ns0:c r="O456" s="21" t="inlineStr">
        <ns0:is>
          <ns0:t>Pre-decision</ns0:t>
        </ns0:is>
      </ns0:c>
      <ns0:c r="P456" s="21" t="inlineStr">
        <ns0:is>
          <ns0:t>Not observed in assessed sources</ns0:t>
        </ns0:is>
      </ns0:c>
      <ns0:c r="Q456" s="21" t="inlineStr">
        <ns0:is>
          <ns0:t>Not reported in assessed sources</ns0:t>
        </ns0:is>
      </ns0:c>
      <ns0:c r="R456" s="21" t="inlineStr">
        <ns0:is>
          <ns0:t>Not reported in assessed sources</ns0:t>
        </ns0:is>
      </ns0:c>
      <ns0:c r="S456" s="21" t="inlineStr">
        <ns0:is>
          <ns0:t>Reported</ns0:t>
        </ns0:is>
      </ns0:c>
      <ns0:c r="T456" s="21" t="inlineStr">
        <ns0:is>
          <ns0:t>Reported</ns0:t>
        </ns0:is>
      </ns0:c>
      <ns0:c r="U456" s="21" t="inlineStr">
        <ns0:is>
          <ns0:t>Not reported in assessed sources</ns0:t>
        </ns0:is>
      </ns0:c>
      <ns0:c r="V456" s="21" t="inlineStr">
        <ns0:is>
          <ns0:t>Not ascertainable</ns0:t>
        </ns0:is>
      </ns0:c>
      <ns0:c r="W456" s="21" t="inlineStr">
        <ns0:is>
          <ns0:t>Not reported in assessed sources</ns0:t>
        </ns0:is>
      </ns0:c>
      <ns0:c r="X456" s="21" t="inlineStr">
        <ns0:is>
          <ns0:t>Not reported in assessed sources</ns0:t>
        </ns0:is>
      </ns0:c>
      <ns0:c r="Y456" s="21" t="inlineStr">
        <ns0:is>
          <ns0:t>Not ascertainable</ns0:t>
        </ns0:is>
      </ns0:c>
      <ns0:c r="Z456" s="21" t="inlineStr">
        <ns0:is>
          <ns0:t>Not reported in assessed sources</ns0:t>
        </ns0:is>
      </ns0:c>
      <ns0:c r="AA456" s="21" t="inlineStr">
        <ns0:is>
          <ns0:t>Not recorded</ns0:t>
        </ns0:is>
      </ns0:c>
      <ns0:c r="AB456" s="28" t="n">
        <ns0:v>0</ns0:v>
      </ns0:c>
      <ns0:c r="AC456" s="28" t="n">
        <ns0:v>0</ns0:v>
      </ns0:c>
      <ns0:c r="AD456" s="29">
        <ns0:f>IF(AND(G456=1,AB456=0),1,0)</ns0:f>
        <ns0:v>1</ns0:v>
      </ns0:c>
      <ns0:c r="AE456" s="29">
        <ns0:f>IF(AND(AD456=1,AC456=0),1,0)</ns0:f>
        <ns0:v>1</ns0:v>
      </ns0:c>
      <ns0:c r="AF456" s="29">
        <ns0:f>IF(AND(G456=1,H456&lt;&gt;"Not specified"),1,0)</ns0:f>
        <ns0:v>1</ns0:v>
      </ns0:c>
      <ns0:c r="AG456" s="29">
        <ns0:f>IF(AND(AE456=1,AF456=1),1,0)</ns0:f>
        <ns0:v>1</ns0:v>
      </ns0:c>
      <ns0:c r="AH456" s="21" t="inlineStr">
        <ns0:is>
          <ns0:t>Prior source-specific extraction retained; no new full-text retrieval</ns0:t>
        </ns0:is>
      </ns0:c>
      <ns0:c r="AI456" s="21" t="inlineStr">
        <ns0:is>
          <ns0:t>https://doi.org/10.1007/s42452-026-08352-3</ns0:t>
        </ns0:is>
      </ns0:c>
      <ns0:c r="AJ456" s="21" t="inlineStr">
        <ns0:is>
          <ns0:t>EVIDENCIA; original abstract/coding notes and lot source trace; Inherited scoped adjudication; see source level and lot caveats</ns0:t>
        </ns0:is>
      </ns0:c>
      <ns0:c r="AK456" s="21" t="inlineStr">
        <ns0:is>
          <ns0:t>Retained source-specific coding after review of the supplied extraction notes; not a new full-text retrieval. BiLSTM-CGBO is trained on harmonized Kaggle/UCI behavioral screening data and uses SHAP for feature-level explanations of screening/severity outputs. The severity target is closely tied to deterministic behavioral scoring and is not an independently clinician-annotated diagnostic endpoint; no independent external clinical cohort is provided.
Harmonized Kaggle/UCI datasets do not establish distinct clinical sites; target tied to deterministic scoring.</ns0:t>
        </ns0:is>
      </ns0:c>
      <ns0:c r="AL456" s="21" t="inlineStr">
        <ns0:is>
          <ns0:t>Not applicable</ns0:t>
        </ns0:is>
      </ns0:c>
      <ns0:c r="AM456" s="21" t="inlineStr">
        <ns0:is>
          <ns0:t>Not separately specified</ns0:t>
        </ns0:is>
      </ns0:c>
      <ns0:c r="AN456" s="21" t="inlineStr"/>
      <ns0:c r="AO456" s="21" t="inlineStr">
        <ns0:is>
          <ns0:t>No additional status determination</ns0:t>
        </ns0:is>
      </ns0:c>
      <ns0:c r="AP456" s="21" t="inlineStr">
        <ns0:is>
          <ns0:t>Not documented for this recharting</ns0:t>
        </ns0:is>
      </ns0:c>
      <ns0:c r="AQ456" s="21" t="inlineStr">
        <ns0:is>
          <ns0:t>ChatGPT-assisted evidence recharting, 2026-09-08</ns0:t>
        </ns0:is>
      </ns0:c>
      <ns0:c r="AR456" s="21" t="inlineStr">
        <ns0:is>
          <ns0:t>Revisión asistida por IA (un revisor; requiere verificación independiente)</ns0:t>
        </ns0:is>
      </ns0:c>
      <ns0:c r="AS456" s="21" t="inlineStr">
        <ns0:is>
          <ns0:t>Eligibility reviewed from accessible primary-source content; scoped adjudication completed</ns0:t>
        </ns0:is>
      </ns0:c>
    </ns0:row>
    <ns0:row r="457" ht="50" customHeight="1">
      <ns0:c r="A457" s="19" t="inlineStr">
        <ns0:is>
          <ns0:t>new_421</ns0:t>
        </ns0:is>
      </ns0:c>
      <ns0:c r="B457" s="19" t="inlineStr">
        <ns0:is>
          <ns0:t>Update</ns0:t>
        </ns0:is>
      </ns0:c>
      <ns0:c r="C457" s="19" t="inlineStr">
        <ns0:is>
          <ns0:t>Edge-Based Robot-Assisted Hand Gesture Recognition for Autism Intervention Using Hybrid Keyframe Selection and Contrastive Learning</ns0:t>
        </ns0:is>
      </ns0:c>
      <ns0:c r="D457" s="19" t="inlineStr">
        <ns0:is>
          <ns0:t>10.1109/tmrb.2026.3680976</ns0:t>
        </ns0:is>
      </ns0:c>
      <ns0:c r="E457" s="26" t="n">
        <ns0:v>2026</ns0:v>
      </ns0:c>
      <ns0:c r="F457" s="19" t="inlineStr">
        <ns0:is>
          <ns0:t>Include</ns0:t>
        </ns0:is>
      </ns0:c>
      <ns0:c r="G457" s="27">
        <ns0:f>IF(F457="Include",1,0)</ns0:f>
        <ns0:v>1</ns0:v>
      </ns0:c>
      <ns0:c r="H457" s="19" t="inlineStr">
        <ns0:is>
          <ns0:t>Monitoring/intervention</ns0:t>
        </ns0:is>
      </ns0:c>
      <ns0:c r="I457" s="19" t="inlineStr">
        <ns0:is>
          <ns0:t>Deep Learning</ns0:t>
        </ns0:is>
      </ns0:c>
      <ns0:c r="J457" s="19" t="inlineStr">
        <ns0:is>
          <ns0:t>Behavioral images/video/gaze/movement</ns0:t>
        </ns0:is>
      </ns0:c>
      <ns0:c r="K457" s="19" t="inlineStr">
        <ns0:is>
          <ns0:t>Hybrid keyframe selection + 1D CNN + contrastive learning on CARAT edge robot</ns0:t>
        </ns0:is>
      </ns0:c>
      <ns0:c r="L457" s="19" t="inlineStr">
        <ns0:is>
          <ns0:t>CNN</ns0:t>
        </ns0:is>
      </ns0:c>
      <ns0:c r="M457" s="19" t="inlineStr">
        <ns0:is>
          <ns0:t>Evaluated at point of use</ns0:t>
        </ns0:is>
      </ns0:c>
      <ns0:c r="N457" s="19" t="inlineStr">
        <ns0:is>
          <ns0:t>Adaptive intervention</ns0:t>
        </ns0:is>
      </ns0:c>
      <ns0:c r="O457" s="19" t="inlineStr">
        <ns0:is>
          <ns0:t>Post-decision</ns0:t>
        </ns0:is>
      </ns0:c>
      <ns0:c r="P457" s="19" t="inlineStr">
        <ns0:is>
          <ns0:t>Post-decision</ns0:t>
        </ns0:is>
      </ns0:c>
      <ns0:c r="Q457" s="19" t="inlineStr">
        <ns0:is>
          <ns0:t>Not reported in assessed sources</ns0:t>
        </ns0:is>
      </ns0:c>
      <ns0:c r="R457" s="19" t="inlineStr">
        <ns0:is>
          <ns0:t>Not reported in assessed sources</ns0:t>
        </ns0:is>
      </ns0:c>
      <ns0:c r="S457" s="19" t="inlineStr">
        <ns0:is>
          <ns0:t>Not reported in assessed sources</ns0:t>
        </ns0:is>
      </ns0:c>
      <ns0:c r="T457" s="19" t="inlineStr">
        <ns0:is>
          <ns0:t>Not reported in assessed sources</ns0:t>
        </ns0:is>
      </ns0:c>
      <ns0:c r="U457" s="19" t="inlineStr">
        <ns0:is>
          <ns0:t>Not reported in assessed sources</ns0:t>
        </ns0:is>
      </ns0:c>
      <ns0:c r="V457" s="19" t="inlineStr">
        <ns0:is>
          <ns0:t>Not reported in assessed sources</ns0:t>
        </ns0:is>
      </ns0:c>
      <ns0:c r="W457" s="19" t="inlineStr">
        <ns0:is>
          <ns0:t>Not reported in assessed sources</ns0:t>
        </ns0:is>
      </ns0:c>
      <ns0:c r="X457" s="19" t="inlineStr">
        <ns0:is>
          <ns0:t>Reported</ns0:t>
        </ns0:is>
      </ns0:c>
      <ns0:c r="Y457" s="19" t="inlineStr">
        <ns0:is>
          <ns0:t>Not ascertainable</ns0:t>
        </ns0:is>
      </ns0:c>
      <ns0:c r="Z457" s="19" t="inlineStr">
        <ns0:is>
          <ns0:t>Not reported in assessed sources</ns0:t>
        </ns0:is>
      </ns0:c>
      <ns0:c r="AA457" s="19" t="inlineStr">
        <ns0:is>
          <ns0:t>Not recorded</ns0:t>
        </ns0:is>
      </ns0:c>
      <ns0:c r="AB457" s="26" t="n">
        <ns0:v>0</ns0:v>
      </ns0:c>
      <ns0:c r="AC457" s="26" t="n">
        <ns0:v>0</ns0:v>
      </ns0:c>
      <ns0:c r="AD457" s="27">
        <ns0:f>IF(AND(G457=1,AB457=0),1,0)</ns0:f>
        <ns0:v>1</ns0:v>
      </ns0:c>
      <ns0:c r="AE457" s="27">
        <ns0:f>IF(AND(AD457=1,AC457=0),1,0)</ns0:f>
        <ns0:v>1</ns0:v>
      </ns0:c>
      <ns0:c r="AF457" s="27">
        <ns0:f>IF(AND(G457=1,H457&lt;&gt;"Not specified"),1,0)</ns0:f>
        <ns0:v>1</ns0:v>
      </ns0:c>
      <ns0:c r="AG457" s="27">
        <ns0:f>IF(AND(AE457=1,AF457=1),1,0)</ns0:f>
        <ns0:v>1</ns0:v>
      </ns0:c>
      <ns0:c r="AH457" s="19" t="inlineStr">
        <ns0:is>
          <ns0:t>Prior source-specific extraction retained; no new full-text retrieval</ns0:t>
        </ns0:is>
      </ns0:c>
      <ns0:c r="AI457" s="19" t="inlineStr">
        <ns0:is>
          <ns0:t>https://doi.org/10.1109/tmrb.2026.3680976</ns0:t>
        </ns0:is>
      </ns0:c>
      <ns0:c r="AJ457" s="19" t="inlineStr">
        <ns0:is>
          <ns0:t>EVIDENCIA; original abstract/coding notes and lot source trace; Inherited scoped adjudication; see source level and lot caveats</ns0:t>
        </ns0:is>
      </ns0:c>
      <ns0:c r="AK457" s="19" t="inlineStr">
        <ns0:is>
          <ns0:t>Retained source-specific coding after review of the supplied extraction notes; not a new full-text retrieval. CARAT uses MediaPipe landmarks, hybrid keyframe selection, 1D convolution and contrastive learning for real-time gesture recognition/correction; data were collected with healthy and autistic children and ASD recognition accuracy is reported at 96.42%. The study validates gesture-recognition performance, not therapeutic efficacy or durable social-skill improvement. Therefore the system is intervention-oriented but not coded as confirmed clinical intervention effectiveness.
Real-time robot prototype tested with ASD participants; point-of-use technical evaluation, not established treatment efficacy.</ns0:t>
        </ns0:is>
      </ns0:c>
      <ns0:c r="AL457" s="19" t="inlineStr">
        <ns0:is>
          <ns0:t>Not applicable</ns0:t>
        </ns0:is>
      </ns0:c>
      <ns0:c r="AM457" s="19" t="inlineStr">
        <ns0:is>
          <ns0:t>Not separately specified</ns0:t>
        </ns0:is>
      </ns0:c>
      <ns0:c r="AN457" s="19" t="inlineStr"/>
      <ns0:c r="AO457" s="19" t="inlineStr">
        <ns0:is>
          <ns0:t>No additional status determination</ns0:t>
        </ns0:is>
      </ns0:c>
      <ns0:c r="AP457" s="19" t="inlineStr">
        <ns0:is>
          <ns0:t>Not documented for this recharting</ns0:t>
        </ns0:is>
      </ns0:c>
      <ns0:c r="AQ457" s="19" t="inlineStr">
        <ns0:is>
          <ns0:t>ChatGPT-assisted evidence recharting, 2026-09-08</ns0:t>
        </ns0:is>
      </ns0:c>
      <ns0:c r="AR457" s="19" t="inlineStr">
        <ns0:is>
          <ns0:t>Revisión asistida por IA (un revisor; requiere verificación independiente)</ns0:t>
        </ns0:is>
      </ns0:c>
      <ns0:c r="AS457" s="19" t="inlineStr">
        <ns0:is>
          <ns0:t>Eligibility reviewed from accessible primary-source content; scoped adjudication completed</ns0:t>
        </ns0:is>
      </ns0:c>
    </ns0:row>
    <ns0:row r="458" ht="50" customHeight="1">
      <ns0:c r="A458" s="21" t="inlineStr">
        <ns0:is>
          <ns0:t>new_423</ns0:t>
        </ns0:is>
      </ns0:c>
      <ns0:c r="B458" s="21" t="inlineStr">
        <ns0:is>
          <ns0:t>Update</ns0:t>
        </ns0:is>
      </ns0:c>
      <ns0:c r="C458" s="21" t="inlineStr">
        <ns0:is>
          <ns0:t>Toward a Smartwatch-Based System for Automated Social Interaction Monitoring in Autism</ns0:t>
        </ns0:is>
      </ns0:c>
      <ns0:c r="D458" s="21" t="inlineStr">
        <ns0:is>
          <ns0:t>10.1109/access.2026.3674057</ns0:t>
        </ns0:is>
      </ns0:c>
      <ns0:c r="E458" s="28" t="n">
        <ns0:v>2026</ns0:v>
      </ns0:c>
      <ns0:c r="F458" s="21" t="inlineStr">
        <ns0:is>
          <ns0:t>Include</ns0:t>
        </ns0:is>
      </ns0:c>
      <ns0:c r="G458" s="29">
        <ns0:f>IF(F458="Include",1,0)</ns0:f>
        <ns0:v>1</ns0:v>
      </ns0:c>
      <ns0:c r="H458" s="21" t="inlineStr">
        <ns0:is>
          <ns0:t>Monitoring/intervention</ns0:t>
        </ns0:is>
      </ns0:c>
      <ns0:c r="I458" s="21" t="inlineStr">
        <ns0:is>
          <ns0:t>Deep Learning</ns0:t>
        </ns0:is>
      </ns0:c>
      <ns0:c r="J458" s="21" t="inlineStr">
        <ns0:is>
          <ns0:t>Multiple source categories</ns0:t>
        </ns0:is>
      </ns0:c>
      <ns0:c r="K458" s="21" t="inlineStr">
        <ns0:is>
          <ns0:t>Enhanced pyannote-audio speaker diarization with physiologic alignment/cloud pipeline</ns0:t>
        </ns0:is>
      </ns0:c>
      <ns0:c r="L458" s="21" t="inlineStr">
        <ns0:is>
          <ns0:t>Other specified method</ns0:t>
        </ns0:is>
      </ns0:c>
      <ns0:c r="M458" s="21" t="inlineStr">
        <ns0:is>
          <ns0:t>Evaluated at point of use</ns0:t>
        </ns0:is>
      </ns0:c>
      <ns0:c r="N458" s="21" t="inlineStr">
        <ns0:is>
          <ns0:t>Monitoring/longitudinal analysis</ns0:t>
        </ns0:is>
      </ns0:c>
      <ns0:c r="O458" s="21" t="inlineStr">
        <ns0:is>
          <ns0:t>Post-decision</ns0:t>
        </ns0:is>
      </ns0:c>
      <ns0:c r="P458" s="21" t="inlineStr">
        <ns0:is>
          <ns0:t>Post-decision</ns0:t>
        </ns0:is>
      </ns0:c>
      <ns0:c r="Q458" s="21" t="inlineStr">
        <ns0:is>
          <ns0:t>Not reported in assessed sources</ns0:t>
        </ns0:is>
      </ns0:c>
      <ns0:c r="R458" s="21" t="inlineStr">
        <ns0:is>
          <ns0:t>Reported</ns0:t>
        </ns0:is>
      </ns0:c>
      <ns0:c r="S458" s="21" t="inlineStr">
        <ns0:is>
          <ns0:t>Not reported in assessed sources</ns0:t>
        </ns0:is>
      </ns0:c>
      <ns0:c r="T458" s="21" t="inlineStr">
        <ns0:is>
          <ns0:t>Not reported in assessed sources</ns0:t>
        </ns0:is>
      </ns0:c>
      <ns0:c r="U458" s="21" t="inlineStr">
        <ns0:is>
          <ns0:t>Not reported in assessed sources</ns0:t>
        </ns0:is>
      </ns0:c>
      <ns0:c r="V458" s="21" t="inlineStr">
        <ns0:is>
          <ns0:t>Not reported in assessed sources</ns0:t>
        </ns0:is>
      </ns0:c>
      <ns0:c r="W458" s="21" t="inlineStr">
        <ns0:is>
          <ns0:t>Reported</ns0:t>
        </ns0:is>
      </ns0:c>
      <ns0:c r="X458" s="21" t="inlineStr">
        <ns0:is>
          <ns0:t>Reported</ns0:t>
        </ns0:is>
      </ns0:c>
      <ns0:c r="Y458" s="21" t="inlineStr">
        <ns0:is>
          <ns0:t>Not ascertainable</ns0:t>
        </ns0:is>
      </ns0:c>
      <ns0:c r="Z458" s="21" t="inlineStr">
        <ns0:is>
          <ns0:t>Not reported in assessed sources</ns0:t>
        </ns0:is>
      </ns0:c>
      <ns0:c r="AA458" s="21" t="inlineStr">
        <ns0:is>
          <ns0:t>Not recorded</ns0:t>
        </ns0:is>
      </ns0:c>
      <ns0:c r="AB458" s="28" t="n">
        <ns0:v>0</ns0:v>
      </ns0:c>
      <ns0:c r="AC458" s="28" t="n">
        <ns0:v>0</ns0:v>
      </ns0:c>
      <ns0:c r="AD458" s="29">
        <ns0:f>IF(AND(G458=1,AB458=0),1,0)</ns0:f>
        <ns0:v>1</ns0:v>
      </ns0:c>
      <ns0:c r="AE458" s="29">
        <ns0:f>IF(AND(AD458=1,AC458=0),1,0)</ns0:f>
        <ns0:v>1</ns0:v>
      </ns0:c>
      <ns0:c r="AF458" s="29">
        <ns0:f>IF(AND(G458=1,H458&lt;&gt;"Not specified"),1,0)</ns0:f>
        <ns0:v>1</ns0:v>
      </ns0:c>
      <ns0:c r="AG458" s="29">
        <ns0:f>IF(AND(AE458=1,AF458=1),1,0)</ns0:f>
        <ns0:v>1</ns0:v>
      </ns0:c>
      <ns0:c r="AH458" s="21" t="inlineStr">
        <ns0:is>
          <ns0:t>Prior source-specific extraction retained; no new full-text retrieval</ns0:t>
        </ns0:is>
      </ns0:c>
      <ns0:c r="AI458" s="21" t="inlineStr">
        <ns0:is>
          <ns0:t>https://doi.org/10.1109/access.2026.3674057</ns0:t>
        </ns0:is>
      </ns0:c>
      <ns0:c r="AJ458" s="21" t="inlineStr">
        <ns0:is>
          <ns0:t>EVIDENCIA; original abstract/coding notes and lot source trace; Inherited scoped adjudication; see source level and lot caveats</ns0:t>
        </ns0:is>
      </ns0:c>
      <ns0:c r="AK458" s="21" t="inlineStr">
        <ns0:is>
          <ns0:t>Retained source-specific coding after review of the supplied extraction notes; not a new full-text retrieval. A smartwatch/cloud system combines deep-learning speaker diarization with heart-rate data; it was tested with formally diagnosed ASD participants and in naturalistic social-interaction recordings, supporting an actual monitoring workflow. Sample sizes are small and staged, and the work evaluates measurement/diarization rather than downstream clinical outcomes. Generalization across acoustic contexts, ages, devices and sites remains unproven.</ns0:t>
        </ns0:is>
      </ns0:c>
      <ns0:c r="AL458" s="21" t="inlineStr">
        <ns0:is>
          <ns0:t>Not applicable</ns0:t>
        </ns0:is>
      </ns0:c>
      <ns0:c r="AM458" s="21" t="inlineStr">
        <ns0:is>
          <ns0:t>Not separately specified</ns0:t>
        </ns0:is>
      </ns0:c>
      <ns0:c r="AN458" s="21" t="inlineStr"/>
      <ns0:c r="AO458" s="21" t="inlineStr">
        <ns0:is>
          <ns0:t>No additional status determination</ns0:t>
        </ns0:is>
      </ns0:c>
      <ns0:c r="AP458" s="21" t="inlineStr">
        <ns0:is>
          <ns0:t>Not documented for this recharting</ns0:t>
        </ns0:is>
      </ns0:c>
      <ns0:c r="AQ458" s="21" t="inlineStr">
        <ns0:is>
          <ns0:t>ChatGPT-assisted evidence recharting, 2026-09-08</ns0:t>
        </ns0:is>
      </ns0:c>
      <ns0:c r="AR458" s="21" t="inlineStr">
        <ns0:is>
          <ns0:t>Revisión asistida por IA (un revisor; requiere verificación independiente)</ns0:t>
        </ns0:is>
      </ns0:c>
      <ns0:c r="AS458" s="21" t="inlineStr">
        <ns0:is>
          <ns0:t>Eligibility reviewed from accessible primary-source content; scoped adjudication completed</ns0:t>
        </ns0:is>
      </ns0:c>
    </ns0:row>
  </ns0:sheetData>
  <ns0:autoFilter ref="A4:AS458"/>
  <ns0:mergeCells count="2">
    <ns0:mergeCell ref="A2:AS2"/>
    <ns0:mergeCell ref="A1:AS1"/>
  </ns0:mergeCells>
  <ns0:dataValidations count="11">
    <ns0:dataValidation sqref="F5:F458" showDropDown="0" showInputMessage="0" showErrorMessage="1" allowBlank="0" error="Use an allowed value." type="list">
      <ns0:formula1>"Include,Exclude"</ns0:formula1>
    </ns0:dataValidation>
    <ns0:dataValidation sqref="Q5:Q458" showDropDown="0" showInputMessage="0" showErrorMessage="1" allowBlank="0" type="list">
      <ns0:formula1>"Reported,Not reported in assessed sources,Not ascertainable"</ns0:formula1>
    </ns0:dataValidation>
    <ns0:dataValidation sqref="R5:R458" showDropDown="0" showInputMessage="0" showErrorMessage="1" allowBlank="0" type="list">
      <ns0:formula1>"Reported,Not reported in assessed sources,Not ascertainable"</ns0:formula1>
    </ns0:dataValidation>
    <ns0:dataValidation sqref="S5:S458" showDropDown="0" showInputMessage="0" showErrorMessage="1" allowBlank="0" type="list">
      <ns0:formula1>"Reported,Not reported in assessed sources,Not ascertainable"</ns0:formula1>
    </ns0:dataValidation>
    <ns0:dataValidation sqref="U5:U458" showDropDown="0" showInputMessage="0" showErrorMessage="1" allowBlank="0" type="list">
      <ns0:formula1>"Reported,Not reported in assessed sources,Not ascertainable"</ns0:formula1>
    </ns0:dataValidation>
    <ns0:dataValidation sqref="T5:T458" showDropDown="0" showInputMessage="0" showErrorMessage="1" allowBlank="0" type="list">
      <ns0:formula1>"Reported,Not reported in assessed sources,Not ascertainable"</ns0:formula1>
    </ns0:dataValidation>
    <ns0:dataValidation sqref="V5:V458" showDropDown="0" showInputMessage="0" showErrorMessage="1" allowBlank="0" type="list">
      <ns0:formula1>"Reported,Not reported in assessed sources,Not ascertainable"</ns0:formula1>
    </ns0:dataValidation>
    <ns0:dataValidation sqref="X5:X458" showDropDown="0" showInputMessage="0" showErrorMessage="1" allowBlank="0" type="list">
      <ns0:formula1>"Reported,Not reported in assessed sources,Not ascertainable"</ns0:formula1>
    </ns0:dataValidation>
    <ns0:dataValidation sqref="W5:W458" showDropDown="0" showInputMessage="0" showErrorMessage="1" allowBlank="0" type="list">
      <ns0:formula1>"Reported,Not reported in assessed sources,Not ascertainable"</ns0:formula1>
    </ns0:dataValidation>
    <ns0:dataValidation sqref="Y5:Y458" showDropDown="0" showInputMessage="0" showErrorMessage="1" allowBlank="0" type="list">
      <ns0:formula1>"Reported,Not reported in assessed sources,Not ascertainable"</ns0:formula1>
    </ns0:dataValidation>
    <ns0:dataValidation sqref="Z5:Z458" showDropDown="0" showInputMessage="0" showErrorMessage="1" allowBlank="0" type="list">
      <ns0:formula1>"Reported,Not reported in assessed sources,Not ascertainable"</ns0:formula1>
    </ns0:dataValidation>
  </ns0:dataValidations>
  <ns0:hyperlinks>
    <ns0:hyperlink ref="AI5" ns1:id="rId1"/>
    <ns0:hyperlink ref="AI6" ns1:id="rId2"/>
    <ns0:hyperlink ref="AI7" ns1:id="rId3"/>
    <ns0:hyperlink ref="AI8" ns1:id="rId4"/>
    <ns0:hyperlink ref="AI9" ns1:id="rId5"/>
    <ns0:hyperlink ref="AI10" ns1:id="rId6"/>
    <ns0:hyperlink ref="AI11" ns1:id="rId7"/>
    <ns0:hyperlink ref="AI12" ns1:id="rId8"/>
    <ns0:hyperlink ref="AI13" ns1:id="rId9"/>
    <ns0:hyperlink ref="AI14" ns1:id="rId10"/>
    <ns0:hyperlink ref="AI15" ns1:id="rId11"/>
    <ns0:hyperlink ref="AI16" ns1:id="rId12"/>
    <ns0:hyperlink ref="AI17" ns1:id="rId13"/>
    <ns0:hyperlink ref="AI18" ns1:id="rId14"/>
    <ns0:hyperlink ref="AI19" ns1:id="rId15"/>
    <ns0:hyperlink ref="AI20" ns1:id="rId16"/>
    <ns0:hyperlink ref="AI21" ns1:id="rId17"/>
    <ns0:hyperlink ref="AI22" ns1:id="rId18"/>
    <ns0:hyperlink ref="AI23" ns1:id="rId19"/>
    <ns0:hyperlink ref="AI24" ns1:id="rId20"/>
    <ns0:hyperlink ref="AI25" ns1:id="rId21"/>
    <ns0:hyperlink ref="AI26" ns1:id="rId22"/>
    <ns0:hyperlink ref="AI27" ns1:id="rId23"/>
    <ns0:hyperlink ref="AI28" ns1:id="rId24"/>
    <ns0:hyperlink ref="AI29" ns1:id="rId25"/>
    <ns0:hyperlink ref="AI30" ns1:id="rId26"/>
    <ns0:hyperlink ref="AI31" ns1:id="rId27"/>
    <ns0:hyperlink ref="AI32" ns1:id="rId28"/>
    <ns0:hyperlink ref="AI33" ns1:id="rId29"/>
    <ns0:hyperlink ref="AI34" ns1:id="rId30"/>
    <ns0:hyperlink ref="AI35" ns1:id="rId31"/>
    <ns0:hyperlink ref="AI36" ns1:id="rId32"/>
    <ns0:hyperlink ref="AI37" ns1:id="rId33"/>
    <ns0:hyperlink ref="AI38" ns1:id="rId34"/>
    <ns0:hyperlink ref="AI39" ns1:id="rId35"/>
    <ns0:hyperlink ref="AI40" ns1:id="rId36"/>
    <ns0:hyperlink ref="AI41" ns1:id="rId37"/>
    <ns0:hyperlink ref="AI42" ns1:id="rId38"/>
    <ns0:hyperlink ref="AI43" ns1:id="rId39"/>
    <ns0:hyperlink ref="AI44" ns1:id="rId40"/>
    <ns0:hyperlink ref="AI45" ns1:id="rId41"/>
    <ns0:hyperlink ref="AI46" ns1:id="rId42"/>
    <ns0:hyperlink ref="AI47" ns1:id="rId43"/>
    <ns0:hyperlink ref="AI48" ns1:id="rId44"/>
    <ns0:hyperlink ref="AI49" ns1:id="rId45"/>
    <ns0:hyperlink ref="AI50" ns1:id="rId46"/>
    <ns0:hyperlink ref="AI51" ns1:id="rId47"/>
    <ns0:hyperlink ref="AI52" ns1:id="rId48"/>
    <ns0:hyperlink ref="AI53" ns1:id="rId49"/>
    <ns0:hyperlink ref="AI54" ns1:id="rId50"/>
    <ns0:hyperlink ref="AI55" ns1:id="rId51"/>
    <ns0:hyperlink ref="AI56" ns1:id="rId52"/>
    <ns0:hyperlink ref="AI57" ns1:id="rId53"/>
    <ns0:hyperlink ref="AI58" ns1:id="rId54"/>
    <ns0:hyperlink ref="AI59" ns1:id="rId55"/>
    <ns0:hyperlink ref="AI60" ns1:id="rId56"/>
    <ns0:hyperlink ref="AI61" ns1:id="rId57"/>
    <ns0:hyperlink ref="AI62" ns1:id="rId58"/>
    <ns0:hyperlink ref="AI63" ns1:id="rId59"/>
    <ns0:hyperlink ref="AI64" ns1:id="rId60"/>
    <ns0:hyperlink ref="AI65" ns1:id="rId61"/>
    <ns0:hyperlink ref="AI66" ns1:id="rId62"/>
    <ns0:hyperlink ref="AI67" ns1:id="rId63"/>
    <ns0:hyperlink ref="AI68" ns1:id="rId64"/>
    <ns0:hyperlink ref="AI69" ns1:id="rId65"/>
    <ns0:hyperlink ref="AI70" ns1:id="rId66"/>
    <ns0:hyperlink ref="AI71" ns1:id="rId67"/>
    <ns0:hyperlink ref="AI72" ns1:id="rId68"/>
    <ns0:hyperlink ref="AI73" ns1:id="rId69"/>
    <ns0:hyperlink ref="AI74" ns1:id="rId70"/>
    <ns0:hyperlink ref="AI75" ns1:id="rId71"/>
    <ns0:hyperlink ref="AI76" ns1:id="rId72"/>
    <ns0:hyperlink ref="AI77" ns1:id="rId73"/>
    <ns0:hyperlink ref="AI78" ns1:id="rId74"/>
    <ns0:hyperlink ref="AI79" ns1:id="rId75"/>
    <ns0:hyperlink ref="AI80" ns1:id="rId76"/>
    <ns0:hyperlink ref="AI81" ns1:id="rId77"/>
    <ns0:hyperlink ref="AI82" ns1:id="rId78"/>
    <ns0:hyperlink ref="AI83" ns1:id="rId79"/>
    <ns0:hyperlink ref="AI84" ns1:id="rId80"/>
    <ns0:hyperlink ref="AI85" ns1:id="rId81"/>
    <ns0:hyperlink ref="AI86" ns1:id="rId82"/>
    <ns0:hyperlink ref="AI87" ns1:id="rId83"/>
    <ns0:hyperlink ref="AI88" ns1:id="rId84"/>
    <ns0:hyperlink ref="AI89" ns1:id="rId85"/>
    <ns0:hyperlink ref="AI90" ns1:id="rId86"/>
    <ns0:hyperlink ref="AI91" ns1:id="rId87"/>
    <ns0:hyperlink ref="AI92" ns1:id="rId88"/>
    <ns0:hyperlink ref="AI93" ns1:id="rId89"/>
    <ns0:hyperlink ref="AI94" ns1:id="rId90"/>
    <ns0:hyperlink ref="AI95" ns1:id="rId91"/>
    <ns0:hyperlink ref="AI96" ns1:id="rId92"/>
    <ns0:hyperlink ref="AI97" ns1:id="rId93"/>
    <ns0:hyperlink ref="AI98" ns1:id="rId94"/>
    <ns0:hyperlink ref="AI99" ns1:id="rId95"/>
    <ns0:hyperlink ref="AI100" ns1:id="rId96"/>
    <ns0:hyperlink ref="AI101" ns1:id="rId97"/>
    <ns0:hyperlink ref="AI102" ns1:id="rId98"/>
    <ns0:hyperlink ref="AI103" ns1:id="rId99"/>
    <ns0:hyperlink ref="AI104" ns1:id="rId100"/>
    <ns0:hyperlink ref="AI105" ns1:id="rId101"/>
    <ns0:hyperlink ref="AI106" ns1:id="rId102"/>
    <ns0:hyperlink ref="AI107" ns1:id="rId103"/>
    <ns0:hyperlink ref="AI108" ns1:id="rId104"/>
    <ns0:hyperlink ref="AI109" ns1:id="rId105"/>
    <ns0:hyperlink ref="AI110" ns1:id="rId106"/>
    <ns0:hyperlink ref="AI111" ns1:id="rId107"/>
    <ns0:hyperlink ref="AI112" ns1:id="rId108"/>
    <ns0:hyperlink ref="AI113" ns1:id="rId109"/>
    <ns0:hyperlink ref="AI114" ns1:id="rId110"/>
    <ns0:hyperlink ref="AI115" ns1:id="rId111"/>
    <ns0:hyperlink ref="AI116" ns1:id="rId112"/>
    <ns0:hyperlink ref="AI117" ns1:id="rId113"/>
    <ns0:hyperlink ref="AI118" ns1:id="rId114"/>
    <ns0:hyperlink ref="AI119" ns1:id="rId115"/>
    <ns0:hyperlink ref="AI120" ns1:id="rId116"/>
    <ns0:hyperlink ref="AI121" ns1:id="rId117"/>
    <ns0:hyperlink ref="AI122" ns1:id="rId118"/>
    <ns0:hyperlink ref="AI123" ns1:id="rId119"/>
    <ns0:hyperlink ref="AI124" ns1:id="rId120"/>
    <ns0:hyperlink ref="AI125" ns1:id="rId121"/>
    <ns0:hyperlink ref="AI126" ns1:id="rId122"/>
    <ns0:hyperlink ref="AI127" ns1:id="rId123"/>
    <ns0:hyperlink ref="AI128" ns1:id="rId124"/>
    <ns0:hyperlink ref="AI129" ns1:id="rId125"/>
    <ns0:hyperlink ref="AI130" ns1:id="rId126"/>
    <ns0:hyperlink ref="AI131" ns1:id="rId127"/>
    <ns0:hyperlink ref="AI132" ns1:id="rId128"/>
    <ns0:hyperlink ref="AI133" ns1:id="rId129"/>
    <ns0:hyperlink ref="AI134" ns1:id="rId130"/>
    <ns0:hyperlink ref="AI135" ns1:id="rId131"/>
    <ns0:hyperlink ref="AI136" ns1:id="rId132"/>
    <ns0:hyperlink ref="AI137" ns1:id="rId133"/>
    <ns0:hyperlink ref="AI138" ns1:id="rId134"/>
    <ns0:hyperlink ref="AI139" ns1:id="rId135"/>
    <ns0:hyperlink ref="AI140" ns1:id="rId136"/>
    <ns0:hyperlink ref="AI141" ns1:id="rId137"/>
    <ns0:hyperlink ref="AI142" ns1:id="rId138"/>
    <ns0:hyperlink ref="AI143" ns1:id="rId139"/>
    <ns0:hyperlink ref="AI144" ns1:id="rId140"/>
    <ns0:hyperlink ref="AI145" ns1:id="rId141"/>
    <ns0:hyperlink ref="AI146" ns1:id="rId142"/>
    <ns0:hyperlink ref="AI147" ns1:id="rId143"/>
    <ns0:hyperlink ref="AI148" ns1:id="rId144"/>
    <ns0:hyperlink ref="AI149" ns1:id="rId145"/>
    <ns0:hyperlink ref="AI150" ns1:id="rId146"/>
    <ns0:hyperlink ref="AI151" ns1:id="rId147"/>
    <ns0:hyperlink ref="AI152" ns1:id="rId148"/>
    <ns0:hyperlink ref="AI153" ns1:id="rId149"/>
    <ns0:hyperlink ref="AI154" ns1:id="rId150"/>
    <ns0:hyperlink ref="AI155" ns1:id="rId151"/>
    <ns0:hyperlink ref="AI156" ns1:id="rId152"/>
    <ns0:hyperlink ref="AI157" ns1:id="rId153"/>
    <ns0:hyperlink ref="AI158" ns1:id="rId154"/>
    <ns0:hyperlink ref="AI159" ns1:id="rId155"/>
    <ns0:hyperlink ref="AI160" ns1:id="rId156"/>
    <ns0:hyperlink ref="AI161" ns1:id="rId157"/>
    <ns0:hyperlink ref="AI162" ns1:id="rId158"/>
    <ns0:hyperlink ref="AI163" ns1:id="rId159"/>
    <ns0:hyperlink ref="AI164" ns1:id="rId160"/>
    <ns0:hyperlink ref="AI165" ns1:id="rId161"/>
    <ns0:hyperlink ref="AI166" ns1:id="rId162"/>
    <ns0:hyperlink ref="AI167" ns1:id="rId163"/>
    <ns0:hyperlink ref="AI168" ns1:id="rId164"/>
    <ns0:hyperlink ref="AI169" ns1:id="rId165"/>
    <ns0:hyperlink ref="AI170" ns1:id="rId166"/>
    <ns0:hyperlink ref="AI171" ns1:id="rId167"/>
    <ns0:hyperlink ref="AI172" ns1:id="rId168"/>
    <ns0:hyperlink ref="AI173" ns1:id="rId169"/>
    <ns0:hyperlink ref="AI174" ns1:id="rId170"/>
    <ns0:hyperlink ref="AI175" ns1:id="rId171"/>
    <ns0:hyperlink ref="AI176" ns1:id="rId172"/>
    <ns0:hyperlink ref="AI177" ns1:id="rId173"/>
    <ns0:hyperlink ref="AI178" ns1:id="rId174"/>
    <ns0:hyperlink ref="AI179" ns1:id="rId175"/>
    <ns0:hyperlink ref="AI180" ns1:id="rId176"/>
    <ns0:hyperlink ref="AI181" ns1:id="rId177"/>
    <ns0:hyperlink ref="AI182" ns1:id="rId178"/>
    <ns0:hyperlink ref="AI183" ns1:id="rId179"/>
    <ns0:hyperlink ref="AI184" ns1:id="rId180"/>
    <ns0:hyperlink ref="AI185" ns1:id="rId181"/>
    <ns0:hyperlink ref="AI186" ns1:id="rId182"/>
    <ns0:hyperlink ref="AI187" ns1:id="rId183"/>
    <ns0:hyperlink ref="AI188" ns1:id="rId184"/>
    <ns0:hyperlink ref="AI189" ns1:id="rId185"/>
    <ns0:hyperlink ref="AI190" ns1:id="rId186"/>
    <ns0:hyperlink ref="AI191" ns1:id="rId187"/>
    <ns0:hyperlink ref="AI192" ns1:id="rId188"/>
    <ns0:hyperlink ref="AI193" ns1:id="rId189"/>
    <ns0:hyperlink ref="AI194" ns1:id="rId190"/>
    <ns0:hyperlink ref="AI195" ns1:id="rId191"/>
    <ns0:hyperlink ref="AI196" ns1:id="rId192"/>
    <ns0:hyperlink ref="AI197" ns1:id="rId193"/>
    <ns0:hyperlink ref="AI198" ns1:id="rId194"/>
    <ns0:hyperlink ref="AI199" ns1:id="rId195"/>
    <ns0:hyperlink ref="AI200" ns1:id="rId196"/>
    <ns0:hyperlink ref="AI201" ns1:id="rId197"/>
    <ns0:hyperlink ref="AI202" ns1:id="rId198"/>
    <ns0:hyperlink ref="AI203" ns1:id="rId199"/>
    <ns0:hyperlink ref="AI204" ns1:id="rId200"/>
    <ns0:hyperlink ref="AI205" ns1:id="rId201"/>
    <ns0:hyperlink ref="AI206" ns1:id="rId202"/>
    <ns0:hyperlink ref="AI207" ns1:id="rId203"/>
    <ns0:hyperlink ref="AI208" ns1:id="rId204"/>
    <ns0:hyperlink ref="AI209" ns1:id="rId205"/>
    <ns0:hyperlink ref="AI210" ns1:id="rId206"/>
    <ns0:hyperlink ref="AI211" ns1:id="rId207"/>
    <ns0:hyperlink ref="AI212" ns1:id="rId208"/>
    <ns0:hyperlink ref="AI213" ns1:id="rId209"/>
    <ns0:hyperlink ref="AI214" ns1:id="rId210"/>
    <ns0:hyperlink ref="AI215" ns1:id="rId211"/>
    <ns0:hyperlink ref="AI216" ns1:id="rId212"/>
    <ns0:hyperlink ref="AI217" ns1:id="rId213"/>
    <ns0:hyperlink ref="AI218" ns1:id="rId214"/>
    <ns0:hyperlink ref="AI219" ns1:id="rId215"/>
    <ns0:hyperlink ref="AI220" ns1:id="rId216"/>
    <ns0:hyperlink ref="AI221" ns1:id="rId217"/>
    <ns0:hyperlink ref="AI222" ns1:id="rId218"/>
    <ns0:hyperlink ref="AI223" ns1:id="rId219"/>
    <ns0:hyperlink ref="AI224" ns1:id="rId220"/>
    <ns0:hyperlink ref="AI225" ns1:id="rId221"/>
    <ns0:hyperlink ref="AI226" ns1:id="rId222"/>
    <ns0:hyperlink ref="AI227" ns1:id="rId223"/>
    <ns0:hyperlink ref="AI228" ns1:id="rId224"/>
    <ns0:hyperlink ref="AI229" ns1:id="rId225"/>
    <ns0:hyperlink ref="AI230" ns1:id="rId226"/>
    <ns0:hyperlink ref="AI231" ns1:id="rId227"/>
    <ns0:hyperlink ref="AI232" ns1:id="rId228"/>
    <ns0:hyperlink ref="AI233" ns1:id="rId229"/>
    <ns0:hyperlink ref="AI234" ns1:id="rId230"/>
    <ns0:hyperlink ref="AI235" ns1:id="rId231"/>
    <ns0:hyperlink ref="AI236" ns1:id="rId232"/>
    <ns0:hyperlink ref="AI237" ns1:id="rId233"/>
    <ns0:hyperlink ref="AI238" ns1:id="rId234"/>
    <ns0:hyperlink ref="AI239" ns1:id="rId235"/>
    <ns0:hyperlink ref="AI240" ns1:id="rId236"/>
    <ns0:hyperlink ref="AI241" ns1:id="rId237"/>
    <ns0:hyperlink ref="AI242" ns1:id="rId238"/>
    <ns0:hyperlink ref="AI243" ns1:id="rId239"/>
    <ns0:hyperlink ref="AI244" ns1:id="rId240"/>
    <ns0:hyperlink ref="AI245" ns1:id="rId241"/>
    <ns0:hyperlink ref="AI246" ns1:id="rId242"/>
    <ns0:hyperlink ref="AI247" ns1:id="rId243"/>
    <ns0:hyperlink ref="AI248" ns1:id="rId244"/>
    <ns0:hyperlink ref="AI249" ns1:id="rId245"/>
    <ns0:hyperlink ref="AI250" ns1:id="rId246"/>
    <ns0:hyperlink ref="AI251" ns1:id="rId247"/>
    <ns0:hyperlink ref="AI252" ns1:id="rId248"/>
    <ns0:hyperlink ref="AI253" ns1:id="rId249"/>
    <ns0:hyperlink ref="AI254" ns1:id="rId250"/>
    <ns0:hyperlink ref="AI255" ns1:id="rId251"/>
    <ns0:hyperlink ref="AI256" ns1:id="rId252"/>
    <ns0:hyperlink ref="AI257" ns1:id="rId253"/>
    <ns0:hyperlink ref="AI258" ns1:id="rId254"/>
    <ns0:hyperlink ref="AI259" ns1:id="rId255"/>
    <ns0:hyperlink ref="AI260" ns1:id="rId256"/>
    <ns0:hyperlink ref="AI261" ns1:id="rId257"/>
    <ns0:hyperlink ref="AI262" ns1:id="rId258"/>
    <ns0:hyperlink ref="AI263" ns1:id="rId259"/>
    <ns0:hyperlink ref="AI264" ns1:id="rId260"/>
    <ns0:hyperlink ref="AI265" ns1:id="rId261"/>
    <ns0:hyperlink ref="AI266" ns1:id="rId262"/>
    <ns0:hyperlink ref="AI267" ns1:id="rId263"/>
    <ns0:hyperlink ref="AI268" ns1:id="rId264"/>
    <ns0:hyperlink ref="AI269" ns1:id="rId265"/>
    <ns0:hyperlink ref="AI270" ns1:id="rId266"/>
    <ns0:hyperlink ref="AI271" ns1:id="rId267"/>
    <ns0:hyperlink ref="AI272" ns1:id="rId268"/>
    <ns0:hyperlink ref="AI273" ns1:id="rId269"/>
    <ns0:hyperlink ref="AI274" ns1:id="rId270"/>
    <ns0:hyperlink ref="AI275" ns1:id="rId271"/>
    <ns0:hyperlink ref="AI276" ns1:id="rId272"/>
    <ns0:hyperlink ref="AI277" ns1:id="rId273"/>
    <ns0:hyperlink ref="AI278" ns1:id="rId274"/>
    <ns0:hyperlink ref="AI279" ns1:id="rId275"/>
    <ns0:hyperlink ref="AI280" ns1:id="rId276"/>
    <ns0:hyperlink ref="AI281" ns1:id="rId277"/>
    <ns0:hyperlink ref="AI282" ns1:id="rId278"/>
    <ns0:hyperlink ref="AI283" ns1:id="rId279"/>
    <ns0:hyperlink ref="AI284" ns1:id="rId280"/>
    <ns0:hyperlink ref="AI285" ns1:id="rId281"/>
    <ns0:hyperlink ref="AI286" ns1:id="rId282"/>
    <ns0:hyperlink ref="AI287" ns1:id="rId283"/>
    <ns0:hyperlink ref="AI288" ns1:id="rId284"/>
    <ns0:hyperlink ref="AI289" ns1:id="rId285"/>
    <ns0:hyperlink ref="AI290" ns1:id="rId286"/>
    <ns0:hyperlink ref="AI291" ns1:id="rId287"/>
    <ns0:hyperlink ref="AI292" ns1:id="rId288"/>
    <ns0:hyperlink ref="AI293" ns1:id="rId289"/>
    <ns0:hyperlink ref="AI294" ns1:id="rId290"/>
    <ns0:hyperlink ref="AI295" ns1:id="rId291"/>
    <ns0:hyperlink ref="AI296" ns1:id="rId292"/>
    <ns0:hyperlink ref="AI297" ns1:id="rId293"/>
    <ns0:hyperlink ref="AI298" ns1:id="rId294"/>
    <ns0:hyperlink ref="AI299" ns1:id="rId295"/>
    <ns0:hyperlink ref="AI300" ns1:id="rId296"/>
    <ns0:hyperlink ref="AI301" ns1:id="rId297"/>
    <ns0:hyperlink ref="AI302" ns1:id="rId298"/>
    <ns0:hyperlink ref="AI303" ns1:id="rId299"/>
    <ns0:hyperlink ref="AI304" ns1:id="rId300"/>
    <ns0:hyperlink ref="AI305" ns1:id="rId301"/>
    <ns0:hyperlink ref="AI306" ns1:id="rId302"/>
    <ns0:hyperlink ref="AI307" ns1:id="rId303"/>
    <ns0:hyperlink ref="AI308" ns1:id="rId304"/>
    <ns0:hyperlink ref="AI309" ns1:id="rId305"/>
    <ns0:hyperlink ref="AI310" ns1:id="rId306"/>
    <ns0:hyperlink ref="AI311" ns1:id="rId307"/>
    <ns0:hyperlink ref="AI312" ns1:id="rId308"/>
    <ns0:hyperlink ref="AI313" ns1:id="rId309"/>
    <ns0:hyperlink ref="AI314" ns1:id="rId310"/>
    <ns0:hyperlink ref="AI315" ns1:id="rId311"/>
    <ns0:hyperlink ref="AI316" ns1:id="rId312"/>
    <ns0:hyperlink ref="AI317" ns1:id="rId313"/>
    <ns0:hyperlink ref="AI318" ns1:id="rId314"/>
    <ns0:hyperlink ref="AI319" ns1:id="rId315"/>
    <ns0:hyperlink ref="AI320" ns1:id="rId316"/>
    <ns0:hyperlink ref="AI321" ns1:id="rId317"/>
    <ns0:hyperlink ref="AI322" ns1:id="rId318"/>
    <ns0:hyperlink ref="AI323" ns1:id="rId319"/>
    <ns0:hyperlink ref="AI324" ns1:id="rId320"/>
    <ns0:hyperlink ref="AI325" ns1:id="rId321"/>
    <ns0:hyperlink ref="AI326" ns1:id="rId322"/>
    <ns0:hyperlink ref="AI327" ns1:id="rId323"/>
    <ns0:hyperlink ref="AI328" ns1:id="rId324"/>
    <ns0:hyperlink ref="AI329" ns1:id="rId325"/>
    <ns0:hyperlink ref="AI330" ns1:id="rId326"/>
    <ns0:hyperlink ref="AI331" ns1:id="rId327"/>
    <ns0:hyperlink ref="AI332" ns1:id="rId328"/>
    <ns0:hyperlink ref="AI333" ns1:id="rId329"/>
    <ns0:hyperlink ref="AI334" ns1:id="rId330"/>
    <ns0:hyperlink ref="AI335" ns1:id="rId331"/>
    <ns0:hyperlink ref="AI336" ns1:id="rId332"/>
    <ns0:hyperlink ref="AI337" ns1:id="rId333"/>
    <ns0:hyperlink ref="AI338" ns1:id="rId334"/>
    <ns0:hyperlink ref="AI339" ns1:id="rId335"/>
    <ns0:hyperlink ref="AI340" ns1:id="rId336"/>
    <ns0:hyperlink ref="AI341" ns1:id="rId337"/>
    <ns0:hyperlink ref="AI342" ns1:id="rId338"/>
    <ns0:hyperlink ref="AI343" ns1:id="rId339"/>
    <ns0:hyperlink ref="AI344" ns1:id="rId340"/>
    <ns0:hyperlink ref="AI345" ns1:id="rId341"/>
    <ns0:hyperlink ref="AI346" ns1:id="rId342"/>
    <ns0:hyperlink ref="AI347" ns1:id="rId343"/>
    <ns0:hyperlink ref="AI348" ns1:id="rId344"/>
    <ns0:hyperlink ref="AI349" ns1:id="rId345"/>
    <ns0:hyperlink ref="AI350" ns1:id="rId346"/>
    <ns0:hyperlink ref="AI351" ns1:id="rId347"/>
    <ns0:hyperlink ref="AI352" ns1:id="rId348"/>
    <ns0:hyperlink ref="AI353" ns1:id="rId349"/>
    <ns0:hyperlink ref="AI354" ns1:id="rId350"/>
    <ns0:hyperlink ref="AI355" ns1:id="rId351"/>
    <ns0:hyperlink ref="AI356" ns1:id="rId352"/>
    <ns0:hyperlink ref="AI357" ns1:id="rId353"/>
    <ns0:hyperlink ref="AI358" ns1:id="rId354"/>
    <ns0:hyperlink ref="AI359" ns1:id="rId355"/>
    <ns0:hyperlink ref="AI360" ns1:id="rId356"/>
    <ns0:hyperlink ref="AI361" ns1:id="rId357"/>
    <ns0:hyperlink ref="AI362" ns1:id="rId358"/>
    <ns0:hyperlink ref="AI363" ns1:id="rId359"/>
    <ns0:hyperlink ref="AI364" ns1:id="rId360"/>
    <ns0:hyperlink ref="AI365" ns1:id="rId361"/>
    <ns0:hyperlink ref="AI366" ns1:id="rId362"/>
    <ns0:hyperlink ref="AI367" ns1:id="rId363"/>
    <ns0:hyperlink ref="AI368" ns1:id="rId364"/>
    <ns0:hyperlink ref="AI369" ns1:id="rId365"/>
    <ns0:hyperlink ref="AI370" ns1:id="rId366"/>
    <ns0:hyperlink ref="AI371" ns1:id="rId367"/>
    <ns0:hyperlink ref="AI372" ns1:id="rId368"/>
    <ns0:hyperlink ref="AI373" ns1:id="rId369"/>
    <ns0:hyperlink ref="AI374" ns1:id="rId370"/>
    <ns0:hyperlink ref="AI375" ns1:id="rId371"/>
    <ns0:hyperlink ref="AI376" ns1:id="rId372"/>
    <ns0:hyperlink ref="AI377" ns1:id="rId373"/>
    <ns0:hyperlink ref="AI378" ns1:id="rId374"/>
    <ns0:hyperlink ref="AI379" ns1:id="rId375"/>
    <ns0:hyperlink ref="AI380" ns1:id="rId376"/>
    <ns0:hyperlink ref="AI381" ns1:id="rId377"/>
    <ns0:hyperlink ref="AI382" ns1:id="rId378"/>
    <ns0:hyperlink ref="AI383" ns1:id="rId379"/>
    <ns0:hyperlink ref="AI384" ns1:id="rId380"/>
    <ns0:hyperlink ref="AI385" ns1:id="rId381"/>
    <ns0:hyperlink ref="AI386" ns1:id="rId382"/>
    <ns0:hyperlink ref="AI387" ns1:id="rId383"/>
    <ns0:hyperlink ref="AI388" ns1:id="rId384"/>
    <ns0:hyperlink ref="AI389" ns1:id="rId385"/>
    <ns0:hyperlink ref="AI390" ns1:id="rId386"/>
    <ns0:hyperlink ref="AI391" ns1:id="rId387"/>
    <ns0:hyperlink ref="AI392" ns1:id="rId388"/>
    <ns0:hyperlink ref="AI393" ns1:id="rId389"/>
    <ns0:hyperlink ref="AI394" ns1:id="rId390"/>
    <ns0:hyperlink ref="AI395" ns1:id="rId391"/>
    <ns0:hyperlink ref="AI396" ns1:id="rId392"/>
    <ns0:hyperlink ref="AI397" ns1:id="rId393"/>
    <ns0:hyperlink ref="AI398" ns1:id="rId394"/>
    <ns0:hyperlink ref="AI399" ns1:id="rId395"/>
    <ns0:hyperlink ref="AI400" ns1:id="rId396"/>
    <ns0:hyperlink ref="AI401" ns1:id="rId397"/>
    <ns0:hyperlink ref="AI402" ns1:id="rId398"/>
    <ns0:hyperlink ref="AI403" ns1:id="rId399"/>
    <ns0:hyperlink ref="AI404" ns1:id="rId400"/>
    <ns0:hyperlink ref="AI405" ns1:id="rId401"/>
    <ns0:hyperlink ref="AI406" ns1:id="rId402"/>
    <ns0:hyperlink ref="AI407" ns1:id="rId403"/>
    <ns0:hyperlink ref="AI408" ns1:id="rId404"/>
    <ns0:hyperlink ref="AI409" ns1:id="rId405"/>
    <ns0:hyperlink ref="AI410" ns1:id="rId406"/>
    <ns0:hyperlink ref="AI411" ns1:id="rId407"/>
    <ns0:hyperlink ref="AI412" ns1:id="rId408"/>
    <ns0:hyperlink ref="AI413" ns1:id="rId409"/>
    <ns0:hyperlink ref="AI414" ns1:id="rId410"/>
    <ns0:hyperlink ref="AI415" ns1:id="rId411"/>
    <ns0:hyperlink ref="AI416" ns1:id="rId412"/>
    <ns0:hyperlink ref="AI417" ns1:id="rId413"/>
    <ns0:hyperlink ref="AI418" ns1:id="rId414"/>
    <ns0:hyperlink ref="AI419" ns1:id="rId415"/>
    <ns0:hyperlink ref="AI420" ns1:id="rId416"/>
    <ns0:hyperlink ref="AI421" ns1:id="rId417"/>
    <ns0:hyperlink ref="AI422" ns1:id="rId418"/>
    <ns0:hyperlink ref="AI423" ns1:id="rId419"/>
    <ns0:hyperlink ref="AI424" ns1:id="rId420"/>
    <ns0:hyperlink ref="AI425" ns1:id="rId421"/>
    <ns0:hyperlink ref="AI426" ns1:id="rId422"/>
    <ns0:hyperlink ref="AI427" ns1:id="rId423"/>
    <ns0:hyperlink ref="AI428" ns1:id="rId424"/>
    <ns0:hyperlink ref="AI429" ns1:id="rId425"/>
    <ns0:hyperlink ref="AI430" ns1:id="rId426"/>
    <ns0:hyperlink ref="AI431" ns1:id="rId427"/>
    <ns0:hyperlink ref="AI432" ns1:id="rId428"/>
    <ns0:hyperlink ref="AI433" ns1:id="rId429"/>
    <ns0:hyperlink ref="AI434" ns1:id="rId430"/>
    <ns0:hyperlink ref="AI435" ns1:id="rId431"/>
    <ns0:hyperlink ref="AI436" ns1:id="rId432"/>
    <ns0:hyperlink ref="AI437" ns1:id="rId433"/>
    <ns0:hyperlink ref="AI438" ns1:id="rId434"/>
    <ns0:hyperlink ref="AI439" ns1:id="rId435"/>
    <ns0:hyperlink ref="AI440" ns1:id="rId436"/>
    <ns0:hyperlink ref="AI441" ns1:id="rId437"/>
    <ns0:hyperlink ref="AI442" ns1:id="rId438"/>
    <ns0:hyperlink ref="AI443" ns1:id="rId439"/>
    <ns0:hyperlink ref="AI444" ns1:id="rId440"/>
    <ns0:hyperlink ref="AI445" ns1:id="rId441"/>
    <ns0:hyperlink ref="AI446" ns1:id="rId442"/>
    <ns0:hyperlink ref="AI447" ns1:id="rId443"/>
    <ns0:hyperlink ref="AI448" ns1:id="rId444"/>
    <ns0:hyperlink ref="AI449" ns1:id="rId445"/>
    <ns0:hyperlink ref="AI450" ns1:id="rId446"/>
    <ns0:hyperlink ref="AI451" ns1:id="rId447"/>
    <ns0:hyperlink ref="AI452" ns1:id="rId448"/>
    <ns0:hyperlink ref="AI453" ns1:id="rId449"/>
    <ns0:hyperlink ref="AI454" ns1:id="rId450"/>
    <ns0:hyperlink ref="AI455" ns1:id="rId451"/>
    <ns0:hyperlink ref="AI456" ns1:id="rId452"/>
    <ns0:hyperlink ref="AI457" ns1:id="rId453"/>
    <ns0:hyperlink ref="AI458" ns1:id="rId454"/>
  </ns0:hyperlinks>
  <ns0:printOptions horizontalCentered="1"/>
  <ns0:pageMargins left="0.75" right="0.75" top="1" bottom="1" header="0.5" footer="0.5"/>
  <ns0:pageSetup orientation="landscape" paperSize="8" fitToHeight="0" fitToWidth="1"/>
</ns0:worksheet>
</file>

<file path=xl/worksheets/sheet3.xml><?xml version="1.0" encoding="utf-8"?>
<ns0:worksheet xmlns:ns0="http://schemas.openxmlformats.org/spreadsheetml/2006/main">
  <ns0:sheetPr>
    <ns0:tabColor rgb="00177E89"/>
    <ns0:outlinePr summaryBelow="1" summaryRight="0"/>
    <ns0:pageSetUpPr fitToPage="1"/>
  </ns0:sheetPr>
  <ns0:dimension ref="A1:E68"/>
  <ns0:sheetViews>
    <ns0:sheetView showGridLines="0" workbookViewId="0">
      <ns0:pane xSplit="2" ySplit="4" topLeftCell="C5" activePane="bottomRight" state="frozen"/>
      <ns0:selection pane="topRight"/>
      <ns0:selection pane="bottomLeft"/>
      <ns0:selection pane="bottomRight" activeCell="A1" sqref="A1"/>
    </ns0:sheetView>
  </ns0:sheetViews>
  <ns0:sheetFormatPr baseColWidth="8" defaultRowHeight="15"/>
  <ns0:cols>
    <ns0:col width="29" customWidth="1" min="1" max="1"/>
    <ns0:col width="61" customWidth="1" min="2" max="2"/>
    <ns0:col width="15" customWidth="1" min="3" max="3"/>
    <ns0:col width="18" customWidth="1" min="4" max="4"/>
    <ns0:col width="19" customWidth="1" min="5" max="5"/>
  </ns0:cols>
  <ns0:sheetData>
    <ns0:row r="1" ht="36" customHeight="1">
      <ns0:c r="A1" s="16" t="inlineStr">
        <ns0:is>
          <ns0:t>Resultados descriptivos | Corpus principal</ns0:t>
        </ns0:is>
      </ns0:c>
    </ns0:row>
    <ns0:row r="2" ht="32" customHeight="1">
      <ns0:c r="A2" s="17" t="inlineStr">
        <ns0:is>
          <ns0:t>Todos los porcentajes de esta hoja usan N = incluidos; las cinco etapas resueltas usan otro denominador en RESULTADOS_EN.</ns0:t>
        </ns0:is>
      </ns0:c>
    </ns0:row>
    <ns0:row r="4" ht="34" customHeight="1">
      <ns0:c r="A4" s="18" t="inlineStr">
        <ns0:is>
          <ns0:t>dimension</ns0:t>
        </ns0:is>
      </ns0:c>
      <ns0:c r="B4" s="18" t="inlineStr">
        <ns0:is>
          <ns0:t>category</ns0:t>
        </ns0:is>
      </ns0:c>
      <ns0:c r="C4" s="18" t="inlineStr">
        <ns0:is>
          <ns0:t>n</ns0:t>
        </ns0:is>
      </ns0:c>
      <ns0:c r="D4" s="18" t="inlineStr">
        <ns0:is>
          <ns0:t>denominator</ns0:t>
        </ns0:is>
      </ns0:c>
      <ns0:c r="E4" s="18" t="inlineStr">
        <ns0:is>
          <ns0:t>proportion</ns0:t>
        </ns0:is>
      </ns0:c>
    </ns0:row>
    <ns0:row r="5" ht="32" customHeight="1">
      <ns0:c r="A5" s="19" t="inlineStr">
        <ns0:is>
          <ns0:t>cohort</ns0:t>
        </ns0:is>
      </ns0:c>
      <ns0:c r="B5" s="19" t="inlineStr">
        <ns0:is>
          <ns0:t>Historical</ns0:t>
        </ns0:is>
      </ns0:c>
      <ns0:c r="C5" s="27">
        <ns0:f>COUNTIFS('BASE_CIERRE'!$G$5:$G$458,1,'BASE_CIERRE'!$B$5:$B$458,"Historical")</ns0:f>
        <ns0:v>253</ns0:v>
      </ns0:c>
      <ns0:c r="D5" s="27">
        <ns0:f>COUNTIFS('BASE_CIERRE'!$G$5:$G$458,1)</ns0:f>
        <ns0:v>428</ns0:v>
      </ns0:c>
      <ns0:c r="E5" s="31">
        <ns0:f>IFERROR(C5/D5,0)</ns0:f>
        <ns0:v>0.5911214953271028</ns0:v>
      </ns0:c>
    </ns0:row>
    <ns0:row r="6" ht="32" customHeight="1">
      <ns0:c r="A6" s="21" t="inlineStr">
        <ns0:is>
          <ns0:t>cohort</ns0:t>
        </ns0:is>
      </ns0:c>
      <ns0:c r="B6" s="21" t="inlineStr">
        <ns0:is>
          <ns0:t>Update</ns0:t>
        </ns0:is>
      </ns0:c>
      <ns0:c r="C6" s="29">
        <ns0:f>COUNTIFS('BASE_CIERRE'!$G$5:$G$458,1,'BASE_CIERRE'!$B$5:$B$458,"Update")</ns0:f>
        <ns0:v>175</ns0:v>
      </ns0:c>
      <ns0:c r="D6" s="29">
        <ns0:f>COUNTIFS('BASE_CIERRE'!$G$5:$G$458,1)</ns0:f>
        <ns0:v>428</ns0:v>
      </ns0:c>
      <ns0:c r="E6" s="32">
        <ns0:f>IFERROR(C6/D6,0)</ns0:f>
        <ns0:v>0.4088785046728972</ns0:v>
      </ns0:c>
    </ns0:row>
    <ns0:row r="7" ht="32" customHeight="1">
      <ns0:c r="A7" s="19" t="inlineStr">
        <ns0:is>
          <ns0:t>stage_primary</ns0:t>
        </ns0:is>
      </ns0:c>
      <ns0:c r="B7" s="19" t="inlineStr">
        <ns0:is>
          <ns0:t>Diagnosis</ns0:t>
        </ns0:is>
      </ns0:c>
      <ns0:c r="C7" s="27">
        <ns0:f>COUNTIFS('BASE_CIERRE'!$G$5:$G$458,1,'BASE_CIERRE'!$H$5:$H$458,"Diagnosis")</ns0:f>
        <ns0:v>216</ns0:v>
      </ns0:c>
      <ns0:c r="D7" s="27">
        <ns0:f>COUNTIFS('BASE_CIERRE'!$G$5:$G$458,1)</ns0:f>
        <ns0:v>428</ns0:v>
      </ns0:c>
      <ns0:c r="E7" s="31">
        <ns0:f>IFERROR(C7/D7,0)</ns0:f>
        <ns0:v>0.5046728971962616</ns0:v>
      </ns0:c>
    </ns0:row>
    <ns0:row r="8" ht="32" customHeight="1">
      <ns0:c r="A8" s="21" t="inlineStr">
        <ns0:is>
          <ns0:t>stage_primary</ns0:t>
        </ns0:is>
      </ns0:c>
      <ns0:c r="B8" s="21" t="inlineStr">
        <ns0:is>
          <ns0:t>Screening</ns0:t>
        </ns0:is>
      </ns0:c>
      <ns0:c r="C8" s="29">
        <ns0:f>COUNTIFS('BASE_CIERRE'!$G$5:$G$458,1,'BASE_CIERRE'!$H$5:$H$458,"Screening")</ns0:f>
        <ns0:v>113</ns0:v>
      </ns0:c>
      <ns0:c r="D8" s="29">
        <ns0:f>COUNTIFS('BASE_CIERRE'!$G$5:$G$458,1)</ns0:f>
        <ns0:v>428</ns0:v>
      </ns0:c>
      <ns0:c r="E8" s="32">
        <ns0:f>IFERROR(C8/D8,0)</ns0:f>
        <ns0:v>0.26401869158878505</ns0:v>
      </ns0:c>
    </ns0:row>
    <ns0:row r="9" ht="32" customHeight="1">
      <ns0:c r="A9" s="19" t="inlineStr">
        <ns0:is>
          <ns0:t>stage_primary</ns0:t>
        </ns0:is>
      </ns0:c>
      <ns0:c r="B9" s="19" t="inlineStr">
        <ns0:is>
          <ns0:t>Monitoring/intervention</ns0:t>
        </ns0:is>
      </ns0:c>
      <ns0:c r="C9" s="27">
        <ns0:f>COUNTIFS('BASE_CIERRE'!$G$5:$G$458,1,'BASE_CIERRE'!$H$5:$H$458,"Monitoring/intervention")</ns0:f>
        <ns0:v>38</ns0:v>
      </ns0:c>
      <ns0:c r="D9" s="27">
        <ns0:f>COUNTIFS('BASE_CIERRE'!$G$5:$G$458,1)</ns0:f>
        <ns0:v>428</ns0:v>
      </ns0:c>
      <ns0:c r="E9" s="31">
        <ns0:f>IFERROR(C9/D9,0)</ns0:f>
        <ns0:v>0.08878504672897196</ns0:v>
      </ns0:c>
    </ns0:row>
    <ns0:row r="10" ht="32" customHeight="1">
      <ns0:c r="A10" s="21" t="inlineStr">
        <ns0:is>
          <ns0:t>stage_primary</ns0:t>
        </ns0:is>
      </ns0:c>
      <ns0:c r="B10" s="21" t="inlineStr">
        <ns0:is>
          <ns0:t>Not specified</ns0:t>
        </ns0:is>
      </ns0:c>
      <ns0:c r="C10" s="29">
        <ns0:f>COUNTIFS('BASE_CIERRE'!$G$5:$G$458,1,'BASE_CIERRE'!$H$5:$H$458,"Not specified")</ns0:f>
        <ns0:v>31</ns0:v>
      </ns0:c>
      <ns0:c r="D10" s="29">
        <ns0:f>COUNTIFS('BASE_CIERRE'!$G$5:$G$458,1)</ns0:f>
        <ns0:v>428</ns0:v>
      </ns0:c>
      <ns0:c r="E10" s="32">
        <ns0:f>IFERROR(C10/D10,0)</ns0:f>
        <ns0:v>0.07242990654205607</ns0:v>
      </ns0:c>
    </ns0:row>
    <ns0:row r="11" ht="32" customHeight="1">
      <ns0:c r="A11" s="19" t="inlineStr">
        <ns0:is>
          <ns0:t>stage_primary</ns0:t>
        </ns0:is>
      </ns0:c>
      <ns0:c r="B11" s="19" t="inlineStr">
        <ns0:is>
          <ns0:t>Prognosis</ns0:t>
        </ns0:is>
      </ns0:c>
      <ns0:c r="C11" s="27">
        <ns0:f>COUNTIFS('BASE_CIERRE'!$G$5:$G$458,1,'BASE_CIERRE'!$H$5:$H$458,"Prognosis")</ns0:f>
        <ns0:v>22</ns0:v>
      </ns0:c>
      <ns0:c r="D11" s="27">
        <ns0:f>COUNTIFS('BASE_CIERRE'!$G$5:$G$458,1)</ns0:f>
        <ns0:v>428</ns0:v>
      </ns0:c>
      <ns0:c r="E11" s="31">
        <ns0:f>IFERROR(C11/D11,0)</ns0:f>
        <ns0:v>0.0514018691588785</ns0:v>
      </ns0:c>
    </ns0:row>
    <ns0:row r="12" ht="32" customHeight="1">
      <ns0:c r="A12" s="21" t="inlineStr">
        <ns0:is>
          <ns0:t>stage_primary</ns0:t>
        </ns0:is>
      </ns0:c>
      <ns0:c r="B12" s="21" t="inlineStr">
        <ns0:is>
          <ns0:t>Prescreening</ns0:t>
        </ns0:is>
      </ns0:c>
      <ns0:c r="C12" s="29">
        <ns0:f>COUNTIFS('BASE_CIERRE'!$G$5:$G$458,1,'BASE_CIERRE'!$H$5:$H$458,"Prescreening")</ns0:f>
        <ns0:v>8</ns0:v>
      </ns0:c>
      <ns0:c r="D12" s="29">
        <ns0:f>COUNTIFS('BASE_CIERRE'!$G$5:$G$458,1)</ns0:f>
        <ns0:v>428</ns0:v>
      </ns0:c>
      <ns0:c r="E12" s="32">
        <ns0:f>IFERROR(C12/D12,0)</ns0:f>
        <ns0:v>0.018691588785046728</ns0:v>
      </ns0:c>
    </ns0:row>
    <ns0:row r="13" ht="32" customHeight="1">
      <ns0:c r="A13" s="19" t="inlineStr">
        <ns0:is>
          <ns0:t>ai_type</ns0:t>
        </ns0:is>
      </ns0:c>
      <ns0:c r="B13" s="19" t="inlineStr">
        <ns0:is>
          <ns0:t>Machine Learning</ns0:t>
        </ns0:is>
      </ns0:c>
      <ns0:c r="C13" s="27">
        <ns0:f>COUNTIFS('BASE_CIERRE'!$G$5:$G$458,1,'BASE_CIERRE'!$I$5:$I$458,"Machine Learning")</ns0:f>
        <ns0:v>218</ns0:v>
      </ns0:c>
      <ns0:c r="D13" s="27">
        <ns0:f>COUNTIFS('BASE_CIERRE'!$G$5:$G$458,1)</ns0:f>
        <ns0:v>428</ns0:v>
      </ns0:c>
      <ns0:c r="E13" s="31">
        <ns0:f>IFERROR(C13/D13,0)</ns0:f>
        <ns0:v>0.5093457943925234</ns0:v>
      </ns0:c>
    </ns0:row>
    <ns0:row r="14" ht="32" customHeight="1">
      <ns0:c r="A14" s="21" t="inlineStr">
        <ns0:is>
          <ns0:t>ai_type</ns0:t>
        </ns0:is>
      </ns0:c>
      <ns0:c r="B14" s="21" t="inlineStr">
        <ns0:is>
          <ns0:t>Deep Learning</ns0:t>
        </ns0:is>
      </ns0:c>
      <ns0:c r="C14" s="29">
        <ns0:f>COUNTIFS('BASE_CIERRE'!$G$5:$G$458,1,'BASE_CIERRE'!$I$5:$I$458,"Deep Learning")</ns0:f>
        <ns0:v>161</ns0:v>
      </ns0:c>
      <ns0:c r="D14" s="29">
        <ns0:f>COUNTIFS('BASE_CIERRE'!$G$5:$G$458,1)</ns0:f>
        <ns0:v>428</ns0:v>
      </ns0:c>
      <ns0:c r="E14" s="32">
        <ns0:f>IFERROR(C14/D14,0)</ns0:f>
        <ns0:v>0.37616822429906543</ns0:v>
      </ns0:c>
    </ns0:row>
    <ns0:row r="15" ht="32" customHeight="1">
      <ns0:c r="A15" s="19" t="inlineStr">
        <ns0:is>
          <ns0:t>ai_type</ns0:t>
        </ns0:is>
      </ns0:c>
      <ns0:c r="B15" s="19" t="inlineStr">
        <ns0:is>
          <ns0:t>Hybrid</ns0:t>
        </ns0:is>
      </ns0:c>
      <ns0:c r="C15" s="27">
        <ns0:f>COUNTIFS('BASE_CIERRE'!$G$5:$G$458,1,'BASE_CIERRE'!$I$5:$I$458,"Hybrid")</ns0:f>
        <ns0:v>29</ns0:v>
      </ns0:c>
      <ns0:c r="D15" s="27">
        <ns0:f>COUNTIFS('BASE_CIERRE'!$G$5:$G$458,1)</ns0:f>
        <ns0:v>428</ns0:v>
      </ns0:c>
      <ns0:c r="E15" s="31">
        <ns0:f>IFERROR(C15/D15,0)</ns0:f>
        <ns0:v>0.06775700934579439</ns0:v>
      </ns0:c>
    </ns0:row>
    <ns0:row r="16" ht="32" customHeight="1">
      <ns0:c r="A16" s="21" t="inlineStr">
        <ns0:is>
          <ns0:t>ai_type</ns0:t>
        </ns0:is>
      </ns0:c>
      <ns0:c r="B16" s="21" t="inlineStr">
        <ns0:is>
          <ns0:t>Not specified</ns0:t>
        </ns0:is>
      </ns0:c>
      <ns0:c r="C16" s="29">
        <ns0:f>COUNTIFS('BASE_CIERRE'!$G$5:$G$458,1,'BASE_CIERRE'!$I$5:$I$458,"Not specified")</ns0:f>
        <ns0:v>20</ns0:v>
      </ns0:c>
      <ns0:c r="D16" s="29">
        <ns0:f>COUNTIFS('BASE_CIERRE'!$G$5:$G$458,1)</ns0:f>
        <ns0:v>428</ns0:v>
      </ns0:c>
      <ns0:c r="E16" s="32">
        <ns0:f>IFERROR(C16/D16,0)</ns0:f>
        <ns0:v>0.04672897196261682</ns0:v>
      </ns0:c>
    </ns0:row>
    <ns0:row r="17" ht="32" customHeight="1">
      <ns0:c r="A17" s="19" t="inlineStr">
        <ns0:is>
          <ns0:t>data_source_primary</ns0:t>
        </ns0:is>
      </ns0:c>
      <ns0:c r="B17" s="19" t="inlineStr">
        <ns0:is>
          <ns0:t>Neuroimaging</ns0:t>
        </ns0:is>
      </ns0:c>
      <ns0:c r="C17" s="27">
        <ns0:f>COUNTIFS('BASE_CIERRE'!$G$5:$G$458,1,'BASE_CIERRE'!$J$5:$J$458,"Neuroimaging")</ns0:f>
        <ns0:v>101</ns0:v>
      </ns0:c>
      <ns0:c r="D17" s="27">
        <ns0:f>COUNTIFS('BASE_CIERRE'!$G$5:$G$458,1)</ns0:f>
        <ns0:v>428</ns0:v>
      </ns0:c>
      <ns0:c r="E17" s="31">
        <ns0:f>IFERROR(C17/D17,0)</ns0:f>
        <ns0:v>0.23598130841121495</ns0:v>
      </ns0:c>
    </ns0:row>
    <ns0:row r="18" ht="32" customHeight="1">
      <ns0:c r="A18" s="21" t="inlineStr">
        <ns0:is>
          <ns0:t>data_source_primary</ns0:t>
        </ns0:is>
      </ns0:c>
      <ns0:c r="B18" s="21" t="inlineStr">
        <ns0:is>
          <ns0:t>Structured clinical/questionnaire data</ns0:t>
        </ns0:is>
      </ns0:c>
      <ns0:c r="C18" s="29">
        <ns0:f>COUNTIFS('BASE_CIERRE'!$G$5:$G$458,1,'BASE_CIERRE'!$J$5:$J$458,"Structured clinical/questionnaire data")</ns0:f>
        <ns0:v>85</ns0:v>
      </ns0:c>
      <ns0:c r="D18" s="29">
        <ns0:f>COUNTIFS('BASE_CIERRE'!$G$5:$G$458,1)</ns0:f>
        <ns0:v>428</ns0:v>
      </ns0:c>
      <ns0:c r="E18" s="32">
        <ns0:f>IFERROR(C18/D18,0)</ns0:f>
        <ns0:v>0.1985981308411215</ns0:v>
      </ns0:c>
    </ns0:row>
    <ns0:row r="19" ht="32" customHeight="1">
      <ns0:c r="A19" s="19" t="inlineStr">
        <ns0:is>
          <ns0:t>data_source_primary</ns0:t>
        </ns0:is>
      </ns0:c>
      <ns0:c r="B19" s="19" t="inlineStr">
        <ns0:is>
          <ns0:t>Behavioral images/video/gaze/movement</ns0:t>
        </ns0:is>
      </ns0:c>
      <ns0:c r="C19" s="27">
        <ns0:f>COUNTIFS('BASE_CIERRE'!$G$5:$G$458,1,'BASE_CIERRE'!$J$5:$J$458,"Behavioral images/video/gaze/movement")</ns0:f>
        <ns0:v>68</ns0:v>
      </ns0:c>
      <ns0:c r="D19" s="27">
        <ns0:f>COUNTIFS('BASE_CIERRE'!$G$5:$G$458,1)</ns0:f>
        <ns0:v>428</ns0:v>
      </ns0:c>
      <ns0:c r="E19" s="31">
        <ns0:f>IFERROR(C19/D19,0)</ns0:f>
        <ns0:v>0.1588785046728972</ns0:v>
      </ns0:c>
    </ns0:row>
    <ns0:row r="20" ht="32" customHeight="1">
      <ns0:c r="A20" s="21" t="inlineStr">
        <ns0:is>
          <ns0:t>data_source_primary</ns0:t>
        </ns0:is>
      </ns0:c>
      <ns0:c r="B20" s="21" t="inlineStr">
        <ns0:is>
          <ns0:t>Multiple source categories</ns0:t>
        </ns0:is>
      </ns0:c>
      <ns0:c r="C20" s="29">
        <ns0:f>COUNTIFS('BASE_CIERRE'!$G$5:$G$458,1,'BASE_CIERRE'!$J$5:$J$458,"Multiple source categories")</ns0:f>
        <ns0:v>47</ns0:v>
      </ns0:c>
      <ns0:c r="D20" s="29">
        <ns0:f>COUNTIFS('BASE_CIERRE'!$G$5:$G$458,1)</ns0:f>
        <ns0:v>428</ns0:v>
      </ns0:c>
      <ns0:c r="E20" s="32">
        <ns0:f>IFERROR(C20/D20,0)</ns0:f>
        <ns0:v>0.10981308411214953</ns0:v>
      </ns0:c>
    </ns0:row>
    <ns0:row r="21" ht="32" customHeight="1">
      <ns0:c r="A21" s="19" t="inlineStr">
        <ns0:is>
          <ns0:t>data_source_primary</ns0:t>
        </ns0:is>
      </ns0:c>
      <ns0:c r="B21" s="19" t="inlineStr">
        <ns0:is>
          <ns0:t>Physiological signals</ns0:t>
        </ns0:is>
      </ns0:c>
      <ns0:c r="C21" s="27">
        <ns0:f>COUNTIFS('BASE_CIERRE'!$G$5:$G$458,1,'BASE_CIERRE'!$J$5:$J$458,"Physiological signals")</ns0:f>
        <ns0:v>47</ns0:v>
      </ns0:c>
      <ns0:c r="D21" s="27">
        <ns0:f>COUNTIFS('BASE_CIERRE'!$G$5:$G$458,1)</ns0:f>
        <ns0:v>428</ns0:v>
      </ns0:c>
      <ns0:c r="E21" s="31">
        <ns0:f>IFERROR(C21/D21,0)</ns0:f>
        <ns0:v>0.10981308411214953</ns0:v>
      </ns0:c>
    </ns0:row>
    <ns0:row r="22" ht="32" customHeight="1">
      <ns0:c r="A22" s="21" t="inlineStr">
        <ns0:is>
          <ns0:t>data_source_primary</ns0:t>
        </ns0:is>
      </ns0:c>
      <ns0:c r="B22" s="21" t="inlineStr">
        <ns0:is>
          <ns0:t>Biological/omics</ns0:t>
        </ns0:is>
      </ns0:c>
      <ns0:c r="C22" s="29">
        <ns0:f>COUNTIFS('BASE_CIERRE'!$G$5:$G$458,1,'BASE_CIERRE'!$J$5:$J$458,"Biological/omics")</ns0:f>
        <ns0:v>34</ns0:v>
      </ns0:c>
      <ns0:c r="D22" s="29">
        <ns0:f>COUNTIFS('BASE_CIERRE'!$G$5:$G$458,1)</ns0:f>
        <ns0:v>428</ns0:v>
      </ns0:c>
      <ns0:c r="E22" s="32">
        <ns0:f>IFERROR(C22/D22,0)</ns0:f>
        <ns0:v>0.0794392523364486</ns0:v>
      </ns0:c>
    </ns0:row>
    <ns0:row r="23" ht="32" customHeight="1">
      <ns0:c r="A23" s="19" t="inlineStr">
        <ns0:is>
          <ns0:t>data_source_primary</ns0:t>
        </ns0:is>
      </ns0:c>
      <ns0:c r="B23" s="19" t="inlineStr">
        <ns0:is>
          <ns0:t>Text/language</ns0:t>
        </ns0:is>
      </ns0:c>
      <ns0:c r="C23" s="27">
        <ns0:f>COUNTIFS('BASE_CIERRE'!$G$5:$G$458,1,'BASE_CIERRE'!$J$5:$J$458,"Text/language")</ns0:f>
        <ns0:v>15</ns0:v>
      </ns0:c>
      <ns0:c r="D23" s="27">
        <ns0:f>COUNTIFS('BASE_CIERRE'!$G$5:$G$458,1)</ns0:f>
        <ns0:v>428</ns0:v>
      </ns0:c>
      <ns0:c r="E23" s="31">
        <ns0:f>IFERROR(C23/D23,0)</ns0:f>
        <ns0:v>0.035046728971962614</ns0:v>
      </ns0:c>
    </ns0:row>
    <ns0:row r="24" ht="32" customHeight="1">
      <ns0:c r="A24" s="21" t="inlineStr">
        <ns0:is>
          <ns0:t>data_source_primary</ns0:t>
        </ns0:is>
      </ns0:c>
      <ns0:c r="B24" s="21" t="inlineStr">
        <ns0:is>
          <ns0:t>Not specified</ns0:t>
        </ns0:is>
      </ns0:c>
      <ns0:c r="C24" s="29">
        <ns0:f>COUNTIFS('BASE_CIERRE'!$G$5:$G$458,1,'BASE_CIERRE'!$J$5:$J$458,"Not specified")</ns0:f>
        <ns0:v>15</ns0:v>
      </ns0:c>
      <ns0:c r="D24" s="29">
        <ns0:f>COUNTIFS('BASE_CIERRE'!$G$5:$G$458,1)</ns0:f>
        <ns0:v>428</ns0:v>
      </ns0:c>
      <ns0:c r="E24" s="32">
        <ns0:f>IFERROR(C24/D24,0)</ns0:f>
        <ns0:v>0.035046728971962614</ns0:v>
      </ns0:c>
    </ns0:row>
    <ns0:row r="25" ht="32" customHeight="1">
      <ns0:c r="A25" s="19" t="inlineStr">
        <ns0:is>
          <ns0:t>data_source_primary</ns0:t>
        </ns0:is>
      </ns0:c>
      <ns0:c r="B25" s="19" t="inlineStr">
        <ns0:is>
          <ns0:t>Audio/voice</ns0:t>
        </ns0:is>
      </ns0:c>
      <ns0:c r="C25" s="27">
        <ns0:f>COUNTIFS('BASE_CIERRE'!$G$5:$G$458,1,'BASE_CIERRE'!$J$5:$J$458,"Audio/voice")</ns0:f>
        <ns0:v>9</ns0:v>
      </ns0:c>
      <ns0:c r="D25" s="27">
        <ns0:f>COUNTIFS('BASE_CIERRE'!$G$5:$G$458,1)</ns0:f>
        <ns0:v>428</ns0:v>
      </ns0:c>
      <ns0:c r="E25" s="31">
        <ns0:f>IFERROR(C25/D25,0)</ns0:f>
        <ns0:v>0.02102803738317757</ns0:v>
      </ns0:c>
    </ns0:row>
    <ns0:row r="26" ht="32" customHeight="1">
      <ns0:c r="A26" s="21" t="inlineStr">
        <ns0:is>
          <ns0:t>data_source_primary</ns0:t>
        </ns0:is>
      </ns0:c>
      <ns0:c r="B26" s="21" t="inlineStr">
        <ns0:is>
          <ns0:t>Other biomedical/digital data</ns0:t>
        </ns0:is>
      </ns0:c>
      <ns0:c r="C26" s="29">
        <ns0:f>COUNTIFS('BASE_CIERRE'!$G$5:$G$458,1,'BASE_CIERRE'!$J$5:$J$458,"Other biomedical/digital data")</ns0:f>
        <ns0:v>7</ns0:v>
      </ns0:c>
      <ns0:c r="D26" s="29">
        <ns0:f>COUNTIFS('BASE_CIERRE'!$G$5:$G$458,1)</ns0:f>
        <ns0:v>428</ns0:v>
      </ns0:c>
      <ns0:c r="E26" s="32">
        <ns0:f>IFERROR(C26/D26,0)</ns0:f>
        <ns0:v>0.016355140186915886</ns0:v>
      </ns0:c>
    </ns0:row>
    <ns0:row r="27" ht="32" customHeight="1">
      <ns0:c r="A27" s="19" t="inlineStr">
        <ns0:is>
          <ns0:t>algorithm_family</ns0:t>
        </ns0:is>
      </ns0:c>
      <ns0:c r="B27" s="19" t="inlineStr">
        <ns0:is>
          <ns0:t>Other specified method</ns0:t>
        </ns0:is>
      </ns0:c>
      <ns0:c r="C27" s="27">
        <ns0:f>COUNTIFS('BASE_CIERRE'!$G$5:$G$458,1,'BASE_CIERRE'!$L$5:$L$458,"Other specified method")</ns0:f>
        <ns0:v>94</ns0:v>
      </ns0:c>
      <ns0:c r="D27" s="27">
        <ns0:f>COUNTIFS('BASE_CIERRE'!$G$5:$G$458,1)</ns0:f>
        <ns0:v>428</ns0:v>
      </ns0:c>
      <ns0:c r="E27" s="31">
        <ns0:f>IFERROR(C27/D27,0)</ns0:f>
        <ns0:v>0.21962616822429906</ns0:v>
      </ns0:c>
    </ns0:row>
    <ns0:row r="28" ht="32" customHeight="1">
      <ns0:c r="A28" s="21" t="inlineStr">
        <ns0:is>
          <ns0:t>algorithm_family</ns0:t>
        </ns0:is>
      </ns0:c>
      <ns0:c r="B28" s="21" t="inlineStr">
        <ns0:is>
          <ns0:t>Multiple/not uniquely specified</ns0:t>
        </ns0:is>
      </ns0:c>
      <ns0:c r="C28" s="29">
        <ns0:f>COUNTIFS('BASE_CIERRE'!$G$5:$G$458,1,'BASE_CIERRE'!$L$5:$L$458,"Multiple/not uniquely specified")</ns0:f>
        <ns0:v>63</ns0:v>
      </ns0:c>
      <ns0:c r="D28" s="29">
        <ns0:f>COUNTIFS('BASE_CIERRE'!$G$5:$G$458,1)</ns0:f>
        <ns0:v>428</ns0:v>
      </ns0:c>
      <ns0:c r="E28" s="32">
        <ns0:f>IFERROR(C28/D28,0)</ns0:f>
        <ns0:v>0.14719626168224298</ns0:v>
      </ns0:c>
    </ns0:row>
    <ns0:row r="29" ht="32" customHeight="1">
      <ns0:c r="A29" s="19" t="inlineStr">
        <ns0:is>
          <ns0:t>algorithm_family</ns0:t>
        </ns0:is>
      </ns0:c>
      <ns0:c r="B29" s="19" t="inlineStr">
        <ns0:is>
          <ns0:t>Composite/ensemble pipeline</ns0:t>
        </ns0:is>
      </ns0:c>
      <ns0:c r="C29" s="27">
        <ns0:f>COUNTIFS('BASE_CIERRE'!$G$5:$G$458,1,'BASE_CIERRE'!$L$5:$L$458,"Composite/ensemble pipeline")</ns0:f>
        <ns0:v>57</ns0:v>
      </ns0:c>
      <ns0:c r="D29" s="27">
        <ns0:f>COUNTIFS('BASE_CIERRE'!$G$5:$G$458,1)</ns0:f>
        <ns0:v>428</ns0:v>
      </ns0:c>
      <ns0:c r="E29" s="31">
        <ns0:f>IFERROR(C29/D29,0)</ns0:f>
        <ns0:v>0.13317757009345793</ns0:v>
      </ns0:c>
    </ns0:row>
    <ns0:row r="30" ht="32" customHeight="1">
      <ns0:c r="A30" s="21" t="inlineStr">
        <ns0:is>
          <ns0:t>algorithm_family</ns0:t>
        </ns0:is>
      </ns0:c>
      <ns0:c r="B30" s="21" t="inlineStr">
        <ns0:is>
          <ns0:t>CNN</ns0:t>
        </ns0:is>
      </ns0:c>
      <ns0:c r="C30" s="29">
        <ns0:f>COUNTIFS('BASE_CIERRE'!$G$5:$G$458,1,'BASE_CIERRE'!$L$5:$L$458,"CNN")</ns0:f>
        <ns0:v>54</ns0:v>
      </ns0:c>
      <ns0:c r="D30" s="29">
        <ns0:f>COUNTIFS('BASE_CIERRE'!$G$5:$G$458,1)</ns0:f>
        <ns0:v>428</ns0:v>
      </ns0:c>
      <ns0:c r="E30" s="32">
        <ns0:f>IFERROR(C30/D30,0)</ns0:f>
        <ns0:v>0.1261682242990654</ns0:v>
      </ns0:c>
    </ns0:row>
    <ns0:row r="31" ht="32" customHeight="1">
      <ns0:c r="A31" s="19" t="inlineStr">
        <ns0:is>
          <ns0:t>algorithm_family</ns0:t>
        </ns0:is>
      </ns0:c>
      <ns0:c r="B31" s="19" t="inlineStr">
        <ns0:is>
          <ns0:t>SVM</ns0:t>
        </ns0:is>
      </ns0:c>
      <ns0:c r="C31" s="27">
        <ns0:f>COUNTIFS('BASE_CIERRE'!$G$5:$G$458,1,'BASE_CIERRE'!$L$5:$L$458,"SVM")</ns0:f>
        <ns0:v>27</ns0:v>
      </ns0:c>
      <ns0:c r="D31" s="27">
        <ns0:f>COUNTIFS('BASE_CIERRE'!$G$5:$G$458,1)</ns0:f>
        <ns0:v>428</ns0:v>
      </ns0:c>
      <ns0:c r="E31" s="31">
        <ns0:f>IFERROR(C31/D31,0)</ns0:f>
        <ns0:v>0.0630841121495327</ns0:v>
      </ns0:c>
    </ns0:row>
    <ns0:row r="32" ht="32" customHeight="1">
      <ns0:c r="A32" s="21" t="inlineStr">
        <ns0:is>
          <ns0:t>algorithm_family</ns0:t>
        </ns0:is>
      </ns0:c>
      <ns0:c r="B32" s="21" t="inlineStr">
        <ns0:is>
          <ns0:t>Random forest</ns0:t>
        </ns0:is>
      </ns0:c>
      <ns0:c r="C32" s="29">
        <ns0:f>COUNTIFS('BASE_CIERRE'!$G$5:$G$458,1,'BASE_CIERRE'!$L$5:$L$458,"Random forest")</ns0:f>
        <ns0:v>25</ns0:v>
      </ns0:c>
      <ns0:c r="D32" s="29">
        <ns0:f>COUNTIFS('BASE_CIERRE'!$G$5:$G$458,1)</ns0:f>
        <ns0:v>428</ns0:v>
      </ns0:c>
      <ns0:c r="E32" s="32">
        <ns0:f>IFERROR(C32/D32,0)</ns0:f>
        <ns0:v>0.05841121495327103</ns0:v>
      </ns0:c>
    </ns0:row>
    <ns0:row r="33" ht="32" customHeight="1">
      <ns0:c r="A33" s="19" t="inlineStr">
        <ns0:is>
          <ns0:t>algorithm_family</ns0:t>
        </ns0:is>
      </ns0:c>
      <ns0:c r="B33" s="19" t="inlineStr">
        <ns0:is>
          <ns0:t>Transformer</ns0:t>
        </ns0:is>
      </ns0:c>
      <ns0:c r="C33" s="27">
        <ns0:f>COUNTIFS('BASE_CIERRE'!$G$5:$G$458,1,'BASE_CIERRE'!$L$5:$L$458,"Transformer")</ns0:f>
        <ns0:v>24</ns0:v>
      </ns0:c>
      <ns0:c r="D33" s="27">
        <ns0:f>COUNTIFS('BASE_CIERRE'!$G$5:$G$458,1)</ns0:f>
        <ns0:v>428</ns0:v>
      </ns0:c>
      <ns0:c r="E33" s="31">
        <ns0:f>IFERROR(C33/D33,0)</ns0:f>
        <ns0:v>0.056074766355140186</ns0:v>
      </ns0:c>
    </ns0:row>
    <ns0:row r="34" ht="32" customHeight="1">
      <ns0:c r="A34" s="21" t="inlineStr">
        <ns0:is>
          <ns0:t>algorithm_family</ns0:t>
        </ns0:is>
      </ns0:c>
      <ns0:c r="B34" s="21" t="inlineStr">
        <ns0:is>
          <ns0:t>Decision tree/rules</ns0:t>
        </ns0:is>
      </ns0:c>
      <ns0:c r="C34" s="29">
        <ns0:f>COUNTIFS('BASE_CIERRE'!$G$5:$G$458,1,'BASE_CIERRE'!$L$5:$L$458,"Decision tree/rules")</ns0:f>
        <ns0:v>15</ns0:v>
      </ns0:c>
      <ns0:c r="D34" s="29">
        <ns0:f>COUNTIFS('BASE_CIERRE'!$G$5:$G$458,1)</ns0:f>
        <ns0:v>428</ns0:v>
      </ns0:c>
      <ns0:c r="E34" s="32">
        <ns0:f>IFERROR(C34/D34,0)</ns0:f>
        <ns0:v>0.035046728971962614</ns0:v>
      </ns0:c>
    </ns0:row>
    <ns0:row r="35" ht="32" customHeight="1">
      <ns0:c r="A35" s="19" t="inlineStr">
        <ns0:is>
          <ns0:t>algorithm_family</ns0:t>
        </ns0:is>
      </ns0:c>
      <ns0:c r="B35" s="19" t="inlineStr">
        <ns0:is>
          <ns0:t>GNN</ns0:t>
        </ns0:is>
      </ns0:c>
      <ns0:c r="C35" s="27">
        <ns0:f>COUNTIFS('BASE_CIERRE'!$G$5:$G$458,1,'BASE_CIERRE'!$L$5:$L$458,"GNN")</ns0:f>
        <ns0:v>14</ns0:v>
      </ns0:c>
      <ns0:c r="D35" s="27">
        <ns0:f>COUNTIFS('BASE_CIERRE'!$G$5:$G$458,1)</ns0:f>
        <ns0:v>428</ns0:v>
      </ns0:c>
      <ns0:c r="E35" s="31">
        <ns0:f>IFERROR(C35/D35,0)</ns0:f>
        <ns0:v>0.03271028037383177</ns0:v>
      </ns0:c>
    </ns0:row>
    <ns0:row r="36" ht="32" customHeight="1">
      <ns0:c r="A36" s="21" t="inlineStr">
        <ns0:is>
          <ns0:t>algorithm_family</ns0:t>
        </ns0:is>
      </ns0:c>
      <ns0:c r="B36" s="21" t="inlineStr">
        <ns0:is>
          <ns0:t>Gradient boosting</ns0:t>
        </ns0:is>
      </ns0:c>
      <ns0:c r="C36" s="29">
        <ns0:f>COUNTIFS('BASE_CIERRE'!$G$5:$G$458,1,'BASE_CIERRE'!$L$5:$L$458,"Gradient boosting")</ns0:f>
        <ns0:v>14</ns0:v>
      </ns0:c>
      <ns0:c r="D36" s="29">
        <ns0:f>COUNTIFS('BASE_CIERRE'!$G$5:$G$458,1)</ns0:f>
        <ns0:v>428</ns0:v>
      </ns0:c>
      <ns0:c r="E36" s="32">
        <ns0:f>IFERROR(C36/D36,0)</ns0:f>
        <ns0:v>0.03271028037383177</ns0:v>
      </ns0:c>
    </ns0:row>
    <ns0:row r="37" ht="32" customHeight="1">
      <ns0:c r="A37" s="19" t="inlineStr">
        <ns0:is>
          <ns0:t>algorithm_family</ns0:t>
        </ns0:is>
      </ns0:c>
      <ns0:c r="B37" s="19" t="inlineStr">
        <ns0:is>
          <ns0:t>Logistic regression</ns0:t>
        </ns0:is>
      </ns0:c>
      <ns0:c r="C37" s="27">
        <ns0:f>COUNTIFS('BASE_CIERRE'!$G$5:$G$458,1,'BASE_CIERRE'!$L$5:$L$458,"Logistic regression")</ns0:f>
        <ns0:v>14</ns0:v>
      </ns0:c>
      <ns0:c r="D37" s="27">
        <ns0:f>COUNTIFS('BASE_CIERRE'!$G$5:$G$458,1)</ns0:f>
        <ns0:v>428</ns0:v>
      </ns0:c>
      <ns0:c r="E37" s="31">
        <ns0:f>IFERROR(C37/D37,0)</ns0:f>
        <ns0:v>0.03271028037383177</ns0:v>
      </ns0:c>
    </ns0:row>
    <ns0:row r="38" ht="32" customHeight="1">
      <ns0:c r="A38" s="21" t="inlineStr">
        <ns0:is>
          <ns0:t>algorithm_family</ns0:t>
        </ns0:is>
      </ns0:c>
      <ns0:c r="B38" s="21" t="inlineStr">
        <ns0:is>
          <ns0:t>Clustering</ns0:t>
        </ns0:is>
      </ns0:c>
      <ns0:c r="C38" s="29">
        <ns0:f>COUNTIFS('BASE_CIERRE'!$G$5:$G$458,1,'BASE_CIERRE'!$L$5:$L$458,"Clustering")</ns0:f>
        <ns0:v>10</ns0:v>
      </ns0:c>
      <ns0:c r="D38" s="29">
        <ns0:f>COUNTIFS('BASE_CIERRE'!$G$5:$G$458,1)</ns0:f>
        <ns0:v>428</ns0:v>
      </ns0:c>
      <ns0:c r="E38" s="32">
        <ns0:f>IFERROR(C38/D38,0)</ns0:f>
        <ns0:v>0.02336448598130841</ns0:v>
      </ns0:c>
    </ns0:row>
    <ns0:row r="39" ht="32" customHeight="1">
      <ns0:c r="A39" s="19" t="inlineStr">
        <ns0:is>
          <ns0:t>algorithm_family</ns0:t>
        </ns0:is>
      </ns0:c>
      <ns0:c r="B39" s="19" t="inlineStr">
        <ns0:is>
          <ns0:t>MLP/ANN</ns0:t>
        </ns0:is>
      </ns0:c>
      <ns0:c r="C39" s="27">
        <ns0:f>COUNTIFS('BASE_CIERRE'!$G$5:$G$458,1,'BASE_CIERRE'!$L$5:$L$458,"MLP/ANN")</ns0:f>
        <ns0:v>7</ns0:v>
      </ns0:c>
      <ns0:c r="D39" s="27">
        <ns0:f>COUNTIFS('BASE_CIERRE'!$G$5:$G$458,1)</ns0:f>
        <ns0:v>428</ns0:v>
      </ns0:c>
      <ns0:c r="E39" s="31">
        <ns0:f>IFERROR(C39/D39,0)</ns0:f>
        <ns0:v>0.016355140186915886</ns0:v>
      </ns0:c>
    </ns0:row>
    <ns0:row r="40" ht="32" customHeight="1">
      <ns0:c r="A40" s="21" t="inlineStr">
        <ns0:is>
          <ns0:t>algorithm_family</ns0:t>
        </ns0:is>
      </ns0:c>
      <ns0:c r="B40" s="21" t="inlineStr">
        <ns0:is>
          <ns0:t>Recurrent network</ns0:t>
        </ns0:is>
      </ns0:c>
      <ns0:c r="C40" s="29">
        <ns0:f>COUNTIFS('BASE_CIERRE'!$G$5:$G$458,1,'BASE_CIERRE'!$L$5:$L$458,"Recurrent network")</ns0:f>
        <ns0:v>5</ns0:v>
      </ns0:c>
      <ns0:c r="D40" s="29">
        <ns0:f>COUNTIFS('BASE_CIERRE'!$G$5:$G$458,1)</ns0:f>
        <ns0:v>428</ns0:v>
      </ns0:c>
      <ns0:c r="E40" s="32">
        <ns0:f>IFERROR(C40/D40,0)</ns0:f>
        <ns0:v>0.011682242990654205</ns0:v>
      </ns0:c>
    </ns0:row>
    <ns0:row r="41" ht="32" customHeight="1">
      <ns0:c r="A41" s="19" t="inlineStr">
        <ns0:is>
          <ns0:t>algorithm_family</ns0:t>
        </ns0:is>
      </ns0:c>
      <ns0:c r="B41" s="19" t="inlineStr">
        <ns0:is>
          <ns0:t>Autoencoder</ns0:t>
        </ns0:is>
      </ns0:c>
      <ns0:c r="C41" s="27">
        <ns0:f>COUNTIFS('BASE_CIERRE'!$G$5:$G$458,1,'BASE_CIERRE'!$L$5:$L$458,"Autoencoder")</ns0:f>
        <ns0:v>4</ns0:v>
      </ns0:c>
      <ns0:c r="D41" s="27">
        <ns0:f>COUNTIFS('BASE_CIERRE'!$G$5:$G$458,1)</ns0:f>
        <ns0:v>428</ns0:v>
      </ns0:c>
      <ns0:c r="E41" s="31">
        <ns0:f>IFERROR(C41/D41,0)</ns0:f>
        <ns0:v>0.009345794392523364</ns0:v>
      </ns0:c>
    </ns0:row>
    <ns0:row r="42" ht="32" customHeight="1">
      <ns0:c r="A42" s="21" t="inlineStr">
        <ns0:is>
          <ns0:t>algorithm_family</ns0:t>
        </ns0:is>
      </ns0:c>
      <ns0:c r="B42" s="21" t="inlineStr">
        <ns0:is>
          <ns0:t>k-nearest neighbors</ns0:t>
        </ns0:is>
      </ns0:c>
      <ns0:c r="C42" s="29">
        <ns0:f>COUNTIFS('BASE_CIERRE'!$G$5:$G$458,1,'BASE_CIERRE'!$L$5:$L$458,"k-nearest neighbors")</ns0:f>
        <ns0:v>1</ns0:v>
      </ns0:c>
      <ns0:c r="D42" s="29">
        <ns0:f>COUNTIFS('BASE_CIERRE'!$G$5:$G$458,1)</ns0:f>
        <ns0:v>428</ns0:v>
      </ns0:c>
      <ns0:c r="E42" s="32">
        <ns0:f>IFERROR(C42/D42,0)</ns0:f>
        <ns0:v>0.002336448598130841</ns0:v>
      </ns0:c>
    </ns0:row>
    <ns0:row r="43" ht="32" customHeight="1">
      <ns0:c r="A43" s="19" t="inlineStr">
        <ns0:is>
          <ns0:t>rq2_status</ns0:t>
        </ns0:is>
      </ns0:c>
      <ns0:c r="B43" s="19" t="inlineStr">
        <ns0:is>
          <ns0:t>Research only</ns0:t>
        </ns0:is>
      </ns0:c>
      <ns0:c r="C43" s="27">
        <ns0:f>COUNTIFS('BASE_CIERRE'!$G$5:$G$458,1,'BASE_CIERRE'!$M$5:$M$458,"Research only")</ns0:f>
        <ns0:v>311</ns0:v>
      </ns0:c>
      <ns0:c r="D43" s="27">
        <ns0:f>COUNTIFS('BASE_CIERRE'!$G$5:$G$458,1)</ns0:f>
        <ns0:v>428</ns0:v>
      </ns0:c>
      <ns0:c r="E43" s="31">
        <ns0:f>IFERROR(C43/D43,0)</ns0:f>
        <ns0:v>0.7266355140186916</ns0:v>
      </ns0:c>
    </ns0:row>
    <ns0:row r="44" ht="32" customHeight="1">
      <ns0:c r="A44" s="21" t="inlineStr">
        <ns0:is>
          <ns0:t>rq2_status</ns0:t>
        </ns0:is>
      </ns0:c>
      <ns0:c r="B44" s="21" t="inlineStr">
        <ns0:is>
          <ns0:t>Proposed only</ns0:t>
        </ns0:is>
      </ns0:c>
      <ns0:c r="C44" s="29">
        <ns0:f>COUNTIFS('BASE_CIERRE'!$G$5:$G$458,1,'BASE_CIERRE'!$M$5:$M$458,"Proposed only")</ns0:f>
        <ns0:v>98</ns0:v>
      </ns0:c>
      <ns0:c r="D44" s="29">
        <ns0:f>COUNTIFS('BASE_CIERRE'!$G$5:$G$458,1)</ns0:f>
        <ns0:v>428</ns0:v>
      </ns0:c>
      <ns0:c r="E44" s="32">
        <ns0:f>IFERROR(C44/D44,0)</ns0:f>
        <ns0:v>0.22897196261682243</ns0:v>
      </ns0:c>
    </ns0:row>
    <ns0:row r="45" ht="32" customHeight="1">
      <ns0:c r="A45" s="19" t="inlineStr">
        <ns0:is>
          <ns0:t>rq2_status</ns0:t>
        </ns0:is>
      </ns0:c>
      <ns0:c r="B45" s="19" t="inlineStr">
        <ns0:is>
          <ns0:t>Evaluated AI-supported intervention</ns0:t>
        </ns0:is>
      </ns0:c>
      <ns0:c r="C45" s="27">
        <ns0:f>COUNTIFS('BASE_CIERRE'!$G$5:$G$458,1,'BASE_CIERRE'!$M$5:$M$458,"Evaluated AI-supported intervention")</ns0:f>
        <ns0:v>10</ns0:v>
      </ns0:c>
      <ns0:c r="D45" s="27">
        <ns0:f>COUNTIFS('BASE_CIERRE'!$G$5:$G$458,1)</ns0:f>
        <ns0:v>428</ns0:v>
      </ns0:c>
      <ns0:c r="E45" s="31">
        <ns0:f>IFERROR(C45/D45,0)</ns0:f>
        <ns0:v>0.02336448598130841</ns0:v>
      </ns0:c>
    </ns0:row>
    <ns0:row r="46" ht="32" customHeight="1">
      <ns0:c r="A46" s="21" t="inlineStr">
        <ns0:is>
          <ns0:t>rq2_status</ns0:t>
        </ns0:is>
      </ns0:c>
      <ns0:c r="B46" s="21" t="inlineStr">
        <ns0:is>
          <ns0:t>Evaluated at point of use</ns0:t>
        </ns0:is>
      </ns0:c>
      <ns0:c r="C46" s="29">
        <ns0:f>COUNTIFS('BASE_CIERRE'!$G$5:$G$458,1,'BASE_CIERRE'!$M$5:$M$458,"Evaluated at point of use")</ns0:f>
        <ns0:v>8</ns0:v>
      </ns0:c>
      <ns0:c r="D46" s="29">
        <ns0:f>COUNTIFS('BASE_CIERRE'!$G$5:$G$458,1)</ns0:f>
        <ns0:v>428</ns0:v>
      </ns0:c>
      <ns0:c r="E46" s="32">
        <ns0:f>IFERROR(C46/D46,0)</ns0:f>
        <ns0:v>0.018691588785046728</ns0:v>
      </ns0:c>
    </ns0:row>
    <ns0:row r="47" ht="32" customHeight="1">
      <ns0:c r="A47" s="19" t="inlineStr">
        <ns0:is>
          <ns0:t>rq2_status</ns0:t>
        </ns0:is>
      </ns0:c>
      <ns0:c r="B47" s="19" t="inlineStr">
        <ns0:is>
          <ns0:t>Evaluated care-delivery platform</ns0:t>
        </ns0:is>
      </ns0:c>
      <ns0:c r="C47" s="27">
        <ns0:f>COUNTIFS('BASE_CIERRE'!$G$5:$G$458,1,'BASE_CIERRE'!$M$5:$M$458,"Evaluated care-delivery platform")</ns0:f>
        <ns0:v>1</ns0:v>
      </ns0:c>
      <ns0:c r="D47" s="27">
        <ns0:f>COUNTIFS('BASE_CIERRE'!$G$5:$G$458,1)</ns0:f>
        <ns0:v>428</ns0:v>
      </ns0:c>
      <ns0:c r="E47" s="31">
        <ns0:f>IFERROR(C47/D47,0)</ns0:f>
        <ns0:v>0.002336448598130841</ns0:v>
      </ns0:c>
    </ns0:row>
    <ns0:row r="48" ht="32" customHeight="1">
      <ns0:c r="A48" s="21" t="inlineStr">
        <ns0:is>
          <ns0:t>rq2_role</ns0:t>
        </ns0:is>
      </ns0:c>
      <ns0:c r="B48" s="21" t="inlineStr">
        <ns0:is>
          <ns0:t>Automated measurement/classification</ns0:t>
        </ns0:is>
      </ns0:c>
      <ns0:c r="C48" s="29">
        <ns0:f>COUNTIFS('BASE_CIERRE'!$G$5:$G$458,1,'BASE_CIERRE'!$N$5:$N$458,"Automated measurement/classification")</ns0:f>
        <ns0:v>236</ns0:v>
      </ns0:c>
      <ns0:c r="D48" s="29">
        <ns0:f>COUNTIFS('BASE_CIERRE'!$G$5:$G$458,1)</ns0:f>
        <ns0:v>428</ns0:v>
      </ns0:c>
      <ns0:c r="E48" s="32">
        <ns0:f>IFERROR(C48/D48,0)</ns0:f>
        <ns0:v>0.5514018691588785</ns0:v>
      </ns0:c>
    </ns0:row>
    <ns0:row r="49" ht="32" customHeight="1">
      <ns0:c r="A49" s="19" t="inlineStr">
        <ns0:is>
          <ns0:t>rq2_role</ns0:t>
        </ns0:is>
      </ns0:c>
      <ns0:c r="B49" s="19" t="inlineStr">
        <ns0:is>
          <ns0:t>Triage/questionnaire assessment</ns0:t>
        </ns0:is>
      </ns0:c>
      <ns0:c r="C49" s="27">
        <ns0:f>COUNTIFS('BASE_CIERRE'!$G$5:$G$458,1,'BASE_CIERRE'!$N$5:$N$458,"Triage/questionnaire assessment")</ns0:f>
        <ns0:v>73</ns0:v>
      </ns0:c>
      <ns0:c r="D49" s="27">
        <ns0:f>COUNTIFS('BASE_CIERRE'!$G$5:$G$458,1)</ns0:f>
        <ns0:v>428</ns0:v>
      </ns0:c>
      <ns0:c r="E49" s="31">
        <ns0:f>IFERROR(C49/D49,0)</ns0:f>
        <ns0:v>0.1705607476635514</ns0:v>
      </ns0:c>
    </ns0:row>
    <ns0:row r="50" ht="32" customHeight="1">
      <ns0:c r="A50" s="21" t="inlineStr">
        <ns0:is>
          <ns0:t>rq2_role</ns0:t>
        </ns0:is>
      </ns0:c>
      <ns0:c r="B50" s="21" t="inlineStr">
        <ns0:is>
          <ns0:t>Risk/trajectory estimation</ns0:t>
        </ns0:is>
      </ns0:c>
      <ns0:c r="C50" s="29">
        <ns0:f>COUNTIFS('BASE_CIERRE'!$G$5:$G$458,1,'BASE_CIERRE'!$N$5:$N$458,"Risk/trajectory estimation")</ns0:f>
        <ns0:v>31</ns0:v>
      </ns0:c>
      <ns0:c r="D50" s="29">
        <ns0:f>COUNTIFS('BASE_CIERRE'!$G$5:$G$458,1)</ns0:f>
        <ns0:v>428</ns0:v>
      </ns0:c>
      <ns0:c r="E50" s="32">
        <ns0:f>IFERROR(C50/D50,0)</ns0:f>
        <ns0:v>0.07242990654205607</ns0:v>
      </ns0:c>
    </ns0:row>
    <ns0:row r="51" ht="32" customHeight="1">
      <ns0:c r="A51" s="19" t="inlineStr">
        <ns0:is>
          <ns0:t>rq2_role</ns0:t>
        </ns0:is>
      </ns0:c>
      <ns0:c r="B51" s="19" t="inlineStr">
        <ns0:is>
          <ns0:t>Diagnostic decision support</ns0:t>
        </ns0:is>
      </ns0:c>
      <ns0:c r="C51" s="27">
        <ns0:f>COUNTIFS('BASE_CIERRE'!$G$5:$G$458,1,'BASE_CIERRE'!$N$5:$N$458,"Diagnostic decision support")</ns0:f>
        <ns0:v>26</ns0:v>
      </ns0:c>
      <ns0:c r="D51" s="27">
        <ns0:f>COUNTIFS('BASE_CIERRE'!$G$5:$G$458,1)</ns0:f>
        <ns0:v>428</ns0:v>
      </ns0:c>
      <ns0:c r="E51" s="31">
        <ns0:f>IFERROR(C51/D51,0)</ns0:f>
        <ns0:v>0.06074766355140187</ns0:v>
      </ns0:c>
    </ns0:row>
    <ns0:row r="52" ht="32" customHeight="1">
      <ns0:c r="A52" s="21" t="inlineStr">
        <ns0:is>
          <ns0:t>rq2_role</ns0:t>
        </ns0:is>
      </ns0:c>
      <ns0:c r="B52" s="21" t="inlineStr">
        <ns0:is>
          <ns0:t>Research characterization</ns0:t>
        </ns0:is>
      </ns0:c>
      <ns0:c r="C52" s="29">
        <ns0:f>COUNTIFS('BASE_CIERRE'!$G$5:$G$458,1,'BASE_CIERRE'!$N$5:$N$458,"Research characterization")</ns0:f>
        <ns0:v>25</ns0:v>
      </ns0:c>
      <ns0:c r="D52" s="29">
        <ns0:f>COUNTIFS('BASE_CIERRE'!$G$5:$G$458,1)</ns0:f>
        <ns0:v>428</ns0:v>
      </ns0:c>
      <ns0:c r="E52" s="32">
        <ns0:f>IFERROR(C52/D52,0)</ns0:f>
        <ns0:v>0.05841121495327103</ns0:v>
      </ns0:c>
    </ns0:row>
    <ns0:row r="53" ht="32" customHeight="1">
      <ns0:c r="A53" s="19" t="inlineStr">
        <ns0:is>
          <ns0:t>rq2_role</ns0:t>
        </ns0:is>
      </ns0:c>
      <ns0:c r="B53" s="19" t="inlineStr">
        <ns0:is>
          <ns0:t>Monitoring/longitudinal analysis</ns0:t>
        </ns0:is>
      </ns0:c>
      <ns0:c r="C53" s="27">
        <ns0:f>COUNTIFS('BASE_CIERRE'!$G$5:$G$458,1,'BASE_CIERRE'!$N$5:$N$458,"Monitoring/longitudinal analysis")</ns0:f>
        <ns0:v>13</ns0:v>
      </ns0:c>
      <ns0:c r="D53" s="27">
        <ns0:f>COUNTIFS('BASE_CIERRE'!$G$5:$G$458,1)</ns0:f>
        <ns0:v>428</ns0:v>
      </ns0:c>
      <ns0:c r="E53" s="31">
        <ns0:f>IFERROR(C53/D53,0)</ns0:f>
        <ns0:v>0.030373831775700934</ns0:v>
      </ns0:c>
    </ns0:row>
    <ns0:row r="54" ht="32" customHeight="1">
      <ns0:c r="A54" s="21" t="inlineStr">
        <ns0:is>
          <ns0:t>rq2_role</ns0:t>
        </ns0:is>
      </ns0:c>
      <ns0:c r="B54" s="21" t="inlineStr">
        <ns0:is>
          <ns0:t>Adaptive intervention</ns0:t>
        </ns0:is>
      </ns0:c>
      <ns0:c r="C54" s="29">
        <ns0:f>COUNTIFS('BASE_CIERRE'!$G$5:$G$458,1,'BASE_CIERRE'!$N$5:$N$458,"Adaptive intervention")</ns0:f>
        <ns0:v>12</ns0:v>
      </ns0:c>
      <ns0:c r="D54" s="29">
        <ns0:f>COUNTIFS('BASE_CIERRE'!$G$5:$G$458,1)</ns0:f>
        <ns0:v>428</ns0:v>
      </ns0:c>
      <ns0:c r="E54" s="32">
        <ns0:f>IFERROR(C54/D54,0)</ns0:f>
        <ns0:v>0.028037383177570093</ns0:v>
      </ns0:c>
    </ns0:row>
    <ns0:row r="55" ht="32" customHeight="1">
      <ns0:c r="A55" s="19" t="inlineStr">
        <ns0:is>
          <ns0:t>rq2_role</ns0:t>
        </ns0:is>
      </ns0:c>
      <ns0:c r="B55" s="19" t="inlineStr">
        <ns0:is>
          <ns0:t>Assistive support</ns0:t>
        </ns0:is>
      </ns0:c>
      <ns0:c r="C55" s="27">
        <ns0:f>COUNTIFS('BASE_CIERRE'!$G$5:$G$458,1,'BASE_CIERRE'!$N$5:$N$458,"Assistive support")</ns0:f>
        <ns0:v>7</ns0:v>
      </ns0:c>
      <ns0:c r="D55" s="27">
        <ns0:f>COUNTIFS('BASE_CIERRE'!$G$5:$G$458,1)</ns0:f>
        <ns0:v>428</ns0:v>
      </ns0:c>
      <ns0:c r="E55" s="31">
        <ns0:f>IFERROR(C55/D55,0)</ns0:f>
        <ns0:v>0.016355140186915886</ns0:v>
      </ns0:c>
    </ns0:row>
    <ns0:row r="56" ht="32" customHeight="1">
      <ns0:c r="A56" s="21" t="inlineStr">
        <ns0:is>
          <ns0:t>rq2_role</ns0:t>
        </ns0:is>
      </ns0:c>
      <ns0:c r="B56" s="21" t="inlineStr">
        <ns0:is>
          <ns0:t>Mobile assessment</ns0:t>
        </ns0:is>
      </ns0:c>
      <ns0:c r="C56" s="29">
        <ns0:f>COUNTIFS('BASE_CIERRE'!$G$5:$G$458,1,'BASE_CIERRE'!$N$5:$N$458,"Mobile assessment")</ns0:f>
        <ns0:v>5</ns0:v>
      </ns0:c>
      <ns0:c r="D56" s="29">
        <ns0:f>COUNTIFS('BASE_CIERRE'!$G$5:$G$458,1)</ns0:f>
        <ns0:v>428</ns0:v>
      </ns0:c>
      <ns0:c r="E56" s="32">
        <ns0:f>IFERROR(C56/D56,0)</ns0:f>
        <ns0:v>0.011682242990654205</ns0:v>
      </ns0:c>
    </ns0:row>
    <ns0:row r="57" ht="32" customHeight="1">
      <ns0:c r="A57" s="19" t="inlineStr">
        <ns0:is>
          <ns0:t>observed_decision_timing</ns0:t>
        </ns0:is>
      </ns0:c>
      <ns0:c r="B57" s="19" t="inlineStr">
        <ns0:is>
          <ns0:t>Not observed in assessed sources</ns0:t>
        </ns0:is>
      </ns0:c>
      <ns0:c r="C57" s="27">
        <ns0:f>COUNTIFS('BASE_CIERRE'!$G$5:$G$458,1,'BASE_CIERRE'!$P$5:$P$458,"Not observed in assessed sources")</ns0:f>
        <ns0:v>409</ns0:v>
      </ns0:c>
      <ns0:c r="D57" s="27">
        <ns0:f>COUNTIFS('BASE_CIERRE'!$G$5:$G$458,1)</ns0:f>
        <ns0:v>428</ns0:v>
      </ns0:c>
      <ns0:c r="E57" s="31">
        <ns0:f>IFERROR(C57/D57,0)</ns0:f>
        <ns0:v>0.955607476635514</ns0:v>
      </ns0:c>
    </ns0:row>
    <ns0:row r="58" ht="32" customHeight="1">
      <ns0:c r="A58" s="21" t="inlineStr">
        <ns0:is>
          <ns0:t>observed_decision_timing</ns0:t>
        </ns0:is>
      </ns0:c>
      <ns0:c r="B58" s="21" t="inlineStr">
        <ns0:is>
          <ns0:t>Post-decision</ns0:t>
        </ns0:is>
      </ns0:c>
      <ns0:c r="C58" s="29">
        <ns0:f>COUNTIFS('BASE_CIERRE'!$G$5:$G$458,1,'BASE_CIERRE'!$P$5:$P$458,"Post-decision")</ns0:f>
        <ns0:v>14</ns0:v>
      </ns0:c>
      <ns0:c r="D58" s="29">
        <ns0:f>COUNTIFS('BASE_CIERRE'!$G$5:$G$458,1)</ns0:f>
        <ns0:v>428</ns0:v>
      </ns0:c>
      <ns0:c r="E58" s="32">
        <ns0:f>IFERROR(C58/D58,0)</ns0:f>
        <ns0:v>0.03271028037383177</ns0:v>
      </ns0:c>
    </ns0:row>
    <ns0:row r="59" ht="32" customHeight="1">
      <ns0:c r="A59" s="19" t="inlineStr">
        <ns0:is>
          <ns0:t>observed_decision_timing</ns0:t>
        </ns0:is>
      </ns0:c>
      <ns0:c r="B59" s="19" t="inlineStr">
        <ns0:is>
          <ns0:t>Pre-decision</ns0:t>
        </ns0:is>
      </ns0:c>
      <ns0:c r="C59" s="27">
        <ns0:f>COUNTIFS('BASE_CIERRE'!$G$5:$G$458,1,'BASE_CIERRE'!$P$5:$P$458,"Pre-decision")</ns0:f>
        <ns0:v>4</ns0:v>
      </ns0:c>
      <ns0:c r="D59" s="27">
        <ns0:f>COUNTIFS('BASE_CIERRE'!$G$5:$G$458,1)</ns0:f>
        <ns0:v>428</ns0:v>
      </ns0:c>
      <ns0:c r="E59" s="31">
        <ns0:f>IFERROR(C59/D59,0)</ns0:f>
        <ns0:v>0.009345794392523364</ns0:v>
      </ns0:c>
    </ns0:row>
    <ns0:row r="60" ht="32" customHeight="1">
      <ns0:c r="A60" s="21" t="inlineStr">
        <ns0:is>
          <ns0:t>observed_decision_timing</ns0:t>
        </ns0:is>
      </ns0:c>
      <ns0:c r="B60" s="21" t="inlineStr">
        <ns0:is>
          <ns0:t>In-decision</ns0:t>
        </ns0:is>
      </ns0:c>
      <ns0:c r="C60" s="29">
        <ns0:f>COUNTIFS('BASE_CIERRE'!$G$5:$G$458,1,'BASE_CIERRE'!$P$5:$P$458,"In-decision")</ns0:f>
        <ns0:v>1</ns0:v>
      </ns0:c>
      <ns0:c r="D60" s="29">
        <ns0:f>COUNTIFS('BASE_CIERRE'!$G$5:$G$458,1)</ns0:f>
        <ns0:v>428</ns0:v>
      </ns0:c>
      <ns0:c r="E60" s="32">
        <ns0:f>IFERROR(C60/D60,0)</ns0:f>
        <ns0:v>0.002336448598130841</ns0:v>
      </ns0:c>
    </ns0:row>
    <ns0:row r="61" ht="32" customHeight="1">
      <ns0:c r="A61" s="19" t="inlineStr">
        <ns0:is>
          <ns0:t>source_level</ns0:t>
        </ns0:is>
      </ns0:c>
      <ns0:c r="B61" s="19" t="inlineStr">
        <ns0:is>
          <ns0:t>Supplied abstract/coding notes; no new full-text verification</ns0:t>
        </ns0:is>
      </ns0:c>
      <ns0:c r="C61" s="27">
        <ns0:f>COUNTIFS('BASE_CIERRE'!$G$5:$G$458,1,'BASE_CIERRE'!$AH$5:$AH$458,"Supplied abstract/coding notes; no new full-text verification")</ns0:f>
        <ns0:v>300</ns0:v>
      </ns0:c>
      <ns0:c r="D61" s="27">
        <ns0:f>COUNTIFS('BASE_CIERRE'!$G$5:$G$458,1)</ns0:f>
        <ns0:v>428</ns0:v>
      </ns0:c>
      <ns0:c r="E61" s="31">
        <ns0:f>IFERROR(C61/D61,0)</ns0:f>
        <ns0:v>0.7009345794392523</ns0:v>
      </ns0:c>
    </ns0:row>
    <ns0:row r="62" ht="32" customHeight="1">
      <ns0:c r="A62" s="21" t="inlineStr">
        <ns0:is>
          <ns0:t>source_level</ns0:t>
        </ns0:is>
      </ns0:c>
      <ns0:c r="B62" s="21" t="inlineStr">
        <ns0:is>
          <ns0:t>Prior source-specific extraction retained; no new full-text retrieval</ns0:t>
        </ns0:is>
      </ns0:c>
      <ns0:c r="C62" s="29">
        <ns0:f>COUNTIFS('BASE_CIERRE'!$G$5:$G$458,1,'BASE_CIERRE'!$AH$5:$AH$458,"Prior source-specific extraction retained; no new full-text retrieval")</ns0:f>
        <ns0:v>119</ns0:v>
      </ns0:c>
      <ns0:c r="D62" s="29">
        <ns0:f>COUNTIFS('BASE_CIERRE'!$G$5:$G$458,1)</ns0:f>
        <ns0:v>428</ns0:v>
      </ns0:c>
      <ns0:c r="E62" s="32">
        <ns0:f>IFERROR(C62/D62,0)</ns0:f>
        <ns0:v>0.2780373831775701</ns0:v>
      </ns0:c>
    </ns0:row>
    <ns0:row r="63" ht="32" customHeight="1">
      <ns0:c r="A63" s="19" t="inlineStr">
        <ns0:is>
          <ns0:t>source_level</ns0:t>
        </ns0:is>
      </ns0:c>
      <ns0:c r="B63" s="19" t="inlineStr">
        <ns0:is>
          <ns0:t>Primary-source full text (targeted sections)</ns0:t>
        </ns0:is>
      </ns0:c>
      <ns0:c r="C63" s="27">
        <ns0:f>COUNTIFS('BASE_CIERRE'!$G$5:$G$458,1,'BASE_CIERRE'!$AH$5:$AH$458,"Primary-source full text (targeted sections)")</ns0:f>
        <ns0:v>4</ns0:v>
      </ns0:c>
      <ns0:c r="D63" s="27">
        <ns0:f>COUNTIFS('BASE_CIERRE'!$G$5:$G$458,1)</ns0:f>
        <ns0:v>428</ns0:v>
      </ns0:c>
      <ns0:c r="E63" s="31">
        <ns0:f>IFERROR(C63/D63,0)</ns0:f>
        <ns0:v>0.009345794392523364</ns0:v>
      </ns0:c>
    </ns0:row>
    <ns0:row r="64" ht="32" customHeight="1">
      <ns0:c r="A64" s="21" t="inlineStr">
        <ns0:is>
          <ns0:t>source_level</ns0:t>
        </ns0:is>
      </ns0:c>
      <ns0:c r="B64" s="21" t="inlineStr">
        <ns0:is>
          <ns0:t>Publisher abstract and bibliographic metadata</ns0:t>
        </ns0:is>
      </ns0:c>
      <ns0:c r="C64" s="29">
        <ns0:f>COUNTIFS('BASE_CIERRE'!$G$5:$G$458,1,'BASE_CIERRE'!$AH$5:$AH$458,"Publisher abstract and bibliographic metadata")</ns0:f>
        <ns0:v>1</ns0:v>
      </ns0:c>
      <ns0:c r="D64" s="29">
        <ns0:f>COUNTIFS('BASE_CIERRE'!$G$5:$G$458,1)</ns0:f>
        <ns0:v>428</ns0:v>
      </ns0:c>
      <ns0:c r="E64" s="32">
        <ns0:f>IFERROR(C64/D64,0)</ns0:f>
        <ns0:v>0.002336448598130841</ns0:v>
      </ns0:c>
    </ns0:row>
    <ns0:row r="65" ht="32" customHeight="1">
      <ns0:c r="A65" s="19" t="inlineStr">
        <ns0:is>
          <ns0:t>source_level</ns0:t>
        </ns0:is>
      </ns0:c>
      <ns0:c r="B65" s="19" t="inlineStr">
        <ns0:is>
          <ns0:t>Author-institution bibliographic record</ns0:t>
        </ns0:is>
      </ns0:c>
      <ns0:c r="C65" s="27">
        <ns0:f>COUNTIFS('BASE_CIERRE'!$G$5:$G$458,1,'BASE_CIERRE'!$AH$5:$AH$458,"Author-institution bibliographic record")</ns0:f>
        <ns0:v>1</ns0:v>
      </ns0:c>
      <ns0:c r="D65" s="27">
        <ns0:f>COUNTIFS('BASE_CIERRE'!$G$5:$G$458,1)</ns0:f>
        <ns0:v>428</ns0:v>
      </ns0:c>
      <ns0:c r="E65" s="31">
        <ns0:f>IFERROR(C65/D65,0)</ns0:f>
        <ns0:v>0.002336448598130841</ns0:v>
      </ns0:c>
    </ns0:row>
    <ns0:row r="66" ht="32" customHeight="1">
      <ns0:c r="A66" s="21" t="inlineStr">
        <ns0:is>
          <ns0:t>source_level</ns0:t>
        </ns0:is>
      </ns0:c>
      <ns0:c r="B66" s="21" t="inlineStr">
        <ns0:is>
          <ns0:t>Primary-source final article abstract and publication metadata</ns0:t>
        </ns0:is>
      </ns0:c>
      <ns0:c r="C66" s="29">
        <ns0:f>COUNTIFS('BASE_CIERRE'!$G$5:$G$458,1,'BASE_CIERRE'!$AH$5:$AH$458,"Primary-source final article abstract and publication metadata")</ns0:f>
        <ns0:v>1</ns0:v>
      </ns0:c>
      <ns0:c r="D66" s="29">
        <ns0:f>COUNTIFS('BASE_CIERRE'!$G$5:$G$458,1)</ns0:f>
        <ns0:v>428</ns0:v>
      </ns0:c>
      <ns0:c r="E66" s="32">
        <ns0:f>IFERROR(C66/D66,0)</ns0:f>
        <ns0:v>0.002336448598130841</ns0:v>
      </ns0:c>
    </ns0:row>
    <ns0:row r="67" ht="32" customHeight="1">
      <ns0:c r="A67" s="19" t="inlineStr">
        <ns0:is>
          <ns0:t>source_level</ns0:t>
        </ns0:is>
      </ns0:c>
      <ns0:c r="B67" s="19" t="inlineStr">
        <ns0:is>
          <ns0:t>Primary-source final publication metadata</ns0:t>
        </ns0:is>
      </ns0:c>
      <ns0:c r="C67" s="27">
        <ns0:f>COUNTIFS('BASE_CIERRE'!$G$5:$G$458,1,'BASE_CIERRE'!$AH$5:$AH$458,"Primary-source final publication metadata")</ns0:f>
        <ns0:v>1</ns0:v>
      </ns0:c>
      <ns0:c r="D67" s="27">
        <ns0:f>COUNTIFS('BASE_CIERRE'!$G$5:$G$458,1)</ns0:f>
        <ns0:v>428</ns0:v>
      </ns0:c>
      <ns0:c r="E67" s="31">
        <ns0:f>IFERROR(C67/D67,0)</ns0:f>
        <ns0:v>0.002336448598130841</ns0:v>
      </ns0:c>
    </ns0:row>
    <ns0:row r="68" ht="32" customHeight="1">
      <ns0:c r="A68" s="21" t="inlineStr">
        <ns0:is>
          <ns0:t>source_level</ns0:t>
        </ns0:is>
      </ns0:c>
      <ns0:c r="B68" s="21" t="inlineStr">
        <ns0:is>
          <ns0:t>Primary-source abstract and final-publication metadata</ns0:t>
        </ns0:is>
      </ns0:c>
      <ns0:c r="C68" s="29">
        <ns0:f>COUNTIFS('BASE_CIERRE'!$G$5:$G$458,1,'BASE_CIERRE'!$AH$5:$AH$458,"Primary-source abstract and final-publication metadata")</ns0:f>
        <ns0:v>1</ns0:v>
      </ns0:c>
      <ns0:c r="D68" s="29">
        <ns0:f>COUNTIFS('BASE_CIERRE'!$G$5:$G$458,1)</ns0:f>
        <ns0:v>428</ns0:v>
      </ns0:c>
      <ns0:c r="E68" s="32">
        <ns0:f>IFERROR(C68/D68,0)</ns0:f>
        <ns0:v>0.002336448598130841</ns0:v>
      </ns0:c>
    </ns0:row>
  </ns0:sheetData>
  <ns0:autoFilter ref="A4:E68"/>
  <ns0:mergeCells count="2">
    <ns0:mergeCell ref="A2:E2"/>
    <ns0:mergeCell ref="A1:E1"/>
  </ns0:mergeCells>
  <ns0:printOptions horizontalCentered="1"/>
  <ns0:pageMargins left="0.75" right="0.75" top="1" bottom="1" header="0.5" footer="0.5"/>
  <ns0:pageSetup orientation="landscape" paperSize="8" fitToHeight="0" fitToWidth="1"/>
</ns0:worksheet>
</file>

<file path=xl/worksheets/sheet4.xml><?xml version="1.0" encoding="utf-8"?>
<ns0:worksheet xmlns:ns0="http://schemas.openxmlformats.org/spreadsheetml/2006/main">
  <ns0:sheetPr>
    <ns0:tabColor rgb="00177E89"/>
    <ns0:outlinePr summaryBelow="1" summaryRight="0"/>
    <ns0:pageSetUpPr fitToPage="1"/>
  </ns0:sheetPr>
  <ns0:dimension ref="A1:F94"/>
  <ns0:sheetViews>
    <ns0:sheetView showGridLines="0" workbookViewId="0">
      <ns0:pane xSplit="2" ySplit="4" topLeftCell="C5" activePane="bottomRight" state="frozen"/>
      <ns0:selection pane="topRight"/>
      <ns0:selection pane="bottomLeft"/>
      <ns0:selection pane="bottomRight" activeCell="A1" sqref="A1"/>
    </ns0:sheetView>
  </ns0:sheetViews>
  <ns0:sheetFormatPr baseColWidth="8" defaultRowHeight="15"/>
  <ns0:cols>
    <ns0:col width="28" customWidth="1" min="1" max="1"/>
    <ns0:col width="48" customWidth="1" min="2" max="2"/>
    <ns0:col width="24" customWidth="1" min="3" max="3"/>
    <ns0:col width="24" customWidth="1" min="4" max="4"/>
    <ns0:col width="24" customWidth="1" min="5" max="5"/>
    <ns0:col width="24" customWidth="1" min="6" max="6"/>
  </ns0:cols>
  <ns0:sheetData>
    <ns0:row r="1" ht="36" customHeight="1">
      <ns0:c r="A1" s="16" t="inlineStr">
        <ns0:is>
          <ns0:t>RQ1 | Tecnica, fuente y etapa</ns0:t>
        </ns0:is>
      </ns0:c>
    </ns0:row>
    <ns0:row r="2" ht="32" customHeight="1">
      <ns0:c r="A2" s="17" t="inlineStr">
        <ns0:is>
          <ns0:t>Conteos mutuamente exclusivos por informe. Research only no demuestra ausencia de utilidad; Proposed only no demuestra uso clinico.</ns0:t>
        </ns0:is>
      </ns0:c>
    </ns0:row>
    <ns0:row r="4" ht="34" customHeight="1">
      <ns0:c r="A4" s="18" t="inlineStr">
        <ns0:is>
          <ns0:t>stage_primary</ns0:t>
        </ns0:is>
      </ns0:c>
      <ns0:c r="B4" s="18" t="inlineStr">
        <ns0:is>
          <ns0:t>data_source_primary</ns0:t>
        </ns0:is>
      </ns0:c>
      <ns0:c r="C4" s="18" t="inlineStr">
        <ns0:is>
          <ns0:t>ai_type</ns0:t>
        </ns0:is>
      </ns0:c>
      <ns0:c r="D4" s="18" t="inlineStr">
        <ns0:is>
          <ns0:t>n</ns0:t>
        </ns0:is>
      </ns0:c>
      <ns0:c r="E4" s="18" t="inlineStr">
        <ns0:is>
          <ns0:t>denominator_stage</ns0:t>
        </ns0:is>
      </ns0:c>
      <ns0:c r="F4" s="18" t="inlineStr">
        <ns0:is>
          <ns0:t>within_stage_fraction</ns0:t>
        </ns0:is>
      </ns0:c>
    </ns0:row>
    <ns0:row r="5" ht="32" customHeight="1">
      <ns0:c r="A5" s="19" t="inlineStr">
        <ns0:is>
          <ns0:t>Diagnosis</ns0:t>
        </ns0:is>
      </ns0:c>
      <ns0:c r="B5" s="19" t="inlineStr">
        <ns0:is>
          <ns0:t>Audio/voice</ns0:t>
        </ns0:is>
      </ns0:c>
      <ns0:c r="C5" s="19" t="inlineStr">
        <ns0:is>
          <ns0:t>Hybrid</ns0:t>
        </ns0:is>
      </ns0:c>
      <ns0:c r="D5" s="27">
        <ns0:f>COUNTIFS('BASE_CIERRE'!$G$5:$G$458,1,'BASE_CIERRE'!$H$5:$H$458,"Diagnosis",'BASE_CIERRE'!$J$5:$J$458,"Audio/voice",'BASE_CIERRE'!$I$5:$I$458,"Hybrid")</ns0:f>
        <ns0:v>1</ns0:v>
      </ns0:c>
      <ns0:c r="E5" s="27">
        <ns0:f>COUNTIFS('BASE_CIERRE'!$G$5:$G$458,1,'BASE_CIERRE'!$H$5:$H$458,"Diagnosis")</ns0:f>
        <ns0:v>216</ns0:v>
      </ns0:c>
      <ns0:c r="F5" s="31">
        <ns0:f>IFERROR(D5/E5,0)</ns0:f>
        <ns0:v>0.004629629629629629</ns0:v>
      </ns0:c>
    </ns0:row>
    <ns0:row r="6" ht="32" customHeight="1">
      <ns0:c r="A6" s="21" t="inlineStr">
        <ns0:is>
          <ns0:t>Diagnosis</ns0:t>
        </ns0:is>
      </ns0:c>
      <ns0:c r="B6" s="21" t="inlineStr">
        <ns0:is>
          <ns0:t>Audio/voice</ns0:t>
        </ns0:is>
      </ns0:c>
      <ns0:c r="C6" s="21" t="inlineStr">
        <ns0:is>
          <ns0:t>Machine Learning</ns0:t>
        </ns0:is>
      </ns0:c>
      <ns0:c r="D6" s="29">
        <ns0:f>COUNTIFS('BASE_CIERRE'!$G$5:$G$458,1,'BASE_CIERRE'!$H$5:$H$458,"Diagnosis",'BASE_CIERRE'!$J$5:$J$458,"Audio/voice",'BASE_CIERRE'!$I$5:$I$458,"Machine Learning")</ns0:f>
        <ns0:v>1</ns0:v>
      </ns0:c>
      <ns0:c r="E6" s="29">
        <ns0:f>COUNTIFS('BASE_CIERRE'!$G$5:$G$458,1,'BASE_CIERRE'!$H$5:$H$458,"Diagnosis")</ns0:f>
        <ns0:v>216</ns0:v>
      </ns0:c>
      <ns0:c r="F6" s="32">
        <ns0:f>IFERROR(D6/E6,0)</ns0:f>
        <ns0:v>0.004629629629629629</ns0:v>
      </ns0:c>
    </ns0:row>
    <ns0:row r="7" ht="32" customHeight="1">
      <ns0:c r="A7" s="19" t="inlineStr">
        <ns0:is>
          <ns0:t>Diagnosis</ns0:t>
        </ns0:is>
      </ns0:c>
      <ns0:c r="B7" s="19" t="inlineStr">
        <ns0:is>
          <ns0:t>Audio/voice</ns0:t>
        </ns0:is>
      </ns0:c>
      <ns0:c r="C7" s="19" t="inlineStr">
        <ns0:is>
          <ns0:t>Not specified</ns0:t>
        </ns0:is>
      </ns0:c>
      <ns0:c r="D7" s="27">
        <ns0:f>COUNTIFS('BASE_CIERRE'!$G$5:$G$458,1,'BASE_CIERRE'!$H$5:$H$458,"Diagnosis",'BASE_CIERRE'!$J$5:$J$458,"Audio/voice",'BASE_CIERRE'!$I$5:$I$458,"Not specified")</ns0:f>
        <ns0:v>1</ns0:v>
      </ns0:c>
      <ns0:c r="E7" s="27">
        <ns0:f>COUNTIFS('BASE_CIERRE'!$G$5:$G$458,1,'BASE_CIERRE'!$H$5:$H$458,"Diagnosis")</ns0:f>
        <ns0:v>216</ns0:v>
      </ns0:c>
      <ns0:c r="F7" s="31">
        <ns0:f>IFERROR(D7/E7,0)</ns0:f>
        <ns0:v>0.004629629629629629</ns0:v>
      </ns0:c>
    </ns0:row>
    <ns0:row r="8" ht="32" customHeight="1">
      <ns0:c r="A8" s="21" t="inlineStr">
        <ns0:is>
          <ns0:t>Diagnosis</ns0:t>
        </ns0:is>
      </ns0:c>
      <ns0:c r="B8" s="21" t="inlineStr">
        <ns0:is>
          <ns0:t>Behavioral images/video/gaze/movement</ns0:t>
        </ns0:is>
      </ns0:c>
      <ns0:c r="C8" s="21" t="inlineStr">
        <ns0:is>
          <ns0:t>Deep Learning</ns0:t>
        </ns0:is>
      </ns0:c>
      <ns0:c r="D8" s="29">
        <ns0:f>COUNTIFS('BASE_CIERRE'!$G$5:$G$458,1,'BASE_CIERRE'!$H$5:$H$458,"Diagnosis",'BASE_CIERRE'!$J$5:$J$458,"Behavioral images/video/gaze/movement",'BASE_CIERRE'!$I$5:$I$458,"Deep Learning")</ns0:f>
        <ns0:v>9</ns0:v>
      </ns0:c>
      <ns0:c r="E8" s="29">
        <ns0:f>COUNTIFS('BASE_CIERRE'!$G$5:$G$458,1,'BASE_CIERRE'!$H$5:$H$458,"Diagnosis")</ns0:f>
        <ns0:v>216</ns0:v>
      </ns0:c>
      <ns0:c r="F8" s="32">
        <ns0:f>IFERROR(D8/E8,0)</ns0:f>
        <ns0:v>0.041666666666666664</ns0:v>
      </ns0:c>
    </ns0:row>
    <ns0:row r="9" ht="32" customHeight="1">
      <ns0:c r="A9" s="19" t="inlineStr">
        <ns0:is>
          <ns0:t>Diagnosis</ns0:t>
        </ns0:is>
      </ns0:c>
      <ns0:c r="B9" s="19" t="inlineStr">
        <ns0:is>
          <ns0:t>Behavioral images/video/gaze/movement</ns0:t>
        </ns0:is>
      </ns0:c>
      <ns0:c r="C9" s="19" t="inlineStr">
        <ns0:is>
          <ns0:t>Hybrid</ns0:t>
        </ns0:is>
      </ns0:c>
      <ns0:c r="D9" s="27">
        <ns0:f>COUNTIFS('BASE_CIERRE'!$G$5:$G$458,1,'BASE_CIERRE'!$H$5:$H$458,"Diagnosis",'BASE_CIERRE'!$J$5:$J$458,"Behavioral images/video/gaze/movement",'BASE_CIERRE'!$I$5:$I$458,"Hybrid")</ns0:f>
        <ns0:v>2</ns0:v>
      </ns0:c>
      <ns0:c r="E9" s="27">
        <ns0:f>COUNTIFS('BASE_CIERRE'!$G$5:$G$458,1,'BASE_CIERRE'!$H$5:$H$458,"Diagnosis")</ns0:f>
        <ns0:v>216</ns0:v>
      </ns0:c>
      <ns0:c r="F9" s="31">
        <ns0:f>IFERROR(D9/E9,0)</ns0:f>
        <ns0:v>0.009259259259259259</ns0:v>
      </ns0:c>
    </ns0:row>
    <ns0:row r="10" ht="32" customHeight="1">
      <ns0:c r="A10" s="21" t="inlineStr">
        <ns0:is>
          <ns0:t>Diagnosis</ns0:t>
        </ns0:is>
      </ns0:c>
      <ns0:c r="B10" s="21" t="inlineStr">
        <ns0:is>
          <ns0:t>Behavioral images/video/gaze/movement</ns0:t>
        </ns0:is>
      </ns0:c>
      <ns0:c r="C10" s="21" t="inlineStr">
        <ns0:is>
          <ns0:t>Machine Learning</ns0:t>
        </ns0:is>
      </ns0:c>
      <ns0:c r="D10" s="29">
        <ns0:f>COUNTIFS('BASE_CIERRE'!$G$5:$G$458,1,'BASE_CIERRE'!$H$5:$H$458,"Diagnosis",'BASE_CIERRE'!$J$5:$J$458,"Behavioral images/video/gaze/movement",'BASE_CIERRE'!$I$5:$I$458,"Machine Learning")</ns0:f>
        <ns0:v>8</ns0:v>
      </ns0:c>
      <ns0:c r="E10" s="29">
        <ns0:f>COUNTIFS('BASE_CIERRE'!$G$5:$G$458,1,'BASE_CIERRE'!$H$5:$H$458,"Diagnosis")</ns0:f>
        <ns0:v>216</ns0:v>
      </ns0:c>
      <ns0:c r="F10" s="32">
        <ns0:f>IFERROR(D10/E10,0)</ns0:f>
        <ns0:v>0.037037037037037035</ns0:v>
      </ns0:c>
    </ns0:row>
    <ns0:row r="11" ht="32" customHeight="1">
      <ns0:c r="A11" s="19" t="inlineStr">
        <ns0:is>
          <ns0:t>Diagnosis</ns0:t>
        </ns0:is>
      </ns0:c>
      <ns0:c r="B11" s="19" t="inlineStr">
        <ns0:is>
          <ns0:t>Behavioral images/video/gaze/movement</ns0:t>
        </ns0:is>
      </ns0:c>
      <ns0:c r="C11" s="19" t="inlineStr">
        <ns0:is>
          <ns0:t>Not specified</ns0:t>
        </ns0:is>
      </ns0:c>
      <ns0:c r="D11" s="27">
        <ns0:f>COUNTIFS('BASE_CIERRE'!$G$5:$G$458,1,'BASE_CIERRE'!$H$5:$H$458,"Diagnosis",'BASE_CIERRE'!$J$5:$J$458,"Behavioral images/video/gaze/movement",'BASE_CIERRE'!$I$5:$I$458,"Not specified")</ns0:f>
        <ns0:v>1</ns0:v>
      </ns0:c>
      <ns0:c r="E11" s="27">
        <ns0:f>COUNTIFS('BASE_CIERRE'!$G$5:$G$458,1,'BASE_CIERRE'!$H$5:$H$458,"Diagnosis")</ns0:f>
        <ns0:v>216</ns0:v>
      </ns0:c>
      <ns0:c r="F11" s="31">
        <ns0:f>IFERROR(D11/E11,0)</ns0:f>
        <ns0:v>0.004629629629629629</ns0:v>
      </ns0:c>
    </ns0:row>
    <ns0:row r="12" ht="32" customHeight="1">
      <ns0:c r="A12" s="21" t="inlineStr">
        <ns0:is>
          <ns0:t>Diagnosis</ns0:t>
        </ns0:is>
      </ns0:c>
      <ns0:c r="B12" s="21" t="inlineStr">
        <ns0:is>
          <ns0:t>Biological/omics</ns0:t>
        </ns0:is>
      </ns0:c>
      <ns0:c r="C12" s="21" t="inlineStr">
        <ns0:is>
          <ns0:t>Machine Learning</ns0:t>
        </ns0:is>
      </ns0:c>
      <ns0:c r="D12" s="29">
        <ns0:f>COUNTIFS('BASE_CIERRE'!$G$5:$G$458,1,'BASE_CIERRE'!$H$5:$H$458,"Diagnosis",'BASE_CIERRE'!$J$5:$J$458,"Biological/omics",'BASE_CIERRE'!$I$5:$I$458,"Machine Learning")</ns0:f>
        <ns0:v>19</ns0:v>
      </ns0:c>
      <ns0:c r="E12" s="29">
        <ns0:f>COUNTIFS('BASE_CIERRE'!$G$5:$G$458,1,'BASE_CIERRE'!$H$5:$H$458,"Diagnosis")</ns0:f>
        <ns0:v>216</ns0:v>
      </ns0:c>
      <ns0:c r="F12" s="32">
        <ns0:f>IFERROR(D12/E12,0)</ns0:f>
        <ns0:v>0.08796296296296297</ns0:v>
      </ns0:c>
    </ns0:row>
    <ns0:row r="13" ht="32" customHeight="1">
      <ns0:c r="A13" s="19" t="inlineStr">
        <ns0:is>
          <ns0:t>Diagnosis</ns0:t>
        </ns0:is>
      </ns0:c>
      <ns0:c r="B13" s="19" t="inlineStr">
        <ns0:is>
          <ns0:t>Multiple source categories</ns0:t>
        </ns0:is>
      </ns0:c>
      <ns0:c r="C13" s="19" t="inlineStr">
        <ns0:is>
          <ns0:t>Deep Learning</ns0:t>
        </ns0:is>
      </ns0:c>
      <ns0:c r="D13" s="27">
        <ns0:f>COUNTIFS('BASE_CIERRE'!$G$5:$G$458,1,'BASE_CIERRE'!$H$5:$H$458,"Diagnosis",'BASE_CIERRE'!$J$5:$J$458,"Multiple source categories",'BASE_CIERRE'!$I$5:$I$458,"Deep Learning")</ns0:f>
        <ns0:v>10</ns0:v>
      </ns0:c>
      <ns0:c r="E13" s="27">
        <ns0:f>COUNTIFS('BASE_CIERRE'!$G$5:$G$458,1,'BASE_CIERRE'!$H$5:$H$458,"Diagnosis")</ns0:f>
        <ns0:v>216</ns0:v>
      </ns0:c>
      <ns0:c r="F13" s="31">
        <ns0:f>IFERROR(D13/E13,0)</ns0:f>
        <ns0:v>0.046296296296296294</ns0:v>
      </ns0:c>
    </ns0:row>
    <ns0:row r="14" ht="32" customHeight="1">
      <ns0:c r="A14" s="21" t="inlineStr">
        <ns0:is>
          <ns0:t>Diagnosis</ns0:t>
        </ns0:is>
      </ns0:c>
      <ns0:c r="B14" s="21" t="inlineStr">
        <ns0:is>
          <ns0:t>Multiple source categories</ns0:t>
        </ns0:is>
      </ns0:c>
      <ns0:c r="C14" s="21" t="inlineStr">
        <ns0:is>
          <ns0:t>Hybrid</ns0:t>
        </ns0:is>
      </ns0:c>
      <ns0:c r="D14" s="29">
        <ns0:f>COUNTIFS('BASE_CIERRE'!$G$5:$G$458,1,'BASE_CIERRE'!$H$5:$H$458,"Diagnosis",'BASE_CIERRE'!$J$5:$J$458,"Multiple source categories",'BASE_CIERRE'!$I$5:$I$458,"Hybrid")</ns0:f>
        <ns0:v>2</ns0:v>
      </ns0:c>
      <ns0:c r="E14" s="29">
        <ns0:f>COUNTIFS('BASE_CIERRE'!$G$5:$G$458,1,'BASE_CIERRE'!$H$5:$H$458,"Diagnosis")</ns0:f>
        <ns0:v>216</ns0:v>
      </ns0:c>
      <ns0:c r="F14" s="32">
        <ns0:f>IFERROR(D14/E14,0)</ns0:f>
        <ns0:v>0.009259259259259259</ns0:v>
      </ns0:c>
    </ns0:row>
    <ns0:row r="15" ht="32" customHeight="1">
      <ns0:c r="A15" s="19" t="inlineStr">
        <ns0:is>
          <ns0:t>Diagnosis</ns0:t>
        </ns0:is>
      </ns0:c>
      <ns0:c r="B15" s="19" t="inlineStr">
        <ns0:is>
          <ns0:t>Multiple source categories</ns0:t>
        </ns0:is>
      </ns0:c>
      <ns0:c r="C15" s="19" t="inlineStr">
        <ns0:is>
          <ns0:t>Machine Learning</ns0:t>
        </ns0:is>
      </ns0:c>
      <ns0:c r="D15" s="27">
        <ns0:f>COUNTIFS('BASE_CIERRE'!$G$5:$G$458,1,'BASE_CIERRE'!$H$5:$H$458,"Diagnosis",'BASE_CIERRE'!$J$5:$J$458,"Multiple source categories",'BASE_CIERRE'!$I$5:$I$458,"Machine Learning")</ns0:f>
        <ns0:v>9</ns0:v>
      </ns0:c>
      <ns0:c r="E15" s="27">
        <ns0:f>COUNTIFS('BASE_CIERRE'!$G$5:$G$458,1,'BASE_CIERRE'!$H$5:$H$458,"Diagnosis")</ns0:f>
        <ns0:v>216</ns0:v>
      </ns0:c>
      <ns0:c r="F15" s="31">
        <ns0:f>IFERROR(D15/E15,0)</ns0:f>
        <ns0:v>0.041666666666666664</ns0:v>
      </ns0:c>
    </ns0:row>
    <ns0:row r="16" ht="32" customHeight="1">
      <ns0:c r="A16" s="21" t="inlineStr">
        <ns0:is>
          <ns0:t>Diagnosis</ns0:t>
        </ns0:is>
      </ns0:c>
      <ns0:c r="B16" s="21" t="inlineStr">
        <ns0:is>
          <ns0:t>Multiple source categories</ns0:t>
        </ns0:is>
      </ns0:c>
      <ns0:c r="C16" s="21" t="inlineStr">
        <ns0:is>
          <ns0:t>Not specified</ns0:t>
        </ns0:is>
      </ns0:c>
      <ns0:c r="D16" s="29">
        <ns0:f>COUNTIFS('BASE_CIERRE'!$G$5:$G$458,1,'BASE_CIERRE'!$H$5:$H$458,"Diagnosis",'BASE_CIERRE'!$J$5:$J$458,"Multiple source categories",'BASE_CIERRE'!$I$5:$I$458,"Not specified")</ns0:f>
        <ns0:v>1</ns0:v>
      </ns0:c>
      <ns0:c r="E16" s="29">
        <ns0:f>COUNTIFS('BASE_CIERRE'!$G$5:$G$458,1,'BASE_CIERRE'!$H$5:$H$458,"Diagnosis")</ns0:f>
        <ns0:v>216</ns0:v>
      </ns0:c>
      <ns0:c r="F16" s="32">
        <ns0:f>IFERROR(D16/E16,0)</ns0:f>
        <ns0:v>0.004629629629629629</ns0:v>
      </ns0:c>
    </ns0:row>
    <ns0:row r="17" ht="32" customHeight="1">
      <ns0:c r="A17" s="19" t="inlineStr">
        <ns0:is>
          <ns0:t>Diagnosis</ns0:t>
        </ns0:is>
      </ns0:c>
      <ns0:c r="B17" s="19" t="inlineStr">
        <ns0:is>
          <ns0:t>Neuroimaging</ns0:t>
        </ns0:is>
      </ns0:c>
      <ns0:c r="C17" s="19" t="inlineStr">
        <ns0:is>
          <ns0:t>Deep Learning</ns0:t>
        </ns0:is>
      </ns0:c>
      <ns0:c r="D17" s="27">
        <ns0:f>COUNTIFS('BASE_CIERRE'!$G$5:$G$458,1,'BASE_CIERRE'!$H$5:$H$458,"Diagnosis",'BASE_CIERRE'!$J$5:$J$458,"Neuroimaging",'BASE_CIERRE'!$I$5:$I$458,"Deep Learning")</ns0:f>
        <ns0:v>47</ns0:v>
      </ns0:c>
      <ns0:c r="E17" s="27">
        <ns0:f>COUNTIFS('BASE_CIERRE'!$G$5:$G$458,1,'BASE_CIERRE'!$H$5:$H$458,"Diagnosis")</ns0:f>
        <ns0:v>216</ns0:v>
      </ns0:c>
      <ns0:c r="F17" s="31">
        <ns0:f>IFERROR(D17/E17,0)</ns0:f>
        <ns0:v>0.2175925925925926</ns0:v>
      </ns0:c>
    </ns0:row>
    <ns0:row r="18" ht="32" customHeight="1">
      <ns0:c r="A18" s="21" t="inlineStr">
        <ns0:is>
          <ns0:t>Diagnosis</ns0:t>
        </ns0:is>
      </ns0:c>
      <ns0:c r="B18" s="21" t="inlineStr">
        <ns0:is>
          <ns0:t>Neuroimaging</ns0:t>
        </ns0:is>
      </ns0:c>
      <ns0:c r="C18" s="21" t="inlineStr">
        <ns0:is>
          <ns0:t>Hybrid</ns0:t>
        </ns0:is>
      </ns0:c>
      <ns0:c r="D18" s="29">
        <ns0:f>COUNTIFS('BASE_CIERRE'!$G$5:$G$458,1,'BASE_CIERRE'!$H$5:$H$458,"Diagnosis",'BASE_CIERRE'!$J$5:$J$458,"Neuroimaging",'BASE_CIERRE'!$I$5:$I$458,"Hybrid")</ns0:f>
        <ns0:v>7</ns0:v>
      </ns0:c>
      <ns0:c r="E18" s="29">
        <ns0:f>COUNTIFS('BASE_CIERRE'!$G$5:$G$458,1,'BASE_CIERRE'!$H$5:$H$458,"Diagnosis")</ns0:f>
        <ns0:v>216</ns0:v>
      </ns0:c>
      <ns0:c r="F18" s="32">
        <ns0:f>IFERROR(D18/E18,0)</ns0:f>
        <ns0:v>0.032407407407407406</ns0:v>
      </ns0:c>
    </ns0:row>
    <ns0:row r="19" ht="32" customHeight="1">
      <ns0:c r="A19" s="19" t="inlineStr">
        <ns0:is>
          <ns0:t>Diagnosis</ns0:t>
        </ns0:is>
      </ns0:c>
      <ns0:c r="B19" s="19" t="inlineStr">
        <ns0:is>
          <ns0:t>Neuroimaging</ns0:t>
        </ns0:is>
      </ns0:c>
      <ns0:c r="C19" s="19" t="inlineStr">
        <ns0:is>
          <ns0:t>Machine Learning</ns0:t>
        </ns0:is>
      </ns0:c>
      <ns0:c r="D19" s="27">
        <ns0:f>COUNTIFS('BASE_CIERRE'!$G$5:$G$458,1,'BASE_CIERRE'!$H$5:$H$458,"Diagnosis",'BASE_CIERRE'!$J$5:$J$458,"Neuroimaging",'BASE_CIERRE'!$I$5:$I$458,"Machine Learning")</ns0:f>
        <ns0:v>34</ns0:v>
      </ns0:c>
      <ns0:c r="E19" s="27">
        <ns0:f>COUNTIFS('BASE_CIERRE'!$G$5:$G$458,1,'BASE_CIERRE'!$H$5:$H$458,"Diagnosis")</ns0:f>
        <ns0:v>216</ns0:v>
      </ns0:c>
      <ns0:c r="F19" s="31">
        <ns0:f>IFERROR(D19/E19,0)</ns0:f>
        <ns0:v>0.1574074074074074</ns0:v>
      </ns0:c>
    </ns0:row>
    <ns0:row r="20" ht="32" customHeight="1">
      <ns0:c r="A20" s="21" t="inlineStr">
        <ns0:is>
          <ns0:t>Diagnosis</ns0:t>
        </ns0:is>
      </ns0:c>
      <ns0:c r="B20" s="21" t="inlineStr">
        <ns0:is>
          <ns0:t>Neuroimaging</ns0:t>
        </ns0:is>
      </ns0:c>
      <ns0:c r="C20" s="21" t="inlineStr">
        <ns0:is>
          <ns0:t>Not specified</ns0:t>
        </ns0:is>
      </ns0:c>
      <ns0:c r="D20" s="29">
        <ns0:f>COUNTIFS('BASE_CIERRE'!$G$5:$G$458,1,'BASE_CIERRE'!$H$5:$H$458,"Diagnosis",'BASE_CIERRE'!$J$5:$J$458,"Neuroimaging",'BASE_CIERRE'!$I$5:$I$458,"Not specified")</ns0:f>
        <ns0:v>2</ns0:v>
      </ns0:c>
      <ns0:c r="E20" s="29">
        <ns0:f>COUNTIFS('BASE_CIERRE'!$G$5:$G$458,1,'BASE_CIERRE'!$H$5:$H$458,"Diagnosis")</ns0:f>
        <ns0:v>216</ns0:v>
      </ns0:c>
      <ns0:c r="F20" s="32">
        <ns0:f>IFERROR(D20/E20,0)</ns0:f>
        <ns0:v>0.009259259259259259</ns0:v>
      </ns0:c>
    </ns0:row>
    <ns0:row r="21" ht="32" customHeight="1">
      <ns0:c r="A21" s="19" t="inlineStr">
        <ns0:is>
          <ns0:t>Diagnosis</ns0:t>
        </ns0:is>
      </ns0:c>
      <ns0:c r="B21" s="19" t="inlineStr">
        <ns0:is>
          <ns0:t>Not specified</ns0:t>
        </ns0:is>
      </ns0:c>
      <ns0:c r="C21" s="19" t="inlineStr">
        <ns0:is>
          <ns0:t>Deep Learning</ns0:t>
        </ns0:is>
      </ns0:c>
      <ns0:c r="D21" s="27">
        <ns0:f>COUNTIFS('BASE_CIERRE'!$G$5:$G$458,1,'BASE_CIERRE'!$H$5:$H$458,"Diagnosis",'BASE_CIERRE'!$J$5:$J$458,"Not specified",'BASE_CIERRE'!$I$5:$I$458,"Deep Learning")</ns0:f>
        <ns0:v>2</ns0:v>
      </ns0:c>
      <ns0:c r="E21" s="27">
        <ns0:f>COUNTIFS('BASE_CIERRE'!$G$5:$G$458,1,'BASE_CIERRE'!$H$5:$H$458,"Diagnosis")</ns0:f>
        <ns0:v>216</ns0:v>
      </ns0:c>
      <ns0:c r="F21" s="31">
        <ns0:f>IFERROR(D21/E21,0)</ns0:f>
        <ns0:v>0.009259259259259259</ns0:v>
      </ns0:c>
    </ns0:row>
    <ns0:row r="22" ht="32" customHeight="1">
      <ns0:c r="A22" s="21" t="inlineStr">
        <ns0:is>
          <ns0:t>Diagnosis</ns0:t>
        </ns0:is>
      </ns0:c>
      <ns0:c r="B22" s="21" t="inlineStr">
        <ns0:is>
          <ns0:t>Not specified</ns0:t>
        </ns0:is>
      </ns0:c>
      <ns0:c r="C22" s="21" t="inlineStr">
        <ns0:is>
          <ns0:t>Machine Learning</ns0:t>
        </ns0:is>
      </ns0:c>
      <ns0:c r="D22" s="29">
        <ns0:f>COUNTIFS('BASE_CIERRE'!$G$5:$G$458,1,'BASE_CIERRE'!$H$5:$H$458,"Diagnosis",'BASE_CIERRE'!$J$5:$J$458,"Not specified",'BASE_CIERRE'!$I$5:$I$458,"Machine Learning")</ns0:f>
        <ns0:v>1</ns0:v>
      </ns0:c>
      <ns0:c r="E22" s="29">
        <ns0:f>COUNTIFS('BASE_CIERRE'!$G$5:$G$458,1,'BASE_CIERRE'!$H$5:$H$458,"Diagnosis")</ns0:f>
        <ns0:v>216</ns0:v>
      </ns0:c>
      <ns0:c r="F22" s="32">
        <ns0:f>IFERROR(D22/E22,0)</ns0:f>
        <ns0:v>0.004629629629629629</ns0:v>
      </ns0:c>
    </ns0:row>
    <ns0:row r="23" ht="32" customHeight="1">
      <ns0:c r="A23" s="19" t="inlineStr">
        <ns0:is>
          <ns0:t>Diagnosis</ns0:t>
        </ns0:is>
      </ns0:c>
      <ns0:c r="B23" s="19" t="inlineStr">
        <ns0:is>
          <ns0:t>Not specified</ns0:t>
        </ns0:is>
      </ns0:c>
      <ns0:c r="C23" s="19" t="inlineStr">
        <ns0:is>
          <ns0:t>Not specified</ns0:t>
        </ns0:is>
      </ns0:c>
      <ns0:c r="D23" s="27">
        <ns0:f>COUNTIFS('BASE_CIERRE'!$G$5:$G$458,1,'BASE_CIERRE'!$H$5:$H$458,"Diagnosis",'BASE_CIERRE'!$J$5:$J$458,"Not specified",'BASE_CIERRE'!$I$5:$I$458,"Not specified")</ns0:f>
        <ns0:v>1</ns0:v>
      </ns0:c>
      <ns0:c r="E23" s="27">
        <ns0:f>COUNTIFS('BASE_CIERRE'!$G$5:$G$458,1,'BASE_CIERRE'!$H$5:$H$458,"Diagnosis")</ns0:f>
        <ns0:v>216</ns0:v>
      </ns0:c>
      <ns0:c r="F23" s="31">
        <ns0:f>IFERROR(D23/E23,0)</ns0:f>
        <ns0:v>0.004629629629629629</ns0:v>
      </ns0:c>
    </ns0:row>
    <ns0:row r="24" ht="32" customHeight="1">
      <ns0:c r="A24" s="21" t="inlineStr">
        <ns0:is>
          <ns0:t>Diagnosis</ns0:t>
        </ns0:is>
      </ns0:c>
      <ns0:c r="B24" s="21" t="inlineStr">
        <ns0:is>
          <ns0:t>Other biomedical/digital data</ns0:t>
        </ns0:is>
      </ns0:c>
      <ns0:c r="C24" s="21" t="inlineStr">
        <ns0:is>
          <ns0:t>Machine Learning</ns0:t>
        </ns0:is>
      </ns0:c>
      <ns0:c r="D24" s="29">
        <ns0:f>COUNTIFS('BASE_CIERRE'!$G$5:$G$458,1,'BASE_CIERRE'!$H$5:$H$458,"Diagnosis",'BASE_CIERRE'!$J$5:$J$458,"Other biomedical/digital data",'BASE_CIERRE'!$I$5:$I$458,"Machine Learning")</ns0:f>
        <ns0:v>1</ns0:v>
      </ns0:c>
      <ns0:c r="E24" s="29">
        <ns0:f>COUNTIFS('BASE_CIERRE'!$G$5:$G$458,1,'BASE_CIERRE'!$H$5:$H$458,"Diagnosis")</ns0:f>
        <ns0:v>216</ns0:v>
      </ns0:c>
      <ns0:c r="F24" s="32">
        <ns0:f>IFERROR(D24/E24,0)</ns0:f>
        <ns0:v>0.004629629629629629</ns0:v>
      </ns0:c>
    </ns0:row>
    <ns0:row r="25" ht="32" customHeight="1">
      <ns0:c r="A25" s="19" t="inlineStr">
        <ns0:is>
          <ns0:t>Diagnosis</ns0:t>
        </ns0:is>
      </ns0:c>
      <ns0:c r="B25" s="19" t="inlineStr">
        <ns0:is>
          <ns0:t>Physiological signals</ns0:t>
        </ns0:is>
      </ns0:c>
      <ns0:c r="C25" s="19" t="inlineStr">
        <ns0:is>
          <ns0:t>Deep Learning</ns0:t>
        </ns0:is>
      </ns0:c>
      <ns0:c r="D25" s="27">
        <ns0:f>COUNTIFS('BASE_CIERRE'!$G$5:$G$458,1,'BASE_CIERRE'!$H$5:$H$458,"Diagnosis",'BASE_CIERRE'!$J$5:$J$458,"Physiological signals",'BASE_CIERRE'!$I$5:$I$458,"Deep Learning")</ns0:f>
        <ns0:v>17</ns0:v>
      </ns0:c>
      <ns0:c r="E25" s="27">
        <ns0:f>COUNTIFS('BASE_CIERRE'!$G$5:$G$458,1,'BASE_CIERRE'!$H$5:$H$458,"Diagnosis")</ns0:f>
        <ns0:v>216</ns0:v>
      </ns0:c>
      <ns0:c r="F25" s="31">
        <ns0:f>IFERROR(D25/E25,0)</ns0:f>
        <ns0:v>0.0787037037037037</ns0:v>
      </ns0:c>
    </ns0:row>
    <ns0:row r="26" ht="32" customHeight="1">
      <ns0:c r="A26" s="21" t="inlineStr">
        <ns0:is>
          <ns0:t>Diagnosis</ns0:t>
        </ns0:is>
      </ns0:c>
      <ns0:c r="B26" s="21" t="inlineStr">
        <ns0:is>
          <ns0:t>Physiological signals</ns0:t>
        </ns0:is>
      </ns0:c>
      <ns0:c r="C26" s="21" t="inlineStr">
        <ns0:is>
          <ns0:t>Hybrid</ns0:t>
        </ns0:is>
      </ns0:c>
      <ns0:c r="D26" s="29">
        <ns0:f>COUNTIFS('BASE_CIERRE'!$G$5:$G$458,1,'BASE_CIERRE'!$H$5:$H$458,"Diagnosis",'BASE_CIERRE'!$J$5:$J$458,"Physiological signals",'BASE_CIERRE'!$I$5:$I$458,"Hybrid")</ns0:f>
        <ns0:v>3</ns0:v>
      </ns0:c>
      <ns0:c r="E26" s="29">
        <ns0:f>COUNTIFS('BASE_CIERRE'!$G$5:$G$458,1,'BASE_CIERRE'!$H$5:$H$458,"Diagnosis")</ns0:f>
        <ns0:v>216</ns0:v>
      </ns0:c>
      <ns0:c r="F26" s="32">
        <ns0:f>IFERROR(D26/E26,0)</ns0:f>
        <ns0:v>0.013888888888888888</ns0:v>
      </ns0:c>
    </ns0:row>
    <ns0:row r="27" ht="32" customHeight="1">
      <ns0:c r="A27" s="19" t="inlineStr">
        <ns0:is>
          <ns0:t>Diagnosis</ns0:t>
        </ns0:is>
      </ns0:c>
      <ns0:c r="B27" s="19" t="inlineStr">
        <ns0:is>
          <ns0:t>Physiological signals</ns0:t>
        </ns0:is>
      </ns0:c>
      <ns0:c r="C27" s="19" t="inlineStr">
        <ns0:is>
          <ns0:t>Machine Learning</ns0:t>
        </ns0:is>
      </ns0:c>
      <ns0:c r="D27" s="27">
        <ns0:f>COUNTIFS('BASE_CIERRE'!$G$5:$G$458,1,'BASE_CIERRE'!$H$5:$H$458,"Diagnosis",'BASE_CIERRE'!$J$5:$J$458,"Physiological signals",'BASE_CIERRE'!$I$5:$I$458,"Machine Learning")</ns0:f>
        <ns0:v>14</ns0:v>
      </ns0:c>
      <ns0:c r="E27" s="27">
        <ns0:f>COUNTIFS('BASE_CIERRE'!$G$5:$G$458,1,'BASE_CIERRE'!$H$5:$H$458,"Diagnosis")</ns0:f>
        <ns0:v>216</ns0:v>
      </ns0:c>
      <ns0:c r="F27" s="31">
        <ns0:f>IFERROR(D27/E27,0)</ns0:f>
        <ns0:v>0.06481481481481481</ns0:v>
      </ns0:c>
    </ns0:row>
    <ns0:row r="28" ht="32" customHeight="1">
      <ns0:c r="A28" s="21" t="inlineStr">
        <ns0:is>
          <ns0:t>Diagnosis</ns0:t>
        </ns0:is>
      </ns0:c>
      <ns0:c r="B28" s="21" t="inlineStr">
        <ns0:is>
          <ns0:t>Structured clinical/questionnaire data</ns0:t>
        </ns0:is>
      </ns0:c>
      <ns0:c r="C28" s="21" t="inlineStr">
        <ns0:is>
          <ns0:t>Deep Learning</ns0:t>
        </ns0:is>
      </ns0:c>
      <ns0:c r="D28" s="29">
        <ns0:f>COUNTIFS('BASE_CIERRE'!$G$5:$G$458,1,'BASE_CIERRE'!$H$5:$H$458,"Diagnosis",'BASE_CIERRE'!$J$5:$J$458,"Structured clinical/questionnaire data",'BASE_CIERRE'!$I$5:$I$458,"Deep Learning")</ns0:f>
        <ns0:v>1</ns0:v>
      </ns0:c>
      <ns0:c r="E28" s="29">
        <ns0:f>COUNTIFS('BASE_CIERRE'!$G$5:$G$458,1,'BASE_CIERRE'!$H$5:$H$458,"Diagnosis")</ns0:f>
        <ns0:v>216</ns0:v>
      </ns0:c>
      <ns0:c r="F28" s="32">
        <ns0:f>IFERROR(D28/E28,0)</ns0:f>
        <ns0:v>0.004629629629629629</ns0:v>
      </ns0:c>
    </ns0:row>
    <ns0:row r="29" ht="32" customHeight="1">
      <ns0:c r="A29" s="19" t="inlineStr">
        <ns0:is>
          <ns0:t>Diagnosis</ns0:t>
        </ns0:is>
      </ns0:c>
      <ns0:c r="B29" s="19" t="inlineStr">
        <ns0:is>
          <ns0:t>Structured clinical/questionnaire data</ns0:t>
        </ns0:is>
      </ns0:c>
      <ns0:c r="C29" s="19" t="inlineStr">
        <ns0:is>
          <ns0:t>Machine Learning</ns0:t>
        </ns0:is>
      </ns0:c>
      <ns0:c r="D29" s="27">
        <ns0:f>COUNTIFS('BASE_CIERRE'!$G$5:$G$458,1,'BASE_CIERRE'!$H$5:$H$458,"Diagnosis",'BASE_CIERRE'!$J$5:$J$458,"Structured clinical/questionnaire data",'BASE_CIERRE'!$I$5:$I$458,"Machine Learning")</ns0:f>
        <ns0:v>17</ns0:v>
      </ns0:c>
      <ns0:c r="E29" s="27">
        <ns0:f>COUNTIFS('BASE_CIERRE'!$G$5:$G$458,1,'BASE_CIERRE'!$H$5:$H$458,"Diagnosis")</ns0:f>
        <ns0:v>216</ns0:v>
      </ns0:c>
      <ns0:c r="F29" s="31">
        <ns0:f>IFERROR(D29/E29,0)</ns0:f>
        <ns0:v>0.0787037037037037</ns0:v>
      </ns0:c>
    </ns0:row>
    <ns0:row r="30" ht="32" customHeight="1">
      <ns0:c r="A30" s="21" t="inlineStr">
        <ns0:is>
          <ns0:t>Diagnosis</ns0:t>
        </ns0:is>
      </ns0:c>
      <ns0:c r="B30" s="21" t="inlineStr">
        <ns0:is>
          <ns0:t>Text/language</ns0:t>
        </ns0:is>
      </ns0:c>
      <ns0:c r="C30" s="21" t="inlineStr">
        <ns0:is>
          <ns0:t>Deep Learning</ns0:t>
        </ns0:is>
      </ns0:c>
      <ns0:c r="D30" s="29">
        <ns0:f>COUNTIFS('BASE_CIERRE'!$G$5:$G$458,1,'BASE_CIERRE'!$H$5:$H$458,"Diagnosis",'BASE_CIERRE'!$J$5:$J$458,"Text/language",'BASE_CIERRE'!$I$5:$I$458,"Deep Learning")</ns0:f>
        <ns0:v>5</ns0:v>
      </ns0:c>
      <ns0:c r="E30" s="29">
        <ns0:f>COUNTIFS('BASE_CIERRE'!$G$5:$G$458,1,'BASE_CIERRE'!$H$5:$H$458,"Diagnosis")</ns0:f>
        <ns0:v>216</ns0:v>
      </ns0:c>
      <ns0:c r="F30" s="32">
        <ns0:f>IFERROR(D30/E30,0)</ns0:f>
        <ns0:v>0.023148148148148147</ns0:v>
      </ns0:c>
    </ns0:row>
    <ns0:row r="31" ht="32" customHeight="1">
      <ns0:c r="A31" s="19" t="inlineStr">
        <ns0:is>
          <ns0:t>Monitoring/intervention</ns0:t>
        </ns0:is>
      </ns0:c>
      <ns0:c r="B31" s="19" t="inlineStr">
        <ns0:is>
          <ns0:t>Audio/voice</ns0:t>
        </ns0:is>
      </ns0:c>
      <ns0:c r="C31" s="19" t="inlineStr">
        <ns0:is>
          <ns0:t>Deep Learning</ns0:t>
        </ns0:is>
      </ns0:c>
      <ns0:c r="D31" s="27">
        <ns0:f>COUNTIFS('BASE_CIERRE'!$G$5:$G$458,1,'BASE_CIERRE'!$H$5:$H$458,"Monitoring/intervention",'BASE_CIERRE'!$J$5:$J$458,"Audio/voice",'BASE_CIERRE'!$I$5:$I$458,"Deep Learning")</ns0:f>
        <ns0:v>1</ns0:v>
      </ns0:c>
      <ns0:c r="E31" s="27">
        <ns0:f>COUNTIFS('BASE_CIERRE'!$G$5:$G$458,1,'BASE_CIERRE'!$H$5:$H$458,"Monitoring/intervention")</ns0:f>
        <ns0:v>38</ns0:v>
      </ns0:c>
      <ns0:c r="F31" s="31">
        <ns0:f>IFERROR(D31/E31,0)</ns0:f>
        <ns0:v>0.02631578947368421</ns0:v>
      </ns0:c>
    </ns0:row>
    <ns0:row r="32" ht="32" customHeight="1">
      <ns0:c r="A32" s="21" t="inlineStr">
        <ns0:is>
          <ns0:t>Monitoring/intervention</ns0:t>
        </ns0:is>
      </ns0:c>
      <ns0:c r="B32" s="21" t="inlineStr">
        <ns0:is>
          <ns0:t>Audio/voice</ns0:t>
        </ns0:is>
      </ns0:c>
      <ns0:c r="C32" s="21" t="inlineStr">
        <ns0:is>
          <ns0:t>Not specified</ns0:t>
        </ns0:is>
      </ns0:c>
      <ns0:c r="D32" s="29">
        <ns0:f>COUNTIFS('BASE_CIERRE'!$G$5:$G$458,1,'BASE_CIERRE'!$H$5:$H$458,"Monitoring/intervention",'BASE_CIERRE'!$J$5:$J$458,"Audio/voice",'BASE_CIERRE'!$I$5:$I$458,"Not specified")</ns0:f>
        <ns0:v>1</ns0:v>
      </ns0:c>
      <ns0:c r="E32" s="29">
        <ns0:f>COUNTIFS('BASE_CIERRE'!$G$5:$G$458,1,'BASE_CIERRE'!$H$5:$H$458,"Monitoring/intervention")</ns0:f>
        <ns0:v>38</ns0:v>
      </ns0:c>
      <ns0:c r="F32" s="32">
        <ns0:f>IFERROR(D32/E32,0)</ns0:f>
        <ns0:v>0.02631578947368421</ns0:v>
      </ns0:c>
    </ns0:row>
    <ns0:row r="33" ht="32" customHeight="1">
      <ns0:c r="A33" s="19" t="inlineStr">
        <ns0:is>
          <ns0:t>Monitoring/intervention</ns0:t>
        </ns0:is>
      </ns0:c>
      <ns0:c r="B33" s="19" t="inlineStr">
        <ns0:is>
          <ns0:t>Behavioral images/video/gaze/movement</ns0:t>
        </ns0:is>
      </ns0:c>
      <ns0:c r="C33" s="19" t="inlineStr">
        <ns0:is>
          <ns0:t>Deep Learning</ns0:t>
        </ns0:is>
      </ns0:c>
      <ns0:c r="D33" s="27">
        <ns0:f>COUNTIFS('BASE_CIERRE'!$G$5:$G$458,1,'BASE_CIERRE'!$H$5:$H$458,"Monitoring/intervention",'BASE_CIERRE'!$J$5:$J$458,"Behavioral images/video/gaze/movement",'BASE_CIERRE'!$I$5:$I$458,"Deep Learning")</ns0:f>
        <ns0:v>7</ns0:v>
      </ns0:c>
      <ns0:c r="E33" s="27">
        <ns0:f>COUNTIFS('BASE_CIERRE'!$G$5:$G$458,1,'BASE_CIERRE'!$H$5:$H$458,"Monitoring/intervention")</ns0:f>
        <ns0:v>38</ns0:v>
      </ns0:c>
      <ns0:c r="F33" s="31">
        <ns0:f>IFERROR(D33/E33,0)</ns0:f>
        <ns0:v>0.18421052631578946</ns0:v>
      </ns0:c>
    </ns0:row>
    <ns0:row r="34" ht="32" customHeight="1">
      <ns0:c r="A34" s="21" t="inlineStr">
        <ns0:is>
          <ns0:t>Monitoring/intervention</ns0:t>
        </ns0:is>
      </ns0:c>
      <ns0:c r="B34" s="21" t="inlineStr">
        <ns0:is>
          <ns0:t>Behavioral images/video/gaze/movement</ns0:t>
        </ns0:is>
      </ns0:c>
      <ns0:c r="C34" s="21" t="inlineStr">
        <ns0:is>
          <ns0:t>Hybrid</ns0:t>
        </ns0:is>
      </ns0:c>
      <ns0:c r="D34" s="29">
        <ns0:f>COUNTIFS('BASE_CIERRE'!$G$5:$G$458,1,'BASE_CIERRE'!$H$5:$H$458,"Monitoring/intervention",'BASE_CIERRE'!$J$5:$J$458,"Behavioral images/video/gaze/movement",'BASE_CIERRE'!$I$5:$I$458,"Hybrid")</ns0:f>
        <ns0:v>2</ns0:v>
      </ns0:c>
      <ns0:c r="E34" s="29">
        <ns0:f>COUNTIFS('BASE_CIERRE'!$G$5:$G$458,1,'BASE_CIERRE'!$H$5:$H$458,"Monitoring/intervention")</ns0:f>
        <ns0:v>38</ns0:v>
      </ns0:c>
      <ns0:c r="F34" s="32">
        <ns0:f>IFERROR(D34/E34,0)</ns0:f>
        <ns0:v>0.05263157894736842</ns0:v>
      </ns0:c>
    </ns0:row>
    <ns0:row r="35" ht="32" customHeight="1">
      <ns0:c r="A35" s="19" t="inlineStr">
        <ns0:is>
          <ns0:t>Monitoring/intervention</ns0:t>
        </ns0:is>
      </ns0:c>
      <ns0:c r="B35" s="19" t="inlineStr">
        <ns0:is>
          <ns0:t>Behavioral images/video/gaze/movement</ns0:t>
        </ns0:is>
      </ns0:c>
      <ns0:c r="C35" s="19" t="inlineStr">
        <ns0:is>
          <ns0:t>Machine Learning</ns0:t>
        </ns0:is>
      </ns0:c>
      <ns0:c r="D35" s="27">
        <ns0:f>COUNTIFS('BASE_CIERRE'!$G$5:$G$458,1,'BASE_CIERRE'!$H$5:$H$458,"Monitoring/intervention",'BASE_CIERRE'!$J$5:$J$458,"Behavioral images/video/gaze/movement",'BASE_CIERRE'!$I$5:$I$458,"Machine Learning")</ns0:f>
        <ns0:v>1</ns0:v>
      </ns0:c>
      <ns0:c r="E35" s="27">
        <ns0:f>COUNTIFS('BASE_CIERRE'!$G$5:$G$458,1,'BASE_CIERRE'!$H$5:$H$458,"Monitoring/intervention")</ns0:f>
        <ns0:v>38</ns0:v>
      </ns0:c>
      <ns0:c r="F35" s="31">
        <ns0:f>IFERROR(D35/E35,0)</ns0:f>
        <ns0:v>0.02631578947368421</ns0:v>
      </ns0:c>
    </ns0:row>
    <ns0:row r="36" ht="32" customHeight="1">
      <ns0:c r="A36" s="21" t="inlineStr">
        <ns0:is>
          <ns0:t>Monitoring/intervention</ns0:t>
        </ns0:is>
      </ns0:c>
      <ns0:c r="B36" s="21" t="inlineStr">
        <ns0:is>
          <ns0:t>Behavioral images/video/gaze/movement</ns0:t>
        </ns0:is>
      </ns0:c>
      <ns0:c r="C36" s="21" t="inlineStr">
        <ns0:is>
          <ns0:t>Not specified</ns0:t>
        </ns0:is>
      </ns0:c>
      <ns0:c r="D36" s="29">
        <ns0:f>COUNTIFS('BASE_CIERRE'!$G$5:$G$458,1,'BASE_CIERRE'!$H$5:$H$458,"Monitoring/intervention",'BASE_CIERRE'!$J$5:$J$458,"Behavioral images/video/gaze/movement",'BASE_CIERRE'!$I$5:$I$458,"Not specified")</ns0:f>
        <ns0:v>3</ns0:v>
      </ns0:c>
      <ns0:c r="E36" s="29">
        <ns0:f>COUNTIFS('BASE_CIERRE'!$G$5:$G$458,1,'BASE_CIERRE'!$H$5:$H$458,"Monitoring/intervention")</ns0:f>
        <ns0:v>38</ns0:v>
      </ns0:c>
      <ns0:c r="F36" s="32">
        <ns0:f>IFERROR(D36/E36,0)</ns0:f>
        <ns0:v>0.07894736842105263</ns0:v>
      </ns0:c>
    </ns0:row>
    <ns0:row r="37" ht="32" customHeight="1">
      <ns0:c r="A37" s="19" t="inlineStr">
        <ns0:is>
          <ns0:t>Monitoring/intervention</ns0:t>
        </ns0:is>
      </ns0:c>
      <ns0:c r="B37" s="19" t="inlineStr">
        <ns0:is>
          <ns0:t>Biological/omics</ns0:t>
        </ns0:is>
      </ns0:c>
      <ns0:c r="C37" s="19" t="inlineStr">
        <ns0:is>
          <ns0:t>Machine Learning</ns0:t>
        </ns0:is>
      </ns0:c>
      <ns0:c r="D37" s="27">
        <ns0:f>COUNTIFS('BASE_CIERRE'!$G$5:$G$458,1,'BASE_CIERRE'!$H$5:$H$458,"Monitoring/intervention",'BASE_CIERRE'!$J$5:$J$458,"Biological/omics",'BASE_CIERRE'!$I$5:$I$458,"Machine Learning")</ns0:f>
        <ns0:v>1</ns0:v>
      </ns0:c>
      <ns0:c r="E37" s="27">
        <ns0:f>COUNTIFS('BASE_CIERRE'!$G$5:$G$458,1,'BASE_CIERRE'!$H$5:$H$458,"Monitoring/intervention")</ns0:f>
        <ns0:v>38</ns0:v>
      </ns0:c>
      <ns0:c r="F37" s="31">
        <ns0:f>IFERROR(D37/E37,0)</ns0:f>
        <ns0:v>0.02631578947368421</ns0:v>
      </ns0:c>
    </ns0:row>
    <ns0:row r="38" ht="32" customHeight="1">
      <ns0:c r="A38" s="21" t="inlineStr">
        <ns0:is>
          <ns0:t>Monitoring/intervention</ns0:t>
        </ns0:is>
      </ns0:c>
      <ns0:c r="B38" s="21" t="inlineStr">
        <ns0:is>
          <ns0:t>Multiple source categories</ns0:t>
        </ns0:is>
      </ns0:c>
      <ns0:c r="C38" s="21" t="inlineStr">
        <ns0:is>
          <ns0:t>Deep Learning</ns0:t>
        </ns0:is>
      </ns0:c>
      <ns0:c r="D38" s="29">
        <ns0:f>COUNTIFS('BASE_CIERRE'!$G$5:$G$458,1,'BASE_CIERRE'!$H$5:$H$458,"Monitoring/intervention",'BASE_CIERRE'!$J$5:$J$458,"Multiple source categories",'BASE_CIERRE'!$I$5:$I$458,"Deep Learning")</ns0:f>
        <ns0:v>5</ns0:v>
      </ns0:c>
      <ns0:c r="E38" s="29">
        <ns0:f>COUNTIFS('BASE_CIERRE'!$G$5:$G$458,1,'BASE_CIERRE'!$H$5:$H$458,"Monitoring/intervention")</ns0:f>
        <ns0:v>38</ns0:v>
      </ns0:c>
      <ns0:c r="F38" s="32">
        <ns0:f>IFERROR(D38/E38,0)</ns0:f>
        <ns0:v>0.13157894736842105</ns0:v>
      </ns0:c>
    </ns0:row>
    <ns0:row r="39" ht="32" customHeight="1">
      <ns0:c r="A39" s="19" t="inlineStr">
        <ns0:is>
          <ns0:t>Monitoring/intervention</ns0:t>
        </ns0:is>
      </ns0:c>
      <ns0:c r="B39" s="19" t="inlineStr">
        <ns0:is>
          <ns0:t>Multiple source categories</ns0:t>
        </ns0:is>
      </ns0:c>
      <ns0:c r="C39" s="19" t="inlineStr">
        <ns0:is>
          <ns0:t>Hybrid</ns0:t>
        </ns0:is>
      </ns0:c>
      <ns0:c r="D39" s="27">
        <ns0:f>COUNTIFS('BASE_CIERRE'!$G$5:$G$458,1,'BASE_CIERRE'!$H$5:$H$458,"Monitoring/intervention",'BASE_CIERRE'!$J$5:$J$458,"Multiple source categories",'BASE_CIERRE'!$I$5:$I$458,"Hybrid")</ns0:f>
        <ns0:v>1</ns0:v>
      </ns0:c>
      <ns0:c r="E39" s="27">
        <ns0:f>COUNTIFS('BASE_CIERRE'!$G$5:$G$458,1,'BASE_CIERRE'!$H$5:$H$458,"Monitoring/intervention")</ns0:f>
        <ns0:v>38</ns0:v>
      </ns0:c>
      <ns0:c r="F39" s="31">
        <ns0:f>IFERROR(D39/E39,0)</ns0:f>
        <ns0:v>0.02631578947368421</ns0:v>
      </ns0:c>
    </ns0:row>
    <ns0:row r="40" ht="32" customHeight="1">
      <ns0:c r="A40" s="21" t="inlineStr">
        <ns0:is>
          <ns0:t>Monitoring/intervention</ns0:t>
        </ns0:is>
      </ns0:c>
      <ns0:c r="B40" s="21" t="inlineStr">
        <ns0:is>
          <ns0:t>Multiple source categories</ns0:t>
        </ns0:is>
      </ns0:c>
      <ns0:c r="C40" s="21" t="inlineStr">
        <ns0:is>
          <ns0:t>Not specified</ns0:t>
        </ns0:is>
      </ns0:c>
      <ns0:c r="D40" s="29">
        <ns0:f>COUNTIFS('BASE_CIERRE'!$G$5:$G$458,1,'BASE_CIERRE'!$H$5:$H$458,"Monitoring/intervention",'BASE_CIERRE'!$J$5:$J$458,"Multiple source categories",'BASE_CIERRE'!$I$5:$I$458,"Not specified")</ns0:f>
        <ns0:v>1</ns0:v>
      </ns0:c>
      <ns0:c r="E40" s="29">
        <ns0:f>COUNTIFS('BASE_CIERRE'!$G$5:$G$458,1,'BASE_CIERRE'!$H$5:$H$458,"Monitoring/intervention")</ns0:f>
        <ns0:v>38</ns0:v>
      </ns0:c>
      <ns0:c r="F40" s="32">
        <ns0:f>IFERROR(D40/E40,0)</ns0:f>
        <ns0:v>0.02631578947368421</ns0:v>
      </ns0:c>
    </ns0:row>
    <ns0:row r="41" ht="32" customHeight="1">
      <ns0:c r="A41" s="19" t="inlineStr">
        <ns0:is>
          <ns0:t>Monitoring/intervention</ns0:t>
        </ns0:is>
      </ns0:c>
      <ns0:c r="B41" s="19" t="inlineStr">
        <ns0:is>
          <ns0:t>Not specified</ns0:t>
        </ns0:is>
      </ns0:c>
      <ns0:c r="C41" s="19" t="inlineStr">
        <ns0:is>
          <ns0:t>Deep Learning</ns0:t>
        </ns0:is>
      </ns0:c>
      <ns0:c r="D41" s="27">
        <ns0:f>COUNTIFS('BASE_CIERRE'!$G$5:$G$458,1,'BASE_CIERRE'!$H$5:$H$458,"Monitoring/intervention",'BASE_CIERRE'!$J$5:$J$458,"Not specified",'BASE_CIERRE'!$I$5:$I$458,"Deep Learning")</ns0:f>
        <ns0:v>1</ns0:v>
      </ns0:c>
      <ns0:c r="E41" s="27">
        <ns0:f>COUNTIFS('BASE_CIERRE'!$G$5:$G$458,1,'BASE_CIERRE'!$H$5:$H$458,"Monitoring/intervention")</ns0:f>
        <ns0:v>38</ns0:v>
      </ns0:c>
      <ns0:c r="F41" s="31">
        <ns0:f>IFERROR(D41/E41,0)</ns0:f>
        <ns0:v>0.02631578947368421</ns0:v>
      </ns0:c>
    </ns0:row>
    <ns0:row r="42" ht="32" customHeight="1">
      <ns0:c r="A42" s="21" t="inlineStr">
        <ns0:is>
          <ns0:t>Monitoring/intervention</ns0:t>
        </ns0:is>
      </ns0:c>
      <ns0:c r="B42" s="21" t="inlineStr">
        <ns0:is>
          <ns0:t>Not specified</ns0:t>
        </ns0:is>
      </ns0:c>
      <ns0:c r="C42" s="21" t="inlineStr">
        <ns0:is>
          <ns0:t>Machine Learning</ns0:t>
        </ns0:is>
      </ns0:c>
      <ns0:c r="D42" s="29">
        <ns0:f>COUNTIFS('BASE_CIERRE'!$G$5:$G$458,1,'BASE_CIERRE'!$H$5:$H$458,"Monitoring/intervention",'BASE_CIERRE'!$J$5:$J$458,"Not specified",'BASE_CIERRE'!$I$5:$I$458,"Machine Learning")</ns0:f>
        <ns0:v>1</ns0:v>
      </ns0:c>
      <ns0:c r="E42" s="29">
        <ns0:f>COUNTIFS('BASE_CIERRE'!$G$5:$G$458,1,'BASE_CIERRE'!$H$5:$H$458,"Monitoring/intervention")</ns0:f>
        <ns0:v>38</ns0:v>
      </ns0:c>
      <ns0:c r="F42" s="32">
        <ns0:f>IFERROR(D42/E42,0)</ns0:f>
        <ns0:v>0.02631578947368421</ns0:v>
      </ns0:c>
    </ns0:row>
    <ns0:row r="43" ht="32" customHeight="1">
      <ns0:c r="A43" s="19" t="inlineStr">
        <ns0:is>
          <ns0:t>Monitoring/intervention</ns0:t>
        </ns0:is>
      </ns0:c>
      <ns0:c r="B43" s="19" t="inlineStr">
        <ns0:is>
          <ns0:t>Not specified</ns0:t>
        </ns0:is>
      </ns0:c>
      <ns0:c r="C43" s="19" t="inlineStr">
        <ns0:is>
          <ns0:t>Not specified</ns0:t>
        </ns0:is>
      </ns0:c>
      <ns0:c r="D43" s="27">
        <ns0:f>COUNTIFS('BASE_CIERRE'!$G$5:$G$458,1,'BASE_CIERRE'!$H$5:$H$458,"Monitoring/intervention",'BASE_CIERRE'!$J$5:$J$458,"Not specified",'BASE_CIERRE'!$I$5:$I$458,"Not specified")</ns0:f>
        <ns0:v>1</ns0:v>
      </ns0:c>
      <ns0:c r="E43" s="27">
        <ns0:f>COUNTIFS('BASE_CIERRE'!$G$5:$G$458,1,'BASE_CIERRE'!$H$5:$H$458,"Monitoring/intervention")</ns0:f>
        <ns0:v>38</ns0:v>
      </ns0:c>
      <ns0:c r="F43" s="31">
        <ns0:f>IFERROR(D43/E43,0)</ns0:f>
        <ns0:v>0.02631578947368421</ns0:v>
      </ns0:c>
    </ns0:row>
    <ns0:row r="44" ht="32" customHeight="1">
      <ns0:c r="A44" s="21" t="inlineStr">
        <ns0:is>
          <ns0:t>Monitoring/intervention</ns0:t>
        </ns0:is>
      </ns0:c>
      <ns0:c r="B44" s="21" t="inlineStr">
        <ns0:is>
          <ns0:t>Other biomedical/digital data</ns0:t>
        </ns0:is>
      </ns0:c>
      <ns0:c r="C44" s="21" t="inlineStr">
        <ns0:is>
          <ns0:t>Hybrid</ns0:t>
        </ns0:is>
      </ns0:c>
      <ns0:c r="D44" s="29">
        <ns0:f>COUNTIFS('BASE_CIERRE'!$G$5:$G$458,1,'BASE_CIERRE'!$H$5:$H$458,"Monitoring/intervention",'BASE_CIERRE'!$J$5:$J$458,"Other biomedical/digital data",'BASE_CIERRE'!$I$5:$I$458,"Hybrid")</ns0:f>
        <ns0:v>1</ns0:v>
      </ns0:c>
      <ns0:c r="E44" s="29">
        <ns0:f>COUNTIFS('BASE_CIERRE'!$G$5:$G$458,1,'BASE_CIERRE'!$H$5:$H$458,"Monitoring/intervention")</ns0:f>
        <ns0:v>38</ns0:v>
      </ns0:c>
      <ns0:c r="F44" s="32">
        <ns0:f>IFERROR(D44/E44,0)</ns0:f>
        <ns0:v>0.02631578947368421</ns0:v>
      </ns0:c>
    </ns0:row>
    <ns0:row r="45" ht="32" customHeight="1">
      <ns0:c r="A45" s="19" t="inlineStr">
        <ns0:is>
          <ns0:t>Monitoring/intervention</ns0:t>
        </ns0:is>
      </ns0:c>
      <ns0:c r="B45" s="19" t="inlineStr">
        <ns0:is>
          <ns0:t>Other biomedical/digital data</ns0:t>
        </ns0:is>
      </ns0:c>
      <ns0:c r="C45" s="19" t="inlineStr">
        <ns0:is>
          <ns0:t>Not specified</ns0:t>
        </ns0:is>
      </ns0:c>
      <ns0:c r="D45" s="27">
        <ns0:f>COUNTIFS('BASE_CIERRE'!$G$5:$G$458,1,'BASE_CIERRE'!$H$5:$H$458,"Monitoring/intervention",'BASE_CIERRE'!$J$5:$J$458,"Other biomedical/digital data",'BASE_CIERRE'!$I$5:$I$458,"Not specified")</ns0:f>
        <ns0:v>2</ns0:v>
      </ns0:c>
      <ns0:c r="E45" s="27">
        <ns0:f>COUNTIFS('BASE_CIERRE'!$G$5:$G$458,1,'BASE_CIERRE'!$H$5:$H$458,"Monitoring/intervention")</ns0:f>
        <ns0:v>38</ns0:v>
      </ns0:c>
      <ns0:c r="F45" s="31">
        <ns0:f>IFERROR(D45/E45,0)</ns0:f>
        <ns0:v>0.05263157894736842</ns0:v>
      </ns0:c>
    </ns0:row>
    <ns0:row r="46" ht="32" customHeight="1">
      <ns0:c r="A46" s="21" t="inlineStr">
        <ns0:is>
          <ns0:t>Monitoring/intervention</ns0:t>
        </ns0:is>
      </ns0:c>
      <ns0:c r="B46" s="21" t="inlineStr">
        <ns0:is>
          <ns0:t>Physiological signals</ns0:t>
        </ns0:is>
      </ns0:c>
      <ns0:c r="C46" s="21" t="inlineStr">
        <ns0:is>
          <ns0:t>Hybrid</ns0:t>
        </ns0:is>
      </ns0:c>
      <ns0:c r="D46" s="29">
        <ns0:f>COUNTIFS('BASE_CIERRE'!$G$5:$G$458,1,'BASE_CIERRE'!$H$5:$H$458,"Monitoring/intervention",'BASE_CIERRE'!$J$5:$J$458,"Physiological signals",'BASE_CIERRE'!$I$5:$I$458,"Hybrid")</ns0:f>
        <ns0:v>1</ns0:v>
      </ns0:c>
      <ns0:c r="E46" s="29">
        <ns0:f>COUNTIFS('BASE_CIERRE'!$G$5:$G$458,1,'BASE_CIERRE'!$H$5:$H$458,"Monitoring/intervention")</ns0:f>
        <ns0:v>38</ns0:v>
      </ns0:c>
      <ns0:c r="F46" s="32">
        <ns0:f>IFERROR(D46/E46,0)</ns0:f>
        <ns0:v>0.02631578947368421</ns0:v>
      </ns0:c>
    </ns0:row>
    <ns0:row r="47" ht="32" customHeight="1">
      <ns0:c r="A47" s="19" t="inlineStr">
        <ns0:is>
          <ns0:t>Monitoring/intervention</ns0:t>
        </ns0:is>
      </ns0:c>
      <ns0:c r="B47" s="19" t="inlineStr">
        <ns0:is>
          <ns0:t>Physiological signals</ns0:t>
        </ns0:is>
      </ns0:c>
      <ns0:c r="C47" s="19" t="inlineStr">
        <ns0:is>
          <ns0:t>Machine Learning</ns0:t>
        </ns0:is>
      </ns0:c>
      <ns0:c r="D47" s="27">
        <ns0:f>COUNTIFS('BASE_CIERRE'!$G$5:$G$458,1,'BASE_CIERRE'!$H$5:$H$458,"Monitoring/intervention",'BASE_CIERRE'!$J$5:$J$458,"Physiological signals",'BASE_CIERRE'!$I$5:$I$458,"Machine Learning")</ns0:f>
        <ns0:v>1</ns0:v>
      </ns0:c>
      <ns0:c r="E47" s="27">
        <ns0:f>COUNTIFS('BASE_CIERRE'!$G$5:$G$458,1,'BASE_CIERRE'!$H$5:$H$458,"Monitoring/intervention")</ns0:f>
        <ns0:v>38</ns0:v>
      </ns0:c>
      <ns0:c r="F47" s="31">
        <ns0:f>IFERROR(D47/E47,0)</ns0:f>
        <ns0:v>0.02631578947368421</ns0:v>
      </ns0:c>
    </ns0:row>
    <ns0:row r="48" ht="32" customHeight="1">
      <ns0:c r="A48" s="21" t="inlineStr">
        <ns0:is>
          <ns0:t>Monitoring/intervention</ns0:t>
        </ns0:is>
      </ns0:c>
      <ns0:c r="B48" s="21" t="inlineStr">
        <ns0:is>
          <ns0:t>Physiological signals</ns0:t>
        </ns0:is>
      </ns0:c>
      <ns0:c r="C48" s="21" t="inlineStr">
        <ns0:is>
          <ns0:t>Not specified</ns0:t>
        </ns0:is>
      </ns0:c>
      <ns0:c r="D48" s="29">
        <ns0:f>COUNTIFS('BASE_CIERRE'!$G$5:$G$458,1,'BASE_CIERRE'!$H$5:$H$458,"Monitoring/intervention",'BASE_CIERRE'!$J$5:$J$458,"Physiological signals",'BASE_CIERRE'!$I$5:$I$458,"Not specified")</ns0:f>
        <ns0:v>1</ns0:v>
      </ns0:c>
      <ns0:c r="E48" s="29">
        <ns0:f>COUNTIFS('BASE_CIERRE'!$G$5:$G$458,1,'BASE_CIERRE'!$H$5:$H$458,"Monitoring/intervention")</ns0:f>
        <ns0:v>38</ns0:v>
      </ns0:c>
      <ns0:c r="F48" s="32">
        <ns0:f>IFERROR(D48/E48,0)</ns0:f>
        <ns0:v>0.02631578947368421</ns0:v>
      </ns0:c>
    </ns0:row>
    <ns0:row r="49" ht="32" customHeight="1">
      <ns0:c r="A49" s="19" t="inlineStr">
        <ns0:is>
          <ns0:t>Monitoring/intervention</ns0:t>
        </ns0:is>
      </ns0:c>
      <ns0:c r="B49" s="19" t="inlineStr">
        <ns0:is>
          <ns0:t>Structured clinical/questionnaire data</ns0:t>
        </ns0:is>
      </ns0:c>
      <ns0:c r="C49" s="19" t="inlineStr">
        <ns0:is>
          <ns0:t>Machine Learning</ns0:t>
        </ns0:is>
      </ns0:c>
      <ns0:c r="D49" s="27">
        <ns0:f>COUNTIFS('BASE_CIERRE'!$G$5:$G$458,1,'BASE_CIERRE'!$H$5:$H$458,"Monitoring/intervention",'BASE_CIERRE'!$J$5:$J$458,"Structured clinical/questionnaire data",'BASE_CIERRE'!$I$5:$I$458,"Machine Learning")</ns0:f>
        <ns0:v>1</ns0:v>
      </ns0:c>
      <ns0:c r="E49" s="27">
        <ns0:f>COUNTIFS('BASE_CIERRE'!$G$5:$G$458,1,'BASE_CIERRE'!$H$5:$H$458,"Monitoring/intervention")</ns0:f>
        <ns0:v>38</ns0:v>
      </ns0:c>
      <ns0:c r="F49" s="31">
        <ns0:f>IFERROR(D49/E49,0)</ns0:f>
        <ns0:v>0.02631578947368421</ns0:v>
      </ns0:c>
    </ns0:row>
    <ns0:row r="50" ht="32" customHeight="1">
      <ns0:c r="A50" s="21" t="inlineStr">
        <ns0:is>
          <ns0:t>Monitoring/intervention</ns0:t>
        </ns0:is>
      </ns0:c>
      <ns0:c r="B50" s="21" t="inlineStr">
        <ns0:is>
          <ns0:t>Text/language</ns0:t>
        </ns0:is>
      </ns0:c>
      <ns0:c r="C50" s="21" t="inlineStr">
        <ns0:is>
          <ns0:t>Deep Learning</ns0:t>
        </ns0:is>
      </ns0:c>
      <ns0:c r="D50" s="29">
        <ns0:f>COUNTIFS('BASE_CIERRE'!$G$5:$G$458,1,'BASE_CIERRE'!$H$5:$H$458,"Monitoring/intervention",'BASE_CIERRE'!$J$5:$J$458,"Text/language",'BASE_CIERRE'!$I$5:$I$458,"Deep Learning")</ns0:f>
        <ns0:v>3</ns0:v>
      </ns0:c>
      <ns0:c r="E50" s="29">
        <ns0:f>COUNTIFS('BASE_CIERRE'!$G$5:$G$458,1,'BASE_CIERRE'!$H$5:$H$458,"Monitoring/intervention")</ns0:f>
        <ns0:v>38</ns0:v>
      </ns0:c>
      <ns0:c r="F50" s="32">
        <ns0:f>IFERROR(D50/E50,0)</ns0:f>
        <ns0:v>0.07894736842105263</ns0:v>
      </ns0:c>
    </ns0:row>
    <ns0:row r="51" ht="32" customHeight="1">
      <ns0:c r="A51" s="19" t="inlineStr">
        <ns0:is>
          <ns0:t>Monitoring/intervention</ns0:t>
        </ns0:is>
      </ns0:c>
      <ns0:c r="B51" s="19" t="inlineStr">
        <ns0:is>
          <ns0:t>Text/language</ns0:t>
        </ns0:is>
      </ns0:c>
      <ns0:c r="C51" s="19" t="inlineStr">
        <ns0:is>
          <ns0:t>Not specified</ns0:t>
        </ns0:is>
      </ns0:c>
      <ns0:c r="D51" s="27">
        <ns0:f>COUNTIFS('BASE_CIERRE'!$G$5:$G$458,1,'BASE_CIERRE'!$H$5:$H$458,"Monitoring/intervention",'BASE_CIERRE'!$J$5:$J$458,"Text/language",'BASE_CIERRE'!$I$5:$I$458,"Not specified")</ns0:f>
        <ns0:v>2</ns0:v>
      </ns0:c>
      <ns0:c r="E51" s="27">
        <ns0:f>COUNTIFS('BASE_CIERRE'!$G$5:$G$458,1,'BASE_CIERRE'!$H$5:$H$458,"Monitoring/intervention")</ns0:f>
        <ns0:v>38</ns0:v>
      </ns0:c>
      <ns0:c r="F51" s="31">
        <ns0:f>IFERROR(D51/E51,0)</ns0:f>
        <ns0:v>0.05263157894736842</ns0:v>
      </ns0:c>
    </ns0:row>
    <ns0:row r="52" ht="32" customHeight="1">
      <ns0:c r="A52" s="21" t="inlineStr">
        <ns0:is>
          <ns0:t>Not specified</ns0:t>
        </ns0:is>
      </ns0:c>
      <ns0:c r="B52" s="21" t="inlineStr">
        <ns0:is>
          <ns0:t>Biological/omics</ns0:t>
        </ns0:is>
      </ns0:c>
      <ns0:c r="C52" s="21" t="inlineStr">
        <ns0:is>
          <ns0:t>Deep Learning</ns0:t>
        </ns0:is>
      </ns0:c>
      <ns0:c r="D52" s="29">
        <ns0:f>COUNTIFS('BASE_CIERRE'!$G$5:$G$458,1,'BASE_CIERRE'!$H$5:$H$458,"Not specified",'BASE_CIERRE'!$J$5:$J$458,"Biological/omics",'BASE_CIERRE'!$I$5:$I$458,"Deep Learning")</ns0:f>
        <ns0:v>2</ns0:v>
      </ns0:c>
      <ns0:c r="E52" s="29">
        <ns0:f>COUNTIFS('BASE_CIERRE'!$G$5:$G$458,1,'BASE_CIERRE'!$H$5:$H$458,"Not specified")</ns0:f>
        <ns0:v>31</ns0:v>
      </ns0:c>
      <ns0:c r="F52" s="32">
        <ns0:f>IFERROR(D52/E52,0)</ns0:f>
        <ns0:v>0.06451612903225806</ns0:v>
      </ns0:c>
    </ns0:row>
    <ns0:row r="53" ht="32" customHeight="1">
      <ns0:c r="A53" s="19" t="inlineStr">
        <ns0:is>
          <ns0:t>Not specified</ns0:t>
        </ns0:is>
      </ns0:c>
      <ns0:c r="B53" s="19" t="inlineStr">
        <ns0:is>
          <ns0:t>Biological/omics</ns0:t>
        </ns0:is>
      </ns0:c>
      <ns0:c r="C53" s="19" t="inlineStr">
        <ns0:is>
          <ns0:t>Machine Learning</ns0:t>
        </ns0:is>
      </ns0:c>
      <ns0:c r="D53" s="27">
        <ns0:f>COUNTIFS('BASE_CIERRE'!$G$5:$G$458,1,'BASE_CIERRE'!$H$5:$H$458,"Not specified",'BASE_CIERRE'!$J$5:$J$458,"Biological/omics",'BASE_CIERRE'!$I$5:$I$458,"Machine Learning")</ns0:f>
        <ns0:v>7</ns0:v>
      </ns0:c>
      <ns0:c r="E53" s="27">
        <ns0:f>COUNTIFS('BASE_CIERRE'!$G$5:$G$458,1,'BASE_CIERRE'!$H$5:$H$458,"Not specified")</ns0:f>
        <ns0:v>31</ns0:v>
      </ns0:c>
      <ns0:c r="F53" s="31">
        <ns0:f>IFERROR(D53/E53,0)</ns0:f>
        <ns0:v>0.22580645161290322</ns0:v>
      </ns0:c>
    </ns0:row>
    <ns0:row r="54" ht="32" customHeight="1">
      <ns0:c r="A54" s="21" t="inlineStr">
        <ns0:is>
          <ns0:t>Not specified</ns0:t>
        </ns0:is>
      </ns0:c>
      <ns0:c r="B54" s="21" t="inlineStr">
        <ns0:is>
          <ns0:t>Multiple source categories</ns0:t>
        </ns0:is>
      </ns0:c>
      <ns0:c r="C54" s="21" t="inlineStr">
        <ns0:is>
          <ns0:t>Machine Learning</ns0:t>
        </ns0:is>
      </ns0:c>
      <ns0:c r="D54" s="29">
        <ns0:f>COUNTIFS('BASE_CIERRE'!$G$5:$G$458,1,'BASE_CIERRE'!$H$5:$H$458,"Not specified",'BASE_CIERRE'!$J$5:$J$458,"Multiple source categories",'BASE_CIERRE'!$I$5:$I$458,"Machine Learning")</ns0:f>
        <ns0:v>4</ns0:v>
      </ns0:c>
      <ns0:c r="E54" s="29">
        <ns0:f>COUNTIFS('BASE_CIERRE'!$G$5:$G$458,1,'BASE_CIERRE'!$H$5:$H$458,"Not specified")</ns0:f>
        <ns0:v>31</ns0:v>
      </ns0:c>
      <ns0:c r="F54" s="32">
        <ns0:f>IFERROR(D54/E54,0)</ns0:f>
        <ns0:v>0.12903225806451613</ns0:v>
      </ns0:c>
    </ns0:row>
    <ns0:row r="55" ht="32" customHeight="1">
      <ns0:c r="A55" s="19" t="inlineStr">
        <ns0:is>
          <ns0:t>Not specified</ns0:t>
        </ns0:is>
      </ns0:c>
      <ns0:c r="B55" s="19" t="inlineStr">
        <ns0:is>
          <ns0:t>Neuroimaging</ns0:t>
        </ns0:is>
      </ns0:c>
      <ns0:c r="C55" s="19" t="inlineStr">
        <ns0:is>
          <ns0:t>Deep Learning</ns0:t>
        </ns0:is>
      </ns0:c>
      <ns0:c r="D55" s="27">
        <ns0:f>COUNTIFS('BASE_CIERRE'!$G$5:$G$458,1,'BASE_CIERRE'!$H$5:$H$458,"Not specified",'BASE_CIERRE'!$J$5:$J$458,"Neuroimaging",'BASE_CIERRE'!$I$5:$I$458,"Deep Learning")</ns0:f>
        <ns0:v>2</ns0:v>
      </ns0:c>
      <ns0:c r="E55" s="27">
        <ns0:f>COUNTIFS('BASE_CIERRE'!$G$5:$G$458,1,'BASE_CIERRE'!$H$5:$H$458,"Not specified")</ns0:f>
        <ns0:v>31</ns0:v>
      </ns0:c>
      <ns0:c r="F55" s="31">
        <ns0:f>IFERROR(D55/E55,0)</ns0:f>
        <ns0:v>0.06451612903225806</ns0:v>
      </ns0:c>
    </ns0:row>
    <ns0:row r="56" ht="32" customHeight="1">
      <ns0:c r="A56" s="21" t="inlineStr">
        <ns0:is>
          <ns0:t>Not specified</ns0:t>
        </ns0:is>
      </ns0:c>
      <ns0:c r="B56" s="21" t="inlineStr">
        <ns0:is>
          <ns0:t>Neuroimaging</ns0:t>
        </ns0:is>
      </ns0:c>
      <ns0:c r="C56" s="21" t="inlineStr">
        <ns0:is>
          <ns0:t>Machine Learning</ns0:t>
        </ns0:is>
      </ns0:c>
      <ns0:c r="D56" s="29">
        <ns0:f>COUNTIFS('BASE_CIERRE'!$G$5:$G$458,1,'BASE_CIERRE'!$H$5:$H$458,"Not specified",'BASE_CIERRE'!$J$5:$J$458,"Neuroimaging",'BASE_CIERRE'!$I$5:$I$458,"Machine Learning")</ns0:f>
        <ns0:v>6</ns0:v>
      </ns0:c>
      <ns0:c r="E56" s="29">
        <ns0:f>COUNTIFS('BASE_CIERRE'!$G$5:$G$458,1,'BASE_CIERRE'!$H$5:$H$458,"Not specified")</ns0:f>
        <ns0:v>31</ns0:v>
      </ns0:c>
      <ns0:c r="F56" s="32">
        <ns0:f>IFERROR(D56/E56,0)</ns0:f>
        <ns0:v>0.1935483870967742</ns0:v>
      </ns0:c>
    </ns0:row>
    <ns0:row r="57" ht="32" customHeight="1">
      <ns0:c r="A57" s="19" t="inlineStr">
        <ns0:is>
          <ns0:t>Not specified</ns0:t>
        </ns0:is>
      </ns0:c>
      <ns0:c r="B57" s="19" t="inlineStr">
        <ns0:is>
          <ns0:t>Other biomedical/digital data</ns0:t>
        </ns0:is>
      </ns0:c>
      <ns0:c r="C57" s="19" t="inlineStr">
        <ns0:is>
          <ns0:t>Deep Learning</ns0:t>
        </ns0:is>
      </ns0:c>
      <ns0:c r="D57" s="27">
        <ns0:f>COUNTIFS('BASE_CIERRE'!$G$5:$G$458,1,'BASE_CIERRE'!$H$5:$H$458,"Not specified",'BASE_CIERRE'!$J$5:$J$458,"Other biomedical/digital data",'BASE_CIERRE'!$I$5:$I$458,"Deep Learning")</ns0:f>
        <ns0:v>1</ns0:v>
      </ns0:c>
      <ns0:c r="E57" s="27">
        <ns0:f>COUNTIFS('BASE_CIERRE'!$G$5:$G$458,1,'BASE_CIERRE'!$H$5:$H$458,"Not specified")</ns0:f>
        <ns0:v>31</ns0:v>
      </ns0:c>
      <ns0:c r="F57" s="31">
        <ns0:f>IFERROR(D57/E57,0)</ns0:f>
        <ns0:v>0.03225806451612903</ns0:v>
      </ns0:c>
    </ns0:row>
    <ns0:row r="58" ht="32" customHeight="1">
      <ns0:c r="A58" s="21" t="inlineStr">
        <ns0:is>
          <ns0:t>Not specified</ns0:t>
        </ns0:is>
      </ns0:c>
      <ns0:c r="B58" s="21" t="inlineStr">
        <ns0:is>
          <ns0:t>Physiological signals</ns0:t>
        </ns0:is>
      </ns0:c>
      <ns0:c r="C58" s="21" t="inlineStr">
        <ns0:is>
          <ns0:t>Deep Learning</ns0:t>
        </ns0:is>
      </ns0:c>
      <ns0:c r="D58" s="29">
        <ns0:f>COUNTIFS('BASE_CIERRE'!$G$5:$G$458,1,'BASE_CIERRE'!$H$5:$H$458,"Not specified",'BASE_CIERRE'!$J$5:$J$458,"Physiological signals",'BASE_CIERRE'!$I$5:$I$458,"Deep Learning")</ns0:f>
        <ns0:v>1</ns0:v>
      </ns0:c>
      <ns0:c r="E58" s="29">
        <ns0:f>COUNTIFS('BASE_CIERRE'!$G$5:$G$458,1,'BASE_CIERRE'!$H$5:$H$458,"Not specified")</ns0:f>
        <ns0:v>31</ns0:v>
      </ns0:c>
      <ns0:c r="F58" s="32">
        <ns0:f>IFERROR(D58/E58,0)</ns0:f>
        <ns0:v>0.03225806451612903</ns0:v>
      </ns0:c>
    </ns0:row>
    <ns0:row r="59" ht="32" customHeight="1">
      <ns0:c r="A59" s="19" t="inlineStr">
        <ns0:is>
          <ns0:t>Not specified</ns0:t>
        </ns0:is>
      </ns0:c>
      <ns0:c r="B59" s="19" t="inlineStr">
        <ns0:is>
          <ns0:t>Structured clinical/questionnaire data</ns0:t>
        </ns0:is>
      </ns0:c>
      <ns0:c r="C59" s="19" t="inlineStr">
        <ns0:is>
          <ns0:t>Machine Learning</ns0:t>
        </ns0:is>
      </ns0:c>
      <ns0:c r="D59" s="27">
        <ns0:f>COUNTIFS('BASE_CIERRE'!$G$5:$G$458,1,'BASE_CIERRE'!$H$5:$H$458,"Not specified",'BASE_CIERRE'!$J$5:$J$458,"Structured clinical/questionnaire data",'BASE_CIERRE'!$I$5:$I$458,"Machine Learning")</ns0:f>
        <ns0:v>6</ns0:v>
      </ns0:c>
      <ns0:c r="E59" s="27">
        <ns0:f>COUNTIFS('BASE_CIERRE'!$G$5:$G$458,1,'BASE_CIERRE'!$H$5:$H$458,"Not specified")</ns0:f>
        <ns0:v>31</ns0:v>
      </ns0:c>
      <ns0:c r="F59" s="31">
        <ns0:f>IFERROR(D59/E59,0)</ns0:f>
        <ns0:v>0.1935483870967742</ns0:v>
      </ns0:c>
    </ns0:row>
    <ns0:row r="60" ht="32" customHeight="1">
      <ns0:c r="A60" s="21" t="inlineStr">
        <ns0:is>
          <ns0:t>Not specified</ns0:t>
        </ns0:is>
      </ns0:c>
      <ns0:c r="B60" s="21" t="inlineStr">
        <ns0:is>
          <ns0:t>Text/language</ns0:t>
        </ns0:is>
      </ns0:c>
      <ns0:c r="C60" s="21" t="inlineStr">
        <ns0:is>
          <ns0:t>Deep Learning</ns0:t>
        </ns0:is>
      </ns0:c>
      <ns0:c r="D60" s="29">
        <ns0:f>COUNTIFS('BASE_CIERRE'!$G$5:$G$458,1,'BASE_CIERRE'!$H$5:$H$458,"Not specified",'BASE_CIERRE'!$J$5:$J$458,"Text/language",'BASE_CIERRE'!$I$5:$I$458,"Deep Learning")</ns0:f>
        <ns0:v>2</ns0:v>
      </ns0:c>
      <ns0:c r="E60" s="29">
        <ns0:f>COUNTIFS('BASE_CIERRE'!$G$5:$G$458,1,'BASE_CIERRE'!$H$5:$H$458,"Not specified")</ns0:f>
        <ns0:v>31</ns0:v>
      </ns0:c>
      <ns0:c r="F60" s="32">
        <ns0:f>IFERROR(D60/E60,0)</ns0:f>
        <ns0:v>0.06451612903225806</ns0:v>
      </ns0:c>
    </ns0:row>
    <ns0:row r="61" ht="32" customHeight="1">
      <ns0:c r="A61" s="19" t="inlineStr">
        <ns0:is>
          <ns0:t>Prescreening</ns0:t>
        </ns0:is>
      </ns0:c>
      <ns0:c r="B61" s="19" t="inlineStr">
        <ns0:is>
          <ns0:t>Multiple source categories</ns0:t>
        </ns0:is>
      </ns0:c>
      <ns0:c r="C61" s="19" t="inlineStr">
        <ns0:is>
          <ns0:t>Machine Learning</ns0:t>
        </ns0:is>
      </ns0:c>
      <ns0:c r="D61" s="27">
        <ns0:f>COUNTIFS('BASE_CIERRE'!$G$5:$G$458,1,'BASE_CIERRE'!$H$5:$H$458,"Prescreening",'BASE_CIERRE'!$J$5:$J$458,"Multiple source categories",'BASE_CIERRE'!$I$5:$I$458,"Machine Learning")</ns0:f>
        <ns0:v>2</ns0:v>
      </ns0:c>
      <ns0:c r="E61" s="27">
        <ns0:f>COUNTIFS('BASE_CIERRE'!$G$5:$G$458,1,'BASE_CIERRE'!$H$5:$H$458,"Prescreening")</ns0:f>
        <ns0:v>8</ns0:v>
      </ns0:c>
      <ns0:c r="F61" s="31">
        <ns0:f>IFERROR(D61/E61,0)</ns0:f>
        <ns0:v>0.25</ns0:v>
      </ns0:c>
    </ns0:row>
    <ns0:row r="62" ht="32" customHeight="1">
      <ns0:c r="A62" s="21" t="inlineStr">
        <ns0:is>
          <ns0:t>Prescreening</ns0:t>
        </ns0:is>
      </ns0:c>
      <ns0:c r="B62" s="21" t="inlineStr">
        <ns0:is>
          <ns0:t>Other biomedical/digital data</ns0:t>
        </ns0:is>
      </ns0:c>
      <ns0:c r="C62" s="21" t="inlineStr">
        <ns0:is>
          <ns0:t>Machine Learning</ns0:t>
        </ns0:is>
      </ns0:c>
      <ns0:c r="D62" s="29">
        <ns0:f>COUNTIFS('BASE_CIERRE'!$G$5:$G$458,1,'BASE_CIERRE'!$H$5:$H$458,"Prescreening",'BASE_CIERRE'!$J$5:$J$458,"Other biomedical/digital data",'BASE_CIERRE'!$I$5:$I$458,"Machine Learning")</ns0:f>
        <ns0:v>1</ns0:v>
      </ns0:c>
      <ns0:c r="E62" s="29">
        <ns0:f>COUNTIFS('BASE_CIERRE'!$G$5:$G$458,1,'BASE_CIERRE'!$H$5:$H$458,"Prescreening")</ns0:f>
        <ns0:v>8</ns0:v>
      </ns0:c>
      <ns0:c r="F62" s="32">
        <ns0:f>IFERROR(D62/E62,0)</ns0:f>
        <ns0:v>0.125</ns0:v>
      </ns0:c>
    </ns0:row>
    <ns0:row r="63" ht="32" customHeight="1">
      <ns0:c r="A63" s="19" t="inlineStr">
        <ns0:is>
          <ns0:t>Prescreening</ns0:t>
        </ns0:is>
      </ns0:c>
      <ns0:c r="B63" s="19" t="inlineStr">
        <ns0:is>
          <ns0:t>Structured clinical/questionnaire data</ns0:t>
        </ns0:is>
      </ns0:c>
      <ns0:c r="C63" s="19" t="inlineStr">
        <ns0:is>
          <ns0:t>Machine Learning</ns0:t>
        </ns0:is>
      </ns0:c>
      <ns0:c r="D63" s="27">
        <ns0:f>COUNTIFS('BASE_CIERRE'!$G$5:$G$458,1,'BASE_CIERRE'!$H$5:$H$458,"Prescreening",'BASE_CIERRE'!$J$5:$J$458,"Structured clinical/questionnaire data",'BASE_CIERRE'!$I$5:$I$458,"Machine Learning")</ns0:f>
        <ns0:v>4</ns0:v>
      </ns0:c>
      <ns0:c r="E63" s="27">
        <ns0:f>COUNTIFS('BASE_CIERRE'!$G$5:$G$458,1,'BASE_CIERRE'!$H$5:$H$458,"Prescreening")</ns0:f>
        <ns0:v>8</ns0:v>
      </ns0:c>
      <ns0:c r="F63" s="31">
        <ns0:f>IFERROR(D63/E63,0)</ns0:f>
        <ns0:v>0.5</ns0:v>
      </ns0:c>
    </ns0:row>
    <ns0:row r="64" ht="32" customHeight="1">
      <ns0:c r="A64" s="21" t="inlineStr">
        <ns0:is>
          <ns0:t>Prescreening</ns0:t>
        </ns0:is>
      </ns0:c>
      <ns0:c r="B64" s="21" t="inlineStr">
        <ns0:is>
          <ns0:t>Text/language</ns0:t>
        </ns0:is>
      </ns0:c>
      <ns0:c r="C64" s="21" t="inlineStr">
        <ns0:is>
          <ns0:t>Machine Learning</ns0:t>
        </ns0:is>
      </ns0:c>
      <ns0:c r="D64" s="29">
        <ns0:f>COUNTIFS('BASE_CIERRE'!$G$5:$G$458,1,'BASE_CIERRE'!$H$5:$H$458,"Prescreening",'BASE_CIERRE'!$J$5:$J$458,"Text/language",'BASE_CIERRE'!$I$5:$I$458,"Machine Learning")</ns0:f>
        <ns0:v>1</ns0:v>
      </ns0:c>
      <ns0:c r="E64" s="29">
        <ns0:f>COUNTIFS('BASE_CIERRE'!$G$5:$G$458,1,'BASE_CIERRE'!$H$5:$H$458,"Prescreening")</ns0:f>
        <ns0:v>8</ns0:v>
      </ns0:c>
      <ns0:c r="F64" s="32">
        <ns0:f>IFERROR(D64/E64,0)</ns0:f>
        <ns0:v>0.125</ns0:v>
      </ns0:c>
    </ns0:row>
    <ns0:row r="65" ht="32" customHeight="1">
      <ns0:c r="A65" s="19" t="inlineStr">
        <ns0:is>
          <ns0:t>Prognosis</ns0:t>
        </ns0:is>
      </ns0:c>
      <ns0:c r="B65" s="19" t="inlineStr">
        <ns0:is>
          <ns0:t>Audio/voice</ns0:t>
        </ns0:is>
      </ns0:c>
      <ns0:c r="C65" s="19" t="inlineStr">
        <ns0:is>
          <ns0:t>Machine Learning</ns0:t>
        </ns0:is>
      </ns0:c>
      <ns0:c r="D65" s="27">
        <ns0:f>COUNTIFS('BASE_CIERRE'!$G$5:$G$458,1,'BASE_CIERRE'!$H$5:$H$458,"Prognosis",'BASE_CIERRE'!$J$5:$J$458,"Audio/voice",'BASE_CIERRE'!$I$5:$I$458,"Machine Learning")</ns0:f>
        <ns0:v>1</ns0:v>
      </ns0:c>
      <ns0:c r="E65" s="27">
        <ns0:f>COUNTIFS('BASE_CIERRE'!$G$5:$G$458,1,'BASE_CIERRE'!$H$5:$H$458,"Prognosis")</ns0:f>
        <ns0:v>22</ns0:v>
      </ns0:c>
      <ns0:c r="F65" s="31">
        <ns0:f>IFERROR(D65/E65,0)</ns0:f>
        <ns0:v>0.045454545454545456</ns0:v>
      </ns0:c>
    </ns0:row>
    <ns0:row r="66" ht="32" customHeight="1">
      <ns0:c r="A66" s="21" t="inlineStr">
        <ns0:is>
          <ns0:t>Prognosis</ns0:t>
        </ns0:is>
      </ns0:c>
      <ns0:c r="B66" s="21" t="inlineStr">
        <ns0:is>
          <ns0:t>Behavioral images/video/gaze/movement</ns0:t>
        </ns0:is>
      </ns0:c>
      <ns0:c r="C66" s="21" t="inlineStr">
        <ns0:is>
          <ns0:t>Machine Learning</ns0:t>
        </ns0:is>
      </ns0:c>
      <ns0:c r="D66" s="29">
        <ns0:f>COUNTIFS('BASE_CIERRE'!$G$5:$G$458,1,'BASE_CIERRE'!$H$5:$H$458,"Prognosis",'BASE_CIERRE'!$J$5:$J$458,"Behavioral images/video/gaze/movement",'BASE_CIERRE'!$I$5:$I$458,"Machine Learning")</ns0:f>
        <ns0:v>1</ns0:v>
      </ns0:c>
      <ns0:c r="E66" s="29">
        <ns0:f>COUNTIFS('BASE_CIERRE'!$G$5:$G$458,1,'BASE_CIERRE'!$H$5:$H$458,"Prognosis")</ns0:f>
        <ns0:v>22</ns0:v>
      </ns0:c>
      <ns0:c r="F66" s="32">
        <ns0:f>IFERROR(D66/E66,0)</ns0:f>
        <ns0:v>0.045454545454545456</ns0:v>
      </ns0:c>
    </ns0:row>
    <ns0:row r="67" ht="32" customHeight="1">
      <ns0:c r="A67" s="19" t="inlineStr">
        <ns0:is>
          <ns0:t>Prognosis</ns0:t>
        </ns0:is>
      </ns0:c>
      <ns0:c r="B67" s="19" t="inlineStr">
        <ns0:is>
          <ns0:t>Biological/omics</ns0:t>
        </ns0:is>
      </ns0:c>
      <ns0:c r="C67" s="19" t="inlineStr">
        <ns0:is>
          <ns0:t>Deep Learning</ns0:t>
        </ns0:is>
      </ns0:c>
      <ns0:c r="D67" s="27">
        <ns0:f>COUNTIFS('BASE_CIERRE'!$G$5:$G$458,1,'BASE_CIERRE'!$H$5:$H$458,"Prognosis",'BASE_CIERRE'!$J$5:$J$458,"Biological/omics",'BASE_CIERRE'!$I$5:$I$458,"Deep Learning")</ns0:f>
        <ns0:v>1</ns0:v>
      </ns0:c>
      <ns0:c r="E67" s="27">
        <ns0:f>COUNTIFS('BASE_CIERRE'!$G$5:$G$458,1,'BASE_CIERRE'!$H$5:$H$458,"Prognosis")</ns0:f>
        <ns0:v>22</ns0:v>
      </ns0:c>
      <ns0:c r="F67" s="31">
        <ns0:f>IFERROR(D67/E67,0)</ns0:f>
        <ns0:v>0.045454545454545456</ns0:v>
      </ns0:c>
    </ns0:row>
    <ns0:row r="68" ht="32" customHeight="1">
      <ns0:c r="A68" s="21" t="inlineStr">
        <ns0:is>
          <ns0:t>Prognosis</ns0:t>
        </ns0:is>
      </ns0:c>
      <ns0:c r="B68" s="21" t="inlineStr">
        <ns0:is>
          <ns0:t>Biological/omics</ns0:t>
        </ns0:is>
      </ns0:c>
      <ns0:c r="C68" s="21" t="inlineStr">
        <ns0:is>
          <ns0:t>Machine Learning</ns0:t>
        </ns0:is>
      </ns0:c>
      <ns0:c r="D68" s="29">
        <ns0:f>COUNTIFS('BASE_CIERRE'!$G$5:$G$458,1,'BASE_CIERRE'!$H$5:$H$458,"Prognosis",'BASE_CIERRE'!$J$5:$J$458,"Biological/omics",'BASE_CIERRE'!$I$5:$I$458,"Machine Learning")</ns0:f>
        <ns0:v>2</ns0:v>
      </ns0:c>
      <ns0:c r="E68" s="29">
        <ns0:f>COUNTIFS('BASE_CIERRE'!$G$5:$G$458,1,'BASE_CIERRE'!$H$5:$H$458,"Prognosis")</ns0:f>
        <ns0:v>22</ns0:v>
      </ns0:c>
      <ns0:c r="F68" s="32">
        <ns0:f>IFERROR(D68/E68,0)</ns0:f>
        <ns0:v>0.09090909090909091</ns0:v>
      </ns0:c>
    </ns0:row>
    <ns0:row r="69" ht="32" customHeight="1">
      <ns0:c r="A69" s="19" t="inlineStr">
        <ns0:is>
          <ns0:t>Prognosis</ns0:t>
        </ns0:is>
      </ns0:c>
      <ns0:c r="B69" s="19" t="inlineStr">
        <ns0:is>
          <ns0:t>Multiple source categories</ns0:t>
        </ns0:is>
      </ns0:c>
      <ns0:c r="C69" s="19" t="inlineStr">
        <ns0:is>
          <ns0:t>Machine Learning</ns0:t>
        </ns0:is>
      </ns0:c>
      <ns0:c r="D69" s="27">
        <ns0:f>COUNTIFS('BASE_CIERRE'!$G$5:$G$458,1,'BASE_CIERRE'!$H$5:$H$458,"Prognosis",'BASE_CIERRE'!$J$5:$J$458,"Multiple source categories",'BASE_CIERRE'!$I$5:$I$458,"Machine Learning")</ns0:f>
        <ns0:v>4</ns0:v>
      </ns0:c>
      <ns0:c r="E69" s="27">
        <ns0:f>COUNTIFS('BASE_CIERRE'!$G$5:$G$458,1,'BASE_CIERRE'!$H$5:$H$458,"Prognosis")</ns0:f>
        <ns0:v>22</ns0:v>
      </ns0:c>
      <ns0:c r="F69" s="31">
        <ns0:f>IFERROR(D69/E69,0)</ns0:f>
        <ns0:v>0.18181818181818182</ns0:v>
      </ns0:c>
    </ns0:row>
    <ns0:row r="70" ht="32" customHeight="1">
      <ns0:c r="A70" s="21" t="inlineStr">
        <ns0:is>
          <ns0:t>Prognosis</ns0:t>
        </ns0:is>
      </ns0:c>
      <ns0:c r="B70" s="21" t="inlineStr">
        <ns0:is>
          <ns0:t>Neuroimaging</ns0:t>
        </ns0:is>
      </ns0:c>
      <ns0:c r="C70" s="21" t="inlineStr">
        <ns0:is>
          <ns0:t>Machine Learning</ns0:t>
        </ns0:is>
      </ns0:c>
      <ns0:c r="D70" s="29">
        <ns0:f>COUNTIFS('BASE_CIERRE'!$G$5:$G$458,1,'BASE_CIERRE'!$H$5:$H$458,"Prognosis",'BASE_CIERRE'!$J$5:$J$458,"Neuroimaging",'BASE_CIERRE'!$I$5:$I$458,"Machine Learning")</ns0:f>
        <ns0:v>2</ns0:v>
      </ns0:c>
      <ns0:c r="E70" s="29">
        <ns0:f>COUNTIFS('BASE_CIERRE'!$G$5:$G$458,1,'BASE_CIERRE'!$H$5:$H$458,"Prognosis")</ns0:f>
        <ns0:v>22</ns0:v>
      </ns0:c>
      <ns0:c r="F70" s="32">
        <ns0:f>IFERROR(D70/E70,0)</ns0:f>
        <ns0:v>0.09090909090909091</ns0:v>
      </ns0:c>
    </ns0:row>
    <ns0:row r="71" ht="32" customHeight="1">
      <ns0:c r="A71" s="19" t="inlineStr">
        <ns0:is>
          <ns0:t>Prognosis</ns0:t>
        </ns0:is>
      </ns0:c>
      <ns0:c r="B71" s="19" t="inlineStr">
        <ns0:is>
          <ns0:t>Physiological signals</ns0:t>
        </ns0:is>
      </ns0:c>
      <ns0:c r="C71" s="19" t="inlineStr">
        <ns0:is>
          <ns0:t>Machine Learning</ns0:t>
        </ns0:is>
      </ns0:c>
      <ns0:c r="D71" s="27">
        <ns0:f>COUNTIFS('BASE_CIERRE'!$G$5:$G$458,1,'BASE_CIERRE'!$H$5:$H$458,"Prognosis",'BASE_CIERRE'!$J$5:$J$458,"Physiological signals",'BASE_CIERRE'!$I$5:$I$458,"Machine Learning")</ns0:f>
        <ns0:v>3</ns0:v>
      </ns0:c>
      <ns0:c r="E71" s="27">
        <ns0:f>COUNTIFS('BASE_CIERRE'!$G$5:$G$458,1,'BASE_CIERRE'!$H$5:$H$458,"Prognosis")</ns0:f>
        <ns0:v>22</ns0:v>
      </ns0:c>
      <ns0:c r="F71" s="31">
        <ns0:f>IFERROR(D71/E71,0)</ns0:f>
        <ns0:v>0.13636363636363635</ns0:v>
      </ns0:c>
    </ns0:row>
    <ns0:row r="72" ht="32" customHeight="1">
      <ns0:c r="A72" s="21" t="inlineStr">
        <ns0:is>
          <ns0:t>Prognosis</ns0:t>
        </ns0:is>
      </ns0:c>
      <ns0:c r="B72" s="21" t="inlineStr">
        <ns0:is>
          <ns0:t>Structured clinical/questionnaire data</ns0:t>
        </ns0:is>
      </ns0:c>
      <ns0:c r="C72" s="21" t="inlineStr">
        <ns0:is>
          <ns0:t>Deep Learning</ns0:t>
        </ns0:is>
      </ns0:c>
      <ns0:c r="D72" s="29">
        <ns0:f>COUNTIFS('BASE_CIERRE'!$G$5:$G$458,1,'BASE_CIERRE'!$H$5:$H$458,"Prognosis",'BASE_CIERRE'!$J$5:$J$458,"Structured clinical/questionnaire data",'BASE_CIERRE'!$I$5:$I$458,"Deep Learning")</ns0:f>
        <ns0:v>2</ns0:v>
      </ns0:c>
      <ns0:c r="E72" s="29">
        <ns0:f>COUNTIFS('BASE_CIERRE'!$G$5:$G$458,1,'BASE_CIERRE'!$H$5:$H$458,"Prognosis")</ns0:f>
        <ns0:v>22</ns0:v>
      </ns0:c>
      <ns0:c r="F72" s="32">
        <ns0:f>IFERROR(D72/E72,0)</ns0:f>
        <ns0:v>0.09090909090909091</ns0:v>
      </ns0:c>
    </ns0:row>
    <ns0:row r="73" ht="32" customHeight="1">
      <ns0:c r="A73" s="19" t="inlineStr">
        <ns0:is>
          <ns0:t>Prognosis</ns0:t>
        </ns0:is>
      </ns0:c>
      <ns0:c r="B73" s="19" t="inlineStr">
        <ns0:is>
          <ns0:t>Structured clinical/questionnaire data</ns0:t>
        </ns0:is>
      </ns0:c>
      <ns0:c r="C73" s="19" t="inlineStr">
        <ns0:is>
          <ns0:t>Machine Learning</ns0:t>
        </ns0:is>
      </ns0:c>
      <ns0:c r="D73" s="27">
        <ns0:f>COUNTIFS('BASE_CIERRE'!$G$5:$G$458,1,'BASE_CIERRE'!$H$5:$H$458,"Prognosis",'BASE_CIERRE'!$J$5:$J$458,"Structured clinical/questionnaire data",'BASE_CIERRE'!$I$5:$I$458,"Machine Learning")</ns0:f>
        <ns0:v>6</ns0:v>
      </ns0:c>
      <ns0:c r="E73" s="27">
        <ns0:f>COUNTIFS('BASE_CIERRE'!$G$5:$G$458,1,'BASE_CIERRE'!$H$5:$H$458,"Prognosis")</ns0:f>
        <ns0:v>22</ns0:v>
      </ns0:c>
      <ns0:c r="F73" s="31">
        <ns0:f>IFERROR(D73/E73,0)</ns0:f>
        <ns0:v>0.2727272727272727</ns0:v>
      </ns0:c>
    </ns0:row>
    <ns0:row r="74" ht="32" customHeight="1">
      <ns0:c r="A74" s="21" t="inlineStr">
        <ns0:is>
          <ns0:t>Screening</ns0:t>
        </ns0:is>
      </ns0:c>
      <ns0:c r="B74" s="21" t="inlineStr">
        <ns0:is>
          <ns0:t>Audio/voice</ns0:t>
        </ns0:is>
      </ns0:c>
      <ns0:c r="C74" s="21" t="inlineStr">
        <ns0:is>
          <ns0:t>Deep Learning</ns0:t>
        </ns0:is>
      </ns0:c>
      <ns0:c r="D74" s="29">
        <ns0:f>COUNTIFS('BASE_CIERRE'!$G$5:$G$458,1,'BASE_CIERRE'!$H$5:$H$458,"Screening",'BASE_CIERRE'!$J$5:$J$458,"Audio/voice",'BASE_CIERRE'!$I$5:$I$458,"Deep Learning")</ns0:f>
        <ns0:v>2</ns0:v>
      </ns0:c>
      <ns0:c r="E74" s="29">
        <ns0:f>COUNTIFS('BASE_CIERRE'!$G$5:$G$458,1,'BASE_CIERRE'!$H$5:$H$458,"Screening")</ns0:f>
        <ns0:v>113</ns0:v>
      </ns0:c>
      <ns0:c r="F74" s="32">
        <ns0:f>IFERROR(D74/E74,0)</ns0:f>
        <ns0:v>0.017699115044247787</ns0:v>
      </ns0:c>
    </ns0:row>
    <ns0:row r="75" ht="32" customHeight="1">
      <ns0:c r="A75" s="19" t="inlineStr">
        <ns0:is>
          <ns0:t>Screening</ns0:t>
        </ns0:is>
      </ns0:c>
      <ns0:c r="B75" s="19" t="inlineStr">
        <ns0:is>
          <ns0:t>Audio/voice</ns0:t>
        </ns0:is>
      </ns0:c>
      <ns0:c r="C75" s="19" t="inlineStr">
        <ns0:is>
          <ns0:t>Not specified</ns0:t>
        </ns0:is>
      </ns0:c>
      <ns0:c r="D75" s="27">
        <ns0:f>COUNTIFS('BASE_CIERRE'!$G$5:$G$458,1,'BASE_CIERRE'!$H$5:$H$458,"Screening",'BASE_CIERRE'!$J$5:$J$458,"Audio/voice",'BASE_CIERRE'!$I$5:$I$458,"Not specified")</ns0:f>
        <ns0:v>1</ns0:v>
      </ns0:c>
      <ns0:c r="E75" s="27">
        <ns0:f>COUNTIFS('BASE_CIERRE'!$G$5:$G$458,1,'BASE_CIERRE'!$H$5:$H$458,"Screening")</ns0:f>
        <ns0:v>113</ns0:v>
      </ns0:c>
      <ns0:c r="F75" s="31">
        <ns0:f>IFERROR(D75/E75,0)</ns0:f>
        <ns0:v>0.008849557522123894</ns0:v>
      </ns0:c>
    </ns0:row>
    <ns0:row r="76" ht="32" customHeight="1">
      <ns0:c r="A76" s="21" t="inlineStr">
        <ns0:is>
          <ns0:t>Screening</ns0:t>
        </ns0:is>
      </ns0:c>
      <ns0:c r="B76" s="21" t="inlineStr">
        <ns0:is>
          <ns0:t>Behavioral images/video/gaze/movement</ns0:t>
        </ns0:is>
      </ns0:c>
      <ns0:c r="C76" s="21" t="inlineStr">
        <ns0:is>
          <ns0:t>Deep Learning</ns0:t>
        </ns0:is>
      </ns0:c>
      <ns0:c r="D76" s="29">
        <ns0:f>COUNTIFS('BASE_CIERRE'!$G$5:$G$458,1,'BASE_CIERRE'!$H$5:$H$458,"Screening",'BASE_CIERRE'!$J$5:$J$458,"Behavioral images/video/gaze/movement",'BASE_CIERRE'!$I$5:$I$458,"Deep Learning")</ns0:f>
        <ns0:v>18</ns0:v>
      </ns0:c>
      <ns0:c r="E76" s="29">
        <ns0:f>COUNTIFS('BASE_CIERRE'!$G$5:$G$458,1,'BASE_CIERRE'!$H$5:$H$458,"Screening")</ns0:f>
        <ns0:v>113</ns0:v>
      </ns0:c>
      <ns0:c r="F76" s="32">
        <ns0:f>IFERROR(D76/E76,0)</ns0:f>
        <ns0:v>0.1592920353982301</ns0:v>
      </ns0:c>
    </ns0:row>
    <ns0:row r="77" ht="32" customHeight="1">
      <ns0:c r="A77" s="19" t="inlineStr">
        <ns0:is>
          <ns0:t>Screening</ns0:t>
        </ns0:is>
      </ns0:c>
      <ns0:c r="B77" s="19" t="inlineStr">
        <ns0:is>
          <ns0:t>Behavioral images/video/gaze/movement</ns0:t>
        </ns0:is>
      </ns0:c>
      <ns0:c r="C77" s="19" t="inlineStr">
        <ns0:is>
          <ns0:t>Hybrid</ns0:t>
        </ns0:is>
      </ns0:c>
      <ns0:c r="D77" s="27">
        <ns0:f>COUNTIFS('BASE_CIERRE'!$G$5:$G$458,1,'BASE_CIERRE'!$H$5:$H$458,"Screening",'BASE_CIERRE'!$J$5:$J$458,"Behavioral images/video/gaze/movement",'BASE_CIERRE'!$I$5:$I$458,"Hybrid")</ns0:f>
        <ns0:v>2</ns0:v>
      </ns0:c>
      <ns0:c r="E77" s="27">
        <ns0:f>COUNTIFS('BASE_CIERRE'!$G$5:$G$458,1,'BASE_CIERRE'!$H$5:$H$458,"Screening")</ns0:f>
        <ns0:v>113</ns0:v>
      </ns0:c>
      <ns0:c r="F77" s="31">
        <ns0:f>IFERROR(D77/E77,0)</ns0:f>
        <ns0:v>0.017699115044247787</ns0:v>
      </ns0:c>
    </ns0:row>
    <ns0:row r="78" ht="32" customHeight="1">
      <ns0:c r="A78" s="21" t="inlineStr">
        <ns0:is>
          <ns0:t>Screening</ns0:t>
        </ns0:is>
      </ns0:c>
      <ns0:c r="B78" s="21" t="inlineStr">
        <ns0:is>
          <ns0:t>Behavioral images/video/gaze/movement</ns0:t>
        </ns0:is>
      </ns0:c>
      <ns0:c r="C78" s="21" t="inlineStr">
        <ns0:is>
          <ns0:t>Machine Learning</ns0:t>
        </ns0:is>
      </ns0:c>
      <ns0:c r="D78" s="29">
        <ns0:f>COUNTIFS('BASE_CIERRE'!$G$5:$G$458,1,'BASE_CIERRE'!$H$5:$H$458,"Screening",'BASE_CIERRE'!$J$5:$J$458,"Behavioral images/video/gaze/movement",'BASE_CIERRE'!$I$5:$I$458,"Machine Learning")</ns0:f>
        <ns0:v>12</ns0:v>
      </ns0:c>
      <ns0:c r="E78" s="29">
        <ns0:f>COUNTIFS('BASE_CIERRE'!$G$5:$G$458,1,'BASE_CIERRE'!$H$5:$H$458,"Screening")</ns0:f>
        <ns0:v>113</ns0:v>
      </ns0:c>
      <ns0:c r="F78" s="32">
        <ns0:f>IFERROR(D78/E78,0)</ns0:f>
        <ns0:v>0.10619469026548672</ns0:v>
      </ns0:c>
    </ns0:row>
    <ns0:row r="79" ht="32" customHeight="1">
      <ns0:c r="A79" s="19" t="inlineStr">
        <ns0:is>
          <ns0:t>Screening</ns0:t>
        </ns0:is>
      </ns0:c>
      <ns0:c r="B79" s="19" t="inlineStr">
        <ns0:is>
          <ns0:t>Behavioral images/video/gaze/movement</ns0:t>
        </ns0:is>
      </ns0:c>
      <ns0:c r="C79" s="19" t="inlineStr">
        <ns0:is>
          <ns0:t>Not specified</ns0:t>
        </ns0:is>
      </ns0:c>
      <ns0:c r="D79" s="27">
        <ns0:f>COUNTIFS('BASE_CIERRE'!$G$5:$G$458,1,'BASE_CIERRE'!$H$5:$H$458,"Screening",'BASE_CIERRE'!$J$5:$J$458,"Behavioral images/video/gaze/movement",'BASE_CIERRE'!$I$5:$I$458,"Not specified")</ns0:f>
        <ns0:v>2</ns0:v>
      </ns0:c>
      <ns0:c r="E79" s="27">
        <ns0:f>COUNTIFS('BASE_CIERRE'!$G$5:$G$458,1,'BASE_CIERRE'!$H$5:$H$458,"Screening")</ns0:f>
        <ns0:v>113</ns0:v>
      </ns0:c>
      <ns0:c r="F79" s="31">
        <ns0:f>IFERROR(D79/E79,0)</ns0:f>
        <ns0:v>0.017699115044247787</ns0:v>
      </ns0:c>
    </ns0:row>
    <ns0:row r="80" ht="32" customHeight="1">
      <ns0:c r="A80" s="21" t="inlineStr">
        <ns0:is>
          <ns0:t>Screening</ns0:t>
        </ns0:is>
      </ns0:c>
      <ns0:c r="B80" s="21" t="inlineStr">
        <ns0:is>
          <ns0:t>Biological/omics</ns0:t>
        </ns0:is>
      </ns0:c>
      <ns0:c r="C80" s="21" t="inlineStr">
        <ns0:is>
          <ns0:t>Machine Learning</ns0:t>
        </ns0:is>
      </ns0:c>
      <ns0:c r="D80" s="29">
        <ns0:f>COUNTIFS('BASE_CIERRE'!$G$5:$G$458,1,'BASE_CIERRE'!$H$5:$H$458,"Screening",'BASE_CIERRE'!$J$5:$J$458,"Biological/omics",'BASE_CIERRE'!$I$5:$I$458,"Machine Learning")</ns0:f>
        <ns0:v>2</ns0:v>
      </ns0:c>
      <ns0:c r="E80" s="29">
        <ns0:f>COUNTIFS('BASE_CIERRE'!$G$5:$G$458,1,'BASE_CIERRE'!$H$5:$H$458,"Screening")</ns0:f>
        <ns0:v>113</ns0:v>
      </ns0:c>
      <ns0:c r="F80" s="32">
        <ns0:f>IFERROR(D80/E80,0)</ns0:f>
        <ns0:v>0.017699115044247787</ns0:v>
      </ns0:c>
    </ns0:row>
    <ns0:row r="81" ht="32" customHeight="1">
      <ns0:c r="A81" s="19" t="inlineStr">
        <ns0:is>
          <ns0:t>Screening</ns0:t>
        </ns0:is>
      </ns0:c>
      <ns0:c r="B81" s="19" t="inlineStr">
        <ns0:is>
          <ns0:t>Multiple source categories</ns0:t>
        </ns0:is>
      </ns0:c>
      <ns0:c r="C81" s="19" t="inlineStr">
        <ns0:is>
          <ns0:t>Deep Learning</ns0:t>
        </ns0:is>
      </ns0:c>
      <ns0:c r="D81" s="27">
        <ns0:f>COUNTIFS('BASE_CIERRE'!$G$5:$G$458,1,'BASE_CIERRE'!$H$5:$H$458,"Screening",'BASE_CIERRE'!$J$5:$J$458,"Multiple source categories",'BASE_CIERRE'!$I$5:$I$458,"Deep Learning")</ns0:f>
        <ns0:v>3</ns0:v>
      </ns0:c>
      <ns0:c r="E81" s="27">
        <ns0:f>COUNTIFS('BASE_CIERRE'!$G$5:$G$458,1,'BASE_CIERRE'!$H$5:$H$458,"Screening")</ns0:f>
        <ns0:v>113</ns0:v>
      </ns0:c>
      <ns0:c r="F81" s="31">
        <ns0:f>IFERROR(D81/E81,0)</ns0:f>
        <ns0:v>0.02654867256637168</ns0:v>
      </ns0:c>
    </ns0:row>
    <ns0:row r="82" ht="32" customHeight="1">
      <ns0:c r="A82" s="21" t="inlineStr">
        <ns0:is>
          <ns0:t>Screening</ns0:t>
        </ns0:is>
      </ns0:c>
      <ns0:c r="B82" s="21" t="inlineStr">
        <ns0:is>
          <ns0:t>Multiple source categories</ns0:t>
        </ns0:is>
      </ns0:c>
      <ns0:c r="C82" s="21" t="inlineStr">
        <ns0:is>
          <ns0:t>Hybrid</ns0:t>
        </ns0:is>
      </ns0:c>
      <ns0:c r="D82" s="29">
        <ns0:f>COUNTIFS('BASE_CIERRE'!$G$5:$G$458,1,'BASE_CIERRE'!$H$5:$H$458,"Screening",'BASE_CIERRE'!$J$5:$J$458,"Multiple source categories",'BASE_CIERRE'!$I$5:$I$458,"Hybrid")</ns0:f>
        <ns0:v>4</ns0:v>
      </ns0:c>
      <ns0:c r="E82" s="29">
        <ns0:f>COUNTIFS('BASE_CIERRE'!$G$5:$G$458,1,'BASE_CIERRE'!$H$5:$H$458,"Screening")</ns0:f>
        <ns0:v>113</ns0:v>
      </ns0:c>
      <ns0:c r="F82" s="32">
        <ns0:f>IFERROR(D82/E82,0)</ns0:f>
        <ns0:v>0.035398230088495575</ns0:v>
      </ns0:c>
    </ns0:row>
    <ns0:row r="83" ht="32" customHeight="1">
      <ns0:c r="A83" s="19" t="inlineStr">
        <ns0:is>
          <ns0:t>Screening</ns0:t>
        </ns0:is>
      </ns0:c>
      <ns0:c r="B83" s="19" t="inlineStr">
        <ns0:is>
          <ns0:t>Multiple source categories</ns0:t>
        </ns0:is>
      </ns0:c>
      <ns0:c r="C83" s="19" t="inlineStr">
        <ns0:is>
          <ns0:t>Machine Learning</ns0:t>
        </ns0:is>
      </ns0:c>
      <ns0:c r="D83" s="27">
        <ns0:f>COUNTIFS('BASE_CIERRE'!$G$5:$G$458,1,'BASE_CIERRE'!$H$5:$H$458,"Screening",'BASE_CIERRE'!$J$5:$J$458,"Multiple source categories",'BASE_CIERRE'!$I$5:$I$458,"Machine Learning")</ns0:f>
        <ns0:v>1</ns0:v>
      </ns0:c>
      <ns0:c r="E83" s="27">
        <ns0:f>COUNTIFS('BASE_CIERRE'!$G$5:$G$458,1,'BASE_CIERRE'!$H$5:$H$458,"Screening")</ns0:f>
        <ns0:v>113</ns0:v>
      </ns0:c>
      <ns0:c r="F83" s="31">
        <ns0:f>IFERROR(D83/E83,0)</ns0:f>
        <ns0:v>0.008849557522123894</ns0:v>
      </ns0:c>
    </ns0:row>
    <ns0:row r="84" ht="32" customHeight="1">
      <ns0:c r="A84" s="21" t="inlineStr">
        <ns0:is>
          <ns0:t>Screening</ns0:t>
        </ns0:is>
      </ns0:c>
      <ns0:c r="B84" s="21" t="inlineStr">
        <ns0:is>
          <ns0:t>Neuroimaging</ns0:t>
        </ns0:is>
      </ns0:c>
      <ns0:c r="C84" s="21" t="inlineStr">
        <ns0:is>
          <ns0:t>Deep Learning</ns0:t>
        </ns0:is>
      </ns0:c>
      <ns0:c r="D84" s="29">
        <ns0:f>COUNTIFS('BASE_CIERRE'!$G$5:$G$458,1,'BASE_CIERRE'!$H$5:$H$458,"Screening",'BASE_CIERRE'!$J$5:$J$458,"Neuroimaging",'BASE_CIERRE'!$I$5:$I$458,"Deep Learning")</ns0:f>
        <ns0:v>1</ns0:v>
      </ns0:c>
      <ns0:c r="E84" s="29">
        <ns0:f>COUNTIFS('BASE_CIERRE'!$G$5:$G$458,1,'BASE_CIERRE'!$H$5:$H$458,"Screening")</ns0:f>
        <ns0:v>113</ns0:v>
      </ns0:c>
      <ns0:c r="F84" s="32">
        <ns0:f>IFERROR(D84/E84,0)</ns0:f>
        <ns0:v>0.008849557522123894</ns0:v>
      </ns0:c>
    </ns0:row>
    <ns0:row r="85" ht="32" customHeight="1">
      <ns0:c r="A85" s="19" t="inlineStr">
        <ns0:is>
          <ns0:t>Screening</ns0:t>
        </ns0:is>
      </ns0:c>
      <ns0:c r="B85" s="19" t="inlineStr">
        <ns0:is>
          <ns0:t>Not specified</ns0:t>
        </ns0:is>
      </ns0:c>
      <ns0:c r="C85" s="19" t="inlineStr">
        <ns0:is>
          <ns0:t>Deep Learning</ns0:t>
        </ns0:is>
      </ns0:c>
      <ns0:c r="D85" s="27">
        <ns0:f>COUNTIFS('BASE_CIERRE'!$G$5:$G$458,1,'BASE_CIERRE'!$H$5:$H$458,"Screening",'BASE_CIERRE'!$J$5:$J$458,"Not specified",'BASE_CIERRE'!$I$5:$I$458,"Deep Learning")</ns0:f>
        <ns0:v>6</ns0:v>
      </ns0:c>
      <ns0:c r="E85" s="27">
        <ns0:f>COUNTIFS('BASE_CIERRE'!$G$5:$G$458,1,'BASE_CIERRE'!$H$5:$H$458,"Screening")</ns0:f>
        <ns0:v>113</ns0:v>
      </ns0:c>
      <ns0:c r="F85" s="31">
        <ns0:f>IFERROR(D85/E85,0)</ns0:f>
        <ns0:v>0.05309734513274336</ns0:v>
      </ns0:c>
    </ns0:row>
    <ns0:row r="86" ht="32" customHeight="1">
      <ns0:c r="A86" s="21" t="inlineStr">
        <ns0:is>
          <ns0:t>Screening</ns0:t>
        </ns0:is>
      </ns0:c>
      <ns0:c r="B86" s="21" t="inlineStr">
        <ns0:is>
          <ns0:t>Not specified</ns0:t>
        </ns0:is>
      </ns0:c>
      <ns0:c r="C86" s="21" t="inlineStr">
        <ns0:is>
          <ns0:t>Hybrid</ns0:t>
        </ns0:is>
      </ns0:c>
      <ns0:c r="D86" s="29">
        <ns0:f>COUNTIFS('BASE_CIERRE'!$G$5:$G$458,1,'BASE_CIERRE'!$H$5:$H$458,"Screening",'BASE_CIERRE'!$J$5:$J$458,"Not specified",'BASE_CIERRE'!$I$5:$I$458,"Hybrid")</ns0:f>
        <ns0:v>1</ns0:v>
      </ns0:c>
      <ns0:c r="E86" s="29">
        <ns0:f>COUNTIFS('BASE_CIERRE'!$G$5:$G$458,1,'BASE_CIERRE'!$H$5:$H$458,"Screening")</ns0:f>
        <ns0:v>113</ns0:v>
      </ns0:c>
      <ns0:c r="F86" s="32">
        <ns0:f>IFERROR(D86/E86,0)</ns0:f>
        <ns0:v>0.008849557522123894</ns0:v>
      </ns0:c>
    </ns0:row>
    <ns0:row r="87" ht="32" customHeight="1">
      <ns0:c r="A87" s="19" t="inlineStr">
        <ns0:is>
          <ns0:t>Screening</ns0:t>
        </ns0:is>
      </ns0:c>
      <ns0:c r="B87" s="19" t="inlineStr">
        <ns0:is>
          <ns0:t>Not specified</ns0:t>
        </ns0:is>
      </ns0:c>
      <ns0:c r="C87" s="19" t="inlineStr">
        <ns0:is>
          <ns0:t>Machine Learning</ns0:t>
        </ns0:is>
      </ns0:c>
      <ns0:c r="D87" s="27">
        <ns0:f>COUNTIFS('BASE_CIERRE'!$G$5:$G$458,1,'BASE_CIERRE'!$H$5:$H$458,"Screening",'BASE_CIERRE'!$J$5:$J$458,"Not specified",'BASE_CIERRE'!$I$5:$I$458,"Machine Learning")</ns0:f>
        <ns0:v>1</ns0:v>
      </ns0:c>
      <ns0:c r="E87" s="27">
        <ns0:f>COUNTIFS('BASE_CIERRE'!$G$5:$G$458,1,'BASE_CIERRE'!$H$5:$H$458,"Screening")</ns0:f>
        <ns0:v>113</ns0:v>
      </ns0:c>
      <ns0:c r="F87" s="31">
        <ns0:f>IFERROR(D87/E87,0)</ns0:f>
        <ns0:v>0.008849557522123894</ns0:v>
      </ns0:c>
    </ns0:row>
    <ns0:row r="88" ht="32" customHeight="1">
      <ns0:c r="A88" s="21" t="inlineStr">
        <ns0:is>
          <ns0:t>Screening</ns0:t>
        </ns0:is>
      </ns0:c>
      <ns0:c r="B88" s="21" t="inlineStr">
        <ns0:is>
          <ns0:t>Other biomedical/digital data</ns0:t>
        </ns0:is>
      </ns0:c>
      <ns0:c r="C88" s="21" t="inlineStr">
        <ns0:is>
          <ns0:t>Machine Learning</ns0:t>
        </ns0:is>
      </ns0:c>
      <ns0:c r="D88" s="29">
        <ns0:f>COUNTIFS('BASE_CIERRE'!$G$5:$G$458,1,'BASE_CIERRE'!$H$5:$H$458,"Screening",'BASE_CIERRE'!$J$5:$J$458,"Other biomedical/digital data",'BASE_CIERRE'!$I$5:$I$458,"Machine Learning")</ns0:f>
        <ns0:v>1</ns0:v>
      </ns0:c>
      <ns0:c r="E88" s="29">
        <ns0:f>COUNTIFS('BASE_CIERRE'!$G$5:$G$458,1,'BASE_CIERRE'!$H$5:$H$458,"Screening")</ns0:f>
        <ns0:v>113</ns0:v>
      </ns0:c>
      <ns0:c r="F88" s="32">
        <ns0:f>IFERROR(D88/E88,0)</ns0:f>
        <ns0:v>0.008849557522123894</ns0:v>
      </ns0:c>
    </ns0:row>
    <ns0:row r="89" ht="32" customHeight="1">
      <ns0:c r="A89" s="19" t="inlineStr">
        <ns0:is>
          <ns0:t>Screening</ns0:t>
        </ns0:is>
      </ns0:c>
      <ns0:c r="B89" s="19" t="inlineStr">
        <ns0:is>
          <ns0:t>Physiological signals</ns0:t>
        </ns0:is>
      </ns0:c>
      <ns0:c r="C89" s="19" t="inlineStr">
        <ns0:is>
          <ns0:t>Deep Learning</ns0:t>
        </ns0:is>
      </ns0:c>
      <ns0:c r="D89" s="27">
        <ns0:f>COUNTIFS('BASE_CIERRE'!$G$5:$G$458,1,'BASE_CIERRE'!$H$5:$H$458,"Screening",'BASE_CIERRE'!$J$5:$J$458,"Physiological signals",'BASE_CIERRE'!$I$5:$I$458,"Deep Learning")</ns0:f>
        <ns0:v>3</ns0:v>
      </ns0:c>
      <ns0:c r="E89" s="27">
        <ns0:f>COUNTIFS('BASE_CIERRE'!$G$5:$G$458,1,'BASE_CIERRE'!$H$5:$H$458,"Screening")</ns0:f>
        <ns0:v>113</ns0:v>
      </ns0:c>
      <ns0:c r="F89" s="31">
        <ns0:f>IFERROR(D89/E89,0)</ns0:f>
        <ns0:v>0.02654867256637168</ns0:v>
      </ns0:c>
    </ns0:row>
    <ns0:row r="90" ht="32" customHeight="1">
      <ns0:c r="A90" s="21" t="inlineStr">
        <ns0:is>
          <ns0:t>Screening</ns0:t>
        </ns0:is>
      </ns0:c>
      <ns0:c r="B90" s="21" t="inlineStr">
        <ns0:is>
          <ns0:t>Physiological signals</ns0:t>
        </ns0:is>
      </ns0:c>
      <ns0:c r="C90" s="21" t="inlineStr">
        <ns0:is>
          <ns0:t>Machine Learning</ns0:t>
        </ns0:is>
      </ns0:c>
      <ns0:c r="D90" s="29">
        <ns0:f>COUNTIFS('BASE_CIERRE'!$G$5:$G$458,1,'BASE_CIERRE'!$H$5:$H$458,"Screening",'BASE_CIERRE'!$J$5:$J$458,"Physiological signals",'BASE_CIERRE'!$I$5:$I$458,"Machine Learning")</ns0:f>
        <ns0:v>3</ns0:v>
      </ns0:c>
      <ns0:c r="E90" s="29">
        <ns0:f>COUNTIFS('BASE_CIERRE'!$G$5:$G$458,1,'BASE_CIERRE'!$H$5:$H$458,"Screening")</ns0:f>
        <ns0:v>113</ns0:v>
      </ns0:c>
      <ns0:c r="F90" s="32">
        <ns0:f>IFERROR(D90/E90,0)</ns0:f>
        <ns0:v>0.02654867256637168</ns0:v>
      </ns0:c>
    </ns0:row>
    <ns0:row r="91" ht="32" customHeight="1">
      <ns0:c r="A91" s="19" t="inlineStr">
        <ns0:is>
          <ns0:t>Screening</ns0:t>
        </ns0:is>
      </ns0:c>
      <ns0:c r="B91" s="19" t="inlineStr">
        <ns0:is>
          <ns0:t>Structured clinical/questionnaire data</ns0:t>
        </ns0:is>
      </ns0:c>
      <ns0:c r="C91" s="19" t="inlineStr">
        <ns0:is>
          <ns0:t>Deep Learning</ns0:t>
        </ns0:is>
      </ns0:c>
      <ns0:c r="D91" s="27">
        <ns0:f>COUNTIFS('BASE_CIERRE'!$G$5:$G$458,1,'BASE_CIERRE'!$H$5:$H$458,"Screening",'BASE_CIERRE'!$J$5:$J$458,"Structured clinical/questionnaire data",'BASE_CIERRE'!$I$5:$I$458,"Deep Learning")</ns0:f>
        <ns0:v>9</ns0:v>
      </ns0:c>
      <ns0:c r="E91" s="27">
        <ns0:f>COUNTIFS('BASE_CIERRE'!$G$5:$G$458,1,'BASE_CIERRE'!$H$5:$H$458,"Screening")</ns0:f>
        <ns0:v>113</ns0:v>
      </ns0:c>
      <ns0:c r="F91" s="31">
        <ns0:f>IFERROR(D91/E91,0)</ns0:f>
        <ns0:v>0.07964601769911504</ns0:v>
      </ns0:c>
    </ns0:row>
    <ns0:row r="92" ht="32" customHeight="1">
      <ns0:c r="A92" s="21" t="inlineStr">
        <ns0:is>
          <ns0:t>Screening</ns0:t>
        </ns0:is>
      </ns0:c>
      <ns0:c r="B92" s="21" t="inlineStr">
        <ns0:is>
          <ns0:t>Structured clinical/questionnaire data</ns0:t>
        </ns0:is>
      </ns0:c>
      <ns0:c r="C92" s="21" t="inlineStr">
        <ns0:is>
          <ns0:t>Hybrid</ns0:t>
        </ns0:is>
      </ns0:c>
      <ns0:c r="D92" s="29">
        <ns0:f>COUNTIFS('BASE_CIERRE'!$G$5:$G$458,1,'BASE_CIERRE'!$H$5:$H$458,"Screening",'BASE_CIERRE'!$J$5:$J$458,"Structured clinical/questionnaire data",'BASE_CIERRE'!$I$5:$I$458,"Hybrid")</ns0:f>
        <ns0:v>2</ns0:v>
      </ns0:c>
      <ns0:c r="E92" s="29">
        <ns0:f>COUNTIFS('BASE_CIERRE'!$G$5:$G$458,1,'BASE_CIERRE'!$H$5:$H$458,"Screening")</ns0:f>
        <ns0:v>113</ns0:v>
      </ns0:c>
      <ns0:c r="F92" s="32">
        <ns0:f>IFERROR(D92/E92,0)</ns0:f>
        <ns0:v>0.017699115044247787</ns0:v>
      </ns0:c>
    </ns0:row>
    <ns0:row r="93" ht="32" customHeight="1">
      <ns0:c r="A93" s="19" t="inlineStr">
        <ns0:is>
          <ns0:t>Screening</ns0:t>
        </ns0:is>
      </ns0:c>
      <ns0:c r="B93" s="19" t="inlineStr">
        <ns0:is>
          <ns0:t>Structured clinical/questionnaire data</ns0:t>
        </ns0:is>
      </ns0:c>
      <ns0:c r="C93" s="19" t="inlineStr">
        <ns0:is>
          <ns0:t>Machine Learning</ns0:t>
        </ns0:is>
      </ns0:c>
      <ns0:c r="D93" s="27">
        <ns0:f>COUNTIFS('BASE_CIERRE'!$G$5:$G$458,1,'BASE_CIERRE'!$H$5:$H$458,"Screening",'BASE_CIERRE'!$J$5:$J$458,"Structured clinical/questionnaire data",'BASE_CIERRE'!$I$5:$I$458,"Machine Learning")</ns0:f>
        <ns0:v>37</ns0:v>
      </ns0:c>
      <ns0:c r="E93" s="27">
        <ns0:f>COUNTIFS('BASE_CIERRE'!$G$5:$G$458,1,'BASE_CIERRE'!$H$5:$H$458,"Screening")</ns0:f>
        <ns0:v>113</ns0:v>
      </ns0:c>
      <ns0:c r="F93" s="31">
        <ns0:f>IFERROR(D93/E93,0)</ns0:f>
        <ns0:v>0.3274336283185841</ns0:v>
      </ns0:c>
    </ns0:row>
    <ns0:row r="94" ht="32" customHeight="1">
      <ns0:c r="A94" s="21" t="inlineStr">
        <ns0:is>
          <ns0:t>Screening</ns0:t>
        </ns0:is>
      </ns0:c>
      <ns0:c r="B94" s="21" t="inlineStr">
        <ns0:is>
          <ns0:t>Text/language</ns0:t>
        </ns0:is>
      </ns0:c>
      <ns0:c r="C94" s="21" t="inlineStr">
        <ns0:is>
          <ns0:t>Machine Learning</ns0:t>
        </ns0:is>
      </ns0:c>
      <ns0:c r="D94" s="29">
        <ns0:f>COUNTIFS('BASE_CIERRE'!$G$5:$G$458,1,'BASE_CIERRE'!$H$5:$H$458,"Screening",'BASE_CIERRE'!$J$5:$J$458,"Text/language",'BASE_CIERRE'!$I$5:$I$458,"Machine Learning")</ns0:f>
        <ns0:v>2</ns0:v>
      </ns0:c>
      <ns0:c r="E94" s="29">
        <ns0:f>COUNTIFS('BASE_CIERRE'!$G$5:$G$458,1,'BASE_CIERRE'!$H$5:$H$458,"Screening")</ns0:f>
        <ns0:v>113</ns0:v>
      </ns0:c>
      <ns0:c r="F94" s="32">
        <ns0:f>IFERROR(D94/E94,0)</ns0:f>
        <ns0:v>0.017699115044247787</ns0:v>
      </ns0:c>
    </ns0:row>
  </ns0:sheetData>
  <ns0:autoFilter ref="A4:F94"/>
  <ns0:mergeCells count="2">
    <ns0:mergeCell ref="A2:F2"/>
    <ns0:mergeCell ref="A1:F1"/>
  </ns0:mergeCells>
  <ns0:printOptions horizontalCentered="1"/>
  <ns0:pageMargins left="0.75" right="0.75" top="1" bottom="1" header="0.5" footer="0.5"/>
  <ns0:pageSetup orientation="landscape" paperSize="8" fitToHeight="0" fitToWidth="1"/>
</ns0:worksheet>
</file>

<file path=xl/worksheets/sheet5.xml><?xml version="1.0" encoding="utf-8"?>
<ns0:worksheet xmlns:ns0="http://schemas.openxmlformats.org/spreadsheetml/2006/main">
  <ns0:sheetPr>
    <ns0:tabColor rgb="00177E89"/>
    <ns0:outlinePr summaryBelow="1" summaryRight="0"/>
    <ns0:pageSetUpPr fitToPage="1"/>
  </ns0:sheetPr>
  <ns0:dimension ref="A1:E62"/>
  <ns0:sheetViews>
    <ns0:sheetView showGridLines="0" workbookViewId="0">
      <ns0:pane xSplit="2" ySplit="4" topLeftCell="C5" activePane="bottomRight" state="frozen"/>
      <ns0:selection pane="topRight"/>
      <ns0:selection pane="bottomLeft"/>
      <ns0:selection pane="bottomRight" activeCell="A1" sqref="A1"/>
    </ns0:sheetView>
  </ns0:sheetViews>
  <ns0:sheetFormatPr baseColWidth="8" defaultRowHeight="15"/>
  <ns0:cols>
    <ns0:col width="28" customWidth="1" min="1" max="1"/>
    <ns0:col width="40" customWidth="1" min="2" max="2"/>
    <ns0:col width="24" customWidth="1" min="3" max="3"/>
    <ns0:col width="24" customWidth="1" min="4" max="4"/>
    <ns0:col width="24" customWidth="1" min="5" max="5"/>
  </ns0:cols>
  <ns0:sheetData>
    <ns0:row r="1" ht="36" customHeight="1">
      <ns0:c r="A1" s="16" t="inlineStr">
        <ns0:is>
          <ns0:t>RQ1 | Familias algoritmicas y etapa</ns0:t>
        </ns0:is>
      </ns0:c>
    </ns0:row>
    <ns0:row r="2" ht="32" customHeight="1">
      <ns0:c r="A2" s="17" t="inlineStr">
        <ns0:is>
          <ns0:t>Conteos mutuamente exclusivos por informe. Research only no demuestra ausencia de utilidad; Proposed only no demuestra uso clinico.</ns0:t>
        </ns0:is>
      </ns0:c>
    </ns0:row>
    <ns0:row r="4" ht="34" customHeight="1">
      <ns0:c r="A4" s="18" t="inlineStr">
        <ns0:is>
          <ns0:t>stage_primary</ns0:t>
        </ns0:is>
      </ns0:c>
      <ns0:c r="B4" s="18" t="inlineStr">
        <ns0:is>
          <ns0:t>algorithm_family</ns0:t>
        </ns0:is>
      </ns0:c>
      <ns0:c r="C4" s="18" t="inlineStr">
        <ns0:is>
          <ns0:t>n</ns0:t>
        </ns0:is>
      </ns0:c>
      <ns0:c r="D4" s="18" t="inlineStr">
        <ns0:is>
          <ns0:t>denominator_stage</ns0:t>
        </ns0:is>
      </ns0:c>
      <ns0:c r="E4" s="18" t="inlineStr">
        <ns0:is>
          <ns0:t>within_stage_fraction</ns0:t>
        </ns0:is>
      </ns0:c>
    </ns0:row>
    <ns0:row r="5" ht="32" customHeight="1">
      <ns0:c r="A5" s="19" t="inlineStr">
        <ns0:is>
          <ns0:t>Diagnosis</ns0:t>
        </ns0:is>
      </ns0:c>
      <ns0:c r="B5" s="19" t="inlineStr">
        <ns0:is>
          <ns0:t>Autoencoder</ns0:t>
        </ns0:is>
      </ns0:c>
      <ns0:c r="C5" s="27">
        <ns0:f>COUNTIFS('BASE_CIERRE'!$G$5:$G$458,1,'BASE_CIERRE'!$H$5:$H$458,"Diagnosis",'BASE_CIERRE'!$L$5:$L$458,"Autoencoder")</ns0:f>
        <ns0:v>3</ns0:v>
      </ns0:c>
      <ns0:c r="D5" s="27">
        <ns0:f>COUNTIFS('BASE_CIERRE'!$G$5:$G$458,1,'BASE_CIERRE'!$H$5:$H$458,"Diagnosis")</ns0:f>
        <ns0:v>216</ns0:v>
      </ns0:c>
      <ns0:c r="E5" s="31">
        <ns0:f>IFERROR(C5/D5,0)</ns0:f>
        <ns0:v>0.013888888888888888</ns0:v>
      </ns0:c>
    </ns0:row>
    <ns0:row r="6" ht="32" customHeight="1">
      <ns0:c r="A6" s="21" t="inlineStr">
        <ns0:is>
          <ns0:t>Diagnosis</ns0:t>
        </ns0:is>
      </ns0:c>
      <ns0:c r="B6" s="21" t="inlineStr">
        <ns0:is>
          <ns0:t>CNN</ns0:t>
        </ns0:is>
      </ns0:c>
      <ns0:c r="C6" s="29">
        <ns0:f>COUNTIFS('BASE_CIERRE'!$G$5:$G$458,1,'BASE_CIERRE'!$H$5:$H$458,"Diagnosis",'BASE_CIERRE'!$L$5:$L$458,"CNN")</ns0:f>
        <ns0:v>31</ns0:v>
      </ns0:c>
      <ns0:c r="D6" s="29">
        <ns0:f>COUNTIFS('BASE_CIERRE'!$G$5:$G$458,1,'BASE_CIERRE'!$H$5:$H$458,"Diagnosis")</ns0:f>
        <ns0:v>216</ns0:v>
      </ns0:c>
      <ns0:c r="E6" s="32">
        <ns0:f>IFERROR(C6/D6,0)</ns0:f>
        <ns0:v>0.14351851851851852</ns0:v>
      </ns0:c>
    </ns0:row>
    <ns0:row r="7" ht="32" customHeight="1">
      <ns0:c r="A7" s="19" t="inlineStr">
        <ns0:is>
          <ns0:t>Diagnosis</ns0:t>
        </ns0:is>
      </ns0:c>
      <ns0:c r="B7" s="19" t="inlineStr">
        <ns0:is>
          <ns0:t>Clustering</ns0:t>
        </ns0:is>
      </ns0:c>
      <ns0:c r="C7" s="27">
        <ns0:f>COUNTIFS('BASE_CIERRE'!$G$5:$G$458,1,'BASE_CIERRE'!$H$5:$H$458,"Diagnosis",'BASE_CIERRE'!$L$5:$L$458,"Clustering")</ns0:f>
        <ns0:v>5</ns0:v>
      </ns0:c>
      <ns0:c r="D7" s="27">
        <ns0:f>COUNTIFS('BASE_CIERRE'!$G$5:$G$458,1,'BASE_CIERRE'!$H$5:$H$458,"Diagnosis")</ns0:f>
        <ns0:v>216</ns0:v>
      </ns0:c>
      <ns0:c r="E7" s="31">
        <ns0:f>IFERROR(C7/D7,0)</ns0:f>
        <ns0:v>0.023148148148148147</ns0:v>
      </ns0:c>
    </ns0:row>
    <ns0:row r="8" ht="32" customHeight="1">
      <ns0:c r="A8" s="21" t="inlineStr">
        <ns0:is>
          <ns0:t>Diagnosis</ns0:t>
        </ns0:is>
      </ns0:c>
      <ns0:c r="B8" s="21" t="inlineStr">
        <ns0:is>
          <ns0:t>Composite/ensemble pipeline</ns0:t>
        </ns0:is>
      </ns0:c>
      <ns0:c r="C8" s="29">
        <ns0:f>COUNTIFS('BASE_CIERRE'!$G$5:$G$458,1,'BASE_CIERRE'!$H$5:$H$458,"Diagnosis",'BASE_CIERRE'!$L$5:$L$458,"Composite/ensemble pipeline")</ns0:f>
        <ns0:v>32</ns0:v>
      </ns0:c>
      <ns0:c r="D8" s="29">
        <ns0:f>COUNTIFS('BASE_CIERRE'!$G$5:$G$458,1,'BASE_CIERRE'!$H$5:$H$458,"Diagnosis")</ns0:f>
        <ns0:v>216</ns0:v>
      </ns0:c>
      <ns0:c r="E8" s="32">
        <ns0:f>IFERROR(C8/D8,0)</ns0:f>
        <ns0:v>0.14814814814814814</ns0:v>
      </ns0:c>
    </ns0:row>
    <ns0:row r="9" ht="32" customHeight="1">
      <ns0:c r="A9" s="19" t="inlineStr">
        <ns0:is>
          <ns0:t>Diagnosis</ns0:t>
        </ns0:is>
      </ns0:c>
      <ns0:c r="B9" s="19" t="inlineStr">
        <ns0:is>
          <ns0:t>Decision tree/rules</ns0:t>
        </ns0:is>
      </ns0:c>
      <ns0:c r="C9" s="27">
        <ns0:f>COUNTIFS('BASE_CIERRE'!$G$5:$G$458,1,'BASE_CIERRE'!$H$5:$H$458,"Diagnosis",'BASE_CIERRE'!$L$5:$L$458,"Decision tree/rules")</ns0:f>
        <ns0:v>4</ns0:v>
      </ns0:c>
      <ns0:c r="D9" s="27">
        <ns0:f>COUNTIFS('BASE_CIERRE'!$G$5:$G$458,1,'BASE_CIERRE'!$H$5:$H$458,"Diagnosis")</ns0:f>
        <ns0:v>216</ns0:v>
      </ns0:c>
      <ns0:c r="E9" s="31">
        <ns0:f>IFERROR(C9/D9,0)</ns0:f>
        <ns0:v>0.018518518518518517</ns0:v>
      </ns0:c>
    </ns0:row>
    <ns0:row r="10" ht="32" customHeight="1">
      <ns0:c r="A10" s="21" t="inlineStr">
        <ns0:is>
          <ns0:t>Diagnosis</ns0:t>
        </ns0:is>
      </ns0:c>
      <ns0:c r="B10" s="21" t="inlineStr">
        <ns0:is>
          <ns0:t>GNN</ns0:t>
        </ns0:is>
      </ns0:c>
      <ns0:c r="C10" s="29">
        <ns0:f>COUNTIFS('BASE_CIERRE'!$G$5:$G$458,1,'BASE_CIERRE'!$H$5:$H$458,"Diagnosis",'BASE_CIERRE'!$L$5:$L$458,"GNN")</ns0:f>
        <ns0:v>14</ns0:v>
      </ns0:c>
      <ns0:c r="D10" s="29">
        <ns0:f>COUNTIFS('BASE_CIERRE'!$G$5:$G$458,1,'BASE_CIERRE'!$H$5:$H$458,"Diagnosis")</ns0:f>
        <ns0:v>216</ns0:v>
      </ns0:c>
      <ns0:c r="E10" s="32">
        <ns0:f>IFERROR(C10/D10,0)</ns0:f>
        <ns0:v>0.06481481481481481</ns0:v>
      </ns0:c>
    </ns0:row>
    <ns0:row r="11" ht="32" customHeight="1">
      <ns0:c r="A11" s="19" t="inlineStr">
        <ns0:is>
          <ns0:t>Diagnosis</ns0:t>
        </ns0:is>
      </ns0:c>
      <ns0:c r="B11" s="19" t="inlineStr">
        <ns0:is>
          <ns0:t>Gradient boosting</ns0:t>
        </ns0:is>
      </ns0:c>
      <ns0:c r="C11" s="27">
        <ns0:f>COUNTIFS('BASE_CIERRE'!$G$5:$G$458,1,'BASE_CIERRE'!$H$5:$H$458,"Diagnosis",'BASE_CIERRE'!$L$5:$L$458,"Gradient boosting")</ns0:f>
        <ns0:v>8</ns0:v>
      </ns0:c>
      <ns0:c r="D11" s="27">
        <ns0:f>COUNTIFS('BASE_CIERRE'!$G$5:$G$458,1,'BASE_CIERRE'!$H$5:$H$458,"Diagnosis")</ns0:f>
        <ns0:v>216</ns0:v>
      </ns0:c>
      <ns0:c r="E11" s="31">
        <ns0:f>IFERROR(C11/D11,0)</ns0:f>
        <ns0:v>0.037037037037037035</ns0:v>
      </ns0:c>
    </ns0:row>
    <ns0:row r="12" ht="32" customHeight="1">
      <ns0:c r="A12" s="21" t="inlineStr">
        <ns0:is>
          <ns0:t>Diagnosis</ns0:t>
        </ns0:is>
      </ns0:c>
      <ns0:c r="B12" s="21" t="inlineStr">
        <ns0:is>
          <ns0:t>Logistic regression</ns0:t>
        </ns0:is>
      </ns0:c>
      <ns0:c r="C12" s="29">
        <ns0:f>COUNTIFS('BASE_CIERRE'!$G$5:$G$458,1,'BASE_CIERRE'!$H$5:$H$458,"Diagnosis",'BASE_CIERRE'!$L$5:$L$458,"Logistic regression")</ns0:f>
        <ns0:v>6</ns0:v>
      </ns0:c>
      <ns0:c r="D12" s="29">
        <ns0:f>COUNTIFS('BASE_CIERRE'!$G$5:$G$458,1,'BASE_CIERRE'!$H$5:$H$458,"Diagnosis")</ns0:f>
        <ns0:v>216</ns0:v>
      </ns0:c>
      <ns0:c r="E12" s="32">
        <ns0:f>IFERROR(C12/D12,0)</ns0:f>
        <ns0:v>0.027777777777777776</ns0:v>
      </ns0:c>
    </ns0:row>
    <ns0:row r="13" ht="32" customHeight="1">
      <ns0:c r="A13" s="19" t="inlineStr">
        <ns0:is>
          <ns0:t>Diagnosis</ns0:t>
        </ns0:is>
      </ns0:c>
      <ns0:c r="B13" s="19" t="inlineStr">
        <ns0:is>
          <ns0:t>MLP/ANN</ns0:t>
        </ns0:is>
      </ns0:c>
      <ns0:c r="C13" s="27">
        <ns0:f>COUNTIFS('BASE_CIERRE'!$G$5:$G$458,1,'BASE_CIERRE'!$H$5:$H$458,"Diagnosis",'BASE_CIERRE'!$L$5:$L$458,"MLP/ANN")</ns0:f>
        <ns0:v>6</ns0:v>
      </ns0:c>
      <ns0:c r="D13" s="27">
        <ns0:f>COUNTIFS('BASE_CIERRE'!$G$5:$G$458,1,'BASE_CIERRE'!$H$5:$H$458,"Diagnosis")</ns0:f>
        <ns0:v>216</ns0:v>
      </ns0:c>
      <ns0:c r="E13" s="31">
        <ns0:f>IFERROR(C13/D13,0)</ns0:f>
        <ns0:v>0.027777777777777776</ns0:v>
      </ns0:c>
    </ns0:row>
    <ns0:row r="14" ht="32" customHeight="1">
      <ns0:c r="A14" s="21" t="inlineStr">
        <ns0:is>
          <ns0:t>Diagnosis</ns0:t>
        </ns0:is>
      </ns0:c>
      <ns0:c r="B14" s="21" t="inlineStr">
        <ns0:is>
          <ns0:t>Multiple/not uniquely specified</ns0:t>
        </ns0:is>
      </ns0:c>
      <ns0:c r="C14" s="29">
        <ns0:f>COUNTIFS('BASE_CIERRE'!$G$5:$G$458,1,'BASE_CIERRE'!$H$5:$H$458,"Diagnosis",'BASE_CIERRE'!$L$5:$L$458,"Multiple/not uniquely specified")</ns0:f>
        <ns0:v>26</ns0:v>
      </ns0:c>
      <ns0:c r="D14" s="29">
        <ns0:f>COUNTIFS('BASE_CIERRE'!$G$5:$G$458,1,'BASE_CIERRE'!$H$5:$H$458,"Diagnosis")</ns0:f>
        <ns0:v>216</ns0:v>
      </ns0:c>
      <ns0:c r="E14" s="32">
        <ns0:f>IFERROR(C14/D14,0)</ns0:f>
        <ns0:v>0.12037037037037036</ns0:v>
      </ns0:c>
    </ns0:row>
    <ns0:row r="15" ht="32" customHeight="1">
      <ns0:c r="A15" s="19" t="inlineStr">
        <ns0:is>
          <ns0:t>Diagnosis</ns0:t>
        </ns0:is>
      </ns0:c>
      <ns0:c r="B15" s="19" t="inlineStr">
        <ns0:is>
          <ns0:t>Other specified method</ns0:t>
        </ns0:is>
      </ns0:c>
      <ns0:c r="C15" s="27">
        <ns0:f>COUNTIFS('BASE_CIERRE'!$G$5:$G$458,1,'BASE_CIERRE'!$H$5:$H$458,"Diagnosis",'BASE_CIERRE'!$L$5:$L$458,"Other specified method")</ns0:f>
        <ns0:v>43</ns0:v>
      </ns0:c>
      <ns0:c r="D15" s="27">
        <ns0:f>COUNTIFS('BASE_CIERRE'!$G$5:$G$458,1,'BASE_CIERRE'!$H$5:$H$458,"Diagnosis")</ns0:f>
        <ns0:v>216</ns0:v>
      </ns0:c>
      <ns0:c r="E15" s="31">
        <ns0:f>IFERROR(C15/D15,0)</ns0:f>
        <ns0:v>0.19907407407407407</ns0:v>
      </ns0:c>
    </ns0:row>
    <ns0:row r="16" ht="32" customHeight="1">
      <ns0:c r="A16" s="21" t="inlineStr">
        <ns0:is>
          <ns0:t>Diagnosis</ns0:t>
        </ns0:is>
      </ns0:c>
      <ns0:c r="B16" s="21" t="inlineStr">
        <ns0:is>
          <ns0:t>Random forest</ns0:t>
        </ns0:is>
      </ns0:c>
      <ns0:c r="C16" s="29">
        <ns0:f>COUNTIFS('BASE_CIERRE'!$G$5:$G$458,1,'BASE_CIERRE'!$H$5:$H$458,"Diagnosis",'BASE_CIERRE'!$L$5:$L$458,"Random forest")</ns0:f>
        <ns0:v>11</ns0:v>
      </ns0:c>
      <ns0:c r="D16" s="29">
        <ns0:f>COUNTIFS('BASE_CIERRE'!$G$5:$G$458,1,'BASE_CIERRE'!$H$5:$H$458,"Diagnosis")</ns0:f>
        <ns0:v>216</ns0:v>
      </ns0:c>
      <ns0:c r="E16" s="32">
        <ns0:f>IFERROR(C16/D16,0)</ns0:f>
        <ns0:v>0.05092592592592592</ns0:v>
      </ns0:c>
    </ns0:row>
    <ns0:row r="17" ht="32" customHeight="1">
      <ns0:c r="A17" s="19" t="inlineStr">
        <ns0:is>
          <ns0:t>Diagnosis</ns0:t>
        </ns0:is>
      </ns0:c>
      <ns0:c r="B17" s="19" t="inlineStr">
        <ns0:is>
          <ns0:t>Recurrent network</ns0:t>
        </ns0:is>
      </ns0:c>
      <ns0:c r="C17" s="27">
        <ns0:f>COUNTIFS('BASE_CIERRE'!$G$5:$G$458,1,'BASE_CIERRE'!$H$5:$H$458,"Diagnosis",'BASE_CIERRE'!$L$5:$L$458,"Recurrent network")</ns0:f>
        <ns0:v>2</ns0:v>
      </ns0:c>
      <ns0:c r="D17" s="27">
        <ns0:f>COUNTIFS('BASE_CIERRE'!$G$5:$G$458,1,'BASE_CIERRE'!$H$5:$H$458,"Diagnosis")</ns0:f>
        <ns0:v>216</ns0:v>
      </ns0:c>
      <ns0:c r="E17" s="31">
        <ns0:f>IFERROR(C17/D17,0)</ns0:f>
        <ns0:v>0.009259259259259259</ns0:v>
      </ns0:c>
    </ns0:row>
    <ns0:row r="18" ht="32" customHeight="1">
      <ns0:c r="A18" s="21" t="inlineStr">
        <ns0:is>
          <ns0:t>Diagnosis</ns0:t>
        </ns0:is>
      </ns0:c>
      <ns0:c r="B18" s="21" t="inlineStr">
        <ns0:is>
          <ns0:t>SVM</ns0:t>
        </ns0:is>
      </ns0:c>
      <ns0:c r="C18" s="29">
        <ns0:f>COUNTIFS('BASE_CIERRE'!$G$5:$G$458,1,'BASE_CIERRE'!$H$5:$H$458,"Diagnosis",'BASE_CIERRE'!$L$5:$L$458,"SVM")</ns0:f>
        <ns0:v>15</ns0:v>
      </ns0:c>
      <ns0:c r="D18" s="29">
        <ns0:f>COUNTIFS('BASE_CIERRE'!$G$5:$G$458,1,'BASE_CIERRE'!$H$5:$H$458,"Diagnosis")</ns0:f>
        <ns0:v>216</ns0:v>
      </ns0:c>
      <ns0:c r="E18" s="32">
        <ns0:f>IFERROR(C18/D18,0)</ns0:f>
        <ns0:v>0.06944444444444445</ns0:v>
      </ns0:c>
    </ns0:row>
    <ns0:row r="19" ht="32" customHeight="1">
      <ns0:c r="A19" s="19" t="inlineStr">
        <ns0:is>
          <ns0:t>Diagnosis</ns0:t>
        </ns0:is>
      </ns0:c>
      <ns0:c r="B19" s="19" t="inlineStr">
        <ns0:is>
          <ns0:t>Transformer</ns0:t>
        </ns0:is>
      </ns0:c>
      <ns0:c r="C19" s="27">
        <ns0:f>COUNTIFS('BASE_CIERRE'!$G$5:$G$458,1,'BASE_CIERRE'!$H$5:$H$458,"Diagnosis",'BASE_CIERRE'!$L$5:$L$458,"Transformer")</ns0:f>
        <ns0:v>9</ns0:v>
      </ns0:c>
      <ns0:c r="D19" s="27">
        <ns0:f>COUNTIFS('BASE_CIERRE'!$G$5:$G$458,1,'BASE_CIERRE'!$H$5:$H$458,"Diagnosis")</ns0:f>
        <ns0:v>216</ns0:v>
      </ns0:c>
      <ns0:c r="E19" s="31">
        <ns0:f>IFERROR(C19/D19,0)</ns0:f>
        <ns0:v>0.041666666666666664</ns0:v>
      </ns0:c>
    </ns0:row>
    <ns0:row r="20" ht="32" customHeight="1">
      <ns0:c r="A20" s="21" t="inlineStr">
        <ns0:is>
          <ns0:t>Diagnosis</ns0:t>
        </ns0:is>
      </ns0:c>
      <ns0:c r="B20" s="21" t="inlineStr">
        <ns0:is>
          <ns0:t>k-nearest neighbors</ns0:t>
        </ns0:is>
      </ns0:c>
      <ns0:c r="C20" s="29">
        <ns0:f>COUNTIFS('BASE_CIERRE'!$G$5:$G$458,1,'BASE_CIERRE'!$H$5:$H$458,"Diagnosis",'BASE_CIERRE'!$L$5:$L$458,"k-nearest neighbors")</ns0:f>
        <ns0:v>1</ns0:v>
      </ns0:c>
      <ns0:c r="D20" s="29">
        <ns0:f>COUNTIFS('BASE_CIERRE'!$G$5:$G$458,1,'BASE_CIERRE'!$H$5:$H$458,"Diagnosis")</ns0:f>
        <ns0:v>216</ns0:v>
      </ns0:c>
      <ns0:c r="E20" s="32">
        <ns0:f>IFERROR(C20/D20,0)</ns0:f>
        <ns0:v>0.004629629629629629</ns0:v>
      </ns0:c>
    </ns0:row>
    <ns0:row r="21" ht="32" customHeight="1">
      <ns0:c r="A21" s="19" t="inlineStr">
        <ns0:is>
          <ns0:t>Monitoring/intervention</ns0:t>
        </ns0:is>
      </ns0:c>
      <ns0:c r="B21" s="19" t="inlineStr">
        <ns0:is>
          <ns0:t>CNN</ns0:t>
        </ns0:is>
      </ns0:c>
      <ns0:c r="C21" s="27">
        <ns0:f>COUNTIFS('BASE_CIERRE'!$G$5:$G$458,1,'BASE_CIERRE'!$H$5:$H$458,"Monitoring/intervention",'BASE_CIERRE'!$L$5:$L$458,"CNN")</ns0:f>
        <ns0:v>4</ns0:v>
      </ns0:c>
      <ns0:c r="D21" s="27">
        <ns0:f>COUNTIFS('BASE_CIERRE'!$G$5:$G$458,1,'BASE_CIERRE'!$H$5:$H$458,"Monitoring/intervention")</ns0:f>
        <ns0:v>38</ns0:v>
      </ns0:c>
      <ns0:c r="E21" s="31">
        <ns0:f>IFERROR(C21/D21,0)</ns0:f>
        <ns0:v>0.10526315789473684</ns0:v>
      </ns0:c>
    </ns0:row>
    <ns0:row r="22" ht="32" customHeight="1">
      <ns0:c r="A22" s="21" t="inlineStr">
        <ns0:is>
          <ns0:t>Monitoring/intervention</ns0:t>
        </ns0:is>
      </ns0:c>
      <ns0:c r="B22" s="21" t="inlineStr">
        <ns0:is>
          <ns0:t>Composite/ensemble pipeline</ns0:t>
        </ns0:is>
      </ns0:c>
      <ns0:c r="C22" s="29">
        <ns0:f>COUNTIFS('BASE_CIERRE'!$G$5:$G$458,1,'BASE_CIERRE'!$H$5:$H$458,"Monitoring/intervention",'BASE_CIERRE'!$L$5:$L$458,"Composite/ensemble pipeline")</ns0:f>
        <ns0:v>5</ns0:v>
      </ns0:c>
      <ns0:c r="D22" s="29">
        <ns0:f>COUNTIFS('BASE_CIERRE'!$G$5:$G$458,1,'BASE_CIERRE'!$H$5:$H$458,"Monitoring/intervention")</ns0:f>
        <ns0:v>38</ns0:v>
      </ns0:c>
      <ns0:c r="E22" s="32">
        <ns0:f>IFERROR(C22/D22,0)</ns0:f>
        <ns0:v>0.13157894736842105</ns0:v>
      </ns0:c>
    </ns0:row>
    <ns0:row r="23" ht="32" customHeight="1">
      <ns0:c r="A23" s="19" t="inlineStr">
        <ns0:is>
          <ns0:t>Monitoring/intervention</ns0:t>
        </ns0:is>
      </ns0:c>
      <ns0:c r="B23" s="19" t="inlineStr">
        <ns0:is>
          <ns0:t>Logistic regression</ns0:t>
        </ns0:is>
      </ns0:c>
      <ns0:c r="C23" s="27">
        <ns0:f>COUNTIFS('BASE_CIERRE'!$G$5:$G$458,1,'BASE_CIERRE'!$H$5:$H$458,"Monitoring/intervention",'BASE_CIERRE'!$L$5:$L$458,"Logistic regression")</ns0:f>
        <ns0:v>1</ns0:v>
      </ns0:c>
      <ns0:c r="D23" s="27">
        <ns0:f>COUNTIFS('BASE_CIERRE'!$G$5:$G$458,1,'BASE_CIERRE'!$H$5:$H$458,"Monitoring/intervention")</ns0:f>
        <ns0:v>38</ns0:v>
      </ns0:c>
      <ns0:c r="E23" s="31">
        <ns0:f>IFERROR(C23/D23,0)</ns0:f>
        <ns0:v>0.02631578947368421</ns0:v>
      </ns0:c>
    </ns0:row>
    <ns0:row r="24" ht="32" customHeight="1">
      <ns0:c r="A24" s="21" t="inlineStr">
        <ns0:is>
          <ns0:t>Monitoring/intervention</ns0:t>
        </ns0:is>
      </ns0:c>
      <ns0:c r="B24" s="21" t="inlineStr">
        <ns0:is>
          <ns0:t>MLP/ANN</ns0:t>
        </ns0:is>
      </ns0:c>
      <ns0:c r="C24" s="29">
        <ns0:f>COUNTIFS('BASE_CIERRE'!$G$5:$G$458,1,'BASE_CIERRE'!$H$5:$H$458,"Monitoring/intervention",'BASE_CIERRE'!$L$5:$L$458,"MLP/ANN")</ns0:f>
        <ns0:v>1</ns0:v>
      </ns0:c>
      <ns0:c r="D24" s="29">
        <ns0:f>COUNTIFS('BASE_CIERRE'!$G$5:$G$458,1,'BASE_CIERRE'!$H$5:$H$458,"Monitoring/intervention")</ns0:f>
        <ns0:v>38</ns0:v>
      </ns0:c>
      <ns0:c r="E24" s="32">
        <ns0:f>IFERROR(C24/D24,0)</ns0:f>
        <ns0:v>0.02631578947368421</ns0:v>
      </ns0:c>
    </ns0:row>
    <ns0:row r="25" ht="32" customHeight="1">
      <ns0:c r="A25" s="19" t="inlineStr">
        <ns0:is>
          <ns0:t>Monitoring/intervention</ns0:t>
        </ns0:is>
      </ns0:c>
      <ns0:c r="B25" s="19" t="inlineStr">
        <ns0:is>
          <ns0:t>Multiple/not uniquely specified</ns0:t>
        </ns0:is>
      </ns0:c>
      <ns0:c r="C25" s="27">
        <ns0:f>COUNTIFS('BASE_CIERRE'!$G$5:$G$458,1,'BASE_CIERRE'!$H$5:$H$458,"Monitoring/intervention",'BASE_CIERRE'!$L$5:$L$458,"Multiple/not uniquely specified")</ns0:f>
        <ns0:v>11</ns0:v>
      </ns0:c>
      <ns0:c r="D25" s="27">
        <ns0:f>COUNTIFS('BASE_CIERRE'!$G$5:$G$458,1,'BASE_CIERRE'!$H$5:$H$458,"Monitoring/intervention")</ns0:f>
        <ns0:v>38</ns0:v>
      </ns0:c>
      <ns0:c r="E25" s="31">
        <ns0:f>IFERROR(C25/D25,0)</ns0:f>
        <ns0:v>0.2894736842105263</ns0:v>
      </ns0:c>
    </ns0:row>
    <ns0:row r="26" ht="32" customHeight="1">
      <ns0:c r="A26" s="21" t="inlineStr">
        <ns0:is>
          <ns0:t>Monitoring/intervention</ns0:t>
        </ns0:is>
      </ns0:c>
      <ns0:c r="B26" s="21" t="inlineStr">
        <ns0:is>
          <ns0:t>Other specified method</ns0:t>
        </ns0:is>
      </ns0:c>
      <ns0:c r="C26" s="29">
        <ns0:f>COUNTIFS('BASE_CIERRE'!$G$5:$G$458,1,'BASE_CIERRE'!$H$5:$H$458,"Monitoring/intervention",'BASE_CIERRE'!$L$5:$L$458,"Other specified method")</ns0:f>
        <ns0:v>10</ns0:v>
      </ns0:c>
      <ns0:c r="D26" s="29">
        <ns0:f>COUNTIFS('BASE_CIERRE'!$G$5:$G$458,1,'BASE_CIERRE'!$H$5:$H$458,"Monitoring/intervention")</ns0:f>
        <ns0:v>38</ns0:v>
      </ns0:c>
      <ns0:c r="E26" s="32">
        <ns0:f>IFERROR(C26/D26,0)</ns0:f>
        <ns0:v>0.2631578947368421</ns0:v>
      </ns0:c>
    </ns0:row>
    <ns0:row r="27" ht="32" customHeight="1">
      <ns0:c r="A27" s="19" t="inlineStr">
        <ns0:is>
          <ns0:t>Monitoring/intervention</ns0:t>
        </ns0:is>
      </ns0:c>
      <ns0:c r="B27" s="19" t="inlineStr">
        <ns0:is>
          <ns0:t>Transformer</ns0:t>
        </ns0:is>
      </ns0:c>
      <ns0:c r="C27" s="27">
        <ns0:f>COUNTIFS('BASE_CIERRE'!$G$5:$G$458,1,'BASE_CIERRE'!$H$5:$H$458,"Monitoring/intervention",'BASE_CIERRE'!$L$5:$L$458,"Transformer")</ns0:f>
        <ns0:v>6</ns0:v>
      </ns0:c>
      <ns0:c r="D27" s="27">
        <ns0:f>COUNTIFS('BASE_CIERRE'!$G$5:$G$458,1,'BASE_CIERRE'!$H$5:$H$458,"Monitoring/intervention")</ns0:f>
        <ns0:v>38</ns0:v>
      </ns0:c>
      <ns0:c r="E27" s="31">
        <ns0:f>IFERROR(C27/D27,0)</ns0:f>
        <ns0:v>0.15789473684210525</ns0:v>
      </ns0:c>
    </ns0:row>
    <ns0:row r="28" ht="32" customHeight="1">
      <ns0:c r="A28" s="21" t="inlineStr">
        <ns0:is>
          <ns0:t>Not specified</ns0:t>
        </ns0:is>
      </ns0:c>
      <ns0:c r="B28" s="21" t="inlineStr">
        <ns0:is>
          <ns0:t>CNN</ns0:t>
        </ns0:is>
      </ns0:c>
      <ns0:c r="C28" s="29">
        <ns0:f>COUNTIFS('BASE_CIERRE'!$G$5:$G$458,1,'BASE_CIERRE'!$H$5:$H$458,"Not specified",'BASE_CIERRE'!$L$5:$L$458,"CNN")</ns0:f>
        <ns0:v>2</ns0:v>
      </ns0:c>
      <ns0:c r="D28" s="29">
        <ns0:f>COUNTIFS('BASE_CIERRE'!$G$5:$G$458,1,'BASE_CIERRE'!$H$5:$H$458,"Not specified")</ns0:f>
        <ns0:v>31</ns0:v>
      </ns0:c>
      <ns0:c r="E28" s="32">
        <ns0:f>IFERROR(C28/D28,0)</ns0:f>
        <ns0:v>0.06451612903225806</ns0:v>
      </ns0:c>
    </ns0:row>
    <ns0:row r="29" ht="32" customHeight="1">
      <ns0:c r="A29" s="19" t="inlineStr">
        <ns0:is>
          <ns0:t>Not specified</ns0:t>
        </ns0:is>
      </ns0:c>
      <ns0:c r="B29" s="19" t="inlineStr">
        <ns0:is>
          <ns0:t>Clustering</ns0:t>
        </ns0:is>
      </ns0:c>
      <ns0:c r="C29" s="27">
        <ns0:f>COUNTIFS('BASE_CIERRE'!$G$5:$G$458,1,'BASE_CIERRE'!$H$5:$H$458,"Not specified",'BASE_CIERRE'!$L$5:$L$458,"Clustering")</ns0:f>
        <ns0:v>4</ns0:v>
      </ns0:c>
      <ns0:c r="D29" s="27">
        <ns0:f>COUNTIFS('BASE_CIERRE'!$G$5:$G$458,1,'BASE_CIERRE'!$H$5:$H$458,"Not specified")</ns0:f>
        <ns0:v>31</ns0:v>
      </ns0:c>
      <ns0:c r="E29" s="31">
        <ns0:f>IFERROR(C29/D29,0)</ns0:f>
        <ns0:v>0.12903225806451613</ns0:v>
      </ns0:c>
    </ns0:row>
    <ns0:row r="30" ht="32" customHeight="1">
      <ns0:c r="A30" s="21" t="inlineStr">
        <ns0:is>
          <ns0:t>Not specified</ns0:t>
        </ns0:is>
      </ns0:c>
      <ns0:c r="B30" s="21" t="inlineStr">
        <ns0:is>
          <ns0:t>Composite/ensemble pipeline</ns0:t>
        </ns0:is>
      </ns0:c>
      <ns0:c r="C30" s="29">
        <ns0:f>COUNTIFS('BASE_CIERRE'!$G$5:$G$458,1,'BASE_CIERRE'!$H$5:$H$458,"Not specified",'BASE_CIERRE'!$L$5:$L$458,"Composite/ensemble pipeline")</ns0:f>
        <ns0:v>2</ns0:v>
      </ns0:c>
      <ns0:c r="D30" s="29">
        <ns0:f>COUNTIFS('BASE_CIERRE'!$G$5:$G$458,1,'BASE_CIERRE'!$H$5:$H$458,"Not specified")</ns0:f>
        <ns0:v>31</ns0:v>
      </ns0:c>
      <ns0:c r="E30" s="32">
        <ns0:f>IFERROR(C30/D30,0)</ns0:f>
        <ns0:v>0.06451612903225806</ns0:v>
      </ns0:c>
    </ns0:row>
    <ns0:row r="31" ht="32" customHeight="1">
      <ns0:c r="A31" s="19" t="inlineStr">
        <ns0:is>
          <ns0:t>Not specified</ns0:t>
        </ns0:is>
      </ns0:c>
      <ns0:c r="B31" s="19" t="inlineStr">
        <ns0:is>
          <ns0:t>Logistic regression</ns0:t>
        </ns0:is>
      </ns0:c>
      <ns0:c r="C31" s="27">
        <ns0:f>COUNTIFS('BASE_CIERRE'!$G$5:$G$458,1,'BASE_CIERRE'!$H$5:$H$458,"Not specified",'BASE_CIERRE'!$L$5:$L$458,"Logistic regression")</ns0:f>
        <ns0:v>1</ns0:v>
      </ns0:c>
      <ns0:c r="D31" s="27">
        <ns0:f>COUNTIFS('BASE_CIERRE'!$G$5:$G$458,1,'BASE_CIERRE'!$H$5:$H$458,"Not specified")</ns0:f>
        <ns0:v>31</ns0:v>
      </ns0:c>
      <ns0:c r="E31" s="31">
        <ns0:f>IFERROR(C31/D31,0)</ns0:f>
        <ns0:v>0.03225806451612903</ns0:v>
      </ns0:c>
    </ns0:row>
    <ns0:row r="32" ht="32" customHeight="1">
      <ns0:c r="A32" s="21" t="inlineStr">
        <ns0:is>
          <ns0:t>Not specified</ns0:t>
        </ns0:is>
      </ns0:c>
      <ns0:c r="B32" s="21" t="inlineStr">
        <ns0:is>
          <ns0:t>Multiple/not uniquely specified</ns0:t>
        </ns0:is>
      </ns0:c>
      <ns0:c r="C32" s="29">
        <ns0:f>COUNTIFS('BASE_CIERRE'!$G$5:$G$458,1,'BASE_CIERRE'!$H$5:$H$458,"Not specified",'BASE_CIERRE'!$L$5:$L$458,"Multiple/not uniquely specified")</ns0:f>
        <ns0:v>5</ns0:v>
      </ns0:c>
      <ns0:c r="D32" s="29">
        <ns0:f>COUNTIFS('BASE_CIERRE'!$G$5:$G$458,1,'BASE_CIERRE'!$H$5:$H$458,"Not specified")</ns0:f>
        <ns0:v>31</ns0:v>
      </ns0:c>
      <ns0:c r="E32" s="32">
        <ns0:f>IFERROR(C32/D32,0)</ns0:f>
        <ns0:v>0.16129032258064516</ns0:v>
      </ns0:c>
    </ns0:row>
    <ns0:row r="33" ht="32" customHeight="1">
      <ns0:c r="A33" s="19" t="inlineStr">
        <ns0:is>
          <ns0:t>Not specified</ns0:t>
        </ns0:is>
      </ns0:c>
      <ns0:c r="B33" s="19" t="inlineStr">
        <ns0:is>
          <ns0:t>Other specified method</ns0:t>
        </ns0:is>
      </ns0:c>
      <ns0:c r="C33" s="27">
        <ns0:f>COUNTIFS('BASE_CIERRE'!$G$5:$G$458,1,'BASE_CIERRE'!$H$5:$H$458,"Not specified",'BASE_CIERRE'!$L$5:$L$458,"Other specified method")</ns0:f>
        <ns0:v>9</ns0:v>
      </ns0:c>
      <ns0:c r="D33" s="27">
        <ns0:f>COUNTIFS('BASE_CIERRE'!$G$5:$G$458,1,'BASE_CIERRE'!$H$5:$H$458,"Not specified")</ns0:f>
        <ns0:v>31</ns0:v>
      </ns0:c>
      <ns0:c r="E33" s="31">
        <ns0:f>IFERROR(C33/D33,0)</ns0:f>
        <ns0:v>0.2903225806451613</ns0:v>
      </ns0:c>
    </ns0:row>
    <ns0:row r="34" ht="32" customHeight="1">
      <ns0:c r="A34" s="21" t="inlineStr">
        <ns0:is>
          <ns0:t>Not specified</ns0:t>
        </ns0:is>
      </ns0:c>
      <ns0:c r="B34" s="21" t="inlineStr">
        <ns0:is>
          <ns0:t>Random forest</ns0:t>
        </ns0:is>
      </ns0:c>
      <ns0:c r="C34" s="29">
        <ns0:f>COUNTIFS('BASE_CIERRE'!$G$5:$G$458,1,'BASE_CIERRE'!$H$5:$H$458,"Not specified",'BASE_CIERRE'!$L$5:$L$458,"Random forest")</ns0:f>
        <ns0:v>5</ns0:v>
      </ns0:c>
      <ns0:c r="D34" s="29">
        <ns0:f>COUNTIFS('BASE_CIERRE'!$G$5:$G$458,1,'BASE_CIERRE'!$H$5:$H$458,"Not specified")</ns0:f>
        <ns0:v>31</ns0:v>
      </ns0:c>
      <ns0:c r="E34" s="32">
        <ns0:f>IFERROR(C34/D34,0)</ns0:f>
        <ns0:v>0.16129032258064516</ns0:v>
      </ns0:c>
    </ns0:row>
    <ns0:row r="35" ht="32" customHeight="1">
      <ns0:c r="A35" s="19" t="inlineStr">
        <ns0:is>
          <ns0:t>Not specified</ns0:t>
        </ns0:is>
      </ns0:c>
      <ns0:c r="B35" s="19" t="inlineStr">
        <ns0:is>
          <ns0:t>Transformer</ns0:t>
        </ns0:is>
      </ns0:c>
      <ns0:c r="C35" s="27">
        <ns0:f>COUNTIFS('BASE_CIERRE'!$G$5:$G$458,1,'BASE_CIERRE'!$H$5:$H$458,"Not specified",'BASE_CIERRE'!$L$5:$L$458,"Transformer")</ns0:f>
        <ns0:v>3</ns0:v>
      </ns0:c>
      <ns0:c r="D35" s="27">
        <ns0:f>COUNTIFS('BASE_CIERRE'!$G$5:$G$458,1,'BASE_CIERRE'!$H$5:$H$458,"Not specified")</ns0:f>
        <ns0:v>31</ns0:v>
      </ns0:c>
      <ns0:c r="E35" s="31">
        <ns0:f>IFERROR(C35/D35,0)</ns0:f>
        <ns0:v>0.0967741935483871</ns0:v>
      </ns0:c>
    </ns0:row>
    <ns0:row r="36" ht="32" customHeight="1">
      <ns0:c r="A36" s="21" t="inlineStr">
        <ns0:is>
          <ns0:t>Prescreening</ns0:t>
        </ns0:is>
      </ns0:c>
      <ns0:c r="B36" s="21" t="inlineStr">
        <ns0:is>
          <ns0:t>Composite/ensemble pipeline</ns0:t>
        </ns0:is>
      </ns0:c>
      <ns0:c r="C36" s="29">
        <ns0:f>COUNTIFS('BASE_CIERRE'!$G$5:$G$458,1,'BASE_CIERRE'!$H$5:$H$458,"Prescreening",'BASE_CIERRE'!$L$5:$L$458,"Composite/ensemble pipeline")</ns0:f>
        <ns0:v>1</ns0:v>
      </ns0:c>
      <ns0:c r="D36" s="29">
        <ns0:f>COUNTIFS('BASE_CIERRE'!$G$5:$G$458,1,'BASE_CIERRE'!$H$5:$H$458,"Prescreening")</ns0:f>
        <ns0:v>8</ns0:v>
      </ns0:c>
      <ns0:c r="E36" s="32">
        <ns0:f>IFERROR(C36/D36,0)</ns0:f>
        <ns0:v>0.125</ns0:v>
      </ns0:c>
    </ns0:row>
    <ns0:row r="37" ht="32" customHeight="1">
      <ns0:c r="A37" s="19" t="inlineStr">
        <ns0:is>
          <ns0:t>Prescreening</ns0:t>
        </ns0:is>
      </ns0:c>
      <ns0:c r="B37" s="19" t="inlineStr">
        <ns0:is>
          <ns0:t>Decision tree/rules</ns0:t>
        </ns0:is>
      </ns0:c>
      <ns0:c r="C37" s="27">
        <ns0:f>COUNTIFS('BASE_CIERRE'!$G$5:$G$458,1,'BASE_CIERRE'!$H$5:$H$458,"Prescreening",'BASE_CIERRE'!$L$5:$L$458,"Decision tree/rules")</ns0:f>
        <ns0:v>2</ns0:v>
      </ns0:c>
      <ns0:c r="D37" s="27">
        <ns0:f>COUNTIFS('BASE_CIERRE'!$G$5:$G$458,1,'BASE_CIERRE'!$H$5:$H$458,"Prescreening")</ns0:f>
        <ns0:v>8</ns0:v>
      </ns0:c>
      <ns0:c r="E37" s="31">
        <ns0:f>IFERROR(C37/D37,0)</ns0:f>
        <ns0:v>0.25</ns0:v>
      </ns0:c>
    </ns0:row>
    <ns0:row r="38" ht="32" customHeight="1">
      <ns0:c r="A38" s="21" t="inlineStr">
        <ns0:is>
          <ns0:t>Prescreening</ns0:t>
        </ns0:is>
      </ns0:c>
      <ns0:c r="B38" s="21" t="inlineStr">
        <ns0:is>
          <ns0:t>Logistic regression</ns0:t>
        </ns0:is>
      </ns0:c>
      <ns0:c r="C38" s="29">
        <ns0:f>COUNTIFS('BASE_CIERRE'!$G$5:$G$458,1,'BASE_CIERRE'!$H$5:$H$458,"Prescreening",'BASE_CIERRE'!$L$5:$L$458,"Logistic regression")</ns0:f>
        <ns0:v>1</ns0:v>
      </ns0:c>
      <ns0:c r="D38" s="29">
        <ns0:f>COUNTIFS('BASE_CIERRE'!$G$5:$G$458,1,'BASE_CIERRE'!$H$5:$H$458,"Prescreening")</ns0:f>
        <ns0:v>8</ns0:v>
      </ns0:c>
      <ns0:c r="E38" s="32">
        <ns0:f>IFERROR(C38/D38,0)</ns0:f>
        <ns0:v>0.125</ns0:v>
      </ns0:c>
    </ns0:row>
    <ns0:row r="39" ht="32" customHeight="1">
      <ns0:c r="A39" s="19" t="inlineStr">
        <ns0:is>
          <ns0:t>Prescreening</ns0:t>
        </ns0:is>
      </ns0:c>
      <ns0:c r="B39" s="19" t="inlineStr">
        <ns0:is>
          <ns0:t>Multiple/not uniquely specified</ns0:t>
        </ns0:is>
      </ns0:c>
      <ns0:c r="C39" s="27">
        <ns0:f>COUNTIFS('BASE_CIERRE'!$G$5:$G$458,1,'BASE_CIERRE'!$H$5:$H$458,"Prescreening",'BASE_CIERRE'!$L$5:$L$458,"Multiple/not uniquely specified")</ns0:f>
        <ns0:v>2</ns0:v>
      </ns0:c>
      <ns0:c r="D39" s="27">
        <ns0:f>COUNTIFS('BASE_CIERRE'!$G$5:$G$458,1,'BASE_CIERRE'!$H$5:$H$458,"Prescreening")</ns0:f>
        <ns0:v>8</ns0:v>
      </ns0:c>
      <ns0:c r="E39" s="31">
        <ns0:f>IFERROR(C39/D39,0)</ns0:f>
        <ns0:v>0.25</ns0:v>
      </ns0:c>
    </ns0:row>
    <ns0:row r="40" ht="32" customHeight="1">
      <ns0:c r="A40" s="21" t="inlineStr">
        <ns0:is>
          <ns0:t>Prescreening</ns0:t>
        </ns0:is>
      </ns0:c>
      <ns0:c r="B40" s="21" t="inlineStr">
        <ns0:is>
          <ns0:t>Random forest</ns0:t>
        </ns0:is>
      </ns0:c>
      <ns0:c r="C40" s="29">
        <ns0:f>COUNTIFS('BASE_CIERRE'!$G$5:$G$458,1,'BASE_CIERRE'!$H$5:$H$458,"Prescreening",'BASE_CIERRE'!$L$5:$L$458,"Random forest")</ns0:f>
        <ns0:v>1</ns0:v>
      </ns0:c>
      <ns0:c r="D40" s="29">
        <ns0:f>COUNTIFS('BASE_CIERRE'!$G$5:$G$458,1,'BASE_CIERRE'!$H$5:$H$458,"Prescreening")</ns0:f>
        <ns0:v>8</ns0:v>
      </ns0:c>
      <ns0:c r="E40" s="32">
        <ns0:f>IFERROR(C40/D40,0)</ns0:f>
        <ns0:v>0.125</ns0:v>
      </ns0:c>
    </ns0:row>
    <ns0:row r="41" ht="32" customHeight="1">
      <ns0:c r="A41" s="19" t="inlineStr">
        <ns0:is>
          <ns0:t>Prescreening</ns0:t>
        </ns0:is>
      </ns0:c>
      <ns0:c r="B41" s="19" t="inlineStr">
        <ns0:is>
          <ns0:t>SVM</ns0:t>
        </ns0:is>
      </ns0:c>
      <ns0:c r="C41" s="27">
        <ns0:f>COUNTIFS('BASE_CIERRE'!$G$5:$G$458,1,'BASE_CIERRE'!$H$5:$H$458,"Prescreening",'BASE_CIERRE'!$L$5:$L$458,"SVM")</ns0:f>
        <ns0:v>1</ns0:v>
      </ns0:c>
      <ns0:c r="D41" s="27">
        <ns0:f>COUNTIFS('BASE_CIERRE'!$G$5:$G$458,1,'BASE_CIERRE'!$H$5:$H$458,"Prescreening")</ns0:f>
        <ns0:v>8</ns0:v>
      </ns0:c>
      <ns0:c r="E41" s="31">
        <ns0:f>IFERROR(C41/D41,0)</ns0:f>
        <ns0:v>0.125</ns0:v>
      </ns0:c>
    </ns0:row>
    <ns0:row r="42" ht="32" customHeight="1">
      <ns0:c r="A42" s="21" t="inlineStr">
        <ns0:is>
          <ns0:t>Prognosis</ns0:t>
        </ns0:is>
      </ns0:c>
      <ns0:c r="B42" s="21" t="inlineStr">
        <ns0:is>
          <ns0:t>Composite/ensemble pipeline</ns0:t>
        </ns0:is>
      </ns0:c>
      <ns0:c r="C42" s="29">
        <ns0:f>COUNTIFS('BASE_CIERRE'!$G$5:$G$458,1,'BASE_CIERRE'!$H$5:$H$458,"Prognosis",'BASE_CIERRE'!$L$5:$L$458,"Composite/ensemble pipeline")</ns0:f>
        <ns0:v>1</ns0:v>
      </ns0:c>
      <ns0:c r="D42" s="29">
        <ns0:f>COUNTIFS('BASE_CIERRE'!$G$5:$G$458,1,'BASE_CIERRE'!$H$5:$H$458,"Prognosis")</ns0:f>
        <ns0:v>22</ns0:v>
      </ns0:c>
      <ns0:c r="E42" s="32">
        <ns0:f>IFERROR(C42/D42,0)</ns0:f>
        <ns0:v>0.045454545454545456</ns0:v>
      </ns0:c>
    </ns0:row>
    <ns0:row r="43" ht="32" customHeight="1">
      <ns0:c r="A43" s="19" t="inlineStr">
        <ns0:is>
          <ns0:t>Prognosis</ns0:t>
        </ns0:is>
      </ns0:c>
      <ns0:c r="B43" s="19" t="inlineStr">
        <ns0:is>
          <ns0:t>Decision tree/rules</ns0:t>
        </ns0:is>
      </ns0:c>
      <ns0:c r="C43" s="27">
        <ns0:f>COUNTIFS('BASE_CIERRE'!$G$5:$G$458,1,'BASE_CIERRE'!$H$5:$H$458,"Prognosis",'BASE_CIERRE'!$L$5:$L$458,"Decision tree/rules")</ns0:f>
        <ns0:v>2</ns0:v>
      </ns0:c>
      <ns0:c r="D43" s="27">
        <ns0:f>COUNTIFS('BASE_CIERRE'!$G$5:$G$458,1,'BASE_CIERRE'!$H$5:$H$458,"Prognosis")</ns0:f>
        <ns0:v>22</ns0:v>
      </ns0:c>
      <ns0:c r="E43" s="31">
        <ns0:f>IFERROR(C43/D43,0)</ns0:f>
        <ns0:v>0.09090909090909091</ns0:v>
      </ns0:c>
    </ns0:row>
    <ns0:row r="44" ht="32" customHeight="1">
      <ns0:c r="A44" s="21" t="inlineStr">
        <ns0:is>
          <ns0:t>Prognosis</ns0:t>
        </ns0:is>
      </ns0:c>
      <ns0:c r="B44" s="21" t="inlineStr">
        <ns0:is>
          <ns0:t>Gradient boosting</ns0:t>
        </ns0:is>
      </ns0:c>
      <ns0:c r="C44" s="29">
        <ns0:f>COUNTIFS('BASE_CIERRE'!$G$5:$G$458,1,'BASE_CIERRE'!$H$5:$H$458,"Prognosis",'BASE_CIERRE'!$L$5:$L$458,"Gradient boosting")</ns0:f>
        <ns0:v>1</ns0:v>
      </ns0:c>
      <ns0:c r="D44" s="29">
        <ns0:f>COUNTIFS('BASE_CIERRE'!$G$5:$G$458,1,'BASE_CIERRE'!$H$5:$H$458,"Prognosis")</ns0:f>
        <ns0:v>22</ns0:v>
      </ns0:c>
      <ns0:c r="E44" s="32">
        <ns0:f>IFERROR(C44/D44,0)</ns0:f>
        <ns0:v>0.045454545454545456</ns0:v>
      </ns0:c>
    </ns0:row>
    <ns0:row r="45" ht="32" customHeight="1">
      <ns0:c r="A45" s="19" t="inlineStr">
        <ns0:is>
          <ns0:t>Prognosis</ns0:t>
        </ns0:is>
      </ns0:c>
      <ns0:c r="B45" s="19" t="inlineStr">
        <ns0:is>
          <ns0:t>Logistic regression</ns0:t>
        </ns0:is>
      </ns0:c>
      <ns0:c r="C45" s="27">
        <ns0:f>COUNTIFS('BASE_CIERRE'!$G$5:$G$458,1,'BASE_CIERRE'!$H$5:$H$458,"Prognosis",'BASE_CIERRE'!$L$5:$L$458,"Logistic regression")</ns0:f>
        <ns0:v>1</ns0:v>
      </ns0:c>
      <ns0:c r="D45" s="27">
        <ns0:f>COUNTIFS('BASE_CIERRE'!$G$5:$G$458,1,'BASE_CIERRE'!$H$5:$H$458,"Prognosis")</ns0:f>
        <ns0:v>22</ns0:v>
      </ns0:c>
      <ns0:c r="E45" s="31">
        <ns0:f>IFERROR(C45/D45,0)</ns0:f>
        <ns0:v>0.045454545454545456</ns0:v>
      </ns0:c>
    </ns0:row>
    <ns0:row r="46" ht="32" customHeight="1">
      <ns0:c r="A46" s="21" t="inlineStr">
        <ns0:is>
          <ns0:t>Prognosis</ns0:t>
        </ns0:is>
      </ns0:c>
      <ns0:c r="B46" s="21" t="inlineStr">
        <ns0:is>
          <ns0:t>Multiple/not uniquely specified</ns0:t>
        </ns0:is>
      </ns0:c>
      <ns0:c r="C46" s="29">
        <ns0:f>COUNTIFS('BASE_CIERRE'!$G$5:$G$458,1,'BASE_CIERRE'!$H$5:$H$458,"Prognosis",'BASE_CIERRE'!$L$5:$L$458,"Multiple/not uniquely specified")</ns0:f>
        <ns0:v>6</ns0:v>
      </ns0:c>
      <ns0:c r="D46" s="29">
        <ns0:f>COUNTIFS('BASE_CIERRE'!$G$5:$G$458,1,'BASE_CIERRE'!$H$5:$H$458,"Prognosis")</ns0:f>
        <ns0:v>22</ns0:v>
      </ns0:c>
      <ns0:c r="E46" s="32">
        <ns0:f>IFERROR(C46/D46,0)</ns0:f>
        <ns0:v>0.2727272727272727</ns0:v>
      </ns0:c>
    </ns0:row>
    <ns0:row r="47" ht="32" customHeight="1">
      <ns0:c r="A47" s="19" t="inlineStr">
        <ns0:is>
          <ns0:t>Prognosis</ns0:t>
        </ns0:is>
      </ns0:c>
      <ns0:c r="B47" s="19" t="inlineStr">
        <ns0:is>
          <ns0:t>Other specified method</ns0:t>
        </ns0:is>
      </ns0:c>
      <ns0:c r="C47" s="27">
        <ns0:f>COUNTIFS('BASE_CIERRE'!$G$5:$G$458,1,'BASE_CIERRE'!$H$5:$H$458,"Prognosis",'BASE_CIERRE'!$L$5:$L$458,"Other specified method")</ns0:f>
        <ns0:v>5</ns0:v>
      </ns0:c>
      <ns0:c r="D47" s="27">
        <ns0:f>COUNTIFS('BASE_CIERRE'!$G$5:$G$458,1,'BASE_CIERRE'!$H$5:$H$458,"Prognosis")</ns0:f>
        <ns0:v>22</ns0:v>
      </ns0:c>
      <ns0:c r="E47" s="31">
        <ns0:f>IFERROR(C47/D47,0)</ns0:f>
        <ns0:v>0.22727272727272727</ns0:v>
      </ns0:c>
    </ns0:row>
    <ns0:row r="48" ht="32" customHeight="1">
      <ns0:c r="A48" s="21" t="inlineStr">
        <ns0:is>
          <ns0:t>Prognosis</ns0:t>
        </ns0:is>
      </ns0:c>
      <ns0:c r="B48" s="21" t="inlineStr">
        <ns0:is>
          <ns0:t>SVM</ns0:t>
        </ns0:is>
      </ns0:c>
      <ns0:c r="C48" s="29">
        <ns0:f>COUNTIFS('BASE_CIERRE'!$G$5:$G$458,1,'BASE_CIERRE'!$H$5:$H$458,"Prognosis",'BASE_CIERRE'!$L$5:$L$458,"SVM")</ns0:f>
        <ns0:v>4</ns0:v>
      </ns0:c>
      <ns0:c r="D48" s="29">
        <ns0:f>COUNTIFS('BASE_CIERRE'!$G$5:$G$458,1,'BASE_CIERRE'!$H$5:$H$458,"Prognosis")</ns0:f>
        <ns0:v>22</ns0:v>
      </ns0:c>
      <ns0:c r="E48" s="32">
        <ns0:f>IFERROR(C48/D48,0)</ns0:f>
        <ns0:v>0.18181818181818182</ns0:v>
      </ns0:c>
    </ns0:row>
    <ns0:row r="49" ht="32" customHeight="1">
      <ns0:c r="A49" s="19" t="inlineStr">
        <ns0:is>
          <ns0:t>Prognosis</ns0:t>
        </ns0:is>
      </ns0:c>
      <ns0:c r="B49" s="19" t="inlineStr">
        <ns0:is>
          <ns0:t>Transformer</ns0:t>
        </ns0:is>
      </ns0:c>
      <ns0:c r="C49" s="27">
        <ns0:f>COUNTIFS('BASE_CIERRE'!$G$5:$G$458,1,'BASE_CIERRE'!$H$5:$H$458,"Prognosis",'BASE_CIERRE'!$L$5:$L$458,"Transformer")</ns0:f>
        <ns0:v>2</ns0:v>
      </ns0:c>
      <ns0:c r="D49" s="27">
        <ns0:f>COUNTIFS('BASE_CIERRE'!$G$5:$G$458,1,'BASE_CIERRE'!$H$5:$H$458,"Prognosis")</ns0:f>
        <ns0:v>22</ns0:v>
      </ns0:c>
      <ns0:c r="E49" s="31">
        <ns0:f>IFERROR(C49/D49,0)</ns0:f>
        <ns0:v>0.09090909090909091</ns0:v>
      </ns0:c>
    </ns0:row>
    <ns0:row r="50" ht="32" customHeight="1">
      <ns0:c r="A50" s="21" t="inlineStr">
        <ns0:is>
          <ns0:t>Screening</ns0:t>
        </ns0:is>
      </ns0:c>
      <ns0:c r="B50" s="21" t="inlineStr">
        <ns0:is>
          <ns0:t>Autoencoder</ns0:t>
        </ns0:is>
      </ns0:c>
      <ns0:c r="C50" s="29">
        <ns0:f>COUNTIFS('BASE_CIERRE'!$G$5:$G$458,1,'BASE_CIERRE'!$H$5:$H$458,"Screening",'BASE_CIERRE'!$L$5:$L$458,"Autoencoder")</ns0:f>
        <ns0:v>1</ns0:v>
      </ns0:c>
      <ns0:c r="D50" s="29">
        <ns0:f>COUNTIFS('BASE_CIERRE'!$G$5:$G$458,1,'BASE_CIERRE'!$H$5:$H$458,"Screening")</ns0:f>
        <ns0:v>113</ns0:v>
      </ns0:c>
      <ns0:c r="E50" s="32">
        <ns0:f>IFERROR(C50/D50,0)</ns0:f>
        <ns0:v>0.008849557522123894</ns0:v>
      </ns0:c>
    </ns0:row>
    <ns0:row r="51" ht="32" customHeight="1">
      <ns0:c r="A51" s="19" t="inlineStr">
        <ns0:is>
          <ns0:t>Screening</ns0:t>
        </ns0:is>
      </ns0:c>
      <ns0:c r="B51" s="19" t="inlineStr">
        <ns0:is>
          <ns0:t>CNN</ns0:t>
        </ns0:is>
      </ns0:c>
      <ns0:c r="C51" s="27">
        <ns0:f>COUNTIFS('BASE_CIERRE'!$G$5:$G$458,1,'BASE_CIERRE'!$H$5:$H$458,"Screening",'BASE_CIERRE'!$L$5:$L$458,"CNN")</ns0:f>
        <ns0:v>17</ns0:v>
      </ns0:c>
      <ns0:c r="D51" s="27">
        <ns0:f>COUNTIFS('BASE_CIERRE'!$G$5:$G$458,1,'BASE_CIERRE'!$H$5:$H$458,"Screening")</ns0:f>
        <ns0:v>113</ns0:v>
      </ns0:c>
      <ns0:c r="E51" s="31">
        <ns0:f>IFERROR(C51/D51,0)</ns0:f>
        <ns0:v>0.1504424778761062</ns0:v>
      </ns0:c>
    </ns0:row>
    <ns0:row r="52" ht="32" customHeight="1">
      <ns0:c r="A52" s="21" t="inlineStr">
        <ns0:is>
          <ns0:t>Screening</ns0:t>
        </ns0:is>
      </ns0:c>
      <ns0:c r="B52" s="21" t="inlineStr">
        <ns0:is>
          <ns0:t>Clustering</ns0:t>
        </ns0:is>
      </ns0:c>
      <ns0:c r="C52" s="29">
        <ns0:f>COUNTIFS('BASE_CIERRE'!$G$5:$G$458,1,'BASE_CIERRE'!$H$5:$H$458,"Screening",'BASE_CIERRE'!$L$5:$L$458,"Clustering")</ns0:f>
        <ns0:v>1</ns0:v>
      </ns0:c>
      <ns0:c r="D52" s="29">
        <ns0:f>COUNTIFS('BASE_CIERRE'!$G$5:$G$458,1,'BASE_CIERRE'!$H$5:$H$458,"Screening")</ns0:f>
        <ns0:v>113</ns0:v>
      </ns0:c>
      <ns0:c r="E52" s="32">
        <ns0:f>IFERROR(C52/D52,0)</ns0:f>
        <ns0:v>0.008849557522123894</ns0:v>
      </ns0:c>
    </ns0:row>
    <ns0:row r="53" ht="32" customHeight="1">
      <ns0:c r="A53" s="19" t="inlineStr">
        <ns0:is>
          <ns0:t>Screening</ns0:t>
        </ns0:is>
      </ns0:c>
      <ns0:c r="B53" s="19" t="inlineStr">
        <ns0:is>
          <ns0:t>Composite/ensemble pipeline</ns0:t>
        </ns0:is>
      </ns0:c>
      <ns0:c r="C53" s="27">
        <ns0:f>COUNTIFS('BASE_CIERRE'!$G$5:$G$458,1,'BASE_CIERRE'!$H$5:$H$458,"Screening",'BASE_CIERRE'!$L$5:$L$458,"Composite/ensemble pipeline")</ns0:f>
        <ns0:v>16</ns0:v>
      </ns0:c>
      <ns0:c r="D53" s="27">
        <ns0:f>COUNTIFS('BASE_CIERRE'!$G$5:$G$458,1,'BASE_CIERRE'!$H$5:$H$458,"Screening")</ns0:f>
        <ns0:v>113</ns0:v>
      </ns0:c>
      <ns0:c r="E53" s="31">
        <ns0:f>IFERROR(C53/D53,0)</ns0:f>
        <ns0:v>0.1415929203539823</ns0:v>
      </ns0:c>
    </ns0:row>
    <ns0:row r="54" ht="32" customHeight="1">
      <ns0:c r="A54" s="21" t="inlineStr">
        <ns0:is>
          <ns0:t>Screening</ns0:t>
        </ns0:is>
      </ns0:c>
      <ns0:c r="B54" s="21" t="inlineStr">
        <ns0:is>
          <ns0:t>Decision tree/rules</ns0:t>
        </ns0:is>
      </ns0:c>
      <ns0:c r="C54" s="29">
        <ns0:f>COUNTIFS('BASE_CIERRE'!$G$5:$G$458,1,'BASE_CIERRE'!$H$5:$H$458,"Screening",'BASE_CIERRE'!$L$5:$L$458,"Decision tree/rules")</ns0:f>
        <ns0:v>7</ns0:v>
      </ns0:c>
      <ns0:c r="D54" s="29">
        <ns0:f>COUNTIFS('BASE_CIERRE'!$G$5:$G$458,1,'BASE_CIERRE'!$H$5:$H$458,"Screening")</ns0:f>
        <ns0:v>113</ns0:v>
      </ns0:c>
      <ns0:c r="E54" s="32">
        <ns0:f>IFERROR(C54/D54,0)</ns0:f>
        <ns0:v>0.061946902654867256</ns0:v>
      </ns0:c>
    </ns0:row>
    <ns0:row r="55" ht="32" customHeight="1">
      <ns0:c r="A55" s="19" t="inlineStr">
        <ns0:is>
          <ns0:t>Screening</ns0:t>
        </ns0:is>
      </ns0:c>
      <ns0:c r="B55" s="19" t="inlineStr">
        <ns0:is>
          <ns0:t>Gradient boosting</ns0:t>
        </ns0:is>
      </ns0:c>
      <ns0:c r="C55" s="27">
        <ns0:f>COUNTIFS('BASE_CIERRE'!$G$5:$G$458,1,'BASE_CIERRE'!$H$5:$H$458,"Screening",'BASE_CIERRE'!$L$5:$L$458,"Gradient boosting")</ns0:f>
        <ns0:v>5</ns0:v>
      </ns0:c>
      <ns0:c r="D55" s="27">
        <ns0:f>COUNTIFS('BASE_CIERRE'!$G$5:$G$458,1,'BASE_CIERRE'!$H$5:$H$458,"Screening")</ns0:f>
        <ns0:v>113</ns0:v>
      </ns0:c>
      <ns0:c r="E55" s="31">
        <ns0:f>IFERROR(C55/D55,0)</ns0:f>
        <ns0:v>0.04424778761061947</ns0:v>
      </ns0:c>
    </ns0:row>
    <ns0:row r="56" ht="32" customHeight="1">
      <ns0:c r="A56" s="21" t="inlineStr">
        <ns0:is>
          <ns0:t>Screening</ns0:t>
        </ns0:is>
      </ns0:c>
      <ns0:c r="B56" s="21" t="inlineStr">
        <ns0:is>
          <ns0:t>Logistic regression</ns0:t>
        </ns0:is>
      </ns0:c>
      <ns0:c r="C56" s="29">
        <ns0:f>COUNTIFS('BASE_CIERRE'!$G$5:$G$458,1,'BASE_CIERRE'!$H$5:$H$458,"Screening",'BASE_CIERRE'!$L$5:$L$458,"Logistic regression")</ns0:f>
        <ns0:v>4</ns0:v>
      </ns0:c>
      <ns0:c r="D56" s="29">
        <ns0:f>COUNTIFS('BASE_CIERRE'!$G$5:$G$458,1,'BASE_CIERRE'!$H$5:$H$458,"Screening")</ns0:f>
        <ns0:v>113</ns0:v>
      </ns0:c>
      <ns0:c r="E56" s="32">
        <ns0:f>IFERROR(C56/D56,0)</ns0:f>
        <ns0:v>0.035398230088495575</ns0:v>
      </ns0:c>
    </ns0:row>
    <ns0:row r="57" ht="32" customHeight="1">
      <ns0:c r="A57" s="19" t="inlineStr">
        <ns0:is>
          <ns0:t>Screening</ns0:t>
        </ns0:is>
      </ns0:c>
      <ns0:c r="B57" s="19" t="inlineStr">
        <ns0:is>
          <ns0:t>Multiple/not uniquely specified</ns0:t>
        </ns0:is>
      </ns0:c>
      <ns0:c r="C57" s="27">
        <ns0:f>COUNTIFS('BASE_CIERRE'!$G$5:$G$458,1,'BASE_CIERRE'!$H$5:$H$458,"Screening",'BASE_CIERRE'!$L$5:$L$458,"Multiple/not uniquely specified")</ns0:f>
        <ns0:v>13</ns0:v>
      </ns0:c>
      <ns0:c r="D57" s="27">
        <ns0:f>COUNTIFS('BASE_CIERRE'!$G$5:$G$458,1,'BASE_CIERRE'!$H$5:$H$458,"Screening")</ns0:f>
        <ns0:v>113</ns0:v>
      </ns0:c>
      <ns0:c r="E57" s="31">
        <ns0:f>IFERROR(C57/D57,0)</ns0:f>
        <ns0:v>0.11504424778761062</ns0:v>
      </ns0:c>
    </ns0:row>
    <ns0:row r="58" ht="32" customHeight="1">
      <ns0:c r="A58" s="21" t="inlineStr">
        <ns0:is>
          <ns0:t>Screening</ns0:t>
        </ns0:is>
      </ns0:c>
      <ns0:c r="B58" s="21" t="inlineStr">
        <ns0:is>
          <ns0:t>Other specified method</ns0:t>
        </ns0:is>
      </ns0:c>
      <ns0:c r="C58" s="29">
        <ns0:f>COUNTIFS('BASE_CIERRE'!$G$5:$G$458,1,'BASE_CIERRE'!$H$5:$H$458,"Screening",'BASE_CIERRE'!$L$5:$L$458,"Other specified method")</ns0:f>
        <ns0:v>27</ns0:v>
      </ns0:c>
      <ns0:c r="D58" s="29">
        <ns0:f>COUNTIFS('BASE_CIERRE'!$G$5:$G$458,1,'BASE_CIERRE'!$H$5:$H$458,"Screening")</ns0:f>
        <ns0:v>113</ns0:v>
      </ns0:c>
      <ns0:c r="E58" s="32">
        <ns0:f>IFERROR(C58/D58,0)</ns0:f>
        <ns0:v>0.23893805309734514</ns0:v>
      </ns0:c>
    </ns0:row>
    <ns0:row r="59" ht="32" customHeight="1">
      <ns0:c r="A59" s="19" t="inlineStr">
        <ns0:is>
          <ns0:t>Screening</ns0:t>
        </ns0:is>
      </ns0:c>
      <ns0:c r="B59" s="19" t="inlineStr">
        <ns0:is>
          <ns0:t>Random forest</ns0:t>
        </ns0:is>
      </ns0:c>
      <ns0:c r="C59" s="27">
        <ns0:f>COUNTIFS('BASE_CIERRE'!$G$5:$G$458,1,'BASE_CIERRE'!$H$5:$H$458,"Screening",'BASE_CIERRE'!$L$5:$L$458,"Random forest")</ns0:f>
        <ns0:v>8</ns0:v>
      </ns0:c>
      <ns0:c r="D59" s="27">
        <ns0:f>COUNTIFS('BASE_CIERRE'!$G$5:$G$458,1,'BASE_CIERRE'!$H$5:$H$458,"Screening")</ns0:f>
        <ns0:v>113</ns0:v>
      </ns0:c>
      <ns0:c r="E59" s="31">
        <ns0:f>IFERROR(C59/D59,0)</ns0:f>
        <ns0:v>0.07079646017699115</ns0:v>
      </ns0:c>
    </ns0:row>
    <ns0:row r="60" ht="32" customHeight="1">
      <ns0:c r="A60" s="21" t="inlineStr">
        <ns0:is>
          <ns0:t>Screening</ns0:t>
        </ns0:is>
      </ns0:c>
      <ns0:c r="B60" s="21" t="inlineStr">
        <ns0:is>
          <ns0:t>Recurrent network</ns0:t>
        </ns0:is>
      </ns0:c>
      <ns0:c r="C60" s="29">
        <ns0:f>COUNTIFS('BASE_CIERRE'!$G$5:$G$458,1,'BASE_CIERRE'!$H$5:$H$458,"Screening",'BASE_CIERRE'!$L$5:$L$458,"Recurrent network")</ns0:f>
        <ns0:v>3</ns0:v>
      </ns0:c>
      <ns0:c r="D60" s="29">
        <ns0:f>COUNTIFS('BASE_CIERRE'!$G$5:$G$458,1,'BASE_CIERRE'!$H$5:$H$458,"Screening")</ns0:f>
        <ns0:v>113</ns0:v>
      </ns0:c>
      <ns0:c r="E60" s="32">
        <ns0:f>IFERROR(C60/D60,0)</ns0:f>
        <ns0:v>0.02654867256637168</ns0:v>
      </ns0:c>
    </ns0:row>
    <ns0:row r="61" ht="32" customHeight="1">
      <ns0:c r="A61" s="19" t="inlineStr">
        <ns0:is>
          <ns0:t>Screening</ns0:t>
        </ns0:is>
      </ns0:c>
      <ns0:c r="B61" s="19" t="inlineStr">
        <ns0:is>
          <ns0:t>SVM</ns0:t>
        </ns0:is>
      </ns0:c>
      <ns0:c r="C61" s="27">
        <ns0:f>COUNTIFS('BASE_CIERRE'!$G$5:$G$458,1,'BASE_CIERRE'!$H$5:$H$458,"Screening",'BASE_CIERRE'!$L$5:$L$458,"SVM")</ns0:f>
        <ns0:v>7</ns0:v>
      </ns0:c>
      <ns0:c r="D61" s="27">
        <ns0:f>COUNTIFS('BASE_CIERRE'!$G$5:$G$458,1,'BASE_CIERRE'!$H$5:$H$458,"Screening")</ns0:f>
        <ns0:v>113</ns0:v>
      </ns0:c>
      <ns0:c r="E61" s="31">
        <ns0:f>IFERROR(C61/D61,0)</ns0:f>
        <ns0:v>0.061946902654867256</ns0:v>
      </ns0:c>
    </ns0:row>
    <ns0:row r="62" ht="32" customHeight="1">
      <ns0:c r="A62" s="21" t="inlineStr">
        <ns0:is>
          <ns0:t>Screening</ns0:t>
        </ns0:is>
      </ns0:c>
      <ns0:c r="B62" s="21" t="inlineStr">
        <ns0:is>
          <ns0:t>Transformer</ns0:t>
        </ns0:is>
      </ns0:c>
      <ns0:c r="C62" s="29">
        <ns0:f>COUNTIFS('BASE_CIERRE'!$G$5:$G$458,1,'BASE_CIERRE'!$H$5:$H$458,"Screening",'BASE_CIERRE'!$L$5:$L$458,"Transformer")</ns0:f>
        <ns0:v>4</ns0:v>
      </ns0:c>
      <ns0:c r="D62" s="29">
        <ns0:f>COUNTIFS('BASE_CIERRE'!$G$5:$G$458,1,'BASE_CIERRE'!$H$5:$H$458,"Screening")</ns0:f>
        <ns0:v>113</ns0:v>
      </ns0:c>
      <ns0:c r="E62" s="32">
        <ns0:f>IFERROR(C62/D62,0)</ns0:f>
        <ns0:v>0.035398230088495575</ns0:v>
      </ns0:c>
    </ns0:row>
  </ns0:sheetData>
  <ns0:autoFilter ref="A4:E62"/>
  <ns0:mergeCells count="2">
    <ns0:mergeCell ref="A2:E2"/>
    <ns0:mergeCell ref="A1:E1"/>
  </ns0:mergeCells>
  <ns0:printOptions horizontalCentered="1"/>
  <ns0:pageMargins left="0.75" right="0.75" top="1" bottom="1" header="0.5" footer="0.5"/>
  <ns0:pageSetup orientation="landscape" paperSize="8" fitToHeight="0" fitToWidth="1"/>
</ns0:worksheet>
</file>

<file path=xl/worksheets/sheet6.xml><?xml version="1.0" encoding="utf-8"?>
<ns0:worksheet xmlns:ns0="http://schemas.openxmlformats.org/spreadsheetml/2006/main">
  <ns0:sheetPr>
    <ns0:tabColor rgb="00177E89"/>
    <ns0:outlinePr summaryBelow="1" summaryRight="0"/>
    <ns0:pageSetUpPr fitToPage="1"/>
  </ns0:sheetPr>
  <ns0:dimension ref="A1:G225"/>
  <ns0:sheetViews>
    <ns0:sheetView showGridLines="0" workbookViewId="0">
      <ns0:pane xSplit="2" ySplit="4" topLeftCell="C5" activePane="bottomRight" state="frozen"/>
      <ns0:selection pane="topRight"/>
      <ns0:selection pane="bottomLeft"/>
      <ns0:selection pane="bottomRight" activeCell="A1" sqref="A1"/>
    </ns0:sheetView>
  </ns0:sheetViews>
  <ns0:sheetFormatPr baseColWidth="8" defaultRowHeight="15"/>
  <ns0:cols>
    <ns0:col width="28" customWidth="1" min="1" max="1"/>
    <ns0:col width="48" customWidth="1" min="2" max="2"/>
    <ns0:col width="40" customWidth="1" min="3" max="3"/>
    <ns0:col width="24" customWidth="1" min="4" max="4"/>
    <ns0:col width="24" customWidth="1" min="5" max="5"/>
    <ns0:col width="24" customWidth="1" min="6" max="6"/>
    <ns0:col width="24" customWidth="1" min="7" max="7"/>
  </ns0:cols>
  <ns0:sheetData>
    <ns0:row r="1" ht="36" customHeight="1">
      <ns0:c r="A1" s="16" t="inlineStr">
        <ns0:is>
          <ns0:t>RQ1 | Algoritmo, fuente, tecnica y etapa</ns0:t>
        </ns0:is>
      </ns0:c>
    </ns0:row>
    <ns0:row r="2" ht="32" customHeight="1">
      <ns0:c r="A2" s="17" t="inlineStr">
        <ns0:is>
          <ns0:t>Conteos mutuamente exclusivos por informe. Research only no demuestra ausencia de utilidad; Proposed only no demuestra uso clinico.</ns0:t>
        </ns0:is>
      </ns0:c>
    </ns0:row>
    <ns0:row r="4" ht="34" customHeight="1">
      <ns0:c r="A4" s="18" t="inlineStr">
        <ns0:is>
          <ns0:t>stage_primary</ns0:t>
        </ns0:is>
      </ns0:c>
      <ns0:c r="B4" s="18" t="inlineStr">
        <ns0:is>
          <ns0:t>data_source_primary</ns0:t>
        </ns0:is>
      </ns0:c>
      <ns0:c r="C4" s="18" t="inlineStr">
        <ns0:is>
          <ns0:t>algorithm_family</ns0:t>
        </ns0:is>
      </ns0:c>
      <ns0:c r="D4" s="18" t="inlineStr">
        <ns0:is>
          <ns0:t>ai_type</ns0:t>
        </ns0:is>
      </ns0:c>
      <ns0:c r="E4" s="18" t="inlineStr">
        <ns0:is>
          <ns0:t>n</ns0:t>
        </ns0:is>
      </ns0:c>
      <ns0:c r="F4" s="18" t="inlineStr">
        <ns0:is>
          <ns0:t>denominator_stage</ns0:t>
        </ns0:is>
      </ns0:c>
      <ns0:c r="G4" s="18" t="inlineStr">
        <ns0:is>
          <ns0:t>within_stage_fraction</ns0:t>
        </ns0:is>
      </ns0:c>
    </ns0:row>
    <ns0:row r="5" ht="32" customHeight="1">
      <ns0:c r="A5" s="19" t="inlineStr">
        <ns0:is>
          <ns0:t>Diagnosis</ns0:t>
        </ns0:is>
      </ns0:c>
      <ns0:c r="B5" s="19" t="inlineStr">
        <ns0:is>
          <ns0:t>Audio/voice</ns0:t>
        </ns0:is>
      </ns0:c>
      <ns0:c r="C5" s="19" t="inlineStr">
        <ns0:is>
          <ns0:t>Composite/ensemble pipeline</ns0:t>
        </ns0:is>
      </ns0:c>
      <ns0:c r="D5" s="19" t="inlineStr">
        <ns0:is>
          <ns0:t>Hybrid</ns0:t>
        </ns0:is>
      </ns0:c>
      <ns0:c r="E5" s="27">
        <ns0:f>COUNTIFS('BASE_CIERRE'!$G$5:$G$458,1,'BASE_CIERRE'!$H$5:$H$458,"Diagnosis",'BASE_CIERRE'!$J$5:$J$458,"Audio/voice",'BASE_CIERRE'!$L$5:$L$458,"Composite/ensemble pipeline",'BASE_CIERRE'!$I$5:$I$458,"Hybrid")</ns0:f>
        <ns0:v>1</ns0:v>
      </ns0:c>
      <ns0:c r="F5" s="27">
        <ns0:f>COUNTIFS('BASE_CIERRE'!$G$5:$G$458,1,'BASE_CIERRE'!$H$5:$H$458,"Diagnosis")</ns0:f>
        <ns0:v>216</ns0:v>
      </ns0:c>
      <ns0:c r="G5" s="31">
        <ns0:f>IFERROR(E5/F5,0)</ns0:f>
        <ns0:v>0.004629629629629629</ns0:v>
      </ns0:c>
    </ns0:row>
    <ns0:row r="6" ht="32" customHeight="1">
      <ns0:c r="A6" s="21" t="inlineStr">
        <ns0:is>
          <ns0:t>Diagnosis</ns0:t>
        </ns0:is>
      </ns0:c>
      <ns0:c r="B6" s="21" t="inlineStr">
        <ns0:is>
          <ns0:t>Audio/voice</ns0:t>
        </ns0:is>
      </ns0:c>
      <ns0:c r="C6" s="21" t="inlineStr">
        <ns0:is>
          <ns0:t>Multiple/not uniquely specified</ns0:t>
        </ns0:is>
      </ns0:c>
      <ns0:c r="D6" s="21" t="inlineStr">
        <ns0:is>
          <ns0:t>Machine Learning</ns0:t>
        </ns0:is>
      </ns0:c>
      <ns0:c r="E6" s="29">
        <ns0:f>COUNTIFS('BASE_CIERRE'!$G$5:$G$458,1,'BASE_CIERRE'!$H$5:$H$458,"Diagnosis",'BASE_CIERRE'!$J$5:$J$458,"Audio/voice",'BASE_CIERRE'!$L$5:$L$458,"Multiple/not uniquely specified",'BASE_CIERRE'!$I$5:$I$458,"Machine Learning")</ns0:f>
        <ns0:v>1</ns0:v>
      </ns0:c>
      <ns0:c r="F6" s="29">
        <ns0:f>COUNTIFS('BASE_CIERRE'!$G$5:$G$458,1,'BASE_CIERRE'!$H$5:$H$458,"Diagnosis")</ns0:f>
        <ns0:v>216</ns0:v>
      </ns0:c>
      <ns0:c r="G6" s="32">
        <ns0:f>IFERROR(E6/F6,0)</ns0:f>
        <ns0:v>0.004629629629629629</ns0:v>
      </ns0:c>
    </ns0:row>
    <ns0:row r="7" ht="32" customHeight="1">
      <ns0:c r="A7" s="19" t="inlineStr">
        <ns0:is>
          <ns0:t>Diagnosis</ns0:t>
        </ns0:is>
      </ns0:c>
      <ns0:c r="B7" s="19" t="inlineStr">
        <ns0:is>
          <ns0:t>Audio/voice</ns0:t>
        </ns0:is>
      </ns0:c>
      <ns0:c r="C7" s="19" t="inlineStr">
        <ns0:is>
          <ns0:t>Multiple/not uniquely specified</ns0:t>
        </ns0:is>
      </ns0:c>
      <ns0:c r="D7" s="19" t="inlineStr">
        <ns0:is>
          <ns0:t>Not specified</ns0:t>
        </ns0:is>
      </ns0:c>
      <ns0:c r="E7" s="27">
        <ns0:f>COUNTIFS('BASE_CIERRE'!$G$5:$G$458,1,'BASE_CIERRE'!$H$5:$H$458,"Diagnosis",'BASE_CIERRE'!$J$5:$J$458,"Audio/voice",'BASE_CIERRE'!$L$5:$L$458,"Multiple/not uniquely specified",'BASE_CIERRE'!$I$5:$I$458,"Not specified")</ns0:f>
        <ns0:v>1</ns0:v>
      </ns0:c>
      <ns0:c r="F7" s="27">
        <ns0:f>COUNTIFS('BASE_CIERRE'!$G$5:$G$458,1,'BASE_CIERRE'!$H$5:$H$458,"Diagnosis")</ns0:f>
        <ns0:v>216</ns0:v>
      </ns0:c>
      <ns0:c r="G7" s="31">
        <ns0:f>IFERROR(E7/F7,0)</ns0:f>
        <ns0:v>0.004629629629629629</ns0:v>
      </ns0:c>
    </ns0:row>
    <ns0:row r="8" ht="32" customHeight="1">
      <ns0:c r="A8" s="21" t="inlineStr">
        <ns0:is>
          <ns0:t>Diagnosis</ns0:t>
        </ns0:is>
      </ns0:c>
      <ns0:c r="B8" s="21" t="inlineStr">
        <ns0:is>
          <ns0:t>Behavioral images/video/gaze/movement</ns0:t>
        </ns0:is>
      </ns0:c>
      <ns0:c r="C8" s="21" t="inlineStr">
        <ns0:is>
          <ns0:t>CNN</ns0:t>
        </ns0:is>
      </ns0:c>
      <ns0:c r="D8" s="21" t="inlineStr">
        <ns0:is>
          <ns0:t>Deep Learning</ns0:t>
        </ns0:is>
      </ns0:c>
      <ns0:c r="E8" s="29">
        <ns0:f>COUNTIFS('BASE_CIERRE'!$G$5:$G$458,1,'BASE_CIERRE'!$H$5:$H$458,"Diagnosis",'BASE_CIERRE'!$J$5:$J$458,"Behavioral images/video/gaze/movement",'BASE_CIERRE'!$L$5:$L$458,"CNN",'BASE_CIERRE'!$I$5:$I$458,"Deep Learning")</ns0:f>
        <ns0:v>3</ns0:v>
      </ns0:c>
      <ns0:c r="F8" s="29">
        <ns0:f>COUNTIFS('BASE_CIERRE'!$G$5:$G$458,1,'BASE_CIERRE'!$H$5:$H$458,"Diagnosis")</ns0:f>
        <ns0:v>216</ns0:v>
      </ns0:c>
      <ns0:c r="G8" s="32">
        <ns0:f>IFERROR(E8/F8,0)</ns0:f>
        <ns0:v>0.013888888888888888</ns0:v>
      </ns0:c>
    </ns0:row>
    <ns0:row r="9" ht="32" customHeight="1">
      <ns0:c r="A9" s="19" t="inlineStr">
        <ns0:is>
          <ns0:t>Diagnosis</ns0:t>
        </ns0:is>
      </ns0:c>
      <ns0:c r="B9" s="19" t="inlineStr">
        <ns0:is>
          <ns0:t>Behavioral images/video/gaze/movement</ns0:t>
        </ns0:is>
      </ns0:c>
      <ns0:c r="C9" s="19" t="inlineStr">
        <ns0:is>
          <ns0:t>Composite/ensemble pipeline</ns0:t>
        </ns0:is>
      </ns0:c>
      <ns0:c r="D9" s="19" t="inlineStr">
        <ns0:is>
          <ns0:t>Deep Learning</ns0:t>
        </ns0:is>
      </ns0:c>
      <ns0:c r="E9" s="27">
        <ns0:f>COUNTIFS('BASE_CIERRE'!$G$5:$G$458,1,'BASE_CIERRE'!$H$5:$H$458,"Diagnosis",'BASE_CIERRE'!$J$5:$J$458,"Behavioral images/video/gaze/movement",'BASE_CIERRE'!$L$5:$L$458,"Composite/ensemble pipeline",'BASE_CIERRE'!$I$5:$I$458,"Deep Learning")</ns0:f>
        <ns0:v>3</ns0:v>
      </ns0:c>
      <ns0:c r="F9" s="27">
        <ns0:f>COUNTIFS('BASE_CIERRE'!$G$5:$G$458,1,'BASE_CIERRE'!$H$5:$H$458,"Diagnosis")</ns0:f>
        <ns0:v>216</ns0:v>
      </ns0:c>
      <ns0:c r="G9" s="31">
        <ns0:f>IFERROR(E9/F9,0)</ns0:f>
        <ns0:v>0.013888888888888888</ns0:v>
      </ns0:c>
    </ns0:row>
    <ns0:row r="10" ht="32" customHeight="1">
      <ns0:c r="A10" s="21" t="inlineStr">
        <ns0:is>
          <ns0:t>Diagnosis</ns0:t>
        </ns0:is>
      </ns0:c>
      <ns0:c r="B10" s="21" t="inlineStr">
        <ns0:is>
          <ns0:t>Behavioral images/video/gaze/movement</ns0:t>
        </ns0:is>
      </ns0:c>
      <ns0:c r="C10" s="21" t="inlineStr">
        <ns0:is>
          <ns0:t>Composite/ensemble pipeline</ns0:t>
        </ns0:is>
      </ns0:c>
      <ns0:c r="D10" s="21" t="inlineStr">
        <ns0:is>
          <ns0:t>Hybrid</ns0:t>
        </ns0:is>
      </ns0:c>
      <ns0:c r="E10" s="29">
        <ns0:f>COUNTIFS('BASE_CIERRE'!$G$5:$G$458,1,'BASE_CIERRE'!$H$5:$H$458,"Diagnosis",'BASE_CIERRE'!$J$5:$J$458,"Behavioral images/video/gaze/movement",'BASE_CIERRE'!$L$5:$L$458,"Composite/ensemble pipeline",'BASE_CIERRE'!$I$5:$I$458,"Hybrid")</ns0:f>
        <ns0:v>1</ns0:v>
      </ns0:c>
      <ns0:c r="F10" s="29">
        <ns0:f>COUNTIFS('BASE_CIERRE'!$G$5:$G$458,1,'BASE_CIERRE'!$H$5:$H$458,"Diagnosis")</ns0:f>
        <ns0:v>216</ns0:v>
      </ns0:c>
      <ns0:c r="G10" s="32">
        <ns0:f>IFERROR(E10/F10,0)</ns0:f>
        <ns0:v>0.004629629629629629</ns0:v>
      </ns0:c>
    </ns0:row>
    <ns0:row r="11" ht="32" customHeight="1">
      <ns0:c r="A11" s="19" t="inlineStr">
        <ns0:is>
          <ns0:t>Diagnosis</ns0:t>
        </ns0:is>
      </ns0:c>
      <ns0:c r="B11" s="19" t="inlineStr">
        <ns0:is>
          <ns0:t>Behavioral images/video/gaze/movement</ns0:t>
        </ns0:is>
      </ns0:c>
      <ns0:c r="C11" s="19" t="inlineStr">
        <ns0:is>
          <ns0:t>Gradient boosting</ns0:t>
        </ns0:is>
      </ns0:c>
      <ns0:c r="D11" s="19" t="inlineStr">
        <ns0:is>
          <ns0:t>Hybrid</ns0:t>
        </ns0:is>
      </ns0:c>
      <ns0:c r="E11" s="27">
        <ns0:f>COUNTIFS('BASE_CIERRE'!$G$5:$G$458,1,'BASE_CIERRE'!$H$5:$H$458,"Diagnosis",'BASE_CIERRE'!$J$5:$J$458,"Behavioral images/video/gaze/movement",'BASE_CIERRE'!$L$5:$L$458,"Gradient boosting",'BASE_CIERRE'!$I$5:$I$458,"Hybrid")</ns0:f>
        <ns0:v>1</ns0:v>
      </ns0:c>
      <ns0:c r="F11" s="27">
        <ns0:f>COUNTIFS('BASE_CIERRE'!$G$5:$G$458,1,'BASE_CIERRE'!$H$5:$H$458,"Diagnosis")</ns0:f>
        <ns0:v>216</ns0:v>
      </ns0:c>
      <ns0:c r="G11" s="31">
        <ns0:f>IFERROR(E11/F11,0)</ns0:f>
        <ns0:v>0.004629629629629629</ns0:v>
      </ns0:c>
    </ns0:row>
    <ns0:row r="12" ht="32" customHeight="1">
      <ns0:c r="A12" s="21" t="inlineStr">
        <ns0:is>
          <ns0:t>Diagnosis</ns0:t>
        </ns0:is>
      </ns0:c>
      <ns0:c r="B12" s="21" t="inlineStr">
        <ns0:is>
          <ns0:t>Behavioral images/video/gaze/movement</ns0:t>
        </ns0:is>
      </ns0:c>
      <ns0:c r="C12" s="21" t="inlineStr">
        <ns0:is>
          <ns0:t>MLP/ANN</ns0:t>
        </ns0:is>
      </ns0:c>
      <ns0:c r="D12" s="21" t="inlineStr">
        <ns0:is>
          <ns0:t>Deep Learning</ns0:t>
        </ns0:is>
      </ns0:c>
      <ns0:c r="E12" s="29">
        <ns0:f>COUNTIFS('BASE_CIERRE'!$G$5:$G$458,1,'BASE_CIERRE'!$H$5:$H$458,"Diagnosis",'BASE_CIERRE'!$J$5:$J$458,"Behavioral images/video/gaze/movement",'BASE_CIERRE'!$L$5:$L$458,"MLP/ANN",'BASE_CIERRE'!$I$5:$I$458,"Deep Learning")</ns0:f>
        <ns0:v>1</ns0:v>
      </ns0:c>
      <ns0:c r="F12" s="29">
        <ns0:f>COUNTIFS('BASE_CIERRE'!$G$5:$G$458,1,'BASE_CIERRE'!$H$5:$H$458,"Diagnosis")</ns0:f>
        <ns0:v>216</ns0:v>
      </ns0:c>
      <ns0:c r="G12" s="32">
        <ns0:f>IFERROR(E12/F12,0)</ns0:f>
        <ns0:v>0.004629629629629629</ns0:v>
      </ns0:c>
    </ns0:row>
    <ns0:row r="13" ht="32" customHeight="1">
      <ns0:c r="A13" s="19" t="inlineStr">
        <ns0:is>
          <ns0:t>Diagnosis</ns0:t>
        </ns0:is>
      </ns0:c>
      <ns0:c r="B13" s="19" t="inlineStr">
        <ns0:is>
          <ns0:t>Behavioral images/video/gaze/movement</ns0:t>
        </ns0:is>
      </ns0:c>
      <ns0:c r="C13" s="19" t="inlineStr">
        <ns0:is>
          <ns0:t>Multiple/not uniquely specified</ns0:t>
        </ns0:is>
      </ns0:c>
      <ns0:c r="D13" s="19" t="inlineStr">
        <ns0:is>
          <ns0:t>Not specified</ns0:t>
        </ns0:is>
      </ns0:c>
      <ns0:c r="E13" s="27">
        <ns0:f>COUNTIFS('BASE_CIERRE'!$G$5:$G$458,1,'BASE_CIERRE'!$H$5:$H$458,"Diagnosis",'BASE_CIERRE'!$J$5:$J$458,"Behavioral images/video/gaze/movement",'BASE_CIERRE'!$L$5:$L$458,"Multiple/not uniquely specified",'BASE_CIERRE'!$I$5:$I$458,"Not specified")</ns0:f>
        <ns0:v>1</ns0:v>
      </ns0:c>
      <ns0:c r="F13" s="27">
        <ns0:f>COUNTIFS('BASE_CIERRE'!$G$5:$G$458,1,'BASE_CIERRE'!$H$5:$H$458,"Diagnosis")</ns0:f>
        <ns0:v>216</ns0:v>
      </ns0:c>
      <ns0:c r="G13" s="31">
        <ns0:f>IFERROR(E13/F13,0)</ns0:f>
        <ns0:v>0.004629629629629629</ns0:v>
      </ns0:c>
    </ns0:row>
    <ns0:row r="14" ht="32" customHeight="1">
      <ns0:c r="A14" s="21" t="inlineStr">
        <ns0:is>
          <ns0:t>Diagnosis</ns0:t>
        </ns0:is>
      </ns0:c>
      <ns0:c r="B14" s="21" t="inlineStr">
        <ns0:is>
          <ns0:t>Behavioral images/video/gaze/movement</ns0:t>
        </ns0:is>
      </ns0:c>
      <ns0:c r="C14" s="21" t="inlineStr">
        <ns0:is>
          <ns0:t>Other specified method</ns0:t>
        </ns0:is>
      </ns0:c>
      <ns0:c r="D14" s="21" t="inlineStr">
        <ns0:is>
          <ns0:t>Deep Learning</ns0:t>
        </ns0:is>
      </ns0:c>
      <ns0:c r="E14" s="29">
        <ns0:f>COUNTIFS('BASE_CIERRE'!$G$5:$G$458,1,'BASE_CIERRE'!$H$5:$H$458,"Diagnosis",'BASE_CIERRE'!$J$5:$J$458,"Behavioral images/video/gaze/movement",'BASE_CIERRE'!$L$5:$L$458,"Other specified method",'BASE_CIERRE'!$I$5:$I$458,"Deep Learning")</ns0:f>
        <ns0:v>2</ns0:v>
      </ns0:c>
      <ns0:c r="F14" s="29">
        <ns0:f>COUNTIFS('BASE_CIERRE'!$G$5:$G$458,1,'BASE_CIERRE'!$H$5:$H$458,"Diagnosis")</ns0:f>
        <ns0:v>216</ns0:v>
      </ns0:c>
      <ns0:c r="G14" s="32">
        <ns0:f>IFERROR(E14/F14,0)</ns0:f>
        <ns0:v>0.009259259259259259</ns0:v>
      </ns0:c>
    </ns0:row>
    <ns0:row r="15" ht="32" customHeight="1">
      <ns0:c r="A15" s="19" t="inlineStr">
        <ns0:is>
          <ns0:t>Diagnosis</ns0:t>
        </ns0:is>
      </ns0:c>
      <ns0:c r="B15" s="19" t="inlineStr">
        <ns0:is>
          <ns0:t>Behavioral images/video/gaze/movement</ns0:t>
        </ns0:is>
      </ns0:c>
      <ns0:c r="C15" s="19" t="inlineStr">
        <ns0:is>
          <ns0:t>Other specified method</ns0:t>
        </ns0:is>
      </ns0:c>
      <ns0:c r="D15" s="19" t="inlineStr">
        <ns0:is>
          <ns0:t>Machine Learning</ns0:t>
        </ns0:is>
      </ns0:c>
      <ns0:c r="E15" s="27">
        <ns0:f>COUNTIFS('BASE_CIERRE'!$G$5:$G$458,1,'BASE_CIERRE'!$H$5:$H$458,"Diagnosis",'BASE_CIERRE'!$J$5:$J$458,"Behavioral images/video/gaze/movement",'BASE_CIERRE'!$L$5:$L$458,"Other specified method",'BASE_CIERRE'!$I$5:$I$458,"Machine Learning")</ns0:f>
        <ns0:v>4</ns0:v>
      </ns0:c>
      <ns0:c r="F15" s="27">
        <ns0:f>COUNTIFS('BASE_CIERRE'!$G$5:$G$458,1,'BASE_CIERRE'!$H$5:$H$458,"Diagnosis")</ns0:f>
        <ns0:v>216</ns0:v>
      </ns0:c>
      <ns0:c r="G15" s="31">
        <ns0:f>IFERROR(E15/F15,0)</ns0:f>
        <ns0:v>0.018518518518518517</ns0:v>
      </ns0:c>
    </ns0:row>
    <ns0:row r="16" ht="32" customHeight="1">
      <ns0:c r="A16" s="21" t="inlineStr">
        <ns0:is>
          <ns0:t>Diagnosis</ns0:t>
        </ns0:is>
      </ns0:c>
      <ns0:c r="B16" s="21" t="inlineStr">
        <ns0:is>
          <ns0:t>Behavioral images/video/gaze/movement</ns0:t>
        </ns0:is>
      </ns0:c>
      <ns0:c r="C16" s="21" t="inlineStr">
        <ns0:is>
          <ns0:t>Random forest</ns0:t>
        </ns0:is>
      </ns0:c>
      <ns0:c r="D16" s="21" t="inlineStr">
        <ns0:is>
          <ns0:t>Machine Learning</ns0:t>
        </ns0:is>
      </ns0:c>
      <ns0:c r="E16" s="29">
        <ns0:f>COUNTIFS('BASE_CIERRE'!$G$5:$G$458,1,'BASE_CIERRE'!$H$5:$H$458,"Diagnosis",'BASE_CIERRE'!$J$5:$J$458,"Behavioral images/video/gaze/movement",'BASE_CIERRE'!$L$5:$L$458,"Random forest",'BASE_CIERRE'!$I$5:$I$458,"Machine Learning")</ns0:f>
        <ns0:v>2</ns0:v>
      </ns0:c>
      <ns0:c r="F16" s="29">
        <ns0:f>COUNTIFS('BASE_CIERRE'!$G$5:$G$458,1,'BASE_CIERRE'!$H$5:$H$458,"Diagnosis")</ns0:f>
        <ns0:v>216</ns0:v>
      </ns0:c>
      <ns0:c r="G16" s="32">
        <ns0:f>IFERROR(E16/F16,0)</ns0:f>
        <ns0:v>0.009259259259259259</ns0:v>
      </ns0:c>
    </ns0:row>
    <ns0:row r="17" ht="32" customHeight="1">
      <ns0:c r="A17" s="19" t="inlineStr">
        <ns0:is>
          <ns0:t>Diagnosis</ns0:t>
        </ns0:is>
      </ns0:c>
      <ns0:c r="B17" s="19" t="inlineStr">
        <ns0:is>
          <ns0:t>Behavioral images/video/gaze/movement</ns0:t>
        </ns0:is>
      </ns0:c>
      <ns0:c r="C17" s="19" t="inlineStr">
        <ns0:is>
          <ns0:t>SVM</ns0:t>
        </ns0:is>
      </ns0:c>
      <ns0:c r="D17" s="19" t="inlineStr">
        <ns0:is>
          <ns0:t>Machine Learning</ns0:t>
        </ns0:is>
      </ns0:c>
      <ns0:c r="E17" s="27">
        <ns0:f>COUNTIFS('BASE_CIERRE'!$G$5:$G$458,1,'BASE_CIERRE'!$H$5:$H$458,"Diagnosis",'BASE_CIERRE'!$J$5:$J$458,"Behavioral images/video/gaze/movement",'BASE_CIERRE'!$L$5:$L$458,"SVM",'BASE_CIERRE'!$I$5:$I$458,"Machine Learning")</ns0:f>
        <ns0:v>2</ns0:v>
      </ns0:c>
      <ns0:c r="F17" s="27">
        <ns0:f>COUNTIFS('BASE_CIERRE'!$G$5:$G$458,1,'BASE_CIERRE'!$H$5:$H$458,"Diagnosis")</ns0:f>
        <ns0:v>216</ns0:v>
      </ns0:c>
      <ns0:c r="G17" s="31">
        <ns0:f>IFERROR(E17/F17,0)</ns0:f>
        <ns0:v>0.009259259259259259</ns0:v>
      </ns0:c>
    </ns0:row>
    <ns0:row r="18" ht="32" customHeight="1">
      <ns0:c r="A18" s="21" t="inlineStr">
        <ns0:is>
          <ns0:t>Diagnosis</ns0:t>
        </ns0:is>
      </ns0:c>
      <ns0:c r="B18" s="21" t="inlineStr">
        <ns0:is>
          <ns0:t>Biological/omics</ns0:t>
        </ns0:is>
      </ns0:c>
      <ns0:c r="C18" s="21" t="inlineStr">
        <ns0:is>
          <ns0:t>Composite/ensemble pipeline</ns0:t>
        </ns0:is>
      </ns0:c>
      <ns0:c r="D18" s="21" t="inlineStr">
        <ns0:is>
          <ns0:t>Machine Learning</ns0:t>
        </ns0:is>
      </ns0:c>
      <ns0:c r="E18" s="29">
        <ns0:f>COUNTIFS('BASE_CIERRE'!$G$5:$G$458,1,'BASE_CIERRE'!$H$5:$H$458,"Diagnosis",'BASE_CIERRE'!$J$5:$J$458,"Biological/omics",'BASE_CIERRE'!$L$5:$L$458,"Composite/ensemble pipeline",'BASE_CIERRE'!$I$5:$I$458,"Machine Learning")</ns0:f>
        <ns0:v>5</ns0:v>
      </ns0:c>
      <ns0:c r="F18" s="29">
        <ns0:f>COUNTIFS('BASE_CIERRE'!$G$5:$G$458,1,'BASE_CIERRE'!$H$5:$H$458,"Diagnosis")</ns0:f>
        <ns0:v>216</ns0:v>
      </ns0:c>
      <ns0:c r="G18" s="32">
        <ns0:f>IFERROR(E18/F18,0)</ns0:f>
        <ns0:v>0.023148148148148147</ns0:v>
      </ns0:c>
    </ns0:row>
    <ns0:row r="19" ht="32" customHeight="1">
      <ns0:c r="A19" s="19" t="inlineStr">
        <ns0:is>
          <ns0:t>Diagnosis</ns0:t>
        </ns0:is>
      </ns0:c>
      <ns0:c r="B19" s="19" t="inlineStr">
        <ns0:is>
          <ns0:t>Biological/omics</ns0:t>
        </ns0:is>
      </ns0:c>
      <ns0:c r="C19" s="19" t="inlineStr">
        <ns0:is>
          <ns0:t>Gradient boosting</ns0:t>
        </ns0:is>
      </ns0:c>
      <ns0:c r="D19" s="19" t="inlineStr">
        <ns0:is>
          <ns0:t>Machine Learning</ns0:t>
        </ns0:is>
      </ns0:c>
      <ns0:c r="E19" s="27">
        <ns0:f>COUNTIFS('BASE_CIERRE'!$G$5:$G$458,1,'BASE_CIERRE'!$H$5:$H$458,"Diagnosis",'BASE_CIERRE'!$J$5:$J$458,"Biological/omics",'BASE_CIERRE'!$L$5:$L$458,"Gradient boosting",'BASE_CIERRE'!$I$5:$I$458,"Machine Learning")</ns0:f>
        <ns0:v>1</ns0:v>
      </ns0:c>
      <ns0:c r="F19" s="27">
        <ns0:f>COUNTIFS('BASE_CIERRE'!$G$5:$G$458,1,'BASE_CIERRE'!$H$5:$H$458,"Diagnosis")</ns0:f>
        <ns0:v>216</ns0:v>
      </ns0:c>
      <ns0:c r="G19" s="31">
        <ns0:f>IFERROR(E19/F19,0)</ns0:f>
        <ns0:v>0.004629629629629629</ns0:v>
      </ns0:c>
    </ns0:row>
    <ns0:row r="20" ht="32" customHeight="1">
      <ns0:c r="A20" s="21" t="inlineStr">
        <ns0:is>
          <ns0:t>Diagnosis</ns0:t>
        </ns0:is>
      </ns0:c>
      <ns0:c r="B20" s="21" t="inlineStr">
        <ns0:is>
          <ns0:t>Biological/omics</ns0:t>
        </ns0:is>
      </ns0:c>
      <ns0:c r="C20" s="21" t="inlineStr">
        <ns0:is>
          <ns0:t>Logistic regression</ns0:t>
        </ns0:is>
      </ns0:c>
      <ns0:c r="D20" s="21" t="inlineStr">
        <ns0:is>
          <ns0:t>Machine Learning</ns0:t>
        </ns0:is>
      </ns0:c>
      <ns0:c r="E20" s="29">
        <ns0:f>COUNTIFS('BASE_CIERRE'!$G$5:$G$458,1,'BASE_CIERRE'!$H$5:$H$458,"Diagnosis",'BASE_CIERRE'!$J$5:$J$458,"Biological/omics",'BASE_CIERRE'!$L$5:$L$458,"Logistic regression",'BASE_CIERRE'!$I$5:$I$458,"Machine Learning")</ns0:f>
        <ns0:v>3</ns0:v>
      </ns0:c>
      <ns0:c r="F20" s="29">
        <ns0:f>COUNTIFS('BASE_CIERRE'!$G$5:$G$458,1,'BASE_CIERRE'!$H$5:$H$458,"Diagnosis")</ns0:f>
        <ns0:v>216</ns0:v>
      </ns0:c>
      <ns0:c r="G20" s="32">
        <ns0:f>IFERROR(E20/F20,0)</ns0:f>
        <ns0:v>0.013888888888888888</ns0:v>
      </ns0:c>
    </ns0:row>
    <ns0:row r="21" ht="32" customHeight="1">
      <ns0:c r="A21" s="19" t="inlineStr">
        <ns0:is>
          <ns0:t>Diagnosis</ns0:t>
        </ns0:is>
      </ns0:c>
      <ns0:c r="B21" s="19" t="inlineStr">
        <ns0:is>
          <ns0:t>Biological/omics</ns0:t>
        </ns0:is>
      </ns0:c>
      <ns0:c r="C21" s="19" t="inlineStr">
        <ns0:is>
          <ns0:t>MLP/ANN</ns0:t>
        </ns0:is>
      </ns0:c>
      <ns0:c r="D21" s="19" t="inlineStr">
        <ns0:is>
          <ns0:t>Machine Learning</ns0:t>
        </ns0:is>
      </ns0:c>
      <ns0:c r="E21" s="27">
        <ns0:f>COUNTIFS('BASE_CIERRE'!$G$5:$G$458,1,'BASE_CIERRE'!$H$5:$H$458,"Diagnosis",'BASE_CIERRE'!$J$5:$J$458,"Biological/omics",'BASE_CIERRE'!$L$5:$L$458,"MLP/ANN",'BASE_CIERRE'!$I$5:$I$458,"Machine Learning")</ns0:f>
        <ns0:v>1</ns0:v>
      </ns0:c>
      <ns0:c r="F21" s="27">
        <ns0:f>COUNTIFS('BASE_CIERRE'!$G$5:$G$458,1,'BASE_CIERRE'!$H$5:$H$458,"Diagnosis")</ns0:f>
        <ns0:v>216</ns0:v>
      </ns0:c>
      <ns0:c r="G21" s="31">
        <ns0:f>IFERROR(E21/F21,0)</ns0:f>
        <ns0:v>0.004629629629629629</ns0:v>
      </ns0:c>
    </ns0:row>
    <ns0:row r="22" ht="32" customHeight="1">
      <ns0:c r="A22" s="21" t="inlineStr">
        <ns0:is>
          <ns0:t>Diagnosis</ns0:t>
        </ns0:is>
      </ns0:c>
      <ns0:c r="B22" s="21" t="inlineStr">
        <ns0:is>
          <ns0:t>Biological/omics</ns0:t>
        </ns0:is>
      </ns0:c>
      <ns0:c r="C22" s="21" t="inlineStr">
        <ns0:is>
          <ns0:t>Multiple/not uniquely specified</ns0:t>
        </ns0:is>
      </ns0:c>
      <ns0:c r="D22" s="21" t="inlineStr">
        <ns0:is>
          <ns0:t>Machine Learning</ns0:t>
        </ns0:is>
      </ns0:c>
      <ns0:c r="E22" s="29">
        <ns0:f>COUNTIFS('BASE_CIERRE'!$G$5:$G$458,1,'BASE_CIERRE'!$H$5:$H$458,"Diagnosis",'BASE_CIERRE'!$J$5:$J$458,"Biological/omics",'BASE_CIERRE'!$L$5:$L$458,"Multiple/not uniquely specified",'BASE_CIERRE'!$I$5:$I$458,"Machine Learning")</ns0:f>
        <ns0:v>4</ns0:v>
      </ns0:c>
      <ns0:c r="F22" s="29">
        <ns0:f>COUNTIFS('BASE_CIERRE'!$G$5:$G$458,1,'BASE_CIERRE'!$H$5:$H$458,"Diagnosis")</ns0:f>
        <ns0:v>216</ns0:v>
      </ns0:c>
      <ns0:c r="G22" s="32">
        <ns0:f>IFERROR(E22/F22,0)</ns0:f>
        <ns0:v>0.018518518518518517</ns0:v>
      </ns0:c>
    </ns0:row>
    <ns0:row r="23" ht="32" customHeight="1">
      <ns0:c r="A23" s="19" t="inlineStr">
        <ns0:is>
          <ns0:t>Diagnosis</ns0:t>
        </ns0:is>
      </ns0:c>
      <ns0:c r="B23" s="19" t="inlineStr">
        <ns0:is>
          <ns0:t>Biological/omics</ns0:t>
        </ns0:is>
      </ns0:c>
      <ns0:c r="C23" s="19" t="inlineStr">
        <ns0:is>
          <ns0:t>Other specified method</ns0:t>
        </ns0:is>
      </ns0:c>
      <ns0:c r="D23" s="19" t="inlineStr">
        <ns0:is>
          <ns0:t>Machine Learning</ns0:t>
        </ns0:is>
      </ns0:c>
      <ns0:c r="E23" s="27">
        <ns0:f>COUNTIFS('BASE_CIERRE'!$G$5:$G$458,1,'BASE_CIERRE'!$H$5:$H$458,"Diagnosis",'BASE_CIERRE'!$J$5:$J$458,"Biological/omics",'BASE_CIERRE'!$L$5:$L$458,"Other specified method",'BASE_CIERRE'!$I$5:$I$458,"Machine Learning")</ns0:f>
        <ns0:v>2</ns0:v>
      </ns0:c>
      <ns0:c r="F23" s="27">
        <ns0:f>COUNTIFS('BASE_CIERRE'!$G$5:$G$458,1,'BASE_CIERRE'!$H$5:$H$458,"Diagnosis")</ns0:f>
        <ns0:v>216</ns0:v>
      </ns0:c>
      <ns0:c r="G23" s="31">
        <ns0:f>IFERROR(E23/F23,0)</ns0:f>
        <ns0:v>0.009259259259259259</ns0:v>
      </ns0:c>
    </ns0:row>
    <ns0:row r="24" ht="32" customHeight="1">
      <ns0:c r="A24" s="21" t="inlineStr">
        <ns0:is>
          <ns0:t>Diagnosis</ns0:t>
        </ns0:is>
      </ns0:c>
      <ns0:c r="B24" s="21" t="inlineStr">
        <ns0:is>
          <ns0:t>Biological/omics</ns0:t>
        </ns0:is>
      </ns0:c>
      <ns0:c r="C24" s="21" t="inlineStr">
        <ns0:is>
          <ns0:t>Random forest</ns0:t>
        </ns0:is>
      </ns0:c>
      <ns0:c r="D24" s="21" t="inlineStr">
        <ns0:is>
          <ns0:t>Machine Learning</ns0:t>
        </ns0:is>
      </ns0:c>
      <ns0:c r="E24" s="29">
        <ns0:f>COUNTIFS('BASE_CIERRE'!$G$5:$G$458,1,'BASE_CIERRE'!$H$5:$H$458,"Diagnosis",'BASE_CIERRE'!$J$5:$J$458,"Biological/omics",'BASE_CIERRE'!$L$5:$L$458,"Random forest",'BASE_CIERRE'!$I$5:$I$458,"Machine Learning")</ns0:f>
        <ns0:v>2</ns0:v>
      </ns0:c>
      <ns0:c r="F24" s="29">
        <ns0:f>COUNTIFS('BASE_CIERRE'!$G$5:$G$458,1,'BASE_CIERRE'!$H$5:$H$458,"Diagnosis")</ns0:f>
        <ns0:v>216</ns0:v>
      </ns0:c>
      <ns0:c r="G24" s="32">
        <ns0:f>IFERROR(E24/F24,0)</ns0:f>
        <ns0:v>0.009259259259259259</ns0:v>
      </ns0:c>
    </ns0:row>
    <ns0:row r="25" ht="32" customHeight="1">
      <ns0:c r="A25" s="19" t="inlineStr">
        <ns0:is>
          <ns0:t>Diagnosis</ns0:t>
        </ns0:is>
      </ns0:c>
      <ns0:c r="B25" s="19" t="inlineStr">
        <ns0:is>
          <ns0:t>Biological/omics</ns0:t>
        </ns0:is>
      </ns0:c>
      <ns0:c r="C25" s="19" t="inlineStr">
        <ns0:is>
          <ns0:t>SVM</ns0:t>
        </ns0:is>
      </ns0:c>
      <ns0:c r="D25" s="19" t="inlineStr">
        <ns0:is>
          <ns0:t>Machine Learning</ns0:t>
        </ns0:is>
      </ns0:c>
      <ns0:c r="E25" s="27">
        <ns0:f>COUNTIFS('BASE_CIERRE'!$G$5:$G$458,1,'BASE_CIERRE'!$H$5:$H$458,"Diagnosis",'BASE_CIERRE'!$J$5:$J$458,"Biological/omics",'BASE_CIERRE'!$L$5:$L$458,"SVM",'BASE_CIERRE'!$I$5:$I$458,"Machine Learning")</ns0:f>
        <ns0:v>1</ns0:v>
      </ns0:c>
      <ns0:c r="F25" s="27">
        <ns0:f>COUNTIFS('BASE_CIERRE'!$G$5:$G$458,1,'BASE_CIERRE'!$H$5:$H$458,"Diagnosis")</ns0:f>
        <ns0:v>216</ns0:v>
      </ns0:c>
      <ns0:c r="G25" s="31">
        <ns0:f>IFERROR(E25/F25,0)</ns0:f>
        <ns0:v>0.004629629629629629</ns0:v>
      </ns0:c>
    </ns0:row>
    <ns0:row r="26" ht="32" customHeight="1">
      <ns0:c r="A26" s="21" t="inlineStr">
        <ns0:is>
          <ns0:t>Diagnosis</ns0:t>
        </ns0:is>
      </ns0:c>
      <ns0:c r="B26" s="21" t="inlineStr">
        <ns0:is>
          <ns0:t>Multiple source categories</ns0:t>
        </ns0:is>
      </ns0:c>
      <ns0:c r="C26" s="21" t="inlineStr">
        <ns0:is>
          <ns0:t>Autoencoder</ns0:t>
        </ns0:is>
      </ns0:c>
      <ns0:c r="D26" s="21" t="inlineStr">
        <ns0:is>
          <ns0:t>Hybrid</ns0:t>
        </ns0:is>
      </ns0:c>
      <ns0:c r="E26" s="29">
        <ns0:f>COUNTIFS('BASE_CIERRE'!$G$5:$G$458,1,'BASE_CIERRE'!$H$5:$H$458,"Diagnosis",'BASE_CIERRE'!$J$5:$J$458,"Multiple source categories",'BASE_CIERRE'!$L$5:$L$458,"Autoencoder",'BASE_CIERRE'!$I$5:$I$458,"Hybrid")</ns0:f>
        <ns0:v>1</ns0:v>
      </ns0:c>
      <ns0:c r="F26" s="29">
        <ns0:f>COUNTIFS('BASE_CIERRE'!$G$5:$G$458,1,'BASE_CIERRE'!$H$5:$H$458,"Diagnosis")</ns0:f>
        <ns0:v>216</ns0:v>
      </ns0:c>
      <ns0:c r="G26" s="32">
        <ns0:f>IFERROR(E26/F26,0)</ns0:f>
        <ns0:v>0.004629629629629629</ns0:v>
      </ns0:c>
    </ns0:row>
    <ns0:row r="27" ht="32" customHeight="1">
      <ns0:c r="A27" s="19" t="inlineStr">
        <ns0:is>
          <ns0:t>Diagnosis</ns0:t>
        </ns0:is>
      </ns0:c>
      <ns0:c r="B27" s="19" t="inlineStr">
        <ns0:is>
          <ns0:t>Multiple source categories</ns0:t>
        </ns0:is>
      </ns0:c>
      <ns0:c r="C27" s="19" t="inlineStr">
        <ns0:is>
          <ns0:t>Clustering</ns0:t>
        </ns0:is>
      </ns0:c>
      <ns0:c r="D27" s="19" t="inlineStr">
        <ns0:is>
          <ns0:t>Machine Learning</ns0:t>
        </ns0:is>
      </ns0:c>
      <ns0:c r="E27" s="27">
        <ns0:f>COUNTIFS('BASE_CIERRE'!$G$5:$G$458,1,'BASE_CIERRE'!$H$5:$H$458,"Diagnosis",'BASE_CIERRE'!$J$5:$J$458,"Multiple source categories",'BASE_CIERRE'!$L$5:$L$458,"Clustering",'BASE_CIERRE'!$I$5:$I$458,"Machine Learning")</ns0:f>
        <ns0:v>1</ns0:v>
      </ns0:c>
      <ns0:c r="F27" s="27">
        <ns0:f>COUNTIFS('BASE_CIERRE'!$G$5:$G$458,1,'BASE_CIERRE'!$H$5:$H$458,"Diagnosis")</ns0:f>
        <ns0:v>216</ns0:v>
      </ns0:c>
      <ns0:c r="G27" s="31">
        <ns0:f>IFERROR(E27/F27,0)</ns0:f>
        <ns0:v>0.004629629629629629</ns0:v>
      </ns0:c>
    </ns0:row>
    <ns0:row r="28" ht="32" customHeight="1">
      <ns0:c r="A28" s="21" t="inlineStr">
        <ns0:is>
          <ns0:t>Diagnosis</ns0:t>
        </ns0:is>
      </ns0:c>
      <ns0:c r="B28" s="21" t="inlineStr">
        <ns0:is>
          <ns0:t>Multiple source categories</ns0:t>
        </ns0:is>
      </ns0:c>
      <ns0:c r="C28" s="21" t="inlineStr">
        <ns0:is>
          <ns0:t>Composite/ensemble pipeline</ns0:t>
        </ns0:is>
      </ns0:c>
      <ns0:c r="D28" s="21" t="inlineStr">
        <ns0:is>
          <ns0:t>Deep Learning</ns0:t>
        </ns0:is>
      </ns0:c>
      <ns0:c r="E28" s="29">
        <ns0:f>COUNTIFS('BASE_CIERRE'!$G$5:$G$458,1,'BASE_CIERRE'!$H$5:$H$458,"Diagnosis",'BASE_CIERRE'!$J$5:$J$458,"Multiple source categories",'BASE_CIERRE'!$L$5:$L$458,"Composite/ensemble pipeline",'BASE_CIERRE'!$I$5:$I$458,"Deep Learning")</ns0:f>
        <ns0:v>2</ns0:v>
      </ns0:c>
      <ns0:c r="F28" s="29">
        <ns0:f>COUNTIFS('BASE_CIERRE'!$G$5:$G$458,1,'BASE_CIERRE'!$H$5:$H$458,"Diagnosis")</ns0:f>
        <ns0:v>216</ns0:v>
      </ns0:c>
      <ns0:c r="G28" s="32">
        <ns0:f>IFERROR(E28/F28,0)</ns0:f>
        <ns0:v>0.009259259259259259</ns0:v>
      </ns0:c>
    </ns0:row>
    <ns0:row r="29" ht="32" customHeight="1">
      <ns0:c r="A29" s="19" t="inlineStr">
        <ns0:is>
          <ns0:t>Diagnosis</ns0:t>
        </ns0:is>
      </ns0:c>
      <ns0:c r="B29" s="19" t="inlineStr">
        <ns0:is>
          <ns0:t>Multiple source categories</ns0:t>
        </ns0:is>
      </ns0:c>
      <ns0:c r="C29" s="19" t="inlineStr">
        <ns0:is>
          <ns0:t>Decision tree/rules</ns0:t>
        </ns0:is>
      </ns0:c>
      <ns0:c r="D29" s="19" t="inlineStr">
        <ns0:is>
          <ns0:t>Machine Learning</ns0:t>
        </ns0:is>
      </ns0:c>
      <ns0:c r="E29" s="27">
        <ns0:f>COUNTIFS('BASE_CIERRE'!$G$5:$G$458,1,'BASE_CIERRE'!$H$5:$H$458,"Diagnosis",'BASE_CIERRE'!$J$5:$J$458,"Multiple source categories",'BASE_CIERRE'!$L$5:$L$458,"Decision tree/rules",'BASE_CIERRE'!$I$5:$I$458,"Machine Learning")</ns0:f>
        <ns0:v>1</ns0:v>
      </ns0:c>
      <ns0:c r="F29" s="27">
        <ns0:f>COUNTIFS('BASE_CIERRE'!$G$5:$G$458,1,'BASE_CIERRE'!$H$5:$H$458,"Diagnosis")</ns0:f>
        <ns0:v>216</ns0:v>
      </ns0:c>
      <ns0:c r="G29" s="31">
        <ns0:f>IFERROR(E29/F29,0)</ns0:f>
        <ns0:v>0.004629629629629629</ns0:v>
      </ns0:c>
    </ns0:row>
    <ns0:row r="30" ht="32" customHeight="1">
      <ns0:c r="A30" s="21" t="inlineStr">
        <ns0:is>
          <ns0:t>Diagnosis</ns0:t>
        </ns0:is>
      </ns0:c>
      <ns0:c r="B30" s="21" t="inlineStr">
        <ns0:is>
          <ns0:t>Multiple source categories</ns0:t>
        </ns0:is>
      </ns0:c>
      <ns0:c r="C30" s="21" t="inlineStr">
        <ns0:is>
          <ns0:t>GNN</ns0:t>
        </ns0:is>
      </ns0:c>
      <ns0:c r="D30" s="21" t="inlineStr">
        <ns0:is>
          <ns0:t>Deep Learning</ns0:t>
        </ns0:is>
      </ns0:c>
      <ns0:c r="E30" s="29">
        <ns0:f>COUNTIFS('BASE_CIERRE'!$G$5:$G$458,1,'BASE_CIERRE'!$H$5:$H$458,"Diagnosis",'BASE_CIERRE'!$J$5:$J$458,"Multiple source categories",'BASE_CIERRE'!$L$5:$L$458,"GNN",'BASE_CIERRE'!$I$5:$I$458,"Deep Learning")</ns0:f>
        <ns0:v>2</ns0:v>
      </ns0:c>
      <ns0:c r="F30" s="29">
        <ns0:f>COUNTIFS('BASE_CIERRE'!$G$5:$G$458,1,'BASE_CIERRE'!$H$5:$H$458,"Diagnosis")</ns0:f>
        <ns0:v>216</ns0:v>
      </ns0:c>
      <ns0:c r="G30" s="32">
        <ns0:f>IFERROR(E30/F30,0)</ns0:f>
        <ns0:v>0.009259259259259259</ns0:v>
      </ns0:c>
    </ns0:row>
    <ns0:row r="31" ht="32" customHeight="1">
      <ns0:c r="A31" s="19" t="inlineStr">
        <ns0:is>
          <ns0:t>Diagnosis</ns0:t>
        </ns0:is>
      </ns0:c>
      <ns0:c r="B31" s="19" t="inlineStr">
        <ns0:is>
          <ns0:t>Multiple source categories</ns0:t>
        </ns0:is>
      </ns0:c>
      <ns0:c r="C31" s="19" t="inlineStr">
        <ns0:is>
          <ns0:t>GNN</ns0:t>
        </ns0:is>
      </ns0:c>
      <ns0:c r="D31" s="19" t="inlineStr">
        <ns0:is>
          <ns0:t>Hybrid</ns0:t>
        </ns0:is>
      </ns0:c>
      <ns0:c r="E31" s="27">
        <ns0:f>COUNTIFS('BASE_CIERRE'!$G$5:$G$458,1,'BASE_CIERRE'!$H$5:$H$458,"Diagnosis",'BASE_CIERRE'!$J$5:$J$458,"Multiple source categories",'BASE_CIERRE'!$L$5:$L$458,"GNN",'BASE_CIERRE'!$I$5:$I$458,"Hybrid")</ns0:f>
        <ns0:v>1</ns0:v>
      </ns0:c>
      <ns0:c r="F31" s="27">
        <ns0:f>COUNTIFS('BASE_CIERRE'!$G$5:$G$458,1,'BASE_CIERRE'!$H$5:$H$458,"Diagnosis")</ns0:f>
        <ns0:v>216</ns0:v>
      </ns0:c>
      <ns0:c r="G31" s="31">
        <ns0:f>IFERROR(E31/F31,0)</ns0:f>
        <ns0:v>0.004629629629629629</ns0:v>
      </ns0:c>
    </ns0:row>
    <ns0:row r="32" ht="32" customHeight="1">
      <ns0:c r="A32" s="21" t="inlineStr">
        <ns0:is>
          <ns0:t>Diagnosis</ns0:t>
        </ns0:is>
      </ns0:c>
      <ns0:c r="B32" s="21" t="inlineStr">
        <ns0:is>
          <ns0:t>Multiple source categories</ns0:t>
        </ns0:is>
      </ns0:c>
      <ns0:c r="C32" s="21" t="inlineStr">
        <ns0:is>
          <ns0:t>Gradient boosting</ns0:t>
        </ns0:is>
      </ns0:c>
      <ns0:c r="D32" s="21" t="inlineStr">
        <ns0:is>
          <ns0:t>Machine Learning</ns0:t>
        </ns0:is>
      </ns0:c>
      <ns0:c r="E32" s="29">
        <ns0:f>COUNTIFS('BASE_CIERRE'!$G$5:$G$458,1,'BASE_CIERRE'!$H$5:$H$458,"Diagnosis",'BASE_CIERRE'!$J$5:$J$458,"Multiple source categories",'BASE_CIERRE'!$L$5:$L$458,"Gradient boosting",'BASE_CIERRE'!$I$5:$I$458,"Machine Learning")</ns0:f>
        <ns0:v>2</ns0:v>
      </ns0:c>
      <ns0:c r="F32" s="29">
        <ns0:f>COUNTIFS('BASE_CIERRE'!$G$5:$G$458,1,'BASE_CIERRE'!$H$5:$H$458,"Diagnosis")</ns0:f>
        <ns0:v>216</ns0:v>
      </ns0:c>
      <ns0:c r="G32" s="32">
        <ns0:f>IFERROR(E32/F32,0)</ns0:f>
        <ns0:v>0.009259259259259259</ns0:v>
      </ns0:c>
    </ns0:row>
    <ns0:row r="33" ht="32" customHeight="1">
      <ns0:c r="A33" s="19" t="inlineStr">
        <ns0:is>
          <ns0:t>Diagnosis</ns0:t>
        </ns0:is>
      </ns0:c>
      <ns0:c r="B33" s="19" t="inlineStr">
        <ns0:is>
          <ns0:t>Multiple source categories</ns0:t>
        </ns0:is>
      </ns0:c>
      <ns0:c r="C33" s="19" t="inlineStr">
        <ns0:is>
          <ns0:t>MLP/ANN</ns0:t>
        </ns0:is>
      </ns0:c>
      <ns0:c r="D33" s="19" t="inlineStr">
        <ns0:is>
          <ns0:t>Deep Learning</ns0:t>
        </ns0:is>
      </ns0:c>
      <ns0:c r="E33" s="27">
        <ns0:f>COUNTIFS('BASE_CIERRE'!$G$5:$G$458,1,'BASE_CIERRE'!$H$5:$H$458,"Diagnosis",'BASE_CIERRE'!$J$5:$J$458,"Multiple source categories",'BASE_CIERRE'!$L$5:$L$458,"MLP/ANN",'BASE_CIERRE'!$I$5:$I$458,"Deep Learning")</ns0:f>
        <ns0:v>1</ns0:v>
      </ns0:c>
      <ns0:c r="F33" s="27">
        <ns0:f>COUNTIFS('BASE_CIERRE'!$G$5:$G$458,1,'BASE_CIERRE'!$H$5:$H$458,"Diagnosis")</ns0:f>
        <ns0:v>216</ns0:v>
      </ns0:c>
      <ns0:c r="G33" s="31">
        <ns0:f>IFERROR(E33/F33,0)</ns0:f>
        <ns0:v>0.004629629629629629</ns0:v>
      </ns0:c>
    </ns0:row>
    <ns0:row r="34" ht="32" customHeight="1">
      <ns0:c r="A34" s="21" t="inlineStr">
        <ns0:is>
          <ns0:t>Diagnosis</ns0:t>
        </ns0:is>
      </ns0:c>
      <ns0:c r="B34" s="21" t="inlineStr">
        <ns0:is>
          <ns0:t>Multiple source categories</ns0:t>
        </ns0:is>
      </ns0:c>
      <ns0:c r="C34" s="21" t="inlineStr">
        <ns0:is>
          <ns0:t>Multiple/not uniquely specified</ns0:t>
        </ns0:is>
      </ns0:c>
      <ns0:c r="D34" s="21" t="inlineStr">
        <ns0:is>
          <ns0:t>Machine Learning</ns0:t>
        </ns0:is>
      </ns0:c>
      <ns0:c r="E34" s="29">
        <ns0:f>COUNTIFS('BASE_CIERRE'!$G$5:$G$458,1,'BASE_CIERRE'!$H$5:$H$458,"Diagnosis",'BASE_CIERRE'!$J$5:$J$458,"Multiple source categories",'BASE_CIERRE'!$L$5:$L$458,"Multiple/not uniquely specified",'BASE_CIERRE'!$I$5:$I$458,"Machine Learning")</ns0:f>
        <ns0:v>2</ns0:v>
      </ns0:c>
      <ns0:c r="F34" s="29">
        <ns0:f>COUNTIFS('BASE_CIERRE'!$G$5:$G$458,1,'BASE_CIERRE'!$H$5:$H$458,"Diagnosis")</ns0:f>
        <ns0:v>216</ns0:v>
      </ns0:c>
      <ns0:c r="G34" s="32">
        <ns0:f>IFERROR(E34/F34,0)</ns0:f>
        <ns0:v>0.009259259259259259</ns0:v>
      </ns0:c>
    </ns0:row>
    <ns0:row r="35" ht="32" customHeight="1">
      <ns0:c r="A35" s="19" t="inlineStr">
        <ns0:is>
          <ns0:t>Diagnosis</ns0:t>
        </ns0:is>
      </ns0:c>
      <ns0:c r="B35" s="19" t="inlineStr">
        <ns0:is>
          <ns0:t>Multiple source categories</ns0:t>
        </ns0:is>
      </ns0:c>
      <ns0:c r="C35" s="19" t="inlineStr">
        <ns0:is>
          <ns0:t>Other specified method</ns0:t>
        </ns0:is>
      </ns0:c>
      <ns0:c r="D35" s="19" t="inlineStr">
        <ns0:is>
          <ns0:t>Deep Learning</ns0:t>
        </ns0:is>
      </ns0:c>
      <ns0:c r="E35" s="27">
        <ns0:f>COUNTIFS('BASE_CIERRE'!$G$5:$G$458,1,'BASE_CIERRE'!$H$5:$H$458,"Diagnosis",'BASE_CIERRE'!$J$5:$J$458,"Multiple source categories",'BASE_CIERRE'!$L$5:$L$458,"Other specified method",'BASE_CIERRE'!$I$5:$I$458,"Deep Learning")</ns0:f>
        <ns0:v>5</ns0:v>
      </ns0:c>
      <ns0:c r="F35" s="27">
        <ns0:f>COUNTIFS('BASE_CIERRE'!$G$5:$G$458,1,'BASE_CIERRE'!$H$5:$H$458,"Diagnosis")</ns0:f>
        <ns0:v>216</ns0:v>
      </ns0:c>
      <ns0:c r="G35" s="31">
        <ns0:f>IFERROR(E35/F35,0)</ns0:f>
        <ns0:v>0.023148148148148147</ns0:v>
      </ns0:c>
    </ns0:row>
    <ns0:row r="36" ht="32" customHeight="1">
      <ns0:c r="A36" s="21" t="inlineStr">
        <ns0:is>
          <ns0:t>Diagnosis</ns0:t>
        </ns0:is>
      </ns0:c>
      <ns0:c r="B36" s="21" t="inlineStr">
        <ns0:is>
          <ns0:t>Multiple source categories</ns0:t>
        </ns0:is>
      </ns0:c>
      <ns0:c r="C36" s="21" t="inlineStr">
        <ns0:is>
          <ns0:t>Random forest</ns0:t>
        </ns0:is>
      </ns0:c>
      <ns0:c r="D36" s="21" t="inlineStr">
        <ns0:is>
          <ns0:t>Machine Learning</ns0:t>
        </ns0:is>
      </ns0:c>
      <ns0:c r="E36" s="29">
        <ns0:f>COUNTIFS('BASE_CIERRE'!$G$5:$G$458,1,'BASE_CIERRE'!$H$5:$H$458,"Diagnosis",'BASE_CIERRE'!$J$5:$J$458,"Multiple source categories",'BASE_CIERRE'!$L$5:$L$458,"Random forest",'BASE_CIERRE'!$I$5:$I$458,"Machine Learning")</ns0:f>
        <ns0:v>1</ns0:v>
      </ns0:c>
      <ns0:c r="F36" s="29">
        <ns0:f>COUNTIFS('BASE_CIERRE'!$G$5:$G$458,1,'BASE_CIERRE'!$H$5:$H$458,"Diagnosis")</ns0:f>
        <ns0:v>216</ns0:v>
      </ns0:c>
      <ns0:c r="G36" s="32">
        <ns0:f>IFERROR(E36/F36,0)</ns0:f>
        <ns0:v>0.004629629629629629</ns0:v>
      </ns0:c>
    </ns0:row>
    <ns0:row r="37" ht="32" customHeight="1">
      <ns0:c r="A37" s="19" t="inlineStr">
        <ns0:is>
          <ns0:t>Diagnosis</ns0:t>
        </ns0:is>
      </ns0:c>
      <ns0:c r="B37" s="19" t="inlineStr">
        <ns0:is>
          <ns0:t>Multiple source categories</ns0:t>
        </ns0:is>
      </ns0:c>
      <ns0:c r="C37" s="19" t="inlineStr">
        <ns0:is>
          <ns0:t>SVM</ns0:t>
        </ns0:is>
      </ns0:c>
      <ns0:c r="D37" s="19" t="inlineStr">
        <ns0:is>
          <ns0:t>Machine Learning</ns0:t>
        </ns0:is>
      </ns0:c>
      <ns0:c r="E37" s="27">
        <ns0:f>COUNTIFS('BASE_CIERRE'!$G$5:$G$458,1,'BASE_CIERRE'!$H$5:$H$458,"Diagnosis",'BASE_CIERRE'!$J$5:$J$458,"Multiple source categories",'BASE_CIERRE'!$L$5:$L$458,"SVM",'BASE_CIERRE'!$I$5:$I$458,"Machine Learning")</ns0:f>
        <ns0:v>2</ns0:v>
      </ns0:c>
      <ns0:c r="F37" s="27">
        <ns0:f>COUNTIFS('BASE_CIERRE'!$G$5:$G$458,1,'BASE_CIERRE'!$H$5:$H$458,"Diagnosis")</ns0:f>
        <ns0:v>216</ns0:v>
      </ns0:c>
      <ns0:c r="G37" s="31">
        <ns0:f>IFERROR(E37/F37,0)</ns0:f>
        <ns0:v>0.009259259259259259</ns0:v>
      </ns0:c>
    </ns0:row>
    <ns0:row r="38" ht="32" customHeight="1">
      <ns0:c r="A38" s="21" t="inlineStr">
        <ns0:is>
          <ns0:t>Diagnosis</ns0:t>
        </ns0:is>
      </ns0:c>
      <ns0:c r="B38" s="21" t="inlineStr">
        <ns0:is>
          <ns0:t>Multiple source categories</ns0:t>
        </ns0:is>
      </ns0:c>
      <ns0:c r="C38" s="21" t="inlineStr">
        <ns0:is>
          <ns0:t>SVM</ns0:t>
        </ns0:is>
      </ns0:c>
      <ns0:c r="D38" s="21" t="inlineStr">
        <ns0:is>
          <ns0:t>Not specified</ns0:t>
        </ns0:is>
      </ns0:c>
      <ns0:c r="E38" s="29">
        <ns0:f>COUNTIFS('BASE_CIERRE'!$G$5:$G$458,1,'BASE_CIERRE'!$H$5:$H$458,"Diagnosis",'BASE_CIERRE'!$J$5:$J$458,"Multiple source categories",'BASE_CIERRE'!$L$5:$L$458,"SVM",'BASE_CIERRE'!$I$5:$I$458,"Not specified")</ns0:f>
        <ns0:v>1</ns0:v>
      </ns0:c>
      <ns0:c r="F38" s="29">
        <ns0:f>COUNTIFS('BASE_CIERRE'!$G$5:$G$458,1,'BASE_CIERRE'!$H$5:$H$458,"Diagnosis")</ns0:f>
        <ns0:v>216</ns0:v>
      </ns0:c>
      <ns0:c r="G38" s="32">
        <ns0:f>IFERROR(E38/F38,0)</ns0:f>
        <ns0:v>0.004629629629629629</ns0:v>
      </ns0:c>
    </ns0:row>
    <ns0:row r="39" ht="32" customHeight="1">
      <ns0:c r="A39" s="19" t="inlineStr">
        <ns0:is>
          <ns0:t>Diagnosis</ns0:t>
        </ns0:is>
      </ns0:c>
      <ns0:c r="B39" s="19" t="inlineStr">
        <ns0:is>
          <ns0:t>Neuroimaging</ns0:t>
        </ns0:is>
      </ns0:c>
      <ns0:c r="C39" s="19" t="inlineStr">
        <ns0:is>
          <ns0:t>Autoencoder</ns0:t>
        </ns0:is>
      </ns0:c>
      <ns0:c r="D39" s="19" t="inlineStr">
        <ns0:is>
          <ns0:t>Deep Learning</ns0:t>
        </ns0:is>
      </ns0:c>
      <ns0:c r="E39" s="27">
        <ns0:f>COUNTIFS('BASE_CIERRE'!$G$5:$G$458,1,'BASE_CIERRE'!$H$5:$H$458,"Diagnosis",'BASE_CIERRE'!$J$5:$J$458,"Neuroimaging",'BASE_CIERRE'!$L$5:$L$458,"Autoencoder",'BASE_CIERRE'!$I$5:$I$458,"Deep Learning")</ns0:f>
        <ns0:v>2</ns0:v>
      </ns0:c>
      <ns0:c r="F39" s="27">
        <ns0:f>COUNTIFS('BASE_CIERRE'!$G$5:$G$458,1,'BASE_CIERRE'!$H$5:$H$458,"Diagnosis")</ns0:f>
        <ns0:v>216</ns0:v>
      </ns0:c>
      <ns0:c r="G39" s="31">
        <ns0:f>IFERROR(E39/F39,0)</ns0:f>
        <ns0:v>0.009259259259259259</ns0:v>
      </ns0:c>
    </ns0:row>
    <ns0:row r="40" ht="32" customHeight="1">
      <ns0:c r="A40" s="21" t="inlineStr">
        <ns0:is>
          <ns0:t>Diagnosis</ns0:t>
        </ns0:is>
      </ns0:c>
      <ns0:c r="B40" s="21" t="inlineStr">
        <ns0:is>
          <ns0:t>Neuroimaging</ns0:t>
        </ns0:is>
      </ns0:c>
      <ns0:c r="C40" s="21" t="inlineStr">
        <ns0:is>
          <ns0:t>CNN</ns0:t>
        </ns0:is>
      </ns0:c>
      <ns0:c r="D40" s="21" t="inlineStr">
        <ns0:is>
          <ns0:t>Deep Learning</ns0:t>
        </ns0:is>
      </ns0:c>
      <ns0:c r="E40" s="29">
        <ns0:f>COUNTIFS('BASE_CIERRE'!$G$5:$G$458,1,'BASE_CIERRE'!$H$5:$H$458,"Diagnosis",'BASE_CIERRE'!$J$5:$J$458,"Neuroimaging",'BASE_CIERRE'!$L$5:$L$458,"CNN",'BASE_CIERRE'!$I$5:$I$458,"Deep Learning")</ns0:f>
        <ns0:v>19</ns0:v>
      </ns0:c>
      <ns0:c r="F40" s="29">
        <ns0:f>COUNTIFS('BASE_CIERRE'!$G$5:$G$458,1,'BASE_CIERRE'!$H$5:$H$458,"Diagnosis")</ns0:f>
        <ns0:v>216</ns0:v>
      </ns0:c>
      <ns0:c r="G40" s="32">
        <ns0:f>IFERROR(E40/F40,0)</ns0:f>
        <ns0:v>0.08796296296296297</ns0:v>
      </ns0:c>
    </ns0:row>
    <ns0:row r="41" ht="32" customHeight="1">
      <ns0:c r="A41" s="19" t="inlineStr">
        <ns0:is>
          <ns0:t>Diagnosis</ns0:t>
        </ns0:is>
      </ns0:c>
      <ns0:c r="B41" s="19" t="inlineStr">
        <ns0:is>
          <ns0:t>Neuroimaging</ns0:t>
        </ns0:is>
      </ns0:c>
      <ns0:c r="C41" s="19" t="inlineStr">
        <ns0:is>
          <ns0:t>CNN</ns0:t>
        </ns0:is>
      </ns0:c>
      <ns0:c r="D41" s="19" t="inlineStr">
        <ns0:is>
          <ns0:t>Hybrid</ns0:t>
        </ns0:is>
      </ns0:c>
      <ns0:c r="E41" s="27">
        <ns0:f>COUNTIFS('BASE_CIERRE'!$G$5:$G$458,1,'BASE_CIERRE'!$H$5:$H$458,"Diagnosis",'BASE_CIERRE'!$J$5:$J$458,"Neuroimaging",'BASE_CIERRE'!$L$5:$L$458,"CNN",'BASE_CIERRE'!$I$5:$I$458,"Hybrid")</ns0:f>
        <ns0:v>2</ns0:v>
      </ns0:c>
      <ns0:c r="F41" s="27">
        <ns0:f>COUNTIFS('BASE_CIERRE'!$G$5:$G$458,1,'BASE_CIERRE'!$H$5:$H$458,"Diagnosis")</ns0:f>
        <ns0:v>216</ns0:v>
      </ns0:c>
      <ns0:c r="G41" s="31">
        <ns0:f>IFERROR(E41/F41,0)</ns0:f>
        <ns0:v>0.009259259259259259</ns0:v>
      </ns0:c>
    </ns0:row>
    <ns0:row r="42" ht="32" customHeight="1">
      <ns0:c r="A42" s="21" t="inlineStr">
        <ns0:is>
          <ns0:t>Diagnosis</ns0:t>
        </ns0:is>
      </ns0:c>
      <ns0:c r="B42" s="21" t="inlineStr">
        <ns0:is>
          <ns0:t>Neuroimaging</ns0:t>
        </ns0:is>
      </ns0:c>
      <ns0:c r="C42" s="21" t="inlineStr">
        <ns0:is>
          <ns0:t>Clustering</ns0:t>
        </ns0:is>
      </ns0:c>
      <ns0:c r="D42" s="21" t="inlineStr">
        <ns0:is>
          <ns0:t>Machine Learning</ns0:t>
        </ns0:is>
      </ns0:c>
      <ns0:c r="E42" s="29">
        <ns0:f>COUNTIFS('BASE_CIERRE'!$G$5:$G$458,1,'BASE_CIERRE'!$H$5:$H$458,"Diagnosis",'BASE_CIERRE'!$J$5:$J$458,"Neuroimaging",'BASE_CIERRE'!$L$5:$L$458,"Clustering",'BASE_CIERRE'!$I$5:$I$458,"Machine Learning")</ns0:f>
        <ns0:v>1</ns0:v>
      </ns0:c>
      <ns0:c r="F42" s="29">
        <ns0:f>COUNTIFS('BASE_CIERRE'!$G$5:$G$458,1,'BASE_CIERRE'!$H$5:$H$458,"Diagnosis")</ns0:f>
        <ns0:v>216</ns0:v>
      </ns0:c>
      <ns0:c r="G42" s="32">
        <ns0:f>IFERROR(E42/F42,0)</ns0:f>
        <ns0:v>0.004629629629629629</ns0:v>
      </ns0:c>
    </ns0:row>
    <ns0:row r="43" ht="32" customHeight="1">
      <ns0:c r="A43" s="19" t="inlineStr">
        <ns0:is>
          <ns0:t>Diagnosis</ns0:t>
        </ns0:is>
      </ns0:c>
      <ns0:c r="B43" s="19" t="inlineStr">
        <ns0:is>
          <ns0:t>Neuroimaging</ns0:t>
        </ns0:is>
      </ns0:c>
      <ns0:c r="C43" s="19" t="inlineStr">
        <ns0:is>
          <ns0:t>Composite/ensemble pipeline</ns0:t>
        </ns0:is>
      </ns0:c>
      <ns0:c r="D43" s="19" t="inlineStr">
        <ns0:is>
          <ns0:t>Deep Learning</ns0:t>
        </ns0:is>
      </ns0:c>
      <ns0:c r="E43" s="27">
        <ns0:f>COUNTIFS('BASE_CIERRE'!$G$5:$G$458,1,'BASE_CIERRE'!$H$5:$H$458,"Diagnosis",'BASE_CIERRE'!$J$5:$J$458,"Neuroimaging",'BASE_CIERRE'!$L$5:$L$458,"Composite/ensemble pipeline",'BASE_CIERRE'!$I$5:$I$458,"Deep Learning")</ns0:f>
        <ns0:v>10</ns0:v>
      </ns0:c>
      <ns0:c r="F43" s="27">
        <ns0:f>COUNTIFS('BASE_CIERRE'!$G$5:$G$458,1,'BASE_CIERRE'!$H$5:$H$458,"Diagnosis")</ns0:f>
        <ns0:v>216</ns0:v>
      </ns0:c>
      <ns0:c r="G43" s="31">
        <ns0:f>IFERROR(E43/F43,0)</ns0:f>
        <ns0:v>0.046296296296296294</ns0:v>
      </ns0:c>
    </ns0:row>
    <ns0:row r="44" ht="32" customHeight="1">
      <ns0:c r="A44" s="21" t="inlineStr">
        <ns0:is>
          <ns0:t>Diagnosis</ns0:t>
        </ns0:is>
      </ns0:c>
      <ns0:c r="B44" s="21" t="inlineStr">
        <ns0:is>
          <ns0:t>Neuroimaging</ns0:t>
        </ns0:is>
      </ns0:c>
      <ns0:c r="C44" s="21" t="inlineStr">
        <ns0:is>
          <ns0:t>Composite/ensemble pipeline</ns0:t>
        </ns0:is>
      </ns0:c>
      <ns0:c r="D44" s="21" t="inlineStr">
        <ns0:is>
          <ns0:t>Hybrid</ns0:t>
        </ns0:is>
      </ns0:c>
      <ns0:c r="E44" s="29">
        <ns0:f>COUNTIFS('BASE_CIERRE'!$G$5:$G$458,1,'BASE_CIERRE'!$H$5:$H$458,"Diagnosis",'BASE_CIERRE'!$J$5:$J$458,"Neuroimaging",'BASE_CIERRE'!$L$5:$L$458,"Composite/ensemble pipeline",'BASE_CIERRE'!$I$5:$I$458,"Hybrid")</ns0:f>
        <ns0:v>3</ns0:v>
      </ns0:c>
      <ns0:c r="F44" s="29">
        <ns0:f>COUNTIFS('BASE_CIERRE'!$G$5:$G$458,1,'BASE_CIERRE'!$H$5:$H$458,"Diagnosis")</ns0:f>
        <ns0:v>216</ns0:v>
      </ns0:c>
      <ns0:c r="G44" s="32">
        <ns0:f>IFERROR(E44/F44,0)</ns0:f>
        <ns0:v>0.013888888888888888</ns0:v>
      </ns0:c>
    </ns0:row>
    <ns0:row r="45" ht="32" customHeight="1">
      <ns0:c r="A45" s="19" t="inlineStr">
        <ns0:is>
          <ns0:t>Diagnosis</ns0:t>
        </ns0:is>
      </ns0:c>
      <ns0:c r="B45" s="19" t="inlineStr">
        <ns0:is>
          <ns0:t>Neuroimaging</ns0:t>
        </ns0:is>
      </ns0:c>
      <ns0:c r="C45" s="19" t="inlineStr">
        <ns0:is>
          <ns0:t>Decision tree/rules</ns0:t>
        </ns0:is>
      </ns0:c>
      <ns0:c r="D45" s="19" t="inlineStr">
        <ns0:is>
          <ns0:t>Machine Learning</ns0:t>
        </ns0:is>
      </ns0:c>
      <ns0:c r="E45" s="27">
        <ns0:f>COUNTIFS('BASE_CIERRE'!$G$5:$G$458,1,'BASE_CIERRE'!$H$5:$H$458,"Diagnosis",'BASE_CIERRE'!$J$5:$J$458,"Neuroimaging",'BASE_CIERRE'!$L$5:$L$458,"Decision tree/rules",'BASE_CIERRE'!$I$5:$I$458,"Machine Learning")</ns0:f>
        <ns0:v>2</ns0:v>
      </ns0:c>
      <ns0:c r="F45" s="27">
        <ns0:f>COUNTIFS('BASE_CIERRE'!$G$5:$G$458,1,'BASE_CIERRE'!$H$5:$H$458,"Diagnosis")</ns0:f>
        <ns0:v>216</ns0:v>
      </ns0:c>
      <ns0:c r="G45" s="31">
        <ns0:f>IFERROR(E45/F45,0)</ns0:f>
        <ns0:v>0.009259259259259259</ns0:v>
      </ns0:c>
    </ns0:row>
    <ns0:row r="46" ht="32" customHeight="1">
      <ns0:c r="A46" s="21" t="inlineStr">
        <ns0:is>
          <ns0:t>Diagnosis</ns0:t>
        </ns0:is>
      </ns0:c>
      <ns0:c r="B46" s="21" t="inlineStr">
        <ns0:is>
          <ns0:t>Neuroimaging</ns0:t>
        </ns0:is>
      </ns0:c>
      <ns0:c r="C46" s="21" t="inlineStr">
        <ns0:is>
          <ns0:t>GNN</ns0:t>
        </ns0:is>
      </ns0:c>
      <ns0:c r="D46" s="21" t="inlineStr">
        <ns0:is>
          <ns0:t>Deep Learning</ns0:t>
        </ns0:is>
      </ns0:c>
      <ns0:c r="E46" s="29">
        <ns0:f>COUNTIFS('BASE_CIERRE'!$G$5:$G$458,1,'BASE_CIERRE'!$H$5:$H$458,"Diagnosis",'BASE_CIERRE'!$J$5:$J$458,"Neuroimaging",'BASE_CIERRE'!$L$5:$L$458,"GNN",'BASE_CIERRE'!$I$5:$I$458,"Deep Learning")</ns0:f>
        <ns0:v>8</ns0:v>
      </ns0:c>
      <ns0:c r="F46" s="29">
        <ns0:f>COUNTIFS('BASE_CIERRE'!$G$5:$G$458,1,'BASE_CIERRE'!$H$5:$H$458,"Diagnosis")</ns0:f>
        <ns0:v>216</ns0:v>
      </ns0:c>
      <ns0:c r="G46" s="32">
        <ns0:f>IFERROR(E46/F46,0)</ns0:f>
        <ns0:v>0.037037037037037035</ns0:v>
      </ns0:c>
    </ns0:row>
    <ns0:row r="47" ht="32" customHeight="1">
      <ns0:c r="A47" s="19" t="inlineStr">
        <ns0:is>
          <ns0:t>Diagnosis</ns0:t>
        </ns0:is>
      </ns0:c>
      <ns0:c r="B47" s="19" t="inlineStr">
        <ns0:is>
          <ns0:t>Neuroimaging</ns0:t>
        </ns0:is>
      </ns0:c>
      <ns0:c r="C47" s="19" t="inlineStr">
        <ns0:is>
          <ns0:t>Gradient boosting</ns0:t>
        </ns0:is>
      </ns0:c>
      <ns0:c r="D47" s="19" t="inlineStr">
        <ns0:is>
          <ns0:t>Machine Learning</ns0:t>
        </ns0:is>
      </ns0:c>
      <ns0:c r="E47" s="27">
        <ns0:f>COUNTIFS('BASE_CIERRE'!$G$5:$G$458,1,'BASE_CIERRE'!$H$5:$H$458,"Diagnosis",'BASE_CIERRE'!$J$5:$J$458,"Neuroimaging",'BASE_CIERRE'!$L$5:$L$458,"Gradient boosting",'BASE_CIERRE'!$I$5:$I$458,"Machine Learning")</ns0:f>
        <ns0:v>1</ns0:v>
      </ns0:c>
      <ns0:c r="F47" s="27">
        <ns0:f>COUNTIFS('BASE_CIERRE'!$G$5:$G$458,1,'BASE_CIERRE'!$H$5:$H$458,"Diagnosis")</ns0:f>
        <ns0:v>216</ns0:v>
      </ns0:c>
      <ns0:c r="G47" s="31">
        <ns0:f>IFERROR(E47/F47,0)</ns0:f>
        <ns0:v>0.004629629629629629</ns0:v>
      </ns0:c>
    </ns0:row>
    <ns0:row r="48" ht="32" customHeight="1">
      <ns0:c r="A48" s="21" t="inlineStr">
        <ns0:is>
          <ns0:t>Diagnosis</ns0:t>
        </ns0:is>
      </ns0:c>
      <ns0:c r="B48" s="21" t="inlineStr">
        <ns0:is>
          <ns0:t>Neuroimaging</ns0:t>
        </ns0:is>
      </ns0:c>
      <ns0:c r="C48" s="21" t="inlineStr">
        <ns0:is>
          <ns0:t>Logistic regression</ns0:t>
        </ns0:is>
      </ns0:c>
      <ns0:c r="D48" s="21" t="inlineStr">
        <ns0:is>
          <ns0:t>Machine Learning</ns0:t>
        </ns0:is>
      </ns0:c>
      <ns0:c r="E48" s="29">
        <ns0:f>COUNTIFS('BASE_CIERRE'!$G$5:$G$458,1,'BASE_CIERRE'!$H$5:$H$458,"Diagnosis",'BASE_CIERRE'!$J$5:$J$458,"Neuroimaging",'BASE_CIERRE'!$L$5:$L$458,"Logistic regression",'BASE_CIERRE'!$I$5:$I$458,"Machine Learning")</ns0:f>
        <ns0:v>1</ns0:v>
      </ns0:c>
      <ns0:c r="F48" s="29">
        <ns0:f>COUNTIFS('BASE_CIERRE'!$G$5:$G$458,1,'BASE_CIERRE'!$H$5:$H$458,"Diagnosis")</ns0:f>
        <ns0:v>216</ns0:v>
      </ns0:c>
      <ns0:c r="G48" s="32">
        <ns0:f>IFERROR(E48/F48,0)</ns0:f>
        <ns0:v>0.004629629629629629</ns0:v>
      </ns0:c>
    </ns0:row>
    <ns0:row r="49" ht="32" customHeight="1">
      <ns0:c r="A49" s="19" t="inlineStr">
        <ns0:is>
          <ns0:t>Diagnosis</ns0:t>
        </ns0:is>
      </ns0:c>
      <ns0:c r="B49" s="19" t="inlineStr">
        <ns0:is>
          <ns0:t>Neuroimaging</ns0:t>
        </ns0:is>
      </ns0:c>
      <ns0:c r="C49" s="19" t="inlineStr">
        <ns0:is>
          <ns0:t>Multiple/not uniquely specified</ns0:t>
        </ns0:is>
      </ns0:c>
      <ns0:c r="D49" s="19" t="inlineStr">
        <ns0:is>
          <ns0:t>Deep Learning</ns0:t>
        </ns0:is>
      </ns0:c>
      <ns0:c r="E49" s="27">
        <ns0:f>COUNTIFS('BASE_CIERRE'!$G$5:$G$458,1,'BASE_CIERRE'!$H$5:$H$458,"Diagnosis",'BASE_CIERRE'!$J$5:$J$458,"Neuroimaging",'BASE_CIERRE'!$L$5:$L$458,"Multiple/not uniquely specified",'BASE_CIERRE'!$I$5:$I$458,"Deep Learning")</ns0:f>
        <ns0:v>1</ns0:v>
      </ns0:c>
      <ns0:c r="F49" s="27">
        <ns0:f>COUNTIFS('BASE_CIERRE'!$G$5:$G$458,1,'BASE_CIERRE'!$H$5:$H$458,"Diagnosis")</ns0:f>
        <ns0:v>216</ns0:v>
      </ns0:c>
      <ns0:c r="G49" s="31">
        <ns0:f>IFERROR(E49/F49,0)</ns0:f>
        <ns0:v>0.004629629629629629</ns0:v>
      </ns0:c>
    </ns0:row>
    <ns0:row r="50" ht="32" customHeight="1">
      <ns0:c r="A50" s="21" t="inlineStr">
        <ns0:is>
          <ns0:t>Diagnosis</ns0:t>
        </ns0:is>
      </ns0:c>
      <ns0:c r="B50" s="21" t="inlineStr">
        <ns0:is>
          <ns0:t>Neuroimaging</ns0:t>
        </ns0:is>
      </ns0:c>
      <ns0:c r="C50" s="21" t="inlineStr">
        <ns0:is>
          <ns0:t>Multiple/not uniquely specified</ns0:t>
        </ns0:is>
      </ns0:c>
      <ns0:c r="D50" s="21" t="inlineStr">
        <ns0:is>
          <ns0:t>Machine Learning</ns0:t>
        </ns0:is>
      </ns0:c>
      <ns0:c r="E50" s="29">
        <ns0:f>COUNTIFS('BASE_CIERRE'!$G$5:$G$458,1,'BASE_CIERRE'!$H$5:$H$458,"Diagnosis",'BASE_CIERRE'!$J$5:$J$458,"Neuroimaging",'BASE_CIERRE'!$L$5:$L$458,"Multiple/not uniquely specified",'BASE_CIERRE'!$I$5:$I$458,"Machine Learning")</ns0:f>
        <ns0:v>7</ns0:v>
      </ns0:c>
      <ns0:c r="F50" s="29">
        <ns0:f>COUNTIFS('BASE_CIERRE'!$G$5:$G$458,1,'BASE_CIERRE'!$H$5:$H$458,"Diagnosis")</ns0:f>
        <ns0:v>216</ns0:v>
      </ns0:c>
      <ns0:c r="G50" s="32">
        <ns0:f>IFERROR(E50/F50,0)</ns0:f>
        <ns0:v>0.032407407407407406</ns0:v>
      </ns0:c>
    </ns0:row>
    <ns0:row r="51" ht="32" customHeight="1">
      <ns0:c r="A51" s="19" t="inlineStr">
        <ns0:is>
          <ns0:t>Diagnosis</ns0:t>
        </ns0:is>
      </ns0:c>
      <ns0:c r="B51" s="19" t="inlineStr">
        <ns0:is>
          <ns0:t>Neuroimaging</ns0:t>
        </ns0:is>
      </ns0:c>
      <ns0:c r="C51" s="19" t="inlineStr">
        <ns0:is>
          <ns0:t>Multiple/not uniquely specified</ns0:t>
        </ns0:is>
      </ns0:c>
      <ns0:c r="D51" s="19" t="inlineStr">
        <ns0:is>
          <ns0:t>Not specified</ns0:t>
        </ns0:is>
      </ns0:c>
      <ns0:c r="E51" s="27">
        <ns0:f>COUNTIFS('BASE_CIERRE'!$G$5:$G$458,1,'BASE_CIERRE'!$H$5:$H$458,"Diagnosis",'BASE_CIERRE'!$J$5:$J$458,"Neuroimaging",'BASE_CIERRE'!$L$5:$L$458,"Multiple/not uniquely specified",'BASE_CIERRE'!$I$5:$I$458,"Not specified")</ns0:f>
        <ns0:v>2</ns0:v>
      </ns0:c>
      <ns0:c r="F51" s="27">
        <ns0:f>COUNTIFS('BASE_CIERRE'!$G$5:$G$458,1,'BASE_CIERRE'!$H$5:$H$458,"Diagnosis")</ns0:f>
        <ns0:v>216</ns0:v>
      </ns0:c>
      <ns0:c r="G51" s="31">
        <ns0:f>IFERROR(E51/F51,0)</ns0:f>
        <ns0:v>0.009259259259259259</ns0:v>
      </ns0:c>
    </ns0:row>
    <ns0:row r="52" ht="32" customHeight="1">
      <ns0:c r="A52" s="21" t="inlineStr">
        <ns0:is>
          <ns0:t>Diagnosis</ns0:t>
        </ns0:is>
      </ns0:c>
      <ns0:c r="B52" s="21" t="inlineStr">
        <ns0:is>
          <ns0:t>Neuroimaging</ns0:t>
        </ns0:is>
      </ns0:c>
      <ns0:c r="C52" s="21" t="inlineStr">
        <ns0:is>
          <ns0:t>Other specified method</ns0:t>
        </ns0:is>
      </ns0:c>
      <ns0:c r="D52" s="21" t="inlineStr">
        <ns0:is>
          <ns0:t>Deep Learning</ns0:t>
        </ns0:is>
      </ns0:c>
      <ns0:c r="E52" s="29">
        <ns0:f>COUNTIFS('BASE_CIERRE'!$G$5:$G$458,1,'BASE_CIERRE'!$H$5:$H$458,"Diagnosis",'BASE_CIERRE'!$J$5:$J$458,"Neuroimaging",'BASE_CIERRE'!$L$5:$L$458,"Other specified method",'BASE_CIERRE'!$I$5:$I$458,"Deep Learning")</ns0:f>
        <ns0:v>3</ns0:v>
      </ns0:c>
      <ns0:c r="F52" s="29">
        <ns0:f>COUNTIFS('BASE_CIERRE'!$G$5:$G$458,1,'BASE_CIERRE'!$H$5:$H$458,"Diagnosis")</ns0:f>
        <ns0:v>216</ns0:v>
      </ns0:c>
      <ns0:c r="G52" s="32">
        <ns0:f>IFERROR(E52/F52,0)</ns0:f>
        <ns0:v>0.013888888888888888</ns0:v>
      </ns0:c>
    </ns0:row>
    <ns0:row r="53" ht="32" customHeight="1">
      <ns0:c r="A53" s="19" t="inlineStr">
        <ns0:is>
          <ns0:t>Diagnosis</ns0:t>
        </ns0:is>
      </ns0:c>
      <ns0:c r="B53" s="19" t="inlineStr">
        <ns0:is>
          <ns0:t>Neuroimaging</ns0:t>
        </ns0:is>
      </ns0:c>
      <ns0:c r="C53" s="19" t="inlineStr">
        <ns0:is>
          <ns0:t>Other specified method</ns0:t>
        </ns0:is>
      </ns0:c>
      <ns0:c r="D53" s="19" t="inlineStr">
        <ns0:is>
          <ns0:t>Hybrid</ns0:t>
        </ns0:is>
      </ns0:c>
      <ns0:c r="E53" s="27">
        <ns0:f>COUNTIFS('BASE_CIERRE'!$G$5:$G$458,1,'BASE_CIERRE'!$H$5:$H$458,"Diagnosis",'BASE_CIERRE'!$J$5:$J$458,"Neuroimaging",'BASE_CIERRE'!$L$5:$L$458,"Other specified method",'BASE_CIERRE'!$I$5:$I$458,"Hybrid")</ns0:f>
        <ns0:v>2</ns0:v>
      </ns0:c>
      <ns0:c r="F53" s="27">
        <ns0:f>COUNTIFS('BASE_CIERRE'!$G$5:$G$458,1,'BASE_CIERRE'!$H$5:$H$458,"Diagnosis")</ns0:f>
        <ns0:v>216</ns0:v>
      </ns0:c>
      <ns0:c r="G53" s="31">
        <ns0:f>IFERROR(E53/F53,0)</ns0:f>
        <ns0:v>0.009259259259259259</ns0:v>
      </ns0:c>
    </ns0:row>
    <ns0:row r="54" ht="32" customHeight="1">
      <ns0:c r="A54" s="21" t="inlineStr">
        <ns0:is>
          <ns0:t>Diagnosis</ns0:t>
        </ns0:is>
      </ns0:c>
      <ns0:c r="B54" s="21" t="inlineStr">
        <ns0:is>
          <ns0:t>Neuroimaging</ns0:t>
        </ns0:is>
      </ns0:c>
      <ns0:c r="C54" s="21" t="inlineStr">
        <ns0:is>
          <ns0:t>Other specified method</ns0:t>
        </ns0:is>
      </ns0:c>
      <ns0:c r="D54" s="21" t="inlineStr">
        <ns0:is>
          <ns0:t>Machine Learning</ns0:t>
        </ns0:is>
      </ns0:c>
      <ns0:c r="E54" s="29">
        <ns0:f>COUNTIFS('BASE_CIERRE'!$G$5:$G$458,1,'BASE_CIERRE'!$H$5:$H$458,"Diagnosis",'BASE_CIERRE'!$J$5:$J$458,"Neuroimaging",'BASE_CIERRE'!$L$5:$L$458,"Other specified method",'BASE_CIERRE'!$I$5:$I$458,"Machine Learning")</ns0:f>
        <ns0:v>13</ns0:v>
      </ns0:c>
      <ns0:c r="F54" s="29">
        <ns0:f>COUNTIFS('BASE_CIERRE'!$G$5:$G$458,1,'BASE_CIERRE'!$H$5:$H$458,"Diagnosis")</ns0:f>
        <ns0:v>216</ns0:v>
      </ns0:c>
      <ns0:c r="G54" s="32">
        <ns0:f>IFERROR(E54/F54,0)</ns0:f>
        <ns0:v>0.06018518518518518</ns0:v>
      </ns0:c>
    </ns0:row>
    <ns0:row r="55" ht="32" customHeight="1">
      <ns0:c r="A55" s="19" t="inlineStr">
        <ns0:is>
          <ns0:t>Diagnosis</ns0:t>
        </ns0:is>
      </ns0:c>
      <ns0:c r="B55" s="19" t="inlineStr">
        <ns0:is>
          <ns0:t>Neuroimaging</ns0:t>
        </ns0:is>
      </ns0:c>
      <ns0:c r="C55" s="19" t="inlineStr">
        <ns0:is>
          <ns0:t>Random forest</ns0:t>
        </ns0:is>
      </ns0:c>
      <ns0:c r="D55" s="19" t="inlineStr">
        <ns0:is>
          <ns0:t>Machine Learning</ns0:t>
        </ns0:is>
      </ns0:c>
      <ns0:c r="E55" s="27">
        <ns0:f>COUNTIFS('BASE_CIERRE'!$G$5:$G$458,1,'BASE_CIERRE'!$H$5:$H$458,"Diagnosis",'BASE_CIERRE'!$J$5:$J$458,"Neuroimaging",'BASE_CIERRE'!$L$5:$L$458,"Random forest",'BASE_CIERRE'!$I$5:$I$458,"Machine Learning")</ns0:f>
        <ns0:v>3</ns0:v>
      </ns0:c>
      <ns0:c r="F55" s="27">
        <ns0:f>COUNTIFS('BASE_CIERRE'!$G$5:$G$458,1,'BASE_CIERRE'!$H$5:$H$458,"Diagnosis")</ns0:f>
        <ns0:v>216</ns0:v>
      </ns0:c>
      <ns0:c r="G55" s="31">
        <ns0:f>IFERROR(E55/F55,0)</ns0:f>
        <ns0:v>0.013888888888888888</ns0:v>
      </ns0:c>
    </ns0:row>
    <ns0:row r="56" ht="32" customHeight="1">
      <ns0:c r="A56" s="21" t="inlineStr">
        <ns0:is>
          <ns0:t>Diagnosis</ns0:t>
        </ns0:is>
      </ns0:c>
      <ns0:c r="B56" s="21" t="inlineStr">
        <ns0:is>
          <ns0:t>Neuroimaging</ns0:t>
        </ns0:is>
      </ns0:c>
      <ns0:c r="C56" s="21" t="inlineStr">
        <ns0:is>
          <ns0:t>Recurrent network</ns0:t>
        </ns0:is>
      </ns0:c>
      <ns0:c r="D56" s="21" t="inlineStr">
        <ns0:is>
          <ns0:t>Deep Learning</ns0:t>
        </ns0:is>
      </ns0:c>
      <ns0:c r="E56" s="29">
        <ns0:f>COUNTIFS('BASE_CIERRE'!$G$5:$G$458,1,'BASE_CIERRE'!$H$5:$H$458,"Diagnosis",'BASE_CIERRE'!$J$5:$J$458,"Neuroimaging",'BASE_CIERRE'!$L$5:$L$458,"Recurrent network",'BASE_CIERRE'!$I$5:$I$458,"Deep Learning")</ns0:f>
        <ns0:v>1</ns0:v>
      </ns0:c>
      <ns0:c r="F56" s="29">
        <ns0:f>COUNTIFS('BASE_CIERRE'!$G$5:$G$458,1,'BASE_CIERRE'!$H$5:$H$458,"Diagnosis")</ns0:f>
        <ns0:v>216</ns0:v>
      </ns0:c>
      <ns0:c r="G56" s="32">
        <ns0:f>IFERROR(E56/F56,0)</ns0:f>
        <ns0:v>0.004629629629629629</ns0:v>
      </ns0:c>
    </ns0:row>
    <ns0:row r="57" ht="32" customHeight="1">
      <ns0:c r="A57" s="19" t="inlineStr">
        <ns0:is>
          <ns0:t>Diagnosis</ns0:t>
        </ns0:is>
      </ns0:c>
      <ns0:c r="B57" s="19" t="inlineStr">
        <ns0:is>
          <ns0:t>Neuroimaging</ns0:t>
        </ns0:is>
      </ns0:c>
      <ns0:c r="C57" s="19" t="inlineStr">
        <ns0:is>
          <ns0:t>SVM</ns0:t>
        </ns0:is>
      </ns0:c>
      <ns0:c r="D57" s="19" t="inlineStr">
        <ns0:is>
          <ns0:t>Machine Learning</ns0:t>
        </ns0:is>
      </ns0:c>
      <ns0:c r="E57" s="27">
        <ns0:f>COUNTIFS('BASE_CIERRE'!$G$5:$G$458,1,'BASE_CIERRE'!$H$5:$H$458,"Diagnosis",'BASE_CIERRE'!$J$5:$J$458,"Neuroimaging",'BASE_CIERRE'!$L$5:$L$458,"SVM",'BASE_CIERRE'!$I$5:$I$458,"Machine Learning")</ns0:f>
        <ns0:v>5</ns0:v>
      </ns0:c>
      <ns0:c r="F57" s="27">
        <ns0:f>COUNTIFS('BASE_CIERRE'!$G$5:$G$458,1,'BASE_CIERRE'!$H$5:$H$458,"Diagnosis")</ns0:f>
        <ns0:v>216</ns0:v>
      </ns0:c>
      <ns0:c r="G57" s="31">
        <ns0:f>IFERROR(E57/F57,0)</ns0:f>
        <ns0:v>0.023148148148148147</ns0:v>
      </ns0:c>
    </ns0:row>
    <ns0:row r="58" ht="32" customHeight="1">
      <ns0:c r="A58" s="21" t="inlineStr">
        <ns0:is>
          <ns0:t>Diagnosis</ns0:t>
        </ns0:is>
      </ns0:c>
      <ns0:c r="B58" s="21" t="inlineStr">
        <ns0:is>
          <ns0:t>Neuroimaging</ns0:t>
        </ns0:is>
      </ns0:c>
      <ns0:c r="C58" s="21" t="inlineStr">
        <ns0:is>
          <ns0:t>Transformer</ns0:t>
        </ns0:is>
      </ns0:c>
      <ns0:c r="D58" s="21" t="inlineStr">
        <ns0:is>
          <ns0:t>Deep Learning</ns0:t>
        </ns0:is>
      </ns0:c>
      <ns0:c r="E58" s="29">
        <ns0:f>COUNTIFS('BASE_CIERRE'!$G$5:$G$458,1,'BASE_CIERRE'!$H$5:$H$458,"Diagnosis",'BASE_CIERRE'!$J$5:$J$458,"Neuroimaging",'BASE_CIERRE'!$L$5:$L$458,"Transformer",'BASE_CIERRE'!$I$5:$I$458,"Deep Learning")</ns0:f>
        <ns0:v>3</ns0:v>
      </ns0:c>
      <ns0:c r="F58" s="29">
        <ns0:f>COUNTIFS('BASE_CIERRE'!$G$5:$G$458,1,'BASE_CIERRE'!$H$5:$H$458,"Diagnosis")</ns0:f>
        <ns0:v>216</ns0:v>
      </ns0:c>
      <ns0:c r="G58" s="32">
        <ns0:f>IFERROR(E58/F58,0)</ns0:f>
        <ns0:v>0.013888888888888888</ns0:v>
      </ns0:c>
    </ns0:row>
    <ns0:row r="59" ht="32" customHeight="1">
      <ns0:c r="A59" s="19" t="inlineStr">
        <ns0:is>
          <ns0:t>Diagnosis</ns0:t>
        </ns0:is>
      </ns0:c>
      <ns0:c r="B59" s="19" t="inlineStr">
        <ns0:is>
          <ns0:t>Neuroimaging</ns0:t>
        </ns0:is>
      </ns0:c>
      <ns0:c r="C59" s="19" t="inlineStr">
        <ns0:is>
          <ns0:t>k-nearest neighbors</ns0:t>
        </ns0:is>
      </ns0:c>
      <ns0:c r="D59" s="19" t="inlineStr">
        <ns0:is>
          <ns0:t>Machine Learning</ns0:t>
        </ns0:is>
      </ns0:c>
      <ns0:c r="E59" s="27">
        <ns0:f>COUNTIFS('BASE_CIERRE'!$G$5:$G$458,1,'BASE_CIERRE'!$H$5:$H$458,"Diagnosis",'BASE_CIERRE'!$J$5:$J$458,"Neuroimaging",'BASE_CIERRE'!$L$5:$L$458,"k-nearest neighbors",'BASE_CIERRE'!$I$5:$I$458,"Machine Learning")</ns0:f>
        <ns0:v>1</ns0:v>
      </ns0:c>
      <ns0:c r="F59" s="27">
        <ns0:f>COUNTIFS('BASE_CIERRE'!$G$5:$G$458,1,'BASE_CIERRE'!$H$5:$H$458,"Diagnosis")</ns0:f>
        <ns0:v>216</ns0:v>
      </ns0:c>
      <ns0:c r="G59" s="31">
        <ns0:f>IFERROR(E59/F59,0)</ns0:f>
        <ns0:v>0.004629629629629629</ns0:v>
      </ns0:c>
    </ns0:row>
    <ns0:row r="60" ht="32" customHeight="1">
      <ns0:c r="A60" s="21" t="inlineStr">
        <ns0:is>
          <ns0:t>Diagnosis</ns0:t>
        </ns0:is>
      </ns0:c>
      <ns0:c r="B60" s="21" t="inlineStr">
        <ns0:is>
          <ns0:t>Not specified</ns0:t>
        </ns0:is>
      </ns0:c>
      <ns0:c r="C60" s="21" t="inlineStr">
        <ns0:is>
          <ns0:t>MLP/ANN</ns0:t>
        </ns0:is>
      </ns0:c>
      <ns0:c r="D60" s="21" t="inlineStr">
        <ns0:is>
          <ns0:t>Deep Learning</ns0:t>
        </ns0:is>
      </ns0:c>
      <ns0:c r="E60" s="29">
        <ns0:f>COUNTIFS('BASE_CIERRE'!$G$5:$G$458,1,'BASE_CIERRE'!$H$5:$H$458,"Diagnosis",'BASE_CIERRE'!$J$5:$J$458,"Not specified",'BASE_CIERRE'!$L$5:$L$458,"MLP/ANN",'BASE_CIERRE'!$I$5:$I$458,"Deep Learning")</ns0:f>
        <ns0:v>1</ns0:v>
      </ns0:c>
      <ns0:c r="F60" s="29">
        <ns0:f>COUNTIFS('BASE_CIERRE'!$G$5:$G$458,1,'BASE_CIERRE'!$H$5:$H$458,"Diagnosis")</ns0:f>
        <ns0:v>216</ns0:v>
      </ns0:c>
      <ns0:c r="G60" s="32">
        <ns0:f>IFERROR(E60/F60,0)</ns0:f>
        <ns0:v>0.004629629629629629</ns0:v>
      </ns0:c>
    </ns0:row>
    <ns0:row r="61" ht="32" customHeight="1">
      <ns0:c r="A61" s="19" t="inlineStr">
        <ns0:is>
          <ns0:t>Diagnosis</ns0:t>
        </ns0:is>
      </ns0:c>
      <ns0:c r="B61" s="19" t="inlineStr">
        <ns0:is>
          <ns0:t>Not specified</ns0:t>
        </ns0:is>
      </ns0:c>
      <ns0:c r="C61" s="19" t="inlineStr">
        <ns0:is>
          <ns0:t>Multiple/not uniquely specified</ns0:t>
        </ns0:is>
      </ns0:c>
      <ns0:c r="D61" s="19" t="inlineStr">
        <ns0:is>
          <ns0:t>Machine Learning</ns0:t>
        </ns0:is>
      </ns0:c>
      <ns0:c r="E61" s="27">
        <ns0:f>COUNTIFS('BASE_CIERRE'!$G$5:$G$458,1,'BASE_CIERRE'!$H$5:$H$458,"Diagnosis",'BASE_CIERRE'!$J$5:$J$458,"Not specified",'BASE_CIERRE'!$L$5:$L$458,"Multiple/not uniquely specified",'BASE_CIERRE'!$I$5:$I$458,"Machine Learning")</ns0:f>
        <ns0:v>1</ns0:v>
      </ns0:c>
      <ns0:c r="F61" s="27">
        <ns0:f>COUNTIFS('BASE_CIERRE'!$G$5:$G$458,1,'BASE_CIERRE'!$H$5:$H$458,"Diagnosis")</ns0:f>
        <ns0:v>216</ns0:v>
      </ns0:c>
      <ns0:c r="G61" s="31">
        <ns0:f>IFERROR(E61/F61,0)</ns0:f>
        <ns0:v>0.004629629629629629</ns0:v>
      </ns0:c>
    </ns0:row>
    <ns0:row r="62" ht="32" customHeight="1">
      <ns0:c r="A62" s="21" t="inlineStr">
        <ns0:is>
          <ns0:t>Diagnosis</ns0:t>
        </ns0:is>
      </ns0:c>
      <ns0:c r="B62" s="21" t="inlineStr">
        <ns0:is>
          <ns0:t>Not specified</ns0:t>
        </ns0:is>
      </ns0:c>
      <ns0:c r="C62" s="21" t="inlineStr">
        <ns0:is>
          <ns0:t>Other specified method</ns0:t>
        </ns0:is>
      </ns0:c>
      <ns0:c r="D62" s="21" t="inlineStr">
        <ns0:is>
          <ns0:t>Not specified</ns0:t>
        </ns0:is>
      </ns0:c>
      <ns0:c r="E62" s="29">
        <ns0:f>COUNTIFS('BASE_CIERRE'!$G$5:$G$458,1,'BASE_CIERRE'!$H$5:$H$458,"Diagnosis",'BASE_CIERRE'!$J$5:$J$458,"Not specified",'BASE_CIERRE'!$L$5:$L$458,"Other specified method",'BASE_CIERRE'!$I$5:$I$458,"Not specified")</ns0:f>
        <ns0:v>1</ns0:v>
      </ns0:c>
      <ns0:c r="F62" s="29">
        <ns0:f>COUNTIFS('BASE_CIERRE'!$G$5:$G$458,1,'BASE_CIERRE'!$H$5:$H$458,"Diagnosis")</ns0:f>
        <ns0:v>216</ns0:v>
      </ns0:c>
      <ns0:c r="G62" s="32">
        <ns0:f>IFERROR(E62/F62,0)</ns0:f>
        <ns0:v>0.004629629629629629</ns0:v>
      </ns0:c>
    </ns0:row>
    <ns0:row r="63" ht="32" customHeight="1">
      <ns0:c r="A63" s="19" t="inlineStr">
        <ns0:is>
          <ns0:t>Diagnosis</ns0:t>
        </ns0:is>
      </ns0:c>
      <ns0:c r="B63" s="19" t="inlineStr">
        <ns0:is>
          <ns0:t>Not specified</ns0:t>
        </ns0:is>
      </ns0:c>
      <ns0:c r="C63" s="19" t="inlineStr">
        <ns0:is>
          <ns0:t>Transformer</ns0:t>
        </ns0:is>
      </ns0:c>
      <ns0:c r="D63" s="19" t="inlineStr">
        <ns0:is>
          <ns0:t>Deep Learning</ns0:t>
        </ns0:is>
      </ns0:c>
      <ns0:c r="E63" s="27">
        <ns0:f>COUNTIFS('BASE_CIERRE'!$G$5:$G$458,1,'BASE_CIERRE'!$H$5:$H$458,"Diagnosis",'BASE_CIERRE'!$J$5:$J$458,"Not specified",'BASE_CIERRE'!$L$5:$L$458,"Transformer",'BASE_CIERRE'!$I$5:$I$458,"Deep Learning")</ns0:f>
        <ns0:v>1</ns0:v>
      </ns0:c>
      <ns0:c r="F63" s="27">
        <ns0:f>COUNTIFS('BASE_CIERRE'!$G$5:$G$458,1,'BASE_CIERRE'!$H$5:$H$458,"Diagnosis")</ns0:f>
        <ns0:v>216</ns0:v>
      </ns0:c>
      <ns0:c r="G63" s="31">
        <ns0:f>IFERROR(E63/F63,0)</ns0:f>
        <ns0:v>0.004629629629629629</ns0:v>
      </ns0:c>
    </ns0:row>
    <ns0:row r="64" ht="32" customHeight="1">
      <ns0:c r="A64" s="21" t="inlineStr">
        <ns0:is>
          <ns0:t>Diagnosis</ns0:t>
        </ns0:is>
      </ns0:c>
      <ns0:c r="B64" s="21" t="inlineStr">
        <ns0:is>
          <ns0:t>Other biomedical/digital data</ns0:t>
        </ns0:is>
      </ns0:c>
      <ns0:c r="C64" s="21" t="inlineStr">
        <ns0:is>
          <ns0:t>SVM</ns0:t>
        </ns0:is>
      </ns0:c>
      <ns0:c r="D64" s="21" t="inlineStr">
        <ns0:is>
          <ns0:t>Machine Learning</ns0:t>
        </ns0:is>
      </ns0:c>
      <ns0:c r="E64" s="29">
        <ns0:f>COUNTIFS('BASE_CIERRE'!$G$5:$G$458,1,'BASE_CIERRE'!$H$5:$H$458,"Diagnosis",'BASE_CIERRE'!$J$5:$J$458,"Other biomedical/digital data",'BASE_CIERRE'!$L$5:$L$458,"SVM",'BASE_CIERRE'!$I$5:$I$458,"Machine Learning")</ns0:f>
        <ns0:v>1</ns0:v>
      </ns0:c>
      <ns0:c r="F64" s="29">
        <ns0:f>COUNTIFS('BASE_CIERRE'!$G$5:$G$458,1,'BASE_CIERRE'!$H$5:$H$458,"Diagnosis")</ns0:f>
        <ns0:v>216</ns0:v>
      </ns0:c>
      <ns0:c r="G64" s="32">
        <ns0:f>IFERROR(E64/F64,0)</ns0:f>
        <ns0:v>0.004629629629629629</ns0:v>
      </ns0:c>
    </ns0:row>
    <ns0:row r="65" ht="32" customHeight="1">
      <ns0:c r="A65" s="19" t="inlineStr">
        <ns0:is>
          <ns0:t>Diagnosis</ns0:t>
        </ns0:is>
      </ns0:c>
      <ns0:c r="B65" s="19" t="inlineStr">
        <ns0:is>
          <ns0:t>Physiological signals</ns0:t>
        </ns0:is>
      </ns0:c>
      <ns0:c r="C65" s="19" t="inlineStr">
        <ns0:is>
          <ns0:t>CNN</ns0:t>
        </ns0:is>
      </ns0:c>
      <ns0:c r="D65" s="19" t="inlineStr">
        <ns0:is>
          <ns0:t>Deep Learning</ns0:t>
        </ns0:is>
      </ns0:c>
      <ns0:c r="E65" s="27">
        <ns0:f>COUNTIFS('BASE_CIERRE'!$G$5:$G$458,1,'BASE_CIERRE'!$H$5:$H$458,"Diagnosis",'BASE_CIERRE'!$J$5:$J$458,"Physiological signals",'BASE_CIERRE'!$L$5:$L$458,"CNN",'BASE_CIERRE'!$I$5:$I$458,"Deep Learning")</ns0:f>
        <ns0:v>7</ns0:v>
      </ns0:c>
      <ns0:c r="F65" s="27">
        <ns0:f>COUNTIFS('BASE_CIERRE'!$G$5:$G$458,1,'BASE_CIERRE'!$H$5:$H$458,"Diagnosis")</ns0:f>
        <ns0:v>216</ns0:v>
      </ns0:c>
      <ns0:c r="G65" s="31">
        <ns0:f>IFERROR(E65/F65,0)</ns0:f>
        <ns0:v>0.032407407407407406</ns0:v>
      </ns0:c>
    </ns0:row>
    <ns0:row r="66" ht="32" customHeight="1">
      <ns0:c r="A66" s="21" t="inlineStr">
        <ns0:is>
          <ns0:t>Diagnosis</ns0:t>
        </ns0:is>
      </ns0:c>
      <ns0:c r="B66" s="21" t="inlineStr">
        <ns0:is>
          <ns0:t>Physiological signals</ns0:t>
        </ns0:is>
      </ns0:c>
      <ns0:c r="C66" s="21" t="inlineStr">
        <ns0:is>
          <ns0:t>Composite/ensemble pipeline</ns0:t>
        </ns0:is>
      </ns0:c>
      <ns0:c r="D66" s="21" t="inlineStr">
        <ns0:is>
          <ns0:t>Deep Learning</ns0:t>
        </ns0:is>
      </ns0:c>
      <ns0:c r="E66" s="29">
        <ns0:f>COUNTIFS('BASE_CIERRE'!$G$5:$G$458,1,'BASE_CIERRE'!$H$5:$H$458,"Diagnosis",'BASE_CIERRE'!$J$5:$J$458,"Physiological signals",'BASE_CIERRE'!$L$5:$L$458,"Composite/ensemble pipeline",'BASE_CIERRE'!$I$5:$I$458,"Deep Learning")</ns0:f>
        <ns0:v>3</ns0:v>
      </ns0:c>
      <ns0:c r="F66" s="29">
        <ns0:f>COUNTIFS('BASE_CIERRE'!$G$5:$G$458,1,'BASE_CIERRE'!$H$5:$H$458,"Diagnosis")</ns0:f>
        <ns0:v>216</ns0:v>
      </ns0:c>
      <ns0:c r="G66" s="32">
        <ns0:f>IFERROR(E66/F66,0)</ns0:f>
        <ns0:v>0.013888888888888888</ns0:v>
      </ns0:c>
    </ns0:row>
    <ns0:row r="67" ht="32" customHeight="1">
      <ns0:c r="A67" s="19" t="inlineStr">
        <ns0:is>
          <ns0:t>Diagnosis</ns0:t>
        </ns0:is>
      </ns0:c>
      <ns0:c r="B67" s="19" t="inlineStr">
        <ns0:is>
          <ns0:t>Physiological signals</ns0:t>
        </ns0:is>
      </ns0:c>
      <ns0:c r="C67" s="19" t="inlineStr">
        <ns0:is>
          <ns0:t>Composite/ensemble pipeline</ns0:t>
        </ns0:is>
      </ns0:c>
      <ns0:c r="D67" s="19" t="inlineStr">
        <ns0:is>
          <ns0:t>Hybrid</ns0:t>
        </ns0:is>
      </ns0:c>
      <ns0:c r="E67" s="27">
        <ns0:f>COUNTIFS('BASE_CIERRE'!$G$5:$G$458,1,'BASE_CIERRE'!$H$5:$H$458,"Diagnosis",'BASE_CIERRE'!$J$5:$J$458,"Physiological signals",'BASE_CIERRE'!$L$5:$L$458,"Composite/ensemble pipeline",'BASE_CIERRE'!$I$5:$I$458,"Hybrid")</ns0:f>
        <ns0:v>1</ns0:v>
      </ns0:c>
      <ns0:c r="F67" s="27">
        <ns0:f>COUNTIFS('BASE_CIERRE'!$G$5:$G$458,1,'BASE_CIERRE'!$H$5:$H$458,"Diagnosis")</ns0:f>
        <ns0:v>216</ns0:v>
      </ns0:c>
      <ns0:c r="G67" s="31">
        <ns0:f>IFERROR(E67/F67,0)</ns0:f>
        <ns0:v>0.004629629629629629</ns0:v>
      </ns0:c>
    </ns0:row>
    <ns0:row r="68" ht="32" customHeight="1">
      <ns0:c r="A68" s="21" t="inlineStr">
        <ns0:is>
          <ns0:t>Diagnosis</ns0:t>
        </ns0:is>
      </ns0:c>
      <ns0:c r="B68" s="21" t="inlineStr">
        <ns0:is>
          <ns0:t>Physiological signals</ns0:t>
        </ns0:is>
      </ns0:c>
      <ns0:c r="C68" s="21" t="inlineStr">
        <ns0:is>
          <ns0:t>GNN</ns0:t>
        </ns0:is>
      </ns0:c>
      <ns0:c r="D68" s="21" t="inlineStr">
        <ns0:is>
          <ns0:t>Deep Learning</ns0:t>
        </ns0:is>
      </ns0:c>
      <ns0:c r="E68" s="29">
        <ns0:f>COUNTIFS('BASE_CIERRE'!$G$5:$G$458,1,'BASE_CIERRE'!$H$5:$H$458,"Diagnosis",'BASE_CIERRE'!$J$5:$J$458,"Physiological signals",'BASE_CIERRE'!$L$5:$L$458,"GNN",'BASE_CIERRE'!$I$5:$I$458,"Deep Learning")</ns0:f>
        <ns0:v>3</ns0:v>
      </ns0:c>
      <ns0:c r="F68" s="29">
        <ns0:f>COUNTIFS('BASE_CIERRE'!$G$5:$G$458,1,'BASE_CIERRE'!$H$5:$H$458,"Diagnosis")</ns0:f>
        <ns0:v>216</ns0:v>
      </ns0:c>
      <ns0:c r="G68" s="32">
        <ns0:f>IFERROR(E68/F68,0)</ns0:f>
        <ns0:v>0.013888888888888888</ns0:v>
      </ns0:c>
    </ns0:row>
    <ns0:row r="69" ht="32" customHeight="1">
      <ns0:c r="A69" s="19" t="inlineStr">
        <ns0:is>
          <ns0:t>Diagnosis</ns0:t>
        </ns0:is>
      </ns0:c>
      <ns0:c r="B69" s="19" t="inlineStr">
        <ns0:is>
          <ns0:t>Physiological signals</ns0:t>
        </ns0:is>
      </ns0:c>
      <ns0:c r="C69" s="19" t="inlineStr">
        <ns0:is>
          <ns0:t>Gradient boosting</ns0:t>
        </ns0:is>
      </ns0:c>
      <ns0:c r="D69" s="19" t="inlineStr">
        <ns0:is>
          <ns0:t>Machine Learning</ns0:t>
        </ns0:is>
      </ns0:c>
      <ns0:c r="E69" s="27">
        <ns0:f>COUNTIFS('BASE_CIERRE'!$G$5:$G$458,1,'BASE_CIERRE'!$H$5:$H$458,"Diagnosis",'BASE_CIERRE'!$J$5:$J$458,"Physiological signals",'BASE_CIERRE'!$L$5:$L$458,"Gradient boosting",'BASE_CIERRE'!$I$5:$I$458,"Machine Learning")</ns0:f>
        <ns0:v>2</ns0:v>
      </ns0:c>
      <ns0:c r="F69" s="27">
        <ns0:f>COUNTIFS('BASE_CIERRE'!$G$5:$G$458,1,'BASE_CIERRE'!$H$5:$H$458,"Diagnosis")</ns0:f>
        <ns0:v>216</ns0:v>
      </ns0:c>
      <ns0:c r="G69" s="31">
        <ns0:f>IFERROR(E69/F69,0)</ns0:f>
        <ns0:v>0.009259259259259259</ns0:v>
      </ns0:c>
    </ns0:row>
    <ns0:row r="70" ht="32" customHeight="1">
      <ns0:c r="A70" s="21" t="inlineStr">
        <ns0:is>
          <ns0:t>Diagnosis</ns0:t>
        </ns0:is>
      </ns0:c>
      <ns0:c r="B70" s="21" t="inlineStr">
        <ns0:is>
          <ns0:t>Physiological signals</ns0:t>
        </ns0:is>
      </ns0:c>
      <ns0:c r="C70" s="21" t="inlineStr">
        <ns0:is>
          <ns0:t>Logistic regression</ns0:t>
        </ns0:is>
      </ns0:c>
      <ns0:c r="D70" s="21" t="inlineStr">
        <ns0:is>
          <ns0:t>Machine Learning</ns0:t>
        </ns0:is>
      </ns0:c>
      <ns0:c r="E70" s="29">
        <ns0:f>COUNTIFS('BASE_CIERRE'!$G$5:$G$458,1,'BASE_CIERRE'!$H$5:$H$458,"Diagnosis",'BASE_CIERRE'!$J$5:$J$458,"Physiological signals",'BASE_CIERRE'!$L$5:$L$458,"Logistic regression",'BASE_CIERRE'!$I$5:$I$458,"Machine Learning")</ns0:f>
        <ns0:v>1</ns0:v>
      </ns0:c>
      <ns0:c r="F70" s="29">
        <ns0:f>COUNTIFS('BASE_CIERRE'!$G$5:$G$458,1,'BASE_CIERRE'!$H$5:$H$458,"Diagnosis")</ns0:f>
        <ns0:v>216</ns0:v>
      </ns0:c>
      <ns0:c r="G70" s="32">
        <ns0:f>IFERROR(E70/F70,0)</ns0:f>
        <ns0:v>0.004629629629629629</ns0:v>
      </ns0:c>
    </ns0:row>
    <ns0:row r="71" ht="32" customHeight="1">
      <ns0:c r="A71" s="19" t="inlineStr">
        <ns0:is>
          <ns0:t>Diagnosis</ns0:t>
        </ns0:is>
      </ns0:c>
      <ns0:c r="B71" s="19" t="inlineStr">
        <ns0:is>
          <ns0:t>Physiological signals</ns0:t>
        </ns0:is>
      </ns0:c>
      <ns0:c r="C71" s="19" t="inlineStr">
        <ns0:is>
          <ns0:t>MLP/ANN</ns0:t>
        </ns0:is>
      </ns0:c>
      <ns0:c r="D71" s="19" t="inlineStr">
        <ns0:is>
          <ns0:t>Machine Learning</ns0:t>
        </ns0:is>
      </ns0:c>
      <ns0:c r="E71" s="27">
        <ns0:f>COUNTIFS('BASE_CIERRE'!$G$5:$G$458,1,'BASE_CIERRE'!$H$5:$H$458,"Diagnosis",'BASE_CIERRE'!$J$5:$J$458,"Physiological signals",'BASE_CIERRE'!$L$5:$L$458,"MLP/ANN",'BASE_CIERRE'!$I$5:$I$458,"Machine Learning")</ns0:f>
        <ns0:v>2</ns0:v>
      </ns0:c>
      <ns0:c r="F71" s="27">
        <ns0:f>COUNTIFS('BASE_CIERRE'!$G$5:$G$458,1,'BASE_CIERRE'!$H$5:$H$458,"Diagnosis")</ns0:f>
        <ns0:v>216</ns0:v>
      </ns0:c>
      <ns0:c r="G71" s="31">
        <ns0:f>IFERROR(E71/F71,0)</ns0:f>
        <ns0:v>0.009259259259259259</ns0:v>
      </ns0:c>
    </ns0:row>
    <ns0:row r="72" ht="32" customHeight="1">
      <ns0:c r="A72" s="21" t="inlineStr">
        <ns0:is>
          <ns0:t>Diagnosis</ns0:t>
        </ns0:is>
      </ns0:c>
      <ns0:c r="B72" s="21" t="inlineStr">
        <ns0:is>
          <ns0:t>Physiological signals</ns0:t>
        </ns0:is>
      </ns0:c>
      <ns0:c r="C72" s="21" t="inlineStr">
        <ns0:is>
          <ns0:t>Multiple/not uniquely specified</ns0:t>
        </ns0:is>
      </ns0:c>
      <ns0:c r="D72" s="21" t="inlineStr">
        <ns0:is>
          <ns0:t>Machine Learning</ns0:t>
        </ns0:is>
      </ns0:c>
      <ns0:c r="E72" s="29">
        <ns0:f>COUNTIFS('BASE_CIERRE'!$G$5:$G$458,1,'BASE_CIERRE'!$H$5:$H$458,"Diagnosis",'BASE_CIERRE'!$J$5:$J$458,"Physiological signals",'BASE_CIERRE'!$L$5:$L$458,"Multiple/not uniquely specified",'BASE_CIERRE'!$I$5:$I$458,"Machine Learning")</ns0:f>
        <ns0:v>4</ns0:v>
      </ns0:c>
      <ns0:c r="F72" s="29">
        <ns0:f>COUNTIFS('BASE_CIERRE'!$G$5:$G$458,1,'BASE_CIERRE'!$H$5:$H$458,"Diagnosis")</ns0:f>
        <ns0:v>216</ns0:v>
      </ns0:c>
      <ns0:c r="G72" s="32">
        <ns0:f>IFERROR(E72/F72,0)</ns0:f>
        <ns0:v>0.018518518518518517</ns0:v>
      </ns0:c>
    </ns0:row>
    <ns0:row r="73" ht="32" customHeight="1">
      <ns0:c r="A73" s="19" t="inlineStr">
        <ns0:is>
          <ns0:t>Diagnosis</ns0:t>
        </ns0:is>
      </ns0:c>
      <ns0:c r="B73" s="19" t="inlineStr">
        <ns0:is>
          <ns0:t>Physiological signals</ns0:t>
        </ns0:is>
      </ns0:c>
      <ns0:c r="C73" s="19" t="inlineStr">
        <ns0:is>
          <ns0:t>Other specified method</ns0:t>
        </ns0:is>
      </ns0:c>
      <ns0:c r="D73" s="19" t="inlineStr">
        <ns0:is>
          <ns0:t>Deep Learning</ns0:t>
        </ns0:is>
      </ns0:c>
      <ns0:c r="E73" s="27">
        <ns0:f>COUNTIFS('BASE_CIERRE'!$G$5:$G$458,1,'BASE_CIERRE'!$H$5:$H$458,"Diagnosis",'BASE_CIERRE'!$J$5:$J$458,"Physiological signals",'BASE_CIERRE'!$L$5:$L$458,"Other specified method",'BASE_CIERRE'!$I$5:$I$458,"Deep Learning")</ns0:f>
        <ns0:v>2</ns0:v>
      </ns0:c>
      <ns0:c r="F73" s="27">
        <ns0:f>COUNTIFS('BASE_CIERRE'!$G$5:$G$458,1,'BASE_CIERRE'!$H$5:$H$458,"Diagnosis")</ns0:f>
        <ns0:v>216</ns0:v>
      </ns0:c>
      <ns0:c r="G73" s="31">
        <ns0:f>IFERROR(E73/F73,0)</ns0:f>
        <ns0:v>0.009259259259259259</ns0:v>
      </ns0:c>
    </ns0:row>
    <ns0:row r="74" ht="32" customHeight="1">
      <ns0:c r="A74" s="21" t="inlineStr">
        <ns0:is>
          <ns0:t>Diagnosis</ns0:t>
        </ns0:is>
      </ns0:c>
      <ns0:c r="B74" s="21" t="inlineStr">
        <ns0:is>
          <ns0:t>Physiological signals</ns0:t>
        </ns0:is>
      </ns0:c>
      <ns0:c r="C74" s="21" t="inlineStr">
        <ns0:is>
          <ns0:t>Other specified method</ns0:t>
        </ns0:is>
      </ns0:c>
      <ns0:c r="D74" s="21" t="inlineStr">
        <ns0:is>
          <ns0:t>Hybrid</ns0:t>
        </ns0:is>
      </ns0:c>
      <ns0:c r="E74" s="29">
        <ns0:f>COUNTIFS('BASE_CIERRE'!$G$5:$G$458,1,'BASE_CIERRE'!$H$5:$H$458,"Diagnosis",'BASE_CIERRE'!$J$5:$J$458,"Physiological signals",'BASE_CIERRE'!$L$5:$L$458,"Other specified method",'BASE_CIERRE'!$I$5:$I$458,"Hybrid")</ns0:f>
        <ns0:v>2</ns0:v>
      </ns0:c>
      <ns0:c r="F74" s="29">
        <ns0:f>COUNTIFS('BASE_CIERRE'!$G$5:$G$458,1,'BASE_CIERRE'!$H$5:$H$458,"Diagnosis")</ns0:f>
        <ns0:v>216</ns0:v>
      </ns0:c>
      <ns0:c r="G74" s="32">
        <ns0:f>IFERROR(E74/F74,0)</ns0:f>
        <ns0:v>0.009259259259259259</ns0:v>
      </ns0:c>
    </ns0:row>
    <ns0:row r="75" ht="32" customHeight="1">
      <ns0:c r="A75" s="19" t="inlineStr">
        <ns0:is>
          <ns0:t>Diagnosis</ns0:t>
        </ns0:is>
      </ns0:c>
      <ns0:c r="B75" s="19" t="inlineStr">
        <ns0:is>
          <ns0:t>Physiological signals</ns0:t>
        </ns0:is>
      </ns0:c>
      <ns0:c r="C75" s="19" t="inlineStr">
        <ns0:is>
          <ns0:t>Other specified method</ns0:t>
        </ns0:is>
      </ns0:c>
      <ns0:c r="D75" s="19" t="inlineStr">
        <ns0:is>
          <ns0:t>Machine Learning</ns0:t>
        </ns0:is>
      </ns0:c>
      <ns0:c r="E75" s="27">
        <ns0:f>COUNTIFS('BASE_CIERRE'!$G$5:$G$458,1,'BASE_CIERRE'!$H$5:$H$458,"Diagnosis",'BASE_CIERRE'!$J$5:$J$458,"Physiological signals",'BASE_CIERRE'!$L$5:$L$458,"Other specified method",'BASE_CIERRE'!$I$5:$I$458,"Machine Learning")</ns0:f>
        <ns0:v>3</ns0:v>
      </ns0:c>
      <ns0:c r="F75" s="27">
        <ns0:f>COUNTIFS('BASE_CIERRE'!$G$5:$G$458,1,'BASE_CIERRE'!$H$5:$H$458,"Diagnosis")</ns0:f>
        <ns0:v>216</ns0:v>
      </ns0:c>
      <ns0:c r="G75" s="31">
        <ns0:f>IFERROR(E75/F75,0)</ns0:f>
        <ns0:v>0.013888888888888888</ns0:v>
      </ns0:c>
    </ns0:row>
    <ns0:row r="76" ht="32" customHeight="1">
      <ns0:c r="A76" s="21" t="inlineStr">
        <ns0:is>
          <ns0:t>Diagnosis</ns0:t>
        </ns0:is>
      </ns0:c>
      <ns0:c r="B76" s="21" t="inlineStr">
        <ns0:is>
          <ns0:t>Physiological signals</ns0:t>
        </ns0:is>
      </ns0:c>
      <ns0:c r="C76" s="21" t="inlineStr">
        <ns0:is>
          <ns0:t>Random forest</ns0:t>
        </ns0:is>
      </ns0:c>
      <ns0:c r="D76" s="21" t="inlineStr">
        <ns0:is>
          <ns0:t>Machine Learning</ns0:t>
        </ns0:is>
      </ns0:c>
      <ns0:c r="E76" s="29">
        <ns0:f>COUNTIFS('BASE_CIERRE'!$G$5:$G$458,1,'BASE_CIERRE'!$H$5:$H$458,"Diagnosis",'BASE_CIERRE'!$J$5:$J$458,"Physiological signals",'BASE_CIERRE'!$L$5:$L$458,"Random forest",'BASE_CIERRE'!$I$5:$I$458,"Machine Learning")</ns0:f>
        <ns0:v>1</ns0:v>
      </ns0:c>
      <ns0:c r="F76" s="29">
        <ns0:f>COUNTIFS('BASE_CIERRE'!$G$5:$G$458,1,'BASE_CIERRE'!$H$5:$H$458,"Diagnosis")</ns0:f>
        <ns0:v>216</ns0:v>
      </ns0:c>
      <ns0:c r="G76" s="32">
        <ns0:f>IFERROR(E76/F76,0)</ns0:f>
        <ns0:v>0.004629629629629629</ns0:v>
      </ns0:c>
    </ns0:row>
    <ns0:row r="77" ht="32" customHeight="1">
      <ns0:c r="A77" s="19" t="inlineStr">
        <ns0:is>
          <ns0:t>Diagnosis</ns0:t>
        </ns0:is>
      </ns0:c>
      <ns0:c r="B77" s="19" t="inlineStr">
        <ns0:is>
          <ns0:t>Physiological signals</ns0:t>
        </ns0:is>
      </ns0:c>
      <ns0:c r="C77" s="19" t="inlineStr">
        <ns0:is>
          <ns0:t>Recurrent network</ns0:t>
        </ns0:is>
      </ns0:c>
      <ns0:c r="D77" s="19" t="inlineStr">
        <ns0:is>
          <ns0:t>Deep Learning</ns0:t>
        </ns0:is>
      </ns0:c>
      <ns0:c r="E77" s="27">
        <ns0:f>COUNTIFS('BASE_CIERRE'!$G$5:$G$458,1,'BASE_CIERRE'!$H$5:$H$458,"Diagnosis",'BASE_CIERRE'!$J$5:$J$458,"Physiological signals",'BASE_CIERRE'!$L$5:$L$458,"Recurrent network",'BASE_CIERRE'!$I$5:$I$458,"Deep Learning")</ns0:f>
        <ns0:v>1</ns0:v>
      </ns0:c>
      <ns0:c r="F77" s="27">
        <ns0:f>COUNTIFS('BASE_CIERRE'!$G$5:$G$458,1,'BASE_CIERRE'!$H$5:$H$458,"Diagnosis")</ns0:f>
        <ns0:v>216</ns0:v>
      </ns0:c>
      <ns0:c r="G77" s="31">
        <ns0:f>IFERROR(E77/F77,0)</ns0:f>
        <ns0:v>0.004629629629629629</ns0:v>
      </ns0:c>
    </ns0:row>
    <ns0:row r="78" ht="32" customHeight="1">
      <ns0:c r="A78" s="21" t="inlineStr">
        <ns0:is>
          <ns0:t>Diagnosis</ns0:t>
        </ns0:is>
      </ns0:c>
      <ns0:c r="B78" s="21" t="inlineStr">
        <ns0:is>
          <ns0:t>Physiological signals</ns0:t>
        </ns0:is>
      </ns0:c>
      <ns0:c r="C78" s="21" t="inlineStr">
        <ns0:is>
          <ns0:t>SVM</ns0:t>
        </ns0:is>
      </ns0:c>
      <ns0:c r="D78" s="21" t="inlineStr">
        <ns0:is>
          <ns0:t>Machine Learning</ns0:t>
        </ns0:is>
      </ns0:c>
      <ns0:c r="E78" s="29">
        <ns0:f>COUNTIFS('BASE_CIERRE'!$G$5:$G$458,1,'BASE_CIERRE'!$H$5:$H$458,"Diagnosis",'BASE_CIERRE'!$J$5:$J$458,"Physiological signals",'BASE_CIERRE'!$L$5:$L$458,"SVM",'BASE_CIERRE'!$I$5:$I$458,"Machine Learning")</ns0:f>
        <ns0:v>1</ns0:v>
      </ns0:c>
      <ns0:c r="F78" s="29">
        <ns0:f>COUNTIFS('BASE_CIERRE'!$G$5:$G$458,1,'BASE_CIERRE'!$H$5:$H$458,"Diagnosis")</ns0:f>
        <ns0:v>216</ns0:v>
      </ns0:c>
      <ns0:c r="G78" s="32">
        <ns0:f>IFERROR(E78/F78,0)</ns0:f>
        <ns0:v>0.004629629629629629</ns0:v>
      </ns0:c>
    </ns0:row>
    <ns0:row r="79" ht="32" customHeight="1">
      <ns0:c r="A79" s="19" t="inlineStr">
        <ns0:is>
          <ns0:t>Diagnosis</ns0:t>
        </ns0:is>
      </ns0:c>
      <ns0:c r="B79" s="19" t="inlineStr">
        <ns0:is>
          <ns0:t>Physiological signals</ns0:t>
        </ns0:is>
      </ns0:c>
      <ns0:c r="C79" s="19" t="inlineStr">
        <ns0:is>
          <ns0:t>Transformer</ns0:t>
        </ns0:is>
      </ns0:c>
      <ns0:c r="D79" s="19" t="inlineStr">
        <ns0:is>
          <ns0:t>Deep Learning</ns0:t>
        </ns0:is>
      </ns0:c>
      <ns0:c r="E79" s="27">
        <ns0:f>COUNTIFS('BASE_CIERRE'!$G$5:$G$458,1,'BASE_CIERRE'!$H$5:$H$458,"Diagnosis",'BASE_CIERRE'!$J$5:$J$458,"Physiological signals",'BASE_CIERRE'!$L$5:$L$458,"Transformer",'BASE_CIERRE'!$I$5:$I$458,"Deep Learning")</ns0:f>
        <ns0:v>1</ns0:v>
      </ns0:c>
      <ns0:c r="F79" s="27">
        <ns0:f>COUNTIFS('BASE_CIERRE'!$G$5:$G$458,1,'BASE_CIERRE'!$H$5:$H$458,"Diagnosis")</ns0:f>
        <ns0:v>216</ns0:v>
      </ns0:c>
      <ns0:c r="G79" s="31">
        <ns0:f>IFERROR(E79/F79,0)</ns0:f>
        <ns0:v>0.004629629629629629</ns0:v>
      </ns0:c>
    </ns0:row>
    <ns0:row r="80" ht="32" customHeight="1">
      <ns0:c r="A80" s="21" t="inlineStr">
        <ns0:is>
          <ns0:t>Diagnosis</ns0:t>
        </ns0:is>
      </ns0:c>
      <ns0:c r="B80" s="21" t="inlineStr">
        <ns0:is>
          <ns0:t>Structured clinical/questionnaire data</ns0:t>
        </ns0:is>
      </ns0:c>
      <ns0:c r="C80" s="21" t="inlineStr">
        <ns0:is>
          <ns0:t>Clustering</ns0:t>
        </ns0:is>
      </ns0:c>
      <ns0:c r="D80" s="21" t="inlineStr">
        <ns0:is>
          <ns0:t>Machine Learning</ns0:t>
        </ns0:is>
      </ns0:c>
      <ns0:c r="E80" s="29">
        <ns0:f>COUNTIFS('BASE_CIERRE'!$G$5:$G$458,1,'BASE_CIERRE'!$H$5:$H$458,"Diagnosis",'BASE_CIERRE'!$J$5:$J$458,"Structured clinical/questionnaire data",'BASE_CIERRE'!$L$5:$L$458,"Clustering",'BASE_CIERRE'!$I$5:$I$458,"Machine Learning")</ns0:f>
        <ns0:v>3</ns0:v>
      </ns0:c>
      <ns0:c r="F80" s="29">
        <ns0:f>COUNTIFS('BASE_CIERRE'!$G$5:$G$458,1,'BASE_CIERRE'!$H$5:$H$458,"Diagnosis")</ns0:f>
        <ns0:v>216</ns0:v>
      </ns0:c>
      <ns0:c r="G80" s="32">
        <ns0:f>IFERROR(E80/F80,0)</ns0:f>
        <ns0:v>0.013888888888888888</ns0:v>
      </ns0:c>
    </ns0:row>
    <ns0:row r="81" ht="32" customHeight="1">
      <ns0:c r="A81" s="19" t="inlineStr">
        <ns0:is>
          <ns0:t>Diagnosis</ns0:t>
        </ns0:is>
      </ns0:c>
      <ns0:c r="B81" s="19" t="inlineStr">
        <ns0:is>
          <ns0:t>Structured clinical/questionnaire data</ns0:t>
        </ns0:is>
      </ns0:c>
      <ns0:c r="C81" s="19" t="inlineStr">
        <ns0:is>
          <ns0:t>Composite/ensemble pipeline</ns0:t>
        </ns0:is>
      </ns0:c>
      <ns0:c r="D81" s="19" t="inlineStr">
        <ns0:is>
          <ns0:t>Deep Learning</ns0:t>
        </ns0:is>
      </ns0:c>
      <ns0:c r="E81" s="27">
        <ns0:f>COUNTIFS('BASE_CIERRE'!$G$5:$G$458,1,'BASE_CIERRE'!$H$5:$H$458,"Diagnosis",'BASE_CIERRE'!$J$5:$J$458,"Structured clinical/questionnaire data",'BASE_CIERRE'!$L$5:$L$458,"Composite/ensemble pipeline",'BASE_CIERRE'!$I$5:$I$458,"Deep Learning")</ns0:f>
        <ns0:v>1</ns0:v>
      </ns0:c>
      <ns0:c r="F81" s="27">
        <ns0:f>COUNTIFS('BASE_CIERRE'!$G$5:$G$458,1,'BASE_CIERRE'!$H$5:$H$458,"Diagnosis")</ns0:f>
        <ns0:v>216</ns0:v>
      </ns0:c>
      <ns0:c r="G81" s="31">
        <ns0:f>IFERROR(E81/F81,0)</ns0:f>
        <ns0:v>0.004629629629629629</ns0:v>
      </ns0:c>
    </ns0:row>
    <ns0:row r="82" ht="32" customHeight="1">
      <ns0:c r="A82" s="21" t="inlineStr">
        <ns0:is>
          <ns0:t>Diagnosis</ns0:t>
        </ns0:is>
      </ns0:c>
      <ns0:c r="B82" s="21" t="inlineStr">
        <ns0:is>
          <ns0:t>Structured clinical/questionnaire data</ns0:t>
        </ns0:is>
      </ns0:c>
      <ns0:c r="C82" s="21" t="inlineStr">
        <ns0:is>
          <ns0:t>Composite/ensemble pipeline</ns0:t>
        </ns0:is>
      </ns0:c>
      <ns0:c r="D82" s="21" t="inlineStr">
        <ns0:is>
          <ns0:t>Machine Learning</ns0:t>
        </ns0:is>
      </ns0:c>
      <ns0:c r="E82" s="29">
        <ns0:f>COUNTIFS('BASE_CIERRE'!$G$5:$G$458,1,'BASE_CIERRE'!$H$5:$H$458,"Diagnosis",'BASE_CIERRE'!$J$5:$J$458,"Structured clinical/questionnaire data",'BASE_CIERRE'!$L$5:$L$458,"Composite/ensemble pipeline",'BASE_CIERRE'!$I$5:$I$458,"Machine Learning")</ns0:f>
        <ns0:v>2</ns0:v>
      </ns0:c>
      <ns0:c r="F82" s="29">
        <ns0:f>COUNTIFS('BASE_CIERRE'!$G$5:$G$458,1,'BASE_CIERRE'!$H$5:$H$458,"Diagnosis")</ns0:f>
        <ns0:v>216</ns0:v>
      </ns0:c>
      <ns0:c r="G82" s="32">
        <ns0:f>IFERROR(E82/F82,0)</ns0:f>
        <ns0:v>0.009259259259259259</ns0:v>
      </ns0:c>
    </ns0:row>
    <ns0:row r="83" ht="32" customHeight="1">
      <ns0:c r="A83" s="19" t="inlineStr">
        <ns0:is>
          <ns0:t>Diagnosis</ns0:t>
        </ns0:is>
      </ns0:c>
      <ns0:c r="B83" s="19" t="inlineStr">
        <ns0:is>
          <ns0:t>Structured clinical/questionnaire data</ns0:t>
        </ns0:is>
      </ns0:c>
      <ns0:c r="C83" s="19" t="inlineStr">
        <ns0:is>
          <ns0:t>Decision tree/rules</ns0:t>
        </ns0:is>
      </ns0:c>
      <ns0:c r="D83" s="19" t="inlineStr">
        <ns0:is>
          <ns0:t>Machine Learning</ns0:t>
        </ns0:is>
      </ns0:c>
      <ns0:c r="E83" s="27">
        <ns0:f>COUNTIFS('BASE_CIERRE'!$G$5:$G$458,1,'BASE_CIERRE'!$H$5:$H$458,"Diagnosis",'BASE_CIERRE'!$J$5:$J$458,"Structured clinical/questionnaire data",'BASE_CIERRE'!$L$5:$L$458,"Decision tree/rules",'BASE_CIERRE'!$I$5:$I$458,"Machine Learning")</ns0:f>
        <ns0:v>1</ns0:v>
      </ns0:c>
      <ns0:c r="F83" s="27">
        <ns0:f>COUNTIFS('BASE_CIERRE'!$G$5:$G$458,1,'BASE_CIERRE'!$H$5:$H$458,"Diagnosis")</ns0:f>
        <ns0:v>216</ns0:v>
      </ns0:c>
      <ns0:c r="G83" s="31">
        <ns0:f>IFERROR(E83/F83,0)</ns0:f>
        <ns0:v>0.004629629629629629</ns0:v>
      </ns0:c>
    </ns0:row>
    <ns0:row r="84" ht="32" customHeight="1">
      <ns0:c r="A84" s="21" t="inlineStr">
        <ns0:is>
          <ns0:t>Diagnosis</ns0:t>
        </ns0:is>
      </ns0:c>
      <ns0:c r="B84" s="21" t="inlineStr">
        <ns0:is>
          <ns0:t>Structured clinical/questionnaire data</ns0:t>
        </ns0:is>
      </ns0:c>
      <ns0:c r="C84" s="21" t="inlineStr">
        <ns0:is>
          <ns0:t>Gradient boosting</ns0:t>
        </ns0:is>
      </ns0:c>
      <ns0:c r="D84" s="21" t="inlineStr">
        <ns0:is>
          <ns0:t>Machine Learning</ns0:t>
        </ns0:is>
      </ns0:c>
      <ns0:c r="E84" s="29">
        <ns0:f>COUNTIFS('BASE_CIERRE'!$G$5:$G$458,1,'BASE_CIERRE'!$H$5:$H$458,"Diagnosis",'BASE_CIERRE'!$J$5:$J$458,"Structured clinical/questionnaire data",'BASE_CIERRE'!$L$5:$L$458,"Gradient boosting",'BASE_CIERRE'!$I$5:$I$458,"Machine Learning")</ns0:f>
        <ns0:v>1</ns0:v>
      </ns0:c>
      <ns0:c r="F84" s="29">
        <ns0:f>COUNTIFS('BASE_CIERRE'!$G$5:$G$458,1,'BASE_CIERRE'!$H$5:$H$458,"Diagnosis")</ns0:f>
        <ns0:v>216</ns0:v>
      </ns0:c>
      <ns0:c r="G84" s="32">
        <ns0:f>IFERROR(E84/F84,0)</ns0:f>
        <ns0:v>0.004629629629629629</ns0:v>
      </ns0:c>
    </ns0:row>
    <ns0:row r="85" ht="32" customHeight="1">
      <ns0:c r="A85" s="19" t="inlineStr">
        <ns0:is>
          <ns0:t>Diagnosis</ns0:t>
        </ns0:is>
      </ns0:c>
      <ns0:c r="B85" s="19" t="inlineStr">
        <ns0:is>
          <ns0:t>Structured clinical/questionnaire data</ns0:t>
        </ns0:is>
      </ns0:c>
      <ns0:c r="C85" s="19" t="inlineStr">
        <ns0:is>
          <ns0:t>Logistic regression</ns0:t>
        </ns0:is>
      </ns0:c>
      <ns0:c r="D85" s="19" t="inlineStr">
        <ns0:is>
          <ns0:t>Machine Learning</ns0:t>
        </ns0:is>
      </ns0:c>
      <ns0:c r="E85" s="27">
        <ns0:f>COUNTIFS('BASE_CIERRE'!$G$5:$G$458,1,'BASE_CIERRE'!$H$5:$H$458,"Diagnosis",'BASE_CIERRE'!$J$5:$J$458,"Structured clinical/questionnaire data",'BASE_CIERRE'!$L$5:$L$458,"Logistic regression",'BASE_CIERRE'!$I$5:$I$458,"Machine Learning")</ns0:f>
        <ns0:v>1</ns0:v>
      </ns0:c>
      <ns0:c r="F85" s="27">
        <ns0:f>COUNTIFS('BASE_CIERRE'!$G$5:$G$458,1,'BASE_CIERRE'!$H$5:$H$458,"Diagnosis")</ns0:f>
        <ns0:v>216</ns0:v>
      </ns0:c>
      <ns0:c r="G85" s="31">
        <ns0:f>IFERROR(E85/F85,0)</ns0:f>
        <ns0:v>0.004629629629629629</ns0:v>
      </ns0:c>
    </ns0:row>
    <ns0:row r="86" ht="32" customHeight="1">
      <ns0:c r="A86" s="21" t="inlineStr">
        <ns0:is>
          <ns0:t>Diagnosis</ns0:t>
        </ns0:is>
      </ns0:c>
      <ns0:c r="B86" s="21" t="inlineStr">
        <ns0:is>
          <ns0:t>Structured clinical/questionnaire data</ns0:t>
        </ns0:is>
      </ns0:c>
      <ns0:c r="C86" s="21" t="inlineStr">
        <ns0:is>
          <ns0:t>Multiple/not uniquely specified</ns0:t>
        </ns0:is>
      </ns0:c>
      <ns0:c r="D86" s="21" t="inlineStr">
        <ns0:is>
          <ns0:t>Machine Learning</ns0:t>
        </ns0:is>
      </ns0:c>
      <ns0:c r="E86" s="29">
        <ns0:f>COUNTIFS('BASE_CIERRE'!$G$5:$G$458,1,'BASE_CIERRE'!$H$5:$H$458,"Diagnosis",'BASE_CIERRE'!$J$5:$J$458,"Structured clinical/questionnaire data",'BASE_CIERRE'!$L$5:$L$458,"Multiple/not uniquely specified",'BASE_CIERRE'!$I$5:$I$458,"Machine Learning")</ns0:f>
        <ns0:v>2</ns0:v>
      </ns0:c>
      <ns0:c r="F86" s="29">
        <ns0:f>COUNTIFS('BASE_CIERRE'!$G$5:$G$458,1,'BASE_CIERRE'!$H$5:$H$458,"Diagnosis")</ns0:f>
        <ns0:v>216</ns0:v>
      </ns0:c>
      <ns0:c r="G86" s="32">
        <ns0:f>IFERROR(E86/F86,0)</ns0:f>
        <ns0:v>0.009259259259259259</ns0:v>
      </ns0:c>
    </ns0:row>
    <ns0:row r="87" ht="32" customHeight="1">
      <ns0:c r="A87" s="19" t="inlineStr">
        <ns0:is>
          <ns0:t>Diagnosis</ns0:t>
        </ns0:is>
      </ns0:c>
      <ns0:c r="B87" s="19" t="inlineStr">
        <ns0:is>
          <ns0:t>Structured clinical/questionnaire data</ns0:t>
        </ns0:is>
      </ns0:c>
      <ns0:c r="C87" s="19" t="inlineStr">
        <ns0:is>
          <ns0:t>Other specified method</ns0:t>
        </ns0:is>
      </ns0:c>
      <ns0:c r="D87" s="19" t="inlineStr">
        <ns0:is>
          <ns0:t>Machine Learning</ns0:t>
        </ns0:is>
      </ns0:c>
      <ns0:c r="E87" s="27">
        <ns0:f>COUNTIFS('BASE_CIERRE'!$G$5:$G$458,1,'BASE_CIERRE'!$H$5:$H$458,"Diagnosis",'BASE_CIERRE'!$J$5:$J$458,"Structured clinical/questionnaire data",'BASE_CIERRE'!$L$5:$L$458,"Other specified method",'BASE_CIERRE'!$I$5:$I$458,"Machine Learning")</ns0:f>
        <ns0:v>3</ns0:v>
      </ns0:c>
      <ns0:c r="F87" s="27">
        <ns0:f>COUNTIFS('BASE_CIERRE'!$G$5:$G$458,1,'BASE_CIERRE'!$H$5:$H$458,"Diagnosis")</ns0:f>
        <ns0:v>216</ns0:v>
      </ns0:c>
      <ns0:c r="G87" s="31">
        <ns0:f>IFERROR(E87/F87,0)</ns0:f>
        <ns0:v>0.013888888888888888</ns0:v>
      </ns0:c>
    </ns0:row>
    <ns0:row r="88" ht="32" customHeight="1">
      <ns0:c r="A88" s="21" t="inlineStr">
        <ns0:is>
          <ns0:t>Diagnosis</ns0:t>
        </ns0:is>
      </ns0:c>
      <ns0:c r="B88" s="21" t="inlineStr">
        <ns0:is>
          <ns0:t>Structured clinical/questionnaire data</ns0:t>
        </ns0:is>
      </ns0:c>
      <ns0:c r="C88" s="21" t="inlineStr">
        <ns0:is>
          <ns0:t>Random forest</ns0:t>
        </ns0:is>
      </ns0:c>
      <ns0:c r="D88" s="21" t="inlineStr">
        <ns0:is>
          <ns0:t>Machine Learning</ns0:t>
        </ns0:is>
      </ns0:c>
      <ns0:c r="E88" s="29">
        <ns0:f>COUNTIFS('BASE_CIERRE'!$G$5:$G$458,1,'BASE_CIERRE'!$H$5:$H$458,"Diagnosis",'BASE_CIERRE'!$J$5:$J$458,"Structured clinical/questionnaire data",'BASE_CIERRE'!$L$5:$L$458,"Random forest",'BASE_CIERRE'!$I$5:$I$458,"Machine Learning")</ns0:f>
        <ns0:v>2</ns0:v>
      </ns0:c>
      <ns0:c r="F88" s="29">
        <ns0:f>COUNTIFS('BASE_CIERRE'!$G$5:$G$458,1,'BASE_CIERRE'!$H$5:$H$458,"Diagnosis")</ns0:f>
        <ns0:v>216</ns0:v>
      </ns0:c>
      <ns0:c r="G88" s="32">
        <ns0:f>IFERROR(E88/F88,0)</ns0:f>
        <ns0:v>0.009259259259259259</ns0:v>
      </ns0:c>
    </ns0:row>
    <ns0:row r="89" ht="32" customHeight="1">
      <ns0:c r="A89" s="19" t="inlineStr">
        <ns0:is>
          <ns0:t>Diagnosis</ns0:t>
        </ns0:is>
      </ns0:c>
      <ns0:c r="B89" s="19" t="inlineStr">
        <ns0:is>
          <ns0:t>Structured clinical/questionnaire data</ns0:t>
        </ns0:is>
      </ns0:c>
      <ns0:c r="C89" s="19" t="inlineStr">
        <ns0:is>
          <ns0:t>SVM</ns0:t>
        </ns0:is>
      </ns0:c>
      <ns0:c r="D89" s="19" t="inlineStr">
        <ns0:is>
          <ns0:t>Machine Learning</ns0:t>
        </ns0:is>
      </ns0:c>
      <ns0:c r="E89" s="27">
        <ns0:f>COUNTIFS('BASE_CIERRE'!$G$5:$G$458,1,'BASE_CIERRE'!$H$5:$H$458,"Diagnosis",'BASE_CIERRE'!$J$5:$J$458,"Structured clinical/questionnaire data",'BASE_CIERRE'!$L$5:$L$458,"SVM",'BASE_CIERRE'!$I$5:$I$458,"Machine Learning")</ns0:f>
        <ns0:v>2</ns0:v>
      </ns0:c>
      <ns0:c r="F89" s="27">
        <ns0:f>COUNTIFS('BASE_CIERRE'!$G$5:$G$458,1,'BASE_CIERRE'!$H$5:$H$458,"Diagnosis")</ns0:f>
        <ns0:v>216</ns0:v>
      </ns0:c>
      <ns0:c r="G89" s="31">
        <ns0:f>IFERROR(E89/F89,0)</ns0:f>
        <ns0:v>0.009259259259259259</ns0:v>
      </ns0:c>
    </ns0:row>
    <ns0:row r="90" ht="32" customHeight="1">
      <ns0:c r="A90" s="21" t="inlineStr">
        <ns0:is>
          <ns0:t>Diagnosis</ns0:t>
        </ns0:is>
      </ns0:c>
      <ns0:c r="B90" s="21" t="inlineStr">
        <ns0:is>
          <ns0:t>Text/language</ns0:t>
        </ns0:is>
      </ns0:c>
      <ns0:c r="C90" s="21" t="inlineStr">
        <ns0:is>
          <ns0:t>Other specified method</ns0:t>
        </ns0:is>
      </ns0:c>
      <ns0:c r="D90" s="21" t="inlineStr">
        <ns0:is>
          <ns0:t>Deep Learning</ns0:t>
        </ns0:is>
      </ns0:c>
      <ns0:c r="E90" s="29">
        <ns0:f>COUNTIFS('BASE_CIERRE'!$G$5:$G$458,1,'BASE_CIERRE'!$H$5:$H$458,"Diagnosis",'BASE_CIERRE'!$J$5:$J$458,"Text/language",'BASE_CIERRE'!$L$5:$L$458,"Other specified method",'BASE_CIERRE'!$I$5:$I$458,"Deep Learning")</ns0:f>
        <ns0:v>1</ns0:v>
      </ns0:c>
      <ns0:c r="F90" s="29">
        <ns0:f>COUNTIFS('BASE_CIERRE'!$G$5:$G$458,1,'BASE_CIERRE'!$H$5:$H$458,"Diagnosis")</ns0:f>
        <ns0:v>216</ns0:v>
      </ns0:c>
      <ns0:c r="G90" s="32">
        <ns0:f>IFERROR(E90/F90,0)</ns0:f>
        <ns0:v>0.004629629629629629</ns0:v>
      </ns0:c>
    </ns0:row>
    <ns0:row r="91" ht="32" customHeight="1">
      <ns0:c r="A91" s="19" t="inlineStr">
        <ns0:is>
          <ns0:t>Diagnosis</ns0:t>
        </ns0:is>
      </ns0:c>
      <ns0:c r="B91" s="19" t="inlineStr">
        <ns0:is>
          <ns0:t>Text/language</ns0:t>
        </ns0:is>
      </ns0:c>
      <ns0:c r="C91" s="19" t="inlineStr">
        <ns0:is>
          <ns0:t>Transformer</ns0:t>
        </ns0:is>
      </ns0:c>
      <ns0:c r="D91" s="19" t="inlineStr">
        <ns0:is>
          <ns0:t>Deep Learning</ns0:t>
        </ns0:is>
      </ns0:c>
      <ns0:c r="E91" s="27">
        <ns0:f>COUNTIFS('BASE_CIERRE'!$G$5:$G$458,1,'BASE_CIERRE'!$H$5:$H$458,"Diagnosis",'BASE_CIERRE'!$J$5:$J$458,"Text/language",'BASE_CIERRE'!$L$5:$L$458,"Transformer",'BASE_CIERRE'!$I$5:$I$458,"Deep Learning")</ns0:f>
        <ns0:v>4</ns0:v>
      </ns0:c>
      <ns0:c r="F91" s="27">
        <ns0:f>COUNTIFS('BASE_CIERRE'!$G$5:$G$458,1,'BASE_CIERRE'!$H$5:$H$458,"Diagnosis")</ns0:f>
        <ns0:v>216</ns0:v>
      </ns0:c>
      <ns0:c r="G91" s="31">
        <ns0:f>IFERROR(E91/F91,0)</ns0:f>
        <ns0:v>0.018518518518518517</ns0:v>
      </ns0:c>
    </ns0:row>
    <ns0:row r="92" ht="32" customHeight="1">
      <ns0:c r="A92" s="21" t="inlineStr">
        <ns0:is>
          <ns0:t>Monitoring/intervention</ns0:t>
        </ns0:is>
      </ns0:c>
      <ns0:c r="B92" s="21" t="inlineStr">
        <ns0:is>
          <ns0:t>Audio/voice</ns0:t>
        </ns0:is>
      </ns0:c>
      <ns0:c r="C92" s="21" t="inlineStr">
        <ns0:is>
          <ns0:t>Multiple/not uniquely specified</ns0:t>
        </ns0:is>
      </ns0:c>
      <ns0:c r="D92" s="21" t="inlineStr">
        <ns0:is>
          <ns0:t>Deep Learning</ns0:t>
        </ns0:is>
      </ns0:c>
      <ns0:c r="E92" s="29">
        <ns0:f>COUNTIFS('BASE_CIERRE'!$G$5:$G$458,1,'BASE_CIERRE'!$H$5:$H$458,"Monitoring/intervention",'BASE_CIERRE'!$J$5:$J$458,"Audio/voice",'BASE_CIERRE'!$L$5:$L$458,"Multiple/not uniquely specified",'BASE_CIERRE'!$I$5:$I$458,"Deep Learning")</ns0:f>
        <ns0:v>1</ns0:v>
      </ns0:c>
      <ns0:c r="F92" s="29">
        <ns0:f>COUNTIFS('BASE_CIERRE'!$G$5:$G$458,1,'BASE_CIERRE'!$H$5:$H$458,"Monitoring/intervention")</ns0:f>
        <ns0:v>38</ns0:v>
      </ns0:c>
      <ns0:c r="G92" s="32">
        <ns0:f>IFERROR(E92/F92,0)</ns0:f>
        <ns0:v>0.02631578947368421</ns0:v>
      </ns0:c>
    </ns0:row>
    <ns0:row r="93" ht="32" customHeight="1">
      <ns0:c r="A93" s="19" t="inlineStr">
        <ns0:is>
          <ns0:t>Monitoring/intervention</ns0:t>
        </ns0:is>
      </ns0:c>
      <ns0:c r="B93" s="19" t="inlineStr">
        <ns0:is>
          <ns0:t>Audio/voice</ns0:t>
        </ns0:is>
      </ns0:c>
      <ns0:c r="C93" s="19" t="inlineStr">
        <ns0:is>
          <ns0:t>Multiple/not uniquely specified</ns0:t>
        </ns0:is>
      </ns0:c>
      <ns0:c r="D93" s="19" t="inlineStr">
        <ns0:is>
          <ns0:t>Not specified</ns0:t>
        </ns0:is>
      </ns0:c>
      <ns0:c r="E93" s="27">
        <ns0:f>COUNTIFS('BASE_CIERRE'!$G$5:$G$458,1,'BASE_CIERRE'!$H$5:$H$458,"Monitoring/intervention",'BASE_CIERRE'!$J$5:$J$458,"Audio/voice",'BASE_CIERRE'!$L$5:$L$458,"Multiple/not uniquely specified",'BASE_CIERRE'!$I$5:$I$458,"Not specified")</ns0:f>
        <ns0:v>1</ns0:v>
      </ns0:c>
      <ns0:c r="F93" s="27">
        <ns0:f>COUNTIFS('BASE_CIERRE'!$G$5:$G$458,1,'BASE_CIERRE'!$H$5:$H$458,"Monitoring/intervention")</ns0:f>
        <ns0:v>38</ns0:v>
      </ns0:c>
      <ns0:c r="G93" s="31">
        <ns0:f>IFERROR(E93/F93,0)</ns0:f>
        <ns0:v>0.02631578947368421</ns0:v>
      </ns0:c>
    </ns0:row>
    <ns0:row r="94" ht="32" customHeight="1">
      <ns0:c r="A94" s="21" t="inlineStr">
        <ns0:is>
          <ns0:t>Monitoring/intervention</ns0:t>
        </ns0:is>
      </ns0:c>
      <ns0:c r="B94" s="21" t="inlineStr">
        <ns0:is>
          <ns0:t>Behavioral images/video/gaze/movement</ns0:t>
        </ns0:is>
      </ns0:c>
      <ns0:c r="C94" s="21" t="inlineStr">
        <ns0:is>
          <ns0:t>CNN</ns0:t>
        </ns0:is>
      </ns0:c>
      <ns0:c r="D94" s="21" t="inlineStr">
        <ns0:is>
          <ns0:t>Deep Learning</ns0:t>
        </ns0:is>
      </ns0:c>
      <ns0:c r="E94" s="29">
        <ns0:f>COUNTIFS('BASE_CIERRE'!$G$5:$G$458,1,'BASE_CIERRE'!$H$5:$H$458,"Monitoring/intervention",'BASE_CIERRE'!$J$5:$J$458,"Behavioral images/video/gaze/movement",'BASE_CIERRE'!$L$5:$L$458,"CNN",'BASE_CIERRE'!$I$5:$I$458,"Deep Learning")</ns0:f>
        <ns0:v>3</ns0:v>
      </ns0:c>
      <ns0:c r="F94" s="29">
        <ns0:f>COUNTIFS('BASE_CIERRE'!$G$5:$G$458,1,'BASE_CIERRE'!$H$5:$H$458,"Monitoring/intervention")</ns0:f>
        <ns0:v>38</ns0:v>
      </ns0:c>
      <ns0:c r="G94" s="32">
        <ns0:f>IFERROR(E94/F94,0)</ns0:f>
        <ns0:v>0.07894736842105263</ns0:v>
      </ns0:c>
    </ns0:row>
    <ns0:row r="95" ht="32" customHeight="1">
      <ns0:c r="A95" s="19" t="inlineStr">
        <ns0:is>
          <ns0:t>Monitoring/intervention</ns0:t>
        </ns0:is>
      </ns0:c>
      <ns0:c r="B95" s="19" t="inlineStr">
        <ns0:is>
          <ns0:t>Behavioral images/video/gaze/movement</ns0:t>
        </ns0:is>
      </ns0:c>
      <ns0:c r="C95" s="19" t="inlineStr">
        <ns0:is>
          <ns0:t>Composite/ensemble pipeline</ns0:t>
        </ns0:is>
      </ns0:c>
      <ns0:c r="D95" s="19" t="inlineStr">
        <ns0:is>
          <ns0:t>Deep Learning</ns0:t>
        </ns0:is>
      </ns0:c>
      <ns0:c r="E95" s="27">
        <ns0:f>COUNTIFS('BASE_CIERRE'!$G$5:$G$458,1,'BASE_CIERRE'!$H$5:$H$458,"Monitoring/intervention",'BASE_CIERRE'!$J$5:$J$458,"Behavioral images/video/gaze/movement",'BASE_CIERRE'!$L$5:$L$458,"Composite/ensemble pipeline",'BASE_CIERRE'!$I$5:$I$458,"Deep Learning")</ns0:f>
        <ns0:v>1</ns0:v>
      </ns0:c>
      <ns0:c r="F95" s="27">
        <ns0:f>COUNTIFS('BASE_CIERRE'!$G$5:$G$458,1,'BASE_CIERRE'!$H$5:$H$458,"Monitoring/intervention")</ns0:f>
        <ns0:v>38</ns0:v>
      </ns0:c>
      <ns0:c r="G95" s="31">
        <ns0:f>IFERROR(E95/F95,0)</ns0:f>
        <ns0:v>0.02631578947368421</ns0:v>
      </ns0:c>
    </ns0:row>
    <ns0:row r="96" ht="32" customHeight="1">
      <ns0:c r="A96" s="21" t="inlineStr">
        <ns0:is>
          <ns0:t>Monitoring/intervention</ns0:t>
        </ns0:is>
      </ns0:c>
      <ns0:c r="B96" s="21" t="inlineStr">
        <ns0:is>
          <ns0:t>Behavioral images/video/gaze/movement</ns0:t>
        </ns0:is>
      </ns0:c>
      <ns0:c r="C96" s="21" t="inlineStr">
        <ns0:is>
          <ns0:t>Composite/ensemble pipeline</ns0:t>
        </ns0:is>
      </ns0:c>
      <ns0:c r="D96" s="21" t="inlineStr">
        <ns0:is>
          <ns0:t>Hybrid</ns0:t>
        </ns0:is>
      </ns0:c>
      <ns0:c r="E96" s="29">
        <ns0:f>COUNTIFS('BASE_CIERRE'!$G$5:$G$458,1,'BASE_CIERRE'!$H$5:$H$458,"Monitoring/intervention",'BASE_CIERRE'!$J$5:$J$458,"Behavioral images/video/gaze/movement",'BASE_CIERRE'!$L$5:$L$458,"Composite/ensemble pipeline",'BASE_CIERRE'!$I$5:$I$458,"Hybrid")</ns0:f>
        <ns0:v>1</ns0:v>
      </ns0:c>
      <ns0:c r="F96" s="29">
        <ns0:f>COUNTIFS('BASE_CIERRE'!$G$5:$G$458,1,'BASE_CIERRE'!$H$5:$H$458,"Monitoring/intervention")</ns0:f>
        <ns0:v>38</ns0:v>
      </ns0:c>
      <ns0:c r="G96" s="32">
        <ns0:f>IFERROR(E96/F96,0)</ns0:f>
        <ns0:v>0.02631578947368421</ns0:v>
      </ns0:c>
    </ns0:row>
    <ns0:row r="97" ht="32" customHeight="1">
      <ns0:c r="A97" s="19" t="inlineStr">
        <ns0:is>
          <ns0:t>Monitoring/intervention</ns0:t>
        </ns0:is>
      </ns0:c>
      <ns0:c r="B97" s="19" t="inlineStr">
        <ns0:is>
          <ns0:t>Behavioral images/video/gaze/movement</ns0:t>
        </ns0:is>
      </ns0:c>
      <ns0:c r="C97" s="19" t="inlineStr">
        <ns0:is>
          <ns0:t>Logistic regression</ns0:t>
        </ns0:is>
      </ns0:c>
      <ns0:c r="D97" s="19" t="inlineStr">
        <ns0:is>
          <ns0:t>Machine Learning</ns0:t>
        </ns0:is>
      </ns0:c>
      <ns0:c r="E97" s="27">
        <ns0:f>COUNTIFS('BASE_CIERRE'!$G$5:$G$458,1,'BASE_CIERRE'!$H$5:$H$458,"Monitoring/intervention",'BASE_CIERRE'!$J$5:$J$458,"Behavioral images/video/gaze/movement",'BASE_CIERRE'!$L$5:$L$458,"Logistic regression",'BASE_CIERRE'!$I$5:$I$458,"Machine Learning")</ns0:f>
        <ns0:v>1</ns0:v>
      </ns0:c>
      <ns0:c r="F97" s="27">
        <ns0:f>COUNTIFS('BASE_CIERRE'!$G$5:$G$458,1,'BASE_CIERRE'!$H$5:$H$458,"Monitoring/intervention")</ns0:f>
        <ns0:v>38</ns0:v>
      </ns0:c>
      <ns0:c r="G97" s="31">
        <ns0:f>IFERROR(E97/F97,0)</ns0:f>
        <ns0:v>0.02631578947368421</ns0:v>
      </ns0:c>
    </ns0:row>
    <ns0:row r="98" ht="32" customHeight="1">
      <ns0:c r="A98" s="21" t="inlineStr">
        <ns0:is>
          <ns0:t>Monitoring/intervention</ns0:t>
        </ns0:is>
      </ns0:c>
      <ns0:c r="B98" s="21" t="inlineStr">
        <ns0:is>
          <ns0:t>Behavioral images/video/gaze/movement</ns0:t>
        </ns0:is>
      </ns0:c>
      <ns0:c r="C98" s="21" t="inlineStr">
        <ns0:is>
          <ns0:t>Multiple/not uniquely specified</ns0:t>
        </ns0:is>
      </ns0:c>
      <ns0:c r="D98" s="21" t="inlineStr">
        <ns0:is>
          <ns0:t>Deep Learning</ns0:t>
        </ns0:is>
      </ns0:c>
      <ns0:c r="E98" s="29">
        <ns0:f>COUNTIFS('BASE_CIERRE'!$G$5:$G$458,1,'BASE_CIERRE'!$H$5:$H$458,"Monitoring/intervention",'BASE_CIERRE'!$J$5:$J$458,"Behavioral images/video/gaze/movement",'BASE_CIERRE'!$L$5:$L$458,"Multiple/not uniquely specified",'BASE_CIERRE'!$I$5:$I$458,"Deep Learning")</ns0:f>
        <ns0:v>1</ns0:v>
      </ns0:c>
      <ns0:c r="F98" s="29">
        <ns0:f>COUNTIFS('BASE_CIERRE'!$G$5:$G$458,1,'BASE_CIERRE'!$H$5:$H$458,"Monitoring/intervention")</ns0:f>
        <ns0:v>38</ns0:v>
      </ns0:c>
      <ns0:c r="G98" s="32">
        <ns0:f>IFERROR(E98/F98,0)</ns0:f>
        <ns0:v>0.02631578947368421</ns0:v>
      </ns0:c>
    </ns0:row>
    <ns0:row r="99" ht="32" customHeight="1">
      <ns0:c r="A99" s="19" t="inlineStr">
        <ns0:is>
          <ns0:t>Monitoring/intervention</ns0:t>
        </ns0:is>
      </ns0:c>
      <ns0:c r="B99" s="19" t="inlineStr">
        <ns0:is>
          <ns0:t>Behavioral images/video/gaze/movement</ns0:t>
        </ns0:is>
      </ns0:c>
      <ns0:c r="C99" s="19" t="inlineStr">
        <ns0:is>
          <ns0:t>Multiple/not uniquely specified</ns0:t>
        </ns0:is>
      </ns0:c>
      <ns0:c r="D99" s="19" t="inlineStr">
        <ns0:is>
          <ns0:t>Not specified</ns0:t>
        </ns0:is>
      </ns0:c>
      <ns0:c r="E99" s="27">
        <ns0:f>COUNTIFS('BASE_CIERRE'!$G$5:$G$458,1,'BASE_CIERRE'!$H$5:$H$458,"Monitoring/intervention",'BASE_CIERRE'!$J$5:$J$458,"Behavioral images/video/gaze/movement",'BASE_CIERRE'!$L$5:$L$458,"Multiple/not uniquely specified",'BASE_CIERRE'!$I$5:$I$458,"Not specified")</ns0:f>
        <ns0:v>2</ns0:v>
      </ns0:c>
      <ns0:c r="F99" s="27">
        <ns0:f>COUNTIFS('BASE_CIERRE'!$G$5:$G$458,1,'BASE_CIERRE'!$H$5:$H$458,"Monitoring/intervention")</ns0:f>
        <ns0:v>38</ns0:v>
      </ns0:c>
      <ns0:c r="G99" s="31">
        <ns0:f>IFERROR(E99/F99,0)</ns0:f>
        <ns0:v>0.05263157894736842</ns0:v>
      </ns0:c>
    </ns0:row>
    <ns0:row r="100" ht="32" customHeight="1">
      <ns0:c r="A100" s="21" t="inlineStr">
        <ns0:is>
          <ns0:t>Monitoring/intervention</ns0:t>
        </ns0:is>
      </ns0:c>
      <ns0:c r="B100" s="21" t="inlineStr">
        <ns0:is>
          <ns0:t>Behavioral images/video/gaze/movement</ns0:t>
        </ns0:is>
      </ns0:c>
      <ns0:c r="C100" s="21" t="inlineStr">
        <ns0:is>
          <ns0:t>Other specified method</ns0:t>
        </ns0:is>
      </ns0:c>
      <ns0:c r="D100" s="21" t="inlineStr">
        <ns0:is>
          <ns0:t>Deep Learning</ns0:t>
        </ns0:is>
      </ns0:c>
      <ns0:c r="E100" s="29">
        <ns0:f>COUNTIFS('BASE_CIERRE'!$G$5:$G$458,1,'BASE_CIERRE'!$H$5:$H$458,"Monitoring/intervention",'BASE_CIERRE'!$J$5:$J$458,"Behavioral images/video/gaze/movement",'BASE_CIERRE'!$L$5:$L$458,"Other specified method",'BASE_CIERRE'!$I$5:$I$458,"Deep Learning")</ns0:f>
        <ns0:v>2</ns0:v>
      </ns0:c>
      <ns0:c r="F100" s="29">
        <ns0:f>COUNTIFS('BASE_CIERRE'!$G$5:$G$458,1,'BASE_CIERRE'!$H$5:$H$458,"Monitoring/intervention")</ns0:f>
        <ns0:v>38</ns0:v>
      </ns0:c>
      <ns0:c r="G100" s="32">
        <ns0:f>IFERROR(E100/F100,0)</ns0:f>
        <ns0:v>0.05263157894736842</ns0:v>
      </ns0:c>
    </ns0:row>
    <ns0:row r="101" ht="32" customHeight="1">
      <ns0:c r="A101" s="19" t="inlineStr">
        <ns0:is>
          <ns0:t>Monitoring/intervention</ns0:t>
        </ns0:is>
      </ns0:c>
      <ns0:c r="B101" s="19" t="inlineStr">
        <ns0:is>
          <ns0:t>Behavioral images/video/gaze/movement</ns0:t>
        </ns0:is>
      </ns0:c>
      <ns0:c r="C101" s="19" t="inlineStr">
        <ns0:is>
          <ns0:t>Other specified method</ns0:t>
        </ns0:is>
      </ns0:c>
      <ns0:c r="D101" s="19" t="inlineStr">
        <ns0:is>
          <ns0:t>Hybrid</ns0:t>
        </ns0:is>
      </ns0:c>
      <ns0:c r="E101" s="27">
        <ns0:f>COUNTIFS('BASE_CIERRE'!$G$5:$G$458,1,'BASE_CIERRE'!$H$5:$H$458,"Monitoring/intervention",'BASE_CIERRE'!$J$5:$J$458,"Behavioral images/video/gaze/movement",'BASE_CIERRE'!$L$5:$L$458,"Other specified method",'BASE_CIERRE'!$I$5:$I$458,"Hybrid")</ns0:f>
        <ns0:v>1</ns0:v>
      </ns0:c>
      <ns0:c r="F101" s="27">
        <ns0:f>COUNTIFS('BASE_CIERRE'!$G$5:$G$458,1,'BASE_CIERRE'!$H$5:$H$458,"Monitoring/intervention")</ns0:f>
        <ns0:v>38</ns0:v>
      </ns0:c>
      <ns0:c r="G101" s="31">
        <ns0:f>IFERROR(E101/F101,0)</ns0:f>
        <ns0:v>0.02631578947368421</ns0:v>
      </ns0:c>
    </ns0:row>
    <ns0:row r="102" ht="32" customHeight="1">
      <ns0:c r="A102" s="21" t="inlineStr">
        <ns0:is>
          <ns0:t>Monitoring/intervention</ns0:t>
        </ns0:is>
      </ns0:c>
      <ns0:c r="B102" s="21" t="inlineStr">
        <ns0:is>
          <ns0:t>Behavioral images/video/gaze/movement</ns0:t>
        </ns0:is>
      </ns0:c>
      <ns0:c r="C102" s="21" t="inlineStr">
        <ns0:is>
          <ns0:t>Other specified method</ns0:t>
        </ns0:is>
      </ns0:c>
      <ns0:c r="D102" s="21" t="inlineStr">
        <ns0:is>
          <ns0:t>Not specified</ns0:t>
        </ns0:is>
      </ns0:c>
      <ns0:c r="E102" s="29">
        <ns0:f>COUNTIFS('BASE_CIERRE'!$G$5:$G$458,1,'BASE_CIERRE'!$H$5:$H$458,"Monitoring/intervention",'BASE_CIERRE'!$J$5:$J$458,"Behavioral images/video/gaze/movement",'BASE_CIERRE'!$L$5:$L$458,"Other specified method",'BASE_CIERRE'!$I$5:$I$458,"Not specified")</ns0:f>
        <ns0:v>1</ns0:v>
      </ns0:c>
      <ns0:c r="F102" s="29">
        <ns0:f>COUNTIFS('BASE_CIERRE'!$G$5:$G$458,1,'BASE_CIERRE'!$H$5:$H$458,"Monitoring/intervention")</ns0:f>
        <ns0:v>38</ns0:v>
      </ns0:c>
      <ns0:c r="G102" s="32">
        <ns0:f>IFERROR(E102/F102,0)</ns0:f>
        <ns0:v>0.02631578947368421</ns0:v>
      </ns0:c>
    </ns0:row>
    <ns0:row r="103" ht="32" customHeight="1">
      <ns0:c r="A103" s="19" t="inlineStr">
        <ns0:is>
          <ns0:t>Monitoring/intervention</ns0:t>
        </ns0:is>
      </ns0:c>
      <ns0:c r="B103" s="19" t="inlineStr">
        <ns0:is>
          <ns0:t>Biological/omics</ns0:t>
        </ns0:is>
      </ns0:c>
      <ns0:c r="C103" s="19" t="inlineStr">
        <ns0:is>
          <ns0:t>Other specified method</ns0:t>
        </ns0:is>
      </ns0:c>
      <ns0:c r="D103" s="19" t="inlineStr">
        <ns0:is>
          <ns0:t>Machine Learning</ns0:t>
        </ns0:is>
      </ns0:c>
      <ns0:c r="E103" s="27">
        <ns0:f>COUNTIFS('BASE_CIERRE'!$G$5:$G$458,1,'BASE_CIERRE'!$H$5:$H$458,"Monitoring/intervention",'BASE_CIERRE'!$J$5:$J$458,"Biological/omics",'BASE_CIERRE'!$L$5:$L$458,"Other specified method",'BASE_CIERRE'!$I$5:$I$458,"Machine Learning")</ns0:f>
        <ns0:v>1</ns0:v>
      </ns0:c>
      <ns0:c r="F103" s="27">
        <ns0:f>COUNTIFS('BASE_CIERRE'!$G$5:$G$458,1,'BASE_CIERRE'!$H$5:$H$458,"Monitoring/intervention")</ns0:f>
        <ns0:v>38</ns0:v>
      </ns0:c>
      <ns0:c r="G103" s="31">
        <ns0:f>IFERROR(E103/F103,0)</ns0:f>
        <ns0:v>0.02631578947368421</ns0:v>
      </ns0:c>
    </ns0:row>
    <ns0:row r="104" ht="32" customHeight="1">
      <ns0:c r="A104" s="21" t="inlineStr">
        <ns0:is>
          <ns0:t>Monitoring/intervention</ns0:t>
        </ns0:is>
      </ns0:c>
      <ns0:c r="B104" s="21" t="inlineStr">
        <ns0:is>
          <ns0:t>Multiple source categories</ns0:t>
        </ns0:is>
      </ns0:c>
      <ns0:c r="C104" s="21" t="inlineStr">
        <ns0:is>
          <ns0:t>CNN</ns0:t>
        </ns0:is>
      </ns0:c>
      <ns0:c r="D104" s="21" t="inlineStr">
        <ns0:is>
          <ns0:t>Deep Learning</ns0:t>
        </ns0:is>
      </ns0:c>
      <ns0:c r="E104" s="29">
        <ns0:f>COUNTIFS('BASE_CIERRE'!$G$5:$G$458,1,'BASE_CIERRE'!$H$5:$H$458,"Monitoring/intervention",'BASE_CIERRE'!$J$5:$J$458,"Multiple source categories",'BASE_CIERRE'!$L$5:$L$458,"CNN",'BASE_CIERRE'!$I$5:$I$458,"Deep Learning")</ns0:f>
        <ns0:v>1</ns0:v>
      </ns0:c>
      <ns0:c r="F104" s="29">
        <ns0:f>COUNTIFS('BASE_CIERRE'!$G$5:$G$458,1,'BASE_CIERRE'!$H$5:$H$458,"Monitoring/intervention")</ns0:f>
        <ns0:v>38</ns0:v>
      </ns0:c>
      <ns0:c r="G104" s="32">
        <ns0:f>IFERROR(E104/F104,0)</ns0:f>
        <ns0:v>0.02631578947368421</ns0:v>
      </ns0:c>
    </ns0:row>
    <ns0:row r="105" ht="32" customHeight="1">
      <ns0:c r="A105" s="19" t="inlineStr">
        <ns0:is>
          <ns0:t>Monitoring/intervention</ns0:t>
        </ns0:is>
      </ns0:c>
      <ns0:c r="B105" s="19" t="inlineStr">
        <ns0:is>
          <ns0:t>Multiple source categories</ns0:t>
        </ns0:is>
      </ns0:c>
      <ns0:c r="C105" s="19" t="inlineStr">
        <ns0:is>
          <ns0:t>Composite/ensemble pipeline</ns0:t>
        </ns0:is>
      </ns0:c>
      <ns0:c r="D105" s="19" t="inlineStr">
        <ns0:is>
          <ns0:t>Deep Learning</ns0:t>
        </ns0:is>
      </ns0:c>
      <ns0:c r="E105" s="27">
        <ns0:f>COUNTIFS('BASE_CIERRE'!$G$5:$G$458,1,'BASE_CIERRE'!$H$5:$H$458,"Monitoring/intervention",'BASE_CIERRE'!$J$5:$J$458,"Multiple source categories",'BASE_CIERRE'!$L$5:$L$458,"Composite/ensemble pipeline",'BASE_CIERRE'!$I$5:$I$458,"Deep Learning")</ns0:f>
        <ns0:v>1</ns0:v>
      </ns0:c>
      <ns0:c r="F105" s="27">
        <ns0:f>COUNTIFS('BASE_CIERRE'!$G$5:$G$458,1,'BASE_CIERRE'!$H$5:$H$458,"Monitoring/intervention")</ns0:f>
        <ns0:v>38</ns0:v>
      </ns0:c>
      <ns0:c r="G105" s="31">
        <ns0:f>IFERROR(E105/F105,0)</ns0:f>
        <ns0:v>0.02631578947368421</ns0:v>
      </ns0:c>
    </ns0:row>
    <ns0:row r="106" ht="32" customHeight="1">
      <ns0:c r="A106" s="21" t="inlineStr">
        <ns0:is>
          <ns0:t>Monitoring/intervention</ns0:t>
        </ns0:is>
      </ns0:c>
      <ns0:c r="B106" s="21" t="inlineStr">
        <ns0:is>
          <ns0:t>Multiple source categories</ns0:t>
        </ns0:is>
      </ns0:c>
      <ns0:c r="C106" s="21" t="inlineStr">
        <ns0:is>
          <ns0:t>Multiple/not uniquely specified</ns0:t>
        </ns0:is>
      </ns0:c>
      <ns0:c r="D106" s="21" t="inlineStr">
        <ns0:is>
          <ns0:t>Not specified</ns0:t>
        </ns0:is>
      </ns0:c>
      <ns0:c r="E106" s="29">
        <ns0:f>COUNTIFS('BASE_CIERRE'!$G$5:$G$458,1,'BASE_CIERRE'!$H$5:$H$458,"Monitoring/intervention",'BASE_CIERRE'!$J$5:$J$458,"Multiple source categories",'BASE_CIERRE'!$L$5:$L$458,"Multiple/not uniquely specified",'BASE_CIERRE'!$I$5:$I$458,"Not specified")</ns0:f>
        <ns0:v>1</ns0:v>
      </ns0:c>
      <ns0:c r="F106" s="29">
        <ns0:f>COUNTIFS('BASE_CIERRE'!$G$5:$G$458,1,'BASE_CIERRE'!$H$5:$H$458,"Monitoring/intervention")</ns0:f>
        <ns0:v>38</ns0:v>
      </ns0:c>
      <ns0:c r="G106" s="32">
        <ns0:f>IFERROR(E106/F106,0)</ns0:f>
        <ns0:v>0.02631578947368421</ns0:v>
      </ns0:c>
    </ns0:row>
    <ns0:row r="107" ht="32" customHeight="1">
      <ns0:c r="A107" s="19" t="inlineStr">
        <ns0:is>
          <ns0:t>Monitoring/intervention</ns0:t>
        </ns0:is>
      </ns0:c>
      <ns0:c r="B107" s="19" t="inlineStr">
        <ns0:is>
          <ns0:t>Multiple source categories</ns0:t>
        </ns0:is>
      </ns0:c>
      <ns0:c r="C107" s="19" t="inlineStr">
        <ns0:is>
          <ns0:t>Other specified method</ns0:t>
        </ns0:is>
      </ns0:c>
      <ns0:c r="D107" s="19" t="inlineStr">
        <ns0:is>
          <ns0:t>Deep Learning</ns0:t>
        </ns0:is>
      </ns0:c>
      <ns0:c r="E107" s="27">
        <ns0:f>COUNTIFS('BASE_CIERRE'!$G$5:$G$458,1,'BASE_CIERRE'!$H$5:$H$458,"Monitoring/intervention",'BASE_CIERRE'!$J$5:$J$458,"Multiple source categories",'BASE_CIERRE'!$L$5:$L$458,"Other specified method",'BASE_CIERRE'!$I$5:$I$458,"Deep Learning")</ns0:f>
        <ns0:v>2</ns0:v>
      </ns0:c>
      <ns0:c r="F107" s="27">
        <ns0:f>COUNTIFS('BASE_CIERRE'!$G$5:$G$458,1,'BASE_CIERRE'!$H$5:$H$458,"Monitoring/intervention")</ns0:f>
        <ns0:v>38</ns0:v>
      </ns0:c>
      <ns0:c r="G107" s="31">
        <ns0:f>IFERROR(E107/F107,0)</ns0:f>
        <ns0:v>0.05263157894736842</ns0:v>
      </ns0:c>
    </ns0:row>
    <ns0:row r="108" ht="32" customHeight="1">
      <ns0:c r="A108" s="21" t="inlineStr">
        <ns0:is>
          <ns0:t>Monitoring/intervention</ns0:t>
        </ns0:is>
      </ns0:c>
      <ns0:c r="B108" s="21" t="inlineStr">
        <ns0:is>
          <ns0:t>Multiple source categories</ns0:t>
        </ns0:is>
      </ns0:c>
      <ns0:c r="C108" s="21" t="inlineStr">
        <ns0:is>
          <ns0:t>Other specified method</ns0:t>
        </ns0:is>
      </ns0:c>
      <ns0:c r="D108" s="21" t="inlineStr">
        <ns0:is>
          <ns0:t>Hybrid</ns0:t>
        </ns0:is>
      </ns0:c>
      <ns0:c r="E108" s="29">
        <ns0:f>COUNTIFS('BASE_CIERRE'!$G$5:$G$458,1,'BASE_CIERRE'!$H$5:$H$458,"Monitoring/intervention",'BASE_CIERRE'!$J$5:$J$458,"Multiple source categories",'BASE_CIERRE'!$L$5:$L$458,"Other specified method",'BASE_CIERRE'!$I$5:$I$458,"Hybrid")</ns0:f>
        <ns0:v>1</ns0:v>
      </ns0:c>
      <ns0:c r="F108" s="29">
        <ns0:f>COUNTIFS('BASE_CIERRE'!$G$5:$G$458,1,'BASE_CIERRE'!$H$5:$H$458,"Monitoring/intervention")</ns0:f>
        <ns0:v>38</ns0:v>
      </ns0:c>
      <ns0:c r="G108" s="32">
        <ns0:f>IFERROR(E108/F108,0)</ns0:f>
        <ns0:v>0.02631578947368421</ns0:v>
      </ns0:c>
    </ns0:row>
    <ns0:row r="109" ht="32" customHeight="1">
      <ns0:c r="A109" s="19" t="inlineStr">
        <ns0:is>
          <ns0:t>Monitoring/intervention</ns0:t>
        </ns0:is>
      </ns0:c>
      <ns0:c r="B109" s="19" t="inlineStr">
        <ns0:is>
          <ns0:t>Multiple source categories</ns0:t>
        </ns0:is>
      </ns0:c>
      <ns0:c r="C109" s="19" t="inlineStr">
        <ns0:is>
          <ns0:t>Transformer</ns0:t>
        </ns0:is>
      </ns0:c>
      <ns0:c r="D109" s="19" t="inlineStr">
        <ns0:is>
          <ns0:t>Deep Learning</ns0:t>
        </ns0:is>
      </ns0:c>
      <ns0:c r="E109" s="27">
        <ns0:f>COUNTIFS('BASE_CIERRE'!$G$5:$G$458,1,'BASE_CIERRE'!$H$5:$H$458,"Monitoring/intervention",'BASE_CIERRE'!$J$5:$J$458,"Multiple source categories",'BASE_CIERRE'!$L$5:$L$458,"Transformer",'BASE_CIERRE'!$I$5:$I$458,"Deep Learning")</ns0:f>
        <ns0:v>1</ns0:v>
      </ns0:c>
      <ns0:c r="F109" s="27">
        <ns0:f>COUNTIFS('BASE_CIERRE'!$G$5:$G$458,1,'BASE_CIERRE'!$H$5:$H$458,"Monitoring/intervention")</ns0:f>
        <ns0:v>38</ns0:v>
      </ns0:c>
      <ns0:c r="G109" s="31">
        <ns0:f>IFERROR(E109/F109,0)</ns0:f>
        <ns0:v>0.02631578947368421</ns0:v>
      </ns0:c>
    </ns0:row>
    <ns0:row r="110" ht="32" customHeight="1">
      <ns0:c r="A110" s="21" t="inlineStr">
        <ns0:is>
          <ns0:t>Monitoring/intervention</ns0:t>
        </ns0:is>
      </ns0:c>
      <ns0:c r="B110" s="21" t="inlineStr">
        <ns0:is>
          <ns0:t>Not specified</ns0:t>
        </ns0:is>
      </ns0:c>
      <ns0:c r="C110" s="21" t="inlineStr">
        <ns0:is>
          <ns0:t>Composite/ensemble pipeline</ns0:t>
        </ns0:is>
      </ns0:c>
      <ns0:c r="D110" s="21" t="inlineStr">
        <ns0:is>
          <ns0:t>Deep Learning</ns0:t>
        </ns0:is>
      </ns0:c>
      <ns0:c r="E110" s="29">
        <ns0:f>COUNTIFS('BASE_CIERRE'!$G$5:$G$458,1,'BASE_CIERRE'!$H$5:$H$458,"Monitoring/intervention",'BASE_CIERRE'!$J$5:$J$458,"Not specified",'BASE_CIERRE'!$L$5:$L$458,"Composite/ensemble pipeline",'BASE_CIERRE'!$I$5:$I$458,"Deep Learning")</ns0:f>
        <ns0:v>1</ns0:v>
      </ns0:c>
      <ns0:c r="F110" s="29">
        <ns0:f>COUNTIFS('BASE_CIERRE'!$G$5:$G$458,1,'BASE_CIERRE'!$H$5:$H$458,"Monitoring/intervention")</ns0:f>
        <ns0:v>38</ns0:v>
      </ns0:c>
      <ns0:c r="G110" s="32">
        <ns0:f>IFERROR(E110/F110,0)</ns0:f>
        <ns0:v>0.02631578947368421</ns0:v>
      </ns0:c>
    </ns0:row>
    <ns0:row r="111" ht="32" customHeight="1">
      <ns0:c r="A111" s="19" t="inlineStr">
        <ns0:is>
          <ns0:t>Monitoring/intervention</ns0:t>
        </ns0:is>
      </ns0:c>
      <ns0:c r="B111" s="19" t="inlineStr">
        <ns0:is>
          <ns0:t>Not specified</ns0:t>
        </ns0:is>
      </ns0:c>
      <ns0:c r="C111" s="19" t="inlineStr">
        <ns0:is>
          <ns0:t>Multiple/not uniquely specified</ns0:t>
        </ns0:is>
      </ns0:c>
      <ns0:c r="D111" s="19" t="inlineStr">
        <ns0:is>
          <ns0:t>Not specified</ns0:t>
        </ns0:is>
      </ns0:c>
      <ns0:c r="E111" s="27">
        <ns0:f>COUNTIFS('BASE_CIERRE'!$G$5:$G$458,1,'BASE_CIERRE'!$H$5:$H$458,"Monitoring/intervention",'BASE_CIERRE'!$J$5:$J$458,"Not specified",'BASE_CIERRE'!$L$5:$L$458,"Multiple/not uniquely specified",'BASE_CIERRE'!$I$5:$I$458,"Not specified")</ns0:f>
        <ns0:v>1</ns0:v>
      </ns0:c>
      <ns0:c r="F111" s="27">
        <ns0:f>COUNTIFS('BASE_CIERRE'!$G$5:$G$458,1,'BASE_CIERRE'!$H$5:$H$458,"Monitoring/intervention")</ns0:f>
        <ns0:v>38</ns0:v>
      </ns0:c>
      <ns0:c r="G111" s="31">
        <ns0:f>IFERROR(E111/F111,0)</ns0:f>
        <ns0:v>0.02631578947368421</ns0:v>
      </ns0:c>
    </ns0:row>
    <ns0:row r="112" ht="32" customHeight="1">
      <ns0:c r="A112" s="21" t="inlineStr">
        <ns0:is>
          <ns0:t>Monitoring/intervention</ns0:t>
        </ns0:is>
      </ns0:c>
      <ns0:c r="B112" s="21" t="inlineStr">
        <ns0:is>
          <ns0:t>Not specified</ns0:t>
        </ns0:is>
      </ns0:c>
      <ns0:c r="C112" s="21" t="inlineStr">
        <ns0:is>
          <ns0:t>Other specified method</ns0:t>
        </ns0:is>
      </ns0:c>
      <ns0:c r="D112" s="21" t="inlineStr">
        <ns0:is>
          <ns0:t>Machine Learning</ns0:t>
        </ns0:is>
      </ns0:c>
      <ns0:c r="E112" s="29">
        <ns0:f>COUNTIFS('BASE_CIERRE'!$G$5:$G$458,1,'BASE_CIERRE'!$H$5:$H$458,"Monitoring/intervention",'BASE_CIERRE'!$J$5:$J$458,"Not specified",'BASE_CIERRE'!$L$5:$L$458,"Other specified method",'BASE_CIERRE'!$I$5:$I$458,"Machine Learning")</ns0:f>
        <ns0:v>1</ns0:v>
      </ns0:c>
      <ns0:c r="F112" s="29">
        <ns0:f>COUNTIFS('BASE_CIERRE'!$G$5:$G$458,1,'BASE_CIERRE'!$H$5:$H$458,"Monitoring/intervention")</ns0:f>
        <ns0:v>38</ns0:v>
      </ns0:c>
      <ns0:c r="G112" s="32">
        <ns0:f>IFERROR(E112/F112,0)</ns0:f>
        <ns0:v>0.02631578947368421</ns0:v>
      </ns0:c>
    </ns0:row>
    <ns0:row r="113" ht="32" customHeight="1">
      <ns0:c r="A113" s="19" t="inlineStr">
        <ns0:is>
          <ns0:t>Monitoring/intervention</ns0:t>
        </ns0:is>
      </ns0:c>
      <ns0:c r="B113" s="19" t="inlineStr">
        <ns0:is>
          <ns0:t>Other biomedical/digital data</ns0:t>
        </ns0:is>
      </ns0:c>
      <ns0:c r="C113" s="19" t="inlineStr">
        <ns0:is>
          <ns0:t>Composite/ensemble pipeline</ns0:t>
        </ns0:is>
      </ns0:c>
      <ns0:c r="D113" s="19" t="inlineStr">
        <ns0:is>
          <ns0:t>Hybrid</ns0:t>
        </ns0:is>
      </ns0:c>
      <ns0:c r="E113" s="27">
        <ns0:f>COUNTIFS('BASE_CIERRE'!$G$5:$G$458,1,'BASE_CIERRE'!$H$5:$H$458,"Monitoring/intervention",'BASE_CIERRE'!$J$5:$J$458,"Other biomedical/digital data",'BASE_CIERRE'!$L$5:$L$458,"Composite/ensemble pipeline",'BASE_CIERRE'!$I$5:$I$458,"Hybrid")</ns0:f>
        <ns0:v>1</ns0:v>
      </ns0:c>
      <ns0:c r="F113" s="27">
        <ns0:f>COUNTIFS('BASE_CIERRE'!$G$5:$G$458,1,'BASE_CIERRE'!$H$5:$H$458,"Monitoring/intervention")</ns0:f>
        <ns0:v>38</ns0:v>
      </ns0:c>
      <ns0:c r="G113" s="31">
        <ns0:f>IFERROR(E113/F113,0)</ns0:f>
        <ns0:v>0.02631578947368421</ns0:v>
      </ns0:c>
    </ns0:row>
    <ns0:row r="114" ht="32" customHeight="1">
      <ns0:c r="A114" s="21" t="inlineStr">
        <ns0:is>
          <ns0:t>Monitoring/intervention</ns0:t>
        </ns0:is>
      </ns0:c>
      <ns0:c r="B114" s="21" t="inlineStr">
        <ns0:is>
          <ns0:t>Other biomedical/digital data</ns0:t>
        </ns0:is>
      </ns0:c>
      <ns0:c r="C114" s="21" t="inlineStr">
        <ns0:is>
          <ns0:t>Multiple/not uniquely specified</ns0:t>
        </ns0:is>
      </ns0:c>
      <ns0:c r="D114" s="21" t="inlineStr">
        <ns0:is>
          <ns0:t>Not specified</ns0:t>
        </ns0:is>
      </ns0:c>
      <ns0:c r="E114" s="29">
        <ns0:f>COUNTIFS('BASE_CIERRE'!$G$5:$G$458,1,'BASE_CIERRE'!$H$5:$H$458,"Monitoring/intervention",'BASE_CIERRE'!$J$5:$J$458,"Other biomedical/digital data",'BASE_CIERRE'!$L$5:$L$458,"Multiple/not uniquely specified",'BASE_CIERRE'!$I$5:$I$458,"Not specified")</ns0:f>
        <ns0:v>1</ns0:v>
      </ns0:c>
      <ns0:c r="F114" s="29">
        <ns0:f>COUNTIFS('BASE_CIERRE'!$G$5:$G$458,1,'BASE_CIERRE'!$H$5:$H$458,"Monitoring/intervention")</ns0:f>
        <ns0:v>38</ns0:v>
      </ns0:c>
      <ns0:c r="G114" s="32">
        <ns0:f>IFERROR(E114/F114,0)</ns0:f>
        <ns0:v>0.02631578947368421</ns0:v>
      </ns0:c>
    </ns0:row>
    <ns0:row r="115" ht="32" customHeight="1">
      <ns0:c r="A115" s="19" t="inlineStr">
        <ns0:is>
          <ns0:t>Monitoring/intervention</ns0:t>
        </ns0:is>
      </ns0:c>
      <ns0:c r="B115" s="19" t="inlineStr">
        <ns0:is>
          <ns0:t>Other biomedical/digital data</ns0:t>
        </ns0:is>
      </ns0:c>
      <ns0:c r="C115" s="19" t="inlineStr">
        <ns0:is>
          <ns0:t>Other specified method</ns0:t>
        </ns0:is>
      </ns0:c>
      <ns0:c r="D115" s="19" t="inlineStr">
        <ns0:is>
          <ns0:t>Not specified</ns0:t>
        </ns0:is>
      </ns0:c>
      <ns0:c r="E115" s="27">
        <ns0:f>COUNTIFS('BASE_CIERRE'!$G$5:$G$458,1,'BASE_CIERRE'!$H$5:$H$458,"Monitoring/intervention",'BASE_CIERRE'!$J$5:$J$458,"Other biomedical/digital data",'BASE_CIERRE'!$L$5:$L$458,"Other specified method",'BASE_CIERRE'!$I$5:$I$458,"Not specified")</ns0:f>
        <ns0:v>1</ns0:v>
      </ns0:c>
      <ns0:c r="F115" s="27">
        <ns0:f>COUNTIFS('BASE_CIERRE'!$G$5:$G$458,1,'BASE_CIERRE'!$H$5:$H$458,"Monitoring/intervention")</ns0:f>
        <ns0:v>38</ns0:v>
      </ns0:c>
      <ns0:c r="G115" s="31">
        <ns0:f>IFERROR(E115/F115,0)</ns0:f>
        <ns0:v>0.02631578947368421</ns0:v>
      </ns0:c>
    </ns0:row>
    <ns0:row r="116" ht="32" customHeight="1">
      <ns0:c r="A116" s="21" t="inlineStr">
        <ns0:is>
          <ns0:t>Monitoring/intervention</ns0:t>
        </ns0:is>
      </ns0:c>
      <ns0:c r="B116" s="21" t="inlineStr">
        <ns0:is>
          <ns0:t>Physiological signals</ns0:t>
        </ns0:is>
      </ns0:c>
      <ns0:c r="C116" s="21" t="inlineStr">
        <ns0:is>
          <ns0:t>Multiple/not uniquely specified</ns0:t>
        </ns0:is>
      </ns0:c>
      <ns0:c r="D116" s="21" t="inlineStr">
        <ns0:is>
          <ns0:t>Machine Learning</ns0:t>
        </ns0:is>
      </ns0:c>
      <ns0:c r="E116" s="29">
        <ns0:f>COUNTIFS('BASE_CIERRE'!$G$5:$G$458,1,'BASE_CIERRE'!$H$5:$H$458,"Monitoring/intervention",'BASE_CIERRE'!$J$5:$J$458,"Physiological signals",'BASE_CIERRE'!$L$5:$L$458,"Multiple/not uniquely specified",'BASE_CIERRE'!$I$5:$I$458,"Machine Learning")</ns0:f>
        <ns0:v>1</ns0:v>
      </ns0:c>
      <ns0:c r="F116" s="29">
        <ns0:f>COUNTIFS('BASE_CIERRE'!$G$5:$G$458,1,'BASE_CIERRE'!$H$5:$H$458,"Monitoring/intervention")</ns0:f>
        <ns0:v>38</ns0:v>
      </ns0:c>
      <ns0:c r="G116" s="32">
        <ns0:f>IFERROR(E116/F116,0)</ns0:f>
        <ns0:v>0.02631578947368421</ns0:v>
      </ns0:c>
    </ns0:row>
    <ns0:row r="117" ht="32" customHeight="1">
      <ns0:c r="A117" s="19" t="inlineStr">
        <ns0:is>
          <ns0:t>Monitoring/intervention</ns0:t>
        </ns0:is>
      </ns0:c>
      <ns0:c r="B117" s="19" t="inlineStr">
        <ns0:is>
          <ns0:t>Physiological signals</ns0:t>
        </ns0:is>
      </ns0:c>
      <ns0:c r="C117" s="19" t="inlineStr">
        <ns0:is>
          <ns0:t>Multiple/not uniquely specified</ns0:t>
        </ns0:is>
      </ns0:c>
      <ns0:c r="D117" s="19" t="inlineStr">
        <ns0:is>
          <ns0:t>Not specified</ns0:t>
        </ns0:is>
      </ns0:c>
      <ns0:c r="E117" s="27">
        <ns0:f>COUNTIFS('BASE_CIERRE'!$G$5:$G$458,1,'BASE_CIERRE'!$H$5:$H$458,"Monitoring/intervention",'BASE_CIERRE'!$J$5:$J$458,"Physiological signals",'BASE_CIERRE'!$L$5:$L$458,"Multiple/not uniquely specified",'BASE_CIERRE'!$I$5:$I$458,"Not specified")</ns0:f>
        <ns0:v>1</ns0:v>
      </ns0:c>
      <ns0:c r="F117" s="27">
        <ns0:f>COUNTIFS('BASE_CIERRE'!$G$5:$G$458,1,'BASE_CIERRE'!$H$5:$H$458,"Monitoring/intervention")</ns0:f>
        <ns0:v>38</ns0:v>
      </ns0:c>
      <ns0:c r="G117" s="31">
        <ns0:f>IFERROR(E117/F117,0)</ns0:f>
        <ns0:v>0.02631578947368421</ns0:v>
      </ns0:c>
    </ns0:row>
    <ns0:row r="118" ht="32" customHeight="1">
      <ns0:c r="A118" s="21" t="inlineStr">
        <ns0:is>
          <ns0:t>Monitoring/intervention</ns0:t>
        </ns0:is>
      </ns0:c>
      <ns0:c r="B118" s="21" t="inlineStr">
        <ns0:is>
          <ns0:t>Physiological signals</ns0:t>
        </ns0:is>
      </ns0:c>
      <ns0:c r="C118" s="21" t="inlineStr">
        <ns0:is>
          <ns0:t>Transformer</ns0:t>
        </ns0:is>
      </ns0:c>
      <ns0:c r="D118" s="21" t="inlineStr">
        <ns0:is>
          <ns0:t>Hybrid</ns0:t>
        </ns0:is>
      </ns0:c>
      <ns0:c r="E118" s="29">
        <ns0:f>COUNTIFS('BASE_CIERRE'!$G$5:$G$458,1,'BASE_CIERRE'!$H$5:$H$458,"Monitoring/intervention",'BASE_CIERRE'!$J$5:$J$458,"Physiological signals",'BASE_CIERRE'!$L$5:$L$458,"Transformer",'BASE_CIERRE'!$I$5:$I$458,"Hybrid")</ns0:f>
        <ns0:v>1</ns0:v>
      </ns0:c>
      <ns0:c r="F118" s="29">
        <ns0:f>COUNTIFS('BASE_CIERRE'!$G$5:$G$458,1,'BASE_CIERRE'!$H$5:$H$458,"Monitoring/intervention")</ns0:f>
        <ns0:v>38</ns0:v>
      </ns0:c>
      <ns0:c r="G118" s="32">
        <ns0:f>IFERROR(E118/F118,0)</ns0:f>
        <ns0:v>0.02631578947368421</ns0:v>
      </ns0:c>
    </ns0:row>
    <ns0:row r="119" ht="32" customHeight="1">
      <ns0:c r="A119" s="19" t="inlineStr">
        <ns0:is>
          <ns0:t>Monitoring/intervention</ns0:t>
        </ns0:is>
      </ns0:c>
      <ns0:c r="B119" s="19" t="inlineStr">
        <ns0:is>
          <ns0:t>Structured clinical/questionnaire data</ns0:t>
        </ns0:is>
      </ns0:c>
      <ns0:c r="C119" s="19" t="inlineStr">
        <ns0:is>
          <ns0:t>MLP/ANN</ns0:t>
        </ns0:is>
      </ns0:c>
      <ns0:c r="D119" s="19" t="inlineStr">
        <ns0:is>
          <ns0:t>Machine Learning</ns0:t>
        </ns0:is>
      </ns0:c>
      <ns0:c r="E119" s="27">
        <ns0:f>COUNTIFS('BASE_CIERRE'!$G$5:$G$458,1,'BASE_CIERRE'!$H$5:$H$458,"Monitoring/intervention",'BASE_CIERRE'!$J$5:$J$458,"Structured clinical/questionnaire data",'BASE_CIERRE'!$L$5:$L$458,"MLP/ANN",'BASE_CIERRE'!$I$5:$I$458,"Machine Learning")</ns0:f>
        <ns0:v>1</ns0:v>
      </ns0:c>
      <ns0:c r="F119" s="27">
        <ns0:f>COUNTIFS('BASE_CIERRE'!$G$5:$G$458,1,'BASE_CIERRE'!$H$5:$H$458,"Monitoring/intervention")</ns0:f>
        <ns0:v>38</ns0:v>
      </ns0:c>
      <ns0:c r="G119" s="31">
        <ns0:f>IFERROR(E119/F119,0)</ns0:f>
        <ns0:v>0.02631578947368421</ns0:v>
      </ns0:c>
    </ns0:row>
    <ns0:row r="120" ht="32" customHeight="1">
      <ns0:c r="A120" s="21" t="inlineStr">
        <ns0:is>
          <ns0:t>Monitoring/intervention</ns0:t>
        </ns0:is>
      </ns0:c>
      <ns0:c r="B120" s="21" t="inlineStr">
        <ns0:is>
          <ns0:t>Text/language</ns0:t>
        </ns0:is>
      </ns0:c>
      <ns0:c r="C120" s="21" t="inlineStr">
        <ns0:is>
          <ns0:t>Multiple/not uniquely specified</ns0:t>
        </ns0:is>
      </ns0:c>
      <ns0:c r="D120" s="21" t="inlineStr">
        <ns0:is>
          <ns0:t>Not specified</ns0:t>
        </ns0:is>
      </ns0:c>
      <ns0:c r="E120" s="29">
        <ns0:f>COUNTIFS('BASE_CIERRE'!$G$5:$G$458,1,'BASE_CIERRE'!$H$5:$H$458,"Monitoring/intervention",'BASE_CIERRE'!$J$5:$J$458,"Text/language",'BASE_CIERRE'!$L$5:$L$458,"Multiple/not uniquely specified",'BASE_CIERRE'!$I$5:$I$458,"Not specified")</ns0:f>
        <ns0:v>1</ns0:v>
      </ns0:c>
      <ns0:c r="F120" s="29">
        <ns0:f>COUNTIFS('BASE_CIERRE'!$G$5:$G$458,1,'BASE_CIERRE'!$H$5:$H$458,"Monitoring/intervention")</ns0:f>
        <ns0:v>38</ns0:v>
      </ns0:c>
      <ns0:c r="G120" s="32">
        <ns0:f>IFERROR(E120/F120,0)</ns0:f>
        <ns0:v>0.02631578947368421</ns0:v>
      </ns0:c>
    </ns0:row>
    <ns0:row r="121" ht="32" customHeight="1">
      <ns0:c r="A121" s="19" t="inlineStr">
        <ns0:is>
          <ns0:t>Monitoring/intervention</ns0:t>
        </ns0:is>
      </ns0:c>
      <ns0:c r="B121" s="19" t="inlineStr">
        <ns0:is>
          <ns0:t>Text/language</ns0:t>
        </ns0:is>
      </ns0:c>
      <ns0:c r="C121" s="19" t="inlineStr">
        <ns0:is>
          <ns0:t>Transformer</ns0:t>
        </ns0:is>
      </ns0:c>
      <ns0:c r="D121" s="19" t="inlineStr">
        <ns0:is>
          <ns0:t>Deep Learning</ns0:t>
        </ns0:is>
      </ns0:c>
      <ns0:c r="E121" s="27">
        <ns0:f>COUNTIFS('BASE_CIERRE'!$G$5:$G$458,1,'BASE_CIERRE'!$H$5:$H$458,"Monitoring/intervention",'BASE_CIERRE'!$J$5:$J$458,"Text/language",'BASE_CIERRE'!$L$5:$L$458,"Transformer",'BASE_CIERRE'!$I$5:$I$458,"Deep Learning")</ns0:f>
        <ns0:v>3</ns0:v>
      </ns0:c>
      <ns0:c r="F121" s="27">
        <ns0:f>COUNTIFS('BASE_CIERRE'!$G$5:$G$458,1,'BASE_CIERRE'!$H$5:$H$458,"Monitoring/intervention")</ns0:f>
        <ns0:v>38</ns0:v>
      </ns0:c>
      <ns0:c r="G121" s="31">
        <ns0:f>IFERROR(E121/F121,0)</ns0:f>
        <ns0:v>0.07894736842105263</ns0:v>
      </ns0:c>
    </ns0:row>
    <ns0:row r="122" ht="32" customHeight="1">
      <ns0:c r="A122" s="21" t="inlineStr">
        <ns0:is>
          <ns0:t>Monitoring/intervention</ns0:t>
        </ns0:is>
      </ns0:c>
      <ns0:c r="B122" s="21" t="inlineStr">
        <ns0:is>
          <ns0:t>Text/language</ns0:t>
        </ns0:is>
      </ns0:c>
      <ns0:c r="C122" s="21" t="inlineStr">
        <ns0:is>
          <ns0:t>Transformer</ns0:t>
        </ns0:is>
      </ns0:c>
      <ns0:c r="D122" s="21" t="inlineStr">
        <ns0:is>
          <ns0:t>Not specified</ns0:t>
        </ns0:is>
      </ns0:c>
      <ns0:c r="E122" s="29">
        <ns0:f>COUNTIFS('BASE_CIERRE'!$G$5:$G$458,1,'BASE_CIERRE'!$H$5:$H$458,"Monitoring/intervention",'BASE_CIERRE'!$J$5:$J$458,"Text/language",'BASE_CIERRE'!$L$5:$L$458,"Transformer",'BASE_CIERRE'!$I$5:$I$458,"Not specified")</ns0:f>
        <ns0:v>1</ns0:v>
      </ns0:c>
      <ns0:c r="F122" s="29">
        <ns0:f>COUNTIFS('BASE_CIERRE'!$G$5:$G$458,1,'BASE_CIERRE'!$H$5:$H$458,"Monitoring/intervention")</ns0:f>
        <ns0:v>38</ns0:v>
      </ns0:c>
      <ns0:c r="G122" s="32">
        <ns0:f>IFERROR(E122/F122,0)</ns0:f>
        <ns0:v>0.02631578947368421</ns0:v>
      </ns0:c>
    </ns0:row>
    <ns0:row r="123" ht="32" customHeight="1">
      <ns0:c r="A123" s="19" t="inlineStr">
        <ns0:is>
          <ns0:t>Not specified</ns0:t>
        </ns0:is>
      </ns0:c>
      <ns0:c r="B123" s="19" t="inlineStr">
        <ns0:is>
          <ns0:t>Biological/omics</ns0:t>
        </ns0:is>
      </ns0:c>
      <ns0:c r="C123" s="19" t="inlineStr">
        <ns0:is>
          <ns0:t>Composite/ensemble pipeline</ns0:t>
        </ns0:is>
      </ns0:c>
      <ns0:c r="D123" s="19" t="inlineStr">
        <ns0:is>
          <ns0:t>Deep Learning</ns0:t>
        </ns0:is>
      </ns0:c>
      <ns0:c r="E123" s="27">
        <ns0:f>COUNTIFS('BASE_CIERRE'!$G$5:$G$458,1,'BASE_CIERRE'!$H$5:$H$458,"Not specified",'BASE_CIERRE'!$J$5:$J$458,"Biological/omics",'BASE_CIERRE'!$L$5:$L$458,"Composite/ensemble pipeline",'BASE_CIERRE'!$I$5:$I$458,"Deep Learning")</ns0:f>
        <ns0:v>1</ns0:v>
      </ns0:c>
      <ns0:c r="F123" s="27">
        <ns0:f>COUNTIFS('BASE_CIERRE'!$G$5:$G$458,1,'BASE_CIERRE'!$H$5:$H$458,"Not specified")</ns0:f>
        <ns0:v>31</ns0:v>
      </ns0:c>
      <ns0:c r="G123" s="31">
        <ns0:f>IFERROR(E123/F123,0)</ns0:f>
        <ns0:v>0.03225806451612903</ns0:v>
      </ns0:c>
    </ns0:row>
    <ns0:row r="124" ht="32" customHeight="1">
      <ns0:c r="A124" s="21" t="inlineStr">
        <ns0:is>
          <ns0:t>Not specified</ns0:t>
        </ns0:is>
      </ns0:c>
      <ns0:c r="B124" s="21" t="inlineStr">
        <ns0:is>
          <ns0:t>Biological/omics</ns0:t>
        </ns0:is>
      </ns0:c>
      <ns0:c r="C124" s="21" t="inlineStr">
        <ns0:is>
          <ns0:t>Multiple/not uniquely specified</ns0:t>
        </ns0:is>
      </ns0:c>
      <ns0:c r="D124" s="21" t="inlineStr">
        <ns0:is>
          <ns0:t>Machine Learning</ns0:t>
        </ns0:is>
      </ns0:c>
      <ns0:c r="E124" s="29">
        <ns0:f>COUNTIFS('BASE_CIERRE'!$G$5:$G$458,1,'BASE_CIERRE'!$H$5:$H$458,"Not specified",'BASE_CIERRE'!$J$5:$J$458,"Biological/omics",'BASE_CIERRE'!$L$5:$L$458,"Multiple/not uniquely specified",'BASE_CIERRE'!$I$5:$I$458,"Machine Learning")</ns0:f>
        <ns0:v>2</ns0:v>
      </ns0:c>
      <ns0:c r="F124" s="29">
        <ns0:f>COUNTIFS('BASE_CIERRE'!$G$5:$G$458,1,'BASE_CIERRE'!$H$5:$H$458,"Not specified")</ns0:f>
        <ns0:v>31</ns0:v>
      </ns0:c>
      <ns0:c r="G124" s="32">
        <ns0:f>IFERROR(E124/F124,0)</ns0:f>
        <ns0:v>0.06451612903225806</ns0:v>
      </ns0:c>
    </ns0:row>
    <ns0:row r="125" ht="32" customHeight="1">
      <ns0:c r="A125" s="19" t="inlineStr">
        <ns0:is>
          <ns0:t>Not specified</ns0:t>
        </ns0:is>
      </ns0:c>
      <ns0:c r="B125" s="19" t="inlineStr">
        <ns0:is>
          <ns0:t>Biological/omics</ns0:t>
        </ns0:is>
      </ns0:c>
      <ns0:c r="C125" s="19" t="inlineStr">
        <ns0:is>
          <ns0:t>Other specified method</ns0:t>
        </ns0:is>
      </ns0:c>
      <ns0:c r="D125" s="19" t="inlineStr">
        <ns0:is>
          <ns0:t>Deep Learning</ns0:t>
        </ns0:is>
      </ns0:c>
      <ns0:c r="E125" s="27">
        <ns0:f>COUNTIFS('BASE_CIERRE'!$G$5:$G$458,1,'BASE_CIERRE'!$H$5:$H$458,"Not specified",'BASE_CIERRE'!$J$5:$J$458,"Biological/omics",'BASE_CIERRE'!$L$5:$L$458,"Other specified method",'BASE_CIERRE'!$I$5:$I$458,"Deep Learning")</ns0:f>
        <ns0:v>1</ns0:v>
      </ns0:c>
      <ns0:c r="F125" s="27">
        <ns0:f>COUNTIFS('BASE_CIERRE'!$G$5:$G$458,1,'BASE_CIERRE'!$H$5:$H$458,"Not specified")</ns0:f>
        <ns0:v>31</ns0:v>
      </ns0:c>
      <ns0:c r="G125" s="31">
        <ns0:f>IFERROR(E125/F125,0)</ns0:f>
        <ns0:v>0.03225806451612903</ns0:v>
      </ns0:c>
    </ns0:row>
    <ns0:row r="126" ht="32" customHeight="1">
      <ns0:c r="A126" s="21" t="inlineStr">
        <ns0:is>
          <ns0:t>Not specified</ns0:t>
        </ns0:is>
      </ns0:c>
      <ns0:c r="B126" s="21" t="inlineStr">
        <ns0:is>
          <ns0:t>Biological/omics</ns0:t>
        </ns0:is>
      </ns0:c>
      <ns0:c r="C126" s="21" t="inlineStr">
        <ns0:is>
          <ns0:t>Other specified method</ns0:t>
        </ns0:is>
      </ns0:c>
      <ns0:c r="D126" s="21" t="inlineStr">
        <ns0:is>
          <ns0:t>Machine Learning</ns0:t>
        </ns0:is>
      </ns0:c>
      <ns0:c r="E126" s="29">
        <ns0:f>COUNTIFS('BASE_CIERRE'!$G$5:$G$458,1,'BASE_CIERRE'!$H$5:$H$458,"Not specified",'BASE_CIERRE'!$J$5:$J$458,"Biological/omics",'BASE_CIERRE'!$L$5:$L$458,"Other specified method",'BASE_CIERRE'!$I$5:$I$458,"Machine Learning")</ns0:f>
        <ns0:v>3</ns0:v>
      </ns0:c>
      <ns0:c r="F126" s="29">
        <ns0:f>COUNTIFS('BASE_CIERRE'!$G$5:$G$458,1,'BASE_CIERRE'!$H$5:$H$458,"Not specified")</ns0:f>
        <ns0:v>31</ns0:v>
      </ns0:c>
      <ns0:c r="G126" s="32">
        <ns0:f>IFERROR(E126/F126,0)</ns0:f>
        <ns0:v>0.0967741935483871</ns0:v>
      </ns0:c>
    </ns0:row>
    <ns0:row r="127" ht="32" customHeight="1">
      <ns0:c r="A127" s="19" t="inlineStr">
        <ns0:is>
          <ns0:t>Not specified</ns0:t>
        </ns0:is>
      </ns0:c>
      <ns0:c r="B127" s="19" t="inlineStr">
        <ns0:is>
          <ns0:t>Biological/omics</ns0:t>
        </ns0:is>
      </ns0:c>
      <ns0:c r="C127" s="19" t="inlineStr">
        <ns0:is>
          <ns0:t>Random forest</ns0:t>
        </ns0:is>
      </ns0:c>
      <ns0:c r="D127" s="19" t="inlineStr">
        <ns0:is>
          <ns0:t>Machine Learning</ns0:t>
        </ns0:is>
      </ns0:c>
      <ns0:c r="E127" s="27">
        <ns0:f>COUNTIFS('BASE_CIERRE'!$G$5:$G$458,1,'BASE_CIERRE'!$H$5:$H$458,"Not specified",'BASE_CIERRE'!$J$5:$J$458,"Biological/omics",'BASE_CIERRE'!$L$5:$L$458,"Random forest",'BASE_CIERRE'!$I$5:$I$458,"Machine Learning")</ns0:f>
        <ns0:v>2</ns0:v>
      </ns0:c>
      <ns0:c r="F127" s="27">
        <ns0:f>COUNTIFS('BASE_CIERRE'!$G$5:$G$458,1,'BASE_CIERRE'!$H$5:$H$458,"Not specified")</ns0:f>
        <ns0:v>31</ns0:v>
      </ns0:c>
      <ns0:c r="G127" s="31">
        <ns0:f>IFERROR(E127/F127,0)</ns0:f>
        <ns0:v>0.06451612903225806</ns0:v>
      </ns0:c>
    </ns0:row>
    <ns0:row r="128" ht="32" customHeight="1">
      <ns0:c r="A128" s="21" t="inlineStr">
        <ns0:is>
          <ns0:t>Not specified</ns0:t>
        </ns0:is>
      </ns0:c>
      <ns0:c r="B128" s="21" t="inlineStr">
        <ns0:is>
          <ns0:t>Multiple source categories</ns0:t>
        </ns0:is>
      </ns0:c>
      <ns0:c r="C128" s="21" t="inlineStr">
        <ns0:is>
          <ns0:t>Clustering</ns0:t>
        </ns0:is>
      </ns0:c>
      <ns0:c r="D128" s="21" t="inlineStr">
        <ns0:is>
          <ns0:t>Machine Learning</ns0:t>
        </ns0:is>
      </ns0:c>
      <ns0:c r="E128" s="29">
        <ns0:f>COUNTIFS('BASE_CIERRE'!$G$5:$G$458,1,'BASE_CIERRE'!$H$5:$H$458,"Not specified",'BASE_CIERRE'!$J$5:$J$458,"Multiple source categories",'BASE_CIERRE'!$L$5:$L$458,"Clustering",'BASE_CIERRE'!$I$5:$I$458,"Machine Learning")</ns0:f>
        <ns0:v>1</ns0:v>
      </ns0:c>
      <ns0:c r="F128" s="29">
        <ns0:f>COUNTIFS('BASE_CIERRE'!$G$5:$G$458,1,'BASE_CIERRE'!$H$5:$H$458,"Not specified")</ns0:f>
        <ns0:v>31</ns0:v>
      </ns0:c>
      <ns0:c r="G128" s="32">
        <ns0:f>IFERROR(E128/F128,0)</ns0:f>
        <ns0:v>0.03225806451612903</ns0:v>
      </ns0:c>
    </ns0:row>
    <ns0:row r="129" ht="32" customHeight="1">
      <ns0:c r="A129" s="19" t="inlineStr">
        <ns0:is>
          <ns0:t>Not specified</ns0:t>
        </ns0:is>
      </ns0:c>
      <ns0:c r="B129" s="19" t="inlineStr">
        <ns0:is>
          <ns0:t>Multiple source categories</ns0:t>
        </ns0:is>
      </ns0:c>
      <ns0:c r="C129" s="19" t="inlineStr">
        <ns0:is>
          <ns0:t>Logistic regression</ns0:t>
        </ns0:is>
      </ns0:c>
      <ns0:c r="D129" s="19" t="inlineStr">
        <ns0:is>
          <ns0:t>Machine Learning</ns0:t>
        </ns0:is>
      </ns0:c>
      <ns0:c r="E129" s="27">
        <ns0:f>COUNTIFS('BASE_CIERRE'!$G$5:$G$458,1,'BASE_CIERRE'!$H$5:$H$458,"Not specified",'BASE_CIERRE'!$J$5:$J$458,"Multiple source categories",'BASE_CIERRE'!$L$5:$L$458,"Logistic regression",'BASE_CIERRE'!$I$5:$I$458,"Machine Learning")</ns0:f>
        <ns0:v>1</ns0:v>
      </ns0:c>
      <ns0:c r="F129" s="27">
        <ns0:f>COUNTIFS('BASE_CIERRE'!$G$5:$G$458,1,'BASE_CIERRE'!$H$5:$H$458,"Not specified")</ns0:f>
        <ns0:v>31</ns0:v>
      </ns0:c>
      <ns0:c r="G129" s="31">
        <ns0:f>IFERROR(E129/F129,0)</ns0:f>
        <ns0:v>0.03225806451612903</ns0:v>
      </ns0:c>
    </ns0:row>
    <ns0:row r="130" ht="32" customHeight="1">
      <ns0:c r="A130" s="21" t="inlineStr">
        <ns0:is>
          <ns0:t>Not specified</ns0:t>
        </ns0:is>
      </ns0:c>
      <ns0:c r="B130" s="21" t="inlineStr">
        <ns0:is>
          <ns0:t>Multiple source categories</ns0:t>
        </ns0:is>
      </ns0:c>
      <ns0:c r="C130" s="21" t="inlineStr">
        <ns0:is>
          <ns0:t>Multiple/not uniquely specified</ns0:t>
        </ns0:is>
      </ns0:c>
      <ns0:c r="D130" s="21" t="inlineStr">
        <ns0:is>
          <ns0:t>Machine Learning</ns0:t>
        </ns0:is>
      </ns0:c>
      <ns0:c r="E130" s="29">
        <ns0:f>COUNTIFS('BASE_CIERRE'!$G$5:$G$458,1,'BASE_CIERRE'!$H$5:$H$458,"Not specified",'BASE_CIERRE'!$J$5:$J$458,"Multiple source categories",'BASE_CIERRE'!$L$5:$L$458,"Multiple/not uniquely specified",'BASE_CIERRE'!$I$5:$I$458,"Machine Learning")</ns0:f>
        <ns0:v>1</ns0:v>
      </ns0:c>
      <ns0:c r="F130" s="29">
        <ns0:f>COUNTIFS('BASE_CIERRE'!$G$5:$G$458,1,'BASE_CIERRE'!$H$5:$H$458,"Not specified")</ns0:f>
        <ns0:v>31</ns0:v>
      </ns0:c>
      <ns0:c r="G130" s="32">
        <ns0:f>IFERROR(E130/F130,0)</ns0:f>
        <ns0:v>0.03225806451612903</ns0:v>
      </ns0:c>
    </ns0:row>
    <ns0:row r="131" ht="32" customHeight="1">
      <ns0:c r="A131" s="19" t="inlineStr">
        <ns0:is>
          <ns0:t>Not specified</ns0:t>
        </ns0:is>
      </ns0:c>
      <ns0:c r="B131" s="19" t="inlineStr">
        <ns0:is>
          <ns0:t>Multiple source categories</ns0:t>
        </ns0:is>
      </ns0:c>
      <ns0:c r="C131" s="19" t="inlineStr">
        <ns0:is>
          <ns0:t>Random forest</ns0:t>
        </ns0:is>
      </ns0:c>
      <ns0:c r="D131" s="19" t="inlineStr">
        <ns0:is>
          <ns0:t>Machine Learning</ns0:t>
        </ns0:is>
      </ns0:c>
      <ns0:c r="E131" s="27">
        <ns0:f>COUNTIFS('BASE_CIERRE'!$G$5:$G$458,1,'BASE_CIERRE'!$H$5:$H$458,"Not specified",'BASE_CIERRE'!$J$5:$J$458,"Multiple source categories",'BASE_CIERRE'!$L$5:$L$458,"Random forest",'BASE_CIERRE'!$I$5:$I$458,"Machine Learning")</ns0:f>
        <ns0:v>1</ns0:v>
      </ns0:c>
      <ns0:c r="F131" s="27">
        <ns0:f>COUNTIFS('BASE_CIERRE'!$G$5:$G$458,1,'BASE_CIERRE'!$H$5:$H$458,"Not specified")</ns0:f>
        <ns0:v>31</ns0:v>
      </ns0:c>
      <ns0:c r="G131" s="31">
        <ns0:f>IFERROR(E131/F131,0)</ns0:f>
        <ns0:v>0.03225806451612903</ns0:v>
      </ns0:c>
    </ns0:row>
    <ns0:row r="132" ht="32" customHeight="1">
      <ns0:c r="A132" s="21" t="inlineStr">
        <ns0:is>
          <ns0:t>Not specified</ns0:t>
        </ns0:is>
      </ns0:c>
      <ns0:c r="B132" s="21" t="inlineStr">
        <ns0:is>
          <ns0:t>Neuroimaging</ns0:t>
        </ns0:is>
      </ns0:c>
      <ns0:c r="C132" s="21" t="inlineStr">
        <ns0:is>
          <ns0:t>Clustering</ns0:t>
        </ns0:is>
      </ns0:c>
      <ns0:c r="D132" s="21" t="inlineStr">
        <ns0:is>
          <ns0:t>Machine Learning</ns0:t>
        </ns0:is>
      </ns0:c>
      <ns0:c r="E132" s="29">
        <ns0:f>COUNTIFS('BASE_CIERRE'!$G$5:$G$458,1,'BASE_CIERRE'!$H$5:$H$458,"Not specified",'BASE_CIERRE'!$J$5:$J$458,"Neuroimaging",'BASE_CIERRE'!$L$5:$L$458,"Clustering",'BASE_CIERRE'!$I$5:$I$458,"Machine Learning")</ns0:f>
        <ns0:v>2</ns0:v>
      </ns0:c>
      <ns0:c r="F132" s="29">
        <ns0:f>COUNTIFS('BASE_CIERRE'!$G$5:$G$458,1,'BASE_CIERRE'!$H$5:$H$458,"Not specified")</ns0:f>
        <ns0:v>31</ns0:v>
      </ns0:c>
      <ns0:c r="G132" s="32">
        <ns0:f>IFERROR(E132/F132,0)</ns0:f>
        <ns0:v>0.06451612903225806</ns0:v>
      </ns0:c>
    </ns0:row>
    <ns0:row r="133" ht="32" customHeight="1">
      <ns0:c r="A133" s="19" t="inlineStr">
        <ns0:is>
          <ns0:t>Not specified</ns0:t>
        </ns0:is>
      </ns0:c>
      <ns0:c r="B133" s="19" t="inlineStr">
        <ns0:is>
          <ns0:t>Neuroimaging</ns0:t>
        </ns0:is>
      </ns0:c>
      <ns0:c r="C133" s="19" t="inlineStr">
        <ns0:is>
          <ns0:t>Composite/ensemble pipeline</ns0:t>
        </ns0:is>
      </ns0:c>
      <ns0:c r="D133" s="19" t="inlineStr">
        <ns0:is>
          <ns0:t>Machine Learning</ns0:t>
        </ns0:is>
      </ns0:c>
      <ns0:c r="E133" s="27">
        <ns0:f>COUNTIFS('BASE_CIERRE'!$G$5:$G$458,1,'BASE_CIERRE'!$H$5:$H$458,"Not specified",'BASE_CIERRE'!$J$5:$J$458,"Neuroimaging",'BASE_CIERRE'!$L$5:$L$458,"Composite/ensemble pipeline",'BASE_CIERRE'!$I$5:$I$458,"Machine Learning")</ns0:f>
        <ns0:v>1</ns0:v>
      </ns0:c>
      <ns0:c r="F133" s="27">
        <ns0:f>COUNTIFS('BASE_CIERRE'!$G$5:$G$458,1,'BASE_CIERRE'!$H$5:$H$458,"Not specified")</ns0:f>
        <ns0:v>31</ns0:v>
      </ns0:c>
      <ns0:c r="G133" s="31">
        <ns0:f>IFERROR(E133/F133,0)</ns0:f>
        <ns0:v>0.03225806451612903</ns0:v>
      </ns0:c>
    </ns0:row>
    <ns0:row r="134" ht="32" customHeight="1">
      <ns0:c r="A134" s="21" t="inlineStr">
        <ns0:is>
          <ns0:t>Not specified</ns0:t>
        </ns0:is>
      </ns0:c>
      <ns0:c r="B134" s="21" t="inlineStr">
        <ns0:is>
          <ns0:t>Neuroimaging</ns0:t>
        </ns0:is>
      </ns0:c>
      <ns0:c r="C134" s="21" t="inlineStr">
        <ns0:is>
          <ns0:t>Multiple/not uniquely specified</ns0:t>
        </ns0:is>
      </ns0:c>
      <ns0:c r="D134" s="21" t="inlineStr">
        <ns0:is>
          <ns0:t>Machine Learning</ns0:t>
        </ns0:is>
      </ns0:c>
      <ns0:c r="E134" s="29">
        <ns0:f>COUNTIFS('BASE_CIERRE'!$G$5:$G$458,1,'BASE_CIERRE'!$H$5:$H$458,"Not specified",'BASE_CIERRE'!$J$5:$J$458,"Neuroimaging",'BASE_CIERRE'!$L$5:$L$458,"Multiple/not uniquely specified",'BASE_CIERRE'!$I$5:$I$458,"Machine Learning")</ns0:f>
        <ns0:v>1</ns0:v>
      </ns0:c>
      <ns0:c r="F134" s="29">
        <ns0:f>COUNTIFS('BASE_CIERRE'!$G$5:$G$458,1,'BASE_CIERRE'!$H$5:$H$458,"Not specified")</ns0:f>
        <ns0:v>31</ns0:v>
      </ns0:c>
      <ns0:c r="G134" s="32">
        <ns0:f>IFERROR(E134/F134,0)</ns0:f>
        <ns0:v>0.03225806451612903</ns0:v>
      </ns0:c>
    </ns0:row>
    <ns0:row r="135" ht="32" customHeight="1">
      <ns0:c r="A135" s="19" t="inlineStr">
        <ns0:is>
          <ns0:t>Not specified</ns0:t>
        </ns0:is>
      </ns0:c>
      <ns0:c r="B135" s="19" t="inlineStr">
        <ns0:is>
          <ns0:t>Neuroimaging</ns0:t>
        </ns0:is>
      </ns0:c>
      <ns0:c r="C135" s="19" t="inlineStr">
        <ns0:is>
          <ns0:t>Other specified method</ns0:t>
        </ns0:is>
      </ns0:c>
      <ns0:c r="D135" s="19" t="inlineStr">
        <ns0:is>
          <ns0:t>Deep Learning</ns0:t>
        </ns0:is>
      </ns0:c>
      <ns0:c r="E135" s="27">
        <ns0:f>COUNTIFS('BASE_CIERRE'!$G$5:$G$458,1,'BASE_CIERRE'!$H$5:$H$458,"Not specified",'BASE_CIERRE'!$J$5:$J$458,"Neuroimaging",'BASE_CIERRE'!$L$5:$L$458,"Other specified method",'BASE_CIERRE'!$I$5:$I$458,"Deep Learning")</ns0:f>
        <ns0:v>1</ns0:v>
      </ns0:c>
      <ns0:c r="F135" s="27">
        <ns0:f>COUNTIFS('BASE_CIERRE'!$G$5:$G$458,1,'BASE_CIERRE'!$H$5:$H$458,"Not specified")</ns0:f>
        <ns0:v>31</ns0:v>
      </ns0:c>
      <ns0:c r="G135" s="31">
        <ns0:f>IFERROR(E135/F135,0)</ns0:f>
        <ns0:v>0.03225806451612903</ns0:v>
      </ns0:c>
    </ns0:row>
    <ns0:row r="136" ht="32" customHeight="1">
      <ns0:c r="A136" s="21" t="inlineStr">
        <ns0:is>
          <ns0:t>Not specified</ns0:t>
        </ns0:is>
      </ns0:c>
      <ns0:c r="B136" s="21" t="inlineStr">
        <ns0:is>
          <ns0:t>Neuroimaging</ns0:t>
        </ns0:is>
      </ns0:c>
      <ns0:c r="C136" s="21" t="inlineStr">
        <ns0:is>
          <ns0:t>Other specified method</ns0:t>
        </ns0:is>
      </ns0:c>
      <ns0:c r="D136" s="21" t="inlineStr">
        <ns0:is>
          <ns0:t>Machine Learning</ns0:t>
        </ns0:is>
      </ns0:c>
      <ns0:c r="E136" s="29">
        <ns0:f>COUNTIFS('BASE_CIERRE'!$G$5:$G$458,1,'BASE_CIERRE'!$H$5:$H$458,"Not specified",'BASE_CIERRE'!$J$5:$J$458,"Neuroimaging",'BASE_CIERRE'!$L$5:$L$458,"Other specified method",'BASE_CIERRE'!$I$5:$I$458,"Machine Learning")</ns0:f>
        <ns0:v>2</ns0:v>
      </ns0:c>
      <ns0:c r="F136" s="29">
        <ns0:f>COUNTIFS('BASE_CIERRE'!$G$5:$G$458,1,'BASE_CIERRE'!$H$5:$H$458,"Not specified")</ns0:f>
        <ns0:v>31</ns0:v>
      </ns0:c>
      <ns0:c r="G136" s="32">
        <ns0:f>IFERROR(E136/F136,0)</ns0:f>
        <ns0:v>0.06451612903225806</ns0:v>
      </ns0:c>
    </ns0:row>
    <ns0:row r="137" ht="32" customHeight="1">
      <ns0:c r="A137" s="19" t="inlineStr">
        <ns0:is>
          <ns0:t>Not specified</ns0:t>
        </ns0:is>
      </ns0:c>
      <ns0:c r="B137" s="19" t="inlineStr">
        <ns0:is>
          <ns0:t>Neuroimaging</ns0:t>
        </ns0:is>
      </ns0:c>
      <ns0:c r="C137" s="19" t="inlineStr">
        <ns0:is>
          <ns0:t>Transformer</ns0:t>
        </ns0:is>
      </ns0:c>
      <ns0:c r="D137" s="19" t="inlineStr">
        <ns0:is>
          <ns0:t>Deep Learning</ns0:t>
        </ns0:is>
      </ns0:c>
      <ns0:c r="E137" s="27">
        <ns0:f>COUNTIFS('BASE_CIERRE'!$G$5:$G$458,1,'BASE_CIERRE'!$H$5:$H$458,"Not specified",'BASE_CIERRE'!$J$5:$J$458,"Neuroimaging",'BASE_CIERRE'!$L$5:$L$458,"Transformer",'BASE_CIERRE'!$I$5:$I$458,"Deep Learning")</ns0:f>
        <ns0:v>1</ns0:v>
      </ns0:c>
      <ns0:c r="F137" s="27">
        <ns0:f>COUNTIFS('BASE_CIERRE'!$G$5:$G$458,1,'BASE_CIERRE'!$H$5:$H$458,"Not specified")</ns0:f>
        <ns0:v>31</ns0:v>
      </ns0:c>
      <ns0:c r="G137" s="31">
        <ns0:f>IFERROR(E137/F137,0)</ns0:f>
        <ns0:v>0.03225806451612903</ns0:v>
      </ns0:c>
    </ns0:row>
    <ns0:row r="138" ht="32" customHeight="1">
      <ns0:c r="A138" s="21" t="inlineStr">
        <ns0:is>
          <ns0:t>Not specified</ns0:t>
        </ns0:is>
      </ns0:c>
      <ns0:c r="B138" s="21" t="inlineStr">
        <ns0:is>
          <ns0:t>Other biomedical/digital data</ns0:t>
        </ns0:is>
      </ns0:c>
      <ns0:c r="C138" s="21" t="inlineStr">
        <ns0:is>
          <ns0:t>CNN</ns0:t>
        </ns0:is>
      </ns0:c>
      <ns0:c r="D138" s="21" t="inlineStr">
        <ns0:is>
          <ns0:t>Deep Learning</ns0:t>
        </ns0:is>
      </ns0:c>
      <ns0:c r="E138" s="29">
        <ns0:f>COUNTIFS('BASE_CIERRE'!$G$5:$G$458,1,'BASE_CIERRE'!$H$5:$H$458,"Not specified",'BASE_CIERRE'!$J$5:$J$458,"Other biomedical/digital data",'BASE_CIERRE'!$L$5:$L$458,"CNN",'BASE_CIERRE'!$I$5:$I$458,"Deep Learning")</ns0:f>
        <ns0:v>1</ns0:v>
      </ns0:c>
      <ns0:c r="F138" s="29">
        <ns0:f>COUNTIFS('BASE_CIERRE'!$G$5:$G$458,1,'BASE_CIERRE'!$H$5:$H$458,"Not specified")</ns0:f>
        <ns0:v>31</ns0:v>
      </ns0:c>
      <ns0:c r="G138" s="32">
        <ns0:f>IFERROR(E138/F138,0)</ns0:f>
        <ns0:v>0.03225806451612903</ns0:v>
      </ns0:c>
    </ns0:row>
    <ns0:row r="139" ht="32" customHeight="1">
      <ns0:c r="A139" s="19" t="inlineStr">
        <ns0:is>
          <ns0:t>Not specified</ns0:t>
        </ns0:is>
      </ns0:c>
      <ns0:c r="B139" s="19" t="inlineStr">
        <ns0:is>
          <ns0:t>Physiological signals</ns0:t>
        </ns0:is>
      </ns0:c>
      <ns0:c r="C139" s="19" t="inlineStr">
        <ns0:is>
          <ns0:t>CNN</ns0:t>
        </ns0:is>
      </ns0:c>
      <ns0:c r="D139" s="19" t="inlineStr">
        <ns0:is>
          <ns0:t>Deep Learning</ns0:t>
        </ns0:is>
      </ns0:c>
      <ns0:c r="E139" s="27">
        <ns0:f>COUNTIFS('BASE_CIERRE'!$G$5:$G$458,1,'BASE_CIERRE'!$H$5:$H$458,"Not specified",'BASE_CIERRE'!$J$5:$J$458,"Physiological signals",'BASE_CIERRE'!$L$5:$L$458,"CNN",'BASE_CIERRE'!$I$5:$I$458,"Deep Learning")</ns0:f>
        <ns0:v>1</ns0:v>
      </ns0:c>
      <ns0:c r="F139" s="27">
        <ns0:f>COUNTIFS('BASE_CIERRE'!$G$5:$G$458,1,'BASE_CIERRE'!$H$5:$H$458,"Not specified")</ns0:f>
        <ns0:v>31</ns0:v>
      </ns0:c>
      <ns0:c r="G139" s="31">
        <ns0:f>IFERROR(E139/F139,0)</ns0:f>
        <ns0:v>0.03225806451612903</ns0:v>
      </ns0:c>
    </ns0:row>
    <ns0:row r="140" ht="32" customHeight="1">
      <ns0:c r="A140" s="21" t="inlineStr">
        <ns0:is>
          <ns0:t>Not specified</ns0:t>
        </ns0:is>
      </ns0:c>
      <ns0:c r="B140" s="21" t="inlineStr">
        <ns0:is>
          <ns0:t>Structured clinical/questionnaire data</ns0:t>
        </ns0:is>
      </ns0:c>
      <ns0:c r="C140" s="21" t="inlineStr">
        <ns0:is>
          <ns0:t>Clustering</ns0:t>
        </ns0:is>
      </ns0:c>
      <ns0:c r="D140" s="21" t="inlineStr">
        <ns0:is>
          <ns0:t>Machine Learning</ns0:t>
        </ns0:is>
      </ns0:c>
      <ns0:c r="E140" s="29">
        <ns0:f>COUNTIFS('BASE_CIERRE'!$G$5:$G$458,1,'BASE_CIERRE'!$H$5:$H$458,"Not specified",'BASE_CIERRE'!$J$5:$J$458,"Structured clinical/questionnaire data",'BASE_CIERRE'!$L$5:$L$458,"Clustering",'BASE_CIERRE'!$I$5:$I$458,"Machine Learning")</ns0:f>
        <ns0:v>1</ns0:v>
      </ns0:c>
      <ns0:c r="F140" s="29">
        <ns0:f>COUNTIFS('BASE_CIERRE'!$G$5:$G$458,1,'BASE_CIERRE'!$H$5:$H$458,"Not specified")</ns0:f>
        <ns0:v>31</ns0:v>
      </ns0:c>
      <ns0:c r="G140" s="32">
        <ns0:f>IFERROR(E140/F140,0)</ns0:f>
        <ns0:v>0.03225806451612903</ns0:v>
      </ns0:c>
    </ns0:row>
    <ns0:row r="141" ht="32" customHeight="1">
      <ns0:c r="A141" s="19" t="inlineStr">
        <ns0:is>
          <ns0:t>Not specified</ns0:t>
        </ns0:is>
      </ns0:c>
      <ns0:c r="B141" s="19" t="inlineStr">
        <ns0:is>
          <ns0:t>Structured clinical/questionnaire data</ns0:t>
        </ns0:is>
      </ns0:c>
      <ns0:c r="C141" s="19" t="inlineStr">
        <ns0:is>
          <ns0:t>Multiple/not uniquely specified</ns0:t>
        </ns0:is>
      </ns0:c>
      <ns0:c r="D141" s="19" t="inlineStr">
        <ns0:is>
          <ns0:t>Machine Learning</ns0:t>
        </ns0:is>
      </ns0:c>
      <ns0:c r="E141" s="27">
        <ns0:f>COUNTIFS('BASE_CIERRE'!$G$5:$G$458,1,'BASE_CIERRE'!$H$5:$H$458,"Not specified",'BASE_CIERRE'!$J$5:$J$458,"Structured clinical/questionnaire data",'BASE_CIERRE'!$L$5:$L$458,"Multiple/not uniquely specified",'BASE_CIERRE'!$I$5:$I$458,"Machine Learning")</ns0:f>
        <ns0:v>1</ns0:v>
      </ns0:c>
      <ns0:c r="F141" s="27">
        <ns0:f>COUNTIFS('BASE_CIERRE'!$G$5:$G$458,1,'BASE_CIERRE'!$H$5:$H$458,"Not specified")</ns0:f>
        <ns0:v>31</ns0:v>
      </ns0:c>
      <ns0:c r="G141" s="31">
        <ns0:f>IFERROR(E141/F141,0)</ns0:f>
        <ns0:v>0.03225806451612903</ns0:v>
      </ns0:c>
    </ns0:row>
    <ns0:row r="142" ht="32" customHeight="1">
      <ns0:c r="A142" s="21" t="inlineStr">
        <ns0:is>
          <ns0:t>Not specified</ns0:t>
        </ns0:is>
      </ns0:c>
      <ns0:c r="B142" s="21" t="inlineStr">
        <ns0:is>
          <ns0:t>Structured clinical/questionnaire data</ns0:t>
        </ns0:is>
      </ns0:c>
      <ns0:c r="C142" s="21" t="inlineStr">
        <ns0:is>
          <ns0:t>Other specified method</ns0:t>
        </ns0:is>
      </ns0:c>
      <ns0:c r="D142" s="21" t="inlineStr">
        <ns0:is>
          <ns0:t>Machine Learning</ns0:t>
        </ns0:is>
      </ns0:c>
      <ns0:c r="E142" s="29">
        <ns0:f>COUNTIFS('BASE_CIERRE'!$G$5:$G$458,1,'BASE_CIERRE'!$H$5:$H$458,"Not specified",'BASE_CIERRE'!$J$5:$J$458,"Structured clinical/questionnaire data",'BASE_CIERRE'!$L$5:$L$458,"Other specified method",'BASE_CIERRE'!$I$5:$I$458,"Machine Learning")</ns0:f>
        <ns0:v>2</ns0:v>
      </ns0:c>
      <ns0:c r="F142" s="29">
        <ns0:f>COUNTIFS('BASE_CIERRE'!$G$5:$G$458,1,'BASE_CIERRE'!$H$5:$H$458,"Not specified")</ns0:f>
        <ns0:v>31</ns0:v>
      </ns0:c>
      <ns0:c r="G142" s="32">
        <ns0:f>IFERROR(E142/F142,0)</ns0:f>
        <ns0:v>0.06451612903225806</ns0:v>
      </ns0:c>
    </ns0:row>
    <ns0:row r="143" ht="32" customHeight="1">
      <ns0:c r="A143" s="19" t="inlineStr">
        <ns0:is>
          <ns0:t>Not specified</ns0:t>
        </ns0:is>
      </ns0:c>
      <ns0:c r="B143" s="19" t="inlineStr">
        <ns0:is>
          <ns0:t>Structured clinical/questionnaire data</ns0:t>
        </ns0:is>
      </ns0:c>
      <ns0:c r="C143" s="19" t="inlineStr">
        <ns0:is>
          <ns0:t>Random forest</ns0:t>
        </ns0:is>
      </ns0:c>
      <ns0:c r="D143" s="19" t="inlineStr">
        <ns0:is>
          <ns0:t>Machine Learning</ns0:t>
        </ns0:is>
      </ns0:c>
      <ns0:c r="E143" s="27">
        <ns0:f>COUNTIFS('BASE_CIERRE'!$G$5:$G$458,1,'BASE_CIERRE'!$H$5:$H$458,"Not specified",'BASE_CIERRE'!$J$5:$J$458,"Structured clinical/questionnaire data",'BASE_CIERRE'!$L$5:$L$458,"Random forest",'BASE_CIERRE'!$I$5:$I$458,"Machine Learning")</ns0:f>
        <ns0:v>2</ns0:v>
      </ns0:c>
      <ns0:c r="F143" s="27">
        <ns0:f>COUNTIFS('BASE_CIERRE'!$G$5:$G$458,1,'BASE_CIERRE'!$H$5:$H$458,"Not specified")</ns0:f>
        <ns0:v>31</ns0:v>
      </ns0:c>
      <ns0:c r="G143" s="31">
        <ns0:f>IFERROR(E143/F143,0)</ns0:f>
        <ns0:v>0.06451612903225806</ns0:v>
      </ns0:c>
    </ns0:row>
    <ns0:row r="144" ht="32" customHeight="1">
      <ns0:c r="A144" s="21" t="inlineStr">
        <ns0:is>
          <ns0:t>Not specified</ns0:t>
        </ns0:is>
      </ns0:c>
      <ns0:c r="B144" s="21" t="inlineStr">
        <ns0:is>
          <ns0:t>Text/language</ns0:t>
        </ns0:is>
      </ns0:c>
      <ns0:c r="C144" s="21" t="inlineStr">
        <ns0:is>
          <ns0:t>Transformer</ns0:t>
        </ns0:is>
      </ns0:c>
      <ns0:c r="D144" s="21" t="inlineStr">
        <ns0:is>
          <ns0:t>Deep Learning</ns0:t>
        </ns0:is>
      </ns0:c>
      <ns0:c r="E144" s="29">
        <ns0:f>COUNTIFS('BASE_CIERRE'!$G$5:$G$458,1,'BASE_CIERRE'!$H$5:$H$458,"Not specified",'BASE_CIERRE'!$J$5:$J$458,"Text/language",'BASE_CIERRE'!$L$5:$L$458,"Transformer",'BASE_CIERRE'!$I$5:$I$458,"Deep Learning")</ns0:f>
        <ns0:v>2</ns0:v>
      </ns0:c>
      <ns0:c r="F144" s="29">
        <ns0:f>COUNTIFS('BASE_CIERRE'!$G$5:$G$458,1,'BASE_CIERRE'!$H$5:$H$458,"Not specified")</ns0:f>
        <ns0:v>31</ns0:v>
      </ns0:c>
      <ns0:c r="G144" s="32">
        <ns0:f>IFERROR(E144/F144,0)</ns0:f>
        <ns0:v>0.06451612903225806</ns0:v>
      </ns0:c>
    </ns0:row>
    <ns0:row r="145" ht="32" customHeight="1">
      <ns0:c r="A145" s="19" t="inlineStr">
        <ns0:is>
          <ns0:t>Prescreening</ns0:t>
        </ns0:is>
      </ns0:c>
      <ns0:c r="B145" s="19" t="inlineStr">
        <ns0:is>
          <ns0:t>Multiple source categories</ns0:t>
        </ns0:is>
      </ns0:c>
      <ns0:c r="C145" s="19" t="inlineStr">
        <ns0:is>
          <ns0:t>Composite/ensemble pipeline</ns0:t>
        </ns0:is>
      </ns0:c>
      <ns0:c r="D145" s="19" t="inlineStr">
        <ns0:is>
          <ns0:t>Machine Learning</ns0:t>
        </ns0:is>
      </ns0:c>
      <ns0:c r="E145" s="27">
        <ns0:f>COUNTIFS('BASE_CIERRE'!$G$5:$G$458,1,'BASE_CIERRE'!$H$5:$H$458,"Prescreening",'BASE_CIERRE'!$J$5:$J$458,"Multiple source categories",'BASE_CIERRE'!$L$5:$L$458,"Composite/ensemble pipeline",'BASE_CIERRE'!$I$5:$I$458,"Machine Learning")</ns0:f>
        <ns0:v>1</ns0:v>
      </ns0:c>
      <ns0:c r="F145" s="27">
        <ns0:f>COUNTIFS('BASE_CIERRE'!$G$5:$G$458,1,'BASE_CIERRE'!$H$5:$H$458,"Prescreening")</ns0:f>
        <ns0:v>8</ns0:v>
      </ns0:c>
      <ns0:c r="G145" s="31">
        <ns0:f>IFERROR(E145/F145,0)</ns0:f>
        <ns0:v>0.125</ns0:v>
      </ns0:c>
    </ns0:row>
    <ns0:row r="146" ht="32" customHeight="1">
      <ns0:c r="A146" s="21" t="inlineStr">
        <ns0:is>
          <ns0:t>Prescreening</ns0:t>
        </ns0:is>
      </ns0:c>
      <ns0:c r="B146" s="21" t="inlineStr">
        <ns0:is>
          <ns0:t>Multiple source categories</ns0:t>
        </ns0:is>
      </ns0:c>
      <ns0:c r="C146" s="21" t="inlineStr">
        <ns0:is>
          <ns0:t>Multiple/not uniquely specified</ns0:t>
        </ns0:is>
      </ns0:c>
      <ns0:c r="D146" s="21" t="inlineStr">
        <ns0:is>
          <ns0:t>Machine Learning</ns0:t>
        </ns0:is>
      </ns0:c>
      <ns0:c r="E146" s="29">
        <ns0:f>COUNTIFS('BASE_CIERRE'!$G$5:$G$458,1,'BASE_CIERRE'!$H$5:$H$458,"Prescreening",'BASE_CIERRE'!$J$5:$J$458,"Multiple source categories",'BASE_CIERRE'!$L$5:$L$458,"Multiple/not uniquely specified",'BASE_CIERRE'!$I$5:$I$458,"Machine Learning")</ns0:f>
        <ns0:v>1</ns0:v>
      </ns0:c>
      <ns0:c r="F146" s="29">
        <ns0:f>COUNTIFS('BASE_CIERRE'!$G$5:$G$458,1,'BASE_CIERRE'!$H$5:$H$458,"Prescreening")</ns0:f>
        <ns0:v>8</ns0:v>
      </ns0:c>
      <ns0:c r="G146" s="32">
        <ns0:f>IFERROR(E146/F146,0)</ns0:f>
        <ns0:v>0.125</ns0:v>
      </ns0:c>
    </ns0:row>
    <ns0:row r="147" ht="32" customHeight="1">
      <ns0:c r="A147" s="19" t="inlineStr">
        <ns0:is>
          <ns0:t>Prescreening</ns0:t>
        </ns0:is>
      </ns0:c>
      <ns0:c r="B147" s="19" t="inlineStr">
        <ns0:is>
          <ns0:t>Other biomedical/digital data</ns0:t>
        </ns0:is>
      </ns0:c>
      <ns0:c r="C147" s="19" t="inlineStr">
        <ns0:is>
          <ns0:t>Random forest</ns0:t>
        </ns0:is>
      </ns0:c>
      <ns0:c r="D147" s="19" t="inlineStr">
        <ns0:is>
          <ns0:t>Machine Learning</ns0:t>
        </ns0:is>
      </ns0:c>
      <ns0:c r="E147" s="27">
        <ns0:f>COUNTIFS('BASE_CIERRE'!$G$5:$G$458,1,'BASE_CIERRE'!$H$5:$H$458,"Prescreening",'BASE_CIERRE'!$J$5:$J$458,"Other biomedical/digital data",'BASE_CIERRE'!$L$5:$L$458,"Random forest",'BASE_CIERRE'!$I$5:$I$458,"Machine Learning")</ns0:f>
        <ns0:v>1</ns0:v>
      </ns0:c>
      <ns0:c r="F147" s="27">
        <ns0:f>COUNTIFS('BASE_CIERRE'!$G$5:$G$458,1,'BASE_CIERRE'!$H$5:$H$458,"Prescreening")</ns0:f>
        <ns0:v>8</ns0:v>
      </ns0:c>
      <ns0:c r="G147" s="31">
        <ns0:f>IFERROR(E147/F147,0)</ns0:f>
        <ns0:v>0.125</ns0:v>
      </ns0:c>
    </ns0:row>
    <ns0:row r="148" ht="32" customHeight="1">
      <ns0:c r="A148" s="21" t="inlineStr">
        <ns0:is>
          <ns0:t>Prescreening</ns0:t>
        </ns0:is>
      </ns0:c>
      <ns0:c r="B148" s="21" t="inlineStr">
        <ns0:is>
          <ns0:t>Structured clinical/questionnaire data</ns0:t>
        </ns0:is>
      </ns0:c>
      <ns0:c r="C148" s="21" t="inlineStr">
        <ns0:is>
          <ns0:t>Decision tree/rules</ns0:t>
        </ns0:is>
      </ns0:c>
      <ns0:c r="D148" s="21" t="inlineStr">
        <ns0:is>
          <ns0:t>Machine Learning</ns0:t>
        </ns0:is>
      </ns0:c>
      <ns0:c r="E148" s="29">
        <ns0:f>COUNTIFS('BASE_CIERRE'!$G$5:$G$458,1,'BASE_CIERRE'!$H$5:$H$458,"Prescreening",'BASE_CIERRE'!$J$5:$J$458,"Structured clinical/questionnaire data",'BASE_CIERRE'!$L$5:$L$458,"Decision tree/rules",'BASE_CIERRE'!$I$5:$I$458,"Machine Learning")</ns0:f>
        <ns0:v>1</ns0:v>
      </ns0:c>
      <ns0:c r="F148" s="29">
        <ns0:f>COUNTIFS('BASE_CIERRE'!$G$5:$G$458,1,'BASE_CIERRE'!$H$5:$H$458,"Prescreening")</ns0:f>
        <ns0:v>8</ns0:v>
      </ns0:c>
      <ns0:c r="G148" s="32">
        <ns0:f>IFERROR(E148/F148,0)</ns0:f>
        <ns0:v>0.125</ns0:v>
      </ns0:c>
    </ns0:row>
    <ns0:row r="149" ht="32" customHeight="1">
      <ns0:c r="A149" s="19" t="inlineStr">
        <ns0:is>
          <ns0:t>Prescreening</ns0:t>
        </ns0:is>
      </ns0:c>
      <ns0:c r="B149" s="19" t="inlineStr">
        <ns0:is>
          <ns0:t>Structured clinical/questionnaire data</ns0:t>
        </ns0:is>
      </ns0:c>
      <ns0:c r="C149" s="19" t="inlineStr">
        <ns0:is>
          <ns0:t>Logistic regression</ns0:t>
        </ns0:is>
      </ns0:c>
      <ns0:c r="D149" s="19" t="inlineStr">
        <ns0:is>
          <ns0:t>Machine Learning</ns0:t>
        </ns0:is>
      </ns0:c>
      <ns0:c r="E149" s="27">
        <ns0:f>COUNTIFS('BASE_CIERRE'!$G$5:$G$458,1,'BASE_CIERRE'!$H$5:$H$458,"Prescreening",'BASE_CIERRE'!$J$5:$J$458,"Structured clinical/questionnaire data",'BASE_CIERRE'!$L$5:$L$458,"Logistic regression",'BASE_CIERRE'!$I$5:$I$458,"Machine Learning")</ns0:f>
        <ns0:v>1</ns0:v>
      </ns0:c>
      <ns0:c r="F149" s="27">
        <ns0:f>COUNTIFS('BASE_CIERRE'!$G$5:$G$458,1,'BASE_CIERRE'!$H$5:$H$458,"Prescreening")</ns0:f>
        <ns0:v>8</ns0:v>
      </ns0:c>
      <ns0:c r="G149" s="31">
        <ns0:f>IFERROR(E149/F149,0)</ns0:f>
        <ns0:v>0.125</ns0:v>
      </ns0:c>
    </ns0:row>
    <ns0:row r="150" ht="32" customHeight="1">
      <ns0:c r="A150" s="21" t="inlineStr">
        <ns0:is>
          <ns0:t>Prescreening</ns0:t>
        </ns0:is>
      </ns0:c>
      <ns0:c r="B150" s="21" t="inlineStr">
        <ns0:is>
          <ns0:t>Structured clinical/questionnaire data</ns0:t>
        </ns0:is>
      </ns0:c>
      <ns0:c r="C150" s="21" t="inlineStr">
        <ns0:is>
          <ns0:t>Multiple/not uniquely specified</ns0:t>
        </ns0:is>
      </ns0:c>
      <ns0:c r="D150" s="21" t="inlineStr">
        <ns0:is>
          <ns0:t>Machine Learning</ns0:t>
        </ns0:is>
      </ns0:c>
      <ns0:c r="E150" s="29">
        <ns0:f>COUNTIFS('BASE_CIERRE'!$G$5:$G$458,1,'BASE_CIERRE'!$H$5:$H$458,"Prescreening",'BASE_CIERRE'!$J$5:$J$458,"Structured clinical/questionnaire data",'BASE_CIERRE'!$L$5:$L$458,"Multiple/not uniquely specified",'BASE_CIERRE'!$I$5:$I$458,"Machine Learning")</ns0:f>
        <ns0:v>1</ns0:v>
      </ns0:c>
      <ns0:c r="F150" s="29">
        <ns0:f>COUNTIFS('BASE_CIERRE'!$G$5:$G$458,1,'BASE_CIERRE'!$H$5:$H$458,"Prescreening")</ns0:f>
        <ns0:v>8</ns0:v>
      </ns0:c>
      <ns0:c r="G150" s="32">
        <ns0:f>IFERROR(E150/F150,0)</ns0:f>
        <ns0:v>0.125</ns0:v>
      </ns0:c>
    </ns0:row>
    <ns0:row r="151" ht="32" customHeight="1">
      <ns0:c r="A151" s="19" t="inlineStr">
        <ns0:is>
          <ns0:t>Prescreening</ns0:t>
        </ns0:is>
      </ns0:c>
      <ns0:c r="B151" s="19" t="inlineStr">
        <ns0:is>
          <ns0:t>Structured clinical/questionnaire data</ns0:t>
        </ns0:is>
      </ns0:c>
      <ns0:c r="C151" s="19" t="inlineStr">
        <ns0:is>
          <ns0:t>SVM</ns0:t>
        </ns0:is>
      </ns0:c>
      <ns0:c r="D151" s="19" t="inlineStr">
        <ns0:is>
          <ns0:t>Machine Learning</ns0:t>
        </ns0:is>
      </ns0:c>
      <ns0:c r="E151" s="27">
        <ns0:f>COUNTIFS('BASE_CIERRE'!$G$5:$G$458,1,'BASE_CIERRE'!$H$5:$H$458,"Prescreening",'BASE_CIERRE'!$J$5:$J$458,"Structured clinical/questionnaire data",'BASE_CIERRE'!$L$5:$L$458,"SVM",'BASE_CIERRE'!$I$5:$I$458,"Machine Learning")</ns0:f>
        <ns0:v>1</ns0:v>
      </ns0:c>
      <ns0:c r="F151" s="27">
        <ns0:f>COUNTIFS('BASE_CIERRE'!$G$5:$G$458,1,'BASE_CIERRE'!$H$5:$H$458,"Prescreening")</ns0:f>
        <ns0:v>8</ns0:v>
      </ns0:c>
      <ns0:c r="G151" s="31">
        <ns0:f>IFERROR(E151/F151,0)</ns0:f>
        <ns0:v>0.125</ns0:v>
      </ns0:c>
    </ns0:row>
    <ns0:row r="152" ht="32" customHeight="1">
      <ns0:c r="A152" s="21" t="inlineStr">
        <ns0:is>
          <ns0:t>Prescreening</ns0:t>
        </ns0:is>
      </ns0:c>
      <ns0:c r="B152" s="21" t="inlineStr">
        <ns0:is>
          <ns0:t>Text/language</ns0:t>
        </ns0:is>
      </ns0:c>
      <ns0:c r="C152" s="21" t="inlineStr">
        <ns0:is>
          <ns0:t>Decision tree/rules</ns0:t>
        </ns0:is>
      </ns0:c>
      <ns0:c r="D152" s="21" t="inlineStr">
        <ns0:is>
          <ns0:t>Machine Learning</ns0:t>
        </ns0:is>
      </ns0:c>
      <ns0:c r="E152" s="29">
        <ns0:f>COUNTIFS('BASE_CIERRE'!$G$5:$G$458,1,'BASE_CIERRE'!$H$5:$H$458,"Prescreening",'BASE_CIERRE'!$J$5:$J$458,"Text/language",'BASE_CIERRE'!$L$5:$L$458,"Decision tree/rules",'BASE_CIERRE'!$I$5:$I$458,"Machine Learning")</ns0:f>
        <ns0:v>1</ns0:v>
      </ns0:c>
      <ns0:c r="F152" s="29">
        <ns0:f>COUNTIFS('BASE_CIERRE'!$G$5:$G$458,1,'BASE_CIERRE'!$H$5:$H$458,"Prescreening")</ns0:f>
        <ns0:v>8</ns0:v>
      </ns0:c>
      <ns0:c r="G152" s="32">
        <ns0:f>IFERROR(E152/F152,0)</ns0:f>
        <ns0:v>0.125</ns0:v>
      </ns0:c>
    </ns0:row>
    <ns0:row r="153" ht="32" customHeight="1">
      <ns0:c r="A153" s="19" t="inlineStr">
        <ns0:is>
          <ns0:t>Prognosis</ns0:t>
        </ns0:is>
      </ns0:c>
      <ns0:c r="B153" s="19" t="inlineStr">
        <ns0:is>
          <ns0:t>Audio/voice</ns0:t>
        </ns0:is>
      </ns0:c>
      <ns0:c r="C153" s="19" t="inlineStr">
        <ns0:is>
          <ns0:t>SVM</ns0:t>
        </ns0:is>
      </ns0:c>
      <ns0:c r="D153" s="19" t="inlineStr">
        <ns0:is>
          <ns0:t>Machine Learning</ns0:t>
        </ns0:is>
      </ns0:c>
      <ns0:c r="E153" s="27">
        <ns0:f>COUNTIFS('BASE_CIERRE'!$G$5:$G$458,1,'BASE_CIERRE'!$H$5:$H$458,"Prognosis",'BASE_CIERRE'!$J$5:$J$458,"Audio/voice",'BASE_CIERRE'!$L$5:$L$458,"SVM",'BASE_CIERRE'!$I$5:$I$458,"Machine Learning")</ns0:f>
        <ns0:v>1</ns0:v>
      </ns0:c>
      <ns0:c r="F153" s="27">
        <ns0:f>COUNTIFS('BASE_CIERRE'!$G$5:$G$458,1,'BASE_CIERRE'!$H$5:$H$458,"Prognosis")</ns0:f>
        <ns0:v>22</ns0:v>
      </ns0:c>
      <ns0:c r="G153" s="31">
        <ns0:f>IFERROR(E153/F153,0)</ns0:f>
        <ns0:v>0.045454545454545456</ns0:v>
      </ns0:c>
    </ns0:row>
    <ns0:row r="154" ht="32" customHeight="1">
      <ns0:c r="A154" s="21" t="inlineStr">
        <ns0:is>
          <ns0:t>Prognosis</ns0:t>
        </ns0:is>
      </ns0:c>
      <ns0:c r="B154" s="21" t="inlineStr">
        <ns0:is>
          <ns0:t>Behavioral images/video/gaze/movement</ns0:t>
        </ns0:is>
      </ns0:c>
      <ns0:c r="C154" s="21" t="inlineStr">
        <ns0:is>
          <ns0:t>Other specified method</ns0:t>
        </ns0:is>
      </ns0:c>
      <ns0:c r="D154" s="21" t="inlineStr">
        <ns0:is>
          <ns0:t>Machine Learning</ns0:t>
        </ns0:is>
      </ns0:c>
      <ns0:c r="E154" s="29">
        <ns0:f>COUNTIFS('BASE_CIERRE'!$G$5:$G$458,1,'BASE_CIERRE'!$H$5:$H$458,"Prognosis",'BASE_CIERRE'!$J$5:$J$458,"Behavioral images/video/gaze/movement",'BASE_CIERRE'!$L$5:$L$458,"Other specified method",'BASE_CIERRE'!$I$5:$I$458,"Machine Learning")</ns0:f>
        <ns0:v>1</ns0:v>
      </ns0:c>
      <ns0:c r="F154" s="29">
        <ns0:f>COUNTIFS('BASE_CIERRE'!$G$5:$G$458,1,'BASE_CIERRE'!$H$5:$H$458,"Prognosis")</ns0:f>
        <ns0:v>22</ns0:v>
      </ns0:c>
      <ns0:c r="G154" s="32">
        <ns0:f>IFERROR(E154/F154,0)</ns0:f>
        <ns0:v>0.045454545454545456</ns0:v>
      </ns0:c>
    </ns0:row>
    <ns0:row r="155" ht="32" customHeight="1">
      <ns0:c r="A155" s="19" t="inlineStr">
        <ns0:is>
          <ns0:t>Prognosis</ns0:t>
        </ns0:is>
      </ns0:c>
      <ns0:c r="B155" s="19" t="inlineStr">
        <ns0:is>
          <ns0:t>Biological/omics</ns0:t>
        </ns0:is>
      </ns0:c>
      <ns0:c r="C155" s="19" t="inlineStr">
        <ns0:is>
          <ns0:t>Multiple/not uniquely specified</ns0:t>
        </ns0:is>
      </ns0:c>
      <ns0:c r="D155" s="19" t="inlineStr">
        <ns0:is>
          <ns0:t>Machine Learning</ns0:t>
        </ns0:is>
      </ns0:c>
      <ns0:c r="E155" s="27">
        <ns0:f>COUNTIFS('BASE_CIERRE'!$G$5:$G$458,1,'BASE_CIERRE'!$H$5:$H$458,"Prognosis",'BASE_CIERRE'!$J$5:$J$458,"Biological/omics",'BASE_CIERRE'!$L$5:$L$458,"Multiple/not uniquely specified",'BASE_CIERRE'!$I$5:$I$458,"Machine Learning")</ns0:f>
        <ns0:v>2</ns0:v>
      </ns0:c>
      <ns0:c r="F155" s="27">
        <ns0:f>COUNTIFS('BASE_CIERRE'!$G$5:$G$458,1,'BASE_CIERRE'!$H$5:$H$458,"Prognosis")</ns0:f>
        <ns0:v>22</ns0:v>
      </ns0:c>
      <ns0:c r="G155" s="31">
        <ns0:f>IFERROR(E155/F155,0)</ns0:f>
        <ns0:v>0.09090909090909091</ns0:v>
      </ns0:c>
    </ns0:row>
    <ns0:row r="156" ht="32" customHeight="1">
      <ns0:c r="A156" s="21" t="inlineStr">
        <ns0:is>
          <ns0:t>Prognosis</ns0:t>
        </ns0:is>
      </ns0:c>
      <ns0:c r="B156" s="21" t="inlineStr">
        <ns0:is>
          <ns0:t>Biological/omics</ns0:t>
        </ns0:is>
      </ns0:c>
      <ns0:c r="C156" s="21" t="inlineStr">
        <ns0:is>
          <ns0:t>Other specified method</ns0:t>
        </ns0:is>
      </ns0:c>
      <ns0:c r="D156" s="21" t="inlineStr">
        <ns0:is>
          <ns0:t>Deep Learning</ns0:t>
        </ns0:is>
      </ns0:c>
      <ns0:c r="E156" s="29">
        <ns0:f>COUNTIFS('BASE_CIERRE'!$G$5:$G$458,1,'BASE_CIERRE'!$H$5:$H$458,"Prognosis",'BASE_CIERRE'!$J$5:$J$458,"Biological/omics",'BASE_CIERRE'!$L$5:$L$458,"Other specified method",'BASE_CIERRE'!$I$5:$I$458,"Deep Learning")</ns0:f>
        <ns0:v>1</ns0:v>
      </ns0:c>
      <ns0:c r="F156" s="29">
        <ns0:f>COUNTIFS('BASE_CIERRE'!$G$5:$G$458,1,'BASE_CIERRE'!$H$5:$H$458,"Prognosis")</ns0:f>
        <ns0:v>22</ns0:v>
      </ns0:c>
      <ns0:c r="G156" s="32">
        <ns0:f>IFERROR(E156/F156,0)</ns0:f>
        <ns0:v>0.045454545454545456</ns0:v>
      </ns0:c>
    </ns0:row>
    <ns0:row r="157" ht="32" customHeight="1">
      <ns0:c r="A157" s="19" t="inlineStr">
        <ns0:is>
          <ns0:t>Prognosis</ns0:t>
        </ns0:is>
      </ns0:c>
      <ns0:c r="B157" s="19" t="inlineStr">
        <ns0:is>
          <ns0:t>Multiple source categories</ns0:t>
        </ns0:is>
      </ns0:c>
      <ns0:c r="C157" s="19" t="inlineStr">
        <ns0:is>
          <ns0:t>Logistic regression</ns0:t>
        </ns0:is>
      </ns0:c>
      <ns0:c r="D157" s="19" t="inlineStr">
        <ns0:is>
          <ns0:t>Machine Learning</ns0:t>
        </ns0:is>
      </ns0:c>
      <ns0:c r="E157" s="27">
        <ns0:f>COUNTIFS('BASE_CIERRE'!$G$5:$G$458,1,'BASE_CIERRE'!$H$5:$H$458,"Prognosis",'BASE_CIERRE'!$J$5:$J$458,"Multiple source categories",'BASE_CIERRE'!$L$5:$L$458,"Logistic regression",'BASE_CIERRE'!$I$5:$I$458,"Machine Learning")</ns0:f>
        <ns0:v>1</ns0:v>
      </ns0:c>
      <ns0:c r="F157" s="27">
        <ns0:f>COUNTIFS('BASE_CIERRE'!$G$5:$G$458,1,'BASE_CIERRE'!$H$5:$H$458,"Prognosis")</ns0:f>
        <ns0:v>22</ns0:v>
      </ns0:c>
      <ns0:c r="G157" s="31">
        <ns0:f>IFERROR(E157/F157,0)</ns0:f>
        <ns0:v>0.045454545454545456</ns0:v>
      </ns0:c>
    </ns0:row>
    <ns0:row r="158" ht="32" customHeight="1">
      <ns0:c r="A158" s="21" t="inlineStr">
        <ns0:is>
          <ns0:t>Prognosis</ns0:t>
        </ns0:is>
      </ns0:c>
      <ns0:c r="B158" s="21" t="inlineStr">
        <ns0:is>
          <ns0:t>Multiple source categories</ns0:t>
        </ns0:is>
      </ns0:c>
      <ns0:c r="C158" s="21" t="inlineStr">
        <ns0:is>
          <ns0:t>Multiple/not uniquely specified</ns0:t>
        </ns0:is>
      </ns0:c>
      <ns0:c r="D158" s="21" t="inlineStr">
        <ns0:is>
          <ns0:t>Machine Learning</ns0:t>
        </ns0:is>
      </ns0:c>
      <ns0:c r="E158" s="29">
        <ns0:f>COUNTIFS('BASE_CIERRE'!$G$5:$G$458,1,'BASE_CIERRE'!$H$5:$H$458,"Prognosis",'BASE_CIERRE'!$J$5:$J$458,"Multiple source categories",'BASE_CIERRE'!$L$5:$L$458,"Multiple/not uniquely specified",'BASE_CIERRE'!$I$5:$I$458,"Machine Learning")</ns0:f>
        <ns0:v>1</ns0:v>
      </ns0:c>
      <ns0:c r="F158" s="29">
        <ns0:f>COUNTIFS('BASE_CIERRE'!$G$5:$G$458,1,'BASE_CIERRE'!$H$5:$H$458,"Prognosis")</ns0:f>
        <ns0:v>22</ns0:v>
      </ns0:c>
      <ns0:c r="G158" s="32">
        <ns0:f>IFERROR(E158/F158,0)</ns0:f>
        <ns0:v>0.045454545454545456</ns0:v>
      </ns0:c>
    </ns0:row>
    <ns0:row r="159" ht="32" customHeight="1">
      <ns0:c r="A159" s="19" t="inlineStr">
        <ns0:is>
          <ns0:t>Prognosis</ns0:t>
        </ns0:is>
      </ns0:c>
      <ns0:c r="B159" s="19" t="inlineStr">
        <ns0:is>
          <ns0:t>Multiple source categories</ns0:t>
        </ns0:is>
      </ns0:c>
      <ns0:c r="C159" s="19" t="inlineStr">
        <ns0:is>
          <ns0:t>Other specified method</ns0:t>
        </ns0:is>
      </ns0:c>
      <ns0:c r="D159" s="19" t="inlineStr">
        <ns0:is>
          <ns0:t>Machine Learning</ns0:t>
        </ns0:is>
      </ns0:c>
      <ns0:c r="E159" s="27">
        <ns0:f>COUNTIFS('BASE_CIERRE'!$G$5:$G$458,1,'BASE_CIERRE'!$H$5:$H$458,"Prognosis",'BASE_CIERRE'!$J$5:$J$458,"Multiple source categories",'BASE_CIERRE'!$L$5:$L$458,"Other specified method",'BASE_CIERRE'!$I$5:$I$458,"Machine Learning")</ns0:f>
        <ns0:v>2</ns0:v>
      </ns0:c>
      <ns0:c r="F159" s="27">
        <ns0:f>COUNTIFS('BASE_CIERRE'!$G$5:$G$458,1,'BASE_CIERRE'!$H$5:$H$458,"Prognosis")</ns0:f>
        <ns0:v>22</ns0:v>
      </ns0:c>
      <ns0:c r="G159" s="31">
        <ns0:f>IFERROR(E159/F159,0)</ns0:f>
        <ns0:v>0.09090909090909091</ns0:v>
      </ns0:c>
    </ns0:row>
    <ns0:row r="160" ht="32" customHeight="1">
      <ns0:c r="A160" s="21" t="inlineStr">
        <ns0:is>
          <ns0:t>Prognosis</ns0:t>
        </ns0:is>
      </ns0:c>
      <ns0:c r="B160" s="21" t="inlineStr">
        <ns0:is>
          <ns0:t>Neuroimaging</ns0:t>
        </ns0:is>
      </ns0:c>
      <ns0:c r="C160" s="21" t="inlineStr">
        <ns0:is>
          <ns0:t>Decision tree/rules</ns0:t>
        </ns0:is>
      </ns0:c>
      <ns0:c r="D160" s="21" t="inlineStr">
        <ns0:is>
          <ns0:t>Machine Learning</ns0:t>
        </ns0:is>
      </ns0:c>
      <ns0:c r="E160" s="29">
        <ns0:f>COUNTIFS('BASE_CIERRE'!$G$5:$G$458,1,'BASE_CIERRE'!$H$5:$H$458,"Prognosis",'BASE_CIERRE'!$J$5:$J$458,"Neuroimaging",'BASE_CIERRE'!$L$5:$L$458,"Decision tree/rules",'BASE_CIERRE'!$I$5:$I$458,"Machine Learning")</ns0:f>
        <ns0:v>1</ns0:v>
      </ns0:c>
      <ns0:c r="F160" s="29">
        <ns0:f>COUNTIFS('BASE_CIERRE'!$G$5:$G$458,1,'BASE_CIERRE'!$H$5:$H$458,"Prognosis")</ns0:f>
        <ns0:v>22</ns0:v>
      </ns0:c>
      <ns0:c r="G160" s="32">
        <ns0:f>IFERROR(E160/F160,0)</ns0:f>
        <ns0:v>0.045454545454545456</ns0:v>
      </ns0:c>
    </ns0:row>
    <ns0:row r="161" ht="32" customHeight="1">
      <ns0:c r="A161" s="19" t="inlineStr">
        <ns0:is>
          <ns0:t>Prognosis</ns0:t>
        </ns0:is>
      </ns0:c>
      <ns0:c r="B161" s="19" t="inlineStr">
        <ns0:is>
          <ns0:t>Neuroimaging</ns0:t>
        </ns0:is>
      </ns0:c>
      <ns0:c r="C161" s="19" t="inlineStr">
        <ns0:is>
          <ns0:t>Multiple/not uniquely specified</ns0:t>
        </ns0:is>
      </ns0:c>
      <ns0:c r="D161" s="19" t="inlineStr">
        <ns0:is>
          <ns0:t>Machine Learning</ns0:t>
        </ns0:is>
      </ns0:c>
      <ns0:c r="E161" s="27">
        <ns0:f>COUNTIFS('BASE_CIERRE'!$G$5:$G$458,1,'BASE_CIERRE'!$H$5:$H$458,"Prognosis",'BASE_CIERRE'!$J$5:$J$458,"Neuroimaging",'BASE_CIERRE'!$L$5:$L$458,"Multiple/not uniquely specified",'BASE_CIERRE'!$I$5:$I$458,"Machine Learning")</ns0:f>
        <ns0:v>1</ns0:v>
      </ns0:c>
      <ns0:c r="F161" s="27">
        <ns0:f>COUNTIFS('BASE_CIERRE'!$G$5:$G$458,1,'BASE_CIERRE'!$H$5:$H$458,"Prognosis")</ns0:f>
        <ns0:v>22</ns0:v>
      </ns0:c>
      <ns0:c r="G161" s="31">
        <ns0:f>IFERROR(E161/F161,0)</ns0:f>
        <ns0:v>0.045454545454545456</ns0:v>
      </ns0:c>
    </ns0:row>
    <ns0:row r="162" ht="32" customHeight="1">
      <ns0:c r="A162" s="21" t="inlineStr">
        <ns0:is>
          <ns0:t>Prognosis</ns0:t>
        </ns0:is>
      </ns0:c>
      <ns0:c r="B162" s="21" t="inlineStr">
        <ns0:is>
          <ns0:t>Physiological signals</ns0:t>
        </ns0:is>
      </ns0:c>
      <ns0:c r="C162" s="21" t="inlineStr">
        <ns0:is>
          <ns0:t>Decision tree/rules</ns0:t>
        </ns0:is>
      </ns0:c>
      <ns0:c r="D162" s="21" t="inlineStr">
        <ns0:is>
          <ns0:t>Machine Learning</ns0:t>
        </ns0:is>
      </ns0:c>
      <ns0:c r="E162" s="29">
        <ns0:f>COUNTIFS('BASE_CIERRE'!$G$5:$G$458,1,'BASE_CIERRE'!$H$5:$H$458,"Prognosis",'BASE_CIERRE'!$J$5:$J$458,"Physiological signals",'BASE_CIERRE'!$L$5:$L$458,"Decision tree/rules",'BASE_CIERRE'!$I$5:$I$458,"Machine Learning")</ns0:f>
        <ns0:v>1</ns0:v>
      </ns0:c>
      <ns0:c r="F162" s="29">
        <ns0:f>COUNTIFS('BASE_CIERRE'!$G$5:$G$458,1,'BASE_CIERRE'!$H$5:$H$458,"Prognosis")</ns0:f>
        <ns0:v>22</ns0:v>
      </ns0:c>
      <ns0:c r="G162" s="32">
        <ns0:f>IFERROR(E162/F162,0)</ns0:f>
        <ns0:v>0.045454545454545456</ns0:v>
      </ns0:c>
    </ns0:row>
    <ns0:row r="163" ht="32" customHeight="1">
      <ns0:c r="A163" s="19" t="inlineStr">
        <ns0:is>
          <ns0:t>Prognosis</ns0:t>
        </ns0:is>
      </ns0:c>
      <ns0:c r="B163" s="19" t="inlineStr">
        <ns0:is>
          <ns0:t>Physiological signals</ns0:t>
        </ns0:is>
      </ns0:c>
      <ns0:c r="C163" s="19" t="inlineStr">
        <ns0:is>
          <ns0:t>Multiple/not uniquely specified</ns0:t>
        </ns0:is>
      </ns0:c>
      <ns0:c r="D163" s="19" t="inlineStr">
        <ns0:is>
          <ns0:t>Machine Learning</ns0:t>
        </ns0:is>
      </ns0:c>
      <ns0:c r="E163" s="27">
        <ns0:f>COUNTIFS('BASE_CIERRE'!$G$5:$G$458,1,'BASE_CIERRE'!$H$5:$H$458,"Prognosis",'BASE_CIERRE'!$J$5:$J$458,"Physiological signals",'BASE_CIERRE'!$L$5:$L$458,"Multiple/not uniquely specified",'BASE_CIERRE'!$I$5:$I$458,"Machine Learning")</ns0:f>
        <ns0:v>1</ns0:v>
      </ns0:c>
      <ns0:c r="F163" s="27">
        <ns0:f>COUNTIFS('BASE_CIERRE'!$G$5:$G$458,1,'BASE_CIERRE'!$H$5:$H$458,"Prognosis")</ns0:f>
        <ns0:v>22</ns0:v>
      </ns0:c>
      <ns0:c r="G163" s="31">
        <ns0:f>IFERROR(E163/F163,0)</ns0:f>
        <ns0:v>0.045454545454545456</ns0:v>
      </ns0:c>
    </ns0:row>
    <ns0:row r="164" ht="32" customHeight="1">
      <ns0:c r="A164" s="21" t="inlineStr">
        <ns0:is>
          <ns0:t>Prognosis</ns0:t>
        </ns0:is>
      </ns0:c>
      <ns0:c r="B164" s="21" t="inlineStr">
        <ns0:is>
          <ns0:t>Physiological signals</ns0:t>
        </ns0:is>
      </ns0:c>
      <ns0:c r="C164" s="21" t="inlineStr">
        <ns0:is>
          <ns0:t>SVM</ns0:t>
        </ns0:is>
      </ns0:c>
      <ns0:c r="D164" s="21" t="inlineStr">
        <ns0:is>
          <ns0:t>Machine Learning</ns0:t>
        </ns0:is>
      </ns0:c>
      <ns0:c r="E164" s="29">
        <ns0:f>COUNTIFS('BASE_CIERRE'!$G$5:$G$458,1,'BASE_CIERRE'!$H$5:$H$458,"Prognosis",'BASE_CIERRE'!$J$5:$J$458,"Physiological signals",'BASE_CIERRE'!$L$5:$L$458,"SVM",'BASE_CIERRE'!$I$5:$I$458,"Machine Learning")</ns0:f>
        <ns0:v>1</ns0:v>
      </ns0:c>
      <ns0:c r="F164" s="29">
        <ns0:f>COUNTIFS('BASE_CIERRE'!$G$5:$G$458,1,'BASE_CIERRE'!$H$5:$H$458,"Prognosis")</ns0:f>
        <ns0:v>22</ns0:v>
      </ns0:c>
      <ns0:c r="G164" s="32">
        <ns0:f>IFERROR(E164/F164,0)</ns0:f>
        <ns0:v>0.045454545454545456</ns0:v>
      </ns0:c>
    </ns0:row>
    <ns0:row r="165" ht="32" customHeight="1">
      <ns0:c r="A165" s="19" t="inlineStr">
        <ns0:is>
          <ns0:t>Prognosis</ns0:t>
        </ns0:is>
      </ns0:c>
      <ns0:c r="B165" s="19" t="inlineStr">
        <ns0:is>
          <ns0:t>Structured clinical/questionnaire data</ns0:t>
        </ns0:is>
      </ns0:c>
      <ns0:c r="C165" s="19" t="inlineStr">
        <ns0:is>
          <ns0:t>Composite/ensemble pipeline</ns0:t>
        </ns0:is>
      </ns0:c>
      <ns0:c r="D165" s="19" t="inlineStr">
        <ns0:is>
          <ns0:t>Machine Learning</ns0:t>
        </ns0:is>
      </ns0:c>
      <ns0:c r="E165" s="27">
        <ns0:f>COUNTIFS('BASE_CIERRE'!$G$5:$G$458,1,'BASE_CIERRE'!$H$5:$H$458,"Prognosis",'BASE_CIERRE'!$J$5:$J$458,"Structured clinical/questionnaire data",'BASE_CIERRE'!$L$5:$L$458,"Composite/ensemble pipeline",'BASE_CIERRE'!$I$5:$I$458,"Machine Learning")</ns0:f>
        <ns0:v>1</ns0:v>
      </ns0:c>
      <ns0:c r="F165" s="27">
        <ns0:f>COUNTIFS('BASE_CIERRE'!$G$5:$G$458,1,'BASE_CIERRE'!$H$5:$H$458,"Prognosis")</ns0:f>
        <ns0:v>22</ns0:v>
      </ns0:c>
      <ns0:c r="G165" s="31">
        <ns0:f>IFERROR(E165/F165,0)</ns0:f>
        <ns0:v>0.045454545454545456</ns0:v>
      </ns0:c>
    </ns0:row>
    <ns0:row r="166" ht="32" customHeight="1">
      <ns0:c r="A166" s="21" t="inlineStr">
        <ns0:is>
          <ns0:t>Prognosis</ns0:t>
        </ns0:is>
      </ns0:c>
      <ns0:c r="B166" s="21" t="inlineStr">
        <ns0:is>
          <ns0:t>Structured clinical/questionnaire data</ns0:t>
        </ns0:is>
      </ns0:c>
      <ns0:c r="C166" s="21" t="inlineStr">
        <ns0:is>
          <ns0:t>Gradient boosting</ns0:t>
        </ns0:is>
      </ns0:c>
      <ns0:c r="D166" s="21" t="inlineStr">
        <ns0:is>
          <ns0:t>Machine Learning</ns0:t>
        </ns0:is>
      </ns0:c>
      <ns0:c r="E166" s="29">
        <ns0:f>COUNTIFS('BASE_CIERRE'!$G$5:$G$458,1,'BASE_CIERRE'!$H$5:$H$458,"Prognosis",'BASE_CIERRE'!$J$5:$J$458,"Structured clinical/questionnaire data",'BASE_CIERRE'!$L$5:$L$458,"Gradient boosting",'BASE_CIERRE'!$I$5:$I$458,"Machine Learning")</ns0:f>
        <ns0:v>1</ns0:v>
      </ns0:c>
      <ns0:c r="F166" s="29">
        <ns0:f>COUNTIFS('BASE_CIERRE'!$G$5:$G$458,1,'BASE_CIERRE'!$H$5:$H$458,"Prognosis")</ns0:f>
        <ns0:v>22</ns0:v>
      </ns0:c>
      <ns0:c r="G166" s="32">
        <ns0:f>IFERROR(E166/F166,0)</ns0:f>
        <ns0:v>0.045454545454545456</ns0:v>
      </ns0:c>
    </ns0:row>
    <ns0:row r="167" ht="32" customHeight="1">
      <ns0:c r="A167" s="19" t="inlineStr">
        <ns0:is>
          <ns0:t>Prognosis</ns0:t>
        </ns0:is>
      </ns0:c>
      <ns0:c r="B167" s="19" t="inlineStr">
        <ns0:is>
          <ns0:t>Structured clinical/questionnaire data</ns0:t>
        </ns0:is>
      </ns0:c>
      <ns0:c r="C167" s="19" t="inlineStr">
        <ns0:is>
          <ns0:t>Multiple/not uniquely specified</ns0:t>
        </ns0:is>
      </ns0:c>
      <ns0:c r="D167" s="19" t="inlineStr">
        <ns0:is>
          <ns0:t>Machine Learning</ns0:t>
        </ns0:is>
      </ns0:c>
      <ns0:c r="E167" s="27">
        <ns0:f>COUNTIFS('BASE_CIERRE'!$G$5:$G$458,1,'BASE_CIERRE'!$H$5:$H$458,"Prognosis",'BASE_CIERRE'!$J$5:$J$458,"Structured clinical/questionnaire data",'BASE_CIERRE'!$L$5:$L$458,"Multiple/not uniquely specified",'BASE_CIERRE'!$I$5:$I$458,"Machine Learning")</ns0:f>
        <ns0:v>1</ns0:v>
      </ns0:c>
      <ns0:c r="F167" s="27">
        <ns0:f>COUNTIFS('BASE_CIERRE'!$G$5:$G$458,1,'BASE_CIERRE'!$H$5:$H$458,"Prognosis")</ns0:f>
        <ns0:v>22</ns0:v>
      </ns0:c>
      <ns0:c r="G167" s="31">
        <ns0:f>IFERROR(E167/F167,0)</ns0:f>
        <ns0:v>0.045454545454545456</ns0:v>
      </ns0:c>
    </ns0:row>
    <ns0:row r="168" ht="32" customHeight="1">
      <ns0:c r="A168" s="21" t="inlineStr">
        <ns0:is>
          <ns0:t>Prognosis</ns0:t>
        </ns0:is>
      </ns0:c>
      <ns0:c r="B168" s="21" t="inlineStr">
        <ns0:is>
          <ns0:t>Structured clinical/questionnaire data</ns0:t>
        </ns0:is>
      </ns0:c>
      <ns0:c r="C168" s="21" t="inlineStr">
        <ns0:is>
          <ns0:t>Other specified method</ns0:t>
        </ns0:is>
      </ns0:c>
      <ns0:c r="D168" s="21" t="inlineStr">
        <ns0:is>
          <ns0:t>Machine Learning</ns0:t>
        </ns0:is>
      </ns0:c>
      <ns0:c r="E168" s="29">
        <ns0:f>COUNTIFS('BASE_CIERRE'!$G$5:$G$458,1,'BASE_CIERRE'!$H$5:$H$458,"Prognosis",'BASE_CIERRE'!$J$5:$J$458,"Structured clinical/questionnaire data",'BASE_CIERRE'!$L$5:$L$458,"Other specified method",'BASE_CIERRE'!$I$5:$I$458,"Machine Learning")</ns0:f>
        <ns0:v>1</ns0:v>
      </ns0:c>
      <ns0:c r="F168" s="29">
        <ns0:f>COUNTIFS('BASE_CIERRE'!$G$5:$G$458,1,'BASE_CIERRE'!$H$5:$H$458,"Prognosis")</ns0:f>
        <ns0:v>22</ns0:v>
      </ns0:c>
      <ns0:c r="G168" s="32">
        <ns0:f>IFERROR(E168/F168,0)</ns0:f>
        <ns0:v>0.045454545454545456</ns0:v>
      </ns0:c>
    </ns0:row>
    <ns0:row r="169" ht="32" customHeight="1">
      <ns0:c r="A169" s="19" t="inlineStr">
        <ns0:is>
          <ns0:t>Prognosis</ns0:t>
        </ns0:is>
      </ns0:c>
      <ns0:c r="B169" s="19" t="inlineStr">
        <ns0:is>
          <ns0:t>Structured clinical/questionnaire data</ns0:t>
        </ns0:is>
      </ns0:c>
      <ns0:c r="C169" s="19" t="inlineStr">
        <ns0:is>
          <ns0:t>SVM</ns0:t>
        </ns0:is>
      </ns0:c>
      <ns0:c r="D169" s="19" t="inlineStr">
        <ns0:is>
          <ns0:t>Machine Learning</ns0:t>
        </ns0:is>
      </ns0:c>
      <ns0:c r="E169" s="27">
        <ns0:f>COUNTIFS('BASE_CIERRE'!$G$5:$G$458,1,'BASE_CIERRE'!$H$5:$H$458,"Prognosis",'BASE_CIERRE'!$J$5:$J$458,"Structured clinical/questionnaire data",'BASE_CIERRE'!$L$5:$L$458,"SVM",'BASE_CIERRE'!$I$5:$I$458,"Machine Learning")</ns0:f>
        <ns0:v>2</ns0:v>
      </ns0:c>
      <ns0:c r="F169" s="27">
        <ns0:f>COUNTIFS('BASE_CIERRE'!$G$5:$G$458,1,'BASE_CIERRE'!$H$5:$H$458,"Prognosis")</ns0:f>
        <ns0:v>22</ns0:v>
      </ns0:c>
      <ns0:c r="G169" s="31">
        <ns0:f>IFERROR(E169/F169,0)</ns0:f>
        <ns0:v>0.09090909090909091</ns0:v>
      </ns0:c>
    </ns0:row>
    <ns0:row r="170" ht="32" customHeight="1">
      <ns0:c r="A170" s="21" t="inlineStr">
        <ns0:is>
          <ns0:t>Prognosis</ns0:t>
        </ns0:is>
      </ns0:c>
      <ns0:c r="B170" s="21" t="inlineStr">
        <ns0:is>
          <ns0:t>Structured clinical/questionnaire data</ns0:t>
        </ns0:is>
      </ns0:c>
      <ns0:c r="C170" s="21" t="inlineStr">
        <ns0:is>
          <ns0:t>Transformer</ns0:t>
        </ns0:is>
      </ns0:c>
      <ns0:c r="D170" s="21" t="inlineStr">
        <ns0:is>
          <ns0:t>Deep Learning</ns0:t>
        </ns0:is>
      </ns0:c>
      <ns0:c r="E170" s="29">
        <ns0:f>COUNTIFS('BASE_CIERRE'!$G$5:$G$458,1,'BASE_CIERRE'!$H$5:$H$458,"Prognosis",'BASE_CIERRE'!$J$5:$J$458,"Structured clinical/questionnaire data",'BASE_CIERRE'!$L$5:$L$458,"Transformer",'BASE_CIERRE'!$I$5:$I$458,"Deep Learning")</ns0:f>
        <ns0:v>2</ns0:v>
      </ns0:c>
      <ns0:c r="F170" s="29">
        <ns0:f>COUNTIFS('BASE_CIERRE'!$G$5:$G$458,1,'BASE_CIERRE'!$H$5:$H$458,"Prognosis")</ns0:f>
        <ns0:v>22</ns0:v>
      </ns0:c>
      <ns0:c r="G170" s="32">
        <ns0:f>IFERROR(E170/F170,0)</ns0:f>
        <ns0:v>0.09090909090909091</ns0:v>
      </ns0:c>
    </ns0:row>
    <ns0:row r="171" ht="32" customHeight="1">
      <ns0:c r="A171" s="19" t="inlineStr">
        <ns0:is>
          <ns0:t>Screening</ns0:t>
        </ns0:is>
      </ns0:c>
      <ns0:c r="B171" s="19" t="inlineStr">
        <ns0:is>
          <ns0:t>Audio/voice</ns0:t>
        </ns0:is>
      </ns0:c>
      <ns0:c r="C171" s="19" t="inlineStr">
        <ns0:is>
          <ns0:t>Autoencoder</ns0:t>
        </ns0:is>
      </ns0:c>
      <ns0:c r="D171" s="19" t="inlineStr">
        <ns0:is>
          <ns0:t>Deep Learning</ns0:t>
        </ns0:is>
      </ns0:c>
      <ns0:c r="E171" s="27">
        <ns0:f>COUNTIFS('BASE_CIERRE'!$G$5:$G$458,1,'BASE_CIERRE'!$H$5:$H$458,"Screening",'BASE_CIERRE'!$J$5:$J$458,"Audio/voice",'BASE_CIERRE'!$L$5:$L$458,"Autoencoder",'BASE_CIERRE'!$I$5:$I$458,"Deep Learning")</ns0:f>
        <ns0:v>1</ns0:v>
      </ns0:c>
      <ns0:c r="F171" s="27">
        <ns0:f>COUNTIFS('BASE_CIERRE'!$G$5:$G$458,1,'BASE_CIERRE'!$H$5:$H$458,"Screening")</ns0:f>
        <ns0:v>113</ns0:v>
      </ns0:c>
      <ns0:c r="G171" s="31">
        <ns0:f>IFERROR(E171/F171,0)</ns0:f>
        <ns0:v>0.008849557522123894</ns0:v>
      </ns0:c>
    </ns0:row>
    <ns0:row r="172" ht="32" customHeight="1">
      <ns0:c r="A172" s="21" t="inlineStr">
        <ns0:is>
          <ns0:t>Screening</ns0:t>
        </ns0:is>
      </ns0:c>
      <ns0:c r="B172" s="21" t="inlineStr">
        <ns0:is>
          <ns0:t>Audio/voice</ns0:t>
        </ns0:is>
      </ns0:c>
      <ns0:c r="C172" s="21" t="inlineStr">
        <ns0:is>
          <ns0:t>Multiple/not uniquely specified</ns0:t>
        </ns0:is>
      </ns0:c>
      <ns0:c r="D172" s="21" t="inlineStr">
        <ns0:is>
          <ns0:t>Not specified</ns0:t>
        </ns0:is>
      </ns0:c>
      <ns0:c r="E172" s="29">
        <ns0:f>COUNTIFS('BASE_CIERRE'!$G$5:$G$458,1,'BASE_CIERRE'!$H$5:$H$458,"Screening",'BASE_CIERRE'!$J$5:$J$458,"Audio/voice",'BASE_CIERRE'!$L$5:$L$458,"Multiple/not uniquely specified",'BASE_CIERRE'!$I$5:$I$458,"Not specified")</ns0:f>
        <ns0:v>1</ns0:v>
      </ns0:c>
      <ns0:c r="F172" s="29">
        <ns0:f>COUNTIFS('BASE_CIERRE'!$G$5:$G$458,1,'BASE_CIERRE'!$H$5:$H$458,"Screening")</ns0:f>
        <ns0:v>113</ns0:v>
      </ns0:c>
      <ns0:c r="G172" s="32">
        <ns0:f>IFERROR(E172/F172,0)</ns0:f>
        <ns0:v>0.008849557522123894</ns0:v>
      </ns0:c>
    </ns0:row>
    <ns0:row r="173" ht="32" customHeight="1">
      <ns0:c r="A173" s="19" t="inlineStr">
        <ns0:is>
          <ns0:t>Screening</ns0:t>
        </ns0:is>
      </ns0:c>
      <ns0:c r="B173" s="19" t="inlineStr">
        <ns0:is>
          <ns0:t>Audio/voice</ns0:t>
        </ns0:is>
      </ns0:c>
      <ns0:c r="C173" s="19" t="inlineStr">
        <ns0:is>
          <ns0:t>Other specified method</ns0:t>
        </ns0:is>
      </ns0:c>
      <ns0:c r="D173" s="19" t="inlineStr">
        <ns0:is>
          <ns0:t>Deep Learning</ns0:t>
        </ns0:is>
      </ns0:c>
      <ns0:c r="E173" s="27">
        <ns0:f>COUNTIFS('BASE_CIERRE'!$G$5:$G$458,1,'BASE_CIERRE'!$H$5:$H$458,"Screening",'BASE_CIERRE'!$J$5:$J$458,"Audio/voice",'BASE_CIERRE'!$L$5:$L$458,"Other specified method",'BASE_CIERRE'!$I$5:$I$458,"Deep Learning")</ns0:f>
        <ns0:v>1</ns0:v>
      </ns0:c>
      <ns0:c r="F173" s="27">
        <ns0:f>COUNTIFS('BASE_CIERRE'!$G$5:$G$458,1,'BASE_CIERRE'!$H$5:$H$458,"Screening")</ns0:f>
        <ns0:v>113</ns0:v>
      </ns0:c>
      <ns0:c r="G173" s="31">
        <ns0:f>IFERROR(E173/F173,0)</ns0:f>
        <ns0:v>0.008849557522123894</ns0:v>
      </ns0:c>
    </ns0:row>
    <ns0:row r="174" ht="32" customHeight="1">
      <ns0:c r="A174" s="21" t="inlineStr">
        <ns0:is>
          <ns0:t>Screening</ns0:t>
        </ns0:is>
      </ns0:c>
      <ns0:c r="B174" s="21" t="inlineStr">
        <ns0:is>
          <ns0:t>Behavioral images/video/gaze/movement</ns0:t>
        </ns0:is>
      </ns0:c>
      <ns0:c r="C174" s="21" t="inlineStr">
        <ns0:is>
          <ns0:t>CNN</ns0:t>
        </ns0:is>
      </ns0:c>
      <ns0:c r="D174" s="21" t="inlineStr">
        <ns0:is>
          <ns0:t>Deep Learning</ns0:t>
        </ns0:is>
      </ns0:c>
      <ns0:c r="E174" s="29">
        <ns0:f>COUNTIFS('BASE_CIERRE'!$G$5:$G$458,1,'BASE_CIERRE'!$H$5:$H$458,"Screening",'BASE_CIERRE'!$J$5:$J$458,"Behavioral images/video/gaze/movement",'BASE_CIERRE'!$L$5:$L$458,"CNN",'BASE_CIERRE'!$I$5:$I$458,"Deep Learning")</ns0:f>
        <ns0:v>10</ns0:v>
      </ns0:c>
      <ns0:c r="F174" s="29">
        <ns0:f>COUNTIFS('BASE_CIERRE'!$G$5:$G$458,1,'BASE_CIERRE'!$H$5:$H$458,"Screening")</ns0:f>
        <ns0:v>113</ns0:v>
      </ns0:c>
      <ns0:c r="G174" s="32">
        <ns0:f>IFERROR(E174/F174,0)</ns0:f>
        <ns0:v>0.08849557522123894</ns0:v>
      </ns0:c>
    </ns0:row>
    <ns0:row r="175" ht="32" customHeight="1">
      <ns0:c r="A175" s="19" t="inlineStr">
        <ns0:is>
          <ns0:t>Screening</ns0:t>
        </ns0:is>
      </ns0:c>
      <ns0:c r="B175" s="19" t="inlineStr">
        <ns0:is>
          <ns0:t>Behavioral images/video/gaze/movement</ns0:t>
        </ns0:is>
      </ns0:c>
      <ns0:c r="C175" s="19" t="inlineStr">
        <ns0:is>
          <ns0:t>Composite/ensemble pipeline</ns0:t>
        </ns0:is>
      </ns0:c>
      <ns0:c r="D175" s="19" t="inlineStr">
        <ns0:is>
          <ns0:t>Deep Learning</ns0:t>
        </ns0:is>
      </ns0:c>
      <ns0:c r="E175" s="27">
        <ns0:f>COUNTIFS('BASE_CIERRE'!$G$5:$G$458,1,'BASE_CIERRE'!$H$5:$H$458,"Screening",'BASE_CIERRE'!$J$5:$J$458,"Behavioral images/video/gaze/movement",'BASE_CIERRE'!$L$5:$L$458,"Composite/ensemble pipeline",'BASE_CIERRE'!$I$5:$I$458,"Deep Learning")</ns0:f>
        <ns0:v>2</ns0:v>
      </ns0:c>
      <ns0:c r="F175" s="27">
        <ns0:f>COUNTIFS('BASE_CIERRE'!$G$5:$G$458,1,'BASE_CIERRE'!$H$5:$H$458,"Screening")</ns0:f>
        <ns0:v>113</ns0:v>
      </ns0:c>
      <ns0:c r="G175" s="31">
        <ns0:f>IFERROR(E175/F175,0)</ns0:f>
        <ns0:v>0.017699115044247787</ns0:v>
      </ns0:c>
    </ns0:row>
    <ns0:row r="176" ht="32" customHeight="1">
      <ns0:c r="A176" s="21" t="inlineStr">
        <ns0:is>
          <ns0:t>Screening</ns0:t>
        </ns0:is>
      </ns0:c>
      <ns0:c r="B176" s="21" t="inlineStr">
        <ns0:is>
          <ns0:t>Behavioral images/video/gaze/movement</ns0:t>
        </ns0:is>
      </ns0:c>
      <ns0:c r="C176" s="21" t="inlineStr">
        <ns0:is>
          <ns0:t>Composite/ensemble pipeline</ns0:t>
        </ns0:is>
      </ns0:c>
      <ns0:c r="D176" s="21" t="inlineStr">
        <ns0:is>
          <ns0:t>Machine Learning</ns0:t>
        </ns0:is>
      </ns0:c>
      <ns0:c r="E176" s="29">
        <ns0:f>COUNTIFS('BASE_CIERRE'!$G$5:$G$458,1,'BASE_CIERRE'!$H$5:$H$458,"Screening",'BASE_CIERRE'!$J$5:$J$458,"Behavioral images/video/gaze/movement",'BASE_CIERRE'!$L$5:$L$458,"Composite/ensemble pipeline",'BASE_CIERRE'!$I$5:$I$458,"Machine Learning")</ns0:f>
        <ns0:v>1</ns0:v>
      </ns0:c>
      <ns0:c r="F176" s="29">
        <ns0:f>COUNTIFS('BASE_CIERRE'!$G$5:$G$458,1,'BASE_CIERRE'!$H$5:$H$458,"Screening")</ns0:f>
        <ns0:v>113</ns0:v>
      </ns0:c>
      <ns0:c r="G176" s="32">
        <ns0:f>IFERROR(E176/F176,0)</ns0:f>
        <ns0:v>0.008849557522123894</ns0:v>
      </ns0:c>
    </ns0:row>
    <ns0:row r="177" ht="32" customHeight="1">
      <ns0:c r="A177" s="19" t="inlineStr">
        <ns0:is>
          <ns0:t>Screening</ns0:t>
        </ns0:is>
      </ns0:c>
      <ns0:c r="B177" s="19" t="inlineStr">
        <ns0:is>
          <ns0:t>Behavioral images/video/gaze/movement</ns0:t>
        </ns0:is>
      </ns0:c>
      <ns0:c r="C177" s="19" t="inlineStr">
        <ns0:is>
          <ns0:t>Decision tree/rules</ns0:t>
        </ns0:is>
      </ns0:c>
      <ns0:c r="D177" s="19" t="inlineStr">
        <ns0:is>
          <ns0:t>Machine Learning</ns0:t>
        </ns0:is>
      </ns0:c>
      <ns0:c r="E177" s="27">
        <ns0:f>COUNTIFS('BASE_CIERRE'!$G$5:$G$458,1,'BASE_CIERRE'!$H$5:$H$458,"Screening",'BASE_CIERRE'!$J$5:$J$458,"Behavioral images/video/gaze/movement",'BASE_CIERRE'!$L$5:$L$458,"Decision tree/rules",'BASE_CIERRE'!$I$5:$I$458,"Machine Learning")</ns0:f>
        <ns0:v>1</ns0:v>
      </ns0:c>
      <ns0:c r="F177" s="27">
        <ns0:f>COUNTIFS('BASE_CIERRE'!$G$5:$G$458,1,'BASE_CIERRE'!$H$5:$H$458,"Screening")</ns0:f>
        <ns0:v>113</ns0:v>
      </ns0:c>
      <ns0:c r="G177" s="31">
        <ns0:f>IFERROR(E177/F177,0)</ns0:f>
        <ns0:v>0.008849557522123894</ns0:v>
      </ns0:c>
    </ns0:row>
    <ns0:row r="178" ht="32" customHeight="1">
      <ns0:c r="A178" s="21" t="inlineStr">
        <ns0:is>
          <ns0:t>Screening</ns0:t>
        </ns0:is>
      </ns0:c>
      <ns0:c r="B178" s="21" t="inlineStr">
        <ns0:is>
          <ns0:t>Behavioral images/video/gaze/movement</ns0:t>
        </ns0:is>
      </ns0:c>
      <ns0:c r="C178" s="21" t="inlineStr">
        <ns0:is>
          <ns0:t>Gradient boosting</ns0:t>
        </ns0:is>
      </ns0:c>
      <ns0:c r="D178" s="21" t="inlineStr">
        <ns0:is>
          <ns0:t>Hybrid</ns0:t>
        </ns0:is>
      </ns0:c>
      <ns0:c r="E178" s="29">
        <ns0:f>COUNTIFS('BASE_CIERRE'!$G$5:$G$458,1,'BASE_CIERRE'!$H$5:$H$458,"Screening",'BASE_CIERRE'!$J$5:$J$458,"Behavioral images/video/gaze/movement",'BASE_CIERRE'!$L$5:$L$458,"Gradient boosting",'BASE_CIERRE'!$I$5:$I$458,"Hybrid")</ns0:f>
        <ns0:v>2</ns0:v>
      </ns0:c>
      <ns0:c r="F178" s="29">
        <ns0:f>COUNTIFS('BASE_CIERRE'!$G$5:$G$458,1,'BASE_CIERRE'!$H$5:$H$458,"Screening")</ns0:f>
        <ns0:v>113</ns0:v>
      </ns0:c>
      <ns0:c r="G178" s="32">
        <ns0:f>IFERROR(E178/F178,0)</ns0:f>
        <ns0:v>0.017699115044247787</ns0:v>
      </ns0:c>
    </ns0:row>
    <ns0:row r="179" ht="32" customHeight="1">
      <ns0:c r="A179" s="19" t="inlineStr">
        <ns0:is>
          <ns0:t>Screening</ns0:t>
        </ns0:is>
      </ns0:c>
      <ns0:c r="B179" s="19" t="inlineStr">
        <ns0:is>
          <ns0:t>Behavioral images/video/gaze/movement</ns0:t>
        </ns0:is>
      </ns0:c>
      <ns0:c r="C179" s="19" t="inlineStr">
        <ns0:is>
          <ns0:t>Logistic regression</ns0:t>
        </ns0:is>
      </ns0:c>
      <ns0:c r="D179" s="19" t="inlineStr">
        <ns0:is>
          <ns0:t>Machine Learning</ns0:t>
        </ns0:is>
      </ns0:c>
      <ns0:c r="E179" s="27">
        <ns0:f>COUNTIFS('BASE_CIERRE'!$G$5:$G$458,1,'BASE_CIERRE'!$H$5:$H$458,"Screening",'BASE_CIERRE'!$J$5:$J$458,"Behavioral images/video/gaze/movement",'BASE_CIERRE'!$L$5:$L$458,"Logistic regression",'BASE_CIERRE'!$I$5:$I$458,"Machine Learning")</ns0:f>
        <ns0:v>2</ns0:v>
      </ns0:c>
      <ns0:c r="F179" s="27">
        <ns0:f>COUNTIFS('BASE_CIERRE'!$G$5:$G$458,1,'BASE_CIERRE'!$H$5:$H$458,"Screening")</ns0:f>
        <ns0:v>113</ns0:v>
      </ns0:c>
      <ns0:c r="G179" s="31">
        <ns0:f>IFERROR(E179/F179,0)</ns0:f>
        <ns0:v>0.017699115044247787</ns0:v>
      </ns0:c>
    </ns0:row>
    <ns0:row r="180" ht="32" customHeight="1">
      <ns0:c r="A180" s="21" t="inlineStr">
        <ns0:is>
          <ns0:t>Screening</ns0:t>
        </ns0:is>
      </ns0:c>
      <ns0:c r="B180" s="21" t="inlineStr">
        <ns0:is>
          <ns0:t>Behavioral images/video/gaze/movement</ns0:t>
        </ns0:is>
      </ns0:c>
      <ns0:c r="C180" s="21" t="inlineStr">
        <ns0:is>
          <ns0:t>Multiple/not uniquely specified</ns0:t>
        </ns0:is>
      </ns0:c>
      <ns0:c r="D180" s="21" t="inlineStr">
        <ns0:is>
          <ns0:t>Machine Learning</ns0:t>
        </ns0:is>
      </ns0:c>
      <ns0:c r="E180" s="29">
        <ns0:f>COUNTIFS('BASE_CIERRE'!$G$5:$G$458,1,'BASE_CIERRE'!$H$5:$H$458,"Screening",'BASE_CIERRE'!$J$5:$J$458,"Behavioral images/video/gaze/movement",'BASE_CIERRE'!$L$5:$L$458,"Multiple/not uniquely specified",'BASE_CIERRE'!$I$5:$I$458,"Machine Learning")</ns0:f>
        <ns0:v>2</ns0:v>
      </ns0:c>
      <ns0:c r="F180" s="29">
        <ns0:f>COUNTIFS('BASE_CIERRE'!$G$5:$G$458,1,'BASE_CIERRE'!$H$5:$H$458,"Screening")</ns0:f>
        <ns0:v>113</ns0:v>
      </ns0:c>
      <ns0:c r="G180" s="32">
        <ns0:f>IFERROR(E180/F180,0)</ns0:f>
        <ns0:v>0.017699115044247787</ns0:v>
      </ns0:c>
    </ns0:row>
    <ns0:row r="181" ht="32" customHeight="1">
      <ns0:c r="A181" s="19" t="inlineStr">
        <ns0:is>
          <ns0:t>Screening</ns0:t>
        </ns0:is>
      </ns0:c>
      <ns0:c r="B181" s="19" t="inlineStr">
        <ns0:is>
          <ns0:t>Behavioral images/video/gaze/movement</ns0:t>
        </ns0:is>
      </ns0:c>
      <ns0:c r="C181" s="19" t="inlineStr">
        <ns0:is>
          <ns0:t>Multiple/not uniquely specified</ns0:t>
        </ns0:is>
      </ns0:c>
      <ns0:c r="D181" s="19" t="inlineStr">
        <ns0:is>
          <ns0:t>Not specified</ns0:t>
        </ns0:is>
      </ns0:c>
      <ns0:c r="E181" s="27">
        <ns0:f>COUNTIFS('BASE_CIERRE'!$G$5:$G$458,1,'BASE_CIERRE'!$H$5:$H$458,"Screening",'BASE_CIERRE'!$J$5:$J$458,"Behavioral images/video/gaze/movement",'BASE_CIERRE'!$L$5:$L$458,"Multiple/not uniquely specified",'BASE_CIERRE'!$I$5:$I$458,"Not specified")</ns0:f>
        <ns0:v>1</ns0:v>
      </ns0:c>
      <ns0:c r="F181" s="27">
        <ns0:f>COUNTIFS('BASE_CIERRE'!$G$5:$G$458,1,'BASE_CIERRE'!$H$5:$H$458,"Screening")</ns0:f>
        <ns0:v>113</ns0:v>
      </ns0:c>
      <ns0:c r="G181" s="31">
        <ns0:f>IFERROR(E181/F181,0)</ns0:f>
        <ns0:v>0.008849557522123894</ns0:v>
      </ns0:c>
    </ns0:row>
    <ns0:row r="182" ht="32" customHeight="1">
      <ns0:c r="A182" s="21" t="inlineStr">
        <ns0:is>
          <ns0:t>Screening</ns0:t>
        </ns0:is>
      </ns0:c>
      <ns0:c r="B182" s="21" t="inlineStr">
        <ns0:is>
          <ns0:t>Behavioral images/video/gaze/movement</ns0:t>
        </ns0:is>
      </ns0:c>
      <ns0:c r="C182" s="21" t="inlineStr">
        <ns0:is>
          <ns0:t>Other specified method</ns0:t>
        </ns0:is>
      </ns0:c>
      <ns0:c r="D182" s="21" t="inlineStr">
        <ns0:is>
          <ns0:t>Deep Learning</ns0:t>
        </ns0:is>
      </ns0:c>
      <ns0:c r="E182" s="29">
        <ns0:f>COUNTIFS('BASE_CIERRE'!$G$5:$G$458,1,'BASE_CIERRE'!$H$5:$H$458,"Screening",'BASE_CIERRE'!$J$5:$J$458,"Behavioral images/video/gaze/movement",'BASE_CIERRE'!$L$5:$L$458,"Other specified method",'BASE_CIERRE'!$I$5:$I$458,"Deep Learning")</ns0:f>
        <ns0:v>3</ns0:v>
      </ns0:c>
      <ns0:c r="F182" s="29">
        <ns0:f>COUNTIFS('BASE_CIERRE'!$G$5:$G$458,1,'BASE_CIERRE'!$H$5:$H$458,"Screening")</ns0:f>
        <ns0:v>113</ns0:v>
      </ns0:c>
      <ns0:c r="G182" s="32">
        <ns0:f>IFERROR(E182/F182,0)</ns0:f>
        <ns0:v>0.02654867256637168</ns0:v>
      </ns0:c>
    </ns0:row>
    <ns0:row r="183" ht="32" customHeight="1">
      <ns0:c r="A183" s="19" t="inlineStr">
        <ns0:is>
          <ns0:t>Screening</ns0:t>
        </ns0:is>
      </ns0:c>
      <ns0:c r="B183" s="19" t="inlineStr">
        <ns0:is>
          <ns0:t>Behavioral images/video/gaze/movement</ns0:t>
        </ns0:is>
      </ns0:c>
      <ns0:c r="C183" s="19" t="inlineStr">
        <ns0:is>
          <ns0:t>Other specified method</ns0:t>
        </ns0:is>
      </ns0:c>
      <ns0:c r="D183" s="19" t="inlineStr">
        <ns0:is>
          <ns0:t>Machine Learning</ns0:t>
        </ns0:is>
      </ns0:c>
      <ns0:c r="E183" s="27">
        <ns0:f>COUNTIFS('BASE_CIERRE'!$G$5:$G$458,1,'BASE_CIERRE'!$H$5:$H$458,"Screening",'BASE_CIERRE'!$J$5:$J$458,"Behavioral images/video/gaze/movement",'BASE_CIERRE'!$L$5:$L$458,"Other specified method",'BASE_CIERRE'!$I$5:$I$458,"Machine Learning")</ns0:f>
        <ns0:v>4</ns0:v>
      </ns0:c>
      <ns0:c r="F183" s="27">
        <ns0:f>COUNTIFS('BASE_CIERRE'!$G$5:$G$458,1,'BASE_CIERRE'!$H$5:$H$458,"Screening")</ns0:f>
        <ns0:v>113</ns0:v>
      </ns0:c>
      <ns0:c r="G183" s="31">
        <ns0:f>IFERROR(E183/F183,0)</ns0:f>
        <ns0:v>0.035398230088495575</ns0:v>
      </ns0:c>
    </ns0:row>
    <ns0:row r="184" ht="32" customHeight="1">
      <ns0:c r="A184" s="21" t="inlineStr">
        <ns0:is>
          <ns0:t>Screening</ns0:t>
        </ns0:is>
      </ns0:c>
      <ns0:c r="B184" s="21" t="inlineStr">
        <ns0:is>
          <ns0:t>Behavioral images/video/gaze/movement</ns0:t>
        </ns0:is>
      </ns0:c>
      <ns0:c r="C184" s="21" t="inlineStr">
        <ns0:is>
          <ns0:t>Other specified method</ns0:t>
        </ns0:is>
      </ns0:c>
      <ns0:c r="D184" s="21" t="inlineStr">
        <ns0:is>
          <ns0:t>Not specified</ns0:t>
        </ns0:is>
      </ns0:c>
      <ns0:c r="E184" s="29">
        <ns0:f>COUNTIFS('BASE_CIERRE'!$G$5:$G$458,1,'BASE_CIERRE'!$H$5:$H$458,"Screening",'BASE_CIERRE'!$J$5:$J$458,"Behavioral images/video/gaze/movement",'BASE_CIERRE'!$L$5:$L$458,"Other specified method",'BASE_CIERRE'!$I$5:$I$458,"Not specified")</ns0:f>
        <ns0:v>1</ns0:v>
      </ns0:c>
      <ns0:c r="F184" s="29">
        <ns0:f>COUNTIFS('BASE_CIERRE'!$G$5:$G$458,1,'BASE_CIERRE'!$H$5:$H$458,"Screening")</ns0:f>
        <ns0:v>113</ns0:v>
      </ns0:c>
      <ns0:c r="G184" s="32">
        <ns0:f>IFERROR(E184/F184,0)</ns0:f>
        <ns0:v>0.008849557522123894</ns0:v>
      </ns0:c>
    </ns0:row>
    <ns0:row r="185" ht="32" customHeight="1">
      <ns0:c r="A185" s="19" t="inlineStr">
        <ns0:is>
          <ns0:t>Screening</ns0:t>
        </ns0:is>
      </ns0:c>
      <ns0:c r="B185" s="19" t="inlineStr">
        <ns0:is>
          <ns0:t>Behavioral images/video/gaze/movement</ns0:t>
        </ns0:is>
      </ns0:c>
      <ns0:c r="C185" s="19" t="inlineStr">
        <ns0:is>
          <ns0:t>Random forest</ns0:t>
        </ns0:is>
      </ns0:c>
      <ns0:c r="D185" s="19" t="inlineStr">
        <ns0:is>
          <ns0:t>Machine Learning</ns0:t>
        </ns0:is>
      </ns0:c>
      <ns0:c r="E185" s="27">
        <ns0:f>COUNTIFS('BASE_CIERRE'!$G$5:$G$458,1,'BASE_CIERRE'!$H$5:$H$458,"Screening",'BASE_CIERRE'!$J$5:$J$458,"Behavioral images/video/gaze/movement",'BASE_CIERRE'!$L$5:$L$458,"Random forest",'BASE_CIERRE'!$I$5:$I$458,"Machine Learning")</ns0:f>
        <ns0:v>1</ns0:v>
      </ns0:c>
      <ns0:c r="F185" s="27">
        <ns0:f>COUNTIFS('BASE_CIERRE'!$G$5:$G$458,1,'BASE_CIERRE'!$H$5:$H$458,"Screening")</ns0:f>
        <ns0:v>113</ns0:v>
      </ns0:c>
      <ns0:c r="G185" s="31">
        <ns0:f>IFERROR(E185/F185,0)</ns0:f>
        <ns0:v>0.008849557522123894</ns0:v>
      </ns0:c>
    </ns0:row>
    <ns0:row r="186" ht="32" customHeight="1">
      <ns0:c r="A186" s="21" t="inlineStr">
        <ns0:is>
          <ns0:t>Screening</ns0:t>
        </ns0:is>
      </ns0:c>
      <ns0:c r="B186" s="21" t="inlineStr">
        <ns0:is>
          <ns0:t>Behavioral images/video/gaze/movement</ns0:t>
        </ns0:is>
      </ns0:c>
      <ns0:c r="C186" s="21" t="inlineStr">
        <ns0:is>
          <ns0:t>Recurrent network</ns0:t>
        </ns0:is>
      </ns0:c>
      <ns0:c r="D186" s="21" t="inlineStr">
        <ns0:is>
          <ns0:t>Deep Learning</ns0:t>
        </ns0:is>
      </ns0:c>
      <ns0:c r="E186" s="29">
        <ns0:f>COUNTIFS('BASE_CIERRE'!$G$5:$G$458,1,'BASE_CIERRE'!$H$5:$H$458,"Screening",'BASE_CIERRE'!$J$5:$J$458,"Behavioral images/video/gaze/movement",'BASE_CIERRE'!$L$5:$L$458,"Recurrent network",'BASE_CIERRE'!$I$5:$I$458,"Deep Learning")</ns0:f>
        <ns0:v>1</ns0:v>
      </ns0:c>
      <ns0:c r="F186" s="29">
        <ns0:f>COUNTIFS('BASE_CIERRE'!$G$5:$G$458,1,'BASE_CIERRE'!$H$5:$H$458,"Screening")</ns0:f>
        <ns0:v>113</ns0:v>
      </ns0:c>
      <ns0:c r="G186" s="32">
        <ns0:f>IFERROR(E186/F186,0)</ns0:f>
        <ns0:v>0.008849557522123894</ns0:v>
      </ns0:c>
    </ns0:row>
    <ns0:row r="187" ht="32" customHeight="1">
      <ns0:c r="A187" s="19" t="inlineStr">
        <ns0:is>
          <ns0:t>Screening</ns0:t>
        </ns0:is>
      </ns0:c>
      <ns0:c r="B187" s="19" t="inlineStr">
        <ns0:is>
          <ns0:t>Behavioral images/video/gaze/movement</ns0:t>
        </ns0:is>
      </ns0:c>
      <ns0:c r="C187" s="19" t="inlineStr">
        <ns0:is>
          <ns0:t>SVM</ns0:t>
        </ns0:is>
      </ns0:c>
      <ns0:c r="D187" s="19" t="inlineStr">
        <ns0:is>
          <ns0:t>Machine Learning</ns0:t>
        </ns0:is>
      </ns0:c>
      <ns0:c r="E187" s="27">
        <ns0:f>COUNTIFS('BASE_CIERRE'!$G$5:$G$458,1,'BASE_CIERRE'!$H$5:$H$458,"Screening",'BASE_CIERRE'!$J$5:$J$458,"Behavioral images/video/gaze/movement",'BASE_CIERRE'!$L$5:$L$458,"SVM",'BASE_CIERRE'!$I$5:$I$458,"Machine Learning")</ns0:f>
        <ns0:v>1</ns0:v>
      </ns0:c>
      <ns0:c r="F187" s="27">
        <ns0:f>COUNTIFS('BASE_CIERRE'!$G$5:$G$458,1,'BASE_CIERRE'!$H$5:$H$458,"Screening")</ns0:f>
        <ns0:v>113</ns0:v>
      </ns0:c>
      <ns0:c r="G187" s="31">
        <ns0:f>IFERROR(E187/F187,0)</ns0:f>
        <ns0:v>0.008849557522123894</ns0:v>
      </ns0:c>
    </ns0:row>
    <ns0:row r="188" ht="32" customHeight="1">
      <ns0:c r="A188" s="21" t="inlineStr">
        <ns0:is>
          <ns0:t>Screening</ns0:t>
        </ns0:is>
      </ns0:c>
      <ns0:c r="B188" s="21" t="inlineStr">
        <ns0:is>
          <ns0:t>Behavioral images/video/gaze/movement</ns0:t>
        </ns0:is>
      </ns0:c>
      <ns0:c r="C188" s="21" t="inlineStr">
        <ns0:is>
          <ns0:t>Transformer</ns0:t>
        </ns0:is>
      </ns0:c>
      <ns0:c r="D188" s="21" t="inlineStr">
        <ns0:is>
          <ns0:t>Deep Learning</ns0:t>
        </ns0:is>
      </ns0:c>
      <ns0:c r="E188" s="29">
        <ns0:f>COUNTIFS('BASE_CIERRE'!$G$5:$G$458,1,'BASE_CIERRE'!$H$5:$H$458,"Screening",'BASE_CIERRE'!$J$5:$J$458,"Behavioral images/video/gaze/movement",'BASE_CIERRE'!$L$5:$L$458,"Transformer",'BASE_CIERRE'!$I$5:$I$458,"Deep Learning")</ns0:f>
        <ns0:v>2</ns0:v>
      </ns0:c>
      <ns0:c r="F188" s="29">
        <ns0:f>COUNTIFS('BASE_CIERRE'!$G$5:$G$458,1,'BASE_CIERRE'!$H$5:$H$458,"Screening")</ns0:f>
        <ns0:v>113</ns0:v>
      </ns0:c>
      <ns0:c r="G188" s="32">
        <ns0:f>IFERROR(E188/F188,0)</ns0:f>
        <ns0:v>0.017699115044247787</ns0:v>
      </ns0:c>
    </ns0:row>
    <ns0:row r="189" ht="32" customHeight="1">
      <ns0:c r="A189" s="19" t="inlineStr">
        <ns0:is>
          <ns0:t>Screening</ns0:t>
        </ns0:is>
      </ns0:c>
      <ns0:c r="B189" s="19" t="inlineStr">
        <ns0:is>
          <ns0:t>Biological/omics</ns0:t>
        </ns0:is>
      </ns0:c>
      <ns0:c r="C189" s="19" t="inlineStr">
        <ns0:is>
          <ns0:t>Composite/ensemble pipeline</ns0:t>
        </ns0:is>
      </ns0:c>
      <ns0:c r="D189" s="19" t="inlineStr">
        <ns0:is>
          <ns0:t>Machine Learning</ns0:t>
        </ns0:is>
      </ns0:c>
      <ns0:c r="E189" s="27">
        <ns0:f>COUNTIFS('BASE_CIERRE'!$G$5:$G$458,1,'BASE_CIERRE'!$H$5:$H$458,"Screening",'BASE_CIERRE'!$J$5:$J$458,"Biological/omics",'BASE_CIERRE'!$L$5:$L$458,"Composite/ensemble pipeline",'BASE_CIERRE'!$I$5:$I$458,"Machine Learning")</ns0:f>
        <ns0:v>1</ns0:v>
      </ns0:c>
      <ns0:c r="F189" s="27">
        <ns0:f>COUNTIFS('BASE_CIERRE'!$G$5:$G$458,1,'BASE_CIERRE'!$H$5:$H$458,"Screening")</ns0:f>
        <ns0:v>113</ns0:v>
      </ns0:c>
      <ns0:c r="G189" s="31">
        <ns0:f>IFERROR(E189/F189,0)</ns0:f>
        <ns0:v>0.008849557522123894</ns0:v>
      </ns0:c>
    </ns0:row>
    <ns0:row r="190" ht="32" customHeight="1">
      <ns0:c r="A190" s="21" t="inlineStr">
        <ns0:is>
          <ns0:t>Screening</ns0:t>
        </ns0:is>
      </ns0:c>
      <ns0:c r="B190" s="21" t="inlineStr">
        <ns0:is>
          <ns0:t>Biological/omics</ns0:t>
        </ns0:is>
      </ns0:c>
      <ns0:c r="C190" s="21" t="inlineStr">
        <ns0:is>
          <ns0:t>Other specified method</ns0:t>
        </ns0:is>
      </ns0:c>
      <ns0:c r="D190" s="21" t="inlineStr">
        <ns0:is>
          <ns0:t>Machine Learning</ns0:t>
        </ns0:is>
      </ns0:c>
      <ns0:c r="E190" s="29">
        <ns0:f>COUNTIFS('BASE_CIERRE'!$G$5:$G$458,1,'BASE_CIERRE'!$H$5:$H$458,"Screening",'BASE_CIERRE'!$J$5:$J$458,"Biological/omics",'BASE_CIERRE'!$L$5:$L$458,"Other specified method",'BASE_CIERRE'!$I$5:$I$458,"Machine Learning")</ns0:f>
        <ns0:v>1</ns0:v>
      </ns0:c>
      <ns0:c r="F190" s="29">
        <ns0:f>COUNTIFS('BASE_CIERRE'!$G$5:$G$458,1,'BASE_CIERRE'!$H$5:$H$458,"Screening")</ns0:f>
        <ns0:v>113</ns0:v>
      </ns0:c>
      <ns0:c r="G190" s="32">
        <ns0:f>IFERROR(E190/F190,0)</ns0:f>
        <ns0:v>0.008849557522123894</ns0:v>
      </ns0:c>
    </ns0:row>
    <ns0:row r="191" ht="32" customHeight="1">
      <ns0:c r="A191" s="19" t="inlineStr">
        <ns0:is>
          <ns0:t>Screening</ns0:t>
        </ns0:is>
      </ns0:c>
      <ns0:c r="B191" s="19" t="inlineStr">
        <ns0:is>
          <ns0:t>Multiple source categories</ns0:t>
        </ns0:is>
      </ns0:c>
      <ns0:c r="C191" s="19" t="inlineStr">
        <ns0:is>
          <ns0:t>CNN</ns0:t>
        </ns0:is>
      </ns0:c>
      <ns0:c r="D191" s="19" t="inlineStr">
        <ns0:is>
          <ns0:t>Deep Learning</ns0:t>
        </ns0:is>
      </ns0:c>
      <ns0:c r="E191" s="27">
        <ns0:f>COUNTIFS('BASE_CIERRE'!$G$5:$G$458,1,'BASE_CIERRE'!$H$5:$H$458,"Screening",'BASE_CIERRE'!$J$5:$J$458,"Multiple source categories",'BASE_CIERRE'!$L$5:$L$458,"CNN",'BASE_CIERRE'!$I$5:$I$458,"Deep Learning")</ns0:f>
        <ns0:v>1</ns0:v>
      </ns0:c>
      <ns0:c r="F191" s="27">
        <ns0:f>COUNTIFS('BASE_CIERRE'!$G$5:$G$458,1,'BASE_CIERRE'!$H$5:$H$458,"Screening")</ns0:f>
        <ns0:v>113</ns0:v>
      </ns0:c>
      <ns0:c r="G191" s="31">
        <ns0:f>IFERROR(E191/F191,0)</ns0:f>
        <ns0:v>0.008849557522123894</ns0:v>
      </ns0:c>
    </ns0:row>
    <ns0:row r="192" ht="32" customHeight="1">
      <ns0:c r="A192" s="21" t="inlineStr">
        <ns0:is>
          <ns0:t>Screening</ns0:t>
        </ns0:is>
      </ns0:c>
      <ns0:c r="B192" s="21" t="inlineStr">
        <ns0:is>
          <ns0:t>Multiple source categories</ns0:t>
        </ns0:is>
      </ns0:c>
      <ns0:c r="C192" s="21" t="inlineStr">
        <ns0:is>
          <ns0:t>Clustering</ns0:t>
        </ns0:is>
      </ns0:c>
      <ns0:c r="D192" s="21" t="inlineStr">
        <ns0:is>
          <ns0:t>Machine Learning</ns0:t>
        </ns0:is>
      </ns0:c>
      <ns0:c r="E192" s="29">
        <ns0:f>COUNTIFS('BASE_CIERRE'!$G$5:$G$458,1,'BASE_CIERRE'!$H$5:$H$458,"Screening",'BASE_CIERRE'!$J$5:$J$458,"Multiple source categories",'BASE_CIERRE'!$L$5:$L$458,"Clustering",'BASE_CIERRE'!$I$5:$I$458,"Machine Learning")</ns0:f>
        <ns0:v>1</ns0:v>
      </ns0:c>
      <ns0:c r="F192" s="29">
        <ns0:f>COUNTIFS('BASE_CIERRE'!$G$5:$G$458,1,'BASE_CIERRE'!$H$5:$H$458,"Screening")</ns0:f>
        <ns0:v>113</ns0:v>
      </ns0:c>
      <ns0:c r="G192" s="32">
        <ns0:f>IFERROR(E192/F192,0)</ns0:f>
        <ns0:v>0.008849557522123894</ns0:v>
      </ns0:c>
    </ns0:row>
    <ns0:row r="193" ht="32" customHeight="1">
      <ns0:c r="A193" s="19" t="inlineStr">
        <ns0:is>
          <ns0:t>Screening</ns0:t>
        </ns0:is>
      </ns0:c>
      <ns0:c r="B193" s="19" t="inlineStr">
        <ns0:is>
          <ns0:t>Multiple source categories</ns0:t>
        </ns0:is>
      </ns0:c>
      <ns0:c r="C193" s="19" t="inlineStr">
        <ns0:is>
          <ns0:t>Composite/ensemble pipeline</ns0:t>
        </ns0:is>
      </ns0:c>
      <ns0:c r="D193" s="19" t="inlineStr">
        <ns0:is>
          <ns0:t>Deep Learning</ns0:t>
        </ns0:is>
      </ns0:c>
      <ns0:c r="E193" s="27">
        <ns0:f>COUNTIFS('BASE_CIERRE'!$G$5:$G$458,1,'BASE_CIERRE'!$H$5:$H$458,"Screening",'BASE_CIERRE'!$J$5:$J$458,"Multiple source categories",'BASE_CIERRE'!$L$5:$L$458,"Composite/ensemble pipeline",'BASE_CIERRE'!$I$5:$I$458,"Deep Learning")</ns0:f>
        <ns0:v>1</ns0:v>
      </ns0:c>
      <ns0:c r="F193" s="27">
        <ns0:f>COUNTIFS('BASE_CIERRE'!$G$5:$G$458,1,'BASE_CIERRE'!$H$5:$H$458,"Screening")</ns0:f>
        <ns0:v>113</ns0:v>
      </ns0:c>
      <ns0:c r="G193" s="31">
        <ns0:f>IFERROR(E193/F193,0)</ns0:f>
        <ns0:v>0.008849557522123894</ns0:v>
      </ns0:c>
    </ns0:row>
    <ns0:row r="194" ht="32" customHeight="1">
      <ns0:c r="A194" s="21" t="inlineStr">
        <ns0:is>
          <ns0:t>Screening</ns0:t>
        </ns0:is>
      </ns0:c>
      <ns0:c r="B194" s="21" t="inlineStr">
        <ns0:is>
          <ns0:t>Multiple source categories</ns0:t>
        </ns0:is>
      </ns0:c>
      <ns0:c r="C194" s="21" t="inlineStr">
        <ns0:is>
          <ns0:t>Composite/ensemble pipeline</ns0:t>
        </ns0:is>
      </ns0:c>
      <ns0:c r="D194" s="21" t="inlineStr">
        <ns0:is>
          <ns0:t>Hybrid</ns0:t>
        </ns0:is>
      </ns0:c>
      <ns0:c r="E194" s="29">
        <ns0:f>COUNTIFS('BASE_CIERRE'!$G$5:$G$458,1,'BASE_CIERRE'!$H$5:$H$458,"Screening",'BASE_CIERRE'!$J$5:$J$458,"Multiple source categories",'BASE_CIERRE'!$L$5:$L$458,"Composite/ensemble pipeline",'BASE_CIERRE'!$I$5:$I$458,"Hybrid")</ns0:f>
        <ns0:v>1</ns0:v>
      </ns0:c>
      <ns0:c r="F194" s="29">
        <ns0:f>COUNTIFS('BASE_CIERRE'!$G$5:$G$458,1,'BASE_CIERRE'!$H$5:$H$458,"Screening")</ns0:f>
        <ns0:v>113</ns0:v>
      </ns0:c>
      <ns0:c r="G194" s="32">
        <ns0:f>IFERROR(E194/F194,0)</ns0:f>
        <ns0:v>0.008849557522123894</ns0:v>
      </ns0:c>
    </ns0:row>
    <ns0:row r="195" ht="32" customHeight="1">
      <ns0:c r="A195" s="19" t="inlineStr">
        <ns0:is>
          <ns0:t>Screening</ns0:t>
        </ns0:is>
      </ns0:c>
      <ns0:c r="B195" s="19" t="inlineStr">
        <ns0:is>
          <ns0:t>Multiple source categories</ns0:t>
        </ns0:is>
      </ns0:c>
      <ns0:c r="C195" s="19" t="inlineStr">
        <ns0:is>
          <ns0:t>Other specified method</ns0:t>
        </ns0:is>
      </ns0:c>
      <ns0:c r="D195" s="19" t="inlineStr">
        <ns0:is>
          <ns0:t>Hybrid</ns0:t>
        </ns0:is>
      </ns0:c>
      <ns0:c r="E195" s="27">
        <ns0:f>COUNTIFS('BASE_CIERRE'!$G$5:$G$458,1,'BASE_CIERRE'!$H$5:$H$458,"Screening",'BASE_CIERRE'!$J$5:$J$458,"Multiple source categories",'BASE_CIERRE'!$L$5:$L$458,"Other specified method",'BASE_CIERRE'!$I$5:$I$458,"Hybrid")</ns0:f>
        <ns0:v>3</ns0:v>
      </ns0:c>
      <ns0:c r="F195" s="27">
        <ns0:f>COUNTIFS('BASE_CIERRE'!$G$5:$G$458,1,'BASE_CIERRE'!$H$5:$H$458,"Screening")</ns0:f>
        <ns0:v>113</ns0:v>
      </ns0:c>
      <ns0:c r="G195" s="31">
        <ns0:f>IFERROR(E195/F195,0)</ns0:f>
        <ns0:v>0.02654867256637168</ns0:v>
      </ns0:c>
    </ns0:row>
    <ns0:row r="196" ht="32" customHeight="1">
      <ns0:c r="A196" s="21" t="inlineStr">
        <ns0:is>
          <ns0:t>Screening</ns0:t>
        </ns0:is>
      </ns0:c>
      <ns0:c r="B196" s="21" t="inlineStr">
        <ns0:is>
          <ns0:t>Multiple source categories</ns0:t>
        </ns0:is>
      </ns0:c>
      <ns0:c r="C196" s="21" t="inlineStr">
        <ns0:is>
          <ns0:t>Transformer</ns0:t>
        </ns0:is>
      </ns0:c>
      <ns0:c r="D196" s="21" t="inlineStr">
        <ns0:is>
          <ns0:t>Deep Learning</ns0:t>
        </ns0:is>
      </ns0:c>
      <ns0:c r="E196" s="29">
        <ns0:f>COUNTIFS('BASE_CIERRE'!$G$5:$G$458,1,'BASE_CIERRE'!$H$5:$H$458,"Screening",'BASE_CIERRE'!$J$5:$J$458,"Multiple source categories",'BASE_CIERRE'!$L$5:$L$458,"Transformer",'BASE_CIERRE'!$I$5:$I$458,"Deep Learning")</ns0:f>
        <ns0:v>1</ns0:v>
      </ns0:c>
      <ns0:c r="F196" s="29">
        <ns0:f>COUNTIFS('BASE_CIERRE'!$G$5:$G$458,1,'BASE_CIERRE'!$H$5:$H$458,"Screening")</ns0:f>
        <ns0:v>113</ns0:v>
      </ns0:c>
      <ns0:c r="G196" s="32">
        <ns0:f>IFERROR(E196/F196,0)</ns0:f>
        <ns0:v>0.008849557522123894</ns0:v>
      </ns0:c>
    </ns0:row>
    <ns0:row r="197" ht="32" customHeight="1">
      <ns0:c r="A197" s="19" t="inlineStr">
        <ns0:is>
          <ns0:t>Screening</ns0:t>
        </ns0:is>
      </ns0:c>
      <ns0:c r="B197" s="19" t="inlineStr">
        <ns0:is>
          <ns0:t>Neuroimaging</ns0:t>
        </ns0:is>
      </ns0:c>
      <ns0:c r="C197" s="19" t="inlineStr">
        <ns0:is>
          <ns0:t>Composite/ensemble pipeline</ns0:t>
        </ns0:is>
      </ns0:c>
      <ns0:c r="D197" s="19" t="inlineStr">
        <ns0:is>
          <ns0:t>Deep Learning</ns0:t>
        </ns0:is>
      </ns0:c>
      <ns0:c r="E197" s="27">
        <ns0:f>COUNTIFS('BASE_CIERRE'!$G$5:$G$458,1,'BASE_CIERRE'!$H$5:$H$458,"Screening",'BASE_CIERRE'!$J$5:$J$458,"Neuroimaging",'BASE_CIERRE'!$L$5:$L$458,"Composite/ensemble pipeline",'BASE_CIERRE'!$I$5:$I$458,"Deep Learning")</ns0:f>
        <ns0:v>1</ns0:v>
      </ns0:c>
      <ns0:c r="F197" s="27">
        <ns0:f>COUNTIFS('BASE_CIERRE'!$G$5:$G$458,1,'BASE_CIERRE'!$H$5:$H$458,"Screening")</ns0:f>
        <ns0:v>113</ns0:v>
      </ns0:c>
      <ns0:c r="G197" s="31">
        <ns0:f>IFERROR(E197/F197,0)</ns0:f>
        <ns0:v>0.008849557522123894</ns0:v>
      </ns0:c>
    </ns0:row>
    <ns0:row r="198" ht="32" customHeight="1">
      <ns0:c r="A198" s="21" t="inlineStr">
        <ns0:is>
          <ns0:t>Screening</ns0:t>
        </ns0:is>
      </ns0:c>
      <ns0:c r="B198" s="21" t="inlineStr">
        <ns0:is>
          <ns0:t>Not specified</ns0:t>
        </ns0:is>
      </ns0:c>
      <ns0:c r="C198" s="21" t="inlineStr">
        <ns0:is>
          <ns0:t>CNN</ns0:t>
        </ns0:is>
      </ns0:c>
      <ns0:c r="D198" s="21" t="inlineStr">
        <ns0:is>
          <ns0:t>Deep Learning</ns0:t>
        </ns0:is>
      </ns0:c>
      <ns0:c r="E198" s="29">
        <ns0:f>COUNTIFS('BASE_CIERRE'!$G$5:$G$458,1,'BASE_CIERRE'!$H$5:$H$458,"Screening",'BASE_CIERRE'!$J$5:$J$458,"Not specified",'BASE_CIERRE'!$L$5:$L$458,"CNN",'BASE_CIERRE'!$I$5:$I$458,"Deep Learning")</ns0:f>
        <ns0:v>1</ns0:v>
      </ns0:c>
      <ns0:c r="F198" s="29">
        <ns0:f>COUNTIFS('BASE_CIERRE'!$G$5:$G$458,1,'BASE_CIERRE'!$H$5:$H$458,"Screening")</ns0:f>
        <ns0:v>113</ns0:v>
      </ns0:c>
      <ns0:c r="G198" s="32">
        <ns0:f>IFERROR(E198/F198,0)</ns0:f>
        <ns0:v>0.008849557522123894</ns0:v>
      </ns0:c>
    </ns0:row>
    <ns0:row r="199" ht="32" customHeight="1">
      <ns0:c r="A199" s="19" t="inlineStr">
        <ns0:is>
          <ns0:t>Screening</ns0:t>
        </ns0:is>
      </ns0:c>
      <ns0:c r="B199" s="19" t="inlineStr">
        <ns0:is>
          <ns0:t>Not specified</ns0:t>
        </ns0:is>
      </ns0:c>
      <ns0:c r="C199" s="19" t="inlineStr">
        <ns0:is>
          <ns0:t>CNN</ns0:t>
        </ns0:is>
      </ns0:c>
      <ns0:c r="D199" s="19" t="inlineStr">
        <ns0:is>
          <ns0:t>Hybrid</ns0:t>
        </ns0:is>
      </ns0:c>
      <ns0:c r="E199" s="27">
        <ns0:f>COUNTIFS('BASE_CIERRE'!$G$5:$G$458,1,'BASE_CIERRE'!$H$5:$H$458,"Screening",'BASE_CIERRE'!$J$5:$J$458,"Not specified",'BASE_CIERRE'!$L$5:$L$458,"CNN",'BASE_CIERRE'!$I$5:$I$458,"Hybrid")</ns0:f>
        <ns0:v>1</ns0:v>
      </ns0:c>
      <ns0:c r="F199" s="27">
        <ns0:f>COUNTIFS('BASE_CIERRE'!$G$5:$G$458,1,'BASE_CIERRE'!$H$5:$H$458,"Screening")</ns0:f>
        <ns0:v>113</ns0:v>
      </ns0:c>
      <ns0:c r="G199" s="31">
        <ns0:f>IFERROR(E199/F199,0)</ns0:f>
        <ns0:v>0.008849557522123894</ns0:v>
      </ns0:c>
    </ns0:row>
    <ns0:row r="200" ht="32" customHeight="1">
      <ns0:c r="A200" s="21" t="inlineStr">
        <ns0:is>
          <ns0:t>Screening</ns0:t>
        </ns0:is>
      </ns0:c>
      <ns0:c r="B200" s="21" t="inlineStr">
        <ns0:is>
          <ns0:t>Not specified</ns0:t>
        </ns0:is>
      </ns0:c>
      <ns0:c r="C200" s="21" t="inlineStr">
        <ns0:is>
          <ns0:t>Other specified method</ns0:t>
        </ns0:is>
      </ns0:c>
      <ns0:c r="D200" s="21" t="inlineStr">
        <ns0:is>
          <ns0:t>Deep Learning</ns0:t>
        </ns0:is>
      </ns0:c>
      <ns0:c r="E200" s="29">
        <ns0:f>COUNTIFS('BASE_CIERRE'!$G$5:$G$458,1,'BASE_CIERRE'!$H$5:$H$458,"Screening",'BASE_CIERRE'!$J$5:$J$458,"Not specified",'BASE_CIERRE'!$L$5:$L$458,"Other specified method",'BASE_CIERRE'!$I$5:$I$458,"Deep Learning")</ns0:f>
        <ns0:v>3</ns0:v>
      </ns0:c>
      <ns0:c r="F200" s="29">
        <ns0:f>COUNTIFS('BASE_CIERRE'!$G$5:$G$458,1,'BASE_CIERRE'!$H$5:$H$458,"Screening")</ns0:f>
        <ns0:v>113</ns0:v>
      </ns0:c>
      <ns0:c r="G200" s="32">
        <ns0:f>IFERROR(E200/F200,0)</ns0:f>
        <ns0:v>0.02654867256637168</ns0:v>
      </ns0:c>
    </ns0:row>
    <ns0:row r="201" ht="32" customHeight="1">
      <ns0:c r="A201" s="19" t="inlineStr">
        <ns0:is>
          <ns0:t>Screening</ns0:t>
        </ns0:is>
      </ns0:c>
      <ns0:c r="B201" s="19" t="inlineStr">
        <ns0:is>
          <ns0:t>Not specified</ns0:t>
        </ns0:is>
      </ns0:c>
      <ns0:c r="C201" s="19" t="inlineStr">
        <ns0:is>
          <ns0:t>Recurrent network</ns0:t>
        </ns0:is>
      </ns0:c>
      <ns0:c r="D201" s="19" t="inlineStr">
        <ns0:is>
          <ns0:t>Deep Learning</ns0:t>
        </ns0:is>
      </ns0:c>
      <ns0:c r="E201" s="27">
        <ns0:f>COUNTIFS('BASE_CIERRE'!$G$5:$G$458,1,'BASE_CIERRE'!$H$5:$H$458,"Screening",'BASE_CIERRE'!$J$5:$J$458,"Not specified",'BASE_CIERRE'!$L$5:$L$458,"Recurrent network",'BASE_CIERRE'!$I$5:$I$458,"Deep Learning")</ns0:f>
        <ns0:v>1</ns0:v>
      </ns0:c>
      <ns0:c r="F201" s="27">
        <ns0:f>COUNTIFS('BASE_CIERRE'!$G$5:$G$458,1,'BASE_CIERRE'!$H$5:$H$458,"Screening")</ns0:f>
        <ns0:v>113</ns0:v>
      </ns0:c>
      <ns0:c r="G201" s="31">
        <ns0:f>IFERROR(E201/F201,0)</ns0:f>
        <ns0:v>0.008849557522123894</ns0:v>
      </ns0:c>
    </ns0:row>
    <ns0:row r="202" ht="32" customHeight="1">
      <ns0:c r="A202" s="21" t="inlineStr">
        <ns0:is>
          <ns0:t>Screening</ns0:t>
        </ns0:is>
      </ns0:c>
      <ns0:c r="B202" s="21" t="inlineStr">
        <ns0:is>
          <ns0:t>Not specified</ns0:t>
        </ns0:is>
      </ns0:c>
      <ns0:c r="C202" s="21" t="inlineStr">
        <ns0:is>
          <ns0:t>SVM</ns0:t>
        </ns0:is>
      </ns0:c>
      <ns0:c r="D202" s="21" t="inlineStr">
        <ns0:is>
          <ns0:t>Machine Learning</ns0:t>
        </ns0:is>
      </ns0:c>
      <ns0:c r="E202" s="29">
        <ns0:f>COUNTIFS('BASE_CIERRE'!$G$5:$G$458,1,'BASE_CIERRE'!$H$5:$H$458,"Screening",'BASE_CIERRE'!$J$5:$J$458,"Not specified",'BASE_CIERRE'!$L$5:$L$458,"SVM",'BASE_CIERRE'!$I$5:$I$458,"Machine Learning")</ns0:f>
        <ns0:v>1</ns0:v>
      </ns0:c>
      <ns0:c r="F202" s="29">
        <ns0:f>COUNTIFS('BASE_CIERRE'!$G$5:$G$458,1,'BASE_CIERRE'!$H$5:$H$458,"Screening")</ns0:f>
        <ns0:v>113</ns0:v>
      </ns0:c>
      <ns0:c r="G202" s="32">
        <ns0:f>IFERROR(E202/F202,0)</ns0:f>
        <ns0:v>0.008849557522123894</ns0:v>
      </ns0:c>
    </ns0:row>
    <ns0:row r="203" ht="32" customHeight="1">
      <ns0:c r="A203" s="19" t="inlineStr">
        <ns0:is>
          <ns0:t>Screening</ns0:t>
        </ns0:is>
      </ns0:c>
      <ns0:c r="B203" s="19" t="inlineStr">
        <ns0:is>
          <ns0:t>Not specified</ns0:t>
        </ns0:is>
      </ns0:c>
      <ns0:c r="C203" s="19" t="inlineStr">
        <ns0:is>
          <ns0:t>Transformer</ns0:t>
        </ns0:is>
      </ns0:c>
      <ns0:c r="D203" s="19" t="inlineStr">
        <ns0:is>
          <ns0:t>Deep Learning</ns0:t>
        </ns0:is>
      </ns0:c>
      <ns0:c r="E203" s="27">
        <ns0:f>COUNTIFS('BASE_CIERRE'!$G$5:$G$458,1,'BASE_CIERRE'!$H$5:$H$458,"Screening",'BASE_CIERRE'!$J$5:$J$458,"Not specified",'BASE_CIERRE'!$L$5:$L$458,"Transformer",'BASE_CIERRE'!$I$5:$I$458,"Deep Learning")</ns0:f>
        <ns0:v>1</ns0:v>
      </ns0:c>
      <ns0:c r="F203" s="27">
        <ns0:f>COUNTIFS('BASE_CIERRE'!$G$5:$G$458,1,'BASE_CIERRE'!$H$5:$H$458,"Screening")</ns0:f>
        <ns0:v>113</ns0:v>
      </ns0:c>
      <ns0:c r="G203" s="31">
        <ns0:f>IFERROR(E203/F203,0)</ns0:f>
        <ns0:v>0.008849557522123894</ns0:v>
      </ns0:c>
    </ns0:row>
    <ns0:row r="204" ht="32" customHeight="1">
      <ns0:c r="A204" s="21" t="inlineStr">
        <ns0:is>
          <ns0:t>Screening</ns0:t>
        </ns0:is>
      </ns0:c>
      <ns0:c r="B204" s="21" t="inlineStr">
        <ns0:is>
          <ns0:t>Other biomedical/digital data</ns0:t>
        </ns0:is>
      </ns0:c>
      <ns0:c r="C204" s="21" t="inlineStr">
        <ns0:is>
          <ns0:t>Random forest</ns0:t>
        </ns0:is>
      </ns0:c>
      <ns0:c r="D204" s="21" t="inlineStr">
        <ns0:is>
          <ns0:t>Machine Learning</ns0:t>
        </ns0:is>
      </ns0:c>
      <ns0:c r="E204" s="29">
        <ns0:f>COUNTIFS('BASE_CIERRE'!$G$5:$G$458,1,'BASE_CIERRE'!$H$5:$H$458,"Screening",'BASE_CIERRE'!$J$5:$J$458,"Other biomedical/digital data",'BASE_CIERRE'!$L$5:$L$458,"Random forest",'BASE_CIERRE'!$I$5:$I$458,"Machine Learning")</ns0:f>
        <ns0:v>1</ns0:v>
      </ns0:c>
      <ns0:c r="F204" s="29">
        <ns0:f>COUNTIFS('BASE_CIERRE'!$G$5:$G$458,1,'BASE_CIERRE'!$H$5:$H$458,"Screening")</ns0:f>
        <ns0:v>113</ns0:v>
      </ns0:c>
      <ns0:c r="G204" s="32">
        <ns0:f>IFERROR(E204/F204,0)</ns0:f>
        <ns0:v>0.008849557522123894</ns0:v>
      </ns0:c>
    </ns0:row>
    <ns0:row r="205" ht="32" customHeight="1">
      <ns0:c r="A205" s="19" t="inlineStr">
        <ns0:is>
          <ns0:t>Screening</ns0:t>
        </ns0:is>
      </ns0:c>
      <ns0:c r="B205" s="19" t="inlineStr">
        <ns0:is>
          <ns0:t>Physiological signals</ns0:t>
        </ns0:is>
      </ns0:c>
      <ns0:c r="C205" s="19" t="inlineStr">
        <ns0:is>
          <ns0:t>CNN</ns0:t>
        </ns0:is>
      </ns0:c>
      <ns0:c r="D205" s="19" t="inlineStr">
        <ns0:is>
          <ns0:t>Deep Learning</ns0:t>
        </ns0:is>
      </ns0:c>
      <ns0:c r="E205" s="27">
        <ns0:f>COUNTIFS('BASE_CIERRE'!$G$5:$G$458,1,'BASE_CIERRE'!$H$5:$H$458,"Screening",'BASE_CIERRE'!$J$5:$J$458,"Physiological signals",'BASE_CIERRE'!$L$5:$L$458,"CNN",'BASE_CIERRE'!$I$5:$I$458,"Deep Learning")</ns0:f>
        <ns0:v>1</ns0:v>
      </ns0:c>
      <ns0:c r="F205" s="27">
        <ns0:f>COUNTIFS('BASE_CIERRE'!$G$5:$G$458,1,'BASE_CIERRE'!$H$5:$H$458,"Screening")</ns0:f>
        <ns0:v>113</ns0:v>
      </ns0:c>
      <ns0:c r="G205" s="31">
        <ns0:f>IFERROR(E205/F205,0)</ns0:f>
        <ns0:v>0.008849557522123894</ns0:v>
      </ns0:c>
    </ns0:row>
    <ns0:row r="206" ht="32" customHeight="1">
      <ns0:c r="A206" s="21" t="inlineStr">
        <ns0:is>
          <ns0:t>Screening</ns0:t>
        </ns0:is>
      </ns0:c>
      <ns0:c r="B206" s="21" t="inlineStr">
        <ns0:is>
          <ns0:t>Physiological signals</ns0:t>
        </ns0:is>
      </ns0:c>
      <ns0:c r="C206" s="21" t="inlineStr">
        <ns0:is>
          <ns0:t>Composite/ensemble pipeline</ns0:t>
        </ns0:is>
      </ns0:c>
      <ns0:c r="D206" s="21" t="inlineStr">
        <ns0:is>
          <ns0:t>Deep Learning</ns0:t>
        </ns0:is>
      </ns0:c>
      <ns0:c r="E206" s="29">
        <ns0:f>COUNTIFS('BASE_CIERRE'!$G$5:$G$458,1,'BASE_CIERRE'!$H$5:$H$458,"Screening",'BASE_CIERRE'!$J$5:$J$458,"Physiological signals",'BASE_CIERRE'!$L$5:$L$458,"Composite/ensemble pipeline",'BASE_CIERRE'!$I$5:$I$458,"Deep Learning")</ns0:f>
        <ns0:v>1</ns0:v>
      </ns0:c>
      <ns0:c r="F206" s="29">
        <ns0:f>COUNTIFS('BASE_CIERRE'!$G$5:$G$458,1,'BASE_CIERRE'!$H$5:$H$458,"Screening")</ns0:f>
        <ns0:v>113</ns0:v>
      </ns0:c>
      <ns0:c r="G206" s="32">
        <ns0:f>IFERROR(E206/F206,0)</ns0:f>
        <ns0:v>0.008849557522123894</ns0:v>
      </ns0:c>
    </ns0:row>
    <ns0:row r="207" ht="32" customHeight="1">
      <ns0:c r="A207" s="19" t="inlineStr">
        <ns0:is>
          <ns0:t>Screening</ns0:t>
        </ns0:is>
      </ns0:c>
      <ns0:c r="B207" s="19" t="inlineStr">
        <ns0:is>
          <ns0:t>Physiological signals</ns0:t>
        </ns0:is>
      </ns0:c>
      <ns0:c r="C207" s="19" t="inlineStr">
        <ns0:is>
          <ns0:t>Multiple/not uniquely specified</ns0:t>
        </ns0:is>
      </ns0:c>
      <ns0:c r="D207" s="19" t="inlineStr">
        <ns0:is>
          <ns0:t>Machine Learning</ns0:t>
        </ns0:is>
      </ns0:c>
      <ns0:c r="E207" s="27">
        <ns0:f>COUNTIFS('BASE_CIERRE'!$G$5:$G$458,1,'BASE_CIERRE'!$H$5:$H$458,"Screening",'BASE_CIERRE'!$J$5:$J$458,"Physiological signals",'BASE_CIERRE'!$L$5:$L$458,"Multiple/not uniquely specified",'BASE_CIERRE'!$I$5:$I$458,"Machine Learning")</ns0:f>
        <ns0:v>2</ns0:v>
      </ns0:c>
      <ns0:c r="F207" s="27">
        <ns0:f>COUNTIFS('BASE_CIERRE'!$G$5:$G$458,1,'BASE_CIERRE'!$H$5:$H$458,"Screening")</ns0:f>
        <ns0:v>113</ns0:v>
      </ns0:c>
      <ns0:c r="G207" s="31">
        <ns0:f>IFERROR(E207/F207,0)</ns0:f>
        <ns0:v>0.017699115044247787</ns0:v>
      </ns0:c>
    </ns0:row>
    <ns0:row r="208" ht="32" customHeight="1">
      <ns0:c r="A208" s="21" t="inlineStr">
        <ns0:is>
          <ns0:t>Screening</ns0:t>
        </ns0:is>
      </ns0:c>
      <ns0:c r="B208" s="21" t="inlineStr">
        <ns0:is>
          <ns0:t>Physiological signals</ns0:t>
        </ns0:is>
      </ns0:c>
      <ns0:c r="C208" s="21" t="inlineStr">
        <ns0:is>
          <ns0:t>Other specified method</ns0:t>
        </ns0:is>
      </ns0:c>
      <ns0:c r="D208" s="21" t="inlineStr">
        <ns0:is>
          <ns0:t>Deep Learning</ns0:t>
        </ns0:is>
      </ns0:c>
      <ns0:c r="E208" s="29">
        <ns0:f>COUNTIFS('BASE_CIERRE'!$G$5:$G$458,1,'BASE_CIERRE'!$H$5:$H$458,"Screening",'BASE_CIERRE'!$J$5:$J$458,"Physiological signals",'BASE_CIERRE'!$L$5:$L$458,"Other specified method",'BASE_CIERRE'!$I$5:$I$458,"Deep Learning")</ns0:f>
        <ns0:v>1</ns0:v>
      </ns0:c>
      <ns0:c r="F208" s="29">
        <ns0:f>COUNTIFS('BASE_CIERRE'!$G$5:$G$458,1,'BASE_CIERRE'!$H$5:$H$458,"Screening")</ns0:f>
        <ns0:v>113</ns0:v>
      </ns0:c>
      <ns0:c r="G208" s="32">
        <ns0:f>IFERROR(E208/F208,0)</ns0:f>
        <ns0:v>0.008849557522123894</ns0:v>
      </ns0:c>
    </ns0:row>
    <ns0:row r="209" ht="32" customHeight="1">
      <ns0:c r="A209" s="19" t="inlineStr">
        <ns0:is>
          <ns0:t>Screening</ns0:t>
        </ns0:is>
      </ns0:c>
      <ns0:c r="B209" s="19" t="inlineStr">
        <ns0:is>
          <ns0:t>Physiological signals</ns0:t>
        </ns0:is>
      </ns0:c>
      <ns0:c r="C209" s="19" t="inlineStr">
        <ns0:is>
          <ns0:t>Other specified method</ns0:t>
        </ns0:is>
      </ns0:c>
      <ns0:c r="D209" s="19" t="inlineStr">
        <ns0:is>
          <ns0:t>Machine Learning</ns0:t>
        </ns0:is>
      </ns0:c>
      <ns0:c r="E209" s="27">
        <ns0:f>COUNTIFS('BASE_CIERRE'!$G$5:$G$458,1,'BASE_CIERRE'!$H$5:$H$458,"Screening",'BASE_CIERRE'!$J$5:$J$458,"Physiological signals",'BASE_CIERRE'!$L$5:$L$458,"Other specified method",'BASE_CIERRE'!$I$5:$I$458,"Machine Learning")</ns0:f>
        <ns0:v>1</ns0:v>
      </ns0:c>
      <ns0:c r="F209" s="27">
        <ns0:f>COUNTIFS('BASE_CIERRE'!$G$5:$G$458,1,'BASE_CIERRE'!$H$5:$H$458,"Screening")</ns0:f>
        <ns0:v>113</ns0:v>
      </ns0:c>
      <ns0:c r="G209" s="31">
        <ns0:f>IFERROR(E209/F209,0)</ns0:f>
        <ns0:v>0.008849557522123894</ns0:v>
      </ns0:c>
    </ns0:row>
    <ns0:row r="210" ht="32" customHeight="1">
      <ns0:c r="A210" s="21" t="inlineStr">
        <ns0:is>
          <ns0:t>Screening</ns0:t>
        </ns0:is>
      </ns0:c>
      <ns0:c r="B210" s="21" t="inlineStr">
        <ns0:is>
          <ns0:t>Structured clinical/questionnaire data</ns0:t>
        </ns0:is>
      </ns0:c>
      <ns0:c r="C210" s="21" t="inlineStr">
        <ns0:is>
          <ns0:t>CNN</ns0:t>
        </ns0:is>
      </ns0:c>
      <ns0:c r="D210" s="21" t="inlineStr">
        <ns0:is>
          <ns0:t>Deep Learning</ns0:t>
        </ns0:is>
      </ns0:c>
      <ns0:c r="E210" s="29">
        <ns0:f>COUNTIFS('BASE_CIERRE'!$G$5:$G$458,1,'BASE_CIERRE'!$H$5:$H$458,"Screening",'BASE_CIERRE'!$J$5:$J$458,"Structured clinical/questionnaire data",'BASE_CIERRE'!$L$5:$L$458,"CNN",'BASE_CIERRE'!$I$5:$I$458,"Deep Learning")</ns0:f>
        <ns0:v>3</ns0:v>
      </ns0:c>
      <ns0:c r="F210" s="29">
        <ns0:f>COUNTIFS('BASE_CIERRE'!$G$5:$G$458,1,'BASE_CIERRE'!$H$5:$H$458,"Screening")</ns0:f>
        <ns0:v>113</ns0:v>
      </ns0:c>
      <ns0:c r="G210" s="32">
        <ns0:f>IFERROR(E210/F210,0)</ns0:f>
        <ns0:v>0.02654867256637168</ns0:v>
      </ns0:c>
    </ns0:row>
    <ns0:row r="211" ht="32" customHeight="1">
      <ns0:c r="A211" s="19" t="inlineStr">
        <ns0:is>
          <ns0:t>Screening</ns0:t>
        </ns0:is>
      </ns0:c>
      <ns0:c r="B211" s="19" t="inlineStr">
        <ns0:is>
          <ns0:t>Structured clinical/questionnaire data</ns0:t>
        </ns0:is>
      </ns0:c>
      <ns0:c r="C211" s="19" t="inlineStr">
        <ns0:is>
          <ns0:t>Composite/ensemble pipeline</ns0:t>
        </ns0:is>
      </ns0:c>
      <ns0:c r="D211" s="19" t="inlineStr">
        <ns0:is>
          <ns0:t>Deep Learning</ns0:t>
        </ns0:is>
      </ns0:c>
      <ns0:c r="E211" s="27">
        <ns0:f>COUNTIFS('BASE_CIERRE'!$G$5:$G$458,1,'BASE_CIERRE'!$H$5:$H$458,"Screening",'BASE_CIERRE'!$J$5:$J$458,"Structured clinical/questionnaire data",'BASE_CIERRE'!$L$5:$L$458,"Composite/ensemble pipeline",'BASE_CIERRE'!$I$5:$I$458,"Deep Learning")</ns0:f>
        <ns0:v>1</ns0:v>
      </ns0:c>
      <ns0:c r="F211" s="27">
        <ns0:f>COUNTIFS('BASE_CIERRE'!$G$5:$G$458,1,'BASE_CIERRE'!$H$5:$H$458,"Screening")</ns0:f>
        <ns0:v>113</ns0:v>
      </ns0:c>
      <ns0:c r="G211" s="31">
        <ns0:f>IFERROR(E211/F211,0)</ns0:f>
        <ns0:v>0.008849557522123894</ns0:v>
      </ns0:c>
    </ns0:row>
    <ns0:row r="212" ht="32" customHeight="1">
      <ns0:c r="A212" s="21" t="inlineStr">
        <ns0:is>
          <ns0:t>Screening</ns0:t>
        </ns0:is>
      </ns0:c>
      <ns0:c r="B212" s="21" t="inlineStr">
        <ns0:is>
          <ns0:t>Structured clinical/questionnaire data</ns0:t>
        </ns0:is>
      </ns0:c>
      <ns0:c r="C212" s="21" t="inlineStr">
        <ns0:is>
          <ns0:t>Composite/ensemble pipeline</ns0:t>
        </ns0:is>
      </ns0:c>
      <ns0:c r="D212" s="21" t="inlineStr">
        <ns0:is>
          <ns0:t>Machine Learning</ns0:t>
        </ns0:is>
      </ns0:c>
      <ns0:c r="E212" s="29">
        <ns0:f>COUNTIFS('BASE_CIERRE'!$G$5:$G$458,1,'BASE_CIERRE'!$H$5:$H$458,"Screening",'BASE_CIERRE'!$J$5:$J$458,"Structured clinical/questionnaire data",'BASE_CIERRE'!$L$5:$L$458,"Composite/ensemble pipeline",'BASE_CIERRE'!$I$5:$I$458,"Machine Learning")</ns0:f>
        <ns0:v>7</ns0:v>
      </ns0:c>
      <ns0:c r="F212" s="29">
        <ns0:f>COUNTIFS('BASE_CIERRE'!$G$5:$G$458,1,'BASE_CIERRE'!$H$5:$H$458,"Screening")</ns0:f>
        <ns0:v>113</ns0:v>
      </ns0:c>
      <ns0:c r="G212" s="32">
        <ns0:f>IFERROR(E212/F212,0)</ns0:f>
        <ns0:v>0.061946902654867256</ns0:v>
      </ns0:c>
    </ns0:row>
    <ns0:row r="213" ht="32" customHeight="1">
      <ns0:c r="A213" s="19" t="inlineStr">
        <ns0:is>
          <ns0:t>Screening</ns0:t>
        </ns0:is>
      </ns0:c>
      <ns0:c r="B213" s="19" t="inlineStr">
        <ns0:is>
          <ns0:t>Structured clinical/questionnaire data</ns0:t>
        </ns0:is>
      </ns0:c>
      <ns0:c r="C213" s="19" t="inlineStr">
        <ns0:is>
          <ns0:t>Decision tree/rules</ns0:t>
        </ns0:is>
      </ns0:c>
      <ns0:c r="D213" s="19" t="inlineStr">
        <ns0:is>
          <ns0:t>Machine Learning</ns0:t>
        </ns0:is>
      </ns0:c>
      <ns0:c r="E213" s="27">
        <ns0:f>COUNTIFS('BASE_CIERRE'!$G$5:$G$458,1,'BASE_CIERRE'!$H$5:$H$458,"Screening",'BASE_CIERRE'!$J$5:$J$458,"Structured clinical/questionnaire data",'BASE_CIERRE'!$L$5:$L$458,"Decision tree/rules",'BASE_CIERRE'!$I$5:$I$458,"Machine Learning")</ns0:f>
        <ns0:v>6</ns0:v>
      </ns0:c>
      <ns0:c r="F213" s="27">
        <ns0:f>COUNTIFS('BASE_CIERRE'!$G$5:$G$458,1,'BASE_CIERRE'!$H$5:$H$458,"Screening")</ns0:f>
        <ns0:v>113</ns0:v>
      </ns0:c>
      <ns0:c r="G213" s="31">
        <ns0:f>IFERROR(E213/F213,0)</ns0:f>
        <ns0:v>0.05309734513274336</ns0:v>
      </ns0:c>
    </ns0:row>
    <ns0:row r="214" ht="32" customHeight="1">
      <ns0:c r="A214" s="21" t="inlineStr">
        <ns0:is>
          <ns0:t>Screening</ns0:t>
        </ns0:is>
      </ns0:c>
      <ns0:c r="B214" s="21" t="inlineStr">
        <ns0:is>
          <ns0:t>Structured clinical/questionnaire data</ns0:t>
        </ns0:is>
      </ns0:c>
      <ns0:c r="C214" s="21" t="inlineStr">
        <ns0:is>
          <ns0:t>Gradient boosting</ns0:t>
        </ns0:is>
      </ns0:c>
      <ns0:c r="D214" s="21" t="inlineStr">
        <ns0:is>
          <ns0:t>Machine Learning</ns0:t>
        </ns0:is>
      </ns0:c>
      <ns0:c r="E214" s="29">
        <ns0:f>COUNTIFS('BASE_CIERRE'!$G$5:$G$458,1,'BASE_CIERRE'!$H$5:$H$458,"Screening",'BASE_CIERRE'!$J$5:$J$458,"Structured clinical/questionnaire data",'BASE_CIERRE'!$L$5:$L$458,"Gradient boosting",'BASE_CIERRE'!$I$5:$I$458,"Machine Learning")</ns0:f>
        <ns0:v>3</ns0:v>
      </ns0:c>
      <ns0:c r="F214" s="29">
        <ns0:f>COUNTIFS('BASE_CIERRE'!$G$5:$G$458,1,'BASE_CIERRE'!$H$5:$H$458,"Screening")</ns0:f>
        <ns0:v>113</ns0:v>
      </ns0:c>
      <ns0:c r="G214" s="32">
        <ns0:f>IFERROR(E214/F214,0)</ns0:f>
        <ns0:v>0.02654867256637168</ns0:v>
      </ns0:c>
    </ns0:row>
    <ns0:row r="215" ht="32" customHeight="1">
      <ns0:c r="A215" s="19" t="inlineStr">
        <ns0:is>
          <ns0:t>Screening</ns0:t>
        </ns0:is>
      </ns0:c>
      <ns0:c r="B215" s="19" t="inlineStr">
        <ns0:is>
          <ns0:t>Structured clinical/questionnaire data</ns0:t>
        </ns0:is>
      </ns0:c>
      <ns0:c r="C215" s="19" t="inlineStr">
        <ns0:is>
          <ns0:t>Logistic regression</ns0:t>
        </ns0:is>
      </ns0:c>
      <ns0:c r="D215" s="19" t="inlineStr">
        <ns0:is>
          <ns0:t>Machine Learning</ns0:t>
        </ns0:is>
      </ns0:c>
      <ns0:c r="E215" s="27">
        <ns0:f>COUNTIFS('BASE_CIERRE'!$G$5:$G$458,1,'BASE_CIERRE'!$H$5:$H$458,"Screening",'BASE_CIERRE'!$J$5:$J$458,"Structured clinical/questionnaire data",'BASE_CIERRE'!$L$5:$L$458,"Logistic regression",'BASE_CIERRE'!$I$5:$I$458,"Machine Learning")</ns0:f>
        <ns0:v>1</ns0:v>
      </ns0:c>
      <ns0:c r="F215" s="27">
        <ns0:f>COUNTIFS('BASE_CIERRE'!$G$5:$G$458,1,'BASE_CIERRE'!$H$5:$H$458,"Screening")</ns0:f>
        <ns0:v>113</ns0:v>
      </ns0:c>
      <ns0:c r="G215" s="31">
        <ns0:f>IFERROR(E215/F215,0)</ns0:f>
        <ns0:v>0.008849557522123894</ns0:v>
      </ns0:c>
    </ns0:row>
    <ns0:row r="216" ht="32" customHeight="1">
      <ns0:c r="A216" s="21" t="inlineStr">
        <ns0:is>
          <ns0:t>Screening</ns0:t>
        </ns0:is>
      </ns0:c>
      <ns0:c r="B216" s="21" t="inlineStr">
        <ns0:is>
          <ns0:t>Structured clinical/questionnaire data</ns0:t>
        </ns0:is>
      </ns0:c>
      <ns0:c r="C216" s="21" t="inlineStr">
        <ns0:is>
          <ns0:t>Multiple/not uniquely specified</ns0:t>
        </ns0:is>
      </ns0:c>
      <ns0:c r="D216" s="21" t="inlineStr">
        <ns0:is>
          <ns0:t>Deep Learning</ns0:t>
        </ns0:is>
      </ns0:c>
      <ns0:c r="E216" s="29">
        <ns0:f>COUNTIFS('BASE_CIERRE'!$G$5:$G$458,1,'BASE_CIERRE'!$H$5:$H$458,"Screening",'BASE_CIERRE'!$J$5:$J$458,"Structured clinical/questionnaire data",'BASE_CIERRE'!$L$5:$L$458,"Multiple/not uniquely specified",'BASE_CIERRE'!$I$5:$I$458,"Deep Learning")</ns0:f>
        <ns0:v>1</ns0:v>
      </ns0:c>
      <ns0:c r="F216" s="29">
        <ns0:f>COUNTIFS('BASE_CIERRE'!$G$5:$G$458,1,'BASE_CIERRE'!$H$5:$H$458,"Screening")</ns0:f>
        <ns0:v>113</ns0:v>
      </ns0:c>
      <ns0:c r="G216" s="32">
        <ns0:f>IFERROR(E216/F216,0)</ns0:f>
        <ns0:v>0.008849557522123894</ns0:v>
      </ns0:c>
    </ns0:row>
    <ns0:row r="217" ht="32" customHeight="1">
      <ns0:c r="A217" s="19" t="inlineStr">
        <ns0:is>
          <ns0:t>Screening</ns0:t>
        </ns0:is>
      </ns0:c>
      <ns0:c r="B217" s="19" t="inlineStr">
        <ns0:is>
          <ns0:t>Structured clinical/questionnaire data</ns0:t>
        </ns0:is>
      </ns0:c>
      <ns0:c r="C217" s="19" t="inlineStr">
        <ns0:is>
          <ns0:t>Multiple/not uniquely specified</ns0:t>
        </ns0:is>
      </ns0:c>
      <ns0:c r="D217" s="19" t="inlineStr">
        <ns0:is>
          <ns0:t>Machine Learning</ns0:t>
        </ns0:is>
      </ns0:c>
      <ns0:c r="E217" s="27">
        <ns0:f>COUNTIFS('BASE_CIERRE'!$G$5:$G$458,1,'BASE_CIERRE'!$H$5:$H$458,"Screening",'BASE_CIERRE'!$J$5:$J$458,"Structured clinical/questionnaire data",'BASE_CIERRE'!$L$5:$L$458,"Multiple/not uniquely specified",'BASE_CIERRE'!$I$5:$I$458,"Machine Learning")</ns0:f>
        <ns0:v>6</ns0:v>
      </ns0:c>
      <ns0:c r="F217" s="27">
        <ns0:f>COUNTIFS('BASE_CIERRE'!$G$5:$G$458,1,'BASE_CIERRE'!$H$5:$H$458,"Screening")</ns0:f>
        <ns0:v>113</ns0:v>
      </ns0:c>
      <ns0:c r="G217" s="31">
        <ns0:f>IFERROR(E217/F217,0)</ns0:f>
        <ns0:v>0.05309734513274336</ns0:v>
      </ns0:c>
    </ns0:row>
    <ns0:row r="218" ht="32" customHeight="1">
      <ns0:c r="A218" s="21" t="inlineStr">
        <ns0:is>
          <ns0:t>Screening</ns0:t>
        </ns0:is>
      </ns0:c>
      <ns0:c r="B218" s="21" t="inlineStr">
        <ns0:is>
          <ns0:t>Structured clinical/questionnaire data</ns0:t>
        </ns0:is>
      </ns0:c>
      <ns0:c r="C218" s="21" t="inlineStr">
        <ns0:is>
          <ns0:t>Other specified method</ns0:t>
        </ns0:is>
      </ns0:c>
      <ns0:c r="D218" s="21" t="inlineStr">
        <ns0:is>
          <ns0:t>Deep Learning</ns0:t>
        </ns0:is>
      </ns0:c>
      <ns0:c r="E218" s="29">
        <ns0:f>COUNTIFS('BASE_CIERRE'!$G$5:$G$458,1,'BASE_CIERRE'!$H$5:$H$458,"Screening",'BASE_CIERRE'!$J$5:$J$458,"Structured clinical/questionnaire data",'BASE_CIERRE'!$L$5:$L$458,"Other specified method",'BASE_CIERRE'!$I$5:$I$458,"Deep Learning")</ns0:f>
        <ns0:v>3</ns0:v>
      </ns0:c>
      <ns0:c r="F218" s="29">
        <ns0:f>COUNTIFS('BASE_CIERRE'!$G$5:$G$458,1,'BASE_CIERRE'!$H$5:$H$458,"Screening")</ns0:f>
        <ns0:v>113</ns0:v>
      </ns0:c>
      <ns0:c r="G218" s="32">
        <ns0:f>IFERROR(E218/F218,0)</ns0:f>
        <ns0:v>0.02654867256637168</ns0:v>
      </ns0:c>
    </ns0:row>
    <ns0:row r="219" ht="32" customHeight="1">
      <ns0:c r="A219" s="19" t="inlineStr">
        <ns0:is>
          <ns0:t>Screening</ns0:t>
        </ns0:is>
      </ns0:c>
      <ns0:c r="B219" s="19" t="inlineStr">
        <ns0:is>
          <ns0:t>Structured clinical/questionnaire data</ns0:t>
        </ns0:is>
      </ns0:c>
      <ns0:c r="C219" s="19" t="inlineStr">
        <ns0:is>
          <ns0:t>Other specified method</ns0:t>
        </ns0:is>
      </ns0:c>
      <ns0:c r="D219" s="19" t="inlineStr">
        <ns0:is>
          <ns0:t>Hybrid</ns0:t>
        </ns0:is>
      </ns0:c>
      <ns0:c r="E219" s="27">
        <ns0:f>COUNTIFS('BASE_CIERRE'!$G$5:$G$458,1,'BASE_CIERRE'!$H$5:$H$458,"Screening",'BASE_CIERRE'!$J$5:$J$458,"Structured clinical/questionnaire data",'BASE_CIERRE'!$L$5:$L$458,"Other specified method",'BASE_CIERRE'!$I$5:$I$458,"Hybrid")</ns0:f>
        <ns0:v>2</ns0:v>
      </ns0:c>
      <ns0:c r="F219" s="27">
        <ns0:f>COUNTIFS('BASE_CIERRE'!$G$5:$G$458,1,'BASE_CIERRE'!$H$5:$H$458,"Screening")</ns0:f>
        <ns0:v>113</ns0:v>
      </ns0:c>
      <ns0:c r="G219" s="31">
        <ns0:f>IFERROR(E219/F219,0)</ns0:f>
        <ns0:v>0.017699115044247787</ns0:v>
      </ns0:c>
    </ns0:row>
    <ns0:row r="220" ht="32" customHeight="1">
      <ns0:c r="A220" s="21" t="inlineStr">
        <ns0:is>
          <ns0:t>Screening</ns0:t>
        </ns0:is>
      </ns0:c>
      <ns0:c r="B220" s="21" t="inlineStr">
        <ns0:is>
          <ns0:t>Structured clinical/questionnaire data</ns0:t>
        </ns0:is>
      </ns0:c>
      <ns0:c r="C220" s="21" t="inlineStr">
        <ns0:is>
          <ns0:t>Other specified method</ns0:t>
        </ns0:is>
      </ns0:c>
      <ns0:c r="D220" s="21" t="inlineStr">
        <ns0:is>
          <ns0:t>Machine Learning</ns0:t>
        </ns0:is>
      </ns0:c>
      <ns0:c r="E220" s="29">
        <ns0:f>COUNTIFS('BASE_CIERRE'!$G$5:$G$458,1,'BASE_CIERRE'!$H$5:$H$458,"Screening",'BASE_CIERRE'!$J$5:$J$458,"Structured clinical/questionnaire data",'BASE_CIERRE'!$L$5:$L$458,"Other specified method",'BASE_CIERRE'!$I$5:$I$458,"Machine Learning")</ns0:f>
        <ns0:v>3</ns0:v>
      </ns0:c>
      <ns0:c r="F220" s="29">
        <ns0:f>COUNTIFS('BASE_CIERRE'!$G$5:$G$458,1,'BASE_CIERRE'!$H$5:$H$458,"Screening")</ns0:f>
        <ns0:v>113</ns0:v>
      </ns0:c>
      <ns0:c r="G220" s="32">
        <ns0:f>IFERROR(E220/F220,0)</ns0:f>
        <ns0:v>0.02654867256637168</ns0:v>
      </ns0:c>
    </ns0:row>
    <ns0:row r="221" ht="32" customHeight="1">
      <ns0:c r="A221" s="19" t="inlineStr">
        <ns0:is>
          <ns0:t>Screening</ns0:t>
        </ns0:is>
      </ns0:c>
      <ns0:c r="B221" s="19" t="inlineStr">
        <ns0:is>
          <ns0:t>Structured clinical/questionnaire data</ns0:t>
        </ns0:is>
      </ns0:c>
      <ns0:c r="C221" s="19" t="inlineStr">
        <ns0:is>
          <ns0:t>Random forest</ns0:t>
        </ns0:is>
      </ns0:c>
      <ns0:c r="D221" s="19" t="inlineStr">
        <ns0:is>
          <ns0:t>Machine Learning</ns0:t>
        </ns0:is>
      </ns0:c>
      <ns0:c r="E221" s="27">
        <ns0:f>COUNTIFS('BASE_CIERRE'!$G$5:$G$458,1,'BASE_CIERRE'!$H$5:$H$458,"Screening",'BASE_CIERRE'!$J$5:$J$458,"Structured clinical/questionnaire data",'BASE_CIERRE'!$L$5:$L$458,"Random forest",'BASE_CIERRE'!$I$5:$I$458,"Machine Learning")</ns0:f>
        <ns0:v>6</ns0:v>
      </ns0:c>
      <ns0:c r="F221" s="27">
        <ns0:f>COUNTIFS('BASE_CIERRE'!$G$5:$G$458,1,'BASE_CIERRE'!$H$5:$H$458,"Screening")</ns0:f>
        <ns0:v>113</ns0:v>
      </ns0:c>
      <ns0:c r="G221" s="31">
        <ns0:f>IFERROR(E221/F221,0)</ns0:f>
        <ns0:v>0.05309734513274336</ns0:v>
      </ns0:c>
    </ns0:row>
    <ns0:row r="222" ht="32" customHeight="1">
      <ns0:c r="A222" s="21" t="inlineStr">
        <ns0:is>
          <ns0:t>Screening</ns0:t>
        </ns0:is>
      </ns0:c>
      <ns0:c r="B222" s="21" t="inlineStr">
        <ns0:is>
          <ns0:t>Structured clinical/questionnaire data</ns0:t>
        </ns0:is>
      </ns0:c>
      <ns0:c r="C222" s="21" t="inlineStr">
        <ns0:is>
          <ns0:t>Recurrent network</ns0:t>
        </ns0:is>
      </ns0:c>
      <ns0:c r="D222" s="21" t="inlineStr">
        <ns0:is>
          <ns0:t>Deep Learning</ns0:t>
        </ns0:is>
      </ns0:c>
      <ns0:c r="E222" s="29">
        <ns0:f>COUNTIFS('BASE_CIERRE'!$G$5:$G$458,1,'BASE_CIERRE'!$H$5:$H$458,"Screening",'BASE_CIERRE'!$J$5:$J$458,"Structured clinical/questionnaire data",'BASE_CIERRE'!$L$5:$L$458,"Recurrent network",'BASE_CIERRE'!$I$5:$I$458,"Deep Learning")</ns0:f>
        <ns0:v>1</ns0:v>
      </ns0:c>
      <ns0:c r="F222" s="29">
        <ns0:f>COUNTIFS('BASE_CIERRE'!$G$5:$G$458,1,'BASE_CIERRE'!$H$5:$H$458,"Screening")</ns0:f>
        <ns0:v>113</ns0:v>
      </ns0:c>
      <ns0:c r="G222" s="32">
        <ns0:f>IFERROR(E222/F222,0)</ns0:f>
        <ns0:v>0.008849557522123894</ns0:v>
      </ns0:c>
    </ns0:row>
    <ns0:row r="223" ht="32" customHeight="1">
      <ns0:c r="A223" s="19" t="inlineStr">
        <ns0:is>
          <ns0:t>Screening</ns0:t>
        </ns0:is>
      </ns0:c>
      <ns0:c r="B223" s="19" t="inlineStr">
        <ns0:is>
          <ns0:t>Structured clinical/questionnaire data</ns0:t>
        </ns0:is>
      </ns0:c>
      <ns0:c r="C223" s="19" t="inlineStr">
        <ns0:is>
          <ns0:t>SVM</ns0:t>
        </ns0:is>
      </ns0:c>
      <ns0:c r="D223" s="19" t="inlineStr">
        <ns0:is>
          <ns0:t>Machine Learning</ns0:t>
        </ns0:is>
      </ns0:c>
      <ns0:c r="E223" s="27">
        <ns0:f>COUNTIFS('BASE_CIERRE'!$G$5:$G$458,1,'BASE_CIERRE'!$H$5:$H$458,"Screening",'BASE_CIERRE'!$J$5:$J$458,"Structured clinical/questionnaire data",'BASE_CIERRE'!$L$5:$L$458,"SVM",'BASE_CIERRE'!$I$5:$I$458,"Machine Learning")</ns0:f>
        <ns0:v>5</ns0:v>
      </ns0:c>
      <ns0:c r="F223" s="27">
        <ns0:f>COUNTIFS('BASE_CIERRE'!$G$5:$G$458,1,'BASE_CIERRE'!$H$5:$H$458,"Screening")</ns0:f>
        <ns0:v>113</ns0:v>
      </ns0:c>
      <ns0:c r="G223" s="31">
        <ns0:f>IFERROR(E223/F223,0)</ns0:f>
        <ns0:v>0.04424778761061947</ns0:v>
      </ns0:c>
    </ns0:row>
    <ns0:row r="224" ht="32" customHeight="1">
      <ns0:c r="A224" s="21" t="inlineStr">
        <ns0:is>
          <ns0:t>Screening</ns0:t>
        </ns0:is>
      </ns0:c>
      <ns0:c r="B224" s="21" t="inlineStr">
        <ns0:is>
          <ns0:t>Text/language</ns0:t>
        </ns0:is>
      </ns0:c>
      <ns0:c r="C224" s="21" t="inlineStr">
        <ns0:is>
          <ns0:t>Logistic regression</ns0:t>
        </ns0:is>
      </ns0:c>
      <ns0:c r="D224" s="21" t="inlineStr">
        <ns0:is>
          <ns0:t>Machine Learning</ns0:t>
        </ns0:is>
      </ns0:c>
      <ns0:c r="E224" s="29">
        <ns0:f>COUNTIFS('BASE_CIERRE'!$G$5:$G$458,1,'BASE_CIERRE'!$H$5:$H$458,"Screening",'BASE_CIERRE'!$J$5:$J$458,"Text/language",'BASE_CIERRE'!$L$5:$L$458,"Logistic regression",'BASE_CIERRE'!$I$5:$I$458,"Machine Learning")</ns0:f>
        <ns0:v>1</ns0:v>
      </ns0:c>
      <ns0:c r="F224" s="29">
        <ns0:f>COUNTIFS('BASE_CIERRE'!$G$5:$G$458,1,'BASE_CIERRE'!$H$5:$H$458,"Screening")</ns0:f>
        <ns0:v>113</ns0:v>
      </ns0:c>
      <ns0:c r="G224" s="32">
        <ns0:f>IFERROR(E224/F224,0)</ns0:f>
        <ns0:v>0.008849557522123894</ns0:v>
      </ns0:c>
    </ns0:row>
    <ns0:row r="225" ht="32" customHeight="1">
      <ns0:c r="A225" s="19" t="inlineStr">
        <ns0:is>
          <ns0:t>Screening</ns0:t>
        </ns0:is>
      </ns0:c>
      <ns0:c r="B225" s="19" t="inlineStr">
        <ns0:is>
          <ns0:t>Text/language</ns0:t>
        </ns0:is>
      </ns0:c>
      <ns0:c r="C225" s="19" t="inlineStr">
        <ns0:is>
          <ns0:t>Other specified method</ns0:t>
        </ns0:is>
      </ns0:c>
      <ns0:c r="D225" s="19" t="inlineStr">
        <ns0:is>
          <ns0:t>Machine Learning</ns0:t>
        </ns0:is>
      </ns0:c>
      <ns0:c r="E225" s="27">
        <ns0:f>COUNTIFS('BASE_CIERRE'!$G$5:$G$458,1,'BASE_CIERRE'!$H$5:$H$458,"Screening",'BASE_CIERRE'!$J$5:$J$458,"Text/language",'BASE_CIERRE'!$L$5:$L$458,"Other specified method",'BASE_CIERRE'!$I$5:$I$458,"Machine Learning")</ns0:f>
        <ns0:v>1</ns0:v>
      </ns0:c>
      <ns0:c r="F225" s="27">
        <ns0:f>COUNTIFS('BASE_CIERRE'!$G$5:$G$458,1,'BASE_CIERRE'!$H$5:$H$458,"Screening")</ns0:f>
        <ns0:v>113</ns0:v>
      </ns0:c>
      <ns0:c r="G225" s="31">
        <ns0:f>IFERROR(E225/F225,0)</ns0:f>
        <ns0:v>0.008849557522123894</ns0:v>
      </ns0:c>
    </ns0:row>
  </ns0:sheetData>
  <ns0:autoFilter ref="A4:G225"/>
  <ns0:mergeCells count="2">
    <ns0:mergeCell ref="A2:G2"/>
    <ns0:mergeCell ref="A1:G1"/>
  </ns0:mergeCells>
  <ns0:printOptions horizontalCentered="1"/>
  <ns0:pageMargins left="0.75" right="0.75" top="1" bottom="1" header="0.5" footer="0.5"/>
  <ns0:pageSetup orientation="landscape" paperSize="8" fitToHeight="0" fitToWidth="1"/>
</ns0:worksheet>
</file>

<file path=xl/worksheets/sheet7.xml><?xml version="1.0" encoding="utf-8"?>
<ns0:worksheet xmlns:ns0="http://schemas.openxmlformats.org/spreadsheetml/2006/main">
  <ns0:sheetPr>
    <ns0:tabColor rgb="00177E89"/>
    <ns0:outlinePr summaryBelow="1" summaryRight="0"/>
    <ns0:pageSetUpPr fitToPage="1"/>
  </ns0:sheetPr>
  <ns0:dimension ref="A1:G37"/>
  <ns0:sheetViews>
    <ns0:sheetView showGridLines="0" workbookViewId="0">
      <ns0:pane xSplit="2" ySplit="4" topLeftCell="C5" activePane="bottomRight" state="frozen"/>
      <ns0:selection pane="topRight"/>
      <ns0:selection pane="bottomLeft"/>
      <ns0:selection pane="bottomRight" activeCell="A1" sqref="A1"/>
    </ns0:sheetView>
  </ns0:sheetViews>
  <ns0:sheetFormatPr baseColWidth="8" defaultRowHeight="15"/>
  <ns0:cols>
    <ns0:col width="28" customWidth="1" min="1" max="1"/>
    <ns0:col width="42" customWidth="1" min="2" max="2"/>
    <ns0:col width="44" customWidth="1" min="3" max="3"/>
    <ns0:col width="39" customWidth="1" min="4" max="4"/>
    <ns0:col width="24" customWidth="1" min="5" max="5"/>
    <ns0:col width="24" customWidth="1" min="6" max="6"/>
    <ns0:col width="24" customWidth="1" min="7" max="7"/>
  </ns0:cols>
  <ns0:sheetData>
    <ns0:row r="1" ht="36" customHeight="1">
      <ns0:c r="A1" s="16" t="inlineStr">
        <ns0:is>
          <ns0:t>RQ2 | Rol, madurez y momento</ns0:t>
        </ns0:is>
      </ns0:c>
    </ns0:row>
    <ns0:row r="2" ht="32" customHeight="1">
      <ns0:c r="A2" s="17" t="inlineStr">
        <ns0:is>
          <ns0:t>Conteos mutuamente exclusivos por informe. Research only no demuestra ausencia de utilidad; Proposed only no demuestra uso clinico.</ns0:t>
        </ns0:is>
      </ns0:c>
    </ns0:row>
    <ns0:row r="4" ht="34" customHeight="1">
      <ns0:c r="A4" s="18" t="inlineStr">
        <ns0:is>
          <ns0:t>stage_primary</ns0:t>
        </ns0:is>
      </ns0:c>
      <ns0:c r="B4" s="18" t="inlineStr">
        <ns0:is>
          <ns0:t>rq2_role</ns0:t>
        </ns0:is>
      </ns0:c>
      <ns0:c r="C4" s="18" t="inlineStr">
        <ns0:is>
          <ns0:t>rq2_status</ns0:t>
        </ns0:is>
      </ns0:c>
      <ns0:c r="D4" s="18" t="inlineStr">
        <ns0:is>
          <ns0:t>decision_timing_coded</ns0:t>
        </ns0:is>
      </ns0:c>
      <ns0:c r="E4" s="18" t="inlineStr">
        <ns0:is>
          <ns0:t>n</ns0:t>
        </ns0:is>
      </ns0:c>
      <ns0:c r="F4" s="18" t="inlineStr">
        <ns0:is>
          <ns0:t>denominator_stage</ns0:t>
        </ns0:is>
      </ns0:c>
      <ns0:c r="G4" s="18" t="inlineStr">
        <ns0:is>
          <ns0:t>within_stage_fraction</ns0:t>
        </ns0:is>
      </ns0:c>
    </ns0:row>
    <ns0:row r="5" ht="32" customHeight="1">
      <ns0:c r="A5" s="19" t="inlineStr">
        <ns0:is>
          <ns0:t>Diagnosis</ns0:t>
        </ns0:is>
      </ns0:c>
      <ns0:c r="B5" s="19" t="inlineStr">
        <ns0:is>
          <ns0:t>Automated measurement/classification</ns0:t>
        </ns0:is>
      </ns0:c>
      <ns0:c r="C5" s="19" t="inlineStr">
        <ns0:is>
          <ns0:t>Proposed only</ns0:t>
        </ns0:is>
      </ns0:c>
      <ns0:c r="D5" s="19" t="inlineStr">
        <ns0:is>
          <ns0:t>In-decision</ns0:t>
        </ns0:is>
      </ns0:c>
      <ns0:c r="E5" s="27">
        <ns0:f>COUNTIFS('BASE_CIERRE'!$G$5:$G$458,1,'BASE_CIERRE'!$H$5:$H$458,"Diagnosis",'BASE_CIERRE'!$N$5:$N$458,"Automated measurement/classification",'BASE_CIERRE'!$M$5:$M$458,"Proposed only",'BASE_CIERRE'!$O$5:$O$458,"In-decision")</ns0:f>
        <ns0:v>9</ns0:v>
      </ns0:c>
      <ns0:c r="F5" s="27">
        <ns0:f>COUNTIFS('BASE_CIERRE'!$G$5:$G$458,1,'BASE_CIERRE'!$H$5:$H$458,"Diagnosis")</ns0:f>
        <ns0:v>216</ns0:v>
      </ns0:c>
      <ns0:c r="G5" s="31">
        <ns0:f>IFERROR(E5/F5,0)</ns0:f>
        <ns0:v>0.041666666666666664</ns0:v>
      </ns0:c>
    </ns0:row>
    <ns0:row r="6" ht="32" customHeight="1">
      <ns0:c r="A6" s="21" t="inlineStr">
        <ns0:is>
          <ns0:t>Diagnosis</ns0:t>
        </ns0:is>
      </ns0:c>
      <ns0:c r="B6" s="21" t="inlineStr">
        <ns0:is>
          <ns0:t>Automated measurement/classification</ns0:t>
        </ns0:is>
      </ns0:c>
      <ns0:c r="C6" s="21" t="inlineStr">
        <ns0:is>
          <ns0:t>Research only</ns0:t>
        </ns0:is>
      </ns0:c>
      <ns0:c r="D6" s="21" t="inlineStr">
        <ns0:is>
          <ns0:t>Not observed in assessed sources</ns0:t>
        </ns0:is>
      </ns0:c>
      <ns0:c r="E6" s="29">
        <ns0:f>COUNTIFS('BASE_CIERRE'!$G$5:$G$458,1,'BASE_CIERRE'!$H$5:$H$458,"Diagnosis",'BASE_CIERRE'!$N$5:$N$458,"Automated measurement/classification",'BASE_CIERRE'!$M$5:$M$458,"Research only",'BASE_CIERRE'!$O$5:$O$458,"Not observed in assessed sources")</ns0:f>
        <ns0:v>182</ns0:v>
      </ns0:c>
      <ns0:c r="F6" s="29">
        <ns0:f>COUNTIFS('BASE_CIERRE'!$G$5:$G$458,1,'BASE_CIERRE'!$H$5:$H$458,"Diagnosis")</ns0:f>
        <ns0:v>216</ns0:v>
      </ns0:c>
      <ns0:c r="G6" s="32">
        <ns0:f>IFERROR(E6/F6,0)</ns0:f>
        <ns0:v>0.8425925925925926</ns0:v>
      </ns0:c>
    </ns0:row>
    <ns0:row r="7" ht="32" customHeight="1">
      <ns0:c r="A7" s="19" t="inlineStr">
        <ns0:is>
          <ns0:t>Diagnosis</ns0:t>
        </ns0:is>
      </ns0:c>
      <ns0:c r="B7" s="19" t="inlineStr">
        <ns0:is>
          <ns0:t>Diagnostic decision support</ns0:t>
        </ns0:is>
      </ns0:c>
      <ns0:c r="C7" s="19" t="inlineStr">
        <ns0:is>
          <ns0:t>Evaluated at point of use</ns0:t>
        </ns0:is>
      </ns0:c>
      <ns0:c r="D7" s="19" t="inlineStr">
        <ns0:is>
          <ns0:t>In-decision</ns0:t>
        </ns0:is>
      </ns0:c>
      <ns0:c r="E7" s="27">
        <ns0:f>COUNTIFS('BASE_CIERRE'!$G$5:$G$458,1,'BASE_CIERRE'!$H$5:$H$458,"Diagnosis",'BASE_CIERRE'!$N$5:$N$458,"Diagnostic decision support",'BASE_CIERRE'!$M$5:$M$458,"Evaluated at point of use",'BASE_CIERRE'!$O$5:$O$458,"In-decision")</ns0:f>
        <ns0:v>1</ns0:v>
      </ns0:c>
      <ns0:c r="F7" s="27">
        <ns0:f>COUNTIFS('BASE_CIERRE'!$G$5:$G$458,1,'BASE_CIERRE'!$H$5:$H$458,"Diagnosis")</ns0:f>
        <ns0:v>216</ns0:v>
      </ns0:c>
      <ns0:c r="G7" s="31">
        <ns0:f>IFERROR(E7/F7,0)</ns0:f>
        <ns0:v>0.004629629629629629</ns0:v>
      </ns0:c>
    </ns0:row>
    <ns0:row r="8" ht="32" customHeight="1">
      <ns0:c r="A8" s="21" t="inlineStr">
        <ns0:is>
          <ns0:t>Diagnosis</ns0:t>
        </ns0:is>
      </ns0:c>
      <ns0:c r="B8" s="21" t="inlineStr">
        <ns0:is>
          <ns0:t>Diagnostic decision support</ns0:t>
        </ns0:is>
      </ns0:c>
      <ns0:c r="C8" s="21" t="inlineStr">
        <ns0:is>
          <ns0:t>Proposed only</ns0:t>
        </ns0:is>
      </ns0:c>
      <ns0:c r="D8" s="21" t="inlineStr">
        <ns0:is>
          <ns0:t>In-decision</ns0:t>
        </ns0:is>
      </ns0:c>
      <ns0:c r="E8" s="29">
        <ns0:f>COUNTIFS('BASE_CIERRE'!$G$5:$G$458,1,'BASE_CIERRE'!$H$5:$H$458,"Diagnosis",'BASE_CIERRE'!$N$5:$N$458,"Diagnostic decision support",'BASE_CIERRE'!$M$5:$M$458,"Proposed only",'BASE_CIERRE'!$O$5:$O$458,"In-decision")</ns0:f>
        <ns0:v>21</ns0:v>
      </ns0:c>
      <ns0:c r="F8" s="29">
        <ns0:f>COUNTIFS('BASE_CIERRE'!$G$5:$G$458,1,'BASE_CIERRE'!$H$5:$H$458,"Diagnosis")</ns0:f>
        <ns0:v>216</ns0:v>
      </ns0:c>
      <ns0:c r="G8" s="32">
        <ns0:f>IFERROR(E8/F8,0)</ns0:f>
        <ns0:v>0.09722222222222222</ns0:v>
      </ns0:c>
    </ns0:row>
    <ns0:row r="9" ht="32" customHeight="1">
      <ns0:c r="A9" s="19" t="inlineStr">
        <ns0:is>
          <ns0:t>Diagnosis</ns0:t>
        </ns0:is>
      </ns0:c>
      <ns0:c r="B9" s="19" t="inlineStr">
        <ns0:is>
          <ns0:t>Diagnostic decision support</ns0:t>
        </ns0:is>
      </ns0:c>
      <ns0:c r="C9" s="19" t="inlineStr">
        <ns0:is>
          <ns0:t>Research only</ns0:t>
        </ns0:is>
      </ns0:c>
      <ns0:c r="D9" s="19" t="inlineStr">
        <ns0:is>
          <ns0:t>Not observed in assessed sources</ns0:t>
        </ns0:is>
      </ns0:c>
      <ns0:c r="E9" s="27">
        <ns0:f>COUNTIFS('BASE_CIERRE'!$G$5:$G$458,1,'BASE_CIERRE'!$H$5:$H$458,"Diagnosis",'BASE_CIERRE'!$N$5:$N$458,"Diagnostic decision support",'BASE_CIERRE'!$M$5:$M$458,"Research only",'BASE_CIERRE'!$O$5:$O$458,"Not observed in assessed sources")</ns0:f>
        <ns0:v>1</ns0:v>
      </ns0:c>
      <ns0:c r="F9" s="27">
        <ns0:f>COUNTIFS('BASE_CIERRE'!$G$5:$G$458,1,'BASE_CIERRE'!$H$5:$H$458,"Diagnosis")</ns0:f>
        <ns0:v>216</ns0:v>
      </ns0:c>
      <ns0:c r="G9" s="31">
        <ns0:f>IFERROR(E9/F9,0)</ns0:f>
        <ns0:v>0.004629629629629629</ns0:v>
      </ns0:c>
    </ns0:row>
    <ns0:row r="10" ht="32" customHeight="1">
      <ns0:c r="A10" s="21" t="inlineStr">
        <ns0:is>
          <ns0:t>Diagnosis</ns0:t>
        </ns0:is>
      </ns0:c>
      <ns0:c r="B10" s="21" t="inlineStr">
        <ns0:is>
          <ns0:t>Risk/trajectory estimation</ns0:t>
        </ns0:is>
      </ns0:c>
      <ns0:c r="C10" s="21" t="inlineStr">
        <ns0:is>
          <ns0:t>Research only</ns0:t>
        </ns0:is>
      </ns0:c>
      <ns0:c r="D10" s="21" t="inlineStr">
        <ns0:is>
          <ns0:t>Not observed in assessed sources</ns0:t>
        </ns0:is>
      </ns0:c>
      <ns0:c r="E10" s="29">
        <ns0:f>COUNTIFS('BASE_CIERRE'!$G$5:$G$458,1,'BASE_CIERRE'!$H$5:$H$458,"Diagnosis",'BASE_CIERRE'!$N$5:$N$458,"Risk/trajectory estimation",'BASE_CIERRE'!$M$5:$M$458,"Research only",'BASE_CIERRE'!$O$5:$O$458,"Not observed in assessed sources")</ns0:f>
        <ns0:v>2</ns0:v>
      </ns0:c>
      <ns0:c r="F10" s="29">
        <ns0:f>COUNTIFS('BASE_CIERRE'!$G$5:$G$458,1,'BASE_CIERRE'!$H$5:$H$458,"Diagnosis")</ns0:f>
        <ns0:v>216</ns0:v>
      </ns0:c>
      <ns0:c r="G10" s="32">
        <ns0:f>IFERROR(E10/F10,0)</ns0:f>
        <ns0:v>0.009259259259259259</ns0:v>
      </ns0:c>
    </ns0:row>
    <ns0:row r="11" ht="32" customHeight="1">
      <ns0:c r="A11" s="19" t="inlineStr">
        <ns0:is>
          <ns0:t>Monitoring/intervention</ns0:t>
        </ns0:is>
      </ns0:c>
      <ns0:c r="B11" s="19" t="inlineStr">
        <ns0:is>
          <ns0:t>Adaptive intervention</ns0:t>
        </ns0:is>
      </ns0:c>
      <ns0:c r="C11" s="19" t="inlineStr">
        <ns0:is>
          <ns0:t>Evaluated AI-supported intervention</ns0:t>
        </ns0:is>
      </ns0:c>
      <ns0:c r="D11" s="19" t="inlineStr">
        <ns0:is>
          <ns0:t>Post-decision</ns0:t>
        </ns0:is>
      </ns0:c>
      <ns0:c r="E11" s="27">
        <ns0:f>COUNTIFS('BASE_CIERRE'!$G$5:$G$458,1,'BASE_CIERRE'!$H$5:$H$458,"Monitoring/intervention",'BASE_CIERRE'!$N$5:$N$458,"Adaptive intervention",'BASE_CIERRE'!$M$5:$M$458,"Evaluated AI-supported intervention",'BASE_CIERRE'!$O$5:$O$458,"Post-decision")</ns0:f>
        <ns0:v>6</ns0:v>
      </ns0:c>
      <ns0:c r="F11" s="27">
        <ns0:f>COUNTIFS('BASE_CIERRE'!$G$5:$G$458,1,'BASE_CIERRE'!$H$5:$H$458,"Monitoring/intervention")</ns0:f>
        <ns0:v>38</ns0:v>
      </ns0:c>
      <ns0:c r="G11" s="31">
        <ns0:f>IFERROR(E11/F11,0)</ns0:f>
        <ns0:v>0.15789473684210525</ns0:v>
      </ns0:c>
    </ns0:row>
    <ns0:row r="12" ht="32" customHeight="1">
      <ns0:c r="A12" s="21" t="inlineStr">
        <ns0:is>
          <ns0:t>Monitoring/intervention</ns0:t>
        </ns0:is>
      </ns0:c>
      <ns0:c r="B12" s="21" t="inlineStr">
        <ns0:is>
          <ns0:t>Adaptive intervention</ns0:t>
        </ns0:is>
      </ns0:c>
      <ns0:c r="C12" s="21" t="inlineStr">
        <ns0:is>
          <ns0:t>Evaluated at point of use</ns0:t>
        </ns0:is>
      </ns0:c>
      <ns0:c r="D12" s="21" t="inlineStr">
        <ns0:is>
          <ns0:t>Post-decision</ns0:t>
        </ns0:is>
      </ns0:c>
      <ns0:c r="E12" s="29">
        <ns0:f>COUNTIFS('BASE_CIERRE'!$G$5:$G$458,1,'BASE_CIERRE'!$H$5:$H$458,"Monitoring/intervention",'BASE_CIERRE'!$N$5:$N$458,"Adaptive intervention",'BASE_CIERRE'!$M$5:$M$458,"Evaluated at point of use",'BASE_CIERRE'!$O$5:$O$458,"Post-decision")</ns0:f>
        <ns0:v>1</ns0:v>
      </ns0:c>
      <ns0:c r="F12" s="29">
        <ns0:f>COUNTIFS('BASE_CIERRE'!$G$5:$G$458,1,'BASE_CIERRE'!$H$5:$H$458,"Monitoring/intervention")</ns0:f>
        <ns0:v>38</ns0:v>
      </ns0:c>
      <ns0:c r="G12" s="32">
        <ns0:f>IFERROR(E12/F12,0)</ns0:f>
        <ns0:v>0.02631578947368421</ns0:v>
      </ns0:c>
    </ns0:row>
    <ns0:row r="13" ht="32" customHeight="1">
      <ns0:c r="A13" s="19" t="inlineStr">
        <ns0:is>
          <ns0:t>Monitoring/intervention</ns0:t>
        </ns0:is>
      </ns0:c>
      <ns0:c r="B13" s="19" t="inlineStr">
        <ns0:is>
          <ns0:t>Adaptive intervention</ns0:t>
        </ns0:is>
      </ns0:c>
      <ns0:c r="C13" s="19" t="inlineStr">
        <ns0:is>
          <ns0:t>Evaluated care-delivery platform</ns0:t>
        </ns0:is>
      </ns0:c>
      <ns0:c r="D13" s="19" t="inlineStr">
        <ns0:is>
          <ns0:t>Post-decision</ns0:t>
        </ns0:is>
      </ns0:c>
      <ns0:c r="E13" s="27">
        <ns0:f>COUNTIFS('BASE_CIERRE'!$G$5:$G$458,1,'BASE_CIERRE'!$H$5:$H$458,"Monitoring/intervention",'BASE_CIERRE'!$N$5:$N$458,"Adaptive intervention",'BASE_CIERRE'!$M$5:$M$458,"Evaluated care-delivery platform",'BASE_CIERRE'!$O$5:$O$458,"Post-decision")</ns0:f>
        <ns0:v>1</ns0:v>
      </ns0:c>
      <ns0:c r="F13" s="27">
        <ns0:f>COUNTIFS('BASE_CIERRE'!$G$5:$G$458,1,'BASE_CIERRE'!$H$5:$H$458,"Monitoring/intervention")</ns0:f>
        <ns0:v>38</ns0:v>
      </ns0:c>
      <ns0:c r="G13" s="31">
        <ns0:f>IFERROR(E13/F13,0)</ns0:f>
        <ns0:v>0.02631578947368421</ns0:v>
      </ns0:c>
    </ns0:row>
    <ns0:row r="14" ht="32" customHeight="1">
      <ns0:c r="A14" s="21" t="inlineStr">
        <ns0:is>
          <ns0:t>Monitoring/intervention</ns0:t>
        </ns0:is>
      </ns0:c>
      <ns0:c r="B14" s="21" t="inlineStr">
        <ns0:is>
          <ns0:t>Adaptive intervention</ns0:t>
        </ns0:is>
      </ns0:c>
      <ns0:c r="C14" s="21" t="inlineStr">
        <ns0:is>
          <ns0:t>Proposed only</ns0:t>
        </ns0:is>
      </ns0:c>
      <ns0:c r="D14" s="21" t="inlineStr">
        <ns0:is>
          <ns0:t>Post-decision</ns0:t>
        </ns0:is>
      </ns0:c>
      <ns0:c r="E14" s="29">
        <ns0:f>COUNTIFS('BASE_CIERRE'!$G$5:$G$458,1,'BASE_CIERRE'!$H$5:$H$458,"Monitoring/intervention",'BASE_CIERRE'!$N$5:$N$458,"Adaptive intervention",'BASE_CIERRE'!$M$5:$M$458,"Proposed only",'BASE_CIERRE'!$O$5:$O$458,"Post-decision")</ns0:f>
        <ns0:v>4</ns0:v>
      </ns0:c>
      <ns0:c r="F14" s="29">
        <ns0:f>COUNTIFS('BASE_CIERRE'!$G$5:$G$458,1,'BASE_CIERRE'!$H$5:$H$458,"Monitoring/intervention")</ns0:f>
        <ns0:v>38</ns0:v>
      </ns0:c>
      <ns0:c r="G14" s="32">
        <ns0:f>IFERROR(E14/F14,0)</ns0:f>
        <ns0:v>0.10526315789473684</ns0:v>
      </ns0:c>
    </ns0:row>
    <ns0:row r="15" ht="32" customHeight="1">
      <ns0:c r="A15" s="19" t="inlineStr">
        <ns0:is>
          <ns0:t>Monitoring/intervention</ns0:t>
        </ns0:is>
      </ns0:c>
      <ns0:c r="B15" s="19" t="inlineStr">
        <ns0:is>
          <ns0:t>Assistive support</ns0:t>
        </ns0:is>
      </ns0:c>
      <ns0:c r="C15" s="19" t="inlineStr">
        <ns0:is>
          <ns0:t>Evaluated AI-supported intervention</ns0:t>
        </ns0:is>
      </ns0:c>
      <ns0:c r="D15" s="19" t="inlineStr">
        <ns0:is>
          <ns0:t>Post-decision</ns0:t>
        </ns0:is>
      </ns0:c>
      <ns0:c r="E15" s="27">
        <ns0:f>COUNTIFS('BASE_CIERRE'!$G$5:$G$458,1,'BASE_CIERRE'!$H$5:$H$458,"Monitoring/intervention",'BASE_CIERRE'!$N$5:$N$458,"Assistive support",'BASE_CIERRE'!$M$5:$M$458,"Evaluated AI-supported intervention",'BASE_CIERRE'!$O$5:$O$458,"Post-decision")</ns0:f>
        <ns0:v>4</ns0:v>
      </ns0:c>
      <ns0:c r="F15" s="27">
        <ns0:f>COUNTIFS('BASE_CIERRE'!$G$5:$G$458,1,'BASE_CIERRE'!$H$5:$H$458,"Monitoring/intervention")</ns0:f>
        <ns0:v>38</ns0:v>
      </ns0:c>
      <ns0:c r="G15" s="31">
        <ns0:f>IFERROR(E15/F15,0)</ns0:f>
        <ns0:v>0.10526315789473684</ns0:v>
      </ns0:c>
    </ns0:row>
    <ns0:row r="16" ht="32" customHeight="1">
      <ns0:c r="A16" s="21" t="inlineStr">
        <ns0:is>
          <ns0:t>Monitoring/intervention</ns0:t>
        </ns0:is>
      </ns0:c>
      <ns0:c r="B16" s="21" t="inlineStr">
        <ns0:is>
          <ns0:t>Assistive support</ns0:t>
        </ns0:is>
      </ns0:c>
      <ns0:c r="C16" s="21" t="inlineStr">
        <ns0:is>
          <ns0:t>Proposed only</ns0:t>
        </ns0:is>
      </ns0:c>
      <ns0:c r="D16" s="21" t="inlineStr">
        <ns0:is>
          <ns0:t>Post-decision</ns0:t>
        </ns0:is>
      </ns0:c>
      <ns0:c r="E16" s="29">
        <ns0:f>COUNTIFS('BASE_CIERRE'!$G$5:$G$458,1,'BASE_CIERRE'!$H$5:$H$458,"Monitoring/intervention",'BASE_CIERRE'!$N$5:$N$458,"Assistive support",'BASE_CIERRE'!$M$5:$M$458,"Proposed only",'BASE_CIERRE'!$O$5:$O$458,"Post-decision")</ns0:f>
        <ns0:v>1</ns0:v>
      </ns0:c>
      <ns0:c r="F16" s="29">
        <ns0:f>COUNTIFS('BASE_CIERRE'!$G$5:$G$458,1,'BASE_CIERRE'!$H$5:$H$458,"Monitoring/intervention")</ns0:f>
        <ns0:v>38</ns0:v>
      </ns0:c>
      <ns0:c r="G16" s="32">
        <ns0:f>IFERROR(E16/F16,0)</ns0:f>
        <ns0:v>0.02631578947368421</ns0:v>
      </ns0:c>
    </ns0:row>
    <ns0:row r="17" ht="32" customHeight="1">
      <ns0:c r="A17" s="19" t="inlineStr">
        <ns0:is>
          <ns0:t>Monitoring/intervention</ns0:t>
        </ns0:is>
      </ns0:c>
      <ns0:c r="B17" s="19" t="inlineStr">
        <ns0:is>
          <ns0:t>Assistive support</ns0:t>
        </ns0:is>
      </ns0:c>
      <ns0:c r="C17" s="19" t="inlineStr">
        <ns0:is>
          <ns0:t>Research only</ns0:t>
        </ns0:is>
      </ns0:c>
      <ns0:c r="D17" s="19" t="inlineStr">
        <ns0:is>
          <ns0:t>Not observed in assessed sources</ns0:t>
        </ns0:is>
      </ns0:c>
      <ns0:c r="E17" s="27">
        <ns0:f>COUNTIFS('BASE_CIERRE'!$G$5:$G$458,1,'BASE_CIERRE'!$H$5:$H$458,"Monitoring/intervention",'BASE_CIERRE'!$N$5:$N$458,"Assistive support",'BASE_CIERRE'!$M$5:$M$458,"Research only",'BASE_CIERRE'!$O$5:$O$458,"Not observed in assessed sources")</ns0:f>
        <ns0:v>2</ns0:v>
      </ns0:c>
      <ns0:c r="F17" s="27">
        <ns0:f>COUNTIFS('BASE_CIERRE'!$G$5:$G$458,1,'BASE_CIERRE'!$H$5:$H$458,"Monitoring/intervention")</ns0:f>
        <ns0:v>38</ns0:v>
      </ns0:c>
      <ns0:c r="G17" s="31">
        <ns0:f>IFERROR(E17/F17,0)</ns0:f>
        <ns0:v>0.05263157894736842</ns0:v>
      </ns0:c>
    </ns0:row>
    <ns0:row r="18" ht="32" customHeight="1">
      <ns0:c r="A18" s="21" t="inlineStr">
        <ns0:is>
          <ns0:t>Monitoring/intervention</ns0:t>
        </ns0:is>
      </ns0:c>
      <ns0:c r="B18" s="21" t="inlineStr">
        <ns0:is>
          <ns0:t>Automated measurement/classification</ns0:t>
        </ns0:is>
      </ns0:c>
      <ns0:c r="C18" s="21" t="inlineStr">
        <ns0:is>
          <ns0:t>Proposed only</ns0:t>
        </ns0:is>
      </ns0:c>
      <ns0:c r="D18" s="21" t="inlineStr">
        <ns0:is>
          <ns0:t>Post-decision</ns0:t>
        </ns0:is>
      </ns0:c>
      <ns0:c r="E18" s="29">
        <ns0:f>COUNTIFS('BASE_CIERRE'!$G$5:$G$458,1,'BASE_CIERRE'!$H$5:$H$458,"Monitoring/intervention",'BASE_CIERRE'!$N$5:$N$458,"Automated measurement/classification",'BASE_CIERRE'!$M$5:$M$458,"Proposed only",'BASE_CIERRE'!$O$5:$O$458,"Post-decision")</ns0:f>
        <ns0:v>3</ns0:v>
      </ns0:c>
      <ns0:c r="F18" s="29">
        <ns0:f>COUNTIFS('BASE_CIERRE'!$G$5:$G$458,1,'BASE_CIERRE'!$H$5:$H$458,"Monitoring/intervention")</ns0:f>
        <ns0:v>38</ns0:v>
      </ns0:c>
      <ns0:c r="G18" s="32">
        <ns0:f>IFERROR(E18/F18,0)</ns0:f>
        <ns0:v>0.07894736842105263</ns0:v>
      </ns0:c>
    </ns0:row>
    <ns0:row r="19" ht="32" customHeight="1">
      <ns0:c r="A19" s="19" t="inlineStr">
        <ns0:is>
          <ns0:t>Monitoring/intervention</ns0:t>
        </ns0:is>
      </ns0:c>
      <ns0:c r="B19" s="19" t="inlineStr">
        <ns0:is>
          <ns0:t>Automated measurement/classification</ns0:t>
        </ns0:is>
      </ns0:c>
      <ns0:c r="C19" s="19" t="inlineStr">
        <ns0:is>
          <ns0:t>Research only</ns0:t>
        </ns0:is>
      </ns0:c>
      <ns0:c r="D19" s="19" t="inlineStr">
        <ns0:is>
          <ns0:t>Not observed in assessed sources</ns0:t>
        </ns0:is>
      </ns0:c>
      <ns0:c r="E19" s="27">
        <ns0:f>COUNTIFS('BASE_CIERRE'!$G$5:$G$458,1,'BASE_CIERRE'!$H$5:$H$458,"Monitoring/intervention",'BASE_CIERRE'!$N$5:$N$458,"Automated measurement/classification",'BASE_CIERRE'!$M$5:$M$458,"Research only",'BASE_CIERRE'!$O$5:$O$458,"Not observed in assessed sources")</ns0:f>
        <ns0:v>3</ns0:v>
      </ns0:c>
      <ns0:c r="F19" s="27">
        <ns0:f>COUNTIFS('BASE_CIERRE'!$G$5:$G$458,1,'BASE_CIERRE'!$H$5:$H$458,"Monitoring/intervention")</ns0:f>
        <ns0:v>38</ns0:v>
      </ns0:c>
      <ns0:c r="G19" s="31">
        <ns0:f>IFERROR(E19/F19,0)</ns0:f>
        <ns0:v>0.07894736842105263</ns0:v>
      </ns0:c>
    </ns0:row>
    <ns0:row r="20" ht="32" customHeight="1">
      <ns0:c r="A20" s="21" t="inlineStr">
        <ns0:is>
          <ns0:t>Monitoring/intervention</ns0:t>
        </ns0:is>
      </ns0:c>
      <ns0:c r="B20" s="21" t="inlineStr">
        <ns0:is>
          <ns0:t>Monitoring/longitudinal analysis</ns0:t>
        </ns0:is>
      </ns0:c>
      <ns0:c r="C20" s="21" t="inlineStr">
        <ns0:is>
          <ns0:t>Evaluated at point of use</ns0:t>
        </ns0:is>
      </ns0:c>
      <ns0:c r="D20" s="21" t="inlineStr">
        <ns0:is>
          <ns0:t>Post-decision</ns0:t>
        </ns0:is>
      </ns0:c>
      <ns0:c r="E20" s="29">
        <ns0:f>COUNTIFS('BASE_CIERRE'!$G$5:$G$458,1,'BASE_CIERRE'!$H$5:$H$458,"Monitoring/intervention",'BASE_CIERRE'!$N$5:$N$458,"Monitoring/longitudinal analysis",'BASE_CIERRE'!$M$5:$M$458,"Evaluated at point of use",'BASE_CIERRE'!$O$5:$O$458,"Post-decision")</ns0:f>
        <ns0:v>2</ns0:v>
      </ns0:c>
      <ns0:c r="F20" s="29">
        <ns0:f>COUNTIFS('BASE_CIERRE'!$G$5:$G$458,1,'BASE_CIERRE'!$H$5:$H$458,"Monitoring/intervention")</ns0:f>
        <ns0:v>38</ns0:v>
      </ns0:c>
      <ns0:c r="G20" s="32">
        <ns0:f>IFERROR(E20/F20,0)</ns0:f>
        <ns0:v>0.05263157894736842</ns0:v>
      </ns0:c>
    </ns0:row>
    <ns0:row r="21" ht="32" customHeight="1">
      <ns0:c r="A21" s="19" t="inlineStr">
        <ns0:is>
          <ns0:t>Monitoring/intervention</ns0:t>
        </ns0:is>
      </ns0:c>
      <ns0:c r="B21" s="19" t="inlineStr">
        <ns0:is>
          <ns0:t>Monitoring/longitudinal analysis</ns0:t>
        </ns0:is>
      </ns0:c>
      <ns0:c r="C21" s="19" t="inlineStr">
        <ns0:is>
          <ns0:t>Proposed only</ns0:t>
        </ns0:is>
      </ns0:c>
      <ns0:c r="D21" s="19" t="inlineStr">
        <ns0:is>
          <ns0:t>Post-decision</ns0:t>
        </ns0:is>
      </ns0:c>
      <ns0:c r="E21" s="27">
        <ns0:f>COUNTIFS('BASE_CIERRE'!$G$5:$G$458,1,'BASE_CIERRE'!$H$5:$H$458,"Monitoring/intervention",'BASE_CIERRE'!$N$5:$N$458,"Monitoring/longitudinal analysis",'BASE_CIERRE'!$M$5:$M$458,"Proposed only",'BASE_CIERRE'!$O$5:$O$458,"Post-decision")</ns0:f>
        <ns0:v>4</ns0:v>
      </ns0:c>
      <ns0:c r="F21" s="27">
        <ns0:f>COUNTIFS('BASE_CIERRE'!$G$5:$G$458,1,'BASE_CIERRE'!$H$5:$H$458,"Monitoring/intervention")</ns0:f>
        <ns0:v>38</ns0:v>
      </ns0:c>
      <ns0:c r="G21" s="31">
        <ns0:f>IFERROR(E21/F21,0)</ns0:f>
        <ns0:v>0.10526315789473684</ns0:v>
      </ns0:c>
    </ns0:row>
    <ns0:row r="22" ht="32" customHeight="1">
      <ns0:c r="A22" s="21" t="inlineStr">
        <ns0:is>
          <ns0:t>Monitoring/intervention</ns0:t>
        </ns0:is>
      </ns0:c>
      <ns0:c r="B22" s="21" t="inlineStr">
        <ns0:is>
          <ns0:t>Monitoring/longitudinal analysis</ns0:t>
        </ns0:is>
      </ns0:c>
      <ns0:c r="C22" s="21" t="inlineStr">
        <ns0:is>
          <ns0:t>Research only</ns0:t>
        </ns0:is>
      </ns0:c>
      <ns0:c r="D22" s="21" t="inlineStr">
        <ns0:is>
          <ns0:t>Not observed in assessed sources</ns0:t>
        </ns0:is>
      </ns0:c>
      <ns0:c r="E22" s="29">
        <ns0:f>COUNTIFS('BASE_CIERRE'!$G$5:$G$458,1,'BASE_CIERRE'!$H$5:$H$458,"Monitoring/intervention",'BASE_CIERRE'!$N$5:$N$458,"Monitoring/longitudinal analysis",'BASE_CIERRE'!$M$5:$M$458,"Research only",'BASE_CIERRE'!$O$5:$O$458,"Not observed in assessed sources")</ns0:f>
        <ns0:v>7</ns0:v>
      </ns0:c>
      <ns0:c r="F22" s="29">
        <ns0:f>COUNTIFS('BASE_CIERRE'!$G$5:$G$458,1,'BASE_CIERRE'!$H$5:$H$458,"Monitoring/intervention")</ns0:f>
        <ns0:v>38</ns0:v>
      </ns0:c>
      <ns0:c r="G22" s="32">
        <ns0:f>IFERROR(E22/F22,0)</ns0:f>
        <ns0:v>0.18421052631578946</ns0:v>
      </ns0:c>
    </ns0:row>
    <ns0:row r="23" ht="32" customHeight="1">
      <ns0:c r="A23" s="19" t="inlineStr">
        <ns0:is>
          <ns0:t>Not specified</ns0:t>
        </ns0:is>
      </ns0:c>
      <ns0:c r="B23" s="19" t="inlineStr">
        <ns0:is>
          <ns0:t>Automated measurement/classification</ns0:t>
        </ns0:is>
      </ns0:c>
      <ns0:c r="C23" s="19" t="inlineStr">
        <ns0:is>
          <ns0:t>Research only</ns0:t>
        </ns0:is>
      </ns0:c>
      <ns0:c r="D23" s="19" t="inlineStr">
        <ns0:is>
          <ns0:t>Not observed in assessed sources</ns0:t>
        </ns0:is>
      </ns0:c>
      <ns0:c r="E23" s="27">
        <ns0:f>COUNTIFS('BASE_CIERRE'!$G$5:$G$458,1,'BASE_CIERRE'!$H$5:$H$458,"Not specified",'BASE_CIERRE'!$N$5:$N$458,"Automated measurement/classification",'BASE_CIERRE'!$M$5:$M$458,"Research only",'BASE_CIERRE'!$O$5:$O$458,"Not observed in assessed sources")</ns0:f>
        <ns0:v>6</ns0:v>
      </ns0:c>
      <ns0:c r="F23" s="27">
        <ns0:f>COUNTIFS('BASE_CIERRE'!$G$5:$G$458,1,'BASE_CIERRE'!$H$5:$H$458,"Not specified")</ns0:f>
        <ns0:v>31</ns0:v>
      </ns0:c>
      <ns0:c r="G23" s="31">
        <ns0:f>IFERROR(E23/F23,0)</ns0:f>
        <ns0:v>0.1935483870967742</ns0:v>
      </ns0:c>
    </ns0:row>
    <ns0:row r="24" ht="32" customHeight="1">
      <ns0:c r="A24" s="21" t="inlineStr">
        <ns0:is>
          <ns0:t>Not specified</ns0:t>
        </ns0:is>
      </ns0:c>
      <ns0:c r="B24" s="21" t="inlineStr">
        <ns0:is>
          <ns0:t>Research characterization</ns0:t>
        </ns0:is>
      </ns0:c>
      <ns0:c r="C24" s="21" t="inlineStr">
        <ns0:is>
          <ns0:t>Research only</ns0:t>
        </ns0:is>
      </ns0:c>
      <ns0:c r="D24" s="21" t="inlineStr">
        <ns0:is>
          <ns0:t>Not observed in assessed sources</ns0:t>
        </ns0:is>
      </ns0:c>
      <ns0:c r="E24" s="29">
        <ns0:f>COUNTIFS('BASE_CIERRE'!$G$5:$G$458,1,'BASE_CIERRE'!$H$5:$H$458,"Not specified",'BASE_CIERRE'!$N$5:$N$458,"Research characterization",'BASE_CIERRE'!$M$5:$M$458,"Research only",'BASE_CIERRE'!$O$5:$O$458,"Not observed in assessed sources")</ns0:f>
        <ns0:v>25</ns0:v>
      </ns0:c>
      <ns0:c r="F24" s="29">
        <ns0:f>COUNTIFS('BASE_CIERRE'!$G$5:$G$458,1,'BASE_CIERRE'!$H$5:$H$458,"Not specified")</ns0:f>
        <ns0:v>31</ns0:v>
      </ns0:c>
      <ns0:c r="G24" s="32">
        <ns0:f>IFERROR(E24/F24,0)</ns0:f>
        <ns0:v>0.8064516129032258</ns0:v>
      </ns0:c>
    </ns0:row>
    <ns0:row r="25" ht="32" customHeight="1">
      <ns0:c r="A25" s="19" t="inlineStr">
        <ns0:is>
          <ns0:t>Prescreening</ns0:t>
        </ns0:is>
      </ns0:c>
      <ns0:c r="B25" s="19" t="inlineStr">
        <ns0:is>
          <ns0:t>Risk/trajectory estimation</ns0:t>
        </ns0:is>
      </ns0:c>
      <ns0:c r="C25" s="19" t="inlineStr">
        <ns0:is>
          <ns0:t>Research only</ns0:t>
        </ns0:is>
      </ns0:c>
      <ns0:c r="D25" s="19" t="inlineStr">
        <ns0:is>
          <ns0:t>Not observed in assessed sources</ns0:t>
        </ns0:is>
      </ns0:c>
      <ns0:c r="E25" s="27">
        <ns0:f>COUNTIFS('BASE_CIERRE'!$G$5:$G$458,1,'BASE_CIERRE'!$H$5:$H$458,"Prescreening",'BASE_CIERRE'!$N$5:$N$458,"Risk/trajectory estimation",'BASE_CIERRE'!$M$5:$M$458,"Research only",'BASE_CIERRE'!$O$5:$O$458,"Not observed in assessed sources")</ns0:f>
        <ns0:v>7</ns0:v>
      </ns0:c>
      <ns0:c r="F25" s="27">
        <ns0:f>COUNTIFS('BASE_CIERRE'!$G$5:$G$458,1,'BASE_CIERRE'!$H$5:$H$458,"Prescreening")</ns0:f>
        <ns0:v>8</ns0:v>
      </ns0:c>
      <ns0:c r="G25" s="31">
        <ns0:f>IFERROR(E25/F25,0)</ns0:f>
        <ns0:v>0.875</ns0:v>
      </ns0:c>
    </ns0:row>
    <ns0:row r="26" ht="32" customHeight="1">
      <ns0:c r="A26" s="21" t="inlineStr">
        <ns0:is>
          <ns0:t>Prescreening</ns0:t>
        </ns0:is>
      </ns0:c>
      <ns0:c r="B26" s="21" t="inlineStr">
        <ns0:is>
          <ns0:t>Triage/questionnaire assessment</ns0:t>
        </ns0:is>
      </ns0:c>
      <ns0:c r="C26" s="21" t="inlineStr">
        <ns0:is>
          <ns0:t>Proposed only</ns0:t>
        </ns0:is>
      </ns0:c>
      <ns0:c r="D26" s="21" t="inlineStr">
        <ns0:is>
          <ns0:t>Pre-decision</ns0:t>
        </ns0:is>
      </ns0:c>
      <ns0:c r="E26" s="29">
        <ns0:f>COUNTIFS('BASE_CIERRE'!$G$5:$G$458,1,'BASE_CIERRE'!$H$5:$H$458,"Prescreening",'BASE_CIERRE'!$N$5:$N$458,"Triage/questionnaire assessment",'BASE_CIERRE'!$M$5:$M$458,"Proposed only",'BASE_CIERRE'!$O$5:$O$458,"Pre-decision")</ns0:f>
        <ns0:v>1</ns0:v>
      </ns0:c>
      <ns0:c r="F26" s="29">
        <ns0:f>COUNTIFS('BASE_CIERRE'!$G$5:$G$458,1,'BASE_CIERRE'!$H$5:$H$458,"Prescreening")</ns0:f>
        <ns0:v>8</ns0:v>
      </ns0:c>
      <ns0:c r="G26" s="32">
        <ns0:f>IFERROR(E26/F26,0)</ns0:f>
        <ns0:v>0.125</ns0:v>
      </ns0:c>
    </ns0:row>
    <ns0:row r="27" ht="32" customHeight="1">
      <ns0:c r="A27" s="19" t="inlineStr">
        <ns0:is>
          <ns0:t>Prognosis</ns0:t>
        </ns0:is>
      </ns0:c>
      <ns0:c r="B27" s="19" t="inlineStr">
        <ns0:is>
          <ns0:t>Risk/trajectory estimation</ns0:t>
        </ns0:is>
      </ns0:c>
      <ns0:c r="C27" s="19" t="inlineStr">
        <ns0:is>
          <ns0:t>Proposed only</ns0:t>
        </ns0:is>
      </ns0:c>
      <ns0:c r="D27" s="19" t="inlineStr">
        <ns0:is>
          <ns0:t>Pre-decision</ns0:t>
        </ns0:is>
      </ns0:c>
      <ns0:c r="E27" s="27">
        <ns0:f>COUNTIFS('BASE_CIERRE'!$G$5:$G$458,1,'BASE_CIERRE'!$H$5:$H$458,"Prognosis",'BASE_CIERRE'!$N$5:$N$458,"Risk/trajectory estimation",'BASE_CIERRE'!$M$5:$M$458,"Proposed only",'BASE_CIERRE'!$O$5:$O$458,"Pre-decision")</ns0:f>
        <ns0:v>3</ns0:v>
      </ns0:c>
      <ns0:c r="F27" s="27">
        <ns0:f>COUNTIFS('BASE_CIERRE'!$G$5:$G$458,1,'BASE_CIERRE'!$H$5:$H$458,"Prognosis")</ns0:f>
        <ns0:v>22</ns0:v>
      </ns0:c>
      <ns0:c r="G27" s="31">
        <ns0:f>IFERROR(E27/F27,0)</ns0:f>
        <ns0:v>0.13636363636363635</ns0:v>
      </ns0:c>
    </ns0:row>
    <ns0:row r="28" ht="32" customHeight="1">
      <ns0:c r="A28" s="21" t="inlineStr">
        <ns0:is>
          <ns0:t>Prognosis</ns0:t>
        </ns0:is>
      </ns0:c>
      <ns0:c r="B28" s="21" t="inlineStr">
        <ns0:is>
          <ns0:t>Risk/trajectory estimation</ns0:t>
        </ns0:is>
      </ns0:c>
      <ns0:c r="C28" s="21" t="inlineStr">
        <ns0:is>
          <ns0:t>Research only</ns0:t>
        </ns0:is>
      </ns0:c>
      <ns0:c r="D28" s="21" t="inlineStr">
        <ns0:is>
          <ns0:t>Not observed in assessed sources</ns0:t>
        </ns0:is>
      </ns0:c>
      <ns0:c r="E28" s="29">
        <ns0:f>COUNTIFS('BASE_CIERRE'!$G$5:$G$458,1,'BASE_CIERRE'!$H$5:$H$458,"Prognosis",'BASE_CIERRE'!$N$5:$N$458,"Risk/trajectory estimation",'BASE_CIERRE'!$M$5:$M$458,"Research only",'BASE_CIERRE'!$O$5:$O$458,"Not observed in assessed sources")</ns0:f>
        <ns0:v>19</ns0:v>
      </ns0:c>
      <ns0:c r="F28" s="29">
        <ns0:f>COUNTIFS('BASE_CIERRE'!$G$5:$G$458,1,'BASE_CIERRE'!$H$5:$H$458,"Prognosis")</ns0:f>
        <ns0:v>22</ns0:v>
      </ns0:c>
      <ns0:c r="G28" s="32">
        <ns0:f>IFERROR(E28/F28,0)</ns0:f>
        <ns0:v>0.8636363636363636</ns0:v>
      </ns0:c>
    </ns0:row>
    <ns0:row r="29" ht="32" customHeight="1">
      <ns0:c r="A29" s="19" t="inlineStr">
        <ns0:is>
          <ns0:t>Screening</ns0:t>
        </ns0:is>
      </ns0:c>
      <ns0:c r="B29" s="19" t="inlineStr">
        <ns0:is>
          <ns0:t>Automated measurement/classification</ns0:t>
        </ns0:is>
      </ns0:c>
      <ns0:c r="C29" s="19" t="inlineStr">
        <ns0:is>
          <ns0:t>Proposed only</ns0:t>
        </ns0:is>
      </ns0:c>
      <ns0:c r="D29" s="19" t="inlineStr">
        <ns0:is>
          <ns0:t>Pre-decision</ns0:t>
        </ns0:is>
      </ns0:c>
      <ns0:c r="E29" s="27">
        <ns0:f>COUNTIFS('BASE_CIERRE'!$G$5:$G$458,1,'BASE_CIERRE'!$H$5:$H$458,"Screening",'BASE_CIERRE'!$N$5:$N$458,"Automated measurement/classification",'BASE_CIERRE'!$M$5:$M$458,"Proposed only",'BASE_CIERRE'!$O$5:$O$458,"Pre-decision")</ns0:f>
        <ns0:v>1</ns0:v>
      </ns0:c>
      <ns0:c r="F29" s="27">
        <ns0:f>COUNTIFS('BASE_CIERRE'!$G$5:$G$458,1,'BASE_CIERRE'!$H$5:$H$458,"Screening")</ns0:f>
        <ns0:v>113</ns0:v>
      </ns0:c>
      <ns0:c r="G29" s="31">
        <ns0:f>IFERROR(E29/F29,0)</ns0:f>
        <ns0:v>0.008849557522123894</ns0:v>
      </ns0:c>
    </ns0:row>
    <ns0:row r="30" ht="32" customHeight="1">
      <ns0:c r="A30" s="21" t="inlineStr">
        <ns0:is>
          <ns0:t>Screening</ns0:t>
        </ns0:is>
      </ns0:c>
      <ns0:c r="B30" s="21" t="inlineStr">
        <ns0:is>
          <ns0:t>Automated measurement/classification</ns0:t>
        </ns0:is>
      </ns0:c>
      <ns0:c r="C30" s="21" t="inlineStr">
        <ns0:is>
          <ns0:t>Research only</ns0:t>
        </ns0:is>
      </ns0:c>
      <ns0:c r="D30" s="21" t="inlineStr">
        <ns0:is>
          <ns0:t>Not observed in assessed sources</ns0:t>
        </ns0:is>
      </ns0:c>
      <ns0:c r="E30" s="29">
        <ns0:f>COUNTIFS('BASE_CIERRE'!$G$5:$G$458,1,'BASE_CIERRE'!$H$5:$H$458,"Screening",'BASE_CIERRE'!$N$5:$N$458,"Automated measurement/classification",'BASE_CIERRE'!$M$5:$M$458,"Research only",'BASE_CIERRE'!$O$5:$O$458,"Not observed in assessed sources")</ns0:f>
        <ns0:v>32</ns0:v>
      </ns0:c>
      <ns0:c r="F30" s="29">
        <ns0:f>COUNTIFS('BASE_CIERRE'!$G$5:$G$458,1,'BASE_CIERRE'!$H$5:$H$458,"Screening")</ns0:f>
        <ns0:v>113</ns0:v>
      </ns0:c>
      <ns0:c r="G30" s="32">
        <ns0:f>IFERROR(E30/F30,0)</ns0:f>
        <ns0:v>0.2831858407079646</ns0:v>
      </ns0:c>
    </ns0:row>
    <ns0:row r="31" ht="32" customHeight="1">
      <ns0:c r="A31" s="19" t="inlineStr">
        <ns0:is>
          <ns0:t>Screening</ns0:t>
        </ns0:is>
      </ns0:c>
      <ns0:c r="B31" s="19" t="inlineStr">
        <ns0:is>
          <ns0:t>Diagnostic decision support</ns0:t>
        </ns0:is>
      </ns0:c>
      <ns0:c r="C31" s="19" t="inlineStr">
        <ns0:is>
          <ns0:t>Proposed only</ns0:t>
        </ns0:is>
      </ns0:c>
      <ns0:c r="D31" s="19" t="inlineStr">
        <ns0:is>
          <ns0:t>In-decision</ns0:t>
        </ns0:is>
      </ns0:c>
      <ns0:c r="E31" s="27">
        <ns0:f>COUNTIFS('BASE_CIERRE'!$G$5:$G$458,1,'BASE_CIERRE'!$H$5:$H$458,"Screening",'BASE_CIERRE'!$N$5:$N$458,"Diagnostic decision support",'BASE_CIERRE'!$M$5:$M$458,"Proposed only",'BASE_CIERRE'!$O$5:$O$458,"In-decision")</ns0:f>
        <ns0:v>1</ns0:v>
      </ns0:c>
      <ns0:c r="F31" s="27">
        <ns0:f>COUNTIFS('BASE_CIERRE'!$G$5:$G$458,1,'BASE_CIERRE'!$H$5:$H$458,"Screening")</ns0:f>
        <ns0:v>113</ns0:v>
      </ns0:c>
      <ns0:c r="G31" s="31">
        <ns0:f>IFERROR(E31/F31,0)</ns0:f>
        <ns0:v>0.008849557522123894</ns0:v>
      </ns0:c>
    </ns0:row>
    <ns0:row r="32" ht="32" customHeight="1">
      <ns0:c r="A32" s="21" t="inlineStr">
        <ns0:is>
          <ns0:t>Screening</ns0:t>
        </ns0:is>
      </ns0:c>
      <ns0:c r="B32" s="21" t="inlineStr">
        <ns0:is>
          <ns0:t>Diagnostic decision support</ns0:t>
        </ns0:is>
      </ns0:c>
      <ns0:c r="C32" s="21" t="inlineStr">
        <ns0:is>
          <ns0:t>Proposed only</ns0:t>
        </ns0:is>
      </ns0:c>
      <ns0:c r="D32" s="21" t="inlineStr">
        <ns0:is>
          <ns0:t>Pre-decision</ns0:t>
        </ns0:is>
      </ns0:c>
      <ns0:c r="E32" s="29">
        <ns0:f>COUNTIFS('BASE_CIERRE'!$G$5:$G$458,1,'BASE_CIERRE'!$H$5:$H$458,"Screening",'BASE_CIERRE'!$N$5:$N$458,"Diagnostic decision support",'BASE_CIERRE'!$M$5:$M$458,"Proposed only",'BASE_CIERRE'!$O$5:$O$458,"Pre-decision")</ns0:f>
        <ns0:v>2</ns0:v>
      </ns0:c>
      <ns0:c r="F32" s="29">
        <ns0:f>COUNTIFS('BASE_CIERRE'!$G$5:$G$458,1,'BASE_CIERRE'!$H$5:$H$458,"Screening")</ns0:f>
        <ns0:v>113</ns0:v>
      </ns0:c>
      <ns0:c r="G32" s="32">
        <ns0:f>IFERROR(E32/F32,0)</ns0:f>
        <ns0:v>0.017699115044247787</ns0:v>
      </ns0:c>
    </ns0:row>
    <ns0:row r="33" ht="32" customHeight="1">
      <ns0:c r="A33" s="19" t="inlineStr">
        <ns0:is>
          <ns0:t>Screening</ns0:t>
        </ns0:is>
      </ns0:c>
      <ns0:c r="B33" s="19" t="inlineStr">
        <ns0:is>
          <ns0:t>Mobile assessment</ns0:t>
        </ns0:is>
      </ns0:c>
      <ns0:c r="C33" s="19" t="inlineStr">
        <ns0:is>
          <ns0:t>Evaluated at point of use</ns0:t>
        </ns0:is>
      </ns0:c>
      <ns0:c r="D33" s="19" t="inlineStr">
        <ns0:is>
          <ns0:t>Pre-decision</ns0:t>
        </ns0:is>
      </ns0:c>
      <ns0:c r="E33" s="27">
        <ns0:f>COUNTIFS('BASE_CIERRE'!$G$5:$G$458,1,'BASE_CIERRE'!$H$5:$H$458,"Screening",'BASE_CIERRE'!$N$5:$N$458,"Mobile assessment",'BASE_CIERRE'!$M$5:$M$458,"Evaluated at point of use",'BASE_CIERRE'!$O$5:$O$458,"Pre-decision")</ns0:f>
        <ns0:v>3</ns0:v>
      </ns0:c>
      <ns0:c r="F33" s="27">
        <ns0:f>COUNTIFS('BASE_CIERRE'!$G$5:$G$458,1,'BASE_CIERRE'!$H$5:$H$458,"Screening")</ns0:f>
        <ns0:v>113</ns0:v>
      </ns0:c>
      <ns0:c r="G33" s="31">
        <ns0:f>IFERROR(E33/F33,0)</ns0:f>
        <ns0:v>0.02654867256637168</ns0:v>
      </ns0:c>
    </ns0:row>
    <ns0:row r="34" ht="32" customHeight="1">
      <ns0:c r="A34" s="21" t="inlineStr">
        <ns0:is>
          <ns0:t>Screening</ns0:t>
        </ns0:is>
      </ns0:c>
      <ns0:c r="B34" s="21" t="inlineStr">
        <ns0:is>
          <ns0:t>Mobile assessment</ns0:t>
        </ns0:is>
      </ns0:c>
      <ns0:c r="C34" s="21" t="inlineStr">
        <ns0:is>
          <ns0:t>Proposed only</ns0:t>
        </ns0:is>
      </ns0:c>
      <ns0:c r="D34" s="21" t="inlineStr">
        <ns0:is>
          <ns0:t>Pre-decision</ns0:t>
        </ns0:is>
      </ns0:c>
      <ns0:c r="E34" s="29">
        <ns0:f>COUNTIFS('BASE_CIERRE'!$G$5:$G$458,1,'BASE_CIERRE'!$H$5:$H$458,"Screening",'BASE_CIERRE'!$N$5:$N$458,"Mobile assessment",'BASE_CIERRE'!$M$5:$M$458,"Proposed only",'BASE_CIERRE'!$O$5:$O$458,"Pre-decision")</ns0:f>
        <ns0:v>2</ns0:v>
      </ns0:c>
      <ns0:c r="F34" s="29">
        <ns0:f>COUNTIFS('BASE_CIERRE'!$G$5:$G$458,1,'BASE_CIERRE'!$H$5:$H$458,"Screening")</ns0:f>
        <ns0:v>113</ns0:v>
      </ns0:c>
      <ns0:c r="G34" s="32">
        <ns0:f>IFERROR(E34/F34,0)</ns0:f>
        <ns0:v>0.017699115044247787</ns0:v>
      </ns0:c>
    </ns0:row>
    <ns0:row r="35" ht="32" customHeight="1">
      <ns0:c r="A35" s="19" t="inlineStr">
        <ns0:is>
          <ns0:t>Screening</ns0:t>
        </ns0:is>
      </ns0:c>
      <ns0:c r="B35" s="19" t="inlineStr">
        <ns0:is>
          <ns0:t>Triage/questionnaire assessment</ns0:t>
        </ns0:is>
      </ns0:c>
      <ns0:c r="C35" s="19" t="inlineStr">
        <ns0:is>
          <ns0:t>Evaluated at point of use</ns0:t>
        </ns0:is>
      </ns0:c>
      <ns0:c r="D35" s="19" t="inlineStr">
        <ns0:is>
          <ns0:t>Pre-decision</ns0:t>
        </ns0:is>
      </ns0:c>
      <ns0:c r="E35" s="27">
        <ns0:f>COUNTIFS('BASE_CIERRE'!$G$5:$G$458,1,'BASE_CIERRE'!$H$5:$H$458,"Screening",'BASE_CIERRE'!$N$5:$N$458,"Triage/questionnaire assessment",'BASE_CIERRE'!$M$5:$M$458,"Evaluated at point of use",'BASE_CIERRE'!$O$5:$O$458,"Pre-decision")</ns0:f>
        <ns0:v>1</ns0:v>
      </ns0:c>
      <ns0:c r="F35" s="27">
        <ns0:f>COUNTIFS('BASE_CIERRE'!$G$5:$G$458,1,'BASE_CIERRE'!$H$5:$H$458,"Screening")</ns0:f>
        <ns0:v>113</ns0:v>
      </ns0:c>
      <ns0:c r="G35" s="31">
        <ns0:f>IFERROR(E35/F35,0)</ns0:f>
        <ns0:v>0.008849557522123894</ns0:v>
      </ns0:c>
    </ns0:row>
    <ns0:row r="36" ht="32" customHeight="1">
      <ns0:c r="A36" s="21" t="inlineStr">
        <ns0:is>
          <ns0:t>Screening</ns0:t>
        </ns0:is>
      </ns0:c>
      <ns0:c r="B36" s="21" t="inlineStr">
        <ns0:is>
          <ns0:t>Triage/questionnaire assessment</ns0:t>
        </ns0:is>
      </ns0:c>
      <ns0:c r="C36" s="21" t="inlineStr">
        <ns0:is>
          <ns0:t>Proposed only</ns0:t>
        </ns0:is>
      </ns0:c>
      <ns0:c r="D36" s="21" t="inlineStr">
        <ns0:is>
          <ns0:t>Pre-decision</ns0:t>
        </ns0:is>
      </ns0:c>
      <ns0:c r="E36" s="29">
        <ns0:f>COUNTIFS('BASE_CIERRE'!$G$5:$G$458,1,'BASE_CIERRE'!$H$5:$H$458,"Screening",'BASE_CIERRE'!$N$5:$N$458,"Triage/questionnaire assessment",'BASE_CIERRE'!$M$5:$M$458,"Proposed only",'BASE_CIERRE'!$O$5:$O$458,"Pre-decision")</ns0:f>
        <ns0:v>46</ns0:v>
      </ns0:c>
      <ns0:c r="F36" s="29">
        <ns0:f>COUNTIFS('BASE_CIERRE'!$G$5:$G$458,1,'BASE_CIERRE'!$H$5:$H$458,"Screening")</ns0:f>
        <ns0:v>113</ns0:v>
      </ns0:c>
      <ns0:c r="G36" s="32">
        <ns0:f>IFERROR(E36/F36,0)</ns0:f>
        <ns0:v>0.40707964601769914</ns0:v>
      </ns0:c>
    </ns0:row>
    <ns0:row r="37" ht="32" customHeight="1">
      <ns0:c r="A37" s="19" t="inlineStr">
        <ns0:is>
          <ns0:t>Screening</ns0:t>
        </ns0:is>
      </ns0:c>
      <ns0:c r="B37" s="19" t="inlineStr">
        <ns0:is>
          <ns0:t>Triage/questionnaire assessment</ns0:t>
        </ns0:is>
      </ns0:c>
      <ns0:c r="C37" s="19" t="inlineStr">
        <ns0:is>
          <ns0:t>Research only</ns0:t>
        </ns0:is>
      </ns0:c>
      <ns0:c r="D37" s="19" t="inlineStr">
        <ns0:is>
          <ns0:t>Not observed in assessed sources</ns0:t>
        </ns0:is>
      </ns0:c>
      <ns0:c r="E37" s="27">
        <ns0:f>COUNTIFS('BASE_CIERRE'!$G$5:$G$458,1,'BASE_CIERRE'!$H$5:$H$458,"Screening",'BASE_CIERRE'!$N$5:$N$458,"Triage/questionnaire assessment",'BASE_CIERRE'!$M$5:$M$458,"Research only",'BASE_CIERRE'!$O$5:$O$458,"Not observed in assessed sources")</ns0:f>
        <ns0:v>25</ns0:v>
      </ns0:c>
      <ns0:c r="F37" s="27">
        <ns0:f>COUNTIFS('BASE_CIERRE'!$G$5:$G$458,1,'BASE_CIERRE'!$H$5:$H$458,"Screening")</ns0:f>
        <ns0:v>113</ns0:v>
      </ns0:c>
      <ns0:c r="G37" s="31">
        <ns0:f>IFERROR(E37/F37,0)</ns0:f>
        <ns0:v>0.22123893805309736</ns0:v>
      </ns0:c>
    </ns0:row>
  </ns0:sheetData>
  <ns0:autoFilter ref="A4:G37"/>
  <ns0:mergeCells count="2">
    <ns0:mergeCell ref="A2:G2"/>
    <ns0:mergeCell ref="A1:G1"/>
  </ns0:mergeCells>
  <ns0:printOptions horizontalCentered="1"/>
  <ns0:pageMargins left="0.75" right="0.75" top="1" bottom="1" header="0.5" footer="0.5"/>
  <ns0:pageSetup orientation="landscape" paperSize="8" fitToHeight="0" fitToWidth="1"/>
</ns0:worksheet>
</file>

<file path=xl/worksheets/sheet8.xml><?xml version="1.0" encoding="utf-8"?>
<ns0:worksheet xmlns:ns0="http://schemas.openxmlformats.org/spreadsheetml/2006/main">
  <ns0:sheetPr>
    <ns0:tabColor rgb="00177E89"/>
    <ns0:outlinePr summaryBelow="1" summaryRight="0"/>
    <ns0:pageSetUpPr fitToPage="1"/>
  </ns0:sheetPr>
  <ns0:dimension ref="A1:J23"/>
  <ns0:sheetViews>
    <ns0:sheetView showGridLines="0" workbookViewId="0">
      <ns0:pane xSplit="2" ySplit="4" topLeftCell="C5" activePane="bottomRight" state="frozen"/>
      <ns0:selection pane="topRight"/>
      <ns0:selection pane="bottomLeft"/>
      <ns0:selection pane="bottomRight" activeCell="A1" sqref="A1"/>
    </ns0:sheetView>
  </ns0:sheetViews>
  <ns0:sheetFormatPr baseColWidth="8" defaultRowHeight="15"/>
  <ns0:cols>
    <ns0:col width="13" customWidth="1" min="1" max="1"/>
    <ns0:col width="74" customWidth="1" min="2" max="2"/>
    <ns0:col width="38" customWidth="1" min="3" max="3"/>
    <ns0:col width="24" customWidth="1" min="4" max="4"/>
    <ns0:col width="24" customWidth="1" min="5" max="5"/>
    <ns0:col width="24" customWidth="1" min="6" max="6"/>
    <ns0:col width="24" customWidth="1" min="7" max="7"/>
    <ns0:col width="58" customWidth="1" min="8" max="8"/>
    <ns0:col width="60" customWidth="1" min="9" max="9"/>
    <ns0:col width="110" customWidth="1" min="10" max="10"/>
  </ns0:cols>
  <ns0:sheetData>
    <ns0:row r="1" ht="36" customHeight="1">
      <ns0:c r="A1" s="16" t="inlineStr">
        <ns0:is>
          <ns0:t>RQ2 | Casos con uso evaluado</ns0:t>
        </ns0:is>
      </ns0:c>
    </ns0:row>
    <ns0:row r="2" ht="32" customHeight="1">
      <ns0:c r="A2" s="17" t="inlineStr">
        <ns0:is>
          <ns0:t>19 informes. Incluye prueba tecnica en punto de uso, intervencion y plataforma; no demuestra eficacia clinica ni adopcion rutinaria.</ns0:t>
        </ns0:is>
      </ns0:c>
    </ns0:row>
    <ns0:row r="4" ht="34" customHeight="1">
      <ns0:c r="A4" s="18" t="inlineStr">
        <ns0:is>
          <ns0:t>study_id</ns0:t>
        </ns0:is>
      </ns0:c>
      <ns0:c r="B4" s="18" t="inlineStr">
        <ns0:is>
          <ns0:t>title</ns0:t>
        </ns0:is>
      </ns0:c>
      <ns0:c r="C4" s="18" t="inlineStr">
        <ns0:is>
          <ns0:t>doi</ns0:t>
        </ns0:is>
      </ns0:c>
      <ns0:c r="D4" s="18" t="inlineStr">
        <ns0:is>
          <ns0:t>stage_primary</ns0:t>
        </ns0:is>
      </ns0:c>
      <ns0:c r="E4" s="18" t="inlineStr">
        <ns0:is>
          <ns0:t>rq2_role</ns0:t>
        </ns0:is>
      </ns0:c>
      <ns0:c r="F4" s="18" t="inlineStr">
        <ns0:is>
          <ns0:t>rq2_status</ns0:t>
        </ns0:is>
      </ns0:c>
      <ns0:c r="G4" s="18" t="inlineStr">
        <ns0:is>
          <ns0:t>observed_decision_timing</ns0:t>
        </ns0:is>
      </ns0:c>
      <ns0:c r="H4" s="18" t="inlineStr">
        <ns0:is>
          <ns0:t>source_level</ns0:t>
        </ns0:is>
      </ns0:c>
      <ns0:c r="I4" s="18" t="inlineStr">
        <ns0:is>
          <ns0:t>source_url</ns0:t>
        </ns0:is>
      </ns0:c>
      <ns0:c r="J4" s="18" t="inlineStr">
        <ns0:is>
          <ns0:t>rationale</ns0:t>
        </ns0:is>
      </ns0:c>
    </ns0:row>
    <ns0:row r="5" ht="75" customHeight="1">
      <ns0:c r="A5" s="19" t="inlineStr">
        <ns0:is>
          <ns0:t>12</ns0:t>
        </ns0:is>
      </ns0:c>
      <ns0:c r="B5" s="19" t="inlineStr">
        <ns0:is>
          <ns0:t>Effect of Wearable Digital Intervention for Improving Socialization in Children with Autism Spectrum Disorder: A Randomized Clinical Trial</ns0:t>
        </ns0:is>
      </ns0:c>
      <ns0:c r="C5" s="19" t="inlineStr">
        <ns0:is>
          <ns0:t>10.1001/jamapediatrics.2019.0285</ns0:t>
        </ns0:is>
      </ns0:c>
      <ns0:c r="D5" s="19" t="inlineStr">
        <ns0:is>
          <ns0:t>Monitoring/intervention</ns0:t>
        </ns0:is>
      </ns0:c>
      <ns0:c r="E5" s="19" t="inlineStr">
        <ns0:is>
          <ns0:t>Adaptive intervention</ns0:t>
        </ns0:is>
      </ns0:c>
      <ns0:c r="F5" s="19" t="inlineStr">
        <ns0:is>
          <ns0:t>Evaluated AI-supported intervention</ns0:t>
        </ns0:is>
      </ns0:c>
      <ns0:c r="G5" s="19" t="inlineStr">
        <ns0:is>
          <ns0:t>Post-decision</ns0:t>
        </ns0:is>
      </ns0:c>
      <ns0:c r="H5" s="19" t="inlineStr">
        <ns0:is>
          <ns0:t>Supplied abstract/coding notes; no new full-text verification</ns0:t>
        </ns0:is>
      </ns0:c>
      <ns0:c r="I5" s="19" t="inlineStr">
        <ns0:is>
          <ns0:t>https://doi.org/10.1001/jamapediatrics.2019.0285</ns0:t>
        </ns0:is>
      </ns0:c>
      <ns0:c r="J5" s="19" t="inlineStr">
        <ns0:is>
          <ns0:t>Superpower Glass provides AI-generated facial-expression feedback in a randomized home intervention. Standard ABA therapy and outcome scales are not additional AI input modalities.</ns0:t>
        </ns0:is>
      </ns0:c>
    </ns0:row>
    <ns0:row r="6" ht="75" customHeight="1">
      <ns0:c r="A6" s="21" t="inlineStr">
        <ns0:is>
          <ns0:t>89</ns0:t>
        </ns0:is>
      </ns0:c>
      <ns0:c r="B6" s="21" t="inlineStr">
        <ns0:is>
          <ns0:t>Feasibility Testing of a Wearable Behavioral Aid for Social Learning in Children with Autism</ns0:t>
        </ns0:is>
      </ns0:c>
      <ns0:c r="C6" s="21" t="inlineStr">
        <ns0:is>
          <ns0:t>10.1055/s-0038-1626727</ns0:t>
        </ns0:is>
      </ns0:c>
      <ns0:c r="D6" s="21" t="inlineStr">
        <ns0:is>
          <ns0:t>Monitoring/intervention</ns0:t>
        </ns0:is>
      </ns0:c>
      <ns0:c r="E6" s="21" t="inlineStr">
        <ns0:is>
          <ns0:t>Assistive support</ns0:t>
        </ns0:is>
      </ns0:c>
      <ns0:c r="F6" s="21" t="inlineStr">
        <ns0:is>
          <ns0:t>Evaluated AI-supported intervention</ns0:t>
        </ns0:is>
      </ns0:c>
      <ns0:c r="G6" s="21" t="inlineStr">
        <ns0:is>
          <ns0:t>Post-decision</ns0:t>
        </ns0:is>
      </ns0:c>
      <ns0:c r="H6" s="21" t="inlineStr">
        <ns0:is>
          <ns0:t>Supplied abstract/coding notes; no new full-text verification</ns0:t>
        </ns0:is>
      </ns0:c>
      <ns0:c r="I6" s="21" t="inlineStr">
        <ns0:is>
          <ns0:t>https://doi.org/10.1055/s-0038-1626727</ns0:t>
        </ns0:is>
      </ns0:c>
      <ns0:c r="J6" s="21" t="inlineStr">
        <ns0:is>
          <ns0:t>Controlled feasibility experiment supplied emotion labels via wearable glasses to participants. The separate ASD classifier is an ancillary analysis, not proof of clinical ASD diagnosis using glasses.
Wearable feedback was evaluated in a laboratory; not routine care and not an external validation of ASD diagnosis.</ns0:t>
        </ns0:is>
      </ns0:c>
    </ns0:row>
    <ns0:row r="7" ht="75" customHeight="1">
      <ns0:c r="A7" s="19" t="inlineStr">
        <ns0:is>
          <ns0:t>118</ns0:t>
        </ns0:is>
      </ns0:c>
      <ns0:c r="B7" s="19" t="inlineStr">
        <ns0:is>
          <ns0:t>Early detection of autism using digital behavioral phenotyping</ns0:t>
        </ns0:is>
      </ns0:c>
      <ns0:c r="C7" s="19" t="inlineStr">
        <ns0:is>
          <ns0:t>10.1038/s41591-023-02574-3</ns0:t>
        </ns0:is>
      </ns0:c>
      <ns0:c r="D7" s="19" t="inlineStr">
        <ns0:is>
          <ns0:t>Screening</ns0:t>
        </ns0:is>
      </ns0:c>
      <ns0:c r="E7" s="19" t="inlineStr">
        <ns0:is>
          <ns0:t>Mobile assessment</ns0:t>
        </ns0:is>
      </ns0:c>
      <ns0:c r="F7" s="19" t="inlineStr">
        <ns0:is>
          <ns0:t>Evaluated at point of use</ns0:t>
        </ns0:is>
      </ns0:c>
      <ns0:c r="G7" s="19" t="inlineStr">
        <ns0:is>
          <ns0:t>Pre-decision</ns0:t>
        </ns0:is>
      </ns0:c>
      <ns0:c r="H7" s="19" t="inlineStr">
        <ns0:is>
          <ns0:t>Supplied abstract/coding notes; no new full-text verification</ns0:t>
        </ns0:is>
      </ns0:c>
      <ns0:c r="I7" s="19" t="inlineStr">
        <ns0:is>
          <ns0:t>https://doi.org/10.1038/s41591-023-02574-3</ns0:t>
        </ns0:is>
      </ns0:c>
      <ns0:c r="J7" s="19" t="inlineStr">
        <ns0:is>
          <ns0:t>Tablet behavioral app administered prospectively during pediatric well-child visits. Real point-of-use evaluation is explicit, but prospective recruitment is distinct from external frozen-model testing.</ns0:t>
        </ns0:is>
      </ns0:c>
    </ns0:row>
    <ns0:row r="8" ht="75" customHeight="1">
      <ns0:c r="A8" s="21" t="inlineStr">
        <ns0:is>
          <ns0:t>128</ns0:t>
        </ns0:is>
      </ns0:c>
      <ns0:c r="B8" s="21" t="inlineStr">
        <ns0:is>
          <ns0:t>Improvement of attention-deficit/hyperactivity disorder symptoms in school-aged children, adolescents, and young adults with autism via a digital smartglasses-based socioemotional coaching aid: Short-term, uncontrolled pilot study</ns0:t>
        </ns0:is>
      </ns0:c>
      <ns0:c r="C8" s="21" t="inlineStr">
        <ns0:is>
          <ns0:t>10.2196/mental.9631</ns0:t>
        </ns0:is>
      </ns0:c>
      <ns0:c r="D8" s="21" t="inlineStr">
        <ns0:is>
          <ns0:t>Monitoring/intervention</ns0:t>
        </ns0:is>
      </ns0:c>
      <ns0:c r="E8" s="21" t="inlineStr">
        <ns0:is>
          <ns0:t>Assistive support</ns0:t>
        </ns0:is>
      </ns0:c>
      <ns0:c r="F8" s="21" t="inlineStr">
        <ns0:is>
          <ns0:t>Evaluated AI-supported intervention</ns0:t>
        </ns0:is>
      </ns0:c>
      <ns0:c r="G8" s="21" t="inlineStr">
        <ns0:is>
          <ns0:t>Post-decision</ns0:t>
        </ns0:is>
      </ns0:c>
      <ns0:c r="H8" s="21" t="inlineStr">
        <ns0:is>
          <ns0:t>Supplied abstract/coding notes; no new full-text verification</ns0:t>
        </ns0:is>
      </ns0:c>
      <ns0:c r="I8" s="21" t="inlineStr">
        <ns0:is>
          <ns0:t>https://doi.org/10.2196/mental.9631</ns0:t>
        </ns0:is>
      </ns0:c>
      <ns0:c r="J8" s="21" t="inlineStr">
        <ns0:is>
          <ns0:t>Actual uncontrolled participant-facing smartglasses intervention; not screening. Architecture is not inferred from the product being AI-enabled.</ns0:t>
        </ns0:is>
      </ns0:c>
    </ns0:row>
    <ns0:row r="9" ht="75" customHeight="1">
      <ns0:c r="A9" s="19" t="inlineStr">
        <ns0:is>
          <ns0:t>145</ns0:t>
        </ns0:is>
      </ns0:c>
      <ns0:c r="B9" s="19" t="inlineStr">
        <ns0:is>
          <ns0:t>Clinical Evaluation of a Novel and Mobile Autism Risk Assessment</ns0:t>
        </ns0:is>
      </ns0:c>
      <ns0:c r="C9" s="19" t="inlineStr">
        <ns0:is>
          <ns0:t>10.1007/s10803-016-2718-4</ns0:t>
        </ns0:is>
      </ns0:c>
      <ns0:c r="D9" s="19" t="inlineStr">
        <ns0:is>
          <ns0:t>Screening</ns0:t>
        </ns0:is>
      </ns0:c>
      <ns0:c r="E9" s="19" t="inlineStr">
        <ns0:is>
          <ns0:t>Mobile assessment</ns0:t>
        </ns0:is>
      </ns0:c>
      <ns0:c r="F9" s="19" t="inlineStr">
        <ns0:is>
          <ns0:t>Evaluated at point of use</ns0:t>
        </ns0:is>
      </ns0:c>
      <ns0:c r="G9" s="19" t="inlineStr">
        <ns0:is>
          <ns0:t>Pre-decision</ns0:t>
        </ns0:is>
      </ns0:c>
      <ns0:c r="H9" s="19" t="inlineStr">
        <ns0:is>
          <ns0:t>Supplied abstract/coding notes; no new full-text verification</ns0:t>
        </ns0:is>
      </ns0:c>
      <ns0:c r="I9" s="19" t="inlineStr">
        <ns0:is>
          <ns0:t>https://doi.org/10.1007/s10803-016-2718-4</ns0:t>
        </ns0:is>
      </ns0:c>
      <ns0:c r="J9" s="19" t="inlineStr">
        <ns0:is>
          <ns0:t>Mobile risk assessment was administered at the first developmental-behavioral clinic visit and compared with the encounter diagnosis. This establishes point-of-use evaluation, not proof of improved clinical decisions.</ns0:t>
        </ns0:is>
      </ns0:c>
    </ns0:row>
    <ns0:row r="10" ht="75" customHeight="1">
      <ns0:c r="A10" s="21" t="inlineStr">
        <ns0:is>
          <ns0:t>183</ns0:t>
        </ns0:is>
      </ns0:c>
      <ns0:c r="B10" s="21" t="inlineStr">
        <ns0:is>
          <ns0:t>Computational Methods to Measure Patterns of Gaze in Toddlers with Autism Spectrum Disorder</ns0:t>
        </ns0:is>
      </ns0:c>
      <ns0:c r="C10" s="21" t="inlineStr">
        <ns0:is>
          <ns0:t>10.1001/jamapediatrics.2021.0530</ns0:t>
        </ns0:is>
      </ns0:c>
      <ns0:c r="D10" s="21" t="inlineStr">
        <ns0:is>
          <ns0:t>Screening</ns0:t>
        </ns0:is>
      </ns0:c>
      <ns0:c r="E10" s="21" t="inlineStr">
        <ns0:is>
          <ns0:t>Mobile assessment</ns0:t>
        </ns0:is>
      </ns0:c>
      <ns0:c r="F10" s="21" t="inlineStr">
        <ns0:is>
          <ns0:t>Evaluated at point of use</ns0:t>
        </ns0:is>
      </ns0:c>
      <ns0:c r="G10" s="21" t="inlineStr">
        <ns0:is>
          <ns0:t>Pre-decision</ns0:t>
        </ns0:is>
      </ns0:c>
      <ns0:c r="H10" s="21" t="inlineStr">
        <ns0:is>
          <ns0:t>Supplied abstract/coding notes; no new full-text verification</ns0:t>
        </ns0:is>
      </ns0:c>
      <ns0:c r="I10" s="21" t="inlineStr">
        <ns0:is>
          <ns0:t>https://doi.org/10.1001/jamapediatrics.2021.0530</ns0:t>
        </ns0:is>
      </ns0:c>
      <ns0:c r="J10" s="21" t="inlineStr">
        <ns0:is>
          <ns0:t>Prospective pediatric well-child app measurement is explicit. Gaze quantification and group comparison are not necessarily external validation of a trained ASD classifier.</ns0:t>
        </ns0:is>
      </ns0:c>
    </ns0:row>
    <ns0:row r="11" ht="75" customHeight="1">
      <ns0:c r="A11" s="19" t="inlineStr">
        <ns0:is>
          <ns0:t>219</ns0:t>
        </ns0:is>
      </ns0:c>
      <ns0:c r="B11" s="19" t="inlineStr">
        <ns0:is>
          <ns0:t>Wearable EEG Neurofeedback Based-on Machine Learning Algorithms for Children with Autism: A Randomized, Placebo-controlled Study</ns0:t>
        </ns0:is>
      </ns0:c>
      <ns0:c r="C11" s="19" t="inlineStr">
        <ns0:is>
          <ns0:t>10.1007/s11596-024-2938-3</ns0:t>
        </ns0:is>
      </ns0:c>
      <ns0:c r="D11" s="19" t="inlineStr">
        <ns0:is>
          <ns0:t>Monitoring/intervention</ns0:t>
        </ns0:is>
      </ns0:c>
      <ns0:c r="E11" s="19" t="inlineStr">
        <ns0:is>
          <ns0:t>Adaptive intervention</ns0:t>
        </ns0:is>
      </ns0:c>
      <ns0:c r="F11" s="19" t="inlineStr">
        <ns0:is>
          <ns0:t>Evaluated AI-supported intervention</ns0:t>
        </ns0:is>
      </ns0:c>
      <ns0:c r="G11" s="19" t="inlineStr">
        <ns0:is>
          <ns0:t>Post-decision</ns0:t>
        </ns0:is>
      </ns0:c>
      <ns0:c r="H11" s="19" t="inlineStr">
        <ns0:is>
          <ns0:t>Supplied abstract/coding notes; no new full-text verification</ns0:t>
        </ns0:is>
      </ns0:c>
      <ns0:c r="I11" s="19" t="inlineStr">
        <ns0:is>
          <ns0:t>https://doi.org/10.1007/s11596-024-2938-3</ns0:t>
        </ns0:is>
      </ns0:c>
      <ns0:c r="J11" s="19" t="inlineStr">
        <ns0:is>
          <ns0:t>Randomized sham-controlled EEG mu-neurofeedback evaluation; physiological input and delivered feedback intervention, not an image classifier. Architecture insufficiently specified.</ns0:t>
        </ns0:is>
      </ns0:c>
    </ns0:row>
    <ns0:row r="12" ht="75" customHeight="1">
      <ns0:c r="A12" s="21" t="inlineStr">
        <ns0:is>
          <ns0:t>276</ns0:t>
        </ns0:is>
      </ns0:c>
      <ns0:c r="B12" s="21" t="inlineStr">
        <ns0:is>
          <ns0:t>A situation-aware system for the detection of motion disorders of patients with Autism Spectrum Disorders</ns0:t>
        </ns0:is>
      </ns0:c>
      <ns0:c r="C12" s="21" t="inlineStr">
        <ns0:is>
          <ns0:t>10.1016/j.eswa.2014.05.011</ns0:t>
        </ns0:is>
      </ns0:c>
      <ns0:c r="D12" s="21" t="inlineStr">
        <ns0:is>
          <ns0:t>Monitoring/intervention</ns0:t>
        </ns0:is>
      </ns0:c>
      <ns0:c r="E12" s="21" t="inlineStr">
        <ns0:is>
          <ns0:t>Monitoring/longitudinal analysis</ns0:t>
        </ns0:is>
      </ns0:c>
      <ns0:c r="F12" s="21" t="inlineStr">
        <ns0:is>
          <ns0:t>Evaluated at point of use</ns0:t>
        </ns0:is>
      </ns0:c>
      <ns0:c r="G12" s="21" t="inlineStr">
        <ns0:is>
          <ns0:t>Post-decision</ns0:t>
        </ns0:is>
      </ns0:c>
      <ns0:c r="H12" s="21" t="inlineStr">
        <ns0:is>
          <ns0:t>Supplied abstract/coding notes; no new full-text verification</ns0:t>
        </ns0:is>
      </ns0:c>
      <ns0:c r="I12" s="21" t="inlineStr">
        <ns0:is>
          <ns0:t>https://doi.org/10.1016/j.eswa.2014.05.011</ns0:t>
        </ns0:is>
      </ns0:c>
      <ns0:c r="J12" s="21" t="inlineStr">
        <ns0:is>
          <ns0:t>Accelerometer-based stereotypy detection with situation-aware event reporting; hospital-deployed prototype explicitly tested, but classifier architecture unspecified.
Hospital prototype evaluation established; effect on clinician decisions not quantified in available abstract.</ns0:t>
        </ns0:is>
      </ns0:c>
    </ns0:row>
    <ns0:row r="13" ht="75" customHeight="1">
      <ns0:c r="A13" s="19" t="inlineStr">
        <ns0:is>
          <ns0:t>new_12</ns0:t>
        </ns0:is>
      </ns0:c>
      <ns0:c r="B13" s="19" t="inlineStr">
        <ns0:is>
          <ns0:t>Integration of an Artificial Intelligence–Based Autism Diagnostic Device into the ECHO Autism Primary Care Workflow: Prospective Observational Study</ns0:t>
        </ns0:is>
      </ns0:c>
      <ns0:c r="C13" s="19" t="inlineStr">
        <ns0:is>
          <ns0:t>10.2196/80733</ns0:t>
        </ns0:is>
      </ns0:c>
      <ns0:c r="D13" s="19" t="inlineStr">
        <ns0:is>
          <ns0:t>Diagnosis</ns0:t>
        </ns0:is>
      </ns0:c>
      <ns0:c r="E13" s="19" t="inlineStr">
        <ns0:is>
          <ns0:t>Diagnostic decision support</ns0:t>
        </ns0:is>
      </ns0:c>
      <ns0:c r="F13" s="19" t="inlineStr">
        <ns0:is>
          <ns0:t>Evaluated at point of use</ns0:t>
        </ns0:is>
      </ns0:c>
      <ns0:c r="G13" s="19" t="inlineStr">
        <ns0:is>
          <ns0:t>In-decision</ns0:t>
        </ns0:is>
      </ns0:c>
      <ns0:c r="H13" s="19" t="inlineStr">
        <ns0:is>
          <ns0:t>Supplied abstract/coding notes; no new full-text verification</ns0:t>
        </ns0:is>
      </ns0:c>
      <ns0:c r="I13" s="19" t="inlineStr">
        <ns0:is>
          <ns0:t>https://doi.org/10.2196/80733</ns0:t>
        </ns0:is>
      </ns0:c>
      <ns0:c r="J13" s="19" t="inlineStr">
        <ns0:is>
          <ns0:t>Canvas Dx explicitly integrated into ECHO primary-care diagnostic workflow; prospective observational evaluation, not merely an offline classifier.</ns0:t>
        </ns0:is>
      </ns0:c>
    </ns0:row>
    <ns0:row r="14" ht="75" customHeight="1">
      <ns0:c r="A14" s="21" t="inlineStr">
        <ns0:is>
          <ns0:t>new_50</ns0:t>
        </ns0:is>
      </ns0:c>
      <ns0:c r="B14" s="21" t="inlineStr">
        <ns0:is>
          <ns0:t>Effectiveness of Artificial Intelligence–Based Platform in Administering Therapies for Children With Autism Spectrum Disorder: 12-Month Observational Study</ns0:t>
        </ns0:is>
      </ns0:c>
      <ns0:c r="C14" s="21" t="inlineStr">
        <ns0:is>
          <ns0:t>10.2196/70589</ns0:t>
        </ns0:is>
      </ns0:c>
      <ns0:c r="D14" s="21" t="inlineStr">
        <ns0:is>
          <ns0:t>Monitoring/intervention</ns0:t>
        </ns0:is>
      </ns0:c>
      <ns0:c r="E14" s="21" t="inlineStr">
        <ns0:is>
          <ns0:t>Adaptive intervention</ns0:t>
        </ns0:is>
      </ns0:c>
      <ns0:c r="F14" s="21" t="inlineStr">
        <ns0:is>
          <ns0:t>Evaluated care-delivery platform</ns0:t>
        </ns0:is>
      </ns0:c>
      <ns0:c r="G14" s="21" t="inlineStr">
        <ns0:is>
          <ns0:t>Post-decision</ns0:t>
        </ns0:is>
      </ns0:c>
      <ns0:c r="H14" s="21" t="inlineStr">
        <ns0:is>
          <ns0:t>Supplied abstract/coding notes; no new full-text verification</ns0:t>
        </ns0:is>
      </ns0:c>
      <ns0:c r="I14" s="21" t="inlineStr">
        <ns0:is>
          <ns0:t>https://doi.org/10.2196/70589</ns0:t>
        </ns0:is>
      </ns0:c>
      <ns0:c r="J14" s="21" t="inlineStr">
        <ns0:is>
          <ns0:t>CognitiveBotics platform used alongside therapy over 12 months. Assessment scales are outcomes and do not establish the AI input modality or architecture.
Nonrandom adherence-defined groups and concurrent standard therapy; do not attribute observed improvement causally to AI.</ns0:t>
        </ns0:is>
      </ns0:c>
    </ns0:row>
    <ns0:row r="15" ht="75" customHeight="1">
      <ns0:c r="A15" s="19" t="inlineStr">
        <ns0:is>
          <ns0:t>new_169</ns0:t>
        </ns0:is>
      </ns0:c>
      <ns0:c r="B15" s="19" t="inlineStr">
        <ns0:is>
          <ns0:t>GPT-Powered Chatbot-Based Positive Psychology Intervention for Well-Being Among Parents of Children With Autism Spectrum Disorder: Single-Arm Mixed Methods Study</ns0:t>
        </ns0:is>
      </ns0:c>
      <ns0:c r="C15" s="19" t="inlineStr">
        <ns0:is>
          <ns0:t>10.2196/85060</ns0:t>
        </ns0:is>
      </ns0:c>
      <ns0:c r="D15" s="19" t="inlineStr">
        <ns0:is>
          <ns0:t>Monitoring/intervention</ns0:t>
        </ns0:is>
      </ns0:c>
      <ns0:c r="E15" s="19" t="inlineStr">
        <ns0:is>
          <ns0:t>Adaptive intervention</ns0:t>
        </ns0:is>
      </ns0:c>
      <ns0:c r="F15" s="19" t="inlineStr">
        <ns0:is>
          <ns0:t>Evaluated AI-supported intervention</ns0:t>
        </ns0:is>
      </ns0:c>
      <ns0:c r="G15" s="19" t="inlineStr">
        <ns0:is>
          <ns0:t>Post-decision</ns0:t>
        </ns0:is>
      </ns0:c>
      <ns0:c r="H15" s="19" t="inlineStr">
        <ns0:is>
          <ns0:t>Supplied abstract/coding notes; no new full-text verification</ns0:t>
        </ns0:is>
      </ns0:c>
      <ns0:c r="I15" s="19" t="inlineStr">
        <ns0:is>
          <ns0:t>https://doi.org/10.2196/85060</ns0:t>
        </ns0:is>
      </ns0:c>
      <ns0:c r="J15" s="19" t="inlineStr">
        <ns0:is>
          <ns0:t>GPT chatbot delivers positive-psychology intervention to ASD caregivers. Well-being scales and interviews evaluate outcomes rather than establish multimodal AI input.</ns0:t>
        </ns0:is>
      </ns0:c>
    </ns0:row>
    <ns0:row r="16" ht="75" customHeight="1">
      <ns0:c r="A16" s="21" t="inlineStr">
        <ns0:is>
          <ns0:t>new_247</ns0:t>
        </ns0:is>
      </ns0:c>
      <ns0:c r="B16" s="21" t="inlineStr">
        <ns0:is>
          <ns0:t>New intelligent music therapy method for applications of enhancing social skills of autism children based on TL-GCN and deep learning</ns0:t>
        </ns0:is>
      </ns0:c>
      <ns0:c r="C16" s="21" t="inlineStr">
        <ns0:is>
          <ns0:t>10.1038/s41598-025-26307-3</ns0:t>
        </ns0:is>
      </ns0:c>
      <ns0:c r="D16" s="21" t="inlineStr">
        <ns0:is>
          <ns0:t>Monitoring/intervention</ns0:t>
        </ns0:is>
      </ns0:c>
      <ns0:c r="E16" s="21" t="inlineStr">
        <ns0:is>
          <ns0:t>Adaptive intervention</ns0:t>
        </ns0:is>
      </ns0:c>
      <ns0:c r="F16" s="21" t="inlineStr">
        <ns0:is>
          <ns0:t>Evaluated AI-supported intervention</ns0:t>
        </ns0:is>
      </ns0:c>
      <ns0:c r="G16" s="21" t="inlineStr">
        <ns0:is>
          <ns0:t>Post-decision</ns0:t>
        </ns0:is>
      </ns0:c>
      <ns0:c r="H16" s="21" t="inlineStr">
        <ns0:is>
          <ns0:t>Supplied abstract/coding notes; no new full-text verification</ns0:t>
        </ns0:is>
      </ns0:c>
      <ns0:c r="I16" s="21" t="inlineStr">
        <ns0:is>
          <ns0:t>https://doi.org/10.1038/s41598-025-26307-3</ns0:t>
        </ns0:is>
      </ns0:c>
      <ns0:c r="J16" s="21" t="inlineStr">
        <ns0:is>
          <ns0:t>Emotion-video model linked to music therapy with reported pre/post evaluation in 182 families. Questionnaire outcomes are not additional AI inputs.
Reported uncontrolled pre/post study; it does not establish causal efficacy or external diagnostic validation.</ns0:t>
        </ns0:is>
      </ns0:c>
    </ns0:row>
    <ns0:row r="17" ht="75" customHeight="1">
      <ns0:c r="A17" s="19" t="inlineStr">
        <ns0:is>
          <ns0:t>new_257</ns0:t>
        </ns0:is>
      </ns0:c>
      <ns0:c r="B17" s="19" t="inlineStr">
        <ns0:is>
          <ns0:t>The Use of the Social Robot LOVOT for Children with Autism Spectrum Disorder: A Feasibility Study</ns0:t>
        </ns0:is>
      </ns0:c>
      <ns0:c r="C17" s="19" t="inlineStr">
        <ns0:is>
          <ns0:t>10.3233/shti251499</ns0:t>
        </ns0:is>
      </ns0:c>
      <ns0:c r="D17" s="19" t="inlineStr">
        <ns0:is>
          <ns0:t>Monitoring/intervention</ns0:t>
        </ns0:is>
      </ns0:c>
      <ns0:c r="E17" s="19" t="inlineStr">
        <ns0:is>
          <ns0:t>Assistive support</ns0:t>
        </ns0:is>
      </ns0:c>
      <ns0:c r="F17" s="19" t="inlineStr">
        <ns0:is>
          <ns0:t>Evaluated AI-supported intervention</ns0:t>
        </ns0:is>
      </ns0:c>
      <ns0:c r="G17" s="19" t="inlineStr">
        <ns0:is>
          <ns0:t>Post-decision</ns0:t>
        </ns0:is>
      </ns0:c>
      <ns0:c r="H17" s="19" t="inlineStr">
        <ns0:is>
          <ns0:t>Supplied abstract/coding notes; no new full-text verification</ns0:t>
        </ns0:is>
      </ns0:c>
      <ns0:c r="I17" s="19" t="inlineStr">
        <ns0:is>
          <ns0:t>https://doi.org/10.3233/shti251499</ns0:t>
        </ns0:is>
      </ns0:c>
      <ns0:c r="J17" s="19" t="inlineStr">
        <ns0:is>
          <ns0:t>LOVOT interaction sessions tested in four ASD children; actual assistive use, but AI architecture and causal efficacy remain unspecified.</ns0:t>
        </ns0:is>
      </ns0:c>
    </ns0:row>
    <ns0:row r="18" ht="75" customHeight="1">
      <ns0:c r="A18" s="21" t="inlineStr">
        <ns0:is>
          <ns0:t>new_429</ns0:t>
        </ns0:is>
      </ns0:c>
      <ns0:c r="B18" s="21" t="inlineStr">
        <ns0:is>
          <ns0:t>A Data-Driven Approach for Autism Spectrum Disorder Screening</ns0:t>
        </ns0:is>
      </ns0:c>
      <ns0:c r="C18" s="21" t="inlineStr">
        <ns0:is>
          <ns0:t>10.1109/access.2026.3650856</ns0:t>
        </ns0:is>
      </ns0:c>
      <ns0:c r="D18" s="21" t="inlineStr">
        <ns0:is>
          <ns0:t>Screening</ns0:t>
        </ns0:is>
      </ns0:c>
      <ns0:c r="E18" s="21" t="inlineStr">
        <ns0:is>
          <ns0:t>Triage/questionnaire assessment</ns0:t>
        </ns0:is>
      </ns0:c>
      <ns0:c r="F18" s="21" t="inlineStr">
        <ns0:is>
          <ns0:t>Evaluated at point of use</ns0:t>
        </ns0:is>
      </ns0:c>
      <ns0:c r="G18" s="21" t="inlineStr">
        <ns0:is>
          <ns0:t>Pre-decision</ns0:t>
        </ns0:is>
      </ns0:c>
      <ns0:c r="H18" s="21" t="inlineStr">
        <ns0:is>
          <ns0:t>Supplied abstract/coding notes; no new full-text verification</ns0:t>
        </ns0:is>
      </ns0:c>
      <ns0:c r="I18" s="21" t="inlineStr">
        <ns0:is>
          <ns0:t>https://doi.org/10.1109/access.2026.3650856</ns0:t>
        </ns0:is>
      </ns0:c>
      <ns0:c r="J18" s="21" t="inlineStr">
        <ns0:is>
          <ns0:t>Abstract explicitly reports operation at a healthcare provider; deployment is author-reported, clinical benefit is not independently established.
Operational-use claim from abstract; no independently verified causal improvement in diagnostic outcomes.</ns0:t>
        </ns0:is>
      </ns0:c>
    </ns0:row>
    <ns0:row r="19" ht="75" customHeight="1">
      <ns0:c r="A19" s="19" t="inlineStr">
        <ns0:is>
          <ns0:t>new_4</ns0:t>
        </ns0:is>
      </ns0:c>
      <ns0:c r="B19" s="19" t="inlineStr">
        <ns0:is>
          <ns0:t>EmoLand: Utilizing narrative animations, multilevel games, and affective computing to foster emotional development in children with autism spectrum disorder</ns0:t>
        </ns0:is>
      </ns0:c>
      <ns0:c r="C19" s="19" t="inlineStr">
        <ns0:is>
          <ns0:t>10.1016/j.ijhcs.2025.103486</ns0:t>
        </ns0:is>
      </ns0:c>
      <ns0:c r="D19" s="19" t="inlineStr">
        <ns0:is>
          <ns0:t>Monitoring/intervention</ns0:t>
        </ns0:is>
      </ns0:c>
      <ns0:c r="E19" s="19" t="inlineStr">
        <ns0:is>
          <ns0:t>Adaptive intervention</ns0:t>
        </ns0:is>
      </ns0:c>
      <ns0:c r="F19" s="19" t="inlineStr">
        <ns0:is>
          <ns0:t>Evaluated AI-supported intervention</ns0:t>
        </ns0:is>
      </ns0:c>
      <ns0:c r="G19" s="19" t="inlineStr">
        <ns0:is>
          <ns0:t>Post-decision</ns0:t>
        </ns0:is>
      </ns0:c>
      <ns0:c r="H19" s="19" t="inlineStr">
        <ns0:is>
          <ns0:t>Prior source-specific extraction retained; no new full-text retrieval</ns0:t>
        </ns0:is>
      </ns0:c>
      <ns0:c r="I19" s="19" t="inlineStr">
        <ns0:is>
          <ns0:t>https://doi.org/10.1016/j.ijhcs.2025.103486</ns0:t>
        </ns0:is>
      </ns0:c>
      <ns0:c r="J19" s="19" t="inlineStr">
        <ns0:is>
          <ns0:t>Retained source-specific coding after review of the supplied extraction notes; not a new full-text retrieval. Evaluación de campo de 3 semanas en escuela especial: 12 niños con ASD, 5 tutores, 330 clips revisados; el módulo de feedback afectivo reporta 97.6% de acierto. Muestra pequeña y evaluación breve. La precisión del módulo de feedback no debe confundirse con eficacia clínica de largo plazo.</ns0:t>
        </ns0:is>
      </ns0:c>
    </ns0:row>
    <ns0:row r="20" ht="75" customHeight="1">
      <ns0:c r="A20" s="21" t="inlineStr">
        <ns0:is>
          <ns0:t>new_181</ns0:t>
        </ns0:is>
      </ns0:c>
      <ns0:c r="B20" s="21" t="inlineStr">
        <ns0:is>
          <ns0:t>Human-centered AI for inclusive tourism: enhancing travel planning for adults with autism spectrum disorder</ns0:t>
        </ns0:is>
      </ns0:c>
      <ns0:c r="C20" s="21" t="inlineStr">
        <ns0:is>
          <ns0:t>10.1016/j.ijhcs.2025.103696</ns0:t>
        </ns0:is>
      </ns0:c>
      <ns0:c r="D20" s="21" t="inlineStr">
        <ns0:is>
          <ns0:t>Monitoring/intervention</ns0:t>
        </ns0:is>
      </ns0:c>
      <ns0:c r="E20" s="21" t="inlineStr">
        <ns0:is>
          <ns0:t>Assistive support</ns0:t>
        </ns0:is>
      </ns0:c>
      <ns0:c r="F20" s="21" t="inlineStr">
        <ns0:is>
          <ns0:t>Evaluated AI-supported intervention</ns0:t>
        </ns0:is>
      </ns0:c>
      <ns0:c r="G20" s="21" t="inlineStr">
        <ns0:is>
          <ns0:t>Post-decision</ns0:t>
        </ns0:is>
      </ns0:c>
      <ns0:c r="H20" s="21" t="inlineStr">
        <ns0:is>
          <ns0:t>Prior source-specific extraction retained; no new full-text retrieval</ns0:t>
        </ns0:is>
      </ns0:c>
      <ns0:c r="I20" s="21" t="inlineStr">
        <ns0:is>
          <ns0:t>https://doi.org/10.1016/j.ijhcs.2025.103696</ns0:t>
        </ns0:is>
      </ns0:c>
      <ns0:c r="J20" s="21" t="inlineStr">
        <ns0:is>
          <ns0:t>Retained source-specific coding after review of the supplied extraction notes; not a new full-text retrieval. CARES is a human-centered AI trip planner tested with 14 autistic adults, designed to reduce information overload while preserving user decision autonomy. The paper demonstrates an assistive user-facing intervention, not a clinical diagnostic workflow. The exact algorithm family does not map cleanly to ML/DL and is therefore left Not specified.
Assistive travel-planning user evaluation, not clinical treatment efficacy.</ns0:t>
        </ns0:is>
      </ns0:c>
    </ns0:row>
    <ns0:row r="21" ht="75" customHeight="1">
      <ns0:c r="A21" s="19" t="inlineStr">
        <ns0:is>
          <ns0:t>new_298</ns0:t>
        </ns0:is>
      </ns0:c>
      <ns0:c r="B21" s="19" t="inlineStr">
        <ns0:is>
          <ns0:t>Effects of conversational AI-enhanced peer-mediated intervention by peers with intellectual disabilities on conversational skills in children with ASD</ns0:t>
        </ns0:is>
      </ns0:c>
      <ns0:c r="C21" s="19" t="inlineStr">
        <ns0:is>
          <ns0:t>10.1016/j.ridd.2026.105249</ns0:t>
        </ns0:is>
      </ns0:c>
      <ns0:c r="D21" s="19" t="inlineStr">
        <ns0:is>
          <ns0:t>Monitoring/intervention</ns0:t>
        </ns0:is>
      </ns0:c>
      <ns0:c r="E21" s="19" t="inlineStr">
        <ns0:is>
          <ns0:t>Adaptive intervention</ns0:t>
        </ns0:is>
      </ns0:c>
      <ns0:c r="F21" s="19" t="inlineStr">
        <ns0:is>
          <ns0:t>Evaluated AI-supported intervention</ns0:t>
        </ns0:is>
      </ns0:c>
      <ns0:c r="G21" s="19" t="inlineStr">
        <ns0:is>
          <ns0:t>Post-decision</ns0:t>
        </ns0:is>
      </ns0:c>
      <ns0:c r="H21" s="19" t="inlineStr">
        <ns0:is>
          <ns0:t>Prior source-specific extraction retained; no new full-text retrieval</ns0:t>
        </ns0:is>
      </ns0:c>
      <ns0:c r="I21" s="19" t="inlineStr">
        <ns0:is>
          <ns0:t>https://doi.org/10.1016/j.ridd.2026.105249</ns0:t>
        </ns0:is>
      </ns0:c>
      <ns0:c r="J21" s="19" t="inlineStr">
        <ns0:is>
          <ns0:t>Retained source-specific coding after review of the supplied extraction notes; not a new full-text retrieval. A multiple-probe/alternating-treatment intervention compares conversational-AI-enhanced peer mediation with peer-mediated instruction alone and reports gains in initiations, responses, lexical diversity and generalization. The underlying conversational model is not technically specified in the accessible material; the small single-case design limits generalizability despite real intervention deployment.</ns0:t>
        </ns0:is>
      </ns0:c>
    </ns0:row>
    <ns0:row r="22" ht="75" customHeight="1">
      <ns0:c r="A22" s="21" t="inlineStr">
        <ns0:is>
          <ns0:t>new_421</ns0:t>
        </ns0:is>
      </ns0:c>
      <ns0:c r="B22" s="21" t="inlineStr">
        <ns0:is>
          <ns0:t>Edge-Based Robot-Assisted Hand Gesture Recognition for Autism Intervention Using Hybrid Keyframe Selection and Contrastive Learning</ns0:t>
        </ns0:is>
      </ns0:c>
      <ns0:c r="C22" s="21" t="inlineStr">
        <ns0:is>
          <ns0:t>10.1109/tmrb.2026.3680976</ns0:t>
        </ns0:is>
      </ns0:c>
      <ns0:c r="D22" s="21" t="inlineStr">
        <ns0:is>
          <ns0:t>Monitoring/intervention</ns0:t>
        </ns0:is>
      </ns0:c>
      <ns0:c r="E22" s="21" t="inlineStr">
        <ns0:is>
          <ns0:t>Adaptive intervention</ns0:t>
        </ns0:is>
      </ns0:c>
      <ns0:c r="F22" s="21" t="inlineStr">
        <ns0:is>
          <ns0:t>Evaluated at point of use</ns0:t>
        </ns0:is>
      </ns0:c>
      <ns0:c r="G22" s="21" t="inlineStr">
        <ns0:is>
          <ns0:t>Post-decision</ns0:t>
        </ns0:is>
      </ns0:c>
      <ns0:c r="H22" s="21" t="inlineStr">
        <ns0:is>
          <ns0:t>Prior source-specific extraction retained; no new full-text retrieval</ns0:t>
        </ns0:is>
      </ns0:c>
      <ns0:c r="I22" s="21" t="inlineStr">
        <ns0:is>
          <ns0:t>https://doi.org/10.1109/tmrb.2026.3680976</ns0:t>
        </ns0:is>
      </ns0:c>
      <ns0:c r="J22" s="21" t="inlineStr">
        <ns0:is>
          <ns0:t>Retained source-specific coding after review of the supplied extraction notes; not a new full-text retrieval. CARAT uses MediaPipe landmarks, hybrid keyframe selection, 1D convolution and contrastive learning for real-time gesture recognition/correction; data were collected with healthy and autistic children and ASD recognition accuracy is reported at 96.42%. The study validates gesture-recognition performance, not therapeutic efficacy or durable social-skill improvement. Therefore the system is intervention-oriented but not coded as confirmed clinical intervention effectiveness.
Real-time robot prototype tested with ASD participants; point-of-use technical evaluation, not established treatment efficacy.</ns0:t>
        </ns0:is>
      </ns0:c>
    </ns0:row>
    <ns0:row r="23" ht="75" customHeight="1">
      <ns0:c r="A23" s="19" t="inlineStr">
        <ns0:is>
          <ns0:t>new_423</ns0:t>
        </ns0:is>
      </ns0:c>
      <ns0:c r="B23" s="19" t="inlineStr">
        <ns0:is>
          <ns0:t>Toward a Smartwatch-Based System for Automated Social Interaction Monitoring in Autism</ns0:t>
        </ns0:is>
      </ns0:c>
      <ns0:c r="C23" s="19" t="inlineStr">
        <ns0:is>
          <ns0:t>10.1109/access.2026.3674057</ns0:t>
        </ns0:is>
      </ns0:c>
      <ns0:c r="D23" s="19" t="inlineStr">
        <ns0:is>
          <ns0:t>Monitoring/intervention</ns0:t>
        </ns0:is>
      </ns0:c>
      <ns0:c r="E23" s="19" t="inlineStr">
        <ns0:is>
          <ns0:t>Monitoring/longitudinal analysis</ns0:t>
        </ns0:is>
      </ns0:c>
      <ns0:c r="F23" s="19" t="inlineStr">
        <ns0:is>
          <ns0:t>Evaluated at point of use</ns0:t>
        </ns0:is>
      </ns0:c>
      <ns0:c r="G23" s="19" t="inlineStr">
        <ns0:is>
          <ns0:t>Post-decision</ns0:t>
        </ns0:is>
      </ns0:c>
      <ns0:c r="H23" s="19" t="inlineStr">
        <ns0:is>
          <ns0:t>Prior source-specific extraction retained; no new full-text retrieval</ns0:t>
        </ns0:is>
      </ns0:c>
      <ns0:c r="I23" s="19" t="inlineStr">
        <ns0:is>
          <ns0:t>https://doi.org/10.1109/access.2026.3674057</ns0:t>
        </ns0:is>
      </ns0:c>
      <ns0:c r="J23" s="19" t="inlineStr">
        <ns0:is>
          <ns0:t>Retained source-specific coding after review of the supplied extraction notes; not a new full-text retrieval. A smartwatch/cloud system combines deep-learning speaker diarization with heart-rate data; it was tested with formally diagnosed ASD participants and in naturalistic social-interaction recordings, supporting an actual monitoring workflow. Sample sizes are small and staged, and the work evaluates measurement/diarization rather than downstream clinical outcomes. Generalization across acoustic contexts, ages, devices and sites remains unproven.</ns0:t>
        </ns0:is>
      </ns0:c>
    </ns0:row>
  </ns0:sheetData>
  <ns0:autoFilter ref="A4:J23"/>
  <ns0:mergeCells count="2">
    <ns0:mergeCell ref="A1:J1"/>
    <ns0:mergeCell ref="A2:J2"/>
  </ns0:mergeCells>
  <ns0:printOptions horizontalCentered="1"/>
  <ns0:pageMargins left="0.75" right="0.75" top="1" bottom="1" header="0.5" footer="0.5"/>
  <ns0:pageSetup orientation="landscape" paperSize="8" fitToHeight="0" fitToWidth="1"/>
</ns0:worksheet>
</file>

<file path=xl/worksheets/sheet9.xml><?xml version="1.0" encoding="utf-8"?>
<ns0:worksheet xmlns:ns0="http://schemas.openxmlformats.org/spreadsheetml/2006/main">
  <ns0:sheetPr>
    <ns0:tabColor rgb="00177E89"/>
    <ns0:outlinePr summaryBelow="1" summaryRight="0"/>
    <ns0:pageSetUpPr fitToPage="1"/>
  </ns0:sheetPr>
  <ns0:dimension ref="A1:I53"/>
  <ns0:sheetViews>
    <ns0:sheetView showGridLines="0" workbookViewId="0">
      <ns0:pane xSplit="2" ySplit="4" topLeftCell="C5" activePane="bottomRight" state="frozen"/>
      <ns0:selection pane="topRight"/>
      <ns0:selection pane="bottomLeft"/>
      <ns0:selection pane="bottomRight" activeCell="A1" sqref="A1"/>
    </ns0:sheetView>
  </ns0:sheetViews>
  <ns0:sheetFormatPr baseColWidth="8" defaultRowHeight="15"/>
  <ns0:cols>
    <ns0:col width="29" customWidth="1" min="1" max="1"/>
    <ns0:col width="43" customWidth="1" min="2" max="2"/>
    <ns0:col hidden="1" width="27" customWidth="1" min="3" max="3"/>
    <ns0:col width="24" customWidth="1" min="4" max="4"/>
    <ns0:col width="24" customWidth="1" min="5" max="5"/>
    <ns0:col width="24" customWidth="1" min="6" max="6"/>
    <ns0:col width="24" customWidth="1" min="7" max="7"/>
    <ns0:col width="21" customWidth="1" min="8" max="8"/>
    <ns0:col width="27" customWidth="1" min="9" max="9"/>
  </ns0:cols>
  <ns0:sheetData>
    <ns0:row r="1" ht="36" customHeight="1">
      <ns0:c r="A1" s="16" t="inlineStr">
        <ns0:is>
          <ns0:t>RQ3 | Practicas reportadas</ns0:t>
        </ns0:is>
      </ns0:c>
    </ns0:row>
    <ns0:row r="2" ht="32" customHeight="1">
      <ns0:c r="A2" s="17" t="inlineStr">
        <ns0:is>
          <ns0:t>Not reported se refiere al material evaluado, no a ausencia real. Multisite data y cross-site evaluation son variables distintas. XAI amplio y estricto no se suman.</ns0:t>
        </ns0:is>
      </ns0:c>
    </ns0:row>
    <ns0:row r="4" ht="34" customHeight="1">
      <ns0:c r="A4" s="18" t="inlineStr">
        <ns0:is>
          <ns0:t>stratum</ns0:t>
        </ns0:is>
      </ns0:c>
      <ns0:c r="B4" s="18" t="inlineStr">
        <ns0:is>
          <ns0:t>practice</ns0:t>
        </ns0:is>
      </ns0:c>
      <ns0:c r="C4" s="18" t="inlineStr">
        <ns0:is>
          <ns0:t>field</ns0:t>
        </ns0:is>
      </ns0:c>
      <ns0:c r="D4" s="18" t="inlineStr">
        <ns0:is>
          <ns0:t>reported</ns0:t>
        </ns0:is>
      </ns0:c>
      <ns0:c r="E4" s="18" t="inlineStr">
        <ns0:is>
          <ns0:t>not_reported</ns0:t>
        </ns0:is>
      </ns0:c>
      <ns0:c r="F4" s="18" t="inlineStr">
        <ns0:is>
          <ns0:t>not_ascertainable</ns0:t>
        </ns0:is>
      </ns0:c>
      <ns0:c r="G4" s="18" t="inlineStr">
        <ns0:is>
          <ns0:t>denominator</ns0:t>
        </ns0:is>
      </ns0:c>
      <ns0:c r="H4" s="18" t="inlineStr">
        <ns0:is>
          <ns0:t>reported_fraction</ns0:t>
        </ns0:is>
      </ns0:c>
      <ns0:c r="I4" s="18" t="inlineStr">
        <ns0:is>
          <ns0:t>fraction_excluding_unknown</ns0:t>
        </ns0:is>
      </ns0:c>
    </ns0:row>
    <ns0:row r="5" ht="32" customHeight="1">
      <ns0:c r="A5" s="19" t="inlineStr">
        <ns0:is>
          <ns0:t>All included</ns0:t>
        </ns0:is>
      </ns0:c>
      <ns0:c r="B5" s="19" t="inlineStr">
        <ns0:is>
          <ns0:t>External validation</ns0:t>
        </ns0:is>
      </ns0:c>
      <ns0:c r="C5" s="19" t="inlineStr">
        <ns0:is>
          <ns0:t>external_validation</ns0:t>
        </ns0:is>
      </ns0:c>
      <ns0:c r="D5" s="27">
        <ns0:f>COUNTIFS('BASE_CIERRE'!$G$5:$G$458,1,'BASE_CIERRE'!$Q$5:$Q$458,"Reported")</ns0:f>
        <ns0:v>24</ns0:v>
      </ns0:c>
      <ns0:c r="E5" s="27">
        <ns0:f>COUNTIFS('BASE_CIERRE'!$G$5:$G$458,1,'BASE_CIERRE'!$Q$5:$Q$458,"Not reported in assessed sources")</ns0:f>
        <ns0:v>397</ns0:v>
      </ns0:c>
      <ns0:c r="F5" s="27">
        <ns0:f>COUNTIFS('BASE_CIERRE'!$G$5:$G$458,1,'BASE_CIERRE'!$Q$5:$Q$458,"Not ascertainable")</ns0:f>
        <ns0:v>7</ns0:v>
      </ns0:c>
      <ns0:c r="G5" s="27">
        <ns0:f>SUM(D5:F5)</ns0:f>
        <ns0:v>428</ns0:v>
      </ns0:c>
      <ns0:c r="H5" s="31">
        <ns0:f>IFERROR(D5/G5,0)</ns0:f>
        <ns0:v>0.056074766355140186</ns0:v>
      </ns0:c>
      <ns0:c r="I5" s="31">
        <ns0:f>IFERROR(D5/(G5-F5),0)</ns0:f>
        <ns0:v>0.057007125890736345</ns0:v>
      </ns0:c>
    </ns0:row>
    <ns0:row r="6" ht="32" customHeight="1">
      <ns0:c r="A6" s="21" t="inlineStr">
        <ns0:is>
          <ns0:t>Prescreening</ns0:t>
        </ns0:is>
      </ns0:c>
      <ns0:c r="B6" s="21" t="inlineStr">
        <ns0:is>
          <ns0:t>External validation</ns0:t>
        </ns0:is>
      </ns0:c>
      <ns0:c r="C6" s="21" t="inlineStr">
        <ns0:is>
          <ns0:t>external_validation</ns0:t>
        </ns0:is>
      </ns0:c>
      <ns0:c r="D6" s="29">
        <ns0:f>COUNTIFS('BASE_CIERRE'!$G$5:$G$458,1,'BASE_CIERRE'!$H$5:$H$458,"Prescreening",'BASE_CIERRE'!$Q$5:$Q$458,"Reported")</ns0:f>
        <ns0:v>0</ns0:v>
      </ns0:c>
      <ns0:c r="E6" s="29">
        <ns0:f>COUNTIFS('BASE_CIERRE'!$G$5:$G$458,1,'BASE_CIERRE'!$H$5:$H$458,"Prescreening",'BASE_CIERRE'!$Q$5:$Q$458,"Not reported in assessed sources")</ns0:f>
        <ns0:v>8</ns0:v>
      </ns0:c>
      <ns0:c r="F6" s="29">
        <ns0:f>COUNTIFS('BASE_CIERRE'!$G$5:$G$458,1,'BASE_CIERRE'!$H$5:$H$458,"Prescreening",'BASE_CIERRE'!$Q$5:$Q$458,"Not ascertainable")</ns0:f>
        <ns0:v>0</ns0:v>
      </ns0:c>
      <ns0:c r="G6" s="29">
        <ns0:f>SUM(D6:F6)</ns0:f>
        <ns0:v>8</ns0:v>
      </ns0:c>
      <ns0:c r="H6" s="32">
        <ns0:f>IFERROR(D6/G6,0)</ns0:f>
        <ns0:v>0</ns0:v>
      </ns0:c>
      <ns0:c r="I6" s="32">
        <ns0:f>IFERROR(D6/(G6-F6),0)</ns0:f>
        <ns0:v>0</ns0:v>
      </ns0:c>
    </ns0:row>
    <ns0:row r="7" ht="32" customHeight="1">
      <ns0:c r="A7" s="19" t="inlineStr">
        <ns0:is>
          <ns0:t>Screening</ns0:t>
        </ns0:is>
      </ns0:c>
      <ns0:c r="B7" s="19" t="inlineStr">
        <ns0:is>
          <ns0:t>External validation</ns0:t>
        </ns0:is>
      </ns0:c>
      <ns0:c r="C7" s="19" t="inlineStr">
        <ns0:is>
          <ns0:t>external_validation</ns0:t>
        </ns0:is>
      </ns0:c>
      <ns0:c r="D7" s="27">
        <ns0:f>COUNTIFS('BASE_CIERRE'!$G$5:$G$458,1,'BASE_CIERRE'!$H$5:$H$458,"Screening",'BASE_CIERRE'!$Q$5:$Q$458,"Reported")</ns0:f>
        <ns0:v>6</ns0:v>
      </ns0:c>
      <ns0:c r="E7" s="27">
        <ns0:f>COUNTIFS('BASE_CIERRE'!$G$5:$G$458,1,'BASE_CIERRE'!$H$5:$H$458,"Screening",'BASE_CIERRE'!$Q$5:$Q$458,"Not reported in assessed sources")</ns0:f>
        <ns0:v>106</ns0:v>
      </ns0:c>
      <ns0:c r="F7" s="27">
        <ns0:f>COUNTIFS('BASE_CIERRE'!$G$5:$G$458,1,'BASE_CIERRE'!$H$5:$H$458,"Screening",'BASE_CIERRE'!$Q$5:$Q$458,"Not ascertainable")</ns0:f>
        <ns0:v>1</ns0:v>
      </ns0:c>
      <ns0:c r="G7" s="27">
        <ns0:f>SUM(D7:F7)</ns0:f>
        <ns0:v>113</ns0:v>
      </ns0:c>
      <ns0:c r="H7" s="31">
        <ns0:f>IFERROR(D7/G7,0)</ns0:f>
        <ns0:v>0.05309734513274336</ns0:v>
      </ns0:c>
      <ns0:c r="I7" s="31">
        <ns0:f>IFERROR(D7/(G7-F7),0)</ns0:f>
        <ns0:v>0.05357142857142857</ns0:v>
      </ns0:c>
    </ns0:row>
    <ns0:row r="8" ht="32" customHeight="1">
      <ns0:c r="A8" s="21" t="inlineStr">
        <ns0:is>
          <ns0:t>Diagnosis</ns0:t>
        </ns0:is>
      </ns0:c>
      <ns0:c r="B8" s="21" t="inlineStr">
        <ns0:is>
          <ns0:t>External validation</ns0:t>
        </ns0:is>
      </ns0:c>
      <ns0:c r="C8" s="21" t="inlineStr">
        <ns0:is>
          <ns0:t>external_validation</ns0:t>
        </ns0:is>
      </ns0:c>
      <ns0:c r="D8" s="29">
        <ns0:f>COUNTIFS('BASE_CIERRE'!$G$5:$G$458,1,'BASE_CIERRE'!$H$5:$H$458,"Diagnosis",'BASE_CIERRE'!$Q$5:$Q$458,"Reported")</ns0:f>
        <ns0:v>15</ns0:v>
      </ns0:c>
      <ns0:c r="E8" s="29">
        <ns0:f>COUNTIFS('BASE_CIERRE'!$G$5:$G$458,1,'BASE_CIERRE'!$H$5:$H$458,"Diagnosis",'BASE_CIERRE'!$Q$5:$Q$458,"Not reported in assessed sources")</ns0:f>
        <ns0:v>197</ns0:v>
      </ns0:c>
      <ns0:c r="F8" s="29">
        <ns0:f>COUNTIFS('BASE_CIERRE'!$G$5:$G$458,1,'BASE_CIERRE'!$H$5:$H$458,"Diagnosis",'BASE_CIERRE'!$Q$5:$Q$458,"Not ascertainable")</ns0:f>
        <ns0:v>4</ns0:v>
      </ns0:c>
      <ns0:c r="G8" s="29">
        <ns0:f>SUM(D8:F8)</ns0:f>
        <ns0:v>216</ns0:v>
      </ns0:c>
      <ns0:c r="H8" s="32">
        <ns0:f>IFERROR(D8/G8,0)</ns0:f>
        <ns0:v>0.06944444444444445</ns0:v>
      </ns0:c>
      <ns0:c r="I8" s="32">
        <ns0:f>IFERROR(D8/(G8-F8),0)</ns0:f>
        <ns0:v>0.07075471698113207</ns0:v>
      </ns0:c>
    </ns0:row>
    <ns0:row r="9" ht="32" customHeight="1">
      <ns0:c r="A9" s="19" t="inlineStr">
        <ns0:is>
          <ns0:t>Prognosis</ns0:t>
        </ns0:is>
      </ns0:c>
      <ns0:c r="B9" s="19" t="inlineStr">
        <ns0:is>
          <ns0:t>External validation</ns0:t>
        </ns0:is>
      </ns0:c>
      <ns0:c r="C9" s="19" t="inlineStr">
        <ns0:is>
          <ns0:t>external_validation</ns0:t>
        </ns0:is>
      </ns0:c>
      <ns0:c r="D9" s="27">
        <ns0:f>COUNTIFS('BASE_CIERRE'!$G$5:$G$458,1,'BASE_CIERRE'!$H$5:$H$458,"Prognosis",'BASE_CIERRE'!$Q$5:$Q$458,"Reported")</ns0:f>
        <ns0:v>0</ns0:v>
      </ns0:c>
      <ns0:c r="E9" s="27">
        <ns0:f>COUNTIFS('BASE_CIERRE'!$G$5:$G$458,1,'BASE_CIERRE'!$H$5:$H$458,"Prognosis",'BASE_CIERRE'!$Q$5:$Q$458,"Not reported in assessed sources")</ns0:f>
        <ns0:v>22</ns0:v>
      </ns0:c>
      <ns0:c r="F9" s="27">
        <ns0:f>COUNTIFS('BASE_CIERRE'!$G$5:$G$458,1,'BASE_CIERRE'!$H$5:$H$458,"Prognosis",'BASE_CIERRE'!$Q$5:$Q$458,"Not ascertainable")</ns0:f>
        <ns0:v>0</ns0:v>
      </ns0:c>
      <ns0:c r="G9" s="27">
        <ns0:f>SUM(D9:F9)</ns0:f>
        <ns0:v>22</ns0:v>
      </ns0:c>
      <ns0:c r="H9" s="31">
        <ns0:f>IFERROR(D9/G9,0)</ns0:f>
        <ns0:v>0</ns0:v>
      </ns0:c>
      <ns0:c r="I9" s="31">
        <ns0:f>IFERROR(D9/(G9-F9),0)</ns0:f>
        <ns0:v>0</ns0:v>
      </ns0:c>
    </ns0:row>
    <ns0:row r="10" ht="32" customHeight="1">
      <ns0:c r="A10" s="21" t="inlineStr">
        <ns0:is>
          <ns0:t>Monitoring/intervention</ns0:t>
        </ns0:is>
      </ns0:c>
      <ns0:c r="B10" s="21" t="inlineStr">
        <ns0:is>
          <ns0:t>External validation</ns0:t>
        </ns0:is>
      </ns0:c>
      <ns0:c r="C10" s="21" t="inlineStr">
        <ns0:is>
          <ns0:t>external_validation</ns0:t>
        </ns0:is>
      </ns0:c>
      <ns0:c r="D10" s="29">
        <ns0:f>COUNTIFS('BASE_CIERRE'!$G$5:$G$458,1,'BASE_CIERRE'!$H$5:$H$458,"Monitoring/intervention",'BASE_CIERRE'!$Q$5:$Q$458,"Reported")</ns0:f>
        <ns0:v>0</ns0:v>
      </ns0:c>
      <ns0:c r="E10" s="29">
        <ns0:f>COUNTIFS('BASE_CIERRE'!$G$5:$G$458,1,'BASE_CIERRE'!$H$5:$H$458,"Monitoring/intervention",'BASE_CIERRE'!$Q$5:$Q$458,"Not reported in assessed sources")</ns0:f>
        <ns0:v>38</ns0:v>
      </ns0:c>
      <ns0:c r="F10" s="29">
        <ns0:f>COUNTIFS('BASE_CIERRE'!$G$5:$G$458,1,'BASE_CIERRE'!$H$5:$H$458,"Monitoring/intervention",'BASE_CIERRE'!$Q$5:$Q$458,"Not ascertainable")</ns0:f>
        <ns0:v>0</ns0:v>
      </ns0:c>
      <ns0:c r="G10" s="29">
        <ns0:f>SUM(D10:F10)</ns0:f>
        <ns0:v>38</ns0:v>
      </ns0:c>
      <ns0:c r="H10" s="32">
        <ns0:f>IFERROR(D10/G10,0)</ns0:f>
        <ns0:v>0</ns0:v>
      </ns0:c>
      <ns0:c r="I10" s="32">
        <ns0:f>IFERROR(D10/(G10-F10),0)</ns0:f>
        <ns0:v>0</ns0:v>
      </ns0:c>
    </ns0:row>
    <ns0:row r="11" ht="32" customHeight="1">
      <ns0:c r="A11" s="19" t="inlineStr">
        <ns0:is>
          <ns0:t>Not specified</ns0:t>
        </ns0:is>
      </ns0:c>
      <ns0:c r="B11" s="19" t="inlineStr">
        <ns0:is>
          <ns0:t>External validation</ns0:t>
        </ns0:is>
      </ns0:c>
      <ns0:c r="C11" s="19" t="inlineStr">
        <ns0:is>
          <ns0:t>external_validation</ns0:t>
        </ns0:is>
      </ns0:c>
      <ns0:c r="D11" s="27">
        <ns0:f>COUNTIFS('BASE_CIERRE'!$G$5:$G$458,1,'BASE_CIERRE'!$H$5:$H$458,"Not specified",'BASE_CIERRE'!$Q$5:$Q$458,"Reported")</ns0:f>
        <ns0:v>3</ns0:v>
      </ns0:c>
      <ns0:c r="E11" s="27">
        <ns0:f>COUNTIFS('BASE_CIERRE'!$G$5:$G$458,1,'BASE_CIERRE'!$H$5:$H$458,"Not specified",'BASE_CIERRE'!$Q$5:$Q$458,"Not reported in assessed sources")</ns0:f>
        <ns0:v>26</ns0:v>
      </ns0:c>
      <ns0:c r="F11" s="27">
        <ns0:f>COUNTIFS('BASE_CIERRE'!$G$5:$G$458,1,'BASE_CIERRE'!$H$5:$H$458,"Not specified",'BASE_CIERRE'!$Q$5:$Q$458,"Not ascertainable")</ns0:f>
        <ns0:v>2</ns0:v>
      </ns0:c>
      <ns0:c r="G11" s="27">
        <ns0:f>SUM(D11:F11)</ns0:f>
        <ns0:v>31</ns0:v>
      </ns0:c>
      <ns0:c r="H11" s="31">
        <ns0:f>IFERROR(D11/G11,0)</ns0:f>
        <ns0:v>0.0967741935483871</ns0:v>
      </ns0:c>
      <ns0:c r="I11" s="31">
        <ns0:f>IFERROR(D11/(G11-F11),0)</ns0:f>
        <ns0:v>0.10344827586206896</ns0:v>
      </ns0:c>
    </ns0:row>
    <ns0:row r="12" ht="32" customHeight="1">
      <ns0:c r="A12" s="21" t="inlineStr">
        <ns0:is>
          <ns0:t>All included</ns0:t>
        </ns0:is>
      </ns0:c>
      <ns0:c r="B12" s="21" t="inlineStr">
        <ns0:is>
          <ns0:t>Multisource integration</ns0:t>
        </ns0:is>
      </ns0:c>
      <ns0:c r="C12" s="21" t="inlineStr">
        <ns0:is>
          <ns0:t>multisource_integration</ns0:t>
        </ns0:is>
      </ns0:c>
      <ns0:c r="D12" s="29">
        <ns0:f>COUNTIFS('BASE_CIERRE'!$G$5:$G$458,1,'BASE_CIERRE'!$R$5:$R$458,"Reported")</ns0:f>
        <ns0:v>77</ns0:v>
      </ns0:c>
      <ns0:c r="E12" s="29">
        <ns0:f>COUNTIFS('BASE_CIERRE'!$G$5:$G$458,1,'BASE_CIERRE'!$R$5:$R$458,"Not reported in assessed sources")</ns0:f>
        <ns0:v>335</ns0:v>
      </ns0:c>
      <ns0:c r="F12" s="29">
        <ns0:f>COUNTIFS('BASE_CIERRE'!$G$5:$G$458,1,'BASE_CIERRE'!$R$5:$R$458,"Not ascertainable")</ns0:f>
        <ns0:v>16</ns0:v>
      </ns0:c>
      <ns0:c r="G12" s="29">
        <ns0:f>SUM(D12:F12)</ns0:f>
        <ns0:v>428</ns0:v>
      </ns0:c>
      <ns0:c r="H12" s="32">
        <ns0:f>IFERROR(D12/G12,0)</ns0:f>
        <ns0:v>0.17990654205607476</ns0:v>
      </ns0:c>
      <ns0:c r="I12" s="32">
        <ns0:f>IFERROR(D12/(G12-F12),0)</ns0:f>
        <ns0:v>0.18689320388349515</ns0:v>
      </ns0:c>
    </ns0:row>
    <ns0:row r="13" ht="32" customHeight="1">
      <ns0:c r="A13" s="19" t="inlineStr">
        <ns0:is>
          <ns0:t>Prescreening</ns0:t>
        </ns0:is>
      </ns0:c>
      <ns0:c r="B13" s="19" t="inlineStr">
        <ns0:is>
          <ns0:t>Multisource integration</ns0:t>
        </ns0:is>
      </ns0:c>
      <ns0:c r="C13" s="19" t="inlineStr">
        <ns0:is>
          <ns0:t>multisource_integration</ns0:t>
        </ns0:is>
      </ns0:c>
      <ns0:c r="D13" s="27">
        <ns0:f>COUNTIFS('BASE_CIERRE'!$G$5:$G$458,1,'BASE_CIERRE'!$H$5:$H$458,"Prescreening",'BASE_CIERRE'!$R$5:$R$458,"Reported")</ns0:f>
        <ns0:v>1</ns0:v>
      </ns0:c>
      <ns0:c r="E13" s="27">
        <ns0:f>COUNTIFS('BASE_CIERRE'!$G$5:$G$458,1,'BASE_CIERRE'!$H$5:$H$458,"Prescreening",'BASE_CIERRE'!$R$5:$R$458,"Not reported in assessed sources")</ns0:f>
        <ns0:v>6</ns0:v>
      </ns0:c>
      <ns0:c r="F13" s="27">
        <ns0:f>COUNTIFS('BASE_CIERRE'!$G$5:$G$458,1,'BASE_CIERRE'!$H$5:$H$458,"Prescreening",'BASE_CIERRE'!$R$5:$R$458,"Not ascertainable")</ns0:f>
        <ns0:v>1</ns0:v>
      </ns0:c>
      <ns0:c r="G13" s="27">
        <ns0:f>SUM(D13:F13)</ns0:f>
        <ns0:v>8</ns0:v>
      </ns0:c>
      <ns0:c r="H13" s="31">
        <ns0:f>IFERROR(D13/G13,0)</ns0:f>
        <ns0:v>0.125</ns0:v>
      </ns0:c>
      <ns0:c r="I13" s="31">
        <ns0:f>IFERROR(D13/(G13-F13),0)</ns0:f>
        <ns0:v>0.14285714285714285</ns0:v>
      </ns0:c>
    </ns0:row>
    <ns0:row r="14" ht="32" customHeight="1">
      <ns0:c r="A14" s="21" t="inlineStr">
        <ns0:is>
          <ns0:t>Screening</ns0:t>
        </ns0:is>
      </ns0:c>
      <ns0:c r="B14" s="21" t="inlineStr">
        <ns0:is>
          <ns0:t>Multisource integration</ns0:t>
        </ns0:is>
      </ns0:c>
      <ns0:c r="C14" s="21" t="inlineStr">
        <ns0:is>
          <ns0:t>multisource_integration</ns0:t>
        </ns0:is>
      </ns0:c>
      <ns0:c r="D14" s="29">
        <ns0:f>COUNTIFS('BASE_CIERRE'!$G$5:$G$458,1,'BASE_CIERRE'!$H$5:$H$458,"Screening",'BASE_CIERRE'!$R$5:$R$458,"Reported")</ns0:f>
        <ns0:v>15</ns0:v>
      </ns0:c>
      <ns0:c r="E14" s="29">
        <ns0:f>COUNTIFS('BASE_CIERRE'!$G$5:$G$458,1,'BASE_CIERRE'!$H$5:$H$458,"Screening",'BASE_CIERRE'!$R$5:$R$458,"Not reported in assessed sources")</ns0:f>
        <ns0:v>92</ns0:v>
      </ns0:c>
      <ns0:c r="F14" s="29">
        <ns0:f>COUNTIFS('BASE_CIERRE'!$G$5:$G$458,1,'BASE_CIERRE'!$H$5:$H$458,"Screening",'BASE_CIERRE'!$R$5:$R$458,"Not ascertainable")</ns0:f>
        <ns0:v>6</ns0:v>
      </ns0:c>
      <ns0:c r="G14" s="29">
        <ns0:f>SUM(D14:F14)</ns0:f>
        <ns0:v>113</ns0:v>
      </ns0:c>
      <ns0:c r="H14" s="32">
        <ns0:f>IFERROR(D14/G14,0)</ns0:f>
        <ns0:v>0.13274336283185842</ns0:v>
      </ns0:c>
      <ns0:c r="I14" s="32">
        <ns0:f>IFERROR(D14/(G14-F14),0)</ns0:f>
        <ns0:v>0.14018691588785046</ns0:v>
      </ns0:c>
    </ns0:row>
    <ns0:row r="15" ht="32" customHeight="1">
      <ns0:c r="A15" s="19" t="inlineStr">
        <ns0:is>
          <ns0:t>Diagnosis</ns0:t>
        </ns0:is>
      </ns0:c>
      <ns0:c r="B15" s="19" t="inlineStr">
        <ns0:is>
          <ns0:t>Multisource integration</ns0:t>
        </ns0:is>
      </ns0:c>
      <ns0:c r="C15" s="19" t="inlineStr">
        <ns0:is>
          <ns0:t>multisource_integration</ns0:t>
        </ns0:is>
      </ns0:c>
      <ns0:c r="D15" s="27">
        <ns0:f>COUNTIFS('BASE_CIERRE'!$G$5:$G$458,1,'BASE_CIERRE'!$H$5:$H$458,"Diagnosis",'BASE_CIERRE'!$R$5:$R$458,"Reported")</ns0:f>
        <ns0:v>37</ns0:v>
      </ns0:c>
      <ns0:c r="E15" s="27">
        <ns0:f>COUNTIFS('BASE_CIERRE'!$G$5:$G$458,1,'BASE_CIERRE'!$H$5:$H$458,"Diagnosis",'BASE_CIERRE'!$R$5:$R$458,"Not reported in assessed sources")</ns0:f>
        <ns0:v>174</ns0:v>
      </ns0:c>
      <ns0:c r="F15" s="27">
        <ns0:f>COUNTIFS('BASE_CIERRE'!$G$5:$G$458,1,'BASE_CIERRE'!$H$5:$H$458,"Diagnosis",'BASE_CIERRE'!$R$5:$R$458,"Not ascertainable")</ns0:f>
        <ns0:v>5</ns0:v>
      </ns0:c>
      <ns0:c r="G15" s="27">
        <ns0:f>SUM(D15:F15)</ns0:f>
        <ns0:v>216</ns0:v>
      </ns0:c>
      <ns0:c r="H15" s="31">
        <ns0:f>IFERROR(D15/G15,0)</ns0:f>
        <ns0:v>0.1712962962962963</ns0:v>
      </ns0:c>
      <ns0:c r="I15" s="31">
        <ns0:f>IFERROR(D15/(G15-F15),0)</ns0:f>
        <ns0:v>0.17535545023696683</ns0:v>
      </ns0:c>
    </ns0:row>
    <ns0:row r="16" ht="32" customHeight="1">
      <ns0:c r="A16" s="21" t="inlineStr">
        <ns0:is>
          <ns0:t>Prognosis</ns0:t>
        </ns0:is>
      </ns0:c>
      <ns0:c r="B16" s="21" t="inlineStr">
        <ns0:is>
          <ns0:t>Multisource integration</ns0:t>
        </ns0:is>
      </ns0:c>
      <ns0:c r="C16" s="21" t="inlineStr">
        <ns0:is>
          <ns0:t>multisource_integration</ns0:t>
        </ns0:is>
      </ns0:c>
      <ns0:c r="D16" s="29">
        <ns0:f>COUNTIFS('BASE_CIERRE'!$G$5:$G$458,1,'BASE_CIERRE'!$H$5:$H$458,"Prognosis",'BASE_CIERRE'!$R$5:$R$458,"Reported")</ns0:f>
        <ns0:v>10</ns0:v>
      </ns0:c>
      <ns0:c r="E16" s="29">
        <ns0:f>COUNTIFS('BASE_CIERRE'!$G$5:$G$458,1,'BASE_CIERRE'!$H$5:$H$458,"Prognosis",'BASE_CIERRE'!$R$5:$R$458,"Not reported in assessed sources")</ns0:f>
        <ns0:v>12</ns0:v>
      </ns0:c>
      <ns0:c r="F16" s="29">
        <ns0:f>COUNTIFS('BASE_CIERRE'!$G$5:$G$458,1,'BASE_CIERRE'!$H$5:$H$458,"Prognosis",'BASE_CIERRE'!$R$5:$R$458,"Not ascertainable")</ns0:f>
        <ns0:v>0</ns0:v>
      </ns0:c>
      <ns0:c r="G16" s="29">
        <ns0:f>SUM(D16:F16)</ns0:f>
        <ns0:v>22</ns0:v>
      </ns0:c>
      <ns0:c r="H16" s="32">
        <ns0:f>IFERROR(D16/G16,0)</ns0:f>
        <ns0:v>0.45454545454545453</ns0:v>
      </ns0:c>
      <ns0:c r="I16" s="32">
        <ns0:f>IFERROR(D16/(G16-F16),0)</ns0:f>
        <ns0:v>0.45454545454545453</ns0:v>
      </ns0:c>
    </ns0:row>
    <ns0:row r="17" ht="32" customHeight="1">
      <ns0:c r="A17" s="19" t="inlineStr">
        <ns0:is>
          <ns0:t>Monitoring/intervention</ns0:t>
        </ns0:is>
      </ns0:c>
      <ns0:c r="B17" s="19" t="inlineStr">
        <ns0:is>
          <ns0:t>Multisource integration</ns0:t>
        </ns0:is>
      </ns0:c>
      <ns0:c r="C17" s="19" t="inlineStr">
        <ns0:is>
          <ns0:t>multisource_integration</ns0:t>
        </ns0:is>
      </ns0:c>
      <ns0:c r="D17" s="27">
        <ns0:f>COUNTIFS('BASE_CIERRE'!$G$5:$G$458,1,'BASE_CIERRE'!$H$5:$H$458,"Monitoring/intervention",'BASE_CIERRE'!$R$5:$R$458,"Reported")</ns0:f>
        <ns0:v>8</ns0:v>
      </ns0:c>
      <ns0:c r="E17" s="27">
        <ns0:f>COUNTIFS('BASE_CIERRE'!$G$5:$G$458,1,'BASE_CIERRE'!$H$5:$H$458,"Monitoring/intervention",'BASE_CIERRE'!$R$5:$R$458,"Not reported in assessed sources")</ns0:f>
        <ns0:v>27</ns0:v>
      </ns0:c>
      <ns0:c r="F17" s="27">
        <ns0:f>COUNTIFS('BASE_CIERRE'!$G$5:$G$458,1,'BASE_CIERRE'!$H$5:$H$458,"Monitoring/intervention",'BASE_CIERRE'!$R$5:$R$458,"Not ascertainable")</ns0:f>
        <ns0:v>3</ns0:v>
      </ns0:c>
      <ns0:c r="G17" s="27">
        <ns0:f>SUM(D17:F17)</ns0:f>
        <ns0:v>38</ns0:v>
      </ns0:c>
      <ns0:c r="H17" s="31">
        <ns0:f>IFERROR(D17/G17,0)</ns0:f>
        <ns0:v>0.21052631578947367</ns0:v>
      </ns0:c>
      <ns0:c r="I17" s="31">
        <ns0:f>IFERROR(D17/(G17-F17),0)</ns0:f>
        <ns0:v>0.22857142857142856</ns0:v>
      </ns0:c>
    </ns0:row>
    <ns0:row r="18" ht="32" customHeight="1">
      <ns0:c r="A18" s="21" t="inlineStr">
        <ns0:is>
          <ns0:t>Not specified</ns0:t>
        </ns0:is>
      </ns0:c>
      <ns0:c r="B18" s="21" t="inlineStr">
        <ns0:is>
          <ns0:t>Multisource integration</ns0:t>
        </ns0:is>
      </ns0:c>
      <ns0:c r="C18" s="21" t="inlineStr">
        <ns0:is>
          <ns0:t>multisource_integration</ns0:t>
        </ns0:is>
      </ns0:c>
      <ns0:c r="D18" s="29">
        <ns0:f>COUNTIFS('BASE_CIERRE'!$G$5:$G$458,1,'BASE_CIERRE'!$H$5:$H$458,"Not specified",'BASE_CIERRE'!$R$5:$R$458,"Reported")</ns0:f>
        <ns0:v>6</ns0:v>
      </ns0:c>
      <ns0:c r="E18" s="29">
        <ns0:f>COUNTIFS('BASE_CIERRE'!$G$5:$G$458,1,'BASE_CIERRE'!$H$5:$H$458,"Not specified",'BASE_CIERRE'!$R$5:$R$458,"Not reported in assessed sources")</ns0:f>
        <ns0:v>24</ns0:v>
      </ns0:c>
      <ns0:c r="F18" s="29">
        <ns0:f>COUNTIFS('BASE_CIERRE'!$G$5:$G$458,1,'BASE_CIERRE'!$H$5:$H$458,"Not specified",'BASE_CIERRE'!$R$5:$R$458,"Not ascertainable")</ns0:f>
        <ns0:v>1</ns0:v>
      </ns0:c>
      <ns0:c r="G18" s="29">
        <ns0:f>SUM(D18:F18)</ns0:f>
        <ns0:v>31</ns0:v>
      </ns0:c>
      <ns0:c r="H18" s="32">
        <ns0:f>IFERROR(D18/G18,0)</ns0:f>
        <ns0:v>0.1935483870967742</ns0:v>
      </ns0:c>
      <ns0:c r="I18" s="32">
        <ns0:f>IFERROR(D18/(G18-F18),0)</ns0:f>
        <ns0:v>0.2</ns0:v>
      </ns0:c>
    </ns0:row>
    <ns0:row r="19" ht="32" customHeight="1">
      <ns0:c r="A19" s="19" t="inlineStr">
        <ns0:is>
          <ns0:t>All included</ns0:t>
        </ns0:is>
      </ns0:c>
      <ns0:c r="B19" s="19" t="inlineStr">
        <ns0:is>
          <ns0:t>Explicit explainability (broad)</ns0:t>
        </ns0:is>
      </ns0:c>
      <ns0:c r="C19" s="19" t="inlineStr">
        <ns0:is>
          <ns0:t>xai_broad</ns0:t>
        </ns0:is>
      </ns0:c>
      <ns0:c r="D19" s="27">
        <ns0:f>COUNTIFS('BASE_CIERRE'!$G$5:$G$458,1,'BASE_CIERRE'!$S$5:$S$458,"Reported")</ns0:f>
        <ns0:v>126</ns0:v>
      </ns0:c>
      <ns0:c r="E19" s="27">
        <ns0:f>COUNTIFS('BASE_CIERRE'!$G$5:$G$458,1,'BASE_CIERRE'!$S$5:$S$458,"Not reported in assessed sources")</ns0:f>
        <ns0:v>293</ns0:v>
      </ns0:c>
      <ns0:c r="F19" s="27">
        <ns0:f>COUNTIFS('BASE_CIERRE'!$G$5:$G$458,1,'BASE_CIERRE'!$S$5:$S$458,"Not ascertainable")</ns0:f>
        <ns0:v>9</ns0:v>
      </ns0:c>
      <ns0:c r="G19" s="27">
        <ns0:f>SUM(D19:F19)</ns0:f>
        <ns0:v>428</ns0:v>
      </ns0:c>
      <ns0:c r="H19" s="31">
        <ns0:f>IFERROR(D19/G19,0)</ns0:f>
        <ns0:v>0.29439252336448596</ns0:v>
      </ns0:c>
      <ns0:c r="I19" s="31">
        <ns0:f>IFERROR(D19/(G19-F19),0)</ns0:f>
        <ns0:v>0.30071599045346065</ns0:v>
      </ns0:c>
    </ns0:row>
    <ns0:row r="20" ht="32" customHeight="1">
      <ns0:c r="A20" s="21" t="inlineStr">
        <ns0:is>
          <ns0:t>Prescreening</ns0:t>
        </ns0:is>
      </ns0:c>
      <ns0:c r="B20" s="21" t="inlineStr">
        <ns0:is>
          <ns0:t>Explicit explainability (broad)</ns0:t>
        </ns0:is>
      </ns0:c>
      <ns0:c r="C20" s="21" t="inlineStr">
        <ns0:is>
          <ns0:t>xai_broad</ns0:t>
        </ns0:is>
      </ns0:c>
      <ns0:c r="D20" s="29">
        <ns0:f>COUNTIFS('BASE_CIERRE'!$G$5:$G$458,1,'BASE_CIERRE'!$H$5:$H$458,"Prescreening",'BASE_CIERRE'!$S$5:$S$458,"Reported")</ns0:f>
        <ns0:v>5</ns0:v>
      </ns0:c>
      <ns0:c r="E20" s="29">
        <ns0:f>COUNTIFS('BASE_CIERRE'!$G$5:$G$458,1,'BASE_CIERRE'!$H$5:$H$458,"Prescreening",'BASE_CIERRE'!$S$5:$S$458,"Not reported in assessed sources")</ns0:f>
        <ns0:v>3</ns0:v>
      </ns0:c>
      <ns0:c r="F20" s="29">
        <ns0:f>COUNTIFS('BASE_CIERRE'!$G$5:$G$458,1,'BASE_CIERRE'!$H$5:$H$458,"Prescreening",'BASE_CIERRE'!$S$5:$S$458,"Not ascertainable")</ns0:f>
        <ns0:v>0</ns0:v>
      </ns0:c>
      <ns0:c r="G20" s="29">
        <ns0:f>SUM(D20:F20)</ns0:f>
        <ns0:v>8</ns0:v>
      </ns0:c>
      <ns0:c r="H20" s="32">
        <ns0:f>IFERROR(D20/G20,0)</ns0:f>
        <ns0:v>0.625</ns0:v>
      </ns0:c>
      <ns0:c r="I20" s="32">
        <ns0:f>IFERROR(D20/(G20-F20),0)</ns0:f>
        <ns0:v>0.625</ns0:v>
      </ns0:c>
    </ns0:row>
    <ns0:row r="21" ht="32" customHeight="1">
      <ns0:c r="A21" s="19" t="inlineStr">
        <ns0:is>
          <ns0:t>Screening</ns0:t>
        </ns0:is>
      </ns0:c>
      <ns0:c r="B21" s="19" t="inlineStr">
        <ns0:is>
          <ns0:t>Explicit explainability (broad)</ns0:t>
        </ns0:is>
      </ns0:c>
      <ns0:c r="C21" s="19" t="inlineStr">
        <ns0:is>
          <ns0:t>xai_broad</ns0:t>
        </ns0:is>
      </ns0:c>
      <ns0:c r="D21" s="27">
        <ns0:f>COUNTIFS('BASE_CIERRE'!$G$5:$G$458,1,'BASE_CIERRE'!$H$5:$H$458,"Screening",'BASE_CIERRE'!$S$5:$S$458,"Reported")</ns0:f>
        <ns0:v>33</ns0:v>
      </ns0:c>
      <ns0:c r="E21" s="27">
        <ns0:f>COUNTIFS('BASE_CIERRE'!$G$5:$G$458,1,'BASE_CIERRE'!$H$5:$H$458,"Screening",'BASE_CIERRE'!$S$5:$S$458,"Not reported in assessed sources")</ns0:f>
        <ns0:v>77</ns0:v>
      </ns0:c>
      <ns0:c r="F21" s="27">
        <ns0:f>COUNTIFS('BASE_CIERRE'!$G$5:$G$458,1,'BASE_CIERRE'!$H$5:$H$458,"Screening",'BASE_CIERRE'!$S$5:$S$458,"Not ascertainable")</ns0:f>
        <ns0:v>3</ns0:v>
      </ns0:c>
      <ns0:c r="G21" s="27">
        <ns0:f>SUM(D21:F21)</ns0:f>
        <ns0:v>113</ns0:v>
      </ns0:c>
      <ns0:c r="H21" s="31">
        <ns0:f>IFERROR(D21/G21,0)</ns0:f>
        <ns0:v>0.2920353982300885</ns0:v>
      </ns0:c>
      <ns0:c r="I21" s="31">
        <ns0:f>IFERROR(D21/(G21-F21),0)</ns0:f>
        <ns0:v>0.3</ns0:v>
      </ns0:c>
    </ns0:row>
    <ns0:row r="22" ht="32" customHeight="1">
      <ns0:c r="A22" s="21" t="inlineStr">
        <ns0:is>
          <ns0:t>Diagnosis</ns0:t>
        </ns0:is>
      </ns0:c>
      <ns0:c r="B22" s="21" t="inlineStr">
        <ns0:is>
          <ns0:t>Explicit explainability (broad)</ns0:t>
        </ns0:is>
      </ns0:c>
      <ns0:c r="C22" s="21" t="inlineStr">
        <ns0:is>
          <ns0:t>xai_broad</ns0:t>
        </ns0:is>
      </ns0:c>
      <ns0:c r="D22" s="29">
        <ns0:f>COUNTIFS('BASE_CIERRE'!$G$5:$G$458,1,'BASE_CIERRE'!$H$5:$H$458,"Diagnosis",'BASE_CIERRE'!$S$5:$S$458,"Reported")</ns0:f>
        <ns0:v>71</ns0:v>
      </ns0:c>
      <ns0:c r="E22" s="29">
        <ns0:f>COUNTIFS('BASE_CIERRE'!$G$5:$G$458,1,'BASE_CIERRE'!$H$5:$H$458,"Diagnosis",'BASE_CIERRE'!$S$5:$S$458,"Not reported in assessed sources")</ns0:f>
        <ns0:v>141</ns0:v>
      </ns0:c>
      <ns0:c r="F22" s="29">
        <ns0:f>COUNTIFS('BASE_CIERRE'!$G$5:$G$458,1,'BASE_CIERRE'!$H$5:$H$458,"Diagnosis",'BASE_CIERRE'!$S$5:$S$458,"Not ascertainable")</ns0:f>
        <ns0:v>4</ns0:v>
      </ns0:c>
      <ns0:c r="G22" s="29">
        <ns0:f>SUM(D22:F22)</ns0:f>
        <ns0:v>216</ns0:v>
      </ns0:c>
      <ns0:c r="H22" s="32">
        <ns0:f>IFERROR(D22/G22,0)</ns0:f>
        <ns0:v>0.3287037037037037</ns0:v>
      </ns0:c>
      <ns0:c r="I22" s="32">
        <ns0:f>IFERROR(D22/(G22-F22),0)</ns0:f>
        <ns0:v>0.33490566037735847</ns0:v>
      </ns0:c>
    </ns0:row>
    <ns0:row r="23" ht="32" customHeight="1">
      <ns0:c r="A23" s="19" t="inlineStr">
        <ns0:is>
          <ns0:t>Prognosis</ns0:t>
        </ns0:is>
      </ns0:c>
      <ns0:c r="B23" s="19" t="inlineStr">
        <ns0:is>
          <ns0:t>Explicit explainability (broad)</ns0:t>
        </ns0:is>
      </ns0:c>
      <ns0:c r="C23" s="19" t="inlineStr">
        <ns0:is>
          <ns0:t>xai_broad</ns0:t>
        </ns0:is>
      </ns0:c>
      <ns0:c r="D23" s="27">
        <ns0:f>COUNTIFS('BASE_CIERRE'!$G$5:$G$458,1,'BASE_CIERRE'!$H$5:$H$458,"Prognosis",'BASE_CIERRE'!$S$5:$S$458,"Reported")</ns0:f>
        <ns0:v>7</ns0:v>
      </ns0:c>
      <ns0:c r="E23" s="27">
        <ns0:f>COUNTIFS('BASE_CIERRE'!$G$5:$G$458,1,'BASE_CIERRE'!$H$5:$H$458,"Prognosis",'BASE_CIERRE'!$S$5:$S$458,"Not reported in assessed sources")</ns0:f>
        <ns0:v>14</ns0:v>
      </ns0:c>
      <ns0:c r="F23" s="27">
        <ns0:f>COUNTIFS('BASE_CIERRE'!$G$5:$G$458,1,'BASE_CIERRE'!$H$5:$H$458,"Prognosis",'BASE_CIERRE'!$S$5:$S$458,"Not ascertainable")</ns0:f>
        <ns0:v>1</ns0:v>
      </ns0:c>
      <ns0:c r="G23" s="27">
        <ns0:f>SUM(D23:F23)</ns0:f>
        <ns0:v>22</ns0:v>
      </ns0:c>
      <ns0:c r="H23" s="31">
        <ns0:f>IFERROR(D23/G23,0)</ns0:f>
        <ns0:v>0.3181818181818182</ns0:v>
      </ns0:c>
      <ns0:c r="I23" s="31">
        <ns0:f>IFERROR(D23/(G23-F23),0)</ns0:f>
        <ns0:v>0.3333333333333333</ns0:v>
      </ns0:c>
    </ns0:row>
    <ns0:row r="24" ht="32" customHeight="1">
      <ns0:c r="A24" s="21" t="inlineStr">
        <ns0:is>
          <ns0:t>Monitoring/intervention</ns0:t>
        </ns0:is>
      </ns0:c>
      <ns0:c r="B24" s="21" t="inlineStr">
        <ns0:is>
          <ns0:t>Explicit explainability (broad)</ns0:t>
        </ns0:is>
      </ns0:c>
      <ns0:c r="C24" s="21" t="inlineStr">
        <ns0:is>
          <ns0:t>xai_broad</ns0:t>
        </ns0:is>
      </ns0:c>
      <ns0:c r="D24" s="29">
        <ns0:f>COUNTIFS('BASE_CIERRE'!$G$5:$G$458,1,'BASE_CIERRE'!$H$5:$H$458,"Monitoring/intervention",'BASE_CIERRE'!$S$5:$S$458,"Reported")</ns0:f>
        <ns0:v>2</ns0:v>
      </ns0:c>
      <ns0:c r="E24" s="29">
        <ns0:f>COUNTIFS('BASE_CIERRE'!$G$5:$G$458,1,'BASE_CIERRE'!$H$5:$H$458,"Monitoring/intervention",'BASE_CIERRE'!$S$5:$S$458,"Not reported in assessed sources")</ns0:f>
        <ns0:v>35</ns0:v>
      </ns0:c>
      <ns0:c r="F24" s="29">
        <ns0:f>COUNTIFS('BASE_CIERRE'!$G$5:$G$458,1,'BASE_CIERRE'!$H$5:$H$458,"Monitoring/intervention",'BASE_CIERRE'!$S$5:$S$458,"Not ascertainable")</ns0:f>
        <ns0:v>1</ns0:v>
      </ns0:c>
      <ns0:c r="G24" s="29">
        <ns0:f>SUM(D24:F24)</ns0:f>
        <ns0:v>38</ns0:v>
      </ns0:c>
      <ns0:c r="H24" s="32">
        <ns0:f>IFERROR(D24/G24,0)</ns0:f>
        <ns0:v>0.05263157894736842</ns0:v>
      </ns0:c>
      <ns0:c r="I24" s="32">
        <ns0:f>IFERROR(D24/(G24-F24),0)</ns0:f>
        <ns0:v>0.05405405405405406</ns0:v>
      </ns0:c>
    </ns0:row>
    <ns0:row r="25" ht="32" customHeight="1">
      <ns0:c r="A25" s="19" t="inlineStr">
        <ns0:is>
          <ns0:t>Not specified</ns0:t>
        </ns0:is>
      </ns0:c>
      <ns0:c r="B25" s="19" t="inlineStr">
        <ns0:is>
          <ns0:t>Explicit explainability (broad)</ns0:t>
        </ns0:is>
      </ns0:c>
      <ns0:c r="C25" s="19" t="inlineStr">
        <ns0:is>
          <ns0:t>xai_broad</ns0:t>
        </ns0:is>
      </ns0:c>
      <ns0:c r="D25" s="27">
        <ns0:f>COUNTIFS('BASE_CIERRE'!$G$5:$G$458,1,'BASE_CIERRE'!$H$5:$H$458,"Not specified",'BASE_CIERRE'!$S$5:$S$458,"Reported")</ns0:f>
        <ns0:v>8</ns0:v>
      </ns0:c>
      <ns0:c r="E25" s="27">
        <ns0:f>COUNTIFS('BASE_CIERRE'!$G$5:$G$458,1,'BASE_CIERRE'!$H$5:$H$458,"Not specified",'BASE_CIERRE'!$S$5:$S$458,"Not reported in assessed sources")</ns0:f>
        <ns0:v>23</ns0:v>
      </ns0:c>
      <ns0:c r="F25" s="27">
        <ns0:f>COUNTIFS('BASE_CIERRE'!$G$5:$G$458,1,'BASE_CIERRE'!$H$5:$H$458,"Not specified",'BASE_CIERRE'!$S$5:$S$458,"Not ascertainable")</ns0:f>
        <ns0:v>0</ns0:v>
      </ns0:c>
      <ns0:c r="G25" s="27">
        <ns0:f>SUM(D25:F25)</ns0:f>
        <ns0:v>31</ns0:v>
      </ns0:c>
      <ns0:c r="H25" s="31">
        <ns0:f>IFERROR(D25/G25,0)</ns0:f>
        <ns0:v>0.25806451612903225</ns0:v>
      </ns0:c>
      <ns0:c r="I25" s="31">
        <ns0:f>IFERROR(D25/(G25-F25),0)</ns0:f>
        <ns0:v>0.25806451612903225</ns0:v>
      </ns0:c>
    </ns0:row>
    <ns0:row r="26" ht="32" customHeight="1">
      <ns0:c r="A26" s="21" t="inlineStr">
        <ns0:is>
          <ns0:t>All included</ns0:t>
        </ns0:is>
      </ns0:c>
      <ns0:c r="B26" s="21" t="inlineStr">
        <ns0:is>
          <ns0:t>Cross-site evaluation</ns0:t>
        </ns0:is>
      </ns0:c>
      <ns0:c r="C26" s="21" t="inlineStr">
        <ns0:is>
          <ns0:t>cross_site_robustness</ns0:t>
        </ns0:is>
      </ns0:c>
      <ns0:c r="D26" s="29">
        <ns0:f>COUNTIFS('BASE_CIERRE'!$G$5:$G$458,1,'BASE_CIERRE'!$U$5:$U$458,"Reported")</ns0:f>
        <ns0:v>12</ns0:v>
      </ns0:c>
      <ns0:c r="E26" s="29">
        <ns0:f>COUNTIFS('BASE_CIERRE'!$G$5:$G$458,1,'BASE_CIERRE'!$U$5:$U$458,"Not reported in assessed sources")</ns0:f>
        <ns0:v>414</ns0:v>
      </ns0:c>
      <ns0:c r="F26" s="29">
        <ns0:f>COUNTIFS('BASE_CIERRE'!$G$5:$G$458,1,'BASE_CIERRE'!$U$5:$U$458,"Not ascertainable")</ns0:f>
        <ns0:v>2</ns0:v>
      </ns0:c>
      <ns0:c r="G26" s="29">
        <ns0:f>SUM(D26:F26)</ns0:f>
        <ns0:v>428</ns0:v>
      </ns0:c>
      <ns0:c r="H26" s="32">
        <ns0:f>IFERROR(D26/G26,0)</ns0:f>
        <ns0:v>0.028037383177570093</ns0:v>
      </ns0:c>
      <ns0:c r="I26" s="32">
        <ns0:f>IFERROR(D26/(G26-F26),0)</ns0:f>
        <ns0:v>0.028169014084507043</ns0:v>
      </ns0:c>
    </ns0:row>
    <ns0:row r="27" ht="32" customHeight="1">
      <ns0:c r="A27" s="19" t="inlineStr">
        <ns0:is>
          <ns0:t>Prescreening</ns0:t>
        </ns0:is>
      </ns0:c>
      <ns0:c r="B27" s="19" t="inlineStr">
        <ns0:is>
          <ns0:t>Cross-site evaluation</ns0:t>
        </ns0:is>
      </ns0:c>
      <ns0:c r="C27" s="19" t="inlineStr">
        <ns0:is>
          <ns0:t>cross_site_robustness</ns0:t>
        </ns0:is>
      </ns0:c>
      <ns0:c r="D27" s="27">
        <ns0:f>COUNTIFS('BASE_CIERRE'!$G$5:$G$458,1,'BASE_CIERRE'!$H$5:$H$458,"Prescreening",'BASE_CIERRE'!$U$5:$U$458,"Reported")</ns0:f>
        <ns0:v>0</ns0:v>
      </ns0:c>
      <ns0:c r="E27" s="27">
        <ns0:f>COUNTIFS('BASE_CIERRE'!$G$5:$G$458,1,'BASE_CIERRE'!$H$5:$H$458,"Prescreening",'BASE_CIERRE'!$U$5:$U$458,"Not reported in assessed sources")</ns0:f>
        <ns0:v>8</ns0:v>
      </ns0:c>
      <ns0:c r="F27" s="27">
        <ns0:f>COUNTIFS('BASE_CIERRE'!$G$5:$G$458,1,'BASE_CIERRE'!$H$5:$H$458,"Prescreening",'BASE_CIERRE'!$U$5:$U$458,"Not ascertainable")</ns0:f>
        <ns0:v>0</ns0:v>
      </ns0:c>
      <ns0:c r="G27" s="27">
        <ns0:f>SUM(D27:F27)</ns0:f>
        <ns0:v>8</ns0:v>
      </ns0:c>
      <ns0:c r="H27" s="31">
        <ns0:f>IFERROR(D27/G27,0)</ns0:f>
        <ns0:v>0</ns0:v>
      </ns0:c>
      <ns0:c r="I27" s="31">
        <ns0:f>IFERROR(D27/(G27-F27),0)</ns0:f>
        <ns0:v>0</ns0:v>
      </ns0:c>
    </ns0:row>
    <ns0:row r="28" ht="32" customHeight="1">
      <ns0:c r="A28" s="21" t="inlineStr">
        <ns0:is>
          <ns0:t>Screening</ns0:t>
        </ns0:is>
      </ns0:c>
      <ns0:c r="B28" s="21" t="inlineStr">
        <ns0:is>
          <ns0:t>Cross-site evaluation</ns0:t>
        </ns0:is>
      </ns0:c>
      <ns0:c r="C28" s="21" t="inlineStr">
        <ns0:is>
          <ns0:t>cross_site_robustness</ns0:t>
        </ns0:is>
      </ns0:c>
      <ns0:c r="D28" s="29">
        <ns0:f>COUNTIFS('BASE_CIERRE'!$G$5:$G$458,1,'BASE_CIERRE'!$H$5:$H$458,"Screening",'BASE_CIERRE'!$U$5:$U$458,"Reported")</ns0:f>
        <ns0:v>2</ns0:v>
      </ns0:c>
      <ns0:c r="E28" s="29">
        <ns0:f>COUNTIFS('BASE_CIERRE'!$G$5:$G$458,1,'BASE_CIERRE'!$H$5:$H$458,"Screening",'BASE_CIERRE'!$U$5:$U$458,"Not reported in assessed sources")</ns0:f>
        <ns0:v>111</ns0:v>
      </ns0:c>
      <ns0:c r="F28" s="29">
        <ns0:f>COUNTIFS('BASE_CIERRE'!$G$5:$G$458,1,'BASE_CIERRE'!$H$5:$H$458,"Screening",'BASE_CIERRE'!$U$5:$U$458,"Not ascertainable")</ns0:f>
        <ns0:v>0</ns0:v>
      </ns0:c>
      <ns0:c r="G28" s="29">
        <ns0:f>SUM(D28:F28)</ns0:f>
        <ns0:v>113</ns0:v>
      </ns0:c>
      <ns0:c r="H28" s="32">
        <ns0:f>IFERROR(D28/G28,0)</ns0:f>
        <ns0:v>0.017699115044247787</ns0:v>
      </ns0:c>
      <ns0:c r="I28" s="32">
        <ns0:f>IFERROR(D28/(G28-F28),0)</ns0:f>
        <ns0:v>0.017699115044247787</ns0:v>
      </ns0:c>
    </ns0:row>
    <ns0:row r="29" ht="32" customHeight="1">
      <ns0:c r="A29" s="19" t="inlineStr">
        <ns0:is>
          <ns0:t>Diagnosis</ns0:t>
        </ns0:is>
      </ns0:c>
      <ns0:c r="B29" s="19" t="inlineStr">
        <ns0:is>
          <ns0:t>Cross-site evaluation</ns0:t>
        </ns0:is>
      </ns0:c>
      <ns0:c r="C29" s="19" t="inlineStr">
        <ns0:is>
          <ns0:t>cross_site_robustness</ns0:t>
        </ns0:is>
      </ns0:c>
      <ns0:c r="D29" s="27">
        <ns0:f>COUNTIFS('BASE_CIERRE'!$G$5:$G$458,1,'BASE_CIERRE'!$H$5:$H$458,"Diagnosis",'BASE_CIERRE'!$U$5:$U$458,"Reported")</ns0:f>
        <ns0:v>10</ns0:v>
      </ns0:c>
      <ns0:c r="E29" s="27">
        <ns0:f>COUNTIFS('BASE_CIERRE'!$G$5:$G$458,1,'BASE_CIERRE'!$H$5:$H$458,"Diagnosis",'BASE_CIERRE'!$U$5:$U$458,"Not reported in assessed sources")</ns0:f>
        <ns0:v>205</ns0:v>
      </ns0:c>
      <ns0:c r="F29" s="27">
        <ns0:f>COUNTIFS('BASE_CIERRE'!$G$5:$G$458,1,'BASE_CIERRE'!$H$5:$H$458,"Diagnosis",'BASE_CIERRE'!$U$5:$U$458,"Not ascertainable")</ns0:f>
        <ns0:v>1</ns0:v>
      </ns0:c>
      <ns0:c r="G29" s="27">
        <ns0:f>SUM(D29:F29)</ns0:f>
        <ns0:v>216</ns0:v>
      </ns0:c>
      <ns0:c r="H29" s="31">
        <ns0:f>IFERROR(D29/G29,0)</ns0:f>
        <ns0:v>0.046296296296296294</ns0:v>
      </ns0:c>
      <ns0:c r="I29" s="31">
        <ns0:f>IFERROR(D29/(G29-F29),0)</ns0:f>
        <ns0:v>0.046511627906976744</ns0:v>
      </ns0:c>
    </ns0:row>
    <ns0:row r="30" ht="32" customHeight="1">
      <ns0:c r="A30" s="21" t="inlineStr">
        <ns0:is>
          <ns0:t>Prognosis</ns0:t>
        </ns0:is>
      </ns0:c>
      <ns0:c r="B30" s="21" t="inlineStr">
        <ns0:is>
          <ns0:t>Cross-site evaluation</ns0:t>
        </ns0:is>
      </ns0:c>
      <ns0:c r="C30" s="21" t="inlineStr">
        <ns0:is>
          <ns0:t>cross_site_robustness</ns0:t>
        </ns0:is>
      </ns0:c>
      <ns0:c r="D30" s="29">
        <ns0:f>COUNTIFS('BASE_CIERRE'!$G$5:$G$458,1,'BASE_CIERRE'!$H$5:$H$458,"Prognosis",'BASE_CIERRE'!$U$5:$U$458,"Reported")</ns0:f>
        <ns0:v>0</ns0:v>
      </ns0:c>
      <ns0:c r="E30" s="29">
        <ns0:f>COUNTIFS('BASE_CIERRE'!$G$5:$G$458,1,'BASE_CIERRE'!$H$5:$H$458,"Prognosis",'BASE_CIERRE'!$U$5:$U$458,"Not reported in assessed sources")</ns0:f>
        <ns0:v>22</ns0:v>
      </ns0:c>
      <ns0:c r="F30" s="29">
        <ns0:f>COUNTIFS('BASE_CIERRE'!$G$5:$G$458,1,'BASE_CIERRE'!$H$5:$H$458,"Prognosis",'BASE_CIERRE'!$U$5:$U$458,"Not ascertainable")</ns0:f>
        <ns0:v>0</ns0:v>
      </ns0:c>
      <ns0:c r="G30" s="29">
        <ns0:f>SUM(D30:F30)</ns0:f>
        <ns0:v>22</ns0:v>
      </ns0:c>
      <ns0:c r="H30" s="32">
        <ns0:f>IFERROR(D30/G30,0)</ns0:f>
        <ns0:v>0</ns0:v>
      </ns0:c>
      <ns0:c r="I30" s="32">
        <ns0:f>IFERROR(D30/(G30-F30),0)</ns0:f>
        <ns0:v>0</ns0:v>
      </ns0:c>
    </ns0:row>
    <ns0:row r="31" ht="32" customHeight="1">
      <ns0:c r="A31" s="19" t="inlineStr">
        <ns0:is>
          <ns0:t>Monitoring/intervention</ns0:t>
        </ns0:is>
      </ns0:c>
      <ns0:c r="B31" s="19" t="inlineStr">
        <ns0:is>
          <ns0:t>Cross-site evaluation</ns0:t>
        </ns0:is>
      </ns0:c>
      <ns0:c r="C31" s="19" t="inlineStr">
        <ns0:is>
          <ns0:t>cross_site_robustness</ns0:t>
        </ns0:is>
      </ns0:c>
      <ns0:c r="D31" s="27">
        <ns0:f>COUNTIFS('BASE_CIERRE'!$G$5:$G$458,1,'BASE_CIERRE'!$H$5:$H$458,"Monitoring/intervention",'BASE_CIERRE'!$U$5:$U$458,"Reported")</ns0:f>
        <ns0:v>0</ns0:v>
      </ns0:c>
      <ns0:c r="E31" s="27">
        <ns0:f>COUNTIFS('BASE_CIERRE'!$G$5:$G$458,1,'BASE_CIERRE'!$H$5:$H$458,"Monitoring/intervention",'BASE_CIERRE'!$U$5:$U$458,"Not reported in assessed sources")</ns0:f>
        <ns0:v>37</ns0:v>
      </ns0:c>
      <ns0:c r="F31" s="27">
        <ns0:f>COUNTIFS('BASE_CIERRE'!$G$5:$G$458,1,'BASE_CIERRE'!$H$5:$H$458,"Monitoring/intervention",'BASE_CIERRE'!$U$5:$U$458,"Not ascertainable")</ns0:f>
        <ns0:v>1</ns0:v>
      </ns0:c>
      <ns0:c r="G31" s="27">
        <ns0:f>SUM(D31:F31)</ns0:f>
        <ns0:v>38</ns0:v>
      </ns0:c>
      <ns0:c r="H31" s="31">
        <ns0:f>IFERROR(D31/G31,0)</ns0:f>
        <ns0:v>0</ns0:v>
      </ns0:c>
      <ns0:c r="I31" s="31">
        <ns0:f>IFERROR(D31/(G31-F31),0)</ns0:f>
        <ns0:v>0</ns0:v>
      </ns0:c>
    </ns0:row>
    <ns0:row r="32" ht="32" customHeight="1">
      <ns0:c r="A32" s="21" t="inlineStr">
        <ns0:is>
          <ns0:t>Not specified</ns0:t>
        </ns0:is>
      </ns0:c>
      <ns0:c r="B32" s="21" t="inlineStr">
        <ns0:is>
          <ns0:t>Cross-site evaluation</ns0:t>
        </ns0:is>
      </ns0:c>
      <ns0:c r="C32" s="21" t="inlineStr">
        <ns0:is>
          <ns0:t>cross_site_robustness</ns0:t>
        </ns0:is>
      </ns0:c>
      <ns0:c r="D32" s="29">
        <ns0:f>COUNTIFS('BASE_CIERRE'!$G$5:$G$458,1,'BASE_CIERRE'!$H$5:$H$458,"Not specified",'BASE_CIERRE'!$U$5:$U$458,"Reported")</ns0:f>
        <ns0:v>0</ns0:v>
      </ns0:c>
      <ns0:c r="E32" s="29">
        <ns0:f>COUNTIFS('BASE_CIERRE'!$G$5:$G$458,1,'BASE_CIERRE'!$H$5:$H$458,"Not specified",'BASE_CIERRE'!$U$5:$U$458,"Not reported in assessed sources")</ns0:f>
        <ns0:v>31</ns0:v>
      </ns0:c>
      <ns0:c r="F32" s="29">
        <ns0:f>COUNTIFS('BASE_CIERRE'!$G$5:$G$458,1,'BASE_CIERRE'!$H$5:$H$458,"Not specified",'BASE_CIERRE'!$U$5:$U$458,"Not ascertainable")</ns0:f>
        <ns0:v>0</ns0:v>
      </ns0:c>
      <ns0:c r="G32" s="29">
        <ns0:f>SUM(D32:F32)</ns0:f>
        <ns0:v>31</ns0:v>
      </ns0:c>
      <ns0:c r="H32" s="32">
        <ns0:f>IFERROR(D32/G32,0)</ns0:f>
        <ns0:v>0</ns0:v>
      </ns0:c>
      <ns0:c r="I32" s="32">
        <ns0:f>IFERROR(D32/(G32-F32),0)</ns0:f>
        <ns0:v>0</ns0:v>
      </ns0:c>
    </ns0:row>
    <ns0:row r="33" ht="32" customHeight="1">
      <ns0:c r="A33" s="19" t="inlineStr">
        <ns0:is>
          <ns0:t>All included</ns0:t>
        </ns0:is>
      </ns0:c>
      <ns0:c r="B33" s="19" t="inlineStr">
        <ns0:is>
          <ns0:t>Formal attribution/explanation (strict)</ns0:t>
        </ns0:is>
      </ns0:c>
      <ns0:c r="C33" s="19" t="inlineStr">
        <ns0:is>
          <ns0:t>xai_strict</ns0:t>
        </ns0:is>
      </ns0:c>
      <ns0:c r="D33" s="27">
        <ns0:f>COUNTIFS('BASE_CIERRE'!$G$5:$G$458,1,'BASE_CIERRE'!$T$5:$T$458,"Reported")</ns0:f>
        <ns0:v>38</ns0:v>
      </ns0:c>
      <ns0:c r="E33" s="27">
        <ns0:f>COUNTIFS('BASE_CIERRE'!$G$5:$G$458,1,'BASE_CIERRE'!$T$5:$T$458,"Not reported in assessed sources")</ns0:f>
        <ns0:v>386</ns0:v>
      </ns0:c>
      <ns0:c r="F33" s="27">
        <ns0:f>COUNTIFS('BASE_CIERRE'!$G$5:$G$458,1,'BASE_CIERRE'!$T$5:$T$458,"Not ascertainable")</ns0:f>
        <ns0:v>4</ns0:v>
      </ns0:c>
      <ns0:c r="G33" s="27">
        <ns0:f>SUM(D33:F33)</ns0:f>
        <ns0:v>428</ns0:v>
      </ns0:c>
      <ns0:c r="H33" s="31">
        <ns0:f>IFERROR(D33/G33,0)</ns0:f>
        <ns0:v>0.08878504672897196</ns0:v>
      </ns0:c>
      <ns0:c r="I33" s="31">
        <ns0:f>IFERROR(D33/(G33-F33),0)</ns0:f>
        <ns0:v>0.08962264150943396</ns0:v>
      </ns0:c>
    </ns0:row>
    <ns0:row r="34" ht="32" customHeight="1">
      <ns0:c r="A34" s="21" t="inlineStr">
        <ns0:is>
          <ns0:t>Prescreening</ns0:t>
        </ns0:is>
      </ns0:c>
      <ns0:c r="B34" s="21" t="inlineStr">
        <ns0:is>
          <ns0:t>Formal attribution/explanation (strict)</ns0:t>
        </ns0:is>
      </ns0:c>
      <ns0:c r="C34" s="21" t="inlineStr">
        <ns0:is>
          <ns0:t>xai_strict</ns0:t>
        </ns0:is>
      </ns0:c>
      <ns0:c r="D34" s="29">
        <ns0:f>COUNTIFS('BASE_CIERRE'!$G$5:$G$458,1,'BASE_CIERRE'!$H$5:$H$458,"Prescreening",'BASE_CIERRE'!$T$5:$T$458,"Reported")</ns0:f>
        <ns0:v>1</ns0:v>
      </ns0:c>
      <ns0:c r="E34" s="29">
        <ns0:f>COUNTIFS('BASE_CIERRE'!$G$5:$G$458,1,'BASE_CIERRE'!$H$5:$H$458,"Prescreening",'BASE_CIERRE'!$T$5:$T$458,"Not reported in assessed sources")</ns0:f>
        <ns0:v>7</ns0:v>
      </ns0:c>
      <ns0:c r="F34" s="29">
        <ns0:f>COUNTIFS('BASE_CIERRE'!$G$5:$G$458,1,'BASE_CIERRE'!$H$5:$H$458,"Prescreening",'BASE_CIERRE'!$T$5:$T$458,"Not ascertainable")</ns0:f>
        <ns0:v>0</ns0:v>
      </ns0:c>
      <ns0:c r="G34" s="29">
        <ns0:f>SUM(D34:F34)</ns0:f>
        <ns0:v>8</ns0:v>
      </ns0:c>
      <ns0:c r="H34" s="32">
        <ns0:f>IFERROR(D34/G34,0)</ns0:f>
        <ns0:v>0.125</ns0:v>
      </ns0:c>
      <ns0:c r="I34" s="32">
        <ns0:f>IFERROR(D34/(G34-F34),0)</ns0:f>
        <ns0:v>0.125</ns0:v>
      </ns0:c>
    </ns0:row>
    <ns0:row r="35" ht="32" customHeight="1">
      <ns0:c r="A35" s="19" t="inlineStr">
        <ns0:is>
          <ns0:t>Screening</ns0:t>
        </ns0:is>
      </ns0:c>
      <ns0:c r="B35" s="19" t="inlineStr">
        <ns0:is>
          <ns0:t>Formal attribution/explanation (strict)</ns0:t>
        </ns0:is>
      </ns0:c>
      <ns0:c r="C35" s="19" t="inlineStr">
        <ns0:is>
          <ns0:t>xai_strict</ns0:t>
        </ns0:is>
      </ns0:c>
      <ns0:c r="D35" s="27">
        <ns0:f>COUNTIFS('BASE_CIERRE'!$G$5:$G$458,1,'BASE_CIERRE'!$H$5:$H$458,"Screening",'BASE_CIERRE'!$T$5:$T$458,"Reported")</ns0:f>
        <ns0:v>14</ns0:v>
      </ns0:c>
      <ns0:c r="E35" s="27">
        <ns0:f>COUNTIFS('BASE_CIERRE'!$G$5:$G$458,1,'BASE_CIERRE'!$H$5:$H$458,"Screening",'BASE_CIERRE'!$T$5:$T$458,"Not reported in assessed sources")</ns0:f>
        <ns0:v>99</ns0:v>
      </ns0:c>
      <ns0:c r="F35" s="27">
        <ns0:f>COUNTIFS('BASE_CIERRE'!$G$5:$G$458,1,'BASE_CIERRE'!$H$5:$H$458,"Screening",'BASE_CIERRE'!$T$5:$T$458,"Not ascertainable")</ns0:f>
        <ns0:v>0</ns0:v>
      </ns0:c>
      <ns0:c r="G35" s="27">
        <ns0:f>SUM(D35:F35)</ns0:f>
        <ns0:v>113</ns0:v>
      </ns0:c>
      <ns0:c r="H35" s="31">
        <ns0:f>IFERROR(D35/G35,0)</ns0:f>
        <ns0:v>0.12389380530973451</ns0:v>
      </ns0:c>
      <ns0:c r="I35" s="31">
        <ns0:f>IFERROR(D35/(G35-F35),0)</ns0:f>
        <ns0:v>0.12389380530973451</ns0:v>
      </ns0:c>
    </ns0:row>
    <ns0:row r="36" ht="32" customHeight="1">
      <ns0:c r="A36" s="21" t="inlineStr">
        <ns0:is>
          <ns0:t>Diagnosis</ns0:t>
        </ns0:is>
      </ns0:c>
      <ns0:c r="B36" s="21" t="inlineStr">
        <ns0:is>
          <ns0:t>Formal attribution/explanation (strict)</ns0:t>
        </ns0:is>
      </ns0:c>
      <ns0:c r="C36" s="21" t="inlineStr">
        <ns0:is>
          <ns0:t>xai_strict</ns0:t>
        </ns0:is>
      </ns0:c>
      <ns0:c r="D36" s="29">
        <ns0:f>COUNTIFS('BASE_CIERRE'!$G$5:$G$458,1,'BASE_CIERRE'!$H$5:$H$458,"Diagnosis",'BASE_CIERRE'!$T$5:$T$458,"Reported")</ns0:f>
        <ns0:v>18</ns0:v>
      </ns0:c>
      <ns0:c r="E36" s="29">
        <ns0:f>COUNTIFS('BASE_CIERRE'!$G$5:$G$458,1,'BASE_CIERRE'!$H$5:$H$458,"Diagnosis",'BASE_CIERRE'!$T$5:$T$458,"Not reported in assessed sources")</ns0:f>
        <ns0:v>195</ns0:v>
      </ns0:c>
      <ns0:c r="F36" s="29">
        <ns0:f>COUNTIFS('BASE_CIERRE'!$G$5:$G$458,1,'BASE_CIERRE'!$H$5:$H$458,"Diagnosis",'BASE_CIERRE'!$T$5:$T$458,"Not ascertainable")</ns0:f>
        <ns0:v>3</ns0:v>
      </ns0:c>
      <ns0:c r="G36" s="29">
        <ns0:f>SUM(D36:F36)</ns0:f>
        <ns0:v>216</ns0:v>
      </ns0:c>
      <ns0:c r="H36" s="32">
        <ns0:f>IFERROR(D36/G36,0)</ns0:f>
        <ns0:v>0.08333333333333333</ns0:v>
      </ns0:c>
      <ns0:c r="I36" s="32">
        <ns0:f>IFERROR(D36/(G36-F36),0)</ns0:f>
        <ns0:v>0.08450704225352113</ns0:v>
      </ns0:c>
    </ns0:row>
    <ns0:row r="37" ht="32" customHeight="1">
      <ns0:c r="A37" s="19" t="inlineStr">
        <ns0:is>
          <ns0:t>Prognosis</ns0:t>
        </ns0:is>
      </ns0:c>
      <ns0:c r="B37" s="19" t="inlineStr">
        <ns0:is>
          <ns0:t>Formal attribution/explanation (strict)</ns0:t>
        </ns0:is>
      </ns0:c>
      <ns0:c r="C37" s="19" t="inlineStr">
        <ns0:is>
          <ns0:t>xai_strict</ns0:t>
        </ns0:is>
      </ns0:c>
      <ns0:c r="D37" s="27">
        <ns0:f>COUNTIFS('BASE_CIERRE'!$G$5:$G$458,1,'BASE_CIERRE'!$H$5:$H$458,"Prognosis",'BASE_CIERRE'!$T$5:$T$458,"Reported")</ns0:f>
        <ns0:v>3</ns0:v>
      </ns0:c>
      <ns0:c r="E37" s="27">
        <ns0:f>COUNTIFS('BASE_CIERRE'!$G$5:$G$458,1,'BASE_CIERRE'!$H$5:$H$458,"Prognosis",'BASE_CIERRE'!$T$5:$T$458,"Not reported in assessed sources")</ns0:f>
        <ns0:v>18</ns0:v>
      </ns0:c>
      <ns0:c r="F37" s="27">
        <ns0:f>COUNTIFS('BASE_CIERRE'!$G$5:$G$458,1,'BASE_CIERRE'!$H$5:$H$458,"Prognosis",'BASE_CIERRE'!$T$5:$T$458,"Not ascertainable")</ns0:f>
        <ns0:v>1</ns0:v>
      </ns0:c>
      <ns0:c r="G37" s="27">
        <ns0:f>SUM(D37:F37)</ns0:f>
        <ns0:v>22</ns0:v>
      </ns0:c>
      <ns0:c r="H37" s="31">
        <ns0:f>IFERROR(D37/G37,0)</ns0:f>
        <ns0:v>0.13636363636363635</ns0:v>
      </ns0:c>
      <ns0:c r="I37" s="31">
        <ns0:f>IFERROR(D37/(G37-F37),0)</ns0:f>
        <ns0:v>0.14285714285714285</ns0:v>
      </ns0:c>
    </ns0:row>
    <ns0:row r="38" ht="32" customHeight="1">
      <ns0:c r="A38" s="21" t="inlineStr">
        <ns0:is>
          <ns0:t>Monitoring/intervention</ns0:t>
        </ns0:is>
      </ns0:c>
      <ns0:c r="B38" s="21" t="inlineStr">
        <ns0:is>
          <ns0:t>Formal attribution/explanation (strict)</ns0:t>
        </ns0:is>
      </ns0:c>
      <ns0:c r="C38" s="21" t="inlineStr">
        <ns0:is>
          <ns0:t>xai_strict</ns0:t>
        </ns0:is>
      </ns0:c>
      <ns0:c r="D38" s="29">
        <ns0:f>COUNTIFS('BASE_CIERRE'!$G$5:$G$458,1,'BASE_CIERRE'!$H$5:$H$458,"Monitoring/intervention",'BASE_CIERRE'!$T$5:$T$458,"Reported")</ns0:f>
        <ns0:v>1</ns0:v>
      </ns0:c>
      <ns0:c r="E38" s="29">
        <ns0:f>COUNTIFS('BASE_CIERRE'!$G$5:$G$458,1,'BASE_CIERRE'!$H$5:$H$458,"Monitoring/intervention",'BASE_CIERRE'!$T$5:$T$458,"Not reported in assessed sources")</ns0:f>
        <ns0:v>37</ns0:v>
      </ns0:c>
      <ns0:c r="F38" s="29">
        <ns0:f>COUNTIFS('BASE_CIERRE'!$G$5:$G$458,1,'BASE_CIERRE'!$H$5:$H$458,"Monitoring/intervention",'BASE_CIERRE'!$T$5:$T$458,"Not ascertainable")</ns0:f>
        <ns0:v>0</ns0:v>
      </ns0:c>
      <ns0:c r="G38" s="29">
        <ns0:f>SUM(D38:F38)</ns0:f>
        <ns0:v>38</ns0:v>
      </ns0:c>
      <ns0:c r="H38" s="32">
        <ns0:f>IFERROR(D38/G38,0)</ns0:f>
        <ns0:v>0.02631578947368421</ns0:v>
      </ns0:c>
      <ns0:c r="I38" s="32">
        <ns0:f>IFERROR(D38/(G38-F38),0)</ns0:f>
        <ns0:v>0.02631578947368421</ns0:v>
      </ns0:c>
    </ns0:row>
    <ns0:row r="39" ht="32" customHeight="1">
      <ns0:c r="A39" s="19" t="inlineStr">
        <ns0:is>
          <ns0:t>Not specified</ns0:t>
        </ns0:is>
      </ns0:c>
      <ns0:c r="B39" s="19" t="inlineStr">
        <ns0:is>
          <ns0:t>Formal attribution/explanation (strict)</ns0:t>
        </ns0:is>
      </ns0:c>
      <ns0:c r="C39" s="19" t="inlineStr">
        <ns0:is>
          <ns0:t>xai_strict</ns0:t>
        </ns0:is>
      </ns0:c>
      <ns0:c r="D39" s="27">
        <ns0:f>COUNTIFS('BASE_CIERRE'!$G$5:$G$458,1,'BASE_CIERRE'!$H$5:$H$458,"Not specified",'BASE_CIERRE'!$T$5:$T$458,"Reported")</ns0:f>
        <ns0:v>1</ns0:v>
      </ns0:c>
      <ns0:c r="E39" s="27">
        <ns0:f>COUNTIFS('BASE_CIERRE'!$G$5:$G$458,1,'BASE_CIERRE'!$H$5:$H$458,"Not specified",'BASE_CIERRE'!$T$5:$T$458,"Not reported in assessed sources")</ns0:f>
        <ns0:v>30</ns0:v>
      </ns0:c>
      <ns0:c r="F39" s="27">
        <ns0:f>COUNTIFS('BASE_CIERRE'!$G$5:$G$458,1,'BASE_CIERRE'!$H$5:$H$458,"Not specified",'BASE_CIERRE'!$T$5:$T$458,"Not ascertainable")</ns0:f>
        <ns0:v>0</ns0:v>
      </ns0:c>
      <ns0:c r="G39" s="27">
        <ns0:f>SUM(D39:F39)</ns0:f>
        <ns0:v>31</ns0:v>
      </ns0:c>
      <ns0:c r="H39" s="31">
        <ns0:f>IFERROR(D39/G39,0)</ns0:f>
        <ns0:v>0.03225806451612903</ns0:v>
      </ns0:c>
      <ns0:c r="I39" s="31">
        <ns0:f>IFERROR(D39/(G39-F39),0)</ns0:f>
        <ns0:v>0.03225806451612903</ns0:v>
      </ns0:c>
    </ns0:row>
    <ns0:row r="40" ht="32" customHeight="1">
      <ns0:c r="A40" s="21" t="inlineStr">
        <ns0:is>
          <ns0:t>All included</ns0:t>
        </ns0:is>
      </ns0:c>
      <ns0:c r="B40" s="21" t="inlineStr">
        <ns0:is>
          <ns0:t>Multisite data availability</ns0:t>
        </ns0:is>
      </ns0:c>
      <ns0:c r="C40" s="21" t="inlineStr">
        <ns0:is>
          <ns0:t>multisite_dataset</ns0:t>
        </ns0:is>
      </ns0:c>
      <ns0:c r="D40" s="29">
        <ns0:f>COUNTIFS('BASE_CIERRE'!$G$5:$G$458,1,'BASE_CIERRE'!$V$5:$V$458,"Reported")</ns0:f>
        <ns0:v>88</ns0:v>
      </ns0:c>
      <ns0:c r="E40" s="29">
        <ns0:f>COUNTIFS('BASE_CIERRE'!$G$5:$G$458,1,'BASE_CIERRE'!$V$5:$V$458,"Not reported in assessed sources")</ns0:f>
        <ns0:v>336</ns0:v>
      </ns0:c>
      <ns0:c r="F40" s="29">
        <ns0:f>COUNTIFS('BASE_CIERRE'!$G$5:$G$458,1,'BASE_CIERRE'!$V$5:$V$458,"Not ascertainable")</ns0:f>
        <ns0:v>4</ns0:v>
      </ns0:c>
      <ns0:c r="G40" s="29">
        <ns0:f>SUM(D40:F40)</ns0:f>
        <ns0:v>428</ns0:v>
      </ns0:c>
      <ns0:c r="H40" s="32">
        <ns0:f>IFERROR(D40/G40,0)</ns0:f>
        <ns0:v>0.205607476635514</ns0:v>
      </ns0:c>
      <ns0:c r="I40" s="32">
        <ns0:f>IFERROR(D40/(G40-F40),0)</ns0:f>
        <ns0:v>0.20754716981132076</ns0:v>
      </ns0:c>
    </ns0:row>
    <ns0:row r="41" ht="32" customHeight="1">
      <ns0:c r="A41" s="19" t="inlineStr">
        <ns0:is>
          <ns0:t>Prescreening</ns0:t>
        </ns0:is>
      </ns0:c>
      <ns0:c r="B41" s="19" t="inlineStr">
        <ns0:is>
          <ns0:t>Multisite data availability</ns0:t>
        </ns0:is>
      </ns0:c>
      <ns0:c r="C41" s="19" t="inlineStr">
        <ns0:is>
          <ns0:t>multisite_dataset</ns0:t>
        </ns0:is>
      </ns0:c>
      <ns0:c r="D41" s="27">
        <ns0:f>COUNTIFS('BASE_CIERRE'!$G$5:$G$458,1,'BASE_CIERRE'!$H$5:$H$458,"Prescreening",'BASE_CIERRE'!$V$5:$V$458,"Reported")</ns0:f>
        <ns0:v>1</ns0:v>
      </ns0:c>
      <ns0:c r="E41" s="27">
        <ns0:f>COUNTIFS('BASE_CIERRE'!$G$5:$G$458,1,'BASE_CIERRE'!$H$5:$H$458,"Prescreening",'BASE_CIERRE'!$V$5:$V$458,"Not reported in assessed sources")</ns0:f>
        <ns0:v>7</ns0:v>
      </ns0:c>
      <ns0:c r="F41" s="27">
        <ns0:f>COUNTIFS('BASE_CIERRE'!$G$5:$G$458,1,'BASE_CIERRE'!$H$5:$H$458,"Prescreening",'BASE_CIERRE'!$V$5:$V$458,"Not ascertainable")</ns0:f>
        <ns0:v>0</ns0:v>
      </ns0:c>
      <ns0:c r="G41" s="27">
        <ns0:f>SUM(D41:F41)</ns0:f>
        <ns0:v>8</ns0:v>
      </ns0:c>
      <ns0:c r="H41" s="31">
        <ns0:f>IFERROR(D41/G41,0)</ns0:f>
        <ns0:v>0.125</ns0:v>
      </ns0:c>
      <ns0:c r="I41" s="31">
        <ns0:f>IFERROR(D41/(G41-F41),0)</ns0:f>
        <ns0:v>0.125</ns0:v>
      </ns0:c>
    </ns0:row>
    <ns0:row r="42" ht="32" customHeight="1">
      <ns0:c r="A42" s="21" t="inlineStr">
        <ns0:is>
          <ns0:t>Screening</ns0:t>
        </ns0:is>
      </ns0:c>
      <ns0:c r="B42" s="21" t="inlineStr">
        <ns0:is>
          <ns0:t>Multisite data availability</ns0:t>
        </ns0:is>
      </ns0:c>
      <ns0:c r="C42" s="21" t="inlineStr">
        <ns0:is>
          <ns0:t>multisite_dataset</ns0:t>
        </ns0:is>
      </ns0:c>
      <ns0:c r="D42" s="29">
        <ns0:f>COUNTIFS('BASE_CIERRE'!$G$5:$G$458,1,'BASE_CIERRE'!$H$5:$H$458,"Screening",'BASE_CIERRE'!$V$5:$V$458,"Reported")</ns0:f>
        <ns0:v>5</ns0:v>
      </ns0:c>
      <ns0:c r="E42" s="29">
        <ns0:f>COUNTIFS('BASE_CIERRE'!$G$5:$G$458,1,'BASE_CIERRE'!$H$5:$H$458,"Screening",'BASE_CIERRE'!$V$5:$V$458,"Not reported in assessed sources")</ns0:f>
        <ns0:v>105</ns0:v>
      </ns0:c>
      <ns0:c r="F42" s="29">
        <ns0:f>COUNTIFS('BASE_CIERRE'!$G$5:$G$458,1,'BASE_CIERRE'!$H$5:$H$458,"Screening",'BASE_CIERRE'!$V$5:$V$458,"Not ascertainable")</ns0:f>
        <ns0:v>3</ns0:v>
      </ns0:c>
      <ns0:c r="G42" s="29">
        <ns0:f>SUM(D42:F42)</ns0:f>
        <ns0:v>113</ns0:v>
      </ns0:c>
      <ns0:c r="H42" s="32">
        <ns0:f>IFERROR(D42/G42,0)</ns0:f>
        <ns0:v>0.04424778761061947</ns0:v>
      </ns0:c>
      <ns0:c r="I42" s="32">
        <ns0:f>IFERROR(D42/(G42-F42),0)</ns0:f>
        <ns0:v>0.045454545454545456</ns0:v>
      </ns0:c>
    </ns0:row>
    <ns0:row r="43" ht="32" customHeight="1">
      <ns0:c r="A43" s="19" t="inlineStr">
        <ns0:is>
          <ns0:t>Diagnosis</ns0:t>
        </ns0:is>
      </ns0:c>
      <ns0:c r="B43" s="19" t="inlineStr">
        <ns0:is>
          <ns0:t>Multisite data availability</ns0:t>
        </ns0:is>
      </ns0:c>
      <ns0:c r="C43" s="19" t="inlineStr">
        <ns0:is>
          <ns0:t>multisite_dataset</ns0:t>
        </ns0:is>
      </ns0:c>
      <ns0:c r="D43" s="27">
        <ns0:f>COUNTIFS('BASE_CIERRE'!$G$5:$G$458,1,'BASE_CIERRE'!$H$5:$H$458,"Diagnosis",'BASE_CIERRE'!$V$5:$V$458,"Reported")</ns0:f>
        <ns0:v>77</ns0:v>
      </ns0:c>
      <ns0:c r="E43" s="27">
        <ns0:f>COUNTIFS('BASE_CIERRE'!$G$5:$G$458,1,'BASE_CIERRE'!$H$5:$H$458,"Diagnosis",'BASE_CIERRE'!$V$5:$V$458,"Not reported in assessed sources")</ns0:f>
        <ns0:v>138</ns0:v>
      </ns0:c>
      <ns0:c r="F43" s="27">
        <ns0:f>COUNTIFS('BASE_CIERRE'!$G$5:$G$458,1,'BASE_CIERRE'!$H$5:$H$458,"Diagnosis",'BASE_CIERRE'!$V$5:$V$458,"Not ascertainable")</ns0:f>
        <ns0:v>1</ns0:v>
      </ns0:c>
      <ns0:c r="G43" s="27">
        <ns0:f>SUM(D43:F43)</ns0:f>
        <ns0:v>216</ns0:v>
      </ns0:c>
      <ns0:c r="H43" s="31">
        <ns0:f>IFERROR(D43/G43,0)</ns0:f>
        <ns0:v>0.35648148148148145</ns0:v>
      </ns0:c>
      <ns0:c r="I43" s="31">
        <ns0:f>IFERROR(D43/(G43-F43),0)</ns0:f>
        <ns0:v>0.3581395348837209</ns0:v>
      </ns0:c>
    </ns0:row>
    <ns0:row r="44" ht="32" customHeight="1">
      <ns0:c r="A44" s="21" t="inlineStr">
        <ns0:is>
          <ns0:t>Prognosis</ns0:t>
        </ns0:is>
      </ns0:c>
      <ns0:c r="B44" s="21" t="inlineStr">
        <ns0:is>
          <ns0:t>Multisite data availability</ns0:t>
        </ns0:is>
      </ns0:c>
      <ns0:c r="C44" s="21" t="inlineStr">
        <ns0:is>
          <ns0:t>multisite_dataset</ns0:t>
        </ns0:is>
      </ns0:c>
      <ns0:c r="D44" s="29">
        <ns0:f>COUNTIFS('BASE_CIERRE'!$G$5:$G$458,1,'BASE_CIERRE'!$H$5:$H$458,"Prognosis",'BASE_CIERRE'!$V$5:$V$458,"Reported")</ns0:f>
        <ns0:v>1</ns0:v>
      </ns0:c>
      <ns0:c r="E44" s="29">
        <ns0:f>COUNTIFS('BASE_CIERRE'!$G$5:$G$458,1,'BASE_CIERRE'!$H$5:$H$458,"Prognosis",'BASE_CIERRE'!$V$5:$V$458,"Not reported in assessed sources")</ns0:f>
        <ns0:v>21</ns0:v>
      </ns0:c>
      <ns0:c r="F44" s="29">
        <ns0:f>COUNTIFS('BASE_CIERRE'!$G$5:$G$458,1,'BASE_CIERRE'!$H$5:$H$458,"Prognosis",'BASE_CIERRE'!$V$5:$V$458,"Not ascertainable")</ns0:f>
        <ns0:v>0</ns0:v>
      </ns0:c>
      <ns0:c r="G44" s="29">
        <ns0:f>SUM(D44:F44)</ns0:f>
        <ns0:v>22</ns0:v>
      </ns0:c>
      <ns0:c r="H44" s="32">
        <ns0:f>IFERROR(D44/G44,0)</ns0:f>
        <ns0:v>0.045454545454545456</ns0:v>
      </ns0:c>
      <ns0:c r="I44" s="32">
        <ns0:f>IFERROR(D44/(G44-F44),0)</ns0:f>
        <ns0:v>0.045454545454545456</ns0:v>
      </ns0:c>
    </ns0:row>
    <ns0:row r="45" ht="32" customHeight="1">
      <ns0:c r="A45" s="19" t="inlineStr">
        <ns0:is>
          <ns0:t>Monitoring/intervention</ns0:t>
        </ns0:is>
      </ns0:c>
      <ns0:c r="B45" s="19" t="inlineStr">
        <ns0:is>
          <ns0:t>Multisite data availability</ns0:t>
        </ns0:is>
      </ns0:c>
      <ns0:c r="C45" s="19" t="inlineStr">
        <ns0:is>
          <ns0:t>multisite_dataset</ns0:t>
        </ns0:is>
      </ns0:c>
      <ns0:c r="D45" s="27">
        <ns0:f>COUNTIFS('BASE_CIERRE'!$G$5:$G$458,1,'BASE_CIERRE'!$H$5:$H$458,"Monitoring/intervention",'BASE_CIERRE'!$V$5:$V$458,"Reported")</ns0:f>
        <ns0:v>2</ns0:v>
      </ns0:c>
      <ns0:c r="E45" s="27">
        <ns0:f>COUNTIFS('BASE_CIERRE'!$G$5:$G$458,1,'BASE_CIERRE'!$H$5:$H$458,"Monitoring/intervention",'BASE_CIERRE'!$V$5:$V$458,"Not reported in assessed sources")</ns0:f>
        <ns0:v>36</ns0:v>
      </ns0:c>
      <ns0:c r="F45" s="27">
        <ns0:f>COUNTIFS('BASE_CIERRE'!$G$5:$G$458,1,'BASE_CIERRE'!$H$5:$H$458,"Monitoring/intervention",'BASE_CIERRE'!$V$5:$V$458,"Not ascertainable")</ns0:f>
        <ns0:v>0</ns0:v>
      </ns0:c>
      <ns0:c r="G45" s="27">
        <ns0:f>SUM(D45:F45)</ns0:f>
        <ns0:v>38</ns0:v>
      </ns0:c>
      <ns0:c r="H45" s="31">
        <ns0:f>IFERROR(D45/G45,0)</ns0:f>
        <ns0:v>0.05263157894736842</ns0:v>
      </ns0:c>
      <ns0:c r="I45" s="31">
        <ns0:f>IFERROR(D45/(G45-F45),0)</ns0:f>
        <ns0:v>0.05263157894736842</ns0:v>
      </ns0:c>
    </ns0:row>
    <ns0:row r="46" ht="32" customHeight="1">
      <ns0:c r="A46" s="21" t="inlineStr">
        <ns0:is>
          <ns0:t>Not specified</ns0:t>
        </ns0:is>
      </ns0:c>
      <ns0:c r="B46" s="21" t="inlineStr">
        <ns0:is>
          <ns0:t>Multisite data availability</ns0:t>
        </ns0:is>
      </ns0:c>
      <ns0:c r="C46" s="21" t="inlineStr">
        <ns0:is>
          <ns0:t>multisite_dataset</ns0:t>
        </ns0:is>
      </ns0:c>
      <ns0:c r="D46" s="29">
        <ns0:f>COUNTIFS('BASE_CIERRE'!$G$5:$G$458,1,'BASE_CIERRE'!$H$5:$H$458,"Not specified",'BASE_CIERRE'!$V$5:$V$458,"Reported")</ns0:f>
        <ns0:v>2</ns0:v>
      </ns0:c>
      <ns0:c r="E46" s="29">
        <ns0:f>COUNTIFS('BASE_CIERRE'!$G$5:$G$458,1,'BASE_CIERRE'!$H$5:$H$458,"Not specified",'BASE_CIERRE'!$V$5:$V$458,"Not reported in assessed sources")</ns0:f>
        <ns0:v>29</ns0:v>
      </ns0:c>
      <ns0:c r="F46" s="29">
        <ns0:f>COUNTIFS('BASE_CIERRE'!$G$5:$G$458,1,'BASE_CIERRE'!$H$5:$H$458,"Not specified",'BASE_CIERRE'!$V$5:$V$458,"Not ascertainable")</ns0:f>
        <ns0:v>0</ns0:v>
      </ns0:c>
      <ns0:c r="G46" s="29">
        <ns0:f>SUM(D46:F46)</ns0:f>
        <ns0:v>31</ns0:v>
      </ns0:c>
      <ns0:c r="H46" s="32">
        <ns0:f>IFERROR(D46/G46,0)</ns0:f>
        <ns0:v>0.06451612903225806</ns0:v>
      </ns0:c>
      <ns0:c r="I46" s="32">
        <ns0:f>IFERROR(D46/(G46-F46),0)</ns0:f>
        <ns0:v>0.06451612903225806</ns0:v>
      </ns0:c>
    </ns0:row>
    <ns0:row r="47" ht="32" customHeight="1">
      <ns0:c r="A47" s="19" t="inlineStr">
        <ns0:is>
          <ns0:t>All included</ns0:t>
        </ns0:is>
      </ns0:c>
      <ns0:c r="B47" s="19" t="inlineStr">
        <ns0:is>
          <ns0:t>Prospective AI evaluation</ns0:t>
        </ns0:is>
      </ns0:c>
      <ns0:c r="C47" s="19" t="inlineStr">
        <ns0:is>
          <ns0:t>prospective_evaluation</ns0:t>
        </ns0:is>
      </ns0:c>
      <ns0:c r="D47" s="27">
        <ns0:f>COUNTIFS('BASE_CIERRE'!$G$5:$G$458,1,'BASE_CIERRE'!$X$5:$X$458,"Reported")</ns0:f>
        <ns0:v>18</ns0:v>
      </ns0:c>
      <ns0:c r="E47" s="27">
        <ns0:f>COUNTIFS('BASE_CIERRE'!$G$5:$G$458,1,'BASE_CIERRE'!$X$5:$X$458,"Not reported in assessed sources")</ns0:f>
        <ns0:v>409</ns0:v>
      </ns0:c>
      <ns0:c r="F47" s="27">
        <ns0:f>COUNTIFS('BASE_CIERRE'!$G$5:$G$458,1,'BASE_CIERRE'!$X$5:$X$458,"Not ascertainable")</ns0:f>
        <ns0:v>1</ns0:v>
      </ns0:c>
      <ns0:c r="G47" s="27">
        <ns0:f>SUM(D47:F47)</ns0:f>
        <ns0:v>428</ns0:v>
      </ns0:c>
      <ns0:c r="H47" s="31">
        <ns0:f>IFERROR(D47/G47,0)</ns0:f>
        <ns0:v>0.04205607476635514</ns0:v>
      </ns0:c>
      <ns0:c r="I47" s="31">
        <ns0:f>IFERROR(D47/(G47-F47),0)</ns0:f>
        <ns0:v>0.04215456674473068</ns0:v>
      </ns0:c>
    </ns0:row>
    <ns0:row r="48" ht="32" customHeight="1">
      <ns0:c r="A48" s="21" t="inlineStr">
        <ns0:is>
          <ns0:t>Prescreening</ns0:t>
        </ns0:is>
      </ns0:c>
      <ns0:c r="B48" s="21" t="inlineStr">
        <ns0:is>
          <ns0:t>Prospective AI evaluation</ns0:t>
        </ns0:is>
      </ns0:c>
      <ns0:c r="C48" s="21" t="inlineStr">
        <ns0:is>
          <ns0:t>prospective_evaluation</ns0:t>
        </ns0:is>
      </ns0:c>
      <ns0:c r="D48" s="29">
        <ns0:f>COUNTIFS('BASE_CIERRE'!$G$5:$G$458,1,'BASE_CIERRE'!$H$5:$H$458,"Prescreening",'BASE_CIERRE'!$X$5:$X$458,"Reported")</ns0:f>
        <ns0:v>0</ns0:v>
      </ns0:c>
      <ns0:c r="E48" s="29">
        <ns0:f>COUNTIFS('BASE_CIERRE'!$G$5:$G$458,1,'BASE_CIERRE'!$H$5:$H$458,"Prescreening",'BASE_CIERRE'!$X$5:$X$458,"Not reported in assessed sources")</ns0:f>
        <ns0:v>8</ns0:v>
      </ns0:c>
      <ns0:c r="F48" s="29">
        <ns0:f>COUNTIFS('BASE_CIERRE'!$G$5:$G$458,1,'BASE_CIERRE'!$H$5:$H$458,"Prescreening",'BASE_CIERRE'!$X$5:$X$458,"Not ascertainable")</ns0:f>
        <ns0:v>0</ns0:v>
      </ns0:c>
      <ns0:c r="G48" s="29">
        <ns0:f>SUM(D48:F48)</ns0:f>
        <ns0:v>8</ns0:v>
      </ns0:c>
      <ns0:c r="H48" s="32">
        <ns0:f>IFERROR(D48/G48,0)</ns0:f>
        <ns0:v>0</ns0:v>
      </ns0:c>
      <ns0:c r="I48" s="32">
        <ns0:f>IFERROR(D48/(G48-F48),0)</ns0:f>
        <ns0:v>0</ns0:v>
      </ns0:c>
    </ns0:row>
    <ns0:row r="49" ht="32" customHeight="1">
      <ns0:c r="A49" s="19" t="inlineStr">
        <ns0:is>
          <ns0:t>Screening</ns0:t>
        </ns0:is>
      </ns0:c>
      <ns0:c r="B49" s="19" t="inlineStr">
        <ns0:is>
          <ns0:t>Prospective AI evaluation</ns0:t>
        </ns0:is>
      </ns0:c>
      <ns0:c r="C49" s="19" t="inlineStr">
        <ns0:is>
          <ns0:t>prospective_evaluation</ns0:t>
        </ns0:is>
      </ns0:c>
      <ns0:c r="D49" s="27">
        <ns0:f>COUNTIFS('BASE_CIERRE'!$G$5:$G$458,1,'BASE_CIERRE'!$H$5:$H$458,"Screening",'BASE_CIERRE'!$X$5:$X$458,"Reported")</ns0:f>
        <ns0:v>4</ns0:v>
      </ns0:c>
      <ns0:c r="E49" s="27">
        <ns0:f>COUNTIFS('BASE_CIERRE'!$G$5:$G$458,1,'BASE_CIERRE'!$H$5:$H$458,"Screening",'BASE_CIERRE'!$X$5:$X$458,"Not reported in assessed sources")</ns0:f>
        <ns0:v>109</ns0:v>
      </ns0:c>
      <ns0:c r="F49" s="27">
        <ns0:f>COUNTIFS('BASE_CIERRE'!$G$5:$G$458,1,'BASE_CIERRE'!$H$5:$H$458,"Screening",'BASE_CIERRE'!$X$5:$X$458,"Not ascertainable")</ns0:f>
        <ns0:v>0</ns0:v>
      </ns0:c>
      <ns0:c r="G49" s="27">
        <ns0:f>SUM(D49:F49)</ns0:f>
        <ns0:v>113</ns0:v>
      </ns0:c>
      <ns0:c r="H49" s="31">
        <ns0:f>IFERROR(D49/G49,0)</ns0:f>
        <ns0:v>0.035398230088495575</ns0:v>
      </ns0:c>
      <ns0:c r="I49" s="31">
        <ns0:f>IFERROR(D49/(G49-F49),0)</ns0:f>
        <ns0:v>0.035398230088495575</ns0:v>
      </ns0:c>
    </ns0:row>
    <ns0:row r="50" ht="32" customHeight="1">
      <ns0:c r="A50" s="21" t="inlineStr">
        <ns0:is>
          <ns0:t>Diagnosis</ns0:t>
        </ns0:is>
      </ns0:c>
      <ns0:c r="B50" s="21" t="inlineStr">
        <ns0:is>
          <ns0:t>Prospective AI evaluation</ns0:t>
        </ns0:is>
      </ns0:c>
      <ns0:c r="C50" s="21" t="inlineStr">
        <ns0:is>
          <ns0:t>prospective_evaluation</ns0:t>
        </ns0:is>
      </ns0:c>
      <ns0:c r="D50" s="29">
        <ns0:f>COUNTIFS('BASE_CIERRE'!$G$5:$G$458,1,'BASE_CIERRE'!$H$5:$H$458,"Diagnosis",'BASE_CIERRE'!$X$5:$X$458,"Reported")</ns0:f>
        <ns0:v>1</ns0:v>
      </ns0:c>
      <ns0:c r="E50" s="29">
        <ns0:f>COUNTIFS('BASE_CIERRE'!$G$5:$G$458,1,'BASE_CIERRE'!$H$5:$H$458,"Diagnosis",'BASE_CIERRE'!$X$5:$X$458,"Not reported in assessed sources")</ns0:f>
        <ns0:v>215</ns0:v>
      </ns0:c>
      <ns0:c r="F50" s="29">
        <ns0:f>COUNTIFS('BASE_CIERRE'!$G$5:$G$458,1,'BASE_CIERRE'!$H$5:$H$458,"Diagnosis",'BASE_CIERRE'!$X$5:$X$458,"Not ascertainable")</ns0:f>
        <ns0:v>0</ns0:v>
      </ns0:c>
      <ns0:c r="G50" s="29">
        <ns0:f>SUM(D50:F50)</ns0:f>
        <ns0:v>216</ns0:v>
      </ns0:c>
      <ns0:c r="H50" s="32">
        <ns0:f>IFERROR(D50/G50,0)</ns0:f>
        <ns0:v>0.004629629629629629</ns0:v>
      </ns0:c>
      <ns0:c r="I50" s="32">
        <ns0:f>IFERROR(D50/(G50-F50),0)</ns0:f>
        <ns0:v>0.004629629629629629</ns0:v>
      </ns0:c>
    </ns0:row>
    <ns0:row r="51" ht="32" customHeight="1">
      <ns0:c r="A51" s="19" t="inlineStr">
        <ns0:is>
          <ns0:t>Prognosis</ns0:t>
        </ns0:is>
      </ns0:c>
      <ns0:c r="B51" s="19" t="inlineStr">
        <ns0:is>
          <ns0:t>Prospective AI evaluation</ns0:t>
        </ns0:is>
      </ns0:c>
      <ns0:c r="C51" s="19" t="inlineStr">
        <ns0:is>
          <ns0:t>prospective_evaluation</ns0:t>
        </ns0:is>
      </ns0:c>
      <ns0:c r="D51" s="27">
        <ns0:f>COUNTIFS('BASE_CIERRE'!$G$5:$G$458,1,'BASE_CIERRE'!$H$5:$H$458,"Prognosis",'BASE_CIERRE'!$X$5:$X$458,"Reported")</ns0:f>
        <ns0:v>0</ns0:v>
      </ns0:c>
      <ns0:c r="E51" s="27">
        <ns0:f>COUNTIFS('BASE_CIERRE'!$G$5:$G$458,1,'BASE_CIERRE'!$H$5:$H$458,"Prognosis",'BASE_CIERRE'!$X$5:$X$458,"Not reported in assessed sources")</ns0:f>
        <ns0:v>22</ns0:v>
      </ns0:c>
      <ns0:c r="F51" s="27">
        <ns0:f>COUNTIFS('BASE_CIERRE'!$G$5:$G$458,1,'BASE_CIERRE'!$H$5:$H$458,"Prognosis",'BASE_CIERRE'!$X$5:$X$458,"Not ascertainable")</ns0:f>
        <ns0:v>0</ns0:v>
      </ns0:c>
      <ns0:c r="G51" s="27">
        <ns0:f>SUM(D51:F51)</ns0:f>
        <ns0:v>22</ns0:v>
      </ns0:c>
      <ns0:c r="H51" s="31">
        <ns0:f>IFERROR(D51/G51,0)</ns0:f>
        <ns0:v>0</ns0:v>
      </ns0:c>
      <ns0:c r="I51" s="31">
        <ns0:f>IFERROR(D51/(G51-F51),0)</ns0:f>
        <ns0:v>0</ns0:v>
      </ns0:c>
    </ns0:row>
    <ns0:row r="52" ht="32" customHeight="1">
      <ns0:c r="A52" s="21" t="inlineStr">
        <ns0:is>
          <ns0:t>Monitoring/intervention</ns0:t>
        </ns0:is>
      </ns0:c>
      <ns0:c r="B52" s="21" t="inlineStr">
        <ns0:is>
          <ns0:t>Prospective AI evaluation</ns0:t>
        </ns0:is>
      </ns0:c>
      <ns0:c r="C52" s="21" t="inlineStr">
        <ns0:is>
          <ns0:t>prospective_evaluation</ns0:t>
        </ns0:is>
      </ns0:c>
      <ns0:c r="D52" s="29">
        <ns0:f>COUNTIFS('BASE_CIERRE'!$G$5:$G$458,1,'BASE_CIERRE'!$H$5:$H$458,"Monitoring/intervention",'BASE_CIERRE'!$X$5:$X$458,"Reported")</ns0:f>
        <ns0:v>13</ns0:v>
      </ns0:c>
      <ns0:c r="E52" s="29">
        <ns0:f>COUNTIFS('BASE_CIERRE'!$G$5:$G$458,1,'BASE_CIERRE'!$H$5:$H$458,"Monitoring/intervention",'BASE_CIERRE'!$X$5:$X$458,"Not reported in assessed sources")</ns0:f>
        <ns0:v>24</ns0:v>
      </ns0:c>
      <ns0:c r="F52" s="29">
        <ns0:f>COUNTIFS('BASE_CIERRE'!$G$5:$G$458,1,'BASE_CIERRE'!$H$5:$H$458,"Monitoring/intervention",'BASE_CIERRE'!$X$5:$X$458,"Not ascertainable")</ns0:f>
        <ns0:v>1</ns0:v>
      </ns0:c>
      <ns0:c r="G52" s="29">
        <ns0:f>SUM(D52:F52)</ns0:f>
        <ns0:v>38</ns0:v>
      </ns0:c>
      <ns0:c r="H52" s="32">
        <ns0:f>IFERROR(D52/G52,0)</ns0:f>
        <ns0:v>0.34210526315789475</ns0:v>
      </ns0:c>
      <ns0:c r="I52" s="32">
        <ns0:f>IFERROR(D52/(G52-F52),0)</ns0:f>
        <ns0:v>0.35135135135135137</ns0:v>
      </ns0:c>
    </ns0:row>
    <ns0:row r="53" ht="32" customHeight="1">
      <ns0:c r="A53" s="19" t="inlineStr">
        <ns0:is>
          <ns0:t>Not specified</ns0:t>
        </ns0:is>
      </ns0:c>
      <ns0:c r="B53" s="19" t="inlineStr">
        <ns0:is>
          <ns0:t>Prospective AI evaluation</ns0:t>
        </ns0:is>
      </ns0:c>
      <ns0:c r="C53" s="19" t="inlineStr">
        <ns0:is>
          <ns0:t>prospective_evaluation</ns0:t>
        </ns0:is>
      </ns0:c>
      <ns0:c r="D53" s="27">
        <ns0:f>COUNTIFS('BASE_CIERRE'!$G$5:$G$458,1,'BASE_CIERRE'!$H$5:$H$458,"Not specified",'BASE_CIERRE'!$X$5:$X$458,"Reported")</ns0:f>
        <ns0:v>0</ns0:v>
      </ns0:c>
      <ns0:c r="E53" s="27">
        <ns0:f>COUNTIFS('BASE_CIERRE'!$G$5:$G$458,1,'BASE_CIERRE'!$H$5:$H$458,"Not specified",'BASE_CIERRE'!$X$5:$X$458,"Not reported in assessed sources")</ns0:f>
        <ns0:v>31</ns0:v>
      </ns0:c>
      <ns0:c r="F53" s="27">
        <ns0:f>COUNTIFS('BASE_CIERRE'!$G$5:$G$458,1,'BASE_CIERRE'!$H$5:$H$458,"Not specified",'BASE_CIERRE'!$X$5:$X$458,"Not ascertainable")</ns0:f>
        <ns0:v>0</ns0:v>
      </ns0:c>
      <ns0:c r="G53" s="27">
        <ns0:f>SUM(D53:F53)</ns0:f>
        <ns0:v>31</ns0:v>
      </ns0:c>
      <ns0:c r="H53" s="31">
        <ns0:f>IFERROR(D53/G53,0)</ns0:f>
        <ns0:v>0</ns0:v>
      </ns0:c>
      <ns0:c r="I53" s="31">
        <ns0:f>IFERROR(D53/(G53-F53),0)</ns0:f>
        <ns0:v>0</ns0:v>
      </ns0:c>
    </ns0:row>
  </ns0:sheetData>
  <ns0:autoFilter ref="A4:I53"/>
  <ns0:mergeCells count="2">
    <ns0:mergeCell ref="A1:I1"/>
    <ns0:mergeCell ref="A2:I2"/>
  </ns0:mergeCells>
  <ns0:printOptions horizontalCentered="1"/>
  <ns0:pageMargins left="0.75" right="0.75" top="1" bottom="1" header="0.5" footer="0.5"/>
  <ns0:pageSetup orientation="landscape" paperSize="8" fitToHeight="0" fitToWidth="1"/>
</ns0:worksheet>
</file>

<file path=xl/worksheets/sheet10.xml><?xml version="1.0" encoding="utf-8"?>
<ns0:worksheet xmlns:ns0="http://schemas.openxmlformats.org/spreadsheetml/2006/main">
  <ns0:sheetPr>
    <ns0:tabColor rgb="00177E89"/>
    <ns0:outlinePr summaryBelow="1" summaryRight="0"/>
    <ns0:pageSetUpPr fitToPage="1"/>
  </ns0:sheetPr>
  <ns0:dimension ref="A1:L364"/>
  <ns0:sheetViews>
    <ns0:sheetView showGridLines="0" workbookViewId="0">
      <ns0:pane xSplit="2" ySplit="4" topLeftCell="C5" activePane="bottomRight" state="frozen"/>
      <ns0:selection pane="topRight"/>
      <ns0:selection pane="bottomLeft"/>
      <ns0:selection pane="bottomRight" activeCell="A1" sqref="A1"/>
    </ns0:sheetView>
  </ns0:sheetViews>
  <ns0:sheetFormatPr baseColWidth="8" defaultRowHeight="15"/>
  <ns0:cols>
    <ns0:col width="28" customWidth="1" min="1" max="1"/>
    <ns0:col width="48" customWidth="1" min="2" max="2"/>
    <ns0:col width="24" customWidth="1" min="3" max="3"/>
    <ns0:col width="43" customWidth="1" min="4" max="4"/>
    <ns0:col hidden="1" width="27" customWidth="1" min="5" max="5"/>
    <ns0:col width="24" customWidth="1" min="6" max="6"/>
    <ns0:col width="24" customWidth="1" min="7" max="7"/>
    <ns0:col width="24" customWidth="1" min="8" max="8"/>
    <ns0:col width="24" customWidth="1" min="9" max="9"/>
    <ns0:col width="21" customWidth="1" min="10" max="10"/>
    <ns0:col width="27" customWidth="1" min="11" max="11"/>
    <ns0:col width="75" customWidth="1" min="12" max="12"/>
  </ns0:cols>
  <ns0:sheetData>
    <ns0:row r="1" ht="36" customHeight="1">
      <ns0:c r="A1" s="16" t="inlineStr">
        <ns0:is>
          <ns0:t>RQ3 | Practicas en todos los perfiles</ns0:t>
        </ns0:is>
      </ns0:c>
    </ns0:row>
    <ns0:row r="2" ht="32" customHeight="1">
      <ns0:c r="A2" s="17" t="inlineStr">
        <ns0:is>
          <ns0:t>Not reported se refiere al material evaluado, no a ausencia real. Multisite data y cross-site evaluation son variables distintas. XAI amplio y estricto no se suman.</ns0:t>
        </ns0:is>
      </ns0:c>
    </ns0:row>
    <ns0:row r="4" ht="34" customHeight="1">
      <ns0:c r="A4" s="18" t="inlineStr">
        <ns0:is>
          <ns0:t>stage_primary</ns0:t>
        </ns0:is>
      </ns0:c>
      <ns0:c r="B4" s="18" t="inlineStr">
        <ns0:is>
          <ns0:t>data_source_primary</ns0:t>
        </ns0:is>
      </ns0:c>
      <ns0:c r="C4" s="18" t="inlineStr">
        <ns0:is>
          <ns0:t>ai_type</ns0:t>
        </ns0:is>
      </ns0:c>
      <ns0:c r="D4" s="18" t="inlineStr">
        <ns0:is>
          <ns0:t>practice</ns0:t>
        </ns0:is>
      </ns0:c>
      <ns0:c r="E4" s="18" t="inlineStr">
        <ns0:is>
          <ns0:t>field</ns0:t>
        </ns0:is>
      </ns0:c>
      <ns0:c r="F4" s="18" t="inlineStr">
        <ns0:is>
          <ns0:t>reported</ns0:t>
        </ns0:is>
      </ns0:c>
      <ns0:c r="G4" s="18" t="inlineStr">
        <ns0:is>
          <ns0:t>not_reported</ns0:t>
        </ns0:is>
      </ns0:c>
      <ns0:c r="H4" s="18" t="inlineStr">
        <ns0:is>
          <ns0:t>not_ascertainable</ns0:t>
        </ns0:is>
      </ns0:c>
      <ns0:c r="I4" s="18" t="inlineStr">
        <ns0:is>
          <ns0:t>denominator</ns0:t>
        </ns0:is>
      </ns0:c>
      <ns0:c r="J4" s="18" t="inlineStr">
        <ns0:is>
          <ns0:t>reported_fraction</ns0:t>
        </ns0:is>
      </ns0:c>
      <ns0:c r="K4" s="18" t="inlineStr">
        <ns0:is>
          <ns0:t>fraction_excluding_unknown</ns0:t>
        </ns0:is>
      </ns0:c>
      <ns0:c r="L4" s="18" t="inlineStr">
        <ns0:is>
          <ns0:t>study_ids</ns0:t>
        </ns0:is>
      </ns0:c>
    </ns0:row>
    <ns0:row r="5" ht="32" customHeight="1">
      <ns0:c r="A5" s="19" t="inlineStr">
        <ns0:is>
          <ns0:t>Diagnosis</ns0:t>
        </ns0:is>
      </ns0:c>
      <ns0:c r="B5" s="19" t="inlineStr">
        <ns0:is>
          <ns0:t>Audio/voice</ns0:t>
        </ns0:is>
      </ns0:c>
      <ns0:c r="C5" s="19" t="inlineStr">
        <ns0:is>
          <ns0:t>Hybrid</ns0:t>
        </ns0:is>
      </ns0:c>
      <ns0:c r="D5" s="19" t="inlineStr">
        <ns0:is>
          <ns0:t>External validation</ns0:t>
        </ns0:is>
      </ns0:c>
      <ns0:c r="E5" s="19" t="inlineStr">
        <ns0:is>
          <ns0:t>external_validation</ns0:t>
        </ns0:is>
      </ns0:c>
      <ns0:c r="F5" s="27">
        <ns0:f>COUNTIFS('BASE_CIERRE'!$G$5:$G$458,1,'BASE_CIERRE'!$H$5:$H$458,"Diagnosis",'BASE_CIERRE'!$J$5:$J$458,"Audio/voice",'BASE_CIERRE'!$I$5:$I$458,"Hybrid",'BASE_CIERRE'!$Q$5:$Q$458,"Reported")</ns0:f>
        <ns0:v>0</ns0:v>
      </ns0:c>
      <ns0:c r="G5" s="27">
        <ns0:f>COUNTIFS('BASE_CIERRE'!$G$5:$G$458,1,'BASE_CIERRE'!$H$5:$H$458,"Diagnosis",'BASE_CIERRE'!$J$5:$J$458,"Audio/voice",'BASE_CIERRE'!$I$5:$I$458,"Hybrid",'BASE_CIERRE'!$Q$5:$Q$458,"Not reported in assessed sources")</ns0:f>
        <ns0:v>1</ns0:v>
      </ns0:c>
      <ns0:c r="H5" s="27">
        <ns0:f>COUNTIFS('BASE_CIERRE'!$G$5:$G$458,1,'BASE_CIERRE'!$H$5:$H$458,"Diagnosis",'BASE_CIERRE'!$J$5:$J$458,"Audio/voice",'BASE_CIERRE'!$I$5:$I$458,"Hybrid",'BASE_CIERRE'!$Q$5:$Q$458,"Not ascertainable")</ns0:f>
        <ns0:v>0</ns0:v>
      </ns0:c>
      <ns0:c r="I5" s="27">
        <ns0:f>SUM(F5:H5)</ns0:f>
        <ns0:v>1</ns0:v>
      </ns0:c>
      <ns0:c r="J5" s="31">
        <ns0:f>IFERROR(F5/I5,0)</ns0:f>
        <ns0:v>0</ns0:v>
      </ns0:c>
      <ns0:c r="K5" s="31">
        <ns0:f>IFERROR(F5/(I5-H5),0)</ns0:f>
        <ns0:v>0</ns0:v>
      </ns0:c>
      <ns0:c r="L5" s="19" t="inlineStr">
        <ns0:is>
          <ns0:t>9</ns0:t>
        </ns0:is>
      </ns0:c>
    </ns0:row>
    <ns0:row r="6" ht="32" customHeight="1">
      <ns0:c r="A6" s="21" t="inlineStr">
        <ns0:is>
          <ns0:t>Diagnosis</ns0:t>
        </ns0:is>
      </ns0:c>
      <ns0:c r="B6" s="21" t="inlineStr">
        <ns0:is>
          <ns0:t>Audio/voice</ns0:t>
        </ns0:is>
      </ns0:c>
      <ns0:c r="C6" s="21" t="inlineStr">
        <ns0:is>
          <ns0:t>Hybrid</ns0:t>
        </ns0:is>
      </ns0:c>
      <ns0:c r="D6" s="21" t="inlineStr">
        <ns0:is>
          <ns0:t>Multisource integration</ns0:t>
        </ns0:is>
      </ns0:c>
      <ns0:c r="E6" s="21" t="inlineStr">
        <ns0:is>
          <ns0:t>multisource_integration</ns0:t>
        </ns0:is>
      </ns0:c>
      <ns0:c r="F6" s="29">
        <ns0:f>COUNTIFS('BASE_CIERRE'!$G$5:$G$458,1,'BASE_CIERRE'!$H$5:$H$458,"Diagnosis",'BASE_CIERRE'!$J$5:$J$458,"Audio/voice",'BASE_CIERRE'!$I$5:$I$458,"Hybrid",'BASE_CIERRE'!$R$5:$R$458,"Reported")</ns0:f>
        <ns0:v>0</ns0:v>
      </ns0:c>
      <ns0:c r="G6" s="29">
        <ns0:f>COUNTIFS('BASE_CIERRE'!$G$5:$G$458,1,'BASE_CIERRE'!$H$5:$H$458,"Diagnosis",'BASE_CIERRE'!$J$5:$J$458,"Audio/voice",'BASE_CIERRE'!$I$5:$I$458,"Hybrid",'BASE_CIERRE'!$R$5:$R$458,"Not reported in assessed sources")</ns0:f>
        <ns0:v>0</ns0:v>
      </ns0:c>
      <ns0:c r="H6" s="29">
        <ns0:f>COUNTIFS('BASE_CIERRE'!$G$5:$G$458,1,'BASE_CIERRE'!$H$5:$H$458,"Diagnosis",'BASE_CIERRE'!$J$5:$J$458,"Audio/voice",'BASE_CIERRE'!$I$5:$I$458,"Hybrid",'BASE_CIERRE'!$R$5:$R$458,"Not ascertainable")</ns0:f>
        <ns0:v>1</ns0:v>
      </ns0:c>
      <ns0:c r="I6" s="29">
        <ns0:f>SUM(F6:H6)</ns0:f>
        <ns0:v>1</ns0:v>
      </ns0:c>
      <ns0:c r="J6" s="32">
        <ns0:f>IFERROR(F6/I6,0)</ns0:f>
        <ns0:v>0</ns0:v>
      </ns0:c>
      <ns0:c r="K6" s="32">
        <ns0:f>IFERROR(F6/(I6-H6),0)</ns0:f>
        <ns0:v>0</ns0:v>
      </ns0:c>
      <ns0:c r="L6" s="21" t="inlineStr">
        <ns0:is>
          <ns0:t>9</ns0:t>
        </ns0:is>
      </ns0:c>
    </ns0:row>
    <ns0:row r="7" ht="32" customHeight="1">
      <ns0:c r="A7" s="19" t="inlineStr">
        <ns0:is>
          <ns0:t>Diagnosis</ns0:t>
        </ns0:is>
      </ns0:c>
      <ns0:c r="B7" s="19" t="inlineStr">
        <ns0:is>
          <ns0:t>Audio/voice</ns0:t>
        </ns0:is>
      </ns0:c>
      <ns0:c r="C7" s="19" t="inlineStr">
        <ns0:is>
          <ns0:t>Hybrid</ns0:t>
        </ns0:is>
      </ns0:c>
      <ns0:c r="D7" s="19" t="inlineStr">
        <ns0:is>
          <ns0:t>Explicit explainability (broad)</ns0:t>
        </ns0:is>
      </ns0:c>
      <ns0:c r="E7" s="19" t="inlineStr">
        <ns0:is>
          <ns0:t>xai_broad</ns0:t>
        </ns0:is>
      </ns0:c>
      <ns0:c r="F7" s="27">
        <ns0:f>COUNTIFS('BASE_CIERRE'!$G$5:$G$458,1,'BASE_CIERRE'!$H$5:$H$458,"Diagnosis",'BASE_CIERRE'!$J$5:$J$458,"Audio/voice",'BASE_CIERRE'!$I$5:$I$458,"Hybrid",'BASE_CIERRE'!$S$5:$S$458,"Reported")</ns0:f>
        <ns0:v>0</ns0:v>
      </ns0:c>
      <ns0:c r="G7" s="27">
        <ns0:f>COUNTIFS('BASE_CIERRE'!$G$5:$G$458,1,'BASE_CIERRE'!$H$5:$H$458,"Diagnosis",'BASE_CIERRE'!$J$5:$J$458,"Audio/voice",'BASE_CIERRE'!$I$5:$I$458,"Hybrid",'BASE_CIERRE'!$S$5:$S$458,"Not reported in assessed sources")</ns0:f>
        <ns0:v>1</ns0:v>
      </ns0:c>
      <ns0:c r="H7" s="27">
        <ns0:f>COUNTIFS('BASE_CIERRE'!$G$5:$G$458,1,'BASE_CIERRE'!$H$5:$H$458,"Diagnosis",'BASE_CIERRE'!$J$5:$J$458,"Audio/voice",'BASE_CIERRE'!$I$5:$I$458,"Hybrid",'BASE_CIERRE'!$S$5:$S$458,"Not ascertainable")</ns0:f>
        <ns0:v>0</ns0:v>
      </ns0:c>
      <ns0:c r="I7" s="27">
        <ns0:f>SUM(F7:H7)</ns0:f>
        <ns0:v>1</ns0:v>
      </ns0:c>
      <ns0:c r="J7" s="31">
        <ns0:f>IFERROR(F7/I7,0)</ns0:f>
        <ns0:v>0</ns0:v>
      </ns0:c>
      <ns0:c r="K7" s="31">
        <ns0:f>IFERROR(F7/(I7-H7),0)</ns0:f>
        <ns0:v>0</ns0:v>
      </ns0:c>
      <ns0:c r="L7" s="19" t="inlineStr">
        <ns0:is>
          <ns0:t>9</ns0:t>
        </ns0:is>
      </ns0:c>
    </ns0:row>
    <ns0:row r="8" ht="32" customHeight="1">
      <ns0:c r="A8" s="21" t="inlineStr">
        <ns0:is>
          <ns0:t>Diagnosis</ns0:t>
        </ns0:is>
      </ns0:c>
      <ns0:c r="B8" s="21" t="inlineStr">
        <ns0:is>
          <ns0:t>Audio/voice</ns0:t>
        </ns0:is>
      </ns0:c>
      <ns0:c r="C8" s="21" t="inlineStr">
        <ns0:is>
          <ns0:t>Hybrid</ns0:t>
        </ns0:is>
      </ns0:c>
      <ns0:c r="D8" s="21" t="inlineStr">
        <ns0:is>
          <ns0:t>Cross-site evaluation</ns0:t>
        </ns0:is>
      </ns0:c>
      <ns0:c r="E8" s="21" t="inlineStr">
        <ns0:is>
          <ns0:t>cross_site_robustness</ns0:t>
        </ns0:is>
      </ns0:c>
      <ns0:c r="F8" s="29">
        <ns0:f>COUNTIFS('BASE_CIERRE'!$G$5:$G$458,1,'BASE_CIERRE'!$H$5:$H$458,"Diagnosis",'BASE_CIERRE'!$J$5:$J$458,"Audio/voice",'BASE_CIERRE'!$I$5:$I$458,"Hybrid",'BASE_CIERRE'!$U$5:$U$458,"Reported")</ns0:f>
        <ns0:v>0</ns0:v>
      </ns0:c>
      <ns0:c r="G8" s="29">
        <ns0:f>COUNTIFS('BASE_CIERRE'!$G$5:$G$458,1,'BASE_CIERRE'!$H$5:$H$458,"Diagnosis",'BASE_CIERRE'!$J$5:$J$458,"Audio/voice",'BASE_CIERRE'!$I$5:$I$458,"Hybrid",'BASE_CIERRE'!$U$5:$U$458,"Not reported in assessed sources")</ns0:f>
        <ns0:v>1</ns0:v>
      </ns0:c>
      <ns0:c r="H8" s="29">
        <ns0:f>COUNTIFS('BASE_CIERRE'!$G$5:$G$458,1,'BASE_CIERRE'!$H$5:$H$458,"Diagnosis",'BASE_CIERRE'!$J$5:$J$458,"Audio/voice",'BASE_CIERRE'!$I$5:$I$458,"Hybrid",'BASE_CIERRE'!$U$5:$U$458,"Not ascertainable")</ns0:f>
        <ns0:v>0</ns0:v>
      </ns0:c>
      <ns0:c r="I8" s="29">
        <ns0:f>SUM(F8:H8)</ns0:f>
        <ns0:v>1</ns0:v>
      </ns0:c>
      <ns0:c r="J8" s="32">
        <ns0:f>IFERROR(F8/I8,0)</ns0:f>
        <ns0:v>0</ns0:v>
      </ns0:c>
      <ns0:c r="K8" s="32">
        <ns0:f>IFERROR(F8/(I8-H8),0)</ns0:f>
        <ns0:v>0</ns0:v>
      </ns0:c>
      <ns0:c r="L8" s="21" t="inlineStr">
        <ns0:is>
          <ns0:t>9</ns0:t>
        </ns0:is>
      </ns0:c>
    </ns0:row>
    <ns0:row r="9" ht="32" customHeight="1">
      <ns0:c r="A9" s="19" t="inlineStr">
        <ns0:is>
          <ns0:t>Diagnosis</ns0:t>
        </ns0:is>
      </ns0:c>
      <ns0:c r="B9" s="19" t="inlineStr">
        <ns0:is>
          <ns0:t>Audio/voice</ns0:t>
        </ns0:is>
      </ns0:c>
      <ns0:c r="C9" s="19" t="inlineStr">
        <ns0:is>
          <ns0:t>Machine Learning</ns0:t>
        </ns0:is>
      </ns0:c>
      <ns0:c r="D9" s="19" t="inlineStr">
        <ns0:is>
          <ns0:t>External validation</ns0:t>
        </ns0:is>
      </ns0:c>
      <ns0:c r="E9" s="19" t="inlineStr">
        <ns0:is>
          <ns0:t>external_validation</ns0:t>
        </ns0:is>
      </ns0:c>
      <ns0:c r="F9" s="27">
        <ns0:f>COUNTIFS('BASE_CIERRE'!$G$5:$G$458,1,'BASE_CIERRE'!$H$5:$H$458,"Diagnosis",'BASE_CIERRE'!$J$5:$J$458,"Audio/voice",'BASE_CIERRE'!$I$5:$I$458,"Machine Learning",'BASE_CIERRE'!$Q$5:$Q$458,"Reported")</ns0:f>
        <ns0:v>0</ns0:v>
      </ns0:c>
      <ns0:c r="G9" s="27">
        <ns0:f>COUNTIFS('BASE_CIERRE'!$G$5:$G$458,1,'BASE_CIERRE'!$H$5:$H$458,"Diagnosis",'BASE_CIERRE'!$J$5:$J$458,"Audio/voice",'BASE_CIERRE'!$I$5:$I$458,"Machine Learning",'BASE_CIERRE'!$Q$5:$Q$458,"Not reported in assessed sources")</ns0:f>
        <ns0:v>1</ns0:v>
      </ns0:c>
      <ns0:c r="H9" s="27">
        <ns0:f>COUNTIFS('BASE_CIERRE'!$G$5:$G$458,1,'BASE_CIERRE'!$H$5:$H$458,"Diagnosis",'BASE_CIERRE'!$J$5:$J$458,"Audio/voice",'BASE_CIERRE'!$I$5:$I$458,"Machine Learning",'BASE_CIERRE'!$Q$5:$Q$458,"Not ascertainable")</ns0:f>
        <ns0:v>0</ns0:v>
      </ns0:c>
      <ns0:c r="I9" s="27">
        <ns0:f>SUM(F9:H9)</ns0:f>
        <ns0:v>1</ns0:v>
      </ns0:c>
      <ns0:c r="J9" s="31">
        <ns0:f>IFERROR(F9/I9,0)</ns0:f>
        <ns0:v>0</ns0:v>
      </ns0:c>
      <ns0:c r="K9" s="31">
        <ns0:f>IFERROR(F9/(I9-H9),0)</ns0:f>
        <ns0:v>0</ns0:v>
      </ns0:c>
      <ns0:c r="L9" s="19" t="inlineStr">
        <ns0:is>
          <ns0:t>237</ns0:t>
        </ns0:is>
      </ns0:c>
    </ns0:row>
    <ns0:row r="10" ht="32" customHeight="1">
      <ns0:c r="A10" s="21" t="inlineStr">
        <ns0:is>
          <ns0:t>Diagnosis</ns0:t>
        </ns0:is>
      </ns0:c>
      <ns0:c r="B10" s="21" t="inlineStr">
        <ns0:is>
          <ns0:t>Audio/voice</ns0:t>
        </ns0:is>
      </ns0:c>
      <ns0:c r="C10" s="21" t="inlineStr">
        <ns0:is>
          <ns0:t>Machine Learning</ns0:t>
        </ns0:is>
      </ns0:c>
      <ns0:c r="D10" s="21" t="inlineStr">
        <ns0:is>
          <ns0:t>Multisource integration</ns0:t>
        </ns0:is>
      </ns0:c>
      <ns0:c r="E10" s="21" t="inlineStr">
        <ns0:is>
          <ns0:t>multisource_integration</ns0:t>
        </ns0:is>
      </ns0:c>
      <ns0:c r="F10" s="29">
        <ns0:f>COUNTIFS('BASE_CIERRE'!$G$5:$G$458,1,'BASE_CIERRE'!$H$5:$H$458,"Diagnosis",'BASE_CIERRE'!$J$5:$J$458,"Audio/voice",'BASE_CIERRE'!$I$5:$I$458,"Machine Learning",'BASE_CIERRE'!$R$5:$R$458,"Reported")</ns0:f>
        <ns0:v>0</ns0:v>
      </ns0:c>
      <ns0:c r="G10" s="29">
        <ns0:f>COUNTIFS('BASE_CIERRE'!$G$5:$G$458,1,'BASE_CIERRE'!$H$5:$H$458,"Diagnosis",'BASE_CIERRE'!$J$5:$J$458,"Audio/voice",'BASE_CIERRE'!$I$5:$I$458,"Machine Learning",'BASE_CIERRE'!$R$5:$R$458,"Not reported in assessed sources")</ns0:f>
        <ns0:v>1</ns0:v>
      </ns0:c>
      <ns0:c r="H10" s="29">
        <ns0:f>COUNTIFS('BASE_CIERRE'!$G$5:$G$458,1,'BASE_CIERRE'!$H$5:$H$458,"Diagnosis",'BASE_CIERRE'!$J$5:$J$458,"Audio/voice",'BASE_CIERRE'!$I$5:$I$458,"Machine Learning",'BASE_CIERRE'!$R$5:$R$458,"Not ascertainable")</ns0:f>
        <ns0:v>0</ns0:v>
      </ns0:c>
      <ns0:c r="I10" s="29">
        <ns0:f>SUM(F10:H10)</ns0:f>
        <ns0:v>1</ns0:v>
      </ns0:c>
      <ns0:c r="J10" s="32">
        <ns0:f>IFERROR(F10/I10,0)</ns0:f>
        <ns0:v>0</ns0:v>
      </ns0:c>
      <ns0:c r="K10" s="32">
        <ns0:f>IFERROR(F10/(I10-H10),0)</ns0:f>
        <ns0:v>0</ns0:v>
      </ns0:c>
      <ns0:c r="L10" s="21" t="inlineStr">
        <ns0:is>
          <ns0:t>237</ns0:t>
        </ns0:is>
      </ns0:c>
    </ns0:row>
    <ns0:row r="11" ht="32" customHeight="1">
      <ns0:c r="A11" s="19" t="inlineStr">
        <ns0:is>
          <ns0:t>Diagnosis</ns0:t>
        </ns0:is>
      </ns0:c>
      <ns0:c r="B11" s="19" t="inlineStr">
        <ns0:is>
          <ns0:t>Audio/voice</ns0:t>
        </ns0:is>
      </ns0:c>
      <ns0:c r="C11" s="19" t="inlineStr">
        <ns0:is>
          <ns0:t>Machine Learning</ns0:t>
        </ns0:is>
      </ns0:c>
      <ns0:c r="D11" s="19" t="inlineStr">
        <ns0:is>
          <ns0:t>Explicit explainability (broad)</ns0:t>
        </ns0:is>
      </ns0:c>
      <ns0:c r="E11" s="19" t="inlineStr">
        <ns0:is>
          <ns0:t>xai_broad</ns0:t>
        </ns0:is>
      </ns0:c>
      <ns0:c r="F11" s="27">
        <ns0:f>COUNTIFS('BASE_CIERRE'!$G$5:$G$458,1,'BASE_CIERRE'!$H$5:$H$458,"Diagnosis",'BASE_CIERRE'!$J$5:$J$458,"Audio/voice",'BASE_CIERRE'!$I$5:$I$458,"Machine Learning",'BASE_CIERRE'!$S$5:$S$458,"Reported")</ns0:f>
        <ns0:v>0</ns0:v>
      </ns0:c>
      <ns0:c r="G11" s="27">
        <ns0:f>COUNTIFS('BASE_CIERRE'!$G$5:$G$458,1,'BASE_CIERRE'!$H$5:$H$458,"Diagnosis",'BASE_CIERRE'!$J$5:$J$458,"Audio/voice",'BASE_CIERRE'!$I$5:$I$458,"Machine Learning",'BASE_CIERRE'!$S$5:$S$458,"Not reported in assessed sources")</ns0:f>
        <ns0:v>1</ns0:v>
      </ns0:c>
      <ns0:c r="H11" s="27">
        <ns0:f>COUNTIFS('BASE_CIERRE'!$G$5:$G$458,1,'BASE_CIERRE'!$H$5:$H$458,"Diagnosis",'BASE_CIERRE'!$J$5:$J$458,"Audio/voice",'BASE_CIERRE'!$I$5:$I$458,"Machine Learning",'BASE_CIERRE'!$S$5:$S$458,"Not ascertainable")</ns0:f>
        <ns0:v>0</ns0:v>
      </ns0:c>
      <ns0:c r="I11" s="27">
        <ns0:f>SUM(F11:H11)</ns0:f>
        <ns0:v>1</ns0:v>
      </ns0:c>
      <ns0:c r="J11" s="31">
        <ns0:f>IFERROR(F11/I11,0)</ns0:f>
        <ns0:v>0</ns0:v>
      </ns0:c>
      <ns0:c r="K11" s="31">
        <ns0:f>IFERROR(F11/(I11-H11),0)</ns0:f>
        <ns0:v>0</ns0:v>
      </ns0:c>
      <ns0:c r="L11" s="19" t="inlineStr">
        <ns0:is>
          <ns0:t>237</ns0:t>
        </ns0:is>
      </ns0:c>
    </ns0:row>
    <ns0:row r="12" ht="32" customHeight="1">
      <ns0:c r="A12" s="21" t="inlineStr">
        <ns0:is>
          <ns0:t>Diagnosis</ns0:t>
        </ns0:is>
      </ns0:c>
      <ns0:c r="B12" s="21" t="inlineStr">
        <ns0:is>
          <ns0:t>Audio/voice</ns0:t>
        </ns0:is>
      </ns0:c>
      <ns0:c r="C12" s="21" t="inlineStr">
        <ns0:is>
          <ns0:t>Machine Learning</ns0:t>
        </ns0:is>
      </ns0:c>
      <ns0:c r="D12" s="21" t="inlineStr">
        <ns0:is>
          <ns0:t>Cross-site evaluation</ns0:t>
        </ns0:is>
      </ns0:c>
      <ns0:c r="E12" s="21" t="inlineStr">
        <ns0:is>
          <ns0:t>cross_site_robustness</ns0:t>
        </ns0:is>
      </ns0:c>
      <ns0:c r="F12" s="29">
        <ns0:f>COUNTIFS('BASE_CIERRE'!$G$5:$G$458,1,'BASE_CIERRE'!$H$5:$H$458,"Diagnosis",'BASE_CIERRE'!$J$5:$J$458,"Audio/voice",'BASE_CIERRE'!$I$5:$I$458,"Machine Learning",'BASE_CIERRE'!$U$5:$U$458,"Reported")</ns0:f>
        <ns0:v>0</ns0:v>
      </ns0:c>
      <ns0:c r="G12" s="29">
        <ns0:f>COUNTIFS('BASE_CIERRE'!$G$5:$G$458,1,'BASE_CIERRE'!$H$5:$H$458,"Diagnosis",'BASE_CIERRE'!$J$5:$J$458,"Audio/voice",'BASE_CIERRE'!$I$5:$I$458,"Machine Learning",'BASE_CIERRE'!$U$5:$U$458,"Not reported in assessed sources")</ns0:f>
        <ns0:v>1</ns0:v>
      </ns0:c>
      <ns0:c r="H12" s="29">
        <ns0:f>COUNTIFS('BASE_CIERRE'!$G$5:$G$458,1,'BASE_CIERRE'!$H$5:$H$458,"Diagnosis",'BASE_CIERRE'!$J$5:$J$458,"Audio/voice",'BASE_CIERRE'!$I$5:$I$458,"Machine Learning",'BASE_CIERRE'!$U$5:$U$458,"Not ascertainable")</ns0:f>
        <ns0:v>0</ns0:v>
      </ns0:c>
      <ns0:c r="I12" s="29">
        <ns0:f>SUM(F12:H12)</ns0:f>
        <ns0:v>1</ns0:v>
      </ns0:c>
      <ns0:c r="J12" s="32">
        <ns0:f>IFERROR(F12/I12,0)</ns0:f>
        <ns0:v>0</ns0:v>
      </ns0:c>
      <ns0:c r="K12" s="32">
        <ns0:f>IFERROR(F12/(I12-H12),0)</ns0:f>
        <ns0:v>0</ns0:v>
      </ns0:c>
      <ns0:c r="L12" s="21" t="inlineStr">
        <ns0:is>
          <ns0:t>237</ns0:t>
        </ns0:is>
      </ns0:c>
    </ns0:row>
    <ns0:row r="13" ht="32" customHeight="1">
      <ns0:c r="A13" s="19" t="inlineStr">
        <ns0:is>
          <ns0:t>Diagnosis</ns0:t>
        </ns0:is>
      </ns0:c>
      <ns0:c r="B13" s="19" t="inlineStr">
        <ns0:is>
          <ns0:t>Audio/voice</ns0:t>
        </ns0:is>
      </ns0:c>
      <ns0:c r="C13" s="19" t="inlineStr">
        <ns0:is>
          <ns0:t>Not specified</ns0:t>
        </ns0:is>
      </ns0:c>
      <ns0:c r="D13" s="19" t="inlineStr">
        <ns0:is>
          <ns0:t>External validation</ns0:t>
        </ns0:is>
      </ns0:c>
      <ns0:c r="E13" s="19" t="inlineStr">
        <ns0:is>
          <ns0:t>external_validation</ns0:t>
        </ns0:is>
      </ns0:c>
      <ns0:c r="F13" s="27">
        <ns0:f>COUNTIFS('BASE_CIERRE'!$G$5:$G$458,1,'BASE_CIERRE'!$H$5:$H$458,"Diagnosis",'BASE_CIERRE'!$J$5:$J$458,"Audio/voice",'BASE_CIERRE'!$I$5:$I$458,"Not specified",'BASE_CIERRE'!$Q$5:$Q$458,"Reported")</ns0:f>
        <ns0:v>0</ns0:v>
      </ns0:c>
      <ns0:c r="G13" s="27">
        <ns0:f>COUNTIFS('BASE_CIERRE'!$G$5:$G$458,1,'BASE_CIERRE'!$H$5:$H$458,"Diagnosis",'BASE_CIERRE'!$J$5:$J$458,"Audio/voice",'BASE_CIERRE'!$I$5:$I$458,"Not specified",'BASE_CIERRE'!$Q$5:$Q$458,"Not reported in assessed sources")</ns0:f>
        <ns0:v>1</ns0:v>
      </ns0:c>
      <ns0:c r="H13" s="27">
        <ns0:f>COUNTIFS('BASE_CIERRE'!$G$5:$G$458,1,'BASE_CIERRE'!$H$5:$H$458,"Diagnosis",'BASE_CIERRE'!$J$5:$J$458,"Audio/voice",'BASE_CIERRE'!$I$5:$I$458,"Not specified",'BASE_CIERRE'!$Q$5:$Q$458,"Not ascertainable")</ns0:f>
        <ns0:v>0</ns0:v>
      </ns0:c>
      <ns0:c r="I13" s="27">
        <ns0:f>SUM(F13:H13)</ns0:f>
        <ns0:v>1</ns0:v>
      </ns0:c>
      <ns0:c r="J13" s="31">
        <ns0:f>IFERROR(F13/I13,0)</ns0:f>
        <ns0:v>0</ns0:v>
      </ns0:c>
      <ns0:c r="K13" s="31">
        <ns0:f>IFERROR(F13/(I13-H13),0)</ns0:f>
        <ns0:v>0</ns0:v>
      </ns0:c>
      <ns0:c r="L13" s="19" t="inlineStr">
        <ns0:is>
          <ns0:t>10</ns0:t>
        </ns0:is>
      </ns0:c>
    </ns0:row>
    <ns0:row r="14" ht="32" customHeight="1">
      <ns0:c r="A14" s="21" t="inlineStr">
        <ns0:is>
          <ns0:t>Diagnosis</ns0:t>
        </ns0:is>
      </ns0:c>
      <ns0:c r="B14" s="21" t="inlineStr">
        <ns0:is>
          <ns0:t>Audio/voice</ns0:t>
        </ns0:is>
      </ns0:c>
      <ns0:c r="C14" s="21" t="inlineStr">
        <ns0:is>
          <ns0:t>Not specified</ns0:t>
        </ns0:is>
      </ns0:c>
      <ns0:c r="D14" s="21" t="inlineStr">
        <ns0:is>
          <ns0:t>Multisource integration</ns0:t>
        </ns0:is>
      </ns0:c>
      <ns0:c r="E14" s="21" t="inlineStr">
        <ns0:is>
          <ns0:t>multisource_integration</ns0:t>
        </ns0:is>
      </ns0:c>
      <ns0:c r="F14" s="29">
        <ns0:f>COUNTIFS('BASE_CIERRE'!$G$5:$G$458,1,'BASE_CIERRE'!$H$5:$H$458,"Diagnosis",'BASE_CIERRE'!$J$5:$J$458,"Audio/voice",'BASE_CIERRE'!$I$5:$I$458,"Not specified",'BASE_CIERRE'!$R$5:$R$458,"Reported")</ns0:f>
        <ns0:v>0</ns0:v>
      </ns0:c>
      <ns0:c r="G14" s="29">
        <ns0:f>COUNTIFS('BASE_CIERRE'!$G$5:$G$458,1,'BASE_CIERRE'!$H$5:$H$458,"Diagnosis",'BASE_CIERRE'!$J$5:$J$458,"Audio/voice",'BASE_CIERRE'!$I$5:$I$458,"Not specified",'BASE_CIERRE'!$R$5:$R$458,"Not reported in assessed sources")</ns0:f>
        <ns0:v>1</ns0:v>
      </ns0:c>
      <ns0:c r="H14" s="29">
        <ns0:f>COUNTIFS('BASE_CIERRE'!$G$5:$G$458,1,'BASE_CIERRE'!$H$5:$H$458,"Diagnosis",'BASE_CIERRE'!$J$5:$J$458,"Audio/voice",'BASE_CIERRE'!$I$5:$I$458,"Not specified",'BASE_CIERRE'!$R$5:$R$458,"Not ascertainable")</ns0:f>
        <ns0:v>0</ns0:v>
      </ns0:c>
      <ns0:c r="I14" s="29">
        <ns0:f>SUM(F14:H14)</ns0:f>
        <ns0:v>1</ns0:v>
      </ns0:c>
      <ns0:c r="J14" s="32">
        <ns0:f>IFERROR(F14/I14,0)</ns0:f>
        <ns0:v>0</ns0:v>
      </ns0:c>
      <ns0:c r="K14" s="32">
        <ns0:f>IFERROR(F14/(I14-H14),0)</ns0:f>
        <ns0:v>0</ns0:v>
      </ns0:c>
      <ns0:c r="L14" s="21" t="inlineStr">
        <ns0:is>
          <ns0:t>10</ns0:t>
        </ns0:is>
      </ns0:c>
    </ns0:row>
    <ns0:row r="15" ht="32" customHeight="1">
      <ns0:c r="A15" s="19" t="inlineStr">
        <ns0:is>
          <ns0:t>Diagnosis</ns0:t>
        </ns0:is>
      </ns0:c>
      <ns0:c r="B15" s="19" t="inlineStr">
        <ns0:is>
          <ns0:t>Audio/voice</ns0:t>
        </ns0:is>
      </ns0:c>
      <ns0:c r="C15" s="19" t="inlineStr">
        <ns0:is>
          <ns0:t>Not specified</ns0:t>
        </ns0:is>
      </ns0:c>
      <ns0:c r="D15" s="19" t="inlineStr">
        <ns0:is>
          <ns0:t>Explicit explainability (broad)</ns0:t>
        </ns0:is>
      </ns0:c>
      <ns0:c r="E15" s="19" t="inlineStr">
        <ns0:is>
          <ns0:t>xai_broad</ns0:t>
        </ns0:is>
      </ns0:c>
      <ns0:c r="F15" s="27">
        <ns0:f>COUNTIFS('BASE_CIERRE'!$G$5:$G$458,1,'BASE_CIERRE'!$H$5:$H$458,"Diagnosis",'BASE_CIERRE'!$J$5:$J$458,"Audio/voice",'BASE_CIERRE'!$I$5:$I$458,"Not specified",'BASE_CIERRE'!$S$5:$S$458,"Reported")</ns0:f>
        <ns0:v>0</ns0:v>
      </ns0:c>
      <ns0:c r="G15" s="27">
        <ns0:f>COUNTIFS('BASE_CIERRE'!$G$5:$G$458,1,'BASE_CIERRE'!$H$5:$H$458,"Diagnosis",'BASE_CIERRE'!$J$5:$J$458,"Audio/voice",'BASE_CIERRE'!$I$5:$I$458,"Not specified",'BASE_CIERRE'!$S$5:$S$458,"Not reported in assessed sources")</ns0:f>
        <ns0:v>1</ns0:v>
      </ns0:c>
      <ns0:c r="H15" s="27">
        <ns0:f>COUNTIFS('BASE_CIERRE'!$G$5:$G$458,1,'BASE_CIERRE'!$H$5:$H$458,"Diagnosis",'BASE_CIERRE'!$J$5:$J$458,"Audio/voice",'BASE_CIERRE'!$I$5:$I$458,"Not specified",'BASE_CIERRE'!$S$5:$S$458,"Not ascertainable")</ns0:f>
        <ns0:v>0</ns0:v>
      </ns0:c>
      <ns0:c r="I15" s="27">
        <ns0:f>SUM(F15:H15)</ns0:f>
        <ns0:v>1</ns0:v>
      </ns0:c>
      <ns0:c r="J15" s="31">
        <ns0:f>IFERROR(F15/I15,0)</ns0:f>
        <ns0:v>0</ns0:v>
      </ns0:c>
      <ns0:c r="K15" s="31">
        <ns0:f>IFERROR(F15/(I15-H15),0)</ns0:f>
        <ns0:v>0</ns0:v>
      </ns0:c>
      <ns0:c r="L15" s="19" t="inlineStr">
        <ns0:is>
          <ns0:t>10</ns0:t>
        </ns0:is>
      </ns0:c>
    </ns0:row>
    <ns0:row r="16" ht="32" customHeight="1">
      <ns0:c r="A16" s="21" t="inlineStr">
        <ns0:is>
          <ns0:t>Diagnosis</ns0:t>
        </ns0:is>
      </ns0:c>
      <ns0:c r="B16" s="21" t="inlineStr">
        <ns0:is>
          <ns0:t>Audio/voice</ns0:t>
        </ns0:is>
      </ns0:c>
      <ns0:c r="C16" s="21" t="inlineStr">
        <ns0:is>
          <ns0:t>Not specified</ns0:t>
        </ns0:is>
      </ns0:c>
      <ns0:c r="D16" s="21" t="inlineStr">
        <ns0:is>
          <ns0:t>Cross-site evaluation</ns0:t>
        </ns0:is>
      </ns0:c>
      <ns0:c r="E16" s="21" t="inlineStr">
        <ns0:is>
          <ns0:t>cross_site_robustness</ns0:t>
        </ns0:is>
      </ns0:c>
      <ns0:c r="F16" s="29">
        <ns0:f>COUNTIFS('BASE_CIERRE'!$G$5:$G$458,1,'BASE_CIERRE'!$H$5:$H$458,"Diagnosis",'BASE_CIERRE'!$J$5:$J$458,"Audio/voice",'BASE_CIERRE'!$I$5:$I$458,"Not specified",'BASE_CIERRE'!$U$5:$U$458,"Reported")</ns0:f>
        <ns0:v>0</ns0:v>
      </ns0:c>
      <ns0:c r="G16" s="29">
        <ns0:f>COUNTIFS('BASE_CIERRE'!$G$5:$G$458,1,'BASE_CIERRE'!$H$5:$H$458,"Diagnosis",'BASE_CIERRE'!$J$5:$J$458,"Audio/voice",'BASE_CIERRE'!$I$5:$I$458,"Not specified",'BASE_CIERRE'!$U$5:$U$458,"Not reported in assessed sources")</ns0:f>
        <ns0:v>1</ns0:v>
      </ns0:c>
      <ns0:c r="H16" s="29">
        <ns0:f>COUNTIFS('BASE_CIERRE'!$G$5:$G$458,1,'BASE_CIERRE'!$H$5:$H$458,"Diagnosis",'BASE_CIERRE'!$J$5:$J$458,"Audio/voice",'BASE_CIERRE'!$I$5:$I$458,"Not specified",'BASE_CIERRE'!$U$5:$U$458,"Not ascertainable")</ns0:f>
        <ns0:v>0</ns0:v>
      </ns0:c>
      <ns0:c r="I16" s="29">
        <ns0:f>SUM(F16:H16)</ns0:f>
        <ns0:v>1</ns0:v>
      </ns0:c>
      <ns0:c r="J16" s="32">
        <ns0:f>IFERROR(F16/I16,0)</ns0:f>
        <ns0:v>0</ns0:v>
      </ns0:c>
      <ns0:c r="K16" s="32">
        <ns0:f>IFERROR(F16/(I16-H16),0)</ns0:f>
        <ns0:v>0</ns0:v>
      </ns0:c>
      <ns0:c r="L16" s="21" t="inlineStr">
        <ns0:is>
          <ns0:t>10</ns0:t>
        </ns0:is>
      </ns0:c>
    </ns0:row>
    <ns0:row r="17" ht="32" customHeight="1">
      <ns0:c r="A17" s="19" t="inlineStr">
        <ns0:is>
          <ns0:t>Diagnosis</ns0:t>
        </ns0:is>
      </ns0:c>
      <ns0:c r="B17" s="19" t="inlineStr">
        <ns0:is>
          <ns0:t>Behavioral images/video/gaze/movement</ns0:t>
        </ns0:is>
      </ns0:c>
      <ns0:c r="C17" s="19" t="inlineStr">
        <ns0:is>
          <ns0:t>Deep Learning</ns0:t>
        </ns0:is>
      </ns0:c>
      <ns0:c r="D17" s="19" t="inlineStr">
        <ns0:is>
          <ns0:t>External validation</ns0:t>
        </ns0:is>
      </ns0:c>
      <ns0:c r="E17" s="19" t="inlineStr">
        <ns0:is>
          <ns0:t>external_validation</ns0:t>
        </ns0:is>
      </ns0:c>
      <ns0:c r="F17" s="27">
        <ns0:f>COUNTIFS('BASE_CIERRE'!$G$5:$G$458,1,'BASE_CIERRE'!$H$5:$H$458,"Diagnosis",'BASE_CIERRE'!$J$5:$J$458,"Behavioral images/video/gaze/movement",'BASE_CIERRE'!$I$5:$I$458,"Deep Learning",'BASE_CIERRE'!$Q$5:$Q$458,"Reported")</ns0:f>
        <ns0:v>0</ns0:v>
      </ns0:c>
      <ns0:c r="G17" s="27">
        <ns0:f>COUNTIFS('BASE_CIERRE'!$G$5:$G$458,1,'BASE_CIERRE'!$H$5:$H$458,"Diagnosis",'BASE_CIERRE'!$J$5:$J$458,"Behavioral images/video/gaze/movement",'BASE_CIERRE'!$I$5:$I$458,"Deep Learning",'BASE_CIERRE'!$Q$5:$Q$458,"Not reported in assessed sources")</ns0:f>
        <ns0:v>9</ns0:v>
      </ns0:c>
      <ns0:c r="H17" s="27">
        <ns0:f>COUNTIFS('BASE_CIERRE'!$G$5:$G$458,1,'BASE_CIERRE'!$H$5:$H$458,"Diagnosis",'BASE_CIERRE'!$J$5:$J$458,"Behavioral images/video/gaze/movement",'BASE_CIERRE'!$I$5:$I$458,"Deep Learning",'BASE_CIERRE'!$Q$5:$Q$458,"Not ascertainable")</ns0:f>
        <ns0:v>0</ns0:v>
      </ns0:c>
      <ns0:c r="I17" s="27">
        <ns0:f>SUM(F17:H17)</ns0:f>
        <ns0:v>9</ns0:v>
      </ns0:c>
      <ns0:c r="J17" s="31">
        <ns0:f>IFERROR(F17/I17,0)</ns0:f>
        <ns0:v>0</ns0:v>
      </ns0:c>
      <ns0:c r="K17" s="31">
        <ns0:f>IFERROR(F17/(I17-H17),0)</ns0:f>
        <ns0:v>0</ns0:v>
      </ns0:c>
      <ns0:c r="L17" s="19" t="inlineStr">
        <ns0:is>
          <ns0:t>21; 47; 61; 168; new_35; new_96; new_427; new_23; new_248</ns0:t>
        </ns0:is>
      </ns0:c>
    </ns0:row>
    <ns0:row r="18" ht="32" customHeight="1">
      <ns0:c r="A18" s="21" t="inlineStr">
        <ns0:is>
          <ns0:t>Diagnosis</ns0:t>
        </ns0:is>
      </ns0:c>
      <ns0:c r="B18" s="21" t="inlineStr">
        <ns0:is>
          <ns0:t>Behavioral images/video/gaze/movement</ns0:t>
        </ns0:is>
      </ns0:c>
      <ns0:c r="C18" s="21" t="inlineStr">
        <ns0:is>
          <ns0:t>Deep Learning</ns0:t>
        </ns0:is>
      </ns0:c>
      <ns0:c r="D18" s="21" t="inlineStr">
        <ns0:is>
          <ns0:t>Multisource integration</ns0:t>
        </ns0:is>
      </ns0:c>
      <ns0:c r="E18" s="21" t="inlineStr">
        <ns0:is>
          <ns0:t>multisource_integration</ns0:t>
        </ns0:is>
      </ns0:c>
      <ns0:c r="F18" s="29">
        <ns0:f>COUNTIFS('BASE_CIERRE'!$G$5:$G$458,1,'BASE_CIERRE'!$H$5:$H$458,"Diagnosis",'BASE_CIERRE'!$J$5:$J$458,"Behavioral images/video/gaze/movement",'BASE_CIERRE'!$I$5:$I$458,"Deep Learning",'BASE_CIERRE'!$R$5:$R$458,"Reported")</ns0:f>
        <ns0:v>0</ns0:v>
      </ns0:c>
      <ns0:c r="G18" s="29">
        <ns0:f>COUNTIFS('BASE_CIERRE'!$G$5:$G$458,1,'BASE_CIERRE'!$H$5:$H$458,"Diagnosis",'BASE_CIERRE'!$J$5:$J$458,"Behavioral images/video/gaze/movement",'BASE_CIERRE'!$I$5:$I$458,"Deep Learning",'BASE_CIERRE'!$R$5:$R$458,"Not reported in assessed sources")</ns0:f>
        <ns0:v>9</ns0:v>
      </ns0:c>
      <ns0:c r="H18" s="29">
        <ns0:f>COUNTIFS('BASE_CIERRE'!$G$5:$G$458,1,'BASE_CIERRE'!$H$5:$H$458,"Diagnosis",'BASE_CIERRE'!$J$5:$J$458,"Behavioral images/video/gaze/movement",'BASE_CIERRE'!$I$5:$I$458,"Deep Learning",'BASE_CIERRE'!$R$5:$R$458,"Not ascertainable")</ns0:f>
        <ns0:v>0</ns0:v>
      </ns0:c>
      <ns0:c r="I18" s="29">
        <ns0:f>SUM(F18:H18)</ns0:f>
        <ns0:v>9</ns0:v>
      </ns0:c>
      <ns0:c r="J18" s="32">
        <ns0:f>IFERROR(F18/I18,0)</ns0:f>
        <ns0:v>0</ns0:v>
      </ns0:c>
      <ns0:c r="K18" s="32">
        <ns0:f>IFERROR(F18/(I18-H18),0)</ns0:f>
        <ns0:v>0</ns0:v>
      </ns0:c>
      <ns0:c r="L18" s="21" t="inlineStr">
        <ns0:is>
          <ns0:t>21; 47; 61; 168; new_35; new_96; new_427; new_23; new_248</ns0:t>
        </ns0:is>
      </ns0:c>
    </ns0:row>
    <ns0:row r="19" ht="32" customHeight="1">
      <ns0:c r="A19" s="19" t="inlineStr">
        <ns0:is>
          <ns0:t>Diagnosis</ns0:t>
        </ns0:is>
      </ns0:c>
      <ns0:c r="B19" s="19" t="inlineStr">
        <ns0:is>
          <ns0:t>Behavioral images/video/gaze/movement</ns0:t>
        </ns0:is>
      </ns0:c>
      <ns0:c r="C19" s="19" t="inlineStr">
        <ns0:is>
          <ns0:t>Deep Learning</ns0:t>
        </ns0:is>
      </ns0:c>
      <ns0:c r="D19" s="19" t="inlineStr">
        <ns0:is>
          <ns0:t>Explicit explainability (broad)</ns0:t>
        </ns0:is>
      </ns0:c>
      <ns0:c r="E19" s="19" t="inlineStr">
        <ns0:is>
          <ns0:t>xai_broad</ns0:t>
        </ns0:is>
      </ns0:c>
      <ns0:c r="F19" s="27">
        <ns0:f>COUNTIFS('BASE_CIERRE'!$G$5:$G$458,1,'BASE_CIERRE'!$H$5:$H$458,"Diagnosis",'BASE_CIERRE'!$J$5:$J$458,"Behavioral images/video/gaze/movement",'BASE_CIERRE'!$I$5:$I$458,"Deep Learning",'BASE_CIERRE'!$S$5:$S$458,"Reported")</ns0:f>
        <ns0:v>1</ns0:v>
      </ns0:c>
      <ns0:c r="G19" s="27">
        <ns0:f>COUNTIFS('BASE_CIERRE'!$G$5:$G$458,1,'BASE_CIERRE'!$H$5:$H$458,"Diagnosis",'BASE_CIERRE'!$J$5:$J$458,"Behavioral images/video/gaze/movement",'BASE_CIERRE'!$I$5:$I$458,"Deep Learning",'BASE_CIERRE'!$S$5:$S$458,"Not reported in assessed sources")</ns0:f>
        <ns0:v>7</ns0:v>
      </ns0:c>
      <ns0:c r="H19" s="27">
        <ns0:f>COUNTIFS('BASE_CIERRE'!$G$5:$G$458,1,'BASE_CIERRE'!$H$5:$H$458,"Diagnosis",'BASE_CIERRE'!$J$5:$J$458,"Behavioral images/video/gaze/movement",'BASE_CIERRE'!$I$5:$I$458,"Deep Learning",'BASE_CIERRE'!$S$5:$S$458,"Not ascertainable")</ns0:f>
        <ns0:v>1</ns0:v>
      </ns0:c>
      <ns0:c r="I19" s="27">
        <ns0:f>SUM(F19:H19)</ns0:f>
        <ns0:v>9</ns0:v>
      </ns0:c>
      <ns0:c r="J19" s="31">
        <ns0:f>IFERROR(F19/I19,0)</ns0:f>
        <ns0:v>0.1111111111111111</ns0:v>
      </ns0:c>
      <ns0:c r="K19" s="31">
        <ns0:f>IFERROR(F19/(I19-H19),0)</ns0:f>
        <ns0:v>0.125</ns0:v>
      </ns0:c>
      <ns0:c r="L19" s="19" t="inlineStr">
        <ns0:is>
          <ns0:t>21; 47; 61; 168; new_35; new_96; new_427; new_23; new_248</ns0:t>
        </ns0:is>
      </ns0:c>
    </ns0:row>
    <ns0:row r="20" ht="32" customHeight="1">
      <ns0:c r="A20" s="21" t="inlineStr">
        <ns0:is>
          <ns0:t>Diagnosis</ns0:t>
        </ns0:is>
      </ns0:c>
      <ns0:c r="B20" s="21" t="inlineStr">
        <ns0:is>
          <ns0:t>Behavioral images/video/gaze/movement</ns0:t>
        </ns0:is>
      </ns0:c>
      <ns0:c r="C20" s="21" t="inlineStr">
        <ns0:is>
          <ns0:t>Deep Learning</ns0:t>
        </ns0:is>
      </ns0:c>
      <ns0:c r="D20" s="21" t="inlineStr">
        <ns0:is>
          <ns0:t>Cross-site evaluation</ns0:t>
        </ns0:is>
      </ns0:c>
      <ns0:c r="E20" s="21" t="inlineStr">
        <ns0:is>
          <ns0:t>cross_site_robustness</ns0:t>
        </ns0:is>
      </ns0:c>
      <ns0:c r="F20" s="29">
        <ns0:f>COUNTIFS('BASE_CIERRE'!$G$5:$G$458,1,'BASE_CIERRE'!$H$5:$H$458,"Diagnosis",'BASE_CIERRE'!$J$5:$J$458,"Behavioral images/video/gaze/movement",'BASE_CIERRE'!$I$5:$I$458,"Deep Learning",'BASE_CIERRE'!$U$5:$U$458,"Reported")</ns0:f>
        <ns0:v>0</ns0:v>
      </ns0:c>
      <ns0:c r="G20" s="29">
        <ns0:f>COUNTIFS('BASE_CIERRE'!$G$5:$G$458,1,'BASE_CIERRE'!$H$5:$H$458,"Diagnosis",'BASE_CIERRE'!$J$5:$J$458,"Behavioral images/video/gaze/movement",'BASE_CIERRE'!$I$5:$I$458,"Deep Learning",'BASE_CIERRE'!$U$5:$U$458,"Not reported in assessed sources")</ns0:f>
        <ns0:v>9</ns0:v>
      </ns0:c>
      <ns0:c r="H20" s="29">
        <ns0:f>COUNTIFS('BASE_CIERRE'!$G$5:$G$458,1,'BASE_CIERRE'!$H$5:$H$458,"Diagnosis",'BASE_CIERRE'!$J$5:$J$458,"Behavioral images/video/gaze/movement",'BASE_CIERRE'!$I$5:$I$458,"Deep Learning",'BASE_CIERRE'!$U$5:$U$458,"Not ascertainable")</ns0:f>
        <ns0:v>0</ns0:v>
      </ns0:c>
      <ns0:c r="I20" s="29">
        <ns0:f>SUM(F20:H20)</ns0:f>
        <ns0:v>9</ns0:v>
      </ns0:c>
      <ns0:c r="J20" s="32">
        <ns0:f>IFERROR(F20/I20,0)</ns0:f>
        <ns0:v>0</ns0:v>
      </ns0:c>
      <ns0:c r="K20" s="32">
        <ns0:f>IFERROR(F20/(I20-H20),0)</ns0:f>
        <ns0:v>0</ns0:v>
      </ns0:c>
      <ns0:c r="L20" s="21" t="inlineStr">
        <ns0:is>
          <ns0:t>21; 47; 61; 168; new_35; new_96; new_427; new_23; new_248</ns0:t>
        </ns0:is>
      </ns0:c>
    </ns0:row>
    <ns0:row r="21" ht="32" customHeight="1">
      <ns0:c r="A21" s="19" t="inlineStr">
        <ns0:is>
          <ns0:t>Diagnosis</ns0:t>
        </ns0:is>
      </ns0:c>
      <ns0:c r="B21" s="19" t="inlineStr">
        <ns0:is>
          <ns0:t>Behavioral images/video/gaze/movement</ns0:t>
        </ns0:is>
      </ns0:c>
      <ns0:c r="C21" s="19" t="inlineStr">
        <ns0:is>
          <ns0:t>Hybrid</ns0:t>
        </ns0:is>
      </ns0:c>
      <ns0:c r="D21" s="19" t="inlineStr">
        <ns0:is>
          <ns0:t>External validation</ns0:t>
        </ns0:is>
      </ns0:c>
      <ns0:c r="E21" s="19" t="inlineStr">
        <ns0:is>
          <ns0:t>external_validation</ns0:t>
        </ns0:is>
      </ns0:c>
      <ns0:c r="F21" s="27">
        <ns0:f>COUNTIFS('BASE_CIERRE'!$G$5:$G$458,1,'BASE_CIERRE'!$H$5:$H$458,"Diagnosis",'BASE_CIERRE'!$J$5:$J$458,"Behavioral images/video/gaze/movement",'BASE_CIERRE'!$I$5:$I$458,"Hybrid",'BASE_CIERRE'!$Q$5:$Q$458,"Reported")</ns0:f>
        <ns0:v>0</ns0:v>
      </ns0:c>
      <ns0:c r="G21" s="27">
        <ns0:f>COUNTIFS('BASE_CIERRE'!$G$5:$G$458,1,'BASE_CIERRE'!$H$5:$H$458,"Diagnosis",'BASE_CIERRE'!$J$5:$J$458,"Behavioral images/video/gaze/movement",'BASE_CIERRE'!$I$5:$I$458,"Hybrid",'BASE_CIERRE'!$Q$5:$Q$458,"Not reported in assessed sources")</ns0:f>
        <ns0:v>2</ns0:v>
      </ns0:c>
      <ns0:c r="H21" s="27">
        <ns0:f>COUNTIFS('BASE_CIERRE'!$G$5:$G$458,1,'BASE_CIERRE'!$H$5:$H$458,"Diagnosis",'BASE_CIERRE'!$J$5:$J$458,"Behavioral images/video/gaze/movement",'BASE_CIERRE'!$I$5:$I$458,"Hybrid",'BASE_CIERRE'!$Q$5:$Q$458,"Not ascertainable")</ns0:f>
        <ns0:v>0</ns0:v>
      </ns0:c>
      <ns0:c r="I21" s="27">
        <ns0:f>SUM(F21:H21)</ns0:f>
        <ns0:v>2</ns0:v>
      </ns0:c>
      <ns0:c r="J21" s="31">
        <ns0:f>IFERROR(F21/I21,0)</ns0:f>
        <ns0:v>0</ns0:v>
      </ns0:c>
      <ns0:c r="K21" s="31">
        <ns0:f>IFERROR(F21/(I21-H21),0)</ns0:f>
        <ns0:v>0</ns0:v>
      </ns0:c>
      <ns0:c r="L21" s="19" t="inlineStr">
        <ns0:is>
          <ns0:t>new_149; new_235</ns0:t>
        </ns0:is>
      </ns0:c>
    </ns0:row>
    <ns0:row r="22" ht="32" customHeight="1">
      <ns0:c r="A22" s="21" t="inlineStr">
        <ns0:is>
          <ns0:t>Diagnosis</ns0:t>
        </ns0:is>
      </ns0:c>
      <ns0:c r="B22" s="21" t="inlineStr">
        <ns0:is>
          <ns0:t>Behavioral images/video/gaze/movement</ns0:t>
        </ns0:is>
      </ns0:c>
      <ns0:c r="C22" s="21" t="inlineStr">
        <ns0:is>
          <ns0:t>Hybrid</ns0:t>
        </ns0:is>
      </ns0:c>
      <ns0:c r="D22" s="21" t="inlineStr">
        <ns0:is>
          <ns0:t>Multisource integration</ns0:t>
        </ns0:is>
      </ns0:c>
      <ns0:c r="E22" s="21" t="inlineStr">
        <ns0:is>
          <ns0:t>multisource_integration</ns0:t>
        </ns0:is>
      </ns0:c>
      <ns0:c r="F22" s="29">
        <ns0:f>COUNTIFS('BASE_CIERRE'!$G$5:$G$458,1,'BASE_CIERRE'!$H$5:$H$458,"Diagnosis",'BASE_CIERRE'!$J$5:$J$458,"Behavioral images/video/gaze/movement",'BASE_CIERRE'!$I$5:$I$458,"Hybrid",'BASE_CIERRE'!$R$5:$R$458,"Reported")</ns0:f>
        <ns0:v>0</ns0:v>
      </ns0:c>
      <ns0:c r="G22" s="29">
        <ns0:f>COUNTIFS('BASE_CIERRE'!$G$5:$G$458,1,'BASE_CIERRE'!$H$5:$H$458,"Diagnosis",'BASE_CIERRE'!$J$5:$J$458,"Behavioral images/video/gaze/movement",'BASE_CIERRE'!$I$5:$I$458,"Hybrid",'BASE_CIERRE'!$R$5:$R$458,"Not reported in assessed sources")</ns0:f>
        <ns0:v>2</ns0:v>
      </ns0:c>
      <ns0:c r="H22" s="29">
        <ns0:f>COUNTIFS('BASE_CIERRE'!$G$5:$G$458,1,'BASE_CIERRE'!$H$5:$H$458,"Diagnosis",'BASE_CIERRE'!$J$5:$J$458,"Behavioral images/video/gaze/movement",'BASE_CIERRE'!$I$5:$I$458,"Hybrid",'BASE_CIERRE'!$R$5:$R$458,"Not ascertainable")</ns0:f>
        <ns0:v>0</ns0:v>
      </ns0:c>
      <ns0:c r="I22" s="29">
        <ns0:f>SUM(F22:H22)</ns0:f>
        <ns0:v>2</ns0:v>
      </ns0:c>
      <ns0:c r="J22" s="32">
        <ns0:f>IFERROR(F22/I22,0)</ns0:f>
        <ns0:v>0</ns0:v>
      </ns0:c>
      <ns0:c r="K22" s="32">
        <ns0:f>IFERROR(F22/(I22-H22),0)</ns0:f>
        <ns0:v>0</ns0:v>
      </ns0:c>
      <ns0:c r="L22" s="21" t="inlineStr">
        <ns0:is>
          <ns0:t>new_149; new_235</ns0:t>
        </ns0:is>
      </ns0:c>
    </ns0:row>
    <ns0:row r="23" ht="32" customHeight="1">
      <ns0:c r="A23" s="19" t="inlineStr">
        <ns0:is>
          <ns0:t>Diagnosis</ns0:t>
        </ns0:is>
      </ns0:c>
      <ns0:c r="B23" s="19" t="inlineStr">
        <ns0:is>
          <ns0:t>Behavioral images/video/gaze/movement</ns0:t>
        </ns0:is>
      </ns0:c>
      <ns0:c r="C23" s="19" t="inlineStr">
        <ns0:is>
          <ns0:t>Hybrid</ns0:t>
        </ns0:is>
      </ns0:c>
      <ns0:c r="D23" s="19" t="inlineStr">
        <ns0:is>
          <ns0:t>Explicit explainability (broad)</ns0:t>
        </ns0:is>
      </ns0:c>
      <ns0:c r="E23" s="19" t="inlineStr">
        <ns0:is>
          <ns0:t>xai_broad</ns0:t>
        </ns0:is>
      </ns0:c>
      <ns0:c r="F23" s="27">
        <ns0:f>COUNTIFS('BASE_CIERRE'!$G$5:$G$458,1,'BASE_CIERRE'!$H$5:$H$458,"Diagnosis",'BASE_CIERRE'!$J$5:$J$458,"Behavioral images/video/gaze/movement",'BASE_CIERRE'!$I$5:$I$458,"Hybrid",'BASE_CIERRE'!$S$5:$S$458,"Reported")</ns0:f>
        <ns0:v>1</ns0:v>
      </ns0:c>
      <ns0:c r="G23" s="27">
        <ns0:f>COUNTIFS('BASE_CIERRE'!$G$5:$G$458,1,'BASE_CIERRE'!$H$5:$H$458,"Diagnosis",'BASE_CIERRE'!$J$5:$J$458,"Behavioral images/video/gaze/movement",'BASE_CIERRE'!$I$5:$I$458,"Hybrid",'BASE_CIERRE'!$S$5:$S$458,"Not reported in assessed sources")</ns0:f>
        <ns0:v>1</ns0:v>
      </ns0:c>
      <ns0:c r="H23" s="27">
        <ns0:f>COUNTIFS('BASE_CIERRE'!$G$5:$G$458,1,'BASE_CIERRE'!$H$5:$H$458,"Diagnosis",'BASE_CIERRE'!$J$5:$J$458,"Behavioral images/video/gaze/movement",'BASE_CIERRE'!$I$5:$I$458,"Hybrid",'BASE_CIERRE'!$S$5:$S$458,"Not ascertainable")</ns0:f>
        <ns0:v>0</ns0:v>
      </ns0:c>
      <ns0:c r="I23" s="27">
        <ns0:f>SUM(F23:H23)</ns0:f>
        <ns0:v>2</ns0:v>
      </ns0:c>
      <ns0:c r="J23" s="31">
        <ns0:f>IFERROR(F23/I23,0)</ns0:f>
        <ns0:v>0.5</ns0:v>
      </ns0:c>
      <ns0:c r="K23" s="31">
        <ns0:f>IFERROR(F23/(I23-H23),0)</ns0:f>
        <ns0:v>0.5</ns0:v>
      </ns0:c>
      <ns0:c r="L23" s="19" t="inlineStr">
        <ns0:is>
          <ns0:t>new_149; new_235</ns0:t>
        </ns0:is>
      </ns0:c>
    </ns0:row>
    <ns0:row r="24" ht="32" customHeight="1">
      <ns0:c r="A24" s="21" t="inlineStr">
        <ns0:is>
          <ns0:t>Diagnosis</ns0:t>
        </ns0:is>
      </ns0:c>
      <ns0:c r="B24" s="21" t="inlineStr">
        <ns0:is>
          <ns0:t>Behavioral images/video/gaze/movement</ns0:t>
        </ns0:is>
      </ns0:c>
      <ns0:c r="C24" s="21" t="inlineStr">
        <ns0:is>
          <ns0:t>Hybrid</ns0:t>
        </ns0:is>
      </ns0:c>
      <ns0:c r="D24" s="21" t="inlineStr">
        <ns0:is>
          <ns0:t>Cross-site evaluation</ns0:t>
        </ns0:is>
      </ns0:c>
      <ns0:c r="E24" s="21" t="inlineStr">
        <ns0:is>
          <ns0:t>cross_site_robustness</ns0:t>
        </ns0:is>
      </ns0:c>
      <ns0:c r="F24" s="29">
        <ns0:f>COUNTIFS('BASE_CIERRE'!$G$5:$G$458,1,'BASE_CIERRE'!$H$5:$H$458,"Diagnosis",'BASE_CIERRE'!$J$5:$J$458,"Behavioral images/video/gaze/movement",'BASE_CIERRE'!$I$5:$I$458,"Hybrid",'BASE_CIERRE'!$U$5:$U$458,"Reported")</ns0:f>
        <ns0:v>0</ns0:v>
      </ns0:c>
      <ns0:c r="G24" s="29">
        <ns0:f>COUNTIFS('BASE_CIERRE'!$G$5:$G$458,1,'BASE_CIERRE'!$H$5:$H$458,"Diagnosis",'BASE_CIERRE'!$J$5:$J$458,"Behavioral images/video/gaze/movement",'BASE_CIERRE'!$I$5:$I$458,"Hybrid",'BASE_CIERRE'!$U$5:$U$458,"Not reported in assessed sources")</ns0:f>
        <ns0:v>2</ns0:v>
      </ns0:c>
      <ns0:c r="H24" s="29">
        <ns0:f>COUNTIFS('BASE_CIERRE'!$G$5:$G$458,1,'BASE_CIERRE'!$H$5:$H$458,"Diagnosis",'BASE_CIERRE'!$J$5:$J$458,"Behavioral images/video/gaze/movement",'BASE_CIERRE'!$I$5:$I$458,"Hybrid",'BASE_CIERRE'!$U$5:$U$458,"Not ascertainable")</ns0:f>
        <ns0:v>0</ns0:v>
      </ns0:c>
      <ns0:c r="I24" s="29">
        <ns0:f>SUM(F24:H24)</ns0:f>
        <ns0:v>2</ns0:v>
      </ns0:c>
      <ns0:c r="J24" s="32">
        <ns0:f>IFERROR(F24/I24,0)</ns0:f>
        <ns0:v>0</ns0:v>
      </ns0:c>
      <ns0:c r="K24" s="32">
        <ns0:f>IFERROR(F24/(I24-H24),0)</ns0:f>
        <ns0:v>0</ns0:v>
      </ns0:c>
      <ns0:c r="L24" s="21" t="inlineStr">
        <ns0:is>
          <ns0:t>new_149; new_235</ns0:t>
        </ns0:is>
      </ns0:c>
    </ns0:row>
    <ns0:row r="25" ht="32" customHeight="1">
      <ns0:c r="A25" s="19" t="inlineStr">
        <ns0:is>
          <ns0:t>Diagnosis</ns0:t>
        </ns0:is>
      </ns0:c>
      <ns0:c r="B25" s="19" t="inlineStr">
        <ns0:is>
          <ns0:t>Behavioral images/video/gaze/movement</ns0:t>
        </ns0:is>
      </ns0:c>
      <ns0:c r="C25" s="19" t="inlineStr">
        <ns0:is>
          <ns0:t>Machine Learning</ns0:t>
        </ns0:is>
      </ns0:c>
      <ns0:c r="D25" s="19" t="inlineStr">
        <ns0:is>
          <ns0:t>External validation</ns0:t>
        </ns0:is>
      </ns0:c>
      <ns0:c r="E25" s="19" t="inlineStr">
        <ns0:is>
          <ns0:t>external_validation</ns0:t>
        </ns0:is>
      </ns0:c>
      <ns0:c r="F25" s="27">
        <ns0:f>COUNTIFS('BASE_CIERRE'!$G$5:$G$458,1,'BASE_CIERRE'!$H$5:$H$458,"Diagnosis",'BASE_CIERRE'!$J$5:$J$458,"Behavioral images/video/gaze/movement",'BASE_CIERRE'!$I$5:$I$458,"Machine Learning",'BASE_CIERRE'!$Q$5:$Q$458,"Reported")</ns0:f>
        <ns0:v>1</ns0:v>
      </ns0:c>
      <ns0:c r="G25" s="27">
        <ns0:f>COUNTIFS('BASE_CIERRE'!$G$5:$G$458,1,'BASE_CIERRE'!$H$5:$H$458,"Diagnosis",'BASE_CIERRE'!$J$5:$J$458,"Behavioral images/video/gaze/movement",'BASE_CIERRE'!$I$5:$I$458,"Machine Learning",'BASE_CIERRE'!$Q$5:$Q$458,"Not reported in assessed sources")</ns0:f>
        <ns0:v>7</ns0:v>
      </ns0:c>
      <ns0:c r="H25" s="27">
        <ns0:f>COUNTIFS('BASE_CIERRE'!$G$5:$G$458,1,'BASE_CIERRE'!$H$5:$H$458,"Diagnosis",'BASE_CIERRE'!$J$5:$J$458,"Behavioral images/video/gaze/movement",'BASE_CIERRE'!$I$5:$I$458,"Machine Learning",'BASE_CIERRE'!$Q$5:$Q$458,"Not ascertainable")</ns0:f>
        <ns0:v>0</ns0:v>
      </ns0:c>
      <ns0:c r="I25" s="27">
        <ns0:f>SUM(F25:H25)</ns0:f>
        <ns0:v>8</ns0:v>
      </ns0:c>
      <ns0:c r="J25" s="31">
        <ns0:f>IFERROR(F25/I25,0)</ns0:f>
        <ns0:v>0.125</ns0:v>
      </ns0:c>
      <ns0:c r="K25" s="31">
        <ns0:f>IFERROR(F25/(I25-H25),0)</ns0:f>
        <ns0:v>0.125</ns0:v>
      </ns0:c>
      <ns0:c r="L25" s="19" t="inlineStr">
        <ns0:is>
          <ns0:t>17; 33; 66; 79; 90; 97; 144; 184</ns0:t>
        </ns0:is>
      </ns0:c>
    </ns0:row>
    <ns0:row r="26" ht="32" customHeight="1">
      <ns0:c r="A26" s="21" t="inlineStr">
        <ns0:is>
          <ns0:t>Diagnosis</ns0:t>
        </ns0:is>
      </ns0:c>
      <ns0:c r="B26" s="21" t="inlineStr">
        <ns0:is>
          <ns0:t>Behavioral images/video/gaze/movement</ns0:t>
        </ns0:is>
      </ns0:c>
      <ns0:c r="C26" s="21" t="inlineStr">
        <ns0:is>
          <ns0:t>Machine Learning</ns0:t>
        </ns0:is>
      </ns0:c>
      <ns0:c r="D26" s="21" t="inlineStr">
        <ns0:is>
          <ns0:t>Multisource integration</ns0:t>
        </ns0:is>
      </ns0:c>
      <ns0:c r="E26" s="21" t="inlineStr">
        <ns0:is>
          <ns0:t>multisource_integration</ns0:t>
        </ns0:is>
      </ns0:c>
      <ns0:c r="F26" s="29">
        <ns0:f>COUNTIFS('BASE_CIERRE'!$G$5:$G$458,1,'BASE_CIERRE'!$H$5:$H$458,"Diagnosis",'BASE_CIERRE'!$J$5:$J$458,"Behavioral images/video/gaze/movement",'BASE_CIERRE'!$I$5:$I$458,"Machine Learning",'BASE_CIERRE'!$R$5:$R$458,"Reported")</ns0:f>
        <ns0:v>2</ns0:v>
      </ns0:c>
      <ns0:c r="G26" s="29">
        <ns0:f>COUNTIFS('BASE_CIERRE'!$G$5:$G$458,1,'BASE_CIERRE'!$H$5:$H$458,"Diagnosis",'BASE_CIERRE'!$J$5:$J$458,"Behavioral images/video/gaze/movement",'BASE_CIERRE'!$I$5:$I$458,"Machine Learning",'BASE_CIERRE'!$R$5:$R$458,"Not reported in assessed sources")</ns0:f>
        <ns0:v>6</ns0:v>
      </ns0:c>
      <ns0:c r="H26" s="29">
        <ns0:f>COUNTIFS('BASE_CIERRE'!$G$5:$G$458,1,'BASE_CIERRE'!$H$5:$H$458,"Diagnosis",'BASE_CIERRE'!$J$5:$J$458,"Behavioral images/video/gaze/movement",'BASE_CIERRE'!$I$5:$I$458,"Machine Learning",'BASE_CIERRE'!$R$5:$R$458,"Not ascertainable")</ns0:f>
        <ns0:v>0</ns0:v>
      </ns0:c>
      <ns0:c r="I26" s="29">
        <ns0:f>SUM(F26:H26)</ns0:f>
        <ns0:v>8</ns0:v>
      </ns0:c>
      <ns0:c r="J26" s="32">
        <ns0:f>IFERROR(F26/I26,0)</ns0:f>
        <ns0:v>0.25</ns0:v>
      </ns0:c>
      <ns0:c r="K26" s="32">
        <ns0:f>IFERROR(F26/(I26-H26),0)</ns0:f>
        <ns0:v>0.25</ns0:v>
      </ns0:c>
      <ns0:c r="L26" s="21" t="inlineStr">
        <ns0:is>
          <ns0:t>17; 33; 66; 79; 90; 97; 144; 184</ns0:t>
        </ns0:is>
      </ns0:c>
    </ns0:row>
    <ns0:row r="27" ht="32" customHeight="1">
      <ns0:c r="A27" s="19" t="inlineStr">
        <ns0:is>
          <ns0:t>Diagnosis</ns0:t>
        </ns0:is>
      </ns0:c>
      <ns0:c r="B27" s="19" t="inlineStr">
        <ns0:is>
          <ns0:t>Behavioral images/video/gaze/movement</ns0:t>
        </ns0:is>
      </ns0:c>
      <ns0:c r="C27" s="19" t="inlineStr">
        <ns0:is>
          <ns0:t>Machine Learning</ns0:t>
        </ns0:is>
      </ns0:c>
      <ns0:c r="D27" s="19" t="inlineStr">
        <ns0:is>
          <ns0:t>Explicit explainability (broad)</ns0:t>
        </ns0:is>
      </ns0:c>
      <ns0:c r="E27" s="19" t="inlineStr">
        <ns0:is>
          <ns0:t>xai_broad</ns0:t>
        </ns0:is>
      </ns0:c>
      <ns0:c r="F27" s="27">
        <ns0:f>COUNTIFS('BASE_CIERRE'!$G$5:$G$458,1,'BASE_CIERRE'!$H$5:$H$458,"Diagnosis",'BASE_CIERRE'!$J$5:$J$458,"Behavioral images/video/gaze/movement",'BASE_CIERRE'!$I$5:$I$458,"Machine Learning",'BASE_CIERRE'!$S$5:$S$458,"Reported")</ns0:f>
        <ns0:v>3</ns0:v>
      </ns0:c>
      <ns0:c r="G27" s="27">
        <ns0:f>COUNTIFS('BASE_CIERRE'!$G$5:$G$458,1,'BASE_CIERRE'!$H$5:$H$458,"Diagnosis",'BASE_CIERRE'!$J$5:$J$458,"Behavioral images/video/gaze/movement",'BASE_CIERRE'!$I$5:$I$458,"Machine Learning",'BASE_CIERRE'!$S$5:$S$458,"Not reported in assessed sources")</ns0:f>
        <ns0:v>5</ns0:v>
      </ns0:c>
      <ns0:c r="H27" s="27">
        <ns0:f>COUNTIFS('BASE_CIERRE'!$G$5:$G$458,1,'BASE_CIERRE'!$H$5:$H$458,"Diagnosis",'BASE_CIERRE'!$J$5:$J$458,"Behavioral images/video/gaze/movement",'BASE_CIERRE'!$I$5:$I$458,"Machine Learning",'BASE_CIERRE'!$S$5:$S$458,"Not ascertainable")</ns0:f>
        <ns0:v>0</ns0:v>
      </ns0:c>
      <ns0:c r="I27" s="27">
        <ns0:f>SUM(F27:H27)</ns0:f>
        <ns0:v>8</ns0:v>
      </ns0:c>
      <ns0:c r="J27" s="31">
        <ns0:f>IFERROR(F27/I27,0)</ns0:f>
        <ns0:v>0.375</ns0:v>
      </ns0:c>
      <ns0:c r="K27" s="31">
        <ns0:f>IFERROR(F27/(I27-H27),0)</ns0:f>
        <ns0:v>0.375</ns0:v>
      </ns0:c>
      <ns0:c r="L27" s="19" t="inlineStr">
        <ns0:is>
          <ns0:t>17; 33; 66; 79; 90; 97; 144; 184</ns0:t>
        </ns0:is>
      </ns0:c>
    </ns0:row>
    <ns0:row r="28" ht="32" customHeight="1">
      <ns0:c r="A28" s="21" t="inlineStr">
        <ns0:is>
          <ns0:t>Diagnosis</ns0:t>
        </ns0:is>
      </ns0:c>
      <ns0:c r="B28" s="21" t="inlineStr">
        <ns0:is>
          <ns0:t>Behavioral images/video/gaze/movement</ns0:t>
        </ns0:is>
      </ns0:c>
      <ns0:c r="C28" s="21" t="inlineStr">
        <ns0:is>
          <ns0:t>Machine Learning</ns0:t>
        </ns0:is>
      </ns0:c>
      <ns0:c r="D28" s="21" t="inlineStr">
        <ns0:is>
          <ns0:t>Cross-site evaluation</ns0:t>
        </ns0:is>
      </ns0:c>
      <ns0:c r="E28" s="21" t="inlineStr">
        <ns0:is>
          <ns0:t>cross_site_robustness</ns0:t>
        </ns0:is>
      </ns0:c>
      <ns0:c r="F28" s="29">
        <ns0:f>COUNTIFS('BASE_CIERRE'!$G$5:$G$458,1,'BASE_CIERRE'!$H$5:$H$458,"Diagnosis",'BASE_CIERRE'!$J$5:$J$458,"Behavioral images/video/gaze/movement",'BASE_CIERRE'!$I$5:$I$458,"Machine Learning",'BASE_CIERRE'!$U$5:$U$458,"Reported")</ns0:f>
        <ns0:v>0</ns0:v>
      </ns0:c>
      <ns0:c r="G28" s="29">
        <ns0:f>COUNTIFS('BASE_CIERRE'!$G$5:$G$458,1,'BASE_CIERRE'!$H$5:$H$458,"Diagnosis",'BASE_CIERRE'!$J$5:$J$458,"Behavioral images/video/gaze/movement",'BASE_CIERRE'!$I$5:$I$458,"Machine Learning",'BASE_CIERRE'!$U$5:$U$458,"Not reported in assessed sources")</ns0:f>
        <ns0:v>8</ns0:v>
      </ns0:c>
      <ns0:c r="H28" s="29">
        <ns0:f>COUNTIFS('BASE_CIERRE'!$G$5:$G$458,1,'BASE_CIERRE'!$H$5:$H$458,"Diagnosis",'BASE_CIERRE'!$J$5:$J$458,"Behavioral images/video/gaze/movement",'BASE_CIERRE'!$I$5:$I$458,"Machine Learning",'BASE_CIERRE'!$U$5:$U$458,"Not ascertainable")</ns0:f>
        <ns0:v>0</ns0:v>
      </ns0:c>
      <ns0:c r="I28" s="29">
        <ns0:f>SUM(F28:H28)</ns0:f>
        <ns0:v>8</ns0:v>
      </ns0:c>
      <ns0:c r="J28" s="32">
        <ns0:f>IFERROR(F28/I28,0)</ns0:f>
        <ns0:v>0</ns0:v>
      </ns0:c>
      <ns0:c r="K28" s="32">
        <ns0:f>IFERROR(F28/(I28-H28),0)</ns0:f>
        <ns0:v>0</ns0:v>
      </ns0:c>
      <ns0:c r="L28" s="21" t="inlineStr">
        <ns0:is>
          <ns0:t>17; 33; 66; 79; 90; 97; 144; 184</ns0:t>
        </ns0:is>
      </ns0:c>
    </ns0:row>
    <ns0:row r="29" ht="32" customHeight="1">
      <ns0:c r="A29" s="19" t="inlineStr">
        <ns0:is>
          <ns0:t>Diagnosis</ns0:t>
        </ns0:is>
      </ns0:c>
      <ns0:c r="B29" s="19" t="inlineStr">
        <ns0:is>
          <ns0:t>Behavioral images/video/gaze/movement</ns0:t>
        </ns0:is>
      </ns0:c>
      <ns0:c r="C29" s="19" t="inlineStr">
        <ns0:is>
          <ns0:t>Not specified</ns0:t>
        </ns0:is>
      </ns0:c>
      <ns0:c r="D29" s="19" t="inlineStr">
        <ns0:is>
          <ns0:t>External validation</ns0:t>
        </ns0:is>
      </ns0:c>
      <ns0:c r="E29" s="19" t="inlineStr">
        <ns0:is>
          <ns0:t>external_validation</ns0:t>
        </ns0:is>
      </ns0:c>
      <ns0:c r="F29" s="27">
        <ns0:f>COUNTIFS('BASE_CIERRE'!$G$5:$G$458,1,'BASE_CIERRE'!$H$5:$H$458,"Diagnosis",'BASE_CIERRE'!$J$5:$J$458,"Behavioral images/video/gaze/movement",'BASE_CIERRE'!$I$5:$I$458,"Not specified",'BASE_CIERRE'!$Q$5:$Q$458,"Reported")</ns0:f>
        <ns0:v>0</ns0:v>
      </ns0:c>
      <ns0:c r="G29" s="27">
        <ns0:f>COUNTIFS('BASE_CIERRE'!$G$5:$G$458,1,'BASE_CIERRE'!$H$5:$H$458,"Diagnosis",'BASE_CIERRE'!$J$5:$J$458,"Behavioral images/video/gaze/movement",'BASE_CIERRE'!$I$5:$I$458,"Not specified",'BASE_CIERRE'!$Q$5:$Q$458,"Not reported in assessed sources")</ns0:f>
        <ns0:v>1</ns0:v>
      </ns0:c>
      <ns0:c r="H29" s="27">
        <ns0:f>COUNTIFS('BASE_CIERRE'!$G$5:$G$458,1,'BASE_CIERRE'!$H$5:$H$458,"Diagnosis",'BASE_CIERRE'!$J$5:$J$458,"Behavioral images/video/gaze/movement",'BASE_CIERRE'!$I$5:$I$458,"Not specified",'BASE_CIERRE'!$Q$5:$Q$458,"Not ascertainable")</ns0:f>
        <ns0:v>0</ns0:v>
      </ns0:c>
      <ns0:c r="I29" s="27">
        <ns0:f>SUM(F29:H29)</ns0:f>
        <ns0:v>1</ns0:v>
      </ns0:c>
      <ns0:c r="J29" s="31">
        <ns0:f>IFERROR(F29/I29,0)</ns0:f>
        <ns0:v>0</ns0:v>
      </ns0:c>
      <ns0:c r="K29" s="31">
        <ns0:f>IFERROR(F29/(I29-H29),0)</ns0:f>
        <ns0:v>0</ns0:v>
      </ns0:c>
      <ns0:c r="L29" s="19" t="inlineStr">
        <ns0:is>
          <ns0:t>234</ns0:t>
        </ns0:is>
      </ns0:c>
    </ns0:row>
    <ns0:row r="30" ht="32" customHeight="1">
      <ns0:c r="A30" s="21" t="inlineStr">
        <ns0:is>
          <ns0:t>Diagnosis</ns0:t>
        </ns0:is>
      </ns0:c>
      <ns0:c r="B30" s="21" t="inlineStr">
        <ns0:is>
          <ns0:t>Behavioral images/video/gaze/movement</ns0:t>
        </ns0:is>
      </ns0:c>
      <ns0:c r="C30" s="21" t="inlineStr">
        <ns0:is>
          <ns0:t>Not specified</ns0:t>
        </ns0:is>
      </ns0:c>
      <ns0:c r="D30" s="21" t="inlineStr">
        <ns0:is>
          <ns0:t>Multisource integration</ns0:t>
        </ns0:is>
      </ns0:c>
      <ns0:c r="E30" s="21" t="inlineStr">
        <ns0:is>
          <ns0:t>multisource_integration</ns0:t>
        </ns0:is>
      </ns0:c>
      <ns0:c r="F30" s="29">
        <ns0:f>COUNTIFS('BASE_CIERRE'!$G$5:$G$458,1,'BASE_CIERRE'!$H$5:$H$458,"Diagnosis",'BASE_CIERRE'!$J$5:$J$458,"Behavioral images/video/gaze/movement",'BASE_CIERRE'!$I$5:$I$458,"Not specified",'BASE_CIERRE'!$R$5:$R$458,"Reported")</ns0:f>
        <ns0:v>0</ns0:v>
      </ns0:c>
      <ns0:c r="G30" s="29">
        <ns0:f>COUNTIFS('BASE_CIERRE'!$G$5:$G$458,1,'BASE_CIERRE'!$H$5:$H$458,"Diagnosis",'BASE_CIERRE'!$J$5:$J$458,"Behavioral images/video/gaze/movement",'BASE_CIERRE'!$I$5:$I$458,"Not specified",'BASE_CIERRE'!$R$5:$R$458,"Not reported in assessed sources")</ns0:f>
        <ns0:v>1</ns0:v>
      </ns0:c>
      <ns0:c r="H30" s="29">
        <ns0:f>COUNTIFS('BASE_CIERRE'!$G$5:$G$458,1,'BASE_CIERRE'!$H$5:$H$458,"Diagnosis",'BASE_CIERRE'!$J$5:$J$458,"Behavioral images/video/gaze/movement",'BASE_CIERRE'!$I$5:$I$458,"Not specified",'BASE_CIERRE'!$R$5:$R$458,"Not ascertainable")</ns0:f>
        <ns0:v>0</ns0:v>
      </ns0:c>
      <ns0:c r="I30" s="29">
        <ns0:f>SUM(F30:H30)</ns0:f>
        <ns0:v>1</ns0:v>
      </ns0:c>
      <ns0:c r="J30" s="32">
        <ns0:f>IFERROR(F30/I30,0)</ns0:f>
        <ns0:v>0</ns0:v>
      </ns0:c>
      <ns0:c r="K30" s="32">
        <ns0:f>IFERROR(F30/(I30-H30),0)</ns0:f>
        <ns0:v>0</ns0:v>
      </ns0:c>
      <ns0:c r="L30" s="21" t="inlineStr">
        <ns0:is>
          <ns0:t>234</ns0:t>
        </ns0:is>
      </ns0:c>
    </ns0:row>
    <ns0:row r="31" ht="32" customHeight="1">
      <ns0:c r="A31" s="19" t="inlineStr">
        <ns0:is>
          <ns0:t>Diagnosis</ns0:t>
        </ns0:is>
      </ns0:c>
      <ns0:c r="B31" s="19" t="inlineStr">
        <ns0:is>
          <ns0:t>Behavioral images/video/gaze/movement</ns0:t>
        </ns0:is>
      </ns0:c>
      <ns0:c r="C31" s="19" t="inlineStr">
        <ns0:is>
          <ns0:t>Not specified</ns0:t>
        </ns0:is>
      </ns0:c>
      <ns0:c r="D31" s="19" t="inlineStr">
        <ns0:is>
          <ns0:t>Explicit explainability (broad)</ns0:t>
        </ns0:is>
      </ns0:c>
      <ns0:c r="E31" s="19" t="inlineStr">
        <ns0:is>
          <ns0:t>xai_broad</ns0:t>
        </ns0:is>
      </ns0:c>
      <ns0:c r="F31" s="27">
        <ns0:f>COUNTIFS('BASE_CIERRE'!$G$5:$G$458,1,'BASE_CIERRE'!$H$5:$H$458,"Diagnosis",'BASE_CIERRE'!$J$5:$J$458,"Behavioral images/video/gaze/movement",'BASE_CIERRE'!$I$5:$I$458,"Not specified",'BASE_CIERRE'!$S$5:$S$458,"Reported")</ns0:f>
        <ns0:v>0</ns0:v>
      </ns0:c>
      <ns0:c r="G31" s="27">
        <ns0:f>COUNTIFS('BASE_CIERRE'!$G$5:$G$458,1,'BASE_CIERRE'!$H$5:$H$458,"Diagnosis",'BASE_CIERRE'!$J$5:$J$458,"Behavioral images/video/gaze/movement",'BASE_CIERRE'!$I$5:$I$458,"Not specified",'BASE_CIERRE'!$S$5:$S$458,"Not reported in assessed sources")</ns0:f>
        <ns0:v>1</ns0:v>
      </ns0:c>
      <ns0:c r="H31" s="27">
        <ns0:f>COUNTIFS('BASE_CIERRE'!$G$5:$G$458,1,'BASE_CIERRE'!$H$5:$H$458,"Diagnosis",'BASE_CIERRE'!$J$5:$J$458,"Behavioral images/video/gaze/movement",'BASE_CIERRE'!$I$5:$I$458,"Not specified",'BASE_CIERRE'!$S$5:$S$458,"Not ascertainable")</ns0:f>
        <ns0:v>0</ns0:v>
      </ns0:c>
      <ns0:c r="I31" s="27">
        <ns0:f>SUM(F31:H31)</ns0:f>
        <ns0:v>1</ns0:v>
      </ns0:c>
      <ns0:c r="J31" s="31">
        <ns0:f>IFERROR(F31/I31,0)</ns0:f>
        <ns0:v>0</ns0:v>
      </ns0:c>
      <ns0:c r="K31" s="31">
        <ns0:f>IFERROR(F31/(I31-H31),0)</ns0:f>
        <ns0:v>0</ns0:v>
      </ns0:c>
      <ns0:c r="L31" s="19" t="inlineStr">
        <ns0:is>
          <ns0:t>234</ns0:t>
        </ns0:is>
      </ns0:c>
    </ns0:row>
    <ns0:row r="32" ht="32" customHeight="1">
      <ns0:c r="A32" s="21" t="inlineStr">
        <ns0:is>
          <ns0:t>Diagnosis</ns0:t>
        </ns0:is>
      </ns0:c>
      <ns0:c r="B32" s="21" t="inlineStr">
        <ns0:is>
          <ns0:t>Behavioral images/video/gaze/movement</ns0:t>
        </ns0:is>
      </ns0:c>
      <ns0:c r="C32" s="21" t="inlineStr">
        <ns0:is>
          <ns0:t>Not specified</ns0:t>
        </ns0:is>
      </ns0:c>
      <ns0:c r="D32" s="21" t="inlineStr">
        <ns0:is>
          <ns0:t>Cross-site evaluation</ns0:t>
        </ns0:is>
      </ns0:c>
      <ns0:c r="E32" s="21" t="inlineStr">
        <ns0:is>
          <ns0:t>cross_site_robustness</ns0:t>
        </ns0:is>
      </ns0:c>
      <ns0:c r="F32" s="29">
        <ns0:f>COUNTIFS('BASE_CIERRE'!$G$5:$G$458,1,'BASE_CIERRE'!$H$5:$H$458,"Diagnosis",'BASE_CIERRE'!$J$5:$J$458,"Behavioral images/video/gaze/movement",'BASE_CIERRE'!$I$5:$I$458,"Not specified",'BASE_CIERRE'!$U$5:$U$458,"Reported")</ns0:f>
        <ns0:v>0</ns0:v>
      </ns0:c>
      <ns0:c r="G32" s="29">
        <ns0:f>COUNTIFS('BASE_CIERRE'!$G$5:$G$458,1,'BASE_CIERRE'!$H$5:$H$458,"Diagnosis",'BASE_CIERRE'!$J$5:$J$458,"Behavioral images/video/gaze/movement",'BASE_CIERRE'!$I$5:$I$458,"Not specified",'BASE_CIERRE'!$U$5:$U$458,"Not reported in assessed sources")</ns0:f>
        <ns0:v>1</ns0:v>
      </ns0:c>
      <ns0:c r="H32" s="29">
        <ns0:f>COUNTIFS('BASE_CIERRE'!$G$5:$G$458,1,'BASE_CIERRE'!$H$5:$H$458,"Diagnosis",'BASE_CIERRE'!$J$5:$J$458,"Behavioral images/video/gaze/movement",'BASE_CIERRE'!$I$5:$I$458,"Not specified",'BASE_CIERRE'!$U$5:$U$458,"Not ascertainable")</ns0:f>
        <ns0:v>0</ns0:v>
      </ns0:c>
      <ns0:c r="I32" s="29">
        <ns0:f>SUM(F32:H32)</ns0:f>
        <ns0:v>1</ns0:v>
      </ns0:c>
      <ns0:c r="J32" s="32">
        <ns0:f>IFERROR(F32/I32,0)</ns0:f>
        <ns0:v>0</ns0:v>
      </ns0:c>
      <ns0:c r="K32" s="32">
        <ns0:f>IFERROR(F32/(I32-H32),0)</ns0:f>
        <ns0:v>0</ns0:v>
      </ns0:c>
      <ns0:c r="L32" s="21" t="inlineStr">
        <ns0:is>
          <ns0:t>234</ns0:t>
        </ns0:is>
      </ns0:c>
    </ns0:row>
    <ns0:row r="33" ht="32" customHeight="1">
      <ns0:c r="A33" s="19" t="inlineStr">
        <ns0:is>
          <ns0:t>Diagnosis</ns0:t>
        </ns0:is>
      </ns0:c>
      <ns0:c r="B33" s="19" t="inlineStr">
        <ns0:is>
          <ns0:t>Biological/omics</ns0:t>
        </ns0:is>
      </ns0:c>
      <ns0:c r="C33" s="19" t="inlineStr">
        <ns0:is>
          <ns0:t>Machine Learning</ns0:t>
        </ns0:is>
      </ns0:c>
      <ns0:c r="D33" s="19" t="inlineStr">
        <ns0:is>
          <ns0:t>External validation</ns0:t>
        </ns0:is>
      </ns0:c>
      <ns0:c r="E33" s="19" t="inlineStr">
        <ns0:is>
          <ns0:t>external_validation</ns0:t>
        </ns0:is>
      </ns0:c>
      <ns0:c r="F33" s="27">
        <ns0:f>COUNTIFS('BASE_CIERRE'!$G$5:$G$458,1,'BASE_CIERRE'!$H$5:$H$458,"Diagnosis",'BASE_CIERRE'!$J$5:$J$458,"Biological/omics",'BASE_CIERRE'!$I$5:$I$458,"Machine Learning",'BASE_CIERRE'!$Q$5:$Q$458,"Reported")</ns0:f>
        <ns0:v>3</ns0:v>
      </ns0:c>
      <ns0:c r="G33" s="27">
        <ns0:f>COUNTIFS('BASE_CIERRE'!$G$5:$G$458,1,'BASE_CIERRE'!$H$5:$H$458,"Diagnosis",'BASE_CIERRE'!$J$5:$J$458,"Biological/omics",'BASE_CIERRE'!$I$5:$I$458,"Machine Learning",'BASE_CIERRE'!$Q$5:$Q$458,"Not reported in assessed sources")</ns0:f>
        <ns0:v>15</ns0:v>
      </ns0:c>
      <ns0:c r="H33" s="27">
        <ns0:f>COUNTIFS('BASE_CIERRE'!$G$5:$G$458,1,'BASE_CIERRE'!$H$5:$H$458,"Diagnosis",'BASE_CIERRE'!$J$5:$J$458,"Biological/omics",'BASE_CIERRE'!$I$5:$I$458,"Machine Learning",'BASE_CIERRE'!$Q$5:$Q$458,"Not ascertainable")</ns0:f>
        <ns0:v>1</ns0:v>
      </ns0:c>
      <ns0:c r="I33" s="27">
        <ns0:f>SUM(F33:H33)</ns0:f>
        <ns0:v>19</ns0:v>
      </ns0:c>
      <ns0:c r="J33" s="31">
        <ns0:f>IFERROR(F33/I33,0)</ns0:f>
        <ns0:v>0.15789473684210525</ns0:v>
      </ns0:c>
      <ns0:c r="K33" s="31">
        <ns0:f>IFERROR(F33/(I33-H33),0)</ns0:f>
        <ns0:v>0.16666666666666666</ns0:v>
      </ns0:c>
      <ns0:c r="L33" s="19" t="inlineStr">
        <ns0:is>
          <ns0:t>3; 5; 39; 106; 112; 143; 178; 216; 251; 265; 289; 292; new_228; new_316; new_391; new_16; new_92; new_400; new_411</ns0:t>
        </ns0:is>
      </ns0:c>
    </ns0:row>
    <ns0:row r="34" ht="32" customHeight="1">
      <ns0:c r="A34" s="21" t="inlineStr">
        <ns0:is>
          <ns0:t>Diagnosis</ns0:t>
        </ns0:is>
      </ns0:c>
      <ns0:c r="B34" s="21" t="inlineStr">
        <ns0:is>
          <ns0:t>Biological/omics</ns0:t>
        </ns0:is>
      </ns0:c>
      <ns0:c r="C34" s="21" t="inlineStr">
        <ns0:is>
          <ns0:t>Machine Learning</ns0:t>
        </ns0:is>
      </ns0:c>
      <ns0:c r="D34" s="21" t="inlineStr">
        <ns0:is>
          <ns0:t>Multisource integration</ns0:t>
        </ns0:is>
      </ns0:c>
      <ns0:c r="E34" s="21" t="inlineStr">
        <ns0:is>
          <ns0:t>multisource_integration</ns0:t>
        </ns0:is>
      </ns0:c>
      <ns0:c r="F34" s="29">
        <ns0:f>COUNTIFS('BASE_CIERRE'!$G$5:$G$458,1,'BASE_CIERRE'!$H$5:$H$458,"Diagnosis",'BASE_CIERRE'!$J$5:$J$458,"Biological/omics",'BASE_CIERRE'!$I$5:$I$458,"Machine Learning",'BASE_CIERRE'!$R$5:$R$458,"Reported")</ns0:f>
        <ns0:v>2</ns0:v>
      </ns0:c>
      <ns0:c r="G34" s="29">
        <ns0:f>COUNTIFS('BASE_CIERRE'!$G$5:$G$458,1,'BASE_CIERRE'!$H$5:$H$458,"Diagnosis",'BASE_CIERRE'!$J$5:$J$458,"Biological/omics",'BASE_CIERRE'!$I$5:$I$458,"Machine Learning",'BASE_CIERRE'!$R$5:$R$458,"Not reported in assessed sources")</ns0:f>
        <ns0:v>16</ns0:v>
      </ns0:c>
      <ns0:c r="H34" s="29">
        <ns0:f>COUNTIFS('BASE_CIERRE'!$G$5:$G$458,1,'BASE_CIERRE'!$H$5:$H$458,"Diagnosis",'BASE_CIERRE'!$J$5:$J$458,"Biological/omics",'BASE_CIERRE'!$I$5:$I$458,"Machine Learning",'BASE_CIERRE'!$R$5:$R$458,"Not ascertainable")</ns0:f>
        <ns0:v>1</ns0:v>
      </ns0:c>
      <ns0:c r="I34" s="29">
        <ns0:f>SUM(F34:H34)</ns0:f>
        <ns0:v>19</ns0:v>
      </ns0:c>
      <ns0:c r="J34" s="32">
        <ns0:f>IFERROR(F34/I34,0)</ns0:f>
        <ns0:v>0.10526315789473684</ns0:v>
      </ns0:c>
      <ns0:c r="K34" s="32">
        <ns0:f>IFERROR(F34/(I34-H34),0)</ns0:f>
        <ns0:v>0.1111111111111111</ns0:v>
      </ns0:c>
      <ns0:c r="L34" s="21" t="inlineStr">
        <ns0:is>
          <ns0:t>3; 5; 39; 106; 112; 143; 178; 216; 251; 265; 289; 292; new_228; new_316; new_391; new_16; new_92; new_400; new_411</ns0:t>
        </ns0:is>
      </ns0:c>
    </ns0:row>
    <ns0:row r="35" ht="32" customHeight="1">
      <ns0:c r="A35" s="19" t="inlineStr">
        <ns0:is>
          <ns0:t>Diagnosis</ns0:t>
        </ns0:is>
      </ns0:c>
      <ns0:c r="B35" s="19" t="inlineStr">
        <ns0:is>
          <ns0:t>Biological/omics</ns0:t>
        </ns0:is>
      </ns0:c>
      <ns0:c r="C35" s="19" t="inlineStr">
        <ns0:is>
          <ns0:t>Machine Learning</ns0:t>
        </ns0:is>
      </ns0:c>
      <ns0:c r="D35" s="19" t="inlineStr">
        <ns0:is>
          <ns0:t>Explicit explainability (broad)</ns0:t>
        </ns0:is>
      </ns0:c>
      <ns0:c r="E35" s="19" t="inlineStr">
        <ns0:is>
          <ns0:t>xai_broad</ns0:t>
        </ns0:is>
      </ns0:c>
      <ns0:c r="F35" s="27">
        <ns0:f>COUNTIFS('BASE_CIERRE'!$G$5:$G$458,1,'BASE_CIERRE'!$H$5:$H$458,"Diagnosis",'BASE_CIERRE'!$J$5:$J$458,"Biological/omics",'BASE_CIERRE'!$I$5:$I$458,"Machine Learning",'BASE_CIERRE'!$S$5:$S$458,"Reported")</ns0:f>
        <ns0:v>10</ns0:v>
      </ns0:c>
      <ns0:c r="G35" s="27">
        <ns0:f>COUNTIFS('BASE_CIERRE'!$G$5:$G$458,1,'BASE_CIERRE'!$H$5:$H$458,"Diagnosis",'BASE_CIERRE'!$J$5:$J$458,"Biological/omics",'BASE_CIERRE'!$I$5:$I$458,"Machine Learning",'BASE_CIERRE'!$S$5:$S$458,"Not reported in assessed sources")</ns0:f>
        <ns0:v>8</ns0:v>
      </ns0:c>
      <ns0:c r="H35" s="27">
        <ns0:f>COUNTIFS('BASE_CIERRE'!$G$5:$G$458,1,'BASE_CIERRE'!$H$5:$H$458,"Diagnosis",'BASE_CIERRE'!$J$5:$J$458,"Biological/omics",'BASE_CIERRE'!$I$5:$I$458,"Machine Learning",'BASE_CIERRE'!$S$5:$S$458,"Not ascertainable")</ns0:f>
        <ns0:v>1</ns0:v>
      </ns0:c>
      <ns0:c r="I35" s="27">
        <ns0:f>SUM(F35:H35)</ns0:f>
        <ns0:v>19</ns0:v>
      </ns0:c>
      <ns0:c r="J35" s="31">
        <ns0:f>IFERROR(F35/I35,0)</ns0:f>
        <ns0:v>0.5263157894736842</ns0:v>
      </ns0:c>
      <ns0:c r="K35" s="31">
        <ns0:f>IFERROR(F35/(I35-H35),0)</ns0:f>
        <ns0:v>0.5555555555555556</ns0:v>
      </ns0:c>
      <ns0:c r="L35" s="19" t="inlineStr">
        <ns0:is>
          <ns0:t>3; 5; 39; 106; 112; 143; 178; 216; 251; 265; 289; 292; new_228; new_316; new_391; new_16; new_92; new_400; new_411</ns0:t>
        </ns0:is>
      </ns0:c>
    </ns0:row>
    <ns0:row r="36" ht="32" customHeight="1">
      <ns0:c r="A36" s="21" t="inlineStr">
        <ns0:is>
          <ns0:t>Diagnosis</ns0:t>
        </ns0:is>
      </ns0:c>
      <ns0:c r="B36" s="21" t="inlineStr">
        <ns0:is>
          <ns0:t>Biological/omics</ns0:t>
        </ns0:is>
      </ns0:c>
      <ns0:c r="C36" s="21" t="inlineStr">
        <ns0:is>
          <ns0:t>Machine Learning</ns0:t>
        </ns0:is>
      </ns0:c>
      <ns0:c r="D36" s="21" t="inlineStr">
        <ns0:is>
          <ns0:t>Cross-site evaluation</ns0:t>
        </ns0:is>
      </ns0:c>
      <ns0:c r="E36" s="21" t="inlineStr">
        <ns0:is>
          <ns0:t>cross_site_robustness</ns0:t>
        </ns0:is>
      </ns0:c>
      <ns0:c r="F36" s="29">
        <ns0:f>COUNTIFS('BASE_CIERRE'!$G$5:$G$458,1,'BASE_CIERRE'!$H$5:$H$458,"Diagnosis",'BASE_CIERRE'!$J$5:$J$458,"Biological/omics",'BASE_CIERRE'!$I$5:$I$458,"Machine Learning",'BASE_CIERRE'!$U$5:$U$458,"Reported")</ns0:f>
        <ns0:v>0</ns0:v>
      </ns0:c>
      <ns0:c r="G36" s="29">
        <ns0:f>COUNTIFS('BASE_CIERRE'!$G$5:$G$458,1,'BASE_CIERRE'!$H$5:$H$458,"Diagnosis",'BASE_CIERRE'!$J$5:$J$458,"Biological/omics",'BASE_CIERRE'!$I$5:$I$458,"Machine Learning",'BASE_CIERRE'!$U$5:$U$458,"Not reported in assessed sources")</ns0:f>
        <ns0:v>19</ns0:v>
      </ns0:c>
      <ns0:c r="H36" s="29">
        <ns0:f>COUNTIFS('BASE_CIERRE'!$G$5:$G$458,1,'BASE_CIERRE'!$H$5:$H$458,"Diagnosis",'BASE_CIERRE'!$J$5:$J$458,"Biological/omics",'BASE_CIERRE'!$I$5:$I$458,"Machine Learning",'BASE_CIERRE'!$U$5:$U$458,"Not ascertainable")</ns0:f>
        <ns0:v>0</ns0:v>
      </ns0:c>
      <ns0:c r="I36" s="29">
        <ns0:f>SUM(F36:H36)</ns0:f>
        <ns0:v>19</ns0:v>
      </ns0:c>
      <ns0:c r="J36" s="32">
        <ns0:f>IFERROR(F36/I36,0)</ns0:f>
        <ns0:v>0</ns0:v>
      </ns0:c>
      <ns0:c r="K36" s="32">
        <ns0:f>IFERROR(F36/(I36-H36),0)</ns0:f>
        <ns0:v>0</ns0:v>
      </ns0:c>
      <ns0:c r="L36" s="21" t="inlineStr">
        <ns0:is>
          <ns0:t>3; 5; 39; 106; 112; 143; 178; 216; 251; 265; 289; 292; new_228; new_316; new_391; new_16; new_92; new_400; new_411</ns0:t>
        </ns0:is>
      </ns0:c>
    </ns0:row>
    <ns0:row r="37" ht="32" customHeight="1">
      <ns0:c r="A37" s="19" t="inlineStr">
        <ns0:is>
          <ns0:t>Diagnosis</ns0:t>
        </ns0:is>
      </ns0:c>
      <ns0:c r="B37" s="19" t="inlineStr">
        <ns0:is>
          <ns0:t>Multiple source categories</ns0:t>
        </ns0:is>
      </ns0:c>
      <ns0:c r="C37" s="19" t="inlineStr">
        <ns0:is>
          <ns0:t>Deep Learning</ns0:t>
        </ns0:is>
      </ns0:c>
      <ns0:c r="D37" s="19" t="inlineStr">
        <ns0:is>
          <ns0:t>External validation</ns0:t>
        </ns0:is>
      </ns0:c>
      <ns0:c r="E37" s="19" t="inlineStr">
        <ns0:is>
          <ns0:t>external_validation</ns0:t>
        </ns0:is>
      </ns0:c>
      <ns0:c r="F37" s="27">
        <ns0:f>COUNTIFS('BASE_CIERRE'!$G$5:$G$458,1,'BASE_CIERRE'!$H$5:$H$458,"Diagnosis",'BASE_CIERRE'!$J$5:$J$458,"Multiple source categories",'BASE_CIERRE'!$I$5:$I$458,"Deep Learning",'BASE_CIERRE'!$Q$5:$Q$458,"Reported")</ns0:f>
        <ns0:v>3</ns0:v>
      </ns0:c>
      <ns0:c r="G37" s="27">
        <ns0:f>COUNTIFS('BASE_CIERRE'!$G$5:$G$458,1,'BASE_CIERRE'!$H$5:$H$458,"Diagnosis",'BASE_CIERRE'!$J$5:$J$458,"Multiple source categories",'BASE_CIERRE'!$I$5:$I$458,"Deep Learning",'BASE_CIERRE'!$Q$5:$Q$458,"Not reported in assessed sources")</ns0:f>
        <ns0:v>7</ns0:v>
      </ns0:c>
      <ns0:c r="H37" s="27">
        <ns0:f>COUNTIFS('BASE_CIERRE'!$G$5:$G$458,1,'BASE_CIERRE'!$H$5:$H$458,"Diagnosis",'BASE_CIERRE'!$J$5:$J$458,"Multiple source categories",'BASE_CIERRE'!$I$5:$I$458,"Deep Learning",'BASE_CIERRE'!$Q$5:$Q$458,"Not ascertainable")</ns0:f>
        <ns0:v>0</ns0:v>
      </ns0:c>
      <ns0:c r="I37" s="27">
        <ns0:f>SUM(F37:H37)</ns0:f>
        <ns0:v>10</ns0:v>
      </ns0:c>
      <ns0:c r="J37" s="31">
        <ns0:f>IFERROR(F37/I37,0)</ns0:f>
        <ns0:v>0.3</ns0:v>
      </ns0:c>
      <ns0:c r="K37" s="31">
        <ns0:f>IFERROR(F37/(I37-H37),0)</ns0:f>
        <ns0:v>0.3</ns0:v>
      </ns0:c>
      <ns0:c r="L37" s="19" t="inlineStr">
        <ns0:is>
          <ns0:t>11; 74; 147; 163; 228; new_422; new_15; new_47; new_250; new_254</ns0:t>
        </ns0:is>
      </ns0:c>
    </ns0:row>
    <ns0:row r="38" ht="32" customHeight="1">
      <ns0:c r="A38" s="21" t="inlineStr">
        <ns0:is>
          <ns0:t>Diagnosis</ns0:t>
        </ns0:is>
      </ns0:c>
      <ns0:c r="B38" s="21" t="inlineStr">
        <ns0:is>
          <ns0:t>Multiple source categories</ns0:t>
        </ns0:is>
      </ns0:c>
      <ns0:c r="C38" s="21" t="inlineStr">
        <ns0:is>
          <ns0:t>Deep Learning</ns0:t>
        </ns0:is>
      </ns0:c>
      <ns0:c r="D38" s="21" t="inlineStr">
        <ns0:is>
          <ns0:t>Multisource integration</ns0:t>
        </ns0:is>
      </ns0:c>
      <ns0:c r="E38" s="21" t="inlineStr">
        <ns0:is>
          <ns0:t>multisource_integration</ns0:t>
        </ns0:is>
      </ns0:c>
      <ns0:c r="F38" s="29">
        <ns0:f>COUNTIFS('BASE_CIERRE'!$G$5:$G$458,1,'BASE_CIERRE'!$H$5:$H$458,"Diagnosis",'BASE_CIERRE'!$J$5:$J$458,"Multiple source categories",'BASE_CIERRE'!$I$5:$I$458,"Deep Learning",'BASE_CIERRE'!$R$5:$R$458,"Reported")</ns0:f>
        <ns0:v>10</ns0:v>
      </ns0:c>
      <ns0:c r="G38" s="29">
        <ns0:f>COUNTIFS('BASE_CIERRE'!$G$5:$G$458,1,'BASE_CIERRE'!$H$5:$H$458,"Diagnosis",'BASE_CIERRE'!$J$5:$J$458,"Multiple source categories",'BASE_CIERRE'!$I$5:$I$458,"Deep Learning",'BASE_CIERRE'!$R$5:$R$458,"Not reported in assessed sources")</ns0:f>
        <ns0:v>0</ns0:v>
      </ns0:c>
      <ns0:c r="H38" s="29">
        <ns0:f>COUNTIFS('BASE_CIERRE'!$G$5:$G$458,1,'BASE_CIERRE'!$H$5:$H$458,"Diagnosis",'BASE_CIERRE'!$J$5:$J$458,"Multiple source categories",'BASE_CIERRE'!$I$5:$I$458,"Deep Learning",'BASE_CIERRE'!$R$5:$R$458,"Not ascertainable")</ns0:f>
        <ns0:v>0</ns0:v>
      </ns0:c>
      <ns0:c r="I38" s="29">
        <ns0:f>SUM(F38:H38)</ns0:f>
        <ns0:v>10</ns0:v>
      </ns0:c>
      <ns0:c r="J38" s="32">
        <ns0:f>IFERROR(F38/I38,0)</ns0:f>
        <ns0:v>1</ns0:v>
      </ns0:c>
      <ns0:c r="K38" s="32">
        <ns0:f>IFERROR(F38/(I38-H38),0)</ns0:f>
        <ns0:v>1</ns0:v>
      </ns0:c>
      <ns0:c r="L38" s="21" t="inlineStr">
        <ns0:is>
          <ns0:t>11; 74; 147; 163; 228; new_422; new_15; new_47; new_250; new_254</ns0:t>
        </ns0:is>
      </ns0:c>
    </ns0:row>
    <ns0:row r="39" ht="32" customHeight="1">
      <ns0:c r="A39" s="19" t="inlineStr">
        <ns0:is>
          <ns0:t>Diagnosis</ns0:t>
        </ns0:is>
      </ns0:c>
      <ns0:c r="B39" s="19" t="inlineStr">
        <ns0:is>
          <ns0:t>Multiple source categories</ns0:t>
        </ns0:is>
      </ns0:c>
      <ns0:c r="C39" s="19" t="inlineStr">
        <ns0:is>
          <ns0:t>Deep Learning</ns0:t>
        </ns0:is>
      </ns0:c>
      <ns0:c r="D39" s="19" t="inlineStr">
        <ns0:is>
          <ns0:t>Explicit explainability (broad)</ns0:t>
        </ns0:is>
      </ns0:c>
      <ns0:c r="E39" s="19" t="inlineStr">
        <ns0:is>
          <ns0:t>xai_broad</ns0:t>
        </ns0:is>
      </ns0:c>
      <ns0:c r="F39" s="27">
        <ns0:f>COUNTIFS('BASE_CIERRE'!$G$5:$G$458,1,'BASE_CIERRE'!$H$5:$H$458,"Diagnosis",'BASE_CIERRE'!$J$5:$J$458,"Multiple source categories",'BASE_CIERRE'!$I$5:$I$458,"Deep Learning",'BASE_CIERRE'!$S$5:$S$458,"Reported")</ns0:f>
        <ns0:v>2</ns0:v>
      </ns0:c>
      <ns0:c r="G39" s="27">
        <ns0:f>COUNTIFS('BASE_CIERRE'!$G$5:$G$458,1,'BASE_CIERRE'!$H$5:$H$458,"Diagnosis",'BASE_CIERRE'!$J$5:$J$458,"Multiple source categories",'BASE_CIERRE'!$I$5:$I$458,"Deep Learning",'BASE_CIERRE'!$S$5:$S$458,"Not reported in assessed sources")</ns0:f>
        <ns0:v>8</ns0:v>
      </ns0:c>
      <ns0:c r="H39" s="27">
        <ns0:f>COUNTIFS('BASE_CIERRE'!$G$5:$G$458,1,'BASE_CIERRE'!$H$5:$H$458,"Diagnosis",'BASE_CIERRE'!$J$5:$J$458,"Multiple source categories",'BASE_CIERRE'!$I$5:$I$458,"Deep Learning",'BASE_CIERRE'!$S$5:$S$458,"Not ascertainable")</ns0:f>
        <ns0:v>0</ns0:v>
      </ns0:c>
      <ns0:c r="I39" s="27">
        <ns0:f>SUM(F39:H39)</ns0:f>
        <ns0:v>10</ns0:v>
      </ns0:c>
      <ns0:c r="J39" s="31">
        <ns0:f>IFERROR(F39/I39,0)</ns0:f>
        <ns0:v>0.2</ns0:v>
      </ns0:c>
      <ns0:c r="K39" s="31">
        <ns0:f>IFERROR(F39/(I39-H39),0)</ns0:f>
        <ns0:v>0.2</ns0:v>
      </ns0:c>
      <ns0:c r="L39" s="19" t="inlineStr">
        <ns0:is>
          <ns0:t>11; 74; 147; 163; 228; new_422; new_15; new_47; new_250; new_254</ns0:t>
        </ns0:is>
      </ns0:c>
    </ns0:row>
    <ns0:row r="40" ht="32" customHeight="1">
      <ns0:c r="A40" s="21" t="inlineStr">
        <ns0:is>
          <ns0:t>Diagnosis</ns0:t>
        </ns0:is>
      </ns0:c>
      <ns0:c r="B40" s="21" t="inlineStr">
        <ns0:is>
          <ns0:t>Multiple source categories</ns0:t>
        </ns0:is>
      </ns0:c>
      <ns0:c r="C40" s="21" t="inlineStr">
        <ns0:is>
          <ns0:t>Deep Learning</ns0:t>
        </ns0:is>
      </ns0:c>
      <ns0:c r="D40" s="21" t="inlineStr">
        <ns0:is>
          <ns0:t>Cross-site evaluation</ns0:t>
        </ns0:is>
      </ns0:c>
      <ns0:c r="E40" s="21" t="inlineStr">
        <ns0:is>
          <ns0:t>cross_site_robustness</ns0:t>
        </ns0:is>
      </ns0:c>
      <ns0:c r="F40" s="29">
        <ns0:f>COUNTIFS('BASE_CIERRE'!$G$5:$G$458,1,'BASE_CIERRE'!$H$5:$H$458,"Diagnosis",'BASE_CIERRE'!$J$5:$J$458,"Multiple source categories",'BASE_CIERRE'!$I$5:$I$458,"Deep Learning",'BASE_CIERRE'!$U$5:$U$458,"Reported")</ns0:f>
        <ns0:v>3</ns0:v>
      </ns0:c>
      <ns0:c r="G40" s="29">
        <ns0:f>COUNTIFS('BASE_CIERRE'!$G$5:$G$458,1,'BASE_CIERRE'!$H$5:$H$458,"Diagnosis",'BASE_CIERRE'!$J$5:$J$458,"Multiple source categories",'BASE_CIERRE'!$I$5:$I$458,"Deep Learning",'BASE_CIERRE'!$U$5:$U$458,"Not reported in assessed sources")</ns0:f>
        <ns0:v>7</ns0:v>
      </ns0:c>
      <ns0:c r="H40" s="29">
        <ns0:f>COUNTIFS('BASE_CIERRE'!$G$5:$G$458,1,'BASE_CIERRE'!$H$5:$H$458,"Diagnosis",'BASE_CIERRE'!$J$5:$J$458,"Multiple source categories",'BASE_CIERRE'!$I$5:$I$458,"Deep Learning",'BASE_CIERRE'!$U$5:$U$458,"Not ascertainable")</ns0:f>
        <ns0:v>0</ns0:v>
      </ns0:c>
      <ns0:c r="I40" s="29">
        <ns0:f>SUM(F40:H40)</ns0:f>
        <ns0:v>10</ns0:v>
      </ns0:c>
      <ns0:c r="J40" s="32">
        <ns0:f>IFERROR(F40/I40,0)</ns0:f>
        <ns0:v>0.3</ns0:v>
      </ns0:c>
      <ns0:c r="K40" s="32">
        <ns0:f>IFERROR(F40/(I40-H40),0)</ns0:f>
        <ns0:v>0.3</ns0:v>
      </ns0:c>
      <ns0:c r="L40" s="21" t="inlineStr">
        <ns0:is>
          <ns0:t>11; 74; 147; 163; 228; new_422; new_15; new_47; new_250; new_254</ns0:t>
        </ns0:is>
      </ns0:c>
    </ns0:row>
    <ns0:row r="41" ht="32" customHeight="1">
      <ns0:c r="A41" s="19" t="inlineStr">
        <ns0:is>
          <ns0:t>Diagnosis</ns0:t>
        </ns0:is>
      </ns0:c>
      <ns0:c r="B41" s="19" t="inlineStr">
        <ns0:is>
          <ns0:t>Multiple source categories</ns0:t>
        </ns0:is>
      </ns0:c>
      <ns0:c r="C41" s="19" t="inlineStr">
        <ns0:is>
          <ns0:t>Hybrid</ns0:t>
        </ns0:is>
      </ns0:c>
      <ns0:c r="D41" s="19" t="inlineStr">
        <ns0:is>
          <ns0:t>External validation</ns0:t>
        </ns0:is>
      </ns0:c>
      <ns0:c r="E41" s="19" t="inlineStr">
        <ns0:is>
          <ns0:t>external_validation</ns0:t>
        </ns0:is>
      </ns0:c>
      <ns0:c r="F41" s="27">
        <ns0:f>COUNTIFS('BASE_CIERRE'!$G$5:$G$458,1,'BASE_CIERRE'!$H$5:$H$458,"Diagnosis",'BASE_CIERRE'!$J$5:$J$458,"Multiple source categories",'BASE_CIERRE'!$I$5:$I$458,"Hybrid",'BASE_CIERRE'!$Q$5:$Q$458,"Reported")</ns0:f>
        <ns0:v>1</ns0:v>
      </ns0:c>
      <ns0:c r="G41" s="27">
        <ns0:f>COUNTIFS('BASE_CIERRE'!$G$5:$G$458,1,'BASE_CIERRE'!$H$5:$H$458,"Diagnosis",'BASE_CIERRE'!$J$5:$J$458,"Multiple source categories",'BASE_CIERRE'!$I$5:$I$458,"Hybrid",'BASE_CIERRE'!$Q$5:$Q$458,"Not reported in assessed sources")</ns0:f>
        <ns0:v>1</ns0:v>
      </ns0:c>
      <ns0:c r="H41" s="27">
        <ns0:f>COUNTIFS('BASE_CIERRE'!$G$5:$G$458,1,'BASE_CIERRE'!$H$5:$H$458,"Diagnosis",'BASE_CIERRE'!$J$5:$J$458,"Multiple source categories",'BASE_CIERRE'!$I$5:$I$458,"Hybrid",'BASE_CIERRE'!$Q$5:$Q$458,"Not ascertainable")</ns0:f>
        <ns0:v>0</ns0:v>
      </ns0:c>
      <ns0:c r="I41" s="27">
        <ns0:f>SUM(F41:H41)</ns0:f>
        <ns0:v>2</ns0:v>
      </ns0:c>
      <ns0:c r="J41" s="31">
        <ns0:f>IFERROR(F41/I41,0)</ns0:f>
        <ns0:v>0.5</ns0:v>
      </ns0:c>
      <ns0:c r="K41" s="31">
        <ns0:f>IFERROR(F41/(I41-H41),0)</ns0:f>
        <ns0:v>0.5</ns0:v>
      </ns0:c>
      <ns0:c r="L41" s="19" t="inlineStr">
        <ns0:is>
          <ns0:t>new_60; new_103</ns0:t>
        </ns0:is>
      </ns0:c>
    </ns0:row>
    <ns0:row r="42" ht="32" customHeight="1">
      <ns0:c r="A42" s="21" t="inlineStr">
        <ns0:is>
          <ns0:t>Diagnosis</ns0:t>
        </ns0:is>
      </ns0:c>
      <ns0:c r="B42" s="21" t="inlineStr">
        <ns0:is>
          <ns0:t>Multiple source categories</ns0:t>
        </ns0:is>
      </ns0:c>
      <ns0:c r="C42" s="21" t="inlineStr">
        <ns0:is>
          <ns0:t>Hybrid</ns0:t>
        </ns0:is>
      </ns0:c>
      <ns0:c r="D42" s="21" t="inlineStr">
        <ns0:is>
          <ns0:t>Multisource integration</ns0:t>
        </ns0:is>
      </ns0:c>
      <ns0:c r="E42" s="21" t="inlineStr">
        <ns0:is>
          <ns0:t>multisource_integration</ns0:t>
        </ns0:is>
      </ns0:c>
      <ns0:c r="F42" s="29">
        <ns0:f>COUNTIFS('BASE_CIERRE'!$G$5:$G$458,1,'BASE_CIERRE'!$H$5:$H$458,"Diagnosis",'BASE_CIERRE'!$J$5:$J$458,"Multiple source categories",'BASE_CIERRE'!$I$5:$I$458,"Hybrid",'BASE_CIERRE'!$R$5:$R$458,"Reported")</ns0:f>
        <ns0:v>2</ns0:v>
      </ns0:c>
      <ns0:c r="G42" s="29">
        <ns0:f>COUNTIFS('BASE_CIERRE'!$G$5:$G$458,1,'BASE_CIERRE'!$H$5:$H$458,"Diagnosis",'BASE_CIERRE'!$J$5:$J$458,"Multiple source categories",'BASE_CIERRE'!$I$5:$I$458,"Hybrid",'BASE_CIERRE'!$R$5:$R$458,"Not reported in assessed sources")</ns0:f>
        <ns0:v>0</ns0:v>
      </ns0:c>
      <ns0:c r="H42" s="29">
        <ns0:f>COUNTIFS('BASE_CIERRE'!$G$5:$G$458,1,'BASE_CIERRE'!$H$5:$H$458,"Diagnosis",'BASE_CIERRE'!$J$5:$J$458,"Multiple source categories",'BASE_CIERRE'!$I$5:$I$458,"Hybrid",'BASE_CIERRE'!$R$5:$R$458,"Not ascertainable")</ns0:f>
        <ns0:v>0</ns0:v>
      </ns0:c>
      <ns0:c r="I42" s="29">
        <ns0:f>SUM(F42:H42)</ns0:f>
        <ns0:v>2</ns0:v>
      </ns0:c>
      <ns0:c r="J42" s="32">
        <ns0:f>IFERROR(F42/I42,0)</ns0:f>
        <ns0:v>1</ns0:v>
      </ns0:c>
      <ns0:c r="K42" s="32">
        <ns0:f>IFERROR(F42/(I42-H42),0)</ns0:f>
        <ns0:v>1</ns0:v>
      </ns0:c>
      <ns0:c r="L42" s="21" t="inlineStr">
        <ns0:is>
          <ns0:t>new_60; new_103</ns0:t>
        </ns0:is>
      </ns0:c>
    </ns0:row>
    <ns0:row r="43" ht="32" customHeight="1">
      <ns0:c r="A43" s="19" t="inlineStr">
        <ns0:is>
          <ns0:t>Diagnosis</ns0:t>
        </ns0:is>
      </ns0:c>
      <ns0:c r="B43" s="19" t="inlineStr">
        <ns0:is>
          <ns0:t>Multiple source categories</ns0:t>
        </ns0:is>
      </ns0:c>
      <ns0:c r="C43" s="19" t="inlineStr">
        <ns0:is>
          <ns0:t>Hybrid</ns0:t>
        </ns0:is>
      </ns0:c>
      <ns0:c r="D43" s="19" t="inlineStr">
        <ns0:is>
          <ns0:t>Explicit explainability (broad)</ns0:t>
        </ns0:is>
      </ns0:c>
      <ns0:c r="E43" s="19" t="inlineStr">
        <ns0:is>
          <ns0:t>xai_broad</ns0:t>
        </ns0:is>
      </ns0:c>
      <ns0:c r="F43" s="27">
        <ns0:f>COUNTIFS('BASE_CIERRE'!$G$5:$G$458,1,'BASE_CIERRE'!$H$5:$H$458,"Diagnosis",'BASE_CIERRE'!$J$5:$J$458,"Multiple source categories",'BASE_CIERRE'!$I$5:$I$458,"Hybrid",'BASE_CIERRE'!$S$5:$S$458,"Reported")</ns0:f>
        <ns0:v>2</ns0:v>
      </ns0:c>
      <ns0:c r="G43" s="27">
        <ns0:f>COUNTIFS('BASE_CIERRE'!$G$5:$G$458,1,'BASE_CIERRE'!$H$5:$H$458,"Diagnosis",'BASE_CIERRE'!$J$5:$J$458,"Multiple source categories",'BASE_CIERRE'!$I$5:$I$458,"Hybrid",'BASE_CIERRE'!$S$5:$S$458,"Not reported in assessed sources")</ns0:f>
        <ns0:v>0</ns0:v>
      </ns0:c>
      <ns0:c r="H43" s="27">
        <ns0:f>COUNTIFS('BASE_CIERRE'!$G$5:$G$458,1,'BASE_CIERRE'!$H$5:$H$458,"Diagnosis",'BASE_CIERRE'!$J$5:$J$458,"Multiple source categories",'BASE_CIERRE'!$I$5:$I$458,"Hybrid",'BASE_CIERRE'!$S$5:$S$458,"Not ascertainable")</ns0:f>
        <ns0:v>0</ns0:v>
      </ns0:c>
      <ns0:c r="I43" s="27">
        <ns0:f>SUM(F43:H43)</ns0:f>
        <ns0:v>2</ns0:v>
      </ns0:c>
      <ns0:c r="J43" s="31">
        <ns0:f>IFERROR(F43/I43,0)</ns0:f>
        <ns0:v>1</ns0:v>
      </ns0:c>
      <ns0:c r="K43" s="31">
        <ns0:f>IFERROR(F43/(I43-H43),0)</ns0:f>
        <ns0:v>1</ns0:v>
      </ns0:c>
      <ns0:c r="L43" s="19" t="inlineStr">
        <ns0:is>
          <ns0:t>new_60; new_103</ns0:t>
        </ns0:is>
      </ns0:c>
    </ns0:row>
    <ns0:row r="44" ht="32" customHeight="1">
      <ns0:c r="A44" s="21" t="inlineStr">
        <ns0:is>
          <ns0:t>Diagnosis</ns0:t>
        </ns0:is>
      </ns0:c>
      <ns0:c r="B44" s="21" t="inlineStr">
        <ns0:is>
          <ns0:t>Multiple source categories</ns0:t>
        </ns0:is>
      </ns0:c>
      <ns0:c r="C44" s="21" t="inlineStr">
        <ns0:is>
          <ns0:t>Hybrid</ns0:t>
        </ns0:is>
      </ns0:c>
      <ns0:c r="D44" s="21" t="inlineStr">
        <ns0:is>
          <ns0:t>Cross-site evaluation</ns0:t>
        </ns0:is>
      </ns0:c>
      <ns0:c r="E44" s="21" t="inlineStr">
        <ns0:is>
          <ns0:t>cross_site_robustness</ns0:t>
        </ns0:is>
      </ns0:c>
      <ns0:c r="F44" s="29">
        <ns0:f>COUNTIFS('BASE_CIERRE'!$G$5:$G$458,1,'BASE_CIERRE'!$H$5:$H$458,"Diagnosis",'BASE_CIERRE'!$J$5:$J$458,"Multiple source categories",'BASE_CIERRE'!$I$5:$I$458,"Hybrid",'BASE_CIERRE'!$U$5:$U$458,"Reported")</ns0:f>
        <ns0:v>1</ns0:v>
      </ns0:c>
      <ns0:c r="G44" s="29">
        <ns0:f>COUNTIFS('BASE_CIERRE'!$G$5:$G$458,1,'BASE_CIERRE'!$H$5:$H$458,"Diagnosis",'BASE_CIERRE'!$J$5:$J$458,"Multiple source categories",'BASE_CIERRE'!$I$5:$I$458,"Hybrid",'BASE_CIERRE'!$U$5:$U$458,"Not reported in assessed sources")</ns0:f>
        <ns0:v>1</ns0:v>
      </ns0:c>
      <ns0:c r="H44" s="29">
        <ns0:f>COUNTIFS('BASE_CIERRE'!$G$5:$G$458,1,'BASE_CIERRE'!$H$5:$H$458,"Diagnosis",'BASE_CIERRE'!$J$5:$J$458,"Multiple source categories",'BASE_CIERRE'!$I$5:$I$458,"Hybrid",'BASE_CIERRE'!$U$5:$U$458,"Not ascertainable")</ns0:f>
        <ns0:v>0</ns0:v>
      </ns0:c>
      <ns0:c r="I44" s="29">
        <ns0:f>SUM(F44:H44)</ns0:f>
        <ns0:v>2</ns0:v>
      </ns0:c>
      <ns0:c r="J44" s="32">
        <ns0:f>IFERROR(F44/I44,0)</ns0:f>
        <ns0:v>0.5</ns0:v>
      </ns0:c>
      <ns0:c r="K44" s="32">
        <ns0:f>IFERROR(F44/(I44-H44),0)</ns0:f>
        <ns0:v>0.5</ns0:v>
      </ns0:c>
      <ns0:c r="L44" s="21" t="inlineStr">
        <ns0:is>
          <ns0:t>new_60; new_103</ns0:t>
        </ns0:is>
      </ns0:c>
    </ns0:row>
    <ns0:row r="45" ht="32" customHeight="1">
      <ns0:c r="A45" s="19" t="inlineStr">
        <ns0:is>
          <ns0:t>Diagnosis</ns0:t>
        </ns0:is>
      </ns0:c>
      <ns0:c r="B45" s="19" t="inlineStr">
        <ns0:is>
          <ns0:t>Multiple source categories</ns0:t>
        </ns0:is>
      </ns0:c>
      <ns0:c r="C45" s="19" t="inlineStr">
        <ns0:is>
          <ns0:t>Machine Learning</ns0:t>
        </ns0:is>
      </ns0:c>
      <ns0:c r="D45" s="19" t="inlineStr">
        <ns0:is>
          <ns0:t>External validation</ns0:t>
        </ns0:is>
      </ns0:c>
      <ns0:c r="E45" s="19" t="inlineStr">
        <ns0:is>
          <ns0:t>external_validation</ns0:t>
        </ns0:is>
      </ns0:c>
      <ns0:c r="F45" s="27">
        <ns0:f>COUNTIFS('BASE_CIERRE'!$G$5:$G$458,1,'BASE_CIERRE'!$H$5:$H$458,"Diagnosis",'BASE_CIERRE'!$J$5:$J$458,"Multiple source categories",'BASE_CIERRE'!$I$5:$I$458,"Machine Learning",'BASE_CIERRE'!$Q$5:$Q$458,"Reported")</ns0:f>
        <ns0:v>1</ns0:v>
      </ns0:c>
      <ns0:c r="G45" s="27">
        <ns0:f>COUNTIFS('BASE_CIERRE'!$G$5:$G$458,1,'BASE_CIERRE'!$H$5:$H$458,"Diagnosis",'BASE_CIERRE'!$J$5:$J$458,"Multiple source categories",'BASE_CIERRE'!$I$5:$I$458,"Machine Learning",'BASE_CIERRE'!$Q$5:$Q$458,"Not reported in assessed sources")</ns0:f>
        <ns0:v>8</ns0:v>
      </ns0:c>
      <ns0:c r="H45" s="27">
        <ns0:f>COUNTIFS('BASE_CIERRE'!$G$5:$G$458,1,'BASE_CIERRE'!$H$5:$H$458,"Diagnosis",'BASE_CIERRE'!$J$5:$J$458,"Multiple source categories",'BASE_CIERRE'!$I$5:$I$458,"Machine Learning",'BASE_CIERRE'!$Q$5:$Q$458,"Not ascertainable")</ns0:f>
        <ns0:v>0</ns0:v>
      </ns0:c>
      <ns0:c r="I45" s="27">
        <ns0:f>SUM(F45:H45)</ns0:f>
        <ns0:v>9</ns0:v>
      </ns0:c>
      <ns0:c r="J45" s="31">
        <ns0:f>IFERROR(F45/I45,0)</ns0:f>
        <ns0:v>0.1111111111111111</ns0:v>
      </ns0:c>
      <ns0:c r="K45" s="31">
        <ns0:f>IFERROR(F45/(I45-H45),0)</ns0:f>
        <ns0:v>0.1111111111111111</ns0:v>
      </ns0:c>
      <ns0:c r="L45" s="19" t="inlineStr">
        <ns0:is>
          <ns0:t>86; 108; 164; 190; 239; new_12; new_305; new_334; new_31</ns0:t>
        </ns0:is>
      </ns0:c>
    </ns0:row>
    <ns0:row r="46" ht="32" customHeight="1">
      <ns0:c r="A46" s="21" t="inlineStr">
        <ns0:is>
          <ns0:t>Diagnosis</ns0:t>
        </ns0:is>
      </ns0:c>
      <ns0:c r="B46" s="21" t="inlineStr">
        <ns0:is>
          <ns0:t>Multiple source categories</ns0:t>
        </ns0:is>
      </ns0:c>
      <ns0:c r="C46" s="21" t="inlineStr">
        <ns0:is>
          <ns0:t>Machine Learning</ns0:t>
        </ns0:is>
      </ns0:c>
      <ns0:c r="D46" s="21" t="inlineStr">
        <ns0:is>
          <ns0:t>Multisource integration</ns0:t>
        </ns0:is>
      </ns0:c>
      <ns0:c r="E46" s="21" t="inlineStr">
        <ns0:is>
          <ns0:t>multisource_integration</ns0:t>
        </ns0:is>
      </ns0:c>
      <ns0:c r="F46" s="29">
        <ns0:f>COUNTIFS('BASE_CIERRE'!$G$5:$G$458,1,'BASE_CIERRE'!$H$5:$H$458,"Diagnosis",'BASE_CIERRE'!$J$5:$J$458,"Multiple source categories",'BASE_CIERRE'!$I$5:$I$458,"Machine Learning",'BASE_CIERRE'!$R$5:$R$458,"Reported")</ns0:f>
        <ns0:v>8</ns0:v>
      </ns0:c>
      <ns0:c r="G46" s="29">
        <ns0:f>COUNTIFS('BASE_CIERRE'!$G$5:$G$458,1,'BASE_CIERRE'!$H$5:$H$458,"Diagnosis",'BASE_CIERRE'!$J$5:$J$458,"Multiple source categories",'BASE_CIERRE'!$I$5:$I$458,"Machine Learning",'BASE_CIERRE'!$R$5:$R$458,"Not reported in assessed sources")</ns0:f>
        <ns0:v>0</ns0:v>
      </ns0:c>
      <ns0:c r="H46" s="29">
        <ns0:f>COUNTIFS('BASE_CIERRE'!$G$5:$G$458,1,'BASE_CIERRE'!$H$5:$H$458,"Diagnosis",'BASE_CIERRE'!$J$5:$J$458,"Multiple source categories",'BASE_CIERRE'!$I$5:$I$458,"Machine Learning",'BASE_CIERRE'!$R$5:$R$458,"Not ascertainable")</ns0:f>
        <ns0:v>1</ns0:v>
      </ns0:c>
      <ns0:c r="I46" s="29">
        <ns0:f>SUM(F46:H46)</ns0:f>
        <ns0:v>9</ns0:v>
      </ns0:c>
      <ns0:c r="J46" s="32">
        <ns0:f>IFERROR(F46/I46,0)</ns0:f>
        <ns0:v>0.8888888888888888</ns0:v>
      </ns0:c>
      <ns0:c r="K46" s="32">
        <ns0:f>IFERROR(F46/(I46-H46),0)</ns0:f>
        <ns0:v>1</ns0:v>
      </ns0:c>
      <ns0:c r="L46" s="21" t="inlineStr">
        <ns0:is>
          <ns0:t>86; 108; 164; 190; 239; new_12; new_305; new_334; new_31</ns0:t>
        </ns0:is>
      </ns0:c>
    </ns0:row>
    <ns0:row r="47" ht="32" customHeight="1">
      <ns0:c r="A47" s="19" t="inlineStr">
        <ns0:is>
          <ns0:t>Diagnosis</ns0:t>
        </ns0:is>
      </ns0:c>
      <ns0:c r="B47" s="19" t="inlineStr">
        <ns0:is>
          <ns0:t>Multiple source categories</ns0:t>
        </ns0:is>
      </ns0:c>
      <ns0:c r="C47" s="19" t="inlineStr">
        <ns0:is>
          <ns0:t>Machine Learning</ns0:t>
        </ns0:is>
      </ns0:c>
      <ns0:c r="D47" s="19" t="inlineStr">
        <ns0:is>
          <ns0:t>Explicit explainability (broad)</ns0:t>
        </ns0:is>
      </ns0:c>
      <ns0:c r="E47" s="19" t="inlineStr">
        <ns0:is>
          <ns0:t>xai_broad</ns0:t>
        </ns0:is>
      </ns0:c>
      <ns0:c r="F47" s="27">
        <ns0:f>COUNTIFS('BASE_CIERRE'!$G$5:$G$458,1,'BASE_CIERRE'!$H$5:$H$458,"Diagnosis",'BASE_CIERRE'!$J$5:$J$458,"Multiple source categories",'BASE_CIERRE'!$I$5:$I$458,"Machine Learning",'BASE_CIERRE'!$S$5:$S$458,"Reported")</ns0:f>
        <ns0:v>6</ns0:v>
      </ns0:c>
      <ns0:c r="G47" s="27">
        <ns0:f>COUNTIFS('BASE_CIERRE'!$G$5:$G$458,1,'BASE_CIERRE'!$H$5:$H$458,"Diagnosis",'BASE_CIERRE'!$J$5:$J$458,"Multiple source categories",'BASE_CIERRE'!$I$5:$I$458,"Machine Learning",'BASE_CIERRE'!$S$5:$S$458,"Not reported in assessed sources")</ns0:f>
        <ns0:v>3</ns0:v>
      </ns0:c>
      <ns0:c r="H47" s="27">
        <ns0:f>COUNTIFS('BASE_CIERRE'!$G$5:$G$458,1,'BASE_CIERRE'!$H$5:$H$458,"Diagnosis",'BASE_CIERRE'!$J$5:$J$458,"Multiple source categories",'BASE_CIERRE'!$I$5:$I$458,"Machine Learning",'BASE_CIERRE'!$S$5:$S$458,"Not ascertainable")</ns0:f>
        <ns0:v>0</ns0:v>
      </ns0:c>
      <ns0:c r="I47" s="27">
        <ns0:f>SUM(F47:H47)</ns0:f>
        <ns0:v>9</ns0:v>
      </ns0:c>
      <ns0:c r="J47" s="31">
        <ns0:f>IFERROR(F47/I47,0)</ns0:f>
        <ns0:v>0.6666666666666666</ns0:v>
      </ns0:c>
      <ns0:c r="K47" s="31">
        <ns0:f>IFERROR(F47/(I47-H47),0)</ns0:f>
        <ns0:v>0.6666666666666666</ns0:v>
      </ns0:c>
      <ns0:c r="L47" s="19" t="inlineStr">
        <ns0:is>
          <ns0:t>86; 108; 164; 190; 239; new_12; new_305; new_334; new_31</ns0:t>
        </ns0:is>
      </ns0:c>
    </ns0:row>
    <ns0:row r="48" ht="32" customHeight="1">
      <ns0:c r="A48" s="21" t="inlineStr">
        <ns0:is>
          <ns0:t>Diagnosis</ns0:t>
        </ns0:is>
      </ns0:c>
      <ns0:c r="B48" s="21" t="inlineStr">
        <ns0:is>
          <ns0:t>Multiple source categories</ns0:t>
        </ns0:is>
      </ns0:c>
      <ns0:c r="C48" s="21" t="inlineStr">
        <ns0:is>
          <ns0:t>Machine Learning</ns0:t>
        </ns0:is>
      </ns0:c>
      <ns0:c r="D48" s="21" t="inlineStr">
        <ns0:is>
          <ns0:t>Cross-site evaluation</ns0:t>
        </ns0:is>
      </ns0:c>
      <ns0:c r="E48" s="21" t="inlineStr">
        <ns0:is>
          <ns0:t>cross_site_robustness</ns0:t>
        </ns0:is>
      </ns0:c>
      <ns0:c r="F48" s="29">
        <ns0:f>COUNTIFS('BASE_CIERRE'!$G$5:$G$458,1,'BASE_CIERRE'!$H$5:$H$458,"Diagnosis",'BASE_CIERRE'!$J$5:$J$458,"Multiple source categories",'BASE_CIERRE'!$I$5:$I$458,"Machine Learning",'BASE_CIERRE'!$U$5:$U$458,"Reported")</ns0:f>
        <ns0:v>1</ns0:v>
      </ns0:c>
      <ns0:c r="G48" s="29">
        <ns0:f>COUNTIFS('BASE_CIERRE'!$G$5:$G$458,1,'BASE_CIERRE'!$H$5:$H$458,"Diagnosis",'BASE_CIERRE'!$J$5:$J$458,"Multiple source categories",'BASE_CIERRE'!$I$5:$I$458,"Machine Learning",'BASE_CIERRE'!$U$5:$U$458,"Not reported in assessed sources")</ns0:f>
        <ns0:v>8</ns0:v>
      </ns0:c>
      <ns0:c r="H48" s="29">
        <ns0:f>COUNTIFS('BASE_CIERRE'!$G$5:$G$458,1,'BASE_CIERRE'!$H$5:$H$458,"Diagnosis",'BASE_CIERRE'!$J$5:$J$458,"Multiple source categories",'BASE_CIERRE'!$I$5:$I$458,"Machine Learning",'BASE_CIERRE'!$U$5:$U$458,"Not ascertainable")</ns0:f>
        <ns0:v>0</ns0:v>
      </ns0:c>
      <ns0:c r="I48" s="29">
        <ns0:f>SUM(F48:H48)</ns0:f>
        <ns0:v>9</ns0:v>
      </ns0:c>
      <ns0:c r="J48" s="32">
        <ns0:f>IFERROR(F48/I48,0)</ns0:f>
        <ns0:v>0.1111111111111111</ns0:v>
      </ns0:c>
      <ns0:c r="K48" s="32">
        <ns0:f>IFERROR(F48/(I48-H48),0)</ns0:f>
        <ns0:v>0.1111111111111111</ns0:v>
      </ns0:c>
      <ns0:c r="L48" s="21" t="inlineStr">
        <ns0:is>
          <ns0:t>86; 108; 164; 190; 239; new_12; new_305; new_334; new_31</ns0:t>
        </ns0:is>
      </ns0:c>
    </ns0:row>
    <ns0:row r="49" ht="32" customHeight="1">
      <ns0:c r="A49" s="19" t="inlineStr">
        <ns0:is>
          <ns0:t>Diagnosis</ns0:t>
        </ns0:is>
      </ns0:c>
      <ns0:c r="B49" s="19" t="inlineStr">
        <ns0:is>
          <ns0:t>Multiple source categories</ns0:t>
        </ns0:is>
      </ns0:c>
      <ns0:c r="C49" s="19" t="inlineStr">
        <ns0:is>
          <ns0:t>Not specified</ns0:t>
        </ns0:is>
      </ns0:c>
      <ns0:c r="D49" s="19" t="inlineStr">
        <ns0:is>
          <ns0:t>External validation</ns0:t>
        </ns0:is>
      </ns0:c>
      <ns0:c r="E49" s="19" t="inlineStr">
        <ns0:is>
          <ns0:t>external_validation</ns0:t>
        </ns0:is>
      </ns0:c>
      <ns0:c r="F49" s="27">
        <ns0:f>COUNTIFS('BASE_CIERRE'!$G$5:$G$458,1,'BASE_CIERRE'!$H$5:$H$458,"Diagnosis",'BASE_CIERRE'!$J$5:$J$458,"Multiple source categories",'BASE_CIERRE'!$I$5:$I$458,"Not specified",'BASE_CIERRE'!$Q$5:$Q$458,"Reported")</ns0:f>
        <ns0:v>0</ns0:v>
      </ns0:c>
      <ns0:c r="G49" s="27">
        <ns0:f>COUNTIFS('BASE_CIERRE'!$G$5:$G$458,1,'BASE_CIERRE'!$H$5:$H$458,"Diagnosis",'BASE_CIERRE'!$J$5:$J$458,"Multiple source categories",'BASE_CIERRE'!$I$5:$I$458,"Not specified",'BASE_CIERRE'!$Q$5:$Q$458,"Not reported in assessed sources")</ns0:f>
        <ns0:v>1</ns0:v>
      </ns0:c>
      <ns0:c r="H49" s="27">
        <ns0:f>COUNTIFS('BASE_CIERRE'!$G$5:$G$458,1,'BASE_CIERRE'!$H$5:$H$458,"Diagnosis",'BASE_CIERRE'!$J$5:$J$458,"Multiple source categories",'BASE_CIERRE'!$I$5:$I$458,"Not specified",'BASE_CIERRE'!$Q$5:$Q$458,"Not ascertainable")</ns0:f>
        <ns0:v>0</ns0:v>
      </ns0:c>
      <ns0:c r="I49" s="27">
        <ns0:f>SUM(F49:H49)</ns0:f>
        <ns0:v>1</ns0:v>
      </ns0:c>
      <ns0:c r="J49" s="31">
        <ns0:f>IFERROR(F49/I49,0)</ns0:f>
        <ns0:v>0</ns0:v>
      </ns0:c>
      <ns0:c r="K49" s="31">
        <ns0:f>IFERROR(F49/(I49-H49),0)</ns0:f>
        <ns0:v>0</ns0:v>
      </ns0:c>
      <ns0:c r="L49" s="19" t="inlineStr">
        <ns0:is>
          <ns0:t>104</ns0:t>
        </ns0:is>
      </ns0:c>
    </ns0:row>
    <ns0:row r="50" ht="32" customHeight="1">
      <ns0:c r="A50" s="21" t="inlineStr">
        <ns0:is>
          <ns0:t>Diagnosis</ns0:t>
        </ns0:is>
      </ns0:c>
      <ns0:c r="B50" s="21" t="inlineStr">
        <ns0:is>
          <ns0:t>Multiple source categories</ns0:t>
        </ns0:is>
      </ns0:c>
      <ns0:c r="C50" s="21" t="inlineStr">
        <ns0:is>
          <ns0:t>Not specified</ns0:t>
        </ns0:is>
      </ns0:c>
      <ns0:c r="D50" s="21" t="inlineStr">
        <ns0:is>
          <ns0:t>Multisource integration</ns0:t>
        </ns0:is>
      </ns0:c>
      <ns0:c r="E50" s="21" t="inlineStr">
        <ns0:is>
          <ns0:t>multisource_integration</ns0:t>
        </ns0:is>
      </ns0:c>
      <ns0:c r="F50" s="29">
        <ns0:f>COUNTIFS('BASE_CIERRE'!$G$5:$G$458,1,'BASE_CIERRE'!$H$5:$H$458,"Diagnosis",'BASE_CIERRE'!$J$5:$J$458,"Multiple source categories",'BASE_CIERRE'!$I$5:$I$458,"Not specified",'BASE_CIERRE'!$R$5:$R$458,"Reported")</ns0:f>
        <ns0:v>1</ns0:v>
      </ns0:c>
      <ns0:c r="G50" s="29">
        <ns0:f>COUNTIFS('BASE_CIERRE'!$G$5:$G$458,1,'BASE_CIERRE'!$H$5:$H$458,"Diagnosis",'BASE_CIERRE'!$J$5:$J$458,"Multiple source categories",'BASE_CIERRE'!$I$5:$I$458,"Not specified",'BASE_CIERRE'!$R$5:$R$458,"Not reported in assessed sources")</ns0:f>
        <ns0:v>0</ns0:v>
      </ns0:c>
      <ns0:c r="H50" s="29">
        <ns0:f>COUNTIFS('BASE_CIERRE'!$G$5:$G$458,1,'BASE_CIERRE'!$H$5:$H$458,"Diagnosis",'BASE_CIERRE'!$J$5:$J$458,"Multiple source categories",'BASE_CIERRE'!$I$5:$I$458,"Not specified",'BASE_CIERRE'!$R$5:$R$458,"Not ascertainable")</ns0:f>
        <ns0:v>0</ns0:v>
      </ns0:c>
      <ns0:c r="I50" s="29">
        <ns0:f>SUM(F50:H50)</ns0:f>
        <ns0:v>1</ns0:v>
      </ns0:c>
      <ns0:c r="J50" s="32">
        <ns0:f>IFERROR(F50/I50,0)</ns0:f>
        <ns0:v>1</ns0:v>
      </ns0:c>
      <ns0:c r="K50" s="32">
        <ns0:f>IFERROR(F50/(I50-H50),0)</ns0:f>
        <ns0:v>1</ns0:v>
      </ns0:c>
      <ns0:c r="L50" s="21" t="inlineStr">
        <ns0:is>
          <ns0:t>104</ns0:t>
        </ns0:is>
      </ns0:c>
    </ns0:row>
    <ns0:row r="51" ht="32" customHeight="1">
      <ns0:c r="A51" s="19" t="inlineStr">
        <ns0:is>
          <ns0:t>Diagnosis</ns0:t>
        </ns0:is>
      </ns0:c>
      <ns0:c r="B51" s="19" t="inlineStr">
        <ns0:is>
          <ns0:t>Multiple source categories</ns0:t>
        </ns0:is>
      </ns0:c>
      <ns0:c r="C51" s="19" t="inlineStr">
        <ns0:is>
          <ns0:t>Not specified</ns0:t>
        </ns0:is>
      </ns0:c>
      <ns0:c r="D51" s="19" t="inlineStr">
        <ns0:is>
          <ns0:t>Explicit explainability (broad)</ns0:t>
        </ns0:is>
      </ns0:c>
      <ns0:c r="E51" s="19" t="inlineStr">
        <ns0:is>
          <ns0:t>xai_broad</ns0:t>
        </ns0:is>
      </ns0:c>
      <ns0:c r="F51" s="27">
        <ns0:f>COUNTIFS('BASE_CIERRE'!$G$5:$G$458,1,'BASE_CIERRE'!$H$5:$H$458,"Diagnosis",'BASE_CIERRE'!$J$5:$J$458,"Multiple source categories",'BASE_CIERRE'!$I$5:$I$458,"Not specified",'BASE_CIERRE'!$S$5:$S$458,"Reported")</ns0:f>
        <ns0:v>1</ns0:v>
      </ns0:c>
      <ns0:c r="G51" s="27">
        <ns0:f>COUNTIFS('BASE_CIERRE'!$G$5:$G$458,1,'BASE_CIERRE'!$H$5:$H$458,"Diagnosis",'BASE_CIERRE'!$J$5:$J$458,"Multiple source categories",'BASE_CIERRE'!$I$5:$I$458,"Not specified",'BASE_CIERRE'!$S$5:$S$458,"Not reported in assessed sources")</ns0:f>
        <ns0:v>0</ns0:v>
      </ns0:c>
      <ns0:c r="H51" s="27">
        <ns0:f>COUNTIFS('BASE_CIERRE'!$G$5:$G$458,1,'BASE_CIERRE'!$H$5:$H$458,"Diagnosis",'BASE_CIERRE'!$J$5:$J$458,"Multiple source categories",'BASE_CIERRE'!$I$5:$I$458,"Not specified",'BASE_CIERRE'!$S$5:$S$458,"Not ascertainable")</ns0:f>
        <ns0:v>0</ns0:v>
      </ns0:c>
      <ns0:c r="I51" s="27">
        <ns0:f>SUM(F51:H51)</ns0:f>
        <ns0:v>1</ns0:v>
      </ns0:c>
      <ns0:c r="J51" s="31">
        <ns0:f>IFERROR(F51/I51,0)</ns0:f>
        <ns0:v>1</ns0:v>
      </ns0:c>
      <ns0:c r="K51" s="31">
        <ns0:f>IFERROR(F51/(I51-H51),0)</ns0:f>
        <ns0:v>1</ns0:v>
      </ns0:c>
      <ns0:c r="L51" s="19" t="inlineStr">
        <ns0:is>
          <ns0:t>104</ns0:t>
        </ns0:is>
      </ns0:c>
    </ns0:row>
    <ns0:row r="52" ht="32" customHeight="1">
      <ns0:c r="A52" s="21" t="inlineStr">
        <ns0:is>
          <ns0:t>Diagnosis</ns0:t>
        </ns0:is>
      </ns0:c>
      <ns0:c r="B52" s="21" t="inlineStr">
        <ns0:is>
          <ns0:t>Multiple source categories</ns0:t>
        </ns0:is>
      </ns0:c>
      <ns0:c r="C52" s="21" t="inlineStr">
        <ns0:is>
          <ns0:t>Not specified</ns0:t>
        </ns0:is>
      </ns0:c>
      <ns0:c r="D52" s="21" t="inlineStr">
        <ns0:is>
          <ns0:t>Cross-site evaluation</ns0:t>
        </ns0:is>
      </ns0:c>
      <ns0:c r="E52" s="21" t="inlineStr">
        <ns0:is>
          <ns0:t>cross_site_robustness</ns0:t>
        </ns0:is>
      </ns0:c>
      <ns0:c r="F52" s="29">
        <ns0:f>COUNTIFS('BASE_CIERRE'!$G$5:$G$458,1,'BASE_CIERRE'!$H$5:$H$458,"Diagnosis",'BASE_CIERRE'!$J$5:$J$458,"Multiple source categories",'BASE_CIERRE'!$I$5:$I$458,"Not specified",'BASE_CIERRE'!$U$5:$U$458,"Reported")</ns0:f>
        <ns0:v>0</ns0:v>
      </ns0:c>
      <ns0:c r="G52" s="29">
        <ns0:f>COUNTIFS('BASE_CIERRE'!$G$5:$G$458,1,'BASE_CIERRE'!$H$5:$H$458,"Diagnosis",'BASE_CIERRE'!$J$5:$J$458,"Multiple source categories",'BASE_CIERRE'!$I$5:$I$458,"Not specified",'BASE_CIERRE'!$U$5:$U$458,"Not reported in assessed sources")</ns0:f>
        <ns0:v>1</ns0:v>
      </ns0:c>
      <ns0:c r="H52" s="29">
        <ns0:f>COUNTIFS('BASE_CIERRE'!$G$5:$G$458,1,'BASE_CIERRE'!$H$5:$H$458,"Diagnosis",'BASE_CIERRE'!$J$5:$J$458,"Multiple source categories",'BASE_CIERRE'!$I$5:$I$458,"Not specified",'BASE_CIERRE'!$U$5:$U$458,"Not ascertainable")</ns0:f>
        <ns0:v>0</ns0:v>
      </ns0:c>
      <ns0:c r="I52" s="29">
        <ns0:f>SUM(F52:H52)</ns0:f>
        <ns0:v>1</ns0:v>
      </ns0:c>
      <ns0:c r="J52" s="32">
        <ns0:f>IFERROR(F52/I52,0)</ns0:f>
        <ns0:v>0</ns0:v>
      </ns0:c>
      <ns0:c r="K52" s="32">
        <ns0:f>IFERROR(F52/(I52-H52),0)</ns0:f>
        <ns0:v>0</ns0:v>
      </ns0:c>
      <ns0:c r="L52" s="21" t="inlineStr">
        <ns0:is>
          <ns0:t>104</ns0:t>
        </ns0:is>
      </ns0:c>
    </ns0:row>
    <ns0:row r="53" ht="32" customHeight="1">
      <ns0:c r="A53" s="19" t="inlineStr">
        <ns0:is>
          <ns0:t>Diagnosis</ns0:t>
        </ns0:is>
      </ns0:c>
      <ns0:c r="B53" s="19" t="inlineStr">
        <ns0:is>
          <ns0:t>Neuroimaging</ns0:t>
        </ns0:is>
      </ns0:c>
      <ns0:c r="C53" s="19" t="inlineStr">
        <ns0:is>
          <ns0:t>Deep Learning</ns0:t>
        </ns0:is>
      </ns0:c>
      <ns0:c r="D53" s="19" t="inlineStr">
        <ns0:is>
          <ns0:t>External validation</ns0:t>
        </ns0:is>
      </ns0:c>
      <ns0:c r="E53" s="19" t="inlineStr">
        <ns0:is>
          <ns0:t>external_validation</ns0:t>
        </ns0:is>
      </ns0:c>
      <ns0:c r="F53" s="27">
        <ns0:f>COUNTIFS('BASE_CIERRE'!$G$5:$G$458,1,'BASE_CIERRE'!$H$5:$H$458,"Diagnosis",'BASE_CIERRE'!$J$5:$J$458,"Neuroimaging",'BASE_CIERRE'!$I$5:$I$458,"Deep Learning",'BASE_CIERRE'!$Q$5:$Q$458,"Reported")</ns0:f>
        <ns0:v>2</ns0:v>
      </ns0:c>
      <ns0:c r="G53" s="27">
        <ns0:f>COUNTIFS('BASE_CIERRE'!$G$5:$G$458,1,'BASE_CIERRE'!$H$5:$H$458,"Diagnosis",'BASE_CIERRE'!$J$5:$J$458,"Neuroimaging",'BASE_CIERRE'!$I$5:$I$458,"Deep Learning",'BASE_CIERRE'!$Q$5:$Q$458,"Not reported in assessed sources")</ns0:f>
        <ns0:v>44</ns0:v>
      </ns0:c>
      <ns0:c r="H53" s="27">
        <ns0:f>COUNTIFS('BASE_CIERRE'!$G$5:$G$458,1,'BASE_CIERRE'!$H$5:$H$458,"Diagnosis",'BASE_CIERRE'!$J$5:$J$458,"Neuroimaging",'BASE_CIERRE'!$I$5:$I$458,"Deep Learning",'BASE_CIERRE'!$Q$5:$Q$458,"Not ascertainable")</ns0:f>
        <ns0:v>1</ns0:v>
      </ns0:c>
      <ns0:c r="I53" s="27">
        <ns0:f>SUM(F53:H53)</ns0:f>
        <ns0:v>47</ns0:v>
      </ns0:c>
      <ns0:c r="J53" s="31">
        <ns0:f>IFERROR(F53/I53,0)</ns0:f>
        <ns0:v>0.0425531914893617</ns0:v>
      </ns0:c>
      <ns0:c r="K53" s="31">
        <ns0:f>IFERROR(F53/(I53-H53),0)</ns0:f>
        <ns0:v>0.043478260869565216</ns0:v>
      </ns0:c>
      <ns0:c r="L53" s="19" t="inlineStr">
        <ns0:is>
          <ns0:t>22; 29; 49; 51; 73; 77; 85; 91; 125; 136; 138; 140; 156; 158; 177; 186; 217; 229; 230; 243; 247; 250; 259; 260; 261; 262; 286; 291; 296; new_125; new_191; new_313; new_7; new_46; new_86; new_110; new_123; new_134; new_180; new_190; new_204; new_208; new_270; new_289; new_354; new_386; new_183</ns0:t>
        </ns0:is>
      </ns0:c>
    </ns0:row>
    <ns0:row r="54" ht="32" customHeight="1">
      <ns0:c r="A54" s="21" t="inlineStr">
        <ns0:is>
          <ns0:t>Diagnosis</ns0:t>
        </ns0:is>
      </ns0:c>
      <ns0:c r="B54" s="21" t="inlineStr">
        <ns0:is>
          <ns0:t>Neuroimaging</ns0:t>
        </ns0:is>
      </ns0:c>
      <ns0:c r="C54" s="21" t="inlineStr">
        <ns0:is>
          <ns0:t>Deep Learning</ns0:t>
        </ns0:is>
      </ns0:c>
      <ns0:c r="D54" s="21" t="inlineStr">
        <ns0:is>
          <ns0:t>Multisource integration</ns0:t>
        </ns0:is>
      </ns0:c>
      <ns0:c r="E54" s="21" t="inlineStr">
        <ns0:is>
          <ns0:t>multisource_integration</ns0:t>
        </ns0:is>
      </ns0:c>
      <ns0:c r="F54" s="29">
        <ns0:f>COUNTIFS('BASE_CIERRE'!$G$5:$G$458,1,'BASE_CIERRE'!$H$5:$H$458,"Diagnosis",'BASE_CIERRE'!$J$5:$J$458,"Neuroimaging",'BASE_CIERRE'!$I$5:$I$458,"Deep Learning",'BASE_CIERRE'!$R$5:$R$458,"Reported")</ns0:f>
        <ns0:v>3</ns0:v>
      </ns0:c>
      <ns0:c r="G54" s="29">
        <ns0:f>COUNTIFS('BASE_CIERRE'!$G$5:$G$458,1,'BASE_CIERRE'!$H$5:$H$458,"Diagnosis",'BASE_CIERRE'!$J$5:$J$458,"Neuroimaging",'BASE_CIERRE'!$I$5:$I$458,"Deep Learning",'BASE_CIERRE'!$R$5:$R$458,"Not reported in assessed sources")</ns0:f>
        <ns0:v>44</ns0:v>
      </ns0:c>
      <ns0:c r="H54" s="29">
        <ns0:f>COUNTIFS('BASE_CIERRE'!$G$5:$G$458,1,'BASE_CIERRE'!$H$5:$H$458,"Diagnosis",'BASE_CIERRE'!$J$5:$J$458,"Neuroimaging",'BASE_CIERRE'!$I$5:$I$458,"Deep Learning",'BASE_CIERRE'!$R$5:$R$458,"Not ascertainable")</ns0:f>
        <ns0:v>0</ns0:v>
      </ns0:c>
      <ns0:c r="I54" s="29">
        <ns0:f>SUM(F54:H54)</ns0:f>
        <ns0:v>47</ns0:v>
      </ns0:c>
      <ns0:c r="J54" s="32">
        <ns0:f>IFERROR(F54/I54,0)</ns0:f>
        <ns0:v>0.06382978723404255</ns0:v>
      </ns0:c>
      <ns0:c r="K54" s="32">
        <ns0:f>IFERROR(F54/(I54-H54),0)</ns0:f>
        <ns0:v>0.06382978723404255</ns0:v>
      </ns0:c>
      <ns0:c r="L54" s="21" t="inlineStr">
        <ns0:is>
          <ns0:t>22; 29; 49; 51; 73; 77; 85; 91; 125; 136; 138; 140; 156; 158; 177; 186; 217; 229; 230; 243; 247; 250; 259; 260; 261; 262; 286; 291; 296; new_125; new_191; new_313; new_7; new_46; new_86; new_110; new_123; new_134; new_180; new_190; new_204; new_208; new_270; new_289; new_354; new_386; new_183</ns0:t>
        </ns0:is>
      </ns0:c>
    </ns0:row>
    <ns0:row r="55" ht="32" customHeight="1">
      <ns0:c r="A55" s="19" t="inlineStr">
        <ns0:is>
          <ns0:t>Diagnosis</ns0:t>
        </ns0:is>
      </ns0:c>
      <ns0:c r="B55" s="19" t="inlineStr">
        <ns0:is>
          <ns0:t>Neuroimaging</ns0:t>
        </ns0:is>
      </ns0:c>
      <ns0:c r="C55" s="19" t="inlineStr">
        <ns0:is>
          <ns0:t>Deep Learning</ns0:t>
        </ns0:is>
      </ns0:c>
      <ns0:c r="D55" s="19" t="inlineStr">
        <ns0:is>
          <ns0:t>Explicit explainability (broad)</ns0:t>
        </ns0:is>
      </ns0:c>
      <ns0:c r="E55" s="19" t="inlineStr">
        <ns0:is>
          <ns0:t>xai_broad</ns0:t>
        </ns0:is>
      </ns0:c>
      <ns0:c r="F55" s="27">
        <ns0:f>COUNTIFS('BASE_CIERRE'!$G$5:$G$458,1,'BASE_CIERRE'!$H$5:$H$458,"Diagnosis",'BASE_CIERRE'!$J$5:$J$458,"Neuroimaging",'BASE_CIERRE'!$I$5:$I$458,"Deep Learning",'BASE_CIERRE'!$S$5:$S$458,"Reported")</ns0:f>
        <ns0:v>15</ns0:v>
      </ns0:c>
      <ns0:c r="G55" s="27">
        <ns0:f>COUNTIFS('BASE_CIERRE'!$G$5:$G$458,1,'BASE_CIERRE'!$H$5:$H$458,"Diagnosis",'BASE_CIERRE'!$J$5:$J$458,"Neuroimaging",'BASE_CIERRE'!$I$5:$I$458,"Deep Learning",'BASE_CIERRE'!$S$5:$S$458,"Not reported in assessed sources")</ns0:f>
        <ns0:v>32</ns0:v>
      </ns0:c>
      <ns0:c r="H55" s="27">
        <ns0:f>COUNTIFS('BASE_CIERRE'!$G$5:$G$458,1,'BASE_CIERRE'!$H$5:$H$458,"Diagnosis",'BASE_CIERRE'!$J$5:$J$458,"Neuroimaging",'BASE_CIERRE'!$I$5:$I$458,"Deep Learning",'BASE_CIERRE'!$S$5:$S$458,"Not ascertainable")</ns0:f>
        <ns0:v>0</ns0:v>
      </ns0:c>
      <ns0:c r="I55" s="27">
        <ns0:f>SUM(F55:H55)</ns0:f>
        <ns0:v>47</ns0:v>
      </ns0:c>
      <ns0:c r="J55" s="31">
        <ns0:f>IFERROR(F55/I55,0)</ns0:f>
        <ns0:v>0.3191489361702128</ns0:v>
      </ns0:c>
      <ns0:c r="K55" s="31">
        <ns0:f>IFERROR(F55/(I55-H55),0)</ns0:f>
        <ns0:v>0.3191489361702128</ns0:v>
      </ns0:c>
      <ns0:c r="L55" s="19" t="inlineStr">
        <ns0:is>
          <ns0:t>22; 29; 49; 51; 73; 77; 85; 91; 125; 136; 138; 140; 156; 158; 177; 186; 217; 229; 230; 243; 247; 250; 259; 260; 261; 262; 286; 291; 296; new_125; new_191; new_313; new_7; new_46; new_86; new_110; new_123; new_134; new_180; new_190; new_204; new_208; new_270; new_289; new_354; new_386; new_183</ns0:t>
        </ns0:is>
      </ns0:c>
    </ns0:row>
    <ns0:row r="56" ht="32" customHeight="1">
      <ns0:c r="A56" s="21" t="inlineStr">
        <ns0:is>
          <ns0:t>Diagnosis</ns0:t>
        </ns0:is>
      </ns0:c>
      <ns0:c r="B56" s="21" t="inlineStr">
        <ns0:is>
          <ns0:t>Neuroimaging</ns0:t>
        </ns0:is>
      </ns0:c>
      <ns0:c r="C56" s="21" t="inlineStr">
        <ns0:is>
          <ns0:t>Deep Learning</ns0:t>
        </ns0:is>
      </ns0:c>
      <ns0:c r="D56" s="21" t="inlineStr">
        <ns0:is>
          <ns0:t>Cross-site evaluation</ns0:t>
        </ns0:is>
      </ns0:c>
      <ns0:c r="E56" s="21" t="inlineStr">
        <ns0:is>
          <ns0:t>cross_site_robustness</ns0:t>
        </ns0:is>
      </ns0:c>
      <ns0:c r="F56" s="29">
        <ns0:f>COUNTIFS('BASE_CIERRE'!$G$5:$G$458,1,'BASE_CIERRE'!$H$5:$H$458,"Diagnosis",'BASE_CIERRE'!$J$5:$J$458,"Neuroimaging",'BASE_CIERRE'!$I$5:$I$458,"Deep Learning",'BASE_CIERRE'!$U$5:$U$458,"Reported")</ns0:f>
        <ns0:v>3</ns0:v>
      </ns0:c>
      <ns0:c r="G56" s="29">
        <ns0:f>COUNTIFS('BASE_CIERRE'!$G$5:$G$458,1,'BASE_CIERRE'!$H$5:$H$458,"Diagnosis",'BASE_CIERRE'!$J$5:$J$458,"Neuroimaging",'BASE_CIERRE'!$I$5:$I$458,"Deep Learning",'BASE_CIERRE'!$U$5:$U$458,"Not reported in assessed sources")</ns0:f>
        <ns0:v>44</ns0:v>
      </ns0:c>
      <ns0:c r="H56" s="29">
        <ns0:f>COUNTIFS('BASE_CIERRE'!$G$5:$G$458,1,'BASE_CIERRE'!$H$5:$H$458,"Diagnosis",'BASE_CIERRE'!$J$5:$J$458,"Neuroimaging",'BASE_CIERRE'!$I$5:$I$458,"Deep Learning",'BASE_CIERRE'!$U$5:$U$458,"Not ascertainable")</ns0:f>
        <ns0:v>0</ns0:v>
      </ns0:c>
      <ns0:c r="I56" s="29">
        <ns0:f>SUM(F56:H56)</ns0:f>
        <ns0:v>47</ns0:v>
      </ns0:c>
      <ns0:c r="J56" s="32">
        <ns0:f>IFERROR(F56/I56,0)</ns0:f>
        <ns0:v>0.06382978723404255</ns0:v>
      </ns0:c>
      <ns0:c r="K56" s="32">
        <ns0:f>IFERROR(F56/(I56-H56),0)</ns0:f>
        <ns0:v>0.06382978723404255</ns0:v>
      </ns0:c>
      <ns0:c r="L56" s="21" t="inlineStr">
        <ns0:is>
          <ns0:t>22; 29; 49; 51; 73; 77; 85; 91; 125; 136; 138; 140; 156; 158; 177; 186; 217; 229; 230; 243; 247; 250; 259; 260; 261; 262; 286; 291; 296; new_125; new_191; new_313; new_7; new_46; new_86; new_110; new_123; new_134; new_180; new_190; new_204; new_208; new_270; new_289; new_354; new_386; new_183</ns0:t>
        </ns0:is>
      </ns0:c>
    </ns0:row>
    <ns0:row r="57" ht="32" customHeight="1">
      <ns0:c r="A57" s="19" t="inlineStr">
        <ns0:is>
          <ns0:t>Diagnosis</ns0:t>
        </ns0:is>
      </ns0:c>
      <ns0:c r="B57" s="19" t="inlineStr">
        <ns0:is>
          <ns0:t>Neuroimaging</ns0:t>
        </ns0:is>
      </ns0:c>
      <ns0:c r="C57" s="19" t="inlineStr">
        <ns0:is>
          <ns0:t>Hybrid</ns0:t>
        </ns0:is>
      </ns0:c>
      <ns0:c r="D57" s="19" t="inlineStr">
        <ns0:is>
          <ns0:t>External validation</ns0:t>
        </ns0:is>
      </ns0:c>
      <ns0:c r="E57" s="19" t="inlineStr">
        <ns0:is>
          <ns0:t>external_validation</ns0:t>
        </ns0:is>
      </ns0:c>
      <ns0:c r="F57" s="27">
        <ns0:f>COUNTIFS('BASE_CIERRE'!$G$5:$G$458,1,'BASE_CIERRE'!$H$5:$H$458,"Diagnosis",'BASE_CIERRE'!$J$5:$J$458,"Neuroimaging",'BASE_CIERRE'!$I$5:$I$458,"Hybrid",'BASE_CIERRE'!$Q$5:$Q$458,"Reported")</ns0:f>
        <ns0:v>0</ns0:v>
      </ns0:c>
      <ns0:c r="G57" s="27">
        <ns0:f>COUNTIFS('BASE_CIERRE'!$G$5:$G$458,1,'BASE_CIERRE'!$H$5:$H$458,"Diagnosis",'BASE_CIERRE'!$J$5:$J$458,"Neuroimaging",'BASE_CIERRE'!$I$5:$I$458,"Hybrid",'BASE_CIERRE'!$Q$5:$Q$458,"Not reported in assessed sources")</ns0:f>
        <ns0:v>7</ns0:v>
      </ns0:c>
      <ns0:c r="H57" s="27">
        <ns0:f>COUNTIFS('BASE_CIERRE'!$G$5:$G$458,1,'BASE_CIERRE'!$H$5:$H$458,"Diagnosis",'BASE_CIERRE'!$J$5:$J$458,"Neuroimaging",'BASE_CIERRE'!$I$5:$I$458,"Hybrid",'BASE_CIERRE'!$Q$5:$Q$458,"Not ascertainable")</ns0:f>
        <ns0:v>0</ns0:v>
      </ns0:c>
      <ns0:c r="I57" s="27">
        <ns0:f>SUM(F57:H57)</ns0:f>
        <ns0:v>7</ns0:v>
      </ns0:c>
      <ns0:c r="J57" s="31">
        <ns0:f>IFERROR(F57/I57,0)</ns0:f>
        <ns0:v>0</ns0:v>
      </ns0:c>
      <ns0:c r="K57" s="31">
        <ns0:f>IFERROR(F57/(I57-H57),0)</ns0:f>
        <ns0:v>0</ns0:v>
      </ns0:c>
      <ns0:c r="L57" s="19" t="inlineStr">
        <ns0:is>
          <ns0:t>45; 187; new_76; new_222; new_319; new_347; new_45</ns0:t>
        </ns0:is>
      </ns0:c>
    </ns0:row>
    <ns0:row r="58" ht="32" customHeight="1">
      <ns0:c r="A58" s="21" t="inlineStr">
        <ns0:is>
          <ns0:t>Diagnosis</ns0:t>
        </ns0:is>
      </ns0:c>
      <ns0:c r="B58" s="21" t="inlineStr">
        <ns0:is>
          <ns0:t>Neuroimaging</ns0:t>
        </ns0:is>
      </ns0:c>
      <ns0:c r="C58" s="21" t="inlineStr">
        <ns0:is>
          <ns0:t>Hybrid</ns0:t>
        </ns0:is>
      </ns0:c>
      <ns0:c r="D58" s="21" t="inlineStr">
        <ns0:is>
          <ns0:t>Multisource integration</ns0:t>
        </ns0:is>
      </ns0:c>
      <ns0:c r="E58" s="21" t="inlineStr">
        <ns0:is>
          <ns0:t>multisource_integration</ns0:t>
        </ns0:is>
      </ns0:c>
      <ns0:c r="F58" s="29">
        <ns0:f>COUNTIFS('BASE_CIERRE'!$G$5:$G$458,1,'BASE_CIERRE'!$H$5:$H$458,"Diagnosis",'BASE_CIERRE'!$J$5:$J$458,"Neuroimaging",'BASE_CIERRE'!$I$5:$I$458,"Hybrid",'BASE_CIERRE'!$R$5:$R$458,"Reported")</ns0:f>
        <ns0:v>1</ns0:v>
      </ns0:c>
      <ns0:c r="G58" s="29">
        <ns0:f>COUNTIFS('BASE_CIERRE'!$G$5:$G$458,1,'BASE_CIERRE'!$H$5:$H$458,"Diagnosis",'BASE_CIERRE'!$J$5:$J$458,"Neuroimaging",'BASE_CIERRE'!$I$5:$I$458,"Hybrid",'BASE_CIERRE'!$R$5:$R$458,"Not reported in assessed sources")</ns0:f>
        <ns0:v>6</ns0:v>
      </ns0:c>
      <ns0:c r="H58" s="29">
        <ns0:f>COUNTIFS('BASE_CIERRE'!$G$5:$G$458,1,'BASE_CIERRE'!$H$5:$H$458,"Diagnosis",'BASE_CIERRE'!$J$5:$J$458,"Neuroimaging",'BASE_CIERRE'!$I$5:$I$458,"Hybrid",'BASE_CIERRE'!$R$5:$R$458,"Not ascertainable")</ns0:f>
        <ns0:v>0</ns0:v>
      </ns0:c>
      <ns0:c r="I58" s="29">
        <ns0:f>SUM(F58:H58)</ns0:f>
        <ns0:v>7</ns0:v>
      </ns0:c>
      <ns0:c r="J58" s="32">
        <ns0:f>IFERROR(F58/I58,0)</ns0:f>
        <ns0:v>0.14285714285714285</ns0:v>
      </ns0:c>
      <ns0:c r="K58" s="32">
        <ns0:f>IFERROR(F58/(I58-H58),0)</ns0:f>
        <ns0:v>0.14285714285714285</ns0:v>
      </ns0:c>
      <ns0:c r="L58" s="21" t="inlineStr">
        <ns0:is>
          <ns0:t>45; 187; new_76; new_222; new_319; new_347; new_45</ns0:t>
        </ns0:is>
      </ns0:c>
    </ns0:row>
    <ns0:row r="59" ht="32" customHeight="1">
      <ns0:c r="A59" s="19" t="inlineStr">
        <ns0:is>
          <ns0:t>Diagnosis</ns0:t>
        </ns0:is>
      </ns0:c>
      <ns0:c r="B59" s="19" t="inlineStr">
        <ns0:is>
          <ns0:t>Neuroimaging</ns0:t>
        </ns0:is>
      </ns0:c>
      <ns0:c r="C59" s="19" t="inlineStr">
        <ns0:is>
          <ns0:t>Hybrid</ns0:t>
        </ns0:is>
      </ns0:c>
      <ns0:c r="D59" s="19" t="inlineStr">
        <ns0:is>
          <ns0:t>Explicit explainability (broad)</ns0:t>
        </ns0:is>
      </ns0:c>
      <ns0:c r="E59" s="19" t="inlineStr">
        <ns0:is>
          <ns0:t>xai_broad</ns0:t>
        </ns0:is>
      </ns0:c>
      <ns0:c r="F59" s="27">
        <ns0:f>COUNTIFS('BASE_CIERRE'!$G$5:$G$458,1,'BASE_CIERRE'!$H$5:$H$458,"Diagnosis",'BASE_CIERRE'!$J$5:$J$458,"Neuroimaging",'BASE_CIERRE'!$I$5:$I$458,"Hybrid",'BASE_CIERRE'!$S$5:$S$458,"Reported")</ns0:f>
        <ns0:v>1</ns0:v>
      </ns0:c>
      <ns0:c r="G59" s="27">
        <ns0:f>COUNTIFS('BASE_CIERRE'!$G$5:$G$458,1,'BASE_CIERRE'!$H$5:$H$458,"Diagnosis",'BASE_CIERRE'!$J$5:$J$458,"Neuroimaging",'BASE_CIERRE'!$I$5:$I$458,"Hybrid",'BASE_CIERRE'!$S$5:$S$458,"Not reported in assessed sources")</ns0:f>
        <ns0:v>6</ns0:v>
      </ns0:c>
      <ns0:c r="H59" s="27">
        <ns0:f>COUNTIFS('BASE_CIERRE'!$G$5:$G$458,1,'BASE_CIERRE'!$H$5:$H$458,"Diagnosis",'BASE_CIERRE'!$J$5:$J$458,"Neuroimaging",'BASE_CIERRE'!$I$5:$I$458,"Hybrid",'BASE_CIERRE'!$S$5:$S$458,"Not ascertainable")</ns0:f>
        <ns0:v>0</ns0:v>
      </ns0:c>
      <ns0:c r="I59" s="27">
        <ns0:f>SUM(F59:H59)</ns0:f>
        <ns0:v>7</ns0:v>
      </ns0:c>
      <ns0:c r="J59" s="31">
        <ns0:f>IFERROR(F59/I59,0)</ns0:f>
        <ns0:v>0.14285714285714285</ns0:v>
      </ns0:c>
      <ns0:c r="K59" s="31">
        <ns0:f>IFERROR(F59/(I59-H59),0)</ns0:f>
        <ns0:v>0.14285714285714285</ns0:v>
      </ns0:c>
      <ns0:c r="L59" s="19" t="inlineStr">
        <ns0:is>
          <ns0:t>45; 187; new_76; new_222; new_319; new_347; new_45</ns0:t>
        </ns0:is>
      </ns0:c>
    </ns0:row>
    <ns0:row r="60" ht="32" customHeight="1">
      <ns0:c r="A60" s="21" t="inlineStr">
        <ns0:is>
          <ns0:t>Diagnosis</ns0:t>
        </ns0:is>
      </ns0:c>
      <ns0:c r="B60" s="21" t="inlineStr">
        <ns0:is>
          <ns0:t>Neuroimaging</ns0:t>
        </ns0:is>
      </ns0:c>
      <ns0:c r="C60" s="21" t="inlineStr">
        <ns0:is>
          <ns0:t>Hybrid</ns0:t>
        </ns0:is>
      </ns0:c>
      <ns0:c r="D60" s="21" t="inlineStr">
        <ns0:is>
          <ns0:t>Cross-site evaluation</ns0:t>
        </ns0:is>
      </ns0:c>
      <ns0:c r="E60" s="21" t="inlineStr">
        <ns0:is>
          <ns0:t>cross_site_robustness</ns0:t>
        </ns0:is>
      </ns0:c>
      <ns0:c r="F60" s="29">
        <ns0:f>COUNTIFS('BASE_CIERRE'!$G$5:$G$458,1,'BASE_CIERRE'!$H$5:$H$458,"Diagnosis",'BASE_CIERRE'!$J$5:$J$458,"Neuroimaging",'BASE_CIERRE'!$I$5:$I$458,"Hybrid",'BASE_CIERRE'!$U$5:$U$458,"Reported")</ns0:f>
        <ns0:v>0</ns0:v>
      </ns0:c>
      <ns0:c r="G60" s="29">
        <ns0:f>COUNTIFS('BASE_CIERRE'!$G$5:$G$458,1,'BASE_CIERRE'!$H$5:$H$458,"Diagnosis",'BASE_CIERRE'!$J$5:$J$458,"Neuroimaging",'BASE_CIERRE'!$I$5:$I$458,"Hybrid",'BASE_CIERRE'!$U$5:$U$458,"Not reported in assessed sources")</ns0:f>
        <ns0:v>7</ns0:v>
      </ns0:c>
      <ns0:c r="H60" s="29">
        <ns0:f>COUNTIFS('BASE_CIERRE'!$G$5:$G$458,1,'BASE_CIERRE'!$H$5:$H$458,"Diagnosis",'BASE_CIERRE'!$J$5:$J$458,"Neuroimaging",'BASE_CIERRE'!$I$5:$I$458,"Hybrid",'BASE_CIERRE'!$U$5:$U$458,"Not ascertainable")</ns0:f>
        <ns0:v>0</ns0:v>
      </ns0:c>
      <ns0:c r="I60" s="29">
        <ns0:f>SUM(F60:H60)</ns0:f>
        <ns0:v>7</ns0:v>
      </ns0:c>
      <ns0:c r="J60" s="32">
        <ns0:f>IFERROR(F60/I60,0)</ns0:f>
        <ns0:v>0</ns0:v>
      </ns0:c>
      <ns0:c r="K60" s="32">
        <ns0:f>IFERROR(F60/(I60-H60),0)</ns0:f>
        <ns0:v>0</ns0:v>
      </ns0:c>
      <ns0:c r="L60" s="21" t="inlineStr">
        <ns0:is>
          <ns0:t>45; 187; new_76; new_222; new_319; new_347; new_45</ns0:t>
        </ns0:is>
      </ns0:c>
    </ns0:row>
    <ns0:row r="61" ht="32" customHeight="1">
      <ns0:c r="A61" s="19" t="inlineStr">
        <ns0:is>
          <ns0:t>Diagnosis</ns0:t>
        </ns0:is>
      </ns0:c>
      <ns0:c r="B61" s="19" t="inlineStr">
        <ns0:is>
          <ns0:t>Neuroimaging</ns0:t>
        </ns0:is>
      </ns0:c>
      <ns0:c r="C61" s="19" t="inlineStr">
        <ns0:is>
          <ns0:t>Machine Learning</ns0:t>
        </ns0:is>
      </ns0:c>
      <ns0:c r="D61" s="19" t="inlineStr">
        <ns0:is>
          <ns0:t>External validation</ns0:t>
        </ns0:is>
      </ns0:c>
      <ns0:c r="E61" s="19" t="inlineStr">
        <ns0:is>
          <ns0:t>external_validation</ns0:t>
        </ns0:is>
      </ns0:c>
      <ns0:c r="F61" s="27">
        <ns0:f>COUNTIFS('BASE_CIERRE'!$G$5:$G$458,1,'BASE_CIERRE'!$H$5:$H$458,"Diagnosis",'BASE_CIERRE'!$J$5:$J$458,"Neuroimaging",'BASE_CIERRE'!$I$5:$I$458,"Machine Learning",'BASE_CIERRE'!$Q$5:$Q$458,"Reported")</ns0:f>
        <ns0:v>2</ns0:v>
      </ns0:c>
      <ns0:c r="G61" s="27">
        <ns0:f>COUNTIFS('BASE_CIERRE'!$G$5:$G$458,1,'BASE_CIERRE'!$H$5:$H$458,"Diagnosis",'BASE_CIERRE'!$J$5:$J$458,"Neuroimaging",'BASE_CIERRE'!$I$5:$I$458,"Machine Learning",'BASE_CIERRE'!$Q$5:$Q$458,"Not reported in assessed sources")</ns0:f>
        <ns0:v>32</ns0:v>
      </ns0:c>
      <ns0:c r="H61" s="27">
        <ns0:f>COUNTIFS('BASE_CIERRE'!$G$5:$G$458,1,'BASE_CIERRE'!$H$5:$H$458,"Diagnosis",'BASE_CIERRE'!$J$5:$J$458,"Neuroimaging",'BASE_CIERRE'!$I$5:$I$458,"Machine Learning",'BASE_CIERRE'!$Q$5:$Q$458,"Not ascertainable")</ns0:f>
        <ns0:v>0</ns0:v>
      </ns0:c>
      <ns0:c r="I61" s="27">
        <ns0:f>SUM(F61:H61)</ns0:f>
        <ns0:v>34</ns0:v>
      </ns0:c>
      <ns0:c r="J61" s="31">
        <ns0:f>IFERROR(F61/I61,0)</ns0:f>
        <ns0:v>0.058823529411764705</ns0:v>
      </ns0:c>
      <ns0:c r="K61" s="31">
        <ns0:f>IFERROR(F61/(I61-H61),0)</ns0:f>
        <ns0:v>0.058823529411764705</ns0:v>
      </ns0:c>
      <ns0:c r="L61" s="19" t="inlineStr">
        <ns0:is>
          <ns0:t>18; 24; 32; 34; 43; 54; 59; 63; 70; 92; 100; 109; 149; 157; 170; 174; 204; 206; 207; 209; 213; 214; 222; 235; 241; 242; 249; 254; 264; 269; new_214; new_335; new_387; new_398</ns0:t>
        </ns0:is>
      </ns0:c>
    </ns0:row>
    <ns0:row r="62" ht="32" customHeight="1">
      <ns0:c r="A62" s="21" t="inlineStr">
        <ns0:is>
          <ns0:t>Diagnosis</ns0:t>
        </ns0:is>
      </ns0:c>
      <ns0:c r="B62" s="21" t="inlineStr">
        <ns0:is>
          <ns0:t>Neuroimaging</ns0:t>
        </ns0:is>
      </ns0:c>
      <ns0:c r="C62" s="21" t="inlineStr">
        <ns0:is>
          <ns0:t>Machine Learning</ns0:t>
        </ns0:is>
      </ns0:c>
      <ns0:c r="D62" s="21" t="inlineStr">
        <ns0:is>
          <ns0:t>Multisource integration</ns0:t>
        </ns0:is>
      </ns0:c>
      <ns0:c r="E62" s="21" t="inlineStr">
        <ns0:is>
          <ns0:t>multisource_integration</ns0:t>
        </ns0:is>
      </ns0:c>
      <ns0:c r="F62" s="29">
        <ns0:f>COUNTIFS('BASE_CIERRE'!$G$5:$G$458,1,'BASE_CIERRE'!$H$5:$H$458,"Diagnosis",'BASE_CIERRE'!$J$5:$J$458,"Neuroimaging",'BASE_CIERRE'!$I$5:$I$458,"Machine Learning",'BASE_CIERRE'!$R$5:$R$458,"Reported")</ns0:f>
        <ns0:v>3</ns0:v>
      </ns0:c>
      <ns0:c r="G62" s="29">
        <ns0:f>COUNTIFS('BASE_CIERRE'!$G$5:$G$458,1,'BASE_CIERRE'!$H$5:$H$458,"Diagnosis",'BASE_CIERRE'!$J$5:$J$458,"Neuroimaging",'BASE_CIERRE'!$I$5:$I$458,"Machine Learning",'BASE_CIERRE'!$R$5:$R$458,"Not reported in assessed sources")</ns0:f>
        <ns0:v>31</ns0:v>
      </ns0:c>
      <ns0:c r="H62" s="29">
        <ns0:f>COUNTIFS('BASE_CIERRE'!$G$5:$G$458,1,'BASE_CIERRE'!$H$5:$H$458,"Diagnosis",'BASE_CIERRE'!$J$5:$J$458,"Neuroimaging",'BASE_CIERRE'!$I$5:$I$458,"Machine Learning",'BASE_CIERRE'!$R$5:$R$458,"Not ascertainable")</ns0:f>
        <ns0:v>0</ns0:v>
      </ns0:c>
      <ns0:c r="I62" s="29">
        <ns0:f>SUM(F62:H62)</ns0:f>
        <ns0:v>34</ns0:v>
      </ns0:c>
      <ns0:c r="J62" s="32">
        <ns0:f>IFERROR(F62/I62,0)</ns0:f>
        <ns0:v>0.08823529411764706</ns0:v>
      </ns0:c>
      <ns0:c r="K62" s="32">
        <ns0:f>IFERROR(F62/(I62-H62),0)</ns0:f>
        <ns0:v>0.08823529411764706</ns0:v>
      </ns0:c>
      <ns0:c r="L62" s="21" t="inlineStr">
        <ns0:is>
          <ns0:t>18; 24; 32; 34; 43; 54; 59; 63; 70; 92; 100; 109; 149; 157; 170; 174; 204; 206; 207; 209; 213; 214; 222; 235; 241; 242; 249; 254; 264; 269; new_214; new_335; new_387; new_398</ns0:t>
        </ns0:is>
      </ns0:c>
    </ns0:row>
    <ns0:row r="63" ht="32" customHeight="1">
      <ns0:c r="A63" s="19" t="inlineStr">
        <ns0:is>
          <ns0:t>Diagnosis</ns0:t>
        </ns0:is>
      </ns0:c>
      <ns0:c r="B63" s="19" t="inlineStr">
        <ns0:is>
          <ns0:t>Neuroimaging</ns0:t>
        </ns0:is>
      </ns0:c>
      <ns0:c r="C63" s="19" t="inlineStr">
        <ns0:is>
          <ns0:t>Machine Learning</ns0:t>
        </ns0:is>
      </ns0:c>
      <ns0:c r="D63" s="19" t="inlineStr">
        <ns0:is>
          <ns0:t>Explicit explainability (broad)</ns0:t>
        </ns0:is>
      </ns0:c>
      <ns0:c r="E63" s="19" t="inlineStr">
        <ns0:is>
          <ns0:t>xai_broad</ns0:t>
        </ns0:is>
      </ns0:c>
      <ns0:c r="F63" s="27">
        <ns0:f>COUNTIFS('BASE_CIERRE'!$G$5:$G$458,1,'BASE_CIERRE'!$H$5:$H$458,"Diagnosis",'BASE_CIERRE'!$J$5:$J$458,"Neuroimaging",'BASE_CIERRE'!$I$5:$I$458,"Machine Learning",'BASE_CIERRE'!$S$5:$S$458,"Reported")</ns0:f>
        <ns0:v>10</ns0:v>
      </ns0:c>
      <ns0:c r="G63" s="27">
        <ns0:f>COUNTIFS('BASE_CIERRE'!$G$5:$G$458,1,'BASE_CIERRE'!$H$5:$H$458,"Diagnosis",'BASE_CIERRE'!$J$5:$J$458,"Neuroimaging",'BASE_CIERRE'!$I$5:$I$458,"Machine Learning",'BASE_CIERRE'!$S$5:$S$458,"Not reported in assessed sources")</ns0:f>
        <ns0:v>24</ns0:v>
      </ns0:c>
      <ns0:c r="H63" s="27">
        <ns0:f>COUNTIFS('BASE_CIERRE'!$G$5:$G$458,1,'BASE_CIERRE'!$H$5:$H$458,"Diagnosis",'BASE_CIERRE'!$J$5:$J$458,"Neuroimaging",'BASE_CIERRE'!$I$5:$I$458,"Machine Learning",'BASE_CIERRE'!$S$5:$S$458,"Not ascertainable")</ns0:f>
        <ns0:v>0</ns0:v>
      </ns0:c>
      <ns0:c r="I63" s="27">
        <ns0:f>SUM(F63:H63)</ns0:f>
        <ns0:v>34</ns0:v>
      </ns0:c>
      <ns0:c r="J63" s="31">
        <ns0:f>IFERROR(F63/I63,0)</ns0:f>
        <ns0:v>0.29411764705882354</ns0:v>
      </ns0:c>
      <ns0:c r="K63" s="31">
        <ns0:f>IFERROR(F63/(I63-H63),0)</ns0:f>
        <ns0:v>0.29411764705882354</ns0:v>
      </ns0:c>
      <ns0:c r="L63" s="19" t="inlineStr">
        <ns0:is>
          <ns0:t>18; 24; 32; 34; 43; 54; 59; 63; 70; 92; 100; 109; 149; 157; 170; 174; 204; 206; 207; 209; 213; 214; 222; 235; 241; 242; 249; 254; 264; 269; new_214; new_335; new_387; new_398</ns0:t>
        </ns0:is>
      </ns0:c>
    </ns0:row>
    <ns0:row r="64" ht="32" customHeight="1">
      <ns0:c r="A64" s="21" t="inlineStr">
        <ns0:is>
          <ns0:t>Diagnosis</ns0:t>
        </ns0:is>
      </ns0:c>
      <ns0:c r="B64" s="21" t="inlineStr">
        <ns0:is>
          <ns0:t>Neuroimaging</ns0:t>
        </ns0:is>
      </ns0:c>
      <ns0:c r="C64" s="21" t="inlineStr">
        <ns0:is>
          <ns0:t>Machine Learning</ns0:t>
        </ns0:is>
      </ns0:c>
      <ns0:c r="D64" s="21" t="inlineStr">
        <ns0:is>
          <ns0:t>Cross-site evaluation</ns0:t>
        </ns0:is>
      </ns0:c>
      <ns0:c r="E64" s="21" t="inlineStr">
        <ns0:is>
          <ns0:t>cross_site_robustness</ns0:t>
        </ns0:is>
      </ns0:c>
      <ns0:c r="F64" s="29">
        <ns0:f>COUNTIFS('BASE_CIERRE'!$G$5:$G$458,1,'BASE_CIERRE'!$H$5:$H$458,"Diagnosis",'BASE_CIERRE'!$J$5:$J$458,"Neuroimaging",'BASE_CIERRE'!$I$5:$I$458,"Machine Learning",'BASE_CIERRE'!$U$5:$U$458,"Reported")</ns0:f>
        <ns0:v>2</ns0:v>
      </ns0:c>
      <ns0:c r="G64" s="29">
        <ns0:f>COUNTIFS('BASE_CIERRE'!$G$5:$G$458,1,'BASE_CIERRE'!$H$5:$H$458,"Diagnosis",'BASE_CIERRE'!$J$5:$J$458,"Neuroimaging",'BASE_CIERRE'!$I$5:$I$458,"Machine Learning",'BASE_CIERRE'!$U$5:$U$458,"Not reported in assessed sources")</ns0:f>
        <ns0:v>31</ns0:v>
      </ns0:c>
      <ns0:c r="H64" s="29">
        <ns0:f>COUNTIFS('BASE_CIERRE'!$G$5:$G$458,1,'BASE_CIERRE'!$H$5:$H$458,"Diagnosis",'BASE_CIERRE'!$J$5:$J$458,"Neuroimaging",'BASE_CIERRE'!$I$5:$I$458,"Machine Learning",'BASE_CIERRE'!$U$5:$U$458,"Not ascertainable")</ns0:f>
        <ns0:v>1</ns0:v>
      </ns0:c>
      <ns0:c r="I64" s="29">
        <ns0:f>SUM(F64:H64)</ns0:f>
        <ns0:v>34</ns0:v>
      </ns0:c>
      <ns0:c r="J64" s="32">
        <ns0:f>IFERROR(F64/I64,0)</ns0:f>
        <ns0:v>0.058823529411764705</ns0:v>
      </ns0:c>
      <ns0:c r="K64" s="32">
        <ns0:f>IFERROR(F64/(I64-H64),0)</ns0:f>
        <ns0:v>0.06060606060606061</ns0:v>
      </ns0:c>
      <ns0:c r="L64" s="21" t="inlineStr">
        <ns0:is>
          <ns0:t>18; 24; 32; 34; 43; 54; 59; 63; 70; 92; 100; 109; 149; 157; 170; 174; 204; 206; 207; 209; 213; 214; 222; 235; 241; 242; 249; 254; 264; 269; new_214; new_335; new_387; new_398</ns0:t>
        </ns0:is>
      </ns0:c>
    </ns0:row>
    <ns0:row r="65" ht="32" customHeight="1">
      <ns0:c r="A65" s="19" t="inlineStr">
        <ns0:is>
          <ns0:t>Diagnosis</ns0:t>
        </ns0:is>
      </ns0:c>
      <ns0:c r="B65" s="19" t="inlineStr">
        <ns0:is>
          <ns0:t>Neuroimaging</ns0:t>
        </ns0:is>
      </ns0:c>
      <ns0:c r="C65" s="19" t="inlineStr">
        <ns0:is>
          <ns0:t>Not specified</ns0:t>
        </ns0:is>
      </ns0:c>
      <ns0:c r="D65" s="19" t="inlineStr">
        <ns0:is>
          <ns0:t>External validation</ns0:t>
        </ns0:is>
      </ns0:c>
      <ns0:c r="E65" s="19" t="inlineStr">
        <ns0:is>
          <ns0:t>external_validation</ns0:t>
        </ns0:is>
      </ns0:c>
      <ns0:c r="F65" s="27">
        <ns0:f>COUNTIFS('BASE_CIERRE'!$G$5:$G$458,1,'BASE_CIERRE'!$H$5:$H$458,"Diagnosis",'BASE_CIERRE'!$J$5:$J$458,"Neuroimaging",'BASE_CIERRE'!$I$5:$I$458,"Not specified",'BASE_CIERRE'!$Q$5:$Q$458,"Reported")</ns0:f>
        <ns0:v>0</ns0:v>
      </ns0:c>
      <ns0:c r="G65" s="27">
        <ns0:f>COUNTIFS('BASE_CIERRE'!$G$5:$G$458,1,'BASE_CIERRE'!$H$5:$H$458,"Diagnosis",'BASE_CIERRE'!$J$5:$J$458,"Neuroimaging",'BASE_CIERRE'!$I$5:$I$458,"Not specified",'BASE_CIERRE'!$Q$5:$Q$458,"Not reported in assessed sources")</ns0:f>
        <ns0:v>2</ns0:v>
      </ns0:c>
      <ns0:c r="H65" s="27">
        <ns0:f>COUNTIFS('BASE_CIERRE'!$G$5:$G$458,1,'BASE_CIERRE'!$H$5:$H$458,"Diagnosis",'BASE_CIERRE'!$J$5:$J$458,"Neuroimaging",'BASE_CIERRE'!$I$5:$I$458,"Not specified",'BASE_CIERRE'!$Q$5:$Q$458,"Not ascertainable")</ns0:f>
        <ns0:v>0</ns0:v>
      </ns0:c>
      <ns0:c r="I65" s="27">
        <ns0:f>SUM(F65:H65)</ns0:f>
        <ns0:v>2</ns0:v>
      </ns0:c>
      <ns0:c r="J65" s="31">
        <ns0:f>IFERROR(F65/I65,0)</ns0:f>
        <ns0:v>0</ns0:v>
      </ns0:c>
      <ns0:c r="K65" s="31">
        <ns0:f>IFERROR(F65/(I65-H65),0)</ns0:f>
        <ns0:v>0</ns0:v>
      </ns0:c>
      <ns0:c r="L65" s="19" t="inlineStr">
        <ns0:is>
          <ns0:t>226; new_11</ns0:t>
        </ns0:is>
      </ns0:c>
    </ns0:row>
    <ns0:row r="66" ht="32" customHeight="1">
      <ns0:c r="A66" s="21" t="inlineStr">
        <ns0:is>
          <ns0:t>Diagnosis</ns0:t>
        </ns0:is>
      </ns0:c>
      <ns0:c r="B66" s="21" t="inlineStr">
        <ns0:is>
          <ns0:t>Neuroimaging</ns0:t>
        </ns0:is>
      </ns0:c>
      <ns0:c r="C66" s="21" t="inlineStr">
        <ns0:is>
          <ns0:t>Not specified</ns0:t>
        </ns0:is>
      </ns0:c>
      <ns0:c r="D66" s="21" t="inlineStr">
        <ns0:is>
          <ns0:t>Multisource integration</ns0:t>
        </ns0:is>
      </ns0:c>
      <ns0:c r="E66" s="21" t="inlineStr">
        <ns0:is>
          <ns0:t>multisource_integration</ns0:t>
        </ns0:is>
      </ns0:c>
      <ns0:c r="F66" s="29">
        <ns0:f>COUNTIFS('BASE_CIERRE'!$G$5:$G$458,1,'BASE_CIERRE'!$H$5:$H$458,"Diagnosis",'BASE_CIERRE'!$J$5:$J$458,"Neuroimaging",'BASE_CIERRE'!$I$5:$I$458,"Not specified",'BASE_CIERRE'!$R$5:$R$458,"Reported")</ns0:f>
        <ns0:v>0</ns0:v>
      </ns0:c>
      <ns0:c r="G66" s="29">
        <ns0:f>COUNTIFS('BASE_CIERRE'!$G$5:$G$458,1,'BASE_CIERRE'!$H$5:$H$458,"Diagnosis",'BASE_CIERRE'!$J$5:$J$458,"Neuroimaging",'BASE_CIERRE'!$I$5:$I$458,"Not specified",'BASE_CIERRE'!$R$5:$R$458,"Not reported in assessed sources")</ns0:f>
        <ns0:v>2</ns0:v>
      </ns0:c>
      <ns0:c r="H66" s="29">
        <ns0:f>COUNTIFS('BASE_CIERRE'!$G$5:$G$458,1,'BASE_CIERRE'!$H$5:$H$458,"Diagnosis",'BASE_CIERRE'!$J$5:$J$458,"Neuroimaging",'BASE_CIERRE'!$I$5:$I$458,"Not specified",'BASE_CIERRE'!$R$5:$R$458,"Not ascertainable")</ns0:f>
        <ns0:v>0</ns0:v>
      </ns0:c>
      <ns0:c r="I66" s="29">
        <ns0:f>SUM(F66:H66)</ns0:f>
        <ns0:v>2</ns0:v>
      </ns0:c>
      <ns0:c r="J66" s="32">
        <ns0:f>IFERROR(F66/I66,0)</ns0:f>
        <ns0:v>0</ns0:v>
      </ns0:c>
      <ns0:c r="K66" s="32">
        <ns0:f>IFERROR(F66/(I66-H66),0)</ns0:f>
        <ns0:v>0</ns0:v>
      </ns0:c>
      <ns0:c r="L66" s="21" t="inlineStr">
        <ns0:is>
          <ns0:t>226; new_11</ns0:t>
        </ns0:is>
      </ns0:c>
    </ns0:row>
    <ns0:row r="67" ht="32" customHeight="1">
      <ns0:c r="A67" s="19" t="inlineStr">
        <ns0:is>
          <ns0:t>Diagnosis</ns0:t>
        </ns0:is>
      </ns0:c>
      <ns0:c r="B67" s="19" t="inlineStr">
        <ns0:is>
          <ns0:t>Neuroimaging</ns0:t>
        </ns0:is>
      </ns0:c>
      <ns0:c r="C67" s="19" t="inlineStr">
        <ns0:is>
          <ns0:t>Not specified</ns0:t>
        </ns0:is>
      </ns0:c>
      <ns0:c r="D67" s="19" t="inlineStr">
        <ns0:is>
          <ns0:t>Explicit explainability (broad)</ns0:t>
        </ns0:is>
      </ns0:c>
      <ns0:c r="E67" s="19" t="inlineStr">
        <ns0:is>
          <ns0:t>xai_broad</ns0:t>
        </ns0:is>
      </ns0:c>
      <ns0:c r="F67" s="27">
        <ns0:f>COUNTIFS('BASE_CIERRE'!$G$5:$G$458,1,'BASE_CIERRE'!$H$5:$H$458,"Diagnosis",'BASE_CIERRE'!$J$5:$J$458,"Neuroimaging",'BASE_CIERRE'!$I$5:$I$458,"Not specified",'BASE_CIERRE'!$S$5:$S$458,"Reported")</ns0:f>
        <ns0:v>0</ns0:v>
      </ns0:c>
      <ns0:c r="G67" s="27">
        <ns0:f>COUNTIFS('BASE_CIERRE'!$G$5:$G$458,1,'BASE_CIERRE'!$H$5:$H$458,"Diagnosis",'BASE_CIERRE'!$J$5:$J$458,"Neuroimaging",'BASE_CIERRE'!$I$5:$I$458,"Not specified",'BASE_CIERRE'!$S$5:$S$458,"Not reported in assessed sources")</ns0:f>
        <ns0:v>2</ns0:v>
      </ns0:c>
      <ns0:c r="H67" s="27">
        <ns0:f>COUNTIFS('BASE_CIERRE'!$G$5:$G$458,1,'BASE_CIERRE'!$H$5:$H$458,"Diagnosis",'BASE_CIERRE'!$J$5:$J$458,"Neuroimaging",'BASE_CIERRE'!$I$5:$I$458,"Not specified",'BASE_CIERRE'!$S$5:$S$458,"Not ascertainable")</ns0:f>
        <ns0:v>0</ns0:v>
      </ns0:c>
      <ns0:c r="I67" s="27">
        <ns0:f>SUM(F67:H67)</ns0:f>
        <ns0:v>2</ns0:v>
      </ns0:c>
      <ns0:c r="J67" s="31">
        <ns0:f>IFERROR(F67/I67,0)</ns0:f>
        <ns0:v>0</ns0:v>
      </ns0:c>
      <ns0:c r="K67" s="31">
        <ns0:f>IFERROR(F67/(I67-H67),0)</ns0:f>
        <ns0:v>0</ns0:v>
      </ns0:c>
      <ns0:c r="L67" s="19" t="inlineStr">
        <ns0:is>
          <ns0:t>226; new_11</ns0:t>
        </ns0:is>
      </ns0:c>
    </ns0:row>
    <ns0:row r="68" ht="32" customHeight="1">
      <ns0:c r="A68" s="21" t="inlineStr">
        <ns0:is>
          <ns0:t>Diagnosis</ns0:t>
        </ns0:is>
      </ns0:c>
      <ns0:c r="B68" s="21" t="inlineStr">
        <ns0:is>
          <ns0:t>Neuroimaging</ns0:t>
        </ns0:is>
      </ns0:c>
      <ns0:c r="C68" s="21" t="inlineStr">
        <ns0:is>
          <ns0:t>Not specified</ns0:t>
        </ns0:is>
      </ns0:c>
      <ns0:c r="D68" s="21" t="inlineStr">
        <ns0:is>
          <ns0:t>Cross-site evaluation</ns0:t>
        </ns0:is>
      </ns0:c>
      <ns0:c r="E68" s="21" t="inlineStr">
        <ns0:is>
          <ns0:t>cross_site_robustness</ns0:t>
        </ns0:is>
      </ns0:c>
      <ns0:c r="F68" s="29">
        <ns0:f>COUNTIFS('BASE_CIERRE'!$G$5:$G$458,1,'BASE_CIERRE'!$H$5:$H$458,"Diagnosis",'BASE_CIERRE'!$J$5:$J$458,"Neuroimaging",'BASE_CIERRE'!$I$5:$I$458,"Not specified",'BASE_CIERRE'!$U$5:$U$458,"Reported")</ns0:f>
        <ns0:v>0</ns0:v>
      </ns0:c>
      <ns0:c r="G68" s="29">
        <ns0:f>COUNTIFS('BASE_CIERRE'!$G$5:$G$458,1,'BASE_CIERRE'!$H$5:$H$458,"Diagnosis",'BASE_CIERRE'!$J$5:$J$458,"Neuroimaging",'BASE_CIERRE'!$I$5:$I$458,"Not specified",'BASE_CIERRE'!$U$5:$U$458,"Not reported in assessed sources")</ns0:f>
        <ns0:v>2</ns0:v>
      </ns0:c>
      <ns0:c r="H68" s="29">
        <ns0:f>COUNTIFS('BASE_CIERRE'!$G$5:$G$458,1,'BASE_CIERRE'!$H$5:$H$458,"Diagnosis",'BASE_CIERRE'!$J$5:$J$458,"Neuroimaging",'BASE_CIERRE'!$I$5:$I$458,"Not specified",'BASE_CIERRE'!$U$5:$U$458,"Not ascertainable")</ns0:f>
        <ns0:v>0</ns0:v>
      </ns0:c>
      <ns0:c r="I68" s="29">
        <ns0:f>SUM(F68:H68)</ns0:f>
        <ns0:v>2</ns0:v>
      </ns0:c>
      <ns0:c r="J68" s="32">
        <ns0:f>IFERROR(F68/I68,0)</ns0:f>
        <ns0:v>0</ns0:v>
      </ns0:c>
      <ns0:c r="K68" s="32">
        <ns0:f>IFERROR(F68/(I68-H68),0)</ns0:f>
        <ns0:v>0</ns0:v>
      </ns0:c>
      <ns0:c r="L68" s="21" t="inlineStr">
        <ns0:is>
          <ns0:t>226; new_11</ns0:t>
        </ns0:is>
      </ns0:c>
    </ns0:row>
    <ns0:row r="69" ht="32" customHeight="1">
      <ns0:c r="A69" s="19" t="inlineStr">
        <ns0:is>
          <ns0:t>Diagnosis</ns0:t>
        </ns0:is>
      </ns0:c>
      <ns0:c r="B69" s="19" t="inlineStr">
        <ns0:is>
          <ns0:t>Not specified</ns0:t>
        </ns0:is>
      </ns0:c>
      <ns0:c r="C69" s="19" t="inlineStr">
        <ns0:is>
          <ns0:t>Deep Learning</ns0:t>
        </ns0:is>
      </ns0:c>
      <ns0:c r="D69" s="19" t="inlineStr">
        <ns0:is>
          <ns0:t>External validation</ns0:t>
        </ns0:is>
      </ns0:c>
      <ns0:c r="E69" s="19" t="inlineStr">
        <ns0:is>
          <ns0:t>external_validation</ns0:t>
        </ns0:is>
      </ns0:c>
      <ns0:c r="F69" s="27">
        <ns0:f>COUNTIFS('BASE_CIERRE'!$G$5:$G$458,1,'BASE_CIERRE'!$H$5:$H$458,"Diagnosis",'BASE_CIERRE'!$J$5:$J$458,"Not specified",'BASE_CIERRE'!$I$5:$I$458,"Deep Learning",'BASE_CIERRE'!$Q$5:$Q$458,"Reported")</ns0:f>
        <ns0:v>0</ns0:v>
      </ns0:c>
      <ns0:c r="G69" s="27">
        <ns0:f>COUNTIFS('BASE_CIERRE'!$G$5:$G$458,1,'BASE_CIERRE'!$H$5:$H$458,"Diagnosis",'BASE_CIERRE'!$J$5:$J$458,"Not specified",'BASE_CIERRE'!$I$5:$I$458,"Deep Learning",'BASE_CIERRE'!$Q$5:$Q$458,"Not reported in assessed sources")</ns0:f>
        <ns0:v>2</ns0:v>
      </ns0:c>
      <ns0:c r="H69" s="27">
        <ns0:f>COUNTIFS('BASE_CIERRE'!$G$5:$G$458,1,'BASE_CIERRE'!$H$5:$H$458,"Diagnosis",'BASE_CIERRE'!$J$5:$J$458,"Not specified",'BASE_CIERRE'!$I$5:$I$458,"Deep Learning",'BASE_CIERRE'!$Q$5:$Q$458,"Not ascertainable")</ns0:f>
        <ns0:v>0</ns0:v>
      </ns0:c>
      <ns0:c r="I69" s="27">
        <ns0:f>SUM(F69:H69)</ns0:f>
        <ns0:v>2</ns0:v>
      </ns0:c>
      <ns0:c r="J69" s="31">
        <ns0:f>IFERROR(F69/I69,0)</ns0:f>
        <ns0:v>0</ns0:v>
      </ns0:c>
      <ns0:c r="K69" s="31">
        <ns0:f>IFERROR(F69/(I69-H69),0)</ns0:f>
        <ns0:v>0</ns0:v>
      </ns0:c>
      <ns0:c r="L69" s="19" t="inlineStr">
        <ns0:is>
          <ns0:t>283; new_412</ns0:t>
        </ns0:is>
      </ns0:c>
    </ns0:row>
    <ns0:row r="70" ht="32" customHeight="1">
      <ns0:c r="A70" s="21" t="inlineStr">
        <ns0:is>
          <ns0:t>Diagnosis</ns0:t>
        </ns0:is>
      </ns0:c>
      <ns0:c r="B70" s="21" t="inlineStr">
        <ns0:is>
          <ns0:t>Not specified</ns0:t>
        </ns0:is>
      </ns0:c>
      <ns0:c r="C70" s="21" t="inlineStr">
        <ns0:is>
          <ns0:t>Deep Learning</ns0:t>
        </ns0:is>
      </ns0:c>
      <ns0:c r="D70" s="21" t="inlineStr">
        <ns0:is>
          <ns0:t>Multisource integration</ns0:t>
        </ns0:is>
      </ns0:c>
      <ns0:c r="E70" s="21" t="inlineStr">
        <ns0:is>
          <ns0:t>multisource_integration</ns0:t>
        </ns0:is>
      </ns0:c>
      <ns0:c r="F70" s="29">
        <ns0:f>COUNTIFS('BASE_CIERRE'!$G$5:$G$458,1,'BASE_CIERRE'!$H$5:$H$458,"Diagnosis",'BASE_CIERRE'!$J$5:$J$458,"Not specified",'BASE_CIERRE'!$I$5:$I$458,"Deep Learning",'BASE_CIERRE'!$R$5:$R$458,"Reported")</ns0:f>
        <ns0:v>0</ns0:v>
      </ns0:c>
      <ns0:c r="G70" s="29">
        <ns0:f>COUNTIFS('BASE_CIERRE'!$G$5:$G$458,1,'BASE_CIERRE'!$H$5:$H$458,"Diagnosis",'BASE_CIERRE'!$J$5:$J$458,"Not specified",'BASE_CIERRE'!$I$5:$I$458,"Deep Learning",'BASE_CIERRE'!$R$5:$R$458,"Not reported in assessed sources")</ns0:f>
        <ns0:v>1</ns0:v>
      </ns0:c>
      <ns0:c r="H70" s="29">
        <ns0:f>COUNTIFS('BASE_CIERRE'!$G$5:$G$458,1,'BASE_CIERRE'!$H$5:$H$458,"Diagnosis",'BASE_CIERRE'!$J$5:$J$458,"Not specified",'BASE_CIERRE'!$I$5:$I$458,"Deep Learning",'BASE_CIERRE'!$R$5:$R$458,"Not ascertainable")</ns0:f>
        <ns0:v>1</ns0:v>
      </ns0:c>
      <ns0:c r="I70" s="29">
        <ns0:f>SUM(F70:H70)</ns0:f>
        <ns0:v>2</ns0:v>
      </ns0:c>
      <ns0:c r="J70" s="32">
        <ns0:f>IFERROR(F70/I70,0)</ns0:f>
        <ns0:v>0</ns0:v>
      </ns0:c>
      <ns0:c r="K70" s="32">
        <ns0:f>IFERROR(F70/(I70-H70),0)</ns0:f>
        <ns0:v>0</ns0:v>
      </ns0:c>
      <ns0:c r="L70" s="21" t="inlineStr">
        <ns0:is>
          <ns0:t>283; new_412</ns0:t>
        </ns0:is>
      </ns0:c>
    </ns0:row>
    <ns0:row r="71" ht="32" customHeight="1">
      <ns0:c r="A71" s="19" t="inlineStr">
        <ns0:is>
          <ns0:t>Diagnosis</ns0:t>
        </ns0:is>
      </ns0:c>
      <ns0:c r="B71" s="19" t="inlineStr">
        <ns0:is>
          <ns0:t>Not specified</ns0:t>
        </ns0:is>
      </ns0:c>
      <ns0:c r="C71" s="19" t="inlineStr">
        <ns0:is>
          <ns0:t>Deep Learning</ns0:t>
        </ns0:is>
      </ns0:c>
      <ns0:c r="D71" s="19" t="inlineStr">
        <ns0:is>
          <ns0:t>Explicit explainability (broad)</ns0:t>
        </ns0:is>
      </ns0:c>
      <ns0:c r="E71" s="19" t="inlineStr">
        <ns0:is>
          <ns0:t>xai_broad</ns0:t>
        </ns0:is>
      </ns0:c>
      <ns0:c r="F71" s="27">
        <ns0:f>COUNTIFS('BASE_CIERRE'!$G$5:$G$458,1,'BASE_CIERRE'!$H$5:$H$458,"Diagnosis",'BASE_CIERRE'!$J$5:$J$458,"Not specified",'BASE_CIERRE'!$I$5:$I$458,"Deep Learning",'BASE_CIERRE'!$S$5:$S$458,"Reported")</ns0:f>
        <ns0:v>0</ns0:v>
      </ns0:c>
      <ns0:c r="G71" s="27">
        <ns0:f>COUNTIFS('BASE_CIERRE'!$G$5:$G$458,1,'BASE_CIERRE'!$H$5:$H$458,"Diagnosis",'BASE_CIERRE'!$J$5:$J$458,"Not specified",'BASE_CIERRE'!$I$5:$I$458,"Deep Learning",'BASE_CIERRE'!$S$5:$S$458,"Not reported in assessed sources")</ns0:f>
        <ns0:v>2</ns0:v>
      </ns0:c>
      <ns0:c r="H71" s="27">
        <ns0:f>COUNTIFS('BASE_CIERRE'!$G$5:$G$458,1,'BASE_CIERRE'!$H$5:$H$458,"Diagnosis",'BASE_CIERRE'!$J$5:$J$458,"Not specified",'BASE_CIERRE'!$I$5:$I$458,"Deep Learning",'BASE_CIERRE'!$S$5:$S$458,"Not ascertainable")</ns0:f>
        <ns0:v>0</ns0:v>
      </ns0:c>
      <ns0:c r="I71" s="27">
        <ns0:f>SUM(F71:H71)</ns0:f>
        <ns0:v>2</ns0:v>
      </ns0:c>
      <ns0:c r="J71" s="31">
        <ns0:f>IFERROR(F71/I71,0)</ns0:f>
        <ns0:v>0</ns0:v>
      </ns0:c>
      <ns0:c r="K71" s="31">
        <ns0:f>IFERROR(F71/(I71-H71),0)</ns0:f>
        <ns0:v>0</ns0:v>
      </ns0:c>
      <ns0:c r="L71" s="19" t="inlineStr">
        <ns0:is>
          <ns0:t>283; new_412</ns0:t>
        </ns0:is>
      </ns0:c>
    </ns0:row>
    <ns0:row r="72" ht="32" customHeight="1">
      <ns0:c r="A72" s="21" t="inlineStr">
        <ns0:is>
          <ns0:t>Diagnosis</ns0:t>
        </ns0:is>
      </ns0:c>
      <ns0:c r="B72" s="21" t="inlineStr">
        <ns0:is>
          <ns0:t>Not specified</ns0:t>
        </ns0:is>
      </ns0:c>
      <ns0:c r="C72" s="21" t="inlineStr">
        <ns0:is>
          <ns0:t>Deep Learning</ns0:t>
        </ns0:is>
      </ns0:c>
      <ns0:c r="D72" s="21" t="inlineStr">
        <ns0:is>
          <ns0:t>Cross-site evaluation</ns0:t>
        </ns0:is>
      </ns0:c>
      <ns0:c r="E72" s="21" t="inlineStr">
        <ns0:is>
          <ns0:t>cross_site_robustness</ns0:t>
        </ns0:is>
      </ns0:c>
      <ns0:c r="F72" s="29">
        <ns0:f>COUNTIFS('BASE_CIERRE'!$G$5:$G$458,1,'BASE_CIERRE'!$H$5:$H$458,"Diagnosis",'BASE_CIERRE'!$J$5:$J$458,"Not specified",'BASE_CIERRE'!$I$5:$I$458,"Deep Learning",'BASE_CIERRE'!$U$5:$U$458,"Reported")</ns0:f>
        <ns0:v>0</ns0:v>
      </ns0:c>
      <ns0:c r="G72" s="29">
        <ns0:f>COUNTIFS('BASE_CIERRE'!$G$5:$G$458,1,'BASE_CIERRE'!$H$5:$H$458,"Diagnosis",'BASE_CIERRE'!$J$5:$J$458,"Not specified",'BASE_CIERRE'!$I$5:$I$458,"Deep Learning",'BASE_CIERRE'!$U$5:$U$458,"Not reported in assessed sources")</ns0:f>
        <ns0:v>2</ns0:v>
      </ns0:c>
      <ns0:c r="H72" s="29">
        <ns0:f>COUNTIFS('BASE_CIERRE'!$G$5:$G$458,1,'BASE_CIERRE'!$H$5:$H$458,"Diagnosis",'BASE_CIERRE'!$J$5:$J$458,"Not specified",'BASE_CIERRE'!$I$5:$I$458,"Deep Learning",'BASE_CIERRE'!$U$5:$U$458,"Not ascertainable")</ns0:f>
        <ns0:v>0</ns0:v>
      </ns0:c>
      <ns0:c r="I72" s="29">
        <ns0:f>SUM(F72:H72)</ns0:f>
        <ns0:v>2</ns0:v>
      </ns0:c>
      <ns0:c r="J72" s="32">
        <ns0:f>IFERROR(F72/I72,0)</ns0:f>
        <ns0:v>0</ns0:v>
      </ns0:c>
      <ns0:c r="K72" s="32">
        <ns0:f>IFERROR(F72/(I72-H72),0)</ns0:f>
        <ns0:v>0</ns0:v>
      </ns0:c>
      <ns0:c r="L72" s="21" t="inlineStr">
        <ns0:is>
          <ns0:t>283; new_412</ns0:t>
        </ns0:is>
      </ns0:c>
    </ns0:row>
    <ns0:row r="73" ht="32" customHeight="1">
      <ns0:c r="A73" s="19" t="inlineStr">
        <ns0:is>
          <ns0:t>Diagnosis</ns0:t>
        </ns0:is>
      </ns0:c>
      <ns0:c r="B73" s="19" t="inlineStr">
        <ns0:is>
          <ns0:t>Not specified</ns0:t>
        </ns0:is>
      </ns0:c>
      <ns0:c r="C73" s="19" t="inlineStr">
        <ns0:is>
          <ns0:t>Machine Learning</ns0:t>
        </ns0:is>
      </ns0:c>
      <ns0:c r="D73" s="19" t="inlineStr">
        <ns0:is>
          <ns0:t>External validation</ns0:t>
        </ns0:is>
      </ns0:c>
      <ns0:c r="E73" s="19" t="inlineStr">
        <ns0:is>
          <ns0:t>external_validation</ns0:t>
        </ns0:is>
      </ns0:c>
      <ns0:c r="F73" s="27">
        <ns0:f>COUNTIFS('BASE_CIERRE'!$G$5:$G$458,1,'BASE_CIERRE'!$H$5:$H$458,"Diagnosis",'BASE_CIERRE'!$J$5:$J$458,"Not specified",'BASE_CIERRE'!$I$5:$I$458,"Machine Learning",'BASE_CIERRE'!$Q$5:$Q$458,"Reported")</ns0:f>
        <ns0:v>0</ns0:v>
      </ns0:c>
      <ns0:c r="G73" s="27">
        <ns0:f>COUNTIFS('BASE_CIERRE'!$G$5:$G$458,1,'BASE_CIERRE'!$H$5:$H$458,"Diagnosis",'BASE_CIERRE'!$J$5:$J$458,"Not specified",'BASE_CIERRE'!$I$5:$I$458,"Machine Learning",'BASE_CIERRE'!$Q$5:$Q$458,"Not reported in assessed sources")</ns0:f>
        <ns0:v>1</ns0:v>
      </ns0:c>
      <ns0:c r="H73" s="27">
        <ns0:f>COUNTIFS('BASE_CIERRE'!$G$5:$G$458,1,'BASE_CIERRE'!$H$5:$H$458,"Diagnosis",'BASE_CIERRE'!$J$5:$J$458,"Not specified",'BASE_CIERRE'!$I$5:$I$458,"Machine Learning",'BASE_CIERRE'!$Q$5:$Q$458,"Not ascertainable")</ns0:f>
        <ns0:v>0</ns0:v>
      </ns0:c>
      <ns0:c r="I73" s="27">
        <ns0:f>SUM(F73:H73)</ns0:f>
        <ns0:v>1</ns0:v>
      </ns0:c>
      <ns0:c r="J73" s="31">
        <ns0:f>IFERROR(F73/I73,0)</ns0:f>
        <ns0:v>0</ns0:v>
      </ns0:c>
      <ns0:c r="K73" s="31">
        <ns0:f>IFERROR(F73/(I73-H73),0)</ns0:f>
        <ns0:v>0</ns0:v>
      </ns0:c>
      <ns0:c r="L73" s="19" t="inlineStr">
        <ns0:is>
          <ns0:t>154</ns0:t>
        </ns0:is>
      </ns0:c>
    </ns0:row>
    <ns0:row r="74" ht="32" customHeight="1">
      <ns0:c r="A74" s="21" t="inlineStr">
        <ns0:is>
          <ns0:t>Diagnosis</ns0:t>
        </ns0:is>
      </ns0:c>
      <ns0:c r="B74" s="21" t="inlineStr">
        <ns0:is>
          <ns0:t>Not specified</ns0:t>
        </ns0:is>
      </ns0:c>
      <ns0:c r="C74" s="21" t="inlineStr">
        <ns0:is>
          <ns0:t>Machine Learning</ns0:t>
        </ns0:is>
      </ns0:c>
      <ns0:c r="D74" s="21" t="inlineStr">
        <ns0:is>
          <ns0:t>Multisource integration</ns0:t>
        </ns0:is>
      </ns0:c>
      <ns0:c r="E74" s="21" t="inlineStr">
        <ns0:is>
          <ns0:t>multisource_integration</ns0:t>
        </ns0:is>
      </ns0:c>
      <ns0:c r="F74" s="29">
        <ns0:f>COUNTIFS('BASE_CIERRE'!$G$5:$G$458,1,'BASE_CIERRE'!$H$5:$H$458,"Diagnosis",'BASE_CIERRE'!$J$5:$J$458,"Not specified",'BASE_CIERRE'!$I$5:$I$458,"Machine Learning",'BASE_CIERRE'!$R$5:$R$458,"Reported")</ns0:f>
        <ns0:v>0</ns0:v>
      </ns0:c>
      <ns0:c r="G74" s="29">
        <ns0:f>COUNTIFS('BASE_CIERRE'!$G$5:$G$458,1,'BASE_CIERRE'!$H$5:$H$458,"Diagnosis",'BASE_CIERRE'!$J$5:$J$458,"Not specified",'BASE_CIERRE'!$I$5:$I$458,"Machine Learning",'BASE_CIERRE'!$R$5:$R$458,"Not reported in assessed sources")</ns0:f>
        <ns0:v>0</ns0:v>
      </ns0:c>
      <ns0:c r="H74" s="29">
        <ns0:f>COUNTIFS('BASE_CIERRE'!$G$5:$G$458,1,'BASE_CIERRE'!$H$5:$H$458,"Diagnosis",'BASE_CIERRE'!$J$5:$J$458,"Not specified",'BASE_CIERRE'!$I$5:$I$458,"Machine Learning",'BASE_CIERRE'!$R$5:$R$458,"Not ascertainable")</ns0:f>
        <ns0:v>1</ns0:v>
      </ns0:c>
      <ns0:c r="I74" s="29">
        <ns0:f>SUM(F74:H74)</ns0:f>
        <ns0:v>1</ns0:v>
      </ns0:c>
      <ns0:c r="J74" s="32">
        <ns0:f>IFERROR(F74/I74,0)</ns0:f>
        <ns0:v>0</ns0:v>
      </ns0:c>
      <ns0:c r="K74" s="32">
        <ns0:f>IFERROR(F74/(I74-H74),0)</ns0:f>
        <ns0:v>0</ns0:v>
      </ns0:c>
      <ns0:c r="L74" s="21" t="inlineStr">
        <ns0:is>
          <ns0:t>154</ns0:t>
        </ns0:is>
      </ns0:c>
    </ns0:row>
    <ns0:row r="75" ht="32" customHeight="1">
      <ns0:c r="A75" s="19" t="inlineStr">
        <ns0:is>
          <ns0:t>Diagnosis</ns0:t>
        </ns0:is>
      </ns0:c>
      <ns0:c r="B75" s="19" t="inlineStr">
        <ns0:is>
          <ns0:t>Not specified</ns0:t>
        </ns0:is>
      </ns0:c>
      <ns0:c r="C75" s="19" t="inlineStr">
        <ns0:is>
          <ns0:t>Machine Learning</ns0:t>
        </ns0:is>
      </ns0:c>
      <ns0:c r="D75" s="19" t="inlineStr">
        <ns0:is>
          <ns0:t>Explicit explainability (broad)</ns0:t>
        </ns0:is>
      </ns0:c>
      <ns0:c r="E75" s="19" t="inlineStr">
        <ns0:is>
          <ns0:t>xai_broad</ns0:t>
        </ns0:is>
      </ns0:c>
      <ns0:c r="F75" s="27">
        <ns0:f>COUNTIFS('BASE_CIERRE'!$G$5:$G$458,1,'BASE_CIERRE'!$H$5:$H$458,"Diagnosis",'BASE_CIERRE'!$J$5:$J$458,"Not specified",'BASE_CIERRE'!$I$5:$I$458,"Machine Learning",'BASE_CIERRE'!$S$5:$S$458,"Reported")</ns0:f>
        <ns0:v>0</ns0:v>
      </ns0:c>
      <ns0:c r="G75" s="27">
        <ns0:f>COUNTIFS('BASE_CIERRE'!$G$5:$G$458,1,'BASE_CIERRE'!$H$5:$H$458,"Diagnosis",'BASE_CIERRE'!$J$5:$J$458,"Not specified",'BASE_CIERRE'!$I$5:$I$458,"Machine Learning",'BASE_CIERRE'!$S$5:$S$458,"Not reported in assessed sources")</ns0:f>
        <ns0:v>1</ns0:v>
      </ns0:c>
      <ns0:c r="H75" s="27">
        <ns0:f>COUNTIFS('BASE_CIERRE'!$G$5:$G$458,1,'BASE_CIERRE'!$H$5:$H$458,"Diagnosis",'BASE_CIERRE'!$J$5:$J$458,"Not specified",'BASE_CIERRE'!$I$5:$I$458,"Machine Learning",'BASE_CIERRE'!$S$5:$S$458,"Not ascertainable")</ns0:f>
        <ns0:v>0</ns0:v>
      </ns0:c>
      <ns0:c r="I75" s="27">
        <ns0:f>SUM(F75:H75)</ns0:f>
        <ns0:v>1</ns0:v>
      </ns0:c>
      <ns0:c r="J75" s="31">
        <ns0:f>IFERROR(F75/I75,0)</ns0:f>
        <ns0:v>0</ns0:v>
      </ns0:c>
      <ns0:c r="K75" s="31">
        <ns0:f>IFERROR(F75/(I75-H75),0)</ns0:f>
        <ns0:v>0</ns0:v>
      </ns0:c>
      <ns0:c r="L75" s="19" t="inlineStr">
        <ns0:is>
          <ns0:t>154</ns0:t>
        </ns0:is>
      </ns0:c>
    </ns0:row>
    <ns0:row r="76" ht="32" customHeight="1">
      <ns0:c r="A76" s="21" t="inlineStr">
        <ns0:is>
          <ns0:t>Diagnosis</ns0:t>
        </ns0:is>
      </ns0:c>
      <ns0:c r="B76" s="21" t="inlineStr">
        <ns0:is>
          <ns0:t>Not specified</ns0:t>
        </ns0:is>
      </ns0:c>
      <ns0:c r="C76" s="21" t="inlineStr">
        <ns0:is>
          <ns0:t>Machine Learning</ns0:t>
        </ns0:is>
      </ns0:c>
      <ns0:c r="D76" s="21" t="inlineStr">
        <ns0:is>
          <ns0:t>Cross-site evaluation</ns0:t>
        </ns0:is>
      </ns0:c>
      <ns0:c r="E76" s="21" t="inlineStr">
        <ns0:is>
          <ns0:t>cross_site_robustness</ns0:t>
        </ns0:is>
      </ns0:c>
      <ns0:c r="F76" s="29">
        <ns0:f>COUNTIFS('BASE_CIERRE'!$G$5:$G$458,1,'BASE_CIERRE'!$H$5:$H$458,"Diagnosis",'BASE_CIERRE'!$J$5:$J$458,"Not specified",'BASE_CIERRE'!$I$5:$I$458,"Machine Learning",'BASE_CIERRE'!$U$5:$U$458,"Reported")</ns0:f>
        <ns0:v>0</ns0:v>
      </ns0:c>
      <ns0:c r="G76" s="29">
        <ns0:f>COUNTIFS('BASE_CIERRE'!$G$5:$G$458,1,'BASE_CIERRE'!$H$5:$H$458,"Diagnosis",'BASE_CIERRE'!$J$5:$J$458,"Not specified",'BASE_CIERRE'!$I$5:$I$458,"Machine Learning",'BASE_CIERRE'!$U$5:$U$458,"Not reported in assessed sources")</ns0:f>
        <ns0:v>1</ns0:v>
      </ns0:c>
      <ns0:c r="H76" s="29">
        <ns0:f>COUNTIFS('BASE_CIERRE'!$G$5:$G$458,1,'BASE_CIERRE'!$H$5:$H$458,"Diagnosis",'BASE_CIERRE'!$J$5:$J$458,"Not specified",'BASE_CIERRE'!$I$5:$I$458,"Machine Learning",'BASE_CIERRE'!$U$5:$U$458,"Not ascertainable")</ns0:f>
        <ns0:v>0</ns0:v>
      </ns0:c>
      <ns0:c r="I76" s="29">
        <ns0:f>SUM(F76:H76)</ns0:f>
        <ns0:v>1</ns0:v>
      </ns0:c>
      <ns0:c r="J76" s="32">
        <ns0:f>IFERROR(F76/I76,0)</ns0:f>
        <ns0:v>0</ns0:v>
      </ns0:c>
      <ns0:c r="K76" s="32">
        <ns0:f>IFERROR(F76/(I76-H76),0)</ns0:f>
        <ns0:v>0</ns0:v>
      </ns0:c>
      <ns0:c r="L76" s="21" t="inlineStr">
        <ns0:is>
          <ns0:t>154</ns0:t>
        </ns0:is>
      </ns0:c>
    </ns0:row>
    <ns0:row r="77" ht="32" customHeight="1">
      <ns0:c r="A77" s="19" t="inlineStr">
        <ns0:is>
          <ns0:t>Diagnosis</ns0:t>
        </ns0:is>
      </ns0:c>
      <ns0:c r="B77" s="19" t="inlineStr">
        <ns0:is>
          <ns0:t>Not specified</ns0:t>
        </ns0:is>
      </ns0:c>
      <ns0:c r="C77" s="19" t="inlineStr">
        <ns0:is>
          <ns0:t>Not specified</ns0:t>
        </ns0:is>
      </ns0:c>
      <ns0:c r="D77" s="19" t="inlineStr">
        <ns0:is>
          <ns0:t>External validation</ns0:t>
        </ns0:is>
      </ns0:c>
      <ns0:c r="E77" s="19" t="inlineStr">
        <ns0:is>
          <ns0:t>external_validation</ns0:t>
        </ns0:is>
      </ns0:c>
      <ns0:c r="F77" s="27">
        <ns0:f>COUNTIFS('BASE_CIERRE'!$G$5:$G$458,1,'BASE_CIERRE'!$H$5:$H$458,"Diagnosis",'BASE_CIERRE'!$J$5:$J$458,"Not specified",'BASE_CIERRE'!$I$5:$I$458,"Not specified",'BASE_CIERRE'!$Q$5:$Q$458,"Reported")</ns0:f>
        <ns0:v>0</ns0:v>
      </ns0:c>
      <ns0:c r="G77" s="27">
        <ns0:f>COUNTIFS('BASE_CIERRE'!$G$5:$G$458,1,'BASE_CIERRE'!$H$5:$H$458,"Diagnosis",'BASE_CIERRE'!$J$5:$J$458,"Not specified",'BASE_CIERRE'!$I$5:$I$458,"Not specified",'BASE_CIERRE'!$Q$5:$Q$458,"Not reported in assessed sources")</ns0:f>
        <ns0:v>1</ns0:v>
      </ns0:c>
      <ns0:c r="H77" s="27">
        <ns0:f>COUNTIFS('BASE_CIERRE'!$G$5:$G$458,1,'BASE_CIERRE'!$H$5:$H$458,"Diagnosis",'BASE_CIERRE'!$J$5:$J$458,"Not specified",'BASE_CIERRE'!$I$5:$I$458,"Not specified",'BASE_CIERRE'!$Q$5:$Q$458,"Not ascertainable")</ns0:f>
        <ns0:v>0</ns0:v>
      </ns0:c>
      <ns0:c r="I77" s="27">
        <ns0:f>SUM(F77:H77)</ns0:f>
        <ns0:v>1</ns0:v>
      </ns0:c>
      <ns0:c r="J77" s="31">
        <ns0:f>IFERROR(F77/I77,0)</ns0:f>
        <ns0:v>0</ns0:v>
      </ns0:c>
      <ns0:c r="K77" s="31">
        <ns0:f>IFERROR(F77/(I77-H77),0)</ns0:f>
        <ns0:v>0</ns0:v>
      </ns0:c>
      <ns0:c r="L77" s="19" t="inlineStr">
        <ns0:is>
          <ns0:t>94</ns0:t>
        </ns0:is>
      </ns0:c>
    </ns0:row>
    <ns0:row r="78" ht="32" customHeight="1">
      <ns0:c r="A78" s="21" t="inlineStr">
        <ns0:is>
          <ns0:t>Diagnosis</ns0:t>
        </ns0:is>
      </ns0:c>
      <ns0:c r="B78" s="21" t="inlineStr">
        <ns0:is>
          <ns0:t>Not specified</ns0:t>
        </ns0:is>
      </ns0:c>
      <ns0:c r="C78" s="21" t="inlineStr">
        <ns0:is>
          <ns0:t>Not specified</ns0:t>
        </ns0:is>
      </ns0:c>
      <ns0:c r="D78" s="21" t="inlineStr">
        <ns0:is>
          <ns0:t>Multisource integration</ns0:t>
        </ns0:is>
      </ns0:c>
      <ns0:c r="E78" s="21" t="inlineStr">
        <ns0:is>
          <ns0:t>multisource_integration</ns0:t>
        </ns0:is>
      </ns0:c>
      <ns0:c r="F78" s="29">
        <ns0:f>COUNTIFS('BASE_CIERRE'!$G$5:$G$458,1,'BASE_CIERRE'!$H$5:$H$458,"Diagnosis",'BASE_CIERRE'!$J$5:$J$458,"Not specified",'BASE_CIERRE'!$I$5:$I$458,"Not specified",'BASE_CIERRE'!$R$5:$R$458,"Reported")</ns0:f>
        <ns0:v>0</ns0:v>
      </ns0:c>
      <ns0:c r="G78" s="29">
        <ns0:f>COUNTIFS('BASE_CIERRE'!$G$5:$G$458,1,'BASE_CIERRE'!$H$5:$H$458,"Diagnosis",'BASE_CIERRE'!$J$5:$J$458,"Not specified",'BASE_CIERRE'!$I$5:$I$458,"Not specified",'BASE_CIERRE'!$R$5:$R$458,"Not reported in assessed sources")</ns0:f>
        <ns0:v>1</ns0:v>
      </ns0:c>
      <ns0:c r="H78" s="29">
        <ns0:f>COUNTIFS('BASE_CIERRE'!$G$5:$G$458,1,'BASE_CIERRE'!$H$5:$H$458,"Diagnosis",'BASE_CIERRE'!$J$5:$J$458,"Not specified",'BASE_CIERRE'!$I$5:$I$458,"Not specified",'BASE_CIERRE'!$R$5:$R$458,"Not ascertainable")</ns0:f>
        <ns0:v>0</ns0:v>
      </ns0:c>
      <ns0:c r="I78" s="29">
        <ns0:f>SUM(F78:H78)</ns0:f>
        <ns0:v>1</ns0:v>
      </ns0:c>
      <ns0:c r="J78" s="32">
        <ns0:f>IFERROR(F78/I78,0)</ns0:f>
        <ns0:v>0</ns0:v>
      </ns0:c>
      <ns0:c r="K78" s="32">
        <ns0:f>IFERROR(F78/(I78-H78),0)</ns0:f>
        <ns0:v>0</ns0:v>
      </ns0:c>
      <ns0:c r="L78" s="21" t="inlineStr">
        <ns0:is>
          <ns0:t>94</ns0:t>
        </ns0:is>
      </ns0:c>
    </ns0:row>
    <ns0:row r="79" ht="32" customHeight="1">
      <ns0:c r="A79" s="19" t="inlineStr">
        <ns0:is>
          <ns0:t>Diagnosis</ns0:t>
        </ns0:is>
      </ns0:c>
      <ns0:c r="B79" s="19" t="inlineStr">
        <ns0:is>
          <ns0:t>Not specified</ns0:t>
        </ns0:is>
      </ns0:c>
      <ns0:c r="C79" s="19" t="inlineStr">
        <ns0:is>
          <ns0:t>Not specified</ns0:t>
        </ns0:is>
      </ns0:c>
      <ns0:c r="D79" s="19" t="inlineStr">
        <ns0:is>
          <ns0:t>Explicit explainability (broad)</ns0:t>
        </ns0:is>
      </ns0:c>
      <ns0:c r="E79" s="19" t="inlineStr">
        <ns0:is>
          <ns0:t>xai_broad</ns0:t>
        </ns0:is>
      </ns0:c>
      <ns0:c r="F79" s="27">
        <ns0:f>COUNTIFS('BASE_CIERRE'!$G$5:$G$458,1,'BASE_CIERRE'!$H$5:$H$458,"Diagnosis",'BASE_CIERRE'!$J$5:$J$458,"Not specified",'BASE_CIERRE'!$I$5:$I$458,"Not specified",'BASE_CIERRE'!$S$5:$S$458,"Reported")</ns0:f>
        <ns0:v>0</ns0:v>
      </ns0:c>
      <ns0:c r="G79" s="27">
        <ns0:f>COUNTIFS('BASE_CIERRE'!$G$5:$G$458,1,'BASE_CIERRE'!$H$5:$H$458,"Diagnosis",'BASE_CIERRE'!$J$5:$J$458,"Not specified",'BASE_CIERRE'!$I$5:$I$458,"Not specified",'BASE_CIERRE'!$S$5:$S$458,"Not reported in assessed sources")</ns0:f>
        <ns0:v>1</ns0:v>
      </ns0:c>
      <ns0:c r="H79" s="27">
        <ns0:f>COUNTIFS('BASE_CIERRE'!$G$5:$G$458,1,'BASE_CIERRE'!$H$5:$H$458,"Diagnosis",'BASE_CIERRE'!$J$5:$J$458,"Not specified",'BASE_CIERRE'!$I$5:$I$458,"Not specified",'BASE_CIERRE'!$S$5:$S$458,"Not ascertainable")</ns0:f>
        <ns0:v>0</ns0:v>
      </ns0:c>
      <ns0:c r="I79" s="27">
        <ns0:f>SUM(F79:H79)</ns0:f>
        <ns0:v>1</ns0:v>
      </ns0:c>
      <ns0:c r="J79" s="31">
        <ns0:f>IFERROR(F79/I79,0)</ns0:f>
        <ns0:v>0</ns0:v>
      </ns0:c>
      <ns0:c r="K79" s="31">
        <ns0:f>IFERROR(F79/(I79-H79),0)</ns0:f>
        <ns0:v>0</ns0:v>
      </ns0:c>
      <ns0:c r="L79" s="19" t="inlineStr">
        <ns0:is>
          <ns0:t>94</ns0:t>
        </ns0:is>
      </ns0:c>
    </ns0:row>
    <ns0:row r="80" ht="32" customHeight="1">
      <ns0:c r="A80" s="21" t="inlineStr">
        <ns0:is>
          <ns0:t>Diagnosis</ns0:t>
        </ns0:is>
      </ns0:c>
      <ns0:c r="B80" s="21" t="inlineStr">
        <ns0:is>
          <ns0:t>Not specified</ns0:t>
        </ns0:is>
      </ns0:c>
      <ns0:c r="C80" s="21" t="inlineStr">
        <ns0:is>
          <ns0:t>Not specified</ns0:t>
        </ns0:is>
      </ns0:c>
      <ns0:c r="D80" s="21" t="inlineStr">
        <ns0:is>
          <ns0:t>Cross-site evaluation</ns0:t>
        </ns0:is>
      </ns0:c>
      <ns0:c r="E80" s="21" t="inlineStr">
        <ns0:is>
          <ns0:t>cross_site_robustness</ns0:t>
        </ns0:is>
      </ns0:c>
      <ns0:c r="F80" s="29">
        <ns0:f>COUNTIFS('BASE_CIERRE'!$G$5:$G$458,1,'BASE_CIERRE'!$H$5:$H$458,"Diagnosis",'BASE_CIERRE'!$J$5:$J$458,"Not specified",'BASE_CIERRE'!$I$5:$I$458,"Not specified",'BASE_CIERRE'!$U$5:$U$458,"Reported")</ns0:f>
        <ns0:v>0</ns0:v>
      </ns0:c>
      <ns0:c r="G80" s="29">
        <ns0:f>COUNTIFS('BASE_CIERRE'!$G$5:$G$458,1,'BASE_CIERRE'!$H$5:$H$458,"Diagnosis",'BASE_CIERRE'!$J$5:$J$458,"Not specified",'BASE_CIERRE'!$I$5:$I$458,"Not specified",'BASE_CIERRE'!$U$5:$U$458,"Not reported in assessed sources")</ns0:f>
        <ns0:v>1</ns0:v>
      </ns0:c>
      <ns0:c r="H80" s="29">
        <ns0:f>COUNTIFS('BASE_CIERRE'!$G$5:$G$458,1,'BASE_CIERRE'!$H$5:$H$458,"Diagnosis",'BASE_CIERRE'!$J$5:$J$458,"Not specified",'BASE_CIERRE'!$I$5:$I$458,"Not specified",'BASE_CIERRE'!$U$5:$U$458,"Not ascertainable")</ns0:f>
        <ns0:v>0</ns0:v>
      </ns0:c>
      <ns0:c r="I80" s="29">
        <ns0:f>SUM(F80:H80)</ns0:f>
        <ns0:v>1</ns0:v>
      </ns0:c>
      <ns0:c r="J80" s="32">
        <ns0:f>IFERROR(F80/I80,0)</ns0:f>
        <ns0:v>0</ns0:v>
      </ns0:c>
      <ns0:c r="K80" s="32">
        <ns0:f>IFERROR(F80/(I80-H80),0)</ns0:f>
        <ns0:v>0</ns0:v>
      </ns0:c>
      <ns0:c r="L80" s="21" t="inlineStr">
        <ns0:is>
          <ns0:t>94</ns0:t>
        </ns0:is>
      </ns0:c>
    </ns0:row>
    <ns0:row r="81" ht="32" customHeight="1">
      <ns0:c r="A81" s="19" t="inlineStr">
        <ns0:is>
          <ns0:t>Diagnosis</ns0:t>
        </ns0:is>
      </ns0:c>
      <ns0:c r="B81" s="19" t="inlineStr">
        <ns0:is>
          <ns0:t>Other biomedical/digital data</ns0:t>
        </ns0:is>
      </ns0:c>
      <ns0:c r="C81" s="19" t="inlineStr">
        <ns0:is>
          <ns0:t>Machine Learning</ns0:t>
        </ns0:is>
      </ns0:c>
      <ns0:c r="D81" s="19" t="inlineStr">
        <ns0:is>
          <ns0:t>External validation</ns0:t>
        </ns0:is>
      </ns0:c>
      <ns0:c r="E81" s="19" t="inlineStr">
        <ns0:is>
          <ns0:t>external_validation</ns0:t>
        </ns0:is>
      </ns0:c>
      <ns0:c r="F81" s="27">
        <ns0:f>COUNTIFS('BASE_CIERRE'!$G$5:$G$458,1,'BASE_CIERRE'!$H$5:$H$458,"Diagnosis",'BASE_CIERRE'!$J$5:$J$458,"Other biomedical/digital data",'BASE_CIERRE'!$I$5:$I$458,"Machine Learning",'BASE_CIERRE'!$Q$5:$Q$458,"Reported")</ns0:f>
        <ns0:v>0</ns0:v>
      </ns0:c>
      <ns0:c r="G81" s="27">
        <ns0:f>COUNTIFS('BASE_CIERRE'!$G$5:$G$458,1,'BASE_CIERRE'!$H$5:$H$458,"Diagnosis",'BASE_CIERRE'!$J$5:$J$458,"Other biomedical/digital data",'BASE_CIERRE'!$I$5:$I$458,"Machine Learning",'BASE_CIERRE'!$Q$5:$Q$458,"Not reported in assessed sources")</ns0:f>
        <ns0:v>1</ns0:v>
      </ns0:c>
      <ns0:c r="H81" s="27">
        <ns0:f>COUNTIFS('BASE_CIERRE'!$G$5:$G$458,1,'BASE_CIERRE'!$H$5:$H$458,"Diagnosis",'BASE_CIERRE'!$J$5:$J$458,"Other biomedical/digital data",'BASE_CIERRE'!$I$5:$I$458,"Machine Learning",'BASE_CIERRE'!$Q$5:$Q$458,"Not ascertainable")</ns0:f>
        <ns0:v>0</ns0:v>
      </ns0:c>
      <ns0:c r="I81" s="27">
        <ns0:f>SUM(F81:H81)</ns0:f>
        <ns0:v>1</ns0:v>
      </ns0:c>
      <ns0:c r="J81" s="31">
        <ns0:f>IFERROR(F81/I81,0)</ns0:f>
        <ns0:v>0</ns0:v>
      </ns0:c>
      <ns0:c r="K81" s="31">
        <ns0:f>IFERROR(F81/(I81-H81),0)</ns0:f>
        <ns0:v>0</ns0:v>
      </ns0:c>
      <ns0:c r="L81" s="19" t="inlineStr">
        <ns0:is>
          <ns0:t>231</ns0:t>
        </ns0:is>
      </ns0:c>
    </ns0:row>
    <ns0:row r="82" ht="32" customHeight="1">
      <ns0:c r="A82" s="21" t="inlineStr">
        <ns0:is>
          <ns0:t>Diagnosis</ns0:t>
        </ns0:is>
      </ns0:c>
      <ns0:c r="B82" s="21" t="inlineStr">
        <ns0:is>
          <ns0:t>Other biomedical/digital data</ns0:t>
        </ns0:is>
      </ns0:c>
      <ns0:c r="C82" s="21" t="inlineStr">
        <ns0:is>
          <ns0:t>Machine Learning</ns0:t>
        </ns0:is>
      </ns0:c>
      <ns0:c r="D82" s="21" t="inlineStr">
        <ns0:is>
          <ns0:t>Multisource integration</ns0:t>
        </ns0:is>
      </ns0:c>
      <ns0:c r="E82" s="21" t="inlineStr">
        <ns0:is>
          <ns0:t>multisource_integration</ns0:t>
        </ns0:is>
      </ns0:c>
      <ns0:c r="F82" s="29">
        <ns0:f>COUNTIFS('BASE_CIERRE'!$G$5:$G$458,1,'BASE_CIERRE'!$H$5:$H$458,"Diagnosis",'BASE_CIERRE'!$J$5:$J$458,"Other biomedical/digital data",'BASE_CIERRE'!$I$5:$I$458,"Machine Learning",'BASE_CIERRE'!$R$5:$R$458,"Reported")</ns0:f>
        <ns0:v>0</ns0:v>
      </ns0:c>
      <ns0:c r="G82" s="29">
        <ns0:f>COUNTIFS('BASE_CIERRE'!$G$5:$G$458,1,'BASE_CIERRE'!$H$5:$H$458,"Diagnosis",'BASE_CIERRE'!$J$5:$J$458,"Other biomedical/digital data",'BASE_CIERRE'!$I$5:$I$458,"Machine Learning",'BASE_CIERRE'!$R$5:$R$458,"Not reported in assessed sources")</ns0:f>
        <ns0:v>1</ns0:v>
      </ns0:c>
      <ns0:c r="H82" s="29">
        <ns0:f>COUNTIFS('BASE_CIERRE'!$G$5:$G$458,1,'BASE_CIERRE'!$H$5:$H$458,"Diagnosis",'BASE_CIERRE'!$J$5:$J$458,"Other biomedical/digital data",'BASE_CIERRE'!$I$5:$I$458,"Machine Learning",'BASE_CIERRE'!$R$5:$R$458,"Not ascertainable")</ns0:f>
        <ns0:v>0</ns0:v>
      </ns0:c>
      <ns0:c r="I82" s="29">
        <ns0:f>SUM(F82:H82)</ns0:f>
        <ns0:v>1</ns0:v>
      </ns0:c>
      <ns0:c r="J82" s="32">
        <ns0:f>IFERROR(F82/I82,0)</ns0:f>
        <ns0:v>0</ns0:v>
      </ns0:c>
      <ns0:c r="K82" s="32">
        <ns0:f>IFERROR(F82/(I82-H82),0)</ns0:f>
        <ns0:v>0</ns0:v>
      </ns0:c>
      <ns0:c r="L82" s="21" t="inlineStr">
        <ns0:is>
          <ns0:t>231</ns0:t>
        </ns0:is>
      </ns0:c>
    </ns0:row>
    <ns0:row r="83" ht="32" customHeight="1">
      <ns0:c r="A83" s="19" t="inlineStr">
        <ns0:is>
          <ns0:t>Diagnosis</ns0:t>
        </ns0:is>
      </ns0:c>
      <ns0:c r="B83" s="19" t="inlineStr">
        <ns0:is>
          <ns0:t>Other biomedical/digital data</ns0:t>
        </ns0:is>
      </ns0:c>
      <ns0:c r="C83" s="19" t="inlineStr">
        <ns0:is>
          <ns0:t>Machine Learning</ns0:t>
        </ns0:is>
      </ns0:c>
      <ns0:c r="D83" s="19" t="inlineStr">
        <ns0:is>
          <ns0:t>Explicit explainability (broad)</ns0:t>
        </ns0:is>
      </ns0:c>
      <ns0:c r="E83" s="19" t="inlineStr">
        <ns0:is>
          <ns0:t>xai_broad</ns0:t>
        </ns0:is>
      </ns0:c>
      <ns0:c r="F83" s="27">
        <ns0:f>COUNTIFS('BASE_CIERRE'!$G$5:$G$458,1,'BASE_CIERRE'!$H$5:$H$458,"Diagnosis",'BASE_CIERRE'!$J$5:$J$458,"Other biomedical/digital data",'BASE_CIERRE'!$I$5:$I$458,"Machine Learning",'BASE_CIERRE'!$S$5:$S$458,"Reported")</ns0:f>
        <ns0:v>0</ns0:v>
      </ns0:c>
      <ns0:c r="G83" s="27">
        <ns0:f>COUNTIFS('BASE_CIERRE'!$G$5:$G$458,1,'BASE_CIERRE'!$H$5:$H$458,"Diagnosis",'BASE_CIERRE'!$J$5:$J$458,"Other biomedical/digital data",'BASE_CIERRE'!$I$5:$I$458,"Machine Learning",'BASE_CIERRE'!$S$5:$S$458,"Not reported in assessed sources")</ns0:f>
        <ns0:v>1</ns0:v>
      </ns0:c>
      <ns0:c r="H83" s="27">
        <ns0:f>COUNTIFS('BASE_CIERRE'!$G$5:$G$458,1,'BASE_CIERRE'!$H$5:$H$458,"Diagnosis",'BASE_CIERRE'!$J$5:$J$458,"Other biomedical/digital data",'BASE_CIERRE'!$I$5:$I$458,"Machine Learning",'BASE_CIERRE'!$S$5:$S$458,"Not ascertainable")</ns0:f>
        <ns0:v>0</ns0:v>
      </ns0:c>
      <ns0:c r="I83" s="27">
        <ns0:f>SUM(F83:H83)</ns0:f>
        <ns0:v>1</ns0:v>
      </ns0:c>
      <ns0:c r="J83" s="31">
        <ns0:f>IFERROR(F83/I83,0)</ns0:f>
        <ns0:v>0</ns0:v>
      </ns0:c>
      <ns0:c r="K83" s="31">
        <ns0:f>IFERROR(F83/(I83-H83),0)</ns0:f>
        <ns0:v>0</ns0:v>
      </ns0:c>
      <ns0:c r="L83" s="19" t="inlineStr">
        <ns0:is>
          <ns0:t>231</ns0:t>
        </ns0:is>
      </ns0:c>
    </ns0:row>
    <ns0:row r="84" ht="32" customHeight="1">
      <ns0:c r="A84" s="21" t="inlineStr">
        <ns0:is>
          <ns0:t>Diagnosis</ns0:t>
        </ns0:is>
      </ns0:c>
      <ns0:c r="B84" s="21" t="inlineStr">
        <ns0:is>
          <ns0:t>Other biomedical/digital data</ns0:t>
        </ns0:is>
      </ns0:c>
      <ns0:c r="C84" s="21" t="inlineStr">
        <ns0:is>
          <ns0:t>Machine Learning</ns0:t>
        </ns0:is>
      </ns0:c>
      <ns0:c r="D84" s="21" t="inlineStr">
        <ns0:is>
          <ns0:t>Cross-site evaluation</ns0:t>
        </ns0:is>
      </ns0:c>
      <ns0:c r="E84" s="21" t="inlineStr">
        <ns0:is>
          <ns0:t>cross_site_robustness</ns0:t>
        </ns0:is>
      </ns0:c>
      <ns0:c r="F84" s="29">
        <ns0:f>COUNTIFS('BASE_CIERRE'!$G$5:$G$458,1,'BASE_CIERRE'!$H$5:$H$458,"Diagnosis",'BASE_CIERRE'!$J$5:$J$458,"Other biomedical/digital data",'BASE_CIERRE'!$I$5:$I$458,"Machine Learning",'BASE_CIERRE'!$U$5:$U$458,"Reported")</ns0:f>
        <ns0:v>0</ns0:v>
      </ns0:c>
      <ns0:c r="G84" s="29">
        <ns0:f>COUNTIFS('BASE_CIERRE'!$G$5:$G$458,1,'BASE_CIERRE'!$H$5:$H$458,"Diagnosis",'BASE_CIERRE'!$J$5:$J$458,"Other biomedical/digital data",'BASE_CIERRE'!$I$5:$I$458,"Machine Learning",'BASE_CIERRE'!$U$5:$U$458,"Not reported in assessed sources")</ns0:f>
        <ns0:v>1</ns0:v>
      </ns0:c>
      <ns0:c r="H84" s="29">
        <ns0:f>COUNTIFS('BASE_CIERRE'!$G$5:$G$458,1,'BASE_CIERRE'!$H$5:$H$458,"Diagnosis",'BASE_CIERRE'!$J$5:$J$458,"Other biomedical/digital data",'BASE_CIERRE'!$I$5:$I$458,"Machine Learning",'BASE_CIERRE'!$U$5:$U$458,"Not ascertainable")</ns0:f>
        <ns0:v>0</ns0:v>
      </ns0:c>
      <ns0:c r="I84" s="29">
        <ns0:f>SUM(F84:H84)</ns0:f>
        <ns0:v>1</ns0:v>
      </ns0:c>
      <ns0:c r="J84" s="32">
        <ns0:f>IFERROR(F84/I84,0)</ns0:f>
        <ns0:v>0</ns0:v>
      </ns0:c>
      <ns0:c r="K84" s="32">
        <ns0:f>IFERROR(F84/(I84-H84),0)</ns0:f>
        <ns0:v>0</ns0:v>
      </ns0:c>
      <ns0:c r="L84" s="21" t="inlineStr">
        <ns0:is>
          <ns0:t>231</ns0:t>
        </ns0:is>
      </ns0:c>
    </ns0:row>
    <ns0:row r="85" ht="32" customHeight="1">
      <ns0:c r="A85" s="19" t="inlineStr">
        <ns0:is>
          <ns0:t>Diagnosis</ns0:t>
        </ns0:is>
      </ns0:c>
      <ns0:c r="B85" s="19" t="inlineStr">
        <ns0:is>
          <ns0:t>Physiological signals</ns0:t>
        </ns0:is>
      </ns0:c>
      <ns0:c r="C85" s="19" t="inlineStr">
        <ns0:is>
          <ns0:t>Deep Learning</ns0:t>
        </ns0:is>
      </ns0:c>
      <ns0:c r="D85" s="19" t="inlineStr">
        <ns0:is>
          <ns0:t>External validation</ns0:t>
        </ns0:is>
      </ns0:c>
      <ns0:c r="E85" s="19" t="inlineStr">
        <ns0:is>
          <ns0:t>external_validation</ns0:t>
        </ns0:is>
      </ns0:c>
      <ns0:c r="F85" s="27">
        <ns0:f>COUNTIFS('BASE_CIERRE'!$G$5:$G$458,1,'BASE_CIERRE'!$H$5:$H$458,"Diagnosis",'BASE_CIERRE'!$J$5:$J$458,"Physiological signals",'BASE_CIERRE'!$I$5:$I$458,"Deep Learning",'BASE_CIERRE'!$Q$5:$Q$458,"Reported")</ns0:f>
        <ns0:v>0</ns0:v>
      </ns0:c>
      <ns0:c r="G85" s="27">
        <ns0:f>COUNTIFS('BASE_CIERRE'!$G$5:$G$458,1,'BASE_CIERRE'!$H$5:$H$458,"Diagnosis",'BASE_CIERRE'!$J$5:$J$458,"Physiological signals",'BASE_CIERRE'!$I$5:$I$458,"Deep Learning",'BASE_CIERRE'!$Q$5:$Q$458,"Not reported in assessed sources")</ns0:f>
        <ns0:v>16</ns0:v>
      </ns0:c>
      <ns0:c r="H85" s="27">
        <ns0:f>COUNTIFS('BASE_CIERRE'!$G$5:$G$458,1,'BASE_CIERRE'!$H$5:$H$458,"Diagnosis",'BASE_CIERRE'!$J$5:$J$458,"Physiological signals",'BASE_CIERRE'!$I$5:$I$458,"Deep Learning",'BASE_CIERRE'!$Q$5:$Q$458,"Not ascertainable")</ns0:f>
        <ns0:v>1</ns0:v>
      </ns0:c>
      <ns0:c r="I85" s="27">
        <ns0:f>SUM(F85:H85)</ns0:f>
        <ns0:v>17</ns0:v>
      </ns0:c>
      <ns0:c r="J85" s="31">
        <ns0:f>IFERROR(F85/I85,0)</ns0:f>
        <ns0:v>0</ns0:v>
      </ns0:c>
      <ns0:c r="K85" s="31">
        <ns0:f>IFERROR(F85/(I85-H85),0)</ns0:f>
        <ns0:v>0</ns0:v>
      </ns0:c>
      <ns0:c r="L85" s="19" t="inlineStr">
        <ns0:is>
          <ns0:t>52; 69; 78; 98; 220; 240; 255; 280; new_307; new_81; new_162; new_246; new_296; new_323; new_326; new_349; new_239</ns0:t>
        </ns0:is>
      </ns0:c>
    </ns0:row>
    <ns0:row r="86" ht="32" customHeight="1">
      <ns0:c r="A86" s="21" t="inlineStr">
        <ns0:is>
          <ns0:t>Diagnosis</ns0:t>
        </ns0:is>
      </ns0:c>
      <ns0:c r="B86" s="21" t="inlineStr">
        <ns0:is>
          <ns0:t>Physiological signals</ns0:t>
        </ns0:is>
      </ns0:c>
      <ns0:c r="C86" s="21" t="inlineStr">
        <ns0:is>
          <ns0:t>Deep Learning</ns0:t>
        </ns0:is>
      </ns0:c>
      <ns0:c r="D86" s="21" t="inlineStr">
        <ns0:is>
          <ns0:t>Multisource integration</ns0:t>
        </ns0:is>
      </ns0:c>
      <ns0:c r="E86" s="21" t="inlineStr">
        <ns0:is>
          <ns0:t>multisource_integration</ns0:t>
        </ns0:is>
      </ns0:c>
      <ns0:c r="F86" s="29">
        <ns0:f>COUNTIFS('BASE_CIERRE'!$G$5:$G$458,1,'BASE_CIERRE'!$H$5:$H$458,"Diagnosis",'BASE_CIERRE'!$J$5:$J$458,"Physiological signals",'BASE_CIERRE'!$I$5:$I$458,"Deep Learning",'BASE_CIERRE'!$R$5:$R$458,"Reported")</ns0:f>
        <ns0:v>0</ns0:v>
      </ns0:c>
      <ns0:c r="G86" s="29">
        <ns0:f>COUNTIFS('BASE_CIERRE'!$G$5:$G$458,1,'BASE_CIERRE'!$H$5:$H$458,"Diagnosis",'BASE_CIERRE'!$J$5:$J$458,"Physiological signals",'BASE_CIERRE'!$I$5:$I$458,"Deep Learning",'BASE_CIERRE'!$R$5:$R$458,"Not reported in assessed sources")</ns0:f>
        <ns0:v>17</ns0:v>
      </ns0:c>
      <ns0:c r="H86" s="29">
        <ns0:f>COUNTIFS('BASE_CIERRE'!$G$5:$G$458,1,'BASE_CIERRE'!$H$5:$H$458,"Diagnosis",'BASE_CIERRE'!$J$5:$J$458,"Physiological signals",'BASE_CIERRE'!$I$5:$I$458,"Deep Learning",'BASE_CIERRE'!$R$5:$R$458,"Not ascertainable")</ns0:f>
        <ns0:v>0</ns0:v>
      </ns0:c>
      <ns0:c r="I86" s="29">
        <ns0:f>SUM(F86:H86)</ns0:f>
        <ns0:v>17</ns0:v>
      </ns0:c>
      <ns0:c r="J86" s="32">
        <ns0:f>IFERROR(F86/I86,0)</ns0:f>
        <ns0:v>0</ns0:v>
      </ns0:c>
      <ns0:c r="K86" s="32">
        <ns0:f>IFERROR(F86/(I86-H86),0)</ns0:f>
        <ns0:v>0</ns0:v>
      </ns0:c>
      <ns0:c r="L86" s="21" t="inlineStr">
        <ns0:is>
          <ns0:t>52; 69; 78; 98; 220; 240; 255; 280; new_307; new_81; new_162; new_246; new_296; new_323; new_326; new_349; new_239</ns0:t>
        </ns0:is>
      </ns0:c>
    </ns0:row>
    <ns0:row r="87" ht="32" customHeight="1">
      <ns0:c r="A87" s="19" t="inlineStr">
        <ns0:is>
          <ns0:t>Diagnosis</ns0:t>
        </ns0:is>
      </ns0:c>
      <ns0:c r="B87" s="19" t="inlineStr">
        <ns0:is>
          <ns0:t>Physiological signals</ns0:t>
        </ns0:is>
      </ns0:c>
      <ns0:c r="C87" s="19" t="inlineStr">
        <ns0:is>
          <ns0:t>Deep Learning</ns0:t>
        </ns0:is>
      </ns0:c>
      <ns0:c r="D87" s="19" t="inlineStr">
        <ns0:is>
          <ns0:t>Explicit explainability (broad)</ns0:t>
        </ns0:is>
      </ns0:c>
      <ns0:c r="E87" s="19" t="inlineStr">
        <ns0:is>
          <ns0:t>xai_broad</ns0:t>
        </ns0:is>
      </ns0:c>
      <ns0:c r="F87" s="27">
        <ns0:f>COUNTIFS('BASE_CIERRE'!$G$5:$G$458,1,'BASE_CIERRE'!$H$5:$H$458,"Diagnosis",'BASE_CIERRE'!$J$5:$J$458,"Physiological signals",'BASE_CIERRE'!$I$5:$I$458,"Deep Learning",'BASE_CIERRE'!$S$5:$S$458,"Reported")</ns0:f>
        <ns0:v>2</ns0:v>
      </ns0:c>
      <ns0:c r="G87" s="27">
        <ns0:f>COUNTIFS('BASE_CIERRE'!$G$5:$G$458,1,'BASE_CIERRE'!$H$5:$H$458,"Diagnosis",'BASE_CIERRE'!$J$5:$J$458,"Physiological signals",'BASE_CIERRE'!$I$5:$I$458,"Deep Learning",'BASE_CIERRE'!$S$5:$S$458,"Not reported in assessed sources")</ns0:f>
        <ns0:v>14</ns0:v>
      </ns0:c>
      <ns0:c r="H87" s="27">
        <ns0:f>COUNTIFS('BASE_CIERRE'!$G$5:$G$458,1,'BASE_CIERRE'!$H$5:$H$458,"Diagnosis",'BASE_CIERRE'!$J$5:$J$458,"Physiological signals",'BASE_CIERRE'!$I$5:$I$458,"Deep Learning",'BASE_CIERRE'!$S$5:$S$458,"Not ascertainable")</ns0:f>
        <ns0:v>1</ns0:v>
      </ns0:c>
      <ns0:c r="I87" s="27">
        <ns0:f>SUM(F87:H87)</ns0:f>
        <ns0:v>17</ns0:v>
      </ns0:c>
      <ns0:c r="J87" s="31">
        <ns0:f>IFERROR(F87/I87,0)</ns0:f>
        <ns0:v>0.11764705882352941</ns0:v>
      </ns0:c>
      <ns0:c r="K87" s="31">
        <ns0:f>IFERROR(F87/(I87-H87),0)</ns0:f>
        <ns0:v>0.125</ns0:v>
      </ns0:c>
      <ns0:c r="L87" s="19" t="inlineStr">
        <ns0:is>
          <ns0:t>52; 69; 78; 98; 220; 240; 255; 280; new_307; new_81; new_162; new_246; new_296; new_323; new_326; new_349; new_239</ns0:t>
        </ns0:is>
      </ns0:c>
    </ns0:row>
    <ns0:row r="88" ht="32" customHeight="1">
      <ns0:c r="A88" s="21" t="inlineStr">
        <ns0:is>
          <ns0:t>Diagnosis</ns0:t>
        </ns0:is>
      </ns0:c>
      <ns0:c r="B88" s="21" t="inlineStr">
        <ns0:is>
          <ns0:t>Physiological signals</ns0:t>
        </ns0:is>
      </ns0:c>
      <ns0:c r="C88" s="21" t="inlineStr">
        <ns0:is>
          <ns0:t>Deep Learning</ns0:t>
        </ns0:is>
      </ns0:c>
      <ns0:c r="D88" s="21" t="inlineStr">
        <ns0:is>
          <ns0:t>Cross-site evaluation</ns0:t>
        </ns0:is>
      </ns0:c>
      <ns0:c r="E88" s="21" t="inlineStr">
        <ns0:is>
          <ns0:t>cross_site_robustness</ns0:t>
        </ns0:is>
      </ns0:c>
      <ns0:c r="F88" s="29">
        <ns0:f>COUNTIFS('BASE_CIERRE'!$G$5:$G$458,1,'BASE_CIERRE'!$H$5:$H$458,"Diagnosis",'BASE_CIERRE'!$J$5:$J$458,"Physiological signals",'BASE_CIERRE'!$I$5:$I$458,"Deep Learning",'BASE_CIERRE'!$U$5:$U$458,"Reported")</ns0:f>
        <ns0:v>0</ns0:v>
      </ns0:c>
      <ns0:c r="G88" s="29">
        <ns0:f>COUNTIFS('BASE_CIERRE'!$G$5:$G$458,1,'BASE_CIERRE'!$H$5:$H$458,"Diagnosis",'BASE_CIERRE'!$J$5:$J$458,"Physiological signals",'BASE_CIERRE'!$I$5:$I$458,"Deep Learning",'BASE_CIERRE'!$U$5:$U$458,"Not reported in assessed sources")</ns0:f>
        <ns0:v>17</ns0:v>
      </ns0:c>
      <ns0:c r="H88" s="29">
        <ns0:f>COUNTIFS('BASE_CIERRE'!$G$5:$G$458,1,'BASE_CIERRE'!$H$5:$H$458,"Diagnosis",'BASE_CIERRE'!$J$5:$J$458,"Physiological signals",'BASE_CIERRE'!$I$5:$I$458,"Deep Learning",'BASE_CIERRE'!$U$5:$U$458,"Not ascertainable")</ns0:f>
        <ns0:v>0</ns0:v>
      </ns0:c>
      <ns0:c r="I88" s="29">
        <ns0:f>SUM(F88:H88)</ns0:f>
        <ns0:v>17</ns0:v>
      </ns0:c>
      <ns0:c r="J88" s="32">
        <ns0:f>IFERROR(F88/I88,0)</ns0:f>
        <ns0:v>0</ns0:v>
      </ns0:c>
      <ns0:c r="K88" s="32">
        <ns0:f>IFERROR(F88/(I88-H88),0)</ns0:f>
        <ns0:v>0</ns0:v>
      </ns0:c>
      <ns0:c r="L88" s="21" t="inlineStr">
        <ns0:is>
          <ns0:t>52; 69; 78; 98; 220; 240; 255; 280; new_307; new_81; new_162; new_246; new_296; new_323; new_326; new_349; new_239</ns0:t>
        </ns0:is>
      </ns0:c>
    </ns0:row>
    <ns0:row r="89" ht="32" customHeight="1">
      <ns0:c r="A89" s="19" t="inlineStr">
        <ns0:is>
          <ns0:t>Diagnosis</ns0:t>
        </ns0:is>
      </ns0:c>
      <ns0:c r="B89" s="19" t="inlineStr">
        <ns0:is>
          <ns0:t>Physiological signals</ns0:t>
        </ns0:is>
      </ns0:c>
      <ns0:c r="C89" s="19" t="inlineStr">
        <ns0:is>
          <ns0:t>Hybrid</ns0:t>
        </ns0:is>
      </ns0:c>
      <ns0:c r="D89" s="19" t="inlineStr">
        <ns0:is>
          <ns0:t>External validation</ns0:t>
        </ns0:is>
      </ns0:c>
      <ns0:c r="E89" s="19" t="inlineStr">
        <ns0:is>
          <ns0:t>external_validation</ns0:t>
        </ns0:is>
      </ns0:c>
      <ns0:c r="F89" s="27">
        <ns0:f>COUNTIFS('BASE_CIERRE'!$G$5:$G$458,1,'BASE_CIERRE'!$H$5:$H$458,"Diagnosis",'BASE_CIERRE'!$J$5:$J$458,"Physiological signals",'BASE_CIERRE'!$I$5:$I$458,"Hybrid",'BASE_CIERRE'!$Q$5:$Q$458,"Reported")</ns0:f>
        <ns0:v>0</ns0:v>
      </ns0:c>
      <ns0:c r="G89" s="27">
        <ns0:f>COUNTIFS('BASE_CIERRE'!$G$5:$G$458,1,'BASE_CIERRE'!$H$5:$H$458,"Diagnosis",'BASE_CIERRE'!$J$5:$J$458,"Physiological signals",'BASE_CIERRE'!$I$5:$I$458,"Hybrid",'BASE_CIERRE'!$Q$5:$Q$458,"Not reported in assessed sources")</ns0:f>
        <ns0:v>3</ns0:v>
      </ns0:c>
      <ns0:c r="H89" s="27">
        <ns0:f>COUNTIFS('BASE_CIERRE'!$G$5:$G$458,1,'BASE_CIERRE'!$H$5:$H$458,"Diagnosis",'BASE_CIERRE'!$J$5:$J$458,"Physiological signals",'BASE_CIERRE'!$I$5:$I$458,"Hybrid",'BASE_CIERRE'!$Q$5:$Q$458,"Not ascertainable")</ns0:f>
        <ns0:v>0</ns0:v>
      </ns0:c>
      <ns0:c r="I89" s="27">
        <ns0:f>SUM(F89:H89)</ns0:f>
        <ns0:v>3</ns0:v>
      </ns0:c>
      <ns0:c r="J89" s="31">
        <ns0:f>IFERROR(F89/I89,0)</ns0:f>
        <ns0:v>0</ns0:v>
      </ns0:c>
      <ns0:c r="K89" s="31">
        <ns0:f>IFERROR(F89/(I89-H89),0)</ns0:f>
        <ns0:v>0</ns0:v>
      </ns0:c>
      <ns0:c r="L89" s="19" t="inlineStr">
        <ns0:is>
          <ns0:t>159; new_74; new_252</ns0:t>
        </ns0:is>
      </ns0:c>
    </ns0:row>
    <ns0:row r="90" ht="32" customHeight="1">
      <ns0:c r="A90" s="21" t="inlineStr">
        <ns0:is>
          <ns0:t>Diagnosis</ns0:t>
        </ns0:is>
      </ns0:c>
      <ns0:c r="B90" s="21" t="inlineStr">
        <ns0:is>
          <ns0:t>Physiological signals</ns0:t>
        </ns0:is>
      </ns0:c>
      <ns0:c r="C90" s="21" t="inlineStr">
        <ns0:is>
          <ns0:t>Hybrid</ns0:t>
        </ns0:is>
      </ns0:c>
      <ns0:c r="D90" s="21" t="inlineStr">
        <ns0:is>
          <ns0:t>Multisource integration</ns0:t>
        </ns0:is>
      </ns0:c>
      <ns0:c r="E90" s="21" t="inlineStr">
        <ns0:is>
          <ns0:t>multisource_integration</ns0:t>
        </ns0:is>
      </ns0:c>
      <ns0:c r="F90" s="29">
        <ns0:f>COUNTIFS('BASE_CIERRE'!$G$5:$G$458,1,'BASE_CIERRE'!$H$5:$H$458,"Diagnosis",'BASE_CIERRE'!$J$5:$J$458,"Physiological signals",'BASE_CIERRE'!$I$5:$I$458,"Hybrid",'BASE_CIERRE'!$R$5:$R$458,"Reported")</ns0:f>
        <ns0:v>0</ns0:v>
      </ns0:c>
      <ns0:c r="G90" s="29">
        <ns0:f>COUNTIFS('BASE_CIERRE'!$G$5:$G$458,1,'BASE_CIERRE'!$H$5:$H$458,"Diagnosis",'BASE_CIERRE'!$J$5:$J$458,"Physiological signals",'BASE_CIERRE'!$I$5:$I$458,"Hybrid",'BASE_CIERRE'!$R$5:$R$458,"Not reported in assessed sources")</ns0:f>
        <ns0:v>3</ns0:v>
      </ns0:c>
      <ns0:c r="H90" s="29">
        <ns0:f>COUNTIFS('BASE_CIERRE'!$G$5:$G$458,1,'BASE_CIERRE'!$H$5:$H$458,"Diagnosis",'BASE_CIERRE'!$J$5:$J$458,"Physiological signals",'BASE_CIERRE'!$I$5:$I$458,"Hybrid",'BASE_CIERRE'!$R$5:$R$458,"Not ascertainable")</ns0:f>
        <ns0:v>0</ns0:v>
      </ns0:c>
      <ns0:c r="I90" s="29">
        <ns0:f>SUM(F90:H90)</ns0:f>
        <ns0:v>3</ns0:v>
      </ns0:c>
      <ns0:c r="J90" s="32">
        <ns0:f>IFERROR(F90/I90,0)</ns0:f>
        <ns0:v>0</ns0:v>
      </ns0:c>
      <ns0:c r="K90" s="32">
        <ns0:f>IFERROR(F90/(I90-H90),0)</ns0:f>
        <ns0:v>0</ns0:v>
      </ns0:c>
      <ns0:c r="L90" s="21" t="inlineStr">
        <ns0:is>
          <ns0:t>159; new_74; new_252</ns0:t>
        </ns0:is>
      </ns0:c>
    </ns0:row>
    <ns0:row r="91" ht="32" customHeight="1">
      <ns0:c r="A91" s="19" t="inlineStr">
        <ns0:is>
          <ns0:t>Diagnosis</ns0:t>
        </ns0:is>
      </ns0:c>
      <ns0:c r="B91" s="19" t="inlineStr">
        <ns0:is>
          <ns0:t>Physiological signals</ns0:t>
        </ns0:is>
      </ns0:c>
      <ns0:c r="C91" s="19" t="inlineStr">
        <ns0:is>
          <ns0:t>Hybrid</ns0:t>
        </ns0:is>
      </ns0:c>
      <ns0:c r="D91" s="19" t="inlineStr">
        <ns0:is>
          <ns0:t>Explicit explainability (broad)</ns0:t>
        </ns0:is>
      </ns0:c>
      <ns0:c r="E91" s="19" t="inlineStr">
        <ns0:is>
          <ns0:t>xai_broad</ns0:t>
        </ns0:is>
      </ns0:c>
      <ns0:c r="F91" s="27">
        <ns0:f>COUNTIFS('BASE_CIERRE'!$G$5:$G$458,1,'BASE_CIERRE'!$H$5:$H$458,"Diagnosis",'BASE_CIERRE'!$J$5:$J$458,"Physiological signals",'BASE_CIERRE'!$I$5:$I$458,"Hybrid",'BASE_CIERRE'!$S$5:$S$458,"Reported")</ns0:f>
        <ns0:v>0</ns0:v>
      </ns0:c>
      <ns0:c r="G91" s="27">
        <ns0:f>COUNTIFS('BASE_CIERRE'!$G$5:$G$458,1,'BASE_CIERRE'!$H$5:$H$458,"Diagnosis",'BASE_CIERRE'!$J$5:$J$458,"Physiological signals",'BASE_CIERRE'!$I$5:$I$458,"Hybrid",'BASE_CIERRE'!$S$5:$S$458,"Not reported in assessed sources")</ns0:f>
        <ns0:v>3</ns0:v>
      </ns0:c>
      <ns0:c r="H91" s="27">
        <ns0:f>COUNTIFS('BASE_CIERRE'!$G$5:$G$458,1,'BASE_CIERRE'!$H$5:$H$458,"Diagnosis",'BASE_CIERRE'!$J$5:$J$458,"Physiological signals",'BASE_CIERRE'!$I$5:$I$458,"Hybrid",'BASE_CIERRE'!$S$5:$S$458,"Not ascertainable")</ns0:f>
        <ns0:v>0</ns0:v>
      </ns0:c>
      <ns0:c r="I91" s="27">
        <ns0:f>SUM(F91:H91)</ns0:f>
        <ns0:v>3</ns0:v>
      </ns0:c>
      <ns0:c r="J91" s="31">
        <ns0:f>IFERROR(F91/I91,0)</ns0:f>
        <ns0:v>0</ns0:v>
      </ns0:c>
      <ns0:c r="K91" s="31">
        <ns0:f>IFERROR(F91/(I91-H91),0)</ns0:f>
        <ns0:v>0</ns0:v>
      </ns0:c>
      <ns0:c r="L91" s="19" t="inlineStr">
        <ns0:is>
          <ns0:t>159; new_74; new_252</ns0:t>
        </ns0:is>
      </ns0:c>
    </ns0:row>
    <ns0:row r="92" ht="32" customHeight="1">
      <ns0:c r="A92" s="21" t="inlineStr">
        <ns0:is>
          <ns0:t>Diagnosis</ns0:t>
        </ns0:is>
      </ns0:c>
      <ns0:c r="B92" s="21" t="inlineStr">
        <ns0:is>
          <ns0:t>Physiological signals</ns0:t>
        </ns0:is>
      </ns0:c>
      <ns0:c r="C92" s="21" t="inlineStr">
        <ns0:is>
          <ns0:t>Hybrid</ns0:t>
        </ns0:is>
      </ns0:c>
      <ns0:c r="D92" s="21" t="inlineStr">
        <ns0:is>
          <ns0:t>Cross-site evaluation</ns0:t>
        </ns0:is>
      </ns0:c>
      <ns0:c r="E92" s="21" t="inlineStr">
        <ns0:is>
          <ns0:t>cross_site_robustness</ns0:t>
        </ns0:is>
      </ns0:c>
      <ns0:c r="F92" s="29">
        <ns0:f>COUNTIFS('BASE_CIERRE'!$G$5:$G$458,1,'BASE_CIERRE'!$H$5:$H$458,"Diagnosis",'BASE_CIERRE'!$J$5:$J$458,"Physiological signals",'BASE_CIERRE'!$I$5:$I$458,"Hybrid",'BASE_CIERRE'!$U$5:$U$458,"Reported")</ns0:f>
        <ns0:v>0</ns0:v>
      </ns0:c>
      <ns0:c r="G92" s="29">
        <ns0:f>COUNTIFS('BASE_CIERRE'!$G$5:$G$458,1,'BASE_CIERRE'!$H$5:$H$458,"Diagnosis",'BASE_CIERRE'!$J$5:$J$458,"Physiological signals",'BASE_CIERRE'!$I$5:$I$458,"Hybrid",'BASE_CIERRE'!$U$5:$U$458,"Not reported in assessed sources")</ns0:f>
        <ns0:v>3</ns0:v>
      </ns0:c>
      <ns0:c r="H92" s="29">
        <ns0:f>COUNTIFS('BASE_CIERRE'!$G$5:$G$458,1,'BASE_CIERRE'!$H$5:$H$458,"Diagnosis",'BASE_CIERRE'!$J$5:$J$458,"Physiological signals",'BASE_CIERRE'!$I$5:$I$458,"Hybrid",'BASE_CIERRE'!$U$5:$U$458,"Not ascertainable")</ns0:f>
        <ns0:v>0</ns0:v>
      </ns0:c>
      <ns0:c r="I92" s="29">
        <ns0:f>SUM(F92:H92)</ns0:f>
        <ns0:v>3</ns0:v>
      </ns0:c>
      <ns0:c r="J92" s="32">
        <ns0:f>IFERROR(F92/I92,0)</ns0:f>
        <ns0:v>0</ns0:v>
      </ns0:c>
      <ns0:c r="K92" s="32">
        <ns0:f>IFERROR(F92/(I92-H92),0)</ns0:f>
        <ns0:v>0</ns0:v>
      </ns0:c>
      <ns0:c r="L92" s="21" t="inlineStr">
        <ns0:is>
          <ns0:t>159; new_74; new_252</ns0:t>
        </ns0:is>
      </ns0:c>
    </ns0:row>
    <ns0:row r="93" ht="32" customHeight="1">
      <ns0:c r="A93" s="19" t="inlineStr">
        <ns0:is>
          <ns0:t>Diagnosis</ns0:t>
        </ns0:is>
      </ns0:c>
      <ns0:c r="B93" s="19" t="inlineStr">
        <ns0:is>
          <ns0:t>Physiological signals</ns0:t>
        </ns0:is>
      </ns0:c>
      <ns0:c r="C93" s="19" t="inlineStr">
        <ns0:is>
          <ns0:t>Machine Learning</ns0:t>
        </ns0:is>
      </ns0:c>
      <ns0:c r="D93" s="19" t="inlineStr">
        <ns0:is>
          <ns0:t>External validation</ns0:t>
        </ns0:is>
      </ns0:c>
      <ns0:c r="E93" s="19" t="inlineStr">
        <ns0:is>
          <ns0:t>external_validation</ns0:t>
        </ns0:is>
      </ns0:c>
      <ns0:c r="F93" s="27">
        <ns0:f>COUNTIFS('BASE_CIERRE'!$G$5:$G$458,1,'BASE_CIERRE'!$H$5:$H$458,"Diagnosis",'BASE_CIERRE'!$J$5:$J$458,"Physiological signals",'BASE_CIERRE'!$I$5:$I$458,"Machine Learning",'BASE_CIERRE'!$Q$5:$Q$458,"Reported")</ns0:f>
        <ns0:v>0</ns0:v>
      </ns0:c>
      <ns0:c r="G93" s="27">
        <ns0:f>COUNTIFS('BASE_CIERRE'!$G$5:$G$458,1,'BASE_CIERRE'!$H$5:$H$458,"Diagnosis",'BASE_CIERRE'!$J$5:$J$458,"Physiological signals",'BASE_CIERRE'!$I$5:$I$458,"Machine Learning",'BASE_CIERRE'!$Q$5:$Q$458,"Not reported in assessed sources")</ns0:f>
        <ns0:v>14</ns0:v>
      </ns0:c>
      <ns0:c r="H93" s="27">
        <ns0:f>COUNTIFS('BASE_CIERRE'!$G$5:$G$458,1,'BASE_CIERRE'!$H$5:$H$458,"Diagnosis",'BASE_CIERRE'!$J$5:$J$458,"Physiological signals",'BASE_CIERRE'!$I$5:$I$458,"Machine Learning",'BASE_CIERRE'!$Q$5:$Q$458,"Not ascertainable")</ns0:f>
        <ns0:v>0</ns0:v>
      </ns0:c>
      <ns0:c r="I93" s="27">
        <ns0:f>SUM(F93:H93)</ns0:f>
        <ns0:v>14</ns0:v>
      </ns0:c>
      <ns0:c r="J93" s="31">
        <ns0:f>IFERROR(F93/I93,0)</ns0:f>
        <ns0:v>0</ns0:v>
      </ns0:c>
      <ns0:c r="K93" s="31">
        <ns0:f>IFERROR(F93/(I93-H93),0)</ns0:f>
        <ns0:v>0</ns0:v>
      </ns0:c>
      <ns0:c r="L93" s="19" t="inlineStr">
        <ns0:is>
          <ns0:t>81; 122; 202; 232; 233; 275; new_210; new_352; new_59; new_209; new_213; new_223; new_242; new_287</ns0:t>
        </ns0:is>
      </ns0:c>
    </ns0:row>
    <ns0:row r="94" ht="32" customHeight="1">
      <ns0:c r="A94" s="21" t="inlineStr">
        <ns0:is>
          <ns0:t>Diagnosis</ns0:t>
        </ns0:is>
      </ns0:c>
      <ns0:c r="B94" s="21" t="inlineStr">
        <ns0:is>
          <ns0:t>Physiological signals</ns0:t>
        </ns0:is>
      </ns0:c>
      <ns0:c r="C94" s="21" t="inlineStr">
        <ns0:is>
          <ns0:t>Machine Learning</ns0:t>
        </ns0:is>
      </ns0:c>
      <ns0:c r="D94" s="21" t="inlineStr">
        <ns0:is>
          <ns0:t>Multisource integration</ns0:t>
        </ns0:is>
      </ns0:c>
      <ns0:c r="E94" s="21" t="inlineStr">
        <ns0:is>
          <ns0:t>multisource_integration</ns0:t>
        </ns0:is>
      </ns0:c>
      <ns0:c r="F94" s="29">
        <ns0:f>COUNTIFS('BASE_CIERRE'!$G$5:$G$458,1,'BASE_CIERRE'!$H$5:$H$458,"Diagnosis",'BASE_CIERRE'!$J$5:$J$458,"Physiological signals",'BASE_CIERRE'!$I$5:$I$458,"Machine Learning",'BASE_CIERRE'!$R$5:$R$458,"Reported")</ns0:f>
        <ns0:v>0</ns0:v>
      </ns0:c>
      <ns0:c r="G94" s="29">
        <ns0:f>COUNTIFS('BASE_CIERRE'!$G$5:$G$458,1,'BASE_CIERRE'!$H$5:$H$458,"Diagnosis",'BASE_CIERRE'!$J$5:$J$458,"Physiological signals",'BASE_CIERRE'!$I$5:$I$458,"Machine Learning",'BASE_CIERRE'!$R$5:$R$458,"Not reported in assessed sources")</ns0:f>
        <ns0:v>14</ns0:v>
      </ns0:c>
      <ns0:c r="H94" s="29">
        <ns0:f>COUNTIFS('BASE_CIERRE'!$G$5:$G$458,1,'BASE_CIERRE'!$H$5:$H$458,"Diagnosis",'BASE_CIERRE'!$J$5:$J$458,"Physiological signals",'BASE_CIERRE'!$I$5:$I$458,"Machine Learning",'BASE_CIERRE'!$R$5:$R$458,"Not ascertainable")</ns0:f>
        <ns0:v>0</ns0:v>
      </ns0:c>
      <ns0:c r="I94" s="29">
        <ns0:f>SUM(F94:H94)</ns0:f>
        <ns0:v>14</ns0:v>
      </ns0:c>
      <ns0:c r="J94" s="32">
        <ns0:f>IFERROR(F94/I94,0)</ns0:f>
        <ns0:v>0</ns0:v>
      </ns0:c>
      <ns0:c r="K94" s="32">
        <ns0:f>IFERROR(F94/(I94-H94),0)</ns0:f>
        <ns0:v>0</ns0:v>
      </ns0:c>
      <ns0:c r="L94" s="21" t="inlineStr">
        <ns0:is>
          <ns0:t>81; 122; 202; 232; 233; 275; new_210; new_352; new_59; new_209; new_213; new_223; new_242; new_287</ns0:t>
        </ns0:is>
      </ns0:c>
    </ns0:row>
    <ns0:row r="95" ht="32" customHeight="1">
      <ns0:c r="A95" s="19" t="inlineStr">
        <ns0:is>
          <ns0:t>Diagnosis</ns0:t>
        </ns0:is>
      </ns0:c>
      <ns0:c r="B95" s="19" t="inlineStr">
        <ns0:is>
          <ns0:t>Physiological signals</ns0:t>
        </ns0:is>
      </ns0:c>
      <ns0:c r="C95" s="19" t="inlineStr">
        <ns0:is>
          <ns0:t>Machine Learning</ns0:t>
        </ns0:is>
      </ns0:c>
      <ns0:c r="D95" s="19" t="inlineStr">
        <ns0:is>
          <ns0:t>Explicit explainability (broad)</ns0:t>
        </ns0:is>
      </ns0:c>
      <ns0:c r="E95" s="19" t="inlineStr">
        <ns0:is>
          <ns0:t>xai_broad</ns0:t>
        </ns0:is>
      </ns0:c>
      <ns0:c r="F95" s="27">
        <ns0:f>COUNTIFS('BASE_CIERRE'!$G$5:$G$458,1,'BASE_CIERRE'!$H$5:$H$458,"Diagnosis",'BASE_CIERRE'!$J$5:$J$458,"Physiological signals",'BASE_CIERRE'!$I$5:$I$458,"Machine Learning",'BASE_CIERRE'!$S$5:$S$458,"Reported")</ns0:f>
        <ns0:v>5</ns0:v>
      </ns0:c>
      <ns0:c r="G95" s="27">
        <ns0:f>COUNTIFS('BASE_CIERRE'!$G$5:$G$458,1,'BASE_CIERRE'!$H$5:$H$458,"Diagnosis",'BASE_CIERRE'!$J$5:$J$458,"Physiological signals",'BASE_CIERRE'!$I$5:$I$458,"Machine Learning",'BASE_CIERRE'!$S$5:$S$458,"Not reported in assessed sources")</ns0:f>
        <ns0:v>8</ns0:v>
      </ns0:c>
      <ns0:c r="H95" s="27">
        <ns0:f>COUNTIFS('BASE_CIERRE'!$G$5:$G$458,1,'BASE_CIERRE'!$H$5:$H$458,"Diagnosis",'BASE_CIERRE'!$J$5:$J$458,"Physiological signals",'BASE_CIERRE'!$I$5:$I$458,"Machine Learning",'BASE_CIERRE'!$S$5:$S$458,"Not ascertainable")</ns0:f>
        <ns0:v>1</ns0:v>
      </ns0:c>
      <ns0:c r="I95" s="27">
        <ns0:f>SUM(F95:H95)</ns0:f>
        <ns0:v>14</ns0:v>
      </ns0:c>
      <ns0:c r="J95" s="31">
        <ns0:f>IFERROR(F95/I95,0)</ns0:f>
        <ns0:v>0.35714285714285715</ns0:v>
      </ns0:c>
      <ns0:c r="K95" s="31">
        <ns0:f>IFERROR(F95/(I95-H95),0)</ns0:f>
        <ns0:v>0.38461538461538464</ns0:v>
      </ns0:c>
      <ns0:c r="L95" s="19" t="inlineStr">
        <ns0:is>
          <ns0:t>81; 122; 202; 232; 233; 275; new_210; new_352; new_59; new_209; new_213; new_223; new_242; new_287</ns0:t>
        </ns0:is>
      </ns0:c>
    </ns0:row>
    <ns0:row r="96" ht="32" customHeight="1">
      <ns0:c r="A96" s="21" t="inlineStr">
        <ns0:is>
          <ns0:t>Diagnosis</ns0:t>
        </ns0:is>
      </ns0:c>
      <ns0:c r="B96" s="21" t="inlineStr">
        <ns0:is>
          <ns0:t>Physiological signals</ns0:t>
        </ns0:is>
      </ns0:c>
      <ns0:c r="C96" s="21" t="inlineStr">
        <ns0:is>
          <ns0:t>Machine Learning</ns0:t>
        </ns0:is>
      </ns0:c>
      <ns0:c r="D96" s="21" t="inlineStr">
        <ns0:is>
          <ns0:t>Cross-site evaluation</ns0:t>
        </ns0:is>
      </ns0:c>
      <ns0:c r="E96" s="21" t="inlineStr">
        <ns0:is>
          <ns0:t>cross_site_robustness</ns0:t>
        </ns0:is>
      </ns0:c>
      <ns0:c r="F96" s="29">
        <ns0:f>COUNTIFS('BASE_CIERRE'!$G$5:$G$458,1,'BASE_CIERRE'!$H$5:$H$458,"Diagnosis",'BASE_CIERRE'!$J$5:$J$458,"Physiological signals",'BASE_CIERRE'!$I$5:$I$458,"Machine Learning",'BASE_CIERRE'!$U$5:$U$458,"Reported")</ns0:f>
        <ns0:v>0</ns0:v>
      </ns0:c>
      <ns0:c r="G96" s="29">
        <ns0:f>COUNTIFS('BASE_CIERRE'!$G$5:$G$458,1,'BASE_CIERRE'!$H$5:$H$458,"Diagnosis",'BASE_CIERRE'!$J$5:$J$458,"Physiological signals",'BASE_CIERRE'!$I$5:$I$458,"Machine Learning",'BASE_CIERRE'!$U$5:$U$458,"Not reported in assessed sources")</ns0:f>
        <ns0:v>14</ns0:v>
      </ns0:c>
      <ns0:c r="H96" s="29">
        <ns0:f>COUNTIFS('BASE_CIERRE'!$G$5:$G$458,1,'BASE_CIERRE'!$H$5:$H$458,"Diagnosis",'BASE_CIERRE'!$J$5:$J$458,"Physiological signals",'BASE_CIERRE'!$I$5:$I$458,"Machine Learning",'BASE_CIERRE'!$U$5:$U$458,"Not ascertainable")</ns0:f>
        <ns0:v>0</ns0:v>
      </ns0:c>
      <ns0:c r="I96" s="29">
        <ns0:f>SUM(F96:H96)</ns0:f>
        <ns0:v>14</ns0:v>
      </ns0:c>
      <ns0:c r="J96" s="32">
        <ns0:f>IFERROR(F96/I96,0)</ns0:f>
        <ns0:v>0</ns0:v>
      </ns0:c>
      <ns0:c r="K96" s="32">
        <ns0:f>IFERROR(F96/(I96-H96),0)</ns0:f>
        <ns0:v>0</ns0:v>
      </ns0:c>
      <ns0:c r="L96" s="21" t="inlineStr">
        <ns0:is>
          <ns0:t>81; 122; 202; 232; 233; 275; new_210; new_352; new_59; new_209; new_213; new_223; new_242; new_287</ns0:t>
        </ns0:is>
      </ns0:c>
    </ns0:row>
    <ns0:row r="97" ht="32" customHeight="1">
      <ns0:c r="A97" s="19" t="inlineStr">
        <ns0:is>
          <ns0:t>Diagnosis</ns0:t>
        </ns0:is>
      </ns0:c>
      <ns0:c r="B97" s="19" t="inlineStr">
        <ns0:is>
          <ns0:t>Structured clinical/questionnaire data</ns0:t>
        </ns0:is>
      </ns0:c>
      <ns0:c r="C97" s="19" t="inlineStr">
        <ns0:is>
          <ns0:t>Deep Learning</ns0:t>
        </ns0:is>
      </ns0:c>
      <ns0:c r="D97" s="19" t="inlineStr">
        <ns0:is>
          <ns0:t>External validation</ns0:t>
        </ns0:is>
      </ns0:c>
      <ns0:c r="E97" s="19" t="inlineStr">
        <ns0:is>
          <ns0:t>external_validation</ns0:t>
        </ns0:is>
      </ns0:c>
      <ns0:c r="F97" s="27">
        <ns0:f>COUNTIFS('BASE_CIERRE'!$G$5:$G$458,1,'BASE_CIERRE'!$H$5:$H$458,"Diagnosis",'BASE_CIERRE'!$J$5:$J$458,"Structured clinical/questionnaire data",'BASE_CIERRE'!$I$5:$I$458,"Deep Learning",'BASE_CIERRE'!$Q$5:$Q$458,"Reported")</ns0:f>
        <ns0:v>0</ns0:v>
      </ns0:c>
      <ns0:c r="G97" s="27">
        <ns0:f>COUNTIFS('BASE_CIERRE'!$G$5:$G$458,1,'BASE_CIERRE'!$H$5:$H$458,"Diagnosis",'BASE_CIERRE'!$J$5:$J$458,"Structured clinical/questionnaire data",'BASE_CIERRE'!$I$5:$I$458,"Deep Learning",'BASE_CIERRE'!$Q$5:$Q$458,"Not reported in assessed sources")</ns0:f>
        <ns0:v>1</ns0:v>
      </ns0:c>
      <ns0:c r="H97" s="27">
        <ns0:f>COUNTIFS('BASE_CIERRE'!$G$5:$G$458,1,'BASE_CIERRE'!$H$5:$H$458,"Diagnosis",'BASE_CIERRE'!$J$5:$J$458,"Structured clinical/questionnaire data",'BASE_CIERRE'!$I$5:$I$458,"Deep Learning",'BASE_CIERRE'!$Q$5:$Q$458,"Not ascertainable")</ns0:f>
        <ns0:v>0</ns0:v>
      </ns0:c>
      <ns0:c r="I97" s="27">
        <ns0:f>SUM(F97:H97)</ns0:f>
        <ns0:v>1</ns0:v>
      </ns0:c>
      <ns0:c r="J97" s="31">
        <ns0:f>IFERROR(F97/I97,0)</ns0:f>
        <ns0:v>0</ns0:v>
      </ns0:c>
      <ns0:c r="K97" s="31">
        <ns0:f>IFERROR(F97/(I97-H97),0)</ns0:f>
        <ns0:v>0</ns0:v>
      </ns0:c>
      <ns0:c r="L97" s="19" t="inlineStr">
        <ns0:is>
          <ns0:t>new_420</ns0:t>
        </ns0:is>
      </ns0:c>
    </ns0:row>
    <ns0:row r="98" ht="32" customHeight="1">
      <ns0:c r="A98" s="21" t="inlineStr">
        <ns0:is>
          <ns0:t>Diagnosis</ns0:t>
        </ns0:is>
      </ns0:c>
      <ns0:c r="B98" s="21" t="inlineStr">
        <ns0:is>
          <ns0:t>Structured clinical/questionnaire data</ns0:t>
        </ns0:is>
      </ns0:c>
      <ns0:c r="C98" s="21" t="inlineStr">
        <ns0:is>
          <ns0:t>Deep Learning</ns0:t>
        </ns0:is>
      </ns0:c>
      <ns0:c r="D98" s="21" t="inlineStr">
        <ns0:is>
          <ns0:t>Multisource integration</ns0:t>
        </ns0:is>
      </ns0:c>
      <ns0:c r="E98" s="21" t="inlineStr">
        <ns0:is>
          <ns0:t>multisource_integration</ns0:t>
        </ns0:is>
      </ns0:c>
      <ns0:c r="F98" s="29">
        <ns0:f>COUNTIFS('BASE_CIERRE'!$G$5:$G$458,1,'BASE_CIERRE'!$H$5:$H$458,"Diagnosis",'BASE_CIERRE'!$J$5:$J$458,"Structured clinical/questionnaire data",'BASE_CIERRE'!$I$5:$I$458,"Deep Learning",'BASE_CIERRE'!$R$5:$R$458,"Reported")</ns0:f>
        <ns0:v>0</ns0:v>
      </ns0:c>
      <ns0:c r="G98" s="29">
        <ns0:f>COUNTIFS('BASE_CIERRE'!$G$5:$G$458,1,'BASE_CIERRE'!$H$5:$H$458,"Diagnosis",'BASE_CIERRE'!$J$5:$J$458,"Structured clinical/questionnaire data",'BASE_CIERRE'!$I$5:$I$458,"Deep Learning",'BASE_CIERRE'!$R$5:$R$458,"Not reported in assessed sources")</ns0:f>
        <ns0:v>1</ns0:v>
      </ns0:c>
      <ns0:c r="H98" s="29">
        <ns0:f>COUNTIFS('BASE_CIERRE'!$G$5:$G$458,1,'BASE_CIERRE'!$H$5:$H$458,"Diagnosis",'BASE_CIERRE'!$J$5:$J$458,"Structured clinical/questionnaire data",'BASE_CIERRE'!$I$5:$I$458,"Deep Learning",'BASE_CIERRE'!$R$5:$R$458,"Not ascertainable")</ns0:f>
        <ns0:v>0</ns0:v>
      </ns0:c>
      <ns0:c r="I98" s="29">
        <ns0:f>SUM(F98:H98)</ns0:f>
        <ns0:v>1</ns0:v>
      </ns0:c>
      <ns0:c r="J98" s="32">
        <ns0:f>IFERROR(F98/I98,0)</ns0:f>
        <ns0:v>0</ns0:v>
      </ns0:c>
      <ns0:c r="K98" s="32">
        <ns0:f>IFERROR(F98/(I98-H98),0)</ns0:f>
        <ns0:v>0</ns0:v>
      </ns0:c>
      <ns0:c r="L98" s="21" t="inlineStr">
        <ns0:is>
          <ns0:t>new_420</ns0:t>
        </ns0:is>
      </ns0:c>
    </ns0:row>
    <ns0:row r="99" ht="32" customHeight="1">
      <ns0:c r="A99" s="19" t="inlineStr">
        <ns0:is>
          <ns0:t>Diagnosis</ns0:t>
        </ns0:is>
      </ns0:c>
      <ns0:c r="B99" s="19" t="inlineStr">
        <ns0:is>
          <ns0:t>Structured clinical/questionnaire data</ns0:t>
        </ns0:is>
      </ns0:c>
      <ns0:c r="C99" s="19" t="inlineStr">
        <ns0:is>
          <ns0:t>Deep Learning</ns0:t>
        </ns0:is>
      </ns0:c>
      <ns0:c r="D99" s="19" t="inlineStr">
        <ns0:is>
          <ns0:t>Explicit explainability (broad)</ns0:t>
        </ns0:is>
      </ns0:c>
      <ns0:c r="E99" s="19" t="inlineStr">
        <ns0:is>
          <ns0:t>xai_broad</ns0:t>
        </ns0:is>
      </ns0:c>
      <ns0:c r="F99" s="27">
        <ns0:f>COUNTIFS('BASE_CIERRE'!$G$5:$G$458,1,'BASE_CIERRE'!$H$5:$H$458,"Diagnosis",'BASE_CIERRE'!$J$5:$J$458,"Structured clinical/questionnaire data",'BASE_CIERRE'!$I$5:$I$458,"Deep Learning",'BASE_CIERRE'!$S$5:$S$458,"Reported")</ns0:f>
        <ns0:v>0</ns0:v>
      </ns0:c>
      <ns0:c r="G99" s="27">
        <ns0:f>COUNTIFS('BASE_CIERRE'!$G$5:$G$458,1,'BASE_CIERRE'!$H$5:$H$458,"Diagnosis",'BASE_CIERRE'!$J$5:$J$458,"Structured clinical/questionnaire data",'BASE_CIERRE'!$I$5:$I$458,"Deep Learning",'BASE_CIERRE'!$S$5:$S$458,"Not reported in assessed sources")</ns0:f>
        <ns0:v>1</ns0:v>
      </ns0:c>
      <ns0:c r="H99" s="27">
        <ns0:f>COUNTIFS('BASE_CIERRE'!$G$5:$G$458,1,'BASE_CIERRE'!$H$5:$H$458,"Diagnosis",'BASE_CIERRE'!$J$5:$J$458,"Structured clinical/questionnaire data",'BASE_CIERRE'!$I$5:$I$458,"Deep Learning",'BASE_CIERRE'!$S$5:$S$458,"Not ascertainable")</ns0:f>
        <ns0:v>0</ns0:v>
      </ns0:c>
      <ns0:c r="I99" s="27">
        <ns0:f>SUM(F99:H99)</ns0:f>
        <ns0:v>1</ns0:v>
      </ns0:c>
      <ns0:c r="J99" s="31">
        <ns0:f>IFERROR(F99/I99,0)</ns0:f>
        <ns0:v>0</ns0:v>
      </ns0:c>
      <ns0:c r="K99" s="31">
        <ns0:f>IFERROR(F99/(I99-H99),0)</ns0:f>
        <ns0:v>0</ns0:v>
      </ns0:c>
      <ns0:c r="L99" s="19" t="inlineStr">
        <ns0:is>
          <ns0:t>new_420</ns0:t>
        </ns0:is>
      </ns0:c>
    </ns0:row>
    <ns0:row r="100" ht="32" customHeight="1">
      <ns0:c r="A100" s="21" t="inlineStr">
        <ns0:is>
          <ns0:t>Diagnosis</ns0:t>
        </ns0:is>
      </ns0:c>
      <ns0:c r="B100" s="21" t="inlineStr">
        <ns0:is>
          <ns0:t>Structured clinical/questionnaire data</ns0:t>
        </ns0:is>
      </ns0:c>
      <ns0:c r="C100" s="21" t="inlineStr">
        <ns0:is>
          <ns0:t>Deep Learning</ns0:t>
        </ns0:is>
      </ns0:c>
      <ns0:c r="D100" s="21" t="inlineStr">
        <ns0:is>
          <ns0:t>Cross-site evaluation</ns0:t>
        </ns0:is>
      </ns0:c>
      <ns0:c r="E100" s="21" t="inlineStr">
        <ns0:is>
          <ns0:t>cross_site_robustness</ns0:t>
        </ns0:is>
      </ns0:c>
      <ns0:c r="F100" s="29">
        <ns0:f>COUNTIFS('BASE_CIERRE'!$G$5:$G$458,1,'BASE_CIERRE'!$H$5:$H$458,"Diagnosis",'BASE_CIERRE'!$J$5:$J$458,"Structured clinical/questionnaire data",'BASE_CIERRE'!$I$5:$I$458,"Deep Learning",'BASE_CIERRE'!$U$5:$U$458,"Reported")</ns0:f>
        <ns0:v>0</ns0:v>
      </ns0:c>
      <ns0:c r="G100" s="29">
        <ns0:f>COUNTIFS('BASE_CIERRE'!$G$5:$G$458,1,'BASE_CIERRE'!$H$5:$H$458,"Diagnosis",'BASE_CIERRE'!$J$5:$J$458,"Structured clinical/questionnaire data",'BASE_CIERRE'!$I$5:$I$458,"Deep Learning",'BASE_CIERRE'!$U$5:$U$458,"Not reported in assessed sources")</ns0:f>
        <ns0:v>1</ns0:v>
      </ns0:c>
      <ns0:c r="H100" s="29">
        <ns0:f>COUNTIFS('BASE_CIERRE'!$G$5:$G$458,1,'BASE_CIERRE'!$H$5:$H$458,"Diagnosis",'BASE_CIERRE'!$J$5:$J$458,"Structured clinical/questionnaire data",'BASE_CIERRE'!$I$5:$I$458,"Deep Learning",'BASE_CIERRE'!$U$5:$U$458,"Not ascertainable")</ns0:f>
        <ns0:v>0</ns0:v>
      </ns0:c>
      <ns0:c r="I100" s="29">
        <ns0:f>SUM(F100:H100)</ns0:f>
        <ns0:v>1</ns0:v>
      </ns0:c>
      <ns0:c r="J100" s="32">
        <ns0:f>IFERROR(F100/I100,0)</ns0:f>
        <ns0:v>0</ns0:v>
      </ns0:c>
      <ns0:c r="K100" s="32">
        <ns0:f>IFERROR(F100/(I100-H100),0)</ns0:f>
        <ns0:v>0</ns0:v>
      </ns0:c>
      <ns0:c r="L100" s="21" t="inlineStr">
        <ns0:is>
          <ns0:t>new_420</ns0:t>
        </ns0:is>
      </ns0:c>
    </ns0:row>
    <ns0:row r="101" ht="32" customHeight="1">
      <ns0:c r="A101" s="19" t="inlineStr">
        <ns0:is>
          <ns0:t>Diagnosis</ns0:t>
        </ns0:is>
      </ns0:c>
      <ns0:c r="B101" s="19" t="inlineStr">
        <ns0:is>
          <ns0:t>Structured clinical/questionnaire data</ns0:t>
        </ns0:is>
      </ns0:c>
      <ns0:c r="C101" s="19" t="inlineStr">
        <ns0:is>
          <ns0:t>Machine Learning</ns0:t>
        </ns0:is>
      </ns0:c>
      <ns0:c r="D101" s="19" t="inlineStr">
        <ns0:is>
          <ns0:t>External validation</ns0:t>
        </ns0:is>
      </ns0:c>
      <ns0:c r="E101" s="19" t="inlineStr">
        <ns0:is>
          <ns0:t>external_validation</ns0:t>
        </ns0:is>
      </ns0:c>
      <ns0:c r="F101" s="27">
        <ns0:f>COUNTIFS('BASE_CIERRE'!$G$5:$G$458,1,'BASE_CIERRE'!$H$5:$H$458,"Diagnosis",'BASE_CIERRE'!$J$5:$J$458,"Structured clinical/questionnaire data",'BASE_CIERRE'!$I$5:$I$458,"Machine Learning",'BASE_CIERRE'!$Q$5:$Q$458,"Reported")</ns0:f>
        <ns0:v>2</ns0:v>
      </ns0:c>
      <ns0:c r="G101" s="27">
        <ns0:f>COUNTIFS('BASE_CIERRE'!$G$5:$G$458,1,'BASE_CIERRE'!$H$5:$H$458,"Diagnosis",'BASE_CIERRE'!$J$5:$J$458,"Structured clinical/questionnaire data",'BASE_CIERRE'!$I$5:$I$458,"Machine Learning",'BASE_CIERRE'!$Q$5:$Q$458,"Not reported in assessed sources")</ns0:f>
        <ns0:v>15</ns0:v>
      </ns0:c>
      <ns0:c r="H101" s="27">
        <ns0:f>COUNTIFS('BASE_CIERRE'!$G$5:$G$458,1,'BASE_CIERRE'!$H$5:$H$458,"Diagnosis",'BASE_CIERRE'!$J$5:$J$458,"Structured clinical/questionnaire data",'BASE_CIERRE'!$I$5:$I$458,"Machine Learning",'BASE_CIERRE'!$Q$5:$Q$458,"Not ascertainable")</ns0:f>
        <ns0:v>0</ns0:v>
      </ns0:c>
      <ns0:c r="I101" s="27">
        <ns0:f>SUM(F101:H101)</ns0:f>
        <ns0:v>17</ns0:v>
      </ns0:c>
      <ns0:c r="J101" s="31">
        <ns0:f>IFERROR(F101/I101,0)</ns0:f>
        <ns0:v>0.11764705882352941</ns0:v>
      </ns0:c>
      <ns0:c r="K101" s="31">
        <ns0:f>IFERROR(F101/(I101-H101),0)</ns0:f>
        <ns0:v>0.11764705882352941</ns0:v>
      </ns0:c>
      <ns0:c r="L101" s="19" t="inlineStr">
        <ns0:is>
          <ns0:t>35; 44; 57; 72; 110; 119; 133; 150; 151; 173; 194; 197; 208; 272; 273; 279; new_212</ns0:t>
        </ns0:is>
      </ns0:c>
    </ns0:row>
    <ns0:row r="102" ht="32" customHeight="1">
      <ns0:c r="A102" s="21" t="inlineStr">
        <ns0:is>
          <ns0:t>Diagnosis</ns0:t>
        </ns0:is>
      </ns0:c>
      <ns0:c r="B102" s="21" t="inlineStr">
        <ns0:is>
          <ns0:t>Structured clinical/questionnaire data</ns0:t>
        </ns0:is>
      </ns0:c>
      <ns0:c r="C102" s="21" t="inlineStr">
        <ns0:is>
          <ns0:t>Machine Learning</ns0:t>
        </ns0:is>
      </ns0:c>
      <ns0:c r="D102" s="21" t="inlineStr">
        <ns0:is>
          <ns0:t>Multisource integration</ns0:t>
        </ns0:is>
      </ns0:c>
      <ns0:c r="E102" s="21" t="inlineStr">
        <ns0:is>
          <ns0:t>multisource_integration</ns0:t>
        </ns0:is>
      </ns0:c>
      <ns0:c r="F102" s="29">
        <ns0:f>COUNTIFS('BASE_CIERRE'!$G$5:$G$458,1,'BASE_CIERRE'!$H$5:$H$458,"Diagnosis",'BASE_CIERRE'!$J$5:$J$458,"Structured clinical/questionnaire data",'BASE_CIERRE'!$I$5:$I$458,"Machine Learning",'BASE_CIERRE'!$R$5:$R$458,"Reported")</ns0:f>
        <ns0:v>5</ns0:v>
      </ns0:c>
      <ns0:c r="G102" s="29">
        <ns0:f>COUNTIFS('BASE_CIERRE'!$G$5:$G$458,1,'BASE_CIERRE'!$H$5:$H$458,"Diagnosis",'BASE_CIERRE'!$J$5:$J$458,"Structured clinical/questionnaire data",'BASE_CIERRE'!$I$5:$I$458,"Machine Learning",'BASE_CIERRE'!$R$5:$R$458,"Not reported in assessed sources")</ns0:f>
        <ns0:v>12</ns0:v>
      </ns0:c>
      <ns0:c r="H102" s="29">
        <ns0:f>COUNTIFS('BASE_CIERRE'!$G$5:$G$458,1,'BASE_CIERRE'!$H$5:$H$458,"Diagnosis",'BASE_CIERRE'!$J$5:$J$458,"Structured clinical/questionnaire data",'BASE_CIERRE'!$I$5:$I$458,"Machine Learning",'BASE_CIERRE'!$R$5:$R$458,"Not ascertainable")</ns0:f>
        <ns0:v>0</ns0:v>
      </ns0:c>
      <ns0:c r="I102" s="29">
        <ns0:f>SUM(F102:H102)</ns0:f>
        <ns0:v>17</ns0:v>
      </ns0:c>
      <ns0:c r="J102" s="32">
        <ns0:f>IFERROR(F102/I102,0)</ns0:f>
        <ns0:v>0.29411764705882354</ns0:v>
      </ns0:c>
      <ns0:c r="K102" s="32">
        <ns0:f>IFERROR(F102/(I102-H102),0)</ns0:f>
        <ns0:v>0.29411764705882354</ns0:v>
      </ns0:c>
      <ns0:c r="L102" s="21" t="inlineStr">
        <ns0:is>
          <ns0:t>35; 44; 57; 72; 110; 119; 133; 150; 151; 173; 194; 197; 208; 272; 273; 279; new_212</ns0:t>
        </ns0:is>
      </ns0:c>
    </ns0:row>
    <ns0:row r="103" ht="32" customHeight="1">
      <ns0:c r="A103" s="19" t="inlineStr">
        <ns0:is>
          <ns0:t>Diagnosis</ns0:t>
        </ns0:is>
      </ns0:c>
      <ns0:c r="B103" s="19" t="inlineStr">
        <ns0:is>
          <ns0:t>Structured clinical/questionnaire data</ns0:t>
        </ns0:is>
      </ns0:c>
      <ns0:c r="C103" s="19" t="inlineStr">
        <ns0:is>
          <ns0:t>Machine Learning</ns0:t>
        </ns0:is>
      </ns0:c>
      <ns0:c r="D103" s="19" t="inlineStr">
        <ns0:is>
          <ns0:t>Explicit explainability (broad)</ns0:t>
        </ns0:is>
      </ns0:c>
      <ns0:c r="E103" s="19" t="inlineStr">
        <ns0:is>
          <ns0:t>xai_broad</ns0:t>
        </ns0:is>
      </ns0:c>
      <ns0:c r="F103" s="27">
        <ns0:f>COUNTIFS('BASE_CIERRE'!$G$5:$G$458,1,'BASE_CIERRE'!$H$5:$H$458,"Diagnosis",'BASE_CIERRE'!$J$5:$J$458,"Structured clinical/questionnaire data",'BASE_CIERRE'!$I$5:$I$458,"Machine Learning",'BASE_CIERRE'!$S$5:$S$458,"Reported")</ns0:f>
        <ns0:v>7</ns0:v>
      </ns0:c>
      <ns0:c r="G103" s="27">
        <ns0:f>COUNTIFS('BASE_CIERRE'!$G$5:$G$458,1,'BASE_CIERRE'!$H$5:$H$458,"Diagnosis",'BASE_CIERRE'!$J$5:$J$458,"Structured clinical/questionnaire data",'BASE_CIERRE'!$I$5:$I$458,"Machine Learning",'BASE_CIERRE'!$S$5:$S$458,"Not reported in assessed sources")</ns0:f>
        <ns0:v>10</ns0:v>
      </ns0:c>
      <ns0:c r="H103" s="27">
        <ns0:f>COUNTIFS('BASE_CIERRE'!$G$5:$G$458,1,'BASE_CIERRE'!$H$5:$H$458,"Diagnosis",'BASE_CIERRE'!$J$5:$J$458,"Structured clinical/questionnaire data",'BASE_CIERRE'!$I$5:$I$458,"Machine Learning",'BASE_CIERRE'!$S$5:$S$458,"Not ascertainable")</ns0:f>
        <ns0:v>0</ns0:v>
      </ns0:c>
      <ns0:c r="I103" s="27">
        <ns0:f>SUM(F103:H103)</ns0:f>
        <ns0:v>17</ns0:v>
      </ns0:c>
      <ns0:c r="J103" s="31">
        <ns0:f>IFERROR(F103/I103,0)</ns0:f>
        <ns0:v>0.4117647058823529</ns0:v>
      </ns0:c>
      <ns0:c r="K103" s="31">
        <ns0:f>IFERROR(F103/(I103-H103),0)</ns0:f>
        <ns0:v>0.4117647058823529</ns0:v>
      </ns0:c>
      <ns0:c r="L103" s="19" t="inlineStr">
        <ns0:is>
          <ns0:t>35; 44; 57; 72; 110; 119; 133; 150; 151; 173; 194; 197; 208; 272; 273; 279; new_212</ns0:t>
        </ns0:is>
      </ns0:c>
    </ns0:row>
    <ns0:row r="104" ht="32" customHeight="1">
      <ns0:c r="A104" s="21" t="inlineStr">
        <ns0:is>
          <ns0:t>Diagnosis</ns0:t>
        </ns0:is>
      </ns0:c>
      <ns0:c r="B104" s="21" t="inlineStr">
        <ns0:is>
          <ns0:t>Structured clinical/questionnaire data</ns0:t>
        </ns0:is>
      </ns0:c>
      <ns0:c r="C104" s="21" t="inlineStr">
        <ns0:is>
          <ns0:t>Machine Learning</ns0:t>
        </ns0:is>
      </ns0:c>
      <ns0:c r="D104" s="21" t="inlineStr">
        <ns0:is>
          <ns0:t>Cross-site evaluation</ns0:t>
        </ns0:is>
      </ns0:c>
      <ns0:c r="E104" s="21" t="inlineStr">
        <ns0:is>
          <ns0:t>cross_site_robustness</ns0:t>
        </ns0:is>
      </ns0:c>
      <ns0:c r="F104" s="29">
        <ns0:f>COUNTIFS('BASE_CIERRE'!$G$5:$G$458,1,'BASE_CIERRE'!$H$5:$H$458,"Diagnosis",'BASE_CIERRE'!$J$5:$J$458,"Structured clinical/questionnaire data",'BASE_CIERRE'!$I$5:$I$458,"Machine Learning",'BASE_CIERRE'!$U$5:$U$458,"Reported")</ns0:f>
        <ns0:v>0</ns0:v>
      </ns0:c>
      <ns0:c r="G104" s="29">
        <ns0:f>COUNTIFS('BASE_CIERRE'!$G$5:$G$458,1,'BASE_CIERRE'!$H$5:$H$458,"Diagnosis",'BASE_CIERRE'!$J$5:$J$458,"Structured clinical/questionnaire data",'BASE_CIERRE'!$I$5:$I$458,"Machine Learning",'BASE_CIERRE'!$U$5:$U$458,"Not reported in assessed sources")</ns0:f>
        <ns0:v>17</ns0:v>
      </ns0:c>
      <ns0:c r="H104" s="29">
        <ns0:f>COUNTIFS('BASE_CIERRE'!$G$5:$G$458,1,'BASE_CIERRE'!$H$5:$H$458,"Diagnosis",'BASE_CIERRE'!$J$5:$J$458,"Structured clinical/questionnaire data",'BASE_CIERRE'!$I$5:$I$458,"Machine Learning",'BASE_CIERRE'!$U$5:$U$458,"Not ascertainable")</ns0:f>
        <ns0:v>0</ns0:v>
      </ns0:c>
      <ns0:c r="I104" s="29">
        <ns0:f>SUM(F104:H104)</ns0:f>
        <ns0:v>17</ns0:v>
      </ns0:c>
      <ns0:c r="J104" s="32">
        <ns0:f>IFERROR(F104/I104,0)</ns0:f>
        <ns0:v>0</ns0:v>
      </ns0:c>
      <ns0:c r="K104" s="32">
        <ns0:f>IFERROR(F104/(I104-H104),0)</ns0:f>
        <ns0:v>0</ns0:v>
      </ns0:c>
      <ns0:c r="L104" s="21" t="inlineStr">
        <ns0:is>
          <ns0:t>35; 44; 57; 72; 110; 119; 133; 150; 151; 173; 194; 197; 208; 272; 273; 279; new_212</ns0:t>
        </ns0:is>
      </ns0:c>
    </ns0:row>
    <ns0:row r="105" ht="32" customHeight="1">
      <ns0:c r="A105" s="19" t="inlineStr">
        <ns0:is>
          <ns0:t>Diagnosis</ns0:t>
        </ns0:is>
      </ns0:c>
      <ns0:c r="B105" s="19" t="inlineStr">
        <ns0:is>
          <ns0:t>Text/language</ns0:t>
        </ns0:is>
      </ns0:c>
      <ns0:c r="C105" s="19" t="inlineStr">
        <ns0:is>
          <ns0:t>Deep Learning</ns0:t>
        </ns0:is>
      </ns0:c>
      <ns0:c r="D105" s="19" t="inlineStr">
        <ns0:is>
          <ns0:t>External validation</ns0:t>
        </ns0:is>
      </ns0:c>
      <ns0:c r="E105" s="19" t="inlineStr">
        <ns0:is>
          <ns0:t>external_validation</ns0:t>
        </ns0:is>
      </ns0:c>
      <ns0:c r="F105" s="27">
        <ns0:f>COUNTIFS('BASE_CIERRE'!$G$5:$G$458,1,'BASE_CIERRE'!$H$5:$H$458,"Diagnosis",'BASE_CIERRE'!$J$5:$J$458,"Text/language",'BASE_CIERRE'!$I$5:$I$458,"Deep Learning",'BASE_CIERRE'!$Q$5:$Q$458,"Reported")</ns0:f>
        <ns0:v>0</ns0:v>
      </ns0:c>
      <ns0:c r="G105" s="27">
        <ns0:f>COUNTIFS('BASE_CIERRE'!$G$5:$G$458,1,'BASE_CIERRE'!$H$5:$H$458,"Diagnosis",'BASE_CIERRE'!$J$5:$J$458,"Text/language",'BASE_CIERRE'!$I$5:$I$458,"Deep Learning",'BASE_CIERRE'!$Q$5:$Q$458,"Not reported in assessed sources")</ns0:f>
        <ns0:v>4</ns0:v>
      </ns0:c>
      <ns0:c r="H105" s="27">
        <ns0:f>COUNTIFS('BASE_CIERRE'!$G$5:$G$458,1,'BASE_CIERRE'!$H$5:$H$458,"Diagnosis",'BASE_CIERRE'!$J$5:$J$458,"Text/language",'BASE_CIERRE'!$I$5:$I$458,"Deep Learning",'BASE_CIERRE'!$Q$5:$Q$458,"Not ascertainable")</ns0:f>
        <ns0:v>1</ns0:v>
      </ns0:c>
      <ns0:c r="I105" s="27">
        <ns0:f>SUM(F105:H105)</ns0:f>
        <ns0:v>5</ns0:v>
      </ns0:c>
      <ns0:c r="J105" s="31">
        <ns0:f>IFERROR(F105/I105,0)</ns0:f>
        <ns0:v>0</ns0:v>
      </ns0:c>
      <ns0:c r="K105" s="31">
        <ns0:f>IFERROR(F105/(I105-H105),0)</ns0:f>
        <ns0:v>0</ns0:v>
      </ns0:c>
      <ns0:c r="L105" s="19" t="inlineStr">
        <ns0:is>
          <ns0:t>84; new_93; new_197; new_263; new_231</ns0:t>
        </ns0:is>
      </ns0:c>
    </ns0:row>
    <ns0:row r="106" ht="32" customHeight="1">
      <ns0:c r="A106" s="21" t="inlineStr">
        <ns0:is>
          <ns0:t>Diagnosis</ns0:t>
        </ns0:is>
      </ns0:c>
      <ns0:c r="B106" s="21" t="inlineStr">
        <ns0:is>
          <ns0:t>Text/language</ns0:t>
        </ns0:is>
      </ns0:c>
      <ns0:c r="C106" s="21" t="inlineStr">
        <ns0:is>
          <ns0:t>Deep Learning</ns0:t>
        </ns0:is>
      </ns0:c>
      <ns0:c r="D106" s="21" t="inlineStr">
        <ns0:is>
          <ns0:t>Multisource integration</ns0:t>
        </ns0:is>
      </ns0:c>
      <ns0:c r="E106" s="21" t="inlineStr">
        <ns0:is>
          <ns0:t>multisource_integration</ns0:t>
        </ns0:is>
      </ns0:c>
      <ns0:c r="F106" s="29">
        <ns0:f>COUNTIFS('BASE_CIERRE'!$G$5:$G$458,1,'BASE_CIERRE'!$H$5:$H$458,"Diagnosis",'BASE_CIERRE'!$J$5:$J$458,"Text/language",'BASE_CIERRE'!$I$5:$I$458,"Deep Learning",'BASE_CIERRE'!$R$5:$R$458,"Reported")</ns0:f>
        <ns0:v>0</ns0:v>
      </ns0:c>
      <ns0:c r="G106" s="29">
        <ns0:f>COUNTIFS('BASE_CIERRE'!$G$5:$G$458,1,'BASE_CIERRE'!$H$5:$H$458,"Diagnosis",'BASE_CIERRE'!$J$5:$J$458,"Text/language",'BASE_CIERRE'!$I$5:$I$458,"Deep Learning",'BASE_CIERRE'!$R$5:$R$458,"Not reported in assessed sources")</ns0:f>
        <ns0:v>5</ns0:v>
      </ns0:c>
      <ns0:c r="H106" s="29">
        <ns0:f>COUNTIFS('BASE_CIERRE'!$G$5:$G$458,1,'BASE_CIERRE'!$H$5:$H$458,"Diagnosis",'BASE_CIERRE'!$J$5:$J$458,"Text/language",'BASE_CIERRE'!$I$5:$I$458,"Deep Learning",'BASE_CIERRE'!$R$5:$R$458,"Not ascertainable")</ns0:f>
        <ns0:v>0</ns0:v>
      </ns0:c>
      <ns0:c r="I106" s="29">
        <ns0:f>SUM(F106:H106)</ns0:f>
        <ns0:v>5</ns0:v>
      </ns0:c>
      <ns0:c r="J106" s="32">
        <ns0:f>IFERROR(F106/I106,0)</ns0:f>
        <ns0:v>0</ns0:v>
      </ns0:c>
      <ns0:c r="K106" s="32">
        <ns0:f>IFERROR(F106/(I106-H106),0)</ns0:f>
        <ns0:v>0</ns0:v>
      </ns0:c>
      <ns0:c r="L106" s="21" t="inlineStr">
        <ns0:is>
          <ns0:t>84; new_93; new_197; new_263; new_231</ns0:t>
        </ns0:is>
      </ns0:c>
    </ns0:row>
    <ns0:row r="107" ht="32" customHeight="1">
      <ns0:c r="A107" s="19" t="inlineStr">
        <ns0:is>
          <ns0:t>Diagnosis</ns0:t>
        </ns0:is>
      </ns0:c>
      <ns0:c r="B107" s="19" t="inlineStr">
        <ns0:is>
          <ns0:t>Text/language</ns0:t>
        </ns0:is>
      </ns0:c>
      <ns0:c r="C107" s="19" t="inlineStr">
        <ns0:is>
          <ns0:t>Deep Learning</ns0:t>
        </ns0:is>
      </ns0:c>
      <ns0:c r="D107" s="19" t="inlineStr">
        <ns0:is>
          <ns0:t>Explicit explainability (broad)</ns0:t>
        </ns0:is>
      </ns0:c>
      <ns0:c r="E107" s="19" t="inlineStr">
        <ns0:is>
          <ns0:t>xai_broad</ns0:t>
        </ns0:is>
      </ns0:c>
      <ns0:c r="F107" s="27">
        <ns0:f>COUNTIFS('BASE_CIERRE'!$G$5:$G$458,1,'BASE_CIERRE'!$H$5:$H$458,"Diagnosis",'BASE_CIERRE'!$J$5:$J$458,"Text/language",'BASE_CIERRE'!$I$5:$I$458,"Deep Learning",'BASE_CIERRE'!$S$5:$S$458,"Reported")</ns0:f>
        <ns0:v>5</ns0:v>
      </ns0:c>
      <ns0:c r="G107" s="27">
        <ns0:f>COUNTIFS('BASE_CIERRE'!$G$5:$G$458,1,'BASE_CIERRE'!$H$5:$H$458,"Diagnosis",'BASE_CIERRE'!$J$5:$J$458,"Text/language",'BASE_CIERRE'!$I$5:$I$458,"Deep Learning",'BASE_CIERRE'!$S$5:$S$458,"Not reported in assessed sources")</ns0:f>
        <ns0:v>0</ns0:v>
      </ns0:c>
      <ns0:c r="H107" s="27">
        <ns0:f>COUNTIFS('BASE_CIERRE'!$G$5:$G$458,1,'BASE_CIERRE'!$H$5:$H$458,"Diagnosis",'BASE_CIERRE'!$J$5:$J$458,"Text/language",'BASE_CIERRE'!$I$5:$I$458,"Deep Learning",'BASE_CIERRE'!$S$5:$S$458,"Not ascertainable")</ns0:f>
        <ns0:v>0</ns0:v>
      </ns0:c>
      <ns0:c r="I107" s="27">
        <ns0:f>SUM(F107:H107)</ns0:f>
        <ns0:v>5</ns0:v>
      </ns0:c>
      <ns0:c r="J107" s="31">
        <ns0:f>IFERROR(F107/I107,0)</ns0:f>
        <ns0:v>1</ns0:v>
      </ns0:c>
      <ns0:c r="K107" s="31">
        <ns0:f>IFERROR(F107/(I107-H107),0)</ns0:f>
        <ns0:v>1</ns0:v>
      </ns0:c>
      <ns0:c r="L107" s="19" t="inlineStr">
        <ns0:is>
          <ns0:t>84; new_93; new_197; new_263; new_231</ns0:t>
        </ns0:is>
      </ns0:c>
    </ns0:row>
    <ns0:row r="108" ht="32" customHeight="1">
      <ns0:c r="A108" s="21" t="inlineStr">
        <ns0:is>
          <ns0:t>Diagnosis</ns0:t>
        </ns0:is>
      </ns0:c>
      <ns0:c r="B108" s="21" t="inlineStr">
        <ns0:is>
          <ns0:t>Text/language</ns0:t>
        </ns0:is>
      </ns0:c>
      <ns0:c r="C108" s="21" t="inlineStr">
        <ns0:is>
          <ns0:t>Deep Learning</ns0:t>
        </ns0:is>
      </ns0:c>
      <ns0:c r="D108" s="21" t="inlineStr">
        <ns0:is>
          <ns0:t>Cross-site evaluation</ns0:t>
        </ns0:is>
      </ns0:c>
      <ns0:c r="E108" s="21" t="inlineStr">
        <ns0:is>
          <ns0:t>cross_site_robustness</ns0:t>
        </ns0:is>
      </ns0:c>
      <ns0:c r="F108" s="29">
        <ns0:f>COUNTIFS('BASE_CIERRE'!$G$5:$G$458,1,'BASE_CIERRE'!$H$5:$H$458,"Diagnosis",'BASE_CIERRE'!$J$5:$J$458,"Text/language",'BASE_CIERRE'!$I$5:$I$458,"Deep Learning",'BASE_CIERRE'!$U$5:$U$458,"Reported")</ns0:f>
        <ns0:v>0</ns0:v>
      </ns0:c>
      <ns0:c r="G108" s="29">
        <ns0:f>COUNTIFS('BASE_CIERRE'!$G$5:$G$458,1,'BASE_CIERRE'!$H$5:$H$458,"Diagnosis",'BASE_CIERRE'!$J$5:$J$458,"Text/language",'BASE_CIERRE'!$I$5:$I$458,"Deep Learning",'BASE_CIERRE'!$U$5:$U$458,"Not reported in assessed sources")</ns0:f>
        <ns0:v>5</ns0:v>
      </ns0:c>
      <ns0:c r="H108" s="29">
        <ns0:f>COUNTIFS('BASE_CIERRE'!$G$5:$G$458,1,'BASE_CIERRE'!$H$5:$H$458,"Diagnosis",'BASE_CIERRE'!$J$5:$J$458,"Text/language",'BASE_CIERRE'!$I$5:$I$458,"Deep Learning",'BASE_CIERRE'!$U$5:$U$458,"Not ascertainable")</ns0:f>
        <ns0:v>0</ns0:v>
      </ns0:c>
      <ns0:c r="I108" s="29">
        <ns0:f>SUM(F108:H108)</ns0:f>
        <ns0:v>5</ns0:v>
      </ns0:c>
      <ns0:c r="J108" s="32">
        <ns0:f>IFERROR(F108/I108,0)</ns0:f>
        <ns0:v>0</ns0:v>
      </ns0:c>
      <ns0:c r="K108" s="32">
        <ns0:f>IFERROR(F108/(I108-H108),0)</ns0:f>
        <ns0:v>0</ns0:v>
      </ns0:c>
      <ns0:c r="L108" s="21" t="inlineStr">
        <ns0:is>
          <ns0:t>84; new_93; new_197; new_263; new_231</ns0:t>
        </ns0:is>
      </ns0:c>
    </ns0:row>
    <ns0:row r="109" ht="32" customHeight="1">
      <ns0:c r="A109" s="19" t="inlineStr">
        <ns0:is>
          <ns0:t>Monitoring/intervention</ns0:t>
        </ns0:is>
      </ns0:c>
      <ns0:c r="B109" s="19" t="inlineStr">
        <ns0:is>
          <ns0:t>Audio/voice</ns0:t>
        </ns0:is>
      </ns0:c>
      <ns0:c r="C109" s="19" t="inlineStr">
        <ns0:is>
          <ns0:t>Deep Learning</ns0:t>
        </ns0:is>
      </ns0:c>
      <ns0:c r="D109" s="19" t="inlineStr">
        <ns0:is>
          <ns0:t>External validation</ns0:t>
        </ns0:is>
      </ns0:c>
      <ns0:c r="E109" s="19" t="inlineStr">
        <ns0:is>
          <ns0:t>external_validation</ns0:t>
        </ns0:is>
      </ns0:c>
      <ns0:c r="F109" s="27">
        <ns0:f>COUNTIFS('BASE_CIERRE'!$G$5:$G$458,1,'BASE_CIERRE'!$H$5:$H$458,"Monitoring/intervention",'BASE_CIERRE'!$J$5:$J$458,"Audio/voice",'BASE_CIERRE'!$I$5:$I$458,"Deep Learning",'BASE_CIERRE'!$Q$5:$Q$458,"Reported")</ns0:f>
        <ns0:v>0</ns0:v>
      </ns0:c>
      <ns0:c r="G109" s="27">
        <ns0:f>COUNTIFS('BASE_CIERRE'!$G$5:$G$458,1,'BASE_CIERRE'!$H$5:$H$458,"Monitoring/intervention",'BASE_CIERRE'!$J$5:$J$458,"Audio/voice",'BASE_CIERRE'!$I$5:$I$458,"Deep Learning",'BASE_CIERRE'!$Q$5:$Q$458,"Not reported in assessed sources")</ns0:f>
        <ns0:v>1</ns0:v>
      </ns0:c>
      <ns0:c r="H109" s="27">
        <ns0:f>COUNTIFS('BASE_CIERRE'!$G$5:$G$458,1,'BASE_CIERRE'!$H$5:$H$458,"Monitoring/intervention",'BASE_CIERRE'!$J$5:$J$458,"Audio/voice",'BASE_CIERRE'!$I$5:$I$458,"Deep Learning",'BASE_CIERRE'!$Q$5:$Q$458,"Not ascertainable")</ns0:f>
        <ns0:v>0</ns0:v>
      </ns0:c>
      <ns0:c r="I109" s="27">
        <ns0:f>SUM(F109:H109)</ns0:f>
        <ns0:v>1</ns0:v>
      </ns0:c>
      <ns0:c r="J109" s="31">
        <ns0:f>IFERROR(F109/I109,0)</ns0:f>
        <ns0:v>0</ns0:v>
      </ns0:c>
      <ns0:c r="K109" s="31">
        <ns0:f>IFERROR(F109/(I109-H109),0)</ns0:f>
        <ns0:v>0</ns0:v>
      </ns0:c>
      <ns0:c r="L109" s="19" t="inlineStr">
        <ns0:is>
          <ns0:t>new_216</ns0:t>
        </ns0:is>
      </ns0:c>
    </ns0:row>
    <ns0:row r="110" ht="32" customHeight="1">
      <ns0:c r="A110" s="21" t="inlineStr">
        <ns0:is>
          <ns0:t>Monitoring/intervention</ns0:t>
        </ns0:is>
      </ns0:c>
      <ns0:c r="B110" s="21" t="inlineStr">
        <ns0:is>
          <ns0:t>Audio/voice</ns0:t>
        </ns0:is>
      </ns0:c>
      <ns0:c r="C110" s="21" t="inlineStr">
        <ns0:is>
          <ns0:t>Deep Learning</ns0:t>
        </ns0:is>
      </ns0:c>
      <ns0:c r="D110" s="21" t="inlineStr">
        <ns0:is>
          <ns0:t>Multisource integration</ns0:t>
        </ns0:is>
      </ns0:c>
      <ns0:c r="E110" s="21" t="inlineStr">
        <ns0:is>
          <ns0:t>multisource_integration</ns0:t>
        </ns0:is>
      </ns0:c>
      <ns0:c r="F110" s="29">
        <ns0:f>COUNTIFS('BASE_CIERRE'!$G$5:$G$458,1,'BASE_CIERRE'!$H$5:$H$458,"Monitoring/intervention",'BASE_CIERRE'!$J$5:$J$458,"Audio/voice",'BASE_CIERRE'!$I$5:$I$458,"Deep Learning",'BASE_CIERRE'!$R$5:$R$458,"Reported")</ns0:f>
        <ns0:v>0</ns0:v>
      </ns0:c>
      <ns0:c r="G110" s="29">
        <ns0:f>COUNTIFS('BASE_CIERRE'!$G$5:$G$458,1,'BASE_CIERRE'!$H$5:$H$458,"Monitoring/intervention",'BASE_CIERRE'!$J$5:$J$458,"Audio/voice",'BASE_CIERRE'!$I$5:$I$458,"Deep Learning",'BASE_CIERRE'!$R$5:$R$458,"Not reported in assessed sources")</ns0:f>
        <ns0:v>1</ns0:v>
      </ns0:c>
      <ns0:c r="H110" s="29">
        <ns0:f>COUNTIFS('BASE_CIERRE'!$G$5:$G$458,1,'BASE_CIERRE'!$H$5:$H$458,"Monitoring/intervention",'BASE_CIERRE'!$J$5:$J$458,"Audio/voice",'BASE_CIERRE'!$I$5:$I$458,"Deep Learning",'BASE_CIERRE'!$R$5:$R$458,"Not ascertainable")</ns0:f>
        <ns0:v>0</ns0:v>
      </ns0:c>
      <ns0:c r="I110" s="29">
        <ns0:f>SUM(F110:H110)</ns0:f>
        <ns0:v>1</ns0:v>
      </ns0:c>
      <ns0:c r="J110" s="32">
        <ns0:f>IFERROR(F110/I110,0)</ns0:f>
        <ns0:v>0</ns0:v>
      </ns0:c>
      <ns0:c r="K110" s="32">
        <ns0:f>IFERROR(F110/(I110-H110),0)</ns0:f>
        <ns0:v>0</ns0:v>
      </ns0:c>
      <ns0:c r="L110" s="21" t="inlineStr">
        <ns0:is>
          <ns0:t>new_216</ns0:t>
        </ns0:is>
      </ns0:c>
    </ns0:row>
    <ns0:row r="111" ht="32" customHeight="1">
      <ns0:c r="A111" s="19" t="inlineStr">
        <ns0:is>
          <ns0:t>Monitoring/intervention</ns0:t>
        </ns0:is>
      </ns0:c>
      <ns0:c r="B111" s="19" t="inlineStr">
        <ns0:is>
          <ns0:t>Audio/voice</ns0:t>
        </ns0:is>
      </ns0:c>
      <ns0:c r="C111" s="19" t="inlineStr">
        <ns0:is>
          <ns0:t>Deep Learning</ns0:t>
        </ns0:is>
      </ns0:c>
      <ns0:c r="D111" s="19" t="inlineStr">
        <ns0:is>
          <ns0:t>Explicit explainability (broad)</ns0:t>
        </ns0:is>
      </ns0:c>
      <ns0:c r="E111" s="19" t="inlineStr">
        <ns0:is>
          <ns0:t>xai_broad</ns0:t>
        </ns0:is>
      </ns0:c>
      <ns0:c r="F111" s="27">
        <ns0:f>COUNTIFS('BASE_CIERRE'!$G$5:$G$458,1,'BASE_CIERRE'!$H$5:$H$458,"Monitoring/intervention",'BASE_CIERRE'!$J$5:$J$458,"Audio/voice",'BASE_CIERRE'!$I$5:$I$458,"Deep Learning",'BASE_CIERRE'!$S$5:$S$458,"Reported")</ns0:f>
        <ns0:v>0</ns0:v>
      </ns0:c>
      <ns0:c r="G111" s="27">
        <ns0:f>COUNTIFS('BASE_CIERRE'!$G$5:$G$458,1,'BASE_CIERRE'!$H$5:$H$458,"Monitoring/intervention",'BASE_CIERRE'!$J$5:$J$458,"Audio/voice",'BASE_CIERRE'!$I$5:$I$458,"Deep Learning",'BASE_CIERRE'!$S$5:$S$458,"Not reported in assessed sources")</ns0:f>
        <ns0:v>1</ns0:v>
      </ns0:c>
      <ns0:c r="H111" s="27">
        <ns0:f>COUNTIFS('BASE_CIERRE'!$G$5:$G$458,1,'BASE_CIERRE'!$H$5:$H$458,"Monitoring/intervention",'BASE_CIERRE'!$J$5:$J$458,"Audio/voice",'BASE_CIERRE'!$I$5:$I$458,"Deep Learning",'BASE_CIERRE'!$S$5:$S$458,"Not ascertainable")</ns0:f>
        <ns0:v>0</ns0:v>
      </ns0:c>
      <ns0:c r="I111" s="27">
        <ns0:f>SUM(F111:H111)</ns0:f>
        <ns0:v>1</ns0:v>
      </ns0:c>
      <ns0:c r="J111" s="31">
        <ns0:f>IFERROR(F111/I111,0)</ns0:f>
        <ns0:v>0</ns0:v>
      </ns0:c>
      <ns0:c r="K111" s="31">
        <ns0:f>IFERROR(F111/(I111-H111),0)</ns0:f>
        <ns0:v>0</ns0:v>
      </ns0:c>
      <ns0:c r="L111" s="19" t="inlineStr">
        <ns0:is>
          <ns0:t>new_216</ns0:t>
        </ns0:is>
      </ns0:c>
    </ns0:row>
    <ns0:row r="112" ht="32" customHeight="1">
      <ns0:c r="A112" s="21" t="inlineStr">
        <ns0:is>
          <ns0:t>Monitoring/intervention</ns0:t>
        </ns0:is>
      </ns0:c>
      <ns0:c r="B112" s="21" t="inlineStr">
        <ns0:is>
          <ns0:t>Audio/voice</ns0:t>
        </ns0:is>
      </ns0:c>
      <ns0:c r="C112" s="21" t="inlineStr">
        <ns0:is>
          <ns0:t>Deep Learning</ns0:t>
        </ns0:is>
      </ns0:c>
      <ns0:c r="D112" s="21" t="inlineStr">
        <ns0:is>
          <ns0:t>Cross-site evaluation</ns0:t>
        </ns0:is>
      </ns0:c>
      <ns0:c r="E112" s="21" t="inlineStr">
        <ns0:is>
          <ns0:t>cross_site_robustness</ns0:t>
        </ns0:is>
      </ns0:c>
      <ns0:c r="F112" s="29">
        <ns0:f>COUNTIFS('BASE_CIERRE'!$G$5:$G$458,1,'BASE_CIERRE'!$H$5:$H$458,"Monitoring/intervention",'BASE_CIERRE'!$J$5:$J$458,"Audio/voice",'BASE_CIERRE'!$I$5:$I$458,"Deep Learning",'BASE_CIERRE'!$U$5:$U$458,"Reported")</ns0:f>
        <ns0:v>0</ns0:v>
      </ns0:c>
      <ns0:c r="G112" s="29">
        <ns0:f>COUNTIFS('BASE_CIERRE'!$G$5:$G$458,1,'BASE_CIERRE'!$H$5:$H$458,"Monitoring/intervention",'BASE_CIERRE'!$J$5:$J$458,"Audio/voice",'BASE_CIERRE'!$I$5:$I$458,"Deep Learning",'BASE_CIERRE'!$U$5:$U$458,"Not reported in assessed sources")</ns0:f>
        <ns0:v>1</ns0:v>
      </ns0:c>
      <ns0:c r="H112" s="29">
        <ns0:f>COUNTIFS('BASE_CIERRE'!$G$5:$G$458,1,'BASE_CIERRE'!$H$5:$H$458,"Monitoring/intervention",'BASE_CIERRE'!$J$5:$J$458,"Audio/voice",'BASE_CIERRE'!$I$5:$I$458,"Deep Learning",'BASE_CIERRE'!$U$5:$U$458,"Not ascertainable")</ns0:f>
        <ns0:v>0</ns0:v>
      </ns0:c>
      <ns0:c r="I112" s="29">
        <ns0:f>SUM(F112:H112)</ns0:f>
        <ns0:v>1</ns0:v>
      </ns0:c>
      <ns0:c r="J112" s="32">
        <ns0:f>IFERROR(F112/I112,0)</ns0:f>
        <ns0:v>0</ns0:v>
      </ns0:c>
      <ns0:c r="K112" s="32">
        <ns0:f>IFERROR(F112/(I112-H112),0)</ns0:f>
        <ns0:v>0</ns0:v>
      </ns0:c>
      <ns0:c r="L112" s="21" t="inlineStr">
        <ns0:is>
          <ns0:t>new_216</ns0:t>
        </ns0:is>
      </ns0:c>
    </ns0:row>
    <ns0:row r="113" ht="32" customHeight="1">
      <ns0:c r="A113" s="19" t="inlineStr">
        <ns0:is>
          <ns0:t>Monitoring/intervention</ns0:t>
        </ns0:is>
      </ns0:c>
      <ns0:c r="B113" s="19" t="inlineStr">
        <ns0:is>
          <ns0:t>Audio/voice</ns0:t>
        </ns0:is>
      </ns0:c>
      <ns0:c r="C113" s="19" t="inlineStr">
        <ns0:is>
          <ns0:t>Not specified</ns0:t>
        </ns0:is>
      </ns0:c>
      <ns0:c r="D113" s="19" t="inlineStr">
        <ns0:is>
          <ns0:t>External validation</ns0:t>
        </ns0:is>
      </ns0:c>
      <ns0:c r="E113" s="19" t="inlineStr">
        <ns0:is>
          <ns0:t>external_validation</ns0:t>
        </ns0:is>
      </ns0:c>
      <ns0:c r="F113" s="27">
        <ns0:f>COUNTIFS('BASE_CIERRE'!$G$5:$G$458,1,'BASE_CIERRE'!$H$5:$H$458,"Monitoring/intervention",'BASE_CIERRE'!$J$5:$J$458,"Audio/voice",'BASE_CIERRE'!$I$5:$I$458,"Not specified",'BASE_CIERRE'!$Q$5:$Q$458,"Reported")</ns0:f>
        <ns0:v>0</ns0:v>
      </ns0:c>
      <ns0:c r="G113" s="27">
        <ns0:f>COUNTIFS('BASE_CIERRE'!$G$5:$G$458,1,'BASE_CIERRE'!$H$5:$H$458,"Monitoring/intervention",'BASE_CIERRE'!$J$5:$J$458,"Audio/voice",'BASE_CIERRE'!$I$5:$I$458,"Not specified",'BASE_CIERRE'!$Q$5:$Q$458,"Not reported in assessed sources")</ns0:f>
        <ns0:v>1</ns0:v>
      </ns0:c>
      <ns0:c r="H113" s="27">
        <ns0:f>COUNTIFS('BASE_CIERRE'!$G$5:$G$458,1,'BASE_CIERRE'!$H$5:$H$458,"Monitoring/intervention",'BASE_CIERRE'!$J$5:$J$458,"Audio/voice",'BASE_CIERRE'!$I$5:$I$458,"Not specified",'BASE_CIERRE'!$Q$5:$Q$458,"Not ascertainable")</ns0:f>
        <ns0:v>0</ns0:v>
      </ns0:c>
      <ns0:c r="I113" s="27">
        <ns0:f>SUM(F113:H113)</ns0:f>
        <ns0:v>1</ns0:v>
      </ns0:c>
      <ns0:c r="J113" s="31">
        <ns0:f>IFERROR(F113/I113,0)</ns0:f>
        <ns0:v>0</ns0:v>
      </ns0:c>
      <ns0:c r="K113" s="31">
        <ns0:f>IFERROR(F113/(I113-H113),0)</ns0:f>
        <ns0:v>0</ns0:v>
      </ns0:c>
      <ns0:c r="L113" s="19" t="inlineStr">
        <ns0:is>
          <ns0:t>new_97</ns0:t>
        </ns0:is>
      </ns0:c>
    </ns0:row>
    <ns0:row r="114" ht="32" customHeight="1">
      <ns0:c r="A114" s="21" t="inlineStr">
        <ns0:is>
          <ns0:t>Monitoring/intervention</ns0:t>
        </ns0:is>
      </ns0:c>
      <ns0:c r="B114" s="21" t="inlineStr">
        <ns0:is>
          <ns0:t>Audio/voice</ns0:t>
        </ns0:is>
      </ns0:c>
      <ns0:c r="C114" s="21" t="inlineStr">
        <ns0:is>
          <ns0:t>Not specified</ns0:t>
        </ns0:is>
      </ns0:c>
      <ns0:c r="D114" s="21" t="inlineStr">
        <ns0:is>
          <ns0:t>Multisource integration</ns0:t>
        </ns0:is>
      </ns0:c>
      <ns0:c r="E114" s="21" t="inlineStr">
        <ns0:is>
          <ns0:t>multisource_integration</ns0:t>
        </ns0:is>
      </ns0:c>
      <ns0:c r="F114" s="29">
        <ns0:f>COUNTIFS('BASE_CIERRE'!$G$5:$G$458,1,'BASE_CIERRE'!$H$5:$H$458,"Monitoring/intervention",'BASE_CIERRE'!$J$5:$J$458,"Audio/voice",'BASE_CIERRE'!$I$5:$I$458,"Not specified",'BASE_CIERRE'!$R$5:$R$458,"Reported")</ns0:f>
        <ns0:v>0</ns0:v>
      </ns0:c>
      <ns0:c r="G114" s="29">
        <ns0:f>COUNTIFS('BASE_CIERRE'!$G$5:$G$458,1,'BASE_CIERRE'!$H$5:$H$458,"Monitoring/intervention",'BASE_CIERRE'!$J$5:$J$458,"Audio/voice",'BASE_CIERRE'!$I$5:$I$458,"Not specified",'BASE_CIERRE'!$R$5:$R$458,"Not reported in assessed sources")</ns0:f>
        <ns0:v>1</ns0:v>
      </ns0:c>
      <ns0:c r="H114" s="29">
        <ns0:f>COUNTIFS('BASE_CIERRE'!$G$5:$G$458,1,'BASE_CIERRE'!$H$5:$H$458,"Monitoring/intervention",'BASE_CIERRE'!$J$5:$J$458,"Audio/voice",'BASE_CIERRE'!$I$5:$I$458,"Not specified",'BASE_CIERRE'!$R$5:$R$458,"Not ascertainable")</ns0:f>
        <ns0:v>0</ns0:v>
      </ns0:c>
      <ns0:c r="I114" s="29">
        <ns0:f>SUM(F114:H114)</ns0:f>
        <ns0:v>1</ns0:v>
      </ns0:c>
      <ns0:c r="J114" s="32">
        <ns0:f>IFERROR(F114/I114,0)</ns0:f>
        <ns0:v>0</ns0:v>
      </ns0:c>
      <ns0:c r="K114" s="32">
        <ns0:f>IFERROR(F114/(I114-H114),0)</ns0:f>
        <ns0:v>0</ns0:v>
      </ns0:c>
      <ns0:c r="L114" s="21" t="inlineStr">
        <ns0:is>
          <ns0:t>new_97</ns0:t>
        </ns0:is>
      </ns0:c>
    </ns0:row>
    <ns0:row r="115" ht="32" customHeight="1">
      <ns0:c r="A115" s="19" t="inlineStr">
        <ns0:is>
          <ns0:t>Monitoring/intervention</ns0:t>
        </ns0:is>
      </ns0:c>
      <ns0:c r="B115" s="19" t="inlineStr">
        <ns0:is>
          <ns0:t>Audio/voice</ns0:t>
        </ns0:is>
      </ns0:c>
      <ns0:c r="C115" s="19" t="inlineStr">
        <ns0:is>
          <ns0:t>Not specified</ns0:t>
        </ns0:is>
      </ns0:c>
      <ns0:c r="D115" s="19" t="inlineStr">
        <ns0:is>
          <ns0:t>Explicit explainability (broad)</ns0:t>
        </ns0:is>
      </ns0:c>
      <ns0:c r="E115" s="19" t="inlineStr">
        <ns0:is>
          <ns0:t>xai_broad</ns0:t>
        </ns0:is>
      </ns0:c>
      <ns0:c r="F115" s="27">
        <ns0:f>COUNTIFS('BASE_CIERRE'!$G$5:$G$458,1,'BASE_CIERRE'!$H$5:$H$458,"Monitoring/intervention",'BASE_CIERRE'!$J$5:$J$458,"Audio/voice",'BASE_CIERRE'!$I$5:$I$458,"Not specified",'BASE_CIERRE'!$S$5:$S$458,"Reported")</ns0:f>
        <ns0:v>0</ns0:v>
      </ns0:c>
      <ns0:c r="G115" s="27">
        <ns0:f>COUNTIFS('BASE_CIERRE'!$G$5:$G$458,1,'BASE_CIERRE'!$H$5:$H$458,"Monitoring/intervention",'BASE_CIERRE'!$J$5:$J$458,"Audio/voice",'BASE_CIERRE'!$I$5:$I$458,"Not specified",'BASE_CIERRE'!$S$5:$S$458,"Not reported in assessed sources")</ns0:f>
        <ns0:v>1</ns0:v>
      </ns0:c>
      <ns0:c r="H115" s="27">
        <ns0:f>COUNTIFS('BASE_CIERRE'!$G$5:$G$458,1,'BASE_CIERRE'!$H$5:$H$458,"Monitoring/intervention",'BASE_CIERRE'!$J$5:$J$458,"Audio/voice",'BASE_CIERRE'!$I$5:$I$458,"Not specified",'BASE_CIERRE'!$S$5:$S$458,"Not ascertainable")</ns0:f>
        <ns0:v>0</ns0:v>
      </ns0:c>
      <ns0:c r="I115" s="27">
        <ns0:f>SUM(F115:H115)</ns0:f>
        <ns0:v>1</ns0:v>
      </ns0:c>
      <ns0:c r="J115" s="31">
        <ns0:f>IFERROR(F115/I115,0)</ns0:f>
        <ns0:v>0</ns0:v>
      </ns0:c>
      <ns0:c r="K115" s="31">
        <ns0:f>IFERROR(F115/(I115-H115),0)</ns0:f>
        <ns0:v>0</ns0:v>
      </ns0:c>
      <ns0:c r="L115" s="19" t="inlineStr">
        <ns0:is>
          <ns0:t>new_97</ns0:t>
        </ns0:is>
      </ns0:c>
    </ns0:row>
    <ns0:row r="116" ht="32" customHeight="1">
      <ns0:c r="A116" s="21" t="inlineStr">
        <ns0:is>
          <ns0:t>Monitoring/intervention</ns0:t>
        </ns0:is>
      </ns0:c>
      <ns0:c r="B116" s="21" t="inlineStr">
        <ns0:is>
          <ns0:t>Audio/voice</ns0:t>
        </ns0:is>
      </ns0:c>
      <ns0:c r="C116" s="21" t="inlineStr">
        <ns0:is>
          <ns0:t>Not specified</ns0:t>
        </ns0:is>
      </ns0:c>
      <ns0:c r="D116" s="21" t="inlineStr">
        <ns0:is>
          <ns0:t>Cross-site evaluation</ns0:t>
        </ns0:is>
      </ns0:c>
      <ns0:c r="E116" s="21" t="inlineStr">
        <ns0:is>
          <ns0:t>cross_site_robustness</ns0:t>
        </ns0:is>
      </ns0:c>
      <ns0:c r="F116" s="29">
        <ns0:f>COUNTIFS('BASE_CIERRE'!$G$5:$G$458,1,'BASE_CIERRE'!$H$5:$H$458,"Monitoring/intervention",'BASE_CIERRE'!$J$5:$J$458,"Audio/voice",'BASE_CIERRE'!$I$5:$I$458,"Not specified",'BASE_CIERRE'!$U$5:$U$458,"Reported")</ns0:f>
        <ns0:v>0</ns0:v>
      </ns0:c>
      <ns0:c r="G116" s="29">
        <ns0:f>COUNTIFS('BASE_CIERRE'!$G$5:$G$458,1,'BASE_CIERRE'!$H$5:$H$458,"Monitoring/intervention",'BASE_CIERRE'!$J$5:$J$458,"Audio/voice",'BASE_CIERRE'!$I$5:$I$458,"Not specified",'BASE_CIERRE'!$U$5:$U$458,"Not reported in assessed sources")</ns0:f>
        <ns0:v>1</ns0:v>
      </ns0:c>
      <ns0:c r="H116" s="29">
        <ns0:f>COUNTIFS('BASE_CIERRE'!$G$5:$G$458,1,'BASE_CIERRE'!$H$5:$H$458,"Monitoring/intervention",'BASE_CIERRE'!$J$5:$J$458,"Audio/voice",'BASE_CIERRE'!$I$5:$I$458,"Not specified",'BASE_CIERRE'!$U$5:$U$458,"Not ascertainable")</ns0:f>
        <ns0:v>0</ns0:v>
      </ns0:c>
      <ns0:c r="I116" s="29">
        <ns0:f>SUM(F116:H116)</ns0:f>
        <ns0:v>1</ns0:v>
      </ns0:c>
      <ns0:c r="J116" s="32">
        <ns0:f>IFERROR(F116/I116,0)</ns0:f>
        <ns0:v>0</ns0:v>
      </ns0:c>
      <ns0:c r="K116" s="32">
        <ns0:f>IFERROR(F116/(I116-H116),0)</ns0:f>
        <ns0:v>0</ns0:v>
      </ns0:c>
      <ns0:c r="L116" s="21" t="inlineStr">
        <ns0:is>
          <ns0:t>new_97</ns0:t>
        </ns0:is>
      </ns0:c>
    </ns0:row>
    <ns0:row r="117" ht="32" customHeight="1">
      <ns0:c r="A117" s="19" t="inlineStr">
        <ns0:is>
          <ns0:t>Monitoring/intervention</ns0:t>
        </ns0:is>
      </ns0:c>
      <ns0:c r="B117" s="19" t="inlineStr">
        <ns0:is>
          <ns0:t>Behavioral images/video/gaze/movement</ns0:t>
        </ns0:is>
      </ns0:c>
      <ns0:c r="C117" s="19" t="inlineStr">
        <ns0:is>
          <ns0:t>Deep Learning</ns0:t>
        </ns0:is>
      </ns0:c>
      <ns0:c r="D117" s="19" t="inlineStr">
        <ns0:is>
          <ns0:t>External validation</ns0:t>
        </ns0:is>
      </ns0:c>
      <ns0:c r="E117" s="19" t="inlineStr">
        <ns0:is>
          <ns0:t>external_validation</ns0:t>
        </ns0:is>
      </ns0:c>
      <ns0:c r="F117" s="27">
        <ns0:f>COUNTIFS('BASE_CIERRE'!$G$5:$G$458,1,'BASE_CIERRE'!$H$5:$H$458,"Monitoring/intervention",'BASE_CIERRE'!$J$5:$J$458,"Behavioral images/video/gaze/movement",'BASE_CIERRE'!$I$5:$I$458,"Deep Learning",'BASE_CIERRE'!$Q$5:$Q$458,"Reported")</ns0:f>
        <ns0:v>0</ns0:v>
      </ns0:c>
      <ns0:c r="G117" s="27">
        <ns0:f>COUNTIFS('BASE_CIERRE'!$G$5:$G$458,1,'BASE_CIERRE'!$H$5:$H$458,"Monitoring/intervention",'BASE_CIERRE'!$J$5:$J$458,"Behavioral images/video/gaze/movement",'BASE_CIERRE'!$I$5:$I$458,"Deep Learning",'BASE_CIERRE'!$Q$5:$Q$458,"Not reported in assessed sources")</ns0:f>
        <ns0:v>7</ns0:v>
      </ns0:c>
      <ns0:c r="H117" s="27">
        <ns0:f>COUNTIFS('BASE_CIERRE'!$G$5:$G$458,1,'BASE_CIERRE'!$H$5:$H$458,"Monitoring/intervention",'BASE_CIERRE'!$J$5:$J$458,"Behavioral images/video/gaze/movement",'BASE_CIERRE'!$I$5:$I$458,"Deep Learning",'BASE_CIERRE'!$Q$5:$Q$458,"Not ascertainable")</ns0:f>
        <ns0:v>0</ns0:v>
      </ns0:c>
      <ns0:c r="I117" s="27">
        <ns0:f>SUM(F117:H117)</ns0:f>
        <ns0:v>7</ns0:v>
      </ns0:c>
      <ns0:c r="J117" s="31">
        <ns0:f>IFERROR(F117/I117,0)</ns0:f>
        <ns0:v>0</ns0:v>
      </ns0:c>
      <ns0:c r="K117" s="31">
        <ns0:f>IFERROR(F117/(I117-H117),0)</ns0:f>
        <ns0:v>0</ns0:v>
      </ns0:c>
      <ns0:c r="L117" s="19" t="inlineStr">
        <ns0:is>
          <ns0:t>67; 274; new_247; new_428; new_4; new_199; new_421</ns0:t>
        </ns0:is>
      </ns0:c>
    </ns0:row>
    <ns0:row r="118" ht="32" customHeight="1">
      <ns0:c r="A118" s="21" t="inlineStr">
        <ns0:is>
          <ns0:t>Monitoring/intervention</ns0:t>
        </ns0:is>
      </ns0:c>
      <ns0:c r="B118" s="21" t="inlineStr">
        <ns0:is>
          <ns0:t>Behavioral images/video/gaze/movement</ns0:t>
        </ns0:is>
      </ns0:c>
      <ns0:c r="C118" s="21" t="inlineStr">
        <ns0:is>
          <ns0:t>Deep Learning</ns0:t>
        </ns0:is>
      </ns0:c>
      <ns0:c r="D118" s="21" t="inlineStr">
        <ns0:is>
          <ns0:t>Multisource integration</ns0:t>
        </ns0:is>
      </ns0:c>
      <ns0:c r="E118" s="21" t="inlineStr">
        <ns0:is>
          <ns0:t>multisource_integration</ns0:t>
        </ns0:is>
      </ns0:c>
      <ns0:c r="F118" s="29">
        <ns0:f>COUNTIFS('BASE_CIERRE'!$G$5:$G$458,1,'BASE_CIERRE'!$H$5:$H$458,"Monitoring/intervention",'BASE_CIERRE'!$J$5:$J$458,"Behavioral images/video/gaze/movement",'BASE_CIERRE'!$I$5:$I$458,"Deep Learning",'BASE_CIERRE'!$R$5:$R$458,"Reported")</ns0:f>
        <ns0:v>0</ns0:v>
      </ns0:c>
      <ns0:c r="G118" s="29">
        <ns0:f>COUNTIFS('BASE_CIERRE'!$G$5:$G$458,1,'BASE_CIERRE'!$H$5:$H$458,"Monitoring/intervention",'BASE_CIERRE'!$J$5:$J$458,"Behavioral images/video/gaze/movement",'BASE_CIERRE'!$I$5:$I$458,"Deep Learning",'BASE_CIERRE'!$R$5:$R$458,"Not reported in assessed sources")</ns0:f>
        <ns0:v>7</ns0:v>
      </ns0:c>
      <ns0:c r="H118" s="29">
        <ns0:f>COUNTIFS('BASE_CIERRE'!$G$5:$G$458,1,'BASE_CIERRE'!$H$5:$H$458,"Monitoring/intervention",'BASE_CIERRE'!$J$5:$J$458,"Behavioral images/video/gaze/movement",'BASE_CIERRE'!$I$5:$I$458,"Deep Learning",'BASE_CIERRE'!$R$5:$R$458,"Not ascertainable")</ns0:f>
        <ns0:v>0</ns0:v>
      </ns0:c>
      <ns0:c r="I118" s="29">
        <ns0:f>SUM(F118:H118)</ns0:f>
        <ns0:v>7</ns0:v>
      </ns0:c>
      <ns0:c r="J118" s="32">
        <ns0:f>IFERROR(F118/I118,0)</ns0:f>
        <ns0:v>0</ns0:v>
      </ns0:c>
      <ns0:c r="K118" s="32">
        <ns0:f>IFERROR(F118/(I118-H118),0)</ns0:f>
        <ns0:v>0</ns0:v>
      </ns0:c>
      <ns0:c r="L118" s="21" t="inlineStr">
        <ns0:is>
          <ns0:t>67; 274; new_247; new_428; new_4; new_199; new_421</ns0:t>
        </ns0:is>
      </ns0:c>
    </ns0:row>
    <ns0:row r="119" ht="32" customHeight="1">
      <ns0:c r="A119" s="19" t="inlineStr">
        <ns0:is>
          <ns0:t>Monitoring/intervention</ns0:t>
        </ns0:is>
      </ns0:c>
      <ns0:c r="B119" s="19" t="inlineStr">
        <ns0:is>
          <ns0:t>Behavioral images/video/gaze/movement</ns0:t>
        </ns0:is>
      </ns0:c>
      <ns0:c r="C119" s="19" t="inlineStr">
        <ns0:is>
          <ns0:t>Deep Learning</ns0:t>
        </ns0:is>
      </ns0:c>
      <ns0:c r="D119" s="19" t="inlineStr">
        <ns0:is>
          <ns0:t>Explicit explainability (broad)</ns0:t>
        </ns0:is>
      </ns0:c>
      <ns0:c r="E119" s="19" t="inlineStr">
        <ns0:is>
          <ns0:t>xai_broad</ns0:t>
        </ns0:is>
      </ns0:c>
      <ns0:c r="F119" s="27">
        <ns0:f>COUNTIFS('BASE_CIERRE'!$G$5:$G$458,1,'BASE_CIERRE'!$H$5:$H$458,"Monitoring/intervention",'BASE_CIERRE'!$J$5:$J$458,"Behavioral images/video/gaze/movement",'BASE_CIERRE'!$I$5:$I$458,"Deep Learning",'BASE_CIERRE'!$S$5:$S$458,"Reported")</ns0:f>
        <ns0:v>1</ns0:v>
      </ns0:c>
      <ns0:c r="G119" s="27">
        <ns0:f>COUNTIFS('BASE_CIERRE'!$G$5:$G$458,1,'BASE_CIERRE'!$H$5:$H$458,"Monitoring/intervention",'BASE_CIERRE'!$J$5:$J$458,"Behavioral images/video/gaze/movement",'BASE_CIERRE'!$I$5:$I$458,"Deep Learning",'BASE_CIERRE'!$S$5:$S$458,"Not reported in assessed sources")</ns0:f>
        <ns0:v>6</ns0:v>
      </ns0:c>
      <ns0:c r="H119" s="27">
        <ns0:f>COUNTIFS('BASE_CIERRE'!$G$5:$G$458,1,'BASE_CIERRE'!$H$5:$H$458,"Monitoring/intervention",'BASE_CIERRE'!$J$5:$J$458,"Behavioral images/video/gaze/movement",'BASE_CIERRE'!$I$5:$I$458,"Deep Learning",'BASE_CIERRE'!$S$5:$S$458,"Not ascertainable")</ns0:f>
        <ns0:v>0</ns0:v>
      </ns0:c>
      <ns0:c r="I119" s="27">
        <ns0:f>SUM(F119:H119)</ns0:f>
        <ns0:v>7</ns0:v>
      </ns0:c>
      <ns0:c r="J119" s="31">
        <ns0:f>IFERROR(F119/I119,0)</ns0:f>
        <ns0:v>0.14285714285714285</ns0:v>
      </ns0:c>
      <ns0:c r="K119" s="31">
        <ns0:f>IFERROR(F119/(I119-H119),0)</ns0:f>
        <ns0:v>0.14285714285714285</ns0:v>
      </ns0:c>
      <ns0:c r="L119" s="19" t="inlineStr">
        <ns0:is>
          <ns0:t>67; 274; new_247; new_428; new_4; new_199; new_421</ns0:t>
        </ns0:is>
      </ns0:c>
    </ns0:row>
    <ns0:row r="120" ht="32" customHeight="1">
      <ns0:c r="A120" s="21" t="inlineStr">
        <ns0:is>
          <ns0:t>Monitoring/intervention</ns0:t>
        </ns0:is>
      </ns0:c>
      <ns0:c r="B120" s="21" t="inlineStr">
        <ns0:is>
          <ns0:t>Behavioral images/video/gaze/movement</ns0:t>
        </ns0:is>
      </ns0:c>
      <ns0:c r="C120" s="21" t="inlineStr">
        <ns0:is>
          <ns0:t>Deep Learning</ns0:t>
        </ns0:is>
      </ns0:c>
      <ns0:c r="D120" s="21" t="inlineStr">
        <ns0:is>
          <ns0:t>Cross-site evaluation</ns0:t>
        </ns0:is>
      </ns0:c>
      <ns0:c r="E120" s="21" t="inlineStr">
        <ns0:is>
          <ns0:t>cross_site_robustness</ns0:t>
        </ns0:is>
      </ns0:c>
      <ns0:c r="F120" s="29">
        <ns0:f>COUNTIFS('BASE_CIERRE'!$G$5:$G$458,1,'BASE_CIERRE'!$H$5:$H$458,"Monitoring/intervention",'BASE_CIERRE'!$J$5:$J$458,"Behavioral images/video/gaze/movement",'BASE_CIERRE'!$I$5:$I$458,"Deep Learning",'BASE_CIERRE'!$U$5:$U$458,"Reported")</ns0:f>
        <ns0:v>0</ns0:v>
      </ns0:c>
      <ns0:c r="G120" s="29">
        <ns0:f>COUNTIFS('BASE_CIERRE'!$G$5:$G$458,1,'BASE_CIERRE'!$H$5:$H$458,"Monitoring/intervention",'BASE_CIERRE'!$J$5:$J$458,"Behavioral images/video/gaze/movement",'BASE_CIERRE'!$I$5:$I$458,"Deep Learning",'BASE_CIERRE'!$U$5:$U$458,"Not reported in assessed sources")</ns0:f>
        <ns0:v>7</ns0:v>
      </ns0:c>
      <ns0:c r="H120" s="29">
        <ns0:f>COUNTIFS('BASE_CIERRE'!$G$5:$G$458,1,'BASE_CIERRE'!$H$5:$H$458,"Monitoring/intervention",'BASE_CIERRE'!$J$5:$J$458,"Behavioral images/video/gaze/movement",'BASE_CIERRE'!$I$5:$I$458,"Deep Learning",'BASE_CIERRE'!$U$5:$U$458,"Not ascertainable")</ns0:f>
        <ns0:v>0</ns0:v>
      </ns0:c>
      <ns0:c r="I120" s="29">
        <ns0:f>SUM(F120:H120)</ns0:f>
        <ns0:v>7</ns0:v>
      </ns0:c>
      <ns0:c r="J120" s="32">
        <ns0:f>IFERROR(F120/I120,0)</ns0:f>
        <ns0:v>0</ns0:v>
      </ns0:c>
      <ns0:c r="K120" s="32">
        <ns0:f>IFERROR(F120/(I120-H120),0)</ns0:f>
        <ns0:v>0</ns0:v>
      </ns0:c>
      <ns0:c r="L120" s="21" t="inlineStr">
        <ns0:is>
          <ns0:t>67; 274; new_247; new_428; new_4; new_199; new_421</ns0:t>
        </ns0:is>
      </ns0:c>
    </ns0:row>
    <ns0:row r="121" ht="32" customHeight="1">
      <ns0:c r="A121" s="19" t="inlineStr">
        <ns0:is>
          <ns0:t>Monitoring/intervention</ns0:t>
        </ns0:is>
      </ns0:c>
      <ns0:c r="B121" s="19" t="inlineStr">
        <ns0:is>
          <ns0:t>Behavioral images/video/gaze/movement</ns0:t>
        </ns0:is>
      </ns0:c>
      <ns0:c r="C121" s="19" t="inlineStr">
        <ns0:is>
          <ns0:t>Hybrid</ns0:t>
        </ns0:is>
      </ns0:c>
      <ns0:c r="D121" s="19" t="inlineStr">
        <ns0:is>
          <ns0:t>External validation</ns0:t>
        </ns0:is>
      </ns0:c>
      <ns0:c r="E121" s="19" t="inlineStr">
        <ns0:is>
          <ns0:t>external_validation</ns0:t>
        </ns0:is>
      </ns0:c>
      <ns0:c r="F121" s="27">
        <ns0:f>COUNTIFS('BASE_CIERRE'!$G$5:$G$458,1,'BASE_CIERRE'!$H$5:$H$458,"Monitoring/intervention",'BASE_CIERRE'!$J$5:$J$458,"Behavioral images/video/gaze/movement",'BASE_CIERRE'!$I$5:$I$458,"Hybrid",'BASE_CIERRE'!$Q$5:$Q$458,"Reported")</ns0:f>
        <ns0:v>0</ns0:v>
      </ns0:c>
      <ns0:c r="G121" s="27">
        <ns0:f>COUNTIFS('BASE_CIERRE'!$G$5:$G$458,1,'BASE_CIERRE'!$H$5:$H$458,"Monitoring/intervention",'BASE_CIERRE'!$J$5:$J$458,"Behavioral images/video/gaze/movement",'BASE_CIERRE'!$I$5:$I$458,"Hybrid",'BASE_CIERRE'!$Q$5:$Q$458,"Not reported in assessed sources")</ns0:f>
        <ns0:v>2</ns0:v>
      </ns0:c>
      <ns0:c r="H121" s="27">
        <ns0:f>COUNTIFS('BASE_CIERRE'!$G$5:$G$458,1,'BASE_CIERRE'!$H$5:$H$458,"Monitoring/intervention",'BASE_CIERRE'!$J$5:$J$458,"Behavioral images/video/gaze/movement",'BASE_CIERRE'!$I$5:$I$458,"Hybrid",'BASE_CIERRE'!$Q$5:$Q$458,"Not ascertainable")</ns0:f>
        <ns0:v>0</ns0:v>
      </ns0:c>
      <ns0:c r="I121" s="27">
        <ns0:f>SUM(F121:H121)</ns0:f>
        <ns0:v>2</ns0:v>
      </ns0:c>
      <ns0:c r="J121" s="31">
        <ns0:f>IFERROR(F121/I121,0)</ns0:f>
        <ns0:v>0</ns0:v>
      </ns0:c>
      <ns0:c r="K121" s="31">
        <ns0:f>IFERROR(F121/(I121-H121),0)</ns0:f>
        <ns0:v>0</ns0:v>
      </ns0:c>
      <ns0:c r="L121" s="19" t="inlineStr">
        <ns0:is>
          <ns0:t>105; 227</ns0:t>
        </ns0:is>
      </ns0:c>
    </ns0:row>
    <ns0:row r="122" ht="32" customHeight="1">
      <ns0:c r="A122" s="21" t="inlineStr">
        <ns0:is>
          <ns0:t>Monitoring/intervention</ns0:t>
        </ns0:is>
      </ns0:c>
      <ns0:c r="B122" s="21" t="inlineStr">
        <ns0:is>
          <ns0:t>Behavioral images/video/gaze/movement</ns0:t>
        </ns0:is>
      </ns0:c>
      <ns0:c r="C122" s="21" t="inlineStr">
        <ns0:is>
          <ns0:t>Hybrid</ns0:t>
        </ns0:is>
      </ns0:c>
      <ns0:c r="D122" s="21" t="inlineStr">
        <ns0:is>
          <ns0:t>Multisource integration</ns0:t>
        </ns0:is>
      </ns0:c>
      <ns0:c r="E122" s="21" t="inlineStr">
        <ns0:is>
          <ns0:t>multisource_integration</ns0:t>
        </ns0:is>
      </ns0:c>
      <ns0:c r="F122" s="29">
        <ns0:f>COUNTIFS('BASE_CIERRE'!$G$5:$G$458,1,'BASE_CIERRE'!$H$5:$H$458,"Monitoring/intervention",'BASE_CIERRE'!$J$5:$J$458,"Behavioral images/video/gaze/movement",'BASE_CIERRE'!$I$5:$I$458,"Hybrid",'BASE_CIERRE'!$R$5:$R$458,"Reported")</ns0:f>
        <ns0:v>1</ns0:v>
      </ns0:c>
      <ns0:c r="G122" s="29">
        <ns0:f>COUNTIFS('BASE_CIERRE'!$G$5:$G$458,1,'BASE_CIERRE'!$H$5:$H$458,"Monitoring/intervention",'BASE_CIERRE'!$J$5:$J$458,"Behavioral images/video/gaze/movement",'BASE_CIERRE'!$I$5:$I$458,"Hybrid",'BASE_CIERRE'!$R$5:$R$458,"Not reported in assessed sources")</ns0:f>
        <ns0:v>1</ns0:v>
      </ns0:c>
      <ns0:c r="H122" s="29">
        <ns0:f>COUNTIFS('BASE_CIERRE'!$G$5:$G$458,1,'BASE_CIERRE'!$H$5:$H$458,"Monitoring/intervention",'BASE_CIERRE'!$J$5:$J$458,"Behavioral images/video/gaze/movement",'BASE_CIERRE'!$I$5:$I$458,"Hybrid",'BASE_CIERRE'!$R$5:$R$458,"Not ascertainable")</ns0:f>
        <ns0:v>0</ns0:v>
      </ns0:c>
      <ns0:c r="I122" s="29">
        <ns0:f>SUM(F122:H122)</ns0:f>
        <ns0:v>2</ns0:v>
      </ns0:c>
      <ns0:c r="J122" s="32">
        <ns0:f>IFERROR(F122/I122,0)</ns0:f>
        <ns0:v>0.5</ns0:v>
      </ns0:c>
      <ns0:c r="K122" s="32">
        <ns0:f>IFERROR(F122/(I122-H122),0)</ns0:f>
        <ns0:v>0.5</ns0:v>
      </ns0:c>
      <ns0:c r="L122" s="21" t="inlineStr">
        <ns0:is>
          <ns0:t>105; 227</ns0:t>
        </ns0:is>
      </ns0:c>
    </ns0:row>
    <ns0:row r="123" ht="32" customHeight="1">
      <ns0:c r="A123" s="19" t="inlineStr">
        <ns0:is>
          <ns0:t>Monitoring/intervention</ns0:t>
        </ns0:is>
      </ns0:c>
      <ns0:c r="B123" s="19" t="inlineStr">
        <ns0:is>
          <ns0:t>Behavioral images/video/gaze/movement</ns0:t>
        </ns0:is>
      </ns0:c>
      <ns0:c r="C123" s="19" t="inlineStr">
        <ns0:is>
          <ns0:t>Hybrid</ns0:t>
        </ns0:is>
      </ns0:c>
      <ns0:c r="D123" s="19" t="inlineStr">
        <ns0:is>
          <ns0:t>Explicit explainability (broad)</ns0:t>
        </ns0:is>
      </ns0:c>
      <ns0:c r="E123" s="19" t="inlineStr">
        <ns0:is>
          <ns0:t>xai_broad</ns0:t>
        </ns0:is>
      </ns0:c>
      <ns0:c r="F123" s="27">
        <ns0:f>COUNTIFS('BASE_CIERRE'!$G$5:$G$458,1,'BASE_CIERRE'!$H$5:$H$458,"Monitoring/intervention",'BASE_CIERRE'!$J$5:$J$458,"Behavioral images/video/gaze/movement",'BASE_CIERRE'!$I$5:$I$458,"Hybrid",'BASE_CIERRE'!$S$5:$S$458,"Reported")</ns0:f>
        <ns0:v>0</ns0:v>
      </ns0:c>
      <ns0:c r="G123" s="27">
        <ns0:f>COUNTIFS('BASE_CIERRE'!$G$5:$G$458,1,'BASE_CIERRE'!$H$5:$H$458,"Monitoring/intervention",'BASE_CIERRE'!$J$5:$J$458,"Behavioral images/video/gaze/movement",'BASE_CIERRE'!$I$5:$I$458,"Hybrid",'BASE_CIERRE'!$S$5:$S$458,"Not reported in assessed sources")</ns0:f>
        <ns0:v>2</ns0:v>
      </ns0:c>
      <ns0:c r="H123" s="27">
        <ns0:f>COUNTIFS('BASE_CIERRE'!$G$5:$G$458,1,'BASE_CIERRE'!$H$5:$H$458,"Monitoring/intervention",'BASE_CIERRE'!$J$5:$J$458,"Behavioral images/video/gaze/movement",'BASE_CIERRE'!$I$5:$I$458,"Hybrid",'BASE_CIERRE'!$S$5:$S$458,"Not ascertainable")</ns0:f>
        <ns0:v>0</ns0:v>
      </ns0:c>
      <ns0:c r="I123" s="27">
        <ns0:f>SUM(F123:H123)</ns0:f>
        <ns0:v>2</ns0:v>
      </ns0:c>
      <ns0:c r="J123" s="31">
        <ns0:f>IFERROR(F123/I123,0)</ns0:f>
        <ns0:v>0</ns0:v>
      </ns0:c>
      <ns0:c r="K123" s="31">
        <ns0:f>IFERROR(F123/(I123-H123),0)</ns0:f>
        <ns0:v>0</ns0:v>
      </ns0:c>
      <ns0:c r="L123" s="19" t="inlineStr">
        <ns0:is>
          <ns0:t>105; 227</ns0:t>
        </ns0:is>
      </ns0:c>
    </ns0:row>
    <ns0:row r="124" ht="32" customHeight="1">
      <ns0:c r="A124" s="21" t="inlineStr">
        <ns0:is>
          <ns0:t>Monitoring/intervention</ns0:t>
        </ns0:is>
      </ns0:c>
      <ns0:c r="B124" s="21" t="inlineStr">
        <ns0:is>
          <ns0:t>Behavioral images/video/gaze/movement</ns0:t>
        </ns0:is>
      </ns0:c>
      <ns0:c r="C124" s="21" t="inlineStr">
        <ns0:is>
          <ns0:t>Hybrid</ns0:t>
        </ns0:is>
      </ns0:c>
      <ns0:c r="D124" s="21" t="inlineStr">
        <ns0:is>
          <ns0:t>Cross-site evaluation</ns0:t>
        </ns0:is>
      </ns0:c>
      <ns0:c r="E124" s="21" t="inlineStr">
        <ns0:is>
          <ns0:t>cross_site_robustness</ns0:t>
        </ns0:is>
      </ns0:c>
      <ns0:c r="F124" s="29">
        <ns0:f>COUNTIFS('BASE_CIERRE'!$G$5:$G$458,1,'BASE_CIERRE'!$H$5:$H$458,"Monitoring/intervention",'BASE_CIERRE'!$J$5:$J$458,"Behavioral images/video/gaze/movement",'BASE_CIERRE'!$I$5:$I$458,"Hybrid",'BASE_CIERRE'!$U$5:$U$458,"Reported")</ns0:f>
        <ns0:v>0</ns0:v>
      </ns0:c>
      <ns0:c r="G124" s="29">
        <ns0:f>COUNTIFS('BASE_CIERRE'!$G$5:$G$458,1,'BASE_CIERRE'!$H$5:$H$458,"Monitoring/intervention",'BASE_CIERRE'!$J$5:$J$458,"Behavioral images/video/gaze/movement",'BASE_CIERRE'!$I$5:$I$458,"Hybrid",'BASE_CIERRE'!$U$5:$U$458,"Not reported in assessed sources")</ns0:f>
        <ns0:v>2</ns0:v>
      </ns0:c>
      <ns0:c r="H124" s="29">
        <ns0:f>COUNTIFS('BASE_CIERRE'!$G$5:$G$458,1,'BASE_CIERRE'!$H$5:$H$458,"Monitoring/intervention",'BASE_CIERRE'!$J$5:$J$458,"Behavioral images/video/gaze/movement",'BASE_CIERRE'!$I$5:$I$458,"Hybrid",'BASE_CIERRE'!$U$5:$U$458,"Not ascertainable")</ns0:f>
        <ns0:v>0</ns0:v>
      </ns0:c>
      <ns0:c r="I124" s="29">
        <ns0:f>SUM(F124:H124)</ns0:f>
        <ns0:v>2</ns0:v>
      </ns0:c>
      <ns0:c r="J124" s="32">
        <ns0:f>IFERROR(F124/I124,0)</ns0:f>
        <ns0:v>0</ns0:v>
      </ns0:c>
      <ns0:c r="K124" s="32">
        <ns0:f>IFERROR(F124/(I124-H124),0)</ns0:f>
        <ns0:v>0</ns0:v>
      </ns0:c>
      <ns0:c r="L124" s="21" t="inlineStr">
        <ns0:is>
          <ns0:t>105; 227</ns0:t>
        </ns0:is>
      </ns0:c>
    </ns0:row>
    <ns0:row r="125" ht="32" customHeight="1">
      <ns0:c r="A125" s="19" t="inlineStr">
        <ns0:is>
          <ns0:t>Monitoring/intervention</ns0:t>
        </ns0:is>
      </ns0:c>
      <ns0:c r="B125" s="19" t="inlineStr">
        <ns0:is>
          <ns0:t>Behavioral images/video/gaze/movement</ns0:t>
        </ns0:is>
      </ns0:c>
      <ns0:c r="C125" s="19" t="inlineStr">
        <ns0:is>
          <ns0:t>Machine Learning</ns0:t>
        </ns0:is>
      </ns0:c>
      <ns0:c r="D125" s="19" t="inlineStr">
        <ns0:is>
          <ns0:t>External validation</ns0:t>
        </ns0:is>
      </ns0:c>
      <ns0:c r="E125" s="19" t="inlineStr">
        <ns0:is>
          <ns0:t>external_validation</ns0:t>
        </ns0:is>
      </ns0:c>
      <ns0:c r="F125" s="27">
        <ns0:f>COUNTIFS('BASE_CIERRE'!$G$5:$G$458,1,'BASE_CIERRE'!$H$5:$H$458,"Monitoring/intervention",'BASE_CIERRE'!$J$5:$J$458,"Behavioral images/video/gaze/movement",'BASE_CIERRE'!$I$5:$I$458,"Machine Learning",'BASE_CIERRE'!$Q$5:$Q$458,"Reported")</ns0:f>
        <ns0:v>0</ns0:v>
      </ns0:c>
      <ns0:c r="G125" s="27">
        <ns0:f>COUNTIFS('BASE_CIERRE'!$G$5:$G$458,1,'BASE_CIERRE'!$H$5:$H$458,"Monitoring/intervention",'BASE_CIERRE'!$J$5:$J$458,"Behavioral images/video/gaze/movement",'BASE_CIERRE'!$I$5:$I$458,"Machine Learning",'BASE_CIERRE'!$Q$5:$Q$458,"Not reported in assessed sources")</ns0:f>
        <ns0:v>1</ns0:v>
      </ns0:c>
      <ns0:c r="H125" s="27">
        <ns0:f>COUNTIFS('BASE_CIERRE'!$G$5:$G$458,1,'BASE_CIERRE'!$H$5:$H$458,"Monitoring/intervention",'BASE_CIERRE'!$J$5:$J$458,"Behavioral images/video/gaze/movement",'BASE_CIERRE'!$I$5:$I$458,"Machine Learning",'BASE_CIERRE'!$Q$5:$Q$458,"Not ascertainable")</ns0:f>
        <ns0:v>0</ns0:v>
      </ns0:c>
      <ns0:c r="I125" s="27">
        <ns0:f>SUM(F125:H125)</ns0:f>
        <ns0:v>1</ns0:v>
      </ns0:c>
      <ns0:c r="J125" s="31">
        <ns0:f>IFERROR(F125/I125,0)</ns0:f>
        <ns0:v>0</ns0:v>
      </ns0:c>
      <ns0:c r="K125" s="31">
        <ns0:f>IFERROR(F125/(I125-H125),0)</ns0:f>
        <ns0:v>0</ns0:v>
      </ns0:c>
      <ns0:c r="L125" s="19" t="inlineStr">
        <ns0:is>
          <ns0:t>89</ns0:t>
        </ns0:is>
      </ns0:c>
    </ns0:row>
    <ns0:row r="126" ht="32" customHeight="1">
      <ns0:c r="A126" s="21" t="inlineStr">
        <ns0:is>
          <ns0:t>Monitoring/intervention</ns0:t>
        </ns0:is>
      </ns0:c>
      <ns0:c r="B126" s="21" t="inlineStr">
        <ns0:is>
          <ns0:t>Behavioral images/video/gaze/movement</ns0:t>
        </ns0:is>
      </ns0:c>
      <ns0:c r="C126" s="21" t="inlineStr">
        <ns0:is>
          <ns0:t>Machine Learning</ns0:t>
        </ns0:is>
      </ns0:c>
      <ns0:c r="D126" s="21" t="inlineStr">
        <ns0:is>
          <ns0:t>Multisource integration</ns0:t>
        </ns0:is>
      </ns0:c>
      <ns0:c r="E126" s="21" t="inlineStr">
        <ns0:is>
          <ns0:t>multisource_integration</ns0:t>
        </ns0:is>
      </ns0:c>
      <ns0:c r="F126" s="29">
        <ns0:f>COUNTIFS('BASE_CIERRE'!$G$5:$G$458,1,'BASE_CIERRE'!$H$5:$H$458,"Monitoring/intervention",'BASE_CIERRE'!$J$5:$J$458,"Behavioral images/video/gaze/movement",'BASE_CIERRE'!$I$5:$I$458,"Machine Learning",'BASE_CIERRE'!$R$5:$R$458,"Reported")</ns0:f>
        <ns0:v>0</ns0:v>
      </ns0:c>
      <ns0:c r="G126" s="29">
        <ns0:f>COUNTIFS('BASE_CIERRE'!$G$5:$G$458,1,'BASE_CIERRE'!$H$5:$H$458,"Monitoring/intervention",'BASE_CIERRE'!$J$5:$J$458,"Behavioral images/video/gaze/movement",'BASE_CIERRE'!$I$5:$I$458,"Machine Learning",'BASE_CIERRE'!$R$5:$R$458,"Not reported in assessed sources")</ns0:f>
        <ns0:v>1</ns0:v>
      </ns0:c>
      <ns0:c r="H126" s="29">
        <ns0:f>COUNTIFS('BASE_CIERRE'!$G$5:$G$458,1,'BASE_CIERRE'!$H$5:$H$458,"Monitoring/intervention",'BASE_CIERRE'!$J$5:$J$458,"Behavioral images/video/gaze/movement",'BASE_CIERRE'!$I$5:$I$458,"Machine Learning",'BASE_CIERRE'!$R$5:$R$458,"Not ascertainable")</ns0:f>
        <ns0:v>0</ns0:v>
      </ns0:c>
      <ns0:c r="I126" s="29">
        <ns0:f>SUM(F126:H126)</ns0:f>
        <ns0:v>1</ns0:v>
      </ns0:c>
      <ns0:c r="J126" s="32">
        <ns0:f>IFERROR(F126/I126,0)</ns0:f>
        <ns0:v>0</ns0:v>
      </ns0:c>
      <ns0:c r="K126" s="32">
        <ns0:f>IFERROR(F126/(I126-H126),0)</ns0:f>
        <ns0:v>0</ns0:v>
      </ns0:c>
      <ns0:c r="L126" s="21" t="inlineStr">
        <ns0:is>
          <ns0:t>89</ns0:t>
        </ns0:is>
      </ns0:c>
    </ns0:row>
    <ns0:row r="127" ht="32" customHeight="1">
      <ns0:c r="A127" s="19" t="inlineStr">
        <ns0:is>
          <ns0:t>Monitoring/intervention</ns0:t>
        </ns0:is>
      </ns0:c>
      <ns0:c r="B127" s="19" t="inlineStr">
        <ns0:is>
          <ns0:t>Behavioral images/video/gaze/movement</ns0:t>
        </ns0:is>
      </ns0:c>
      <ns0:c r="C127" s="19" t="inlineStr">
        <ns0:is>
          <ns0:t>Machine Learning</ns0:t>
        </ns0:is>
      </ns0:c>
      <ns0:c r="D127" s="19" t="inlineStr">
        <ns0:is>
          <ns0:t>Explicit explainability (broad)</ns0:t>
        </ns0:is>
      </ns0:c>
      <ns0:c r="E127" s="19" t="inlineStr">
        <ns0:is>
          <ns0:t>xai_broad</ns0:t>
        </ns0:is>
      </ns0:c>
      <ns0:c r="F127" s="27">
        <ns0:f>COUNTIFS('BASE_CIERRE'!$G$5:$G$458,1,'BASE_CIERRE'!$H$5:$H$458,"Monitoring/intervention",'BASE_CIERRE'!$J$5:$J$458,"Behavioral images/video/gaze/movement",'BASE_CIERRE'!$I$5:$I$458,"Machine Learning",'BASE_CIERRE'!$S$5:$S$458,"Reported")</ns0:f>
        <ns0:v>0</ns0:v>
      </ns0:c>
      <ns0:c r="G127" s="27">
        <ns0:f>COUNTIFS('BASE_CIERRE'!$G$5:$G$458,1,'BASE_CIERRE'!$H$5:$H$458,"Monitoring/intervention",'BASE_CIERRE'!$J$5:$J$458,"Behavioral images/video/gaze/movement",'BASE_CIERRE'!$I$5:$I$458,"Machine Learning",'BASE_CIERRE'!$S$5:$S$458,"Not reported in assessed sources")</ns0:f>
        <ns0:v>1</ns0:v>
      </ns0:c>
      <ns0:c r="H127" s="27">
        <ns0:f>COUNTIFS('BASE_CIERRE'!$G$5:$G$458,1,'BASE_CIERRE'!$H$5:$H$458,"Monitoring/intervention",'BASE_CIERRE'!$J$5:$J$458,"Behavioral images/video/gaze/movement",'BASE_CIERRE'!$I$5:$I$458,"Machine Learning",'BASE_CIERRE'!$S$5:$S$458,"Not ascertainable")</ns0:f>
        <ns0:v>0</ns0:v>
      </ns0:c>
      <ns0:c r="I127" s="27">
        <ns0:f>SUM(F127:H127)</ns0:f>
        <ns0:v>1</ns0:v>
      </ns0:c>
      <ns0:c r="J127" s="31">
        <ns0:f>IFERROR(F127/I127,0)</ns0:f>
        <ns0:v>0</ns0:v>
      </ns0:c>
      <ns0:c r="K127" s="31">
        <ns0:f>IFERROR(F127/(I127-H127),0)</ns0:f>
        <ns0:v>0</ns0:v>
      </ns0:c>
      <ns0:c r="L127" s="19" t="inlineStr">
        <ns0:is>
          <ns0:t>89</ns0:t>
        </ns0:is>
      </ns0:c>
    </ns0:row>
    <ns0:row r="128" ht="32" customHeight="1">
      <ns0:c r="A128" s="21" t="inlineStr">
        <ns0:is>
          <ns0:t>Monitoring/intervention</ns0:t>
        </ns0:is>
      </ns0:c>
      <ns0:c r="B128" s="21" t="inlineStr">
        <ns0:is>
          <ns0:t>Behavioral images/video/gaze/movement</ns0:t>
        </ns0:is>
      </ns0:c>
      <ns0:c r="C128" s="21" t="inlineStr">
        <ns0:is>
          <ns0:t>Machine Learning</ns0:t>
        </ns0:is>
      </ns0:c>
      <ns0:c r="D128" s="21" t="inlineStr">
        <ns0:is>
          <ns0:t>Cross-site evaluation</ns0:t>
        </ns0:is>
      </ns0:c>
      <ns0:c r="E128" s="21" t="inlineStr">
        <ns0:is>
          <ns0:t>cross_site_robustness</ns0:t>
        </ns0:is>
      </ns0:c>
      <ns0:c r="F128" s="29">
        <ns0:f>COUNTIFS('BASE_CIERRE'!$G$5:$G$458,1,'BASE_CIERRE'!$H$5:$H$458,"Monitoring/intervention",'BASE_CIERRE'!$J$5:$J$458,"Behavioral images/video/gaze/movement",'BASE_CIERRE'!$I$5:$I$458,"Machine Learning",'BASE_CIERRE'!$U$5:$U$458,"Reported")</ns0:f>
        <ns0:v>0</ns0:v>
      </ns0:c>
      <ns0:c r="G128" s="29">
        <ns0:f>COUNTIFS('BASE_CIERRE'!$G$5:$G$458,1,'BASE_CIERRE'!$H$5:$H$458,"Monitoring/intervention",'BASE_CIERRE'!$J$5:$J$458,"Behavioral images/video/gaze/movement",'BASE_CIERRE'!$I$5:$I$458,"Machine Learning",'BASE_CIERRE'!$U$5:$U$458,"Not reported in assessed sources")</ns0:f>
        <ns0:v>1</ns0:v>
      </ns0:c>
      <ns0:c r="H128" s="29">
        <ns0:f>COUNTIFS('BASE_CIERRE'!$G$5:$G$458,1,'BASE_CIERRE'!$H$5:$H$458,"Monitoring/intervention",'BASE_CIERRE'!$J$5:$J$458,"Behavioral images/video/gaze/movement",'BASE_CIERRE'!$I$5:$I$458,"Machine Learning",'BASE_CIERRE'!$U$5:$U$458,"Not ascertainable")</ns0:f>
        <ns0:v>0</ns0:v>
      </ns0:c>
      <ns0:c r="I128" s="29">
        <ns0:f>SUM(F128:H128)</ns0:f>
        <ns0:v>1</ns0:v>
      </ns0:c>
      <ns0:c r="J128" s="32">
        <ns0:f>IFERROR(F128/I128,0)</ns0:f>
        <ns0:v>0</ns0:v>
      </ns0:c>
      <ns0:c r="K128" s="32">
        <ns0:f>IFERROR(F128/(I128-H128),0)</ns0:f>
        <ns0:v>0</ns0:v>
      </ns0:c>
      <ns0:c r="L128" s="21" t="inlineStr">
        <ns0:is>
          <ns0:t>89</ns0:t>
        </ns0:is>
      </ns0:c>
    </ns0:row>
    <ns0:row r="129" ht="32" customHeight="1">
      <ns0:c r="A129" s="19" t="inlineStr">
        <ns0:is>
          <ns0:t>Monitoring/intervention</ns0:t>
        </ns0:is>
      </ns0:c>
      <ns0:c r="B129" s="19" t="inlineStr">
        <ns0:is>
          <ns0:t>Behavioral images/video/gaze/movement</ns0:t>
        </ns0:is>
      </ns0:c>
      <ns0:c r="C129" s="19" t="inlineStr">
        <ns0:is>
          <ns0:t>Not specified</ns0:t>
        </ns0:is>
      </ns0:c>
      <ns0:c r="D129" s="19" t="inlineStr">
        <ns0:is>
          <ns0:t>External validation</ns0:t>
        </ns0:is>
      </ns0:c>
      <ns0:c r="E129" s="19" t="inlineStr">
        <ns0:is>
          <ns0:t>external_validation</ns0:t>
        </ns0:is>
      </ns0:c>
      <ns0:c r="F129" s="27">
        <ns0:f>COUNTIFS('BASE_CIERRE'!$G$5:$G$458,1,'BASE_CIERRE'!$H$5:$H$458,"Monitoring/intervention",'BASE_CIERRE'!$J$5:$J$458,"Behavioral images/video/gaze/movement",'BASE_CIERRE'!$I$5:$I$458,"Not specified",'BASE_CIERRE'!$Q$5:$Q$458,"Reported")</ns0:f>
        <ns0:v>0</ns0:v>
      </ns0:c>
      <ns0:c r="G129" s="27">
        <ns0:f>COUNTIFS('BASE_CIERRE'!$G$5:$G$458,1,'BASE_CIERRE'!$H$5:$H$458,"Monitoring/intervention",'BASE_CIERRE'!$J$5:$J$458,"Behavioral images/video/gaze/movement",'BASE_CIERRE'!$I$5:$I$458,"Not specified",'BASE_CIERRE'!$Q$5:$Q$458,"Not reported in assessed sources")</ns0:f>
        <ns0:v>3</ns0:v>
      </ns0:c>
      <ns0:c r="H129" s="27">
        <ns0:f>COUNTIFS('BASE_CIERRE'!$G$5:$G$458,1,'BASE_CIERRE'!$H$5:$H$458,"Monitoring/intervention",'BASE_CIERRE'!$J$5:$J$458,"Behavioral images/video/gaze/movement",'BASE_CIERRE'!$I$5:$I$458,"Not specified",'BASE_CIERRE'!$Q$5:$Q$458,"Not ascertainable")</ns0:f>
        <ns0:v>0</ns0:v>
      </ns0:c>
      <ns0:c r="I129" s="27">
        <ns0:f>SUM(F129:H129)</ns0:f>
        <ns0:v>3</ns0:v>
      </ns0:c>
      <ns0:c r="J129" s="31">
        <ns0:f>IFERROR(F129/I129,0)</ns0:f>
        <ns0:v>0</ns0:v>
      </ns0:c>
      <ns0:c r="K129" s="31">
        <ns0:f>IFERROR(F129/(I129-H129),0)</ns0:f>
        <ns0:v>0</ns0:v>
      </ns0:c>
      <ns0:c r="L129" s="19" t="inlineStr">
        <ns0:is>
          <ns0:t>12; 128; 276</ns0:t>
        </ns0:is>
      </ns0:c>
    </ns0:row>
    <ns0:row r="130" ht="32" customHeight="1">
      <ns0:c r="A130" s="21" t="inlineStr">
        <ns0:is>
          <ns0:t>Monitoring/intervention</ns0:t>
        </ns0:is>
      </ns0:c>
      <ns0:c r="B130" s="21" t="inlineStr">
        <ns0:is>
          <ns0:t>Behavioral images/video/gaze/movement</ns0:t>
        </ns0:is>
      </ns0:c>
      <ns0:c r="C130" s="21" t="inlineStr">
        <ns0:is>
          <ns0:t>Not specified</ns0:t>
        </ns0:is>
      </ns0:c>
      <ns0:c r="D130" s="21" t="inlineStr">
        <ns0:is>
          <ns0:t>Multisource integration</ns0:t>
        </ns0:is>
      </ns0:c>
      <ns0:c r="E130" s="21" t="inlineStr">
        <ns0:is>
          <ns0:t>multisource_integration</ns0:t>
        </ns0:is>
      </ns0:c>
      <ns0:c r="F130" s="29">
        <ns0:f>COUNTIFS('BASE_CIERRE'!$G$5:$G$458,1,'BASE_CIERRE'!$H$5:$H$458,"Monitoring/intervention",'BASE_CIERRE'!$J$5:$J$458,"Behavioral images/video/gaze/movement",'BASE_CIERRE'!$I$5:$I$458,"Not specified",'BASE_CIERRE'!$R$5:$R$458,"Reported")</ns0:f>
        <ns0:v>0</ns0:v>
      </ns0:c>
      <ns0:c r="G130" s="29">
        <ns0:f>COUNTIFS('BASE_CIERRE'!$G$5:$G$458,1,'BASE_CIERRE'!$H$5:$H$458,"Monitoring/intervention",'BASE_CIERRE'!$J$5:$J$458,"Behavioral images/video/gaze/movement",'BASE_CIERRE'!$I$5:$I$458,"Not specified",'BASE_CIERRE'!$R$5:$R$458,"Not reported in assessed sources")</ns0:f>
        <ns0:v>3</ns0:v>
      </ns0:c>
      <ns0:c r="H130" s="29">
        <ns0:f>COUNTIFS('BASE_CIERRE'!$G$5:$G$458,1,'BASE_CIERRE'!$H$5:$H$458,"Monitoring/intervention",'BASE_CIERRE'!$J$5:$J$458,"Behavioral images/video/gaze/movement",'BASE_CIERRE'!$I$5:$I$458,"Not specified",'BASE_CIERRE'!$R$5:$R$458,"Not ascertainable")</ns0:f>
        <ns0:v>0</ns0:v>
      </ns0:c>
      <ns0:c r="I130" s="29">
        <ns0:f>SUM(F130:H130)</ns0:f>
        <ns0:v>3</ns0:v>
      </ns0:c>
      <ns0:c r="J130" s="32">
        <ns0:f>IFERROR(F130/I130,0)</ns0:f>
        <ns0:v>0</ns0:v>
      </ns0:c>
      <ns0:c r="K130" s="32">
        <ns0:f>IFERROR(F130/(I130-H130),0)</ns0:f>
        <ns0:v>0</ns0:v>
      </ns0:c>
      <ns0:c r="L130" s="21" t="inlineStr">
        <ns0:is>
          <ns0:t>12; 128; 276</ns0:t>
        </ns0:is>
      </ns0:c>
    </ns0:row>
    <ns0:row r="131" ht="32" customHeight="1">
      <ns0:c r="A131" s="19" t="inlineStr">
        <ns0:is>
          <ns0:t>Monitoring/intervention</ns0:t>
        </ns0:is>
      </ns0:c>
      <ns0:c r="B131" s="19" t="inlineStr">
        <ns0:is>
          <ns0:t>Behavioral images/video/gaze/movement</ns0:t>
        </ns0:is>
      </ns0:c>
      <ns0:c r="C131" s="19" t="inlineStr">
        <ns0:is>
          <ns0:t>Not specified</ns0:t>
        </ns0:is>
      </ns0:c>
      <ns0:c r="D131" s="19" t="inlineStr">
        <ns0:is>
          <ns0:t>Explicit explainability (broad)</ns0:t>
        </ns0:is>
      </ns0:c>
      <ns0:c r="E131" s="19" t="inlineStr">
        <ns0:is>
          <ns0:t>xai_broad</ns0:t>
        </ns0:is>
      </ns0:c>
      <ns0:c r="F131" s="27">
        <ns0:f>COUNTIFS('BASE_CIERRE'!$G$5:$G$458,1,'BASE_CIERRE'!$H$5:$H$458,"Monitoring/intervention",'BASE_CIERRE'!$J$5:$J$458,"Behavioral images/video/gaze/movement",'BASE_CIERRE'!$I$5:$I$458,"Not specified",'BASE_CIERRE'!$S$5:$S$458,"Reported")</ns0:f>
        <ns0:v>0</ns0:v>
      </ns0:c>
      <ns0:c r="G131" s="27">
        <ns0:f>COUNTIFS('BASE_CIERRE'!$G$5:$G$458,1,'BASE_CIERRE'!$H$5:$H$458,"Monitoring/intervention",'BASE_CIERRE'!$J$5:$J$458,"Behavioral images/video/gaze/movement",'BASE_CIERRE'!$I$5:$I$458,"Not specified",'BASE_CIERRE'!$S$5:$S$458,"Not reported in assessed sources")</ns0:f>
        <ns0:v>3</ns0:v>
      </ns0:c>
      <ns0:c r="H131" s="27">
        <ns0:f>COUNTIFS('BASE_CIERRE'!$G$5:$G$458,1,'BASE_CIERRE'!$H$5:$H$458,"Monitoring/intervention",'BASE_CIERRE'!$J$5:$J$458,"Behavioral images/video/gaze/movement",'BASE_CIERRE'!$I$5:$I$458,"Not specified",'BASE_CIERRE'!$S$5:$S$458,"Not ascertainable")</ns0:f>
        <ns0:v>0</ns0:v>
      </ns0:c>
      <ns0:c r="I131" s="27">
        <ns0:f>SUM(F131:H131)</ns0:f>
        <ns0:v>3</ns0:v>
      </ns0:c>
      <ns0:c r="J131" s="31">
        <ns0:f>IFERROR(F131/I131,0)</ns0:f>
        <ns0:v>0</ns0:v>
      </ns0:c>
      <ns0:c r="K131" s="31">
        <ns0:f>IFERROR(F131/(I131-H131),0)</ns0:f>
        <ns0:v>0</ns0:v>
      </ns0:c>
      <ns0:c r="L131" s="19" t="inlineStr">
        <ns0:is>
          <ns0:t>12; 128; 276</ns0:t>
        </ns0:is>
      </ns0:c>
    </ns0:row>
    <ns0:row r="132" ht="32" customHeight="1">
      <ns0:c r="A132" s="21" t="inlineStr">
        <ns0:is>
          <ns0:t>Monitoring/intervention</ns0:t>
        </ns0:is>
      </ns0:c>
      <ns0:c r="B132" s="21" t="inlineStr">
        <ns0:is>
          <ns0:t>Behavioral images/video/gaze/movement</ns0:t>
        </ns0:is>
      </ns0:c>
      <ns0:c r="C132" s="21" t="inlineStr">
        <ns0:is>
          <ns0:t>Not specified</ns0:t>
        </ns0:is>
      </ns0:c>
      <ns0:c r="D132" s="21" t="inlineStr">
        <ns0:is>
          <ns0:t>Cross-site evaluation</ns0:t>
        </ns0:is>
      </ns0:c>
      <ns0:c r="E132" s="21" t="inlineStr">
        <ns0:is>
          <ns0:t>cross_site_robustness</ns0:t>
        </ns0:is>
      </ns0:c>
      <ns0:c r="F132" s="29">
        <ns0:f>COUNTIFS('BASE_CIERRE'!$G$5:$G$458,1,'BASE_CIERRE'!$H$5:$H$458,"Monitoring/intervention",'BASE_CIERRE'!$J$5:$J$458,"Behavioral images/video/gaze/movement",'BASE_CIERRE'!$I$5:$I$458,"Not specified",'BASE_CIERRE'!$U$5:$U$458,"Reported")</ns0:f>
        <ns0:v>0</ns0:v>
      </ns0:c>
      <ns0:c r="G132" s="29">
        <ns0:f>COUNTIFS('BASE_CIERRE'!$G$5:$G$458,1,'BASE_CIERRE'!$H$5:$H$458,"Monitoring/intervention",'BASE_CIERRE'!$J$5:$J$458,"Behavioral images/video/gaze/movement",'BASE_CIERRE'!$I$5:$I$458,"Not specified",'BASE_CIERRE'!$U$5:$U$458,"Not reported in assessed sources")</ns0:f>
        <ns0:v>3</ns0:v>
      </ns0:c>
      <ns0:c r="H132" s="29">
        <ns0:f>COUNTIFS('BASE_CIERRE'!$G$5:$G$458,1,'BASE_CIERRE'!$H$5:$H$458,"Monitoring/intervention",'BASE_CIERRE'!$J$5:$J$458,"Behavioral images/video/gaze/movement",'BASE_CIERRE'!$I$5:$I$458,"Not specified",'BASE_CIERRE'!$U$5:$U$458,"Not ascertainable")</ns0:f>
        <ns0:v>0</ns0:v>
      </ns0:c>
      <ns0:c r="I132" s="29">
        <ns0:f>SUM(F132:H132)</ns0:f>
        <ns0:v>3</ns0:v>
      </ns0:c>
      <ns0:c r="J132" s="32">
        <ns0:f>IFERROR(F132/I132,0)</ns0:f>
        <ns0:v>0</ns0:v>
      </ns0:c>
      <ns0:c r="K132" s="32">
        <ns0:f>IFERROR(F132/(I132-H132),0)</ns0:f>
        <ns0:v>0</ns0:v>
      </ns0:c>
      <ns0:c r="L132" s="21" t="inlineStr">
        <ns0:is>
          <ns0:t>12; 128; 276</ns0:t>
        </ns0:is>
      </ns0:c>
    </ns0:row>
    <ns0:row r="133" ht="32" customHeight="1">
      <ns0:c r="A133" s="19" t="inlineStr">
        <ns0:is>
          <ns0:t>Monitoring/intervention</ns0:t>
        </ns0:is>
      </ns0:c>
      <ns0:c r="B133" s="19" t="inlineStr">
        <ns0:is>
          <ns0:t>Biological/omics</ns0:t>
        </ns0:is>
      </ns0:c>
      <ns0:c r="C133" s="19" t="inlineStr">
        <ns0:is>
          <ns0:t>Machine Learning</ns0:t>
        </ns0:is>
      </ns0:c>
      <ns0:c r="D133" s="19" t="inlineStr">
        <ns0:is>
          <ns0:t>External validation</ns0:t>
        </ns0:is>
      </ns0:c>
      <ns0:c r="E133" s="19" t="inlineStr">
        <ns0:is>
          <ns0:t>external_validation</ns0:t>
        </ns0:is>
      </ns0:c>
      <ns0:c r="F133" s="27">
        <ns0:f>COUNTIFS('BASE_CIERRE'!$G$5:$G$458,1,'BASE_CIERRE'!$H$5:$H$458,"Monitoring/intervention",'BASE_CIERRE'!$J$5:$J$458,"Biological/omics",'BASE_CIERRE'!$I$5:$I$458,"Machine Learning",'BASE_CIERRE'!$Q$5:$Q$458,"Reported")</ns0:f>
        <ns0:v>0</ns0:v>
      </ns0:c>
      <ns0:c r="G133" s="27">
        <ns0:f>COUNTIFS('BASE_CIERRE'!$G$5:$G$458,1,'BASE_CIERRE'!$H$5:$H$458,"Monitoring/intervention",'BASE_CIERRE'!$J$5:$J$458,"Biological/omics",'BASE_CIERRE'!$I$5:$I$458,"Machine Learning",'BASE_CIERRE'!$Q$5:$Q$458,"Not reported in assessed sources")</ns0:f>
        <ns0:v>1</ns0:v>
      </ns0:c>
      <ns0:c r="H133" s="27">
        <ns0:f>COUNTIFS('BASE_CIERRE'!$G$5:$G$458,1,'BASE_CIERRE'!$H$5:$H$458,"Monitoring/intervention",'BASE_CIERRE'!$J$5:$J$458,"Biological/omics",'BASE_CIERRE'!$I$5:$I$458,"Machine Learning",'BASE_CIERRE'!$Q$5:$Q$458,"Not ascertainable")</ns0:f>
        <ns0:v>0</ns0:v>
      </ns0:c>
      <ns0:c r="I133" s="27">
        <ns0:f>SUM(F133:H133)</ns0:f>
        <ns0:v>1</ns0:v>
      </ns0:c>
      <ns0:c r="J133" s="31">
        <ns0:f>IFERROR(F133/I133,0)</ns0:f>
        <ns0:v>0</ns0:v>
      </ns0:c>
      <ns0:c r="K133" s="31">
        <ns0:f>IFERROR(F133/(I133-H133),0)</ns0:f>
        <ns0:v>0</ns0:v>
      </ns0:c>
      <ns0:c r="L133" s="19" t="inlineStr">
        <ns0:is>
          <ns0:t>175</ns0:t>
        </ns0:is>
      </ns0:c>
    </ns0:row>
    <ns0:row r="134" ht="32" customHeight="1">
      <ns0:c r="A134" s="21" t="inlineStr">
        <ns0:is>
          <ns0:t>Monitoring/intervention</ns0:t>
        </ns0:is>
      </ns0:c>
      <ns0:c r="B134" s="21" t="inlineStr">
        <ns0:is>
          <ns0:t>Biological/omics</ns0:t>
        </ns0:is>
      </ns0:c>
      <ns0:c r="C134" s="21" t="inlineStr">
        <ns0:is>
          <ns0:t>Machine Learning</ns0:t>
        </ns0:is>
      </ns0:c>
      <ns0:c r="D134" s="21" t="inlineStr">
        <ns0:is>
          <ns0:t>Multisource integration</ns0:t>
        </ns0:is>
      </ns0:c>
      <ns0:c r="E134" s="21" t="inlineStr">
        <ns0:is>
          <ns0:t>multisource_integration</ns0:t>
        </ns0:is>
      </ns0:c>
      <ns0:c r="F134" s="29">
        <ns0:f>COUNTIFS('BASE_CIERRE'!$G$5:$G$458,1,'BASE_CIERRE'!$H$5:$H$458,"Monitoring/intervention",'BASE_CIERRE'!$J$5:$J$458,"Biological/omics",'BASE_CIERRE'!$I$5:$I$458,"Machine Learning",'BASE_CIERRE'!$R$5:$R$458,"Reported")</ns0:f>
        <ns0:v>0</ns0:v>
      </ns0:c>
      <ns0:c r="G134" s="29">
        <ns0:f>COUNTIFS('BASE_CIERRE'!$G$5:$G$458,1,'BASE_CIERRE'!$H$5:$H$458,"Monitoring/intervention",'BASE_CIERRE'!$J$5:$J$458,"Biological/omics",'BASE_CIERRE'!$I$5:$I$458,"Machine Learning",'BASE_CIERRE'!$R$5:$R$458,"Not reported in assessed sources")</ns0:f>
        <ns0:v>1</ns0:v>
      </ns0:c>
      <ns0:c r="H134" s="29">
        <ns0:f>COUNTIFS('BASE_CIERRE'!$G$5:$G$458,1,'BASE_CIERRE'!$H$5:$H$458,"Monitoring/intervention",'BASE_CIERRE'!$J$5:$J$458,"Biological/omics",'BASE_CIERRE'!$I$5:$I$458,"Machine Learning",'BASE_CIERRE'!$R$5:$R$458,"Not ascertainable")</ns0:f>
        <ns0:v>0</ns0:v>
      </ns0:c>
      <ns0:c r="I134" s="29">
        <ns0:f>SUM(F134:H134)</ns0:f>
        <ns0:v>1</ns0:v>
      </ns0:c>
      <ns0:c r="J134" s="32">
        <ns0:f>IFERROR(F134/I134,0)</ns0:f>
        <ns0:v>0</ns0:v>
      </ns0:c>
      <ns0:c r="K134" s="32">
        <ns0:f>IFERROR(F134/(I134-H134),0)</ns0:f>
        <ns0:v>0</ns0:v>
      </ns0:c>
      <ns0:c r="L134" s="21" t="inlineStr">
        <ns0:is>
          <ns0:t>175</ns0:t>
        </ns0:is>
      </ns0:c>
    </ns0:row>
    <ns0:row r="135" ht="32" customHeight="1">
      <ns0:c r="A135" s="19" t="inlineStr">
        <ns0:is>
          <ns0:t>Monitoring/intervention</ns0:t>
        </ns0:is>
      </ns0:c>
      <ns0:c r="B135" s="19" t="inlineStr">
        <ns0:is>
          <ns0:t>Biological/omics</ns0:t>
        </ns0:is>
      </ns0:c>
      <ns0:c r="C135" s="19" t="inlineStr">
        <ns0:is>
          <ns0:t>Machine Learning</ns0:t>
        </ns0:is>
      </ns0:c>
      <ns0:c r="D135" s="19" t="inlineStr">
        <ns0:is>
          <ns0:t>Explicit explainability (broad)</ns0:t>
        </ns0:is>
      </ns0:c>
      <ns0:c r="E135" s="19" t="inlineStr">
        <ns0:is>
          <ns0:t>xai_broad</ns0:t>
        </ns0:is>
      </ns0:c>
      <ns0:c r="F135" s="27">
        <ns0:f>COUNTIFS('BASE_CIERRE'!$G$5:$G$458,1,'BASE_CIERRE'!$H$5:$H$458,"Monitoring/intervention",'BASE_CIERRE'!$J$5:$J$458,"Biological/omics",'BASE_CIERRE'!$I$5:$I$458,"Machine Learning",'BASE_CIERRE'!$S$5:$S$458,"Reported")</ns0:f>
        <ns0:v>0</ns0:v>
      </ns0:c>
      <ns0:c r="G135" s="27">
        <ns0:f>COUNTIFS('BASE_CIERRE'!$G$5:$G$458,1,'BASE_CIERRE'!$H$5:$H$458,"Monitoring/intervention",'BASE_CIERRE'!$J$5:$J$458,"Biological/omics",'BASE_CIERRE'!$I$5:$I$458,"Machine Learning",'BASE_CIERRE'!$S$5:$S$458,"Not reported in assessed sources")</ns0:f>
        <ns0:v>1</ns0:v>
      </ns0:c>
      <ns0:c r="H135" s="27">
        <ns0:f>COUNTIFS('BASE_CIERRE'!$G$5:$G$458,1,'BASE_CIERRE'!$H$5:$H$458,"Monitoring/intervention",'BASE_CIERRE'!$J$5:$J$458,"Biological/omics",'BASE_CIERRE'!$I$5:$I$458,"Machine Learning",'BASE_CIERRE'!$S$5:$S$458,"Not ascertainable")</ns0:f>
        <ns0:v>0</ns0:v>
      </ns0:c>
      <ns0:c r="I135" s="27">
        <ns0:f>SUM(F135:H135)</ns0:f>
        <ns0:v>1</ns0:v>
      </ns0:c>
      <ns0:c r="J135" s="31">
        <ns0:f>IFERROR(F135/I135,0)</ns0:f>
        <ns0:v>0</ns0:v>
      </ns0:c>
      <ns0:c r="K135" s="31">
        <ns0:f>IFERROR(F135/(I135-H135),0)</ns0:f>
        <ns0:v>0</ns0:v>
      </ns0:c>
      <ns0:c r="L135" s="19" t="inlineStr">
        <ns0:is>
          <ns0:t>175</ns0:t>
        </ns0:is>
      </ns0:c>
    </ns0:row>
    <ns0:row r="136" ht="32" customHeight="1">
      <ns0:c r="A136" s="21" t="inlineStr">
        <ns0:is>
          <ns0:t>Monitoring/intervention</ns0:t>
        </ns0:is>
      </ns0:c>
      <ns0:c r="B136" s="21" t="inlineStr">
        <ns0:is>
          <ns0:t>Biological/omics</ns0:t>
        </ns0:is>
      </ns0:c>
      <ns0:c r="C136" s="21" t="inlineStr">
        <ns0:is>
          <ns0:t>Machine Learning</ns0:t>
        </ns0:is>
      </ns0:c>
      <ns0:c r="D136" s="21" t="inlineStr">
        <ns0:is>
          <ns0:t>Cross-site evaluation</ns0:t>
        </ns0:is>
      </ns0:c>
      <ns0:c r="E136" s="21" t="inlineStr">
        <ns0:is>
          <ns0:t>cross_site_robustness</ns0:t>
        </ns0:is>
      </ns0:c>
      <ns0:c r="F136" s="29">
        <ns0:f>COUNTIFS('BASE_CIERRE'!$G$5:$G$458,1,'BASE_CIERRE'!$H$5:$H$458,"Monitoring/intervention",'BASE_CIERRE'!$J$5:$J$458,"Biological/omics",'BASE_CIERRE'!$I$5:$I$458,"Machine Learning",'BASE_CIERRE'!$U$5:$U$458,"Reported")</ns0:f>
        <ns0:v>0</ns0:v>
      </ns0:c>
      <ns0:c r="G136" s="29">
        <ns0:f>COUNTIFS('BASE_CIERRE'!$G$5:$G$458,1,'BASE_CIERRE'!$H$5:$H$458,"Monitoring/intervention",'BASE_CIERRE'!$J$5:$J$458,"Biological/omics",'BASE_CIERRE'!$I$5:$I$458,"Machine Learning",'BASE_CIERRE'!$U$5:$U$458,"Not reported in assessed sources")</ns0:f>
        <ns0:v>1</ns0:v>
      </ns0:c>
      <ns0:c r="H136" s="29">
        <ns0:f>COUNTIFS('BASE_CIERRE'!$G$5:$G$458,1,'BASE_CIERRE'!$H$5:$H$458,"Monitoring/intervention",'BASE_CIERRE'!$J$5:$J$458,"Biological/omics",'BASE_CIERRE'!$I$5:$I$458,"Machine Learning",'BASE_CIERRE'!$U$5:$U$458,"Not ascertainable")</ns0:f>
        <ns0:v>0</ns0:v>
      </ns0:c>
      <ns0:c r="I136" s="29">
        <ns0:f>SUM(F136:H136)</ns0:f>
        <ns0:v>1</ns0:v>
      </ns0:c>
      <ns0:c r="J136" s="32">
        <ns0:f>IFERROR(F136/I136,0)</ns0:f>
        <ns0:v>0</ns0:v>
      </ns0:c>
      <ns0:c r="K136" s="32">
        <ns0:f>IFERROR(F136/(I136-H136),0)</ns0:f>
        <ns0:v>0</ns0:v>
      </ns0:c>
      <ns0:c r="L136" s="21" t="inlineStr">
        <ns0:is>
          <ns0:t>175</ns0:t>
        </ns0:is>
      </ns0:c>
    </ns0:row>
    <ns0:row r="137" ht="32" customHeight="1">
      <ns0:c r="A137" s="19" t="inlineStr">
        <ns0:is>
          <ns0:t>Monitoring/intervention</ns0:t>
        </ns0:is>
      </ns0:c>
      <ns0:c r="B137" s="19" t="inlineStr">
        <ns0:is>
          <ns0:t>Multiple source categories</ns0:t>
        </ns0:is>
      </ns0:c>
      <ns0:c r="C137" s="19" t="inlineStr">
        <ns0:is>
          <ns0:t>Deep Learning</ns0:t>
        </ns0:is>
      </ns0:c>
      <ns0:c r="D137" s="19" t="inlineStr">
        <ns0:is>
          <ns0:t>External validation</ns0:t>
        </ns0:is>
      </ns0:c>
      <ns0:c r="E137" s="19" t="inlineStr">
        <ns0:is>
          <ns0:t>external_validation</ns0:t>
        </ns0:is>
      </ns0:c>
      <ns0:c r="F137" s="27">
        <ns0:f>COUNTIFS('BASE_CIERRE'!$G$5:$G$458,1,'BASE_CIERRE'!$H$5:$H$458,"Monitoring/intervention",'BASE_CIERRE'!$J$5:$J$458,"Multiple source categories",'BASE_CIERRE'!$I$5:$I$458,"Deep Learning",'BASE_CIERRE'!$Q$5:$Q$458,"Reported")</ns0:f>
        <ns0:v>0</ns0:v>
      </ns0:c>
      <ns0:c r="G137" s="27">
        <ns0:f>COUNTIFS('BASE_CIERRE'!$G$5:$G$458,1,'BASE_CIERRE'!$H$5:$H$458,"Monitoring/intervention",'BASE_CIERRE'!$J$5:$J$458,"Multiple source categories",'BASE_CIERRE'!$I$5:$I$458,"Deep Learning",'BASE_CIERRE'!$Q$5:$Q$458,"Not reported in assessed sources")</ns0:f>
        <ns0:v>5</ns0:v>
      </ns0:c>
      <ns0:c r="H137" s="27">
        <ns0:f>COUNTIFS('BASE_CIERRE'!$G$5:$G$458,1,'BASE_CIERRE'!$H$5:$H$458,"Monitoring/intervention",'BASE_CIERRE'!$J$5:$J$458,"Multiple source categories",'BASE_CIERRE'!$I$5:$I$458,"Deep Learning",'BASE_CIERRE'!$Q$5:$Q$458,"Not ascertainable")</ns0:f>
        <ns0:v>0</ns0:v>
      </ns0:c>
      <ns0:c r="I137" s="27">
        <ns0:f>SUM(F137:H137)</ns0:f>
        <ns0:v>5</ns0:v>
      </ns0:c>
      <ns0:c r="J137" s="31">
        <ns0:f>IFERROR(F137/I137,0)</ns0:f>
        <ns0:v>0</ns0:v>
      </ns0:c>
      <ns0:c r="K137" s="31">
        <ns0:f>IFERROR(F137/(I137-H137),0)</ns0:f>
        <ns0:v>0</ns0:v>
      </ns0:c>
      <ns0:c r="L137" s="19" t="inlineStr">
        <ns0:is>
          <ns0:t>142; 185; 281; 293; new_423</ns0:t>
        </ns0:is>
      </ns0:c>
    </ns0:row>
    <ns0:row r="138" ht="32" customHeight="1">
      <ns0:c r="A138" s="21" t="inlineStr">
        <ns0:is>
          <ns0:t>Monitoring/intervention</ns0:t>
        </ns0:is>
      </ns0:c>
      <ns0:c r="B138" s="21" t="inlineStr">
        <ns0:is>
          <ns0:t>Multiple source categories</ns0:t>
        </ns0:is>
      </ns0:c>
      <ns0:c r="C138" s="21" t="inlineStr">
        <ns0:is>
          <ns0:t>Deep Learning</ns0:t>
        </ns0:is>
      </ns0:c>
      <ns0:c r="D138" s="21" t="inlineStr">
        <ns0:is>
          <ns0:t>Multisource integration</ns0:t>
        </ns0:is>
      </ns0:c>
      <ns0:c r="E138" s="21" t="inlineStr">
        <ns0:is>
          <ns0:t>multisource_integration</ns0:t>
        </ns0:is>
      </ns0:c>
      <ns0:c r="F138" s="29">
        <ns0:f>COUNTIFS('BASE_CIERRE'!$G$5:$G$458,1,'BASE_CIERRE'!$H$5:$H$458,"Monitoring/intervention",'BASE_CIERRE'!$J$5:$J$458,"Multiple source categories",'BASE_CIERRE'!$I$5:$I$458,"Deep Learning",'BASE_CIERRE'!$R$5:$R$458,"Reported")</ns0:f>
        <ns0:v>5</ns0:v>
      </ns0:c>
      <ns0:c r="G138" s="29">
        <ns0:f>COUNTIFS('BASE_CIERRE'!$G$5:$G$458,1,'BASE_CIERRE'!$H$5:$H$458,"Monitoring/intervention",'BASE_CIERRE'!$J$5:$J$458,"Multiple source categories",'BASE_CIERRE'!$I$5:$I$458,"Deep Learning",'BASE_CIERRE'!$R$5:$R$458,"Not reported in assessed sources")</ns0:f>
        <ns0:v>0</ns0:v>
      </ns0:c>
      <ns0:c r="H138" s="29">
        <ns0:f>COUNTIFS('BASE_CIERRE'!$G$5:$G$458,1,'BASE_CIERRE'!$H$5:$H$458,"Monitoring/intervention",'BASE_CIERRE'!$J$5:$J$458,"Multiple source categories",'BASE_CIERRE'!$I$5:$I$458,"Deep Learning",'BASE_CIERRE'!$R$5:$R$458,"Not ascertainable")</ns0:f>
        <ns0:v>0</ns0:v>
      </ns0:c>
      <ns0:c r="I138" s="29">
        <ns0:f>SUM(F138:H138)</ns0:f>
        <ns0:v>5</ns0:v>
      </ns0:c>
      <ns0:c r="J138" s="32">
        <ns0:f>IFERROR(F138/I138,0)</ns0:f>
        <ns0:v>1</ns0:v>
      </ns0:c>
      <ns0:c r="K138" s="32">
        <ns0:f>IFERROR(F138/(I138-H138),0)</ns0:f>
        <ns0:v>1</ns0:v>
      </ns0:c>
      <ns0:c r="L138" s="21" t="inlineStr">
        <ns0:is>
          <ns0:t>142; 185; 281; 293; new_423</ns0:t>
        </ns0:is>
      </ns0:c>
    </ns0:row>
    <ns0:row r="139" ht="32" customHeight="1">
      <ns0:c r="A139" s="19" t="inlineStr">
        <ns0:is>
          <ns0:t>Monitoring/intervention</ns0:t>
        </ns0:is>
      </ns0:c>
      <ns0:c r="B139" s="19" t="inlineStr">
        <ns0:is>
          <ns0:t>Multiple source categories</ns0:t>
        </ns0:is>
      </ns0:c>
      <ns0:c r="C139" s="19" t="inlineStr">
        <ns0:is>
          <ns0:t>Deep Learning</ns0:t>
        </ns0:is>
      </ns0:c>
      <ns0:c r="D139" s="19" t="inlineStr">
        <ns0:is>
          <ns0:t>Explicit explainability (broad)</ns0:t>
        </ns0:is>
      </ns0:c>
      <ns0:c r="E139" s="19" t="inlineStr">
        <ns0:is>
          <ns0:t>xai_broad</ns0:t>
        </ns0:is>
      </ns0:c>
      <ns0:c r="F139" s="27">
        <ns0:f>COUNTIFS('BASE_CIERRE'!$G$5:$G$458,1,'BASE_CIERRE'!$H$5:$H$458,"Monitoring/intervention",'BASE_CIERRE'!$J$5:$J$458,"Multiple source categories",'BASE_CIERRE'!$I$5:$I$458,"Deep Learning",'BASE_CIERRE'!$S$5:$S$458,"Reported")</ns0:f>
        <ns0:v>0</ns0:v>
      </ns0:c>
      <ns0:c r="G139" s="27">
        <ns0:f>COUNTIFS('BASE_CIERRE'!$G$5:$G$458,1,'BASE_CIERRE'!$H$5:$H$458,"Monitoring/intervention",'BASE_CIERRE'!$J$5:$J$458,"Multiple source categories",'BASE_CIERRE'!$I$5:$I$458,"Deep Learning",'BASE_CIERRE'!$S$5:$S$458,"Not reported in assessed sources")</ns0:f>
        <ns0:v>5</ns0:v>
      </ns0:c>
      <ns0:c r="H139" s="27">
        <ns0:f>COUNTIFS('BASE_CIERRE'!$G$5:$G$458,1,'BASE_CIERRE'!$H$5:$H$458,"Monitoring/intervention",'BASE_CIERRE'!$J$5:$J$458,"Multiple source categories",'BASE_CIERRE'!$I$5:$I$458,"Deep Learning",'BASE_CIERRE'!$S$5:$S$458,"Not ascertainable")</ns0:f>
        <ns0:v>0</ns0:v>
      </ns0:c>
      <ns0:c r="I139" s="27">
        <ns0:f>SUM(F139:H139)</ns0:f>
        <ns0:v>5</ns0:v>
      </ns0:c>
      <ns0:c r="J139" s="31">
        <ns0:f>IFERROR(F139/I139,0)</ns0:f>
        <ns0:v>0</ns0:v>
      </ns0:c>
      <ns0:c r="K139" s="31">
        <ns0:f>IFERROR(F139/(I139-H139),0)</ns0:f>
        <ns0:v>0</ns0:v>
      </ns0:c>
      <ns0:c r="L139" s="19" t="inlineStr">
        <ns0:is>
          <ns0:t>142; 185; 281; 293; new_423</ns0:t>
        </ns0:is>
      </ns0:c>
    </ns0:row>
    <ns0:row r="140" ht="32" customHeight="1">
      <ns0:c r="A140" s="21" t="inlineStr">
        <ns0:is>
          <ns0:t>Monitoring/intervention</ns0:t>
        </ns0:is>
      </ns0:c>
      <ns0:c r="B140" s="21" t="inlineStr">
        <ns0:is>
          <ns0:t>Multiple source categories</ns0:t>
        </ns0:is>
      </ns0:c>
      <ns0:c r="C140" s="21" t="inlineStr">
        <ns0:is>
          <ns0:t>Deep Learning</ns0:t>
        </ns0:is>
      </ns0:c>
      <ns0:c r="D140" s="21" t="inlineStr">
        <ns0:is>
          <ns0:t>Cross-site evaluation</ns0:t>
        </ns0:is>
      </ns0:c>
      <ns0:c r="E140" s="21" t="inlineStr">
        <ns0:is>
          <ns0:t>cross_site_robustness</ns0:t>
        </ns0:is>
      </ns0:c>
      <ns0:c r="F140" s="29">
        <ns0:f>COUNTIFS('BASE_CIERRE'!$G$5:$G$458,1,'BASE_CIERRE'!$H$5:$H$458,"Monitoring/intervention",'BASE_CIERRE'!$J$5:$J$458,"Multiple source categories",'BASE_CIERRE'!$I$5:$I$458,"Deep Learning",'BASE_CIERRE'!$U$5:$U$458,"Reported")</ns0:f>
        <ns0:v>0</ns0:v>
      </ns0:c>
      <ns0:c r="G140" s="29">
        <ns0:f>COUNTIFS('BASE_CIERRE'!$G$5:$G$458,1,'BASE_CIERRE'!$H$5:$H$458,"Monitoring/intervention",'BASE_CIERRE'!$J$5:$J$458,"Multiple source categories",'BASE_CIERRE'!$I$5:$I$458,"Deep Learning",'BASE_CIERRE'!$U$5:$U$458,"Not reported in assessed sources")</ns0:f>
        <ns0:v>4</ns0:v>
      </ns0:c>
      <ns0:c r="H140" s="29">
        <ns0:f>COUNTIFS('BASE_CIERRE'!$G$5:$G$458,1,'BASE_CIERRE'!$H$5:$H$458,"Monitoring/intervention",'BASE_CIERRE'!$J$5:$J$458,"Multiple source categories",'BASE_CIERRE'!$I$5:$I$458,"Deep Learning",'BASE_CIERRE'!$U$5:$U$458,"Not ascertainable")</ns0:f>
        <ns0:v>1</ns0:v>
      </ns0:c>
      <ns0:c r="I140" s="29">
        <ns0:f>SUM(F140:H140)</ns0:f>
        <ns0:v>5</ns0:v>
      </ns0:c>
      <ns0:c r="J140" s="32">
        <ns0:f>IFERROR(F140/I140,0)</ns0:f>
        <ns0:v>0</ns0:v>
      </ns0:c>
      <ns0:c r="K140" s="32">
        <ns0:f>IFERROR(F140/(I140-H140),0)</ns0:f>
        <ns0:v>0</ns0:v>
      </ns0:c>
      <ns0:c r="L140" s="21" t="inlineStr">
        <ns0:is>
          <ns0:t>142; 185; 281; 293; new_423</ns0:t>
        </ns0:is>
      </ns0:c>
    </ns0:row>
    <ns0:row r="141" ht="32" customHeight="1">
      <ns0:c r="A141" s="19" t="inlineStr">
        <ns0:is>
          <ns0:t>Monitoring/intervention</ns0:t>
        </ns0:is>
      </ns0:c>
      <ns0:c r="B141" s="19" t="inlineStr">
        <ns0:is>
          <ns0:t>Multiple source categories</ns0:t>
        </ns0:is>
      </ns0:c>
      <ns0:c r="C141" s="19" t="inlineStr">
        <ns0:is>
          <ns0:t>Hybrid</ns0:t>
        </ns0:is>
      </ns0:c>
      <ns0:c r="D141" s="19" t="inlineStr">
        <ns0:is>
          <ns0:t>External validation</ns0:t>
        </ns0:is>
      </ns0:c>
      <ns0:c r="E141" s="19" t="inlineStr">
        <ns0:is>
          <ns0:t>external_validation</ns0:t>
        </ns0:is>
      </ns0:c>
      <ns0:c r="F141" s="27">
        <ns0:f>COUNTIFS('BASE_CIERRE'!$G$5:$G$458,1,'BASE_CIERRE'!$H$5:$H$458,"Monitoring/intervention",'BASE_CIERRE'!$J$5:$J$458,"Multiple source categories",'BASE_CIERRE'!$I$5:$I$458,"Hybrid",'BASE_CIERRE'!$Q$5:$Q$458,"Reported")</ns0:f>
        <ns0:v>0</ns0:v>
      </ns0:c>
      <ns0:c r="G141" s="27">
        <ns0:f>COUNTIFS('BASE_CIERRE'!$G$5:$G$458,1,'BASE_CIERRE'!$H$5:$H$458,"Monitoring/intervention",'BASE_CIERRE'!$J$5:$J$458,"Multiple source categories",'BASE_CIERRE'!$I$5:$I$458,"Hybrid",'BASE_CIERRE'!$Q$5:$Q$458,"Not reported in assessed sources")</ns0:f>
        <ns0:v>1</ns0:v>
      </ns0:c>
      <ns0:c r="H141" s="27">
        <ns0:f>COUNTIFS('BASE_CIERRE'!$G$5:$G$458,1,'BASE_CIERRE'!$H$5:$H$458,"Monitoring/intervention",'BASE_CIERRE'!$J$5:$J$458,"Multiple source categories",'BASE_CIERRE'!$I$5:$I$458,"Hybrid",'BASE_CIERRE'!$Q$5:$Q$458,"Not ascertainable")</ns0:f>
        <ns0:v>0</ns0:v>
      </ns0:c>
      <ns0:c r="I141" s="27">
        <ns0:f>SUM(F141:H141)</ns0:f>
        <ns0:v>1</ns0:v>
      </ns0:c>
      <ns0:c r="J141" s="31">
        <ns0:f>IFERROR(F141/I141,0)</ns0:f>
        <ns0:v>0</ns0:v>
      </ns0:c>
      <ns0:c r="K141" s="31">
        <ns0:f>IFERROR(F141/(I141-H141),0)</ns0:f>
        <ns0:v>0</ns0:v>
      </ns0:c>
      <ns0:c r="L141" s="19" t="inlineStr">
        <ns0:is>
          <ns0:t>new_237</ns0:t>
        </ns0:is>
      </ns0:c>
    </ns0:row>
    <ns0:row r="142" ht="32" customHeight="1">
      <ns0:c r="A142" s="21" t="inlineStr">
        <ns0:is>
          <ns0:t>Monitoring/intervention</ns0:t>
        </ns0:is>
      </ns0:c>
      <ns0:c r="B142" s="21" t="inlineStr">
        <ns0:is>
          <ns0:t>Multiple source categories</ns0:t>
        </ns0:is>
      </ns0:c>
      <ns0:c r="C142" s="21" t="inlineStr">
        <ns0:is>
          <ns0:t>Hybrid</ns0:t>
        </ns0:is>
      </ns0:c>
      <ns0:c r="D142" s="21" t="inlineStr">
        <ns0:is>
          <ns0:t>Multisource integration</ns0:t>
        </ns0:is>
      </ns0:c>
      <ns0:c r="E142" s="21" t="inlineStr">
        <ns0:is>
          <ns0:t>multisource_integration</ns0:t>
        </ns0:is>
      </ns0:c>
      <ns0:c r="F142" s="29">
        <ns0:f>COUNTIFS('BASE_CIERRE'!$G$5:$G$458,1,'BASE_CIERRE'!$H$5:$H$458,"Monitoring/intervention",'BASE_CIERRE'!$J$5:$J$458,"Multiple source categories",'BASE_CIERRE'!$I$5:$I$458,"Hybrid",'BASE_CIERRE'!$R$5:$R$458,"Reported")</ns0:f>
        <ns0:v>1</ns0:v>
      </ns0:c>
      <ns0:c r="G142" s="29">
        <ns0:f>COUNTIFS('BASE_CIERRE'!$G$5:$G$458,1,'BASE_CIERRE'!$H$5:$H$458,"Monitoring/intervention",'BASE_CIERRE'!$J$5:$J$458,"Multiple source categories",'BASE_CIERRE'!$I$5:$I$458,"Hybrid",'BASE_CIERRE'!$R$5:$R$458,"Not reported in assessed sources")</ns0:f>
        <ns0:v>0</ns0:v>
      </ns0:c>
      <ns0:c r="H142" s="29">
        <ns0:f>COUNTIFS('BASE_CIERRE'!$G$5:$G$458,1,'BASE_CIERRE'!$H$5:$H$458,"Monitoring/intervention",'BASE_CIERRE'!$J$5:$J$458,"Multiple source categories",'BASE_CIERRE'!$I$5:$I$458,"Hybrid",'BASE_CIERRE'!$R$5:$R$458,"Not ascertainable")</ns0:f>
        <ns0:v>0</ns0:v>
      </ns0:c>
      <ns0:c r="I142" s="29">
        <ns0:f>SUM(F142:H142)</ns0:f>
        <ns0:v>1</ns0:v>
      </ns0:c>
      <ns0:c r="J142" s="32">
        <ns0:f>IFERROR(F142/I142,0)</ns0:f>
        <ns0:v>1</ns0:v>
      </ns0:c>
      <ns0:c r="K142" s="32">
        <ns0:f>IFERROR(F142/(I142-H142),0)</ns0:f>
        <ns0:v>1</ns0:v>
      </ns0:c>
      <ns0:c r="L142" s="21" t="inlineStr">
        <ns0:is>
          <ns0:t>new_237</ns0:t>
        </ns0:is>
      </ns0:c>
    </ns0:row>
    <ns0:row r="143" ht="32" customHeight="1">
      <ns0:c r="A143" s="19" t="inlineStr">
        <ns0:is>
          <ns0:t>Monitoring/intervention</ns0:t>
        </ns0:is>
      </ns0:c>
      <ns0:c r="B143" s="19" t="inlineStr">
        <ns0:is>
          <ns0:t>Multiple source categories</ns0:t>
        </ns0:is>
      </ns0:c>
      <ns0:c r="C143" s="19" t="inlineStr">
        <ns0:is>
          <ns0:t>Hybrid</ns0:t>
        </ns0:is>
      </ns0:c>
      <ns0:c r="D143" s="19" t="inlineStr">
        <ns0:is>
          <ns0:t>Explicit explainability (broad)</ns0:t>
        </ns0:is>
      </ns0:c>
      <ns0:c r="E143" s="19" t="inlineStr">
        <ns0:is>
          <ns0:t>xai_broad</ns0:t>
        </ns0:is>
      </ns0:c>
      <ns0:c r="F143" s="27">
        <ns0:f>COUNTIFS('BASE_CIERRE'!$G$5:$G$458,1,'BASE_CIERRE'!$H$5:$H$458,"Monitoring/intervention",'BASE_CIERRE'!$J$5:$J$458,"Multiple source categories",'BASE_CIERRE'!$I$5:$I$458,"Hybrid",'BASE_CIERRE'!$S$5:$S$458,"Reported")</ns0:f>
        <ns0:v>0</ns0:v>
      </ns0:c>
      <ns0:c r="G143" s="27">
        <ns0:f>COUNTIFS('BASE_CIERRE'!$G$5:$G$458,1,'BASE_CIERRE'!$H$5:$H$458,"Monitoring/intervention",'BASE_CIERRE'!$J$5:$J$458,"Multiple source categories",'BASE_CIERRE'!$I$5:$I$458,"Hybrid",'BASE_CIERRE'!$S$5:$S$458,"Not reported in assessed sources")</ns0:f>
        <ns0:v>1</ns0:v>
      </ns0:c>
      <ns0:c r="H143" s="27">
        <ns0:f>COUNTIFS('BASE_CIERRE'!$G$5:$G$458,1,'BASE_CIERRE'!$H$5:$H$458,"Monitoring/intervention",'BASE_CIERRE'!$J$5:$J$458,"Multiple source categories",'BASE_CIERRE'!$I$5:$I$458,"Hybrid",'BASE_CIERRE'!$S$5:$S$458,"Not ascertainable")</ns0:f>
        <ns0:v>0</ns0:v>
      </ns0:c>
      <ns0:c r="I143" s="27">
        <ns0:f>SUM(F143:H143)</ns0:f>
        <ns0:v>1</ns0:v>
      </ns0:c>
      <ns0:c r="J143" s="31">
        <ns0:f>IFERROR(F143/I143,0)</ns0:f>
        <ns0:v>0</ns0:v>
      </ns0:c>
      <ns0:c r="K143" s="31">
        <ns0:f>IFERROR(F143/(I143-H143),0)</ns0:f>
        <ns0:v>0</ns0:v>
      </ns0:c>
      <ns0:c r="L143" s="19" t="inlineStr">
        <ns0:is>
          <ns0:t>new_237</ns0:t>
        </ns0:is>
      </ns0:c>
    </ns0:row>
    <ns0:row r="144" ht="32" customHeight="1">
      <ns0:c r="A144" s="21" t="inlineStr">
        <ns0:is>
          <ns0:t>Monitoring/intervention</ns0:t>
        </ns0:is>
      </ns0:c>
      <ns0:c r="B144" s="21" t="inlineStr">
        <ns0:is>
          <ns0:t>Multiple source categories</ns0:t>
        </ns0:is>
      </ns0:c>
      <ns0:c r="C144" s="21" t="inlineStr">
        <ns0:is>
          <ns0:t>Hybrid</ns0:t>
        </ns0:is>
      </ns0:c>
      <ns0:c r="D144" s="21" t="inlineStr">
        <ns0:is>
          <ns0:t>Cross-site evaluation</ns0:t>
        </ns0:is>
      </ns0:c>
      <ns0:c r="E144" s="21" t="inlineStr">
        <ns0:is>
          <ns0:t>cross_site_robustness</ns0:t>
        </ns0:is>
      </ns0:c>
      <ns0:c r="F144" s="29">
        <ns0:f>COUNTIFS('BASE_CIERRE'!$G$5:$G$458,1,'BASE_CIERRE'!$H$5:$H$458,"Monitoring/intervention",'BASE_CIERRE'!$J$5:$J$458,"Multiple source categories",'BASE_CIERRE'!$I$5:$I$458,"Hybrid",'BASE_CIERRE'!$U$5:$U$458,"Reported")</ns0:f>
        <ns0:v>0</ns0:v>
      </ns0:c>
      <ns0:c r="G144" s="29">
        <ns0:f>COUNTIFS('BASE_CIERRE'!$G$5:$G$458,1,'BASE_CIERRE'!$H$5:$H$458,"Monitoring/intervention",'BASE_CIERRE'!$J$5:$J$458,"Multiple source categories",'BASE_CIERRE'!$I$5:$I$458,"Hybrid",'BASE_CIERRE'!$U$5:$U$458,"Not reported in assessed sources")</ns0:f>
        <ns0:v>1</ns0:v>
      </ns0:c>
      <ns0:c r="H144" s="29">
        <ns0:f>COUNTIFS('BASE_CIERRE'!$G$5:$G$458,1,'BASE_CIERRE'!$H$5:$H$458,"Monitoring/intervention",'BASE_CIERRE'!$J$5:$J$458,"Multiple source categories",'BASE_CIERRE'!$I$5:$I$458,"Hybrid",'BASE_CIERRE'!$U$5:$U$458,"Not ascertainable")</ns0:f>
        <ns0:v>0</ns0:v>
      </ns0:c>
      <ns0:c r="I144" s="29">
        <ns0:f>SUM(F144:H144)</ns0:f>
        <ns0:v>1</ns0:v>
      </ns0:c>
      <ns0:c r="J144" s="32">
        <ns0:f>IFERROR(F144/I144,0)</ns0:f>
        <ns0:v>0</ns0:v>
      </ns0:c>
      <ns0:c r="K144" s="32">
        <ns0:f>IFERROR(F144/(I144-H144),0)</ns0:f>
        <ns0:v>0</ns0:v>
      </ns0:c>
      <ns0:c r="L144" s="21" t="inlineStr">
        <ns0:is>
          <ns0:t>new_237</ns0:t>
        </ns0:is>
      </ns0:c>
    </ns0:row>
    <ns0:row r="145" ht="32" customHeight="1">
      <ns0:c r="A145" s="19" t="inlineStr">
        <ns0:is>
          <ns0:t>Monitoring/intervention</ns0:t>
        </ns0:is>
      </ns0:c>
      <ns0:c r="B145" s="19" t="inlineStr">
        <ns0:is>
          <ns0:t>Multiple source categories</ns0:t>
        </ns0:is>
      </ns0:c>
      <ns0:c r="C145" s="19" t="inlineStr">
        <ns0:is>
          <ns0:t>Not specified</ns0:t>
        </ns0:is>
      </ns0:c>
      <ns0:c r="D145" s="19" t="inlineStr">
        <ns0:is>
          <ns0:t>External validation</ns0:t>
        </ns0:is>
      </ns0:c>
      <ns0:c r="E145" s="19" t="inlineStr">
        <ns0:is>
          <ns0:t>external_validation</ns0:t>
        </ns0:is>
      </ns0:c>
      <ns0:c r="F145" s="27">
        <ns0:f>COUNTIFS('BASE_CIERRE'!$G$5:$G$458,1,'BASE_CIERRE'!$H$5:$H$458,"Monitoring/intervention",'BASE_CIERRE'!$J$5:$J$458,"Multiple source categories",'BASE_CIERRE'!$I$5:$I$458,"Not specified",'BASE_CIERRE'!$Q$5:$Q$458,"Reported")</ns0:f>
        <ns0:v>0</ns0:v>
      </ns0:c>
      <ns0:c r="G145" s="27">
        <ns0:f>COUNTIFS('BASE_CIERRE'!$G$5:$G$458,1,'BASE_CIERRE'!$H$5:$H$458,"Monitoring/intervention",'BASE_CIERRE'!$J$5:$J$458,"Multiple source categories",'BASE_CIERRE'!$I$5:$I$458,"Not specified",'BASE_CIERRE'!$Q$5:$Q$458,"Not reported in assessed sources")</ns0:f>
        <ns0:v>1</ns0:v>
      </ns0:c>
      <ns0:c r="H145" s="27">
        <ns0:f>COUNTIFS('BASE_CIERRE'!$G$5:$G$458,1,'BASE_CIERRE'!$H$5:$H$458,"Monitoring/intervention",'BASE_CIERRE'!$J$5:$J$458,"Multiple source categories",'BASE_CIERRE'!$I$5:$I$458,"Not specified",'BASE_CIERRE'!$Q$5:$Q$458,"Not ascertainable")</ns0:f>
        <ns0:v>0</ns0:v>
      </ns0:c>
      <ns0:c r="I145" s="27">
        <ns0:f>SUM(F145:H145)</ns0:f>
        <ns0:v>1</ns0:v>
      </ns0:c>
      <ns0:c r="J145" s="31">
        <ns0:f>IFERROR(F145/I145,0)</ns0:f>
        <ns0:v>0</ns0:v>
      </ns0:c>
      <ns0:c r="K145" s="31">
        <ns0:f>IFERROR(F145/(I145-H145),0)</ns0:f>
        <ns0:v>0</ns0:v>
      </ns0:c>
      <ns0:c r="L145" s="19" t="inlineStr">
        <ns0:is>
          <ns0:t>75</ns0:t>
        </ns0:is>
      </ns0:c>
    </ns0:row>
    <ns0:row r="146" ht="32" customHeight="1">
      <ns0:c r="A146" s="21" t="inlineStr">
        <ns0:is>
          <ns0:t>Monitoring/intervention</ns0:t>
        </ns0:is>
      </ns0:c>
      <ns0:c r="B146" s="21" t="inlineStr">
        <ns0:is>
          <ns0:t>Multiple source categories</ns0:t>
        </ns0:is>
      </ns0:c>
      <ns0:c r="C146" s="21" t="inlineStr">
        <ns0:is>
          <ns0:t>Not specified</ns0:t>
        </ns0:is>
      </ns0:c>
      <ns0:c r="D146" s="21" t="inlineStr">
        <ns0:is>
          <ns0:t>Multisource integration</ns0:t>
        </ns0:is>
      </ns0:c>
      <ns0:c r="E146" s="21" t="inlineStr">
        <ns0:is>
          <ns0:t>multisource_integration</ns0:t>
        </ns0:is>
      </ns0:c>
      <ns0:c r="F146" s="29">
        <ns0:f>COUNTIFS('BASE_CIERRE'!$G$5:$G$458,1,'BASE_CIERRE'!$H$5:$H$458,"Monitoring/intervention",'BASE_CIERRE'!$J$5:$J$458,"Multiple source categories",'BASE_CIERRE'!$I$5:$I$458,"Not specified",'BASE_CIERRE'!$R$5:$R$458,"Reported")</ns0:f>
        <ns0:v>0</ns0:v>
      </ns0:c>
      <ns0:c r="G146" s="29">
        <ns0:f>COUNTIFS('BASE_CIERRE'!$G$5:$G$458,1,'BASE_CIERRE'!$H$5:$H$458,"Monitoring/intervention",'BASE_CIERRE'!$J$5:$J$458,"Multiple source categories",'BASE_CIERRE'!$I$5:$I$458,"Not specified",'BASE_CIERRE'!$R$5:$R$458,"Not reported in assessed sources")</ns0:f>
        <ns0:v>0</ns0:v>
      </ns0:c>
      <ns0:c r="H146" s="29">
        <ns0:f>COUNTIFS('BASE_CIERRE'!$G$5:$G$458,1,'BASE_CIERRE'!$H$5:$H$458,"Monitoring/intervention",'BASE_CIERRE'!$J$5:$J$458,"Multiple source categories",'BASE_CIERRE'!$I$5:$I$458,"Not specified",'BASE_CIERRE'!$R$5:$R$458,"Not ascertainable")</ns0:f>
        <ns0:v>1</ns0:v>
      </ns0:c>
      <ns0:c r="I146" s="29">
        <ns0:f>SUM(F146:H146)</ns0:f>
        <ns0:v>1</ns0:v>
      </ns0:c>
      <ns0:c r="J146" s="32">
        <ns0:f>IFERROR(F146/I146,0)</ns0:f>
        <ns0:v>0</ns0:v>
      </ns0:c>
      <ns0:c r="K146" s="32">
        <ns0:f>IFERROR(F146/(I146-H146),0)</ns0:f>
        <ns0:v>0</ns0:v>
      </ns0:c>
      <ns0:c r="L146" s="21" t="inlineStr">
        <ns0:is>
          <ns0:t>75</ns0:t>
        </ns0:is>
      </ns0:c>
    </ns0:row>
    <ns0:row r="147" ht="32" customHeight="1">
      <ns0:c r="A147" s="19" t="inlineStr">
        <ns0:is>
          <ns0:t>Monitoring/intervention</ns0:t>
        </ns0:is>
      </ns0:c>
      <ns0:c r="B147" s="19" t="inlineStr">
        <ns0:is>
          <ns0:t>Multiple source categories</ns0:t>
        </ns0:is>
      </ns0:c>
      <ns0:c r="C147" s="19" t="inlineStr">
        <ns0:is>
          <ns0:t>Not specified</ns0:t>
        </ns0:is>
      </ns0:c>
      <ns0:c r="D147" s="19" t="inlineStr">
        <ns0:is>
          <ns0:t>Explicit explainability (broad)</ns0:t>
        </ns0:is>
      </ns0:c>
      <ns0:c r="E147" s="19" t="inlineStr">
        <ns0:is>
          <ns0:t>xai_broad</ns0:t>
        </ns0:is>
      </ns0:c>
      <ns0:c r="F147" s="27">
        <ns0:f>COUNTIFS('BASE_CIERRE'!$G$5:$G$458,1,'BASE_CIERRE'!$H$5:$H$458,"Monitoring/intervention",'BASE_CIERRE'!$J$5:$J$458,"Multiple source categories",'BASE_CIERRE'!$I$5:$I$458,"Not specified",'BASE_CIERRE'!$S$5:$S$458,"Reported")</ns0:f>
        <ns0:v>0</ns0:v>
      </ns0:c>
      <ns0:c r="G147" s="27">
        <ns0:f>COUNTIFS('BASE_CIERRE'!$G$5:$G$458,1,'BASE_CIERRE'!$H$5:$H$458,"Monitoring/intervention",'BASE_CIERRE'!$J$5:$J$458,"Multiple source categories",'BASE_CIERRE'!$I$5:$I$458,"Not specified",'BASE_CIERRE'!$S$5:$S$458,"Not reported in assessed sources")</ns0:f>
        <ns0:v>1</ns0:v>
      </ns0:c>
      <ns0:c r="H147" s="27">
        <ns0:f>COUNTIFS('BASE_CIERRE'!$G$5:$G$458,1,'BASE_CIERRE'!$H$5:$H$458,"Monitoring/intervention",'BASE_CIERRE'!$J$5:$J$458,"Multiple source categories",'BASE_CIERRE'!$I$5:$I$458,"Not specified",'BASE_CIERRE'!$S$5:$S$458,"Not ascertainable")</ns0:f>
        <ns0:v>0</ns0:v>
      </ns0:c>
      <ns0:c r="I147" s="27">
        <ns0:f>SUM(F147:H147)</ns0:f>
        <ns0:v>1</ns0:v>
      </ns0:c>
      <ns0:c r="J147" s="31">
        <ns0:f>IFERROR(F147/I147,0)</ns0:f>
        <ns0:v>0</ns0:v>
      </ns0:c>
      <ns0:c r="K147" s="31">
        <ns0:f>IFERROR(F147/(I147-H147),0)</ns0:f>
        <ns0:v>0</ns0:v>
      </ns0:c>
      <ns0:c r="L147" s="19" t="inlineStr">
        <ns0:is>
          <ns0:t>75</ns0:t>
        </ns0:is>
      </ns0:c>
    </ns0:row>
    <ns0:row r="148" ht="32" customHeight="1">
      <ns0:c r="A148" s="21" t="inlineStr">
        <ns0:is>
          <ns0:t>Monitoring/intervention</ns0:t>
        </ns0:is>
      </ns0:c>
      <ns0:c r="B148" s="21" t="inlineStr">
        <ns0:is>
          <ns0:t>Multiple source categories</ns0:t>
        </ns0:is>
      </ns0:c>
      <ns0:c r="C148" s="21" t="inlineStr">
        <ns0:is>
          <ns0:t>Not specified</ns0:t>
        </ns0:is>
      </ns0:c>
      <ns0:c r="D148" s="21" t="inlineStr">
        <ns0:is>
          <ns0:t>Cross-site evaluation</ns0:t>
        </ns0:is>
      </ns0:c>
      <ns0:c r="E148" s="21" t="inlineStr">
        <ns0:is>
          <ns0:t>cross_site_robustness</ns0:t>
        </ns0:is>
      </ns0:c>
      <ns0:c r="F148" s="29">
        <ns0:f>COUNTIFS('BASE_CIERRE'!$G$5:$G$458,1,'BASE_CIERRE'!$H$5:$H$458,"Monitoring/intervention",'BASE_CIERRE'!$J$5:$J$458,"Multiple source categories",'BASE_CIERRE'!$I$5:$I$458,"Not specified",'BASE_CIERRE'!$U$5:$U$458,"Reported")</ns0:f>
        <ns0:v>0</ns0:v>
      </ns0:c>
      <ns0:c r="G148" s="29">
        <ns0:f>COUNTIFS('BASE_CIERRE'!$G$5:$G$458,1,'BASE_CIERRE'!$H$5:$H$458,"Monitoring/intervention",'BASE_CIERRE'!$J$5:$J$458,"Multiple source categories",'BASE_CIERRE'!$I$5:$I$458,"Not specified",'BASE_CIERRE'!$U$5:$U$458,"Not reported in assessed sources")</ns0:f>
        <ns0:v>1</ns0:v>
      </ns0:c>
      <ns0:c r="H148" s="29">
        <ns0:f>COUNTIFS('BASE_CIERRE'!$G$5:$G$458,1,'BASE_CIERRE'!$H$5:$H$458,"Monitoring/intervention",'BASE_CIERRE'!$J$5:$J$458,"Multiple source categories",'BASE_CIERRE'!$I$5:$I$458,"Not specified",'BASE_CIERRE'!$U$5:$U$458,"Not ascertainable")</ns0:f>
        <ns0:v>0</ns0:v>
      </ns0:c>
      <ns0:c r="I148" s="29">
        <ns0:f>SUM(F148:H148)</ns0:f>
        <ns0:v>1</ns0:v>
      </ns0:c>
      <ns0:c r="J148" s="32">
        <ns0:f>IFERROR(F148/I148,0)</ns0:f>
        <ns0:v>0</ns0:v>
      </ns0:c>
      <ns0:c r="K148" s="32">
        <ns0:f>IFERROR(F148/(I148-H148),0)</ns0:f>
        <ns0:v>0</ns0:v>
      </ns0:c>
      <ns0:c r="L148" s="21" t="inlineStr">
        <ns0:is>
          <ns0:t>75</ns0:t>
        </ns0:is>
      </ns0:c>
    </ns0:row>
    <ns0:row r="149" ht="32" customHeight="1">
      <ns0:c r="A149" s="19" t="inlineStr">
        <ns0:is>
          <ns0:t>Monitoring/intervention</ns0:t>
        </ns0:is>
      </ns0:c>
      <ns0:c r="B149" s="19" t="inlineStr">
        <ns0:is>
          <ns0:t>Not specified</ns0:t>
        </ns0:is>
      </ns0:c>
      <ns0:c r="C149" s="19" t="inlineStr">
        <ns0:is>
          <ns0:t>Deep Learning</ns0:t>
        </ns0:is>
      </ns0:c>
      <ns0:c r="D149" s="19" t="inlineStr">
        <ns0:is>
          <ns0:t>External validation</ns0:t>
        </ns0:is>
      </ns0:c>
      <ns0:c r="E149" s="19" t="inlineStr">
        <ns0:is>
          <ns0:t>external_validation</ns0:t>
        </ns0:is>
      </ns0:c>
      <ns0:c r="F149" s="27">
        <ns0:f>COUNTIFS('BASE_CIERRE'!$G$5:$G$458,1,'BASE_CIERRE'!$H$5:$H$458,"Monitoring/intervention",'BASE_CIERRE'!$J$5:$J$458,"Not specified",'BASE_CIERRE'!$I$5:$I$458,"Deep Learning",'BASE_CIERRE'!$Q$5:$Q$458,"Reported")</ns0:f>
        <ns0:v>0</ns0:v>
      </ns0:c>
      <ns0:c r="G149" s="27">
        <ns0:f>COUNTIFS('BASE_CIERRE'!$G$5:$G$458,1,'BASE_CIERRE'!$H$5:$H$458,"Monitoring/intervention",'BASE_CIERRE'!$J$5:$J$458,"Not specified",'BASE_CIERRE'!$I$5:$I$458,"Deep Learning",'BASE_CIERRE'!$Q$5:$Q$458,"Not reported in assessed sources")</ns0:f>
        <ns0:v>1</ns0:v>
      </ns0:c>
      <ns0:c r="H149" s="27">
        <ns0:f>COUNTIFS('BASE_CIERRE'!$G$5:$G$458,1,'BASE_CIERRE'!$H$5:$H$458,"Monitoring/intervention",'BASE_CIERRE'!$J$5:$J$458,"Not specified",'BASE_CIERRE'!$I$5:$I$458,"Deep Learning",'BASE_CIERRE'!$Q$5:$Q$458,"Not ascertainable")</ns0:f>
        <ns0:v>0</ns0:v>
      </ns0:c>
      <ns0:c r="I149" s="27">
        <ns0:f>SUM(F149:H149)</ns0:f>
        <ns0:v>1</ns0:v>
      </ns0:c>
      <ns0:c r="J149" s="31">
        <ns0:f>IFERROR(F149/I149,0)</ns0:f>
        <ns0:v>0</ns0:v>
      </ns0:c>
      <ns0:c r="K149" s="31">
        <ns0:f>IFERROR(F149/(I149-H149),0)</ns0:f>
        <ns0:v>0</ns0:v>
      </ns0:c>
      <ns0:c r="L149" s="19" t="inlineStr">
        <ns0:is>
          <ns0:t>new_37</ns0:t>
        </ns0:is>
      </ns0:c>
    </ns0:row>
    <ns0:row r="150" ht="32" customHeight="1">
      <ns0:c r="A150" s="21" t="inlineStr">
        <ns0:is>
          <ns0:t>Monitoring/intervention</ns0:t>
        </ns0:is>
      </ns0:c>
      <ns0:c r="B150" s="21" t="inlineStr">
        <ns0:is>
          <ns0:t>Not specified</ns0:t>
        </ns0:is>
      </ns0:c>
      <ns0:c r="C150" s="21" t="inlineStr">
        <ns0:is>
          <ns0:t>Deep Learning</ns0:t>
        </ns0:is>
      </ns0:c>
      <ns0:c r="D150" s="21" t="inlineStr">
        <ns0:is>
          <ns0:t>Multisource integration</ns0:t>
        </ns0:is>
      </ns0:c>
      <ns0:c r="E150" s="21" t="inlineStr">
        <ns0:is>
          <ns0:t>multisource_integration</ns0:t>
        </ns0:is>
      </ns0:c>
      <ns0:c r="F150" s="29">
        <ns0:f>COUNTIFS('BASE_CIERRE'!$G$5:$G$458,1,'BASE_CIERRE'!$H$5:$H$458,"Monitoring/intervention",'BASE_CIERRE'!$J$5:$J$458,"Not specified",'BASE_CIERRE'!$I$5:$I$458,"Deep Learning",'BASE_CIERRE'!$R$5:$R$458,"Reported")</ns0:f>
        <ns0:v>0</ns0:v>
      </ns0:c>
      <ns0:c r="G150" s="29">
        <ns0:f>COUNTIFS('BASE_CIERRE'!$G$5:$G$458,1,'BASE_CIERRE'!$H$5:$H$458,"Monitoring/intervention",'BASE_CIERRE'!$J$5:$J$458,"Not specified",'BASE_CIERRE'!$I$5:$I$458,"Deep Learning",'BASE_CIERRE'!$R$5:$R$458,"Not reported in assessed sources")</ns0:f>
        <ns0:v>1</ns0:v>
      </ns0:c>
      <ns0:c r="H150" s="29">
        <ns0:f>COUNTIFS('BASE_CIERRE'!$G$5:$G$458,1,'BASE_CIERRE'!$H$5:$H$458,"Monitoring/intervention",'BASE_CIERRE'!$J$5:$J$458,"Not specified",'BASE_CIERRE'!$I$5:$I$458,"Deep Learning",'BASE_CIERRE'!$R$5:$R$458,"Not ascertainable")</ns0:f>
        <ns0:v>0</ns0:v>
      </ns0:c>
      <ns0:c r="I150" s="29">
        <ns0:f>SUM(F150:H150)</ns0:f>
        <ns0:v>1</ns0:v>
      </ns0:c>
      <ns0:c r="J150" s="32">
        <ns0:f>IFERROR(F150/I150,0)</ns0:f>
        <ns0:v>0</ns0:v>
      </ns0:c>
      <ns0:c r="K150" s="32">
        <ns0:f>IFERROR(F150/(I150-H150),0)</ns0:f>
        <ns0:v>0</ns0:v>
      </ns0:c>
      <ns0:c r="L150" s="21" t="inlineStr">
        <ns0:is>
          <ns0:t>new_37</ns0:t>
        </ns0:is>
      </ns0:c>
    </ns0:row>
    <ns0:row r="151" ht="32" customHeight="1">
      <ns0:c r="A151" s="19" t="inlineStr">
        <ns0:is>
          <ns0:t>Monitoring/intervention</ns0:t>
        </ns0:is>
      </ns0:c>
      <ns0:c r="B151" s="19" t="inlineStr">
        <ns0:is>
          <ns0:t>Not specified</ns0:t>
        </ns0:is>
      </ns0:c>
      <ns0:c r="C151" s="19" t="inlineStr">
        <ns0:is>
          <ns0:t>Deep Learning</ns0:t>
        </ns0:is>
      </ns0:c>
      <ns0:c r="D151" s="19" t="inlineStr">
        <ns0:is>
          <ns0:t>Explicit explainability (broad)</ns0:t>
        </ns0:is>
      </ns0:c>
      <ns0:c r="E151" s="19" t="inlineStr">
        <ns0:is>
          <ns0:t>xai_broad</ns0:t>
        </ns0:is>
      </ns0:c>
      <ns0:c r="F151" s="27">
        <ns0:f>COUNTIFS('BASE_CIERRE'!$G$5:$G$458,1,'BASE_CIERRE'!$H$5:$H$458,"Monitoring/intervention",'BASE_CIERRE'!$J$5:$J$458,"Not specified",'BASE_CIERRE'!$I$5:$I$458,"Deep Learning",'BASE_CIERRE'!$S$5:$S$458,"Reported")</ns0:f>
        <ns0:v>0</ns0:v>
      </ns0:c>
      <ns0:c r="G151" s="27">
        <ns0:f>COUNTIFS('BASE_CIERRE'!$G$5:$G$458,1,'BASE_CIERRE'!$H$5:$H$458,"Monitoring/intervention",'BASE_CIERRE'!$J$5:$J$458,"Not specified",'BASE_CIERRE'!$I$5:$I$458,"Deep Learning",'BASE_CIERRE'!$S$5:$S$458,"Not reported in assessed sources")</ns0:f>
        <ns0:v>1</ns0:v>
      </ns0:c>
      <ns0:c r="H151" s="27">
        <ns0:f>COUNTIFS('BASE_CIERRE'!$G$5:$G$458,1,'BASE_CIERRE'!$H$5:$H$458,"Monitoring/intervention",'BASE_CIERRE'!$J$5:$J$458,"Not specified",'BASE_CIERRE'!$I$5:$I$458,"Deep Learning",'BASE_CIERRE'!$S$5:$S$458,"Not ascertainable")</ns0:f>
        <ns0:v>0</ns0:v>
      </ns0:c>
      <ns0:c r="I151" s="27">
        <ns0:f>SUM(F151:H151)</ns0:f>
        <ns0:v>1</ns0:v>
      </ns0:c>
      <ns0:c r="J151" s="31">
        <ns0:f>IFERROR(F151/I151,0)</ns0:f>
        <ns0:v>0</ns0:v>
      </ns0:c>
      <ns0:c r="K151" s="31">
        <ns0:f>IFERROR(F151/(I151-H151),0)</ns0:f>
        <ns0:v>0</ns0:v>
      </ns0:c>
      <ns0:c r="L151" s="19" t="inlineStr">
        <ns0:is>
          <ns0:t>new_37</ns0:t>
        </ns0:is>
      </ns0:c>
    </ns0:row>
    <ns0:row r="152" ht="32" customHeight="1">
      <ns0:c r="A152" s="21" t="inlineStr">
        <ns0:is>
          <ns0:t>Monitoring/intervention</ns0:t>
        </ns0:is>
      </ns0:c>
      <ns0:c r="B152" s="21" t="inlineStr">
        <ns0:is>
          <ns0:t>Not specified</ns0:t>
        </ns0:is>
      </ns0:c>
      <ns0:c r="C152" s="21" t="inlineStr">
        <ns0:is>
          <ns0:t>Deep Learning</ns0:t>
        </ns0:is>
      </ns0:c>
      <ns0:c r="D152" s="21" t="inlineStr">
        <ns0:is>
          <ns0:t>Cross-site evaluation</ns0:t>
        </ns0:is>
      </ns0:c>
      <ns0:c r="E152" s="21" t="inlineStr">
        <ns0:is>
          <ns0:t>cross_site_robustness</ns0:t>
        </ns0:is>
      </ns0:c>
      <ns0:c r="F152" s="29">
        <ns0:f>COUNTIFS('BASE_CIERRE'!$G$5:$G$458,1,'BASE_CIERRE'!$H$5:$H$458,"Monitoring/intervention",'BASE_CIERRE'!$J$5:$J$458,"Not specified",'BASE_CIERRE'!$I$5:$I$458,"Deep Learning",'BASE_CIERRE'!$U$5:$U$458,"Reported")</ns0:f>
        <ns0:v>0</ns0:v>
      </ns0:c>
      <ns0:c r="G152" s="29">
        <ns0:f>COUNTIFS('BASE_CIERRE'!$G$5:$G$458,1,'BASE_CIERRE'!$H$5:$H$458,"Monitoring/intervention",'BASE_CIERRE'!$J$5:$J$458,"Not specified",'BASE_CIERRE'!$I$5:$I$458,"Deep Learning",'BASE_CIERRE'!$U$5:$U$458,"Not reported in assessed sources")</ns0:f>
        <ns0:v>1</ns0:v>
      </ns0:c>
      <ns0:c r="H152" s="29">
        <ns0:f>COUNTIFS('BASE_CIERRE'!$G$5:$G$458,1,'BASE_CIERRE'!$H$5:$H$458,"Monitoring/intervention",'BASE_CIERRE'!$J$5:$J$458,"Not specified",'BASE_CIERRE'!$I$5:$I$458,"Deep Learning",'BASE_CIERRE'!$U$5:$U$458,"Not ascertainable")</ns0:f>
        <ns0:v>0</ns0:v>
      </ns0:c>
      <ns0:c r="I152" s="29">
        <ns0:f>SUM(F152:H152)</ns0:f>
        <ns0:v>1</ns0:v>
      </ns0:c>
      <ns0:c r="J152" s="32">
        <ns0:f>IFERROR(F152/I152,0)</ns0:f>
        <ns0:v>0</ns0:v>
      </ns0:c>
      <ns0:c r="K152" s="32">
        <ns0:f>IFERROR(F152/(I152-H152),0)</ns0:f>
        <ns0:v>0</ns0:v>
      </ns0:c>
      <ns0:c r="L152" s="21" t="inlineStr">
        <ns0:is>
          <ns0:t>new_37</ns0:t>
        </ns0:is>
      </ns0:c>
    </ns0:row>
    <ns0:row r="153" ht="32" customHeight="1">
      <ns0:c r="A153" s="19" t="inlineStr">
        <ns0:is>
          <ns0:t>Monitoring/intervention</ns0:t>
        </ns0:is>
      </ns0:c>
      <ns0:c r="B153" s="19" t="inlineStr">
        <ns0:is>
          <ns0:t>Not specified</ns0:t>
        </ns0:is>
      </ns0:c>
      <ns0:c r="C153" s="19" t="inlineStr">
        <ns0:is>
          <ns0:t>Machine Learning</ns0:t>
        </ns0:is>
      </ns0:c>
      <ns0:c r="D153" s="19" t="inlineStr">
        <ns0:is>
          <ns0:t>External validation</ns0:t>
        </ns0:is>
      </ns0:c>
      <ns0:c r="E153" s="19" t="inlineStr">
        <ns0:is>
          <ns0:t>external_validation</ns0:t>
        </ns0:is>
      </ns0:c>
      <ns0:c r="F153" s="27">
        <ns0:f>COUNTIFS('BASE_CIERRE'!$G$5:$G$458,1,'BASE_CIERRE'!$H$5:$H$458,"Monitoring/intervention",'BASE_CIERRE'!$J$5:$J$458,"Not specified",'BASE_CIERRE'!$I$5:$I$458,"Machine Learning",'BASE_CIERRE'!$Q$5:$Q$458,"Reported")</ns0:f>
        <ns0:v>0</ns0:v>
      </ns0:c>
      <ns0:c r="G153" s="27">
        <ns0:f>COUNTIFS('BASE_CIERRE'!$G$5:$G$458,1,'BASE_CIERRE'!$H$5:$H$458,"Monitoring/intervention",'BASE_CIERRE'!$J$5:$J$458,"Not specified",'BASE_CIERRE'!$I$5:$I$458,"Machine Learning",'BASE_CIERRE'!$Q$5:$Q$458,"Not reported in assessed sources")</ns0:f>
        <ns0:v>1</ns0:v>
      </ns0:c>
      <ns0:c r="H153" s="27">
        <ns0:f>COUNTIFS('BASE_CIERRE'!$G$5:$G$458,1,'BASE_CIERRE'!$H$5:$H$458,"Monitoring/intervention",'BASE_CIERRE'!$J$5:$J$458,"Not specified",'BASE_CIERRE'!$I$5:$I$458,"Machine Learning",'BASE_CIERRE'!$Q$5:$Q$458,"Not ascertainable")</ns0:f>
        <ns0:v>0</ns0:v>
      </ns0:c>
      <ns0:c r="I153" s="27">
        <ns0:f>SUM(F153:H153)</ns0:f>
        <ns0:v>1</ns0:v>
      </ns0:c>
      <ns0:c r="J153" s="31">
        <ns0:f>IFERROR(F153/I153,0)</ns0:f>
        <ns0:v>0</ns0:v>
      </ns0:c>
      <ns0:c r="K153" s="31">
        <ns0:f>IFERROR(F153/(I153-H153),0)</ns0:f>
        <ns0:v>0</ns0:v>
      </ns0:c>
      <ns0:c r="L153" s="19" t="inlineStr">
        <ns0:is>
          <ns0:t>193</ns0:t>
        </ns0:is>
      </ns0:c>
    </ns0:row>
    <ns0:row r="154" ht="32" customHeight="1">
      <ns0:c r="A154" s="21" t="inlineStr">
        <ns0:is>
          <ns0:t>Monitoring/intervention</ns0:t>
        </ns0:is>
      </ns0:c>
      <ns0:c r="B154" s="21" t="inlineStr">
        <ns0:is>
          <ns0:t>Not specified</ns0:t>
        </ns0:is>
      </ns0:c>
      <ns0:c r="C154" s="21" t="inlineStr">
        <ns0:is>
          <ns0:t>Machine Learning</ns0:t>
        </ns0:is>
      </ns0:c>
      <ns0:c r="D154" s="21" t="inlineStr">
        <ns0:is>
          <ns0:t>Multisource integration</ns0:t>
        </ns0:is>
      </ns0:c>
      <ns0:c r="E154" s="21" t="inlineStr">
        <ns0:is>
          <ns0:t>multisource_integration</ns0:t>
        </ns0:is>
      </ns0:c>
      <ns0:c r="F154" s="29">
        <ns0:f>COUNTIFS('BASE_CIERRE'!$G$5:$G$458,1,'BASE_CIERRE'!$H$5:$H$458,"Monitoring/intervention",'BASE_CIERRE'!$J$5:$J$458,"Not specified",'BASE_CIERRE'!$I$5:$I$458,"Machine Learning",'BASE_CIERRE'!$R$5:$R$458,"Reported")</ns0:f>
        <ns0:v>0</ns0:v>
      </ns0:c>
      <ns0:c r="G154" s="29">
        <ns0:f>COUNTIFS('BASE_CIERRE'!$G$5:$G$458,1,'BASE_CIERRE'!$H$5:$H$458,"Monitoring/intervention",'BASE_CIERRE'!$J$5:$J$458,"Not specified",'BASE_CIERRE'!$I$5:$I$458,"Machine Learning",'BASE_CIERRE'!$R$5:$R$458,"Not reported in assessed sources")</ns0:f>
        <ns0:v>0</ns0:v>
      </ns0:c>
      <ns0:c r="H154" s="29">
        <ns0:f>COUNTIFS('BASE_CIERRE'!$G$5:$G$458,1,'BASE_CIERRE'!$H$5:$H$458,"Monitoring/intervention",'BASE_CIERRE'!$J$5:$J$458,"Not specified",'BASE_CIERRE'!$I$5:$I$458,"Machine Learning",'BASE_CIERRE'!$R$5:$R$458,"Not ascertainable")</ns0:f>
        <ns0:v>1</ns0:v>
      </ns0:c>
      <ns0:c r="I154" s="29">
        <ns0:f>SUM(F154:H154)</ns0:f>
        <ns0:v>1</ns0:v>
      </ns0:c>
      <ns0:c r="J154" s="32">
        <ns0:f>IFERROR(F154/I154,0)</ns0:f>
        <ns0:v>0</ns0:v>
      </ns0:c>
      <ns0:c r="K154" s="32">
        <ns0:f>IFERROR(F154/(I154-H154),0)</ns0:f>
        <ns0:v>0</ns0:v>
      </ns0:c>
      <ns0:c r="L154" s="21" t="inlineStr">
        <ns0:is>
          <ns0:t>193</ns0:t>
        </ns0:is>
      </ns0:c>
    </ns0:row>
    <ns0:row r="155" ht="32" customHeight="1">
      <ns0:c r="A155" s="19" t="inlineStr">
        <ns0:is>
          <ns0:t>Monitoring/intervention</ns0:t>
        </ns0:is>
      </ns0:c>
      <ns0:c r="B155" s="19" t="inlineStr">
        <ns0:is>
          <ns0:t>Not specified</ns0:t>
        </ns0:is>
      </ns0:c>
      <ns0:c r="C155" s="19" t="inlineStr">
        <ns0:is>
          <ns0:t>Machine Learning</ns0:t>
        </ns0:is>
      </ns0:c>
      <ns0:c r="D155" s="19" t="inlineStr">
        <ns0:is>
          <ns0:t>Explicit explainability (broad)</ns0:t>
        </ns0:is>
      </ns0:c>
      <ns0:c r="E155" s="19" t="inlineStr">
        <ns0:is>
          <ns0:t>xai_broad</ns0:t>
        </ns0:is>
      </ns0:c>
      <ns0:c r="F155" s="27">
        <ns0:f>COUNTIFS('BASE_CIERRE'!$G$5:$G$458,1,'BASE_CIERRE'!$H$5:$H$458,"Monitoring/intervention",'BASE_CIERRE'!$J$5:$J$458,"Not specified",'BASE_CIERRE'!$I$5:$I$458,"Machine Learning",'BASE_CIERRE'!$S$5:$S$458,"Reported")</ns0:f>
        <ns0:v>0</ns0:v>
      </ns0:c>
      <ns0:c r="G155" s="27">
        <ns0:f>COUNTIFS('BASE_CIERRE'!$G$5:$G$458,1,'BASE_CIERRE'!$H$5:$H$458,"Monitoring/intervention",'BASE_CIERRE'!$J$5:$J$458,"Not specified",'BASE_CIERRE'!$I$5:$I$458,"Machine Learning",'BASE_CIERRE'!$S$5:$S$458,"Not reported in assessed sources")</ns0:f>
        <ns0:v>1</ns0:v>
      </ns0:c>
      <ns0:c r="H155" s="27">
        <ns0:f>COUNTIFS('BASE_CIERRE'!$G$5:$G$458,1,'BASE_CIERRE'!$H$5:$H$458,"Monitoring/intervention",'BASE_CIERRE'!$J$5:$J$458,"Not specified",'BASE_CIERRE'!$I$5:$I$458,"Machine Learning",'BASE_CIERRE'!$S$5:$S$458,"Not ascertainable")</ns0:f>
        <ns0:v>0</ns0:v>
      </ns0:c>
      <ns0:c r="I155" s="27">
        <ns0:f>SUM(F155:H155)</ns0:f>
        <ns0:v>1</ns0:v>
      </ns0:c>
      <ns0:c r="J155" s="31">
        <ns0:f>IFERROR(F155/I155,0)</ns0:f>
        <ns0:v>0</ns0:v>
      </ns0:c>
      <ns0:c r="K155" s="31">
        <ns0:f>IFERROR(F155/(I155-H155),0)</ns0:f>
        <ns0:v>0</ns0:v>
      </ns0:c>
      <ns0:c r="L155" s="19" t="inlineStr">
        <ns0:is>
          <ns0:t>193</ns0:t>
        </ns0:is>
      </ns0:c>
    </ns0:row>
    <ns0:row r="156" ht="32" customHeight="1">
      <ns0:c r="A156" s="21" t="inlineStr">
        <ns0:is>
          <ns0:t>Monitoring/intervention</ns0:t>
        </ns0:is>
      </ns0:c>
      <ns0:c r="B156" s="21" t="inlineStr">
        <ns0:is>
          <ns0:t>Not specified</ns0:t>
        </ns0:is>
      </ns0:c>
      <ns0:c r="C156" s="21" t="inlineStr">
        <ns0:is>
          <ns0:t>Machine Learning</ns0:t>
        </ns0:is>
      </ns0:c>
      <ns0:c r="D156" s="21" t="inlineStr">
        <ns0:is>
          <ns0:t>Cross-site evaluation</ns0:t>
        </ns0:is>
      </ns0:c>
      <ns0:c r="E156" s="21" t="inlineStr">
        <ns0:is>
          <ns0:t>cross_site_robustness</ns0:t>
        </ns0:is>
      </ns0:c>
      <ns0:c r="F156" s="29">
        <ns0:f>COUNTIFS('BASE_CIERRE'!$G$5:$G$458,1,'BASE_CIERRE'!$H$5:$H$458,"Monitoring/intervention",'BASE_CIERRE'!$J$5:$J$458,"Not specified",'BASE_CIERRE'!$I$5:$I$458,"Machine Learning",'BASE_CIERRE'!$U$5:$U$458,"Reported")</ns0:f>
        <ns0:v>0</ns0:v>
      </ns0:c>
      <ns0:c r="G156" s="29">
        <ns0:f>COUNTIFS('BASE_CIERRE'!$G$5:$G$458,1,'BASE_CIERRE'!$H$5:$H$458,"Monitoring/intervention",'BASE_CIERRE'!$J$5:$J$458,"Not specified",'BASE_CIERRE'!$I$5:$I$458,"Machine Learning",'BASE_CIERRE'!$U$5:$U$458,"Not reported in assessed sources")</ns0:f>
        <ns0:v>1</ns0:v>
      </ns0:c>
      <ns0:c r="H156" s="29">
        <ns0:f>COUNTIFS('BASE_CIERRE'!$G$5:$G$458,1,'BASE_CIERRE'!$H$5:$H$458,"Monitoring/intervention",'BASE_CIERRE'!$J$5:$J$458,"Not specified",'BASE_CIERRE'!$I$5:$I$458,"Machine Learning",'BASE_CIERRE'!$U$5:$U$458,"Not ascertainable")</ns0:f>
        <ns0:v>0</ns0:v>
      </ns0:c>
      <ns0:c r="I156" s="29">
        <ns0:f>SUM(F156:H156)</ns0:f>
        <ns0:v>1</ns0:v>
      </ns0:c>
      <ns0:c r="J156" s="32">
        <ns0:f>IFERROR(F156/I156,0)</ns0:f>
        <ns0:v>0</ns0:v>
      </ns0:c>
      <ns0:c r="K156" s="32">
        <ns0:f>IFERROR(F156/(I156-H156),0)</ns0:f>
        <ns0:v>0</ns0:v>
      </ns0:c>
      <ns0:c r="L156" s="21" t="inlineStr">
        <ns0:is>
          <ns0:t>193</ns0:t>
        </ns0:is>
      </ns0:c>
    </ns0:row>
    <ns0:row r="157" ht="32" customHeight="1">
      <ns0:c r="A157" s="19" t="inlineStr">
        <ns0:is>
          <ns0:t>Monitoring/intervention</ns0:t>
        </ns0:is>
      </ns0:c>
      <ns0:c r="B157" s="19" t="inlineStr">
        <ns0:is>
          <ns0:t>Not specified</ns0:t>
        </ns0:is>
      </ns0:c>
      <ns0:c r="C157" s="19" t="inlineStr">
        <ns0:is>
          <ns0:t>Not specified</ns0:t>
        </ns0:is>
      </ns0:c>
      <ns0:c r="D157" s="19" t="inlineStr">
        <ns0:is>
          <ns0:t>External validation</ns0:t>
        </ns0:is>
      </ns0:c>
      <ns0:c r="E157" s="19" t="inlineStr">
        <ns0:is>
          <ns0:t>external_validation</ns0:t>
        </ns0:is>
      </ns0:c>
      <ns0:c r="F157" s="27">
        <ns0:f>COUNTIFS('BASE_CIERRE'!$G$5:$G$458,1,'BASE_CIERRE'!$H$5:$H$458,"Monitoring/intervention",'BASE_CIERRE'!$J$5:$J$458,"Not specified",'BASE_CIERRE'!$I$5:$I$458,"Not specified",'BASE_CIERRE'!$Q$5:$Q$458,"Reported")</ns0:f>
        <ns0:v>0</ns0:v>
      </ns0:c>
      <ns0:c r="G157" s="27">
        <ns0:f>COUNTIFS('BASE_CIERRE'!$G$5:$G$458,1,'BASE_CIERRE'!$H$5:$H$458,"Monitoring/intervention",'BASE_CIERRE'!$J$5:$J$458,"Not specified",'BASE_CIERRE'!$I$5:$I$458,"Not specified",'BASE_CIERRE'!$Q$5:$Q$458,"Not reported in assessed sources")</ns0:f>
        <ns0:v>1</ns0:v>
      </ns0:c>
      <ns0:c r="H157" s="27">
        <ns0:f>COUNTIFS('BASE_CIERRE'!$G$5:$G$458,1,'BASE_CIERRE'!$H$5:$H$458,"Monitoring/intervention",'BASE_CIERRE'!$J$5:$J$458,"Not specified",'BASE_CIERRE'!$I$5:$I$458,"Not specified",'BASE_CIERRE'!$Q$5:$Q$458,"Not ascertainable")</ns0:f>
        <ns0:v>0</ns0:v>
      </ns0:c>
      <ns0:c r="I157" s="27">
        <ns0:f>SUM(F157:H157)</ns0:f>
        <ns0:v>1</ns0:v>
      </ns0:c>
      <ns0:c r="J157" s="31">
        <ns0:f>IFERROR(F157/I157,0)</ns0:f>
        <ns0:v>0</ns0:v>
      </ns0:c>
      <ns0:c r="K157" s="31">
        <ns0:f>IFERROR(F157/(I157-H157),0)</ns0:f>
        <ns0:v>0</ns0:v>
      </ns0:c>
      <ns0:c r="L157" s="19" t="inlineStr">
        <ns0:is>
          <ns0:t>new_50</ns0:t>
        </ns0:is>
      </ns0:c>
    </ns0:row>
    <ns0:row r="158" ht="32" customHeight="1">
      <ns0:c r="A158" s="21" t="inlineStr">
        <ns0:is>
          <ns0:t>Monitoring/intervention</ns0:t>
        </ns0:is>
      </ns0:c>
      <ns0:c r="B158" s="21" t="inlineStr">
        <ns0:is>
          <ns0:t>Not specified</ns0:t>
        </ns0:is>
      </ns0:c>
      <ns0:c r="C158" s="21" t="inlineStr">
        <ns0:is>
          <ns0:t>Not specified</ns0:t>
        </ns0:is>
      </ns0:c>
      <ns0:c r="D158" s="21" t="inlineStr">
        <ns0:is>
          <ns0:t>Multisource integration</ns0:t>
        </ns0:is>
      </ns0:c>
      <ns0:c r="E158" s="21" t="inlineStr">
        <ns0:is>
          <ns0:t>multisource_integration</ns0:t>
        </ns0:is>
      </ns0:c>
      <ns0:c r="F158" s="29">
        <ns0:f>COUNTIFS('BASE_CIERRE'!$G$5:$G$458,1,'BASE_CIERRE'!$H$5:$H$458,"Monitoring/intervention",'BASE_CIERRE'!$J$5:$J$458,"Not specified",'BASE_CIERRE'!$I$5:$I$458,"Not specified",'BASE_CIERRE'!$R$5:$R$458,"Reported")</ns0:f>
        <ns0:v>0</ns0:v>
      </ns0:c>
      <ns0:c r="G158" s="29">
        <ns0:f>COUNTIFS('BASE_CIERRE'!$G$5:$G$458,1,'BASE_CIERRE'!$H$5:$H$458,"Monitoring/intervention",'BASE_CIERRE'!$J$5:$J$458,"Not specified",'BASE_CIERRE'!$I$5:$I$458,"Not specified",'BASE_CIERRE'!$R$5:$R$458,"Not reported in assessed sources")</ns0:f>
        <ns0:v>1</ns0:v>
      </ns0:c>
      <ns0:c r="H158" s="29">
        <ns0:f>COUNTIFS('BASE_CIERRE'!$G$5:$G$458,1,'BASE_CIERRE'!$H$5:$H$458,"Monitoring/intervention",'BASE_CIERRE'!$J$5:$J$458,"Not specified",'BASE_CIERRE'!$I$5:$I$458,"Not specified",'BASE_CIERRE'!$R$5:$R$458,"Not ascertainable")</ns0:f>
        <ns0:v>0</ns0:v>
      </ns0:c>
      <ns0:c r="I158" s="29">
        <ns0:f>SUM(F158:H158)</ns0:f>
        <ns0:v>1</ns0:v>
      </ns0:c>
      <ns0:c r="J158" s="32">
        <ns0:f>IFERROR(F158/I158,0)</ns0:f>
        <ns0:v>0</ns0:v>
      </ns0:c>
      <ns0:c r="K158" s="32">
        <ns0:f>IFERROR(F158/(I158-H158),0)</ns0:f>
        <ns0:v>0</ns0:v>
      </ns0:c>
      <ns0:c r="L158" s="21" t="inlineStr">
        <ns0:is>
          <ns0:t>new_50</ns0:t>
        </ns0:is>
      </ns0:c>
    </ns0:row>
    <ns0:row r="159" ht="32" customHeight="1">
      <ns0:c r="A159" s="19" t="inlineStr">
        <ns0:is>
          <ns0:t>Monitoring/intervention</ns0:t>
        </ns0:is>
      </ns0:c>
      <ns0:c r="B159" s="19" t="inlineStr">
        <ns0:is>
          <ns0:t>Not specified</ns0:t>
        </ns0:is>
      </ns0:c>
      <ns0:c r="C159" s="19" t="inlineStr">
        <ns0:is>
          <ns0:t>Not specified</ns0:t>
        </ns0:is>
      </ns0:c>
      <ns0:c r="D159" s="19" t="inlineStr">
        <ns0:is>
          <ns0:t>Explicit explainability (broad)</ns0:t>
        </ns0:is>
      </ns0:c>
      <ns0:c r="E159" s="19" t="inlineStr">
        <ns0:is>
          <ns0:t>xai_broad</ns0:t>
        </ns0:is>
      </ns0:c>
      <ns0:c r="F159" s="27">
        <ns0:f>COUNTIFS('BASE_CIERRE'!$G$5:$G$458,1,'BASE_CIERRE'!$H$5:$H$458,"Monitoring/intervention",'BASE_CIERRE'!$J$5:$J$458,"Not specified",'BASE_CIERRE'!$I$5:$I$458,"Not specified",'BASE_CIERRE'!$S$5:$S$458,"Reported")</ns0:f>
        <ns0:v>0</ns0:v>
      </ns0:c>
      <ns0:c r="G159" s="27">
        <ns0:f>COUNTIFS('BASE_CIERRE'!$G$5:$G$458,1,'BASE_CIERRE'!$H$5:$H$458,"Monitoring/intervention",'BASE_CIERRE'!$J$5:$J$458,"Not specified",'BASE_CIERRE'!$I$5:$I$458,"Not specified",'BASE_CIERRE'!$S$5:$S$458,"Not reported in assessed sources")</ns0:f>
        <ns0:v>1</ns0:v>
      </ns0:c>
      <ns0:c r="H159" s="27">
        <ns0:f>COUNTIFS('BASE_CIERRE'!$G$5:$G$458,1,'BASE_CIERRE'!$H$5:$H$458,"Monitoring/intervention",'BASE_CIERRE'!$J$5:$J$458,"Not specified",'BASE_CIERRE'!$I$5:$I$458,"Not specified",'BASE_CIERRE'!$S$5:$S$458,"Not ascertainable")</ns0:f>
        <ns0:v>0</ns0:v>
      </ns0:c>
      <ns0:c r="I159" s="27">
        <ns0:f>SUM(F159:H159)</ns0:f>
        <ns0:v>1</ns0:v>
      </ns0:c>
      <ns0:c r="J159" s="31">
        <ns0:f>IFERROR(F159/I159,0)</ns0:f>
        <ns0:v>0</ns0:v>
      </ns0:c>
      <ns0:c r="K159" s="31">
        <ns0:f>IFERROR(F159/(I159-H159),0)</ns0:f>
        <ns0:v>0</ns0:v>
      </ns0:c>
      <ns0:c r="L159" s="19" t="inlineStr">
        <ns0:is>
          <ns0:t>new_50</ns0:t>
        </ns0:is>
      </ns0:c>
    </ns0:row>
    <ns0:row r="160" ht="32" customHeight="1">
      <ns0:c r="A160" s="21" t="inlineStr">
        <ns0:is>
          <ns0:t>Monitoring/intervention</ns0:t>
        </ns0:is>
      </ns0:c>
      <ns0:c r="B160" s="21" t="inlineStr">
        <ns0:is>
          <ns0:t>Not specified</ns0:t>
        </ns0:is>
      </ns0:c>
      <ns0:c r="C160" s="21" t="inlineStr">
        <ns0:is>
          <ns0:t>Not specified</ns0:t>
        </ns0:is>
      </ns0:c>
      <ns0:c r="D160" s="21" t="inlineStr">
        <ns0:is>
          <ns0:t>Cross-site evaluation</ns0:t>
        </ns0:is>
      </ns0:c>
      <ns0:c r="E160" s="21" t="inlineStr">
        <ns0:is>
          <ns0:t>cross_site_robustness</ns0:t>
        </ns0:is>
      </ns0:c>
      <ns0:c r="F160" s="29">
        <ns0:f>COUNTIFS('BASE_CIERRE'!$G$5:$G$458,1,'BASE_CIERRE'!$H$5:$H$458,"Monitoring/intervention",'BASE_CIERRE'!$J$5:$J$458,"Not specified",'BASE_CIERRE'!$I$5:$I$458,"Not specified",'BASE_CIERRE'!$U$5:$U$458,"Reported")</ns0:f>
        <ns0:v>0</ns0:v>
      </ns0:c>
      <ns0:c r="G160" s="29">
        <ns0:f>COUNTIFS('BASE_CIERRE'!$G$5:$G$458,1,'BASE_CIERRE'!$H$5:$H$458,"Monitoring/intervention",'BASE_CIERRE'!$J$5:$J$458,"Not specified",'BASE_CIERRE'!$I$5:$I$458,"Not specified",'BASE_CIERRE'!$U$5:$U$458,"Not reported in assessed sources")</ns0:f>
        <ns0:v>1</ns0:v>
      </ns0:c>
      <ns0:c r="H160" s="29">
        <ns0:f>COUNTIFS('BASE_CIERRE'!$G$5:$G$458,1,'BASE_CIERRE'!$H$5:$H$458,"Monitoring/intervention",'BASE_CIERRE'!$J$5:$J$458,"Not specified",'BASE_CIERRE'!$I$5:$I$458,"Not specified",'BASE_CIERRE'!$U$5:$U$458,"Not ascertainable")</ns0:f>
        <ns0:v>0</ns0:v>
      </ns0:c>
      <ns0:c r="I160" s="29">
        <ns0:f>SUM(F160:H160)</ns0:f>
        <ns0:v>1</ns0:v>
      </ns0:c>
      <ns0:c r="J160" s="32">
        <ns0:f>IFERROR(F160/I160,0)</ns0:f>
        <ns0:v>0</ns0:v>
      </ns0:c>
      <ns0:c r="K160" s="32">
        <ns0:f>IFERROR(F160/(I160-H160),0)</ns0:f>
        <ns0:v>0</ns0:v>
      </ns0:c>
      <ns0:c r="L160" s="21" t="inlineStr">
        <ns0:is>
          <ns0:t>new_50</ns0:t>
        </ns0:is>
      </ns0:c>
    </ns0:row>
    <ns0:row r="161" ht="32" customHeight="1">
      <ns0:c r="A161" s="19" t="inlineStr">
        <ns0:is>
          <ns0:t>Monitoring/intervention</ns0:t>
        </ns0:is>
      </ns0:c>
      <ns0:c r="B161" s="19" t="inlineStr">
        <ns0:is>
          <ns0:t>Other biomedical/digital data</ns0:t>
        </ns0:is>
      </ns0:c>
      <ns0:c r="C161" s="19" t="inlineStr">
        <ns0:is>
          <ns0:t>Hybrid</ns0:t>
        </ns0:is>
      </ns0:c>
      <ns0:c r="D161" s="19" t="inlineStr">
        <ns0:is>
          <ns0:t>External validation</ns0:t>
        </ns0:is>
      </ns0:c>
      <ns0:c r="E161" s="19" t="inlineStr">
        <ns0:is>
          <ns0:t>external_validation</ns0:t>
        </ns0:is>
      </ns0:c>
      <ns0:c r="F161" s="27">
        <ns0:f>COUNTIFS('BASE_CIERRE'!$G$5:$G$458,1,'BASE_CIERRE'!$H$5:$H$458,"Monitoring/intervention",'BASE_CIERRE'!$J$5:$J$458,"Other biomedical/digital data",'BASE_CIERRE'!$I$5:$I$458,"Hybrid",'BASE_CIERRE'!$Q$5:$Q$458,"Reported")</ns0:f>
        <ns0:v>0</ns0:v>
      </ns0:c>
      <ns0:c r="G161" s="27">
        <ns0:f>COUNTIFS('BASE_CIERRE'!$G$5:$G$458,1,'BASE_CIERRE'!$H$5:$H$458,"Monitoring/intervention",'BASE_CIERRE'!$J$5:$J$458,"Other biomedical/digital data",'BASE_CIERRE'!$I$5:$I$458,"Hybrid",'BASE_CIERRE'!$Q$5:$Q$458,"Not reported in assessed sources")</ns0:f>
        <ns0:v>1</ns0:v>
      </ns0:c>
      <ns0:c r="H161" s="27">
        <ns0:f>COUNTIFS('BASE_CIERRE'!$G$5:$G$458,1,'BASE_CIERRE'!$H$5:$H$458,"Monitoring/intervention",'BASE_CIERRE'!$J$5:$J$458,"Other biomedical/digital data",'BASE_CIERRE'!$I$5:$I$458,"Hybrid",'BASE_CIERRE'!$Q$5:$Q$458,"Not ascertainable")</ns0:f>
        <ns0:v>0</ns0:v>
      </ns0:c>
      <ns0:c r="I161" s="27">
        <ns0:f>SUM(F161:H161)</ns0:f>
        <ns0:v>1</ns0:v>
      </ns0:c>
      <ns0:c r="J161" s="31">
        <ns0:f>IFERROR(F161/I161,0)</ns0:f>
        <ns0:v>0</ns0:v>
      </ns0:c>
      <ns0:c r="K161" s="31">
        <ns0:f>IFERROR(F161/(I161-H161),0)</ns0:f>
        <ns0:v>0</ns0:v>
      </ns0:c>
      <ns0:c r="L161" s="19" t="inlineStr">
        <ns0:is>
          <ns0:t>new_1</ns0:t>
        </ns0:is>
      </ns0:c>
    </ns0:row>
    <ns0:row r="162" ht="32" customHeight="1">
      <ns0:c r="A162" s="21" t="inlineStr">
        <ns0:is>
          <ns0:t>Monitoring/intervention</ns0:t>
        </ns0:is>
      </ns0:c>
      <ns0:c r="B162" s="21" t="inlineStr">
        <ns0:is>
          <ns0:t>Other biomedical/digital data</ns0:t>
        </ns0:is>
      </ns0:c>
      <ns0:c r="C162" s="21" t="inlineStr">
        <ns0:is>
          <ns0:t>Hybrid</ns0:t>
        </ns0:is>
      </ns0:c>
      <ns0:c r="D162" s="21" t="inlineStr">
        <ns0:is>
          <ns0:t>Multisource integration</ns0:t>
        </ns0:is>
      </ns0:c>
      <ns0:c r="E162" s="21" t="inlineStr">
        <ns0:is>
          <ns0:t>multisource_integration</ns0:t>
        </ns0:is>
      </ns0:c>
      <ns0:c r="F162" s="29">
        <ns0:f>COUNTIFS('BASE_CIERRE'!$G$5:$G$458,1,'BASE_CIERRE'!$H$5:$H$458,"Monitoring/intervention",'BASE_CIERRE'!$J$5:$J$458,"Other biomedical/digital data",'BASE_CIERRE'!$I$5:$I$458,"Hybrid",'BASE_CIERRE'!$R$5:$R$458,"Reported")</ns0:f>
        <ns0:v>0</ns0:v>
      </ns0:c>
      <ns0:c r="G162" s="29">
        <ns0:f>COUNTIFS('BASE_CIERRE'!$G$5:$G$458,1,'BASE_CIERRE'!$H$5:$H$458,"Monitoring/intervention",'BASE_CIERRE'!$J$5:$J$458,"Other biomedical/digital data",'BASE_CIERRE'!$I$5:$I$458,"Hybrid",'BASE_CIERRE'!$R$5:$R$458,"Not reported in assessed sources")</ns0:f>
        <ns0:v>1</ns0:v>
      </ns0:c>
      <ns0:c r="H162" s="29">
        <ns0:f>COUNTIFS('BASE_CIERRE'!$G$5:$G$458,1,'BASE_CIERRE'!$H$5:$H$458,"Monitoring/intervention",'BASE_CIERRE'!$J$5:$J$458,"Other biomedical/digital data",'BASE_CIERRE'!$I$5:$I$458,"Hybrid",'BASE_CIERRE'!$R$5:$R$458,"Not ascertainable")</ns0:f>
        <ns0:v>0</ns0:v>
      </ns0:c>
      <ns0:c r="I162" s="29">
        <ns0:f>SUM(F162:H162)</ns0:f>
        <ns0:v>1</ns0:v>
      </ns0:c>
      <ns0:c r="J162" s="32">
        <ns0:f>IFERROR(F162/I162,0)</ns0:f>
        <ns0:v>0</ns0:v>
      </ns0:c>
      <ns0:c r="K162" s="32">
        <ns0:f>IFERROR(F162/(I162-H162),0)</ns0:f>
        <ns0:v>0</ns0:v>
      </ns0:c>
      <ns0:c r="L162" s="21" t="inlineStr">
        <ns0:is>
          <ns0:t>new_1</ns0:t>
        </ns0:is>
      </ns0:c>
    </ns0:row>
    <ns0:row r="163" ht="32" customHeight="1">
      <ns0:c r="A163" s="19" t="inlineStr">
        <ns0:is>
          <ns0:t>Monitoring/intervention</ns0:t>
        </ns0:is>
      </ns0:c>
      <ns0:c r="B163" s="19" t="inlineStr">
        <ns0:is>
          <ns0:t>Other biomedical/digital data</ns0:t>
        </ns0:is>
      </ns0:c>
      <ns0:c r="C163" s="19" t="inlineStr">
        <ns0:is>
          <ns0:t>Hybrid</ns0:t>
        </ns0:is>
      </ns0:c>
      <ns0:c r="D163" s="19" t="inlineStr">
        <ns0:is>
          <ns0:t>Explicit explainability (broad)</ns0:t>
        </ns0:is>
      </ns0:c>
      <ns0:c r="E163" s="19" t="inlineStr">
        <ns0:is>
          <ns0:t>xai_broad</ns0:t>
        </ns0:is>
      </ns0:c>
      <ns0:c r="F163" s="27">
        <ns0:f>COUNTIFS('BASE_CIERRE'!$G$5:$G$458,1,'BASE_CIERRE'!$H$5:$H$458,"Monitoring/intervention",'BASE_CIERRE'!$J$5:$J$458,"Other biomedical/digital data",'BASE_CIERRE'!$I$5:$I$458,"Hybrid",'BASE_CIERRE'!$S$5:$S$458,"Reported")</ns0:f>
        <ns0:v>0</ns0:v>
      </ns0:c>
      <ns0:c r="G163" s="27">
        <ns0:f>COUNTIFS('BASE_CIERRE'!$G$5:$G$458,1,'BASE_CIERRE'!$H$5:$H$458,"Monitoring/intervention",'BASE_CIERRE'!$J$5:$J$458,"Other biomedical/digital data",'BASE_CIERRE'!$I$5:$I$458,"Hybrid",'BASE_CIERRE'!$S$5:$S$458,"Not reported in assessed sources")</ns0:f>
        <ns0:v>1</ns0:v>
      </ns0:c>
      <ns0:c r="H163" s="27">
        <ns0:f>COUNTIFS('BASE_CIERRE'!$G$5:$G$458,1,'BASE_CIERRE'!$H$5:$H$458,"Monitoring/intervention",'BASE_CIERRE'!$J$5:$J$458,"Other biomedical/digital data",'BASE_CIERRE'!$I$5:$I$458,"Hybrid",'BASE_CIERRE'!$S$5:$S$458,"Not ascertainable")</ns0:f>
        <ns0:v>0</ns0:v>
      </ns0:c>
      <ns0:c r="I163" s="27">
        <ns0:f>SUM(F163:H163)</ns0:f>
        <ns0:v>1</ns0:v>
      </ns0:c>
      <ns0:c r="J163" s="31">
        <ns0:f>IFERROR(F163/I163,0)</ns0:f>
        <ns0:v>0</ns0:v>
      </ns0:c>
      <ns0:c r="K163" s="31">
        <ns0:f>IFERROR(F163/(I163-H163),0)</ns0:f>
        <ns0:v>0</ns0:v>
      </ns0:c>
      <ns0:c r="L163" s="19" t="inlineStr">
        <ns0:is>
          <ns0:t>new_1</ns0:t>
        </ns0:is>
      </ns0:c>
    </ns0:row>
    <ns0:row r="164" ht="32" customHeight="1">
      <ns0:c r="A164" s="21" t="inlineStr">
        <ns0:is>
          <ns0:t>Monitoring/intervention</ns0:t>
        </ns0:is>
      </ns0:c>
      <ns0:c r="B164" s="21" t="inlineStr">
        <ns0:is>
          <ns0:t>Other biomedical/digital data</ns0:t>
        </ns0:is>
      </ns0:c>
      <ns0:c r="C164" s="21" t="inlineStr">
        <ns0:is>
          <ns0:t>Hybrid</ns0:t>
        </ns0:is>
      </ns0:c>
      <ns0:c r="D164" s="21" t="inlineStr">
        <ns0:is>
          <ns0:t>Cross-site evaluation</ns0:t>
        </ns0:is>
      </ns0:c>
      <ns0:c r="E164" s="21" t="inlineStr">
        <ns0:is>
          <ns0:t>cross_site_robustness</ns0:t>
        </ns0:is>
      </ns0:c>
      <ns0:c r="F164" s="29">
        <ns0:f>COUNTIFS('BASE_CIERRE'!$G$5:$G$458,1,'BASE_CIERRE'!$H$5:$H$458,"Monitoring/intervention",'BASE_CIERRE'!$J$5:$J$458,"Other biomedical/digital data",'BASE_CIERRE'!$I$5:$I$458,"Hybrid",'BASE_CIERRE'!$U$5:$U$458,"Reported")</ns0:f>
        <ns0:v>0</ns0:v>
      </ns0:c>
      <ns0:c r="G164" s="29">
        <ns0:f>COUNTIFS('BASE_CIERRE'!$G$5:$G$458,1,'BASE_CIERRE'!$H$5:$H$458,"Monitoring/intervention",'BASE_CIERRE'!$J$5:$J$458,"Other biomedical/digital data",'BASE_CIERRE'!$I$5:$I$458,"Hybrid",'BASE_CIERRE'!$U$5:$U$458,"Not reported in assessed sources")</ns0:f>
        <ns0:v>1</ns0:v>
      </ns0:c>
      <ns0:c r="H164" s="29">
        <ns0:f>COUNTIFS('BASE_CIERRE'!$G$5:$G$458,1,'BASE_CIERRE'!$H$5:$H$458,"Monitoring/intervention",'BASE_CIERRE'!$J$5:$J$458,"Other biomedical/digital data",'BASE_CIERRE'!$I$5:$I$458,"Hybrid",'BASE_CIERRE'!$U$5:$U$458,"Not ascertainable")</ns0:f>
        <ns0:v>0</ns0:v>
      </ns0:c>
      <ns0:c r="I164" s="29">
        <ns0:f>SUM(F164:H164)</ns0:f>
        <ns0:v>1</ns0:v>
      </ns0:c>
      <ns0:c r="J164" s="32">
        <ns0:f>IFERROR(F164/I164,0)</ns0:f>
        <ns0:v>0</ns0:v>
      </ns0:c>
      <ns0:c r="K164" s="32">
        <ns0:f>IFERROR(F164/(I164-H164),0)</ns0:f>
        <ns0:v>0</ns0:v>
      </ns0:c>
      <ns0:c r="L164" s="21" t="inlineStr">
        <ns0:is>
          <ns0:t>new_1</ns0:t>
        </ns0:is>
      </ns0:c>
    </ns0:row>
    <ns0:row r="165" ht="32" customHeight="1">
      <ns0:c r="A165" s="19" t="inlineStr">
        <ns0:is>
          <ns0:t>Monitoring/intervention</ns0:t>
        </ns0:is>
      </ns0:c>
      <ns0:c r="B165" s="19" t="inlineStr">
        <ns0:is>
          <ns0:t>Other biomedical/digital data</ns0:t>
        </ns0:is>
      </ns0:c>
      <ns0:c r="C165" s="19" t="inlineStr">
        <ns0:is>
          <ns0:t>Not specified</ns0:t>
        </ns0:is>
      </ns0:c>
      <ns0:c r="D165" s="19" t="inlineStr">
        <ns0:is>
          <ns0:t>External validation</ns0:t>
        </ns0:is>
      </ns0:c>
      <ns0:c r="E165" s="19" t="inlineStr">
        <ns0:is>
          <ns0:t>external_validation</ns0:t>
        </ns0:is>
      </ns0:c>
      <ns0:c r="F165" s="27">
        <ns0:f>COUNTIFS('BASE_CIERRE'!$G$5:$G$458,1,'BASE_CIERRE'!$H$5:$H$458,"Monitoring/intervention",'BASE_CIERRE'!$J$5:$J$458,"Other biomedical/digital data",'BASE_CIERRE'!$I$5:$I$458,"Not specified",'BASE_CIERRE'!$Q$5:$Q$458,"Reported")</ns0:f>
        <ns0:v>0</ns0:v>
      </ns0:c>
      <ns0:c r="G165" s="27">
        <ns0:f>COUNTIFS('BASE_CIERRE'!$G$5:$G$458,1,'BASE_CIERRE'!$H$5:$H$458,"Monitoring/intervention",'BASE_CIERRE'!$J$5:$J$458,"Other biomedical/digital data",'BASE_CIERRE'!$I$5:$I$458,"Not specified",'BASE_CIERRE'!$Q$5:$Q$458,"Not reported in assessed sources")</ns0:f>
        <ns0:v>2</ns0:v>
      </ns0:c>
      <ns0:c r="H165" s="27">
        <ns0:f>COUNTIFS('BASE_CIERRE'!$G$5:$G$458,1,'BASE_CIERRE'!$H$5:$H$458,"Monitoring/intervention",'BASE_CIERRE'!$J$5:$J$458,"Other biomedical/digital data",'BASE_CIERRE'!$I$5:$I$458,"Not specified",'BASE_CIERRE'!$Q$5:$Q$458,"Not ascertainable")</ns0:f>
        <ns0:v>0</ns0:v>
      </ns0:c>
      <ns0:c r="I165" s="27">
        <ns0:f>SUM(F165:H165)</ns0:f>
        <ns0:v>2</ns0:v>
      </ns0:c>
      <ns0:c r="J165" s="31">
        <ns0:f>IFERROR(F165/I165,0)</ns0:f>
        <ns0:v>0</ns0:v>
      </ns0:c>
      <ns0:c r="K165" s="31">
        <ns0:f>IFERROR(F165/(I165-H165),0)</ns0:f>
        <ns0:v>0</ns0:v>
      </ns0:c>
      <ns0:c r="L165" s="19" t="inlineStr">
        <ns0:is>
          <ns0:t>new_257; new_181</ns0:t>
        </ns0:is>
      </ns0:c>
    </ns0:row>
    <ns0:row r="166" ht="32" customHeight="1">
      <ns0:c r="A166" s="21" t="inlineStr">
        <ns0:is>
          <ns0:t>Monitoring/intervention</ns0:t>
        </ns0:is>
      </ns0:c>
      <ns0:c r="B166" s="21" t="inlineStr">
        <ns0:is>
          <ns0:t>Other biomedical/digital data</ns0:t>
        </ns0:is>
      </ns0:c>
      <ns0:c r="C166" s="21" t="inlineStr">
        <ns0:is>
          <ns0:t>Not specified</ns0:t>
        </ns0:is>
      </ns0:c>
      <ns0:c r="D166" s="21" t="inlineStr">
        <ns0:is>
          <ns0:t>Multisource integration</ns0:t>
        </ns0:is>
      </ns0:c>
      <ns0:c r="E166" s="21" t="inlineStr">
        <ns0:is>
          <ns0:t>multisource_integration</ns0:t>
        </ns0:is>
      </ns0:c>
      <ns0:c r="F166" s="29">
        <ns0:f>COUNTIFS('BASE_CIERRE'!$G$5:$G$458,1,'BASE_CIERRE'!$H$5:$H$458,"Monitoring/intervention",'BASE_CIERRE'!$J$5:$J$458,"Other biomedical/digital data",'BASE_CIERRE'!$I$5:$I$458,"Not specified",'BASE_CIERRE'!$R$5:$R$458,"Reported")</ns0:f>
        <ns0:v>0</ns0:v>
      </ns0:c>
      <ns0:c r="G166" s="29">
        <ns0:f>COUNTIFS('BASE_CIERRE'!$G$5:$G$458,1,'BASE_CIERRE'!$H$5:$H$458,"Monitoring/intervention",'BASE_CIERRE'!$J$5:$J$458,"Other biomedical/digital data",'BASE_CIERRE'!$I$5:$I$458,"Not specified",'BASE_CIERRE'!$R$5:$R$458,"Not reported in assessed sources")</ns0:f>
        <ns0:v>2</ns0:v>
      </ns0:c>
      <ns0:c r="H166" s="29">
        <ns0:f>COUNTIFS('BASE_CIERRE'!$G$5:$G$458,1,'BASE_CIERRE'!$H$5:$H$458,"Monitoring/intervention",'BASE_CIERRE'!$J$5:$J$458,"Other biomedical/digital data",'BASE_CIERRE'!$I$5:$I$458,"Not specified",'BASE_CIERRE'!$R$5:$R$458,"Not ascertainable")</ns0:f>
        <ns0:v>0</ns0:v>
      </ns0:c>
      <ns0:c r="I166" s="29">
        <ns0:f>SUM(F166:H166)</ns0:f>
        <ns0:v>2</ns0:v>
      </ns0:c>
      <ns0:c r="J166" s="32">
        <ns0:f>IFERROR(F166/I166,0)</ns0:f>
        <ns0:v>0</ns0:v>
      </ns0:c>
      <ns0:c r="K166" s="32">
        <ns0:f>IFERROR(F166/(I166-H166),0)</ns0:f>
        <ns0:v>0</ns0:v>
      </ns0:c>
      <ns0:c r="L166" s="21" t="inlineStr">
        <ns0:is>
          <ns0:t>new_257; new_181</ns0:t>
        </ns0:is>
      </ns0:c>
    </ns0:row>
    <ns0:row r="167" ht="32" customHeight="1">
      <ns0:c r="A167" s="19" t="inlineStr">
        <ns0:is>
          <ns0:t>Monitoring/intervention</ns0:t>
        </ns0:is>
      </ns0:c>
      <ns0:c r="B167" s="19" t="inlineStr">
        <ns0:is>
          <ns0:t>Other biomedical/digital data</ns0:t>
        </ns0:is>
      </ns0:c>
      <ns0:c r="C167" s="19" t="inlineStr">
        <ns0:is>
          <ns0:t>Not specified</ns0:t>
        </ns0:is>
      </ns0:c>
      <ns0:c r="D167" s="19" t="inlineStr">
        <ns0:is>
          <ns0:t>Explicit explainability (broad)</ns0:t>
        </ns0:is>
      </ns0:c>
      <ns0:c r="E167" s="19" t="inlineStr">
        <ns0:is>
          <ns0:t>xai_broad</ns0:t>
        </ns0:is>
      </ns0:c>
      <ns0:c r="F167" s="27">
        <ns0:f>COUNTIFS('BASE_CIERRE'!$G$5:$G$458,1,'BASE_CIERRE'!$H$5:$H$458,"Monitoring/intervention",'BASE_CIERRE'!$J$5:$J$458,"Other biomedical/digital data",'BASE_CIERRE'!$I$5:$I$458,"Not specified",'BASE_CIERRE'!$S$5:$S$458,"Reported")</ns0:f>
        <ns0:v>0</ns0:v>
      </ns0:c>
      <ns0:c r="G167" s="27">
        <ns0:f>COUNTIFS('BASE_CIERRE'!$G$5:$G$458,1,'BASE_CIERRE'!$H$5:$H$458,"Monitoring/intervention",'BASE_CIERRE'!$J$5:$J$458,"Other biomedical/digital data",'BASE_CIERRE'!$I$5:$I$458,"Not specified",'BASE_CIERRE'!$S$5:$S$458,"Not reported in assessed sources")</ns0:f>
        <ns0:v>2</ns0:v>
      </ns0:c>
      <ns0:c r="H167" s="27">
        <ns0:f>COUNTIFS('BASE_CIERRE'!$G$5:$G$458,1,'BASE_CIERRE'!$H$5:$H$458,"Monitoring/intervention",'BASE_CIERRE'!$J$5:$J$458,"Other biomedical/digital data",'BASE_CIERRE'!$I$5:$I$458,"Not specified",'BASE_CIERRE'!$S$5:$S$458,"Not ascertainable")</ns0:f>
        <ns0:v>0</ns0:v>
      </ns0:c>
      <ns0:c r="I167" s="27">
        <ns0:f>SUM(F167:H167)</ns0:f>
        <ns0:v>2</ns0:v>
      </ns0:c>
      <ns0:c r="J167" s="31">
        <ns0:f>IFERROR(F167/I167,0)</ns0:f>
        <ns0:v>0</ns0:v>
      </ns0:c>
      <ns0:c r="K167" s="31">
        <ns0:f>IFERROR(F167/(I167-H167),0)</ns0:f>
        <ns0:v>0</ns0:v>
      </ns0:c>
      <ns0:c r="L167" s="19" t="inlineStr">
        <ns0:is>
          <ns0:t>new_257; new_181</ns0:t>
        </ns0:is>
      </ns0:c>
    </ns0:row>
    <ns0:row r="168" ht="32" customHeight="1">
      <ns0:c r="A168" s="21" t="inlineStr">
        <ns0:is>
          <ns0:t>Monitoring/intervention</ns0:t>
        </ns0:is>
      </ns0:c>
      <ns0:c r="B168" s="21" t="inlineStr">
        <ns0:is>
          <ns0:t>Other biomedical/digital data</ns0:t>
        </ns0:is>
      </ns0:c>
      <ns0:c r="C168" s="21" t="inlineStr">
        <ns0:is>
          <ns0:t>Not specified</ns0:t>
        </ns0:is>
      </ns0:c>
      <ns0:c r="D168" s="21" t="inlineStr">
        <ns0:is>
          <ns0:t>Cross-site evaluation</ns0:t>
        </ns0:is>
      </ns0:c>
      <ns0:c r="E168" s="21" t="inlineStr">
        <ns0:is>
          <ns0:t>cross_site_robustness</ns0:t>
        </ns0:is>
      </ns0:c>
      <ns0:c r="F168" s="29">
        <ns0:f>COUNTIFS('BASE_CIERRE'!$G$5:$G$458,1,'BASE_CIERRE'!$H$5:$H$458,"Monitoring/intervention",'BASE_CIERRE'!$J$5:$J$458,"Other biomedical/digital data",'BASE_CIERRE'!$I$5:$I$458,"Not specified",'BASE_CIERRE'!$U$5:$U$458,"Reported")</ns0:f>
        <ns0:v>0</ns0:v>
      </ns0:c>
      <ns0:c r="G168" s="29">
        <ns0:f>COUNTIFS('BASE_CIERRE'!$G$5:$G$458,1,'BASE_CIERRE'!$H$5:$H$458,"Monitoring/intervention",'BASE_CIERRE'!$J$5:$J$458,"Other biomedical/digital data",'BASE_CIERRE'!$I$5:$I$458,"Not specified",'BASE_CIERRE'!$U$5:$U$458,"Not reported in assessed sources")</ns0:f>
        <ns0:v>2</ns0:v>
      </ns0:c>
      <ns0:c r="H168" s="29">
        <ns0:f>COUNTIFS('BASE_CIERRE'!$G$5:$G$458,1,'BASE_CIERRE'!$H$5:$H$458,"Monitoring/intervention",'BASE_CIERRE'!$J$5:$J$458,"Other biomedical/digital data",'BASE_CIERRE'!$I$5:$I$458,"Not specified",'BASE_CIERRE'!$U$5:$U$458,"Not ascertainable")</ns0:f>
        <ns0:v>0</ns0:v>
      </ns0:c>
      <ns0:c r="I168" s="29">
        <ns0:f>SUM(F168:H168)</ns0:f>
        <ns0:v>2</ns0:v>
      </ns0:c>
      <ns0:c r="J168" s="32">
        <ns0:f>IFERROR(F168/I168,0)</ns0:f>
        <ns0:v>0</ns0:v>
      </ns0:c>
      <ns0:c r="K168" s="32">
        <ns0:f>IFERROR(F168/(I168-H168),0)</ns0:f>
        <ns0:v>0</ns0:v>
      </ns0:c>
      <ns0:c r="L168" s="21" t="inlineStr">
        <ns0:is>
          <ns0:t>new_257; new_181</ns0:t>
        </ns0:is>
      </ns0:c>
    </ns0:row>
    <ns0:row r="169" ht="32" customHeight="1">
      <ns0:c r="A169" s="19" t="inlineStr">
        <ns0:is>
          <ns0:t>Monitoring/intervention</ns0:t>
        </ns0:is>
      </ns0:c>
      <ns0:c r="B169" s="19" t="inlineStr">
        <ns0:is>
          <ns0:t>Physiological signals</ns0:t>
        </ns0:is>
      </ns0:c>
      <ns0:c r="C169" s="19" t="inlineStr">
        <ns0:is>
          <ns0:t>Hybrid</ns0:t>
        </ns0:is>
      </ns0:c>
      <ns0:c r="D169" s="19" t="inlineStr">
        <ns0:is>
          <ns0:t>External validation</ns0:t>
        </ns0:is>
      </ns0:c>
      <ns0:c r="E169" s="19" t="inlineStr">
        <ns0:is>
          <ns0:t>external_validation</ns0:t>
        </ns0:is>
      </ns0:c>
      <ns0:c r="F169" s="27">
        <ns0:f>COUNTIFS('BASE_CIERRE'!$G$5:$G$458,1,'BASE_CIERRE'!$H$5:$H$458,"Monitoring/intervention",'BASE_CIERRE'!$J$5:$J$458,"Physiological signals",'BASE_CIERRE'!$I$5:$I$458,"Hybrid",'BASE_CIERRE'!$Q$5:$Q$458,"Reported")</ns0:f>
        <ns0:v>0</ns0:v>
      </ns0:c>
      <ns0:c r="G169" s="27">
        <ns0:f>COUNTIFS('BASE_CIERRE'!$G$5:$G$458,1,'BASE_CIERRE'!$H$5:$H$458,"Monitoring/intervention",'BASE_CIERRE'!$J$5:$J$458,"Physiological signals",'BASE_CIERRE'!$I$5:$I$458,"Hybrid",'BASE_CIERRE'!$Q$5:$Q$458,"Not reported in assessed sources")</ns0:f>
        <ns0:v>1</ns0:v>
      </ns0:c>
      <ns0:c r="H169" s="27">
        <ns0:f>COUNTIFS('BASE_CIERRE'!$G$5:$G$458,1,'BASE_CIERRE'!$H$5:$H$458,"Monitoring/intervention",'BASE_CIERRE'!$J$5:$J$458,"Physiological signals",'BASE_CIERRE'!$I$5:$I$458,"Hybrid",'BASE_CIERRE'!$Q$5:$Q$458,"Not ascertainable")</ns0:f>
        <ns0:v>0</ns0:v>
      </ns0:c>
      <ns0:c r="I169" s="27">
        <ns0:f>SUM(F169:H169)</ns0:f>
        <ns0:v>1</ns0:v>
      </ns0:c>
      <ns0:c r="J169" s="31">
        <ns0:f>IFERROR(F169/I169,0)</ns0:f>
        <ns0:v>0</ns0:v>
      </ns0:c>
      <ns0:c r="K169" s="31">
        <ns0:f>IFERROR(F169/(I169-H169),0)</ns0:f>
        <ns0:v>0</ns0:v>
      </ns0:c>
      <ns0:c r="L169" s="19" t="inlineStr">
        <ns0:is>
          <ns0:t>new_425</ns0:t>
        </ns0:is>
      </ns0:c>
    </ns0:row>
    <ns0:row r="170" ht="32" customHeight="1">
      <ns0:c r="A170" s="21" t="inlineStr">
        <ns0:is>
          <ns0:t>Monitoring/intervention</ns0:t>
        </ns0:is>
      </ns0:c>
      <ns0:c r="B170" s="21" t="inlineStr">
        <ns0:is>
          <ns0:t>Physiological signals</ns0:t>
        </ns0:is>
      </ns0:c>
      <ns0:c r="C170" s="21" t="inlineStr">
        <ns0:is>
          <ns0:t>Hybrid</ns0:t>
        </ns0:is>
      </ns0:c>
      <ns0:c r="D170" s="21" t="inlineStr">
        <ns0:is>
          <ns0:t>Multisource integration</ns0:t>
        </ns0:is>
      </ns0:c>
      <ns0:c r="E170" s="21" t="inlineStr">
        <ns0:is>
          <ns0:t>multisource_integration</ns0:t>
        </ns0:is>
      </ns0:c>
      <ns0:c r="F170" s="29">
        <ns0:f>COUNTIFS('BASE_CIERRE'!$G$5:$G$458,1,'BASE_CIERRE'!$H$5:$H$458,"Monitoring/intervention",'BASE_CIERRE'!$J$5:$J$458,"Physiological signals",'BASE_CIERRE'!$I$5:$I$458,"Hybrid",'BASE_CIERRE'!$R$5:$R$458,"Reported")</ns0:f>
        <ns0:v>0</ns0:v>
      </ns0:c>
      <ns0:c r="G170" s="29">
        <ns0:f>COUNTIFS('BASE_CIERRE'!$G$5:$G$458,1,'BASE_CIERRE'!$H$5:$H$458,"Monitoring/intervention",'BASE_CIERRE'!$J$5:$J$458,"Physiological signals",'BASE_CIERRE'!$I$5:$I$458,"Hybrid",'BASE_CIERRE'!$R$5:$R$458,"Not reported in assessed sources")</ns0:f>
        <ns0:v>1</ns0:v>
      </ns0:c>
      <ns0:c r="H170" s="29">
        <ns0:f>COUNTIFS('BASE_CIERRE'!$G$5:$G$458,1,'BASE_CIERRE'!$H$5:$H$458,"Monitoring/intervention",'BASE_CIERRE'!$J$5:$J$458,"Physiological signals",'BASE_CIERRE'!$I$5:$I$458,"Hybrid",'BASE_CIERRE'!$R$5:$R$458,"Not ascertainable")</ns0:f>
        <ns0:v>0</ns0:v>
      </ns0:c>
      <ns0:c r="I170" s="29">
        <ns0:f>SUM(F170:H170)</ns0:f>
        <ns0:v>1</ns0:v>
      </ns0:c>
      <ns0:c r="J170" s="32">
        <ns0:f>IFERROR(F170/I170,0)</ns0:f>
        <ns0:v>0</ns0:v>
      </ns0:c>
      <ns0:c r="K170" s="32">
        <ns0:f>IFERROR(F170/(I170-H170),0)</ns0:f>
        <ns0:v>0</ns0:v>
      </ns0:c>
      <ns0:c r="L170" s="21" t="inlineStr">
        <ns0:is>
          <ns0:t>new_425</ns0:t>
        </ns0:is>
      </ns0:c>
    </ns0:row>
    <ns0:row r="171" ht="32" customHeight="1">
      <ns0:c r="A171" s="19" t="inlineStr">
        <ns0:is>
          <ns0:t>Monitoring/intervention</ns0:t>
        </ns0:is>
      </ns0:c>
      <ns0:c r="B171" s="19" t="inlineStr">
        <ns0:is>
          <ns0:t>Physiological signals</ns0:t>
        </ns0:is>
      </ns0:c>
      <ns0:c r="C171" s="19" t="inlineStr">
        <ns0:is>
          <ns0:t>Hybrid</ns0:t>
        </ns0:is>
      </ns0:c>
      <ns0:c r="D171" s="19" t="inlineStr">
        <ns0:is>
          <ns0:t>Explicit explainability (broad)</ns0:t>
        </ns0:is>
      </ns0:c>
      <ns0:c r="E171" s="19" t="inlineStr">
        <ns0:is>
          <ns0:t>xai_broad</ns0:t>
        </ns0:is>
      </ns0:c>
      <ns0:c r="F171" s="27">
        <ns0:f>COUNTIFS('BASE_CIERRE'!$G$5:$G$458,1,'BASE_CIERRE'!$H$5:$H$458,"Monitoring/intervention",'BASE_CIERRE'!$J$5:$J$458,"Physiological signals",'BASE_CIERRE'!$I$5:$I$458,"Hybrid",'BASE_CIERRE'!$S$5:$S$458,"Reported")</ns0:f>
        <ns0:v>0</ns0:v>
      </ns0:c>
      <ns0:c r="G171" s="27">
        <ns0:f>COUNTIFS('BASE_CIERRE'!$G$5:$G$458,1,'BASE_CIERRE'!$H$5:$H$458,"Monitoring/intervention",'BASE_CIERRE'!$J$5:$J$458,"Physiological signals",'BASE_CIERRE'!$I$5:$I$458,"Hybrid",'BASE_CIERRE'!$S$5:$S$458,"Not reported in assessed sources")</ns0:f>
        <ns0:v>0</ns0:v>
      </ns0:c>
      <ns0:c r="H171" s="27">
        <ns0:f>COUNTIFS('BASE_CIERRE'!$G$5:$G$458,1,'BASE_CIERRE'!$H$5:$H$458,"Monitoring/intervention",'BASE_CIERRE'!$J$5:$J$458,"Physiological signals",'BASE_CIERRE'!$I$5:$I$458,"Hybrid",'BASE_CIERRE'!$S$5:$S$458,"Not ascertainable")</ns0:f>
        <ns0:v>1</ns0:v>
      </ns0:c>
      <ns0:c r="I171" s="27">
        <ns0:f>SUM(F171:H171)</ns0:f>
        <ns0:v>1</ns0:v>
      </ns0:c>
      <ns0:c r="J171" s="31">
        <ns0:f>IFERROR(F171/I171,0)</ns0:f>
        <ns0:v>0</ns0:v>
      </ns0:c>
      <ns0:c r="K171" s="31">
        <ns0:f>IFERROR(F171/(I171-H171),0)</ns0:f>
        <ns0:v>0</ns0:v>
      </ns0:c>
      <ns0:c r="L171" s="19" t="inlineStr">
        <ns0:is>
          <ns0:t>new_425</ns0:t>
        </ns0:is>
      </ns0:c>
    </ns0:row>
    <ns0:row r="172" ht="32" customHeight="1">
      <ns0:c r="A172" s="21" t="inlineStr">
        <ns0:is>
          <ns0:t>Monitoring/intervention</ns0:t>
        </ns0:is>
      </ns0:c>
      <ns0:c r="B172" s="21" t="inlineStr">
        <ns0:is>
          <ns0:t>Physiological signals</ns0:t>
        </ns0:is>
      </ns0:c>
      <ns0:c r="C172" s="21" t="inlineStr">
        <ns0:is>
          <ns0:t>Hybrid</ns0:t>
        </ns0:is>
      </ns0:c>
      <ns0:c r="D172" s="21" t="inlineStr">
        <ns0:is>
          <ns0:t>Cross-site evaluation</ns0:t>
        </ns0:is>
      </ns0:c>
      <ns0:c r="E172" s="21" t="inlineStr">
        <ns0:is>
          <ns0:t>cross_site_robustness</ns0:t>
        </ns0:is>
      </ns0:c>
      <ns0:c r="F172" s="29">
        <ns0:f>COUNTIFS('BASE_CIERRE'!$G$5:$G$458,1,'BASE_CIERRE'!$H$5:$H$458,"Monitoring/intervention",'BASE_CIERRE'!$J$5:$J$458,"Physiological signals",'BASE_CIERRE'!$I$5:$I$458,"Hybrid",'BASE_CIERRE'!$U$5:$U$458,"Reported")</ns0:f>
        <ns0:v>0</ns0:v>
      </ns0:c>
      <ns0:c r="G172" s="29">
        <ns0:f>COUNTIFS('BASE_CIERRE'!$G$5:$G$458,1,'BASE_CIERRE'!$H$5:$H$458,"Monitoring/intervention",'BASE_CIERRE'!$J$5:$J$458,"Physiological signals",'BASE_CIERRE'!$I$5:$I$458,"Hybrid",'BASE_CIERRE'!$U$5:$U$458,"Not reported in assessed sources")</ns0:f>
        <ns0:v>1</ns0:v>
      </ns0:c>
      <ns0:c r="H172" s="29">
        <ns0:f>COUNTIFS('BASE_CIERRE'!$G$5:$G$458,1,'BASE_CIERRE'!$H$5:$H$458,"Monitoring/intervention",'BASE_CIERRE'!$J$5:$J$458,"Physiological signals",'BASE_CIERRE'!$I$5:$I$458,"Hybrid",'BASE_CIERRE'!$U$5:$U$458,"Not ascertainable")</ns0:f>
        <ns0:v>0</ns0:v>
      </ns0:c>
      <ns0:c r="I172" s="29">
        <ns0:f>SUM(F172:H172)</ns0:f>
        <ns0:v>1</ns0:v>
      </ns0:c>
      <ns0:c r="J172" s="32">
        <ns0:f>IFERROR(F172/I172,0)</ns0:f>
        <ns0:v>0</ns0:v>
      </ns0:c>
      <ns0:c r="K172" s="32">
        <ns0:f>IFERROR(F172/(I172-H172),0)</ns0:f>
        <ns0:v>0</ns0:v>
      </ns0:c>
      <ns0:c r="L172" s="21" t="inlineStr">
        <ns0:is>
          <ns0:t>new_425</ns0:t>
        </ns0:is>
      </ns0:c>
    </ns0:row>
    <ns0:row r="173" ht="32" customHeight="1">
      <ns0:c r="A173" s="19" t="inlineStr">
        <ns0:is>
          <ns0:t>Monitoring/intervention</ns0:t>
        </ns0:is>
      </ns0:c>
      <ns0:c r="B173" s="19" t="inlineStr">
        <ns0:is>
          <ns0:t>Physiological signals</ns0:t>
        </ns0:is>
      </ns0:c>
      <ns0:c r="C173" s="19" t="inlineStr">
        <ns0:is>
          <ns0:t>Machine Learning</ns0:t>
        </ns0:is>
      </ns0:c>
      <ns0:c r="D173" s="19" t="inlineStr">
        <ns0:is>
          <ns0:t>External validation</ns0:t>
        </ns0:is>
      </ns0:c>
      <ns0:c r="E173" s="19" t="inlineStr">
        <ns0:is>
          <ns0:t>external_validation</ns0:t>
        </ns0:is>
      </ns0:c>
      <ns0:c r="F173" s="27">
        <ns0:f>COUNTIFS('BASE_CIERRE'!$G$5:$G$458,1,'BASE_CIERRE'!$H$5:$H$458,"Monitoring/intervention",'BASE_CIERRE'!$J$5:$J$458,"Physiological signals",'BASE_CIERRE'!$I$5:$I$458,"Machine Learning",'BASE_CIERRE'!$Q$5:$Q$458,"Reported")</ns0:f>
        <ns0:v>0</ns0:v>
      </ns0:c>
      <ns0:c r="G173" s="27">
        <ns0:f>COUNTIFS('BASE_CIERRE'!$G$5:$G$458,1,'BASE_CIERRE'!$H$5:$H$458,"Monitoring/intervention",'BASE_CIERRE'!$J$5:$J$458,"Physiological signals",'BASE_CIERRE'!$I$5:$I$458,"Machine Learning",'BASE_CIERRE'!$Q$5:$Q$458,"Not reported in assessed sources")</ns0:f>
        <ns0:v>1</ns0:v>
      </ns0:c>
      <ns0:c r="H173" s="27">
        <ns0:f>COUNTIFS('BASE_CIERRE'!$G$5:$G$458,1,'BASE_CIERRE'!$H$5:$H$458,"Monitoring/intervention",'BASE_CIERRE'!$J$5:$J$458,"Physiological signals",'BASE_CIERRE'!$I$5:$I$458,"Machine Learning",'BASE_CIERRE'!$Q$5:$Q$458,"Not ascertainable")</ns0:f>
        <ns0:v>0</ns0:v>
      </ns0:c>
      <ns0:c r="I173" s="27">
        <ns0:f>SUM(F173:H173)</ns0:f>
        <ns0:v>1</ns0:v>
      </ns0:c>
      <ns0:c r="J173" s="31">
        <ns0:f>IFERROR(F173/I173,0)</ns0:f>
        <ns0:v>0</ns0:v>
      </ns0:c>
      <ns0:c r="K173" s="31">
        <ns0:f>IFERROR(F173/(I173-H173),0)</ns0:f>
        <ns0:v>0</ns0:v>
      </ns0:c>
      <ns0:c r="L173" s="19" t="inlineStr">
        <ns0:is>
          <ns0:t>219</ns0:t>
        </ns0:is>
      </ns0:c>
    </ns0:row>
    <ns0:row r="174" ht="32" customHeight="1">
      <ns0:c r="A174" s="21" t="inlineStr">
        <ns0:is>
          <ns0:t>Monitoring/intervention</ns0:t>
        </ns0:is>
      </ns0:c>
      <ns0:c r="B174" s="21" t="inlineStr">
        <ns0:is>
          <ns0:t>Physiological signals</ns0:t>
        </ns0:is>
      </ns0:c>
      <ns0:c r="C174" s="21" t="inlineStr">
        <ns0:is>
          <ns0:t>Machine Learning</ns0:t>
        </ns0:is>
      </ns0:c>
      <ns0:c r="D174" s="21" t="inlineStr">
        <ns0:is>
          <ns0:t>Multisource integration</ns0:t>
        </ns0:is>
      </ns0:c>
      <ns0:c r="E174" s="21" t="inlineStr">
        <ns0:is>
          <ns0:t>multisource_integration</ns0:t>
        </ns0:is>
      </ns0:c>
      <ns0:c r="F174" s="29">
        <ns0:f>COUNTIFS('BASE_CIERRE'!$G$5:$G$458,1,'BASE_CIERRE'!$H$5:$H$458,"Monitoring/intervention",'BASE_CIERRE'!$J$5:$J$458,"Physiological signals",'BASE_CIERRE'!$I$5:$I$458,"Machine Learning",'BASE_CIERRE'!$R$5:$R$458,"Reported")</ns0:f>
        <ns0:v>0</ns0:v>
      </ns0:c>
      <ns0:c r="G174" s="29">
        <ns0:f>COUNTIFS('BASE_CIERRE'!$G$5:$G$458,1,'BASE_CIERRE'!$H$5:$H$458,"Monitoring/intervention",'BASE_CIERRE'!$J$5:$J$458,"Physiological signals",'BASE_CIERRE'!$I$5:$I$458,"Machine Learning",'BASE_CIERRE'!$R$5:$R$458,"Not reported in assessed sources")</ns0:f>
        <ns0:v>1</ns0:v>
      </ns0:c>
      <ns0:c r="H174" s="29">
        <ns0:f>COUNTIFS('BASE_CIERRE'!$G$5:$G$458,1,'BASE_CIERRE'!$H$5:$H$458,"Monitoring/intervention",'BASE_CIERRE'!$J$5:$J$458,"Physiological signals",'BASE_CIERRE'!$I$5:$I$458,"Machine Learning",'BASE_CIERRE'!$R$5:$R$458,"Not ascertainable")</ns0:f>
        <ns0:v>0</ns0:v>
      </ns0:c>
      <ns0:c r="I174" s="29">
        <ns0:f>SUM(F174:H174)</ns0:f>
        <ns0:v>1</ns0:v>
      </ns0:c>
      <ns0:c r="J174" s="32">
        <ns0:f>IFERROR(F174/I174,0)</ns0:f>
        <ns0:v>0</ns0:v>
      </ns0:c>
      <ns0:c r="K174" s="32">
        <ns0:f>IFERROR(F174/(I174-H174),0)</ns0:f>
        <ns0:v>0</ns0:v>
      </ns0:c>
      <ns0:c r="L174" s="21" t="inlineStr">
        <ns0:is>
          <ns0:t>219</ns0:t>
        </ns0:is>
      </ns0:c>
    </ns0:row>
    <ns0:row r="175" ht="32" customHeight="1">
      <ns0:c r="A175" s="19" t="inlineStr">
        <ns0:is>
          <ns0:t>Monitoring/intervention</ns0:t>
        </ns0:is>
      </ns0:c>
      <ns0:c r="B175" s="19" t="inlineStr">
        <ns0:is>
          <ns0:t>Physiological signals</ns0:t>
        </ns0:is>
      </ns0:c>
      <ns0:c r="C175" s="19" t="inlineStr">
        <ns0:is>
          <ns0:t>Machine Learning</ns0:t>
        </ns0:is>
      </ns0:c>
      <ns0:c r="D175" s="19" t="inlineStr">
        <ns0:is>
          <ns0:t>Explicit explainability (broad)</ns0:t>
        </ns0:is>
      </ns0:c>
      <ns0:c r="E175" s="19" t="inlineStr">
        <ns0:is>
          <ns0:t>xai_broad</ns0:t>
        </ns0:is>
      </ns0:c>
      <ns0:c r="F175" s="27">
        <ns0:f>COUNTIFS('BASE_CIERRE'!$G$5:$G$458,1,'BASE_CIERRE'!$H$5:$H$458,"Monitoring/intervention",'BASE_CIERRE'!$J$5:$J$458,"Physiological signals",'BASE_CIERRE'!$I$5:$I$458,"Machine Learning",'BASE_CIERRE'!$S$5:$S$458,"Reported")</ns0:f>
        <ns0:v>0</ns0:v>
      </ns0:c>
      <ns0:c r="G175" s="27">
        <ns0:f>COUNTIFS('BASE_CIERRE'!$G$5:$G$458,1,'BASE_CIERRE'!$H$5:$H$458,"Monitoring/intervention",'BASE_CIERRE'!$J$5:$J$458,"Physiological signals",'BASE_CIERRE'!$I$5:$I$458,"Machine Learning",'BASE_CIERRE'!$S$5:$S$458,"Not reported in assessed sources")</ns0:f>
        <ns0:v>1</ns0:v>
      </ns0:c>
      <ns0:c r="H175" s="27">
        <ns0:f>COUNTIFS('BASE_CIERRE'!$G$5:$G$458,1,'BASE_CIERRE'!$H$5:$H$458,"Monitoring/intervention",'BASE_CIERRE'!$J$5:$J$458,"Physiological signals",'BASE_CIERRE'!$I$5:$I$458,"Machine Learning",'BASE_CIERRE'!$S$5:$S$458,"Not ascertainable")</ns0:f>
        <ns0:v>0</ns0:v>
      </ns0:c>
      <ns0:c r="I175" s="27">
        <ns0:f>SUM(F175:H175)</ns0:f>
        <ns0:v>1</ns0:v>
      </ns0:c>
      <ns0:c r="J175" s="31">
        <ns0:f>IFERROR(F175/I175,0)</ns0:f>
        <ns0:v>0</ns0:v>
      </ns0:c>
      <ns0:c r="K175" s="31">
        <ns0:f>IFERROR(F175/(I175-H175),0)</ns0:f>
        <ns0:v>0</ns0:v>
      </ns0:c>
      <ns0:c r="L175" s="19" t="inlineStr">
        <ns0:is>
          <ns0:t>219</ns0:t>
        </ns0:is>
      </ns0:c>
    </ns0:row>
    <ns0:row r="176" ht="32" customHeight="1">
      <ns0:c r="A176" s="21" t="inlineStr">
        <ns0:is>
          <ns0:t>Monitoring/intervention</ns0:t>
        </ns0:is>
      </ns0:c>
      <ns0:c r="B176" s="21" t="inlineStr">
        <ns0:is>
          <ns0:t>Physiological signals</ns0:t>
        </ns0:is>
      </ns0:c>
      <ns0:c r="C176" s="21" t="inlineStr">
        <ns0:is>
          <ns0:t>Machine Learning</ns0:t>
        </ns0:is>
      </ns0:c>
      <ns0:c r="D176" s="21" t="inlineStr">
        <ns0:is>
          <ns0:t>Cross-site evaluation</ns0:t>
        </ns0:is>
      </ns0:c>
      <ns0:c r="E176" s="21" t="inlineStr">
        <ns0:is>
          <ns0:t>cross_site_robustness</ns0:t>
        </ns0:is>
      </ns0:c>
      <ns0:c r="F176" s="29">
        <ns0:f>COUNTIFS('BASE_CIERRE'!$G$5:$G$458,1,'BASE_CIERRE'!$H$5:$H$458,"Monitoring/intervention",'BASE_CIERRE'!$J$5:$J$458,"Physiological signals",'BASE_CIERRE'!$I$5:$I$458,"Machine Learning",'BASE_CIERRE'!$U$5:$U$458,"Reported")</ns0:f>
        <ns0:v>0</ns0:v>
      </ns0:c>
      <ns0:c r="G176" s="29">
        <ns0:f>COUNTIFS('BASE_CIERRE'!$G$5:$G$458,1,'BASE_CIERRE'!$H$5:$H$458,"Monitoring/intervention",'BASE_CIERRE'!$J$5:$J$458,"Physiological signals",'BASE_CIERRE'!$I$5:$I$458,"Machine Learning",'BASE_CIERRE'!$U$5:$U$458,"Not reported in assessed sources")</ns0:f>
        <ns0:v>1</ns0:v>
      </ns0:c>
      <ns0:c r="H176" s="29">
        <ns0:f>COUNTIFS('BASE_CIERRE'!$G$5:$G$458,1,'BASE_CIERRE'!$H$5:$H$458,"Monitoring/intervention",'BASE_CIERRE'!$J$5:$J$458,"Physiological signals",'BASE_CIERRE'!$I$5:$I$458,"Machine Learning",'BASE_CIERRE'!$U$5:$U$458,"Not ascertainable")</ns0:f>
        <ns0:v>0</ns0:v>
      </ns0:c>
      <ns0:c r="I176" s="29">
        <ns0:f>SUM(F176:H176)</ns0:f>
        <ns0:v>1</ns0:v>
      </ns0:c>
      <ns0:c r="J176" s="32">
        <ns0:f>IFERROR(F176/I176,0)</ns0:f>
        <ns0:v>0</ns0:v>
      </ns0:c>
      <ns0:c r="K176" s="32">
        <ns0:f>IFERROR(F176/(I176-H176),0)</ns0:f>
        <ns0:v>0</ns0:v>
      </ns0:c>
      <ns0:c r="L176" s="21" t="inlineStr">
        <ns0:is>
          <ns0:t>219</ns0:t>
        </ns0:is>
      </ns0:c>
    </ns0:row>
    <ns0:row r="177" ht="32" customHeight="1">
      <ns0:c r="A177" s="19" t="inlineStr">
        <ns0:is>
          <ns0:t>Monitoring/intervention</ns0:t>
        </ns0:is>
      </ns0:c>
      <ns0:c r="B177" s="19" t="inlineStr">
        <ns0:is>
          <ns0:t>Physiological signals</ns0:t>
        </ns0:is>
      </ns0:c>
      <ns0:c r="C177" s="19" t="inlineStr">
        <ns0:is>
          <ns0:t>Not specified</ns0:t>
        </ns0:is>
      </ns0:c>
      <ns0:c r="D177" s="19" t="inlineStr">
        <ns0:is>
          <ns0:t>External validation</ns0:t>
        </ns0:is>
      </ns0:c>
      <ns0:c r="E177" s="19" t="inlineStr">
        <ns0:is>
          <ns0:t>external_validation</ns0:t>
        </ns0:is>
      </ns0:c>
      <ns0:c r="F177" s="27">
        <ns0:f>COUNTIFS('BASE_CIERRE'!$G$5:$G$458,1,'BASE_CIERRE'!$H$5:$H$458,"Monitoring/intervention",'BASE_CIERRE'!$J$5:$J$458,"Physiological signals",'BASE_CIERRE'!$I$5:$I$458,"Not specified",'BASE_CIERRE'!$Q$5:$Q$458,"Reported")</ns0:f>
        <ns0:v>0</ns0:v>
      </ns0:c>
      <ns0:c r="G177" s="27">
        <ns0:f>COUNTIFS('BASE_CIERRE'!$G$5:$G$458,1,'BASE_CIERRE'!$H$5:$H$458,"Monitoring/intervention",'BASE_CIERRE'!$J$5:$J$458,"Physiological signals",'BASE_CIERRE'!$I$5:$I$458,"Not specified",'BASE_CIERRE'!$Q$5:$Q$458,"Not reported in assessed sources")</ns0:f>
        <ns0:v>1</ns0:v>
      </ns0:c>
      <ns0:c r="H177" s="27">
        <ns0:f>COUNTIFS('BASE_CIERRE'!$G$5:$G$458,1,'BASE_CIERRE'!$H$5:$H$458,"Monitoring/intervention",'BASE_CIERRE'!$J$5:$J$458,"Physiological signals",'BASE_CIERRE'!$I$5:$I$458,"Not specified",'BASE_CIERRE'!$Q$5:$Q$458,"Not ascertainable")</ns0:f>
        <ns0:v>0</ns0:v>
      </ns0:c>
      <ns0:c r="I177" s="27">
        <ns0:f>SUM(F177:H177)</ns0:f>
        <ns0:v>1</ns0:v>
      </ns0:c>
      <ns0:c r="J177" s="31">
        <ns0:f>IFERROR(F177/I177,0)</ns0:f>
        <ns0:v>0</ns0:v>
      </ns0:c>
      <ns0:c r="K177" s="31">
        <ns0:f>IFERROR(F177/(I177-H177),0)</ns0:f>
        <ns0:v>0</ns0:v>
      </ns0:c>
      <ns0:c r="L177" s="19" t="inlineStr">
        <ns0:is>
          <ns0:t>224</ns0:t>
        </ns0:is>
      </ns0:c>
    </ns0:row>
    <ns0:row r="178" ht="32" customHeight="1">
      <ns0:c r="A178" s="21" t="inlineStr">
        <ns0:is>
          <ns0:t>Monitoring/intervention</ns0:t>
        </ns0:is>
      </ns0:c>
      <ns0:c r="B178" s="21" t="inlineStr">
        <ns0:is>
          <ns0:t>Physiological signals</ns0:t>
        </ns0:is>
      </ns0:c>
      <ns0:c r="C178" s="21" t="inlineStr">
        <ns0:is>
          <ns0:t>Not specified</ns0:t>
        </ns0:is>
      </ns0:c>
      <ns0:c r="D178" s="21" t="inlineStr">
        <ns0:is>
          <ns0:t>Multisource integration</ns0:t>
        </ns0:is>
      </ns0:c>
      <ns0:c r="E178" s="21" t="inlineStr">
        <ns0:is>
          <ns0:t>multisource_integration</ns0:t>
        </ns0:is>
      </ns0:c>
      <ns0:c r="F178" s="29">
        <ns0:f>COUNTIFS('BASE_CIERRE'!$G$5:$G$458,1,'BASE_CIERRE'!$H$5:$H$458,"Monitoring/intervention",'BASE_CIERRE'!$J$5:$J$458,"Physiological signals",'BASE_CIERRE'!$I$5:$I$458,"Not specified",'BASE_CIERRE'!$R$5:$R$458,"Reported")</ns0:f>
        <ns0:v>1</ns0:v>
      </ns0:c>
      <ns0:c r="G178" s="29">
        <ns0:f>COUNTIFS('BASE_CIERRE'!$G$5:$G$458,1,'BASE_CIERRE'!$H$5:$H$458,"Monitoring/intervention",'BASE_CIERRE'!$J$5:$J$458,"Physiological signals",'BASE_CIERRE'!$I$5:$I$458,"Not specified",'BASE_CIERRE'!$R$5:$R$458,"Not reported in assessed sources")</ns0:f>
        <ns0:v>0</ns0:v>
      </ns0:c>
      <ns0:c r="H178" s="29">
        <ns0:f>COUNTIFS('BASE_CIERRE'!$G$5:$G$458,1,'BASE_CIERRE'!$H$5:$H$458,"Monitoring/intervention",'BASE_CIERRE'!$J$5:$J$458,"Physiological signals",'BASE_CIERRE'!$I$5:$I$458,"Not specified",'BASE_CIERRE'!$R$5:$R$458,"Not ascertainable")</ns0:f>
        <ns0:v>0</ns0:v>
      </ns0:c>
      <ns0:c r="I178" s="29">
        <ns0:f>SUM(F178:H178)</ns0:f>
        <ns0:v>1</ns0:v>
      </ns0:c>
      <ns0:c r="J178" s="32">
        <ns0:f>IFERROR(F178/I178,0)</ns0:f>
        <ns0:v>1</ns0:v>
      </ns0:c>
      <ns0:c r="K178" s="32">
        <ns0:f>IFERROR(F178/(I178-H178),0)</ns0:f>
        <ns0:v>1</ns0:v>
      </ns0:c>
      <ns0:c r="L178" s="21" t="inlineStr">
        <ns0:is>
          <ns0:t>224</ns0:t>
        </ns0:is>
      </ns0:c>
    </ns0:row>
    <ns0:row r="179" ht="32" customHeight="1">
      <ns0:c r="A179" s="19" t="inlineStr">
        <ns0:is>
          <ns0:t>Monitoring/intervention</ns0:t>
        </ns0:is>
      </ns0:c>
      <ns0:c r="B179" s="19" t="inlineStr">
        <ns0:is>
          <ns0:t>Physiological signals</ns0:t>
        </ns0:is>
      </ns0:c>
      <ns0:c r="C179" s="19" t="inlineStr">
        <ns0:is>
          <ns0:t>Not specified</ns0:t>
        </ns0:is>
      </ns0:c>
      <ns0:c r="D179" s="19" t="inlineStr">
        <ns0:is>
          <ns0:t>Explicit explainability (broad)</ns0:t>
        </ns0:is>
      </ns0:c>
      <ns0:c r="E179" s="19" t="inlineStr">
        <ns0:is>
          <ns0:t>xai_broad</ns0:t>
        </ns0:is>
      </ns0:c>
      <ns0:c r="F179" s="27">
        <ns0:f>COUNTIFS('BASE_CIERRE'!$G$5:$G$458,1,'BASE_CIERRE'!$H$5:$H$458,"Monitoring/intervention",'BASE_CIERRE'!$J$5:$J$458,"Physiological signals",'BASE_CIERRE'!$I$5:$I$458,"Not specified",'BASE_CIERRE'!$S$5:$S$458,"Reported")</ns0:f>
        <ns0:v>0</ns0:v>
      </ns0:c>
      <ns0:c r="G179" s="27">
        <ns0:f>COUNTIFS('BASE_CIERRE'!$G$5:$G$458,1,'BASE_CIERRE'!$H$5:$H$458,"Monitoring/intervention",'BASE_CIERRE'!$J$5:$J$458,"Physiological signals",'BASE_CIERRE'!$I$5:$I$458,"Not specified",'BASE_CIERRE'!$S$5:$S$458,"Not reported in assessed sources")</ns0:f>
        <ns0:v>1</ns0:v>
      </ns0:c>
      <ns0:c r="H179" s="27">
        <ns0:f>COUNTIFS('BASE_CIERRE'!$G$5:$G$458,1,'BASE_CIERRE'!$H$5:$H$458,"Monitoring/intervention",'BASE_CIERRE'!$J$5:$J$458,"Physiological signals",'BASE_CIERRE'!$I$5:$I$458,"Not specified",'BASE_CIERRE'!$S$5:$S$458,"Not ascertainable")</ns0:f>
        <ns0:v>0</ns0:v>
      </ns0:c>
      <ns0:c r="I179" s="27">
        <ns0:f>SUM(F179:H179)</ns0:f>
        <ns0:v>1</ns0:v>
      </ns0:c>
      <ns0:c r="J179" s="31">
        <ns0:f>IFERROR(F179/I179,0)</ns0:f>
        <ns0:v>0</ns0:v>
      </ns0:c>
      <ns0:c r="K179" s="31">
        <ns0:f>IFERROR(F179/(I179-H179),0)</ns0:f>
        <ns0:v>0</ns0:v>
      </ns0:c>
      <ns0:c r="L179" s="19" t="inlineStr">
        <ns0:is>
          <ns0:t>224</ns0:t>
        </ns0:is>
      </ns0:c>
    </ns0:row>
    <ns0:row r="180" ht="32" customHeight="1">
      <ns0:c r="A180" s="21" t="inlineStr">
        <ns0:is>
          <ns0:t>Monitoring/intervention</ns0:t>
        </ns0:is>
      </ns0:c>
      <ns0:c r="B180" s="21" t="inlineStr">
        <ns0:is>
          <ns0:t>Physiological signals</ns0:t>
        </ns0:is>
      </ns0:c>
      <ns0:c r="C180" s="21" t="inlineStr">
        <ns0:is>
          <ns0:t>Not specified</ns0:t>
        </ns0:is>
      </ns0:c>
      <ns0:c r="D180" s="21" t="inlineStr">
        <ns0:is>
          <ns0:t>Cross-site evaluation</ns0:t>
        </ns0:is>
      </ns0:c>
      <ns0:c r="E180" s="21" t="inlineStr">
        <ns0:is>
          <ns0:t>cross_site_robustness</ns0:t>
        </ns0:is>
      </ns0:c>
      <ns0:c r="F180" s="29">
        <ns0:f>COUNTIFS('BASE_CIERRE'!$G$5:$G$458,1,'BASE_CIERRE'!$H$5:$H$458,"Monitoring/intervention",'BASE_CIERRE'!$J$5:$J$458,"Physiological signals",'BASE_CIERRE'!$I$5:$I$458,"Not specified",'BASE_CIERRE'!$U$5:$U$458,"Reported")</ns0:f>
        <ns0:v>0</ns0:v>
      </ns0:c>
      <ns0:c r="G180" s="29">
        <ns0:f>COUNTIFS('BASE_CIERRE'!$G$5:$G$458,1,'BASE_CIERRE'!$H$5:$H$458,"Monitoring/intervention",'BASE_CIERRE'!$J$5:$J$458,"Physiological signals",'BASE_CIERRE'!$I$5:$I$458,"Not specified",'BASE_CIERRE'!$U$5:$U$458,"Not reported in assessed sources")</ns0:f>
        <ns0:v>1</ns0:v>
      </ns0:c>
      <ns0:c r="H180" s="29">
        <ns0:f>COUNTIFS('BASE_CIERRE'!$G$5:$G$458,1,'BASE_CIERRE'!$H$5:$H$458,"Monitoring/intervention",'BASE_CIERRE'!$J$5:$J$458,"Physiological signals",'BASE_CIERRE'!$I$5:$I$458,"Not specified",'BASE_CIERRE'!$U$5:$U$458,"Not ascertainable")</ns0:f>
        <ns0:v>0</ns0:v>
      </ns0:c>
      <ns0:c r="I180" s="29">
        <ns0:f>SUM(F180:H180)</ns0:f>
        <ns0:v>1</ns0:v>
      </ns0:c>
      <ns0:c r="J180" s="32">
        <ns0:f>IFERROR(F180/I180,0)</ns0:f>
        <ns0:v>0</ns0:v>
      </ns0:c>
      <ns0:c r="K180" s="32">
        <ns0:f>IFERROR(F180/(I180-H180),0)</ns0:f>
        <ns0:v>0</ns0:v>
      </ns0:c>
      <ns0:c r="L180" s="21" t="inlineStr">
        <ns0:is>
          <ns0:t>224</ns0:t>
        </ns0:is>
      </ns0:c>
    </ns0:row>
    <ns0:row r="181" ht="32" customHeight="1">
      <ns0:c r="A181" s="19" t="inlineStr">
        <ns0:is>
          <ns0:t>Monitoring/intervention</ns0:t>
        </ns0:is>
      </ns0:c>
      <ns0:c r="B181" s="19" t="inlineStr">
        <ns0:is>
          <ns0:t>Structured clinical/questionnaire data</ns0:t>
        </ns0:is>
      </ns0:c>
      <ns0:c r="C181" s="19" t="inlineStr">
        <ns0:is>
          <ns0:t>Machine Learning</ns0:t>
        </ns0:is>
      </ns0:c>
      <ns0:c r="D181" s="19" t="inlineStr">
        <ns0:is>
          <ns0:t>External validation</ns0:t>
        </ns0:is>
      </ns0:c>
      <ns0:c r="E181" s="19" t="inlineStr">
        <ns0:is>
          <ns0:t>external_validation</ns0:t>
        </ns0:is>
      </ns0:c>
      <ns0:c r="F181" s="27">
        <ns0:f>COUNTIFS('BASE_CIERRE'!$G$5:$G$458,1,'BASE_CIERRE'!$H$5:$H$458,"Monitoring/intervention",'BASE_CIERRE'!$J$5:$J$458,"Structured clinical/questionnaire data",'BASE_CIERRE'!$I$5:$I$458,"Machine Learning",'BASE_CIERRE'!$Q$5:$Q$458,"Reported")</ns0:f>
        <ns0:v>0</ns0:v>
      </ns0:c>
      <ns0:c r="G181" s="27">
        <ns0:f>COUNTIFS('BASE_CIERRE'!$G$5:$G$458,1,'BASE_CIERRE'!$H$5:$H$458,"Monitoring/intervention",'BASE_CIERRE'!$J$5:$J$458,"Structured clinical/questionnaire data",'BASE_CIERRE'!$I$5:$I$458,"Machine Learning",'BASE_CIERRE'!$Q$5:$Q$458,"Not reported in assessed sources")</ns0:f>
        <ns0:v>1</ns0:v>
      </ns0:c>
      <ns0:c r="H181" s="27">
        <ns0:f>COUNTIFS('BASE_CIERRE'!$G$5:$G$458,1,'BASE_CIERRE'!$H$5:$H$458,"Monitoring/intervention",'BASE_CIERRE'!$J$5:$J$458,"Structured clinical/questionnaire data",'BASE_CIERRE'!$I$5:$I$458,"Machine Learning",'BASE_CIERRE'!$Q$5:$Q$458,"Not ascertainable")</ns0:f>
        <ns0:v>0</ns0:v>
      </ns0:c>
      <ns0:c r="I181" s="27">
        <ns0:f>SUM(F181:H181)</ns0:f>
        <ns0:v>1</ns0:v>
      </ns0:c>
      <ns0:c r="J181" s="31">
        <ns0:f>IFERROR(F181/I181,0)</ns0:f>
        <ns0:v>0</ns0:v>
      </ns0:c>
      <ns0:c r="K181" s="31">
        <ns0:f>IFERROR(F181/(I181-H181),0)</ns0:f>
        <ns0:v>0</ns0:v>
      </ns0:c>
      <ns0:c r="L181" s="19" t="inlineStr">
        <ns0:is>
          <ns0:t>199</ns0:t>
        </ns0:is>
      </ns0:c>
    </ns0:row>
    <ns0:row r="182" ht="32" customHeight="1">
      <ns0:c r="A182" s="21" t="inlineStr">
        <ns0:is>
          <ns0:t>Monitoring/intervention</ns0:t>
        </ns0:is>
      </ns0:c>
      <ns0:c r="B182" s="21" t="inlineStr">
        <ns0:is>
          <ns0:t>Structured clinical/questionnaire data</ns0:t>
        </ns0:is>
      </ns0:c>
      <ns0:c r="C182" s="21" t="inlineStr">
        <ns0:is>
          <ns0:t>Machine Learning</ns0:t>
        </ns0:is>
      </ns0:c>
      <ns0:c r="D182" s="21" t="inlineStr">
        <ns0:is>
          <ns0:t>Multisource integration</ns0:t>
        </ns0:is>
      </ns0:c>
      <ns0:c r="E182" s="21" t="inlineStr">
        <ns0:is>
          <ns0:t>multisource_integration</ns0:t>
        </ns0:is>
      </ns0:c>
      <ns0:c r="F182" s="29">
        <ns0:f>COUNTIFS('BASE_CIERRE'!$G$5:$G$458,1,'BASE_CIERRE'!$H$5:$H$458,"Monitoring/intervention",'BASE_CIERRE'!$J$5:$J$458,"Structured clinical/questionnaire data",'BASE_CIERRE'!$I$5:$I$458,"Machine Learning",'BASE_CIERRE'!$R$5:$R$458,"Reported")</ns0:f>
        <ns0:v>0</ns0:v>
      </ns0:c>
      <ns0:c r="G182" s="29">
        <ns0:f>COUNTIFS('BASE_CIERRE'!$G$5:$G$458,1,'BASE_CIERRE'!$H$5:$H$458,"Monitoring/intervention",'BASE_CIERRE'!$J$5:$J$458,"Structured clinical/questionnaire data",'BASE_CIERRE'!$I$5:$I$458,"Machine Learning",'BASE_CIERRE'!$R$5:$R$458,"Not reported in assessed sources")</ns0:f>
        <ns0:v>1</ns0:v>
      </ns0:c>
      <ns0:c r="H182" s="29">
        <ns0:f>COUNTIFS('BASE_CIERRE'!$G$5:$G$458,1,'BASE_CIERRE'!$H$5:$H$458,"Monitoring/intervention",'BASE_CIERRE'!$J$5:$J$458,"Structured clinical/questionnaire data",'BASE_CIERRE'!$I$5:$I$458,"Machine Learning",'BASE_CIERRE'!$R$5:$R$458,"Not ascertainable")</ns0:f>
        <ns0:v>0</ns0:v>
      </ns0:c>
      <ns0:c r="I182" s="29">
        <ns0:f>SUM(F182:H182)</ns0:f>
        <ns0:v>1</ns0:v>
      </ns0:c>
      <ns0:c r="J182" s="32">
        <ns0:f>IFERROR(F182/I182,0)</ns0:f>
        <ns0:v>0</ns0:v>
      </ns0:c>
      <ns0:c r="K182" s="32">
        <ns0:f>IFERROR(F182/(I182-H182),0)</ns0:f>
        <ns0:v>0</ns0:v>
      </ns0:c>
      <ns0:c r="L182" s="21" t="inlineStr">
        <ns0:is>
          <ns0:t>199</ns0:t>
        </ns0:is>
      </ns0:c>
    </ns0:row>
    <ns0:row r="183" ht="32" customHeight="1">
      <ns0:c r="A183" s="19" t="inlineStr">
        <ns0:is>
          <ns0:t>Monitoring/intervention</ns0:t>
        </ns0:is>
      </ns0:c>
      <ns0:c r="B183" s="19" t="inlineStr">
        <ns0:is>
          <ns0:t>Structured clinical/questionnaire data</ns0:t>
        </ns0:is>
      </ns0:c>
      <ns0:c r="C183" s="19" t="inlineStr">
        <ns0:is>
          <ns0:t>Machine Learning</ns0:t>
        </ns0:is>
      </ns0:c>
      <ns0:c r="D183" s="19" t="inlineStr">
        <ns0:is>
          <ns0:t>Explicit explainability (broad)</ns0:t>
        </ns0:is>
      </ns0:c>
      <ns0:c r="E183" s="19" t="inlineStr">
        <ns0:is>
          <ns0:t>xai_broad</ns0:t>
        </ns0:is>
      </ns0:c>
      <ns0:c r="F183" s="27">
        <ns0:f>COUNTIFS('BASE_CIERRE'!$G$5:$G$458,1,'BASE_CIERRE'!$H$5:$H$458,"Monitoring/intervention",'BASE_CIERRE'!$J$5:$J$458,"Structured clinical/questionnaire data",'BASE_CIERRE'!$I$5:$I$458,"Machine Learning",'BASE_CIERRE'!$S$5:$S$458,"Reported")</ns0:f>
        <ns0:v>1</ns0:v>
      </ns0:c>
      <ns0:c r="G183" s="27">
        <ns0:f>COUNTIFS('BASE_CIERRE'!$G$5:$G$458,1,'BASE_CIERRE'!$H$5:$H$458,"Monitoring/intervention",'BASE_CIERRE'!$J$5:$J$458,"Structured clinical/questionnaire data",'BASE_CIERRE'!$I$5:$I$458,"Machine Learning",'BASE_CIERRE'!$S$5:$S$458,"Not reported in assessed sources")</ns0:f>
        <ns0:v>0</ns0:v>
      </ns0:c>
      <ns0:c r="H183" s="27">
        <ns0:f>COUNTIFS('BASE_CIERRE'!$G$5:$G$458,1,'BASE_CIERRE'!$H$5:$H$458,"Monitoring/intervention",'BASE_CIERRE'!$J$5:$J$458,"Structured clinical/questionnaire data",'BASE_CIERRE'!$I$5:$I$458,"Machine Learning",'BASE_CIERRE'!$S$5:$S$458,"Not ascertainable")</ns0:f>
        <ns0:v>0</ns0:v>
      </ns0:c>
      <ns0:c r="I183" s="27">
        <ns0:f>SUM(F183:H183)</ns0:f>
        <ns0:v>1</ns0:v>
      </ns0:c>
      <ns0:c r="J183" s="31">
        <ns0:f>IFERROR(F183/I183,0)</ns0:f>
        <ns0:v>1</ns0:v>
      </ns0:c>
      <ns0:c r="K183" s="31">
        <ns0:f>IFERROR(F183/(I183-H183),0)</ns0:f>
        <ns0:v>1</ns0:v>
      </ns0:c>
      <ns0:c r="L183" s="19" t="inlineStr">
        <ns0:is>
          <ns0:t>199</ns0:t>
        </ns0:is>
      </ns0:c>
    </ns0:row>
    <ns0:row r="184" ht="32" customHeight="1">
      <ns0:c r="A184" s="21" t="inlineStr">
        <ns0:is>
          <ns0:t>Monitoring/intervention</ns0:t>
        </ns0:is>
      </ns0:c>
      <ns0:c r="B184" s="21" t="inlineStr">
        <ns0:is>
          <ns0:t>Structured clinical/questionnaire data</ns0:t>
        </ns0:is>
      </ns0:c>
      <ns0:c r="C184" s="21" t="inlineStr">
        <ns0:is>
          <ns0:t>Machine Learning</ns0:t>
        </ns0:is>
      </ns0:c>
      <ns0:c r="D184" s="21" t="inlineStr">
        <ns0:is>
          <ns0:t>Cross-site evaluation</ns0:t>
        </ns0:is>
      </ns0:c>
      <ns0:c r="E184" s="21" t="inlineStr">
        <ns0:is>
          <ns0:t>cross_site_robustness</ns0:t>
        </ns0:is>
      </ns0:c>
      <ns0:c r="F184" s="29">
        <ns0:f>COUNTIFS('BASE_CIERRE'!$G$5:$G$458,1,'BASE_CIERRE'!$H$5:$H$458,"Monitoring/intervention",'BASE_CIERRE'!$J$5:$J$458,"Structured clinical/questionnaire data",'BASE_CIERRE'!$I$5:$I$458,"Machine Learning",'BASE_CIERRE'!$U$5:$U$458,"Reported")</ns0:f>
        <ns0:v>0</ns0:v>
      </ns0:c>
      <ns0:c r="G184" s="29">
        <ns0:f>COUNTIFS('BASE_CIERRE'!$G$5:$G$458,1,'BASE_CIERRE'!$H$5:$H$458,"Monitoring/intervention",'BASE_CIERRE'!$J$5:$J$458,"Structured clinical/questionnaire data",'BASE_CIERRE'!$I$5:$I$458,"Machine Learning",'BASE_CIERRE'!$U$5:$U$458,"Not reported in assessed sources")</ns0:f>
        <ns0:v>1</ns0:v>
      </ns0:c>
      <ns0:c r="H184" s="29">
        <ns0:f>COUNTIFS('BASE_CIERRE'!$G$5:$G$458,1,'BASE_CIERRE'!$H$5:$H$458,"Monitoring/intervention",'BASE_CIERRE'!$J$5:$J$458,"Structured clinical/questionnaire data",'BASE_CIERRE'!$I$5:$I$458,"Machine Learning",'BASE_CIERRE'!$U$5:$U$458,"Not ascertainable")</ns0:f>
        <ns0:v>0</ns0:v>
      </ns0:c>
      <ns0:c r="I184" s="29">
        <ns0:f>SUM(F184:H184)</ns0:f>
        <ns0:v>1</ns0:v>
      </ns0:c>
      <ns0:c r="J184" s="32">
        <ns0:f>IFERROR(F184/I184,0)</ns0:f>
        <ns0:v>0</ns0:v>
      </ns0:c>
      <ns0:c r="K184" s="32">
        <ns0:f>IFERROR(F184/(I184-H184),0)</ns0:f>
        <ns0:v>0</ns0:v>
      </ns0:c>
      <ns0:c r="L184" s="21" t="inlineStr">
        <ns0:is>
          <ns0:t>199</ns0:t>
        </ns0:is>
      </ns0:c>
    </ns0:row>
    <ns0:row r="185" ht="32" customHeight="1">
      <ns0:c r="A185" s="19" t="inlineStr">
        <ns0:is>
          <ns0:t>Monitoring/intervention</ns0:t>
        </ns0:is>
      </ns0:c>
      <ns0:c r="B185" s="19" t="inlineStr">
        <ns0:is>
          <ns0:t>Text/language</ns0:t>
        </ns0:is>
      </ns0:c>
      <ns0:c r="C185" s="19" t="inlineStr">
        <ns0:is>
          <ns0:t>Deep Learning</ns0:t>
        </ns0:is>
      </ns0:c>
      <ns0:c r="D185" s="19" t="inlineStr">
        <ns0:is>
          <ns0:t>External validation</ns0:t>
        </ns0:is>
      </ns0:c>
      <ns0:c r="E185" s="19" t="inlineStr">
        <ns0:is>
          <ns0:t>external_validation</ns0:t>
        </ns0:is>
      </ns0:c>
      <ns0:c r="F185" s="27">
        <ns0:f>COUNTIFS('BASE_CIERRE'!$G$5:$G$458,1,'BASE_CIERRE'!$H$5:$H$458,"Monitoring/intervention",'BASE_CIERRE'!$J$5:$J$458,"Text/language",'BASE_CIERRE'!$I$5:$I$458,"Deep Learning",'BASE_CIERRE'!$Q$5:$Q$458,"Reported")</ns0:f>
        <ns0:v>0</ns0:v>
      </ns0:c>
      <ns0:c r="G185" s="27">
        <ns0:f>COUNTIFS('BASE_CIERRE'!$G$5:$G$458,1,'BASE_CIERRE'!$H$5:$H$458,"Monitoring/intervention",'BASE_CIERRE'!$J$5:$J$458,"Text/language",'BASE_CIERRE'!$I$5:$I$458,"Deep Learning",'BASE_CIERRE'!$Q$5:$Q$458,"Not reported in assessed sources")</ns0:f>
        <ns0:v>3</ns0:v>
      </ns0:c>
      <ns0:c r="H185" s="27">
        <ns0:f>COUNTIFS('BASE_CIERRE'!$G$5:$G$458,1,'BASE_CIERRE'!$H$5:$H$458,"Monitoring/intervention",'BASE_CIERRE'!$J$5:$J$458,"Text/language",'BASE_CIERRE'!$I$5:$I$458,"Deep Learning",'BASE_CIERRE'!$Q$5:$Q$458,"Not ascertainable")</ns0:f>
        <ns0:v>0</ns0:v>
      </ns0:c>
      <ns0:c r="I185" s="27">
        <ns0:f>SUM(F185:H185)</ns0:f>
        <ns0:v>3</ns0:v>
      </ns0:c>
      <ns0:c r="J185" s="31">
        <ns0:f>IFERROR(F185/I185,0)</ns0:f>
        <ns0:v>0</ns0:v>
      </ns0:c>
      <ns0:c r="K185" s="31">
        <ns0:f>IFERROR(F185/(I185-H185),0)</ns0:f>
        <ns0:v>0</ns0:v>
      </ns0:c>
      <ns0:c r="L185" s="19" t="inlineStr">
        <ns0:is>
          <ns0:t>95; new_169; new_173</ns0:t>
        </ns0:is>
      </ns0:c>
    </ns0:row>
    <ns0:row r="186" ht="32" customHeight="1">
      <ns0:c r="A186" s="21" t="inlineStr">
        <ns0:is>
          <ns0:t>Monitoring/intervention</ns0:t>
        </ns0:is>
      </ns0:c>
      <ns0:c r="B186" s="21" t="inlineStr">
        <ns0:is>
          <ns0:t>Text/language</ns0:t>
        </ns0:is>
      </ns0:c>
      <ns0:c r="C186" s="21" t="inlineStr">
        <ns0:is>
          <ns0:t>Deep Learning</ns0:t>
        </ns0:is>
      </ns0:c>
      <ns0:c r="D186" s="21" t="inlineStr">
        <ns0:is>
          <ns0:t>Multisource integration</ns0:t>
        </ns0:is>
      </ns0:c>
      <ns0:c r="E186" s="21" t="inlineStr">
        <ns0:is>
          <ns0:t>multisource_integration</ns0:t>
        </ns0:is>
      </ns0:c>
      <ns0:c r="F186" s="29">
        <ns0:f>COUNTIFS('BASE_CIERRE'!$G$5:$G$458,1,'BASE_CIERRE'!$H$5:$H$458,"Monitoring/intervention",'BASE_CIERRE'!$J$5:$J$458,"Text/language",'BASE_CIERRE'!$I$5:$I$458,"Deep Learning",'BASE_CIERRE'!$R$5:$R$458,"Reported")</ns0:f>
        <ns0:v>0</ns0:v>
      </ns0:c>
      <ns0:c r="G186" s="29">
        <ns0:f>COUNTIFS('BASE_CIERRE'!$G$5:$G$458,1,'BASE_CIERRE'!$H$5:$H$458,"Monitoring/intervention",'BASE_CIERRE'!$J$5:$J$458,"Text/language",'BASE_CIERRE'!$I$5:$I$458,"Deep Learning",'BASE_CIERRE'!$R$5:$R$458,"Not reported in assessed sources")</ns0:f>
        <ns0:v>3</ns0:v>
      </ns0:c>
      <ns0:c r="H186" s="29">
        <ns0:f>COUNTIFS('BASE_CIERRE'!$G$5:$G$458,1,'BASE_CIERRE'!$H$5:$H$458,"Monitoring/intervention",'BASE_CIERRE'!$J$5:$J$458,"Text/language",'BASE_CIERRE'!$I$5:$I$458,"Deep Learning",'BASE_CIERRE'!$R$5:$R$458,"Not ascertainable")</ns0:f>
        <ns0:v>0</ns0:v>
      </ns0:c>
      <ns0:c r="I186" s="29">
        <ns0:f>SUM(F186:H186)</ns0:f>
        <ns0:v>3</ns0:v>
      </ns0:c>
      <ns0:c r="J186" s="32">
        <ns0:f>IFERROR(F186/I186,0)</ns0:f>
        <ns0:v>0</ns0:v>
      </ns0:c>
      <ns0:c r="K186" s="32">
        <ns0:f>IFERROR(F186/(I186-H186),0)</ns0:f>
        <ns0:v>0</ns0:v>
      </ns0:c>
      <ns0:c r="L186" s="21" t="inlineStr">
        <ns0:is>
          <ns0:t>95; new_169; new_173</ns0:t>
        </ns0:is>
      </ns0:c>
    </ns0:row>
    <ns0:row r="187" ht="32" customHeight="1">
      <ns0:c r="A187" s="19" t="inlineStr">
        <ns0:is>
          <ns0:t>Monitoring/intervention</ns0:t>
        </ns0:is>
      </ns0:c>
      <ns0:c r="B187" s="19" t="inlineStr">
        <ns0:is>
          <ns0:t>Text/language</ns0:t>
        </ns0:is>
      </ns0:c>
      <ns0:c r="C187" s="19" t="inlineStr">
        <ns0:is>
          <ns0:t>Deep Learning</ns0:t>
        </ns0:is>
      </ns0:c>
      <ns0:c r="D187" s="19" t="inlineStr">
        <ns0:is>
          <ns0:t>Explicit explainability (broad)</ns0:t>
        </ns0:is>
      </ns0:c>
      <ns0:c r="E187" s="19" t="inlineStr">
        <ns0:is>
          <ns0:t>xai_broad</ns0:t>
        </ns0:is>
      </ns0:c>
      <ns0:c r="F187" s="27">
        <ns0:f>COUNTIFS('BASE_CIERRE'!$G$5:$G$458,1,'BASE_CIERRE'!$H$5:$H$458,"Monitoring/intervention",'BASE_CIERRE'!$J$5:$J$458,"Text/language",'BASE_CIERRE'!$I$5:$I$458,"Deep Learning",'BASE_CIERRE'!$S$5:$S$458,"Reported")</ns0:f>
        <ns0:v>0</ns0:v>
      </ns0:c>
      <ns0:c r="G187" s="27">
        <ns0:f>COUNTIFS('BASE_CIERRE'!$G$5:$G$458,1,'BASE_CIERRE'!$H$5:$H$458,"Monitoring/intervention",'BASE_CIERRE'!$J$5:$J$458,"Text/language",'BASE_CIERRE'!$I$5:$I$458,"Deep Learning",'BASE_CIERRE'!$S$5:$S$458,"Not reported in assessed sources")</ns0:f>
        <ns0:v>3</ns0:v>
      </ns0:c>
      <ns0:c r="H187" s="27">
        <ns0:f>COUNTIFS('BASE_CIERRE'!$G$5:$G$458,1,'BASE_CIERRE'!$H$5:$H$458,"Monitoring/intervention",'BASE_CIERRE'!$J$5:$J$458,"Text/language",'BASE_CIERRE'!$I$5:$I$458,"Deep Learning",'BASE_CIERRE'!$S$5:$S$458,"Not ascertainable")</ns0:f>
        <ns0:v>0</ns0:v>
      </ns0:c>
      <ns0:c r="I187" s="27">
        <ns0:f>SUM(F187:H187)</ns0:f>
        <ns0:v>3</ns0:v>
      </ns0:c>
      <ns0:c r="J187" s="31">
        <ns0:f>IFERROR(F187/I187,0)</ns0:f>
        <ns0:v>0</ns0:v>
      </ns0:c>
      <ns0:c r="K187" s="31">
        <ns0:f>IFERROR(F187/(I187-H187),0)</ns0:f>
        <ns0:v>0</ns0:v>
      </ns0:c>
      <ns0:c r="L187" s="19" t="inlineStr">
        <ns0:is>
          <ns0:t>95; new_169; new_173</ns0:t>
        </ns0:is>
      </ns0:c>
    </ns0:row>
    <ns0:row r="188" ht="32" customHeight="1">
      <ns0:c r="A188" s="21" t="inlineStr">
        <ns0:is>
          <ns0:t>Monitoring/intervention</ns0:t>
        </ns0:is>
      </ns0:c>
      <ns0:c r="B188" s="21" t="inlineStr">
        <ns0:is>
          <ns0:t>Text/language</ns0:t>
        </ns0:is>
      </ns0:c>
      <ns0:c r="C188" s="21" t="inlineStr">
        <ns0:is>
          <ns0:t>Deep Learning</ns0:t>
        </ns0:is>
      </ns0:c>
      <ns0:c r="D188" s="21" t="inlineStr">
        <ns0:is>
          <ns0:t>Cross-site evaluation</ns0:t>
        </ns0:is>
      </ns0:c>
      <ns0:c r="E188" s="21" t="inlineStr">
        <ns0:is>
          <ns0:t>cross_site_robustness</ns0:t>
        </ns0:is>
      </ns0:c>
      <ns0:c r="F188" s="29">
        <ns0:f>COUNTIFS('BASE_CIERRE'!$G$5:$G$458,1,'BASE_CIERRE'!$H$5:$H$458,"Monitoring/intervention",'BASE_CIERRE'!$J$5:$J$458,"Text/language",'BASE_CIERRE'!$I$5:$I$458,"Deep Learning",'BASE_CIERRE'!$U$5:$U$458,"Reported")</ns0:f>
        <ns0:v>0</ns0:v>
      </ns0:c>
      <ns0:c r="G188" s="29">
        <ns0:f>COUNTIFS('BASE_CIERRE'!$G$5:$G$458,1,'BASE_CIERRE'!$H$5:$H$458,"Monitoring/intervention",'BASE_CIERRE'!$J$5:$J$458,"Text/language",'BASE_CIERRE'!$I$5:$I$458,"Deep Learning",'BASE_CIERRE'!$U$5:$U$458,"Not reported in assessed sources")</ns0:f>
        <ns0:v>3</ns0:v>
      </ns0:c>
      <ns0:c r="H188" s="29">
        <ns0:f>COUNTIFS('BASE_CIERRE'!$G$5:$G$458,1,'BASE_CIERRE'!$H$5:$H$458,"Monitoring/intervention",'BASE_CIERRE'!$J$5:$J$458,"Text/language",'BASE_CIERRE'!$I$5:$I$458,"Deep Learning",'BASE_CIERRE'!$U$5:$U$458,"Not ascertainable")</ns0:f>
        <ns0:v>0</ns0:v>
      </ns0:c>
      <ns0:c r="I188" s="29">
        <ns0:f>SUM(F188:H188)</ns0:f>
        <ns0:v>3</ns0:v>
      </ns0:c>
      <ns0:c r="J188" s="32">
        <ns0:f>IFERROR(F188/I188,0)</ns0:f>
        <ns0:v>0</ns0:v>
      </ns0:c>
      <ns0:c r="K188" s="32">
        <ns0:f>IFERROR(F188/(I188-H188),0)</ns0:f>
        <ns0:v>0</ns0:v>
      </ns0:c>
      <ns0:c r="L188" s="21" t="inlineStr">
        <ns0:is>
          <ns0:t>95; new_169; new_173</ns0:t>
        </ns0:is>
      </ns0:c>
    </ns0:row>
    <ns0:row r="189" ht="32" customHeight="1">
      <ns0:c r="A189" s="19" t="inlineStr">
        <ns0:is>
          <ns0:t>Monitoring/intervention</ns0:t>
        </ns0:is>
      </ns0:c>
      <ns0:c r="B189" s="19" t="inlineStr">
        <ns0:is>
          <ns0:t>Text/language</ns0:t>
        </ns0:is>
      </ns0:c>
      <ns0:c r="C189" s="19" t="inlineStr">
        <ns0:is>
          <ns0:t>Not specified</ns0:t>
        </ns0:is>
      </ns0:c>
      <ns0:c r="D189" s="19" t="inlineStr">
        <ns0:is>
          <ns0:t>External validation</ns0:t>
        </ns0:is>
      </ns0:c>
      <ns0:c r="E189" s="19" t="inlineStr">
        <ns0:is>
          <ns0:t>external_validation</ns0:t>
        </ns0:is>
      </ns0:c>
      <ns0:c r="F189" s="27">
        <ns0:f>COUNTIFS('BASE_CIERRE'!$G$5:$G$458,1,'BASE_CIERRE'!$H$5:$H$458,"Monitoring/intervention",'BASE_CIERRE'!$J$5:$J$458,"Text/language",'BASE_CIERRE'!$I$5:$I$458,"Not specified",'BASE_CIERRE'!$Q$5:$Q$458,"Reported")</ns0:f>
        <ns0:v>0</ns0:v>
      </ns0:c>
      <ns0:c r="G189" s="27">
        <ns0:f>COUNTIFS('BASE_CIERRE'!$G$5:$G$458,1,'BASE_CIERRE'!$H$5:$H$458,"Monitoring/intervention",'BASE_CIERRE'!$J$5:$J$458,"Text/language",'BASE_CIERRE'!$I$5:$I$458,"Not specified",'BASE_CIERRE'!$Q$5:$Q$458,"Not reported in assessed sources")</ns0:f>
        <ns0:v>2</ns0:v>
      </ns0:c>
      <ns0:c r="H189" s="27">
        <ns0:f>COUNTIFS('BASE_CIERRE'!$G$5:$G$458,1,'BASE_CIERRE'!$H$5:$H$458,"Monitoring/intervention",'BASE_CIERRE'!$J$5:$J$458,"Text/language",'BASE_CIERRE'!$I$5:$I$458,"Not specified",'BASE_CIERRE'!$Q$5:$Q$458,"Not ascertainable")</ns0:f>
        <ns0:v>0</ns0:v>
      </ns0:c>
      <ns0:c r="I189" s="27">
        <ns0:f>SUM(F189:H189)</ns0:f>
        <ns0:v>2</ns0:v>
      </ns0:c>
      <ns0:c r="J189" s="31">
        <ns0:f>IFERROR(F189/I189,0)</ns0:f>
        <ns0:v>0</ns0:v>
      </ns0:c>
      <ns0:c r="K189" s="31">
        <ns0:f>IFERROR(F189/(I189-H189),0)</ns0:f>
        <ns0:v>0</ns0:v>
      </ns0:c>
      <ns0:c r="L189" s="19" t="inlineStr">
        <ns0:is>
          <ns0:t>46; new_298</ns0:t>
        </ns0:is>
      </ns0:c>
    </ns0:row>
    <ns0:row r="190" ht="32" customHeight="1">
      <ns0:c r="A190" s="21" t="inlineStr">
        <ns0:is>
          <ns0:t>Monitoring/intervention</ns0:t>
        </ns0:is>
      </ns0:c>
      <ns0:c r="B190" s="21" t="inlineStr">
        <ns0:is>
          <ns0:t>Text/language</ns0:t>
        </ns0:is>
      </ns0:c>
      <ns0:c r="C190" s="21" t="inlineStr">
        <ns0:is>
          <ns0:t>Not specified</ns0:t>
        </ns0:is>
      </ns0:c>
      <ns0:c r="D190" s="21" t="inlineStr">
        <ns0:is>
          <ns0:t>Multisource integration</ns0:t>
        </ns0:is>
      </ns0:c>
      <ns0:c r="E190" s="21" t="inlineStr">
        <ns0:is>
          <ns0:t>multisource_integration</ns0:t>
        </ns0:is>
      </ns0:c>
      <ns0:c r="F190" s="29">
        <ns0:f>COUNTIFS('BASE_CIERRE'!$G$5:$G$458,1,'BASE_CIERRE'!$H$5:$H$458,"Monitoring/intervention",'BASE_CIERRE'!$J$5:$J$458,"Text/language",'BASE_CIERRE'!$I$5:$I$458,"Not specified",'BASE_CIERRE'!$R$5:$R$458,"Reported")</ns0:f>
        <ns0:v>0</ns0:v>
      </ns0:c>
      <ns0:c r="G190" s="29">
        <ns0:f>COUNTIFS('BASE_CIERRE'!$G$5:$G$458,1,'BASE_CIERRE'!$H$5:$H$458,"Monitoring/intervention",'BASE_CIERRE'!$J$5:$J$458,"Text/language",'BASE_CIERRE'!$I$5:$I$458,"Not specified",'BASE_CIERRE'!$R$5:$R$458,"Not reported in assessed sources")</ns0:f>
        <ns0:v>1</ns0:v>
      </ns0:c>
      <ns0:c r="H190" s="29">
        <ns0:f>COUNTIFS('BASE_CIERRE'!$G$5:$G$458,1,'BASE_CIERRE'!$H$5:$H$458,"Monitoring/intervention",'BASE_CIERRE'!$J$5:$J$458,"Text/language",'BASE_CIERRE'!$I$5:$I$458,"Not specified",'BASE_CIERRE'!$R$5:$R$458,"Not ascertainable")</ns0:f>
        <ns0:v>1</ns0:v>
      </ns0:c>
      <ns0:c r="I190" s="29">
        <ns0:f>SUM(F190:H190)</ns0:f>
        <ns0:v>2</ns0:v>
      </ns0:c>
      <ns0:c r="J190" s="32">
        <ns0:f>IFERROR(F190/I190,0)</ns0:f>
        <ns0:v>0</ns0:v>
      </ns0:c>
      <ns0:c r="K190" s="32">
        <ns0:f>IFERROR(F190/(I190-H190),0)</ns0:f>
        <ns0:v>0</ns0:v>
      </ns0:c>
      <ns0:c r="L190" s="21" t="inlineStr">
        <ns0:is>
          <ns0:t>46; new_298</ns0:t>
        </ns0:is>
      </ns0:c>
    </ns0:row>
    <ns0:row r="191" ht="32" customHeight="1">
      <ns0:c r="A191" s="19" t="inlineStr">
        <ns0:is>
          <ns0:t>Monitoring/intervention</ns0:t>
        </ns0:is>
      </ns0:c>
      <ns0:c r="B191" s="19" t="inlineStr">
        <ns0:is>
          <ns0:t>Text/language</ns0:t>
        </ns0:is>
      </ns0:c>
      <ns0:c r="C191" s="19" t="inlineStr">
        <ns0:is>
          <ns0:t>Not specified</ns0:t>
        </ns0:is>
      </ns0:c>
      <ns0:c r="D191" s="19" t="inlineStr">
        <ns0:is>
          <ns0:t>Explicit explainability (broad)</ns0:t>
        </ns0:is>
      </ns0:c>
      <ns0:c r="E191" s="19" t="inlineStr">
        <ns0:is>
          <ns0:t>xai_broad</ns0:t>
        </ns0:is>
      </ns0:c>
      <ns0:c r="F191" s="27">
        <ns0:f>COUNTIFS('BASE_CIERRE'!$G$5:$G$458,1,'BASE_CIERRE'!$H$5:$H$458,"Monitoring/intervention",'BASE_CIERRE'!$J$5:$J$458,"Text/language",'BASE_CIERRE'!$I$5:$I$458,"Not specified",'BASE_CIERRE'!$S$5:$S$458,"Reported")</ns0:f>
        <ns0:v>0</ns0:v>
      </ns0:c>
      <ns0:c r="G191" s="27">
        <ns0:f>COUNTIFS('BASE_CIERRE'!$G$5:$G$458,1,'BASE_CIERRE'!$H$5:$H$458,"Monitoring/intervention",'BASE_CIERRE'!$J$5:$J$458,"Text/language",'BASE_CIERRE'!$I$5:$I$458,"Not specified",'BASE_CIERRE'!$S$5:$S$458,"Not reported in assessed sources")</ns0:f>
        <ns0:v>2</ns0:v>
      </ns0:c>
      <ns0:c r="H191" s="27">
        <ns0:f>COUNTIFS('BASE_CIERRE'!$G$5:$G$458,1,'BASE_CIERRE'!$H$5:$H$458,"Monitoring/intervention",'BASE_CIERRE'!$J$5:$J$458,"Text/language",'BASE_CIERRE'!$I$5:$I$458,"Not specified",'BASE_CIERRE'!$S$5:$S$458,"Not ascertainable")</ns0:f>
        <ns0:v>0</ns0:v>
      </ns0:c>
      <ns0:c r="I191" s="27">
        <ns0:f>SUM(F191:H191)</ns0:f>
        <ns0:v>2</ns0:v>
      </ns0:c>
      <ns0:c r="J191" s="31">
        <ns0:f>IFERROR(F191/I191,0)</ns0:f>
        <ns0:v>0</ns0:v>
      </ns0:c>
      <ns0:c r="K191" s="31">
        <ns0:f>IFERROR(F191/(I191-H191),0)</ns0:f>
        <ns0:v>0</ns0:v>
      </ns0:c>
      <ns0:c r="L191" s="19" t="inlineStr">
        <ns0:is>
          <ns0:t>46; new_298</ns0:t>
        </ns0:is>
      </ns0:c>
    </ns0:row>
    <ns0:row r="192" ht="32" customHeight="1">
      <ns0:c r="A192" s="21" t="inlineStr">
        <ns0:is>
          <ns0:t>Monitoring/intervention</ns0:t>
        </ns0:is>
      </ns0:c>
      <ns0:c r="B192" s="21" t="inlineStr">
        <ns0:is>
          <ns0:t>Text/language</ns0:t>
        </ns0:is>
      </ns0:c>
      <ns0:c r="C192" s="21" t="inlineStr">
        <ns0:is>
          <ns0:t>Not specified</ns0:t>
        </ns0:is>
      </ns0:c>
      <ns0:c r="D192" s="21" t="inlineStr">
        <ns0:is>
          <ns0:t>Cross-site evaluation</ns0:t>
        </ns0:is>
      </ns0:c>
      <ns0:c r="E192" s="21" t="inlineStr">
        <ns0:is>
          <ns0:t>cross_site_robustness</ns0:t>
        </ns0:is>
      </ns0:c>
      <ns0:c r="F192" s="29">
        <ns0:f>COUNTIFS('BASE_CIERRE'!$G$5:$G$458,1,'BASE_CIERRE'!$H$5:$H$458,"Monitoring/intervention",'BASE_CIERRE'!$J$5:$J$458,"Text/language",'BASE_CIERRE'!$I$5:$I$458,"Not specified",'BASE_CIERRE'!$U$5:$U$458,"Reported")</ns0:f>
        <ns0:v>0</ns0:v>
      </ns0:c>
      <ns0:c r="G192" s="29">
        <ns0:f>COUNTIFS('BASE_CIERRE'!$G$5:$G$458,1,'BASE_CIERRE'!$H$5:$H$458,"Monitoring/intervention",'BASE_CIERRE'!$J$5:$J$458,"Text/language",'BASE_CIERRE'!$I$5:$I$458,"Not specified",'BASE_CIERRE'!$U$5:$U$458,"Not reported in assessed sources")</ns0:f>
        <ns0:v>2</ns0:v>
      </ns0:c>
      <ns0:c r="H192" s="29">
        <ns0:f>COUNTIFS('BASE_CIERRE'!$G$5:$G$458,1,'BASE_CIERRE'!$H$5:$H$458,"Monitoring/intervention",'BASE_CIERRE'!$J$5:$J$458,"Text/language",'BASE_CIERRE'!$I$5:$I$458,"Not specified",'BASE_CIERRE'!$U$5:$U$458,"Not ascertainable")</ns0:f>
        <ns0:v>0</ns0:v>
      </ns0:c>
      <ns0:c r="I192" s="29">
        <ns0:f>SUM(F192:H192)</ns0:f>
        <ns0:v>2</ns0:v>
      </ns0:c>
      <ns0:c r="J192" s="32">
        <ns0:f>IFERROR(F192/I192,0)</ns0:f>
        <ns0:v>0</ns0:v>
      </ns0:c>
      <ns0:c r="K192" s="32">
        <ns0:f>IFERROR(F192/(I192-H192),0)</ns0:f>
        <ns0:v>0</ns0:v>
      </ns0:c>
      <ns0:c r="L192" s="21" t="inlineStr">
        <ns0:is>
          <ns0:t>46; new_298</ns0:t>
        </ns0:is>
      </ns0:c>
    </ns0:row>
    <ns0:row r="193" ht="32" customHeight="1">
      <ns0:c r="A193" s="19" t="inlineStr">
        <ns0:is>
          <ns0:t>Not specified</ns0:t>
        </ns0:is>
      </ns0:c>
      <ns0:c r="B193" s="19" t="inlineStr">
        <ns0:is>
          <ns0:t>Biological/omics</ns0:t>
        </ns0:is>
      </ns0:c>
      <ns0:c r="C193" s="19" t="inlineStr">
        <ns0:is>
          <ns0:t>Deep Learning</ns0:t>
        </ns0:is>
      </ns0:c>
      <ns0:c r="D193" s="19" t="inlineStr">
        <ns0:is>
          <ns0:t>External validation</ns0:t>
        </ns0:is>
      </ns0:c>
      <ns0:c r="E193" s="19" t="inlineStr">
        <ns0:is>
          <ns0:t>external_validation</ns0:t>
        </ns0:is>
      </ns0:c>
      <ns0:c r="F193" s="27">
        <ns0:f>COUNTIFS('BASE_CIERRE'!$G$5:$G$458,1,'BASE_CIERRE'!$H$5:$H$458,"Not specified",'BASE_CIERRE'!$J$5:$J$458,"Biological/omics",'BASE_CIERRE'!$I$5:$I$458,"Deep Learning",'BASE_CIERRE'!$Q$5:$Q$458,"Reported")</ns0:f>
        <ns0:v>0</ns0:v>
      </ns0:c>
      <ns0:c r="G193" s="27">
        <ns0:f>COUNTIFS('BASE_CIERRE'!$G$5:$G$458,1,'BASE_CIERRE'!$H$5:$H$458,"Not specified",'BASE_CIERRE'!$J$5:$J$458,"Biological/omics",'BASE_CIERRE'!$I$5:$I$458,"Deep Learning",'BASE_CIERRE'!$Q$5:$Q$458,"Not reported in assessed sources")</ns0:f>
        <ns0:v>2</ns0:v>
      </ns0:c>
      <ns0:c r="H193" s="27">
        <ns0:f>COUNTIFS('BASE_CIERRE'!$G$5:$G$458,1,'BASE_CIERRE'!$H$5:$H$458,"Not specified",'BASE_CIERRE'!$J$5:$J$458,"Biological/omics",'BASE_CIERRE'!$I$5:$I$458,"Deep Learning",'BASE_CIERRE'!$Q$5:$Q$458,"Not ascertainable")</ns0:f>
        <ns0:v>0</ns0:v>
      </ns0:c>
      <ns0:c r="I193" s="27">
        <ns0:f>SUM(F193:H193)</ns0:f>
        <ns0:v>2</ns0:v>
      </ns0:c>
      <ns0:c r="J193" s="31">
        <ns0:f>IFERROR(F193/I193,0)</ns0:f>
        <ns0:v>0</ns0:v>
      </ns0:c>
      <ns0:c r="K193" s="31">
        <ns0:f>IFERROR(F193/(I193-H193),0)</ns0:f>
        <ns0:v>0</ns0:v>
      </ns0:c>
      <ns0:c r="L193" s="19" t="inlineStr">
        <ns0:is>
          <ns0:t>282; new_118</ns0:t>
        </ns0:is>
      </ns0:c>
    </ns0:row>
    <ns0:row r="194" ht="32" customHeight="1">
      <ns0:c r="A194" s="21" t="inlineStr">
        <ns0:is>
          <ns0:t>Not specified</ns0:t>
        </ns0:is>
      </ns0:c>
      <ns0:c r="B194" s="21" t="inlineStr">
        <ns0:is>
          <ns0:t>Biological/omics</ns0:t>
        </ns0:is>
      </ns0:c>
      <ns0:c r="C194" s="21" t="inlineStr">
        <ns0:is>
          <ns0:t>Deep Learning</ns0:t>
        </ns0:is>
      </ns0:c>
      <ns0:c r="D194" s="21" t="inlineStr">
        <ns0:is>
          <ns0:t>Multisource integration</ns0:t>
        </ns0:is>
      </ns0:c>
      <ns0:c r="E194" s="21" t="inlineStr">
        <ns0:is>
          <ns0:t>multisource_integration</ns0:t>
        </ns0:is>
      </ns0:c>
      <ns0:c r="F194" s="29">
        <ns0:f>COUNTIFS('BASE_CIERRE'!$G$5:$G$458,1,'BASE_CIERRE'!$H$5:$H$458,"Not specified",'BASE_CIERRE'!$J$5:$J$458,"Biological/omics",'BASE_CIERRE'!$I$5:$I$458,"Deep Learning",'BASE_CIERRE'!$R$5:$R$458,"Reported")</ns0:f>
        <ns0:v>1</ns0:v>
      </ns0:c>
      <ns0:c r="G194" s="29">
        <ns0:f>COUNTIFS('BASE_CIERRE'!$G$5:$G$458,1,'BASE_CIERRE'!$H$5:$H$458,"Not specified",'BASE_CIERRE'!$J$5:$J$458,"Biological/omics",'BASE_CIERRE'!$I$5:$I$458,"Deep Learning",'BASE_CIERRE'!$R$5:$R$458,"Not reported in assessed sources")</ns0:f>
        <ns0:v>1</ns0:v>
      </ns0:c>
      <ns0:c r="H194" s="29">
        <ns0:f>COUNTIFS('BASE_CIERRE'!$G$5:$G$458,1,'BASE_CIERRE'!$H$5:$H$458,"Not specified",'BASE_CIERRE'!$J$5:$J$458,"Biological/omics",'BASE_CIERRE'!$I$5:$I$458,"Deep Learning",'BASE_CIERRE'!$R$5:$R$458,"Not ascertainable")</ns0:f>
        <ns0:v>0</ns0:v>
      </ns0:c>
      <ns0:c r="I194" s="29">
        <ns0:f>SUM(F194:H194)</ns0:f>
        <ns0:v>2</ns0:v>
      </ns0:c>
      <ns0:c r="J194" s="32">
        <ns0:f>IFERROR(F194/I194,0)</ns0:f>
        <ns0:v>0.5</ns0:v>
      </ns0:c>
      <ns0:c r="K194" s="32">
        <ns0:f>IFERROR(F194/(I194-H194),0)</ns0:f>
        <ns0:v>0.5</ns0:v>
      </ns0:c>
      <ns0:c r="L194" s="21" t="inlineStr">
        <ns0:is>
          <ns0:t>282; new_118</ns0:t>
        </ns0:is>
      </ns0:c>
    </ns0:row>
    <ns0:row r="195" ht="32" customHeight="1">
      <ns0:c r="A195" s="19" t="inlineStr">
        <ns0:is>
          <ns0:t>Not specified</ns0:t>
        </ns0:is>
      </ns0:c>
      <ns0:c r="B195" s="19" t="inlineStr">
        <ns0:is>
          <ns0:t>Biological/omics</ns0:t>
        </ns0:is>
      </ns0:c>
      <ns0:c r="C195" s="19" t="inlineStr">
        <ns0:is>
          <ns0:t>Deep Learning</ns0:t>
        </ns0:is>
      </ns0:c>
      <ns0:c r="D195" s="19" t="inlineStr">
        <ns0:is>
          <ns0:t>Explicit explainability (broad)</ns0:t>
        </ns0:is>
      </ns0:c>
      <ns0:c r="E195" s="19" t="inlineStr">
        <ns0:is>
          <ns0:t>xai_broad</ns0:t>
        </ns0:is>
      </ns0:c>
      <ns0:c r="F195" s="27">
        <ns0:f>COUNTIFS('BASE_CIERRE'!$G$5:$G$458,1,'BASE_CIERRE'!$H$5:$H$458,"Not specified",'BASE_CIERRE'!$J$5:$J$458,"Biological/omics",'BASE_CIERRE'!$I$5:$I$458,"Deep Learning",'BASE_CIERRE'!$S$5:$S$458,"Reported")</ns0:f>
        <ns0:v>0</ns0:v>
      </ns0:c>
      <ns0:c r="G195" s="27">
        <ns0:f>COUNTIFS('BASE_CIERRE'!$G$5:$G$458,1,'BASE_CIERRE'!$H$5:$H$458,"Not specified",'BASE_CIERRE'!$J$5:$J$458,"Biological/omics",'BASE_CIERRE'!$I$5:$I$458,"Deep Learning",'BASE_CIERRE'!$S$5:$S$458,"Not reported in assessed sources")</ns0:f>
        <ns0:v>2</ns0:v>
      </ns0:c>
      <ns0:c r="H195" s="27">
        <ns0:f>COUNTIFS('BASE_CIERRE'!$G$5:$G$458,1,'BASE_CIERRE'!$H$5:$H$458,"Not specified",'BASE_CIERRE'!$J$5:$J$458,"Biological/omics",'BASE_CIERRE'!$I$5:$I$458,"Deep Learning",'BASE_CIERRE'!$S$5:$S$458,"Not ascertainable")</ns0:f>
        <ns0:v>0</ns0:v>
      </ns0:c>
      <ns0:c r="I195" s="27">
        <ns0:f>SUM(F195:H195)</ns0:f>
        <ns0:v>2</ns0:v>
      </ns0:c>
      <ns0:c r="J195" s="31">
        <ns0:f>IFERROR(F195/I195,0)</ns0:f>
        <ns0:v>0</ns0:v>
      </ns0:c>
      <ns0:c r="K195" s="31">
        <ns0:f>IFERROR(F195/(I195-H195),0)</ns0:f>
        <ns0:v>0</ns0:v>
      </ns0:c>
      <ns0:c r="L195" s="19" t="inlineStr">
        <ns0:is>
          <ns0:t>282; new_118</ns0:t>
        </ns0:is>
      </ns0:c>
    </ns0:row>
    <ns0:row r="196" ht="32" customHeight="1">
      <ns0:c r="A196" s="21" t="inlineStr">
        <ns0:is>
          <ns0:t>Not specified</ns0:t>
        </ns0:is>
      </ns0:c>
      <ns0:c r="B196" s="21" t="inlineStr">
        <ns0:is>
          <ns0:t>Biological/omics</ns0:t>
        </ns0:is>
      </ns0:c>
      <ns0:c r="C196" s="21" t="inlineStr">
        <ns0:is>
          <ns0:t>Deep Learning</ns0:t>
        </ns0:is>
      </ns0:c>
      <ns0:c r="D196" s="21" t="inlineStr">
        <ns0:is>
          <ns0:t>Cross-site evaluation</ns0:t>
        </ns0:is>
      </ns0:c>
      <ns0:c r="E196" s="21" t="inlineStr">
        <ns0:is>
          <ns0:t>cross_site_robustness</ns0:t>
        </ns0:is>
      </ns0:c>
      <ns0:c r="F196" s="29">
        <ns0:f>COUNTIFS('BASE_CIERRE'!$G$5:$G$458,1,'BASE_CIERRE'!$H$5:$H$458,"Not specified",'BASE_CIERRE'!$J$5:$J$458,"Biological/omics",'BASE_CIERRE'!$I$5:$I$458,"Deep Learning",'BASE_CIERRE'!$U$5:$U$458,"Reported")</ns0:f>
        <ns0:v>0</ns0:v>
      </ns0:c>
      <ns0:c r="G196" s="29">
        <ns0:f>COUNTIFS('BASE_CIERRE'!$G$5:$G$458,1,'BASE_CIERRE'!$H$5:$H$458,"Not specified",'BASE_CIERRE'!$J$5:$J$458,"Biological/omics",'BASE_CIERRE'!$I$5:$I$458,"Deep Learning",'BASE_CIERRE'!$U$5:$U$458,"Not reported in assessed sources")</ns0:f>
        <ns0:v>2</ns0:v>
      </ns0:c>
      <ns0:c r="H196" s="29">
        <ns0:f>COUNTIFS('BASE_CIERRE'!$G$5:$G$458,1,'BASE_CIERRE'!$H$5:$H$458,"Not specified",'BASE_CIERRE'!$J$5:$J$458,"Biological/omics",'BASE_CIERRE'!$I$5:$I$458,"Deep Learning",'BASE_CIERRE'!$U$5:$U$458,"Not ascertainable")</ns0:f>
        <ns0:v>0</ns0:v>
      </ns0:c>
      <ns0:c r="I196" s="29">
        <ns0:f>SUM(F196:H196)</ns0:f>
        <ns0:v>2</ns0:v>
      </ns0:c>
      <ns0:c r="J196" s="32">
        <ns0:f>IFERROR(F196/I196,0)</ns0:f>
        <ns0:v>0</ns0:v>
      </ns0:c>
      <ns0:c r="K196" s="32">
        <ns0:f>IFERROR(F196/(I196-H196),0)</ns0:f>
        <ns0:v>0</ns0:v>
      </ns0:c>
      <ns0:c r="L196" s="21" t="inlineStr">
        <ns0:is>
          <ns0:t>282; new_118</ns0:t>
        </ns0:is>
      </ns0:c>
    </ns0:row>
    <ns0:row r="197" ht="32" customHeight="1">
      <ns0:c r="A197" s="19" t="inlineStr">
        <ns0:is>
          <ns0:t>Not specified</ns0:t>
        </ns0:is>
      </ns0:c>
      <ns0:c r="B197" s="19" t="inlineStr">
        <ns0:is>
          <ns0:t>Biological/omics</ns0:t>
        </ns0:is>
      </ns0:c>
      <ns0:c r="C197" s="19" t="inlineStr">
        <ns0:is>
          <ns0:t>Machine Learning</ns0:t>
        </ns0:is>
      </ns0:c>
      <ns0:c r="D197" s="19" t="inlineStr">
        <ns0:is>
          <ns0:t>External validation</ns0:t>
        </ns0:is>
      </ns0:c>
      <ns0:c r="E197" s="19" t="inlineStr">
        <ns0:is>
          <ns0:t>external_validation</ns0:t>
        </ns0:is>
      </ns0:c>
      <ns0:c r="F197" s="27">
        <ns0:f>COUNTIFS('BASE_CIERRE'!$G$5:$G$458,1,'BASE_CIERRE'!$H$5:$H$458,"Not specified",'BASE_CIERRE'!$J$5:$J$458,"Biological/omics",'BASE_CIERRE'!$I$5:$I$458,"Machine Learning",'BASE_CIERRE'!$Q$5:$Q$458,"Reported")</ns0:f>
        <ns0:v>2</ns0:v>
      </ns0:c>
      <ns0:c r="G197" s="27">
        <ns0:f>COUNTIFS('BASE_CIERRE'!$G$5:$G$458,1,'BASE_CIERRE'!$H$5:$H$458,"Not specified",'BASE_CIERRE'!$J$5:$J$458,"Biological/omics",'BASE_CIERRE'!$I$5:$I$458,"Machine Learning",'BASE_CIERRE'!$Q$5:$Q$458,"Not reported in assessed sources")</ns0:f>
        <ns0:v>5</ns0:v>
      </ns0:c>
      <ns0:c r="H197" s="27">
        <ns0:f>COUNTIFS('BASE_CIERRE'!$G$5:$G$458,1,'BASE_CIERRE'!$H$5:$H$458,"Not specified",'BASE_CIERRE'!$J$5:$J$458,"Biological/omics",'BASE_CIERRE'!$I$5:$I$458,"Machine Learning",'BASE_CIERRE'!$Q$5:$Q$458,"Not ascertainable")</ns0:f>
        <ns0:v>0</ns0:v>
      </ns0:c>
      <ns0:c r="I197" s="27">
        <ns0:f>SUM(F197:H197)</ns0:f>
        <ns0:v>7</ns0:v>
      </ns0:c>
      <ns0:c r="J197" s="31">
        <ns0:f>IFERROR(F197/I197,0)</ns0:f>
        <ns0:v>0.2857142857142857</ns0:v>
      </ns0:c>
      <ns0:c r="K197" s="31">
        <ns0:f>IFERROR(F197/(I197-H197),0)</ns0:f>
        <ns0:v>0.2857142857142857</ns0:v>
      </ns0:c>
      <ns0:c r="L197" s="19" t="inlineStr">
        <ns0:is>
          <ns0:t>221; 285; 287; 290; new_13; new_378; new_64</ns0:t>
        </ns0:is>
      </ns0:c>
    </ns0:row>
    <ns0:row r="198" ht="32" customHeight="1">
      <ns0:c r="A198" s="21" t="inlineStr">
        <ns0:is>
          <ns0:t>Not specified</ns0:t>
        </ns0:is>
      </ns0:c>
      <ns0:c r="B198" s="21" t="inlineStr">
        <ns0:is>
          <ns0:t>Biological/omics</ns0:t>
        </ns0:is>
      </ns0:c>
      <ns0:c r="C198" s="21" t="inlineStr">
        <ns0:is>
          <ns0:t>Machine Learning</ns0:t>
        </ns0:is>
      </ns0:c>
      <ns0:c r="D198" s="21" t="inlineStr">
        <ns0:is>
          <ns0:t>Multisource integration</ns0:t>
        </ns0:is>
      </ns0:c>
      <ns0:c r="E198" s="21" t="inlineStr">
        <ns0:is>
          <ns0:t>multisource_integration</ns0:t>
        </ns0:is>
      </ns0:c>
      <ns0:c r="F198" s="29">
        <ns0:f>COUNTIFS('BASE_CIERRE'!$G$5:$G$458,1,'BASE_CIERRE'!$H$5:$H$458,"Not specified",'BASE_CIERRE'!$J$5:$J$458,"Biological/omics",'BASE_CIERRE'!$I$5:$I$458,"Machine Learning",'BASE_CIERRE'!$R$5:$R$458,"Reported")</ns0:f>
        <ns0:v>2</ns0:v>
      </ns0:c>
      <ns0:c r="G198" s="29">
        <ns0:f>COUNTIFS('BASE_CIERRE'!$G$5:$G$458,1,'BASE_CIERRE'!$H$5:$H$458,"Not specified",'BASE_CIERRE'!$J$5:$J$458,"Biological/omics",'BASE_CIERRE'!$I$5:$I$458,"Machine Learning",'BASE_CIERRE'!$R$5:$R$458,"Not reported in assessed sources")</ns0:f>
        <ns0:v>5</ns0:v>
      </ns0:c>
      <ns0:c r="H198" s="29">
        <ns0:f>COUNTIFS('BASE_CIERRE'!$G$5:$G$458,1,'BASE_CIERRE'!$H$5:$H$458,"Not specified",'BASE_CIERRE'!$J$5:$J$458,"Biological/omics",'BASE_CIERRE'!$I$5:$I$458,"Machine Learning",'BASE_CIERRE'!$R$5:$R$458,"Not ascertainable")</ns0:f>
        <ns0:v>0</ns0:v>
      </ns0:c>
      <ns0:c r="I198" s="29">
        <ns0:f>SUM(F198:H198)</ns0:f>
        <ns0:v>7</ns0:v>
      </ns0:c>
      <ns0:c r="J198" s="32">
        <ns0:f>IFERROR(F198/I198,0)</ns0:f>
        <ns0:v>0.2857142857142857</ns0:v>
      </ns0:c>
      <ns0:c r="K198" s="32">
        <ns0:f>IFERROR(F198/(I198-H198),0)</ns0:f>
        <ns0:v>0.2857142857142857</ns0:v>
      </ns0:c>
      <ns0:c r="L198" s="21" t="inlineStr">
        <ns0:is>
          <ns0:t>221; 285; 287; 290; new_13; new_378; new_64</ns0:t>
        </ns0:is>
      </ns0:c>
    </ns0:row>
    <ns0:row r="199" ht="32" customHeight="1">
      <ns0:c r="A199" s="19" t="inlineStr">
        <ns0:is>
          <ns0:t>Not specified</ns0:t>
        </ns0:is>
      </ns0:c>
      <ns0:c r="B199" s="19" t="inlineStr">
        <ns0:is>
          <ns0:t>Biological/omics</ns0:t>
        </ns0:is>
      </ns0:c>
      <ns0:c r="C199" s="19" t="inlineStr">
        <ns0:is>
          <ns0:t>Machine Learning</ns0:t>
        </ns0:is>
      </ns0:c>
      <ns0:c r="D199" s="19" t="inlineStr">
        <ns0:is>
          <ns0:t>Explicit explainability (broad)</ns0:t>
        </ns0:is>
      </ns0:c>
      <ns0:c r="E199" s="19" t="inlineStr">
        <ns0:is>
          <ns0:t>xai_broad</ns0:t>
        </ns0:is>
      </ns0:c>
      <ns0:c r="F199" s="27">
        <ns0:f>COUNTIFS('BASE_CIERRE'!$G$5:$G$458,1,'BASE_CIERRE'!$H$5:$H$458,"Not specified",'BASE_CIERRE'!$J$5:$J$458,"Biological/omics",'BASE_CIERRE'!$I$5:$I$458,"Machine Learning",'BASE_CIERRE'!$S$5:$S$458,"Reported")</ns0:f>
        <ns0:v>3</ns0:v>
      </ns0:c>
      <ns0:c r="G199" s="27">
        <ns0:f>COUNTIFS('BASE_CIERRE'!$G$5:$G$458,1,'BASE_CIERRE'!$H$5:$H$458,"Not specified",'BASE_CIERRE'!$J$5:$J$458,"Biological/omics",'BASE_CIERRE'!$I$5:$I$458,"Machine Learning",'BASE_CIERRE'!$S$5:$S$458,"Not reported in assessed sources")</ns0:f>
        <ns0:v>4</ns0:v>
      </ns0:c>
      <ns0:c r="H199" s="27">
        <ns0:f>COUNTIFS('BASE_CIERRE'!$G$5:$G$458,1,'BASE_CIERRE'!$H$5:$H$458,"Not specified",'BASE_CIERRE'!$J$5:$J$458,"Biological/omics",'BASE_CIERRE'!$I$5:$I$458,"Machine Learning",'BASE_CIERRE'!$S$5:$S$458,"Not ascertainable")</ns0:f>
        <ns0:v>0</ns0:v>
      </ns0:c>
      <ns0:c r="I199" s="27">
        <ns0:f>SUM(F199:H199)</ns0:f>
        <ns0:v>7</ns0:v>
      </ns0:c>
      <ns0:c r="J199" s="31">
        <ns0:f>IFERROR(F199/I199,0)</ns0:f>
        <ns0:v>0.42857142857142855</ns0:v>
      </ns0:c>
      <ns0:c r="K199" s="31">
        <ns0:f>IFERROR(F199/(I199-H199),0)</ns0:f>
        <ns0:v>0.42857142857142855</ns0:v>
      </ns0:c>
      <ns0:c r="L199" s="19" t="inlineStr">
        <ns0:is>
          <ns0:t>221; 285; 287; 290; new_13; new_378; new_64</ns0:t>
        </ns0:is>
      </ns0:c>
    </ns0:row>
    <ns0:row r="200" ht="32" customHeight="1">
      <ns0:c r="A200" s="21" t="inlineStr">
        <ns0:is>
          <ns0:t>Not specified</ns0:t>
        </ns0:is>
      </ns0:c>
      <ns0:c r="B200" s="21" t="inlineStr">
        <ns0:is>
          <ns0:t>Biological/omics</ns0:t>
        </ns0:is>
      </ns0:c>
      <ns0:c r="C200" s="21" t="inlineStr">
        <ns0:is>
          <ns0:t>Machine Learning</ns0:t>
        </ns0:is>
      </ns0:c>
      <ns0:c r="D200" s="21" t="inlineStr">
        <ns0:is>
          <ns0:t>Cross-site evaluation</ns0:t>
        </ns0:is>
      </ns0:c>
      <ns0:c r="E200" s="21" t="inlineStr">
        <ns0:is>
          <ns0:t>cross_site_robustness</ns0:t>
        </ns0:is>
      </ns0:c>
      <ns0:c r="F200" s="29">
        <ns0:f>COUNTIFS('BASE_CIERRE'!$G$5:$G$458,1,'BASE_CIERRE'!$H$5:$H$458,"Not specified",'BASE_CIERRE'!$J$5:$J$458,"Biological/omics",'BASE_CIERRE'!$I$5:$I$458,"Machine Learning",'BASE_CIERRE'!$U$5:$U$458,"Reported")</ns0:f>
        <ns0:v>0</ns0:v>
      </ns0:c>
      <ns0:c r="G200" s="29">
        <ns0:f>COUNTIFS('BASE_CIERRE'!$G$5:$G$458,1,'BASE_CIERRE'!$H$5:$H$458,"Not specified",'BASE_CIERRE'!$J$5:$J$458,"Biological/omics",'BASE_CIERRE'!$I$5:$I$458,"Machine Learning",'BASE_CIERRE'!$U$5:$U$458,"Not reported in assessed sources")</ns0:f>
        <ns0:v>7</ns0:v>
      </ns0:c>
      <ns0:c r="H200" s="29">
        <ns0:f>COUNTIFS('BASE_CIERRE'!$G$5:$G$458,1,'BASE_CIERRE'!$H$5:$H$458,"Not specified",'BASE_CIERRE'!$J$5:$J$458,"Biological/omics",'BASE_CIERRE'!$I$5:$I$458,"Machine Learning",'BASE_CIERRE'!$U$5:$U$458,"Not ascertainable")</ns0:f>
        <ns0:v>0</ns0:v>
      </ns0:c>
      <ns0:c r="I200" s="29">
        <ns0:f>SUM(F200:H200)</ns0:f>
        <ns0:v>7</ns0:v>
      </ns0:c>
      <ns0:c r="J200" s="32">
        <ns0:f>IFERROR(F200/I200,0)</ns0:f>
        <ns0:v>0</ns0:v>
      </ns0:c>
      <ns0:c r="K200" s="32">
        <ns0:f>IFERROR(F200/(I200-H200),0)</ns0:f>
        <ns0:v>0</ns0:v>
      </ns0:c>
      <ns0:c r="L200" s="21" t="inlineStr">
        <ns0:is>
          <ns0:t>221; 285; 287; 290; new_13; new_378; new_64</ns0:t>
        </ns0:is>
      </ns0:c>
    </ns0:row>
    <ns0:row r="201" ht="32" customHeight="1">
      <ns0:c r="A201" s="19" t="inlineStr">
        <ns0:is>
          <ns0:t>Not specified</ns0:t>
        </ns0:is>
      </ns0:c>
      <ns0:c r="B201" s="19" t="inlineStr">
        <ns0:is>
          <ns0:t>Multiple source categories</ns0:t>
        </ns0:is>
      </ns0:c>
      <ns0:c r="C201" s="19" t="inlineStr">
        <ns0:is>
          <ns0:t>Machine Learning</ns0:t>
        </ns0:is>
      </ns0:c>
      <ns0:c r="D201" s="19" t="inlineStr">
        <ns0:is>
          <ns0:t>External validation</ns0:t>
        </ns0:is>
      </ns0:c>
      <ns0:c r="E201" s="19" t="inlineStr">
        <ns0:is>
          <ns0:t>external_validation</ns0:t>
        </ns0:is>
      </ns0:c>
      <ns0:c r="F201" s="27">
        <ns0:f>COUNTIFS('BASE_CIERRE'!$G$5:$G$458,1,'BASE_CIERRE'!$H$5:$H$458,"Not specified",'BASE_CIERRE'!$J$5:$J$458,"Multiple source categories",'BASE_CIERRE'!$I$5:$I$458,"Machine Learning",'BASE_CIERRE'!$Q$5:$Q$458,"Reported")</ns0:f>
        <ns0:v>0</ns0:v>
      </ns0:c>
      <ns0:c r="G201" s="27">
        <ns0:f>COUNTIFS('BASE_CIERRE'!$G$5:$G$458,1,'BASE_CIERRE'!$H$5:$H$458,"Not specified",'BASE_CIERRE'!$J$5:$J$458,"Multiple source categories",'BASE_CIERRE'!$I$5:$I$458,"Machine Learning",'BASE_CIERRE'!$Q$5:$Q$458,"Not reported in assessed sources")</ns0:f>
        <ns0:v>4</ns0:v>
      </ns0:c>
      <ns0:c r="H201" s="27">
        <ns0:f>COUNTIFS('BASE_CIERRE'!$G$5:$G$458,1,'BASE_CIERRE'!$H$5:$H$458,"Not specified",'BASE_CIERRE'!$J$5:$J$458,"Multiple source categories",'BASE_CIERRE'!$I$5:$I$458,"Machine Learning",'BASE_CIERRE'!$Q$5:$Q$458,"Not ascertainable")</ns0:f>
        <ns0:v>0</ns0:v>
      </ns0:c>
      <ns0:c r="I201" s="27">
        <ns0:f>SUM(F201:H201)</ns0:f>
        <ns0:v>4</ns0:v>
      </ns0:c>
      <ns0:c r="J201" s="31">
        <ns0:f>IFERROR(F201/I201,0)</ns0:f>
        <ns0:v>0</ns0:v>
      </ns0:c>
      <ns0:c r="K201" s="31">
        <ns0:f>IFERROR(F201/(I201-H201),0)</ns0:f>
        <ns0:v>0</ns0:v>
      </ns0:c>
      <ns0:c r="L201" s="19" t="inlineStr">
        <ns0:is>
          <ns0:t>130; 266; new_384; new_269</ns0:t>
        </ns0:is>
      </ns0:c>
    </ns0:row>
    <ns0:row r="202" ht="32" customHeight="1">
      <ns0:c r="A202" s="21" t="inlineStr">
        <ns0:is>
          <ns0:t>Not specified</ns0:t>
        </ns0:is>
      </ns0:c>
      <ns0:c r="B202" s="21" t="inlineStr">
        <ns0:is>
          <ns0:t>Multiple source categories</ns0:t>
        </ns0:is>
      </ns0:c>
      <ns0:c r="C202" s="21" t="inlineStr">
        <ns0:is>
          <ns0:t>Machine Learning</ns0:t>
        </ns0:is>
      </ns0:c>
      <ns0:c r="D202" s="21" t="inlineStr">
        <ns0:is>
          <ns0:t>Multisource integration</ns0:t>
        </ns0:is>
      </ns0:c>
      <ns0:c r="E202" s="21" t="inlineStr">
        <ns0:is>
          <ns0:t>multisource_integration</ns0:t>
        </ns0:is>
      </ns0:c>
      <ns0:c r="F202" s="29">
        <ns0:f>COUNTIFS('BASE_CIERRE'!$G$5:$G$458,1,'BASE_CIERRE'!$H$5:$H$458,"Not specified",'BASE_CIERRE'!$J$5:$J$458,"Multiple source categories",'BASE_CIERRE'!$I$5:$I$458,"Machine Learning",'BASE_CIERRE'!$R$5:$R$458,"Reported")</ns0:f>
        <ns0:v>1</ns0:v>
      </ns0:c>
      <ns0:c r="G202" s="29">
        <ns0:f>COUNTIFS('BASE_CIERRE'!$G$5:$G$458,1,'BASE_CIERRE'!$H$5:$H$458,"Not specified",'BASE_CIERRE'!$J$5:$J$458,"Multiple source categories",'BASE_CIERRE'!$I$5:$I$458,"Machine Learning",'BASE_CIERRE'!$R$5:$R$458,"Not reported in assessed sources")</ns0:f>
        <ns0:v>2</ns0:v>
      </ns0:c>
      <ns0:c r="H202" s="29">
        <ns0:f>COUNTIFS('BASE_CIERRE'!$G$5:$G$458,1,'BASE_CIERRE'!$H$5:$H$458,"Not specified",'BASE_CIERRE'!$J$5:$J$458,"Multiple source categories",'BASE_CIERRE'!$I$5:$I$458,"Machine Learning",'BASE_CIERRE'!$R$5:$R$458,"Not ascertainable")</ns0:f>
        <ns0:v>1</ns0:v>
      </ns0:c>
      <ns0:c r="I202" s="29">
        <ns0:f>SUM(F202:H202)</ns0:f>
        <ns0:v>4</ns0:v>
      </ns0:c>
      <ns0:c r="J202" s="32">
        <ns0:f>IFERROR(F202/I202,0)</ns0:f>
        <ns0:v>0.25</ns0:v>
      </ns0:c>
      <ns0:c r="K202" s="32">
        <ns0:f>IFERROR(F202/(I202-H202),0)</ns0:f>
        <ns0:v>0.3333333333333333</ns0:v>
      </ns0:c>
      <ns0:c r="L202" s="21" t="inlineStr">
        <ns0:is>
          <ns0:t>130; 266; new_384; new_269</ns0:t>
        </ns0:is>
      </ns0:c>
    </ns0:row>
    <ns0:row r="203" ht="32" customHeight="1">
      <ns0:c r="A203" s="19" t="inlineStr">
        <ns0:is>
          <ns0:t>Not specified</ns0:t>
        </ns0:is>
      </ns0:c>
      <ns0:c r="B203" s="19" t="inlineStr">
        <ns0:is>
          <ns0:t>Multiple source categories</ns0:t>
        </ns0:is>
      </ns0:c>
      <ns0:c r="C203" s="19" t="inlineStr">
        <ns0:is>
          <ns0:t>Machine Learning</ns0:t>
        </ns0:is>
      </ns0:c>
      <ns0:c r="D203" s="19" t="inlineStr">
        <ns0:is>
          <ns0:t>Explicit explainability (broad)</ns0:t>
        </ns0:is>
      </ns0:c>
      <ns0:c r="E203" s="19" t="inlineStr">
        <ns0:is>
          <ns0:t>xai_broad</ns0:t>
        </ns0:is>
      </ns0:c>
      <ns0:c r="F203" s="27">
        <ns0:f>COUNTIFS('BASE_CIERRE'!$G$5:$G$458,1,'BASE_CIERRE'!$H$5:$H$458,"Not specified",'BASE_CIERRE'!$J$5:$J$458,"Multiple source categories",'BASE_CIERRE'!$I$5:$I$458,"Machine Learning",'BASE_CIERRE'!$S$5:$S$458,"Reported")</ns0:f>
        <ns0:v>1</ns0:v>
      </ns0:c>
      <ns0:c r="G203" s="27">
        <ns0:f>COUNTIFS('BASE_CIERRE'!$G$5:$G$458,1,'BASE_CIERRE'!$H$5:$H$458,"Not specified",'BASE_CIERRE'!$J$5:$J$458,"Multiple source categories",'BASE_CIERRE'!$I$5:$I$458,"Machine Learning",'BASE_CIERRE'!$S$5:$S$458,"Not reported in assessed sources")</ns0:f>
        <ns0:v>3</ns0:v>
      </ns0:c>
      <ns0:c r="H203" s="27">
        <ns0:f>COUNTIFS('BASE_CIERRE'!$G$5:$G$458,1,'BASE_CIERRE'!$H$5:$H$458,"Not specified",'BASE_CIERRE'!$J$5:$J$458,"Multiple source categories",'BASE_CIERRE'!$I$5:$I$458,"Machine Learning",'BASE_CIERRE'!$S$5:$S$458,"Not ascertainable")</ns0:f>
        <ns0:v>0</ns0:v>
      </ns0:c>
      <ns0:c r="I203" s="27">
        <ns0:f>SUM(F203:H203)</ns0:f>
        <ns0:v>4</ns0:v>
      </ns0:c>
      <ns0:c r="J203" s="31">
        <ns0:f>IFERROR(F203/I203,0)</ns0:f>
        <ns0:v>0.25</ns0:v>
      </ns0:c>
      <ns0:c r="K203" s="31">
        <ns0:f>IFERROR(F203/(I203-H203),0)</ns0:f>
        <ns0:v>0.25</ns0:v>
      </ns0:c>
      <ns0:c r="L203" s="19" t="inlineStr">
        <ns0:is>
          <ns0:t>130; 266; new_384; new_269</ns0:t>
        </ns0:is>
      </ns0:c>
    </ns0:row>
    <ns0:row r="204" ht="32" customHeight="1">
      <ns0:c r="A204" s="21" t="inlineStr">
        <ns0:is>
          <ns0:t>Not specified</ns0:t>
        </ns0:is>
      </ns0:c>
      <ns0:c r="B204" s="21" t="inlineStr">
        <ns0:is>
          <ns0:t>Multiple source categories</ns0:t>
        </ns0:is>
      </ns0:c>
      <ns0:c r="C204" s="21" t="inlineStr">
        <ns0:is>
          <ns0:t>Machine Learning</ns0:t>
        </ns0:is>
      </ns0:c>
      <ns0:c r="D204" s="21" t="inlineStr">
        <ns0:is>
          <ns0:t>Cross-site evaluation</ns0:t>
        </ns0:is>
      </ns0:c>
      <ns0:c r="E204" s="21" t="inlineStr">
        <ns0:is>
          <ns0:t>cross_site_robustness</ns0:t>
        </ns0:is>
      </ns0:c>
      <ns0:c r="F204" s="29">
        <ns0:f>COUNTIFS('BASE_CIERRE'!$G$5:$G$458,1,'BASE_CIERRE'!$H$5:$H$458,"Not specified",'BASE_CIERRE'!$J$5:$J$458,"Multiple source categories",'BASE_CIERRE'!$I$5:$I$458,"Machine Learning",'BASE_CIERRE'!$U$5:$U$458,"Reported")</ns0:f>
        <ns0:v>0</ns0:v>
      </ns0:c>
      <ns0:c r="G204" s="29">
        <ns0:f>COUNTIFS('BASE_CIERRE'!$G$5:$G$458,1,'BASE_CIERRE'!$H$5:$H$458,"Not specified",'BASE_CIERRE'!$J$5:$J$458,"Multiple source categories",'BASE_CIERRE'!$I$5:$I$458,"Machine Learning",'BASE_CIERRE'!$U$5:$U$458,"Not reported in assessed sources")</ns0:f>
        <ns0:v>4</ns0:v>
      </ns0:c>
      <ns0:c r="H204" s="29">
        <ns0:f>COUNTIFS('BASE_CIERRE'!$G$5:$G$458,1,'BASE_CIERRE'!$H$5:$H$458,"Not specified",'BASE_CIERRE'!$J$5:$J$458,"Multiple source categories",'BASE_CIERRE'!$I$5:$I$458,"Machine Learning",'BASE_CIERRE'!$U$5:$U$458,"Not ascertainable")</ns0:f>
        <ns0:v>0</ns0:v>
      </ns0:c>
      <ns0:c r="I204" s="29">
        <ns0:f>SUM(F204:H204)</ns0:f>
        <ns0:v>4</ns0:v>
      </ns0:c>
      <ns0:c r="J204" s="32">
        <ns0:f>IFERROR(F204/I204,0)</ns0:f>
        <ns0:v>0</ns0:v>
      </ns0:c>
      <ns0:c r="K204" s="32">
        <ns0:f>IFERROR(F204/(I204-H204),0)</ns0:f>
        <ns0:v>0</ns0:v>
      </ns0:c>
      <ns0:c r="L204" s="21" t="inlineStr">
        <ns0:is>
          <ns0:t>130; 266; new_384; new_269</ns0:t>
        </ns0:is>
      </ns0:c>
    </ns0:row>
    <ns0:row r="205" ht="32" customHeight="1">
      <ns0:c r="A205" s="19" t="inlineStr">
        <ns0:is>
          <ns0:t>Not specified</ns0:t>
        </ns0:is>
      </ns0:c>
      <ns0:c r="B205" s="19" t="inlineStr">
        <ns0:is>
          <ns0:t>Neuroimaging</ns0:t>
        </ns0:is>
      </ns0:c>
      <ns0:c r="C205" s="19" t="inlineStr">
        <ns0:is>
          <ns0:t>Deep Learning</ns0:t>
        </ns0:is>
      </ns0:c>
      <ns0:c r="D205" s="19" t="inlineStr">
        <ns0:is>
          <ns0:t>External validation</ns0:t>
        </ns0:is>
      </ns0:c>
      <ns0:c r="E205" s="19" t="inlineStr">
        <ns0:is>
          <ns0:t>external_validation</ns0:t>
        </ns0:is>
      </ns0:c>
      <ns0:c r="F205" s="27">
        <ns0:f>COUNTIFS('BASE_CIERRE'!$G$5:$G$458,1,'BASE_CIERRE'!$H$5:$H$458,"Not specified",'BASE_CIERRE'!$J$5:$J$458,"Neuroimaging",'BASE_CIERRE'!$I$5:$I$458,"Deep Learning",'BASE_CIERRE'!$Q$5:$Q$458,"Reported")</ns0:f>
        <ns0:v>0</ns0:v>
      </ns0:c>
      <ns0:c r="G205" s="27">
        <ns0:f>COUNTIFS('BASE_CIERRE'!$G$5:$G$458,1,'BASE_CIERRE'!$H$5:$H$458,"Not specified",'BASE_CIERRE'!$J$5:$J$458,"Neuroimaging",'BASE_CIERRE'!$I$5:$I$458,"Deep Learning",'BASE_CIERRE'!$Q$5:$Q$458,"Not reported in assessed sources")</ns0:f>
        <ns0:v>2</ns0:v>
      </ns0:c>
      <ns0:c r="H205" s="27">
        <ns0:f>COUNTIFS('BASE_CIERRE'!$G$5:$G$458,1,'BASE_CIERRE'!$H$5:$H$458,"Not specified",'BASE_CIERRE'!$J$5:$J$458,"Neuroimaging",'BASE_CIERRE'!$I$5:$I$458,"Deep Learning",'BASE_CIERRE'!$Q$5:$Q$458,"Not ascertainable")</ns0:f>
        <ns0:v>0</ns0:v>
      </ns0:c>
      <ns0:c r="I205" s="27">
        <ns0:f>SUM(F205:H205)</ns0:f>
        <ns0:v>2</ns0:v>
      </ns0:c>
      <ns0:c r="J205" s="31">
        <ns0:f>IFERROR(F205/I205,0)</ns0:f>
        <ns0:v>0</ns0:v>
      </ns0:c>
      <ns0:c r="K205" s="31">
        <ns0:f>IFERROR(F205/(I205-H205),0)</ns0:f>
        <ns0:v>0</ns0:v>
      </ns0:c>
      <ns0:c r="L205" s="19" t="inlineStr">
        <ns0:is>
          <ns0:t>277; new_417</ns0:t>
        </ns0:is>
      </ns0:c>
    </ns0:row>
    <ns0:row r="206" ht="32" customHeight="1">
      <ns0:c r="A206" s="21" t="inlineStr">
        <ns0:is>
          <ns0:t>Not specified</ns0:t>
        </ns0:is>
      </ns0:c>
      <ns0:c r="B206" s="21" t="inlineStr">
        <ns0:is>
          <ns0:t>Neuroimaging</ns0:t>
        </ns0:is>
      </ns0:c>
      <ns0:c r="C206" s="21" t="inlineStr">
        <ns0:is>
          <ns0:t>Deep Learning</ns0:t>
        </ns0:is>
      </ns0:c>
      <ns0:c r="D206" s="21" t="inlineStr">
        <ns0:is>
          <ns0:t>Multisource integration</ns0:t>
        </ns0:is>
      </ns0:c>
      <ns0:c r="E206" s="21" t="inlineStr">
        <ns0:is>
          <ns0:t>multisource_integration</ns0:t>
        </ns0:is>
      </ns0:c>
      <ns0:c r="F206" s="29">
        <ns0:f>COUNTIFS('BASE_CIERRE'!$G$5:$G$458,1,'BASE_CIERRE'!$H$5:$H$458,"Not specified",'BASE_CIERRE'!$J$5:$J$458,"Neuroimaging",'BASE_CIERRE'!$I$5:$I$458,"Deep Learning",'BASE_CIERRE'!$R$5:$R$458,"Reported")</ns0:f>
        <ns0:v>0</ns0:v>
      </ns0:c>
      <ns0:c r="G206" s="29">
        <ns0:f>COUNTIFS('BASE_CIERRE'!$G$5:$G$458,1,'BASE_CIERRE'!$H$5:$H$458,"Not specified",'BASE_CIERRE'!$J$5:$J$458,"Neuroimaging",'BASE_CIERRE'!$I$5:$I$458,"Deep Learning",'BASE_CIERRE'!$R$5:$R$458,"Not reported in assessed sources")</ns0:f>
        <ns0:v>2</ns0:v>
      </ns0:c>
      <ns0:c r="H206" s="29">
        <ns0:f>COUNTIFS('BASE_CIERRE'!$G$5:$G$458,1,'BASE_CIERRE'!$H$5:$H$458,"Not specified",'BASE_CIERRE'!$J$5:$J$458,"Neuroimaging",'BASE_CIERRE'!$I$5:$I$458,"Deep Learning",'BASE_CIERRE'!$R$5:$R$458,"Not ascertainable")</ns0:f>
        <ns0:v>0</ns0:v>
      </ns0:c>
      <ns0:c r="I206" s="29">
        <ns0:f>SUM(F206:H206)</ns0:f>
        <ns0:v>2</ns0:v>
      </ns0:c>
      <ns0:c r="J206" s="32">
        <ns0:f>IFERROR(F206/I206,0)</ns0:f>
        <ns0:v>0</ns0:v>
      </ns0:c>
      <ns0:c r="K206" s="32">
        <ns0:f>IFERROR(F206/(I206-H206),0)</ns0:f>
        <ns0:v>0</ns0:v>
      </ns0:c>
      <ns0:c r="L206" s="21" t="inlineStr">
        <ns0:is>
          <ns0:t>277; new_417</ns0:t>
        </ns0:is>
      </ns0:c>
    </ns0:row>
    <ns0:row r="207" ht="32" customHeight="1">
      <ns0:c r="A207" s="19" t="inlineStr">
        <ns0:is>
          <ns0:t>Not specified</ns0:t>
        </ns0:is>
      </ns0:c>
      <ns0:c r="B207" s="19" t="inlineStr">
        <ns0:is>
          <ns0:t>Neuroimaging</ns0:t>
        </ns0:is>
      </ns0:c>
      <ns0:c r="C207" s="19" t="inlineStr">
        <ns0:is>
          <ns0:t>Deep Learning</ns0:t>
        </ns0:is>
      </ns0:c>
      <ns0:c r="D207" s="19" t="inlineStr">
        <ns0:is>
          <ns0:t>Explicit explainability (broad)</ns0:t>
        </ns0:is>
      </ns0:c>
      <ns0:c r="E207" s="19" t="inlineStr">
        <ns0:is>
          <ns0:t>xai_broad</ns0:t>
        </ns0:is>
      </ns0:c>
      <ns0:c r="F207" s="27">
        <ns0:f>COUNTIFS('BASE_CIERRE'!$G$5:$G$458,1,'BASE_CIERRE'!$H$5:$H$458,"Not specified",'BASE_CIERRE'!$J$5:$J$458,"Neuroimaging",'BASE_CIERRE'!$I$5:$I$458,"Deep Learning",'BASE_CIERRE'!$S$5:$S$458,"Reported")</ns0:f>
        <ns0:v>0</ns0:v>
      </ns0:c>
      <ns0:c r="G207" s="27">
        <ns0:f>COUNTIFS('BASE_CIERRE'!$G$5:$G$458,1,'BASE_CIERRE'!$H$5:$H$458,"Not specified",'BASE_CIERRE'!$J$5:$J$458,"Neuroimaging",'BASE_CIERRE'!$I$5:$I$458,"Deep Learning",'BASE_CIERRE'!$S$5:$S$458,"Not reported in assessed sources")</ns0:f>
        <ns0:v>2</ns0:v>
      </ns0:c>
      <ns0:c r="H207" s="27">
        <ns0:f>COUNTIFS('BASE_CIERRE'!$G$5:$G$458,1,'BASE_CIERRE'!$H$5:$H$458,"Not specified",'BASE_CIERRE'!$J$5:$J$458,"Neuroimaging",'BASE_CIERRE'!$I$5:$I$458,"Deep Learning",'BASE_CIERRE'!$S$5:$S$458,"Not ascertainable")</ns0:f>
        <ns0:v>0</ns0:v>
      </ns0:c>
      <ns0:c r="I207" s="27">
        <ns0:f>SUM(F207:H207)</ns0:f>
        <ns0:v>2</ns0:v>
      </ns0:c>
      <ns0:c r="J207" s="31">
        <ns0:f>IFERROR(F207/I207,0)</ns0:f>
        <ns0:v>0</ns0:v>
      </ns0:c>
      <ns0:c r="K207" s="31">
        <ns0:f>IFERROR(F207/(I207-H207),0)</ns0:f>
        <ns0:v>0</ns0:v>
      </ns0:c>
      <ns0:c r="L207" s="19" t="inlineStr">
        <ns0:is>
          <ns0:t>277; new_417</ns0:t>
        </ns0:is>
      </ns0:c>
    </ns0:row>
    <ns0:row r="208" ht="32" customHeight="1">
      <ns0:c r="A208" s="21" t="inlineStr">
        <ns0:is>
          <ns0:t>Not specified</ns0:t>
        </ns0:is>
      </ns0:c>
      <ns0:c r="B208" s="21" t="inlineStr">
        <ns0:is>
          <ns0:t>Neuroimaging</ns0:t>
        </ns0:is>
      </ns0:c>
      <ns0:c r="C208" s="21" t="inlineStr">
        <ns0:is>
          <ns0:t>Deep Learning</ns0:t>
        </ns0:is>
      </ns0:c>
      <ns0:c r="D208" s="21" t="inlineStr">
        <ns0:is>
          <ns0:t>Cross-site evaluation</ns0:t>
        </ns0:is>
      </ns0:c>
      <ns0:c r="E208" s="21" t="inlineStr">
        <ns0:is>
          <ns0:t>cross_site_robustness</ns0:t>
        </ns0:is>
      </ns0:c>
      <ns0:c r="F208" s="29">
        <ns0:f>COUNTIFS('BASE_CIERRE'!$G$5:$G$458,1,'BASE_CIERRE'!$H$5:$H$458,"Not specified",'BASE_CIERRE'!$J$5:$J$458,"Neuroimaging",'BASE_CIERRE'!$I$5:$I$458,"Deep Learning",'BASE_CIERRE'!$U$5:$U$458,"Reported")</ns0:f>
        <ns0:v>0</ns0:v>
      </ns0:c>
      <ns0:c r="G208" s="29">
        <ns0:f>COUNTIFS('BASE_CIERRE'!$G$5:$G$458,1,'BASE_CIERRE'!$H$5:$H$458,"Not specified",'BASE_CIERRE'!$J$5:$J$458,"Neuroimaging",'BASE_CIERRE'!$I$5:$I$458,"Deep Learning",'BASE_CIERRE'!$U$5:$U$458,"Not reported in assessed sources")</ns0:f>
        <ns0:v>2</ns0:v>
      </ns0:c>
      <ns0:c r="H208" s="29">
        <ns0:f>COUNTIFS('BASE_CIERRE'!$G$5:$G$458,1,'BASE_CIERRE'!$H$5:$H$458,"Not specified",'BASE_CIERRE'!$J$5:$J$458,"Neuroimaging",'BASE_CIERRE'!$I$5:$I$458,"Deep Learning",'BASE_CIERRE'!$U$5:$U$458,"Not ascertainable")</ns0:f>
        <ns0:v>0</ns0:v>
      </ns0:c>
      <ns0:c r="I208" s="29">
        <ns0:f>SUM(F208:H208)</ns0:f>
        <ns0:v>2</ns0:v>
      </ns0:c>
      <ns0:c r="J208" s="32">
        <ns0:f>IFERROR(F208/I208,0)</ns0:f>
        <ns0:v>0</ns0:v>
      </ns0:c>
      <ns0:c r="K208" s="32">
        <ns0:f>IFERROR(F208/(I208-H208),0)</ns0:f>
        <ns0:v>0</ns0:v>
      </ns0:c>
      <ns0:c r="L208" s="21" t="inlineStr">
        <ns0:is>
          <ns0:t>277; new_417</ns0:t>
        </ns0:is>
      </ns0:c>
    </ns0:row>
    <ns0:row r="209" ht="32" customHeight="1">
      <ns0:c r="A209" s="19" t="inlineStr">
        <ns0:is>
          <ns0:t>Not specified</ns0:t>
        </ns0:is>
      </ns0:c>
      <ns0:c r="B209" s="19" t="inlineStr">
        <ns0:is>
          <ns0:t>Neuroimaging</ns0:t>
        </ns0:is>
      </ns0:c>
      <ns0:c r="C209" s="19" t="inlineStr">
        <ns0:is>
          <ns0:t>Machine Learning</ns0:t>
        </ns0:is>
      </ns0:c>
      <ns0:c r="D209" s="19" t="inlineStr">
        <ns0:is>
          <ns0:t>External validation</ns0:t>
        </ns0:is>
      </ns0:c>
      <ns0:c r="E209" s="19" t="inlineStr">
        <ns0:is>
          <ns0:t>external_validation</ns0:t>
        </ns0:is>
      </ns0:c>
      <ns0:c r="F209" s="27">
        <ns0:f>COUNTIFS('BASE_CIERRE'!$G$5:$G$458,1,'BASE_CIERRE'!$H$5:$H$458,"Not specified",'BASE_CIERRE'!$J$5:$J$458,"Neuroimaging",'BASE_CIERRE'!$I$5:$I$458,"Machine Learning",'BASE_CIERRE'!$Q$5:$Q$458,"Reported")</ns0:f>
        <ns0:v>0</ns0:v>
      </ns0:c>
      <ns0:c r="G209" s="27">
        <ns0:f>COUNTIFS('BASE_CIERRE'!$G$5:$G$458,1,'BASE_CIERRE'!$H$5:$H$458,"Not specified",'BASE_CIERRE'!$J$5:$J$458,"Neuroimaging",'BASE_CIERRE'!$I$5:$I$458,"Machine Learning",'BASE_CIERRE'!$Q$5:$Q$458,"Not reported in assessed sources")</ns0:f>
        <ns0:v>5</ns0:v>
      </ns0:c>
      <ns0:c r="H209" s="27">
        <ns0:f>COUNTIFS('BASE_CIERRE'!$G$5:$G$458,1,'BASE_CIERRE'!$H$5:$H$458,"Not specified",'BASE_CIERRE'!$J$5:$J$458,"Neuroimaging",'BASE_CIERRE'!$I$5:$I$458,"Machine Learning",'BASE_CIERRE'!$Q$5:$Q$458,"Not ascertainable")</ns0:f>
        <ns0:v>1</ns0:v>
      </ns0:c>
      <ns0:c r="I209" s="27">
        <ns0:f>SUM(F209:H209)</ns0:f>
        <ns0:v>6</ns0:v>
      </ns0:c>
      <ns0:c r="J209" s="31">
        <ns0:f>IFERROR(F209/I209,0)</ns0:f>
        <ns0:v>0</ns0:v>
      </ns0:c>
      <ns0:c r="K209" s="31">
        <ns0:f>IFERROR(F209/(I209-H209),0)</ns0:f>
        <ns0:v>0</ns0:v>
      </ns0:c>
      <ns0:c r="L209" s="19" t="inlineStr">
        <ns0:is>
          <ns0:t>263; 298; new_179; new_217; new_288; new_299</ns0:t>
        </ns0:is>
      </ns0:c>
    </ns0:row>
    <ns0:row r="210" ht="32" customHeight="1">
      <ns0:c r="A210" s="21" t="inlineStr">
        <ns0:is>
          <ns0:t>Not specified</ns0:t>
        </ns0:is>
      </ns0:c>
      <ns0:c r="B210" s="21" t="inlineStr">
        <ns0:is>
          <ns0:t>Neuroimaging</ns0:t>
        </ns0:is>
      </ns0:c>
      <ns0:c r="C210" s="21" t="inlineStr">
        <ns0:is>
          <ns0:t>Machine Learning</ns0:t>
        </ns0:is>
      </ns0:c>
      <ns0:c r="D210" s="21" t="inlineStr">
        <ns0:is>
          <ns0:t>Multisource integration</ns0:t>
        </ns0:is>
      </ns0:c>
      <ns0:c r="E210" s="21" t="inlineStr">
        <ns0:is>
          <ns0:t>multisource_integration</ns0:t>
        </ns0:is>
      </ns0:c>
      <ns0:c r="F210" s="29">
        <ns0:f>COUNTIFS('BASE_CIERRE'!$G$5:$G$458,1,'BASE_CIERRE'!$H$5:$H$458,"Not specified",'BASE_CIERRE'!$J$5:$J$458,"Neuroimaging",'BASE_CIERRE'!$I$5:$I$458,"Machine Learning",'BASE_CIERRE'!$R$5:$R$458,"Reported")</ns0:f>
        <ns0:v>1</ns0:v>
      </ns0:c>
      <ns0:c r="G210" s="29">
        <ns0:f>COUNTIFS('BASE_CIERRE'!$G$5:$G$458,1,'BASE_CIERRE'!$H$5:$H$458,"Not specified",'BASE_CIERRE'!$J$5:$J$458,"Neuroimaging",'BASE_CIERRE'!$I$5:$I$458,"Machine Learning",'BASE_CIERRE'!$R$5:$R$458,"Not reported in assessed sources")</ns0:f>
        <ns0:v>5</ns0:v>
      </ns0:c>
      <ns0:c r="H210" s="29">
        <ns0:f>COUNTIFS('BASE_CIERRE'!$G$5:$G$458,1,'BASE_CIERRE'!$H$5:$H$458,"Not specified",'BASE_CIERRE'!$J$5:$J$458,"Neuroimaging",'BASE_CIERRE'!$I$5:$I$458,"Machine Learning",'BASE_CIERRE'!$R$5:$R$458,"Not ascertainable")</ns0:f>
        <ns0:v>0</ns0:v>
      </ns0:c>
      <ns0:c r="I210" s="29">
        <ns0:f>SUM(F210:H210)</ns0:f>
        <ns0:v>6</ns0:v>
      </ns0:c>
      <ns0:c r="J210" s="32">
        <ns0:f>IFERROR(F210/I210,0)</ns0:f>
        <ns0:v>0.16666666666666666</ns0:v>
      </ns0:c>
      <ns0:c r="K210" s="32">
        <ns0:f>IFERROR(F210/(I210-H210),0)</ns0:f>
        <ns0:v>0.16666666666666666</ns0:v>
      </ns0:c>
      <ns0:c r="L210" s="21" t="inlineStr">
        <ns0:is>
          <ns0:t>263; 298; new_179; new_217; new_288; new_299</ns0:t>
        </ns0:is>
      </ns0:c>
    </ns0:row>
    <ns0:row r="211" ht="32" customHeight="1">
      <ns0:c r="A211" s="19" t="inlineStr">
        <ns0:is>
          <ns0:t>Not specified</ns0:t>
        </ns0:is>
      </ns0:c>
      <ns0:c r="B211" s="19" t="inlineStr">
        <ns0:is>
          <ns0:t>Neuroimaging</ns0:t>
        </ns0:is>
      </ns0:c>
      <ns0:c r="C211" s="19" t="inlineStr">
        <ns0:is>
          <ns0:t>Machine Learning</ns0:t>
        </ns0:is>
      </ns0:c>
      <ns0:c r="D211" s="19" t="inlineStr">
        <ns0:is>
          <ns0:t>Explicit explainability (broad)</ns0:t>
        </ns0:is>
      </ns0:c>
      <ns0:c r="E211" s="19" t="inlineStr">
        <ns0:is>
          <ns0:t>xai_broad</ns0:t>
        </ns0:is>
      </ns0:c>
      <ns0:c r="F211" s="27">
        <ns0:f>COUNTIFS('BASE_CIERRE'!$G$5:$G$458,1,'BASE_CIERRE'!$H$5:$H$458,"Not specified",'BASE_CIERRE'!$J$5:$J$458,"Neuroimaging",'BASE_CIERRE'!$I$5:$I$458,"Machine Learning",'BASE_CIERRE'!$S$5:$S$458,"Reported")</ns0:f>
        <ns0:v>1</ns0:v>
      </ns0:c>
      <ns0:c r="G211" s="27">
        <ns0:f>COUNTIFS('BASE_CIERRE'!$G$5:$G$458,1,'BASE_CIERRE'!$H$5:$H$458,"Not specified",'BASE_CIERRE'!$J$5:$J$458,"Neuroimaging",'BASE_CIERRE'!$I$5:$I$458,"Machine Learning",'BASE_CIERRE'!$S$5:$S$458,"Not reported in assessed sources")</ns0:f>
        <ns0:v>5</ns0:v>
      </ns0:c>
      <ns0:c r="H211" s="27">
        <ns0:f>COUNTIFS('BASE_CIERRE'!$G$5:$G$458,1,'BASE_CIERRE'!$H$5:$H$458,"Not specified",'BASE_CIERRE'!$J$5:$J$458,"Neuroimaging",'BASE_CIERRE'!$I$5:$I$458,"Machine Learning",'BASE_CIERRE'!$S$5:$S$458,"Not ascertainable")</ns0:f>
        <ns0:v>0</ns0:v>
      </ns0:c>
      <ns0:c r="I211" s="27">
        <ns0:f>SUM(F211:H211)</ns0:f>
        <ns0:v>6</ns0:v>
      </ns0:c>
      <ns0:c r="J211" s="31">
        <ns0:f>IFERROR(F211/I211,0)</ns0:f>
        <ns0:v>0.16666666666666666</ns0:v>
      </ns0:c>
      <ns0:c r="K211" s="31">
        <ns0:f>IFERROR(F211/(I211-H211),0)</ns0:f>
        <ns0:v>0.16666666666666666</ns0:v>
      </ns0:c>
      <ns0:c r="L211" s="19" t="inlineStr">
        <ns0:is>
          <ns0:t>263; 298; new_179; new_217; new_288; new_299</ns0:t>
        </ns0:is>
      </ns0:c>
    </ns0:row>
    <ns0:row r="212" ht="32" customHeight="1">
      <ns0:c r="A212" s="21" t="inlineStr">
        <ns0:is>
          <ns0:t>Not specified</ns0:t>
        </ns0:is>
      </ns0:c>
      <ns0:c r="B212" s="21" t="inlineStr">
        <ns0:is>
          <ns0:t>Neuroimaging</ns0:t>
        </ns0:is>
      </ns0:c>
      <ns0:c r="C212" s="21" t="inlineStr">
        <ns0:is>
          <ns0:t>Machine Learning</ns0:t>
        </ns0:is>
      </ns0:c>
      <ns0:c r="D212" s="21" t="inlineStr">
        <ns0:is>
          <ns0:t>Cross-site evaluation</ns0:t>
        </ns0:is>
      </ns0:c>
      <ns0:c r="E212" s="21" t="inlineStr">
        <ns0:is>
          <ns0:t>cross_site_robustness</ns0:t>
        </ns0:is>
      </ns0:c>
      <ns0:c r="F212" s="29">
        <ns0:f>COUNTIFS('BASE_CIERRE'!$G$5:$G$458,1,'BASE_CIERRE'!$H$5:$H$458,"Not specified",'BASE_CIERRE'!$J$5:$J$458,"Neuroimaging",'BASE_CIERRE'!$I$5:$I$458,"Machine Learning",'BASE_CIERRE'!$U$5:$U$458,"Reported")</ns0:f>
        <ns0:v>0</ns0:v>
      </ns0:c>
      <ns0:c r="G212" s="29">
        <ns0:f>COUNTIFS('BASE_CIERRE'!$G$5:$G$458,1,'BASE_CIERRE'!$H$5:$H$458,"Not specified",'BASE_CIERRE'!$J$5:$J$458,"Neuroimaging",'BASE_CIERRE'!$I$5:$I$458,"Machine Learning",'BASE_CIERRE'!$U$5:$U$458,"Not reported in assessed sources")</ns0:f>
        <ns0:v>6</ns0:v>
      </ns0:c>
      <ns0:c r="H212" s="29">
        <ns0:f>COUNTIFS('BASE_CIERRE'!$G$5:$G$458,1,'BASE_CIERRE'!$H$5:$H$458,"Not specified",'BASE_CIERRE'!$J$5:$J$458,"Neuroimaging",'BASE_CIERRE'!$I$5:$I$458,"Machine Learning",'BASE_CIERRE'!$U$5:$U$458,"Not ascertainable")</ns0:f>
        <ns0:v>0</ns0:v>
      </ns0:c>
      <ns0:c r="I212" s="29">
        <ns0:f>SUM(F212:H212)</ns0:f>
        <ns0:v>6</ns0:v>
      </ns0:c>
      <ns0:c r="J212" s="32">
        <ns0:f>IFERROR(F212/I212,0)</ns0:f>
        <ns0:v>0</ns0:v>
      </ns0:c>
      <ns0:c r="K212" s="32">
        <ns0:f>IFERROR(F212/(I212-H212),0)</ns0:f>
        <ns0:v>0</ns0:v>
      </ns0:c>
      <ns0:c r="L212" s="21" t="inlineStr">
        <ns0:is>
          <ns0:t>263; 298; new_179; new_217; new_288; new_299</ns0:t>
        </ns0:is>
      </ns0:c>
    </ns0:row>
    <ns0:row r="213" ht="32" customHeight="1">
      <ns0:c r="A213" s="19" t="inlineStr">
        <ns0:is>
          <ns0:t>Not specified</ns0:t>
        </ns0:is>
      </ns0:c>
      <ns0:c r="B213" s="19" t="inlineStr">
        <ns0:is>
          <ns0:t>Other biomedical/digital data</ns0:t>
        </ns0:is>
      </ns0:c>
      <ns0:c r="C213" s="19" t="inlineStr">
        <ns0:is>
          <ns0:t>Deep Learning</ns0:t>
        </ns0:is>
      </ns0:c>
      <ns0:c r="D213" s="19" t="inlineStr">
        <ns0:is>
          <ns0:t>External validation</ns0:t>
        </ns0:is>
      </ns0:c>
      <ns0:c r="E213" s="19" t="inlineStr">
        <ns0:is>
          <ns0:t>external_validation</ns0:t>
        </ns0:is>
      </ns0:c>
      <ns0:c r="F213" s="27">
        <ns0:f>COUNTIFS('BASE_CIERRE'!$G$5:$G$458,1,'BASE_CIERRE'!$H$5:$H$458,"Not specified",'BASE_CIERRE'!$J$5:$J$458,"Other biomedical/digital data",'BASE_CIERRE'!$I$5:$I$458,"Deep Learning",'BASE_CIERRE'!$Q$5:$Q$458,"Reported")</ns0:f>
        <ns0:v>0</ns0:v>
      </ns0:c>
      <ns0:c r="G213" s="27">
        <ns0:f>COUNTIFS('BASE_CIERRE'!$G$5:$G$458,1,'BASE_CIERRE'!$H$5:$H$458,"Not specified",'BASE_CIERRE'!$J$5:$J$458,"Other biomedical/digital data",'BASE_CIERRE'!$I$5:$I$458,"Deep Learning",'BASE_CIERRE'!$Q$5:$Q$458,"Not reported in assessed sources")</ns0:f>
        <ns0:v>1</ns0:v>
      </ns0:c>
      <ns0:c r="H213" s="27">
        <ns0:f>COUNTIFS('BASE_CIERRE'!$G$5:$G$458,1,'BASE_CIERRE'!$H$5:$H$458,"Not specified",'BASE_CIERRE'!$J$5:$J$458,"Other biomedical/digital data",'BASE_CIERRE'!$I$5:$I$458,"Deep Learning",'BASE_CIERRE'!$Q$5:$Q$458,"Not ascertainable")</ns0:f>
        <ns0:v>0</ns0:v>
      </ns0:c>
      <ns0:c r="I213" s="27">
        <ns0:f>SUM(F213:H213)</ns0:f>
        <ns0:v>1</ns0:v>
      </ns0:c>
      <ns0:c r="J213" s="31">
        <ns0:f>IFERROR(F213/I213,0)</ns0:f>
        <ns0:v>0</ns0:v>
      </ns0:c>
      <ns0:c r="K213" s="31">
        <ns0:f>IFERROR(F213/(I213-H213),0)</ns0:f>
        <ns0:v>0</ns0:v>
      </ns0:c>
      <ns0:c r="L213" s="19" t="inlineStr">
        <ns0:is>
          <ns0:t>new_261</ns0:t>
        </ns0:is>
      </ns0:c>
    </ns0:row>
    <ns0:row r="214" ht="32" customHeight="1">
      <ns0:c r="A214" s="21" t="inlineStr">
        <ns0:is>
          <ns0:t>Not specified</ns0:t>
        </ns0:is>
      </ns0:c>
      <ns0:c r="B214" s="21" t="inlineStr">
        <ns0:is>
          <ns0:t>Other biomedical/digital data</ns0:t>
        </ns0:is>
      </ns0:c>
      <ns0:c r="C214" s="21" t="inlineStr">
        <ns0:is>
          <ns0:t>Deep Learning</ns0:t>
        </ns0:is>
      </ns0:c>
      <ns0:c r="D214" s="21" t="inlineStr">
        <ns0:is>
          <ns0:t>Multisource integration</ns0:t>
        </ns0:is>
      </ns0:c>
      <ns0:c r="E214" s="21" t="inlineStr">
        <ns0:is>
          <ns0:t>multisource_integration</ns0:t>
        </ns0:is>
      </ns0:c>
      <ns0:c r="F214" s="29">
        <ns0:f>COUNTIFS('BASE_CIERRE'!$G$5:$G$458,1,'BASE_CIERRE'!$H$5:$H$458,"Not specified",'BASE_CIERRE'!$J$5:$J$458,"Other biomedical/digital data",'BASE_CIERRE'!$I$5:$I$458,"Deep Learning",'BASE_CIERRE'!$R$5:$R$458,"Reported")</ns0:f>
        <ns0:v>0</ns0:v>
      </ns0:c>
      <ns0:c r="G214" s="29">
        <ns0:f>COUNTIFS('BASE_CIERRE'!$G$5:$G$458,1,'BASE_CIERRE'!$H$5:$H$458,"Not specified",'BASE_CIERRE'!$J$5:$J$458,"Other biomedical/digital data",'BASE_CIERRE'!$I$5:$I$458,"Deep Learning",'BASE_CIERRE'!$R$5:$R$458,"Not reported in assessed sources")</ns0:f>
        <ns0:v>1</ns0:v>
      </ns0:c>
      <ns0:c r="H214" s="29">
        <ns0:f>COUNTIFS('BASE_CIERRE'!$G$5:$G$458,1,'BASE_CIERRE'!$H$5:$H$458,"Not specified",'BASE_CIERRE'!$J$5:$J$458,"Other biomedical/digital data",'BASE_CIERRE'!$I$5:$I$458,"Deep Learning",'BASE_CIERRE'!$R$5:$R$458,"Not ascertainable")</ns0:f>
        <ns0:v>0</ns0:v>
      </ns0:c>
      <ns0:c r="I214" s="29">
        <ns0:f>SUM(F214:H214)</ns0:f>
        <ns0:v>1</ns0:v>
      </ns0:c>
      <ns0:c r="J214" s="32">
        <ns0:f>IFERROR(F214/I214,0)</ns0:f>
        <ns0:v>0</ns0:v>
      </ns0:c>
      <ns0:c r="K214" s="32">
        <ns0:f>IFERROR(F214/(I214-H214),0)</ns0:f>
        <ns0:v>0</ns0:v>
      </ns0:c>
      <ns0:c r="L214" s="21" t="inlineStr">
        <ns0:is>
          <ns0:t>new_261</ns0:t>
        </ns0:is>
      </ns0:c>
    </ns0:row>
    <ns0:row r="215" ht="32" customHeight="1">
      <ns0:c r="A215" s="19" t="inlineStr">
        <ns0:is>
          <ns0:t>Not specified</ns0:t>
        </ns0:is>
      </ns0:c>
      <ns0:c r="B215" s="19" t="inlineStr">
        <ns0:is>
          <ns0:t>Other biomedical/digital data</ns0:t>
        </ns0:is>
      </ns0:c>
      <ns0:c r="C215" s="19" t="inlineStr">
        <ns0:is>
          <ns0:t>Deep Learning</ns0:t>
        </ns0:is>
      </ns0:c>
      <ns0:c r="D215" s="19" t="inlineStr">
        <ns0:is>
          <ns0:t>Explicit explainability (broad)</ns0:t>
        </ns0:is>
      </ns0:c>
      <ns0:c r="E215" s="19" t="inlineStr">
        <ns0:is>
          <ns0:t>xai_broad</ns0:t>
        </ns0:is>
      </ns0:c>
      <ns0:c r="F215" s="27">
        <ns0:f>COUNTIFS('BASE_CIERRE'!$G$5:$G$458,1,'BASE_CIERRE'!$H$5:$H$458,"Not specified",'BASE_CIERRE'!$J$5:$J$458,"Other biomedical/digital data",'BASE_CIERRE'!$I$5:$I$458,"Deep Learning",'BASE_CIERRE'!$S$5:$S$458,"Reported")</ns0:f>
        <ns0:v>1</ns0:v>
      </ns0:c>
      <ns0:c r="G215" s="27">
        <ns0:f>COUNTIFS('BASE_CIERRE'!$G$5:$G$458,1,'BASE_CIERRE'!$H$5:$H$458,"Not specified",'BASE_CIERRE'!$J$5:$J$458,"Other biomedical/digital data",'BASE_CIERRE'!$I$5:$I$458,"Deep Learning",'BASE_CIERRE'!$S$5:$S$458,"Not reported in assessed sources")</ns0:f>
        <ns0:v>0</ns0:v>
      </ns0:c>
      <ns0:c r="H215" s="27">
        <ns0:f>COUNTIFS('BASE_CIERRE'!$G$5:$G$458,1,'BASE_CIERRE'!$H$5:$H$458,"Not specified",'BASE_CIERRE'!$J$5:$J$458,"Other biomedical/digital data",'BASE_CIERRE'!$I$5:$I$458,"Deep Learning",'BASE_CIERRE'!$S$5:$S$458,"Not ascertainable")</ns0:f>
        <ns0:v>0</ns0:v>
      </ns0:c>
      <ns0:c r="I215" s="27">
        <ns0:f>SUM(F215:H215)</ns0:f>
        <ns0:v>1</ns0:v>
      </ns0:c>
      <ns0:c r="J215" s="31">
        <ns0:f>IFERROR(F215/I215,0)</ns0:f>
        <ns0:v>1</ns0:v>
      </ns0:c>
      <ns0:c r="K215" s="31">
        <ns0:f>IFERROR(F215/(I215-H215),0)</ns0:f>
        <ns0:v>1</ns0:v>
      </ns0:c>
      <ns0:c r="L215" s="19" t="inlineStr">
        <ns0:is>
          <ns0:t>new_261</ns0:t>
        </ns0:is>
      </ns0:c>
    </ns0:row>
    <ns0:row r="216" ht="32" customHeight="1">
      <ns0:c r="A216" s="21" t="inlineStr">
        <ns0:is>
          <ns0:t>Not specified</ns0:t>
        </ns0:is>
      </ns0:c>
      <ns0:c r="B216" s="21" t="inlineStr">
        <ns0:is>
          <ns0:t>Other biomedical/digital data</ns0:t>
        </ns0:is>
      </ns0:c>
      <ns0:c r="C216" s="21" t="inlineStr">
        <ns0:is>
          <ns0:t>Deep Learning</ns0:t>
        </ns0:is>
      </ns0:c>
      <ns0:c r="D216" s="21" t="inlineStr">
        <ns0:is>
          <ns0:t>Cross-site evaluation</ns0:t>
        </ns0:is>
      </ns0:c>
      <ns0:c r="E216" s="21" t="inlineStr">
        <ns0:is>
          <ns0:t>cross_site_robustness</ns0:t>
        </ns0:is>
      </ns0:c>
      <ns0:c r="F216" s="29">
        <ns0:f>COUNTIFS('BASE_CIERRE'!$G$5:$G$458,1,'BASE_CIERRE'!$H$5:$H$458,"Not specified",'BASE_CIERRE'!$J$5:$J$458,"Other biomedical/digital data",'BASE_CIERRE'!$I$5:$I$458,"Deep Learning",'BASE_CIERRE'!$U$5:$U$458,"Reported")</ns0:f>
        <ns0:v>0</ns0:v>
      </ns0:c>
      <ns0:c r="G216" s="29">
        <ns0:f>COUNTIFS('BASE_CIERRE'!$G$5:$G$458,1,'BASE_CIERRE'!$H$5:$H$458,"Not specified",'BASE_CIERRE'!$J$5:$J$458,"Other biomedical/digital data",'BASE_CIERRE'!$I$5:$I$458,"Deep Learning",'BASE_CIERRE'!$U$5:$U$458,"Not reported in assessed sources")</ns0:f>
        <ns0:v>1</ns0:v>
      </ns0:c>
      <ns0:c r="H216" s="29">
        <ns0:f>COUNTIFS('BASE_CIERRE'!$G$5:$G$458,1,'BASE_CIERRE'!$H$5:$H$458,"Not specified",'BASE_CIERRE'!$J$5:$J$458,"Other biomedical/digital data",'BASE_CIERRE'!$I$5:$I$458,"Deep Learning",'BASE_CIERRE'!$U$5:$U$458,"Not ascertainable")</ns0:f>
        <ns0:v>0</ns0:v>
      </ns0:c>
      <ns0:c r="I216" s="29">
        <ns0:f>SUM(F216:H216)</ns0:f>
        <ns0:v>1</ns0:v>
      </ns0:c>
      <ns0:c r="J216" s="32">
        <ns0:f>IFERROR(F216/I216,0)</ns0:f>
        <ns0:v>0</ns0:v>
      </ns0:c>
      <ns0:c r="K216" s="32">
        <ns0:f>IFERROR(F216/(I216-H216),0)</ns0:f>
        <ns0:v>0</ns0:v>
      </ns0:c>
      <ns0:c r="L216" s="21" t="inlineStr">
        <ns0:is>
          <ns0:t>new_261</ns0:t>
        </ns0:is>
      </ns0:c>
    </ns0:row>
    <ns0:row r="217" ht="32" customHeight="1">
      <ns0:c r="A217" s="19" t="inlineStr">
        <ns0:is>
          <ns0:t>Not specified</ns0:t>
        </ns0:is>
      </ns0:c>
      <ns0:c r="B217" s="19" t="inlineStr">
        <ns0:is>
          <ns0:t>Physiological signals</ns0:t>
        </ns0:is>
      </ns0:c>
      <ns0:c r="C217" s="19" t="inlineStr">
        <ns0:is>
          <ns0:t>Deep Learning</ns0:t>
        </ns0:is>
      </ns0:c>
      <ns0:c r="D217" s="19" t="inlineStr">
        <ns0:is>
          <ns0:t>External validation</ns0:t>
        </ns0:is>
      </ns0:c>
      <ns0:c r="E217" s="19" t="inlineStr">
        <ns0:is>
          <ns0:t>external_validation</ns0:t>
        </ns0:is>
      </ns0:c>
      <ns0:c r="F217" s="27">
        <ns0:f>COUNTIFS('BASE_CIERRE'!$G$5:$G$458,1,'BASE_CIERRE'!$H$5:$H$458,"Not specified",'BASE_CIERRE'!$J$5:$J$458,"Physiological signals",'BASE_CIERRE'!$I$5:$I$458,"Deep Learning",'BASE_CIERRE'!$Q$5:$Q$458,"Reported")</ns0:f>
        <ns0:v>0</ns0:v>
      </ns0:c>
      <ns0:c r="G217" s="27">
        <ns0:f>COUNTIFS('BASE_CIERRE'!$G$5:$G$458,1,'BASE_CIERRE'!$H$5:$H$458,"Not specified",'BASE_CIERRE'!$J$5:$J$458,"Physiological signals",'BASE_CIERRE'!$I$5:$I$458,"Deep Learning",'BASE_CIERRE'!$Q$5:$Q$458,"Not reported in assessed sources")</ns0:f>
        <ns0:v>0</ns0:v>
      </ns0:c>
      <ns0:c r="H217" s="27">
        <ns0:f>COUNTIFS('BASE_CIERRE'!$G$5:$G$458,1,'BASE_CIERRE'!$H$5:$H$458,"Not specified",'BASE_CIERRE'!$J$5:$J$458,"Physiological signals",'BASE_CIERRE'!$I$5:$I$458,"Deep Learning",'BASE_CIERRE'!$Q$5:$Q$458,"Not ascertainable")</ns0:f>
        <ns0:v>1</ns0:v>
      </ns0:c>
      <ns0:c r="I217" s="27">
        <ns0:f>SUM(F217:H217)</ns0:f>
        <ns0:v>1</ns0:v>
      </ns0:c>
      <ns0:c r="J217" s="31">
        <ns0:f>IFERROR(F217/I217,0)</ns0:f>
        <ns0:v>0</ns0:v>
      </ns0:c>
      <ns0:c r="K217" s="31">
        <ns0:f>IFERROR(F217/(I217-H217),0)</ns0:f>
        <ns0:v>0</ns0:v>
      </ns0:c>
      <ns0:c r="L217" s="19" t="inlineStr">
        <ns0:is>
          <ns0:t>88</ns0:t>
        </ns0:is>
      </ns0:c>
    </ns0:row>
    <ns0:row r="218" ht="32" customHeight="1">
      <ns0:c r="A218" s="21" t="inlineStr">
        <ns0:is>
          <ns0:t>Not specified</ns0:t>
        </ns0:is>
      </ns0:c>
      <ns0:c r="B218" s="21" t="inlineStr">
        <ns0:is>
          <ns0:t>Physiological signals</ns0:t>
        </ns0:is>
      </ns0:c>
      <ns0:c r="C218" s="21" t="inlineStr">
        <ns0:is>
          <ns0:t>Deep Learning</ns0:t>
        </ns0:is>
      </ns0:c>
      <ns0:c r="D218" s="21" t="inlineStr">
        <ns0:is>
          <ns0:t>Multisource integration</ns0:t>
        </ns0:is>
      </ns0:c>
      <ns0:c r="E218" s="21" t="inlineStr">
        <ns0:is>
          <ns0:t>multisource_integration</ns0:t>
        </ns0:is>
      </ns0:c>
      <ns0:c r="F218" s="29">
        <ns0:f>COUNTIFS('BASE_CIERRE'!$G$5:$G$458,1,'BASE_CIERRE'!$H$5:$H$458,"Not specified",'BASE_CIERRE'!$J$5:$J$458,"Physiological signals",'BASE_CIERRE'!$I$5:$I$458,"Deep Learning",'BASE_CIERRE'!$R$5:$R$458,"Reported")</ns0:f>
        <ns0:v>0</ns0:v>
      </ns0:c>
      <ns0:c r="G218" s="29">
        <ns0:f>COUNTIFS('BASE_CIERRE'!$G$5:$G$458,1,'BASE_CIERRE'!$H$5:$H$458,"Not specified",'BASE_CIERRE'!$J$5:$J$458,"Physiological signals",'BASE_CIERRE'!$I$5:$I$458,"Deep Learning",'BASE_CIERRE'!$R$5:$R$458,"Not reported in assessed sources")</ns0:f>
        <ns0:v>1</ns0:v>
      </ns0:c>
      <ns0:c r="H218" s="29">
        <ns0:f>COUNTIFS('BASE_CIERRE'!$G$5:$G$458,1,'BASE_CIERRE'!$H$5:$H$458,"Not specified",'BASE_CIERRE'!$J$5:$J$458,"Physiological signals",'BASE_CIERRE'!$I$5:$I$458,"Deep Learning",'BASE_CIERRE'!$R$5:$R$458,"Not ascertainable")</ns0:f>
        <ns0:v>0</ns0:v>
      </ns0:c>
      <ns0:c r="I218" s="29">
        <ns0:f>SUM(F218:H218)</ns0:f>
        <ns0:v>1</ns0:v>
      </ns0:c>
      <ns0:c r="J218" s="32">
        <ns0:f>IFERROR(F218/I218,0)</ns0:f>
        <ns0:v>0</ns0:v>
      </ns0:c>
      <ns0:c r="K218" s="32">
        <ns0:f>IFERROR(F218/(I218-H218),0)</ns0:f>
        <ns0:v>0</ns0:v>
      </ns0:c>
      <ns0:c r="L218" s="21" t="inlineStr">
        <ns0:is>
          <ns0:t>88</ns0:t>
        </ns0:is>
      </ns0:c>
    </ns0:row>
    <ns0:row r="219" ht="32" customHeight="1">
      <ns0:c r="A219" s="19" t="inlineStr">
        <ns0:is>
          <ns0:t>Not specified</ns0:t>
        </ns0:is>
      </ns0:c>
      <ns0:c r="B219" s="19" t="inlineStr">
        <ns0:is>
          <ns0:t>Physiological signals</ns0:t>
        </ns0:is>
      </ns0:c>
      <ns0:c r="C219" s="19" t="inlineStr">
        <ns0:is>
          <ns0:t>Deep Learning</ns0:t>
        </ns0:is>
      </ns0:c>
      <ns0:c r="D219" s="19" t="inlineStr">
        <ns0:is>
          <ns0:t>Explicit explainability (broad)</ns0:t>
        </ns0:is>
      </ns0:c>
      <ns0:c r="E219" s="19" t="inlineStr">
        <ns0:is>
          <ns0:t>xai_broad</ns0:t>
        </ns0:is>
      </ns0:c>
      <ns0:c r="F219" s="27">
        <ns0:f>COUNTIFS('BASE_CIERRE'!$G$5:$G$458,1,'BASE_CIERRE'!$H$5:$H$458,"Not specified",'BASE_CIERRE'!$J$5:$J$458,"Physiological signals",'BASE_CIERRE'!$I$5:$I$458,"Deep Learning",'BASE_CIERRE'!$S$5:$S$458,"Reported")</ns0:f>
        <ns0:v>1</ns0:v>
      </ns0:c>
      <ns0:c r="G219" s="27">
        <ns0:f>COUNTIFS('BASE_CIERRE'!$G$5:$G$458,1,'BASE_CIERRE'!$H$5:$H$458,"Not specified",'BASE_CIERRE'!$J$5:$J$458,"Physiological signals",'BASE_CIERRE'!$I$5:$I$458,"Deep Learning",'BASE_CIERRE'!$S$5:$S$458,"Not reported in assessed sources")</ns0:f>
        <ns0:v>0</ns0:v>
      </ns0:c>
      <ns0:c r="H219" s="27">
        <ns0:f>COUNTIFS('BASE_CIERRE'!$G$5:$G$458,1,'BASE_CIERRE'!$H$5:$H$458,"Not specified",'BASE_CIERRE'!$J$5:$J$458,"Physiological signals",'BASE_CIERRE'!$I$5:$I$458,"Deep Learning",'BASE_CIERRE'!$S$5:$S$458,"Not ascertainable")</ns0:f>
        <ns0:v>0</ns0:v>
      </ns0:c>
      <ns0:c r="I219" s="27">
        <ns0:f>SUM(F219:H219)</ns0:f>
        <ns0:v>1</ns0:v>
      </ns0:c>
      <ns0:c r="J219" s="31">
        <ns0:f>IFERROR(F219/I219,0)</ns0:f>
        <ns0:v>1</ns0:v>
      </ns0:c>
      <ns0:c r="K219" s="31">
        <ns0:f>IFERROR(F219/(I219-H219),0)</ns0:f>
        <ns0:v>1</ns0:v>
      </ns0:c>
      <ns0:c r="L219" s="19" t="inlineStr">
        <ns0:is>
          <ns0:t>88</ns0:t>
        </ns0:is>
      </ns0:c>
    </ns0:row>
    <ns0:row r="220" ht="32" customHeight="1">
      <ns0:c r="A220" s="21" t="inlineStr">
        <ns0:is>
          <ns0:t>Not specified</ns0:t>
        </ns0:is>
      </ns0:c>
      <ns0:c r="B220" s="21" t="inlineStr">
        <ns0:is>
          <ns0:t>Physiological signals</ns0:t>
        </ns0:is>
      </ns0:c>
      <ns0:c r="C220" s="21" t="inlineStr">
        <ns0:is>
          <ns0:t>Deep Learning</ns0:t>
        </ns0:is>
      </ns0:c>
      <ns0:c r="D220" s="21" t="inlineStr">
        <ns0:is>
          <ns0:t>Cross-site evaluation</ns0:t>
        </ns0:is>
      </ns0:c>
      <ns0:c r="E220" s="21" t="inlineStr">
        <ns0:is>
          <ns0:t>cross_site_robustness</ns0:t>
        </ns0:is>
      </ns0:c>
      <ns0:c r="F220" s="29">
        <ns0:f>COUNTIFS('BASE_CIERRE'!$G$5:$G$458,1,'BASE_CIERRE'!$H$5:$H$458,"Not specified",'BASE_CIERRE'!$J$5:$J$458,"Physiological signals",'BASE_CIERRE'!$I$5:$I$458,"Deep Learning",'BASE_CIERRE'!$U$5:$U$458,"Reported")</ns0:f>
        <ns0:v>0</ns0:v>
      </ns0:c>
      <ns0:c r="G220" s="29">
        <ns0:f>COUNTIFS('BASE_CIERRE'!$G$5:$G$458,1,'BASE_CIERRE'!$H$5:$H$458,"Not specified",'BASE_CIERRE'!$J$5:$J$458,"Physiological signals",'BASE_CIERRE'!$I$5:$I$458,"Deep Learning",'BASE_CIERRE'!$U$5:$U$458,"Not reported in assessed sources")</ns0:f>
        <ns0:v>1</ns0:v>
      </ns0:c>
      <ns0:c r="H220" s="29">
        <ns0:f>COUNTIFS('BASE_CIERRE'!$G$5:$G$458,1,'BASE_CIERRE'!$H$5:$H$458,"Not specified",'BASE_CIERRE'!$J$5:$J$458,"Physiological signals",'BASE_CIERRE'!$I$5:$I$458,"Deep Learning",'BASE_CIERRE'!$U$5:$U$458,"Not ascertainable")</ns0:f>
        <ns0:v>0</ns0:v>
      </ns0:c>
      <ns0:c r="I220" s="29">
        <ns0:f>SUM(F220:H220)</ns0:f>
        <ns0:v>1</ns0:v>
      </ns0:c>
      <ns0:c r="J220" s="32">
        <ns0:f>IFERROR(F220/I220,0)</ns0:f>
        <ns0:v>0</ns0:v>
      </ns0:c>
      <ns0:c r="K220" s="32">
        <ns0:f>IFERROR(F220/(I220-H220),0)</ns0:f>
        <ns0:v>0</ns0:v>
      </ns0:c>
      <ns0:c r="L220" s="21" t="inlineStr">
        <ns0:is>
          <ns0:t>88</ns0:t>
        </ns0:is>
      </ns0:c>
    </ns0:row>
    <ns0:row r="221" ht="32" customHeight="1">
      <ns0:c r="A221" s="19" t="inlineStr">
        <ns0:is>
          <ns0:t>Not specified</ns0:t>
        </ns0:is>
      </ns0:c>
      <ns0:c r="B221" s="19" t="inlineStr">
        <ns0:is>
          <ns0:t>Structured clinical/questionnaire data</ns0:t>
        </ns0:is>
      </ns0:c>
      <ns0:c r="C221" s="19" t="inlineStr">
        <ns0:is>
          <ns0:t>Machine Learning</ns0:t>
        </ns0:is>
      </ns0:c>
      <ns0:c r="D221" s="19" t="inlineStr">
        <ns0:is>
          <ns0:t>External validation</ns0:t>
        </ns0:is>
      </ns0:c>
      <ns0:c r="E221" s="19" t="inlineStr">
        <ns0:is>
          <ns0:t>external_validation</ns0:t>
        </ns0:is>
      </ns0:c>
      <ns0:c r="F221" s="27">
        <ns0:f>COUNTIFS('BASE_CIERRE'!$G$5:$G$458,1,'BASE_CIERRE'!$H$5:$H$458,"Not specified",'BASE_CIERRE'!$J$5:$J$458,"Structured clinical/questionnaire data",'BASE_CIERRE'!$I$5:$I$458,"Machine Learning",'BASE_CIERRE'!$Q$5:$Q$458,"Reported")</ns0:f>
        <ns0:v>1</ns0:v>
      </ns0:c>
      <ns0:c r="G221" s="27">
        <ns0:f>COUNTIFS('BASE_CIERRE'!$G$5:$G$458,1,'BASE_CIERRE'!$H$5:$H$458,"Not specified",'BASE_CIERRE'!$J$5:$J$458,"Structured clinical/questionnaire data",'BASE_CIERRE'!$I$5:$I$458,"Machine Learning",'BASE_CIERRE'!$Q$5:$Q$458,"Not reported in assessed sources")</ns0:f>
        <ns0:v>5</ns0:v>
      </ns0:c>
      <ns0:c r="H221" s="27">
        <ns0:f>COUNTIFS('BASE_CIERRE'!$G$5:$G$458,1,'BASE_CIERRE'!$H$5:$H$458,"Not specified",'BASE_CIERRE'!$J$5:$J$458,"Structured clinical/questionnaire data",'BASE_CIERRE'!$I$5:$I$458,"Machine Learning",'BASE_CIERRE'!$Q$5:$Q$458,"Not ascertainable")</ns0:f>
        <ns0:v>0</ns0:v>
      </ns0:c>
      <ns0:c r="I221" s="27">
        <ns0:f>SUM(F221:H221)</ns0:f>
        <ns0:v>6</ns0:v>
      </ns0:c>
      <ns0:c r="J221" s="31">
        <ns0:f>IFERROR(F221/I221,0)</ns0:f>
        <ns0:v>0.16666666666666666</ns0:v>
      </ns0:c>
      <ns0:c r="K221" s="31">
        <ns0:f>IFERROR(F221/(I221-H221),0)</ns0:f>
        <ns0:v>0.16666666666666666</ns0:v>
      </ns0:c>
      <ns0:c r="L221" s="19" t="inlineStr">
        <ns0:is>
          <ns0:t>41; 68; 103; 160; 236; new_262</ns0:t>
        </ns0:is>
      </ns0:c>
    </ns0:row>
    <ns0:row r="222" ht="32" customHeight="1">
      <ns0:c r="A222" s="21" t="inlineStr">
        <ns0:is>
          <ns0:t>Not specified</ns0:t>
        </ns0:is>
      </ns0:c>
      <ns0:c r="B222" s="21" t="inlineStr">
        <ns0:is>
          <ns0:t>Structured clinical/questionnaire data</ns0:t>
        </ns0:is>
      </ns0:c>
      <ns0:c r="C222" s="21" t="inlineStr">
        <ns0:is>
          <ns0:t>Machine Learning</ns0:t>
        </ns0:is>
      </ns0:c>
      <ns0:c r="D222" s="21" t="inlineStr">
        <ns0:is>
          <ns0:t>Multisource integration</ns0:t>
        </ns0:is>
      </ns0:c>
      <ns0:c r="E222" s="21" t="inlineStr">
        <ns0:is>
          <ns0:t>multisource_integration</ns0:t>
        </ns0:is>
      </ns0:c>
      <ns0:c r="F222" s="29">
        <ns0:f>COUNTIFS('BASE_CIERRE'!$G$5:$G$458,1,'BASE_CIERRE'!$H$5:$H$458,"Not specified",'BASE_CIERRE'!$J$5:$J$458,"Structured clinical/questionnaire data",'BASE_CIERRE'!$I$5:$I$458,"Machine Learning",'BASE_CIERRE'!$R$5:$R$458,"Reported")</ns0:f>
        <ns0:v>1</ns0:v>
      </ns0:c>
      <ns0:c r="G222" s="29">
        <ns0:f>COUNTIFS('BASE_CIERRE'!$G$5:$G$458,1,'BASE_CIERRE'!$H$5:$H$458,"Not specified",'BASE_CIERRE'!$J$5:$J$458,"Structured clinical/questionnaire data",'BASE_CIERRE'!$I$5:$I$458,"Machine Learning",'BASE_CIERRE'!$R$5:$R$458,"Not reported in assessed sources")</ns0:f>
        <ns0:v>5</ns0:v>
      </ns0:c>
      <ns0:c r="H222" s="29">
        <ns0:f>COUNTIFS('BASE_CIERRE'!$G$5:$G$458,1,'BASE_CIERRE'!$H$5:$H$458,"Not specified",'BASE_CIERRE'!$J$5:$J$458,"Structured clinical/questionnaire data",'BASE_CIERRE'!$I$5:$I$458,"Machine Learning",'BASE_CIERRE'!$R$5:$R$458,"Not ascertainable")</ns0:f>
        <ns0:v>0</ns0:v>
      </ns0:c>
      <ns0:c r="I222" s="29">
        <ns0:f>SUM(F222:H222)</ns0:f>
        <ns0:v>6</ns0:v>
      </ns0:c>
      <ns0:c r="J222" s="32">
        <ns0:f>IFERROR(F222/I222,0)</ns0:f>
        <ns0:v>0.16666666666666666</ns0:v>
      </ns0:c>
      <ns0:c r="K222" s="32">
        <ns0:f>IFERROR(F222/(I222-H222),0)</ns0:f>
        <ns0:v>0.16666666666666666</ns0:v>
      </ns0:c>
      <ns0:c r="L222" s="21" t="inlineStr">
        <ns0:is>
          <ns0:t>41; 68; 103; 160; 236; new_262</ns0:t>
        </ns0:is>
      </ns0:c>
    </ns0:row>
    <ns0:row r="223" ht="32" customHeight="1">
      <ns0:c r="A223" s="19" t="inlineStr">
        <ns0:is>
          <ns0:t>Not specified</ns0:t>
        </ns0:is>
      </ns0:c>
      <ns0:c r="B223" s="19" t="inlineStr">
        <ns0:is>
          <ns0:t>Structured clinical/questionnaire data</ns0:t>
        </ns0:is>
      </ns0:c>
      <ns0:c r="C223" s="19" t="inlineStr">
        <ns0:is>
          <ns0:t>Machine Learning</ns0:t>
        </ns0:is>
      </ns0:c>
      <ns0:c r="D223" s="19" t="inlineStr">
        <ns0:is>
          <ns0:t>Explicit explainability (broad)</ns0:t>
        </ns0:is>
      </ns0:c>
      <ns0:c r="E223" s="19" t="inlineStr">
        <ns0:is>
          <ns0:t>xai_broad</ns0:t>
        </ns0:is>
      </ns0:c>
      <ns0:c r="F223" s="27">
        <ns0:f>COUNTIFS('BASE_CIERRE'!$G$5:$G$458,1,'BASE_CIERRE'!$H$5:$H$458,"Not specified",'BASE_CIERRE'!$J$5:$J$458,"Structured clinical/questionnaire data",'BASE_CIERRE'!$I$5:$I$458,"Machine Learning",'BASE_CIERRE'!$S$5:$S$458,"Reported")</ns0:f>
        <ns0:v>1</ns0:v>
      </ns0:c>
      <ns0:c r="G223" s="27">
        <ns0:f>COUNTIFS('BASE_CIERRE'!$G$5:$G$458,1,'BASE_CIERRE'!$H$5:$H$458,"Not specified",'BASE_CIERRE'!$J$5:$J$458,"Structured clinical/questionnaire data",'BASE_CIERRE'!$I$5:$I$458,"Machine Learning",'BASE_CIERRE'!$S$5:$S$458,"Not reported in assessed sources")</ns0:f>
        <ns0:v>5</ns0:v>
      </ns0:c>
      <ns0:c r="H223" s="27">
        <ns0:f>COUNTIFS('BASE_CIERRE'!$G$5:$G$458,1,'BASE_CIERRE'!$H$5:$H$458,"Not specified",'BASE_CIERRE'!$J$5:$J$458,"Structured clinical/questionnaire data",'BASE_CIERRE'!$I$5:$I$458,"Machine Learning",'BASE_CIERRE'!$S$5:$S$458,"Not ascertainable")</ns0:f>
        <ns0:v>0</ns0:v>
      </ns0:c>
      <ns0:c r="I223" s="27">
        <ns0:f>SUM(F223:H223)</ns0:f>
        <ns0:v>6</ns0:v>
      </ns0:c>
      <ns0:c r="J223" s="31">
        <ns0:f>IFERROR(F223/I223,0)</ns0:f>
        <ns0:v>0.16666666666666666</ns0:v>
      </ns0:c>
      <ns0:c r="K223" s="31">
        <ns0:f>IFERROR(F223/(I223-H223),0)</ns0:f>
        <ns0:v>0.16666666666666666</ns0:v>
      </ns0:c>
      <ns0:c r="L223" s="19" t="inlineStr">
        <ns0:is>
          <ns0:t>41; 68; 103; 160; 236; new_262</ns0:t>
        </ns0:is>
      </ns0:c>
    </ns0:row>
    <ns0:row r="224" ht="32" customHeight="1">
      <ns0:c r="A224" s="21" t="inlineStr">
        <ns0:is>
          <ns0:t>Not specified</ns0:t>
        </ns0:is>
      </ns0:c>
      <ns0:c r="B224" s="21" t="inlineStr">
        <ns0:is>
          <ns0:t>Structured clinical/questionnaire data</ns0:t>
        </ns0:is>
      </ns0:c>
      <ns0:c r="C224" s="21" t="inlineStr">
        <ns0:is>
          <ns0:t>Machine Learning</ns0:t>
        </ns0:is>
      </ns0:c>
      <ns0:c r="D224" s="21" t="inlineStr">
        <ns0:is>
          <ns0:t>Cross-site evaluation</ns0:t>
        </ns0:is>
      </ns0:c>
      <ns0:c r="E224" s="21" t="inlineStr">
        <ns0:is>
          <ns0:t>cross_site_robustness</ns0:t>
        </ns0:is>
      </ns0:c>
      <ns0:c r="F224" s="29">
        <ns0:f>COUNTIFS('BASE_CIERRE'!$G$5:$G$458,1,'BASE_CIERRE'!$H$5:$H$458,"Not specified",'BASE_CIERRE'!$J$5:$J$458,"Structured clinical/questionnaire data",'BASE_CIERRE'!$I$5:$I$458,"Machine Learning",'BASE_CIERRE'!$U$5:$U$458,"Reported")</ns0:f>
        <ns0:v>0</ns0:v>
      </ns0:c>
      <ns0:c r="G224" s="29">
        <ns0:f>COUNTIFS('BASE_CIERRE'!$G$5:$G$458,1,'BASE_CIERRE'!$H$5:$H$458,"Not specified",'BASE_CIERRE'!$J$5:$J$458,"Structured clinical/questionnaire data",'BASE_CIERRE'!$I$5:$I$458,"Machine Learning",'BASE_CIERRE'!$U$5:$U$458,"Not reported in assessed sources")</ns0:f>
        <ns0:v>6</ns0:v>
      </ns0:c>
      <ns0:c r="H224" s="29">
        <ns0:f>COUNTIFS('BASE_CIERRE'!$G$5:$G$458,1,'BASE_CIERRE'!$H$5:$H$458,"Not specified",'BASE_CIERRE'!$J$5:$J$458,"Structured clinical/questionnaire data",'BASE_CIERRE'!$I$5:$I$458,"Machine Learning",'BASE_CIERRE'!$U$5:$U$458,"Not ascertainable")</ns0:f>
        <ns0:v>0</ns0:v>
      </ns0:c>
      <ns0:c r="I224" s="29">
        <ns0:f>SUM(F224:H224)</ns0:f>
        <ns0:v>6</ns0:v>
      </ns0:c>
      <ns0:c r="J224" s="32">
        <ns0:f>IFERROR(F224/I224,0)</ns0:f>
        <ns0:v>0</ns0:v>
      </ns0:c>
      <ns0:c r="K224" s="32">
        <ns0:f>IFERROR(F224/(I224-H224),0)</ns0:f>
        <ns0:v>0</ns0:v>
      </ns0:c>
      <ns0:c r="L224" s="21" t="inlineStr">
        <ns0:is>
          <ns0:t>41; 68; 103; 160; 236; new_262</ns0:t>
        </ns0:is>
      </ns0:c>
    </ns0:row>
    <ns0:row r="225" ht="32" customHeight="1">
      <ns0:c r="A225" s="19" t="inlineStr">
        <ns0:is>
          <ns0:t>Not specified</ns0:t>
        </ns0:is>
      </ns0:c>
      <ns0:c r="B225" s="19" t="inlineStr">
        <ns0:is>
          <ns0:t>Text/language</ns0:t>
        </ns0:is>
      </ns0:c>
      <ns0:c r="C225" s="19" t="inlineStr">
        <ns0:is>
          <ns0:t>Deep Learning</ns0:t>
        </ns0:is>
      </ns0:c>
      <ns0:c r="D225" s="19" t="inlineStr">
        <ns0:is>
          <ns0:t>External validation</ns0:t>
        </ns0:is>
      </ns0:c>
      <ns0:c r="E225" s="19" t="inlineStr">
        <ns0:is>
          <ns0:t>external_validation</ns0:t>
        </ns0:is>
      </ns0:c>
      <ns0:c r="F225" s="27">
        <ns0:f>COUNTIFS('BASE_CIERRE'!$G$5:$G$458,1,'BASE_CIERRE'!$H$5:$H$458,"Not specified",'BASE_CIERRE'!$J$5:$J$458,"Text/language",'BASE_CIERRE'!$I$5:$I$458,"Deep Learning",'BASE_CIERRE'!$Q$5:$Q$458,"Reported")</ns0:f>
        <ns0:v>0</ns0:v>
      </ns0:c>
      <ns0:c r="G225" s="27">
        <ns0:f>COUNTIFS('BASE_CIERRE'!$G$5:$G$458,1,'BASE_CIERRE'!$H$5:$H$458,"Not specified",'BASE_CIERRE'!$J$5:$J$458,"Text/language",'BASE_CIERRE'!$I$5:$I$458,"Deep Learning",'BASE_CIERRE'!$Q$5:$Q$458,"Not reported in assessed sources")</ns0:f>
        <ns0:v>2</ns0:v>
      </ns0:c>
      <ns0:c r="H225" s="27">
        <ns0:f>COUNTIFS('BASE_CIERRE'!$G$5:$G$458,1,'BASE_CIERRE'!$H$5:$H$458,"Not specified",'BASE_CIERRE'!$J$5:$J$458,"Text/language",'BASE_CIERRE'!$I$5:$I$458,"Deep Learning",'BASE_CIERRE'!$Q$5:$Q$458,"Not ascertainable")</ns0:f>
        <ns0:v>0</ns0:v>
      </ns0:c>
      <ns0:c r="I225" s="27">
        <ns0:f>SUM(F225:H225)</ns0:f>
        <ns0:v>2</ns0:v>
      </ns0:c>
      <ns0:c r="J225" s="31">
        <ns0:f>IFERROR(F225/I225,0)</ns0:f>
        <ns0:v>0</ns0:v>
      </ns0:c>
      <ns0:c r="K225" s="31">
        <ns0:f>IFERROR(F225/(I225-H225),0)</ns0:f>
        <ns0:v>0</ns0:v>
      </ns0:c>
      <ns0:c r="L225" s="19" t="inlineStr">
        <ns0:is>
          <ns0:t>212; new_160</ns0:t>
        </ns0:is>
      </ns0:c>
    </ns0:row>
    <ns0:row r="226" ht="32" customHeight="1">
      <ns0:c r="A226" s="21" t="inlineStr">
        <ns0:is>
          <ns0:t>Not specified</ns0:t>
        </ns0:is>
      </ns0:c>
      <ns0:c r="B226" s="21" t="inlineStr">
        <ns0:is>
          <ns0:t>Text/language</ns0:t>
        </ns0:is>
      </ns0:c>
      <ns0:c r="C226" s="21" t="inlineStr">
        <ns0:is>
          <ns0:t>Deep Learning</ns0:t>
        </ns0:is>
      </ns0:c>
      <ns0:c r="D226" s="21" t="inlineStr">
        <ns0:is>
          <ns0:t>Multisource integration</ns0:t>
        </ns0:is>
      </ns0:c>
      <ns0:c r="E226" s="21" t="inlineStr">
        <ns0:is>
          <ns0:t>multisource_integration</ns0:t>
        </ns0:is>
      </ns0:c>
      <ns0:c r="F226" s="29">
        <ns0:f>COUNTIFS('BASE_CIERRE'!$G$5:$G$458,1,'BASE_CIERRE'!$H$5:$H$458,"Not specified",'BASE_CIERRE'!$J$5:$J$458,"Text/language",'BASE_CIERRE'!$I$5:$I$458,"Deep Learning",'BASE_CIERRE'!$R$5:$R$458,"Reported")</ns0:f>
        <ns0:v>0</ns0:v>
      </ns0:c>
      <ns0:c r="G226" s="29">
        <ns0:f>COUNTIFS('BASE_CIERRE'!$G$5:$G$458,1,'BASE_CIERRE'!$H$5:$H$458,"Not specified",'BASE_CIERRE'!$J$5:$J$458,"Text/language",'BASE_CIERRE'!$I$5:$I$458,"Deep Learning",'BASE_CIERRE'!$R$5:$R$458,"Not reported in assessed sources")</ns0:f>
        <ns0:v>2</ns0:v>
      </ns0:c>
      <ns0:c r="H226" s="29">
        <ns0:f>COUNTIFS('BASE_CIERRE'!$G$5:$G$458,1,'BASE_CIERRE'!$H$5:$H$458,"Not specified",'BASE_CIERRE'!$J$5:$J$458,"Text/language",'BASE_CIERRE'!$I$5:$I$458,"Deep Learning",'BASE_CIERRE'!$R$5:$R$458,"Not ascertainable")</ns0:f>
        <ns0:v>0</ns0:v>
      </ns0:c>
      <ns0:c r="I226" s="29">
        <ns0:f>SUM(F226:H226)</ns0:f>
        <ns0:v>2</ns0:v>
      </ns0:c>
      <ns0:c r="J226" s="32">
        <ns0:f>IFERROR(F226/I226,0)</ns0:f>
        <ns0:v>0</ns0:v>
      </ns0:c>
      <ns0:c r="K226" s="32">
        <ns0:f>IFERROR(F226/(I226-H226),0)</ns0:f>
        <ns0:v>0</ns0:v>
      </ns0:c>
      <ns0:c r="L226" s="21" t="inlineStr">
        <ns0:is>
          <ns0:t>212; new_160</ns0:t>
        </ns0:is>
      </ns0:c>
    </ns0:row>
    <ns0:row r="227" ht="32" customHeight="1">
      <ns0:c r="A227" s="19" t="inlineStr">
        <ns0:is>
          <ns0:t>Not specified</ns0:t>
        </ns0:is>
      </ns0:c>
      <ns0:c r="B227" s="19" t="inlineStr">
        <ns0:is>
          <ns0:t>Text/language</ns0:t>
        </ns0:is>
      </ns0:c>
      <ns0:c r="C227" s="19" t="inlineStr">
        <ns0:is>
          <ns0:t>Deep Learning</ns0:t>
        </ns0:is>
      </ns0:c>
      <ns0:c r="D227" s="19" t="inlineStr">
        <ns0:is>
          <ns0:t>Explicit explainability (broad)</ns0:t>
        </ns0:is>
      </ns0:c>
      <ns0:c r="E227" s="19" t="inlineStr">
        <ns0:is>
          <ns0:t>xai_broad</ns0:t>
        </ns0:is>
      </ns0:c>
      <ns0:c r="F227" s="27">
        <ns0:f>COUNTIFS('BASE_CIERRE'!$G$5:$G$458,1,'BASE_CIERRE'!$H$5:$H$458,"Not specified",'BASE_CIERRE'!$J$5:$J$458,"Text/language",'BASE_CIERRE'!$I$5:$I$458,"Deep Learning",'BASE_CIERRE'!$S$5:$S$458,"Reported")</ns0:f>
        <ns0:v>0</ns0:v>
      </ns0:c>
      <ns0:c r="G227" s="27">
        <ns0:f>COUNTIFS('BASE_CIERRE'!$G$5:$G$458,1,'BASE_CIERRE'!$H$5:$H$458,"Not specified",'BASE_CIERRE'!$J$5:$J$458,"Text/language",'BASE_CIERRE'!$I$5:$I$458,"Deep Learning",'BASE_CIERRE'!$S$5:$S$458,"Not reported in assessed sources")</ns0:f>
        <ns0:v>2</ns0:v>
      </ns0:c>
      <ns0:c r="H227" s="27">
        <ns0:f>COUNTIFS('BASE_CIERRE'!$G$5:$G$458,1,'BASE_CIERRE'!$H$5:$H$458,"Not specified",'BASE_CIERRE'!$J$5:$J$458,"Text/language",'BASE_CIERRE'!$I$5:$I$458,"Deep Learning",'BASE_CIERRE'!$S$5:$S$458,"Not ascertainable")</ns0:f>
        <ns0:v>0</ns0:v>
      </ns0:c>
      <ns0:c r="I227" s="27">
        <ns0:f>SUM(F227:H227)</ns0:f>
        <ns0:v>2</ns0:v>
      </ns0:c>
      <ns0:c r="J227" s="31">
        <ns0:f>IFERROR(F227/I227,0)</ns0:f>
        <ns0:v>0</ns0:v>
      </ns0:c>
      <ns0:c r="K227" s="31">
        <ns0:f>IFERROR(F227/(I227-H227),0)</ns0:f>
        <ns0:v>0</ns0:v>
      </ns0:c>
      <ns0:c r="L227" s="19" t="inlineStr">
        <ns0:is>
          <ns0:t>212; new_160</ns0:t>
        </ns0:is>
      </ns0:c>
    </ns0:row>
    <ns0:row r="228" ht="32" customHeight="1">
      <ns0:c r="A228" s="21" t="inlineStr">
        <ns0:is>
          <ns0:t>Not specified</ns0:t>
        </ns0:is>
      </ns0:c>
      <ns0:c r="B228" s="21" t="inlineStr">
        <ns0:is>
          <ns0:t>Text/language</ns0:t>
        </ns0:is>
      </ns0:c>
      <ns0:c r="C228" s="21" t="inlineStr">
        <ns0:is>
          <ns0:t>Deep Learning</ns0:t>
        </ns0:is>
      </ns0:c>
      <ns0:c r="D228" s="21" t="inlineStr">
        <ns0:is>
          <ns0:t>Cross-site evaluation</ns0:t>
        </ns0:is>
      </ns0:c>
      <ns0:c r="E228" s="21" t="inlineStr">
        <ns0:is>
          <ns0:t>cross_site_robustness</ns0:t>
        </ns0:is>
      </ns0:c>
      <ns0:c r="F228" s="29">
        <ns0:f>COUNTIFS('BASE_CIERRE'!$G$5:$G$458,1,'BASE_CIERRE'!$H$5:$H$458,"Not specified",'BASE_CIERRE'!$J$5:$J$458,"Text/language",'BASE_CIERRE'!$I$5:$I$458,"Deep Learning",'BASE_CIERRE'!$U$5:$U$458,"Reported")</ns0:f>
        <ns0:v>0</ns0:v>
      </ns0:c>
      <ns0:c r="G228" s="29">
        <ns0:f>COUNTIFS('BASE_CIERRE'!$G$5:$G$458,1,'BASE_CIERRE'!$H$5:$H$458,"Not specified",'BASE_CIERRE'!$J$5:$J$458,"Text/language",'BASE_CIERRE'!$I$5:$I$458,"Deep Learning",'BASE_CIERRE'!$U$5:$U$458,"Not reported in assessed sources")</ns0:f>
        <ns0:v>2</ns0:v>
      </ns0:c>
      <ns0:c r="H228" s="29">
        <ns0:f>COUNTIFS('BASE_CIERRE'!$G$5:$G$458,1,'BASE_CIERRE'!$H$5:$H$458,"Not specified",'BASE_CIERRE'!$J$5:$J$458,"Text/language",'BASE_CIERRE'!$I$5:$I$458,"Deep Learning",'BASE_CIERRE'!$U$5:$U$458,"Not ascertainable")</ns0:f>
        <ns0:v>0</ns0:v>
      </ns0:c>
      <ns0:c r="I228" s="29">
        <ns0:f>SUM(F228:H228)</ns0:f>
        <ns0:v>2</ns0:v>
      </ns0:c>
      <ns0:c r="J228" s="32">
        <ns0:f>IFERROR(F228/I228,0)</ns0:f>
        <ns0:v>0</ns0:v>
      </ns0:c>
      <ns0:c r="K228" s="32">
        <ns0:f>IFERROR(F228/(I228-H228),0)</ns0:f>
        <ns0:v>0</ns0:v>
      </ns0:c>
      <ns0:c r="L228" s="21" t="inlineStr">
        <ns0:is>
          <ns0:t>212; new_160</ns0:t>
        </ns0:is>
      </ns0:c>
    </ns0:row>
    <ns0:row r="229" ht="32" customHeight="1">
      <ns0:c r="A229" s="19" t="inlineStr">
        <ns0:is>
          <ns0:t>Prescreening</ns0:t>
        </ns0:is>
      </ns0:c>
      <ns0:c r="B229" s="19" t="inlineStr">
        <ns0:is>
          <ns0:t>Multiple source categories</ns0:t>
        </ns0:is>
      </ns0:c>
      <ns0:c r="C229" s="19" t="inlineStr">
        <ns0:is>
          <ns0:t>Machine Learning</ns0:t>
        </ns0:is>
      </ns0:c>
      <ns0:c r="D229" s="19" t="inlineStr">
        <ns0:is>
          <ns0:t>External validation</ns0:t>
        </ns0:is>
      </ns0:c>
      <ns0:c r="E229" s="19" t="inlineStr">
        <ns0:is>
          <ns0:t>external_validation</ns0:t>
        </ns0:is>
      </ns0:c>
      <ns0:c r="F229" s="27">
        <ns0:f>COUNTIFS('BASE_CIERRE'!$G$5:$G$458,1,'BASE_CIERRE'!$H$5:$H$458,"Prescreening",'BASE_CIERRE'!$J$5:$J$458,"Multiple source categories",'BASE_CIERRE'!$I$5:$I$458,"Machine Learning",'BASE_CIERRE'!$Q$5:$Q$458,"Reported")</ns0:f>
        <ns0:v>0</ns0:v>
      </ns0:c>
      <ns0:c r="G229" s="27">
        <ns0:f>COUNTIFS('BASE_CIERRE'!$G$5:$G$458,1,'BASE_CIERRE'!$H$5:$H$458,"Prescreening",'BASE_CIERRE'!$J$5:$J$458,"Multiple source categories",'BASE_CIERRE'!$I$5:$I$458,"Machine Learning",'BASE_CIERRE'!$Q$5:$Q$458,"Not reported in assessed sources")</ns0:f>
        <ns0:v>2</ns0:v>
      </ns0:c>
      <ns0:c r="H229" s="27">
        <ns0:f>COUNTIFS('BASE_CIERRE'!$G$5:$G$458,1,'BASE_CIERRE'!$H$5:$H$458,"Prescreening",'BASE_CIERRE'!$J$5:$J$458,"Multiple source categories",'BASE_CIERRE'!$I$5:$I$458,"Machine Learning",'BASE_CIERRE'!$Q$5:$Q$458,"Not ascertainable")</ns0:f>
        <ns0:v>0</ns0:v>
      </ns0:c>
      <ns0:c r="I229" s="27">
        <ns0:f>SUM(F229:H229)</ns0:f>
        <ns0:v>2</ns0:v>
      </ns0:c>
      <ns0:c r="J229" s="31">
        <ns0:f>IFERROR(F229/I229,0)</ns0:f>
        <ns0:v>0</ns0:v>
      </ns0:c>
      <ns0:c r="K229" s="31">
        <ns0:f>IFERROR(F229/(I229-H229),0)</ns0:f>
        <ns0:v>0</ns0:v>
      </ns0:c>
      <ns0:c r="L229" s="19" t="inlineStr">
        <ns0:is>
          <ns0:t>267; new_56</ns0:t>
        </ns0:is>
      </ns0:c>
    </ns0:row>
    <ns0:row r="230" ht="32" customHeight="1">
      <ns0:c r="A230" s="21" t="inlineStr">
        <ns0:is>
          <ns0:t>Prescreening</ns0:t>
        </ns0:is>
      </ns0:c>
      <ns0:c r="B230" s="21" t="inlineStr">
        <ns0:is>
          <ns0:t>Multiple source categories</ns0:t>
        </ns0:is>
      </ns0:c>
      <ns0:c r="C230" s="21" t="inlineStr">
        <ns0:is>
          <ns0:t>Machine Learning</ns0:t>
        </ns0:is>
      </ns0:c>
      <ns0:c r="D230" s="21" t="inlineStr">
        <ns0:is>
          <ns0:t>Multisource integration</ns0:t>
        </ns0:is>
      </ns0:c>
      <ns0:c r="E230" s="21" t="inlineStr">
        <ns0:is>
          <ns0:t>multisource_integration</ns0:t>
        </ns0:is>
      </ns0:c>
      <ns0:c r="F230" s="29">
        <ns0:f>COUNTIFS('BASE_CIERRE'!$G$5:$G$458,1,'BASE_CIERRE'!$H$5:$H$458,"Prescreening",'BASE_CIERRE'!$J$5:$J$458,"Multiple source categories",'BASE_CIERRE'!$I$5:$I$458,"Machine Learning",'BASE_CIERRE'!$R$5:$R$458,"Reported")</ns0:f>
        <ns0:v>1</ns0:v>
      </ns0:c>
      <ns0:c r="G230" s="29">
        <ns0:f>COUNTIFS('BASE_CIERRE'!$G$5:$G$458,1,'BASE_CIERRE'!$H$5:$H$458,"Prescreening",'BASE_CIERRE'!$J$5:$J$458,"Multiple source categories",'BASE_CIERRE'!$I$5:$I$458,"Machine Learning",'BASE_CIERRE'!$R$5:$R$458,"Not reported in assessed sources")</ns0:f>
        <ns0:v>0</ns0:v>
      </ns0:c>
      <ns0:c r="H230" s="29">
        <ns0:f>COUNTIFS('BASE_CIERRE'!$G$5:$G$458,1,'BASE_CIERRE'!$H$5:$H$458,"Prescreening",'BASE_CIERRE'!$J$5:$J$458,"Multiple source categories",'BASE_CIERRE'!$I$5:$I$458,"Machine Learning",'BASE_CIERRE'!$R$5:$R$458,"Not ascertainable")</ns0:f>
        <ns0:v>1</ns0:v>
      </ns0:c>
      <ns0:c r="I230" s="29">
        <ns0:f>SUM(F230:H230)</ns0:f>
        <ns0:v>2</ns0:v>
      </ns0:c>
      <ns0:c r="J230" s="32">
        <ns0:f>IFERROR(F230/I230,0)</ns0:f>
        <ns0:v>0.5</ns0:v>
      </ns0:c>
      <ns0:c r="K230" s="32">
        <ns0:f>IFERROR(F230/(I230-H230),0)</ns0:f>
        <ns0:v>1</ns0:v>
      </ns0:c>
      <ns0:c r="L230" s="21" t="inlineStr">
        <ns0:is>
          <ns0:t>267; new_56</ns0:t>
        </ns0:is>
      </ns0:c>
    </ns0:row>
    <ns0:row r="231" ht="32" customHeight="1">
      <ns0:c r="A231" s="19" t="inlineStr">
        <ns0:is>
          <ns0:t>Prescreening</ns0:t>
        </ns0:is>
      </ns0:c>
      <ns0:c r="B231" s="19" t="inlineStr">
        <ns0:is>
          <ns0:t>Multiple source categories</ns0:t>
        </ns0:is>
      </ns0:c>
      <ns0:c r="C231" s="19" t="inlineStr">
        <ns0:is>
          <ns0:t>Machine Learning</ns0:t>
        </ns0:is>
      </ns0:c>
      <ns0:c r="D231" s="19" t="inlineStr">
        <ns0:is>
          <ns0:t>Explicit explainability (broad)</ns0:t>
        </ns0:is>
      </ns0:c>
      <ns0:c r="E231" s="19" t="inlineStr">
        <ns0:is>
          <ns0:t>xai_broad</ns0:t>
        </ns0:is>
      </ns0:c>
      <ns0:c r="F231" s="27">
        <ns0:f>COUNTIFS('BASE_CIERRE'!$G$5:$G$458,1,'BASE_CIERRE'!$H$5:$H$458,"Prescreening",'BASE_CIERRE'!$J$5:$J$458,"Multiple source categories",'BASE_CIERRE'!$I$5:$I$458,"Machine Learning",'BASE_CIERRE'!$S$5:$S$458,"Reported")</ns0:f>
        <ns0:v>1</ns0:v>
      </ns0:c>
      <ns0:c r="G231" s="27">
        <ns0:f>COUNTIFS('BASE_CIERRE'!$G$5:$G$458,1,'BASE_CIERRE'!$H$5:$H$458,"Prescreening",'BASE_CIERRE'!$J$5:$J$458,"Multiple source categories",'BASE_CIERRE'!$I$5:$I$458,"Machine Learning",'BASE_CIERRE'!$S$5:$S$458,"Not reported in assessed sources")</ns0:f>
        <ns0:v>1</ns0:v>
      </ns0:c>
      <ns0:c r="H231" s="27">
        <ns0:f>COUNTIFS('BASE_CIERRE'!$G$5:$G$458,1,'BASE_CIERRE'!$H$5:$H$458,"Prescreening",'BASE_CIERRE'!$J$5:$J$458,"Multiple source categories",'BASE_CIERRE'!$I$5:$I$458,"Machine Learning",'BASE_CIERRE'!$S$5:$S$458,"Not ascertainable")</ns0:f>
        <ns0:v>0</ns0:v>
      </ns0:c>
      <ns0:c r="I231" s="27">
        <ns0:f>SUM(F231:H231)</ns0:f>
        <ns0:v>2</ns0:v>
      </ns0:c>
      <ns0:c r="J231" s="31">
        <ns0:f>IFERROR(F231/I231,0)</ns0:f>
        <ns0:v>0.5</ns0:v>
      </ns0:c>
      <ns0:c r="K231" s="31">
        <ns0:f>IFERROR(F231/(I231-H231),0)</ns0:f>
        <ns0:v>0.5</ns0:v>
      </ns0:c>
      <ns0:c r="L231" s="19" t="inlineStr">
        <ns0:is>
          <ns0:t>267; new_56</ns0:t>
        </ns0:is>
      </ns0:c>
    </ns0:row>
    <ns0:row r="232" ht="32" customHeight="1">
      <ns0:c r="A232" s="21" t="inlineStr">
        <ns0:is>
          <ns0:t>Prescreening</ns0:t>
        </ns0:is>
      </ns0:c>
      <ns0:c r="B232" s="21" t="inlineStr">
        <ns0:is>
          <ns0:t>Multiple source categories</ns0:t>
        </ns0:is>
      </ns0:c>
      <ns0:c r="C232" s="21" t="inlineStr">
        <ns0:is>
          <ns0:t>Machine Learning</ns0:t>
        </ns0:is>
      </ns0:c>
      <ns0:c r="D232" s="21" t="inlineStr">
        <ns0:is>
          <ns0:t>Cross-site evaluation</ns0:t>
        </ns0:is>
      </ns0:c>
      <ns0:c r="E232" s="21" t="inlineStr">
        <ns0:is>
          <ns0:t>cross_site_robustness</ns0:t>
        </ns0:is>
      </ns0:c>
      <ns0:c r="F232" s="29">
        <ns0:f>COUNTIFS('BASE_CIERRE'!$G$5:$G$458,1,'BASE_CIERRE'!$H$5:$H$458,"Prescreening",'BASE_CIERRE'!$J$5:$J$458,"Multiple source categories",'BASE_CIERRE'!$I$5:$I$458,"Machine Learning",'BASE_CIERRE'!$U$5:$U$458,"Reported")</ns0:f>
        <ns0:v>0</ns0:v>
      </ns0:c>
      <ns0:c r="G232" s="29">
        <ns0:f>COUNTIFS('BASE_CIERRE'!$G$5:$G$458,1,'BASE_CIERRE'!$H$5:$H$458,"Prescreening",'BASE_CIERRE'!$J$5:$J$458,"Multiple source categories",'BASE_CIERRE'!$I$5:$I$458,"Machine Learning",'BASE_CIERRE'!$U$5:$U$458,"Not reported in assessed sources")</ns0:f>
        <ns0:v>2</ns0:v>
      </ns0:c>
      <ns0:c r="H232" s="29">
        <ns0:f>COUNTIFS('BASE_CIERRE'!$G$5:$G$458,1,'BASE_CIERRE'!$H$5:$H$458,"Prescreening",'BASE_CIERRE'!$J$5:$J$458,"Multiple source categories",'BASE_CIERRE'!$I$5:$I$458,"Machine Learning",'BASE_CIERRE'!$U$5:$U$458,"Not ascertainable")</ns0:f>
        <ns0:v>0</ns0:v>
      </ns0:c>
      <ns0:c r="I232" s="29">
        <ns0:f>SUM(F232:H232)</ns0:f>
        <ns0:v>2</ns0:v>
      </ns0:c>
      <ns0:c r="J232" s="32">
        <ns0:f>IFERROR(F232/I232,0)</ns0:f>
        <ns0:v>0</ns0:v>
      </ns0:c>
      <ns0:c r="K232" s="32">
        <ns0:f>IFERROR(F232/(I232-H232),0)</ns0:f>
        <ns0:v>0</ns0:v>
      </ns0:c>
      <ns0:c r="L232" s="21" t="inlineStr">
        <ns0:is>
          <ns0:t>267; new_56</ns0:t>
        </ns0:is>
      </ns0:c>
    </ns0:row>
    <ns0:row r="233" ht="32" customHeight="1">
      <ns0:c r="A233" s="19" t="inlineStr">
        <ns0:is>
          <ns0:t>Prescreening</ns0:t>
        </ns0:is>
      </ns0:c>
      <ns0:c r="B233" s="19" t="inlineStr">
        <ns0:is>
          <ns0:t>Other biomedical/digital data</ns0:t>
        </ns0:is>
      </ns0:c>
      <ns0:c r="C233" s="19" t="inlineStr">
        <ns0:is>
          <ns0:t>Machine Learning</ns0:t>
        </ns0:is>
      </ns0:c>
      <ns0:c r="D233" s="19" t="inlineStr">
        <ns0:is>
          <ns0:t>External validation</ns0:t>
        </ns0:is>
      </ns0:c>
      <ns0:c r="E233" s="19" t="inlineStr">
        <ns0:is>
          <ns0:t>external_validation</ns0:t>
        </ns0:is>
      </ns0:c>
      <ns0:c r="F233" s="27">
        <ns0:f>COUNTIFS('BASE_CIERRE'!$G$5:$G$458,1,'BASE_CIERRE'!$H$5:$H$458,"Prescreening",'BASE_CIERRE'!$J$5:$J$458,"Other biomedical/digital data",'BASE_CIERRE'!$I$5:$I$458,"Machine Learning",'BASE_CIERRE'!$Q$5:$Q$458,"Reported")</ns0:f>
        <ns0:v>0</ns0:v>
      </ns0:c>
      <ns0:c r="G233" s="27">
        <ns0:f>COUNTIFS('BASE_CIERRE'!$G$5:$G$458,1,'BASE_CIERRE'!$H$5:$H$458,"Prescreening",'BASE_CIERRE'!$J$5:$J$458,"Other biomedical/digital data",'BASE_CIERRE'!$I$5:$I$458,"Machine Learning",'BASE_CIERRE'!$Q$5:$Q$458,"Not reported in assessed sources")</ns0:f>
        <ns0:v>1</ns0:v>
      </ns0:c>
      <ns0:c r="H233" s="27">
        <ns0:f>COUNTIFS('BASE_CIERRE'!$G$5:$G$458,1,'BASE_CIERRE'!$H$5:$H$458,"Prescreening",'BASE_CIERRE'!$J$5:$J$458,"Other biomedical/digital data",'BASE_CIERRE'!$I$5:$I$458,"Machine Learning",'BASE_CIERRE'!$Q$5:$Q$458,"Not ascertainable")</ns0:f>
        <ns0:v>0</ns0:v>
      </ns0:c>
      <ns0:c r="I233" s="27">
        <ns0:f>SUM(F233:H233)</ns0:f>
        <ns0:v>1</ns0:v>
      </ns0:c>
      <ns0:c r="J233" s="31">
        <ns0:f>IFERROR(F233/I233,0)</ns0:f>
        <ns0:v>0</ns0:v>
      </ns0:c>
      <ns0:c r="K233" s="31">
        <ns0:f>IFERROR(F233/(I233-H233),0)</ns0:f>
        <ns0:v>0</ns0:v>
      </ns0:c>
      <ns0:c r="L233" s="19" t="inlineStr">
        <ns0:is>
          <ns0:t>278</ns0:t>
        </ns0:is>
      </ns0:c>
    </ns0:row>
    <ns0:row r="234" ht="32" customHeight="1">
      <ns0:c r="A234" s="21" t="inlineStr">
        <ns0:is>
          <ns0:t>Prescreening</ns0:t>
        </ns0:is>
      </ns0:c>
      <ns0:c r="B234" s="21" t="inlineStr">
        <ns0:is>
          <ns0:t>Other biomedical/digital data</ns0:t>
        </ns0:is>
      </ns0:c>
      <ns0:c r="C234" s="21" t="inlineStr">
        <ns0:is>
          <ns0:t>Machine Learning</ns0:t>
        </ns0:is>
      </ns0:c>
      <ns0:c r="D234" s="21" t="inlineStr">
        <ns0:is>
          <ns0:t>Multisource integration</ns0:t>
        </ns0:is>
      </ns0:c>
      <ns0:c r="E234" s="21" t="inlineStr">
        <ns0:is>
          <ns0:t>multisource_integration</ns0:t>
        </ns0:is>
      </ns0:c>
      <ns0:c r="F234" s="29">
        <ns0:f>COUNTIFS('BASE_CIERRE'!$G$5:$G$458,1,'BASE_CIERRE'!$H$5:$H$458,"Prescreening",'BASE_CIERRE'!$J$5:$J$458,"Other biomedical/digital data",'BASE_CIERRE'!$I$5:$I$458,"Machine Learning",'BASE_CIERRE'!$R$5:$R$458,"Reported")</ns0:f>
        <ns0:v>0</ns0:v>
      </ns0:c>
      <ns0:c r="G234" s="29">
        <ns0:f>COUNTIFS('BASE_CIERRE'!$G$5:$G$458,1,'BASE_CIERRE'!$H$5:$H$458,"Prescreening",'BASE_CIERRE'!$J$5:$J$458,"Other biomedical/digital data",'BASE_CIERRE'!$I$5:$I$458,"Machine Learning",'BASE_CIERRE'!$R$5:$R$458,"Not reported in assessed sources")</ns0:f>
        <ns0:v>1</ns0:v>
      </ns0:c>
      <ns0:c r="H234" s="29">
        <ns0:f>COUNTIFS('BASE_CIERRE'!$G$5:$G$458,1,'BASE_CIERRE'!$H$5:$H$458,"Prescreening",'BASE_CIERRE'!$J$5:$J$458,"Other biomedical/digital data",'BASE_CIERRE'!$I$5:$I$458,"Machine Learning",'BASE_CIERRE'!$R$5:$R$458,"Not ascertainable")</ns0:f>
        <ns0:v>0</ns0:v>
      </ns0:c>
      <ns0:c r="I234" s="29">
        <ns0:f>SUM(F234:H234)</ns0:f>
        <ns0:v>1</ns0:v>
      </ns0:c>
      <ns0:c r="J234" s="32">
        <ns0:f>IFERROR(F234/I234,0)</ns0:f>
        <ns0:v>0</ns0:v>
      </ns0:c>
      <ns0:c r="K234" s="32">
        <ns0:f>IFERROR(F234/(I234-H234),0)</ns0:f>
        <ns0:v>0</ns0:v>
      </ns0:c>
      <ns0:c r="L234" s="21" t="inlineStr">
        <ns0:is>
          <ns0:t>278</ns0:t>
        </ns0:is>
      </ns0:c>
    </ns0:row>
    <ns0:row r="235" ht="32" customHeight="1">
      <ns0:c r="A235" s="19" t="inlineStr">
        <ns0:is>
          <ns0:t>Prescreening</ns0:t>
        </ns0:is>
      </ns0:c>
      <ns0:c r="B235" s="19" t="inlineStr">
        <ns0:is>
          <ns0:t>Other biomedical/digital data</ns0:t>
        </ns0:is>
      </ns0:c>
      <ns0:c r="C235" s="19" t="inlineStr">
        <ns0:is>
          <ns0:t>Machine Learning</ns0:t>
        </ns0:is>
      </ns0:c>
      <ns0:c r="D235" s="19" t="inlineStr">
        <ns0:is>
          <ns0:t>Explicit explainability (broad)</ns0:t>
        </ns0:is>
      </ns0:c>
      <ns0:c r="E235" s="19" t="inlineStr">
        <ns0:is>
          <ns0:t>xai_broad</ns0:t>
        </ns0:is>
      </ns0:c>
      <ns0:c r="F235" s="27">
        <ns0:f>COUNTIFS('BASE_CIERRE'!$G$5:$G$458,1,'BASE_CIERRE'!$H$5:$H$458,"Prescreening",'BASE_CIERRE'!$J$5:$J$458,"Other biomedical/digital data",'BASE_CIERRE'!$I$5:$I$458,"Machine Learning",'BASE_CIERRE'!$S$5:$S$458,"Reported")</ns0:f>
        <ns0:v>0</ns0:v>
      </ns0:c>
      <ns0:c r="G235" s="27">
        <ns0:f>COUNTIFS('BASE_CIERRE'!$G$5:$G$458,1,'BASE_CIERRE'!$H$5:$H$458,"Prescreening",'BASE_CIERRE'!$J$5:$J$458,"Other biomedical/digital data",'BASE_CIERRE'!$I$5:$I$458,"Machine Learning",'BASE_CIERRE'!$S$5:$S$458,"Not reported in assessed sources")</ns0:f>
        <ns0:v>1</ns0:v>
      </ns0:c>
      <ns0:c r="H235" s="27">
        <ns0:f>COUNTIFS('BASE_CIERRE'!$G$5:$G$458,1,'BASE_CIERRE'!$H$5:$H$458,"Prescreening",'BASE_CIERRE'!$J$5:$J$458,"Other biomedical/digital data",'BASE_CIERRE'!$I$5:$I$458,"Machine Learning",'BASE_CIERRE'!$S$5:$S$458,"Not ascertainable")</ns0:f>
        <ns0:v>0</ns0:v>
      </ns0:c>
      <ns0:c r="I235" s="27">
        <ns0:f>SUM(F235:H235)</ns0:f>
        <ns0:v>1</ns0:v>
      </ns0:c>
      <ns0:c r="J235" s="31">
        <ns0:f>IFERROR(F235/I235,0)</ns0:f>
        <ns0:v>0</ns0:v>
      </ns0:c>
      <ns0:c r="K235" s="31">
        <ns0:f>IFERROR(F235/(I235-H235),0)</ns0:f>
        <ns0:v>0</ns0:v>
      </ns0:c>
      <ns0:c r="L235" s="19" t="inlineStr">
        <ns0:is>
          <ns0:t>278</ns0:t>
        </ns0:is>
      </ns0:c>
    </ns0:row>
    <ns0:row r="236" ht="32" customHeight="1">
      <ns0:c r="A236" s="21" t="inlineStr">
        <ns0:is>
          <ns0:t>Prescreening</ns0:t>
        </ns0:is>
      </ns0:c>
      <ns0:c r="B236" s="21" t="inlineStr">
        <ns0:is>
          <ns0:t>Other biomedical/digital data</ns0:t>
        </ns0:is>
      </ns0:c>
      <ns0:c r="C236" s="21" t="inlineStr">
        <ns0:is>
          <ns0:t>Machine Learning</ns0:t>
        </ns0:is>
      </ns0:c>
      <ns0:c r="D236" s="21" t="inlineStr">
        <ns0:is>
          <ns0:t>Cross-site evaluation</ns0:t>
        </ns0:is>
      </ns0:c>
      <ns0:c r="E236" s="21" t="inlineStr">
        <ns0:is>
          <ns0:t>cross_site_robustness</ns0:t>
        </ns0:is>
      </ns0:c>
      <ns0:c r="F236" s="29">
        <ns0:f>COUNTIFS('BASE_CIERRE'!$G$5:$G$458,1,'BASE_CIERRE'!$H$5:$H$458,"Prescreening",'BASE_CIERRE'!$J$5:$J$458,"Other biomedical/digital data",'BASE_CIERRE'!$I$5:$I$458,"Machine Learning",'BASE_CIERRE'!$U$5:$U$458,"Reported")</ns0:f>
        <ns0:v>0</ns0:v>
      </ns0:c>
      <ns0:c r="G236" s="29">
        <ns0:f>COUNTIFS('BASE_CIERRE'!$G$5:$G$458,1,'BASE_CIERRE'!$H$5:$H$458,"Prescreening",'BASE_CIERRE'!$J$5:$J$458,"Other biomedical/digital data",'BASE_CIERRE'!$I$5:$I$458,"Machine Learning",'BASE_CIERRE'!$U$5:$U$458,"Not reported in assessed sources")</ns0:f>
        <ns0:v>1</ns0:v>
      </ns0:c>
      <ns0:c r="H236" s="29">
        <ns0:f>COUNTIFS('BASE_CIERRE'!$G$5:$G$458,1,'BASE_CIERRE'!$H$5:$H$458,"Prescreening",'BASE_CIERRE'!$J$5:$J$458,"Other biomedical/digital data",'BASE_CIERRE'!$I$5:$I$458,"Machine Learning",'BASE_CIERRE'!$U$5:$U$458,"Not ascertainable")</ns0:f>
        <ns0:v>0</ns0:v>
      </ns0:c>
      <ns0:c r="I236" s="29">
        <ns0:f>SUM(F236:H236)</ns0:f>
        <ns0:v>1</ns0:v>
      </ns0:c>
      <ns0:c r="J236" s="32">
        <ns0:f>IFERROR(F236/I236,0)</ns0:f>
        <ns0:v>0</ns0:v>
      </ns0:c>
      <ns0:c r="K236" s="32">
        <ns0:f>IFERROR(F236/(I236-H236),0)</ns0:f>
        <ns0:v>0</ns0:v>
      </ns0:c>
      <ns0:c r="L236" s="21" t="inlineStr">
        <ns0:is>
          <ns0:t>278</ns0:t>
        </ns0:is>
      </ns0:c>
    </ns0:row>
    <ns0:row r="237" ht="32" customHeight="1">
      <ns0:c r="A237" s="19" t="inlineStr">
        <ns0:is>
          <ns0:t>Prescreening</ns0:t>
        </ns0:is>
      </ns0:c>
      <ns0:c r="B237" s="19" t="inlineStr">
        <ns0:is>
          <ns0:t>Structured clinical/questionnaire data</ns0:t>
        </ns0:is>
      </ns0:c>
      <ns0:c r="C237" s="19" t="inlineStr">
        <ns0:is>
          <ns0:t>Machine Learning</ns0:t>
        </ns0:is>
      </ns0:c>
      <ns0:c r="D237" s="19" t="inlineStr">
        <ns0:is>
          <ns0:t>External validation</ns0:t>
        </ns0:is>
      </ns0:c>
      <ns0:c r="E237" s="19" t="inlineStr">
        <ns0:is>
          <ns0:t>external_validation</ns0:t>
        </ns0:is>
      </ns0:c>
      <ns0:c r="F237" s="27">
        <ns0:f>COUNTIFS('BASE_CIERRE'!$G$5:$G$458,1,'BASE_CIERRE'!$H$5:$H$458,"Prescreening",'BASE_CIERRE'!$J$5:$J$458,"Structured clinical/questionnaire data",'BASE_CIERRE'!$I$5:$I$458,"Machine Learning",'BASE_CIERRE'!$Q$5:$Q$458,"Reported")</ns0:f>
        <ns0:v>0</ns0:v>
      </ns0:c>
      <ns0:c r="G237" s="27">
        <ns0:f>COUNTIFS('BASE_CIERRE'!$G$5:$G$458,1,'BASE_CIERRE'!$H$5:$H$458,"Prescreening",'BASE_CIERRE'!$J$5:$J$458,"Structured clinical/questionnaire data",'BASE_CIERRE'!$I$5:$I$458,"Machine Learning",'BASE_CIERRE'!$Q$5:$Q$458,"Not reported in assessed sources")</ns0:f>
        <ns0:v>4</ns0:v>
      </ns0:c>
      <ns0:c r="H237" s="27">
        <ns0:f>COUNTIFS('BASE_CIERRE'!$G$5:$G$458,1,'BASE_CIERRE'!$H$5:$H$458,"Prescreening",'BASE_CIERRE'!$J$5:$J$458,"Structured clinical/questionnaire data",'BASE_CIERRE'!$I$5:$I$458,"Machine Learning",'BASE_CIERRE'!$Q$5:$Q$458,"Not ascertainable")</ns0:f>
        <ns0:v>0</ns0:v>
      </ns0:c>
      <ns0:c r="I237" s="27">
        <ns0:f>SUM(F237:H237)</ns0:f>
        <ns0:v>4</ns0:v>
      </ns0:c>
      <ns0:c r="J237" s="31">
        <ns0:f>IFERROR(F237/I237,0)</ns0:f>
        <ns0:v>0</ns0:v>
      </ns0:c>
      <ns0:c r="K237" s="31">
        <ns0:f>IFERROR(F237/(I237-H237),0)</ns0:f>
        <ns0:v>0</ns0:v>
      </ns0:c>
      <ns0:c r="L237" s="19" t="inlineStr">
        <ns0:is>
          <ns0:t>111; new_275; new_277; new_280</ns0:t>
        </ns0:is>
      </ns0:c>
    </ns0:row>
    <ns0:row r="238" ht="32" customHeight="1">
      <ns0:c r="A238" s="21" t="inlineStr">
        <ns0:is>
          <ns0:t>Prescreening</ns0:t>
        </ns0:is>
      </ns0:c>
      <ns0:c r="B238" s="21" t="inlineStr">
        <ns0:is>
          <ns0:t>Structured clinical/questionnaire data</ns0:t>
        </ns0:is>
      </ns0:c>
      <ns0:c r="C238" s="21" t="inlineStr">
        <ns0:is>
          <ns0:t>Machine Learning</ns0:t>
        </ns0:is>
      </ns0:c>
      <ns0:c r="D238" s="21" t="inlineStr">
        <ns0:is>
          <ns0:t>Multisource integration</ns0:t>
        </ns0:is>
      </ns0:c>
      <ns0:c r="E238" s="21" t="inlineStr">
        <ns0:is>
          <ns0:t>multisource_integration</ns0:t>
        </ns0:is>
      </ns0:c>
      <ns0:c r="F238" s="29">
        <ns0:f>COUNTIFS('BASE_CIERRE'!$G$5:$G$458,1,'BASE_CIERRE'!$H$5:$H$458,"Prescreening",'BASE_CIERRE'!$J$5:$J$458,"Structured clinical/questionnaire data",'BASE_CIERRE'!$I$5:$I$458,"Machine Learning",'BASE_CIERRE'!$R$5:$R$458,"Reported")</ns0:f>
        <ns0:v>0</ns0:v>
      </ns0:c>
      <ns0:c r="G238" s="29">
        <ns0:f>COUNTIFS('BASE_CIERRE'!$G$5:$G$458,1,'BASE_CIERRE'!$H$5:$H$458,"Prescreening",'BASE_CIERRE'!$J$5:$J$458,"Structured clinical/questionnaire data",'BASE_CIERRE'!$I$5:$I$458,"Machine Learning",'BASE_CIERRE'!$R$5:$R$458,"Not reported in assessed sources")</ns0:f>
        <ns0:v>4</ns0:v>
      </ns0:c>
      <ns0:c r="H238" s="29">
        <ns0:f>COUNTIFS('BASE_CIERRE'!$G$5:$G$458,1,'BASE_CIERRE'!$H$5:$H$458,"Prescreening",'BASE_CIERRE'!$J$5:$J$458,"Structured clinical/questionnaire data",'BASE_CIERRE'!$I$5:$I$458,"Machine Learning",'BASE_CIERRE'!$R$5:$R$458,"Not ascertainable")</ns0:f>
        <ns0:v>0</ns0:v>
      </ns0:c>
      <ns0:c r="I238" s="29">
        <ns0:f>SUM(F238:H238)</ns0:f>
        <ns0:v>4</ns0:v>
      </ns0:c>
      <ns0:c r="J238" s="32">
        <ns0:f>IFERROR(F238/I238,0)</ns0:f>
        <ns0:v>0</ns0:v>
      </ns0:c>
      <ns0:c r="K238" s="32">
        <ns0:f>IFERROR(F238/(I238-H238),0)</ns0:f>
        <ns0:v>0</ns0:v>
      </ns0:c>
      <ns0:c r="L238" s="21" t="inlineStr">
        <ns0:is>
          <ns0:t>111; new_275; new_277; new_280</ns0:t>
        </ns0:is>
      </ns0:c>
    </ns0:row>
    <ns0:row r="239" ht="32" customHeight="1">
      <ns0:c r="A239" s="19" t="inlineStr">
        <ns0:is>
          <ns0:t>Prescreening</ns0:t>
        </ns0:is>
      </ns0:c>
      <ns0:c r="B239" s="19" t="inlineStr">
        <ns0:is>
          <ns0:t>Structured clinical/questionnaire data</ns0:t>
        </ns0:is>
      </ns0:c>
      <ns0:c r="C239" s="19" t="inlineStr">
        <ns0:is>
          <ns0:t>Machine Learning</ns0:t>
        </ns0:is>
      </ns0:c>
      <ns0:c r="D239" s="19" t="inlineStr">
        <ns0:is>
          <ns0:t>Explicit explainability (broad)</ns0:t>
        </ns0:is>
      </ns0:c>
      <ns0:c r="E239" s="19" t="inlineStr">
        <ns0:is>
          <ns0:t>xai_broad</ns0:t>
        </ns0:is>
      </ns0:c>
      <ns0:c r="F239" s="27">
        <ns0:f>COUNTIFS('BASE_CIERRE'!$G$5:$G$458,1,'BASE_CIERRE'!$H$5:$H$458,"Prescreening",'BASE_CIERRE'!$J$5:$J$458,"Structured clinical/questionnaire data",'BASE_CIERRE'!$I$5:$I$458,"Machine Learning",'BASE_CIERRE'!$S$5:$S$458,"Reported")</ns0:f>
        <ns0:v>4</ns0:v>
      </ns0:c>
      <ns0:c r="G239" s="27">
        <ns0:f>COUNTIFS('BASE_CIERRE'!$G$5:$G$458,1,'BASE_CIERRE'!$H$5:$H$458,"Prescreening",'BASE_CIERRE'!$J$5:$J$458,"Structured clinical/questionnaire data",'BASE_CIERRE'!$I$5:$I$458,"Machine Learning",'BASE_CIERRE'!$S$5:$S$458,"Not reported in assessed sources")</ns0:f>
        <ns0:v>0</ns0:v>
      </ns0:c>
      <ns0:c r="H239" s="27">
        <ns0:f>COUNTIFS('BASE_CIERRE'!$G$5:$G$458,1,'BASE_CIERRE'!$H$5:$H$458,"Prescreening",'BASE_CIERRE'!$J$5:$J$458,"Structured clinical/questionnaire data",'BASE_CIERRE'!$I$5:$I$458,"Machine Learning",'BASE_CIERRE'!$S$5:$S$458,"Not ascertainable")</ns0:f>
        <ns0:v>0</ns0:v>
      </ns0:c>
      <ns0:c r="I239" s="27">
        <ns0:f>SUM(F239:H239)</ns0:f>
        <ns0:v>4</ns0:v>
      </ns0:c>
      <ns0:c r="J239" s="31">
        <ns0:f>IFERROR(F239/I239,0)</ns0:f>
        <ns0:v>1</ns0:v>
      </ns0:c>
      <ns0:c r="K239" s="31">
        <ns0:f>IFERROR(F239/(I239-H239),0)</ns0:f>
        <ns0:v>1</ns0:v>
      </ns0:c>
      <ns0:c r="L239" s="19" t="inlineStr">
        <ns0:is>
          <ns0:t>111; new_275; new_277; new_280</ns0:t>
        </ns0:is>
      </ns0:c>
    </ns0:row>
    <ns0:row r="240" ht="32" customHeight="1">
      <ns0:c r="A240" s="21" t="inlineStr">
        <ns0:is>
          <ns0:t>Prescreening</ns0:t>
        </ns0:is>
      </ns0:c>
      <ns0:c r="B240" s="21" t="inlineStr">
        <ns0:is>
          <ns0:t>Structured clinical/questionnaire data</ns0:t>
        </ns0:is>
      </ns0:c>
      <ns0:c r="C240" s="21" t="inlineStr">
        <ns0:is>
          <ns0:t>Machine Learning</ns0:t>
        </ns0:is>
      </ns0:c>
      <ns0:c r="D240" s="21" t="inlineStr">
        <ns0:is>
          <ns0:t>Cross-site evaluation</ns0:t>
        </ns0:is>
      </ns0:c>
      <ns0:c r="E240" s="21" t="inlineStr">
        <ns0:is>
          <ns0:t>cross_site_robustness</ns0:t>
        </ns0:is>
      </ns0:c>
      <ns0:c r="F240" s="29">
        <ns0:f>COUNTIFS('BASE_CIERRE'!$G$5:$G$458,1,'BASE_CIERRE'!$H$5:$H$458,"Prescreening",'BASE_CIERRE'!$J$5:$J$458,"Structured clinical/questionnaire data",'BASE_CIERRE'!$I$5:$I$458,"Machine Learning",'BASE_CIERRE'!$U$5:$U$458,"Reported")</ns0:f>
        <ns0:v>0</ns0:v>
      </ns0:c>
      <ns0:c r="G240" s="29">
        <ns0:f>COUNTIFS('BASE_CIERRE'!$G$5:$G$458,1,'BASE_CIERRE'!$H$5:$H$458,"Prescreening",'BASE_CIERRE'!$J$5:$J$458,"Structured clinical/questionnaire data",'BASE_CIERRE'!$I$5:$I$458,"Machine Learning",'BASE_CIERRE'!$U$5:$U$458,"Not reported in assessed sources")</ns0:f>
        <ns0:v>4</ns0:v>
      </ns0:c>
      <ns0:c r="H240" s="29">
        <ns0:f>COUNTIFS('BASE_CIERRE'!$G$5:$G$458,1,'BASE_CIERRE'!$H$5:$H$458,"Prescreening",'BASE_CIERRE'!$J$5:$J$458,"Structured clinical/questionnaire data",'BASE_CIERRE'!$I$5:$I$458,"Machine Learning",'BASE_CIERRE'!$U$5:$U$458,"Not ascertainable")</ns0:f>
        <ns0:v>0</ns0:v>
      </ns0:c>
      <ns0:c r="I240" s="29">
        <ns0:f>SUM(F240:H240)</ns0:f>
        <ns0:v>4</ns0:v>
      </ns0:c>
      <ns0:c r="J240" s="32">
        <ns0:f>IFERROR(F240/I240,0)</ns0:f>
        <ns0:v>0</ns0:v>
      </ns0:c>
      <ns0:c r="K240" s="32">
        <ns0:f>IFERROR(F240/(I240-H240),0)</ns0:f>
        <ns0:v>0</ns0:v>
      </ns0:c>
      <ns0:c r="L240" s="21" t="inlineStr">
        <ns0:is>
          <ns0:t>111; new_275; new_277; new_280</ns0:t>
        </ns0:is>
      </ns0:c>
    </ns0:row>
    <ns0:row r="241" ht="32" customHeight="1">
      <ns0:c r="A241" s="19" t="inlineStr">
        <ns0:is>
          <ns0:t>Prescreening</ns0:t>
        </ns0:is>
      </ns0:c>
      <ns0:c r="B241" s="19" t="inlineStr">
        <ns0:is>
          <ns0:t>Text/language</ns0:t>
        </ns0:is>
      </ns0:c>
      <ns0:c r="C241" s="19" t="inlineStr">
        <ns0:is>
          <ns0:t>Machine Learning</ns0:t>
        </ns0:is>
      </ns0:c>
      <ns0:c r="D241" s="19" t="inlineStr">
        <ns0:is>
          <ns0:t>External validation</ns0:t>
        </ns0:is>
      </ns0:c>
      <ns0:c r="E241" s="19" t="inlineStr">
        <ns0:is>
          <ns0:t>external_validation</ns0:t>
        </ns0:is>
      </ns0:c>
      <ns0:c r="F241" s="27">
        <ns0:f>COUNTIFS('BASE_CIERRE'!$G$5:$G$458,1,'BASE_CIERRE'!$H$5:$H$458,"Prescreening",'BASE_CIERRE'!$J$5:$J$458,"Text/language",'BASE_CIERRE'!$I$5:$I$458,"Machine Learning",'BASE_CIERRE'!$Q$5:$Q$458,"Reported")</ns0:f>
        <ns0:v>0</ns0:v>
      </ns0:c>
      <ns0:c r="G241" s="27">
        <ns0:f>COUNTIFS('BASE_CIERRE'!$G$5:$G$458,1,'BASE_CIERRE'!$H$5:$H$458,"Prescreening",'BASE_CIERRE'!$J$5:$J$458,"Text/language",'BASE_CIERRE'!$I$5:$I$458,"Machine Learning",'BASE_CIERRE'!$Q$5:$Q$458,"Not reported in assessed sources")</ns0:f>
        <ns0:v>1</ns0:v>
      </ns0:c>
      <ns0:c r="H241" s="27">
        <ns0:f>COUNTIFS('BASE_CIERRE'!$G$5:$G$458,1,'BASE_CIERRE'!$H$5:$H$458,"Prescreening",'BASE_CIERRE'!$J$5:$J$458,"Text/language",'BASE_CIERRE'!$I$5:$I$458,"Machine Learning",'BASE_CIERRE'!$Q$5:$Q$458,"Not ascertainable")</ns0:f>
        <ns0:v>0</ns0:v>
      </ns0:c>
      <ns0:c r="I241" s="27">
        <ns0:f>SUM(F241:H241)</ns0:f>
        <ns0:v>1</ns0:v>
      </ns0:c>
      <ns0:c r="J241" s="31">
        <ns0:f>IFERROR(F241/I241,0)</ns0:f>
        <ns0:v>0</ns0:v>
      </ns0:c>
      <ns0:c r="K241" s="31">
        <ns0:f>IFERROR(F241/(I241-H241),0)</ns0:f>
        <ns0:v>0</ns0:v>
      </ns0:c>
      <ns0:c r="L241" s="19" t="inlineStr">
        <ns0:is>
          <ns0:t>131</ns0:t>
        </ns0:is>
      </ns0:c>
    </ns0:row>
    <ns0:row r="242" ht="32" customHeight="1">
      <ns0:c r="A242" s="21" t="inlineStr">
        <ns0:is>
          <ns0:t>Prescreening</ns0:t>
        </ns0:is>
      </ns0:c>
      <ns0:c r="B242" s="21" t="inlineStr">
        <ns0:is>
          <ns0:t>Text/language</ns0:t>
        </ns0:is>
      </ns0:c>
      <ns0:c r="C242" s="21" t="inlineStr">
        <ns0:is>
          <ns0:t>Machine Learning</ns0:t>
        </ns0:is>
      </ns0:c>
      <ns0:c r="D242" s="21" t="inlineStr">
        <ns0:is>
          <ns0:t>Multisource integration</ns0:t>
        </ns0:is>
      </ns0:c>
      <ns0:c r="E242" s="21" t="inlineStr">
        <ns0:is>
          <ns0:t>multisource_integration</ns0:t>
        </ns0:is>
      </ns0:c>
      <ns0:c r="F242" s="29">
        <ns0:f>COUNTIFS('BASE_CIERRE'!$G$5:$G$458,1,'BASE_CIERRE'!$H$5:$H$458,"Prescreening",'BASE_CIERRE'!$J$5:$J$458,"Text/language",'BASE_CIERRE'!$I$5:$I$458,"Machine Learning",'BASE_CIERRE'!$R$5:$R$458,"Reported")</ns0:f>
        <ns0:v>0</ns0:v>
      </ns0:c>
      <ns0:c r="G242" s="29">
        <ns0:f>COUNTIFS('BASE_CIERRE'!$G$5:$G$458,1,'BASE_CIERRE'!$H$5:$H$458,"Prescreening",'BASE_CIERRE'!$J$5:$J$458,"Text/language",'BASE_CIERRE'!$I$5:$I$458,"Machine Learning",'BASE_CIERRE'!$R$5:$R$458,"Not reported in assessed sources")</ns0:f>
        <ns0:v>1</ns0:v>
      </ns0:c>
      <ns0:c r="H242" s="29">
        <ns0:f>COUNTIFS('BASE_CIERRE'!$G$5:$G$458,1,'BASE_CIERRE'!$H$5:$H$458,"Prescreening",'BASE_CIERRE'!$J$5:$J$458,"Text/language",'BASE_CIERRE'!$I$5:$I$458,"Machine Learning",'BASE_CIERRE'!$R$5:$R$458,"Not ascertainable")</ns0:f>
        <ns0:v>0</ns0:v>
      </ns0:c>
      <ns0:c r="I242" s="29">
        <ns0:f>SUM(F242:H242)</ns0:f>
        <ns0:v>1</ns0:v>
      </ns0:c>
      <ns0:c r="J242" s="32">
        <ns0:f>IFERROR(F242/I242,0)</ns0:f>
        <ns0:v>0</ns0:v>
      </ns0:c>
      <ns0:c r="K242" s="32">
        <ns0:f>IFERROR(F242/(I242-H242),0)</ns0:f>
        <ns0:v>0</ns0:v>
      </ns0:c>
      <ns0:c r="L242" s="21" t="inlineStr">
        <ns0:is>
          <ns0:t>131</ns0:t>
        </ns0:is>
      </ns0:c>
    </ns0:row>
    <ns0:row r="243" ht="32" customHeight="1">
      <ns0:c r="A243" s="19" t="inlineStr">
        <ns0:is>
          <ns0:t>Prescreening</ns0:t>
        </ns0:is>
      </ns0:c>
      <ns0:c r="B243" s="19" t="inlineStr">
        <ns0:is>
          <ns0:t>Text/language</ns0:t>
        </ns0:is>
      </ns0:c>
      <ns0:c r="C243" s="19" t="inlineStr">
        <ns0:is>
          <ns0:t>Machine Learning</ns0:t>
        </ns0:is>
      </ns0:c>
      <ns0:c r="D243" s="19" t="inlineStr">
        <ns0:is>
          <ns0:t>Explicit explainability (broad)</ns0:t>
        </ns0:is>
      </ns0:c>
      <ns0:c r="E243" s="19" t="inlineStr">
        <ns0:is>
          <ns0:t>xai_broad</ns0:t>
        </ns0:is>
      </ns0:c>
      <ns0:c r="F243" s="27">
        <ns0:f>COUNTIFS('BASE_CIERRE'!$G$5:$G$458,1,'BASE_CIERRE'!$H$5:$H$458,"Prescreening",'BASE_CIERRE'!$J$5:$J$458,"Text/language",'BASE_CIERRE'!$I$5:$I$458,"Machine Learning",'BASE_CIERRE'!$S$5:$S$458,"Reported")</ns0:f>
        <ns0:v>0</ns0:v>
      </ns0:c>
      <ns0:c r="G243" s="27">
        <ns0:f>COUNTIFS('BASE_CIERRE'!$G$5:$G$458,1,'BASE_CIERRE'!$H$5:$H$458,"Prescreening",'BASE_CIERRE'!$J$5:$J$458,"Text/language",'BASE_CIERRE'!$I$5:$I$458,"Machine Learning",'BASE_CIERRE'!$S$5:$S$458,"Not reported in assessed sources")</ns0:f>
        <ns0:v>1</ns0:v>
      </ns0:c>
      <ns0:c r="H243" s="27">
        <ns0:f>COUNTIFS('BASE_CIERRE'!$G$5:$G$458,1,'BASE_CIERRE'!$H$5:$H$458,"Prescreening",'BASE_CIERRE'!$J$5:$J$458,"Text/language",'BASE_CIERRE'!$I$5:$I$458,"Machine Learning",'BASE_CIERRE'!$S$5:$S$458,"Not ascertainable")</ns0:f>
        <ns0:v>0</ns0:v>
      </ns0:c>
      <ns0:c r="I243" s="27">
        <ns0:f>SUM(F243:H243)</ns0:f>
        <ns0:v>1</ns0:v>
      </ns0:c>
      <ns0:c r="J243" s="31">
        <ns0:f>IFERROR(F243/I243,0)</ns0:f>
        <ns0:v>0</ns0:v>
      </ns0:c>
      <ns0:c r="K243" s="31">
        <ns0:f>IFERROR(F243/(I243-H243),0)</ns0:f>
        <ns0:v>0</ns0:v>
      </ns0:c>
      <ns0:c r="L243" s="19" t="inlineStr">
        <ns0:is>
          <ns0:t>131</ns0:t>
        </ns0:is>
      </ns0:c>
    </ns0:row>
    <ns0:row r="244" ht="32" customHeight="1">
      <ns0:c r="A244" s="21" t="inlineStr">
        <ns0:is>
          <ns0:t>Prescreening</ns0:t>
        </ns0:is>
      </ns0:c>
      <ns0:c r="B244" s="21" t="inlineStr">
        <ns0:is>
          <ns0:t>Text/language</ns0:t>
        </ns0:is>
      </ns0:c>
      <ns0:c r="C244" s="21" t="inlineStr">
        <ns0:is>
          <ns0:t>Machine Learning</ns0:t>
        </ns0:is>
      </ns0:c>
      <ns0:c r="D244" s="21" t="inlineStr">
        <ns0:is>
          <ns0:t>Cross-site evaluation</ns0:t>
        </ns0:is>
      </ns0:c>
      <ns0:c r="E244" s="21" t="inlineStr">
        <ns0:is>
          <ns0:t>cross_site_robustness</ns0:t>
        </ns0:is>
      </ns0:c>
      <ns0:c r="F244" s="29">
        <ns0:f>COUNTIFS('BASE_CIERRE'!$G$5:$G$458,1,'BASE_CIERRE'!$H$5:$H$458,"Prescreening",'BASE_CIERRE'!$J$5:$J$458,"Text/language",'BASE_CIERRE'!$I$5:$I$458,"Machine Learning",'BASE_CIERRE'!$U$5:$U$458,"Reported")</ns0:f>
        <ns0:v>0</ns0:v>
      </ns0:c>
      <ns0:c r="G244" s="29">
        <ns0:f>COUNTIFS('BASE_CIERRE'!$G$5:$G$458,1,'BASE_CIERRE'!$H$5:$H$458,"Prescreening",'BASE_CIERRE'!$J$5:$J$458,"Text/language",'BASE_CIERRE'!$I$5:$I$458,"Machine Learning",'BASE_CIERRE'!$U$5:$U$458,"Not reported in assessed sources")</ns0:f>
        <ns0:v>1</ns0:v>
      </ns0:c>
      <ns0:c r="H244" s="29">
        <ns0:f>COUNTIFS('BASE_CIERRE'!$G$5:$G$458,1,'BASE_CIERRE'!$H$5:$H$458,"Prescreening",'BASE_CIERRE'!$J$5:$J$458,"Text/language",'BASE_CIERRE'!$I$5:$I$458,"Machine Learning",'BASE_CIERRE'!$U$5:$U$458,"Not ascertainable")</ns0:f>
        <ns0:v>0</ns0:v>
      </ns0:c>
      <ns0:c r="I244" s="29">
        <ns0:f>SUM(F244:H244)</ns0:f>
        <ns0:v>1</ns0:v>
      </ns0:c>
      <ns0:c r="J244" s="32">
        <ns0:f>IFERROR(F244/I244,0)</ns0:f>
        <ns0:v>0</ns0:v>
      </ns0:c>
      <ns0:c r="K244" s="32">
        <ns0:f>IFERROR(F244/(I244-H244),0)</ns0:f>
        <ns0:v>0</ns0:v>
      </ns0:c>
      <ns0:c r="L244" s="21" t="inlineStr">
        <ns0:is>
          <ns0:t>131</ns0:t>
        </ns0:is>
      </ns0:c>
    </ns0:row>
    <ns0:row r="245" ht="32" customHeight="1">
      <ns0:c r="A245" s="19" t="inlineStr">
        <ns0:is>
          <ns0:t>Prognosis</ns0:t>
        </ns0:is>
      </ns0:c>
      <ns0:c r="B245" s="19" t="inlineStr">
        <ns0:is>
          <ns0:t>Audio/voice</ns0:t>
        </ns0:is>
      </ns0:c>
      <ns0:c r="C245" s="19" t="inlineStr">
        <ns0:is>
          <ns0:t>Machine Learning</ns0:t>
        </ns0:is>
      </ns0:c>
      <ns0:c r="D245" s="19" t="inlineStr">
        <ns0:is>
          <ns0:t>External validation</ns0:t>
        </ns0:is>
      </ns0:c>
      <ns0:c r="E245" s="19" t="inlineStr">
        <ns0:is>
          <ns0:t>external_validation</ns0:t>
        </ns0:is>
      </ns0:c>
      <ns0:c r="F245" s="27">
        <ns0:f>COUNTIFS('BASE_CIERRE'!$G$5:$G$458,1,'BASE_CIERRE'!$H$5:$H$458,"Prognosis",'BASE_CIERRE'!$J$5:$J$458,"Audio/voice",'BASE_CIERRE'!$I$5:$I$458,"Machine Learning",'BASE_CIERRE'!$Q$5:$Q$458,"Reported")</ns0:f>
        <ns0:v>0</ns0:v>
      </ns0:c>
      <ns0:c r="G245" s="27">
        <ns0:f>COUNTIFS('BASE_CIERRE'!$G$5:$G$458,1,'BASE_CIERRE'!$H$5:$H$458,"Prognosis",'BASE_CIERRE'!$J$5:$J$458,"Audio/voice",'BASE_CIERRE'!$I$5:$I$458,"Machine Learning",'BASE_CIERRE'!$Q$5:$Q$458,"Not reported in assessed sources")</ns0:f>
        <ns0:v>1</ns0:v>
      </ns0:c>
      <ns0:c r="H245" s="27">
        <ns0:f>COUNTIFS('BASE_CIERRE'!$G$5:$G$458,1,'BASE_CIERRE'!$H$5:$H$458,"Prognosis",'BASE_CIERRE'!$J$5:$J$458,"Audio/voice",'BASE_CIERRE'!$I$5:$I$458,"Machine Learning",'BASE_CIERRE'!$Q$5:$Q$458,"Not ascertainable")</ns0:f>
        <ns0:v>0</ns0:v>
      </ns0:c>
      <ns0:c r="I245" s="27">
        <ns0:f>SUM(F245:H245)</ns0:f>
        <ns0:v>1</ns0:v>
      </ns0:c>
      <ns0:c r="J245" s="31">
        <ns0:f>IFERROR(F245/I245,0)</ns0:f>
        <ns0:v>0</ns0:v>
      </ns0:c>
      <ns0:c r="K245" s="31">
        <ns0:f>IFERROR(F245/(I245-H245),0)</ns0:f>
        <ns0:v>0</ns0:v>
      </ns0:c>
      <ns0:c r="L245" s="19" t="inlineStr">
        <ns0:is>
          <ns0:t>new_266</ns0:t>
        </ns0:is>
      </ns0:c>
    </ns0:row>
    <ns0:row r="246" ht="32" customHeight="1">
      <ns0:c r="A246" s="21" t="inlineStr">
        <ns0:is>
          <ns0:t>Prognosis</ns0:t>
        </ns0:is>
      </ns0:c>
      <ns0:c r="B246" s="21" t="inlineStr">
        <ns0:is>
          <ns0:t>Audio/voice</ns0:t>
        </ns0:is>
      </ns0:c>
      <ns0:c r="C246" s="21" t="inlineStr">
        <ns0:is>
          <ns0:t>Machine Learning</ns0:t>
        </ns0:is>
      </ns0:c>
      <ns0:c r="D246" s="21" t="inlineStr">
        <ns0:is>
          <ns0:t>Multisource integration</ns0:t>
        </ns0:is>
      </ns0:c>
      <ns0:c r="E246" s="21" t="inlineStr">
        <ns0:is>
          <ns0:t>multisource_integration</ns0:t>
        </ns0:is>
      </ns0:c>
      <ns0:c r="F246" s="29">
        <ns0:f>COUNTIFS('BASE_CIERRE'!$G$5:$G$458,1,'BASE_CIERRE'!$H$5:$H$458,"Prognosis",'BASE_CIERRE'!$J$5:$J$458,"Audio/voice",'BASE_CIERRE'!$I$5:$I$458,"Machine Learning",'BASE_CIERRE'!$R$5:$R$458,"Reported")</ns0:f>
        <ns0:v>0</ns0:v>
      </ns0:c>
      <ns0:c r="G246" s="29">
        <ns0:f>COUNTIFS('BASE_CIERRE'!$G$5:$G$458,1,'BASE_CIERRE'!$H$5:$H$458,"Prognosis",'BASE_CIERRE'!$J$5:$J$458,"Audio/voice",'BASE_CIERRE'!$I$5:$I$458,"Machine Learning",'BASE_CIERRE'!$R$5:$R$458,"Not reported in assessed sources")</ns0:f>
        <ns0:v>1</ns0:v>
      </ns0:c>
      <ns0:c r="H246" s="29">
        <ns0:f>COUNTIFS('BASE_CIERRE'!$G$5:$G$458,1,'BASE_CIERRE'!$H$5:$H$458,"Prognosis",'BASE_CIERRE'!$J$5:$J$458,"Audio/voice",'BASE_CIERRE'!$I$5:$I$458,"Machine Learning",'BASE_CIERRE'!$R$5:$R$458,"Not ascertainable")</ns0:f>
        <ns0:v>0</ns0:v>
      </ns0:c>
      <ns0:c r="I246" s="29">
        <ns0:f>SUM(F246:H246)</ns0:f>
        <ns0:v>1</ns0:v>
      </ns0:c>
      <ns0:c r="J246" s="32">
        <ns0:f>IFERROR(F246/I246,0)</ns0:f>
        <ns0:v>0</ns0:v>
      </ns0:c>
      <ns0:c r="K246" s="32">
        <ns0:f>IFERROR(F246/(I246-H246),0)</ns0:f>
        <ns0:v>0</ns0:v>
      </ns0:c>
      <ns0:c r="L246" s="21" t="inlineStr">
        <ns0:is>
          <ns0:t>new_266</ns0:t>
        </ns0:is>
      </ns0:c>
    </ns0:row>
    <ns0:row r="247" ht="32" customHeight="1">
      <ns0:c r="A247" s="19" t="inlineStr">
        <ns0:is>
          <ns0:t>Prognosis</ns0:t>
        </ns0:is>
      </ns0:c>
      <ns0:c r="B247" s="19" t="inlineStr">
        <ns0:is>
          <ns0:t>Audio/voice</ns0:t>
        </ns0:is>
      </ns0:c>
      <ns0:c r="C247" s="19" t="inlineStr">
        <ns0:is>
          <ns0:t>Machine Learning</ns0:t>
        </ns0:is>
      </ns0:c>
      <ns0:c r="D247" s="19" t="inlineStr">
        <ns0:is>
          <ns0:t>Explicit explainability (broad)</ns0:t>
        </ns0:is>
      </ns0:c>
      <ns0:c r="E247" s="19" t="inlineStr">
        <ns0:is>
          <ns0:t>xai_broad</ns0:t>
        </ns0:is>
      </ns0:c>
      <ns0:c r="F247" s="27">
        <ns0:f>COUNTIFS('BASE_CIERRE'!$G$5:$G$458,1,'BASE_CIERRE'!$H$5:$H$458,"Prognosis",'BASE_CIERRE'!$J$5:$J$458,"Audio/voice",'BASE_CIERRE'!$I$5:$I$458,"Machine Learning",'BASE_CIERRE'!$S$5:$S$458,"Reported")</ns0:f>
        <ns0:v>0</ns0:v>
      </ns0:c>
      <ns0:c r="G247" s="27">
        <ns0:f>COUNTIFS('BASE_CIERRE'!$G$5:$G$458,1,'BASE_CIERRE'!$H$5:$H$458,"Prognosis",'BASE_CIERRE'!$J$5:$J$458,"Audio/voice",'BASE_CIERRE'!$I$5:$I$458,"Machine Learning",'BASE_CIERRE'!$S$5:$S$458,"Not reported in assessed sources")</ns0:f>
        <ns0:v>0</ns0:v>
      </ns0:c>
      <ns0:c r="H247" s="27">
        <ns0:f>COUNTIFS('BASE_CIERRE'!$G$5:$G$458,1,'BASE_CIERRE'!$H$5:$H$458,"Prognosis",'BASE_CIERRE'!$J$5:$J$458,"Audio/voice",'BASE_CIERRE'!$I$5:$I$458,"Machine Learning",'BASE_CIERRE'!$S$5:$S$458,"Not ascertainable")</ns0:f>
        <ns0:v>1</ns0:v>
      </ns0:c>
      <ns0:c r="I247" s="27">
        <ns0:f>SUM(F247:H247)</ns0:f>
        <ns0:v>1</ns0:v>
      </ns0:c>
      <ns0:c r="J247" s="31">
        <ns0:f>IFERROR(F247/I247,0)</ns0:f>
        <ns0:v>0</ns0:v>
      </ns0:c>
      <ns0:c r="K247" s="31">
        <ns0:f>IFERROR(F247/(I247-H247),0)</ns0:f>
        <ns0:v>0</ns0:v>
      </ns0:c>
      <ns0:c r="L247" s="19" t="inlineStr">
        <ns0:is>
          <ns0:t>new_266</ns0:t>
        </ns0:is>
      </ns0:c>
    </ns0:row>
    <ns0:row r="248" ht="32" customHeight="1">
      <ns0:c r="A248" s="21" t="inlineStr">
        <ns0:is>
          <ns0:t>Prognosis</ns0:t>
        </ns0:is>
      </ns0:c>
      <ns0:c r="B248" s="21" t="inlineStr">
        <ns0:is>
          <ns0:t>Audio/voice</ns0:t>
        </ns0:is>
      </ns0:c>
      <ns0:c r="C248" s="21" t="inlineStr">
        <ns0:is>
          <ns0:t>Machine Learning</ns0:t>
        </ns0:is>
      </ns0:c>
      <ns0:c r="D248" s="21" t="inlineStr">
        <ns0:is>
          <ns0:t>Cross-site evaluation</ns0:t>
        </ns0:is>
      </ns0:c>
      <ns0:c r="E248" s="21" t="inlineStr">
        <ns0:is>
          <ns0:t>cross_site_robustness</ns0:t>
        </ns0:is>
      </ns0:c>
      <ns0:c r="F248" s="29">
        <ns0:f>COUNTIFS('BASE_CIERRE'!$G$5:$G$458,1,'BASE_CIERRE'!$H$5:$H$458,"Prognosis",'BASE_CIERRE'!$J$5:$J$458,"Audio/voice",'BASE_CIERRE'!$I$5:$I$458,"Machine Learning",'BASE_CIERRE'!$U$5:$U$458,"Reported")</ns0:f>
        <ns0:v>0</ns0:v>
      </ns0:c>
      <ns0:c r="G248" s="29">
        <ns0:f>COUNTIFS('BASE_CIERRE'!$G$5:$G$458,1,'BASE_CIERRE'!$H$5:$H$458,"Prognosis",'BASE_CIERRE'!$J$5:$J$458,"Audio/voice",'BASE_CIERRE'!$I$5:$I$458,"Machine Learning",'BASE_CIERRE'!$U$5:$U$458,"Not reported in assessed sources")</ns0:f>
        <ns0:v>1</ns0:v>
      </ns0:c>
      <ns0:c r="H248" s="29">
        <ns0:f>COUNTIFS('BASE_CIERRE'!$G$5:$G$458,1,'BASE_CIERRE'!$H$5:$H$458,"Prognosis",'BASE_CIERRE'!$J$5:$J$458,"Audio/voice",'BASE_CIERRE'!$I$5:$I$458,"Machine Learning",'BASE_CIERRE'!$U$5:$U$458,"Not ascertainable")</ns0:f>
        <ns0:v>0</ns0:v>
      </ns0:c>
      <ns0:c r="I248" s="29">
        <ns0:f>SUM(F248:H248)</ns0:f>
        <ns0:v>1</ns0:v>
      </ns0:c>
      <ns0:c r="J248" s="32">
        <ns0:f>IFERROR(F248/I248,0)</ns0:f>
        <ns0:v>0</ns0:v>
      </ns0:c>
      <ns0:c r="K248" s="32">
        <ns0:f>IFERROR(F248/(I248-H248),0)</ns0:f>
        <ns0:v>0</ns0:v>
      </ns0:c>
      <ns0:c r="L248" s="21" t="inlineStr">
        <ns0:is>
          <ns0:t>new_266</ns0:t>
        </ns0:is>
      </ns0:c>
    </ns0:row>
    <ns0:row r="249" ht="32" customHeight="1">
      <ns0:c r="A249" s="19" t="inlineStr">
        <ns0:is>
          <ns0:t>Prognosis</ns0:t>
        </ns0:is>
      </ns0:c>
      <ns0:c r="B249" s="19" t="inlineStr">
        <ns0:is>
          <ns0:t>Behavioral images/video/gaze/movement</ns0:t>
        </ns0:is>
      </ns0:c>
      <ns0:c r="C249" s="19" t="inlineStr">
        <ns0:is>
          <ns0:t>Machine Learning</ns0:t>
        </ns0:is>
      </ns0:c>
      <ns0:c r="D249" s="19" t="inlineStr">
        <ns0:is>
          <ns0:t>External validation</ns0:t>
        </ns0:is>
      </ns0:c>
      <ns0:c r="E249" s="19" t="inlineStr">
        <ns0:is>
          <ns0:t>external_validation</ns0:t>
        </ns0:is>
      </ns0:c>
      <ns0:c r="F249" s="27">
        <ns0:f>COUNTIFS('BASE_CIERRE'!$G$5:$G$458,1,'BASE_CIERRE'!$H$5:$H$458,"Prognosis",'BASE_CIERRE'!$J$5:$J$458,"Behavioral images/video/gaze/movement",'BASE_CIERRE'!$I$5:$I$458,"Machine Learning",'BASE_CIERRE'!$Q$5:$Q$458,"Reported")</ns0:f>
        <ns0:v>0</ns0:v>
      </ns0:c>
      <ns0:c r="G249" s="27">
        <ns0:f>COUNTIFS('BASE_CIERRE'!$G$5:$G$458,1,'BASE_CIERRE'!$H$5:$H$458,"Prognosis",'BASE_CIERRE'!$J$5:$J$458,"Behavioral images/video/gaze/movement",'BASE_CIERRE'!$I$5:$I$458,"Machine Learning",'BASE_CIERRE'!$Q$5:$Q$458,"Not reported in assessed sources")</ns0:f>
        <ns0:v>1</ns0:v>
      </ns0:c>
      <ns0:c r="H249" s="27">
        <ns0:f>COUNTIFS('BASE_CIERRE'!$G$5:$G$458,1,'BASE_CIERRE'!$H$5:$H$458,"Prognosis",'BASE_CIERRE'!$J$5:$J$458,"Behavioral images/video/gaze/movement",'BASE_CIERRE'!$I$5:$I$458,"Machine Learning",'BASE_CIERRE'!$Q$5:$Q$458,"Not ascertainable")</ns0:f>
        <ns0:v>0</ns0:v>
      </ns0:c>
      <ns0:c r="I249" s="27">
        <ns0:f>SUM(F249:H249)</ns0:f>
        <ns0:v>1</ns0:v>
      </ns0:c>
      <ns0:c r="J249" s="31">
        <ns0:f>IFERROR(F249/I249,0)</ns0:f>
        <ns0:v>0</ns0:v>
      </ns0:c>
      <ns0:c r="K249" s="31">
        <ns0:f>IFERROR(F249/(I249-H249),0)</ns0:f>
        <ns0:v>0</ns0:v>
      </ns0:c>
      <ns0:c r="L249" s="19" t="inlineStr">
        <ns0:is>
          <ns0:t>205</ns0:t>
        </ns0:is>
      </ns0:c>
    </ns0:row>
    <ns0:row r="250" ht="32" customHeight="1">
      <ns0:c r="A250" s="21" t="inlineStr">
        <ns0:is>
          <ns0:t>Prognosis</ns0:t>
        </ns0:is>
      </ns0:c>
      <ns0:c r="B250" s="21" t="inlineStr">
        <ns0:is>
          <ns0:t>Behavioral images/video/gaze/movement</ns0:t>
        </ns0:is>
      </ns0:c>
      <ns0:c r="C250" s="21" t="inlineStr">
        <ns0:is>
          <ns0:t>Machine Learning</ns0:t>
        </ns0:is>
      </ns0:c>
      <ns0:c r="D250" s="21" t="inlineStr">
        <ns0:is>
          <ns0:t>Multisource integration</ns0:t>
        </ns0:is>
      </ns0:c>
      <ns0:c r="E250" s="21" t="inlineStr">
        <ns0:is>
          <ns0:t>multisource_integration</ns0:t>
        </ns0:is>
      </ns0:c>
      <ns0:c r="F250" s="29">
        <ns0:f>COUNTIFS('BASE_CIERRE'!$G$5:$G$458,1,'BASE_CIERRE'!$H$5:$H$458,"Prognosis",'BASE_CIERRE'!$J$5:$J$458,"Behavioral images/video/gaze/movement",'BASE_CIERRE'!$I$5:$I$458,"Machine Learning",'BASE_CIERRE'!$R$5:$R$458,"Reported")</ns0:f>
        <ns0:v>0</ns0:v>
      </ns0:c>
      <ns0:c r="G250" s="29">
        <ns0:f>COUNTIFS('BASE_CIERRE'!$G$5:$G$458,1,'BASE_CIERRE'!$H$5:$H$458,"Prognosis",'BASE_CIERRE'!$J$5:$J$458,"Behavioral images/video/gaze/movement",'BASE_CIERRE'!$I$5:$I$458,"Machine Learning",'BASE_CIERRE'!$R$5:$R$458,"Not reported in assessed sources")</ns0:f>
        <ns0:v>1</ns0:v>
      </ns0:c>
      <ns0:c r="H250" s="29">
        <ns0:f>COUNTIFS('BASE_CIERRE'!$G$5:$G$458,1,'BASE_CIERRE'!$H$5:$H$458,"Prognosis",'BASE_CIERRE'!$J$5:$J$458,"Behavioral images/video/gaze/movement",'BASE_CIERRE'!$I$5:$I$458,"Machine Learning",'BASE_CIERRE'!$R$5:$R$458,"Not ascertainable")</ns0:f>
        <ns0:v>0</ns0:v>
      </ns0:c>
      <ns0:c r="I250" s="29">
        <ns0:f>SUM(F250:H250)</ns0:f>
        <ns0:v>1</ns0:v>
      </ns0:c>
      <ns0:c r="J250" s="32">
        <ns0:f>IFERROR(F250/I250,0)</ns0:f>
        <ns0:v>0</ns0:v>
      </ns0:c>
      <ns0:c r="K250" s="32">
        <ns0:f>IFERROR(F250/(I250-H250),0)</ns0:f>
        <ns0:v>0</ns0:v>
      </ns0:c>
      <ns0:c r="L250" s="21" t="inlineStr">
        <ns0:is>
          <ns0:t>205</ns0:t>
        </ns0:is>
      </ns0:c>
    </ns0:row>
    <ns0:row r="251" ht="32" customHeight="1">
      <ns0:c r="A251" s="19" t="inlineStr">
        <ns0:is>
          <ns0:t>Prognosis</ns0:t>
        </ns0:is>
      </ns0:c>
      <ns0:c r="B251" s="19" t="inlineStr">
        <ns0:is>
          <ns0:t>Behavioral images/video/gaze/movement</ns0:t>
        </ns0:is>
      </ns0:c>
      <ns0:c r="C251" s="19" t="inlineStr">
        <ns0:is>
          <ns0:t>Machine Learning</ns0:t>
        </ns0:is>
      </ns0:c>
      <ns0:c r="D251" s="19" t="inlineStr">
        <ns0:is>
          <ns0:t>Explicit explainability (broad)</ns0:t>
        </ns0:is>
      </ns0:c>
      <ns0:c r="E251" s="19" t="inlineStr">
        <ns0:is>
          <ns0:t>xai_broad</ns0:t>
        </ns0:is>
      </ns0:c>
      <ns0:c r="F251" s="27">
        <ns0:f>COUNTIFS('BASE_CIERRE'!$G$5:$G$458,1,'BASE_CIERRE'!$H$5:$H$458,"Prognosis",'BASE_CIERRE'!$J$5:$J$458,"Behavioral images/video/gaze/movement",'BASE_CIERRE'!$I$5:$I$458,"Machine Learning",'BASE_CIERRE'!$S$5:$S$458,"Reported")</ns0:f>
        <ns0:v>0</ns0:v>
      </ns0:c>
      <ns0:c r="G251" s="27">
        <ns0:f>COUNTIFS('BASE_CIERRE'!$G$5:$G$458,1,'BASE_CIERRE'!$H$5:$H$458,"Prognosis",'BASE_CIERRE'!$J$5:$J$458,"Behavioral images/video/gaze/movement",'BASE_CIERRE'!$I$5:$I$458,"Machine Learning",'BASE_CIERRE'!$S$5:$S$458,"Not reported in assessed sources")</ns0:f>
        <ns0:v>1</ns0:v>
      </ns0:c>
      <ns0:c r="H251" s="27">
        <ns0:f>COUNTIFS('BASE_CIERRE'!$G$5:$G$458,1,'BASE_CIERRE'!$H$5:$H$458,"Prognosis",'BASE_CIERRE'!$J$5:$J$458,"Behavioral images/video/gaze/movement",'BASE_CIERRE'!$I$5:$I$458,"Machine Learning",'BASE_CIERRE'!$S$5:$S$458,"Not ascertainable")</ns0:f>
        <ns0:v>0</ns0:v>
      </ns0:c>
      <ns0:c r="I251" s="27">
        <ns0:f>SUM(F251:H251)</ns0:f>
        <ns0:v>1</ns0:v>
      </ns0:c>
      <ns0:c r="J251" s="31">
        <ns0:f>IFERROR(F251/I251,0)</ns0:f>
        <ns0:v>0</ns0:v>
      </ns0:c>
      <ns0:c r="K251" s="31">
        <ns0:f>IFERROR(F251/(I251-H251),0)</ns0:f>
        <ns0:v>0</ns0:v>
      </ns0:c>
      <ns0:c r="L251" s="19" t="inlineStr">
        <ns0:is>
          <ns0:t>205</ns0:t>
        </ns0:is>
      </ns0:c>
    </ns0:row>
    <ns0:row r="252" ht="32" customHeight="1">
      <ns0:c r="A252" s="21" t="inlineStr">
        <ns0:is>
          <ns0:t>Prognosis</ns0:t>
        </ns0:is>
      </ns0:c>
      <ns0:c r="B252" s="21" t="inlineStr">
        <ns0:is>
          <ns0:t>Behavioral images/video/gaze/movement</ns0:t>
        </ns0:is>
      </ns0:c>
      <ns0:c r="C252" s="21" t="inlineStr">
        <ns0:is>
          <ns0:t>Machine Learning</ns0:t>
        </ns0:is>
      </ns0:c>
      <ns0:c r="D252" s="21" t="inlineStr">
        <ns0:is>
          <ns0:t>Cross-site evaluation</ns0:t>
        </ns0:is>
      </ns0:c>
      <ns0:c r="E252" s="21" t="inlineStr">
        <ns0:is>
          <ns0:t>cross_site_robustness</ns0:t>
        </ns0:is>
      </ns0:c>
      <ns0:c r="F252" s="29">
        <ns0:f>COUNTIFS('BASE_CIERRE'!$G$5:$G$458,1,'BASE_CIERRE'!$H$5:$H$458,"Prognosis",'BASE_CIERRE'!$J$5:$J$458,"Behavioral images/video/gaze/movement",'BASE_CIERRE'!$I$5:$I$458,"Machine Learning",'BASE_CIERRE'!$U$5:$U$458,"Reported")</ns0:f>
        <ns0:v>0</ns0:v>
      </ns0:c>
      <ns0:c r="G252" s="29">
        <ns0:f>COUNTIFS('BASE_CIERRE'!$G$5:$G$458,1,'BASE_CIERRE'!$H$5:$H$458,"Prognosis",'BASE_CIERRE'!$J$5:$J$458,"Behavioral images/video/gaze/movement",'BASE_CIERRE'!$I$5:$I$458,"Machine Learning",'BASE_CIERRE'!$U$5:$U$458,"Not reported in assessed sources")</ns0:f>
        <ns0:v>1</ns0:v>
      </ns0:c>
      <ns0:c r="H252" s="29">
        <ns0:f>COUNTIFS('BASE_CIERRE'!$G$5:$G$458,1,'BASE_CIERRE'!$H$5:$H$458,"Prognosis",'BASE_CIERRE'!$J$5:$J$458,"Behavioral images/video/gaze/movement",'BASE_CIERRE'!$I$5:$I$458,"Machine Learning",'BASE_CIERRE'!$U$5:$U$458,"Not ascertainable")</ns0:f>
        <ns0:v>0</ns0:v>
      </ns0:c>
      <ns0:c r="I252" s="29">
        <ns0:f>SUM(F252:H252)</ns0:f>
        <ns0:v>1</ns0:v>
      </ns0:c>
      <ns0:c r="J252" s="32">
        <ns0:f>IFERROR(F252/I252,0)</ns0:f>
        <ns0:v>0</ns0:v>
      </ns0:c>
      <ns0:c r="K252" s="32">
        <ns0:f>IFERROR(F252/(I252-H252),0)</ns0:f>
        <ns0:v>0</ns0:v>
      </ns0:c>
      <ns0:c r="L252" s="21" t="inlineStr">
        <ns0:is>
          <ns0:t>205</ns0:t>
        </ns0:is>
      </ns0:c>
    </ns0:row>
    <ns0:row r="253" ht="32" customHeight="1">
      <ns0:c r="A253" s="19" t="inlineStr">
        <ns0:is>
          <ns0:t>Prognosis</ns0:t>
        </ns0:is>
      </ns0:c>
      <ns0:c r="B253" s="19" t="inlineStr">
        <ns0:is>
          <ns0:t>Biological/omics</ns0:t>
        </ns0:is>
      </ns0:c>
      <ns0:c r="C253" s="19" t="inlineStr">
        <ns0:is>
          <ns0:t>Deep Learning</ns0:t>
        </ns0:is>
      </ns0:c>
      <ns0:c r="D253" s="19" t="inlineStr">
        <ns0:is>
          <ns0:t>External validation</ns0:t>
        </ns0:is>
      </ns0:c>
      <ns0:c r="E253" s="19" t="inlineStr">
        <ns0:is>
          <ns0:t>external_validation</ns0:t>
        </ns0:is>
      </ns0:c>
      <ns0:c r="F253" s="27">
        <ns0:f>COUNTIFS('BASE_CIERRE'!$G$5:$G$458,1,'BASE_CIERRE'!$H$5:$H$458,"Prognosis",'BASE_CIERRE'!$J$5:$J$458,"Biological/omics",'BASE_CIERRE'!$I$5:$I$458,"Deep Learning",'BASE_CIERRE'!$Q$5:$Q$458,"Reported")</ns0:f>
        <ns0:v>0</ns0:v>
      </ns0:c>
      <ns0:c r="G253" s="27">
        <ns0:f>COUNTIFS('BASE_CIERRE'!$G$5:$G$458,1,'BASE_CIERRE'!$H$5:$H$458,"Prognosis",'BASE_CIERRE'!$J$5:$J$458,"Biological/omics",'BASE_CIERRE'!$I$5:$I$458,"Deep Learning",'BASE_CIERRE'!$Q$5:$Q$458,"Not reported in assessed sources")</ns0:f>
        <ns0:v>1</ns0:v>
      </ns0:c>
      <ns0:c r="H253" s="27">
        <ns0:f>COUNTIFS('BASE_CIERRE'!$G$5:$G$458,1,'BASE_CIERRE'!$H$5:$H$458,"Prognosis",'BASE_CIERRE'!$J$5:$J$458,"Biological/omics",'BASE_CIERRE'!$I$5:$I$458,"Deep Learning",'BASE_CIERRE'!$Q$5:$Q$458,"Not ascertainable")</ns0:f>
        <ns0:v>0</ns0:v>
      </ns0:c>
      <ns0:c r="I253" s="27">
        <ns0:f>SUM(F253:H253)</ns0:f>
        <ns0:v>1</ns0:v>
      </ns0:c>
      <ns0:c r="J253" s="31">
        <ns0:f>IFERROR(F253/I253,0)</ns0:f>
        <ns0:v>0</ns0:v>
      </ns0:c>
      <ns0:c r="K253" s="31">
        <ns0:f>IFERROR(F253/(I253-H253),0)</ns0:f>
        <ns0:v>0</ns0:v>
      </ns0:c>
      <ns0:c r="L253" s="19" t="inlineStr">
        <ns0:is>
          <ns0:t>80</ns0:t>
        </ns0:is>
      </ns0:c>
    </ns0:row>
    <ns0:row r="254" ht="32" customHeight="1">
      <ns0:c r="A254" s="21" t="inlineStr">
        <ns0:is>
          <ns0:t>Prognosis</ns0:t>
        </ns0:is>
      </ns0:c>
      <ns0:c r="B254" s="21" t="inlineStr">
        <ns0:is>
          <ns0:t>Biological/omics</ns0:t>
        </ns0:is>
      </ns0:c>
      <ns0:c r="C254" s="21" t="inlineStr">
        <ns0:is>
          <ns0:t>Deep Learning</ns0:t>
        </ns0:is>
      </ns0:c>
      <ns0:c r="D254" s="21" t="inlineStr">
        <ns0:is>
          <ns0:t>Multisource integration</ns0:t>
        </ns0:is>
      </ns0:c>
      <ns0:c r="E254" s="21" t="inlineStr">
        <ns0:is>
          <ns0:t>multisource_integration</ns0:t>
        </ns0:is>
      </ns0:c>
      <ns0:c r="F254" s="29">
        <ns0:f>COUNTIFS('BASE_CIERRE'!$G$5:$G$458,1,'BASE_CIERRE'!$H$5:$H$458,"Prognosis",'BASE_CIERRE'!$J$5:$J$458,"Biological/omics",'BASE_CIERRE'!$I$5:$I$458,"Deep Learning",'BASE_CIERRE'!$R$5:$R$458,"Reported")</ns0:f>
        <ns0:v>0</ns0:v>
      </ns0:c>
      <ns0:c r="G254" s="29">
        <ns0:f>COUNTIFS('BASE_CIERRE'!$G$5:$G$458,1,'BASE_CIERRE'!$H$5:$H$458,"Prognosis",'BASE_CIERRE'!$J$5:$J$458,"Biological/omics",'BASE_CIERRE'!$I$5:$I$458,"Deep Learning",'BASE_CIERRE'!$R$5:$R$458,"Not reported in assessed sources")</ns0:f>
        <ns0:v>1</ns0:v>
      </ns0:c>
      <ns0:c r="H254" s="29">
        <ns0:f>COUNTIFS('BASE_CIERRE'!$G$5:$G$458,1,'BASE_CIERRE'!$H$5:$H$458,"Prognosis",'BASE_CIERRE'!$J$5:$J$458,"Biological/omics",'BASE_CIERRE'!$I$5:$I$458,"Deep Learning",'BASE_CIERRE'!$R$5:$R$458,"Not ascertainable")</ns0:f>
        <ns0:v>0</ns0:v>
      </ns0:c>
      <ns0:c r="I254" s="29">
        <ns0:f>SUM(F254:H254)</ns0:f>
        <ns0:v>1</ns0:v>
      </ns0:c>
      <ns0:c r="J254" s="32">
        <ns0:f>IFERROR(F254/I254,0)</ns0:f>
        <ns0:v>0</ns0:v>
      </ns0:c>
      <ns0:c r="K254" s="32">
        <ns0:f>IFERROR(F254/(I254-H254),0)</ns0:f>
        <ns0:v>0</ns0:v>
      </ns0:c>
      <ns0:c r="L254" s="21" t="inlineStr">
        <ns0:is>
          <ns0:t>80</ns0:t>
        </ns0:is>
      </ns0:c>
    </ns0:row>
    <ns0:row r="255" ht="32" customHeight="1">
      <ns0:c r="A255" s="19" t="inlineStr">
        <ns0:is>
          <ns0:t>Prognosis</ns0:t>
        </ns0:is>
      </ns0:c>
      <ns0:c r="B255" s="19" t="inlineStr">
        <ns0:is>
          <ns0:t>Biological/omics</ns0:t>
        </ns0:is>
      </ns0:c>
      <ns0:c r="C255" s="19" t="inlineStr">
        <ns0:is>
          <ns0:t>Deep Learning</ns0:t>
        </ns0:is>
      </ns0:c>
      <ns0:c r="D255" s="19" t="inlineStr">
        <ns0:is>
          <ns0:t>Explicit explainability (broad)</ns0:t>
        </ns0:is>
      </ns0:c>
      <ns0:c r="E255" s="19" t="inlineStr">
        <ns0:is>
          <ns0:t>xai_broad</ns0:t>
        </ns0:is>
      </ns0:c>
      <ns0:c r="F255" s="27">
        <ns0:f>COUNTIFS('BASE_CIERRE'!$G$5:$G$458,1,'BASE_CIERRE'!$H$5:$H$458,"Prognosis",'BASE_CIERRE'!$J$5:$J$458,"Biological/omics",'BASE_CIERRE'!$I$5:$I$458,"Deep Learning",'BASE_CIERRE'!$S$5:$S$458,"Reported")</ns0:f>
        <ns0:v>0</ns0:v>
      </ns0:c>
      <ns0:c r="G255" s="27">
        <ns0:f>COUNTIFS('BASE_CIERRE'!$G$5:$G$458,1,'BASE_CIERRE'!$H$5:$H$458,"Prognosis",'BASE_CIERRE'!$J$5:$J$458,"Biological/omics",'BASE_CIERRE'!$I$5:$I$458,"Deep Learning",'BASE_CIERRE'!$S$5:$S$458,"Not reported in assessed sources")</ns0:f>
        <ns0:v>1</ns0:v>
      </ns0:c>
      <ns0:c r="H255" s="27">
        <ns0:f>COUNTIFS('BASE_CIERRE'!$G$5:$G$458,1,'BASE_CIERRE'!$H$5:$H$458,"Prognosis",'BASE_CIERRE'!$J$5:$J$458,"Biological/omics",'BASE_CIERRE'!$I$5:$I$458,"Deep Learning",'BASE_CIERRE'!$S$5:$S$458,"Not ascertainable")</ns0:f>
        <ns0:v>0</ns0:v>
      </ns0:c>
      <ns0:c r="I255" s="27">
        <ns0:f>SUM(F255:H255)</ns0:f>
        <ns0:v>1</ns0:v>
      </ns0:c>
      <ns0:c r="J255" s="31">
        <ns0:f>IFERROR(F255/I255,0)</ns0:f>
        <ns0:v>0</ns0:v>
      </ns0:c>
      <ns0:c r="K255" s="31">
        <ns0:f>IFERROR(F255/(I255-H255),0)</ns0:f>
        <ns0:v>0</ns0:v>
      </ns0:c>
      <ns0:c r="L255" s="19" t="inlineStr">
        <ns0:is>
          <ns0:t>80</ns0:t>
        </ns0:is>
      </ns0:c>
    </ns0:row>
    <ns0:row r="256" ht="32" customHeight="1">
      <ns0:c r="A256" s="21" t="inlineStr">
        <ns0:is>
          <ns0:t>Prognosis</ns0:t>
        </ns0:is>
      </ns0:c>
      <ns0:c r="B256" s="21" t="inlineStr">
        <ns0:is>
          <ns0:t>Biological/omics</ns0:t>
        </ns0:is>
      </ns0:c>
      <ns0:c r="C256" s="21" t="inlineStr">
        <ns0:is>
          <ns0:t>Deep Learning</ns0:t>
        </ns0:is>
      </ns0:c>
      <ns0:c r="D256" s="21" t="inlineStr">
        <ns0:is>
          <ns0:t>Cross-site evaluation</ns0:t>
        </ns0:is>
      </ns0:c>
      <ns0:c r="E256" s="21" t="inlineStr">
        <ns0:is>
          <ns0:t>cross_site_robustness</ns0:t>
        </ns0:is>
      </ns0:c>
      <ns0:c r="F256" s="29">
        <ns0:f>COUNTIFS('BASE_CIERRE'!$G$5:$G$458,1,'BASE_CIERRE'!$H$5:$H$458,"Prognosis",'BASE_CIERRE'!$J$5:$J$458,"Biological/omics",'BASE_CIERRE'!$I$5:$I$458,"Deep Learning",'BASE_CIERRE'!$U$5:$U$458,"Reported")</ns0:f>
        <ns0:v>0</ns0:v>
      </ns0:c>
      <ns0:c r="G256" s="29">
        <ns0:f>COUNTIFS('BASE_CIERRE'!$G$5:$G$458,1,'BASE_CIERRE'!$H$5:$H$458,"Prognosis",'BASE_CIERRE'!$J$5:$J$458,"Biological/omics",'BASE_CIERRE'!$I$5:$I$458,"Deep Learning",'BASE_CIERRE'!$U$5:$U$458,"Not reported in assessed sources")</ns0:f>
        <ns0:v>1</ns0:v>
      </ns0:c>
      <ns0:c r="H256" s="29">
        <ns0:f>COUNTIFS('BASE_CIERRE'!$G$5:$G$458,1,'BASE_CIERRE'!$H$5:$H$458,"Prognosis",'BASE_CIERRE'!$J$5:$J$458,"Biological/omics",'BASE_CIERRE'!$I$5:$I$458,"Deep Learning",'BASE_CIERRE'!$U$5:$U$458,"Not ascertainable")</ns0:f>
        <ns0:v>0</ns0:v>
      </ns0:c>
      <ns0:c r="I256" s="29">
        <ns0:f>SUM(F256:H256)</ns0:f>
        <ns0:v>1</ns0:v>
      </ns0:c>
      <ns0:c r="J256" s="32">
        <ns0:f>IFERROR(F256/I256,0)</ns0:f>
        <ns0:v>0</ns0:v>
      </ns0:c>
      <ns0:c r="K256" s="32">
        <ns0:f>IFERROR(F256/(I256-H256),0)</ns0:f>
        <ns0:v>0</ns0:v>
      </ns0:c>
      <ns0:c r="L256" s="21" t="inlineStr">
        <ns0:is>
          <ns0:t>80</ns0:t>
        </ns0:is>
      </ns0:c>
    </ns0:row>
    <ns0:row r="257" ht="32" customHeight="1">
      <ns0:c r="A257" s="19" t="inlineStr">
        <ns0:is>
          <ns0:t>Prognosis</ns0:t>
        </ns0:is>
      </ns0:c>
      <ns0:c r="B257" s="19" t="inlineStr">
        <ns0:is>
          <ns0:t>Biological/omics</ns0:t>
        </ns0:is>
      </ns0:c>
      <ns0:c r="C257" s="19" t="inlineStr">
        <ns0:is>
          <ns0:t>Machine Learning</ns0:t>
        </ns0:is>
      </ns0:c>
      <ns0:c r="D257" s="19" t="inlineStr">
        <ns0:is>
          <ns0:t>External validation</ns0:t>
        </ns0:is>
      </ns0:c>
      <ns0:c r="E257" s="19" t="inlineStr">
        <ns0:is>
          <ns0:t>external_validation</ns0:t>
        </ns0:is>
      </ns0:c>
      <ns0:c r="F257" s="27">
        <ns0:f>COUNTIFS('BASE_CIERRE'!$G$5:$G$458,1,'BASE_CIERRE'!$H$5:$H$458,"Prognosis",'BASE_CIERRE'!$J$5:$J$458,"Biological/omics",'BASE_CIERRE'!$I$5:$I$458,"Machine Learning",'BASE_CIERRE'!$Q$5:$Q$458,"Reported")</ns0:f>
        <ns0:v>0</ns0:v>
      </ns0:c>
      <ns0:c r="G257" s="27">
        <ns0:f>COUNTIFS('BASE_CIERRE'!$G$5:$G$458,1,'BASE_CIERRE'!$H$5:$H$458,"Prognosis",'BASE_CIERRE'!$J$5:$J$458,"Biological/omics",'BASE_CIERRE'!$I$5:$I$458,"Machine Learning",'BASE_CIERRE'!$Q$5:$Q$458,"Not reported in assessed sources")</ns0:f>
        <ns0:v>2</ns0:v>
      </ns0:c>
      <ns0:c r="H257" s="27">
        <ns0:f>COUNTIFS('BASE_CIERRE'!$G$5:$G$458,1,'BASE_CIERRE'!$H$5:$H$458,"Prognosis",'BASE_CIERRE'!$J$5:$J$458,"Biological/omics",'BASE_CIERRE'!$I$5:$I$458,"Machine Learning",'BASE_CIERRE'!$Q$5:$Q$458,"Not ascertainable")</ns0:f>
        <ns0:v>0</ns0:v>
      </ns0:c>
      <ns0:c r="I257" s="27">
        <ns0:f>SUM(F257:H257)</ns0:f>
        <ns0:v>2</ns0:v>
      </ns0:c>
      <ns0:c r="J257" s="31">
        <ns0:f>IFERROR(F257/I257,0)</ns0:f>
        <ns0:v>0</ns0:v>
      </ns0:c>
      <ns0:c r="K257" s="31">
        <ns0:f>IFERROR(F257/(I257-H257),0)</ns0:f>
        <ns0:v>0</ns0:v>
      </ns0:c>
      <ns0:c r="L257" s="19" t="inlineStr">
        <ns0:is>
          <ns0:t>40; new_383</ns0:t>
        </ns0:is>
      </ns0:c>
    </ns0:row>
    <ns0:row r="258" ht="32" customHeight="1">
      <ns0:c r="A258" s="21" t="inlineStr">
        <ns0:is>
          <ns0:t>Prognosis</ns0:t>
        </ns0:is>
      </ns0:c>
      <ns0:c r="B258" s="21" t="inlineStr">
        <ns0:is>
          <ns0:t>Biological/omics</ns0:t>
        </ns0:is>
      </ns0:c>
      <ns0:c r="C258" s="21" t="inlineStr">
        <ns0:is>
          <ns0:t>Machine Learning</ns0:t>
        </ns0:is>
      </ns0:c>
      <ns0:c r="D258" s="21" t="inlineStr">
        <ns0:is>
          <ns0:t>Multisource integration</ns0:t>
        </ns0:is>
      </ns0:c>
      <ns0:c r="E258" s="21" t="inlineStr">
        <ns0:is>
          <ns0:t>multisource_integration</ns0:t>
        </ns0:is>
      </ns0:c>
      <ns0:c r="F258" s="29">
        <ns0:f>COUNTIFS('BASE_CIERRE'!$G$5:$G$458,1,'BASE_CIERRE'!$H$5:$H$458,"Prognosis",'BASE_CIERRE'!$J$5:$J$458,"Biological/omics",'BASE_CIERRE'!$I$5:$I$458,"Machine Learning",'BASE_CIERRE'!$R$5:$R$458,"Reported")</ns0:f>
        <ns0:v>1</ns0:v>
      </ns0:c>
      <ns0:c r="G258" s="29">
        <ns0:f>COUNTIFS('BASE_CIERRE'!$G$5:$G$458,1,'BASE_CIERRE'!$H$5:$H$458,"Prognosis",'BASE_CIERRE'!$J$5:$J$458,"Biological/omics",'BASE_CIERRE'!$I$5:$I$458,"Machine Learning",'BASE_CIERRE'!$R$5:$R$458,"Not reported in assessed sources")</ns0:f>
        <ns0:v>1</ns0:v>
      </ns0:c>
      <ns0:c r="H258" s="29">
        <ns0:f>COUNTIFS('BASE_CIERRE'!$G$5:$G$458,1,'BASE_CIERRE'!$H$5:$H$458,"Prognosis",'BASE_CIERRE'!$J$5:$J$458,"Biological/omics",'BASE_CIERRE'!$I$5:$I$458,"Machine Learning",'BASE_CIERRE'!$R$5:$R$458,"Not ascertainable")</ns0:f>
        <ns0:v>0</ns0:v>
      </ns0:c>
      <ns0:c r="I258" s="29">
        <ns0:f>SUM(F258:H258)</ns0:f>
        <ns0:v>2</ns0:v>
      </ns0:c>
      <ns0:c r="J258" s="32">
        <ns0:f>IFERROR(F258/I258,0)</ns0:f>
        <ns0:v>0.5</ns0:v>
      </ns0:c>
      <ns0:c r="K258" s="32">
        <ns0:f>IFERROR(F258/(I258-H258),0)</ns0:f>
        <ns0:v>0.5</ns0:v>
      </ns0:c>
      <ns0:c r="L258" s="21" t="inlineStr">
        <ns0:is>
          <ns0:t>40; new_383</ns0:t>
        </ns0:is>
      </ns0:c>
    </ns0:row>
    <ns0:row r="259" ht="32" customHeight="1">
      <ns0:c r="A259" s="19" t="inlineStr">
        <ns0:is>
          <ns0:t>Prognosis</ns0:t>
        </ns0:is>
      </ns0:c>
      <ns0:c r="B259" s="19" t="inlineStr">
        <ns0:is>
          <ns0:t>Biological/omics</ns0:t>
        </ns0:is>
      </ns0:c>
      <ns0:c r="C259" s="19" t="inlineStr">
        <ns0:is>
          <ns0:t>Machine Learning</ns0:t>
        </ns0:is>
      </ns0:c>
      <ns0:c r="D259" s="19" t="inlineStr">
        <ns0:is>
          <ns0:t>Explicit explainability (broad)</ns0:t>
        </ns0:is>
      </ns0:c>
      <ns0:c r="E259" s="19" t="inlineStr">
        <ns0:is>
          <ns0:t>xai_broad</ns0:t>
        </ns0:is>
      </ns0:c>
      <ns0:c r="F259" s="27">
        <ns0:f>COUNTIFS('BASE_CIERRE'!$G$5:$G$458,1,'BASE_CIERRE'!$H$5:$H$458,"Prognosis",'BASE_CIERRE'!$J$5:$J$458,"Biological/omics",'BASE_CIERRE'!$I$5:$I$458,"Machine Learning",'BASE_CIERRE'!$S$5:$S$458,"Reported")</ns0:f>
        <ns0:v>1</ns0:v>
      </ns0:c>
      <ns0:c r="G259" s="27">
        <ns0:f>COUNTIFS('BASE_CIERRE'!$G$5:$G$458,1,'BASE_CIERRE'!$H$5:$H$458,"Prognosis",'BASE_CIERRE'!$J$5:$J$458,"Biological/omics",'BASE_CIERRE'!$I$5:$I$458,"Machine Learning",'BASE_CIERRE'!$S$5:$S$458,"Not reported in assessed sources")</ns0:f>
        <ns0:v>1</ns0:v>
      </ns0:c>
      <ns0:c r="H259" s="27">
        <ns0:f>COUNTIFS('BASE_CIERRE'!$G$5:$G$458,1,'BASE_CIERRE'!$H$5:$H$458,"Prognosis",'BASE_CIERRE'!$J$5:$J$458,"Biological/omics",'BASE_CIERRE'!$I$5:$I$458,"Machine Learning",'BASE_CIERRE'!$S$5:$S$458,"Not ascertainable")</ns0:f>
        <ns0:v>0</ns0:v>
      </ns0:c>
      <ns0:c r="I259" s="27">
        <ns0:f>SUM(F259:H259)</ns0:f>
        <ns0:v>2</ns0:v>
      </ns0:c>
      <ns0:c r="J259" s="31">
        <ns0:f>IFERROR(F259/I259,0)</ns0:f>
        <ns0:v>0.5</ns0:v>
      </ns0:c>
      <ns0:c r="K259" s="31">
        <ns0:f>IFERROR(F259/(I259-H259),0)</ns0:f>
        <ns0:v>0.5</ns0:v>
      </ns0:c>
      <ns0:c r="L259" s="19" t="inlineStr">
        <ns0:is>
          <ns0:t>40; new_383</ns0:t>
        </ns0:is>
      </ns0:c>
    </ns0:row>
    <ns0:row r="260" ht="32" customHeight="1">
      <ns0:c r="A260" s="21" t="inlineStr">
        <ns0:is>
          <ns0:t>Prognosis</ns0:t>
        </ns0:is>
      </ns0:c>
      <ns0:c r="B260" s="21" t="inlineStr">
        <ns0:is>
          <ns0:t>Biological/omics</ns0:t>
        </ns0:is>
      </ns0:c>
      <ns0:c r="C260" s="21" t="inlineStr">
        <ns0:is>
          <ns0:t>Machine Learning</ns0:t>
        </ns0:is>
      </ns0:c>
      <ns0:c r="D260" s="21" t="inlineStr">
        <ns0:is>
          <ns0:t>Cross-site evaluation</ns0:t>
        </ns0:is>
      </ns0:c>
      <ns0:c r="E260" s="21" t="inlineStr">
        <ns0:is>
          <ns0:t>cross_site_robustness</ns0:t>
        </ns0:is>
      </ns0:c>
      <ns0:c r="F260" s="29">
        <ns0:f>COUNTIFS('BASE_CIERRE'!$G$5:$G$458,1,'BASE_CIERRE'!$H$5:$H$458,"Prognosis",'BASE_CIERRE'!$J$5:$J$458,"Biological/omics",'BASE_CIERRE'!$I$5:$I$458,"Machine Learning",'BASE_CIERRE'!$U$5:$U$458,"Reported")</ns0:f>
        <ns0:v>0</ns0:v>
      </ns0:c>
      <ns0:c r="G260" s="29">
        <ns0:f>COUNTIFS('BASE_CIERRE'!$G$5:$G$458,1,'BASE_CIERRE'!$H$5:$H$458,"Prognosis",'BASE_CIERRE'!$J$5:$J$458,"Biological/omics",'BASE_CIERRE'!$I$5:$I$458,"Machine Learning",'BASE_CIERRE'!$U$5:$U$458,"Not reported in assessed sources")</ns0:f>
        <ns0:v>2</ns0:v>
      </ns0:c>
      <ns0:c r="H260" s="29">
        <ns0:f>COUNTIFS('BASE_CIERRE'!$G$5:$G$458,1,'BASE_CIERRE'!$H$5:$H$458,"Prognosis",'BASE_CIERRE'!$J$5:$J$458,"Biological/omics",'BASE_CIERRE'!$I$5:$I$458,"Machine Learning",'BASE_CIERRE'!$U$5:$U$458,"Not ascertainable")</ns0:f>
        <ns0:v>0</ns0:v>
      </ns0:c>
      <ns0:c r="I260" s="29">
        <ns0:f>SUM(F260:H260)</ns0:f>
        <ns0:v>2</ns0:v>
      </ns0:c>
      <ns0:c r="J260" s="32">
        <ns0:f>IFERROR(F260/I260,0)</ns0:f>
        <ns0:v>0</ns0:v>
      </ns0:c>
      <ns0:c r="K260" s="32">
        <ns0:f>IFERROR(F260/(I260-H260),0)</ns0:f>
        <ns0:v>0</ns0:v>
      </ns0:c>
      <ns0:c r="L260" s="21" t="inlineStr">
        <ns0:is>
          <ns0:t>40; new_383</ns0:t>
        </ns0:is>
      </ns0:c>
    </ns0:row>
    <ns0:row r="261" ht="32" customHeight="1">
      <ns0:c r="A261" s="19" t="inlineStr">
        <ns0:is>
          <ns0:t>Prognosis</ns0:t>
        </ns0:is>
      </ns0:c>
      <ns0:c r="B261" s="19" t="inlineStr">
        <ns0:is>
          <ns0:t>Multiple source categories</ns0:t>
        </ns0:is>
      </ns0:c>
      <ns0:c r="C261" s="19" t="inlineStr">
        <ns0:is>
          <ns0:t>Machine Learning</ns0:t>
        </ns0:is>
      </ns0:c>
      <ns0:c r="D261" s="19" t="inlineStr">
        <ns0:is>
          <ns0:t>External validation</ns0:t>
        </ns0:is>
      </ns0:c>
      <ns0:c r="E261" s="19" t="inlineStr">
        <ns0:is>
          <ns0:t>external_validation</ns0:t>
        </ns0:is>
      </ns0:c>
      <ns0:c r="F261" s="27">
        <ns0:f>COUNTIFS('BASE_CIERRE'!$G$5:$G$458,1,'BASE_CIERRE'!$H$5:$H$458,"Prognosis",'BASE_CIERRE'!$J$5:$J$458,"Multiple source categories",'BASE_CIERRE'!$I$5:$I$458,"Machine Learning",'BASE_CIERRE'!$Q$5:$Q$458,"Reported")</ns0:f>
        <ns0:v>0</ns0:v>
      </ns0:c>
      <ns0:c r="G261" s="27">
        <ns0:f>COUNTIFS('BASE_CIERRE'!$G$5:$G$458,1,'BASE_CIERRE'!$H$5:$H$458,"Prognosis",'BASE_CIERRE'!$J$5:$J$458,"Multiple source categories",'BASE_CIERRE'!$I$5:$I$458,"Machine Learning",'BASE_CIERRE'!$Q$5:$Q$458,"Not reported in assessed sources")</ns0:f>
        <ns0:v>4</ns0:v>
      </ns0:c>
      <ns0:c r="H261" s="27">
        <ns0:f>COUNTIFS('BASE_CIERRE'!$G$5:$G$458,1,'BASE_CIERRE'!$H$5:$H$458,"Prognosis",'BASE_CIERRE'!$J$5:$J$458,"Multiple source categories",'BASE_CIERRE'!$I$5:$I$458,"Machine Learning",'BASE_CIERRE'!$Q$5:$Q$458,"Not ascertainable")</ns0:f>
        <ns0:v>0</ns0:v>
      </ns0:c>
      <ns0:c r="I261" s="27">
        <ns0:f>SUM(F261:H261)</ns0:f>
        <ns0:v>4</ns0:v>
      </ns0:c>
      <ns0:c r="J261" s="31">
        <ns0:f>IFERROR(F261/I261,0)</ns0:f>
        <ns0:v>0</ns0:v>
      </ns0:c>
      <ns0:c r="K261" s="31">
        <ns0:f>IFERROR(F261/(I261-H261),0)</ns0:f>
        <ns0:v>0</ns0:v>
      </ns0:c>
      <ns0:c r="L261" s="19" t="inlineStr">
        <ns0:is>
          <ns0:t>210; new_186; new_395; new_154</ns0:t>
        </ns0:is>
      </ns0:c>
    </ns0:row>
    <ns0:row r="262" ht="32" customHeight="1">
      <ns0:c r="A262" s="21" t="inlineStr">
        <ns0:is>
          <ns0:t>Prognosis</ns0:t>
        </ns0:is>
      </ns0:c>
      <ns0:c r="B262" s="21" t="inlineStr">
        <ns0:is>
          <ns0:t>Multiple source categories</ns0:t>
        </ns0:is>
      </ns0:c>
      <ns0:c r="C262" s="21" t="inlineStr">
        <ns0:is>
          <ns0:t>Machine Learning</ns0:t>
        </ns0:is>
      </ns0:c>
      <ns0:c r="D262" s="21" t="inlineStr">
        <ns0:is>
          <ns0:t>Multisource integration</ns0:t>
        </ns0:is>
      </ns0:c>
      <ns0:c r="E262" s="21" t="inlineStr">
        <ns0:is>
          <ns0:t>multisource_integration</ns0:t>
        </ns0:is>
      </ns0:c>
      <ns0:c r="F262" s="29">
        <ns0:f>COUNTIFS('BASE_CIERRE'!$G$5:$G$458,1,'BASE_CIERRE'!$H$5:$H$458,"Prognosis",'BASE_CIERRE'!$J$5:$J$458,"Multiple source categories",'BASE_CIERRE'!$I$5:$I$458,"Machine Learning",'BASE_CIERRE'!$R$5:$R$458,"Reported")</ns0:f>
        <ns0:v>4</ns0:v>
      </ns0:c>
      <ns0:c r="G262" s="29">
        <ns0:f>COUNTIFS('BASE_CIERRE'!$G$5:$G$458,1,'BASE_CIERRE'!$H$5:$H$458,"Prognosis",'BASE_CIERRE'!$J$5:$J$458,"Multiple source categories",'BASE_CIERRE'!$I$5:$I$458,"Machine Learning",'BASE_CIERRE'!$R$5:$R$458,"Not reported in assessed sources")</ns0:f>
        <ns0:v>0</ns0:v>
      </ns0:c>
      <ns0:c r="H262" s="29">
        <ns0:f>COUNTIFS('BASE_CIERRE'!$G$5:$G$458,1,'BASE_CIERRE'!$H$5:$H$458,"Prognosis",'BASE_CIERRE'!$J$5:$J$458,"Multiple source categories",'BASE_CIERRE'!$I$5:$I$458,"Machine Learning",'BASE_CIERRE'!$R$5:$R$458,"Not ascertainable")</ns0:f>
        <ns0:v>0</ns0:v>
      </ns0:c>
      <ns0:c r="I262" s="29">
        <ns0:f>SUM(F262:H262)</ns0:f>
        <ns0:v>4</ns0:v>
      </ns0:c>
      <ns0:c r="J262" s="32">
        <ns0:f>IFERROR(F262/I262,0)</ns0:f>
        <ns0:v>1</ns0:v>
      </ns0:c>
      <ns0:c r="K262" s="32">
        <ns0:f>IFERROR(F262/(I262-H262),0)</ns0:f>
        <ns0:v>1</ns0:v>
      </ns0:c>
      <ns0:c r="L262" s="21" t="inlineStr">
        <ns0:is>
          <ns0:t>210; new_186; new_395; new_154</ns0:t>
        </ns0:is>
      </ns0:c>
    </ns0:row>
    <ns0:row r="263" ht="32" customHeight="1">
      <ns0:c r="A263" s="19" t="inlineStr">
        <ns0:is>
          <ns0:t>Prognosis</ns0:t>
        </ns0:is>
      </ns0:c>
      <ns0:c r="B263" s="19" t="inlineStr">
        <ns0:is>
          <ns0:t>Multiple source categories</ns0:t>
        </ns0:is>
      </ns0:c>
      <ns0:c r="C263" s="19" t="inlineStr">
        <ns0:is>
          <ns0:t>Machine Learning</ns0:t>
        </ns0:is>
      </ns0:c>
      <ns0:c r="D263" s="19" t="inlineStr">
        <ns0:is>
          <ns0:t>Explicit explainability (broad)</ns0:t>
        </ns0:is>
      </ns0:c>
      <ns0:c r="E263" s="19" t="inlineStr">
        <ns0:is>
          <ns0:t>xai_broad</ns0:t>
        </ns0:is>
      </ns0:c>
      <ns0:c r="F263" s="27">
        <ns0:f>COUNTIFS('BASE_CIERRE'!$G$5:$G$458,1,'BASE_CIERRE'!$H$5:$H$458,"Prognosis",'BASE_CIERRE'!$J$5:$J$458,"Multiple source categories",'BASE_CIERRE'!$I$5:$I$458,"Machine Learning",'BASE_CIERRE'!$S$5:$S$458,"Reported")</ns0:f>
        <ns0:v>1</ns0:v>
      </ns0:c>
      <ns0:c r="G263" s="27">
        <ns0:f>COUNTIFS('BASE_CIERRE'!$G$5:$G$458,1,'BASE_CIERRE'!$H$5:$H$458,"Prognosis",'BASE_CIERRE'!$J$5:$J$458,"Multiple source categories",'BASE_CIERRE'!$I$5:$I$458,"Machine Learning",'BASE_CIERRE'!$S$5:$S$458,"Not reported in assessed sources")</ns0:f>
        <ns0:v>3</ns0:v>
      </ns0:c>
      <ns0:c r="H263" s="27">
        <ns0:f>COUNTIFS('BASE_CIERRE'!$G$5:$G$458,1,'BASE_CIERRE'!$H$5:$H$458,"Prognosis",'BASE_CIERRE'!$J$5:$J$458,"Multiple source categories",'BASE_CIERRE'!$I$5:$I$458,"Machine Learning",'BASE_CIERRE'!$S$5:$S$458,"Not ascertainable")</ns0:f>
        <ns0:v>0</ns0:v>
      </ns0:c>
      <ns0:c r="I263" s="27">
        <ns0:f>SUM(F263:H263)</ns0:f>
        <ns0:v>4</ns0:v>
      </ns0:c>
      <ns0:c r="J263" s="31">
        <ns0:f>IFERROR(F263/I263,0)</ns0:f>
        <ns0:v>0.25</ns0:v>
      </ns0:c>
      <ns0:c r="K263" s="31">
        <ns0:f>IFERROR(F263/(I263-H263),0)</ns0:f>
        <ns0:v>0.25</ns0:v>
      </ns0:c>
      <ns0:c r="L263" s="19" t="inlineStr">
        <ns0:is>
          <ns0:t>210; new_186; new_395; new_154</ns0:t>
        </ns0:is>
      </ns0:c>
    </ns0:row>
    <ns0:row r="264" ht="32" customHeight="1">
      <ns0:c r="A264" s="21" t="inlineStr">
        <ns0:is>
          <ns0:t>Prognosis</ns0:t>
        </ns0:is>
      </ns0:c>
      <ns0:c r="B264" s="21" t="inlineStr">
        <ns0:is>
          <ns0:t>Multiple source categories</ns0:t>
        </ns0:is>
      </ns0:c>
      <ns0:c r="C264" s="21" t="inlineStr">
        <ns0:is>
          <ns0:t>Machine Learning</ns0:t>
        </ns0:is>
      </ns0:c>
      <ns0:c r="D264" s="21" t="inlineStr">
        <ns0:is>
          <ns0:t>Cross-site evaluation</ns0:t>
        </ns0:is>
      </ns0:c>
      <ns0:c r="E264" s="21" t="inlineStr">
        <ns0:is>
          <ns0:t>cross_site_robustness</ns0:t>
        </ns0:is>
      </ns0:c>
      <ns0:c r="F264" s="29">
        <ns0:f>COUNTIFS('BASE_CIERRE'!$G$5:$G$458,1,'BASE_CIERRE'!$H$5:$H$458,"Prognosis",'BASE_CIERRE'!$J$5:$J$458,"Multiple source categories",'BASE_CIERRE'!$I$5:$I$458,"Machine Learning",'BASE_CIERRE'!$U$5:$U$458,"Reported")</ns0:f>
        <ns0:v>0</ns0:v>
      </ns0:c>
      <ns0:c r="G264" s="29">
        <ns0:f>COUNTIFS('BASE_CIERRE'!$G$5:$G$458,1,'BASE_CIERRE'!$H$5:$H$458,"Prognosis",'BASE_CIERRE'!$J$5:$J$458,"Multiple source categories",'BASE_CIERRE'!$I$5:$I$458,"Machine Learning",'BASE_CIERRE'!$U$5:$U$458,"Not reported in assessed sources")</ns0:f>
        <ns0:v>4</ns0:v>
      </ns0:c>
      <ns0:c r="H264" s="29">
        <ns0:f>COUNTIFS('BASE_CIERRE'!$G$5:$G$458,1,'BASE_CIERRE'!$H$5:$H$458,"Prognosis",'BASE_CIERRE'!$J$5:$J$458,"Multiple source categories",'BASE_CIERRE'!$I$5:$I$458,"Machine Learning",'BASE_CIERRE'!$U$5:$U$458,"Not ascertainable")</ns0:f>
        <ns0:v>0</ns0:v>
      </ns0:c>
      <ns0:c r="I264" s="29">
        <ns0:f>SUM(F264:H264)</ns0:f>
        <ns0:v>4</ns0:v>
      </ns0:c>
      <ns0:c r="J264" s="32">
        <ns0:f>IFERROR(F264/I264,0)</ns0:f>
        <ns0:v>0</ns0:v>
      </ns0:c>
      <ns0:c r="K264" s="32">
        <ns0:f>IFERROR(F264/(I264-H264),0)</ns0:f>
        <ns0:v>0</ns0:v>
      </ns0:c>
      <ns0:c r="L264" s="21" t="inlineStr">
        <ns0:is>
          <ns0:t>210; new_186; new_395; new_154</ns0:t>
        </ns0:is>
      </ns0:c>
    </ns0:row>
    <ns0:row r="265" ht="32" customHeight="1">
      <ns0:c r="A265" s="19" t="inlineStr">
        <ns0:is>
          <ns0:t>Prognosis</ns0:t>
        </ns0:is>
      </ns0:c>
      <ns0:c r="B265" s="19" t="inlineStr">
        <ns0:is>
          <ns0:t>Neuroimaging</ns0:t>
        </ns0:is>
      </ns0:c>
      <ns0:c r="C265" s="19" t="inlineStr">
        <ns0:is>
          <ns0:t>Machine Learning</ns0:t>
        </ns0:is>
      </ns0:c>
      <ns0:c r="D265" s="19" t="inlineStr">
        <ns0:is>
          <ns0:t>External validation</ns0:t>
        </ns0:is>
      </ns0:c>
      <ns0:c r="E265" s="19" t="inlineStr">
        <ns0:is>
          <ns0:t>external_validation</ns0:t>
        </ns0:is>
      </ns0:c>
      <ns0:c r="F265" s="27">
        <ns0:f>COUNTIFS('BASE_CIERRE'!$G$5:$G$458,1,'BASE_CIERRE'!$H$5:$H$458,"Prognosis",'BASE_CIERRE'!$J$5:$J$458,"Neuroimaging",'BASE_CIERRE'!$I$5:$I$458,"Machine Learning",'BASE_CIERRE'!$Q$5:$Q$458,"Reported")</ns0:f>
        <ns0:v>0</ns0:v>
      </ns0:c>
      <ns0:c r="G265" s="27">
        <ns0:f>COUNTIFS('BASE_CIERRE'!$G$5:$G$458,1,'BASE_CIERRE'!$H$5:$H$458,"Prognosis",'BASE_CIERRE'!$J$5:$J$458,"Neuroimaging",'BASE_CIERRE'!$I$5:$I$458,"Machine Learning",'BASE_CIERRE'!$Q$5:$Q$458,"Not reported in assessed sources")</ns0:f>
        <ns0:v>2</ns0:v>
      </ns0:c>
      <ns0:c r="H265" s="27">
        <ns0:f>COUNTIFS('BASE_CIERRE'!$G$5:$G$458,1,'BASE_CIERRE'!$H$5:$H$458,"Prognosis",'BASE_CIERRE'!$J$5:$J$458,"Neuroimaging",'BASE_CIERRE'!$I$5:$I$458,"Machine Learning",'BASE_CIERRE'!$Q$5:$Q$458,"Not ascertainable")</ns0:f>
        <ns0:v>0</ns0:v>
      </ns0:c>
      <ns0:c r="I265" s="27">
        <ns0:f>SUM(F265:H265)</ns0:f>
        <ns0:v>2</ns0:v>
      </ns0:c>
      <ns0:c r="J265" s="31">
        <ns0:f>IFERROR(F265/I265,0)</ns0:f>
        <ns0:v>0</ns0:v>
      </ns0:c>
      <ns0:c r="K265" s="31">
        <ns0:f>IFERROR(F265/(I265-H265),0)</ns0:f>
        <ns0:v>0</ns0:v>
      </ns0:c>
      <ns0:c r="L265" s="19" t="inlineStr">
        <ns0:is>
          <ns0:t>14; new_203</ns0:t>
        </ns0:is>
      </ns0:c>
    </ns0:row>
    <ns0:row r="266" ht="32" customHeight="1">
      <ns0:c r="A266" s="21" t="inlineStr">
        <ns0:is>
          <ns0:t>Prognosis</ns0:t>
        </ns0:is>
      </ns0:c>
      <ns0:c r="B266" s="21" t="inlineStr">
        <ns0:is>
          <ns0:t>Neuroimaging</ns0:t>
        </ns0:is>
      </ns0:c>
      <ns0:c r="C266" s="21" t="inlineStr">
        <ns0:is>
          <ns0:t>Machine Learning</ns0:t>
        </ns0:is>
      </ns0:c>
      <ns0:c r="D266" s="21" t="inlineStr">
        <ns0:is>
          <ns0:t>Multisource integration</ns0:t>
        </ns0:is>
      </ns0:c>
      <ns0:c r="E266" s="21" t="inlineStr">
        <ns0:is>
          <ns0:t>multisource_integration</ns0:t>
        </ns0:is>
      </ns0:c>
      <ns0:c r="F266" s="29">
        <ns0:f>COUNTIFS('BASE_CIERRE'!$G$5:$G$458,1,'BASE_CIERRE'!$H$5:$H$458,"Prognosis",'BASE_CIERRE'!$J$5:$J$458,"Neuroimaging",'BASE_CIERRE'!$I$5:$I$458,"Machine Learning",'BASE_CIERRE'!$R$5:$R$458,"Reported")</ns0:f>
        <ns0:v>1</ns0:v>
      </ns0:c>
      <ns0:c r="G266" s="29">
        <ns0:f>COUNTIFS('BASE_CIERRE'!$G$5:$G$458,1,'BASE_CIERRE'!$H$5:$H$458,"Prognosis",'BASE_CIERRE'!$J$5:$J$458,"Neuroimaging",'BASE_CIERRE'!$I$5:$I$458,"Machine Learning",'BASE_CIERRE'!$R$5:$R$458,"Not reported in assessed sources")</ns0:f>
        <ns0:v>1</ns0:v>
      </ns0:c>
      <ns0:c r="H266" s="29">
        <ns0:f>COUNTIFS('BASE_CIERRE'!$G$5:$G$458,1,'BASE_CIERRE'!$H$5:$H$458,"Prognosis",'BASE_CIERRE'!$J$5:$J$458,"Neuroimaging",'BASE_CIERRE'!$I$5:$I$458,"Machine Learning",'BASE_CIERRE'!$R$5:$R$458,"Not ascertainable")</ns0:f>
        <ns0:v>0</ns0:v>
      </ns0:c>
      <ns0:c r="I266" s="29">
        <ns0:f>SUM(F266:H266)</ns0:f>
        <ns0:v>2</ns0:v>
      </ns0:c>
      <ns0:c r="J266" s="32">
        <ns0:f>IFERROR(F266/I266,0)</ns0:f>
        <ns0:v>0.5</ns0:v>
      </ns0:c>
      <ns0:c r="K266" s="32">
        <ns0:f>IFERROR(F266/(I266-H266),0)</ns0:f>
        <ns0:v>0.5</ns0:v>
      </ns0:c>
      <ns0:c r="L266" s="21" t="inlineStr">
        <ns0:is>
          <ns0:t>14; new_203</ns0:t>
        </ns0:is>
      </ns0:c>
    </ns0:row>
    <ns0:row r="267" ht="32" customHeight="1">
      <ns0:c r="A267" s="19" t="inlineStr">
        <ns0:is>
          <ns0:t>Prognosis</ns0:t>
        </ns0:is>
      </ns0:c>
      <ns0:c r="B267" s="19" t="inlineStr">
        <ns0:is>
          <ns0:t>Neuroimaging</ns0:t>
        </ns0:is>
      </ns0:c>
      <ns0:c r="C267" s="19" t="inlineStr">
        <ns0:is>
          <ns0:t>Machine Learning</ns0:t>
        </ns0:is>
      </ns0:c>
      <ns0:c r="D267" s="19" t="inlineStr">
        <ns0:is>
          <ns0:t>Explicit explainability (broad)</ns0:t>
        </ns0:is>
      </ns0:c>
      <ns0:c r="E267" s="19" t="inlineStr">
        <ns0:is>
          <ns0:t>xai_broad</ns0:t>
        </ns0:is>
      </ns0:c>
      <ns0:c r="F267" s="27">
        <ns0:f>COUNTIFS('BASE_CIERRE'!$G$5:$G$458,1,'BASE_CIERRE'!$H$5:$H$458,"Prognosis",'BASE_CIERRE'!$J$5:$J$458,"Neuroimaging",'BASE_CIERRE'!$I$5:$I$458,"Machine Learning",'BASE_CIERRE'!$S$5:$S$458,"Reported")</ns0:f>
        <ns0:v>1</ns0:v>
      </ns0:c>
      <ns0:c r="G267" s="27">
        <ns0:f>COUNTIFS('BASE_CIERRE'!$G$5:$G$458,1,'BASE_CIERRE'!$H$5:$H$458,"Prognosis",'BASE_CIERRE'!$J$5:$J$458,"Neuroimaging",'BASE_CIERRE'!$I$5:$I$458,"Machine Learning",'BASE_CIERRE'!$S$5:$S$458,"Not reported in assessed sources")</ns0:f>
        <ns0:v>1</ns0:v>
      </ns0:c>
      <ns0:c r="H267" s="27">
        <ns0:f>COUNTIFS('BASE_CIERRE'!$G$5:$G$458,1,'BASE_CIERRE'!$H$5:$H$458,"Prognosis",'BASE_CIERRE'!$J$5:$J$458,"Neuroimaging",'BASE_CIERRE'!$I$5:$I$458,"Machine Learning",'BASE_CIERRE'!$S$5:$S$458,"Not ascertainable")</ns0:f>
        <ns0:v>0</ns0:v>
      </ns0:c>
      <ns0:c r="I267" s="27">
        <ns0:f>SUM(F267:H267)</ns0:f>
        <ns0:v>2</ns0:v>
      </ns0:c>
      <ns0:c r="J267" s="31">
        <ns0:f>IFERROR(F267/I267,0)</ns0:f>
        <ns0:v>0.5</ns0:v>
      </ns0:c>
      <ns0:c r="K267" s="31">
        <ns0:f>IFERROR(F267/(I267-H267),0)</ns0:f>
        <ns0:v>0.5</ns0:v>
      </ns0:c>
      <ns0:c r="L267" s="19" t="inlineStr">
        <ns0:is>
          <ns0:t>14; new_203</ns0:t>
        </ns0:is>
      </ns0:c>
    </ns0:row>
    <ns0:row r="268" ht="32" customHeight="1">
      <ns0:c r="A268" s="21" t="inlineStr">
        <ns0:is>
          <ns0:t>Prognosis</ns0:t>
        </ns0:is>
      </ns0:c>
      <ns0:c r="B268" s="21" t="inlineStr">
        <ns0:is>
          <ns0:t>Neuroimaging</ns0:t>
        </ns0:is>
      </ns0:c>
      <ns0:c r="C268" s="21" t="inlineStr">
        <ns0:is>
          <ns0:t>Machine Learning</ns0:t>
        </ns0:is>
      </ns0:c>
      <ns0:c r="D268" s="21" t="inlineStr">
        <ns0:is>
          <ns0:t>Cross-site evaluation</ns0:t>
        </ns0:is>
      </ns0:c>
      <ns0:c r="E268" s="21" t="inlineStr">
        <ns0:is>
          <ns0:t>cross_site_robustness</ns0:t>
        </ns0:is>
      </ns0:c>
      <ns0:c r="F268" s="29">
        <ns0:f>COUNTIFS('BASE_CIERRE'!$G$5:$G$458,1,'BASE_CIERRE'!$H$5:$H$458,"Prognosis",'BASE_CIERRE'!$J$5:$J$458,"Neuroimaging",'BASE_CIERRE'!$I$5:$I$458,"Machine Learning",'BASE_CIERRE'!$U$5:$U$458,"Reported")</ns0:f>
        <ns0:v>0</ns0:v>
      </ns0:c>
      <ns0:c r="G268" s="29">
        <ns0:f>COUNTIFS('BASE_CIERRE'!$G$5:$G$458,1,'BASE_CIERRE'!$H$5:$H$458,"Prognosis",'BASE_CIERRE'!$J$5:$J$458,"Neuroimaging",'BASE_CIERRE'!$I$5:$I$458,"Machine Learning",'BASE_CIERRE'!$U$5:$U$458,"Not reported in assessed sources")</ns0:f>
        <ns0:v>2</ns0:v>
      </ns0:c>
      <ns0:c r="H268" s="29">
        <ns0:f>COUNTIFS('BASE_CIERRE'!$G$5:$G$458,1,'BASE_CIERRE'!$H$5:$H$458,"Prognosis",'BASE_CIERRE'!$J$5:$J$458,"Neuroimaging",'BASE_CIERRE'!$I$5:$I$458,"Machine Learning",'BASE_CIERRE'!$U$5:$U$458,"Not ascertainable")</ns0:f>
        <ns0:v>0</ns0:v>
      </ns0:c>
      <ns0:c r="I268" s="29">
        <ns0:f>SUM(F268:H268)</ns0:f>
        <ns0:v>2</ns0:v>
      </ns0:c>
      <ns0:c r="J268" s="32">
        <ns0:f>IFERROR(F268/I268,0)</ns0:f>
        <ns0:v>0</ns0:v>
      </ns0:c>
      <ns0:c r="K268" s="32">
        <ns0:f>IFERROR(F268/(I268-H268),0)</ns0:f>
        <ns0:v>0</ns0:v>
      </ns0:c>
      <ns0:c r="L268" s="21" t="inlineStr">
        <ns0:is>
          <ns0:t>14; new_203</ns0:t>
        </ns0:is>
      </ns0:c>
    </ns0:row>
    <ns0:row r="269" ht="32" customHeight="1">
      <ns0:c r="A269" s="19" t="inlineStr">
        <ns0:is>
          <ns0:t>Prognosis</ns0:t>
        </ns0:is>
      </ns0:c>
      <ns0:c r="B269" s="19" t="inlineStr">
        <ns0:is>
          <ns0:t>Physiological signals</ns0:t>
        </ns0:is>
      </ns0:c>
      <ns0:c r="C269" s="19" t="inlineStr">
        <ns0:is>
          <ns0:t>Machine Learning</ns0:t>
        </ns0:is>
      </ns0:c>
      <ns0:c r="D269" s="19" t="inlineStr">
        <ns0:is>
          <ns0:t>External validation</ns0:t>
        </ns0:is>
      </ns0:c>
      <ns0:c r="E269" s="19" t="inlineStr">
        <ns0:is>
          <ns0:t>external_validation</ns0:t>
        </ns0:is>
      </ns0:c>
      <ns0:c r="F269" s="27">
        <ns0:f>COUNTIFS('BASE_CIERRE'!$G$5:$G$458,1,'BASE_CIERRE'!$H$5:$H$458,"Prognosis",'BASE_CIERRE'!$J$5:$J$458,"Physiological signals",'BASE_CIERRE'!$I$5:$I$458,"Machine Learning",'BASE_CIERRE'!$Q$5:$Q$458,"Reported")</ns0:f>
        <ns0:v>0</ns0:v>
      </ns0:c>
      <ns0:c r="G269" s="27">
        <ns0:f>COUNTIFS('BASE_CIERRE'!$G$5:$G$458,1,'BASE_CIERRE'!$H$5:$H$458,"Prognosis",'BASE_CIERRE'!$J$5:$J$458,"Physiological signals",'BASE_CIERRE'!$I$5:$I$458,"Machine Learning",'BASE_CIERRE'!$Q$5:$Q$458,"Not reported in assessed sources")</ns0:f>
        <ns0:v>3</ns0:v>
      </ns0:c>
      <ns0:c r="H269" s="27">
        <ns0:f>COUNTIFS('BASE_CIERRE'!$G$5:$G$458,1,'BASE_CIERRE'!$H$5:$H$458,"Prognosis",'BASE_CIERRE'!$J$5:$J$458,"Physiological signals",'BASE_CIERRE'!$I$5:$I$458,"Machine Learning",'BASE_CIERRE'!$Q$5:$Q$458,"Not ascertainable")</ns0:f>
        <ns0:v>0</ns0:v>
      </ns0:c>
      <ns0:c r="I269" s="27">
        <ns0:f>SUM(F269:H269)</ns0:f>
        <ns0:v>3</ns0:v>
      </ns0:c>
      <ns0:c r="J269" s="31">
        <ns0:f>IFERROR(F269/I269,0)</ns0:f>
        <ns0:v>0</ns0:v>
      </ns0:c>
      <ns0:c r="K269" s="31">
        <ns0:f>IFERROR(F269/(I269-H269),0)</ns0:f>
        <ns0:v>0</ns0:v>
      </ns0:c>
      <ns0:c r="L269" s="19" t="inlineStr">
        <ns0:is>
          <ns0:t>19; 58; 270</ns0:t>
        </ns0:is>
      </ns0:c>
    </ns0:row>
    <ns0:row r="270" ht="32" customHeight="1">
      <ns0:c r="A270" s="21" t="inlineStr">
        <ns0:is>
          <ns0:t>Prognosis</ns0:t>
        </ns0:is>
      </ns0:c>
      <ns0:c r="B270" s="21" t="inlineStr">
        <ns0:is>
          <ns0:t>Physiological signals</ns0:t>
        </ns0:is>
      </ns0:c>
      <ns0:c r="C270" s="21" t="inlineStr">
        <ns0:is>
          <ns0:t>Machine Learning</ns0:t>
        </ns0:is>
      </ns0:c>
      <ns0:c r="D270" s="21" t="inlineStr">
        <ns0:is>
          <ns0:t>Multisource integration</ns0:t>
        </ns0:is>
      </ns0:c>
      <ns0:c r="E270" s="21" t="inlineStr">
        <ns0:is>
          <ns0:t>multisource_integration</ns0:t>
        </ns0:is>
      </ns0:c>
      <ns0:c r="F270" s="29">
        <ns0:f>COUNTIFS('BASE_CIERRE'!$G$5:$G$458,1,'BASE_CIERRE'!$H$5:$H$458,"Prognosis",'BASE_CIERRE'!$J$5:$J$458,"Physiological signals",'BASE_CIERRE'!$I$5:$I$458,"Machine Learning",'BASE_CIERRE'!$R$5:$R$458,"Reported")</ns0:f>
        <ns0:v>0</ns0:v>
      </ns0:c>
      <ns0:c r="G270" s="29">
        <ns0:f>COUNTIFS('BASE_CIERRE'!$G$5:$G$458,1,'BASE_CIERRE'!$H$5:$H$458,"Prognosis",'BASE_CIERRE'!$J$5:$J$458,"Physiological signals",'BASE_CIERRE'!$I$5:$I$458,"Machine Learning",'BASE_CIERRE'!$R$5:$R$458,"Not reported in assessed sources")</ns0:f>
        <ns0:v>3</ns0:v>
      </ns0:c>
      <ns0:c r="H270" s="29">
        <ns0:f>COUNTIFS('BASE_CIERRE'!$G$5:$G$458,1,'BASE_CIERRE'!$H$5:$H$458,"Prognosis",'BASE_CIERRE'!$J$5:$J$458,"Physiological signals",'BASE_CIERRE'!$I$5:$I$458,"Machine Learning",'BASE_CIERRE'!$R$5:$R$458,"Not ascertainable")</ns0:f>
        <ns0:v>0</ns0:v>
      </ns0:c>
      <ns0:c r="I270" s="29">
        <ns0:f>SUM(F270:H270)</ns0:f>
        <ns0:v>3</ns0:v>
      </ns0:c>
      <ns0:c r="J270" s="32">
        <ns0:f>IFERROR(F270/I270,0)</ns0:f>
        <ns0:v>0</ns0:v>
      </ns0:c>
      <ns0:c r="K270" s="32">
        <ns0:f>IFERROR(F270/(I270-H270),0)</ns0:f>
        <ns0:v>0</ns0:v>
      </ns0:c>
      <ns0:c r="L270" s="21" t="inlineStr">
        <ns0:is>
          <ns0:t>19; 58; 270</ns0:t>
        </ns0:is>
      </ns0:c>
    </ns0:row>
    <ns0:row r="271" ht="32" customHeight="1">
      <ns0:c r="A271" s="19" t="inlineStr">
        <ns0:is>
          <ns0:t>Prognosis</ns0:t>
        </ns0:is>
      </ns0:c>
      <ns0:c r="B271" s="19" t="inlineStr">
        <ns0:is>
          <ns0:t>Physiological signals</ns0:t>
        </ns0:is>
      </ns0:c>
      <ns0:c r="C271" s="19" t="inlineStr">
        <ns0:is>
          <ns0:t>Machine Learning</ns0:t>
        </ns0:is>
      </ns0:c>
      <ns0:c r="D271" s="19" t="inlineStr">
        <ns0:is>
          <ns0:t>Explicit explainability (broad)</ns0:t>
        </ns0:is>
      </ns0:c>
      <ns0:c r="E271" s="19" t="inlineStr">
        <ns0:is>
          <ns0:t>xai_broad</ns0:t>
        </ns0:is>
      </ns0:c>
      <ns0:c r="F271" s="27">
        <ns0:f>COUNTIFS('BASE_CIERRE'!$G$5:$G$458,1,'BASE_CIERRE'!$H$5:$H$458,"Prognosis",'BASE_CIERRE'!$J$5:$J$458,"Physiological signals",'BASE_CIERRE'!$I$5:$I$458,"Machine Learning",'BASE_CIERRE'!$S$5:$S$458,"Reported")</ns0:f>
        <ns0:v>0</ns0:v>
      </ns0:c>
      <ns0:c r="G271" s="27">
        <ns0:f>COUNTIFS('BASE_CIERRE'!$G$5:$G$458,1,'BASE_CIERRE'!$H$5:$H$458,"Prognosis",'BASE_CIERRE'!$J$5:$J$458,"Physiological signals",'BASE_CIERRE'!$I$5:$I$458,"Machine Learning",'BASE_CIERRE'!$S$5:$S$458,"Not reported in assessed sources")</ns0:f>
        <ns0:v>3</ns0:v>
      </ns0:c>
      <ns0:c r="H271" s="27">
        <ns0:f>COUNTIFS('BASE_CIERRE'!$G$5:$G$458,1,'BASE_CIERRE'!$H$5:$H$458,"Prognosis",'BASE_CIERRE'!$J$5:$J$458,"Physiological signals",'BASE_CIERRE'!$I$5:$I$458,"Machine Learning",'BASE_CIERRE'!$S$5:$S$458,"Not ascertainable")</ns0:f>
        <ns0:v>0</ns0:v>
      </ns0:c>
      <ns0:c r="I271" s="27">
        <ns0:f>SUM(F271:H271)</ns0:f>
        <ns0:v>3</ns0:v>
      </ns0:c>
      <ns0:c r="J271" s="31">
        <ns0:f>IFERROR(F271/I271,0)</ns0:f>
        <ns0:v>0</ns0:v>
      </ns0:c>
      <ns0:c r="K271" s="31">
        <ns0:f>IFERROR(F271/(I271-H271),0)</ns0:f>
        <ns0:v>0</ns0:v>
      </ns0:c>
      <ns0:c r="L271" s="19" t="inlineStr">
        <ns0:is>
          <ns0:t>19; 58; 270</ns0:t>
        </ns0:is>
      </ns0:c>
    </ns0:row>
    <ns0:row r="272" ht="32" customHeight="1">
      <ns0:c r="A272" s="21" t="inlineStr">
        <ns0:is>
          <ns0:t>Prognosis</ns0:t>
        </ns0:is>
      </ns0:c>
      <ns0:c r="B272" s="21" t="inlineStr">
        <ns0:is>
          <ns0:t>Physiological signals</ns0:t>
        </ns0:is>
      </ns0:c>
      <ns0:c r="C272" s="21" t="inlineStr">
        <ns0:is>
          <ns0:t>Machine Learning</ns0:t>
        </ns0:is>
      </ns0:c>
      <ns0:c r="D272" s="21" t="inlineStr">
        <ns0:is>
          <ns0:t>Cross-site evaluation</ns0:t>
        </ns0:is>
      </ns0:c>
      <ns0:c r="E272" s="21" t="inlineStr">
        <ns0:is>
          <ns0:t>cross_site_robustness</ns0:t>
        </ns0:is>
      </ns0:c>
      <ns0:c r="F272" s="29">
        <ns0:f>COUNTIFS('BASE_CIERRE'!$G$5:$G$458,1,'BASE_CIERRE'!$H$5:$H$458,"Prognosis",'BASE_CIERRE'!$J$5:$J$458,"Physiological signals",'BASE_CIERRE'!$I$5:$I$458,"Machine Learning",'BASE_CIERRE'!$U$5:$U$458,"Reported")</ns0:f>
        <ns0:v>0</ns0:v>
      </ns0:c>
      <ns0:c r="G272" s="29">
        <ns0:f>COUNTIFS('BASE_CIERRE'!$G$5:$G$458,1,'BASE_CIERRE'!$H$5:$H$458,"Prognosis",'BASE_CIERRE'!$J$5:$J$458,"Physiological signals",'BASE_CIERRE'!$I$5:$I$458,"Machine Learning",'BASE_CIERRE'!$U$5:$U$458,"Not reported in assessed sources")</ns0:f>
        <ns0:v>3</ns0:v>
      </ns0:c>
      <ns0:c r="H272" s="29">
        <ns0:f>COUNTIFS('BASE_CIERRE'!$G$5:$G$458,1,'BASE_CIERRE'!$H$5:$H$458,"Prognosis",'BASE_CIERRE'!$J$5:$J$458,"Physiological signals",'BASE_CIERRE'!$I$5:$I$458,"Machine Learning",'BASE_CIERRE'!$U$5:$U$458,"Not ascertainable")</ns0:f>
        <ns0:v>0</ns0:v>
      </ns0:c>
      <ns0:c r="I272" s="29">
        <ns0:f>SUM(F272:H272)</ns0:f>
        <ns0:v>3</ns0:v>
      </ns0:c>
      <ns0:c r="J272" s="32">
        <ns0:f>IFERROR(F272/I272,0)</ns0:f>
        <ns0:v>0</ns0:v>
      </ns0:c>
      <ns0:c r="K272" s="32">
        <ns0:f>IFERROR(F272/(I272-H272),0)</ns0:f>
        <ns0:v>0</ns0:v>
      </ns0:c>
      <ns0:c r="L272" s="21" t="inlineStr">
        <ns0:is>
          <ns0:t>19; 58; 270</ns0:t>
        </ns0:is>
      </ns0:c>
    </ns0:row>
    <ns0:row r="273" ht="32" customHeight="1">
      <ns0:c r="A273" s="19" t="inlineStr">
        <ns0:is>
          <ns0:t>Prognosis</ns0:t>
        </ns0:is>
      </ns0:c>
      <ns0:c r="B273" s="19" t="inlineStr">
        <ns0:is>
          <ns0:t>Structured clinical/questionnaire data</ns0:t>
        </ns0:is>
      </ns0:c>
      <ns0:c r="C273" s="19" t="inlineStr">
        <ns0:is>
          <ns0:t>Deep Learning</ns0:t>
        </ns0:is>
      </ns0:c>
      <ns0:c r="D273" s="19" t="inlineStr">
        <ns0:is>
          <ns0:t>External validation</ns0:t>
        </ns0:is>
      </ns0:c>
      <ns0:c r="E273" s="19" t="inlineStr">
        <ns0:is>
          <ns0:t>external_validation</ns0:t>
        </ns0:is>
      </ns0:c>
      <ns0:c r="F273" s="27">
        <ns0:f>COUNTIFS('BASE_CIERRE'!$G$5:$G$458,1,'BASE_CIERRE'!$H$5:$H$458,"Prognosis",'BASE_CIERRE'!$J$5:$J$458,"Structured clinical/questionnaire data",'BASE_CIERRE'!$I$5:$I$458,"Deep Learning",'BASE_CIERRE'!$Q$5:$Q$458,"Reported")</ns0:f>
        <ns0:v>0</ns0:v>
      </ns0:c>
      <ns0:c r="G273" s="27">
        <ns0:f>COUNTIFS('BASE_CIERRE'!$G$5:$G$458,1,'BASE_CIERRE'!$H$5:$H$458,"Prognosis",'BASE_CIERRE'!$J$5:$J$458,"Structured clinical/questionnaire data",'BASE_CIERRE'!$I$5:$I$458,"Deep Learning",'BASE_CIERRE'!$Q$5:$Q$458,"Not reported in assessed sources")</ns0:f>
        <ns0:v>2</ns0:v>
      </ns0:c>
      <ns0:c r="H273" s="27">
        <ns0:f>COUNTIFS('BASE_CIERRE'!$G$5:$G$458,1,'BASE_CIERRE'!$H$5:$H$458,"Prognosis",'BASE_CIERRE'!$J$5:$J$458,"Structured clinical/questionnaire data",'BASE_CIERRE'!$I$5:$I$458,"Deep Learning",'BASE_CIERRE'!$Q$5:$Q$458,"Not ascertainable")</ns0:f>
        <ns0:v>0</ns0:v>
      </ns0:c>
      <ns0:c r="I273" s="27">
        <ns0:f>SUM(F273:H273)</ns0:f>
        <ns0:v>2</ns0:v>
      </ns0:c>
      <ns0:c r="J273" s="31">
        <ns0:f>IFERROR(F273/I273,0)</ns0:f>
        <ns0:v>0</ns0:v>
      </ns0:c>
      <ns0:c r="K273" s="31">
        <ns0:f>IFERROR(F273/(I273-H273),0)</ns0:f>
        <ns0:v>0</ns0:v>
      </ns0:c>
      <ns0:c r="L273" s="19" t="inlineStr">
        <ns0:is>
          <ns0:t>7; new_171</ns0:t>
        </ns0:is>
      </ns0:c>
    </ns0:row>
    <ns0:row r="274" ht="32" customHeight="1">
      <ns0:c r="A274" s="21" t="inlineStr">
        <ns0:is>
          <ns0:t>Prognosis</ns0:t>
        </ns0:is>
      </ns0:c>
      <ns0:c r="B274" s="21" t="inlineStr">
        <ns0:is>
          <ns0:t>Structured clinical/questionnaire data</ns0:t>
        </ns0:is>
      </ns0:c>
      <ns0:c r="C274" s="21" t="inlineStr">
        <ns0:is>
          <ns0:t>Deep Learning</ns0:t>
        </ns0:is>
      </ns0:c>
      <ns0:c r="D274" s="21" t="inlineStr">
        <ns0:is>
          <ns0:t>Multisource integration</ns0:t>
        </ns0:is>
      </ns0:c>
      <ns0:c r="E274" s="21" t="inlineStr">
        <ns0:is>
          <ns0:t>multisource_integration</ns0:t>
        </ns0:is>
      </ns0:c>
      <ns0:c r="F274" s="29">
        <ns0:f>COUNTIFS('BASE_CIERRE'!$G$5:$G$458,1,'BASE_CIERRE'!$H$5:$H$458,"Prognosis",'BASE_CIERRE'!$J$5:$J$458,"Structured clinical/questionnaire data",'BASE_CIERRE'!$I$5:$I$458,"Deep Learning",'BASE_CIERRE'!$R$5:$R$458,"Reported")</ns0:f>
        <ns0:v>1</ns0:v>
      </ns0:c>
      <ns0:c r="G274" s="29">
        <ns0:f>COUNTIFS('BASE_CIERRE'!$G$5:$G$458,1,'BASE_CIERRE'!$H$5:$H$458,"Prognosis",'BASE_CIERRE'!$J$5:$J$458,"Structured clinical/questionnaire data",'BASE_CIERRE'!$I$5:$I$458,"Deep Learning",'BASE_CIERRE'!$R$5:$R$458,"Not reported in assessed sources")</ns0:f>
        <ns0:v>1</ns0:v>
      </ns0:c>
      <ns0:c r="H274" s="29">
        <ns0:f>COUNTIFS('BASE_CIERRE'!$G$5:$G$458,1,'BASE_CIERRE'!$H$5:$H$458,"Prognosis",'BASE_CIERRE'!$J$5:$J$458,"Structured clinical/questionnaire data",'BASE_CIERRE'!$I$5:$I$458,"Deep Learning",'BASE_CIERRE'!$R$5:$R$458,"Not ascertainable")</ns0:f>
        <ns0:v>0</ns0:v>
      </ns0:c>
      <ns0:c r="I274" s="29">
        <ns0:f>SUM(F274:H274)</ns0:f>
        <ns0:v>2</ns0:v>
      </ns0:c>
      <ns0:c r="J274" s="32">
        <ns0:f>IFERROR(F274/I274,0)</ns0:f>
        <ns0:v>0.5</ns0:v>
      </ns0:c>
      <ns0:c r="K274" s="32">
        <ns0:f>IFERROR(F274/(I274-H274),0)</ns0:f>
        <ns0:v>0.5</ns0:v>
      </ns0:c>
      <ns0:c r="L274" s="21" t="inlineStr">
        <ns0:is>
          <ns0:t>7; new_171</ns0:t>
        </ns0:is>
      </ns0:c>
    </ns0:row>
    <ns0:row r="275" ht="32" customHeight="1">
      <ns0:c r="A275" s="19" t="inlineStr">
        <ns0:is>
          <ns0:t>Prognosis</ns0:t>
        </ns0:is>
      </ns0:c>
      <ns0:c r="B275" s="19" t="inlineStr">
        <ns0:is>
          <ns0:t>Structured clinical/questionnaire data</ns0:t>
        </ns0:is>
      </ns0:c>
      <ns0:c r="C275" s="19" t="inlineStr">
        <ns0:is>
          <ns0:t>Deep Learning</ns0:t>
        </ns0:is>
      </ns0:c>
      <ns0:c r="D275" s="19" t="inlineStr">
        <ns0:is>
          <ns0:t>Explicit explainability (broad)</ns0:t>
        </ns0:is>
      </ns0:c>
      <ns0:c r="E275" s="19" t="inlineStr">
        <ns0:is>
          <ns0:t>xai_broad</ns0:t>
        </ns0:is>
      </ns0:c>
      <ns0:c r="F275" s="27">
        <ns0:f>COUNTIFS('BASE_CIERRE'!$G$5:$G$458,1,'BASE_CIERRE'!$H$5:$H$458,"Prognosis",'BASE_CIERRE'!$J$5:$J$458,"Structured clinical/questionnaire data",'BASE_CIERRE'!$I$5:$I$458,"Deep Learning",'BASE_CIERRE'!$S$5:$S$458,"Reported")</ns0:f>
        <ns0:v>2</ns0:v>
      </ns0:c>
      <ns0:c r="G275" s="27">
        <ns0:f>COUNTIFS('BASE_CIERRE'!$G$5:$G$458,1,'BASE_CIERRE'!$H$5:$H$458,"Prognosis",'BASE_CIERRE'!$J$5:$J$458,"Structured clinical/questionnaire data",'BASE_CIERRE'!$I$5:$I$458,"Deep Learning",'BASE_CIERRE'!$S$5:$S$458,"Not reported in assessed sources")</ns0:f>
        <ns0:v>0</ns0:v>
      </ns0:c>
      <ns0:c r="H275" s="27">
        <ns0:f>COUNTIFS('BASE_CIERRE'!$G$5:$G$458,1,'BASE_CIERRE'!$H$5:$H$458,"Prognosis",'BASE_CIERRE'!$J$5:$J$458,"Structured clinical/questionnaire data",'BASE_CIERRE'!$I$5:$I$458,"Deep Learning",'BASE_CIERRE'!$S$5:$S$458,"Not ascertainable")</ns0:f>
        <ns0:v>0</ns0:v>
      </ns0:c>
      <ns0:c r="I275" s="27">
        <ns0:f>SUM(F275:H275)</ns0:f>
        <ns0:v>2</ns0:v>
      </ns0:c>
      <ns0:c r="J275" s="31">
        <ns0:f>IFERROR(F275/I275,0)</ns0:f>
        <ns0:v>1</ns0:v>
      </ns0:c>
      <ns0:c r="K275" s="31">
        <ns0:f>IFERROR(F275/(I275-H275),0)</ns0:f>
        <ns0:v>1</ns0:v>
      </ns0:c>
      <ns0:c r="L275" s="19" t="inlineStr">
        <ns0:is>
          <ns0:t>7; new_171</ns0:t>
        </ns0:is>
      </ns0:c>
    </ns0:row>
    <ns0:row r="276" ht="32" customHeight="1">
      <ns0:c r="A276" s="21" t="inlineStr">
        <ns0:is>
          <ns0:t>Prognosis</ns0:t>
        </ns0:is>
      </ns0:c>
      <ns0:c r="B276" s="21" t="inlineStr">
        <ns0:is>
          <ns0:t>Structured clinical/questionnaire data</ns0:t>
        </ns0:is>
      </ns0:c>
      <ns0:c r="C276" s="21" t="inlineStr">
        <ns0:is>
          <ns0:t>Deep Learning</ns0:t>
        </ns0:is>
      </ns0:c>
      <ns0:c r="D276" s="21" t="inlineStr">
        <ns0:is>
          <ns0:t>Cross-site evaluation</ns0:t>
        </ns0:is>
      </ns0:c>
      <ns0:c r="E276" s="21" t="inlineStr">
        <ns0:is>
          <ns0:t>cross_site_robustness</ns0:t>
        </ns0:is>
      </ns0:c>
      <ns0:c r="F276" s="29">
        <ns0:f>COUNTIFS('BASE_CIERRE'!$G$5:$G$458,1,'BASE_CIERRE'!$H$5:$H$458,"Prognosis",'BASE_CIERRE'!$J$5:$J$458,"Structured clinical/questionnaire data",'BASE_CIERRE'!$I$5:$I$458,"Deep Learning",'BASE_CIERRE'!$U$5:$U$458,"Reported")</ns0:f>
        <ns0:v>0</ns0:v>
      </ns0:c>
      <ns0:c r="G276" s="29">
        <ns0:f>COUNTIFS('BASE_CIERRE'!$G$5:$G$458,1,'BASE_CIERRE'!$H$5:$H$458,"Prognosis",'BASE_CIERRE'!$J$5:$J$458,"Structured clinical/questionnaire data",'BASE_CIERRE'!$I$5:$I$458,"Deep Learning",'BASE_CIERRE'!$U$5:$U$458,"Not reported in assessed sources")</ns0:f>
        <ns0:v>2</ns0:v>
      </ns0:c>
      <ns0:c r="H276" s="29">
        <ns0:f>COUNTIFS('BASE_CIERRE'!$G$5:$G$458,1,'BASE_CIERRE'!$H$5:$H$458,"Prognosis",'BASE_CIERRE'!$J$5:$J$458,"Structured clinical/questionnaire data",'BASE_CIERRE'!$I$5:$I$458,"Deep Learning",'BASE_CIERRE'!$U$5:$U$458,"Not ascertainable")</ns0:f>
        <ns0:v>0</ns0:v>
      </ns0:c>
      <ns0:c r="I276" s="29">
        <ns0:f>SUM(F276:H276)</ns0:f>
        <ns0:v>2</ns0:v>
      </ns0:c>
      <ns0:c r="J276" s="32">
        <ns0:f>IFERROR(F276/I276,0)</ns0:f>
        <ns0:v>0</ns0:v>
      </ns0:c>
      <ns0:c r="K276" s="32">
        <ns0:f>IFERROR(F276/(I276-H276),0)</ns0:f>
        <ns0:v>0</ns0:v>
      </ns0:c>
      <ns0:c r="L276" s="21" t="inlineStr">
        <ns0:is>
          <ns0:t>7; new_171</ns0:t>
        </ns0:is>
      </ns0:c>
    </ns0:row>
    <ns0:row r="277" ht="32" customHeight="1">
      <ns0:c r="A277" s="19" t="inlineStr">
        <ns0:is>
          <ns0:t>Prognosis</ns0:t>
        </ns0:is>
      </ns0:c>
      <ns0:c r="B277" s="19" t="inlineStr">
        <ns0:is>
          <ns0:t>Structured clinical/questionnaire data</ns0:t>
        </ns0:is>
      </ns0:c>
      <ns0:c r="C277" s="19" t="inlineStr">
        <ns0:is>
          <ns0:t>Machine Learning</ns0:t>
        </ns0:is>
      </ns0:c>
      <ns0:c r="D277" s="19" t="inlineStr">
        <ns0:is>
          <ns0:t>External validation</ns0:t>
        </ns0:is>
      </ns0:c>
      <ns0:c r="E277" s="19" t="inlineStr">
        <ns0:is>
          <ns0:t>external_validation</ns0:t>
        </ns0:is>
      </ns0:c>
      <ns0:c r="F277" s="27">
        <ns0:f>COUNTIFS('BASE_CIERRE'!$G$5:$G$458,1,'BASE_CIERRE'!$H$5:$H$458,"Prognosis",'BASE_CIERRE'!$J$5:$J$458,"Structured clinical/questionnaire data",'BASE_CIERRE'!$I$5:$I$458,"Machine Learning",'BASE_CIERRE'!$Q$5:$Q$458,"Reported")</ns0:f>
        <ns0:v>0</ns0:v>
      </ns0:c>
      <ns0:c r="G277" s="27">
        <ns0:f>COUNTIFS('BASE_CIERRE'!$G$5:$G$458,1,'BASE_CIERRE'!$H$5:$H$458,"Prognosis",'BASE_CIERRE'!$J$5:$J$458,"Structured clinical/questionnaire data",'BASE_CIERRE'!$I$5:$I$458,"Machine Learning",'BASE_CIERRE'!$Q$5:$Q$458,"Not reported in assessed sources")</ns0:f>
        <ns0:v>6</ns0:v>
      </ns0:c>
      <ns0:c r="H277" s="27">
        <ns0:f>COUNTIFS('BASE_CIERRE'!$G$5:$G$458,1,'BASE_CIERRE'!$H$5:$H$458,"Prognosis",'BASE_CIERRE'!$J$5:$J$458,"Structured clinical/questionnaire data",'BASE_CIERRE'!$I$5:$I$458,"Machine Learning",'BASE_CIERRE'!$Q$5:$Q$458,"Not ascertainable")</ns0:f>
        <ns0:v>0</ns0:v>
      </ns0:c>
      <ns0:c r="I277" s="27">
        <ns0:f>SUM(F277:H277)</ns0:f>
        <ns0:v>6</ns0:v>
      </ns0:c>
      <ns0:c r="J277" s="31">
        <ns0:f>IFERROR(F277/I277,0)</ns0:f>
        <ns0:v>0</ns0:v>
      </ns0:c>
      <ns0:c r="K277" s="31">
        <ns0:f>IFERROR(F277/(I277-H277),0)</ns0:f>
        <ns0:v>0</ns0:v>
      </ns0:c>
      <ns0:c r="L277" s="19" t="inlineStr">
        <ns0:is>
          <ns0:t>38; 42; 53; 211; 295; new_188</ns0:t>
        </ns0:is>
      </ns0:c>
    </ns0:row>
    <ns0:row r="278" ht="32" customHeight="1">
      <ns0:c r="A278" s="21" t="inlineStr">
        <ns0:is>
          <ns0:t>Prognosis</ns0:t>
        </ns0:is>
      </ns0:c>
      <ns0:c r="B278" s="21" t="inlineStr">
        <ns0:is>
          <ns0:t>Structured clinical/questionnaire data</ns0:t>
        </ns0:is>
      </ns0:c>
      <ns0:c r="C278" s="21" t="inlineStr">
        <ns0:is>
          <ns0:t>Machine Learning</ns0:t>
        </ns0:is>
      </ns0:c>
      <ns0:c r="D278" s="21" t="inlineStr">
        <ns0:is>
          <ns0:t>Multisource integration</ns0:t>
        </ns0:is>
      </ns0:c>
      <ns0:c r="E278" s="21" t="inlineStr">
        <ns0:is>
          <ns0:t>multisource_integration</ns0:t>
        </ns0:is>
      </ns0:c>
      <ns0:c r="F278" s="29">
        <ns0:f>COUNTIFS('BASE_CIERRE'!$G$5:$G$458,1,'BASE_CIERRE'!$H$5:$H$458,"Prognosis",'BASE_CIERRE'!$J$5:$J$458,"Structured clinical/questionnaire data",'BASE_CIERRE'!$I$5:$I$458,"Machine Learning",'BASE_CIERRE'!$R$5:$R$458,"Reported")</ns0:f>
        <ns0:v>3</ns0:v>
      </ns0:c>
      <ns0:c r="G278" s="29">
        <ns0:f>COUNTIFS('BASE_CIERRE'!$G$5:$G$458,1,'BASE_CIERRE'!$H$5:$H$458,"Prognosis",'BASE_CIERRE'!$J$5:$J$458,"Structured clinical/questionnaire data",'BASE_CIERRE'!$I$5:$I$458,"Machine Learning",'BASE_CIERRE'!$R$5:$R$458,"Not reported in assessed sources")</ns0:f>
        <ns0:v>3</ns0:v>
      </ns0:c>
      <ns0:c r="H278" s="29">
        <ns0:f>COUNTIFS('BASE_CIERRE'!$G$5:$G$458,1,'BASE_CIERRE'!$H$5:$H$458,"Prognosis",'BASE_CIERRE'!$J$5:$J$458,"Structured clinical/questionnaire data",'BASE_CIERRE'!$I$5:$I$458,"Machine Learning",'BASE_CIERRE'!$R$5:$R$458,"Not ascertainable")</ns0:f>
        <ns0:v>0</ns0:v>
      </ns0:c>
      <ns0:c r="I278" s="29">
        <ns0:f>SUM(F278:H278)</ns0:f>
        <ns0:v>6</ns0:v>
      </ns0:c>
      <ns0:c r="J278" s="32">
        <ns0:f>IFERROR(F278/I278,0)</ns0:f>
        <ns0:v>0.5</ns0:v>
      </ns0:c>
      <ns0:c r="K278" s="32">
        <ns0:f>IFERROR(F278/(I278-H278),0)</ns0:f>
        <ns0:v>0.5</ns0:v>
      </ns0:c>
      <ns0:c r="L278" s="21" t="inlineStr">
        <ns0:is>
          <ns0:t>38; 42; 53; 211; 295; new_188</ns0:t>
        </ns0:is>
      </ns0:c>
    </ns0:row>
    <ns0:row r="279" ht="32" customHeight="1">
      <ns0:c r="A279" s="19" t="inlineStr">
        <ns0:is>
          <ns0:t>Prognosis</ns0:t>
        </ns0:is>
      </ns0:c>
      <ns0:c r="B279" s="19" t="inlineStr">
        <ns0:is>
          <ns0:t>Structured clinical/questionnaire data</ns0:t>
        </ns0:is>
      </ns0:c>
      <ns0:c r="C279" s="19" t="inlineStr">
        <ns0:is>
          <ns0:t>Machine Learning</ns0:t>
        </ns0:is>
      </ns0:c>
      <ns0:c r="D279" s="19" t="inlineStr">
        <ns0:is>
          <ns0:t>Explicit explainability (broad)</ns0:t>
        </ns0:is>
      </ns0:c>
      <ns0:c r="E279" s="19" t="inlineStr">
        <ns0:is>
          <ns0:t>xai_broad</ns0:t>
        </ns0:is>
      </ns0:c>
      <ns0:c r="F279" s="27">
        <ns0:f>COUNTIFS('BASE_CIERRE'!$G$5:$G$458,1,'BASE_CIERRE'!$H$5:$H$458,"Prognosis",'BASE_CIERRE'!$J$5:$J$458,"Structured clinical/questionnaire data",'BASE_CIERRE'!$I$5:$I$458,"Machine Learning",'BASE_CIERRE'!$S$5:$S$458,"Reported")</ns0:f>
        <ns0:v>2</ns0:v>
      </ns0:c>
      <ns0:c r="G279" s="27">
        <ns0:f>COUNTIFS('BASE_CIERRE'!$G$5:$G$458,1,'BASE_CIERRE'!$H$5:$H$458,"Prognosis",'BASE_CIERRE'!$J$5:$J$458,"Structured clinical/questionnaire data",'BASE_CIERRE'!$I$5:$I$458,"Machine Learning",'BASE_CIERRE'!$S$5:$S$458,"Not reported in assessed sources")</ns0:f>
        <ns0:v>4</ns0:v>
      </ns0:c>
      <ns0:c r="H279" s="27">
        <ns0:f>COUNTIFS('BASE_CIERRE'!$G$5:$G$458,1,'BASE_CIERRE'!$H$5:$H$458,"Prognosis",'BASE_CIERRE'!$J$5:$J$458,"Structured clinical/questionnaire data",'BASE_CIERRE'!$I$5:$I$458,"Machine Learning",'BASE_CIERRE'!$S$5:$S$458,"Not ascertainable")</ns0:f>
        <ns0:v>0</ns0:v>
      </ns0:c>
      <ns0:c r="I279" s="27">
        <ns0:f>SUM(F279:H279)</ns0:f>
        <ns0:v>6</ns0:v>
      </ns0:c>
      <ns0:c r="J279" s="31">
        <ns0:f>IFERROR(F279/I279,0)</ns0:f>
        <ns0:v>0.3333333333333333</ns0:v>
      </ns0:c>
      <ns0:c r="K279" s="31">
        <ns0:f>IFERROR(F279/(I279-H279),0)</ns0:f>
        <ns0:v>0.3333333333333333</ns0:v>
      </ns0:c>
      <ns0:c r="L279" s="19" t="inlineStr">
        <ns0:is>
          <ns0:t>38; 42; 53; 211; 295; new_188</ns0:t>
        </ns0:is>
      </ns0:c>
    </ns0:row>
    <ns0:row r="280" ht="32" customHeight="1">
      <ns0:c r="A280" s="21" t="inlineStr">
        <ns0:is>
          <ns0:t>Prognosis</ns0:t>
        </ns0:is>
      </ns0:c>
      <ns0:c r="B280" s="21" t="inlineStr">
        <ns0:is>
          <ns0:t>Structured clinical/questionnaire data</ns0:t>
        </ns0:is>
      </ns0:c>
      <ns0:c r="C280" s="21" t="inlineStr">
        <ns0:is>
          <ns0:t>Machine Learning</ns0:t>
        </ns0:is>
      </ns0:c>
      <ns0:c r="D280" s="21" t="inlineStr">
        <ns0:is>
          <ns0:t>Cross-site evaluation</ns0:t>
        </ns0:is>
      </ns0:c>
      <ns0:c r="E280" s="21" t="inlineStr">
        <ns0:is>
          <ns0:t>cross_site_robustness</ns0:t>
        </ns0:is>
      </ns0:c>
      <ns0:c r="F280" s="29">
        <ns0:f>COUNTIFS('BASE_CIERRE'!$G$5:$G$458,1,'BASE_CIERRE'!$H$5:$H$458,"Prognosis",'BASE_CIERRE'!$J$5:$J$458,"Structured clinical/questionnaire data",'BASE_CIERRE'!$I$5:$I$458,"Machine Learning",'BASE_CIERRE'!$U$5:$U$458,"Reported")</ns0:f>
        <ns0:v>0</ns0:v>
      </ns0:c>
      <ns0:c r="G280" s="29">
        <ns0:f>COUNTIFS('BASE_CIERRE'!$G$5:$G$458,1,'BASE_CIERRE'!$H$5:$H$458,"Prognosis",'BASE_CIERRE'!$J$5:$J$458,"Structured clinical/questionnaire data",'BASE_CIERRE'!$I$5:$I$458,"Machine Learning",'BASE_CIERRE'!$U$5:$U$458,"Not reported in assessed sources")</ns0:f>
        <ns0:v>6</ns0:v>
      </ns0:c>
      <ns0:c r="H280" s="29">
        <ns0:f>COUNTIFS('BASE_CIERRE'!$G$5:$G$458,1,'BASE_CIERRE'!$H$5:$H$458,"Prognosis",'BASE_CIERRE'!$J$5:$J$458,"Structured clinical/questionnaire data",'BASE_CIERRE'!$I$5:$I$458,"Machine Learning",'BASE_CIERRE'!$U$5:$U$458,"Not ascertainable")</ns0:f>
        <ns0:v>0</ns0:v>
      </ns0:c>
      <ns0:c r="I280" s="29">
        <ns0:f>SUM(F280:H280)</ns0:f>
        <ns0:v>6</ns0:v>
      </ns0:c>
      <ns0:c r="J280" s="32">
        <ns0:f>IFERROR(F280/I280,0)</ns0:f>
        <ns0:v>0</ns0:v>
      </ns0:c>
      <ns0:c r="K280" s="32">
        <ns0:f>IFERROR(F280/(I280-H280),0)</ns0:f>
        <ns0:v>0</ns0:v>
      </ns0:c>
      <ns0:c r="L280" s="21" t="inlineStr">
        <ns0:is>
          <ns0:t>38; 42; 53; 211; 295; new_188</ns0:t>
        </ns0:is>
      </ns0:c>
    </ns0:row>
    <ns0:row r="281" ht="32" customHeight="1">
      <ns0:c r="A281" s="19" t="inlineStr">
        <ns0:is>
          <ns0:t>Screening</ns0:t>
        </ns0:is>
      </ns0:c>
      <ns0:c r="B281" s="19" t="inlineStr">
        <ns0:is>
          <ns0:t>Audio/voice</ns0:t>
        </ns0:is>
      </ns0:c>
      <ns0:c r="C281" s="19" t="inlineStr">
        <ns0:is>
          <ns0:t>Deep Learning</ns0:t>
        </ns0:is>
      </ns0:c>
      <ns0:c r="D281" s="19" t="inlineStr">
        <ns0:is>
          <ns0:t>External validation</ns0:t>
        </ns0:is>
      </ns0:c>
      <ns0:c r="E281" s="19" t="inlineStr">
        <ns0:is>
          <ns0:t>external_validation</ns0:t>
        </ns0:is>
      </ns0:c>
      <ns0:c r="F281" s="27">
        <ns0:f>COUNTIFS('BASE_CIERRE'!$G$5:$G$458,1,'BASE_CIERRE'!$H$5:$H$458,"Screening",'BASE_CIERRE'!$J$5:$J$458,"Audio/voice",'BASE_CIERRE'!$I$5:$I$458,"Deep Learning",'BASE_CIERRE'!$Q$5:$Q$458,"Reported")</ns0:f>
        <ns0:v>0</ns0:v>
      </ns0:c>
      <ns0:c r="G281" s="27">
        <ns0:f>COUNTIFS('BASE_CIERRE'!$G$5:$G$458,1,'BASE_CIERRE'!$H$5:$H$458,"Screening",'BASE_CIERRE'!$J$5:$J$458,"Audio/voice",'BASE_CIERRE'!$I$5:$I$458,"Deep Learning",'BASE_CIERRE'!$Q$5:$Q$458,"Not reported in assessed sources")</ns0:f>
        <ns0:v>2</ns0:v>
      </ns0:c>
      <ns0:c r="H281" s="27">
        <ns0:f>COUNTIFS('BASE_CIERRE'!$G$5:$G$458,1,'BASE_CIERRE'!$H$5:$H$458,"Screening",'BASE_CIERRE'!$J$5:$J$458,"Audio/voice",'BASE_CIERRE'!$I$5:$I$458,"Deep Learning",'BASE_CIERRE'!$Q$5:$Q$458,"Not ascertainable")</ns0:f>
        <ns0:v>0</ns0:v>
      </ns0:c>
      <ns0:c r="I281" s="27">
        <ns0:f>SUM(F281:H281)</ns0:f>
        <ns0:v>2</ns0:v>
      </ns0:c>
      <ns0:c r="J281" s="31">
        <ns0:f>IFERROR(F281/I281,0)</ns0:f>
        <ns0:v>0</ns0:v>
      </ns0:c>
      <ns0:c r="K281" s="31">
        <ns0:f>IFERROR(F281/(I281-H281),0)</ns0:f>
        <ns0:v>0</ns0:v>
      </ns0:c>
      <ns0:c r="L281" s="19" t="inlineStr">
        <ns0:is>
          <ns0:t>141; 188</ns0:t>
        </ns0:is>
      </ns0:c>
    </ns0:row>
    <ns0:row r="282" ht="32" customHeight="1">
      <ns0:c r="A282" s="21" t="inlineStr">
        <ns0:is>
          <ns0:t>Screening</ns0:t>
        </ns0:is>
      </ns0:c>
      <ns0:c r="B282" s="21" t="inlineStr">
        <ns0:is>
          <ns0:t>Audio/voice</ns0:t>
        </ns0:is>
      </ns0:c>
      <ns0:c r="C282" s="21" t="inlineStr">
        <ns0:is>
          <ns0:t>Deep Learning</ns0:t>
        </ns0:is>
      </ns0:c>
      <ns0:c r="D282" s="21" t="inlineStr">
        <ns0:is>
          <ns0:t>Multisource integration</ns0:t>
        </ns0:is>
      </ns0:c>
      <ns0:c r="E282" s="21" t="inlineStr">
        <ns0:is>
          <ns0:t>multisource_integration</ns0:t>
        </ns0:is>
      </ns0:c>
      <ns0:c r="F282" s="29">
        <ns0:f>COUNTIFS('BASE_CIERRE'!$G$5:$G$458,1,'BASE_CIERRE'!$H$5:$H$458,"Screening",'BASE_CIERRE'!$J$5:$J$458,"Audio/voice",'BASE_CIERRE'!$I$5:$I$458,"Deep Learning",'BASE_CIERRE'!$R$5:$R$458,"Reported")</ns0:f>
        <ns0:v>0</ns0:v>
      </ns0:c>
      <ns0:c r="G282" s="29">
        <ns0:f>COUNTIFS('BASE_CIERRE'!$G$5:$G$458,1,'BASE_CIERRE'!$H$5:$H$458,"Screening",'BASE_CIERRE'!$J$5:$J$458,"Audio/voice",'BASE_CIERRE'!$I$5:$I$458,"Deep Learning",'BASE_CIERRE'!$R$5:$R$458,"Not reported in assessed sources")</ns0:f>
        <ns0:v>2</ns0:v>
      </ns0:c>
      <ns0:c r="H282" s="29">
        <ns0:f>COUNTIFS('BASE_CIERRE'!$G$5:$G$458,1,'BASE_CIERRE'!$H$5:$H$458,"Screening",'BASE_CIERRE'!$J$5:$J$458,"Audio/voice",'BASE_CIERRE'!$I$5:$I$458,"Deep Learning",'BASE_CIERRE'!$R$5:$R$458,"Not ascertainable")</ns0:f>
        <ns0:v>0</ns0:v>
      </ns0:c>
      <ns0:c r="I282" s="29">
        <ns0:f>SUM(F282:H282)</ns0:f>
        <ns0:v>2</ns0:v>
      </ns0:c>
      <ns0:c r="J282" s="32">
        <ns0:f>IFERROR(F282/I282,0)</ns0:f>
        <ns0:v>0</ns0:v>
      </ns0:c>
      <ns0:c r="K282" s="32">
        <ns0:f>IFERROR(F282/(I282-H282),0)</ns0:f>
        <ns0:v>0</ns0:v>
      </ns0:c>
      <ns0:c r="L282" s="21" t="inlineStr">
        <ns0:is>
          <ns0:t>141; 188</ns0:t>
        </ns0:is>
      </ns0:c>
    </ns0:row>
    <ns0:row r="283" ht="32" customHeight="1">
      <ns0:c r="A283" s="19" t="inlineStr">
        <ns0:is>
          <ns0:t>Screening</ns0:t>
        </ns0:is>
      </ns0:c>
      <ns0:c r="B283" s="19" t="inlineStr">
        <ns0:is>
          <ns0:t>Audio/voice</ns0:t>
        </ns0:is>
      </ns0:c>
      <ns0:c r="C283" s="19" t="inlineStr">
        <ns0:is>
          <ns0:t>Deep Learning</ns0:t>
        </ns0:is>
      </ns0:c>
      <ns0:c r="D283" s="19" t="inlineStr">
        <ns0:is>
          <ns0:t>Explicit explainability (broad)</ns0:t>
        </ns0:is>
      </ns0:c>
      <ns0:c r="E283" s="19" t="inlineStr">
        <ns0:is>
          <ns0:t>xai_broad</ns0:t>
        </ns0:is>
      </ns0:c>
      <ns0:c r="F283" s="27">
        <ns0:f>COUNTIFS('BASE_CIERRE'!$G$5:$G$458,1,'BASE_CIERRE'!$H$5:$H$458,"Screening",'BASE_CIERRE'!$J$5:$J$458,"Audio/voice",'BASE_CIERRE'!$I$5:$I$458,"Deep Learning",'BASE_CIERRE'!$S$5:$S$458,"Reported")</ns0:f>
        <ns0:v>0</ns0:v>
      </ns0:c>
      <ns0:c r="G283" s="27">
        <ns0:f>COUNTIFS('BASE_CIERRE'!$G$5:$G$458,1,'BASE_CIERRE'!$H$5:$H$458,"Screening",'BASE_CIERRE'!$J$5:$J$458,"Audio/voice",'BASE_CIERRE'!$I$5:$I$458,"Deep Learning",'BASE_CIERRE'!$S$5:$S$458,"Not reported in assessed sources")</ns0:f>
        <ns0:v>2</ns0:v>
      </ns0:c>
      <ns0:c r="H283" s="27">
        <ns0:f>COUNTIFS('BASE_CIERRE'!$G$5:$G$458,1,'BASE_CIERRE'!$H$5:$H$458,"Screening",'BASE_CIERRE'!$J$5:$J$458,"Audio/voice",'BASE_CIERRE'!$I$5:$I$458,"Deep Learning",'BASE_CIERRE'!$S$5:$S$458,"Not ascertainable")</ns0:f>
        <ns0:v>0</ns0:v>
      </ns0:c>
      <ns0:c r="I283" s="27">
        <ns0:f>SUM(F283:H283)</ns0:f>
        <ns0:v>2</ns0:v>
      </ns0:c>
      <ns0:c r="J283" s="31">
        <ns0:f>IFERROR(F283/I283,0)</ns0:f>
        <ns0:v>0</ns0:v>
      </ns0:c>
      <ns0:c r="K283" s="31">
        <ns0:f>IFERROR(F283/(I283-H283),0)</ns0:f>
        <ns0:v>0</ns0:v>
      </ns0:c>
      <ns0:c r="L283" s="19" t="inlineStr">
        <ns0:is>
          <ns0:t>141; 188</ns0:t>
        </ns0:is>
      </ns0:c>
    </ns0:row>
    <ns0:row r="284" ht="32" customHeight="1">
      <ns0:c r="A284" s="21" t="inlineStr">
        <ns0:is>
          <ns0:t>Screening</ns0:t>
        </ns0:is>
      </ns0:c>
      <ns0:c r="B284" s="21" t="inlineStr">
        <ns0:is>
          <ns0:t>Audio/voice</ns0:t>
        </ns0:is>
      </ns0:c>
      <ns0:c r="C284" s="21" t="inlineStr">
        <ns0:is>
          <ns0:t>Deep Learning</ns0:t>
        </ns0:is>
      </ns0:c>
      <ns0:c r="D284" s="21" t="inlineStr">
        <ns0:is>
          <ns0:t>Cross-site evaluation</ns0:t>
        </ns0:is>
      </ns0:c>
      <ns0:c r="E284" s="21" t="inlineStr">
        <ns0:is>
          <ns0:t>cross_site_robustness</ns0:t>
        </ns0:is>
      </ns0:c>
      <ns0:c r="F284" s="29">
        <ns0:f>COUNTIFS('BASE_CIERRE'!$G$5:$G$458,1,'BASE_CIERRE'!$H$5:$H$458,"Screening",'BASE_CIERRE'!$J$5:$J$458,"Audio/voice",'BASE_CIERRE'!$I$5:$I$458,"Deep Learning",'BASE_CIERRE'!$U$5:$U$458,"Reported")</ns0:f>
        <ns0:v>0</ns0:v>
      </ns0:c>
      <ns0:c r="G284" s="29">
        <ns0:f>COUNTIFS('BASE_CIERRE'!$G$5:$G$458,1,'BASE_CIERRE'!$H$5:$H$458,"Screening",'BASE_CIERRE'!$J$5:$J$458,"Audio/voice",'BASE_CIERRE'!$I$5:$I$458,"Deep Learning",'BASE_CIERRE'!$U$5:$U$458,"Not reported in assessed sources")</ns0:f>
        <ns0:v>2</ns0:v>
      </ns0:c>
      <ns0:c r="H284" s="29">
        <ns0:f>COUNTIFS('BASE_CIERRE'!$G$5:$G$458,1,'BASE_CIERRE'!$H$5:$H$458,"Screening",'BASE_CIERRE'!$J$5:$J$458,"Audio/voice",'BASE_CIERRE'!$I$5:$I$458,"Deep Learning",'BASE_CIERRE'!$U$5:$U$458,"Not ascertainable")</ns0:f>
        <ns0:v>0</ns0:v>
      </ns0:c>
      <ns0:c r="I284" s="29">
        <ns0:f>SUM(F284:H284)</ns0:f>
        <ns0:v>2</ns0:v>
      </ns0:c>
      <ns0:c r="J284" s="32">
        <ns0:f>IFERROR(F284/I284,0)</ns0:f>
        <ns0:v>0</ns0:v>
      </ns0:c>
      <ns0:c r="K284" s="32">
        <ns0:f>IFERROR(F284/(I284-H284),0)</ns0:f>
        <ns0:v>0</ns0:v>
      </ns0:c>
      <ns0:c r="L284" s="21" t="inlineStr">
        <ns0:is>
          <ns0:t>141; 188</ns0:t>
        </ns0:is>
      </ns0:c>
    </ns0:row>
    <ns0:row r="285" ht="32" customHeight="1">
      <ns0:c r="A285" s="19" t="inlineStr">
        <ns0:is>
          <ns0:t>Screening</ns0:t>
        </ns0:is>
      </ns0:c>
      <ns0:c r="B285" s="19" t="inlineStr">
        <ns0:is>
          <ns0:t>Audio/voice</ns0:t>
        </ns0:is>
      </ns0:c>
      <ns0:c r="C285" s="19" t="inlineStr">
        <ns0:is>
          <ns0:t>Not specified</ns0:t>
        </ns0:is>
      </ns0:c>
      <ns0:c r="D285" s="19" t="inlineStr">
        <ns0:is>
          <ns0:t>External validation</ns0:t>
        </ns0:is>
      </ns0:c>
      <ns0:c r="E285" s="19" t="inlineStr">
        <ns0:is>
          <ns0:t>external_validation</ns0:t>
        </ns0:is>
      </ns0:c>
      <ns0:c r="F285" s="27">
        <ns0:f>COUNTIFS('BASE_CIERRE'!$G$5:$G$458,1,'BASE_CIERRE'!$H$5:$H$458,"Screening",'BASE_CIERRE'!$J$5:$J$458,"Audio/voice",'BASE_CIERRE'!$I$5:$I$458,"Not specified",'BASE_CIERRE'!$Q$5:$Q$458,"Reported")</ns0:f>
        <ns0:v>0</ns0:v>
      </ns0:c>
      <ns0:c r="G285" s="27">
        <ns0:f>COUNTIFS('BASE_CIERRE'!$G$5:$G$458,1,'BASE_CIERRE'!$H$5:$H$458,"Screening",'BASE_CIERRE'!$J$5:$J$458,"Audio/voice",'BASE_CIERRE'!$I$5:$I$458,"Not specified",'BASE_CIERRE'!$Q$5:$Q$458,"Not reported in assessed sources")</ns0:f>
        <ns0:v>1</ns0:v>
      </ns0:c>
      <ns0:c r="H285" s="27">
        <ns0:f>COUNTIFS('BASE_CIERRE'!$G$5:$G$458,1,'BASE_CIERRE'!$H$5:$H$458,"Screening",'BASE_CIERRE'!$J$5:$J$458,"Audio/voice",'BASE_CIERRE'!$I$5:$I$458,"Not specified",'BASE_CIERRE'!$Q$5:$Q$458,"Not ascertainable")</ns0:f>
        <ns0:v>0</ns0:v>
      </ns0:c>
      <ns0:c r="I285" s="27">
        <ns0:f>SUM(F285:H285)</ns0:f>
        <ns0:v>1</ns0:v>
      </ns0:c>
      <ns0:c r="J285" s="31">
        <ns0:f>IFERROR(F285/I285,0)</ns0:f>
        <ns0:v>0</ns0:v>
      </ns0:c>
      <ns0:c r="K285" s="31">
        <ns0:f>IFERROR(F285/(I285-H285),0)</ns0:f>
        <ns0:v>0</ns0:v>
      </ns0:c>
      <ns0:c r="L285" s="19" t="inlineStr">
        <ns0:is>
          <ns0:t>300</ns0:t>
        </ns0:is>
      </ns0:c>
    </ns0:row>
    <ns0:row r="286" ht="32" customHeight="1">
      <ns0:c r="A286" s="21" t="inlineStr">
        <ns0:is>
          <ns0:t>Screening</ns0:t>
        </ns0:is>
      </ns0:c>
      <ns0:c r="B286" s="21" t="inlineStr">
        <ns0:is>
          <ns0:t>Audio/voice</ns0:t>
        </ns0:is>
      </ns0:c>
      <ns0:c r="C286" s="21" t="inlineStr">
        <ns0:is>
          <ns0:t>Not specified</ns0:t>
        </ns0:is>
      </ns0:c>
      <ns0:c r="D286" s="21" t="inlineStr">
        <ns0:is>
          <ns0:t>Multisource integration</ns0:t>
        </ns0:is>
      </ns0:c>
      <ns0:c r="E286" s="21" t="inlineStr">
        <ns0:is>
          <ns0:t>multisource_integration</ns0:t>
        </ns0:is>
      </ns0:c>
      <ns0:c r="F286" s="29">
        <ns0:f>COUNTIFS('BASE_CIERRE'!$G$5:$G$458,1,'BASE_CIERRE'!$H$5:$H$458,"Screening",'BASE_CIERRE'!$J$5:$J$458,"Audio/voice",'BASE_CIERRE'!$I$5:$I$458,"Not specified",'BASE_CIERRE'!$R$5:$R$458,"Reported")</ns0:f>
        <ns0:v>0</ns0:v>
      </ns0:c>
      <ns0:c r="G286" s="29">
        <ns0:f>COUNTIFS('BASE_CIERRE'!$G$5:$G$458,1,'BASE_CIERRE'!$H$5:$H$458,"Screening",'BASE_CIERRE'!$J$5:$J$458,"Audio/voice",'BASE_CIERRE'!$I$5:$I$458,"Not specified",'BASE_CIERRE'!$R$5:$R$458,"Not reported in assessed sources")</ns0:f>
        <ns0:v>1</ns0:v>
      </ns0:c>
      <ns0:c r="H286" s="29">
        <ns0:f>COUNTIFS('BASE_CIERRE'!$G$5:$G$458,1,'BASE_CIERRE'!$H$5:$H$458,"Screening",'BASE_CIERRE'!$J$5:$J$458,"Audio/voice",'BASE_CIERRE'!$I$5:$I$458,"Not specified",'BASE_CIERRE'!$R$5:$R$458,"Not ascertainable")</ns0:f>
        <ns0:v>0</ns0:v>
      </ns0:c>
      <ns0:c r="I286" s="29">
        <ns0:f>SUM(F286:H286)</ns0:f>
        <ns0:v>1</ns0:v>
      </ns0:c>
      <ns0:c r="J286" s="32">
        <ns0:f>IFERROR(F286/I286,0)</ns0:f>
        <ns0:v>0</ns0:v>
      </ns0:c>
      <ns0:c r="K286" s="32">
        <ns0:f>IFERROR(F286/(I286-H286),0)</ns0:f>
        <ns0:v>0</ns0:v>
      </ns0:c>
      <ns0:c r="L286" s="21" t="inlineStr">
        <ns0:is>
          <ns0:t>300</ns0:t>
        </ns0:is>
      </ns0:c>
    </ns0:row>
    <ns0:row r="287" ht="32" customHeight="1">
      <ns0:c r="A287" s="19" t="inlineStr">
        <ns0:is>
          <ns0:t>Screening</ns0:t>
        </ns0:is>
      </ns0:c>
      <ns0:c r="B287" s="19" t="inlineStr">
        <ns0:is>
          <ns0:t>Audio/voice</ns0:t>
        </ns0:is>
      </ns0:c>
      <ns0:c r="C287" s="19" t="inlineStr">
        <ns0:is>
          <ns0:t>Not specified</ns0:t>
        </ns0:is>
      </ns0:c>
      <ns0:c r="D287" s="19" t="inlineStr">
        <ns0:is>
          <ns0:t>Explicit explainability (broad)</ns0:t>
        </ns0:is>
      </ns0:c>
      <ns0:c r="E287" s="19" t="inlineStr">
        <ns0:is>
          <ns0:t>xai_broad</ns0:t>
        </ns0:is>
      </ns0:c>
      <ns0:c r="F287" s="27">
        <ns0:f>COUNTIFS('BASE_CIERRE'!$G$5:$G$458,1,'BASE_CIERRE'!$H$5:$H$458,"Screening",'BASE_CIERRE'!$J$5:$J$458,"Audio/voice",'BASE_CIERRE'!$I$5:$I$458,"Not specified",'BASE_CIERRE'!$S$5:$S$458,"Reported")</ns0:f>
        <ns0:v>0</ns0:v>
      </ns0:c>
      <ns0:c r="G287" s="27">
        <ns0:f>COUNTIFS('BASE_CIERRE'!$G$5:$G$458,1,'BASE_CIERRE'!$H$5:$H$458,"Screening",'BASE_CIERRE'!$J$5:$J$458,"Audio/voice",'BASE_CIERRE'!$I$5:$I$458,"Not specified",'BASE_CIERRE'!$S$5:$S$458,"Not reported in assessed sources")</ns0:f>
        <ns0:v>1</ns0:v>
      </ns0:c>
      <ns0:c r="H287" s="27">
        <ns0:f>COUNTIFS('BASE_CIERRE'!$G$5:$G$458,1,'BASE_CIERRE'!$H$5:$H$458,"Screening",'BASE_CIERRE'!$J$5:$J$458,"Audio/voice",'BASE_CIERRE'!$I$5:$I$458,"Not specified",'BASE_CIERRE'!$S$5:$S$458,"Not ascertainable")</ns0:f>
        <ns0:v>0</ns0:v>
      </ns0:c>
      <ns0:c r="I287" s="27">
        <ns0:f>SUM(F287:H287)</ns0:f>
        <ns0:v>1</ns0:v>
      </ns0:c>
      <ns0:c r="J287" s="31">
        <ns0:f>IFERROR(F287/I287,0)</ns0:f>
        <ns0:v>0</ns0:v>
      </ns0:c>
      <ns0:c r="K287" s="31">
        <ns0:f>IFERROR(F287/(I287-H287),0)</ns0:f>
        <ns0:v>0</ns0:v>
      </ns0:c>
      <ns0:c r="L287" s="19" t="inlineStr">
        <ns0:is>
          <ns0:t>300</ns0:t>
        </ns0:is>
      </ns0:c>
    </ns0:row>
    <ns0:row r="288" ht="32" customHeight="1">
      <ns0:c r="A288" s="21" t="inlineStr">
        <ns0:is>
          <ns0:t>Screening</ns0:t>
        </ns0:is>
      </ns0:c>
      <ns0:c r="B288" s="21" t="inlineStr">
        <ns0:is>
          <ns0:t>Audio/voice</ns0:t>
        </ns0:is>
      </ns0:c>
      <ns0:c r="C288" s="21" t="inlineStr">
        <ns0:is>
          <ns0:t>Not specified</ns0:t>
        </ns0:is>
      </ns0:c>
      <ns0:c r="D288" s="21" t="inlineStr">
        <ns0:is>
          <ns0:t>Cross-site evaluation</ns0:t>
        </ns0:is>
      </ns0:c>
      <ns0:c r="E288" s="21" t="inlineStr">
        <ns0:is>
          <ns0:t>cross_site_robustness</ns0:t>
        </ns0:is>
      </ns0:c>
      <ns0:c r="F288" s="29">
        <ns0:f>COUNTIFS('BASE_CIERRE'!$G$5:$G$458,1,'BASE_CIERRE'!$H$5:$H$458,"Screening",'BASE_CIERRE'!$J$5:$J$458,"Audio/voice",'BASE_CIERRE'!$I$5:$I$458,"Not specified",'BASE_CIERRE'!$U$5:$U$458,"Reported")</ns0:f>
        <ns0:v>0</ns0:v>
      </ns0:c>
      <ns0:c r="G288" s="29">
        <ns0:f>COUNTIFS('BASE_CIERRE'!$G$5:$G$458,1,'BASE_CIERRE'!$H$5:$H$458,"Screening",'BASE_CIERRE'!$J$5:$J$458,"Audio/voice",'BASE_CIERRE'!$I$5:$I$458,"Not specified",'BASE_CIERRE'!$U$5:$U$458,"Not reported in assessed sources")</ns0:f>
        <ns0:v>1</ns0:v>
      </ns0:c>
      <ns0:c r="H288" s="29">
        <ns0:f>COUNTIFS('BASE_CIERRE'!$G$5:$G$458,1,'BASE_CIERRE'!$H$5:$H$458,"Screening",'BASE_CIERRE'!$J$5:$J$458,"Audio/voice",'BASE_CIERRE'!$I$5:$I$458,"Not specified",'BASE_CIERRE'!$U$5:$U$458,"Not ascertainable")</ns0:f>
        <ns0:v>0</ns0:v>
      </ns0:c>
      <ns0:c r="I288" s="29">
        <ns0:f>SUM(F288:H288)</ns0:f>
        <ns0:v>1</ns0:v>
      </ns0:c>
      <ns0:c r="J288" s="32">
        <ns0:f>IFERROR(F288/I288,0)</ns0:f>
        <ns0:v>0</ns0:v>
      </ns0:c>
      <ns0:c r="K288" s="32">
        <ns0:f>IFERROR(F288/(I288-H288),0)</ns0:f>
        <ns0:v>0</ns0:v>
      </ns0:c>
      <ns0:c r="L288" s="21" t="inlineStr">
        <ns0:is>
          <ns0:t>300</ns0:t>
        </ns0:is>
      </ns0:c>
    </ns0:row>
    <ns0:row r="289" ht="32" customHeight="1">
      <ns0:c r="A289" s="19" t="inlineStr">
        <ns0:is>
          <ns0:t>Screening</ns0:t>
        </ns0:is>
      </ns0:c>
      <ns0:c r="B289" s="19" t="inlineStr">
        <ns0:is>
          <ns0:t>Behavioral images/video/gaze/movement</ns0:t>
        </ns0:is>
      </ns0:c>
      <ns0:c r="C289" s="19" t="inlineStr">
        <ns0:is>
          <ns0:t>Deep Learning</ns0:t>
        </ns0:is>
      </ns0:c>
      <ns0:c r="D289" s="19" t="inlineStr">
        <ns0:is>
          <ns0:t>External validation</ns0:t>
        </ns0:is>
      </ns0:c>
      <ns0:c r="E289" s="19" t="inlineStr">
        <ns0:is>
          <ns0:t>external_validation</ns0:t>
        </ns0:is>
      </ns0:c>
      <ns0:c r="F289" s="27">
        <ns0:f>COUNTIFS('BASE_CIERRE'!$G$5:$G$458,1,'BASE_CIERRE'!$H$5:$H$458,"Screening",'BASE_CIERRE'!$J$5:$J$458,"Behavioral images/video/gaze/movement",'BASE_CIERRE'!$I$5:$I$458,"Deep Learning",'BASE_CIERRE'!$Q$5:$Q$458,"Reported")</ns0:f>
        <ns0:v>1</ns0:v>
      </ns0:c>
      <ns0:c r="G289" s="27">
        <ns0:f>COUNTIFS('BASE_CIERRE'!$G$5:$G$458,1,'BASE_CIERRE'!$H$5:$H$458,"Screening",'BASE_CIERRE'!$J$5:$J$458,"Behavioral images/video/gaze/movement",'BASE_CIERRE'!$I$5:$I$458,"Deep Learning",'BASE_CIERRE'!$Q$5:$Q$458,"Not reported in assessed sources")</ns0:f>
        <ns0:v>17</ns0:v>
      </ns0:c>
      <ns0:c r="H289" s="27">
        <ns0:f>COUNTIFS('BASE_CIERRE'!$G$5:$G$458,1,'BASE_CIERRE'!$H$5:$H$458,"Screening",'BASE_CIERRE'!$J$5:$J$458,"Behavioral images/video/gaze/movement",'BASE_CIERRE'!$I$5:$I$458,"Deep Learning",'BASE_CIERRE'!$Q$5:$Q$458,"Not ascertainable")</ns0:f>
        <ns0:v>0</ns0:v>
      </ns0:c>
      <ns0:c r="I289" s="27">
        <ns0:f>SUM(F289:H289)</ns0:f>
        <ns0:v>18</ns0:v>
      </ns0:c>
      <ns0:c r="J289" s="31">
        <ns0:f>IFERROR(F289/I289,0)</ns0:f>
        <ns0:v>0.05555555555555555</ns0:v>
      </ns0:c>
      <ns0:c r="K289" s="31">
        <ns0:f>IFERROR(F289/(I289-H289),0)</ns0:f>
        <ns0:v>0.05555555555555555</ns0:v>
      </ns0:c>
      <ns0:c r="L289" s="19" t="inlineStr">
        <ns0:is>
          <ns0:t>124; 155; 166; 169; 245; 248; new_424; new_51; new_63; new_67; new_146; new_233; new_236; new_244; new_273; new_355; new_366; new_373</ns0:t>
        </ns0:is>
      </ns0:c>
    </ns0:row>
    <ns0:row r="290" ht="32" customHeight="1">
      <ns0:c r="A290" s="21" t="inlineStr">
        <ns0:is>
          <ns0:t>Screening</ns0:t>
        </ns0:is>
      </ns0:c>
      <ns0:c r="B290" s="21" t="inlineStr">
        <ns0:is>
          <ns0:t>Behavioral images/video/gaze/movement</ns0:t>
        </ns0:is>
      </ns0:c>
      <ns0:c r="C290" s="21" t="inlineStr">
        <ns0:is>
          <ns0:t>Deep Learning</ns0:t>
        </ns0:is>
      </ns0:c>
      <ns0:c r="D290" s="21" t="inlineStr">
        <ns0:is>
          <ns0:t>Multisource integration</ns0:t>
        </ns0:is>
      </ns0:c>
      <ns0:c r="E290" s="21" t="inlineStr">
        <ns0:is>
          <ns0:t>multisource_integration</ns0:t>
        </ns0:is>
      </ns0:c>
      <ns0:c r="F290" s="29">
        <ns0:f>COUNTIFS('BASE_CIERRE'!$G$5:$G$458,1,'BASE_CIERRE'!$H$5:$H$458,"Screening",'BASE_CIERRE'!$J$5:$J$458,"Behavioral images/video/gaze/movement",'BASE_CIERRE'!$I$5:$I$458,"Deep Learning",'BASE_CIERRE'!$R$5:$R$458,"Reported")</ns0:f>
        <ns0:v>0</ns0:v>
      </ns0:c>
      <ns0:c r="G290" s="29">
        <ns0:f>COUNTIFS('BASE_CIERRE'!$G$5:$G$458,1,'BASE_CIERRE'!$H$5:$H$458,"Screening",'BASE_CIERRE'!$J$5:$J$458,"Behavioral images/video/gaze/movement",'BASE_CIERRE'!$I$5:$I$458,"Deep Learning",'BASE_CIERRE'!$R$5:$R$458,"Not reported in assessed sources")</ns0:f>
        <ns0:v>18</ns0:v>
      </ns0:c>
      <ns0:c r="H290" s="29">
        <ns0:f>COUNTIFS('BASE_CIERRE'!$G$5:$G$458,1,'BASE_CIERRE'!$H$5:$H$458,"Screening",'BASE_CIERRE'!$J$5:$J$458,"Behavioral images/video/gaze/movement",'BASE_CIERRE'!$I$5:$I$458,"Deep Learning",'BASE_CIERRE'!$R$5:$R$458,"Not ascertainable")</ns0:f>
        <ns0:v>0</ns0:v>
      </ns0:c>
      <ns0:c r="I290" s="29">
        <ns0:f>SUM(F290:H290)</ns0:f>
        <ns0:v>18</ns0:v>
      </ns0:c>
      <ns0:c r="J290" s="32">
        <ns0:f>IFERROR(F290/I290,0)</ns0:f>
        <ns0:v>0</ns0:v>
      </ns0:c>
      <ns0:c r="K290" s="32">
        <ns0:f>IFERROR(F290/(I290-H290),0)</ns0:f>
        <ns0:v>0</ns0:v>
      </ns0:c>
      <ns0:c r="L290" s="21" t="inlineStr">
        <ns0:is>
          <ns0:t>124; 155; 166; 169; 245; 248; new_424; new_51; new_63; new_67; new_146; new_233; new_236; new_244; new_273; new_355; new_366; new_373</ns0:t>
        </ns0:is>
      </ns0:c>
    </ns0:row>
    <ns0:row r="291" ht="32" customHeight="1">
      <ns0:c r="A291" s="19" t="inlineStr">
        <ns0:is>
          <ns0:t>Screening</ns0:t>
        </ns0:is>
      </ns0:c>
      <ns0:c r="B291" s="19" t="inlineStr">
        <ns0:is>
          <ns0:t>Behavioral images/video/gaze/movement</ns0:t>
        </ns0:is>
      </ns0:c>
      <ns0:c r="C291" s="19" t="inlineStr">
        <ns0:is>
          <ns0:t>Deep Learning</ns0:t>
        </ns0:is>
      </ns0:c>
      <ns0:c r="D291" s="19" t="inlineStr">
        <ns0:is>
          <ns0:t>Explicit explainability (broad)</ns0:t>
        </ns0:is>
      </ns0:c>
      <ns0:c r="E291" s="19" t="inlineStr">
        <ns0:is>
          <ns0:t>xai_broad</ns0:t>
        </ns0:is>
      </ns0:c>
      <ns0:c r="F291" s="27">
        <ns0:f>COUNTIFS('BASE_CIERRE'!$G$5:$G$458,1,'BASE_CIERRE'!$H$5:$H$458,"Screening",'BASE_CIERRE'!$J$5:$J$458,"Behavioral images/video/gaze/movement",'BASE_CIERRE'!$I$5:$I$458,"Deep Learning",'BASE_CIERRE'!$S$5:$S$458,"Reported")</ns0:f>
        <ns0:v>3</ns0:v>
      </ns0:c>
      <ns0:c r="G291" s="27">
        <ns0:f>COUNTIFS('BASE_CIERRE'!$G$5:$G$458,1,'BASE_CIERRE'!$H$5:$H$458,"Screening",'BASE_CIERRE'!$J$5:$J$458,"Behavioral images/video/gaze/movement",'BASE_CIERRE'!$I$5:$I$458,"Deep Learning",'BASE_CIERRE'!$S$5:$S$458,"Not reported in assessed sources")</ns0:f>
        <ns0:v>15</ns0:v>
      </ns0:c>
      <ns0:c r="H291" s="27">
        <ns0:f>COUNTIFS('BASE_CIERRE'!$G$5:$G$458,1,'BASE_CIERRE'!$H$5:$H$458,"Screening",'BASE_CIERRE'!$J$5:$J$458,"Behavioral images/video/gaze/movement",'BASE_CIERRE'!$I$5:$I$458,"Deep Learning",'BASE_CIERRE'!$S$5:$S$458,"Not ascertainable")</ns0:f>
        <ns0:v>0</ns0:v>
      </ns0:c>
      <ns0:c r="I291" s="27">
        <ns0:f>SUM(F291:H291)</ns0:f>
        <ns0:v>18</ns0:v>
      </ns0:c>
      <ns0:c r="J291" s="31">
        <ns0:f>IFERROR(F291/I291,0)</ns0:f>
        <ns0:v>0.16666666666666666</ns0:v>
      </ns0:c>
      <ns0:c r="K291" s="31">
        <ns0:f>IFERROR(F291/(I291-H291),0)</ns0:f>
        <ns0:v>0.16666666666666666</ns0:v>
      </ns0:c>
      <ns0:c r="L291" s="19" t="inlineStr">
        <ns0:is>
          <ns0:t>124; 155; 166; 169; 245; 248; new_424; new_51; new_63; new_67; new_146; new_233; new_236; new_244; new_273; new_355; new_366; new_373</ns0:t>
        </ns0:is>
      </ns0:c>
    </ns0:row>
    <ns0:row r="292" ht="32" customHeight="1">
      <ns0:c r="A292" s="21" t="inlineStr">
        <ns0:is>
          <ns0:t>Screening</ns0:t>
        </ns0:is>
      </ns0:c>
      <ns0:c r="B292" s="21" t="inlineStr">
        <ns0:is>
          <ns0:t>Behavioral images/video/gaze/movement</ns0:t>
        </ns0:is>
      </ns0:c>
      <ns0:c r="C292" s="21" t="inlineStr">
        <ns0:is>
          <ns0:t>Deep Learning</ns0:t>
        </ns0:is>
      </ns0:c>
      <ns0:c r="D292" s="21" t="inlineStr">
        <ns0:is>
          <ns0:t>Cross-site evaluation</ns0:t>
        </ns0:is>
      </ns0:c>
      <ns0:c r="E292" s="21" t="inlineStr">
        <ns0:is>
          <ns0:t>cross_site_robustness</ns0:t>
        </ns0:is>
      </ns0:c>
      <ns0:c r="F292" s="29">
        <ns0:f>COUNTIFS('BASE_CIERRE'!$G$5:$G$458,1,'BASE_CIERRE'!$H$5:$H$458,"Screening",'BASE_CIERRE'!$J$5:$J$458,"Behavioral images/video/gaze/movement",'BASE_CIERRE'!$I$5:$I$458,"Deep Learning",'BASE_CIERRE'!$U$5:$U$458,"Reported")</ns0:f>
        <ns0:v>1</ns0:v>
      </ns0:c>
      <ns0:c r="G292" s="29">
        <ns0:f>COUNTIFS('BASE_CIERRE'!$G$5:$G$458,1,'BASE_CIERRE'!$H$5:$H$458,"Screening",'BASE_CIERRE'!$J$5:$J$458,"Behavioral images/video/gaze/movement",'BASE_CIERRE'!$I$5:$I$458,"Deep Learning",'BASE_CIERRE'!$U$5:$U$458,"Not reported in assessed sources")</ns0:f>
        <ns0:v>17</ns0:v>
      </ns0:c>
      <ns0:c r="H292" s="29">
        <ns0:f>COUNTIFS('BASE_CIERRE'!$G$5:$G$458,1,'BASE_CIERRE'!$H$5:$H$458,"Screening",'BASE_CIERRE'!$J$5:$J$458,"Behavioral images/video/gaze/movement",'BASE_CIERRE'!$I$5:$I$458,"Deep Learning",'BASE_CIERRE'!$U$5:$U$458,"Not ascertainable")</ns0:f>
        <ns0:v>0</ns0:v>
      </ns0:c>
      <ns0:c r="I292" s="29">
        <ns0:f>SUM(F292:H292)</ns0:f>
        <ns0:v>18</ns0:v>
      </ns0:c>
      <ns0:c r="J292" s="32">
        <ns0:f>IFERROR(F292/I292,0)</ns0:f>
        <ns0:v>0.05555555555555555</ns0:v>
      </ns0:c>
      <ns0:c r="K292" s="32">
        <ns0:f>IFERROR(F292/(I292-H292),0)</ns0:f>
        <ns0:v>0.05555555555555555</ns0:v>
      </ns0:c>
      <ns0:c r="L292" s="21" t="inlineStr">
        <ns0:is>
          <ns0:t>124; 155; 166; 169; 245; 248; new_424; new_51; new_63; new_67; new_146; new_233; new_236; new_244; new_273; new_355; new_366; new_373</ns0:t>
        </ns0:is>
      </ns0:c>
    </ns0:row>
    <ns0:row r="293" ht="32" customHeight="1">
      <ns0:c r="A293" s="19" t="inlineStr">
        <ns0:is>
          <ns0:t>Screening</ns0:t>
        </ns0:is>
      </ns0:c>
      <ns0:c r="B293" s="19" t="inlineStr">
        <ns0:is>
          <ns0:t>Behavioral images/video/gaze/movement</ns0:t>
        </ns0:is>
      </ns0:c>
      <ns0:c r="C293" s="19" t="inlineStr">
        <ns0:is>
          <ns0:t>Hybrid</ns0:t>
        </ns0:is>
      </ns0:c>
      <ns0:c r="D293" s="19" t="inlineStr">
        <ns0:is>
          <ns0:t>External validation</ns0:t>
        </ns0:is>
      </ns0:c>
      <ns0:c r="E293" s="19" t="inlineStr">
        <ns0:is>
          <ns0:t>external_validation</ns0:t>
        </ns0:is>
      </ns0:c>
      <ns0:c r="F293" s="27">
        <ns0:f>COUNTIFS('BASE_CIERRE'!$G$5:$G$458,1,'BASE_CIERRE'!$H$5:$H$458,"Screening",'BASE_CIERRE'!$J$5:$J$458,"Behavioral images/video/gaze/movement",'BASE_CIERRE'!$I$5:$I$458,"Hybrid",'BASE_CIERRE'!$Q$5:$Q$458,"Reported")</ns0:f>
        <ns0:v>0</ns0:v>
      </ns0:c>
      <ns0:c r="G293" s="27">
        <ns0:f>COUNTIFS('BASE_CIERRE'!$G$5:$G$458,1,'BASE_CIERRE'!$H$5:$H$458,"Screening",'BASE_CIERRE'!$J$5:$J$458,"Behavioral images/video/gaze/movement",'BASE_CIERRE'!$I$5:$I$458,"Hybrid",'BASE_CIERRE'!$Q$5:$Q$458,"Not reported in assessed sources")</ns0:f>
        <ns0:v>1</ns0:v>
      </ns0:c>
      <ns0:c r="H293" s="27">
        <ns0:f>COUNTIFS('BASE_CIERRE'!$G$5:$G$458,1,'BASE_CIERRE'!$H$5:$H$458,"Screening",'BASE_CIERRE'!$J$5:$J$458,"Behavioral images/video/gaze/movement",'BASE_CIERRE'!$I$5:$I$458,"Hybrid",'BASE_CIERRE'!$Q$5:$Q$458,"Not ascertainable")</ns0:f>
        <ns0:v>1</ns0:v>
      </ns0:c>
      <ns0:c r="I293" s="27">
        <ns0:f>SUM(F293:H293)</ns0:f>
        <ns0:v>2</ns0:v>
      </ns0:c>
      <ns0:c r="J293" s="31">
        <ns0:f>IFERROR(F293/I293,0)</ns0:f>
        <ns0:v>0</ns0:v>
      </ns0:c>
      <ns0:c r="K293" s="31">
        <ns0:f>IFERROR(F293/(I293-H293),0)</ns0:f>
        <ns0:v>0</ns0:v>
      </ns0:c>
      <ns0:c r="L293" s="19" t="inlineStr">
        <ns0:is>
          <ns0:t>64; 118</ns0:t>
        </ns0:is>
      </ns0:c>
    </ns0:row>
    <ns0:row r="294" ht="32" customHeight="1">
      <ns0:c r="A294" s="21" t="inlineStr">
        <ns0:is>
          <ns0:t>Screening</ns0:t>
        </ns0:is>
      </ns0:c>
      <ns0:c r="B294" s="21" t="inlineStr">
        <ns0:is>
          <ns0:t>Behavioral images/video/gaze/movement</ns0:t>
        </ns0:is>
      </ns0:c>
      <ns0:c r="C294" s="21" t="inlineStr">
        <ns0:is>
          <ns0:t>Hybrid</ns0:t>
        </ns0:is>
      </ns0:c>
      <ns0:c r="D294" s="21" t="inlineStr">
        <ns0:is>
          <ns0:t>Multisource integration</ns0:t>
        </ns0:is>
      </ns0:c>
      <ns0:c r="E294" s="21" t="inlineStr">
        <ns0:is>
          <ns0:t>multisource_integration</ns0:t>
        </ns0:is>
      </ns0:c>
      <ns0:c r="F294" s="29">
        <ns0:f>COUNTIFS('BASE_CIERRE'!$G$5:$G$458,1,'BASE_CIERRE'!$H$5:$H$458,"Screening",'BASE_CIERRE'!$J$5:$J$458,"Behavioral images/video/gaze/movement",'BASE_CIERRE'!$I$5:$I$458,"Hybrid",'BASE_CIERRE'!$R$5:$R$458,"Reported")</ns0:f>
        <ns0:v>1</ns0:v>
      </ns0:c>
      <ns0:c r="G294" s="29">
        <ns0:f>COUNTIFS('BASE_CIERRE'!$G$5:$G$458,1,'BASE_CIERRE'!$H$5:$H$458,"Screening",'BASE_CIERRE'!$J$5:$J$458,"Behavioral images/video/gaze/movement",'BASE_CIERRE'!$I$5:$I$458,"Hybrid",'BASE_CIERRE'!$R$5:$R$458,"Not reported in assessed sources")</ns0:f>
        <ns0:v>1</ns0:v>
      </ns0:c>
      <ns0:c r="H294" s="29">
        <ns0:f>COUNTIFS('BASE_CIERRE'!$G$5:$G$458,1,'BASE_CIERRE'!$H$5:$H$458,"Screening",'BASE_CIERRE'!$J$5:$J$458,"Behavioral images/video/gaze/movement",'BASE_CIERRE'!$I$5:$I$458,"Hybrid",'BASE_CIERRE'!$R$5:$R$458,"Not ascertainable")</ns0:f>
        <ns0:v>0</ns0:v>
      </ns0:c>
      <ns0:c r="I294" s="29">
        <ns0:f>SUM(F294:H294)</ns0:f>
        <ns0:v>2</ns0:v>
      </ns0:c>
      <ns0:c r="J294" s="32">
        <ns0:f>IFERROR(F294/I294,0)</ns0:f>
        <ns0:v>0.5</ns0:v>
      </ns0:c>
      <ns0:c r="K294" s="32">
        <ns0:f>IFERROR(F294/(I294-H294),0)</ns0:f>
        <ns0:v>0.5</ns0:v>
      </ns0:c>
      <ns0:c r="L294" s="21" t="inlineStr">
        <ns0:is>
          <ns0:t>64; 118</ns0:t>
        </ns0:is>
      </ns0:c>
    </ns0:row>
    <ns0:row r="295" ht="32" customHeight="1">
      <ns0:c r="A295" s="19" t="inlineStr">
        <ns0:is>
          <ns0:t>Screening</ns0:t>
        </ns0:is>
      </ns0:c>
      <ns0:c r="B295" s="19" t="inlineStr">
        <ns0:is>
          <ns0:t>Behavioral images/video/gaze/movement</ns0:t>
        </ns0:is>
      </ns0:c>
      <ns0:c r="C295" s="19" t="inlineStr">
        <ns0:is>
          <ns0:t>Hybrid</ns0:t>
        </ns0:is>
      </ns0:c>
      <ns0:c r="D295" s="19" t="inlineStr">
        <ns0:is>
          <ns0:t>Explicit explainability (broad)</ns0:t>
        </ns0:is>
      </ns0:c>
      <ns0:c r="E295" s="19" t="inlineStr">
        <ns0:is>
          <ns0:t>xai_broad</ns0:t>
        </ns0:is>
      </ns0:c>
      <ns0:c r="F295" s="27">
        <ns0:f>COUNTIFS('BASE_CIERRE'!$G$5:$G$458,1,'BASE_CIERRE'!$H$5:$H$458,"Screening",'BASE_CIERRE'!$J$5:$J$458,"Behavioral images/video/gaze/movement",'BASE_CIERRE'!$I$5:$I$458,"Hybrid",'BASE_CIERRE'!$S$5:$S$458,"Reported")</ns0:f>
        <ns0:v>0</ns0:v>
      </ns0:c>
      <ns0:c r="G295" s="27">
        <ns0:f>COUNTIFS('BASE_CIERRE'!$G$5:$G$458,1,'BASE_CIERRE'!$H$5:$H$458,"Screening",'BASE_CIERRE'!$J$5:$J$458,"Behavioral images/video/gaze/movement",'BASE_CIERRE'!$I$5:$I$458,"Hybrid",'BASE_CIERRE'!$S$5:$S$458,"Not reported in assessed sources")</ns0:f>
        <ns0:v>2</ns0:v>
      </ns0:c>
      <ns0:c r="H295" s="27">
        <ns0:f>COUNTIFS('BASE_CIERRE'!$G$5:$G$458,1,'BASE_CIERRE'!$H$5:$H$458,"Screening",'BASE_CIERRE'!$J$5:$J$458,"Behavioral images/video/gaze/movement",'BASE_CIERRE'!$I$5:$I$458,"Hybrid",'BASE_CIERRE'!$S$5:$S$458,"Not ascertainable")</ns0:f>
        <ns0:v>0</ns0:v>
      </ns0:c>
      <ns0:c r="I295" s="27">
        <ns0:f>SUM(F295:H295)</ns0:f>
        <ns0:v>2</ns0:v>
      </ns0:c>
      <ns0:c r="J295" s="31">
        <ns0:f>IFERROR(F295/I295,0)</ns0:f>
        <ns0:v>0</ns0:v>
      </ns0:c>
      <ns0:c r="K295" s="31">
        <ns0:f>IFERROR(F295/(I295-H295),0)</ns0:f>
        <ns0:v>0</ns0:v>
      </ns0:c>
      <ns0:c r="L295" s="19" t="inlineStr">
        <ns0:is>
          <ns0:t>64; 118</ns0:t>
        </ns0:is>
      </ns0:c>
    </ns0:row>
    <ns0:row r="296" ht="32" customHeight="1">
      <ns0:c r="A296" s="21" t="inlineStr">
        <ns0:is>
          <ns0:t>Screening</ns0:t>
        </ns0:is>
      </ns0:c>
      <ns0:c r="B296" s="21" t="inlineStr">
        <ns0:is>
          <ns0:t>Behavioral images/video/gaze/movement</ns0:t>
        </ns0:is>
      </ns0:c>
      <ns0:c r="C296" s="21" t="inlineStr">
        <ns0:is>
          <ns0:t>Hybrid</ns0:t>
        </ns0:is>
      </ns0:c>
      <ns0:c r="D296" s="21" t="inlineStr">
        <ns0:is>
          <ns0:t>Cross-site evaluation</ns0:t>
        </ns0:is>
      </ns0:c>
      <ns0:c r="E296" s="21" t="inlineStr">
        <ns0:is>
          <ns0:t>cross_site_robustness</ns0:t>
        </ns0:is>
      </ns0:c>
      <ns0:c r="F296" s="29">
        <ns0:f>COUNTIFS('BASE_CIERRE'!$G$5:$G$458,1,'BASE_CIERRE'!$H$5:$H$458,"Screening",'BASE_CIERRE'!$J$5:$J$458,"Behavioral images/video/gaze/movement",'BASE_CIERRE'!$I$5:$I$458,"Hybrid",'BASE_CIERRE'!$U$5:$U$458,"Reported")</ns0:f>
        <ns0:v>0</ns0:v>
      </ns0:c>
      <ns0:c r="G296" s="29">
        <ns0:f>COUNTIFS('BASE_CIERRE'!$G$5:$G$458,1,'BASE_CIERRE'!$H$5:$H$458,"Screening",'BASE_CIERRE'!$J$5:$J$458,"Behavioral images/video/gaze/movement",'BASE_CIERRE'!$I$5:$I$458,"Hybrid",'BASE_CIERRE'!$U$5:$U$458,"Not reported in assessed sources")</ns0:f>
        <ns0:v>2</ns0:v>
      </ns0:c>
      <ns0:c r="H296" s="29">
        <ns0:f>COUNTIFS('BASE_CIERRE'!$G$5:$G$458,1,'BASE_CIERRE'!$H$5:$H$458,"Screening",'BASE_CIERRE'!$J$5:$J$458,"Behavioral images/video/gaze/movement",'BASE_CIERRE'!$I$5:$I$458,"Hybrid",'BASE_CIERRE'!$U$5:$U$458,"Not ascertainable")</ns0:f>
        <ns0:v>0</ns0:v>
      </ns0:c>
      <ns0:c r="I296" s="29">
        <ns0:f>SUM(F296:H296)</ns0:f>
        <ns0:v>2</ns0:v>
      </ns0:c>
      <ns0:c r="J296" s="32">
        <ns0:f>IFERROR(F296/I296,0)</ns0:f>
        <ns0:v>0</ns0:v>
      </ns0:c>
      <ns0:c r="K296" s="32">
        <ns0:f>IFERROR(F296/(I296-H296),0)</ns0:f>
        <ns0:v>0</ns0:v>
      </ns0:c>
      <ns0:c r="L296" s="21" t="inlineStr">
        <ns0:is>
          <ns0:t>64; 118</ns0:t>
        </ns0:is>
      </ns0:c>
    </ns0:row>
    <ns0:row r="297" ht="32" customHeight="1">
      <ns0:c r="A297" s="19" t="inlineStr">
        <ns0:is>
          <ns0:t>Screening</ns0:t>
        </ns0:is>
      </ns0:c>
      <ns0:c r="B297" s="19" t="inlineStr">
        <ns0:is>
          <ns0:t>Behavioral images/video/gaze/movement</ns0:t>
        </ns0:is>
      </ns0:c>
      <ns0:c r="C297" s="19" t="inlineStr">
        <ns0:is>
          <ns0:t>Machine Learning</ns0:t>
        </ns0:is>
      </ns0:c>
      <ns0:c r="D297" s="19" t="inlineStr">
        <ns0:is>
          <ns0:t>External validation</ns0:t>
        </ns0:is>
      </ns0:c>
      <ns0:c r="E297" s="19" t="inlineStr">
        <ns0:is>
          <ns0:t>external_validation</ns0:t>
        </ns0:is>
      </ns0:c>
      <ns0:c r="F297" s="27">
        <ns0:f>COUNTIFS('BASE_CIERRE'!$G$5:$G$458,1,'BASE_CIERRE'!$H$5:$H$458,"Screening",'BASE_CIERRE'!$J$5:$J$458,"Behavioral images/video/gaze/movement",'BASE_CIERRE'!$I$5:$I$458,"Machine Learning",'BASE_CIERRE'!$Q$5:$Q$458,"Reported")</ns0:f>
        <ns0:v>1</ns0:v>
      </ns0:c>
      <ns0:c r="G297" s="27">
        <ns0:f>COUNTIFS('BASE_CIERRE'!$G$5:$G$458,1,'BASE_CIERRE'!$H$5:$H$458,"Screening",'BASE_CIERRE'!$J$5:$J$458,"Behavioral images/video/gaze/movement",'BASE_CIERRE'!$I$5:$I$458,"Machine Learning",'BASE_CIERRE'!$Q$5:$Q$458,"Not reported in assessed sources")</ns0:f>
        <ns0:v>11</ns0:v>
      </ns0:c>
      <ns0:c r="H297" s="27">
        <ns0:f>COUNTIFS('BASE_CIERRE'!$G$5:$G$458,1,'BASE_CIERRE'!$H$5:$H$458,"Screening",'BASE_CIERRE'!$J$5:$J$458,"Behavioral images/video/gaze/movement",'BASE_CIERRE'!$I$5:$I$458,"Machine Learning",'BASE_CIERRE'!$Q$5:$Q$458,"Not ascertainable")</ns0:f>
        <ns0:v>0</ns0:v>
      </ns0:c>
      <ns0:c r="I297" s="27">
        <ns0:f>SUM(F297:H297)</ns0:f>
        <ns0:v>12</ns0:v>
      </ns0:c>
      <ns0:c r="J297" s="31">
        <ns0:f>IFERROR(F297/I297,0)</ns0:f>
        <ns0:v>0.08333333333333333</ns0:v>
      </ns0:c>
      <ns0:c r="K297" s="31">
        <ns0:f>IFERROR(F297/(I297-H297),0)</ns0:f>
        <ns0:v>0.08333333333333333</ns0:v>
      </ns0:c>
      <ns0:c r="L297" s="19" t="inlineStr">
        <ns0:is>
          <ns0:t>102; 107; 171; 180; 189; 215; 218; 225; 253; 288; new_41; new_306</ns0:t>
        </ns0:is>
      </ns0:c>
    </ns0:row>
    <ns0:row r="298" ht="32" customHeight="1">
      <ns0:c r="A298" s="21" t="inlineStr">
        <ns0:is>
          <ns0:t>Screening</ns0:t>
        </ns0:is>
      </ns0:c>
      <ns0:c r="B298" s="21" t="inlineStr">
        <ns0:is>
          <ns0:t>Behavioral images/video/gaze/movement</ns0:t>
        </ns0:is>
      </ns0:c>
      <ns0:c r="C298" s="21" t="inlineStr">
        <ns0:is>
          <ns0:t>Machine Learning</ns0:t>
        </ns0:is>
      </ns0:c>
      <ns0:c r="D298" s="21" t="inlineStr">
        <ns0:is>
          <ns0:t>Multisource integration</ns0:t>
        </ns0:is>
      </ns0:c>
      <ns0:c r="E298" s="21" t="inlineStr">
        <ns0:is>
          <ns0:t>multisource_integration</ns0:t>
        </ns0:is>
      </ns0:c>
      <ns0:c r="F298" s="29">
        <ns0:f>COUNTIFS('BASE_CIERRE'!$G$5:$G$458,1,'BASE_CIERRE'!$H$5:$H$458,"Screening",'BASE_CIERRE'!$J$5:$J$458,"Behavioral images/video/gaze/movement",'BASE_CIERRE'!$I$5:$I$458,"Machine Learning",'BASE_CIERRE'!$R$5:$R$458,"Reported")</ns0:f>
        <ns0:v>3</ns0:v>
      </ns0:c>
      <ns0:c r="G298" s="29">
        <ns0:f>COUNTIFS('BASE_CIERRE'!$G$5:$G$458,1,'BASE_CIERRE'!$H$5:$H$458,"Screening",'BASE_CIERRE'!$J$5:$J$458,"Behavioral images/video/gaze/movement",'BASE_CIERRE'!$I$5:$I$458,"Machine Learning",'BASE_CIERRE'!$R$5:$R$458,"Not reported in assessed sources")</ns0:f>
        <ns0:v>9</ns0:v>
      </ns0:c>
      <ns0:c r="H298" s="29">
        <ns0:f>COUNTIFS('BASE_CIERRE'!$G$5:$G$458,1,'BASE_CIERRE'!$H$5:$H$458,"Screening",'BASE_CIERRE'!$J$5:$J$458,"Behavioral images/video/gaze/movement",'BASE_CIERRE'!$I$5:$I$458,"Machine Learning",'BASE_CIERRE'!$R$5:$R$458,"Not ascertainable")</ns0:f>
        <ns0:v>0</ns0:v>
      </ns0:c>
      <ns0:c r="I298" s="29">
        <ns0:f>SUM(F298:H298)</ns0:f>
        <ns0:v>12</ns0:v>
      </ns0:c>
      <ns0:c r="J298" s="32">
        <ns0:f>IFERROR(F298/I298,0)</ns0:f>
        <ns0:v>0.25</ns0:v>
      </ns0:c>
      <ns0:c r="K298" s="32">
        <ns0:f>IFERROR(F298/(I298-H298),0)</ns0:f>
        <ns0:v>0.25</ns0:v>
      </ns0:c>
      <ns0:c r="L298" s="21" t="inlineStr">
        <ns0:is>
          <ns0:t>102; 107; 171; 180; 189; 215; 218; 225; 253; 288; new_41; new_306</ns0:t>
        </ns0:is>
      </ns0:c>
    </ns0:row>
    <ns0:row r="299" ht="32" customHeight="1">
      <ns0:c r="A299" s="19" t="inlineStr">
        <ns0:is>
          <ns0:t>Screening</ns0:t>
        </ns0:is>
      </ns0:c>
      <ns0:c r="B299" s="19" t="inlineStr">
        <ns0:is>
          <ns0:t>Behavioral images/video/gaze/movement</ns0:t>
        </ns0:is>
      </ns0:c>
      <ns0:c r="C299" s="19" t="inlineStr">
        <ns0:is>
          <ns0:t>Machine Learning</ns0:t>
        </ns0:is>
      </ns0:c>
      <ns0:c r="D299" s="19" t="inlineStr">
        <ns0:is>
          <ns0:t>Explicit explainability (broad)</ns0:t>
        </ns0:is>
      </ns0:c>
      <ns0:c r="E299" s="19" t="inlineStr">
        <ns0:is>
          <ns0:t>xai_broad</ns0:t>
        </ns0:is>
      </ns0:c>
      <ns0:c r="F299" s="27">
        <ns0:f>COUNTIFS('BASE_CIERRE'!$G$5:$G$458,1,'BASE_CIERRE'!$H$5:$H$458,"Screening",'BASE_CIERRE'!$J$5:$J$458,"Behavioral images/video/gaze/movement",'BASE_CIERRE'!$I$5:$I$458,"Machine Learning",'BASE_CIERRE'!$S$5:$S$458,"Reported")</ns0:f>
        <ns0:v>2</ns0:v>
      </ns0:c>
      <ns0:c r="G299" s="27">
        <ns0:f>COUNTIFS('BASE_CIERRE'!$G$5:$G$458,1,'BASE_CIERRE'!$H$5:$H$458,"Screening",'BASE_CIERRE'!$J$5:$J$458,"Behavioral images/video/gaze/movement",'BASE_CIERRE'!$I$5:$I$458,"Machine Learning",'BASE_CIERRE'!$S$5:$S$458,"Not reported in assessed sources")</ns0:f>
        <ns0:v>9</ns0:v>
      </ns0:c>
      <ns0:c r="H299" s="27">
        <ns0:f>COUNTIFS('BASE_CIERRE'!$G$5:$G$458,1,'BASE_CIERRE'!$H$5:$H$458,"Screening",'BASE_CIERRE'!$J$5:$J$458,"Behavioral images/video/gaze/movement",'BASE_CIERRE'!$I$5:$I$458,"Machine Learning",'BASE_CIERRE'!$S$5:$S$458,"Not ascertainable")</ns0:f>
        <ns0:v>1</ns0:v>
      </ns0:c>
      <ns0:c r="I299" s="27">
        <ns0:f>SUM(F299:H299)</ns0:f>
        <ns0:v>12</ns0:v>
      </ns0:c>
      <ns0:c r="J299" s="31">
        <ns0:f>IFERROR(F299/I299,0)</ns0:f>
        <ns0:v>0.16666666666666666</ns0:v>
      </ns0:c>
      <ns0:c r="K299" s="31">
        <ns0:f>IFERROR(F299/(I299-H299),0)</ns0:f>
        <ns0:v>0.18181818181818182</ns0:v>
      </ns0:c>
      <ns0:c r="L299" s="19" t="inlineStr">
        <ns0:is>
          <ns0:t>102; 107; 171; 180; 189; 215; 218; 225; 253; 288; new_41; new_306</ns0:t>
        </ns0:is>
      </ns0:c>
    </ns0:row>
    <ns0:row r="300" ht="32" customHeight="1">
      <ns0:c r="A300" s="21" t="inlineStr">
        <ns0:is>
          <ns0:t>Screening</ns0:t>
        </ns0:is>
      </ns0:c>
      <ns0:c r="B300" s="21" t="inlineStr">
        <ns0:is>
          <ns0:t>Behavioral images/video/gaze/movement</ns0:t>
        </ns0:is>
      </ns0:c>
      <ns0:c r="C300" s="21" t="inlineStr">
        <ns0:is>
          <ns0:t>Machine Learning</ns0:t>
        </ns0:is>
      </ns0:c>
      <ns0:c r="D300" s="21" t="inlineStr">
        <ns0:is>
          <ns0:t>Cross-site evaluation</ns0:t>
        </ns0:is>
      </ns0:c>
      <ns0:c r="E300" s="21" t="inlineStr">
        <ns0:is>
          <ns0:t>cross_site_robustness</ns0:t>
        </ns0:is>
      </ns0:c>
      <ns0:c r="F300" s="29">
        <ns0:f>COUNTIFS('BASE_CIERRE'!$G$5:$G$458,1,'BASE_CIERRE'!$H$5:$H$458,"Screening",'BASE_CIERRE'!$J$5:$J$458,"Behavioral images/video/gaze/movement",'BASE_CIERRE'!$I$5:$I$458,"Machine Learning",'BASE_CIERRE'!$U$5:$U$458,"Reported")</ns0:f>
        <ns0:v>0</ns0:v>
      </ns0:c>
      <ns0:c r="G300" s="29">
        <ns0:f>COUNTIFS('BASE_CIERRE'!$G$5:$G$458,1,'BASE_CIERRE'!$H$5:$H$458,"Screening",'BASE_CIERRE'!$J$5:$J$458,"Behavioral images/video/gaze/movement",'BASE_CIERRE'!$I$5:$I$458,"Machine Learning",'BASE_CIERRE'!$U$5:$U$458,"Not reported in assessed sources")</ns0:f>
        <ns0:v>12</ns0:v>
      </ns0:c>
      <ns0:c r="H300" s="29">
        <ns0:f>COUNTIFS('BASE_CIERRE'!$G$5:$G$458,1,'BASE_CIERRE'!$H$5:$H$458,"Screening",'BASE_CIERRE'!$J$5:$J$458,"Behavioral images/video/gaze/movement",'BASE_CIERRE'!$I$5:$I$458,"Machine Learning",'BASE_CIERRE'!$U$5:$U$458,"Not ascertainable")</ns0:f>
        <ns0:v>0</ns0:v>
      </ns0:c>
      <ns0:c r="I300" s="29">
        <ns0:f>SUM(F300:H300)</ns0:f>
        <ns0:v>12</ns0:v>
      </ns0:c>
      <ns0:c r="J300" s="32">
        <ns0:f>IFERROR(F300/I300,0)</ns0:f>
        <ns0:v>0</ns0:v>
      </ns0:c>
      <ns0:c r="K300" s="32">
        <ns0:f>IFERROR(F300/(I300-H300),0)</ns0:f>
        <ns0:v>0</ns0:v>
      </ns0:c>
      <ns0:c r="L300" s="21" t="inlineStr">
        <ns0:is>
          <ns0:t>102; 107; 171; 180; 189; 215; 218; 225; 253; 288; new_41; new_306</ns0:t>
        </ns0:is>
      </ns0:c>
    </ns0:row>
    <ns0:row r="301" ht="32" customHeight="1">
      <ns0:c r="A301" s="19" t="inlineStr">
        <ns0:is>
          <ns0:t>Screening</ns0:t>
        </ns0:is>
      </ns0:c>
      <ns0:c r="B301" s="19" t="inlineStr">
        <ns0:is>
          <ns0:t>Behavioral images/video/gaze/movement</ns0:t>
        </ns0:is>
      </ns0:c>
      <ns0:c r="C301" s="19" t="inlineStr">
        <ns0:is>
          <ns0:t>Not specified</ns0:t>
        </ns0:is>
      </ns0:c>
      <ns0:c r="D301" s="19" t="inlineStr">
        <ns0:is>
          <ns0:t>External validation</ns0:t>
        </ns0:is>
      </ns0:c>
      <ns0:c r="E301" s="19" t="inlineStr">
        <ns0:is>
          <ns0:t>external_validation</ns0:t>
        </ns0:is>
      </ns0:c>
      <ns0:c r="F301" s="27">
        <ns0:f>COUNTIFS('BASE_CIERRE'!$G$5:$G$458,1,'BASE_CIERRE'!$H$5:$H$458,"Screening",'BASE_CIERRE'!$J$5:$J$458,"Behavioral images/video/gaze/movement",'BASE_CIERRE'!$I$5:$I$458,"Not specified",'BASE_CIERRE'!$Q$5:$Q$458,"Reported")</ns0:f>
        <ns0:v>0</ns0:v>
      </ns0:c>
      <ns0:c r="G301" s="27">
        <ns0:f>COUNTIFS('BASE_CIERRE'!$G$5:$G$458,1,'BASE_CIERRE'!$H$5:$H$458,"Screening",'BASE_CIERRE'!$J$5:$J$458,"Behavioral images/video/gaze/movement",'BASE_CIERRE'!$I$5:$I$458,"Not specified",'BASE_CIERRE'!$Q$5:$Q$458,"Not reported in assessed sources")</ns0:f>
        <ns0:v>2</ns0:v>
      </ns0:c>
      <ns0:c r="H301" s="27">
        <ns0:f>COUNTIFS('BASE_CIERRE'!$G$5:$G$458,1,'BASE_CIERRE'!$H$5:$H$458,"Screening",'BASE_CIERRE'!$J$5:$J$458,"Behavioral images/video/gaze/movement",'BASE_CIERRE'!$I$5:$I$458,"Not specified",'BASE_CIERRE'!$Q$5:$Q$458,"Not ascertainable")</ns0:f>
        <ns0:v>0</ns0:v>
      </ns0:c>
      <ns0:c r="I301" s="27">
        <ns0:f>SUM(F301:H301)</ns0:f>
        <ns0:v>2</ns0:v>
      </ns0:c>
      <ns0:c r="J301" s="31">
        <ns0:f>IFERROR(F301/I301,0)</ns0:f>
        <ns0:v>0</ns0:v>
      </ns0:c>
      <ns0:c r="K301" s="31">
        <ns0:f>IFERROR(F301/(I301-H301),0)</ns0:f>
        <ns0:v>0</ns0:v>
      </ns0:c>
      <ns0:c r="L301" s="19" t="inlineStr">
        <ns0:is>
          <ns0:t>27; 183</ns0:t>
        </ns0:is>
      </ns0:c>
    </ns0:row>
    <ns0:row r="302" ht="32" customHeight="1">
      <ns0:c r="A302" s="21" t="inlineStr">
        <ns0:is>
          <ns0:t>Screening</ns0:t>
        </ns0:is>
      </ns0:c>
      <ns0:c r="B302" s="21" t="inlineStr">
        <ns0:is>
          <ns0:t>Behavioral images/video/gaze/movement</ns0:t>
        </ns0:is>
      </ns0:c>
      <ns0:c r="C302" s="21" t="inlineStr">
        <ns0:is>
          <ns0:t>Not specified</ns0:t>
        </ns0:is>
      </ns0:c>
      <ns0:c r="D302" s="21" t="inlineStr">
        <ns0:is>
          <ns0:t>Multisource integration</ns0:t>
        </ns0:is>
      </ns0:c>
      <ns0:c r="E302" s="21" t="inlineStr">
        <ns0:is>
          <ns0:t>multisource_integration</ns0:t>
        </ns0:is>
      </ns0:c>
      <ns0:c r="F302" s="29">
        <ns0:f>COUNTIFS('BASE_CIERRE'!$G$5:$G$458,1,'BASE_CIERRE'!$H$5:$H$458,"Screening",'BASE_CIERRE'!$J$5:$J$458,"Behavioral images/video/gaze/movement",'BASE_CIERRE'!$I$5:$I$458,"Not specified",'BASE_CIERRE'!$R$5:$R$458,"Reported")</ns0:f>
        <ns0:v>0</ns0:v>
      </ns0:c>
      <ns0:c r="G302" s="29">
        <ns0:f>COUNTIFS('BASE_CIERRE'!$G$5:$G$458,1,'BASE_CIERRE'!$H$5:$H$458,"Screening",'BASE_CIERRE'!$J$5:$J$458,"Behavioral images/video/gaze/movement",'BASE_CIERRE'!$I$5:$I$458,"Not specified",'BASE_CIERRE'!$R$5:$R$458,"Not reported in assessed sources")</ns0:f>
        <ns0:v>2</ns0:v>
      </ns0:c>
      <ns0:c r="H302" s="29">
        <ns0:f>COUNTIFS('BASE_CIERRE'!$G$5:$G$458,1,'BASE_CIERRE'!$H$5:$H$458,"Screening",'BASE_CIERRE'!$J$5:$J$458,"Behavioral images/video/gaze/movement",'BASE_CIERRE'!$I$5:$I$458,"Not specified",'BASE_CIERRE'!$R$5:$R$458,"Not ascertainable")</ns0:f>
        <ns0:v>0</ns0:v>
      </ns0:c>
      <ns0:c r="I302" s="29">
        <ns0:f>SUM(F302:H302)</ns0:f>
        <ns0:v>2</ns0:v>
      </ns0:c>
      <ns0:c r="J302" s="32">
        <ns0:f>IFERROR(F302/I302,0)</ns0:f>
        <ns0:v>0</ns0:v>
      </ns0:c>
      <ns0:c r="K302" s="32">
        <ns0:f>IFERROR(F302/(I302-H302),0)</ns0:f>
        <ns0:v>0</ns0:v>
      </ns0:c>
      <ns0:c r="L302" s="21" t="inlineStr">
        <ns0:is>
          <ns0:t>27; 183</ns0:t>
        </ns0:is>
      </ns0:c>
    </ns0:row>
    <ns0:row r="303" ht="32" customHeight="1">
      <ns0:c r="A303" s="19" t="inlineStr">
        <ns0:is>
          <ns0:t>Screening</ns0:t>
        </ns0:is>
      </ns0:c>
      <ns0:c r="B303" s="19" t="inlineStr">
        <ns0:is>
          <ns0:t>Behavioral images/video/gaze/movement</ns0:t>
        </ns0:is>
      </ns0:c>
      <ns0:c r="C303" s="19" t="inlineStr">
        <ns0:is>
          <ns0:t>Not specified</ns0:t>
        </ns0:is>
      </ns0:c>
      <ns0:c r="D303" s="19" t="inlineStr">
        <ns0:is>
          <ns0:t>Explicit explainability (broad)</ns0:t>
        </ns0:is>
      </ns0:c>
      <ns0:c r="E303" s="19" t="inlineStr">
        <ns0:is>
          <ns0:t>xai_broad</ns0:t>
        </ns0:is>
      </ns0:c>
      <ns0:c r="F303" s="27">
        <ns0:f>COUNTIFS('BASE_CIERRE'!$G$5:$G$458,1,'BASE_CIERRE'!$H$5:$H$458,"Screening",'BASE_CIERRE'!$J$5:$J$458,"Behavioral images/video/gaze/movement",'BASE_CIERRE'!$I$5:$I$458,"Not specified",'BASE_CIERRE'!$S$5:$S$458,"Reported")</ns0:f>
        <ns0:v>1</ns0:v>
      </ns0:c>
      <ns0:c r="G303" s="27">
        <ns0:f>COUNTIFS('BASE_CIERRE'!$G$5:$G$458,1,'BASE_CIERRE'!$H$5:$H$458,"Screening",'BASE_CIERRE'!$J$5:$J$458,"Behavioral images/video/gaze/movement",'BASE_CIERRE'!$I$5:$I$458,"Not specified",'BASE_CIERRE'!$S$5:$S$458,"Not reported in assessed sources")</ns0:f>
        <ns0:v>1</ns0:v>
      </ns0:c>
      <ns0:c r="H303" s="27">
        <ns0:f>COUNTIFS('BASE_CIERRE'!$G$5:$G$458,1,'BASE_CIERRE'!$H$5:$H$458,"Screening",'BASE_CIERRE'!$J$5:$J$458,"Behavioral images/video/gaze/movement",'BASE_CIERRE'!$I$5:$I$458,"Not specified",'BASE_CIERRE'!$S$5:$S$458,"Not ascertainable")</ns0:f>
        <ns0:v>0</ns0:v>
      </ns0:c>
      <ns0:c r="I303" s="27">
        <ns0:f>SUM(F303:H303)</ns0:f>
        <ns0:v>2</ns0:v>
      </ns0:c>
      <ns0:c r="J303" s="31">
        <ns0:f>IFERROR(F303/I303,0)</ns0:f>
        <ns0:v>0.5</ns0:v>
      </ns0:c>
      <ns0:c r="K303" s="31">
        <ns0:f>IFERROR(F303/(I303-H303),0)</ns0:f>
        <ns0:v>0.5</ns0:v>
      </ns0:c>
      <ns0:c r="L303" s="19" t="inlineStr">
        <ns0:is>
          <ns0:t>27; 183</ns0:t>
        </ns0:is>
      </ns0:c>
    </ns0:row>
    <ns0:row r="304" ht="32" customHeight="1">
      <ns0:c r="A304" s="21" t="inlineStr">
        <ns0:is>
          <ns0:t>Screening</ns0:t>
        </ns0:is>
      </ns0:c>
      <ns0:c r="B304" s="21" t="inlineStr">
        <ns0:is>
          <ns0:t>Behavioral images/video/gaze/movement</ns0:t>
        </ns0:is>
      </ns0:c>
      <ns0:c r="C304" s="21" t="inlineStr">
        <ns0:is>
          <ns0:t>Not specified</ns0:t>
        </ns0:is>
      </ns0:c>
      <ns0:c r="D304" s="21" t="inlineStr">
        <ns0:is>
          <ns0:t>Cross-site evaluation</ns0:t>
        </ns0:is>
      </ns0:c>
      <ns0:c r="E304" s="21" t="inlineStr">
        <ns0:is>
          <ns0:t>cross_site_robustness</ns0:t>
        </ns0:is>
      </ns0:c>
      <ns0:c r="F304" s="29">
        <ns0:f>COUNTIFS('BASE_CIERRE'!$G$5:$G$458,1,'BASE_CIERRE'!$H$5:$H$458,"Screening",'BASE_CIERRE'!$J$5:$J$458,"Behavioral images/video/gaze/movement",'BASE_CIERRE'!$I$5:$I$458,"Not specified",'BASE_CIERRE'!$U$5:$U$458,"Reported")</ns0:f>
        <ns0:v>0</ns0:v>
      </ns0:c>
      <ns0:c r="G304" s="29">
        <ns0:f>COUNTIFS('BASE_CIERRE'!$G$5:$G$458,1,'BASE_CIERRE'!$H$5:$H$458,"Screening",'BASE_CIERRE'!$J$5:$J$458,"Behavioral images/video/gaze/movement",'BASE_CIERRE'!$I$5:$I$458,"Not specified",'BASE_CIERRE'!$U$5:$U$458,"Not reported in assessed sources")</ns0:f>
        <ns0:v>2</ns0:v>
      </ns0:c>
      <ns0:c r="H304" s="29">
        <ns0:f>COUNTIFS('BASE_CIERRE'!$G$5:$G$458,1,'BASE_CIERRE'!$H$5:$H$458,"Screening",'BASE_CIERRE'!$J$5:$J$458,"Behavioral images/video/gaze/movement",'BASE_CIERRE'!$I$5:$I$458,"Not specified",'BASE_CIERRE'!$U$5:$U$458,"Not ascertainable")</ns0:f>
        <ns0:v>0</ns0:v>
      </ns0:c>
      <ns0:c r="I304" s="29">
        <ns0:f>SUM(F304:H304)</ns0:f>
        <ns0:v>2</ns0:v>
      </ns0:c>
      <ns0:c r="J304" s="32">
        <ns0:f>IFERROR(F304/I304,0)</ns0:f>
        <ns0:v>0</ns0:v>
      </ns0:c>
      <ns0:c r="K304" s="32">
        <ns0:f>IFERROR(F304/(I304-H304),0)</ns0:f>
        <ns0:v>0</ns0:v>
      </ns0:c>
      <ns0:c r="L304" s="21" t="inlineStr">
        <ns0:is>
          <ns0:t>27; 183</ns0:t>
        </ns0:is>
      </ns0:c>
    </ns0:row>
    <ns0:row r="305" ht="32" customHeight="1">
      <ns0:c r="A305" s="19" t="inlineStr">
        <ns0:is>
          <ns0:t>Screening</ns0:t>
        </ns0:is>
      </ns0:c>
      <ns0:c r="B305" s="19" t="inlineStr">
        <ns0:is>
          <ns0:t>Biological/omics</ns0:t>
        </ns0:is>
      </ns0:c>
      <ns0:c r="C305" s="19" t="inlineStr">
        <ns0:is>
          <ns0:t>Machine Learning</ns0:t>
        </ns0:is>
      </ns0:c>
      <ns0:c r="D305" s="19" t="inlineStr">
        <ns0:is>
          <ns0:t>External validation</ns0:t>
        </ns0:is>
      </ns0:c>
      <ns0:c r="E305" s="19" t="inlineStr">
        <ns0:is>
          <ns0:t>external_validation</ns0:t>
        </ns0:is>
      </ns0:c>
      <ns0:c r="F305" s="27">
        <ns0:f>COUNTIFS('BASE_CIERRE'!$G$5:$G$458,1,'BASE_CIERRE'!$H$5:$H$458,"Screening",'BASE_CIERRE'!$J$5:$J$458,"Biological/omics",'BASE_CIERRE'!$I$5:$I$458,"Machine Learning",'BASE_CIERRE'!$Q$5:$Q$458,"Reported")</ns0:f>
        <ns0:v>1</ns0:v>
      </ns0:c>
      <ns0:c r="G305" s="27">
        <ns0:f>COUNTIFS('BASE_CIERRE'!$G$5:$G$458,1,'BASE_CIERRE'!$H$5:$H$458,"Screening",'BASE_CIERRE'!$J$5:$J$458,"Biological/omics",'BASE_CIERRE'!$I$5:$I$458,"Machine Learning",'BASE_CIERRE'!$Q$5:$Q$458,"Not reported in assessed sources")</ns0:f>
        <ns0:v>1</ns0:v>
      </ns0:c>
      <ns0:c r="H305" s="27">
        <ns0:f>COUNTIFS('BASE_CIERRE'!$G$5:$G$458,1,'BASE_CIERRE'!$H$5:$H$458,"Screening",'BASE_CIERRE'!$J$5:$J$458,"Biological/omics",'BASE_CIERRE'!$I$5:$I$458,"Machine Learning",'BASE_CIERRE'!$Q$5:$Q$458,"Not ascertainable")</ns0:f>
        <ns0:v>0</ns0:v>
      </ns0:c>
      <ns0:c r="I305" s="27">
        <ns0:f>SUM(F305:H305)</ns0:f>
        <ns0:v>2</ns0:v>
      </ns0:c>
      <ns0:c r="J305" s="31">
        <ns0:f>IFERROR(F305/I305,0)</ns0:f>
        <ns0:v>0.5</ns0:v>
      </ns0:c>
      <ns0:c r="K305" s="31">
        <ns0:f>IFERROR(F305/(I305-H305),0)</ns0:f>
        <ns0:v>0.5</ns0:v>
      </ns0:c>
      <ns0:c r="L305" s="19" t="inlineStr">
        <ns0:is>
          <ns0:t>new_21; new_286</ns0:t>
        </ns0:is>
      </ns0:c>
    </ns0:row>
    <ns0:row r="306" ht="32" customHeight="1">
      <ns0:c r="A306" s="21" t="inlineStr">
        <ns0:is>
          <ns0:t>Screening</ns0:t>
        </ns0:is>
      </ns0:c>
      <ns0:c r="B306" s="21" t="inlineStr">
        <ns0:is>
          <ns0:t>Biological/omics</ns0:t>
        </ns0:is>
      </ns0:c>
      <ns0:c r="C306" s="21" t="inlineStr">
        <ns0:is>
          <ns0:t>Machine Learning</ns0:t>
        </ns0:is>
      </ns0:c>
      <ns0:c r="D306" s="21" t="inlineStr">
        <ns0:is>
          <ns0:t>Multisource integration</ns0:t>
        </ns0:is>
      </ns0:c>
      <ns0:c r="E306" s="21" t="inlineStr">
        <ns0:is>
          <ns0:t>multisource_integration</ns0:t>
        </ns0:is>
      </ns0:c>
      <ns0:c r="F306" s="29">
        <ns0:f>COUNTIFS('BASE_CIERRE'!$G$5:$G$458,1,'BASE_CIERRE'!$H$5:$H$458,"Screening",'BASE_CIERRE'!$J$5:$J$458,"Biological/omics",'BASE_CIERRE'!$I$5:$I$458,"Machine Learning",'BASE_CIERRE'!$R$5:$R$458,"Reported")</ns0:f>
        <ns0:v>0</ns0:v>
      </ns0:c>
      <ns0:c r="G306" s="29">
        <ns0:f>COUNTIFS('BASE_CIERRE'!$G$5:$G$458,1,'BASE_CIERRE'!$H$5:$H$458,"Screening",'BASE_CIERRE'!$J$5:$J$458,"Biological/omics",'BASE_CIERRE'!$I$5:$I$458,"Machine Learning",'BASE_CIERRE'!$R$5:$R$458,"Not reported in assessed sources")</ns0:f>
        <ns0:v>2</ns0:v>
      </ns0:c>
      <ns0:c r="H306" s="29">
        <ns0:f>COUNTIFS('BASE_CIERRE'!$G$5:$G$458,1,'BASE_CIERRE'!$H$5:$H$458,"Screening",'BASE_CIERRE'!$J$5:$J$458,"Biological/omics",'BASE_CIERRE'!$I$5:$I$458,"Machine Learning",'BASE_CIERRE'!$R$5:$R$458,"Not ascertainable")</ns0:f>
        <ns0:v>0</ns0:v>
      </ns0:c>
      <ns0:c r="I306" s="29">
        <ns0:f>SUM(F306:H306)</ns0:f>
        <ns0:v>2</ns0:v>
      </ns0:c>
      <ns0:c r="J306" s="32">
        <ns0:f>IFERROR(F306/I306,0)</ns0:f>
        <ns0:v>0</ns0:v>
      </ns0:c>
      <ns0:c r="K306" s="32">
        <ns0:f>IFERROR(F306/(I306-H306),0)</ns0:f>
        <ns0:v>0</ns0:v>
      </ns0:c>
      <ns0:c r="L306" s="21" t="inlineStr">
        <ns0:is>
          <ns0:t>new_21; new_286</ns0:t>
        </ns0:is>
      </ns0:c>
    </ns0:row>
    <ns0:row r="307" ht="32" customHeight="1">
      <ns0:c r="A307" s="19" t="inlineStr">
        <ns0:is>
          <ns0:t>Screening</ns0:t>
        </ns0:is>
      </ns0:c>
      <ns0:c r="B307" s="19" t="inlineStr">
        <ns0:is>
          <ns0:t>Biological/omics</ns0:t>
        </ns0:is>
      </ns0:c>
      <ns0:c r="C307" s="19" t="inlineStr">
        <ns0:is>
          <ns0:t>Machine Learning</ns0:t>
        </ns0:is>
      </ns0:c>
      <ns0:c r="D307" s="19" t="inlineStr">
        <ns0:is>
          <ns0:t>Explicit explainability (broad)</ns0:t>
        </ns0:is>
      </ns0:c>
      <ns0:c r="E307" s="19" t="inlineStr">
        <ns0:is>
          <ns0:t>xai_broad</ns0:t>
        </ns0:is>
      </ns0:c>
      <ns0:c r="F307" s="27">
        <ns0:f>COUNTIFS('BASE_CIERRE'!$G$5:$G$458,1,'BASE_CIERRE'!$H$5:$H$458,"Screening",'BASE_CIERRE'!$J$5:$J$458,"Biological/omics",'BASE_CIERRE'!$I$5:$I$458,"Machine Learning",'BASE_CIERRE'!$S$5:$S$458,"Reported")</ns0:f>
        <ns0:v>1</ns0:v>
      </ns0:c>
      <ns0:c r="G307" s="27">
        <ns0:f>COUNTIFS('BASE_CIERRE'!$G$5:$G$458,1,'BASE_CIERRE'!$H$5:$H$458,"Screening",'BASE_CIERRE'!$J$5:$J$458,"Biological/omics",'BASE_CIERRE'!$I$5:$I$458,"Machine Learning",'BASE_CIERRE'!$S$5:$S$458,"Not reported in assessed sources")</ns0:f>
        <ns0:v>1</ns0:v>
      </ns0:c>
      <ns0:c r="H307" s="27">
        <ns0:f>COUNTIFS('BASE_CIERRE'!$G$5:$G$458,1,'BASE_CIERRE'!$H$5:$H$458,"Screening",'BASE_CIERRE'!$J$5:$J$458,"Biological/omics",'BASE_CIERRE'!$I$5:$I$458,"Machine Learning",'BASE_CIERRE'!$S$5:$S$458,"Not ascertainable")</ns0:f>
        <ns0:v>0</ns0:v>
      </ns0:c>
      <ns0:c r="I307" s="27">
        <ns0:f>SUM(F307:H307)</ns0:f>
        <ns0:v>2</ns0:v>
      </ns0:c>
      <ns0:c r="J307" s="31">
        <ns0:f>IFERROR(F307/I307,0)</ns0:f>
        <ns0:v>0.5</ns0:v>
      </ns0:c>
      <ns0:c r="K307" s="31">
        <ns0:f>IFERROR(F307/(I307-H307),0)</ns0:f>
        <ns0:v>0.5</ns0:v>
      </ns0:c>
      <ns0:c r="L307" s="19" t="inlineStr">
        <ns0:is>
          <ns0:t>new_21; new_286</ns0:t>
        </ns0:is>
      </ns0:c>
    </ns0:row>
    <ns0:row r="308" ht="32" customHeight="1">
      <ns0:c r="A308" s="21" t="inlineStr">
        <ns0:is>
          <ns0:t>Screening</ns0:t>
        </ns0:is>
      </ns0:c>
      <ns0:c r="B308" s="21" t="inlineStr">
        <ns0:is>
          <ns0:t>Biological/omics</ns0:t>
        </ns0:is>
      </ns0:c>
      <ns0:c r="C308" s="21" t="inlineStr">
        <ns0:is>
          <ns0:t>Machine Learning</ns0:t>
        </ns0:is>
      </ns0:c>
      <ns0:c r="D308" s="21" t="inlineStr">
        <ns0:is>
          <ns0:t>Cross-site evaluation</ns0:t>
        </ns0:is>
      </ns0:c>
      <ns0:c r="E308" s="21" t="inlineStr">
        <ns0:is>
          <ns0:t>cross_site_robustness</ns0:t>
        </ns0:is>
      </ns0:c>
      <ns0:c r="F308" s="29">
        <ns0:f>COUNTIFS('BASE_CIERRE'!$G$5:$G$458,1,'BASE_CIERRE'!$H$5:$H$458,"Screening",'BASE_CIERRE'!$J$5:$J$458,"Biological/omics",'BASE_CIERRE'!$I$5:$I$458,"Machine Learning",'BASE_CIERRE'!$U$5:$U$458,"Reported")</ns0:f>
        <ns0:v>0</ns0:v>
      </ns0:c>
      <ns0:c r="G308" s="29">
        <ns0:f>COUNTIFS('BASE_CIERRE'!$G$5:$G$458,1,'BASE_CIERRE'!$H$5:$H$458,"Screening",'BASE_CIERRE'!$J$5:$J$458,"Biological/omics",'BASE_CIERRE'!$I$5:$I$458,"Machine Learning",'BASE_CIERRE'!$U$5:$U$458,"Not reported in assessed sources")</ns0:f>
        <ns0:v>2</ns0:v>
      </ns0:c>
      <ns0:c r="H308" s="29">
        <ns0:f>COUNTIFS('BASE_CIERRE'!$G$5:$G$458,1,'BASE_CIERRE'!$H$5:$H$458,"Screening",'BASE_CIERRE'!$J$5:$J$458,"Biological/omics",'BASE_CIERRE'!$I$5:$I$458,"Machine Learning",'BASE_CIERRE'!$U$5:$U$458,"Not ascertainable")</ns0:f>
        <ns0:v>0</ns0:v>
      </ns0:c>
      <ns0:c r="I308" s="29">
        <ns0:f>SUM(F308:H308)</ns0:f>
        <ns0:v>2</ns0:v>
      </ns0:c>
      <ns0:c r="J308" s="32">
        <ns0:f>IFERROR(F308/I308,0)</ns0:f>
        <ns0:v>0</ns0:v>
      </ns0:c>
      <ns0:c r="K308" s="32">
        <ns0:f>IFERROR(F308/(I308-H308),0)</ns0:f>
        <ns0:v>0</ns0:v>
      </ns0:c>
      <ns0:c r="L308" s="21" t="inlineStr">
        <ns0:is>
          <ns0:t>new_21; new_286</ns0:t>
        </ns0:is>
      </ns0:c>
    </ns0:row>
    <ns0:row r="309" ht="32" customHeight="1">
      <ns0:c r="A309" s="19" t="inlineStr">
        <ns0:is>
          <ns0:t>Screening</ns0:t>
        </ns0:is>
      </ns0:c>
      <ns0:c r="B309" s="19" t="inlineStr">
        <ns0:is>
          <ns0:t>Multiple source categories</ns0:t>
        </ns0:is>
      </ns0:c>
      <ns0:c r="C309" s="19" t="inlineStr">
        <ns0:is>
          <ns0:t>Deep Learning</ns0:t>
        </ns0:is>
      </ns0:c>
      <ns0:c r="D309" s="19" t="inlineStr">
        <ns0:is>
          <ns0:t>External validation</ns0:t>
        </ns0:is>
      </ns0:c>
      <ns0:c r="E309" s="19" t="inlineStr">
        <ns0:is>
          <ns0:t>external_validation</ns0:t>
        </ns0:is>
      </ns0:c>
      <ns0:c r="F309" s="27">
        <ns0:f>COUNTIFS('BASE_CIERRE'!$G$5:$G$458,1,'BASE_CIERRE'!$H$5:$H$458,"Screening",'BASE_CIERRE'!$J$5:$J$458,"Multiple source categories",'BASE_CIERRE'!$I$5:$I$458,"Deep Learning",'BASE_CIERRE'!$Q$5:$Q$458,"Reported")</ns0:f>
        <ns0:v>0</ns0:v>
      </ns0:c>
      <ns0:c r="G309" s="27">
        <ns0:f>COUNTIFS('BASE_CIERRE'!$G$5:$G$458,1,'BASE_CIERRE'!$H$5:$H$458,"Screening",'BASE_CIERRE'!$J$5:$J$458,"Multiple source categories",'BASE_CIERRE'!$I$5:$I$458,"Deep Learning",'BASE_CIERRE'!$Q$5:$Q$458,"Not reported in assessed sources")</ns0:f>
        <ns0:v>3</ns0:v>
      </ns0:c>
      <ns0:c r="H309" s="27">
        <ns0:f>COUNTIFS('BASE_CIERRE'!$G$5:$G$458,1,'BASE_CIERRE'!$H$5:$H$458,"Screening",'BASE_CIERRE'!$J$5:$J$458,"Multiple source categories",'BASE_CIERRE'!$I$5:$I$458,"Deep Learning",'BASE_CIERRE'!$Q$5:$Q$458,"Not ascertainable")</ns0:f>
        <ns0:v>0</ns0:v>
      </ns0:c>
      <ns0:c r="I309" s="27">
        <ns0:f>SUM(F309:H309)</ns0:f>
        <ns0:v>3</ns0:v>
      </ns0:c>
      <ns0:c r="J309" s="31">
        <ns0:f>IFERROR(F309/I309,0)</ns0:f>
        <ns0:v>0</ns0:v>
      </ns0:c>
      <ns0:c r="K309" s="31">
        <ns0:f>IFERROR(F309/(I309-H309),0)</ns0:f>
        <ns0:v>0</ns0:v>
      </ns0:c>
      <ns0:c r="L309" s="19" t="inlineStr">
        <ns0:is>
          <ns0:t>153; 203; new_187</ns0:t>
        </ns0:is>
      </ns0:c>
    </ns0:row>
    <ns0:row r="310" ht="32" customHeight="1">
      <ns0:c r="A310" s="21" t="inlineStr">
        <ns0:is>
          <ns0:t>Screening</ns0:t>
        </ns0:is>
      </ns0:c>
      <ns0:c r="B310" s="21" t="inlineStr">
        <ns0:is>
          <ns0:t>Multiple source categories</ns0:t>
        </ns0:is>
      </ns0:c>
      <ns0:c r="C310" s="21" t="inlineStr">
        <ns0:is>
          <ns0:t>Deep Learning</ns0:t>
        </ns0:is>
      </ns0:c>
      <ns0:c r="D310" s="21" t="inlineStr">
        <ns0:is>
          <ns0:t>Multisource integration</ns0:t>
        </ns0:is>
      </ns0:c>
      <ns0:c r="E310" s="21" t="inlineStr">
        <ns0:is>
          <ns0:t>multisource_integration</ns0:t>
        </ns0:is>
      </ns0:c>
      <ns0:c r="F310" s="29">
        <ns0:f>COUNTIFS('BASE_CIERRE'!$G$5:$G$458,1,'BASE_CIERRE'!$H$5:$H$458,"Screening",'BASE_CIERRE'!$J$5:$J$458,"Multiple source categories",'BASE_CIERRE'!$I$5:$I$458,"Deep Learning",'BASE_CIERRE'!$R$5:$R$458,"Reported")</ns0:f>
        <ns0:v>3</ns0:v>
      </ns0:c>
      <ns0:c r="G310" s="29">
        <ns0:f>COUNTIFS('BASE_CIERRE'!$G$5:$G$458,1,'BASE_CIERRE'!$H$5:$H$458,"Screening",'BASE_CIERRE'!$J$5:$J$458,"Multiple source categories",'BASE_CIERRE'!$I$5:$I$458,"Deep Learning",'BASE_CIERRE'!$R$5:$R$458,"Not reported in assessed sources")</ns0:f>
        <ns0:v>0</ns0:v>
      </ns0:c>
      <ns0:c r="H310" s="29">
        <ns0:f>COUNTIFS('BASE_CIERRE'!$G$5:$G$458,1,'BASE_CIERRE'!$H$5:$H$458,"Screening",'BASE_CIERRE'!$J$5:$J$458,"Multiple source categories",'BASE_CIERRE'!$I$5:$I$458,"Deep Learning",'BASE_CIERRE'!$R$5:$R$458,"Not ascertainable")</ns0:f>
        <ns0:v>0</ns0:v>
      </ns0:c>
      <ns0:c r="I310" s="29">
        <ns0:f>SUM(F310:H310)</ns0:f>
        <ns0:v>3</ns0:v>
      </ns0:c>
      <ns0:c r="J310" s="32">
        <ns0:f>IFERROR(F310/I310,0)</ns0:f>
        <ns0:v>1</ns0:v>
      </ns0:c>
      <ns0:c r="K310" s="32">
        <ns0:f>IFERROR(F310/(I310-H310),0)</ns0:f>
        <ns0:v>1</ns0:v>
      </ns0:c>
      <ns0:c r="L310" s="21" t="inlineStr">
        <ns0:is>
          <ns0:t>153; 203; new_187</ns0:t>
        </ns0:is>
      </ns0:c>
    </ns0:row>
    <ns0:row r="311" ht="32" customHeight="1">
      <ns0:c r="A311" s="19" t="inlineStr">
        <ns0:is>
          <ns0:t>Screening</ns0:t>
        </ns0:is>
      </ns0:c>
      <ns0:c r="B311" s="19" t="inlineStr">
        <ns0:is>
          <ns0:t>Multiple source categories</ns0:t>
        </ns0:is>
      </ns0:c>
      <ns0:c r="C311" s="19" t="inlineStr">
        <ns0:is>
          <ns0:t>Deep Learning</ns0:t>
        </ns0:is>
      </ns0:c>
      <ns0:c r="D311" s="19" t="inlineStr">
        <ns0:is>
          <ns0:t>Explicit explainability (broad)</ns0:t>
        </ns0:is>
      </ns0:c>
      <ns0:c r="E311" s="19" t="inlineStr">
        <ns0:is>
          <ns0:t>xai_broad</ns0:t>
        </ns0:is>
      </ns0:c>
      <ns0:c r="F311" s="27">
        <ns0:f>COUNTIFS('BASE_CIERRE'!$G$5:$G$458,1,'BASE_CIERRE'!$H$5:$H$458,"Screening",'BASE_CIERRE'!$J$5:$J$458,"Multiple source categories",'BASE_CIERRE'!$I$5:$I$458,"Deep Learning",'BASE_CIERRE'!$S$5:$S$458,"Reported")</ns0:f>
        <ns0:v>0</ns0:v>
      </ns0:c>
      <ns0:c r="G311" s="27">
        <ns0:f>COUNTIFS('BASE_CIERRE'!$G$5:$G$458,1,'BASE_CIERRE'!$H$5:$H$458,"Screening",'BASE_CIERRE'!$J$5:$J$458,"Multiple source categories",'BASE_CIERRE'!$I$5:$I$458,"Deep Learning",'BASE_CIERRE'!$S$5:$S$458,"Not reported in assessed sources")</ns0:f>
        <ns0:v>3</ns0:v>
      </ns0:c>
      <ns0:c r="H311" s="27">
        <ns0:f>COUNTIFS('BASE_CIERRE'!$G$5:$G$458,1,'BASE_CIERRE'!$H$5:$H$458,"Screening",'BASE_CIERRE'!$J$5:$J$458,"Multiple source categories",'BASE_CIERRE'!$I$5:$I$458,"Deep Learning",'BASE_CIERRE'!$S$5:$S$458,"Not ascertainable")</ns0:f>
        <ns0:v>0</ns0:v>
      </ns0:c>
      <ns0:c r="I311" s="27">
        <ns0:f>SUM(F311:H311)</ns0:f>
        <ns0:v>3</ns0:v>
      </ns0:c>
      <ns0:c r="J311" s="31">
        <ns0:f>IFERROR(F311/I311,0)</ns0:f>
        <ns0:v>0</ns0:v>
      </ns0:c>
      <ns0:c r="K311" s="31">
        <ns0:f>IFERROR(F311/(I311-H311),0)</ns0:f>
        <ns0:v>0</ns0:v>
      </ns0:c>
      <ns0:c r="L311" s="19" t="inlineStr">
        <ns0:is>
          <ns0:t>153; 203; new_187</ns0:t>
        </ns0:is>
      </ns0:c>
    </ns0:row>
    <ns0:row r="312" ht="32" customHeight="1">
      <ns0:c r="A312" s="21" t="inlineStr">
        <ns0:is>
          <ns0:t>Screening</ns0:t>
        </ns0:is>
      </ns0:c>
      <ns0:c r="B312" s="21" t="inlineStr">
        <ns0:is>
          <ns0:t>Multiple source categories</ns0:t>
        </ns0:is>
      </ns0:c>
      <ns0:c r="C312" s="21" t="inlineStr">
        <ns0:is>
          <ns0:t>Deep Learning</ns0:t>
        </ns0:is>
      </ns0:c>
      <ns0:c r="D312" s="21" t="inlineStr">
        <ns0:is>
          <ns0:t>Cross-site evaluation</ns0:t>
        </ns0:is>
      </ns0:c>
      <ns0:c r="E312" s="21" t="inlineStr">
        <ns0:is>
          <ns0:t>cross_site_robustness</ns0:t>
        </ns0:is>
      </ns0:c>
      <ns0:c r="F312" s="29">
        <ns0:f>COUNTIFS('BASE_CIERRE'!$G$5:$G$458,1,'BASE_CIERRE'!$H$5:$H$458,"Screening",'BASE_CIERRE'!$J$5:$J$458,"Multiple source categories",'BASE_CIERRE'!$I$5:$I$458,"Deep Learning",'BASE_CIERRE'!$U$5:$U$458,"Reported")</ns0:f>
        <ns0:v>0</ns0:v>
      </ns0:c>
      <ns0:c r="G312" s="29">
        <ns0:f>COUNTIFS('BASE_CIERRE'!$G$5:$G$458,1,'BASE_CIERRE'!$H$5:$H$458,"Screening",'BASE_CIERRE'!$J$5:$J$458,"Multiple source categories",'BASE_CIERRE'!$I$5:$I$458,"Deep Learning",'BASE_CIERRE'!$U$5:$U$458,"Not reported in assessed sources")</ns0:f>
        <ns0:v>3</ns0:v>
      </ns0:c>
      <ns0:c r="H312" s="29">
        <ns0:f>COUNTIFS('BASE_CIERRE'!$G$5:$G$458,1,'BASE_CIERRE'!$H$5:$H$458,"Screening",'BASE_CIERRE'!$J$5:$J$458,"Multiple source categories",'BASE_CIERRE'!$I$5:$I$458,"Deep Learning",'BASE_CIERRE'!$U$5:$U$458,"Not ascertainable")</ns0:f>
        <ns0:v>0</ns0:v>
      </ns0:c>
      <ns0:c r="I312" s="29">
        <ns0:f>SUM(F312:H312)</ns0:f>
        <ns0:v>3</ns0:v>
      </ns0:c>
      <ns0:c r="J312" s="32">
        <ns0:f>IFERROR(F312/I312,0)</ns0:f>
        <ns0:v>0</ns0:v>
      </ns0:c>
      <ns0:c r="K312" s="32">
        <ns0:f>IFERROR(F312/(I312-H312),0)</ns0:f>
        <ns0:v>0</ns0:v>
      </ns0:c>
      <ns0:c r="L312" s="21" t="inlineStr">
        <ns0:is>
          <ns0:t>153; 203; new_187</ns0:t>
        </ns0:is>
      </ns0:c>
    </ns0:row>
    <ns0:row r="313" ht="32" customHeight="1">
      <ns0:c r="A313" s="19" t="inlineStr">
        <ns0:is>
          <ns0:t>Screening</ns0:t>
        </ns0:is>
      </ns0:c>
      <ns0:c r="B313" s="19" t="inlineStr">
        <ns0:is>
          <ns0:t>Multiple source categories</ns0:t>
        </ns0:is>
      </ns0:c>
      <ns0:c r="C313" s="19" t="inlineStr">
        <ns0:is>
          <ns0:t>Hybrid</ns0:t>
        </ns0:is>
      </ns0:c>
      <ns0:c r="D313" s="19" t="inlineStr">
        <ns0:is>
          <ns0:t>External validation</ns0:t>
        </ns0:is>
      </ns0:c>
      <ns0:c r="E313" s="19" t="inlineStr">
        <ns0:is>
          <ns0:t>external_validation</ns0:t>
        </ns0:is>
      </ns0:c>
      <ns0:c r="F313" s="27">
        <ns0:f>COUNTIFS('BASE_CIERRE'!$G$5:$G$458,1,'BASE_CIERRE'!$H$5:$H$458,"Screening",'BASE_CIERRE'!$J$5:$J$458,"Multiple source categories",'BASE_CIERRE'!$I$5:$I$458,"Hybrid",'BASE_CIERRE'!$Q$5:$Q$458,"Reported")</ns0:f>
        <ns0:v>0</ns0:v>
      </ns0:c>
      <ns0:c r="G313" s="27">
        <ns0:f>COUNTIFS('BASE_CIERRE'!$G$5:$G$458,1,'BASE_CIERRE'!$H$5:$H$458,"Screening",'BASE_CIERRE'!$J$5:$J$458,"Multiple source categories",'BASE_CIERRE'!$I$5:$I$458,"Hybrid",'BASE_CIERRE'!$Q$5:$Q$458,"Not reported in assessed sources")</ns0:f>
        <ns0:v>4</ns0:v>
      </ns0:c>
      <ns0:c r="H313" s="27">
        <ns0:f>COUNTIFS('BASE_CIERRE'!$G$5:$G$458,1,'BASE_CIERRE'!$H$5:$H$458,"Screening",'BASE_CIERRE'!$J$5:$J$458,"Multiple source categories",'BASE_CIERRE'!$I$5:$I$458,"Hybrid",'BASE_CIERRE'!$Q$5:$Q$458,"Not ascertainable")</ns0:f>
        <ns0:v>0</ns0:v>
      </ns0:c>
      <ns0:c r="I313" s="27">
        <ns0:f>SUM(F313:H313)</ns0:f>
        <ns0:v>4</ns0:v>
      </ns0:c>
      <ns0:c r="J313" s="31">
        <ns0:f>IFERROR(F313/I313,0)</ns0:f>
        <ns0:v>0</ns0:v>
      </ns0:c>
      <ns0:c r="K313" s="31">
        <ns0:f>IFERROR(F313/(I313-H313),0)</ns0:f>
        <ns0:v>0</ns0:v>
      </ns0:c>
      <ns0:c r="L313" s="19" t="inlineStr">
        <ns0:is>
          <ns0:t>15; new_145; new_410; new_198</ns0:t>
        </ns0:is>
      </ns0:c>
    </ns0:row>
    <ns0:row r="314" ht="32" customHeight="1">
      <ns0:c r="A314" s="21" t="inlineStr">
        <ns0:is>
          <ns0:t>Screening</ns0:t>
        </ns0:is>
      </ns0:c>
      <ns0:c r="B314" s="21" t="inlineStr">
        <ns0:is>
          <ns0:t>Multiple source categories</ns0:t>
        </ns0:is>
      </ns0:c>
      <ns0:c r="C314" s="21" t="inlineStr">
        <ns0:is>
          <ns0:t>Hybrid</ns0:t>
        </ns0:is>
      </ns0:c>
      <ns0:c r="D314" s="21" t="inlineStr">
        <ns0:is>
          <ns0:t>Multisource integration</ns0:t>
        </ns0:is>
      </ns0:c>
      <ns0:c r="E314" s="21" t="inlineStr">
        <ns0:is>
          <ns0:t>multisource_integration</ns0:t>
        </ns0:is>
      </ns0:c>
      <ns0:c r="F314" s="29">
        <ns0:f>COUNTIFS('BASE_CIERRE'!$G$5:$G$458,1,'BASE_CIERRE'!$H$5:$H$458,"Screening",'BASE_CIERRE'!$J$5:$J$458,"Multiple source categories",'BASE_CIERRE'!$I$5:$I$458,"Hybrid",'BASE_CIERRE'!$R$5:$R$458,"Reported")</ns0:f>
        <ns0:v>4</ns0:v>
      </ns0:c>
      <ns0:c r="G314" s="29">
        <ns0:f>COUNTIFS('BASE_CIERRE'!$G$5:$G$458,1,'BASE_CIERRE'!$H$5:$H$458,"Screening",'BASE_CIERRE'!$J$5:$J$458,"Multiple source categories",'BASE_CIERRE'!$I$5:$I$458,"Hybrid",'BASE_CIERRE'!$R$5:$R$458,"Not reported in assessed sources")</ns0:f>
        <ns0:v>0</ns0:v>
      </ns0:c>
      <ns0:c r="H314" s="29">
        <ns0:f>COUNTIFS('BASE_CIERRE'!$G$5:$G$458,1,'BASE_CIERRE'!$H$5:$H$458,"Screening",'BASE_CIERRE'!$J$5:$J$458,"Multiple source categories",'BASE_CIERRE'!$I$5:$I$458,"Hybrid",'BASE_CIERRE'!$R$5:$R$458,"Not ascertainable")</ns0:f>
        <ns0:v>0</ns0:v>
      </ns0:c>
      <ns0:c r="I314" s="29">
        <ns0:f>SUM(F314:H314)</ns0:f>
        <ns0:v>4</ns0:v>
      </ns0:c>
      <ns0:c r="J314" s="32">
        <ns0:f>IFERROR(F314/I314,0)</ns0:f>
        <ns0:v>1</ns0:v>
      </ns0:c>
      <ns0:c r="K314" s="32">
        <ns0:f>IFERROR(F314/(I314-H314),0)</ns0:f>
        <ns0:v>1</ns0:v>
      </ns0:c>
      <ns0:c r="L314" s="21" t="inlineStr">
        <ns0:is>
          <ns0:t>15; new_145; new_410; new_198</ns0:t>
        </ns0:is>
      </ns0:c>
    </ns0:row>
    <ns0:row r="315" ht="32" customHeight="1">
      <ns0:c r="A315" s="19" t="inlineStr">
        <ns0:is>
          <ns0:t>Screening</ns0:t>
        </ns0:is>
      </ns0:c>
      <ns0:c r="B315" s="19" t="inlineStr">
        <ns0:is>
          <ns0:t>Multiple source categories</ns0:t>
        </ns0:is>
      </ns0:c>
      <ns0:c r="C315" s="19" t="inlineStr">
        <ns0:is>
          <ns0:t>Hybrid</ns0:t>
        </ns0:is>
      </ns0:c>
      <ns0:c r="D315" s="19" t="inlineStr">
        <ns0:is>
          <ns0:t>Explicit explainability (broad)</ns0:t>
        </ns0:is>
      </ns0:c>
      <ns0:c r="E315" s="19" t="inlineStr">
        <ns0:is>
          <ns0:t>xai_broad</ns0:t>
        </ns0:is>
      </ns0:c>
      <ns0:c r="F315" s="27">
        <ns0:f>COUNTIFS('BASE_CIERRE'!$G$5:$G$458,1,'BASE_CIERRE'!$H$5:$H$458,"Screening",'BASE_CIERRE'!$J$5:$J$458,"Multiple source categories",'BASE_CIERRE'!$I$5:$I$458,"Hybrid",'BASE_CIERRE'!$S$5:$S$458,"Reported")</ns0:f>
        <ns0:v>1</ns0:v>
      </ns0:c>
      <ns0:c r="G315" s="27">
        <ns0:f>COUNTIFS('BASE_CIERRE'!$G$5:$G$458,1,'BASE_CIERRE'!$H$5:$H$458,"Screening",'BASE_CIERRE'!$J$5:$J$458,"Multiple source categories",'BASE_CIERRE'!$I$5:$I$458,"Hybrid",'BASE_CIERRE'!$S$5:$S$458,"Not reported in assessed sources")</ns0:f>
        <ns0:v>3</ns0:v>
      </ns0:c>
      <ns0:c r="H315" s="27">
        <ns0:f>COUNTIFS('BASE_CIERRE'!$G$5:$G$458,1,'BASE_CIERRE'!$H$5:$H$458,"Screening",'BASE_CIERRE'!$J$5:$J$458,"Multiple source categories",'BASE_CIERRE'!$I$5:$I$458,"Hybrid",'BASE_CIERRE'!$S$5:$S$458,"Not ascertainable")</ns0:f>
        <ns0:v>0</ns0:v>
      </ns0:c>
      <ns0:c r="I315" s="27">
        <ns0:f>SUM(F315:H315)</ns0:f>
        <ns0:v>4</ns0:v>
      </ns0:c>
      <ns0:c r="J315" s="31">
        <ns0:f>IFERROR(F315/I315,0)</ns0:f>
        <ns0:v>0.25</ns0:v>
      </ns0:c>
      <ns0:c r="K315" s="31">
        <ns0:f>IFERROR(F315/(I315-H315),0)</ns0:f>
        <ns0:v>0.25</ns0:v>
      </ns0:c>
      <ns0:c r="L315" s="19" t="inlineStr">
        <ns0:is>
          <ns0:t>15; new_145; new_410; new_198</ns0:t>
        </ns0:is>
      </ns0:c>
    </ns0:row>
    <ns0:row r="316" ht="32" customHeight="1">
      <ns0:c r="A316" s="21" t="inlineStr">
        <ns0:is>
          <ns0:t>Screening</ns0:t>
        </ns0:is>
      </ns0:c>
      <ns0:c r="B316" s="21" t="inlineStr">
        <ns0:is>
          <ns0:t>Multiple source categories</ns0:t>
        </ns0:is>
      </ns0:c>
      <ns0:c r="C316" s="21" t="inlineStr">
        <ns0:is>
          <ns0:t>Hybrid</ns0:t>
        </ns0:is>
      </ns0:c>
      <ns0:c r="D316" s="21" t="inlineStr">
        <ns0:is>
          <ns0:t>Cross-site evaluation</ns0:t>
        </ns0:is>
      </ns0:c>
      <ns0:c r="E316" s="21" t="inlineStr">
        <ns0:is>
          <ns0:t>cross_site_robustness</ns0:t>
        </ns0:is>
      </ns0:c>
      <ns0:c r="F316" s="29">
        <ns0:f>COUNTIFS('BASE_CIERRE'!$G$5:$G$458,1,'BASE_CIERRE'!$H$5:$H$458,"Screening",'BASE_CIERRE'!$J$5:$J$458,"Multiple source categories",'BASE_CIERRE'!$I$5:$I$458,"Hybrid",'BASE_CIERRE'!$U$5:$U$458,"Reported")</ns0:f>
        <ns0:v>0</ns0:v>
      </ns0:c>
      <ns0:c r="G316" s="29">
        <ns0:f>COUNTIFS('BASE_CIERRE'!$G$5:$G$458,1,'BASE_CIERRE'!$H$5:$H$458,"Screening",'BASE_CIERRE'!$J$5:$J$458,"Multiple source categories",'BASE_CIERRE'!$I$5:$I$458,"Hybrid",'BASE_CIERRE'!$U$5:$U$458,"Not reported in assessed sources")</ns0:f>
        <ns0:v>4</ns0:v>
      </ns0:c>
      <ns0:c r="H316" s="29">
        <ns0:f>COUNTIFS('BASE_CIERRE'!$G$5:$G$458,1,'BASE_CIERRE'!$H$5:$H$458,"Screening",'BASE_CIERRE'!$J$5:$J$458,"Multiple source categories",'BASE_CIERRE'!$I$5:$I$458,"Hybrid",'BASE_CIERRE'!$U$5:$U$458,"Not ascertainable")</ns0:f>
        <ns0:v>0</ns0:v>
      </ns0:c>
      <ns0:c r="I316" s="29">
        <ns0:f>SUM(F316:H316)</ns0:f>
        <ns0:v>4</ns0:v>
      </ns0:c>
      <ns0:c r="J316" s="32">
        <ns0:f>IFERROR(F316/I316,0)</ns0:f>
        <ns0:v>0</ns0:v>
      </ns0:c>
      <ns0:c r="K316" s="32">
        <ns0:f>IFERROR(F316/(I316-H316),0)</ns0:f>
        <ns0:v>0</ns0:v>
      </ns0:c>
      <ns0:c r="L316" s="21" t="inlineStr">
        <ns0:is>
          <ns0:t>15; new_145; new_410; new_198</ns0:t>
        </ns0:is>
      </ns0:c>
    </ns0:row>
    <ns0:row r="317" ht="32" customHeight="1">
      <ns0:c r="A317" s="19" t="inlineStr">
        <ns0:is>
          <ns0:t>Screening</ns0:t>
        </ns0:is>
      </ns0:c>
      <ns0:c r="B317" s="19" t="inlineStr">
        <ns0:is>
          <ns0:t>Multiple source categories</ns0:t>
        </ns0:is>
      </ns0:c>
      <ns0:c r="C317" s="19" t="inlineStr">
        <ns0:is>
          <ns0:t>Machine Learning</ns0:t>
        </ns0:is>
      </ns0:c>
      <ns0:c r="D317" s="19" t="inlineStr">
        <ns0:is>
          <ns0:t>External validation</ns0:t>
        </ns0:is>
      </ns0:c>
      <ns0:c r="E317" s="19" t="inlineStr">
        <ns0:is>
          <ns0:t>external_validation</ns0:t>
        </ns0:is>
      </ns0:c>
      <ns0:c r="F317" s="27">
        <ns0:f>COUNTIFS('BASE_CIERRE'!$G$5:$G$458,1,'BASE_CIERRE'!$H$5:$H$458,"Screening",'BASE_CIERRE'!$J$5:$J$458,"Multiple source categories",'BASE_CIERRE'!$I$5:$I$458,"Machine Learning",'BASE_CIERRE'!$Q$5:$Q$458,"Reported")</ns0:f>
        <ns0:v>0</ns0:v>
      </ns0:c>
      <ns0:c r="G317" s="27">
        <ns0:f>COUNTIFS('BASE_CIERRE'!$G$5:$G$458,1,'BASE_CIERRE'!$H$5:$H$458,"Screening",'BASE_CIERRE'!$J$5:$J$458,"Multiple source categories",'BASE_CIERRE'!$I$5:$I$458,"Machine Learning",'BASE_CIERRE'!$Q$5:$Q$458,"Not reported in assessed sources")</ns0:f>
        <ns0:v>1</ns0:v>
      </ns0:c>
      <ns0:c r="H317" s="27">
        <ns0:f>COUNTIFS('BASE_CIERRE'!$G$5:$G$458,1,'BASE_CIERRE'!$H$5:$H$458,"Screening",'BASE_CIERRE'!$J$5:$J$458,"Multiple source categories",'BASE_CIERRE'!$I$5:$I$458,"Machine Learning",'BASE_CIERRE'!$Q$5:$Q$458,"Not ascertainable")</ns0:f>
        <ns0:v>0</ns0:v>
      </ns0:c>
      <ns0:c r="I317" s="27">
        <ns0:f>SUM(F317:H317)</ns0:f>
        <ns0:v>1</ns0:v>
      </ns0:c>
      <ns0:c r="J317" s="31">
        <ns0:f>IFERROR(F317/I317,0)</ns0:f>
        <ns0:v>0</ns0:v>
      </ns0:c>
      <ns0:c r="K317" s="31">
        <ns0:f>IFERROR(F317/(I317-H317),0)</ns0:f>
        <ns0:v>0</ns0:v>
      </ns0:c>
      <ns0:c r="L317" s="19" t="inlineStr">
        <ns0:is>
          <ns0:t>new_215</ns0:t>
        </ns0:is>
      </ns0:c>
    </ns0:row>
    <ns0:row r="318" ht="32" customHeight="1">
      <ns0:c r="A318" s="21" t="inlineStr">
        <ns0:is>
          <ns0:t>Screening</ns0:t>
        </ns0:is>
      </ns0:c>
      <ns0:c r="B318" s="21" t="inlineStr">
        <ns0:is>
          <ns0:t>Multiple source categories</ns0:t>
        </ns0:is>
      </ns0:c>
      <ns0:c r="C318" s="21" t="inlineStr">
        <ns0:is>
          <ns0:t>Machine Learning</ns0:t>
        </ns0:is>
      </ns0:c>
      <ns0:c r="D318" s="21" t="inlineStr">
        <ns0:is>
          <ns0:t>Multisource integration</ns0:t>
        </ns0:is>
      </ns0:c>
      <ns0:c r="E318" s="21" t="inlineStr">
        <ns0:is>
          <ns0:t>multisource_integration</ns0:t>
        </ns0:is>
      </ns0:c>
      <ns0:c r="F318" s="29">
        <ns0:f>COUNTIFS('BASE_CIERRE'!$G$5:$G$458,1,'BASE_CIERRE'!$H$5:$H$458,"Screening",'BASE_CIERRE'!$J$5:$J$458,"Multiple source categories",'BASE_CIERRE'!$I$5:$I$458,"Machine Learning",'BASE_CIERRE'!$R$5:$R$458,"Reported")</ns0:f>
        <ns0:v>1</ns0:v>
      </ns0:c>
      <ns0:c r="G318" s="29">
        <ns0:f>COUNTIFS('BASE_CIERRE'!$G$5:$G$458,1,'BASE_CIERRE'!$H$5:$H$458,"Screening",'BASE_CIERRE'!$J$5:$J$458,"Multiple source categories",'BASE_CIERRE'!$I$5:$I$458,"Machine Learning",'BASE_CIERRE'!$R$5:$R$458,"Not reported in assessed sources")</ns0:f>
        <ns0:v>0</ns0:v>
      </ns0:c>
      <ns0:c r="H318" s="29">
        <ns0:f>COUNTIFS('BASE_CIERRE'!$G$5:$G$458,1,'BASE_CIERRE'!$H$5:$H$458,"Screening",'BASE_CIERRE'!$J$5:$J$458,"Multiple source categories",'BASE_CIERRE'!$I$5:$I$458,"Machine Learning",'BASE_CIERRE'!$R$5:$R$458,"Not ascertainable")</ns0:f>
        <ns0:v>0</ns0:v>
      </ns0:c>
      <ns0:c r="I318" s="29">
        <ns0:f>SUM(F318:H318)</ns0:f>
        <ns0:v>1</ns0:v>
      </ns0:c>
      <ns0:c r="J318" s="32">
        <ns0:f>IFERROR(F318/I318,0)</ns0:f>
        <ns0:v>1</ns0:v>
      </ns0:c>
      <ns0:c r="K318" s="32">
        <ns0:f>IFERROR(F318/(I318-H318),0)</ns0:f>
        <ns0:v>1</ns0:v>
      </ns0:c>
      <ns0:c r="L318" s="21" t="inlineStr">
        <ns0:is>
          <ns0:t>new_215</ns0:t>
        </ns0:is>
      </ns0:c>
    </ns0:row>
    <ns0:row r="319" ht="32" customHeight="1">
      <ns0:c r="A319" s="19" t="inlineStr">
        <ns0:is>
          <ns0:t>Screening</ns0:t>
        </ns0:is>
      </ns0:c>
      <ns0:c r="B319" s="19" t="inlineStr">
        <ns0:is>
          <ns0:t>Multiple source categories</ns0:t>
        </ns0:is>
      </ns0:c>
      <ns0:c r="C319" s="19" t="inlineStr">
        <ns0:is>
          <ns0:t>Machine Learning</ns0:t>
        </ns0:is>
      </ns0:c>
      <ns0:c r="D319" s="19" t="inlineStr">
        <ns0:is>
          <ns0:t>Explicit explainability (broad)</ns0:t>
        </ns0:is>
      </ns0:c>
      <ns0:c r="E319" s="19" t="inlineStr">
        <ns0:is>
          <ns0:t>xai_broad</ns0:t>
        </ns0:is>
      </ns0:c>
      <ns0:c r="F319" s="27">
        <ns0:f>COUNTIFS('BASE_CIERRE'!$G$5:$G$458,1,'BASE_CIERRE'!$H$5:$H$458,"Screening",'BASE_CIERRE'!$J$5:$J$458,"Multiple source categories",'BASE_CIERRE'!$I$5:$I$458,"Machine Learning",'BASE_CIERRE'!$S$5:$S$458,"Reported")</ns0:f>
        <ns0:v>1</ns0:v>
      </ns0:c>
      <ns0:c r="G319" s="27">
        <ns0:f>COUNTIFS('BASE_CIERRE'!$G$5:$G$458,1,'BASE_CIERRE'!$H$5:$H$458,"Screening",'BASE_CIERRE'!$J$5:$J$458,"Multiple source categories",'BASE_CIERRE'!$I$5:$I$458,"Machine Learning",'BASE_CIERRE'!$S$5:$S$458,"Not reported in assessed sources")</ns0:f>
        <ns0:v>0</ns0:v>
      </ns0:c>
      <ns0:c r="H319" s="27">
        <ns0:f>COUNTIFS('BASE_CIERRE'!$G$5:$G$458,1,'BASE_CIERRE'!$H$5:$H$458,"Screening",'BASE_CIERRE'!$J$5:$J$458,"Multiple source categories",'BASE_CIERRE'!$I$5:$I$458,"Machine Learning",'BASE_CIERRE'!$S$5:$S$458,"Not ascertainable")</ns0:f>
        <ns0:v>0</ns0:v>
      </ns0:c>
      <ns0:c r="I319" s="27">
        <ns0:f>SUM(F319:H319)</ns0:f>
        <ns0:v>1</ns0:v>
      </ns0:c>
      <ns0:c r="J319" s="31">
        <ns0:f>IFERROR(F319/I319,0)</ns0:f>
        <ns0:v>1</ns0:v>
      </ns0:c>
      <ns0:c r="K319" s="31">
        <ns0:f>IFERROR(F319/(I319-H319),0)</ns0:f>
        <ns0:v>1</ns0:v>
      </ns0:c>
      <ns0:c r="L319" s="19" t="inlineStr">
        <ns0:is>
          <ns0:t>new_215</ns0:t>
        </ns0:is>
      </ns0:c>
    </ns0:row>
    <ns0:row r="320" ht="32" customHeight="1">
      <ns0:c r="A320" s="21" t="inlineStr">
        <ns0:is>
          <ns0:t>Screening</ns0:t>
        </ns0:is>
      </ns0:c>
      <ns0:c r="B320" s="21" t="inlineStr">
        <ns0:is>
          <ns0:t>Multiple source categories</ns0:t>
        </ns0:is>
      </ns0:c>
      <ns0:c r="C320" s="21" t="inlineStr">
        <ns0:is>
          <ns0:t>Machine Learning</ns0:t>
        </ns0:is>
      </ns0:c>
      <ns0:c r="D320" s="21" t="inlineStr">
        <ns0:is>
          <ns0:t>Cross-site evaluation</ns0:t>
        </ns0:is>
      </ns0:c>
      <ns0:c r="E320" s="21" t="inlineStr">
        <ns0:is>
          <ns0:t>cross_site_robustness</ns0:t>
        </ns0:is>
      </ns0:c>
      <ns0:c r="F320" s="29">
        <ns0:f>COUNTIFS('BASE_CIERRE'!$G$5:$G$458,1,'BASE_CIERRE'!$H$5:$H$458,"Screening",'BASE_CIERRE'!$J$5:$J$458,"Multiple source categories",'BASE_CIERRE'!$I$5:$I$458,"Machine Learning",'BASE_CIERRE'!$U$5:$U$458,"Reported")</ns0:f>
        <ns0:v>0</ns0:v>
      </ns0:c>
      <ns0:c r="G320" s="29">
        <ns0:f>COUNTIFS('BASE_CIERRE'!$G$5:$G$458,1,'BASE_CIERRE'!$H$5:$H$458,"Screening",'BASE_CIERRE'!$J$5:$J$458,"Multiple source categories",'BASE_CIERRE'!$I$5:$I$458,"Machine Learning",'BASE_CIERRE'!$U$5:$U$458,"Not reported in assessed sources")</ns0:f>
        <ns0:v>1</ns0:v>
      </ns0:c>
      <ns0:c r="H320" s="29">
        <ns0:f>COUNTIFS('BASE_CIERRE'!$G$5:$G$458,1,'BASE_CIERRE'!$H$5:$H$458,"Screening",'BASE_CIERRE'!$J$5:$J$458,"Multiple source categories",'BASE_CIERRE'!$I$5:$I$458,"Machine Learning",'BASE_CIERRE'!$U$5:$U$458,"Not ascertainable")</ns0:f>
        <ns0:v>0</ns0:v>
      </ns0:c>
      <ns0:c r="I320" s="29">
        <ns0:f>SUM(F320:H320)</ns0:f>
        <ns0:v>1</ns0:v>
      </ns0:c>
      <ns0:c r="J320" s="32">
        <ns0:f>IFERROR(F320/I320,0)</ns0:f>
        <ns0:v>0</ns0:v>
      </ns0:c>
      <ns0:c r="K320" s="32">
        <ns0:f>IFERROR(F320/(I320-H320),0)</ns0:f>
        <ns0:v>0</ns0:v>
      </ns0:c>
      <ns0:c r="L320" s="21" t="inlineStr">
        <ns0:is>
          <ns0:t>new_215</ns0:t>
        </ns0:is>
      </ns0:c>
    </ns0:row>
    <ns0:row r="321" ht="32" customHeight="1">
      <ns0:c r="A321" s="19" t="inlineStr">
        <ns0:is>
          <ns0:t>Screening</ns0:t>
        </ns0:is>
      </ns0:c>
      <ns0:c r="B321" s="19" t="inlineStr">
        <ns0:is>
          <ns0:t>Neuroimaging</ns0:t>
        </ns0:is>
      </ns0:c>
      <ns0:c r="C321" s="19" t="inlineStr">
        <ns0:is>
          <ns0:t>Deep Learning</ns0:t>
        </ns0:is>
      </ns0:c>
      <ns0:c r="D321" s="19" t="inlineStr">
        <ns0:is>
          <ns0:t>External validation</ns0:t>
        </ns0:is>
      </ns0:c>
      <ns0:c r="E321" s="19" t="inlineStr">
        <ns0:is>
          <ns0:t>external_validation</ns0:t>
        </ns0:is>
      </ns0:c>
      <ns0:c r="F321" s="27">
        <ns0:f>COUNTIFS('BASE_CIERRE'!$G$5:$G$458,1,'BASE_CIERRE'!$H$5:$H$458,"Screening",'BASE_CIERRE'!$J$5:$J$458,"Neuroimaging",'BASE_CIERRE'!$I$5:$I$458,"Deep Learning",'BASE_CIERRE'!$Q$5:$Q$458,"Reported")</ns0:f>
        <ns0:v>0</ns0:v>
      </ns0:c>
      <ns0:c r="G321" s="27">
        <ns0:f>COUNTIFS('BASE_CIERRE'!$G$5:$G$458,1,'BASE_CIERRE'!$H$5:$H$458,"Screening",'BASE_CIERRE'!$J$5:$J$458,"Neuroimaging",'BASE_CIERRE'!$I$5:$I$458,"Deep Learning",'BASE_CIERRE'!$Q$5:$Q$458,"Not reported in assessed sources")</ns0:f>
        <ns0:v>1</ns0:v>
      </ns0:c>
      <ns0:c r="H321" s="27">
        <ns0:f>COUNTIFS('BASE_CIERRE'!$G$5:$G$458,1,'BASE_CIERRE'!$H$5:$H$458,"Screening",'BASE_CIERRE'!$J$5:$J$458,"Neuroimaging",'BASE_CIERRE'!$I$5:$I$458,"Deep Learning",'BASE_CIERRE'!$Q$5:$Q$458,"Not ascertainable")</ns0:f>
        <ns0:v>0</ns0:v>
      </ns0:c>
      <ns0:c r="I321" s="27">
        <ns0:f>SUM(F321:H321)</ns0:f>
        <ns0:v>1</ns0:v>
      </ns0:c>
      <ns0:c r="J321" s="31">
        <ns0:f>IFERROR(F321/I321,0)</ns0:f>
        <ns0:v>0</ns0:v>
      </ns0:c>
      <ns0:c r="K321" s="31">
        <ns0:f>IFERROR(F321/(I321-H321),0)</ns0:f>
        <ns0:v>0</ns0:v>
      </ns0:c>
      <ns0:c r="L321" s="19" t="inlineStr">
        <ns0:is>
          <ns0:t>new_371</ns0:t>
        </ns0:is>
      </ns0:c>
    </ns0:row>
    <ns0:row r="322" ht="32" customHeight="1">
      <ns0:c r="A322" s="21" t="inlineStr">
        <ns0:is>
          <ns0:t>Screening</ns0:t>
        </ns0:is>
      </ns0:c>
      <ns0:c r="B322" s="21" t="inlineStr">
        <ns0:is>
          <ns0:t>Neuroimaging</ns0:t>
        </ns0:is>
      </ns0:c>
      <ns0:c r="C322" s="21" t="inlineStr">
        <ns0:is>
          <ns0:t>Deep Learning</ns0:t>
        </ns0:is>
      </ns0:c>
      <ns0:c r="D322" s="21" t="inlineStr">
        <ns0:is>
          <ns0:t>Multisource integration</ns0:t>
        </ns0:is>
      </ns0:c>
      <ns0:c r="E322" s="21" t="inlineStr">
        <ns0:is>
          <ns0:t>multisource_integration</ns0:t>
        </ns0:is>
      </ns0:c>
      <ns0:c r="F322" s="29">
        <ns0:f>COUNTIFS('BASE_CIERRE'!$G$5:$G$458,1,'BASE_CIERRE'!$H$5:$H$458,"Screening",'BASE_CIERRE'!$J$5:$J$458,"Neuroimaging",'BASE_CIERRE'!$I$5:$I$458,"Deep Learning",'BASE_CIERRE'!$R$5:$R$458,"Reported")</ns0:f>
        <ns0:v>0</ns0:v>
      </ns0:c>
      <ns0:c r="G322" s="29">
        <ns0:f>COUNTIFS('BASE_CIERRE'!$G$5:$G$458,1,'BASE_CIERRE'!$H$5:$H$458,"Screening",'BASE_CIERRE'!$J$5:$J$458,"Neuroimaging",'BASE_CIERRE'!$I$5:$I$458,"Deep Learning",'BASE_CIERRE'!$R$5:$R$458,"Not reported in assessed sources")</ns0:f>
        <ns0:v>1</ns0:v>
      </ns0:c>
      <ns0:c r="H322" s="29">
        <ns0:f>COUNTIFS('BASE_CIERRE'!$G$5:$G$458,1,'BASE_CIERRE'!$H$5:$H$458,"Screening",'BASE_CIERRE'!$J$5:$J$458,"Neuroimaging",'BASE_CIERRE'!$I$5:$I$458,"Deep Learning",'BASE_CIERRE'!$R$5:$R$458,"Not ascertainable")</ns0:f>
        <ns0:v>0</ns0:v>
      </ns0:c>
      <ns0:c r="I322" s="29">
        <ns0:f>SUM(F322:H322)</ns0:f>
        <ns0:v>1</ns0:v>
      </ns0:c>
      <ns0:c r="J322" s="32">
        <ns0:f>IFERROR(F322/I322,0)</ns0:f>
        <ns0:v>0</ns0:v>
      </ns0:c>
      <ns0:c r="K322" s="32">
        <ns0:f>IFERROR(F322/(I322-H322),0)</ns0:f>
        <ns0:v>0</ns0:v>
      </ns0:c>
      <ns0:c r="L322" s="21" t="inlineStr">
        <ns0:is>
          <ns0:t>new_371</ns0:t>
        </ns0:is>
      </ns0:c>
    </ns0:row>
    <ns0:row r="323" ht="32" customHeight="1">
      <ns0:c r="A323" s="19" t="inlineStr">
        <ns0:is>
          <ns0:t>Screening</ns0:t>
        </ns0:is>
      </ns0:c>
      <ns0:c r="B323" s="19" t="inlineStr">
        <ns0:is>
          <ns0:t>Neuroimaging</ns0:t>
        </ns0:is>
      </ns0:c>
      <ns0:c r="C323" s="19" t="inlineStr">
        <ns0:is>
          <ns0:t>Deep Learning</ns0:t>
        </ns0:is>
      </ns0:c>
      <ns0:c r="D323" s="19" t="inlineStr">
        <ns0:is>
          <ns0:t>Explicit explainability (broad)</ns0:t>
        </ns0:is>
      </ns0:c>
      <ns0:c r="E323" s="19" t="inlineStr">
        <ns0:is>
          <ns0:t>xai_broad</ns0:t>
        </ns0:is>
      </ns0:c>
      <ns0:c r="F323" s="27">
        <ns0:f>COUNTIFS('BASE_CIERRE'!$G$5:$G$458,1,'BASE_CIERRE'!$H$5:$H$458,"Screening",'BASE_CIERRE'!$J$5:$J$458,"Neuroimaging",'BASE_CIERRE'!$I$5:$I$458,"Deep Learning",'BASE_CIERRE'!$S$5:$S$458,"Reported")</ns0:f>
        <ns0:v>1</ns0:v>
      </ns0:c>
      <ns0:c r="G323" s="27">
        <ns0:f>COUNTIFS('BASE_CIERRE'!$G$5:$G$458,1,'BASE_CIERRE'!$H$5:$H$458,"Screening",'BASE_CIERRE'!$J$5:$J$458,"Neuroimaging",'BASE_CIERRE'!$I$5:$I$458,"Deep Learning",'BASE_CIERRE'!$S$5:$S$458,"Not reported in assessed sources")</ns0:f>
        <ns0:v>0</ns0:v>
      </ns0:c>
      <ns0:c r="H323" s="27">
        <ns0:f>COUNTIFS('BASE_CIERRE'!$G$5:$G$458,1,'BASE_CIERRE'!$H$5:$H$458,"Screening",'BASE_CIERRE'!$J$5:$J$458,"Neuroimaging",'BASE_CIERRE'!$I$5:$I$458,"Deep Learning",'BASE_CIERRE'!$S$5:$S$458,"Not ascertainable")</ns0:f>
        <ns0:v>0</ns0:v>
      </ns0:c>
      <ns0:c r="I323" s="27">
        <ns0:f>SUM(F323:H323)</ns0:f>
        <ns0:v>1</ns0:v>
      </ns0:c>
      <ns0:c r="J323" s="31">
        <ns0:f>IFERROR(F323/I323,0)</ns0:f>
        <ns0:v>1</ns0:v>
      </ns0:c>
      <ns0:c r="K323" s="31">
        <ns0:f>IFERROR(F323/(I323-H323),0)</ns0:f>
        <ns0:v>1</ns0:v>
      </ns0:c>
      <ns0:c r="L323" s="19" t="inlineStr">
        <ns0:is>
          <ns0:t>new_371</ns0:t>
        </ns0:is>
      </ns0:c>
    </ns0:row>
    <ns0:row r="324" ht="32" customHeight="1">
      <ns0:c r="A324" s="21" t="inlineStr">
        <ns0:is>
          <ns0:t>Screening</ns0:t>
        </ns0:is>
      </ns0:c>
      <ns0:c r="B324" s="21" t="inlineStr">
        <ns0:is>
          <ns0:t>Neuroimaging</ns0:t>
        </ns0:is>
      </ns0:c>
      <ns0:c r="C324" s="21" t="inlineStr">
        <ns0:is>
          <ns0:t>Deep Learning</ns0:t>
        </ns0:is>
      </ns0:c>
      <ns0:c r="D324" s="21" t="inlineStr">
        <ns0:is>
          <ns0:t>Cross-site evaluation</ns0:t>
        </ns0:is>
      </ns0:c>
      <ns0:c r="E324" s="21" t="inlineStr">
        <ns0:is>
          <ns0:t>cross_site_robustness</ns0:t>
        </ns0:is>
      </ns0:c>
      <ns0:c r="F324" s="29">
        <ns0:f>COUNTIFS('BASE_CIERRE'!$G$5:$G$458,1,'BASE_CIERRE'!$H$5:$H$458,"Screening",'BASE_CIERRE'!$J$5:$J$458,"Neuroimaging",'BASE_CIERRE'!$I$5:$I$458,"Deep Learning",'BASE_CIERRE'!$U$5:$U$458,"Reported")</ns0:f>
        <ns0:v>0</ns0:v>
      </ns0:c>
      <ns0:c r="G324" s="29">
        <ns0:f>COUNTIFS('BASE_CIERRE'!$G$5:$G$458,1,'BASE_CIERRE'!$H$5:$H$458,"Screening",'BASE_CIERRE'!$J$5:$J$458,"Neuroimaging",'BASE_CIERRE'!$I$5:$I$458,"Deep Learning",'BASE_CIERRE'!$U$5:$U$458,"Not reported in assessed sources")</ns0:f>
        <ns0:v>1</ns0:v>
      </ns0:c>
      <ns0:c r="H324" s="29">
        <ns0:f>COUNTIFS('BASE_CIERRE'!$G$5:$G$458,1,'BASE_CIERRE'!$H$5:$H$458,"Screening",'BASE_CIERRE'!$J$5:$J$458,"Neuroimaging",'BASE_CIERRE'!$I$5:$I$458,"Deep Learning",'BASE_CIERRE'!$U$5:$U$458,"Not ascertainable")</ns0:f>
        <ns0:v>0</ns0:v>
      </ns0:c>
      <ns0:c r="I324" s="29">
        <ns0:f>SUM(F324:H324)</ns0:f>
        <ns0:v>1</ns0:v>
      </ns0:c>
      <ns0:c r="J324" s="32">
        <ns0:f>IFERROR(F324/I324,0)</ns0:f>
        <ns0:v>0</ns0:v>
      </ns0:c>
      <ns0:c r="K324" s="32">
        <ns0:f>IFERROR(F324/(I324-H324),0)</ns0:f>
        <ns0:v>0</ns0:v>
      </ns0:c>
      <ns0:c r="L324" s="21" t="inlineStr">
        <ns0:is>
          <ns0:t>new_371</ns0:t>
        </ns0:is>
      </ns0:c>
    </ns0:row>
    <ns0:row r="325" ht="32" customHeight="1">
      <ns0:c r="A325" s="19" t="inlineStr">
        <ns0:is>
          <ns0:t>Screening</ns0:t>
        </ns0:is>
      </ns0:c>
      <ns0:c r="B325" s="19" t="inlineStr">
        <ns0:is>
          <ns0:t>Not specified</ns0:t>
        </ns0:is>
      </ns0:c>
      <ns0:c r="C325" s="19" t="inlineStr">
        <ns0:is>
          <ns0:t>Deep Learning</ns0:t>
        </ns0:is>
      </ns0:c>
      <ns0:c r="D325" s="19" t="inlineStr">
        <ns0:is>
          <ns0:t>External validation</ns0:t>
        </ns0:is>
      </ns0:c>
      <ns0:c r="E325" s="19" t="inlineStr">
        <ns0:is>
          <ns0:t>external_validation</ns0:t>
        </ns0:is>
      </ns0:c>
      <ns0:c r="F325" s="27">
        <ns0:f>COUNTIFS('BASE_CIERRE'!$G$5:$G$458,1,'BASE_CIERRE'!$H$5:$H$458,"Screening",'BASE_CIERRE'!$J$5:$J$458,"Not specified",'BASE_CIERRE'!$I$5:$I$458,"Deep Learning",'BASE_CIERRE'!$Q$5:$Q$458,"Reported")</ns0:f>
        <ns0:v>0</ns0:v>
      </ns0:c>
      <ns0:c r="G325" s="27">
        <ns0:f>COUNTIFS('BASE_CIERRE'!$G$5:$G$458,1,'BASE_CIERRE'!$H$5:$H$458,"Screening",'BASE_CIERRE'!$J$5:$J$458,"Not specified",'BASE_CIERRE'!$I$5:$I$458,"Deep Learning",'BASE_CIERRE'!$Q$5:$Q$458,"Not reported in assessed sources")</ns0:f>
        <ns0:v>6</ns0:v>
      </ns0:c>
      <ns0:c r="H325" s="27">
        <ns0:f>COUNTIFS('BASE_CIERRE'!$G$5:$G$458,1,'BASE_CIERRE'!$H$5:$H$458,"Screening",'BASE_CIERRE'!$J$5:$J$458,"Not specified",'BASE_CIERRE'!$I$5:$I$458,"Deep Learning",'BASE_CIERRE'!$Q$5:$Q$458,"Not ascertainable")</ns0:f>
        <ns0:v>0</ns0:v>
      </ns0:c>
      <ns0:c r="I325" s="27">
        <ns0:f>SUM(F325:H325)</ns0:f>
        <ns0:v>6</ns0:v>
      </ns0:c>
      <ns0:c r="J325" s="31">
        <ns0:f>IFERROR(F325/I325,0)</ns0:f>
        <ns0:v>0</ns0:v>
      </ns0:c>
      <ns0:c r="K325" s="31">
        <ns0:f>IFERROR(F325/(I325-H325),0)</ns0:f>
        <ns0:v>0</ns0:v>
      </ns0:c>
      <ns0:c r="L325" s="19" t="inlineStr">
        <ns0:is>
          <ns0:t>37; 115; 258; new_343; new_364; new_415</ns0:t>
        </ns0:is>
      </ns0:c>
    </ns0:row>
    <ns0:row r="326" ht="32" customHeight="1">
      <ns0:c r="A326" s="21" t="inlineStr">
        <ns0:is>
          <ns0:t>Screening</ns0:t>
        </ns0:is>
      </ns0:c>
      <ns0:c r="B326" s="21" t="inlineStr">
        <ns0:is>
          <ns0:t>Not specified</ns0:t>
        </ns0:is>
      </ns0:c>
      <ns0:c r="C326" s="21" t="inlineStr">
        <ns0:is>
          <ns0:t>Deep Learning</ns0:t>
        </ns0:is>
      </ns0:c>
      <ns0:c r="D326" s="21" t="inlineStr">
        <ns0:is>
          <ns0:t>Multisource integration</ns0:t>
        </ns0:is>
      </ns0:c>
      <ns0:c r="E326" s="21" t="inlineStr">
        <ns0:is>
          <ns0:t>multisource_integration</ns0:t>
        </ns0:is>
      </ns0:c>
      <ns0:c r="F326" s="29">
        <ns0:f>COUNTIFS('BASE_CIERRE'!$G$5:$G$458,1,'BASE_CIERRE'!$H$5:$H$458,"Screening",'BASE_CIERRE'!$J$5:$J$458,"Not specified",'BASE_CIERRE'!$I$5:$I$458,"Deep Learning",'BASE_CIERRE'!$R$5:$R$458,"Reported")</ns0:f>
        <ns0:v>0</ns0:v>
      </ns0:c>
      <ns0:c r="G326" s="29">
        <ns0:f>COUNTIFS('BASE_CIERRE'!$G$5:$G$458,1,'BASE_CIERRE'!$H$5:$H$458,"Screening",'BASE_CIERRE'!$J$5:$J$458,"Not specified",'BASE_CIERRE'!$I$5:$I$458,"Deep Learning",'BASE_CIERRE'!$R$5:$R$458,"Not reported in assessed sources")</ns0:f>
        <ns0:v>3</ns0:v>
      </ns0:c>
      <ns0:c r="H326" s="29">
        <ns0:f>COUNTIFS('BASE_CIERRE'!$G$5:$G$458,1,'BASE_CIERRE'!$H$5:$H$458,"Screening",'BASE_CIERRE'!$J$5:$J$458,"Not specified",'BASE_CIERRE'!$I$5:$I$458,"Deep Learning",'BASE_CIERRE'!$R$5:$R$458,"Not ascertainable")</ns0:f>
        <ns0:v>3</ns0:v>
      </ns0:c>
      <ns0:c r="I326" s="29">
        <ns0:f>SUM(F326:H326)</ns0:f>
        <ns0:v>6</ns0:v>
      </ns0:c>
      <ns0:c r="J326" s="32">
        <ns0:f>IFERROR(F326/I326,0)</ns0:f>
        <ns0:v>0</ns0:v>
      </ns0:c>
      <ns0:c r="K326" s="32">
        <ns0:f>IFERROR(F326/(I326-H326),0)</ns0:f>
        <ns0:v>0</ns0:v>
      </ns0:c>
      <ns0:c r="L326" s="21" t="inlineStr">
        <ns0:is>
          <ns0:t>37; 115; 258; new_343; new_364; new_415</ns0:t>
        </ns0:is>
      </ns0:c>
    </ns0:row>
    <ns0:row r="327" ht="32" customHeight="1">
      <ns0:c r="A327" s="19" t="inlineStr">
        <ns0:is>
          <ns0:t>Screening</ns0:t>
        </ns0:is>
      </ns0:c>
      <ns0:c r="B327" s="19" t="inlineStr">
        <ns0:is>
          <ns0:t>Not specified</ns0:t>
        </ns0:is>
      </ns0:c>
      <ns0:c r="C327" s="19" t="inlineStr">
        <ns0:is>
          <ns0:t>Deep Learning</ns0:t>
        </ns0:is>
      </ns0:c>
      <ns0:c r="D327" s="19" t="inlineStr">
        <ns0:is>
          <ns0:t>Explicit explainability (broad)</ns0:t>
        </ns0:is>
      </ns0:c>
      <ns0:c r="E327" s="19" t="inlineStr">
        <ns0:is>
          <ns0:t>xai_broad</ns0:t>
        </ns0:is>
      </ns0:c>
      <ns0:c r="F327" s="27">
        <ns0:f>COUNTIFS('BASE_CIERRE'!$G$5:$G$458,1,'BASE_CIERRE'!$H$5:$H$458,"Screening",'BASE_CIERRE'!$J$5:$J$458,"Not specified",'BASE_CIERRE'!$I$5:$I$458,"Deep Learning",'BASE_CIERRE'!$S$5:$S$458,"Reported")</ns0:f>
        <ns0:v>2</ns0:v>
      </ns0:c>
      <ns0:c r="G327" s="27">
        <ns0:f>COUNTIFS('BASE_CIERRE'!$G$5:$G$458,1,'BASE_CIERRE'!$H$5:$H$458,"Screening",'BASE_CIERRE'!$J$5:$J$458,"Not specified",'BASE_CIERRE'!$I$5:$I$458,"Deep Learning",'BASE_CIERRE'!$S$5:$S$458,"Not reported in assessed sources")</ns0:f>
        <ns0:v>4</ns0:v>
      </ns0:c>
      <ns0:c r="H327" s="27">
        <ns0:f>COUNTIFS('BASE_CIERRE'!$G$5:$G$458,1,'BASE_CIERRE'!$H$5:$H$458,"Screening",'BASE_CIERRE'!$J$5:$J$458,"Not specified",'BASE_CIERRE'!$I$5:$I$458,"Deep Learning",'BASE_CIERRE'!$S$5:$S$458,"Not ascertainable")</ns0:f>
        <ns0:v>0</ns0:v>
      </ns0:c>
      <ns0:c r="I327" s="27">
        <ns0:f>SUM(F327:H327)</ns0:f>
        <ns0:v>6</ns0:v>
      </ns0:c>
      <ns0:c r="J327" s="31">
        <ns0:f>IFERROR(F327/I327,0)</ns0:f>
        <ns0:v>0.3333333333333333</ns0:v>
      </ns0:c>
      <ns0:c r="K327" s="31">
        <ns0:f>IFERROR(F327/(I327-H327),0)</ns0:f>
        <ns0:v>0.3333333333333333</ns0:v>
      </ns0:c>
      <ns0:c r="L327" s="19" t="inlineStr">
        <ns0:is>
          <ns0:t>37; 115; 258; new_343; new_364; new_415</ns0:t>
        </ns0:is>
      </ns0:c>
    </ns0:row>
    <ns0:row r="328" ht="32" customHeight="1">
      <ns0:c r="A328" s="21" t="inlineStr">
        <ns0:is>
          <ns0:t>Screening</ns0:t>
        </ns0:is>
      </ns0:c>
      <ns0:c r="B328" s="21" t="inlineStr">
        <ns0:is>
          <ns0:t>Not specified</ns0:t>
        </ns0:is>
      </ns0:c>
      <ns0:c r="C328" s="21" t="inlineStr">
        <ns0:is>
          <ns0:t>Deep Learning</ns0:t>
        </ns0:is>
      </ns0:c>
      <ns0:c r="D328" s="21" t="inlineStr">
        <ns0:is>
          <ns0:t>Cross-site evaluation</ns0:t>
        </ns0:is>
      </ns0:c>
      <ns0:c r="E328" s="21" t="inlineStr">
        <ns0:is>
          <ns0:t>cross_site_robustness</ns0:t>
        </ns0:is>
      </ns0:c>
      <ns0:c r="F328" s="29">
        <ns0:f>COUNTIFS('BASE_CIERRE'!$G$5:$G$458,1,'BASE_CIERRE'!$H$5:$H$458,"Screening",'BASE_CIERRE'!$J$5:$J$458,"Not specified",'BASE_CIERRE'!$I$5:$I$458,"Deep Learning",'BASE_CIERRE'!$U$5:$U$458,"Reported")</ns0:f>
        <ns0:v>0</ns0:v>
      </ns0:c>
      <ns0:c r="G328" s="29">
        <ns0:f>COUNTIFS('BASE_CIERRE'!$G$5:$G$458,1,'BASE_CIERRE'!$H$5:$H$458,"Screening",'BASE_CIERRE'!$J$5:$J$458,"Not specified",'BASE_CIERRE'!$I$5:$I$458,"Deep Learning",'BASE_CIERRE'!$U$5:$U$458,"Not reported in assessed sources")</ns0:f>
        <ns0:v>6</ns0:v>
      </ns0:c>
      <ns0:c r="H328" s="29">
        <ns0:f>COUNTIFS('BASE_CIERRE'!$G$5:$G$458,1,'BASE_CIERRE'!$H$5:$H$458,"Screening",'BASE_CIERRE'!$J$5:$J$458,"Not specified",'BASE_CIERRE'!$I$5:$I$458,"Deep Learning",'BASE_CIERRE'!$U$5:$U$458,"Not ascertainable")</ns0:f>
        <ns0:v>0</ns0:v>
      </ns0:c>
      <ns0:c r="I328" s="29">
        <ns0:f>SUM(F328:H328)</ns0:f>
        <ns0:v>6</ns0:v>
      </ns0:c>
      <ns0:c r="J328" s="32">
        <ns0:f>IFERROR(F328/I328,0)</ns0:f>
        <ns0:v>0</ns0:v>
      </ns0:c>
      <ns0:c r="K328" s="32">
        <ns0:f>IFERROR(F328/(I328-H328),0)</ns0:f>
        <ns0:v>0</ns0:v>
      </ns0:c>
      <ns0:c r="L328" s="21" t="inlineStr">
        <ns0:is>
          <ns0:t>37; 115; 258; new_343; new_364; new_415</ns0:t>
        </ns0:is>
      </ns0:c>
    </ns0:row>
    <ns0:row r="329" ht="32" customHeight="1">
      <ns0:c r="A329" s="19" t="inlineStr">
        <ns0:is>
          <ns0:t>Screening</ns0:t>
        </ns0:is>
      </ns0:c>
      <ns0:c r="B329" s="19" t="inlineStr">
        <ns0:is>
          <ns0:t>Not specified</ns0:t>
        </ns0:is>
      </ns0:c>
      <ns0:c r="C329" s="19" t="inlineStr">
        <ns0:is>
          <ns0:t>Hybrid</ns0:t>
        </ns0:is>
      </ns0:c>
      <ns0:c r="D329" s="19" t="inlineStr">
        <ns0:is>
          <ns0:t>External validation</ns0:t>
        </ns0:is>
      </ns0:c>
      <ns0:c r="E329" s="19" t="inlineStr">
        <ns0:is>
          <ns0:t>external_validation</ns0:t>
        </ns0:is>
      </ns0:c>
      <ns0:c r="F329" s="27">
        <ns0:f>COUNTIFS('BASE_CIERRE'!$G$5:$G$458,1,'BASE_CIERRE'!$H$5:$H$458,"Screening",'BASE_CIERRE'!$J$5:$J$458,"Not specified",'BASE_CIERRE'!$I$5:$I$458,"Hybrid",'BASE_CIERRE'!$Q$5:$Q$458,"Reported")</ns0:f>
        <ns0:v>0</ns0:v>
      </ns0:c>
      <ns0:c r="G329" s="27">
        <ns0:f>COUNTIFS('BASE_CIERRE'!$G$5:$G$458,1,'BASE_CIERRE'!$H$5:$H$458,"Screening",'BASE_CIERRE'!$J$5:$J$458,"Not specified",'BASE_CIERRE'!$I$5:$I$458,"Hybrid",'BASE_CIERRE'!$Q$5:$Q$458,"Not reported in assessed sources")</ns0:f>
        <ns0:v>1</ns0:v>
      </ns0:c>
      <ns0:c r="H329" s="27">
        <ns0:f>COUNTIFS('BASE_CIERRE'!$G$5:$G$458,1,'BASE_CIERRE'!$H$5:$H$458,"Screening",'BASE_CIERRE'!$J$5:$J$458,"Not specified",'BASE_CIERRE'!$I$5:$I$458,"Hybrid",'BASE_CIERRE'!$Q$5:$Q$458,"Not ascertainable")</ns0:f>
        <ns0:v>0</ns0:v>
      </ns0:c>
      <ns0:c r="I329" s="27">
        <ns0:f>SUM(F329:H329)</ns0:f>
        <ns0:v>1</ns0:v>
      </ns0:c>
      <ns0:c r="J329" s="31">
        <ns0:f>IFERROR(F329/I329,0)</ns0:f>
        <ns0:v>0</ns0:v>
      </ns0:c>
      <ns0:c r="K329" s="31">
        <ns0:f>IFERROR(F329/(I329-H329),0)</ns0:f>
        <ns0:v>0</ns0:v>
      </ns0:c>
      <ns0:c r="L329" s="19" t="inlineStr">
        <ns0:is>
          <ns0:t>new_218</ns0:t>
        </ns0:is>
      </ns0:c>
    </ns0:row>
    <ns0:row r="330" ht="32" customHeight="1">
      <ns0:c r="A330" s="21" t="inlineStr">
        <ns0:is>
          <ns0:t>Screening</ns0:t>
        </ns0:is>
      </ns0:c>
      <ns0:c r="B330" s="21" t="inlineStr">
        <ns0:is>
          <ns0:t>Not specified</ns0:t>
        </ns0:is>
      </ns0:c>
      <ns0:c r="C330" s="21" t="inlineStr">
        <ns0:is>
          <ns0:t>Hybrid</ns0:t>
        </ns0:is>
      </ns0:c>
      <ns0:c r="D330" s="21" t="inlineStr">
        <ns0:is>
          <ns0:t>Multisource integration</ns0:t>
        </ns0:is>
      </ns0:c>
      <ns0:c r="E330" s="21" t="inlineStr">
        <ns0:is>
          <ns0:t>multisource_integration</ns0:t>
        </ns0:is>
      </ns0:c>
      <ns0:c r="F330" s="29">
        <ns0:f>COUNTIFS('BASE_CIERRE'!$G$5:$G$458,1,'BASE_CIERRE'!$H$5:$H$458,"Screening",'BASE_CIERRE'!$J$5:$J$458,"Not specified",'BASE_CIERRE'!$I$5:$I$458,"Hybrid",'BASE_CIERRE'!$R$5:$R$458,"Reported")</ns0:f>
        <ns0:v>0</ns0:v>
      </ns0:c>
      <ns0:c r="G330" s="29">
        <ns0:f>COUNTIFS('BASE_CIERRE'!$G$5:$G$458,1,'BASE_CIERRE'!$H$5:$H$458,"Screening",'BASE_CIERRE'!$J$5:$J$458,"Not specified",'BASE_CIERRE'!$I$5:$I$458,"Hybrid",'BASE_CIERRE'!$R$5:$R$458,"Not reported in assessed sources")</ns0:f>
        <ns0:v>0</ns0:v>
      </ns0:c>
      <ns0:c r="H330" s="29">
        <ns0:f>COUNTIFS('BASE_CIERRE'!$G$5:$G$458,1,'BASE_CIERRE'!$H$5:$H$458,"Screening",'BASE_CIERRE'!$J$5:$J$458,"Not specified",'BASE_CIERRE'!$I$5:$I$458,"Hybrid",'BASE_CIERRE'!$R$5:$R$458,"Not ascertainable")</ns0:f>
        <ns0:v>1</ns0:v>
      </ns0:c>
      <ns0:c r="I330" s="29">
        <ns0:f>SUM(F330:H330)</ns0:f>
        <ns0:v>1</ns0:v>
      </ns0:c>
      <ns0:c r="J330" s="32">
        <ns0:f>IFERROR(F330/I330,0)</ns0:f>
        <ns0:v>0</ns0:v>
      </ns0:c>
      <ns0:c r="K330" s="32">
        <ns0:f>IFERROR(F330/(I330-H330),0)</ns0:f>
        <ns0:v>0</ns0:v>
      </ns0:c>
      <ns0:c r="L330" s="21" t="inlineStr">
        <ns0:is>
          <ns0:t>new_218</ns0:t>
        </ns0:is>
      </ns0:c>
    </ns0:row>
    <ns0:row r="331" ht="32" customHeight="1">
      <ns0:c r="A331" s="19" t="inlineStr">
        <ns0:is>
          <ns0:t>Screening</ns0:t>
        </ns0:is>
      </ns0:c>
      <ns0:c r="B331" s="19" t="inlineStr">
        <ns0:is>
          <ns0:t>Not specified</ns0:t>
        </ns0:is>
      </ns0:c>
      <ns0:c r="C331" s="19" t="inlineStr">
        <ns0:is>
          <ns0:t>Hybrid</ns0:t>
        </ns0:is>
      </ns0:c>
      <ns0:c r="D331" s="19" t="inlineStr">
        <ns0:is>
          <ns0:t>Explicit explainability (broad)</ns0:t>
        </ns0:is>
      </ns0:c>
      <ns0:c r="E331" s="19" t="inlineStr">
        <ns0:is>
          <ns0:t>xai_broad</ns0:t>
        </ns0:is>
      </ns0:c>
      <ns0:c r="F331" s="27">
        <ns0:f>COUNTIFS('BASE_CIERRE'!$G$5:$G$458,1,'BASE_CIERRE'!$H$5:$H$458,"Screening",'BASE_CIERRE'!$J$5:$J$458,"Not specified",'BASE_CIERRE'!$I$5:$I$458,"Hybrid",'BASE_CIERRE'!$S$5:$S$458,"Reported")</ns0:f>
        <ns0:v>0</ns0:v>
      </ns0:c>
      <ns0:c r="G331" s="27">
        <ns0:f>COUNTIFS('BASE_CIERRE'!$G$5:$G$458,1,'BASE_CIERRE'!$H$5:$H$458,"Screening",'BASE_CIERRE'!$J$5:$J$458,"Not specified",'BASE_CIERRE'!$I$5:$I$458,"Hybrid",'BASE_CIERRE'!$S$5:$S$458,"Not reported in assessed sources")</ns0:f>
        <ns0:v>1</ns0:v>
      </ns0:c>
      <ns0:c r="H331" s="27">
        <ns0:f>COUNTIFS('BASE_CIERRE'!$G$5:$G$458,1,'BASE_CIERRE'!$H$5:$H$458,"Screening",'BASE_CIERRE'!$J$5:$J$458,"Not specified",'BASE_CIERRE'!$I$5:$I$458,"Hybrid",'BASE_CIERRE'!$S$5:$S$458,"Not ascertainable")</ns0:f>
        <ns0:v>0</ns0:v>
      </ns0:c>
      <ns0:c r="I331" s="27">
        <ns0:f>SUM(F331:H331)</ns0:f>
        <ns0:v>1</ns0:v>
      </ns0:c>
      <ns0:c r="J331" s="31">
        <ns0:f>IFERROR(F331/I331,0)</ns0:f>
        <ns0:v>0</ns0:v>
      </ns0:c>
      <ns0:c r="K331" s="31">
        <ns0:f>IFERROR(F331/(I331-H331),0)</ns0:f>
        <ns0:v>0</ns0:v>
      </ns0:c>
      <ns0:c r="L331" s="19" t="inlineStr">
        <ns0:is>
          <ns0:t>new_218</ns0:t>
        </ns0:is>
      </ns0:c>
    </ns0:row>
    <ns0:row r="332" ht="32" customHeight="1">
      <ns0:c r="A332" s="21" t="inlineStr">
        <ns0:is>
          <ns0:t>Screening</ns0:t>
        </ns0:is>
      </ns0:c>
      <ns0:c r="B332" s="21" t="inlineStr">
        <ns0:is>
          <ns0:t>Not specified</ns0:t>
        </ns0:is>
      </ns0:c>
      <ns0:c r="C332" s="21" t="inlineStr">
        <ns0:is>
          <ns0:t>Hybrid</ns0:t>
        </ns0:is>
      </ns0:c>
      <ns0:c r="D332" s="21" t="inlineStr">
        <ns0:is>
          <ns0:t>Cross-site evaluation</ns0:t>
        </ns0:is>
      </ns0:c>
      <ns0:c r="E332" s="21" t="inlineStr">
        <ns0:is>
          <ns0:t>cross_site_robustness</ns0:t>
        </ns0:is>
      </ns0:c>
      <ns0:c r="F332" s="29">
        <ns0:f>COUNTIFS('BASE_CIERRE'!$G$5:$G$458,1,'BASE_CIERRE'!$H$5:$H$458,"Screening",'BASE_CIERRE'!$J$5:$J$458,"Not specified",'BASE_CIERRE'!$I$5:$I$458,"Hybrid",'BASE_CIERRE'!$U$5:$U$458,"Reported")</ns0:f>
        <ns0:v>0</ns0:v>
      </ns0:c>
      <ns0:c r="G332" s="29">
        <ns0:f>COUNTIFS('BASE_CIERRE'!$G$5:$G$458,1,'BASE_CIERRE'!$H$5:$H$458,"Screening",'BASE_CIERRE'!$J$5:$J$458,"Not specified",'BASE_CIERRE'!$I$5:$I$458,"Hybrid",'BASE_CIERRE'!$U$5:$U$458,"Not reported in assessed sources")</ns0:f>
        <ns0:v>1</ns0:v>
      </ns0:c>
      <ns0:c r="H332" s="29">
        <ns0:f>COUNTIFS('BASE_CIERRE'!$G$5:$G$458,1,'BASE_CIERRE'!$H$5:$H$458,"Screening",'BASE_CIERRE'!$J$5:$J$458,"Not specified",'BASE_CIERRE'!$I$5:$I$458,"Hybrid",'BASE_CIERRE'!$U$5:$U$458,"Not ascertainable")</ns0:f>
        <ns0:v>0</ns0:v>
      </ns0:c>
      <ns0:c r="I332" s="29">
        <ns0:f>SUM(F332:H332)</ns0:f>
        <ns0:v>1</ns0:v>
      </ns0:c>
      <ns0:c r="J332" s="32">
        <ns0:f>IFERROR(F332/I332,0)</ns0:f>
        <ns0:v>0</ns0:v>
      </ns0:c>
      <ns0:c r="K332" s="32">
        <ns0:f>IFERROR(F332/(I332-H332),0)</ns0:f>
        <ns0:v>0</ns0:v>
      </ns0:c>
      <ns0:c r="L332" s="21" t="inlineStr">
        <ns0:is>
          <ns0:t>new_218</ns0:t>
        </ns0:is>
      </ns0:c>
    </ns0:row>
    <ns0:row r="333" ht="32" customHeight="1">
      <ns0:c r="A333" s="19" t="inlineStr">
        <ns0:is>
          <ns0:t>Screening</ns0:t>
        </ns0:is>
      </ns0:c>
      <ns0:c r="B333" s="19" t="inlineStr">
        <ns0:is>
          <ns0:t>Not specified</ns0:t>
        </ns0:is>
      </ns0:c>
      <ns0:c r="C333" s="19" t="inlineStr">
        <ns0:is>
          <ns0:t>Machine Learning</ns0:t>
        </ns0:is>
      </ns0:c>
      <ns0:c r="D333" s="19" t="inlineStr">
        <ns0:is>
          <ns0:t>External validation</ns0:t>
        </ns0:is>
      </ns0:c>
      <ns0:c r="E333" s="19" t="inlineStr">
        <ns0:is>
          <ns0:t>external_validation</ns0:t>
        </ns0:is>
      </ns0:c>
      <ns0:c r="F333" s="27">
        <ns0:f>COUNTIFS('BASE_CIERRE'!$G$5:$G$458,1,'BASE_CIERRE'!$H$5:$H$458,"Screening",'BASE_CIERRE'!$J$5:$J$458,"Not specified",'BASE_CIERRE'!$I$5:$I$458,"Machine Learning",'BASE_CIERRE'!$Q$5:$Q$458,"Reported")</ns0:f>
        <ns0:v>0</ns0:v>
      </ns0:c>
      <ns0:c r="G333" s="27">
        <ns0:f>COUNTIFS('BASE_CIERRE'!$G$5:$G$458,1,'BASE_CIERRE'!$H$5:$H$458,"Screening",'BASE_CIERRE'!$J$5:$J$458,"Not specified",'BASE_CIERRE'!$I$5:$I$458,"Machine Learning",'BASE_CIERRE'!$Q$5:$Q$458,"Not reported in assessed sources")</ns0:f>
        <ns0:v>1</ns0:v>
      </ns0:c>
      <ns0:c r="H333" s="27">
        <ns0:f>COUNTIFS('BASE_CIERRE'!$G$5:$G$458,1,'BASE_CIERRE'!$H$5:$H$458,"Screening",'BASE_CIERRE'!$J$5:$J$458,"Not specified",'BASE_CIERRE'!$I$5:$I$458,"Machine Learning",'BASE_CIERRE'!$Q$5:$Q$458,"Not ascertainable")</ns0:f>
        <ns0:v>0</ns0:v>
      </ns0:c>
      <ns0:c r="I333" s="27">
        <ns0:f>SUM(F333:H333)</ns0:f>
        <ns0:v>1</ns0:v>
      </ns0:c>
      <ns0:c r="J333" s="31">
        <ns0:f>IFERROR(F333/I333,0)</ns0:f>
        <ns0:v>0</ns0:v>
      </ns0:c>
      <ns0:c r="K333" s="31">
        <ns0:f>IFERROR(F333/(I333-H333),0)</ns0:f>
        <ns0:v>0</ns0:v>
      </ns0:c>
      <ns0:c r="L333" s="19" t="inlineStr">
        <ns0:is>
          <ns0:t>284</ns0:t>
        </ns0:is>
      </ns0:c>
    </ns0:row>
    <ns0:row r="334" ht="32" customHeight="1">
      <ns0:c r="A334" s="21" t="inlineStr">
        <ns0:is>
          <ns0:t>Screening</ns0:t>
        </ns0:is>
      </ns0:c>
      <ns0:c r="B334" s="21" t="inlineStr">
        <ns0:is>
          <ns0:t>Not specified</ns0:t>
        </ns0:is>
      </ns0:c>
      <ns0:c r="C334" s="21" t="inlineStr">
        <ns0:is>
          <ns0:t>Machine Learning</ns0:t>
        </ns0:is>
      </ns0:c>
      <ns0:c r="D334" s="21" t="inlineStr">
        <ns0:is>
          <ns0:t>Multisource integration</ns0:t>
        </ns0:is>
      </ns0:c>
      <ns0:c r="E334" s="21" t="inlineStr">
        <ns0:is>
          <ns0:t>multisource_integration</ns0:t>
        </ns0:is>
      </ns0:c>
      <ns0:c r="F334" s="29">
        <ns0:f>COUNTIFS('BASE_CIERRE'!$G$5:$G$458,1,'BASE_CIERRE'!$H$5:$H$458,"Screening",'BASE_CIERRE'!$J$5:$J$458,"Not specified",'BASE_CIERRE'!$I$5:$I$458,"Machine Learning",'BASE_CIERRE'!$R$5:$R$458,"Reported")</ns0:f>
        <ns0:v>0</ns0:v>
      </ns0:c>
      <ns0:c r="G334" s="29">
        <ns0:f>COUNTIFS('BASE_CIERRE'!$G$5:$G$458,1,'BASE_CIERRE'!$H$5:$H$458,"Screening",'BASE_CIERRE'!$J$5:$J$458,"Not specified",'BASE_CIERRE'!$I$5:$I$458,"Machine Learning",'BASE_CIERRE'!$R$5:$R$458,"Not reported in assessed sources")</ns0:f>
        <ns0:v>1</ns0:v>
      </ns0:c>
      <ns0:c r="H334" s="29">
        <ns0:f>COUNTIFS('BASE_CIERRE'!$G$5:$G$458,1,'BASE_CIERRE'!$H$5:$H$458,"Screening",'BASE_CIERRE'!$J$5:$J$458,"Not specified",'BASE_CIERRE'!$I$5:$I$458,"Machine Learning",'BASE_CIERRE'!$R$5:$R$458,"Not ascertainable")</ns0:f>
        <ns0:v>0</ns0:v>
      </ns0:c>
      <ns0:c r="I334" s="29">
        <ns0:f>SUM(F334:H334)</ns0:f>
        <ns0:v>1</ns0:v>
      </ns0:c>
      <ns0:c r="J334" s="32">
        <ns0:f>IFERROR(F334/I334,0)</ns0:f>
        <ns0:v>0</ns0:v>
      </ns0:c>
      <ns0:c r="K334" s="32">
        <ns0:f>IFERROR(F334/(I334-H334),0)</ns0:f>
        <ns0:v>0</ns0:v>
      </ns0:c>
      <ns0:c r="L334" s="21" t="inlineStr">
        <ns0:is>
          <ns0:t>284</ns0:t>
        </ns0:is>
      </ns0:c>
    </ns0:row>
    <ns0:row r="335" ht="32" customHeight="1">
      <ns0:c r="A335" s="19" t="inlineStr">
        <ns0:is>
          <ns0:t>Screening</ns0:t>
        </ns0:is>
      </ns0:c>
      <ns0:c r="B335" s="19" t="inlineStr">
        <ns0:is>
          <ns0:t>Not specified</ns0:t>
        </ns0:is>
      </ns0:c>
      <ns0:c r="C335" s="19" t="inlineStr">
        <ns0:is>
          <ns0:t>Machine Learning</ns0:t>
        </ns0:is>
      </ns0:c>
      <ns0:c r="D335" s="19" t="inlineStr">
        <ns0:is>
          <ns0:t>Explicit explainability (broad)</ns0:t>
        </ns0:is>
      </ns0:c>
      <ns0:c r="E335" s="19" t="inlineStr">
        <ns0:is>
          <ns0:t>xai_broad</ns0:t>
        </ns0:is>
      </ns0:c>
      <ns0:c r="F335" s="27">
        <ns0:f>COUNTIFS('BASE_CIERRE'!$G$5:$G$458,1,'BASE_CIERRE'!$H$5:$H$458,"Screening",'BASE_CIERRE'!$J$5:$J$458,"Not specified",'BASE_CIERRE'!$I$5:$I$458,"Machine Learning",'BASE_CIERRE'!$S$5:$S$458,"Reported")</ns0:f>
        <ns0:v>0</ns0:v>
      </ns0:c>
      <ns0:c r="G335" s="27">
        <ns0:f>COUNTIFS('BASE_CIERRE'!$G$5:$G$458,1,'BASE_CIERRE'!$H$5:$H$458,"Screening",'BASE_CIERRE'!$J$5:$J$458,"Not specified",'BASE_CIERRE'!$I$5:$I$458,"Machine Learning",'BASE_CIERRE'!$S$5:$S$458,"Not reported in assessed sources")</ns0:f>
        <ns0:v>1</ns0:v>
      </ns0:c>
      <ns0:c r="H335" s="27">
        <ns0:f>COUNTIFS('BASE_CIERRE'!$G$5:$G$458,1,'BASE_CIERRE'!$H$5:$H$458,"Screening",'BASE_CIERRE'!$J$5:$J$458,"Not specified",'BASE_CIERRE'!$I$5:$I$458,"Machine Learning",'BASE_CIERRE'!$S$5:$S$458,"Not ascertainable")</ns0:f>
        <ns0:v>0</ns0:v>
      </ns0:c>
      <ns0:c r="I335" s="27">
        <ns0:f>SUM(F335:H335)</ns0:f>
        <ns0:v>1</ns0:v>
      </ns0:c>
      <ns0:c r="J335" s="31">
        <ns0:f>IFERROR(F335/I335,0)</ns0:f>
        <ns0:v>0</ns0:v>
      </ns0:c>
      <ns0:c r="K335" s="31">
        <ns0:f>IFERROR(F335/(I335-H335),0)</ns0:f>
        <ns0:v>0</ns0:v>
      </ns0:c>
      <ns0:c r="L335" s="19" t="inlineStr">
        <ns0:is>
          <ns0:t>284</ns0:t>
        </ns0:is>
      </ns0:c>
    </ns0:row>
    <ns0:row r="336" ht="32" customHeight="1">
      <ns0:c r="A336" s="21" t="inlineStr">
        <ns0:is>
          <ns0:t>Screening</ns0:t>
        </ns0:is>
      </ns0:c>
      <ns0:c r="B336" s="21" t="inlineStr">
        <ns0:is>
          <ns0:t>Not specified</ns0:t>
        </ns0:is>
      </ns0:c>
      <ns0:c r="C336" s="21" t="inlineStr">
        <ns0:is>
          <ns0:t>Machine Learning</ns0:t>
        </ns0:is>
      </ns0:c>
      <ns0:c r="D336" s="21" t="inlineStr">
        <ns0:is>
          <ns0:t>Cross-site evaluation</ns0:t>
        </ns0:is>
      </ns0:c>
      <ns0:c r="E336" s="21" t="inlineStr">
        <ns0:is>
          <ns0:t>cross_site_robustness</ns0:t>
        </ns0:is>
      </ns0:c>
      <ns0:c r="F336" s="29">
        <ns0:f>COUNTIFS('BASE_CIERRE'!$G$5:$G$458,1,'BASE_CIERRE'!$H$5:$H$458,"Screening",'BASE_CIERRE'!$J$5:$J$458,"Not specified",'BASE_CIERRE'!$I$5:$I$458,"Machine Learning",'BASE_CIERRE'!$U$5:$U$458,"Reported")</ns0:f>
        <ns0:v>0</ns0:v>
      </ns0:c>
      <ns0:c r="G336" s="29">
        <ns0:f>COUNTIFS('BASE_CIERRE'!$G$5:$G$458,1,'BASE_CIERRE'!$H$5:$H$458,"Screening",'BASE_CIERRE'!$J$5:$J$458,"Not specified",'BASE_CIERRE'!$I$5:$I$458,"Machine Learning",'BASE_CIERRE'!$U$5:$U$458,"Not reported in assessed sources")</ns0:f>
        <ns0:v>1</ns0:v>
      </ns0:c>
      <ns0:c r="H336" s="29">
        <ns0:f>COUNTIFS('BASE_CIERRE'!$G$5:$G$458,1,'BASE_CIERRE'!$H$5:$H$458,"Screening",'BASE_CIERRE'!$J$5:$J$458,"Not specified",'BASE_CIERRE'!$I$5:$I$458,"Machine Learning",'BASE_CIERRE'!$U$5:$U$458,"Not ascertainable")</ns0:f>
        <ns0:v>0</ns0:v>
      </ns0:c>
      <ns0:c r="I336" s="29">
        <ns0:f>SUM(F336:H336)</ns0:f>
        <ns0:v>1</ns0:v>
      </ns0:c>
      <ns0:c r="J336" s="32">
        <ns0:f>IFERROR(F336/I336,0)</ns0:f>
        <ns0:v>0</ns0:v>
      </ns0:c>
      <ns0:c r="K336" s="32">
        <ns0:f>IFERROR(F336/(I336-H336),0)</ns0:f>
        <ns0:v>0</ns0:v>
      </ns0:c>
      <ns0:c r="L336" s="21" t="inlineStr">
        <ns0:is>
          <ns0:t>284</ns0:t>
        </ns0:is>
      </ns0:c>
    </ns0:row>
    <ns0:row r="337" ht="32" customHeight="1">
      <ns0:c r="A337" s="19" t="inlineStr">
        <ns0:is>
          <ns0:t>Screening</ns0:t>
        </ns0:is>
      </ns0:c>
      <ns0:c r="B337" s="19" t="inlineStr">
        <ns0:is>
          <ns0:t>Other biomedical/digital data</ns0:t>
        </ns0:is>
      </ns0:c>
      <ns0:c r="C337" s="19" t="inlineStr">
        <ns0:is>
          <ns0:t>Machine Learning</ns0:t>
        </ns0:is>
      </ns0:c>
      <ns0:c r="D337" s="19" t="inlineStr">
        <ns0:is>
          <ns0:t>External validation</ns0:t>
        </ns0:is>
      </ns0:c>
      <ns0:c r="E337" s="19" t="inlineStr">
        <ns0:is>
          <ns0:t>external_validation</ns0:t>
        </ns0:is>
      </ns0:c>
      <ns0:c r="F337" s="27">
        <ns0:f>COUNTIFS('BASE_CIERRE'!$G$5:$G$458,1,'BASE_CIERRE'!$H$5:$H$458,"Screening",'BASE_CIERRE'!$J$5:$J$458,"Other biomedical/digital data",'BASE_CIERRE'!$I$5:$I$458,"Machine Learning",'BASE_CIERRE'!$Q$5:$Q$458,"Reported")</ns0:f>
        <ns0:v>0</ns0:v>
      </ns0:c>
      <ns0:c r="G337" s="27">
        <ns0:f>COUNTIFS('BASE_CIERRE'!$G$5:$G$458,1,'BASE_CIERRE'!$H$5:$H$458,"Screening",'BASE_CIERRE'!$J$5:$J$458,"Other biomedical/digital data",'BASE_CIERRE'!$I$5:$I$458,"Machine Learning",'BASE_CIERRE'!$Q$5:$Q$458,"Not reported in assessed sources")</ns0:f>
        <ns0:v>1</ns0:v>
      </ns0:c>
      <ns0:c r="H337" s="27">
        <ns0:f>COUNTIFS('BASE_CIERRE'!$G$5:$G$458,1,'BASE_CIERRE'!$H$5:$H$458,"Screening",'BASE_CIERRE'!$J$5:$J$458,"Other biomedical/digital data",'BASE_CIERRE'!$I$5:$I$458,"Machine Learning",'BASE_CIERRE'!$Q$5:$Q$458,"Not ascertainable")</ns0:f>
        <ns0:v>0</ns0:v>
      </ns0:c>
      <ns0:c r="I337" s="27">
        <ns0:f>SUM(F337:H337)</ns0:f>
        <ns0:v>1</ns0:v>
      </ns0:c>
      <ns0:c r="J337" s="31">
        <ns0:f>IFERROR(F337/I337,0)</ns0:f>
        <ns0:v>0</ns0:v>
      </ns0:c>
      <ns0:c r="K337" s="31">
        <ns0:f>IFERROR(F337/(I337-H337),0)</ns0:f>
        <ns0:v>0</ns0:v>
      </ns0:c>
      <ns0:c r="L337" s="19" t="inlineStr">
        <ns0:is>
          <ns0:t>new_84</ns0:t>
        </ns0:is>
      </ns0:c>
    </ns0:row>
    <ns0:row r="338" ht="32" customHeight="1">
      <ns0:c r="A338" s="21" t="inlineStr">
        <ns0:is>
          <ns0:t>Screening</ns0:t>
        </ns0:is>
      </ns0:c>
      <ns0:c r="B338" s="21" t="inlineStr">
        <ns0:is>
          <ns0:t>Other biomedical/digital data</ns0:t>
        </ns0:is>
      </ns0:c>
      <ns0:c r="C338" s="21" t="inlineStr">
        <ns0:is>
          <ns0:t>Machine Learning</ns0:t>
        </ns0:is>
      </ns0:c>
      <ns0:c r="D338" s="21" t="inlineStr">
        <ns0:is>
          <ns0:t>Multisource integration</ns0:t>
        </ns0:is>
      </ns0:c>
      <ns0:c r="E338" s="21" t="inlineStr">
        <ns0:is>
          <ns0:t>multisource_integration</ns0:t>
        </ns0:is>
      </ns0:c>
      <ns0:c r="F338" s="29">
        <ns0:f>COUNTIFS('BASE_CIERRE'!$G$5:$G$458,1,'BASE_CIERRE'!$H$5:$H$458,"Screening",'BASE_CIERRE'!$J$5:$J$458,"Other biomedical/digital data",'BASE_CIERRE'!$I$5:$I$458,"Machine Learning",'BASE_CIERRE'!$R$5:$R$458,"Reported")</ns0:f>
        <ns0:v>0</ns0:v>
      </ns0:c>
      <ns0:c r="G338" s="29">
        <ns0:f>COUNTIFS('BASE_CIERRE'!$G$5:$G$458,1,'BASE_CIERRE'!$H$5:$H$458,"Screening",'BASE_CIERRE'!$J$5:$J$458,"Other biomedical/digital data",'BASE_CIERRE'!$I$5:$I$458,"Machine Learning",'BASE_CIERRE'!$R$5:$R$458,"Not reported in assessed sources")</ns0:f>
        <ns0:v>1</ns0:v>
      </ns0:c>
      <ns0:c r="H338" s="29">
        <ns0:f>COUNTIFS('BASE_CIERRE'!$G$5:$G$458,1,'BASE_CIERRE'!$H$5:$H$458,"Screening",'BASE_CIERRE'!$J$5:$J$458,"Other biomedical/digital data",'BASE_CIERRE'!$I$5:$I$458,"Machine Learning",'BASE_CIERRE'!$R$5:$R$458,"Not ascertainable")</ns0:f>
        <ns0:v>0</ns0:v>
      </ns0:c>
      <ns0:c r="I338" s="29">
        <ns0:f>SUM(F338:H338)</ns0:f>
        <ns0:v>1</ns0:v>
      </ns0:c>
      <ns0:c r="J338" s="32">
        <ns0:f>IFERROR(F338/I338,0)</ns0:f>
        <ns0:v>0</ns0:v>
      </ns0:c>
      <ns0:c r="K338" s="32">
        <ns0:f>IFERROR(F338/(I338-H338),0)</ns0:f>
        <ns0:v>0</ns0:v>
      </ns0:c>
      <ns0:c r="L338" s="21" t="inlineStr">
        <ns0:is>
          <ns0:t>new_84</ns0:t>
        </ns0:is>
      </ns0:c>
    </ns0:row>
    <ns0:row r="339" ht="32" customHeight="1">
      <ns0:c r="A339" s="19" t="inlineStr">
        <ns0:is>
          <ns0:t>Screening</ns0:t>
        </ns0:is>
      </ns0:c>
      <ns0:c r="B339" s="19" t="inlineStr">
        <ns0:is>
          <ns0:t>Other biomedical/digital data</ns0:t>
        </ns0:is>
      </ns0:c>
      <ns0:c r="C339" s="19" t="inlineStr">
        <ns0:is>
          <ns0:t>Machine Learning</ns0:t>
        </ns0:is>
      </ns0:c>
      <ns0:c r="D339" s="19" t="inlineStr">
        <ns0:is>
          <ns0:t>Explicit explainability (broad)</ns0:t>
        </ns0:is>
      </ns0:c>
      <ns0:c r="E339" s="19" t="inlineStr">
        <ns0:is>
          <ns0:t>xai_broad</ns0:t>
        </ns0:is>
      </ns0:c>
      <ns0:c r="F339" s="27">
        <ns0:f>COUNTIFS('BASE_CIERRE'!$G$5:$G$458,1,'BASE_CIERRE'!$H$5:$H$458,"Screening",'BASE_CIERRE'!$J$5:$J$458,"Other biomedical/digital data",'BASE_CIERRE'!$I$5:$I$458,"Machine Learning",'BASE_CIERRE'!$S$5:$S$458,"Reported")</ns0:f>
        <ns0:v>0</ns0:v>
      </ns0:c>
      <ns0:c r="G339" s="27">
        <ns0:f>COUNTIFS('BASE_CIERRE'!$G$5:$G$458,1,'BASE_CIERRE'!$H$5:$H$458,"Screening",'BASE_CIERRE'!$J$5:$J$458,"Other biomedical/digital data",'BASE_CIERRE'!$I$5:$I$458,"Machine Learning",'BASE_CIERRE'!$S$5:$S$458,"Not reported in assessed sources")</ns0:f>
        <ns0:v>1</ns0:v>
      </ns0:c>
      <ns0:c r="H339" s="27">
        <ns0:f>COUNTIFS('BASE_CIERRE'!$G$5:$G$458,1,'BASE_CIERRE'!$H$5:$H$458,"Screening",'BASE_CIERRE'!$J$5:$J$458,"Other biomedical/digital data",'BASE_CIERRE'!$I$5:$I$458,"Machine Learning",'BASE_CIERRE'!$S$5:$S$458,"Not ascertainable")</ns0:f>
        <ns0:v>0</ns0:v>
      </ns0:c>
      <ns0:c r="I339" s="27">
        <ns0:f>SUM(F339:H339)</ns0:f>
        <ns0:v>1</ns0:v>
      </ns0:c>
      <ns0:c r="J339" s="31">
        <ns0:f>IFERROR(F339/I339,0)</ns0:f>
        <ns0:v>0</ns0:v>
      </ns0:c>
      <ns0:c r="K339" s="31">
        <ns0:f>IFERROR(F339/(I339-H339),0)</ns0:f>
        <ns0:v>0</ns0:v>
      </ns0:c>
      <ns0:c r="L339" s="19" t="inlineStr">
        <ns0:is>
          <ns0:t>new_84</ns0:t>
        </ns0:is>
      </ns0:c>
    </ns0:row>
    <ns0:row r="340" ht="32" customHeight="1">
      <ns0:c r="A340" s="21" t="inlineStr">
        <ns0:is>
          <ns0:t>Screening</ns0:t>
        </ns0:is>
      </ns0:c>
      <ns0:c r="B340" s="21" t="inlineStr">
        <ns0:is>
          <ns0:t>Other biomedical/digital data</ns0:t>
        </ns0:is>
      </ns0:c>
      <ns0:c r="C340" s="21" t="inlineStr">
        <ns0:is>
          <ns0:t>Machine Learning</ns0:t>
        </ns0:is>
      </ns0:c>
      <ns0:c r="D340" s="21" t="inlineStr">
        <ns0:is>
          <ns0:t>Cross-site evaluation</ns0:t>
        </ns0:is>
      </ns0:c>
      <ns0:c r="E340" s="21" t="inlineStr">
        <ns0:is>
          <ns0:t>cross_site_robustness</ns0:t>
        </ns0:is>
      </ns0:c>
      <ns0:c r="F340" s="29">
        <ns0:f>COUNTIFS('BASE_CIERRE'!$G$5:$G$458,1,'BASE_CIERRE'!$H$5:$H$458,"Screening",'BASE_CIERRE'!$J$5:$J$458,"Other biomedical/digital data",'BASE_CIERRE'!$I$5:$I$458,"Machine Learning",'BASE_CIERRE'!$U$5:$U$458,"Reported")</ns0:f>
        <ns0:v>0</ns0:v>
      </ns0:c>
      <ns0:c r="G340" s="29">
        <ns0:f>COUNTIFS('BASE_CIERRE'!$G$5:$G$458,1,'BASE_CIERRE'!$H$5:$H$458,"Screening",'BASE_CIERRE'!$J$5:$J$458,"Other biomedical/digital data",'BASE_CIERRE'!$I$5:$I$458,"Machine Learning",'BASE_CIERRE'!$U$5:$U$458,"Not reported in assessed sources")</ns0:f>
        <ns0:v>1</ns0:v>
      </ns0:c>
      <ns0:c r="H340" s="29">
        <ns0:f>COUNTIFS('BASE_CIERRE'!$G$5:$G$458,1,'BASE_CIERRE'!$H$5:$H$458,"Screening",'BASE_CIERRE'!$J$5:$J$458,"Other biomedical/digital data",'BASE_CIERRE'!$I$5:$I$458,"Machine Learning",'BASE_CIERRE'!$U$5:$U$458,"Not ascertainable")</ns0:f>
        <ns0:v>0</ns0:v>
      </ns0:c>
      <ns0:c r="I340" s="29">
        <ns0:f>SUM(F340:H340)</ns0:f>
        <ns0:v>1</ns0:v>
      </ns0:c>
      <ns0:c r="J340" s="32">
        <ns0:f>IFERROR(F340/I340,0)</ns0:f>
        <ns0:v>0</ns0:v>
      </ns0:c>
      <ns0:c r="K340" s="32">
        <ns0:f>IFERROR(F340/(I340-H340),0)</ns0:f>
        <ns0:v>0</ns0:v>
      </ns0:c>
      <ns0:c r="L340" s="21" t="inlineStr">
        <ns0:is>
          <ns0:t>new_84</ns0:t>
        </ns0:is>
      </ns0:c>
    </ns0:row>
    <ns0:row r="341" ht="32" customHeight="1">
      <ns0:c r="A341" s="19" t="inlineStr">
        <ns0:is>
          <ns0:t>Screening</ns0:t>
        </ns0:is>
      </ns0:c>
      <ns0:c r="B341" s="19" t="inlineStr">
        <ns0:is>
          <ns0:t>Physiological signals</ns0:t>
        </ns0:is>
      </ns0:c>
      <ns0:c r="C341" s="19" t="inlineStr">
        <ns0:is>
          <ns0:t>Deep Learning</ns0:t>
        </ns0:is>
      </ns0:c>
      <ns0:c r="D341" s="19" t="inlineStr">
        <ns0:is>
          <ns0:t>External validation</ns0:t>
        </ns0:is>
      </ns0:c>
      <ns0:c r="E341" s="19" t="inlineStr">
        <ns0:is>
          <ns0:t>external_validation</ns0:t>
        </ns0:is>
      </ns0:c>
      <ns0:c r="F341" s="27">
        <ns0:f>COUNTIFS('BASE_CIERRE'!$G$5:$G$458,1,'BASE_CIERRE'!$H$5:$H$458,"Screening",'BASE_CIERRE'!$J$5:$J$458,"Physiological signals",'BASE_CIERRE'!$I$5:$I$458,"Deep Learning",'BASE_CIERRE'!$Q$5:$Q$458,"Reported")</ns0:f>
        <ns0:v>0</ns0:v>
      </ns0:c>
      <ns0:c r="G341" s="27">
        <ns0:f>COUNTIFS('BASE_CIERRE'!$G$5:$G$458,1,'BASE_CIERRE'!$H$5:$H$458,"Screening",'BASE_CIERRE'!$J$5:$J$458,"Physiological signals",'BASE_CIERRE'!$I$5:$I$458,"Deep Learning",'BASE_CIERRE'!$Q$5:$Q$458,"Not reported in assessed sources")</ns0:f>
        <ns0:v>3</ns0:v>
      </ns0:c>
      <ns0:c r="H341" s="27">
        <ns0:f>COUNTIFS('BASE_CIERRE'!$G$5:$G$458,1,'BASE_CIERRE'!$H$5:$H$458,"Screening",'BASE_CIERRE'!$J$5:$J$458,"Physiological signals",'BASE_CIERRE'!$I$5:$I$458,"Deep Learning",'BASE_CIERRE'!$Q$5:$Q$458,"Not ascertainable")</ns0:f>
        <ns0:v>0</ns0:v>
      </ns0:c>
      <ns0:c r="I341" s="27">
        <ns0:f>SUM(F341:H341)</ns0:f>
        <ns0:v>3</ns0:v>
      </ns0:c>
      <ns0:c r="J341" s="31">
        <ns0:f>IFERROR(F341/I341,0)</ns0:f>
        <ns0:v>0</ns0:v>
      </ns0:c>
      <ns0:c r="K341" s="31">
        <ns0:f>IFERROR(F341/(I341-H341),0)</ns0:f>
        <ns0:v>0</ns0:v>
      </ns0:c>
      <ns0:c r="L341" s="19" t="inlineStr">
        <ns0:is>
          <ns0:t>268; new_295; new_342</ns0:t>
        </ns0:is>
      </ns0:c>
    </ns0:row>
    <ns0:row r="342" ht="32" customHeight="1">
      <ns0:c r="A342" s="21" t="inlineStr">
        <ns0:is>
          <ns0:t>Screening</ns0:t>
        </ns0:is>
      </ns0:c>
      <ns0:c r="B342" s="21" t="inlineStr">
        <ns0:is>
          <ns0:t>Physiological signals</ns0:t>
        </ns0:is>
      </ns0:c>
      <ns0:c r="C342" s="21" t="inlineStr">
        <ns0:is>
          <ns0:t>Deep Learning</ns0:t>
        </ns0:is>
      </ns0:c>
      <ns0:c r="D342" s="21" t="inlineStr">
        <ns0:is>
          <ns0:t>Multisource integration</ns0:t>
        </ns0:is>
      </ns0:c>
      <ns0:c r="E342" s="21" t="inlineStr">
        <ns0:is>
          <ns0:t>multisource_integration</ns0:t>
        </ns0:is>
      </ns0:c>
      <ns0:c r="F342" s="29">
        <ns0:f>COUNTIFS('BASE_CIERRE'!$G$5:$G$458,1,'BASE_CIERRE'!$H$5:$H$458,"Screening",'BASE_CIERRE'!$J$5:$J$458,"Physiological signals",'BASE_CIERRE'!$I$5:$I$458,"Deep Learning",'BASE_CIERRE'!$R$5:$R$458,"Reported")</ns0:f>
        <ns0:v>0</ns0:v>
      </ns0:c>
      <ns0:c r="G342" s="29">
        <ns0:f>COUNTIFS('BASE_CIERRE'!$G$5:$G$458,1,'BASE_CIERRE'!$H$5:$H$458,"Screening",'BASE_CIERRE'!$J$5:$J$458,"Physiological signals",'BASE_CIERRE'!$I$5:$I$458,"Deep Learning",'BASE_CIERRE'!$R$5:$R$458,"Not reported in assessed sources")</ns0:f>
        <ns0:v>3</ns0:v>
      </ns0:c>
      <ns0:c r="H342" s="29">
        <ns0:f>COUNTIFS('BASE_CIERRE'!$G$5:$G$458,1,'BASE_CIERRE'!$H$5:$H$458,"Screening",'BASE_CIERRE'!$J$5:$J$458,"Physiological signals",'BASE_CIERRE'!$I$5:$I$458,"Deep Learning",'BASE_CIERRE'!$R$5:$R$458,"Not ascertainable")</ns0:f>
        <ns0:v>0</ns0:v>
      </ns0:c>
      <ns0:c r="I342" s="29">
        <ns0:f>SUM(F342:H342)</ns0:f>
        <ns0:v>3</ns0:v>
      </ns0:c>
      <ns0:c r="J342" s="32">
        <ns0:f>IFERROR(F342/I342,0)</ns0:f>
        <ns0:v>0</ns0:v>
      </ns0:c>
      <ns0:c r="K342" s="32">
        <ns0:f>IFERROR(F342/(I342-H342),0)</ns0:f>
        <ns0:v>0</ns0:v>
      </ns0:c>
      <ns0:c r="L342" s="21" t="inlineStr">
        <ns0:is>
          <ns0:t>268; new_295; new_342</ns0:t>
        </ns0:is>
      </ns0:c>
    </ns0:row>
    <ns0:row r="343" ht="32" customHeight="1">
      <ns0:c r="A343" s="19" t="inlineStr">
        <ns0:is>
          <ns0:t>Screening</ns0:t>
        </ns0:is>
      </ns0:c>
      <ns0:c r="B343" s="19" t="inlineStr">
        <ns0:is>
          <ns0:t>Physiological signals</ns0:t>
        </ns0:is>
      </ns0:c>
      <ns0:c r="C343" s="19" t="inlineStr">
        <ns0:is>
          <ns0:t>Deep Learning</ns0:t>
        </ns0:is>
      </ns0:c>
      <ns0:c r="D343" s="19" t="inlineStr">
        <ns0:is>
          <ns0:t>Explicit explainability (broad)</ns0:t>
        </ns0:is>
      </ns0:c>
      <ns0:c r="E343" s="19" t="inlineStr">
        <ns0:is>
          <ns0:t>xai_broad</ns0:t>
        </ns0:is>
      </ns0:c>
      <ns0:c r="F343" s="27">
        <ns0:f>COUNTIFS('BASE_CIERRE'!$G$5:$G$458,1,'BASE_CIERRE'!$H$5:$H$458,"Screening",'BASE_CIERRE'!$J$5:$J$458,"Physiological signals",'BASE_CIERRE'!$I$5:$I$458,"Deep Learning",'BASE_CIERRE'!$S$5:$S$458,"Reported")</ns0:f>
        <ns0:v>1</ns0:v>
      </ns0:c>
      <ns0:c r="G343" s="27">
        <ns0:f>COUNTIFS('BASE_CIERRE'!$G$5:$G$458,1,'BASE_CIERRE'!$H$5:$H$458,"Screening",'BASE_CIERRE'!$J$5:$J$458,"Physiological signals",'BASE_CIERRE'!$I$5:$I$458,"Deep Learning",'BASE_CIERRE'!$S$5:$S$458,"Not reported in assessed sources")</ns0:f>
        <ns0:v>2</ns0:v>
      </ns0:c>
      <ns0:c r="H343" s="27">
        <ns0:f>COUNTIFS('BASE_CIERRE'!$G$5:$G$458,1,'BASE_CIERRE'!$H$5:$H$458,"Screening",'BASE_CIERRE'!$J$5:$J$458,"Physiological signals",'BASE_CIERRE'!$I$5:$I$458,"Deep Learning",'BASE_CIERRE'!$S$5:$S$458,"Not ascertainable")</ns0:f>
        <ns0:v>0</ns0:v>
      </ns0:c>
      <ns0:c r="I343" s="27">
        <ns0:f>SUM(F343:H343)</ns0:f>
        <ns0:v>3</ns0:v>
      </ns0:c>
      <ns0:c r="J343" s="31">
        <ns0:f>IFERROR(F343/I343,0)</ns0:f>
        <ns0:v>0.3333333333333333</ns0:v>
      </ns0:c>
      <ns0:c r="K343" s="31">
        <ns0:f>IFERROR(F343/(I343-H343),0)</ns0:f>
        <ns0:v>0.3333333333333333</ns0:v>
      </ns0:c>
      <ns0:c r="L343" s="19" t="inlineStr">
        <ns0:is>
          <ns0:t>268; new_295; new_342</ns0:t>
        </ns0:is>
      </ns0:c>
    </ns0:row>
    <ns0:row r="344" ht="32" customHeight="1">
      <ns0:c r="A344" s="21" t="inlineStr">
        <ns0:is>
          <ns0:t>Screening</ns0:t>
        </ns0:is>
      </ns0:c>
      <ns0:c r="B344" s="21" t="inlineStr">
        <ns0:is>
          <ns0:t>Physiological signals</ns0:t>
        </ns0:is>
      </ns0:c>
      <ns0:c r="C344" s="21" t="inlineStr">
        <ns0:is>
          <ns0:t>Deep Learning</ns0:t>
        </ns0:is>
      </ns0:c>
      <ns0:c r="D344" s="21" t="inlineStr">
        <ns0:is>
          <ns0:t>Cross-site evaluation</ns0:t>
        </ns0:is>
      </ns0:c>
      <ns0:c r="E344" s="21" t="inlineStr">
        <ns0:is>
          <ns0:t>cross_site_robustness</ns0:t>
        </ns0:is>
      </ns0:c>
      <ns0:c r="F344" s="29">
        <ns0:f>COUNTIFS('BASE_CIERRE'!$G$5:$G$458,1,'BASE_CIERRE'!$H$5:$H$458,"Screening",'BASE_CIERRE'!$J$5:$J$458,"Physiological signals",'BASE_CIERRE'!$I$5:$I$458,"Deep Learning",'BASE_CIERRE'!$U$5:$U$458,"Reported")</ns0:f>
        <ns0:v>0</ns0:v>
      </ns0:c>
      <ns0:c r="G344" s="29">
        <ns0:f>COUNTIFS('BASE_CIERRE'!$G$5:$G$458,1,'BASE_CIERRE'!$H$5:$H$458,"Screening",'BASE_CIERRE'!$J$5:$J$458,"Physiological signals",'BASE_CIERRE'!$I$5:$I$458,"Deep Learning",'BASE_CIERRE'!$U$5:$U$458,"Not reported in assessed sources")</ns0:f>
        <ns0:v>3</ns0:v>
      </ns0:c>
      <ns0:c r="H344" s="29">
        <ns0:f>COUNTIFS('BASE_CIERRE'!$G$5:$G$458,1,'BASE_CIERRE'!$H$5:$H$458,"Screening",'BASE_CIERRE'!$J$5:$J$458,"Physiological signals",'BASE_CIERRE'!$I$5:$I$458,"Deep Learning",'BASE_CIERRE'!$U$5:$U$458,"Not ascertainable")</ns0:f>
        <ns0:v>0</ns0:v>
      </ns0:c>
      <ns0:c r="I344" s="29">
        <ns0:f>SUM(F344:H344)</ns0:f>
        <ns0:v>3</ns0:v>
      </ns0:c>
      <ns0:c r="J344" s="32">
        <ns0:f>IFERROR(F344/I344,0)</ns0:f>
        <ns0:v>0</ns0:v>
      </ns0:c>
      <ns0:c r="K344" s="32">
        <ns0:f>IFERROR(F344/(I344-H344),0)</ns0:f>
        <ns0:v>0</ns0:v>
      </ns0:c>
      <ns0:c r="L344" s="21" t="inlineStr">
        <ns0:is>
          <ns0:t>268; new_295; new_342</ns0:t>
        </ns0:is>
      </ns0:c>
    </ns0:row>
    <ns0:row r="345" ht="32" customHeight="1">
      <ns0:c r="A345" s="19" t="inlineStr">
        <ns0:is>
          <ns0:t>Screening</ns0:t>
        </ns0:is>
      </ns0:c>
      <ns0:c r="B345" s="19" t="inlineStr">
        <ns0:is>
          <ns0:t>Physiological signals</ns0:t>
        </ns0:is>
      </ns0:c>
      <ns0:c r="C345" s="19" t="inlineStr">
        <ns0:is>
          <ns0:t>Machine Learning</ns0:t>
        </ns0:is>
      </ns0:c>
      <ns0:c r="D345" s="19" t="inlineStr">
        <ns0:is>
          <ns0:t>External validation</ns0:t>
        </ns0:is>
      </ns0:c>
      <ns0:c r="E345" s="19" t="inlineStr">
        <ns0:is>
          <ns0:t>external_validation</ns0:t>
        </ns0:is>
      </ns0:c>
      <ns0:c r="F345" s="27">
        <ns0:f>COUNTIFS('BASE_CIERRE'!$G$5:$G$458,1,'BASE_CIERRE'!$H$5:$H$458,"Screening",'BASE_CIERRE'!$J$5:$J$458,"Physiological signals",'BASE_CIERRE'!$I$5:$I$458,"Machine Learning",'BASE_CIERRE'!$Q$5:$Q$458,"Reported")</ns0:f>
        <ns0:v>0</ns0:v>
      </ns0:c>
      <ns0:c r="G345" s="27">
        <ns0:f>COUNTIFS('BASE_CIERRE'!$G$5:$G$458,1,'BASE_CIERRE'!$H$5:$H$458,"Screening",'BASE_CIERRE'!$J$5:$J$458,"Physiological signals",'BASE_CIERRE'!$I$5:$I$458,"Machine Learning",'BASE_CIERRE'!$Q$5:$Q$458,"Not reported in assessed sources")</ns0:f>
        <ns0:v>3</ns0:v>
      </ns0:c>
      <ns0:c r="H345" s="27">
        <ns0:f>COUNTIFS('BASE_CIERRE'!$G$5:$G$458,1,'BASE_CIERRE'!$H$5:$H$458,"Screening",'BASE_CIERRE'!$J$5:$J$458,"Physiological signals",'BASE_CIERRE'!$I$5:$I$458,"Machine Learning",'BASE_CIERRE'!$Q$5:$Q$458,"Not ascertainable")</ns0:f>
        <ns0:v>0</ns0:v>
      </ns0:c>
      <ns0:c r="I345" s="27">
        <ns0:f>SUM(F345:H345)</ns0:f>
        <ns0:v>3</ns0:v>
      </ns0:c>
      <ns0:c r="J345" s="31">
        <ns0:f>IFERROR(F345/I345,0)</ns0:f>
        <ns0:v>0</ns0:v>
      </ns0:c>
      <ns0:c r="K345" s="31">
        <ns0:f>IFERROR(F345/(I345-H345),0)</ns0:f>
        <ns0:v>0</ns0:v>
      </ns0:c>
      <ns0:c r="L345" s="19" t="inlineStr">
        <ns0:is>
          <ns0:t>8; 148; new_249</ns0:t>
        </ns0:is>
      </ns0:c>
    </ns0:row>
    <ns0:row r="346" ht="32" customHeight="1">
      <ns0:c r="A346" s="21" t="inlineStr">
        <ns0:is>
          <ns0:t>Screening</ns0:t>
        </ns0:is>
      </ns0:c>
      <ns0:c r="B346" s="21" t="inlineStr">
        <ns0:is>
          <ns0:t>Physiological signals</ns0:t>
        </ns0:is>
      </ns0:c>
      <ns0:c r="C346" s="21" t="inlineStr">
        <ns0:is>
          <ns0:t>Machine Learning</ns0:t>
        </ns0:is>
      </ns0:c>
      <ns0:c r="D346" s="21" t="inlineStr">
        <ns0:is>
          <ns0:t>Multisource integration</ns0:t>
        </ns0:is>
      </ns0:c>
      <ns0:c r="E346" s="21" t="inlineStr">
        <ns0:is>
          <ns0:t>multisource_integration</ns0:t>
        </ns0:is>
      </ns0:c>
      <ns0:c r="F346" s="29">
        <ns0:f>COUNTIFS('BASE_CIERRE'!$G$5:$G$458,1,'BASE_CIERRE'!$H$5:$H$458,"Screening",'BASE_CIERRE'!$J$5:$J$458,"Physiological signals",'BASE_CIERRE'!$I$5:$I$458,"Machine Learning",'BASE_CIERRE'!$R$5:$R$458,"Reported")</ns0:f>
        <ns0:v>0</ns0:v>
      </ns0:c>
      <ns0:c r="G346" s="29">
        <ns0:f>COUNTIFS('BASE_CIERRE'!$G$5:$G$458,1,'BASE_CIERRE'!$H$5:$H$458,"Screening",'BASE_CIERRE'!$J$5:$J$458,"Physiological signals",'BASE_CIERRE'!$I$5:$I$458,"Machine Learning",'BASE_CIERRE'!$R$5:$R$458,"Not reported in assessed sources")</ns0:f>
        <ns0:v>3</ns0:v>
      </ns0:c>
      <ns0:c r="H346" s="29">
        <ns0:f>COUNTIFS('BASE_CIERRE'!$G$5:$G$458,1,'BASE_CIERRE'!$H$5:$H$458,"Screening",'BASE_CIERRE'!$J$5:$J$458,"Physiological signals",'BASE_CIERRE'!$I$5:$I$458,"Machine Learning",'BASE_CIERRE'!$R$5:$R$458,"Not ascertainable")</ns0:f>
        <ns0:v>0</ns0:v>
      </ns0:c>
      <ns0:c r="I346" s="29">
        <ns0:f>SUM(F346:H346)</ns0:f>
        <ns0:v>3</ns0:v>
      </ns0:c>
      <ns0:c r="J346" s="32">
        <ns0:f>IFERROR(F346/I346,0)</ns0:f>
        <ns0:v>0</ns0:v>
      </ns0:c>
      <ns0:c r="K346" s="32">
        <ns0:f>IFERROR(F346/(I346-H346),0)</ns0:f>
        <ns0:v>0</ns0:v>
      </ns0:c>
      <ns0:c r="L346" s="21" t="inlineStr">
        <ns0:is>
          <ns0:t>8; 148; new_249</ns0:t>
        </ns0:is>
      </ns0:c>
    </ns0:row>
    <ns0:row r="347" ht="32" customHeight="1">
      <ns0:c r="A347" s="19" t="inlineStr">
        <ns0:is>
          <ns0:t>Screening</ns0:t>
        </ns0:is>
      </ns0:c>
      <ns0:c r="B347" s="19" t="inlineStr">
        <ns0:is>
          <ns0:t>Physiological signals</ns0:t>
        </ns0:is>
      </ns0:c>
      <ns0:c r="C347" s="19" t="inlineStr">
        <ns0:is>
          <ns0:t>Machine Learning</ns0:t>
        </ns0:is>
      </ns0:c>
      <ns0:c r="D347" s="19" t="inlineStr">
        <ns0:is>
          <ns0:t>Explicit explainability (broad)</ns0:t>
        </ns0:is>
      </ns0:c>
      <ns0:c r="E347" s="19" t="inlineStr">
        <ns0:is>
          <ns0:t>xai_broad</ns0:t>
        </ns0:is>
      </ns0:c>
      <ns0:c r="F347" s="27">
        <ns0:f>COUNTIFS('BASE_CIERRE'!$G$5:$G$458,1,'BASE_CIERRE'!$H$5:$H$458,"Screening",'BASE_CIERRE'!$J$5:$J$458,"Physiological signals",'BASE_CIERRE'!$I$5:$I$458,"Machine Learning",'BASE_CIERRE'!$S$5:$S$458,"Reported")</ns0:f>
        <ns0:v>1</ns0:v>
      </ns0:c>
      <ns0:c r="G347" s="27">
        <ns0:f>COUNTIFS('BASE_CIERRE'!$G$5:$G$458,1,'BASE_CIERRE'!$H$5:$H$458,"Screening",'BASE_CIERRE'!$J$5:$J$458,"Physiological signals",'BASE_CIERRE'!$I$5:$I$458,"Machine Learning",'BASE_CIERRE'!$S$5:$S$458,"Not reported in assessed sources")</ns0:f>
        <ns0:v>2</ns0:v>
      </ns0:c>
      <ns0:c r="H347" s="27">
        <ns0:f>COUNTIFS('BASE_CIERRE'!$G$5:$G$458,1,'BASE_CIERRE'!$H$5:$H$458,"Screening",'BASE_CIERRE'!$J$5:$J$458,"Physiological signals",'BASE_CIERRE'!$I$5:$I$458,"Machine Learning",'BASE_CIERRE'!$S$5:$S$458,"Not ascertainable")</ns0:f>
        <ns0:v>0</ns0:v>
      </ns0:c>
      <ns0:c r="I347" s="27">
        <ns0:f>SUM(F347:H347)</ns0:f>
        <ns0:v>3</ns0:v>
      </ns0:c>
      <ns0:c r="J347" s="31">
        <ns0:f>IFERROR(F347/I347,0)</ns0:f>
        <ns0:v>0.3333333333333333</ns0:v>
      </ns0:c>
      <ns0:c r="K347" s="31">
        <ns0:f>IFERROR(F347/(I347-H347),0)</ns0:f>
        <ns0:v>0.3333333333333333</ns0:v>
      </ns0:c>
      <ns0:c r="L347" s="19" t="inlineStr">
        <ns0:is>
          <ns0:t>8; 148; new_249</ns0:t>
        </ns0:is>
      </ns0:c>
    </ns0:row>
    <ns0:row r="348" ht="32" customHeight="1">
      <ns0:c r="A348" s="21" t="inlineStr">
        <ns0:is>
          <ns0:t>Screening</ns0:t>
        </ns0:is>
      </ns0:c>
      <ns0:c r="B348" s="21" t="inlineStr">
        <ns0:is>
          <ns0:t>Physiological signals</ns0:t>
        </ns0:is>
      </ns0:c>
      <ns0:c r="C348" s="21" t="inlineStr">
        <ns0:is>
          <ns0:t>Machine Learning</ns0:t>
        </ns0:is>
      </ns0:c>
      <ns0:c r="D348" s="21" t="inlineStr">
        <ns0:is>
          <ns0:t>Cross-site evaluation</ns0:t>
        </ns0:is>
      </ns0:c>
      <ns0:c r="E348" s="21" t="inlineStr">
        <ns0:is>
          <ns0:t>cross_site_robustness</ns0:t>
        </ns0:is>
      </ns0:c>
      <ns0:c r="F348" s="29">
        <ns0:f>COUNTIFS('BASE_CIERRE'!$G$5:$G$458,1,'BASE_CIERRE'!$H$5:$H$458,"Screening",'BASE_CIERRE'!$J$5:$J$458,"Physiological signals",'BASE_CIERRE'!$I$5:$I$458,"Machine Learning",'BASE_CIERRE'!$U$5:$U$458,"Reported")</ns0:f>
        <ns0:v>0</ns0:v>
      </ns0:c>
      <ns0:c r="G348" s="29">
        <ns0:f>COUNTIFS('BASE_CIERRE'!$G$5:$G$458,1,'BASE_CIERRE'!$H$5:$H$458,"Screening",'BASE_CIERRE'!$J$5:$J$458,"Physiological signals",'BASE_CIERRE'!$I$5:$I$458,"Machine Learning",'BASE_CIERRE'!$U$5:$U$458,"Not reported in assessed sources")</ns0:f>
        <ns0:v>3</ns0:v>
      </ns0:c>
      <ns0:c r="H348" s="29">
        <ns0:f>COUNTIFS('BASE_CIERRE'!$G$5:$G$458,1,'BASE_CIERRE'!$H$5:$H$458,"Screening",'BASE_CIERRE'!$J$5:$J$458,"Physiological signals",'BASE_CIERRE'!$I$5:$I$458,"Machine Learning",'BASE_CIERRE'!$U$5:$U$458,"Not ascertainable")</ns0:f>
        <ns0:v>0</ns0:v>
      </ns0:c>
      <ns0:c r="I348" s="29">
        <ns0:f>SUM(F348:H348)</ns0:f>
        <ns0:v>3</ns0:v>
      </ns0:c>
      <ns0:c r="J348" s="32">
        <ns0:f>IFERROR(F348/I348,0)</ns0:f>
        <ns0:v>0</ns0:v>
      </ns0:c>
      <ns0:c r="K348" s="32">
        <ns0:f>IFERROR(F348/(I348-H348),0)</ns0:f>
        <ns0:v>0</ns0:v>
      </ns0:c>
      <ns0:c r="L348" s="21" t="inlineStr">
        <ns0:is>
          <ns0:t>8; 148; new_249</ns0:t>
        </ns0:is>
      </ns0:c>
    </ns0:row>
    <ns0:row r="349" ht="32" customHeight="1">
      <ns0:c r="A349" s="19" t="inlineStr">
        <ns0:is>
          <ns0:t>Screening</ns0:t>
        </ns0:is>
      </ns0:c>
      <ns0:c r="B349" s="19" t="inlineStr">
        <ns0:is>
          <ns0:t>Structured clinical/questionnaire data</ns0:t>
        </ns0:is>
      </ns0:c>
      <ns0:c r="C349" s="19" t="inlineStr">
        <ns0:is>
          <ns0:t>Deep Learning</ns0:t>
        </ns0:is>
      </ns0:c>
      <ns0:c r="D349" s="19" t="inlineStr">
        <ns0:is>
          <ns0:t>External validation</ns0:t>
        </ns0:is>
      </ns0:c>
      <ns0:c r="E349" s="19" t="inlineStr">
        <ns0:is>
          <ns0:t>external_validation</ns0:t>
        </ns0:is>
      </ns0:c>
      <ns0:c r="F349" s="27">
        <ns0:f>COUNTIFS('BASE_CIERRE'!$G$5:$G$458,1,'BASE_CIERRE'!$H$5:$H$458,"Screening",'BASE_CIERRE'!$J$5:$J$458,"Structured clinical/questionnaire data",'BASE_CIERRE'!$I$5:$I$458,"Deep Learning",'BASE_CIERRE'!$Q$5:$Q$458,"Reported")</ns0:f>
        <ns0:v>0</ns0:v>
      </ns0:c>
      <ns0:c r="G349" s="27">
        <ns0:f>COUNTIFS('BASE_CIERRE'!$G$5:$G$458,1,'BASE_CIERRE'!$H$5:$H$458,"Screening",'BASE_CIERRE'!$J$5:$J$458,"Structured clinical/questionnaire data",'BASE_CIERRE'!$I$5:$I$458,"Deep Learning",'BASE_CIERRE'!$Q$5:$Q$458,"Not reported in assessed sources")</ns0:f>
        <ns0:v>9</ns0:v>
      </ns0:c>
      <ns0:c r="H349" s="27">
        <ns0:f>COUNTIFS('BASE_CIERRE'!$G$5:$G$458,1,'BASE_CIERRE'!$H$5:$H$458,"Screening",'BASE_CIERRE'!$J$5:$J$458,"Structured clinical/questionnaire data",'BASE_CIERRE'!$I$5:$I$458,"Deep Learning",'BASE_CIERRE'!$Q$5:$Q$458,"Not ascertainable")</ns0:f>
        <ns0:v>0</ns0:v>
      </ns0:c>
      <ns0:c r="I349" s="27">
        <ns0:f>SUM(F349:H349)</ns0:f>
        <ns0:v>9</ns0:v>
      </ns0:c>
      <ns0:c r="J349" s="31">
        <ns0:f>IFERROR(F349/I349,0)</ns0:f>
        <ns0:v>0</ns0:v>
      </ns0:c>
      <ns0:c r="K349" s="31">
        <ns0:f>IFERROR(F349/(I349-H349),0)</ns0:f>
        <ns0:v>0</ns0:v>
      </ns0:c>
      <ns0:c r="L349" s="19" t="inlineStr">
        <ns0:is>
          <ns0:t>30; 31; 82; 135; new_372; new_78; new_122; new_271; new_416</ns0:t>
        </ns0:is>
      </ns0:c>
    </ns0:row>
    <ns0:row r="350" ht="32" customHeight="1">
      <ns0:c r="A350" s="21" t="inlineStr">
        <ns0:is>
          <ns0:t>Screening</ns0:t>
        </ns0:is>
      </ns0:c>
      <ns0:c r="B350" s="21" t="inlineStr">
        <ns0:is>
          <ns0:t>Structured clinical/questionnaire data</ns0:t>
        </ns0:is>
      </ns0:c>
      <ns0:c r="C350" s="21" t="inlineStr">
        <ns0:is>
          <ns0:t>Deep Learning</ns0:t>
        </ns0:is>
      </ns0:c>
      <ns0:c r="D350" s="21" t="inlineStr">
        <ns0:is>
          <ns0:t>Multisource integration</ns0:t>
        </ns0:is>
      </ns0:c>
      <ns0:c r="E350" s="21" t="inlineStr">
        <ns0:is>
          <ns0:t>multisource_integration</ns0:t>
        </ns0:is>
      </ns0:c>
      <ns0:c r="F350" s="29">
        <ns0:f>COUNTIFS('BASE_CIERRE'!$G$5:$G$458,1,'BASE_CIERRE'!$H$5:$H$458,"Screening",'BASE_CIERRE'!$J$5:$J$458,"Structured clinical/questionnaire data",'BASE_CIERRE'!$I$5:$I$458,"Deep Learning",'BASE_CIERRE'!$R$5:$R$458,"Reported")</ns0:f>
        <ns0:v>0</ns0:v>
      </ns0:c>
      <ns0:c r="G350" s="29">
        <ns0:f>COUNTIFS('BASE_CIERRE'!$G$5:$G$458,1,'BASE_CIERRE'!$H$5:$H$458,"Screening",'BASE_CIERRE'!$J$5:$J$458,"Structured clinical/questionnaire data",'BASE_CIERRE'!$I$5:$I$458,"Deep Learning",'BASE_CIERRE'!$R$5:$R$458,"Not reported in assessed sources")</ns0:f>
        <ns0:v>7</ns0:v>
      </ns0:c>
      <ns0:c r="H350" s="29">
        <ns0:f>COUNTIFS('BASE_CIERRE'!$G$5:$G$458,1,'BASE_CIERRE'!$H$5:$H$458,"Screening",'BASE_CIERRE'!$J$5:$J$458,"Structured clinical/questionnaire data",'BASE_CIERRE'!$I$5:$I$458,"Deep Learning",'BASE_CIERRE'!$R$5:$R$458,"Not ascertainable")</ns0:f>
        <ns0:v>2</ns0:v>
      </ns0:c>
      <ns0:c r="I350" s="29">
        <ns0:f>SUM(F350:H350)</ns0:f>
        <ns0:v>9</ns0:v>
      </ns0:c>
      <ns0:c r="J350" s="32">
        <ns0:f>IFERROR(F350/I350,0)</ns0:f>
        <ns0:v>0</ns0:v>
      </ns0:c>
      <ns0:c r="K350" s="32">
        <ns0:f>IFERROR(F350/(I350-H350),0)</ns0:f>
        <ns0:v>0</ns0:v>
      </ns0:c>
      <ns0:c r="L350" s="21" t="inlineStr">
        <ns0:is>
          <ns0:t>30; 31; 82; 135; new_372; new_78; new_122; new_271; new_416</ns0:t>
        </ns0:is>
      </ns0:c>
    </ns0:row>
    <ns0:row r="351" ht="32" customHeight="1">
      <ns0:c r="A351" s="19" t="inlineStr">
        <ns0:is>
          <ns0:t>Screening</ns0:t>
        </ns0:is>
      </ns0:c>
      <ns0:c r="B351" s="19" t="inlineStr">
        <ns0:is>
          <ns0:t>Structured clinical/questionnaire data</ns0:t>
        </ns0:is>
      </ns0:c>
      <ns0:c r="C351" s="19" t="inlineStr">
        <ns0:is>
          <ns0:t>Deep Learning</ns0:t>
        </ns0:is>
      </ns0:c>
      <ns0:c r="D351" s="19" t="inlineStr">
        <ns0:is>
          <ns0:t>Explicit explainability (broad)</ns0:t>
        </ns0:is>
      </ns0:c>
      <ns0:c r="E351" s="19" t="inlineStr">
        <ns0:is>
          <ns0:t>xai_broad</ns0:t>
        </ns0:is>
      </ns0:c>
      <ns0:c r="F351" s="27">
        <ns0:f>COUNTIFS('BASE_CIERRE'!$G$5:$G$458,1,'BASE_CIERRE'!$H$5:$H$458,"Screening",'BASE_CIERRE'!$J$5:$J$458,"Structured clinical/questionnaire data",'BASE_CIERRE'!$I$5:$I$458,"Deep Learning",'BASE_CIERRE'!$S$5:$S$458,"Reported")</ns0:f>
        <ns0:v>1</ns0:v>
      </ns0:c>
      <ns0:c r="G351" s="27">
        <ns0:f>COUNTIFS('BASE_CIERRE'!$G$5:$G$458,1,'BASE_CIERRE'!$H$5:$H$458,"Screening",'BASE_CIERRE'!$J$5:$J$458,"Structured clinical/questionnaire data",'BASE_CIERRE'!$I$5:$I$458,"Deep Learning",'BASE_CIERRE'!$S$5:$S$458,"Not reported in assessed sources")</ns0:f>
        <ns0:v>8</ns0:v>
      </ns0:c>
      <ns0:c r="H351" s="27">
        <ns0:f>COUNTIFS('BASE_CIERRE'!$G$5:$G$458,1,'BASE_CIERRE'!$H$5:$H$458,"Screening",'BASE_CIERRE'!$J$5:$J$458,"Structured clinical/questionnaire data",'BASE_CIERRE'!$I$5:$I$458,"Deep Learning",'BASE_CIERRE'!$S$5:$S$458,"Not ascertainable")</ns0:f>
        <ns0:v>0</ns0:v>
      </ns0:c>
      <ns0:c r="I351" s="27">
        <ns0:f>SUM(F351:H351)</ns0:f>
        <ns0:v>9</ns0:v>
      </ns0:c>
      <ns0:c r="J351" s="31">
        <ns0:f>IFERROR(F351/I351,0)</ns0:f>
        <ns0:v>0.1111111111111111</ns0:v>
      </ns0:c>
      <ns0:c r="K351" s="31">
        <ns0:f>IFERROR(F351/(I351-H351),0)</ns0:f>
        <ns0:v>0.1111111111111111</ns0:v>
      </ns0:c>
      <ns0:c r="L351" s="19" t="inlineStr">
        <ns0:is>
          <ns0:t>30; 31; 82; 135; new_372; new_78; new_122; new_271; new_416</ns0:t>
        </ns0:is>
      </ns0:c>
    </ns0:row>
    <ns0:row r="352" ht="32" customHeight="1">
      <ns0:c r="A352" s="21" t="inlineStr">
        <ns0:is>
          <ns0:t>Screening</ns0:t>
        </ns0:is>
      </ns0:c>
      <ns0:c r="B352" s="21" t="inlineStr">
        <ns0:is>
          <ns0:t>Structured clinical/questionnaire data</ns0:t>
        </ns0:is>
      </ns0:c>
      <ns0:c r="C352" s="21" t="inlineStr">
        <ns0:is>
          <ns0:t>Deep Learning</ns0:t>
        </ns0:is>
      </ns0:c>
      <ns0:c r="D352" s="21" t="inlineStr">
        <ns0:is>
          <ns0:t>Cross-site evaluation</ns0:t>
        </ns0:is>
      </ns0:c>
      <ns0:c r="E352" s="21" t="inlineStr">
        <ns0:is>
          <ns0:t>cross_site_robustness</ns0:t>
        </ns0:is>
      </ns0:c>
      <ns0:c r="F352" s="29">
        <ns0:f>COUNTIFS('BASE_CIERRE'!$G$5:$G$458,1,'BASE_CIERRE'!$H$5:$H$458,"Screening",'BASE_CIERRE'!$J$5:$J$458,"Structured clinical/questionnaire data",'BASE_CIERRE'!$I$5:$I$458,"Deep Learning",'BASE_CIERRE'!$U$5:$U$458,"Reported")</ns0:f>
        <ns0:v>0</ns0:v>
      </ns0:c>
      <ns0:c r="G352" s="29">
        <ns0:f>COUNTIFS('BASE_CIERRE'!$G$5:$G$458,1,'BASE_CIERRE'!$H$5:$H$458,"Screening",'BASE_CIERRE'!$J$5:$J$458,"Structured clinical/questionnaire data",'BASE_CIERRE'!$I$5:$I$458,"Deep Learning",'BASE_CIERRE'!$U$5:$U$458,"Not reported in assessed sources")</ns0:f>
        <ns0:v>9</ns0:v>
      </ns0:c>
      <ns0:c r="H352" s="29">
        <ns0:f>COUNTIFS('BASE_CIERRE'!$G$5:$G$458,1,'BASE_CIERRE'!$H$5:$H$458,"Screening",'BASE_CIERRE'!$J$5:$J$458,"Structured clinical/questionnaire data",'BASE_CIERRE'!$I$5:$I$458,"Deep Learning",'BASE_CIERRE'!$U$5:$U$458,"Not ascertainable")</ns0:f>
        <ns0:v>0</ns0:v>
      </ns0:c>
      <ns0:c r="I352" s="29">
        <ns0:f>SUM(F352:H352)</ns0:f>
        <ns0:v>9</ns0:v>
      </ns0:c>
      <ns0:c r="J352" s="32">
        <ns0:f>IFERROR(F352/I352,0)</ns0:f>
        <ns0:v>0</ns0:v>
      </ns0:c>
      <ns0:c r="K352" s="32">
        <ns0:f>IFERROR(F352/(I352-H352),0)</ns0:f>
        <ns0:v>0</ns0:v>
      </ns0:c>
      <ns0:c r="L352" s="21" t="inlineStr">
        <ns0:is>
          <ns0:t>30; 31; 82; 135; new_372; new_78; new_122; new_271; new_416</ns0:t>
        </ns0:is>
      </ns0:c>
    </ns0:row>
    <ns0:row r="353" ht="32" customHeight="1">
      <ns0:c r="A353" s="19" t="inlineStr">
        <ns0:is>
          <ns0:t>Screening</ns0:t>
        </ns0:is>
      </ns0:c>
      <ns0:c r="B353" s="19" t="inlineStr">
        <ns0:is>
          <ns0:t>Structured clinical/questionnaire data</ns0:t>
        </ns0:is>
      </ns0:c>
      <ns0:c r="C353" s="19" t="inlineStr">
        <ns0:is>
          <ns0:t>Hybrid</ns0:t>
        </ns0:is>
      </ns0:c>
      <ns0:c r="D353" s="19" t="inlineStr">
        <ns0:is>
          <ns0:t>External validation</ns0:t>
        </ns0:is>
      </ns0:c>
      <ns0:c r="E353" s="19" t="inlineStr">
        <ns0:is>
          <ns0:t>external_validation</ns0:t>
        </ns0:is>
      </ns0:c>
      <ns0:c r="F353" s="27">
        <ns0:f>COUNTIFS('BASE_CIERRE'!$G$5:$G$458,1,'BASE_CIERRE'!$H$5:$H$458,"Screening",'BASE_CIERRE'!$J$5:$J$458,"Structured clinical/questionnaire data",'BASE_CIERRE'!$I$5:$I$458,"Hybrid",'BASE_CIERRE'!$Q$5:$Q$458,"Reported")</ns0:f>
        <ns0:v>0</ns0:v>
      </ns0:c>
      <ns0:c r="G353" s="27">
        <ns0:f>COUNTIFS('BASE_CIERRE'!$G$5:$G$458,1,'BASE_CIERRE'!$H$5:$H$458,"Screening",'BASE_CIERRE'!$J$5:$J$458,"Structured clinical/questionnaire data",'BASE_CIERRE'!$I$5:$I$458,"Hybrid",'BASE_CIERRE'!$Q$5:$Q$458,"Not reported in assessed sources")</ns0:f>
        <ns0:v>2</ns0:v>
      </ns0:c>
      <ns0:c r="H353" s="27">
        <ns0:f>COUNTIFS('BASE_CIERRE'!$G$5:$G$458,1,'BASE_CIERRE'!$H$5:$H$458,"Screening",'BASE_CIERRE'!$J$5:$J$458,"Structured clinical/questionnaire data",'BASE_CIERRE'!$I$5:$I$458,"Hybrid",'BASE_CIERRE'!$Q$5:$Q$458,"Not ascertainable")</ns0:f>
        <ns0:v>0</ns0:v>
      </ns0:c>
      <ns0:c r="I353" s="27">
        <ns0:f>SUM(F353:H353)</ns0:f>
        <ns0:v>2</ns0:v>
      </ns0:c>
      <ns0:c r="J353" s="31">
        <ns0:f>IFERROR(F353/I353,0)</ns0:f>
        <ns0:v>0</ns0:v>
      </ns0:c>
      <ns0:c r="K353" s="31">
        <ns0:f>IFERROR(F353/(I353-H353),0)</ns0:f>
        <ns0:v>0</ns0:v>
      </ns0:c>
      <ns0:c r="L353" s="19" t="inlineStr">
        <ns0:is>
          <ns0:t>new_359; new_406</ns0:t>
        </ns0:is>
      </ns0:c>
    </ns0:row>
    <ns0:row r="354" ht="32" customHeight="1">
      <ns0:c r="A354" s="21" t="inlineStr">
        <ns0:is>
          <ns0:t>Screening</ns0:t>
        </ns0:is>
      </ns0:c>
      <ns0:c r="B354" s="21" t="inlineStr">
        <ns0:is>
          <ns0:t>Structured clinical/questionnaire data</ns0:t>
        </ns0:is>
      </ns0:c>
      <ns0:c r="C354" s="21" t="inlineStr">
        <ns0:is>
          <ns0:t>Hybrid</ns0:t>
        </ns0:is>
      </ns0:c>
      <ns0:c r="D354" s="21" t="inlineStr">
        <ns0:is>
          <ns0:t>Multisource integration</ns0:t>
        </ns0:is>
      </ns0:c>
      <ns0:c r="E354" s="21" t="inlineStr">
        <ns0:is>
          <ns0:t>multisource_integration</ns0:t>
        </ns0:is>
      </ns0:c>
      <ns0:c r="F354" s="29">
        <ns0:f>COUNTIFS('BASE_CIERRE'!$G$5:$G$458,1,'BASE_CIERRE'!$H$5:$H$458,"Screening",'BASE_CIERRE'!$J$5:$J$458,"Structured clinical/questionnaire data",'BASE_CIERRE'!$I$5:$I$458,"Hybrid",'BASE_CIERRE'!$R$5:$R$458,"Reported")</ns0:f>
        <ns0:v>0</ns0:v>
      </ns0:c>
      <ns0:c r="G354" s="29">
        <ns0:f>COUNTIFS('BASE_CIERRE'!$G$5:$G$458,1,'BASE_CIERRE'!$H$5:$H$458,"Screening",'BASE_CIERRE'!$J$5:$J$458,"Structured clinical/questionnaire data",'BASE_CIERRE'!$I$5:$I$458,"Hybrid",'BASE_CIERRE'!$R$5:$R$458,"Not reported in assessed sources")</ns0:f>
        <ns0:v>2</ns0:v>
      </ns0:c>
      <ns0:c r="H354" s="29">
        <ns0:f>COUNTIFS('BASE_CIERRE'!$G$5:$G$458,1,'BASE_CIERRE'!$H$5:$H$458,"Screening",'BASE_CIERRE'!$J$5:$J$458,"Structured clinical/questionnaire data",'BASE_CIERRE'!$I$5:$I$458,"Hybrid",'BASE_CIERRE'!$R$5:$R$458,"Not ascertainable")</ns0:f>
        <ns0:v>0</ns0:v>
      </ns0:c>
      <ns0:c r="I354" s="29">
        <ns0:f>SUM(F354:H354)</ns0:f>
        <ns0:v>2</ns0:v>
      </ns0:c>
      <ns0:c r="J354" s="32">
        <ns0:f>IFERROR(F354/I354,0)</ns0:f>
        <ns0:v>0</ns0:v>
      </ns0:c>
      <ns0:c r="K354" s="32">
        <ns0:f>IFERROR(F354/(I354-H354),0)</ns0:f>
        <ns0:v>0</ns0:v>
      </ns0:c>
      <ns0:c r="L354" s="21" t="inlineStr">
        <ns0:is>
          <ns0:t>new_359; new_406</ns0:t>
        </ns0:is>
      </ns0:c>
    </ns0:row>
    <ns0:row r="355" ht="32" customHeight="1">
      <ns0:c r="A355" s="19" t="inlineStr">
        <ns0:is>
          <ns0:t>Screening</ns0:t>
        </ns0:is>
      </ns0:c>
      <ns0:c r="B355" s="19" t="inlineStr">
        <ns0:is>
          <ns0:t>Structured clinical/questionnaire data</ns0:t>
        </ns0:is>
      </ns0:c>
      <ns0:c r="C355" s="19" t="inlineStr">
        <ns0:is>
          <ns0:t>Hybrid</ns0:t>
        </ns0:is>
      </ns0:c>
      <ns0:c r="D355" s="19" t="inlineStr">
        <ns0:is>
          <ns0:t>Explicit explainability (broad)</ns0:t>
        </ns0:is>
      </ns0:c>
      <ns0:c r="E355" s="19" t="inlineStr">
        <ns0:is>
          <ns0:t>xai_broad</ns0:t>
        </ns0:is>
      </ns0:c>
      <ns0:c r="F355" s="27">
        <ns0:f>COUNTIFS('BASE_CIERRE'!$G$5:$G$458,1,'BASE_CIERRE'!$H$5:$H$458,"Screening",'BASE_CIERRE'!$J$5:$J$458,"Structured clinical/questionnaire data",'BASE_CIERRE'!$I$5:$I$458,"Hybrid",'BASE_CIERRE'!$S$5:$S$458,"Reported")</ns0:f>
        <ns0:v>1</ns0:v>
      </ns0:c>
      <ns0:c r="G355" s="27">
        <ns0:f>COUNTIFS('BASE_CIERRE'!$G$5:$G$458,1,'BASE_CIERRE'!$H$5:$H$458,"Screening",'BASE_CIERRE'!$J$5:$J$458,"Structured clinical/questionnaire data",'BASE_CIERRE'!$I$5:$I$458,"Hybrid",'BASE_CIERRE'!$S$5:$S$458,"Not reported in assessed sources")</ns0:f>
        <ns0:v>0</ns0:v>
      </ns0:c>
      <ns0:c r="H355" s="27">
        <ns0:f>COUNTIFS('BASE_CIERRE'!$G$5:$G$458,1,'BASE_CIERRE'!$H$5:$H$458,"Screening",'BASE_CIERRE'!$J$5:$J$458,"Structured clinical/questionnaire data",'BASE_CIERRE'!$I$5:$I$458,"Hybrid",'BASE_CIERRE'!$S$5:$S$458,"Not ascertainable")</ns0:f>
        <ns0:v>1</ns0:v>
      </ns0:c>
      <ns0:c r="I355" s="27">
        <ns0:f>SUM(F355:H355)</ns0:f>
        <ns0:v>2</ns0:v>
      </ns0:c>
      <ns0:c r="J355" s="31">
        <ns0:f>IFERROR(F355/I355,0)</ns0:f>
        <ns0:v>0.5</ns0:v>
      </ns0:c>
      <ns0:c r="K355" s="31">
        <ns0:f>IFERROR(F355/(I355-H355),0)</ns0:f>
        <ns0:v>1</ns0:v>
      </ns0:c>
      <ns0:c r="L355" s="19" t="inlineStr">
        <ns0:is>
          <ns0:t>new_359; new_406</ns0:t>
        </ns0:is>
      </ns0:c>
    </ns0:row>
    <ns0:row r="356" ht="32" customHeight="1">
      <ns0:c r="A356" s="21" t="inlineStr">
        <ns0:is>
          <ns0:t>Screening</ns0:t>
        </ns0:is>
      </ns0:c>
      <ns0:c r="B356" s="21" t="inlineStr">
        <ns0:is>
          <ns0:t>Structured clinical/questionnaire data</ns0:t>
        </ns0:is>
      </ns0:c>
      <ns0:c r="C356" s="21" t="inlineStr">
        <ns0:is>
          <ns0:t>Hybrid</ns0:t>
        </ns0:is>
      </ns0:c>
      <ns0:c r="D356" s="21" t="inlineStr">
        <ns0:is>
          <ns0:t>Cross-site evaluation</ns0:t>
        </ns0:is>
      </ns0:c>
      <ns0:c r="E356" s="21" t="inlineStr">
        <ns0:is>
          <ns0:t>cross_site_robustness</ns0:t>
        </ns0:is>
      </ns0:c>
      <ns0:c r="F356" s="29">
        <ns0:f>COUNTIFS('BASE_CIERRE'!$G$5:$G$458,1,'BASE_CIERRE'!$H$5:$H$458,"Screening",'BASE_CIERRE'!$J$5:$J$458,"Structured clinical/questionnaire data",'BASE_CIERRE'!$I$5:$I$458,"Hybrid",'BASE_CIERRE'!$U$5:$U$458,"Reported")</ns0:f>
        <ns0:v>0</ns0:v>
      </ns0:c>
      <ns0:c r="G356" s="29">
        <ns0:f>COUNTIFS('BASE_CIERRE'!$G$5:$G$458,1,'BASE_CIERRE'!$H$5:$H$458,"Screening",'BASE_CIERRE'!$J$5:$J$458,"Structured clinical/questionnaire data",'BASE_CIERRE'!$I$5:$I$458,"Hybrid",'BASE_CIERRE'!$U$5:$U$458,"Not reported in assessed sources")</ns0:f>
        <ns0:v>2</ns0:v>
      </ns0:c>
      <ns0:c r="H356" s="29">
        <ns0:f>COUNTIFS('BASE_CIERRE'!$G$5:$G$458,1,'BASE_CIERRE'!$H$5:$H$458,"Screening",'BASE_CIERRE'!$J$5:$J$458,"Structured clinical/questionnaire data",'BASE_CIERRE'!$I$5:$I$458,"Hybrid",'BASE_CIERRE'!$U$5:$U$458,"Not ascertainable")</ns0:f>
        <ns0:v>0</ns0:v>
      </ns0:c>
      <ns0:c r="I356" s="29">
        <ns0:f>SUM(F356:H356)</ns0:f>
        <ns0:v>2</ns0:v>
      </ns0:c>
      <ns0:c r="J356" s="32">
        <ns0:f>IFERROR(F356/I356,0)</ns0:f>
        <ns0:v>0</ns0:v>
      </ns0:c>
      <ns0:c r="K356" s="32">
        <ns0:f>IFERROR(F356/(I356-H356),0)</ns0:f>
        <ns0:v>0</ns0:v>
      </ns0:c>
      <ns0:c r="L356" s="21" t="inlineStr">
        <ns0:is>
          <ns0:t>new_359; new_406</ns0:t>
        </ns0:is>
      </ns0:c>
    </ns0:row>
    <ns0:row r="357" ht="32" customHeight="1">
      <ns0:c r="A357" s="19" t="inlineStr">
        <ns0:is>
          <ns0:t>Screening</ns0:t>
        </ns0:is>
      </ns0:c>
      <ns0:c r="B357" s="19" t="inlineStr">
        <ns0:is>
          <ns0:t>Structured clinical/questionnaire data</ns0:t>
        </ns0:is>
      </ns0:c>
      <ns0:c r="C357" s="19" t="inlineStr">
        <ns0:is>
          <ns0:t>Machine Learning</ns0:t>
        </ns0:is>
      </ns0:c>
      <ns0:c r="D357" s="19" t="inlineStr">
        <ns0:is>
          <ns0:t>External validation</ns0:t>
        </ns0:is>
      </ns0:c>
      <ns0:c r="E357" s="19" t="inlineStr">
        <ns0:is>
          <ns0:t>external_validation</ns0:t>
        </ns0:is>
      </ns0:c>
      <ns0:c r="F357" s="27">
        <ns0:f>COUNTIFS('BASE_CIERRE'!$G$5:$G$458,1,'BASE_CIERRE'!$H$5:$H$458,"Screening",'BASE_CIERRE'!$J$5:$J$458,"Structured clinical/questionnaire data",'BASE_CIERRE'!$I$5:$I$458,"Machine Learning",'BASE_CIERRE'!$Q$5:$Q$458,"Reported")</ns0:f>
        <ns0:v>3</ns0:v>
      </ns0:c>
      <ns0:c r="G357" s="27">
        <ns0:f>COUNTIFS('BASE_CIERRE'!$G$5:$G$458,1,'BASE_CIERRE'!$H$5:$H$458,"Screening",'BASE_CIERRE'!$J$5:$J$458,"Structured clinical/questionnaire data",'BASE_CIERRE'!$I$5:$I$458,"Machine Learning",'BASE_CIERRE'!$Q$5:$Q$458,"Not reported in assessed sources")</ns0:f>
        <ns0:v>34</ns0:v>
      </ns0:c>
      <ns0:c r="H357" s="27">
        <ns0:f>COUNTIFS('BASE_CIERRE'!$G$5:$G$458,1,'BASE_CIERRE'!$H$5:$H$458,"Screening",'BASE_CIERRE'!$J$5:$J$458,"Structured clinical/questionnaire data",'BASE_CIERRE'!$I$5:$I$458,"Machine Learning",'BASE_CIERRE'!$Q$5:$Q$458,"Not ascertainable")</ns0:f>
        <ns0:v>0</ns0:v>
      </ns0:c>
      <ns0:c r="I357" s="27">
        <ns0:f>SUM(F357:H357)</ns0:f>
        <ns0:v>37</ns0:v>
      </ns0:c>
      <ns0:c r="J357" s="31">
        <ns0:f>IFERROR(F357/I357,0)</ns0:f>
        <ns0:v>0.08108108108108109</ns0:v>
      </ns0:c>
      <ns0:c r="K357" s="31">
        <ns0:f>IFERROR(F357/(I357-H357),0)</ns0:f>
        <ns0:v>0.08108108108108109</ns0:v>
      </ns0:c>
      <ns0:c r="L357" s="19" t="inlineStr">
        <ns0:is>
          <ns0:t>1; 2; 6; 13; 16; 20; 23; 28; 36; 65; 116; 117; 129; 132; 137; 145; 146; 152; 179; 200; 201; 223; new_108; new_132; new_182; new_185; new_200; new_259; new_268; new_429; new_3; new_38; new_126; new_393; new_5; new_27; new_42</ns0:t>
        </ns0:is>
      </ns0:c>
    </ns0:row>
    <ns0:row r="358" ht="32" customHeight="1">
      <ns0:c r="A358" s="21" t="inlineStr">
        <ns0:is>
          <ns0:t>Screening</ns0:t>
        </ns0:is>
      </ns0:c>
      <ns0:c r="B358" s="21" t="inlineStr">
        <ns0:is>
          <ns0:t>Structured clinical/questionnaire data</ns0:t>
        </ns0:is>
      </ns0:c>
      <ns0:c r="C358" s="21" t="inlineStr">
        <ns0:is>
          <ns0:t>Machine Learning</ns0:t>
        </ns0:is>
      </ns0:c>
      <ns0:c r="D358" s="21" t="inlineStr">
        <ns0:is>
          <ns0:t>Multisource integration</ns0:t>
        </ns0:is>
      </ns0:c>
      <ns0:c r="E358" s="21" t="inlineStr">
        <ns0:is>
          <ns0:t>multisource_integration</ns0:t>
        </ns0:is>
      </ns0:c>
      <ns0:c r="F358" s="29">
        <ns0:f>COUNTIFS('BASE_CIERRE'!$G$5:$G$458,1,'BASE_CIERRE'!$H$5:$H$458,"Screening",'BASE_CIERRE'!$J$5:$J$458,"Structured clinical/questionnaire data",'BASE_CIERRE'!$I$5:$I$458,"Machine Learning",'BASE_CIERRE'!$R$5:$R$458,"Reported")</ns0:f>
        <ns0:v>3</ns0:v>
      </ns0:c>
      <ns0:c r="G358" s="29">
        <ns0:f>COUNTIFS('BASE_CIERRE'!$G$5:$G$458,1,'BASE_CIERRE'!$H$5:$H$458,"Screening",'BASE_CIERRE'!$J$5:$J$458,"Structured clinical/questionnaire data",'BASE_CIERRE'!$I$5:$I$458,"Machine Learning",'BASE_CIERRE'!$R$5:$R$458,"Not reported in assessed sources")</ns0:f>
        <ns0:v>34</ns0:v>
      </ns0:c>
      <ns0:c r="H358" s="29">
        <ns0:f>COUNTIFS('BASE_CIERRE'!$G$5:$G$458,1,'BASE_CIERRE'!$H$5:$H$458,"Screening",'BASE_CIERRE'!$J$5:$J$458,"Structured clinical/questionnaire data",'BASE_CIERRE'!$I$5:$I$458,"Machine Learning",'BASE_CIERRE'!$R$5:$R$458,"Not ascertainable")</ns0:f>
        <ns0:v>0</ns0:v>
      </ns0:c>
      <ns0:c r="I358" s="29">
        <ns0:f>SUM(F358:H358)</ns0:f>
        <ns0:v>37</ns0:v>
      </ns0:c>
      <ns0:c r="J358" s="32">
        <ns0:f>IFERROR(F358/I358,0)</ns0:f>
        <ns0:v>0.08108108108108109</ns0:v>
      </ns0:c>
      <ns0:c r="K358" s="32">
        <ns0:f>IFERROR(F358/(I358-H358),0)</ns0:f>
        <ns0:v>0.08108108108108109</ns0:v>
      </ns0:c>
      <ns0:c r="L358" s="21" t="inlineStr">
        <ns0:is>
          <ns0:t>1; 2; 6; 13; 16; 20; 23; 28; 36; 65; 116; 117; 129; 132; 137; 145; 146; 152; 179; 200; 201; 223; new_108; new_132; new_182; new_185; new_200; new_259; new_268; new_429; new_3; new_38; new_126; new_393; new_5; new_27; new_42</ns0:t>
        </ns0:is>
      </ns0:c>
    </ns0:row>
    <ns0:row r="359" ht="32" customHeight="1">
      <ns0:c r="A359" s="19" t="inlineStr">
        <ns0:is>
          <ns0:t>Screening</ns0:t>
        </ns0:is>
      </ns0:c>
      <ns0:c r="B359" s="19" t="inlineStr">
        <ns0:is>
          <ns0:t>Structured clinical/questionnaire data</ns0:t>
        </ns0:is>
      </ns0:c>
      <ns0:c r="C359" s="19" t="inlineStr">
        <ns0:is>
          <ns0:t>Machine Learning</ns0:t>
        </ns0:is>
      </ns0:c>
      <ns0:c r="D359" s="19" t="inlineStr">
        <ns0:is>
          <ns0:t>Explicit explainability (broad)</ns0:t>
        </ns0:is>
      </ns0:c>
      <ns0:c r="E359" s="19" t="inlineStr">
        <ns0:is>
          <ns0:t>xai_broad</ns0:t>
        </ns0:is>
      </ns0:c>
      <ns0:c r="F359" s="27">
        <ns0:f>COUNTIFS('BASE_CIERRE'!$G$5:$G$458,1,'BASE_CIERRE'!$H$5:$H$458,"Screening",'BASE_CIERRE'!$J$5:$J$458,"Structured clinical/questionnaire data",'BASE_CIERRE'!$I$5:$I$458,"Machine Learning",'BASE_CIERRE'!$S$5:$S$458,"Reported")</ns0:f>
        <ns0:v>17</ns0:v>
      </ns0:c>
      <ns0:c r="G359" s="27">
        <ns0:f>COUNTIFS('BASE_CIERRE'!$G$5:$G$458,1,'BASE_CIERRE'!$H$5:$H$458,"Screening",'BASE_CIERRE'!$J$5:$J$458,"Structured clinical/questionnaire data",'BASE_CIERRE'!$I$5:$I$458,"Machine Learning",'BASE_CIERRE'!$S$5:$S$458,"Not reported in assessed sources")</ns0:f>
        <ns0:v>19</ns0:v>
      </ns0:c>
      <ns0:c r="H359" s="27">
        <ns0:f>COUNTIFS('BASE_CIERRE'!$G$5:$G$458,1,'BASE_CIERRE'!$H$5:$H$458,"Screening",'BASE_CIERRE'!$J$5:$J$458,"Structured clinical/questionnaire data",'BASE_CIERRE'!$I$5:$I$458,"Machine Learning",'BASE_CIERRE'!$S$5:$S$458,"Not ascertainable")</ns0:f>
        <ns0:v>1</ns0:v>
      </ns0:c>
      <ns0:c r="I359" s="27">
        <ns0:f>SUM(F359:H359)</ns0:f>
        <ns0:v>37</ns0:v>
      </ns0:c>
      <ns0:c r="J359" s="31">
        <ns0:f>IFERROR(F359/I359,0)</ns0:f>
        <ns0:v>0.4594594594594595</ns0:v>
      </ns0:c>
      <ns0:c r="K359" s="31">
        <ns0:f>IFERROR(F359/(I359-H359),0)</ns0:f>
        <ns0:v>0.4722222222222222</ns0:v>
      </ns0:c>
      <ns0:c r="L359" s="19" t="inlineStr">
        <ns0:is>
          <ns0:t>1; 2; 6; 13; 16; 20; 23; 28; 36; 65; 116; 117; 129; 132; 137; 145; 146; 152; 179; 200; 201; 223; new_108; new_132; new_182; new_185; new_200; new_259; new_268; new_429; new_3; new_38; new_126; new_393; new_5; new_27; new_42</ns0:t>
        </ns0:is>
      </ns0:c>
    </ns0:row>
    <ns0:row r="360" ht="32" customHeight="1">
      <ns0:c r="A360" s="21" t="inlineStr">
        <ns0:is>
          <ns0:t>Screening</ns0:t>
        </ns0:is>
      </ns0:c>
      <ns0:c r="B360" s="21" t="inlineStr">
        <ns0:is>
          <ns0:t>Structured clinical/questionnaire data</ns0:t>
        </ns0:is>
      </ns0:c>
      <ns0:c r="C360" s="21" t="inlineStr">
        <ns0:is>
          <ns0:t>Machine Learning</ns0:t>
        </ns0:is>
      </ns0:c>
      <ns0:c r="D360" s="21" t="inlineStr">
        <ns0:is>
          <ns0:t>Cross-site evaluation</ns0:t>
        </ns0:is>
      </ns0:c>
      <ns0:c r="E360" s="21" t="inlineStr">
        <ns0:is>
          <ns0:t>cross_site_robustness</ns0:t>
        </ns0:is>
      </ns0:c>
      <ns0:c r="F360" s="29">
        <ns0:f>COUNTIFS('BASE_CIERRE'!$G$5:$G$458,1,'BASE_CIERRE'!$H$5:$H$458,"Screening",'BASE_CIERRE'!$J$5:$J$458,"Structured clinical/questionnaire data",'BASE_CIERRE'!$I$5:$I$458,"Machine Learning",'BASE_CIERRE'!$U$5:$U$458,"Reported")</ns0:f>
        <ns0:v>1</ns0:v>
      </ns0:c>
      <ns0:c r="G360" s="29">
        <ns0:f>COUNTIFS('BASE_CIERRE'!$G$5:$G$458,1,'BASE_CIERRE'!$H$5:$H$458,"Screening",'BASE_CIERRE'!$J$5:$J$458,"Structured clinical/questionnaire data",'BASE_CIERRE'!$I$5:$I$458,"Machine Learning",'BASE_CIERRE'!$U$5:$U$458,"Not reported in assessed sources")</ns0:f>
        <ns0:v>36</ns0:v>
      </ns0:c>
      <ns0:c r="H360" s="29">
        <ns0:f>COUNTIFS('BASE_CIERRE'!$G$5:$G$458,1,'BASE_CIERRE'!$H$5:$H$458,"Screening",'BASE_CIERRE'!$J$5:$J$458,"Structured clinical/questionnaire data",'BASE_CIERRE'!$I$5:$I$458,"Machine Learning",'BASE_CIERRE'!$U$5:$U$458,"Not ascertainable")</ns0:f>
        <ns0:v>0</ns0:v>
      </ns0:c>
      <ns0:c r="I360" s="29">
        <ns0:f>SUM(F360:H360)</ns0:f>
        <ns0:v>37</ns0:v>
      </ns0:c>
      <ns0:c r="J360" s="32">
        <ns0:f>IFERROR(F360/I360,0)</ns0:f>
        <ns0:v>0.02702702702702703</ns0:v>
      </ns0:c>
      <ns0:c r="K360" s="32">
        <ns0:f>IFERROR(F360/(I360-H360),0)</ns0:f>
        <ns0:v>0.02702702702702703</ns0:v>
      </ns0:c>
      <ns0:c r="L360" s="21" t="inlineStr">
        <ns0:is>
          <ns0:t>1; 2; 6; 13; 16; 20; 23; 28; 36; 65; 116; 117; 129; 132; 137; 145; 146; 152; 179; 200; 201; 223; new_108; new_132; new_182; new_185; new_200; new_259; new_268; new_429; new_3; new_38; new_126; new_393; new_5; new_27; new_42</ns0:t>
        </ns0:is>
      </ns0:c>
    </ns0:row>
    <ns0:row r="361" ht="32" customHeight="1">
      <ns0:c r="A361" s="19" t="inlineStr">
        <ns0:is>
          <ns0:t>Screening</ns0:t>
        </ns0:is>
      </ns0:c>
      <ns0:c r="B361" s="19" t="inlineStr">
        <ns0:is>
          <ns0:t>Text/language</ns0:t>
        </ns0:is>
      </ns0:c>
      <ns0:c r="C361" s="19" t="inlineStr">
        <ns0:is>
          <ns0:t>Machine Learning</ns0:t>
        </ns0:is>
      </ns0:c>
      <ns0:c r="D361" s="19" t="inlineStr">
        <ns0:is>
          <ns0:t>External validation</ns0:t>
        </ns0:is>
      </ns0:c>
      <ns0:c r="E361" s="19" t="inlineStr">
        <ns0:is>
          <ns0:t>external_validation</ns0:t>
        </ns0:is>
      </ns0:c>
      <ns0:c r="F361" s="27">
        <ns0:f>COUNTIFS('BASE_CIERRE'!$G$5:$G$458,1,'BASE_CIERRE'!$H$5:$H$458,"Screening",'BASE_CIERRE'!$J$5:$J$458,"Text/language",'BASE_CIERRE'!$I$5:$I$458,"Machine Learning",'BASE_CIERRE'!$Q$5:$Q$458,"Reported")</ns0:f>
        <ns0:v>0</ns0:v>
      </ns0:c>
      <ns0:c r="G361" s="27">
        <ns0:f>COUNTIFS('BASE_CIERRE'!$G$5:$G$458,1,'BASE_CIERRE'!$H$5:$H$458,"Screening",'BASE_CIERRE'!$J$5:$J$458,"Text/language",'BASE_CIERRE'!$I$5:$I$458,"Machine Learning",'BASE_CIERRE'!$Q$5:$Q$458,"Not reported in assessed sources")</ns0:f>
        <ns0:v>2</ns0:v>
      </ns0:c>
      <ns0:c r="H361" s="27">
        <ns0:f>COUNTIFS('BASE_CIERRE'!$G$5:$G$458,1,'BASE_CIERRE'!$H$5:$H$458,"Screening",'BASE_CIERRE'!$J$5:$J$458,"Text/language",'BASE_CIERRE'!$I$5:$I$458,"Machine Learning",'BASE_CIERRE'!$Q$5:$Q$458,"Not ascertainable")</ns0:f>
        <ns0:v>0</ns0:v>
      </ns0:c>
      <ns0:c r="I361" s="27">
        <ns0:f>SUM(F361:H361)</ns0:f>
        <ns0:v>2</ns0:v>
      </ns0:c>
      <ns0:c r="J361" s="31">
        <ns0:f>IFERROR(F361/I361,0)</ns0:f>
        <ns0:v>0</ns0:v>
      </ns0:c>
      <ns0:c r="K361" s="31">
        <ns0:f>IFERROR(F361/(I361-H361),0)</ns0:f>
        <ns0:v>0</ns0:v>
      </ns0:c>
      <ns0:c r="L361" s="19" t="inlineStr">
        <ns0:is>
          <ns0:t>120; 172</ns0:t>
        </ns0:is>
      </ns0:c>
    </ns0:row>
    <ns0:row r="362" ht="32" customHeight="1">
      <ns0:c r="A362" s="21" t="inlineStr">
        <ns0:is>
          <ns0:t>Screening</ns0:t>
        </ns0:is>
      </ns0:c>
      <ns0:c r="B362" s="21" t="inlineStr">
        <ns0:is>
          <ns0:t>Text/language</ns0:t>
        </ns0:is>
      </ns0:c>
      <ns0:c r="C362" s="21" t="inlineStr">
        <ns0:is>
          <ns0:t>Machine Learning</ns0:t>
        </ns0:is>
      </ns0:c>
      <ns0:c r="D362" s="21" t="inlineStr">
        <ns0:is>
          <ns0:t>Multisource integration</ns0:t>
        </ns0:is>
      </ns0:c>
      <ns0:c r="E362" s="21" t="inlineStr">
        <ns0:is>
          <ns0:t>multisource_integration</ns0:t>
        </ns0:is>
      </ns0:c>
      <ns0:c r="F362" s="29">
        <ns0:f>COUNTIFS('BASE_CIERRE'!$G$5:$G$458,1,'BASE_CIERRE'!$H$5:$H$458,"Screening",'BASE_CIERRE'!$J$5:$J$458,"Text/language",'BASE_CIERRE'!$I$5:$I$458,"Machine Learning",'BASE_CIERRE'!$R$5:$R$458,"Reported")</ns0:f>
        <ns0:v>0</ns0:v>
      </ns0:c>
      <ns0:c r="G362" s="29">
        <ns0:f>COUNTIFS('BASE_CIERRE'!$G$5:$G$458,1,'BASE_CIERRE'!$H$5:$H$458,"Screening",'BASE_CIERRE'!$J$5:$J$458,"Text/language",'BASE_CIERRE'!$I$5:$I$458,"Machine Learning",'BASE_CIERRE'!$R$5:$R$458,"Not reported in assessed sources")</ns0:f>
        <ns0:v>2</ns0:v>
      </ns0:c>
      <ns0:c r="H362" s="29">
        <ns0:f>COUNTIFS('BASE_CIERRE'!$G$5:$G$458,1,'BASE_CIERRE'!$H$5:$H$458,"Screening",'BASE_CIERRE'!$J$5:$J$458,"Text/language",'BASE_CIERRE'!$I$5:$I$458,"Machine Learning",'BASE_CIERRE'!$R$5:$R$458,"Not ascertainable")</ns0:f>
        <ns0:v>0</ns0:v>
      </ns0:c>
      <ns0:c r="I362" s="29">
        <ns0:f>SUM(F362:H362)</ns0:f>
        <ns0:v>2</ns0:v>
      </ns0:c>
      <ns0:c r="J362" s="32">
        <ns0:f>IFERROR(F362/I362,0)</ns0:f>
        <ns0:v>0</ns0:v>
      </ns0:c>
      <ns0:c r="K362" s="32">
        <ns0:f>IFERROR(F362/(I362-H362),0)</ns0:f>
        <ns0:v>0</ns0:v>
      </ns0:c>
      <ns0:c r="L362" s="21" t="inlineStr">
        <ns0:is>
          <ns0:t>120; 172</ns0:t>
        </ns0:is>
      </ns0:c>
    </ns0:row>
    <ns0:row r="363" ht="32" customHeight="1">
      <ns0:c r="A363" s="19" t="inlineStr">
        <ns0:is>
          <ns0:t>Screening</ns0:t>
        </ns0:is>
      </ns0:c>
      <ns0:c r="B363" s="19" t="inlineStr">
        <ns0:is>
          <ns0:t>Text/language</ns0:t>
        </ns0:is>
      </ns0:c>
      <ns0:c r="C363" s="19" t="inlineStr">
        <ns0:is>
          <ns0:t>Machine Learning</ns0:t>
        </ns0:is>
      </ns0:c>
      <ns0:c r="D363" s="19" t="inlineStr">
        <ns0:is>
          <ns0:t>Explicit explainability (broad)</ns0:t>
        </ns0:is>
      </ns0:c>
      <ns0:c r="E363" s="19" t="inlineStr">
        <ns0:is>
          <ns0:t>xai_broad</ns0:t>
        </ns0:is>
      </ns0:c>
      <ns0:c r="F363" s="27">
        <ns0:f>COUNTIFS('BASE_CIERRE'!$G$5:$G$458,1,'BASE_CIERRE'!$H$5:$H$458,"Screening",'BASE_CIERRE'!$J$5:$J$458,"Text/language",'BASE_CIERRE'!$I$5:$I$458,"Machine Learning",'BASE_CIERRE'!$S$5:$S$458,"Reported")</ns0:f>
        <ns0:v>0</ns0:v>
      </ns0:c>
      <ns0:c r="G363" s="27">
        <ns0:f>COUNTIFS('BASE_CIERRE'!$G$5:$G$458,1,'BASE_CIERRE'!$H$5:$H$458,"Screening",'BASE_CIERRE'!$J$5:$J$458,"Text/language",'BASE_CIERRE'!$I$5:$I$458,"Machine Learning",'BASE_CIERRE'!$S$5:$S$458,"Not reported in assessed sources")</ns0:f>
        <ns0:v>2</ns0:v>
      </ns0:c>
      <ns0:c r="H363" s="27">
        <ns0:f>COUNTIFS('BASE_CIERRE'!$G$5:$G$458,1,'BASE_CIERRE'!$H$5:$H$458,"Screening",'BASE_CIERRE'!$J$5:$J$458,"Text/language",'BASE_CIERRE'!$I$5:$I$458,"Machine Learning",'BASE_CIERRE'!$S$5:$S$458,"Not ascertainable")</ns0:f>
        <ns0:v>0</ns0:v>
      </ns0:c>
      <ns0:c r="I363" s="27">
        <ns0:f>SUM(F363:H363)</ns0:f>
        <ns0:v>2</ns0:v>
      </ns0:c>
      <ns0:c r="J363" s="31">
        <ns0:f>IFERROR(F363/I363,0)</ns0:f>
        <ns0:v>0</ns0:v>
      </ns0:c>
      <ns0:c r="K363" s="31">
        <ns0:f>IFERROR(F363/(I363-H363),0)</ns0:f>
        <ns0:v>0</ns0:v>
      </ns0:c>
      <ns0:c r="L363" s="19" t="inlineStr">
        <ns0:is>
          <ns0:t>120; 172</ns0:t>
        </ns0:is>
      </ns0:c>
    </ns0:row>
    <ns0:row r="364" ht="32" customHeight="1">
      <ns0:c r="A364" s="21" t="inlineStr">
        <ns0:is>
          <ns0:t>Screening</ns0:t>
        </ns0:is>
      </ns0:c>
      <ns0:c r="B364" s="21" t="inlineStr">
        <ns0:is>
          <ns0:t>Text/language</ns0:t>
        </ns0:is>
      </ns0:c>
      <ns0:c r="C364" s="21" t="inlineStr">
        <ns0:is>
          <ns0:t>Machine Learning</ns0:t>
        </ns0:is>
      </ns0:c>
      <ns0:c r="D364" s="21" t="inlineStr">
        <ns0:is>
          <ns0:t>Cross-site evaluation</ns0:t>
        </ns0:is>
      </ns0:c>
      <ns0:c r="E364" s="21" t="inlineStr">
        <ns0:is>
          <ns0:t>cross_site_robustness</ns0:t>
        </ns0:is>
      </ns0:c>
      <ns0:c r="F364" s="29">
        <ns0:f>COUNTIFS('BASE_CIERRE'!$G$5:$G$458,1,'BASE_CIERRE'!$H$5:$H$458,"Screening",'BASE_CIERRE'!$J$5:$J$458,"Text/language",'BASE_CIERRE'!$I$5:$I$458,"Machine Learning",'BASE_CIERRE'!$U$5:$U$458,"Reported")</ns0:f>
        <ns0:v>0</ns0:v>
      </ns0:c>
      <ns0:c r="G364" s="29">
        <ns0:f>COUNTIFS('BASE_CIERRE'!$G$5:$G$458,1,'BASE_CIERRE'!$H$5:$H$458,"Screening",'BASE_CIERRE'!$J$5:$J$458,"Text/language",'BASE_CIERRE'!$I$5:$I$458,"Machine Learning",'BASE_CIERRE'!$U$5:$U$458,"Not reported in assessed sources")</ns0:f>
        <ns0:v>2</ns0:v>
      </ns0:c>
      <ns0:c r="H364" s="29">
        <ns0:f>COUNTIFS('BASE_CIERRE'!$G$5:$G$458,1,'BASE_CIERRE'!$H$5:$H$458,"Screening",'BASE_CIERRE'!$J$5:$J$458,"Text/language",'BASE_CIERRE'!$I$5:$I$458,"Machine Learning",'BASE_CIERRE'!$U$5:$U$458,"Not ascertainable")</ns0:f>
        <ns0:v>0</ns0:v>
      </ns0:c>
      <ns0:c r="I364" s="29">
        <ns0:f>SUM(F364:H364)</ns0:f>
        <ns0:v>2</ns0:v>
      </ns0:c>
      <ns0:c r="J364" s="32">
        <ns0:f>IFERROR(F364/I364,0)</ns0:f>
        <ns0:v>0</ns0:v>
      </ns0:c>
      <ns0:c r="K364" s="32">
        <ns0:f>IFERROR(F364/(I364-H364),0)</ns0:f>
        <ns0:v>0</ns0:v>
      </ns0:c>
      <ns0:c r="L364" s="21" t="inlineStr">
        <ns0:is>
          <ns0:t>120; 172</ns0:t>
        </ns0:is>
      </ns0:c>
    </ns0:row>
  </ns0:sheetData>
  <ns0:autoFilter ref="A4:L364"/>
  <ns0:mergeCells count="2">
    <ns0:mergeCell ref="A2:L2"/>
    <ns0:mergeCell ref="A1:L1"/>
  </ns0:mergeCells>
  <ns0:printOptions horizontalCentered="1"/>
  <ns0:pageMargins left="0.75" right="0.75" top="1" bottom="1" header="0.5" footer="0.5"/>
  <ns0:pageSetup orientation="landscape" paperSize="8" fitToHeight="0" fitToWidth="1"/>
</ns0:worksheet>
</file>

<file path=xl/worksheets/sheet11.xml><?xml version="1.0" encoding="utf-8"?>
<ns0:worksheet xmlns:ns0="http://schemas.openxmlformats.org/spreadsheetml/2006/main">
  <ns0:sheetPr>
    <ns0:tabColor rgb="00177E89"/>
    <ns0:outlinePr summaryBelow="1" summaryRight="0"/>
    <ns0:pageSetUpPr fitToPage="1"/>
  </ns0:sheetPr>
  <ns0:dimension ref="A1:G28"/>
  <ns0:sheetViews>
    <ns0:sheetView showGridLines="0" workbookViewId="0">
      <ns0:pane xSplit="2" ySplit="4" topLeftCell="C5" activePane="bottomRight" state="frozen"/>
      <ns0:selection pane="topRight"/>
      <ns0:selection pane="bottomLeft"/>
      <ns0:selection pane="bottomRight" activeCell="A1" sqref="A1"/>
    </ns0:sheetView>
  </ns0:sheetViews>
  <ns0:sheetFormatPr baseColWidth="8" defaultRowHeight="15"/>
  <ns0:cols>
    <ns0:col width="41" customWidth="1" min="1" max="1"/>
    <ns0:col width="43" customWidth="1" min="2" max="2"/>
    <ns0:col hidden="1" width="30" customWidth="1" min="3" max="3"/>
    <ns0:col width="24" customWidth="1" min="4" max="4"/>
    <ns0:col width="24" customWidth="1" min="5" max="5"/>
    <ns0:col width="24" customWidth="1" min="6" max="6"/>
    <ns0:col width="22" customWidth="1" min="7" max="7"/>
  </ns0:cols>
  <ns0:sheetData>
    <ns0:row r="1" ht="36" customHeight="1">
      <ns0:c r="A1" s="16" t="inlineStr">
        <ns0:is>
          <ns0:t>Analisis de sensibilidad</ns0:t>
        </ns0:is>
      </ns0:c>
    </ns0:row>
    <ns0:row r="2" ht="32" customHeight="1">
      <ns0:c r="A2" s="17" t="inlineStr">
        <ns0:is>
          <ns0:t>Principal: 428. Sin alertas editoriales: 426. Conservador: 410. Conservador con etapa resuelta: 385. No son cuatro corpus intercambiables.</ns0:t>
        </ns0:is>
      </ns0:c>
    </ns0:row>
    <ns0:row r="4" ht="34" customHeight="1">
      <ns0:c r="A4" s="18" t="inlineStr">
        <ns0:is>
          <ns0:t>subset</ns0:t>
        </ns0:is>
      </ns0:c>
      <ns0:c r="B4" s="18" t="inlineStr">
        <ns0:is>
          <ns0:t>practice</ns0:t>
        </ns0:is>
      </ns0:c>
      <ns0:c r="C4" s="18" t="inlineStr">
        <ns0:is>
          <ns0:t>field</ns0:t>
        </ns0:is>
      </ns0:c>
      <ns0:c r="D4" s="18" t="inlineStr">
        <ns0:is>
          <ns0:t>reported</ns0:t>
        </ns0:is>
      </ns0:c>
      <ns0:c r="E4" s="18" t="inlineStr">
        <ns0:is>
          <ns0:t>not_ascertainable</ns0:t>
        </ns0:is>
      </ns0:c>
      <ns0:c r="F4" s="18" t="inlineStr">
        <ns0:is>
          <ns0:t>denominator</ns0:t>
        </ns0:is>
      </ns0:c>
      <ns0:c r="G4" s="18" t="inlineStr">
        <ns0:is>
          <ns0:t>reported_fraction</ns0:t>
        </ns0:is>
      </ns0:c>
    </ns0:row>
    <ns0:row r="5" ht="32" customHeight="1">
      <ns0:c r="A5" s="19" t="inlineStr">
        <ns0:is>
          <ns0:t>include_main</ns0:t>
        </ns0:is>
      </ns0:c>
      <ns0:c r="B5" s="19" t="inlineStr">
        <ns0:is>
          <ns0:t>External validation</ns0:t>
        </ns0:is>
      </ns0:c>
      <ns0:c r="C5" s="19" t="inlineStr">
        <ns0:is>
          <ns0:t>external_validation</ns0:t>
        </ns0:is>
      </ns0:c>
      <ns0:c r="D5" s="33">
        <ns0:f>COUNTIFS('BASE_CIERRE'!$G$5:$G$458,1,'BASE_CIERRE'!$Q$5:$Q$458,"Reported")</ns0:f>
        <ns0:v>24</ns0:v>
      </ns0:c>
      <ns0:c r="E5" s="33">
        <ns0:f>COUNTIFS('BASE_CIERRE'!$G$5:$G$458,1,'BASE_CIERRE'!$Q$5:$Q$458,"Not ascertainable")</ns0:f>
        <ns0:v>7</ns0:v>
      </ns0:c>
      <ns0:c r="F5" s="33">
        <ns0:f>COUNTIFS('BASE_CIERRE'!$G$5:$G$458,1)</ns0:f>
        <ns0:v>428</ns0:v>
      </ns0:c>
      <ns0:c r="G5" s="31">
        <ns0:f>IFERROR(D5/F5,0)</ns0:f>
        <ns0:v>0.056074766355140186</ns0:v>
      </ns0:c>
    </ns0:row>
    <ns0:row r="6" ht="32" customHeight="1">
      <ns0:c r="A6" s="21" t="inlineStr">
        <ns0:is>
          <ns0:t>include_main</ns0:t>
        </ns0:is>
      </ns0:c>
      <ns0:c r="B6" s="21" t="inlineStr">
        <ns0:is>
          <ns0:t>Multisource integration</ns0:t>
        </ns0:is>
      </ns0:c>
      <ns0:c r="C6" s="21" t="inlineStr">
        <ns0:is>
          <ns0:t>multisource_integration</ns0:t>
        </ns0:is>
      </ns0:c>
      <ns0:c r="D6" s="34">
        <ns0:f>COUNTIFS('BASE_CIERRE'!$G$5:$G$458,1,'BASE_CIERRE'!$R$5:$R$458,"Reported")</ns0:f>
        <ns0:v>77</ns0:v>
      </ns0:c>
      <ns0:c r="E6" s="34">
        <ns0:f>COUNTIFS('BASE_CIERRE'!$G$5:$G$458,1,'BASE_CIERRE'!$R$5:$R$458,"Not ascertainable")</ns0:f>
        <ns0:v>16</ns0:v>
      </ns0:c>
      <ns0:c r="F6" s="34">
        <ns0:f>COUNTIFS('BASE_CIERRE'!$G$5:$G$458,1)</ns0:f>
        <ns0:v>428</ns0:v>
      </ns0:c>
      <ns0:c r="G6" s="32">
        <ns0:f>IFERROR(D6/F6,0)</ns0:f>
        <ns0:v>0.17990654205607476</ns0:v>
      </ns0:c>
    </ns0:row>
    <ns0:row r="7" ht="32" customHeight="1">
      <ns0:c r="A7" s="19" t="inlineStr">
        <ns0:is>
          <ns0:t>include_main</ns0:t>
        </ns0:is>
      </ns0:c>
      <ns0:c r="B7" s="19" t="inlineStr">
        <ns0:is>
          <ns0:t>Explicit explainability (broad)</ns0:t>
        </ns0:is>
      </ns0:c>
      <ns0:c r="C7" s="19" t="inlineStr">
        <ns0:is>
          <ns0:t>xai_broad</ns0:t>
        </ns0:is>
      </ns0:c>
      <ns0:c r="D7" s="33">
        <ns0:f>COUNTIFS('BASE_CIERRE'!$G$5:$G$458,1,'BASE_CIERRE'!$S$5:$S$458,"Reported")</ns0:f>
        <ns0:v>126</ns0:v>
      </ns0:c>
      <ns0:c r="E7" s="33">
        <ns0:f>COUNTIFS('BASE_CIERRE'!$G$5:$G$458,1,'BASE_CIERRE'!$S$5:$S$458,"Not ascertainable")</ns0:f>
        <ns0:v>9</ns0:v>
      </ns0:c>
      <ns0:c r="F7" s="33">
        <ns0:f>COUNTIFS('BASE_CIERRE'!$G$5:$G$458,1)</ns0:f>
        <ns0:v>428</ns0:v>
      </ns0:c>
      <ns0:c r="G7" s="31">
        <ns0:f>IFERROR(D7/F7,0)</ns0:f>
        <ns0:v>0.29439252336448596</ns0:v>
      </ns0:c>
    </ns0:row>
    <ns0:row r="8" ht="32" customHeight="1">
      <ns0:c r="A8" s="21" t="inlineStr">
        <ns0:is>
          <ns0:t>include_main</ns0:t>
        </ns0:is>
      </ns0:c>
      <ns0:c r="B8" s="21" t="inlineStr">
        <ns0:is>
          <ns0:t>Cross-site evaluation</ns0:t>
        </ns0:is>
      </ns0:c>
      <ns0:c r="C8" s="21" t="inlineStr">
        <ns0:is>
          <ns0:t>cross_site_robustness</ns0:t>
        </ns0:is>
      </ns0:c>
      <ns0:c r="D8" s="34">
        <ns0:f>COUNTIFS('BASE_CIERRE'!$G$5:$G$458,1,'BASE_CIERRE'!$U$5:$U$458,"Reported")</ns0:f>
        <ns0:v>12</ns0:v>
      </ns0:c>
      <ns0:c r="E8" s="34">
        <ns0:f>COUNTIFS('BASE_CIERRE'!$G$5:$G$458,1,'BASE_CIERRE'!$U$5:$U$458,"Not ascertainable")</ns0:f>
        <ns0:v>2</ns0:v>
      </ns0:c>
      <ns0:c r="F8" s="34">
        <ns0:f>COUNTIFS('BASE_CIERRE'!$G$5:$G$458,1)</ns0:f>
        <ns0:v>428</ns0:v>
      </ns0:c>
      <ns0:c r="G8" s="32">
        <ns0:f>IFERROR(D8/F8,0)</ns0:f>
        <ns0:v>0.028037383177570093</ns0:v>
      </ns0:c>
    </ns0:row>
    <ns0:row r="9" ht="32" customHeight="1">
      <ns0:c r="A9" s="19" t="inlineStr">
        <ns0:is>
          <ns0:t>include_main</ns0:t>
        </ns0:is>
      </ns0:c>
      <ns0:c r="B9" s="19" t="inlineStr">
        <ns0:is>
          <ns0:t>Formal attribution/explanation (strict)</ns0:t>
        </ns0:is>
      </ns0:c>
      <ns0:c r="C9" s="19" t="inlineStr">
        <ns0:is>
          <ns0:t>xai_strict</ns0:t>
        </ns0:is>
      </ns0:c>
      <ns0:c r="D9" s="33">
        <ns0:f>COUNTIFS('BASE_CIERRE'!$G$5:$G$458,1,'BASE_CIERRE'!$T$5:$T$458,"Reported")</ns0:f>
        <ns0:v>38</ns0:v>
      </ns0:c>
      <ns0:c r="E9" s="33">
        <ns0:f>COUNTIFS('BASE_CIERRE'!$G$5:$G$458,1,'BASE_CIERRE'!$T$5:$T$458,"Not ascertainable")</ns0:f>
        <ns0:v>4</ns0:v>
      </ns0:c>
      <ns0:c r="F9" s="33">
        <ns0:f>COUNTIFS('BASE_CIERRE'!$G$5:$G$458,1)</ns0:f>
        <ns0:v>428</ns0:v>
      </ns0:c>
      <ns0:c r="G9" s="31">
        <ns0:f>IFERROR(D9/F9,0)</ns0:f>
        <ns0:v>0.08878504672897196</ns0:v>
      </ns0:c>
    </ns0:row>
    <ns0:row r="10" ht="32" customHeight="1">
      <ns0:c r="A10" s="21" t="inlineStr">
        <ns0:is>
          <ns0:t>include_main</ns0:t>
        </ns0:is>
      </ns0:c>
      <ns0:c r="B10" s="21" t="inlineStr">
        <ns0:is>
          <ns0:t>Evaluated AI use</ns0:t>
        </ns0:is>
      </ns0:c>
      <ns0:c r="C10" s="21" t="inlineStr">
        <ns0:is>
          <ns0:t>rq2_observed</ns0:t>
        </ns0:is>
      </ns0:c>
      <ns0:c r="D10" s="34">
        <ns0:f>COUNTIFS('BASE_CIERRE'!$G$5:$G$458,1,'BASE_CIERRE'!$M$5:$M$458,"Evaluated at point of use")+COUNTIFS('BASE_CIERRE'!$G$5:$G$458,1,'BASE_CIERRE'!$M$5:$M$458,"Evaluated AI-supported intervention")+COUNTIFS('BASE_CIERRE'!$G$5:$G$458,1,'BASE_CIERRE'!$M$5:$M$458,"Evaluated care-delivery platform")</ns0:f>
        <ns0:v>19</ns0:v>
      </ns0:c>
      <ns0:c r="E10" s="34">
        <ns0:f>0</ns0:f>
        <ns0:v>0</ns0:v>
      </ns0:c>
      <ns0:c r="F10" s="34">
        <ns0:f>COUNTIFS('BASE_CIERRE'!$G$5:$G$458,1)</ns0:f>
        <ns0:v>428</ns0:v>
      </ns0:c>
      <ns0:c r="G10" s="32">
        <ns0:f>IFERROR(D10/F10,0)</ns0:f>
        <ns0:v>0.04439252336448598</ns0:v>
      </ns0:c>
    </ns0:row>
    <ns0:row r="11" ht="32" customHeight="1">
      <ns0:c r="A11" s="19" t="inlineStr">
        <ns0:is>
          <ns0:t>include_no_editorial_alert</ns0:t>
        </ns0:is>
      </ns0:c>
      <ns0:c r="B11" s="19" t="inlineStr">
        <ns0:is>
          <ns0:t>External validation</ns0:t>
        </ns0:is>
      </ns0:c>
      <ns0:c r="C11" s="19" t="inlineStr">
        <ns0:is>
          <ns0:t>external_validation</ns0:t>
        </ns0:is>
      </ns0:c>
      <ns0:c r="D11" s="33">
        <ns0:f>COUNTIFS('BASE_CIERRE'!$AD$5:$AD$458,1,'BASE_CIERRE'!$Q$5:$Q$458,"Reported")</ns0:f>
        <ns0:v>24</ns0:v>
      </ns0:c>
      <ns0:c r="E11" s="33">
        <ns0:f>COUNTIFS('BASE_CIERRE'!$AD$5:$AD$458,1,'BASE_CIERRE'!$Q$5:$Q$458,"Not ascertainable")</ns0:f>
        <ns0:v>7</ns0:v>
      </ns0:c>
      <ns0:c r="F11" s="33">
        <ns0:f>COUNTIFS('BASE_CIERRE'!$AD$5:$AD$458,1)</ns0:f>
        <ns0:v>426</ns0:v>
      </ns0:c>
      <ns0:c r="G11" s="31">
        <ns0:f>IFERROR(D11/F11,0)</ns0:f>
        <ns0:v>0.056338028169014086</ns0:v>
      </ns0:c>
    </ns0:row>
    <ns0:row r="12" ht="32" customHeight="1">
      <ns0:c r="A12" s="21" t="inlineStr">
        <ns0:is>
          <ns0:t>include_no_editorial_alert</ns0:t>
        </ns0:is>
      </ns0:c>
      <ns0:c r="B12" s="21" t="inlineStr">
        <ns0:is>
          <ns0:t>Multisource integration</ns0:t>
        </ns0:is>
      </ns0:c>
      <ns0:c r="C12" s="21" t="inlineStr">
        <ns0:is>
          <ns0:t>multisource_integration</ns0:t>
        </ns0:is>
      </ns0:c>
      <ns0:c r="D12" s="34">
        <ns0:f>COUNTIFS('BASE_CIERRE'!$AD$5:$AD$458,1,'BASE_CIERRE'!$R$5:$R$458,"Reported")</ns0:f>
        <ns0:v>76</ns0:v>
      </ns0:c>
      <ns0:c r="E12" s="34">
        <ns0:f>COUNTIFS('BASE_CIERRE'!$AD$5:$AD$458,1,'BASE_CIERRE'!$R$5:$R$458,"Not ascertainable")</ns0:f>
        <ns0:v>16</ns0:v>
      </ns0:c>
      <ns0:c r="F12" s="34">
        <ns0:f>COUNTIFS('BASE_CIERRE'!$AD$5:$AD$458,1)</ns0:f>
        <ns0:v>426</ns0:v>
      </ns0:c>
      <ns0:c r="G12" s="32">
        <ns0:f>IFERROR(D12/F12,0)</ns0:f>
        <ns0:v>0.1784037558685446</ns0:v>
      </ns0:c>
    </ns0:row>
    <ns0:row r="13" ht="32" customHeight="1">
      <ns0:c r="A13" s="19" t="inlineStr">
        <ns0:is>
          <ns0:t>include_no_editorial_alert</ns0:t>
        </ns0:is>
      </ns0:c>
      <ns0:c r="B13" s="19" t="inlineStr">
        <ns0:is>
          <ns0:t>Explicit explainability (broad)</ns0:t>
        </ns0:is>
      </ns0:c>
      <ns0:c r="C13" s="19" t="inlineStr">
        <ns0:is>
          <ns0:t>xai_broad</ns0:t>
        </ns0:is>
      </ns0:c>
      <ns0:c r="D13" s="33">
        <ns0:f>COUNTIFS('BASE_CIERRE'!$AD$5:$AD$458,1,'BASE_CIERRE'!$S$5:$S$458,"Reported")</ns0:f>
        <ns0:v>125</ns0:v>
      </ns0:c>
      <ns0:c r="E13" s="33">
        <ns0:f>COUNTIFS('BASE_CIERRE'!$AD$5:$AD$458,1,'BASE_CIERRE'!$S$5:$S$458,"Not ascertainable")</ns0:f>
        <ns0:v>9</ns0:v>
      </ns0:c>
      <ns0:c r="F13" s="33">
        <ns0:f>COUNTIFS('BASE_CIERRE'!$AD$5:$AD$458,1)</ns0:f>
        <ns0:v>426</ns0:v>
      </ns0:c>
      <ns0:c r="G13" s="31">
        <ns0:f>IFERROR(D13/F13,0)</ns0:f>
        <ns0:v>0.2934272300469484</ns0:v>
      </ns0:c>
    </ns0:row>
    <ns0:row r="14" ht="32" customHeight="1">
      <ns0:c r="A14" s="21" t="inlineStr">
        <ns0:is>
          <ns0:t>include_no_editorial_alert</ns0:t>
        </ns0:is>
      </ns0:c>
      <ns0:c r="B14" s="21" t="inlineStr">
        <ns0:is>
          <ns0:t>Cross-site evaluation</ns0:t>
        </ns0:is>
      </ns0:c>
      <ns0:c r="C14" s="21" t="inlineStr">
        <ns0:is>
          <ns0:t>cross_site_robustness</ns0:t>
        </ns0:is>
      </ns0:c>
      <ns0:c r="D14" s="34">
        <ns0:f>COUNTIFS('BASE_CIERRE'!$AD$5:$AD$458,1,'BASE_CIERRE'!$U$5:$U$458,"Reported")</ns0:f>
        <ns0:v>12</ns0:v>
      </ns0:c>
      <ns0:c r="E14" s="34">
        <ns0:f>COUNTIFS('BASE_CIERRE'!$AD$5:$AD$458,1,'BASE_CIERRE'!$U$5:$U$458,"Not ascertainable")</ns0:f>
        <ns0:v>2</ns0:v>
      </ns0:c>
      <ns0:c r="F14" s="34">
        <ns0:f>COUNTIFS('BASE_CIERRE'!$AD$5:$AD$458,1)</ns0:f>
        <ns0:v>426</ns0:v>
      </ns0:c>
      <ns0:c r="G14" s="32">
        <ns0:f>IFERROR(D14/F14,0)</ns0:f>
        <ns0:v>0.028169014084507043</ns0:v>
      </ns0:c>
    </ns0:row>
    <ns0:row r="15" ht="32" customHeight="1">
      <ns0:c r="A15" s="19" t="inlineStr">
        <ns0:is>
          <ns0:t>include_no_editorial_alert</ns0:t>
        </ns0:is>
      </ns0:c>
      <ns0:c r="B15" s="19" t="inlineStr">
        <ns0:is>
          <ns0:t>Formal attribution/explanation (strict)</ns0:t>
        </ns0:is>
      </ns0:c>
      <ns0:c r="C15" s="19" t="inlineStr">
        <ns0:is>
          <ns0:t>xai_strict</ns0:t>
        </ns0:is>
      </ns0:c>
      <ns0:c r="D15" s="33">
        <ns0:f>COUNTIFS('BASE_CIERRE'!$AD$5:$AD$458,1,'BASE_CIERRE'!$T$5:$T$458,"Reported")</ns0:f>
        <ns0:v>37</ns0:v>
      </ns0:c>
      <ns0:c r="E15" s="33">
        <ns0:f>COUNTIFS('BASE_CIERRE'!$AD$5:$AD$458,1,'BASE_CIERRE'!$T$5:$T$458,"Not ascertainable")</ns0:f>
        <ns0:v>4</ns0:v>
      </ns0:c>
      <ns0:c r="F15" s="33">
        <ns0:f>COUNTIFS('BASE_CIERRE'!$AD$5:$AD$458,1)</ns0:f>
        <ns0:v>426</ns0:v>
      </ns0:c>
      <ns0:c r="G15" s="31">
        <ns0:f>IFERROR(D15/F15,0)</ns0:f>
        <ns0:v>0.08685446009389672</ns0:v>
      </ns0:c>
    </ns0:row>
    <ns0:row r="16" ht="32" customHeight="1">
      <ns0:c r="A16" s="21" t="inlineStr">
        <ns0:is>
          <ns0:t>include_no_editorial_alert</ns0:t>
        </ns0:is>
      </ns0:c>
      <ns0:c r="B16" s="21" t="inlineStr">
        <ns0:is>
          <ns0:t>Evaluated AI use</ns0:t>
        </ns0:is>
      </ns0:c>
      <ns0:c r="C16" s="21" t="inlineStr">
        <ns0:is>
          <ns0:t>rq2_observed</ns0:t>
        </ns0:is>
      </ns0:c>
      <ns0:c r="D16" s="34">
        <ns0:f>COUNTIFS('BASE_CIERRE'!$AD$5:$AD$458,1,'BASE_CIERRE'!$M$5:$M$458,"Evaluated at point of use")+COUNTIFS('BASE_CIERRE'!$AD$5:$AD$458,1,'BASE_CIERRE'!$M$5:$M$458,"Evaluated AI-supported intervention")+COUNTIFS('BASE_CIERRE'!$AD$5:$AD$458,1,'BASE_CIERRE'!$M$5:$M$458,"Evaluated care-delivery platform")</ns0:f>
        <ns0:v>19</ns0:v>
      </ns0:c>
      <ns0:c r="E16" s="34">
        <ns0:f>0</ns0:f>
        <ns0:v>0</ns0:v>
      </ns0:c>
      <ns0:c r="F16" s="34">
        <ns0:f>COUNTIFS('BASE_CIERRE'!$AD$5:$AD$458,1)</ns0:f>
        <ns0:v>426</ns0:v>
      </ns0:c>
      <ns0:c r="G16" s="32">
        <ns0:f>IFERROR(D16/F16,0)</ns0:f>
        <ns0:v>0.04460093896713615</ns0:v>
      </ns0:c>
    </ns0:row>
    <ns0:row r="17" ht="32" customHeight="1">
      <ns0:c r="A17" s="19" t="inlineStr">
        <ns0:is>
          <ns0:t>include_conservative</ns0:t>
        </ns0:is>
      </ns0:c>
      <ns0:c r="B17" s="19" t="inlineStr">
        <ns0:is>
          <ns0:t>External validation</ns0:t>
        </ns0:is>
      </ns0:c>
      <ns0:c r="C17" s="19" t="inlineStr">
        <ns0:is>
          <ns0:t>external_validation</ns0:t>
        </ns0:is>
      </ns0:c>
      <ns0:c r="D17" s="33">
        <ns0:f>COUNTIFS('BASE_CIERRE'!$AE$5:$AE$458,1,'BASE_CIERRE'!$Q$5:$Q$458,"Reported")</ns0:f>
        <ns0:v>24</ns0:v>
      </ns0:c>
      <ns0:c r="E17" s="33">
        <ns0:f>COUNTIFS('BASE_CIERRE'!$AE$5:$AE$458,1,'BASE_CIERRE'!$Q$5:$Q$458,"Not ascertainable")</ns0:f>
        <ns0:v>7</ns0:v>
      </ns0:c>
      <ns0:c r="F17" s="33">
        <ns0:f>COUNTIFS('BASE_CIERRE'!$AE$5:$AE$458,1)</ns0:f>
        <ns0:v>410</ns0:v>
      </ns0:c>
      <ns0:c r="G17" s="31">
        <ns0:f>IFERROR(D17/F17,0)</ns0:f>
        <ns0:v>0.05853658536585366</ns0:v>
      </ns0:c>
    </ns0:row>
    <ns0:row r="18" ht="32" customHeight="1">
      <ns0:c r="A18" s="21" t="inlineStr">
        <ns0:is>
          <ns0:t>include_conservative</ns0:t>
        </ns0:is>
      </ns0:c>
      <ns0:c r="B18" s="21" t="inlineStr">
        <ns0:is>
          <ns0:t>Multisource integration</ns0:t>
        </ns0:is>
      </ns0:c>
      <ns0:c r="C18" s="21" t="inlineStr">
        <ns0:is>
          <ns0:t>multisource_integration</ns0:t>
        </ns0:is>
      </ns0:c>
      <ns0:c r="D18" s="34">
        <ns0:f>COUNTIFS('BASE_CIERRE'!$AE$5:$AE$458,1,'BASE_CIERRE'!$R$5:$R$458,"Reported")</ns0:f>
        <ns0:v>73</ns0:v>
      </ns0:c>
      <ns0:c r="E18" s="34">
        <ns0:f>COUNTIFS('BASE_CIERRE'!$AE$5:$AE$458,1,'BASE_CIERRE'!$R$5:$R$458,"Not ascertainable")</ns0:f>
        <ns0:v>12</ns0:v>
      </ns0:c>
      <ns0:c r="F18" s="34">
        <ns0:f>COUNTIFS('BASE_CIERRE'!$AE$5:$AE$458,1)</ns0:f>
        <ns0:v>410</ns0:v>
      </ns0:c>
      <ns0:c r="G18" s="32">
        <ns0:f>IFERROR(D18/F18,0)</ns0:f>
        <ns0:v>0.17804878048780487</ns0:v>
      </ns0:c>
    </ns0:row>
    <ns0:row r="19" ht="32" customHeight="1">
      <ns0:c r="A19" s="19" t="inlineStr">
        <ns0:is>
          <ns0:t>include_conservative</ns0:t>
        </ns0:is>
      </ns0:c>
      <ns0:c r="B19" s="19" t="inlineStr">
        <ns0:is>
          <ns0:t>Explicit explainability (broad)</ns0:t>
        </ns0:is>
      </ns0:c>
      <ns0:c r="C19" s="19" t="inlineStr">
        <ns0:is>
          <ns0:t>xai_broad</ns0:t>
        </ns0:is>
      </ns0:c>
      <ns0:c r="D19" s="33">
        <ns0:f>COUNTIFS('BASE_CIERRE'!$AE$5:$AE$458,1,'BASE_CIERRE'!$S$5:$S$458,"Reported")</ns0:f>
        <ns0:v>121</ns0:v>
      </ns0:c>
      <ns0:c r="E19" s="33">
        <ns0:f>COUNTIFS('BASE_CIERRE'!$AE$5:$AE$458,1,'BASE_CIERRE'!$S$5:$S$458,"Not ascertainable")</ns0:f>
        <ns0:v>9</ns0:v>
      </ns0:c>
      <ns0:c r="F19" s="33">
        <ns0:f>COUNTIFS('BASE_CIERRE'!$AE$5:$AE$458,1)</ns0:f>
        <ns0:v>410</ns0:v>
      </ns0:c>
      <ns0:c r="G19" s="31">
        <ns0:f>IFERROR(D19/F19,0)</ns0:f>
        <ns0:v>0.2951219512195122</ns0:v>
      </ns0:c>
    </ns0:row>
    <ns0:row r="20" ht="32" customHeight="1">
      <ns0:c r="A20" s="21" t="inlineStr">
        <ns0:is>
          <ns0:t>include_conservative</ns0:t>
        </ns0:is>
      </ns0:c>
      <ns0:c r="B20" s="21" t="inlineStr">
        <ns0:is>
          <ns0:t>Cross-site evaluation</ns0:t>
        </ns0:is>
      </ns0:c>
      <ns0:c r="C20" s="21" t="inlineStr">
        <ns0:is>
          <ns0:t>cross_site_robustness</ns0:t>
        </ns0:is>
      </ns0:c>
      <ns0:c r="D20" s="34">
        <ns0:f>COUNTIFS('BASE_CIERRE'!$AE$5:$AE$458,1,'BASE_CIERRE'!$U$5:$U$458,"Reported")</ns0:f>
        <ns0:v>12</ns0:v>
      </ns0:c>
      <ns0:c r="E20" s="34">
        <ns0:f>COUNTIFS('BASE_CIERRE'!$AE$5:$AE$458,1,'BASE_CIERRE'!$U$5:$U$458,"Not ascertainable")</ns0:f>
        <ns0:v>2</ns0:v>
      </ns0:c>
      <ns0:c r="F20" s="34">
        <ns0:f>COUNTIFS('BASE_CIERRE'!$AE$5:$AE$458,1)</ns0:f>
        <ns0:v>410</ns0:v>
      </ns0:c>
      <ns0:c r="G20" s="32">
        <ns0:f>IFERROR(D20/F20,0)</ns0:f>
        <ns0:v>0.02926829268292683</ns0:v>
      </ns0:c>
    </ns0:row>
    <ns0:row r="21" ht="32" customHeight="1">
      <ns0:c r="A21" s="19" t="inlineStr">
        <ns0:is>
          <ns0:t>include_conservative</ns0:t>
        </ns0:is>
      </ns0:c>
      <ns0:c r="B21" s="19" t="inlineStr">
        <ns0:is>
          <ns0:t>Formal attribution/explanation (strict)</ns0:t>
        </ns0:is>
      </ns0:c>
      <ns0:c r="C21" s="19" t="inlineStr">
        <ns0:is>
          <ns0:t>xai_strict</ns0:t>
        </ns0:is>
      </ns0:c>
      <ns0:c r="D21" s="33">
        <ns0:f>COUNTIFS('BASE_CIERRE'!$AE$5:$AE$458,1,'BASE_CIERRE'!$T$5:$T$458,"Reported")</ns0:f>
        <ns0:v>36</ns0:v>
      </ns0:c>
      <ns0:c r="E21" s="33">
        <ns0:f>COUNTIFS('BASE_CIERRE'!$AE$5:$AE$458,1,'BASE_CIERRE'!$T$5:$T$458,"Not ascertainable")</ns0:f>
        <ns0:v>4</ns0:v>
      </ns0:c>
      <ns0:c r="F21" s="33">
        <ns0:f>COUNTIFS('BASE_CIERRE'!$AE$5:$AE$458,1)</ns0:f>
        <ns0:v>410</ns0:v>
      </ns0:c>
      <ns0:c r="G21" s="31">
        <ns0:f>IFERROR(D21/F21,0)</ns0:f>
        <ns0:v>0.08780487804878048</ns0:v>
      </ns0:c>
    </ns0:row>
    <ns0:row r="22" ht="32" customHeight="1">
      <ns0:c r="A22" s="21" t="inlineStr">
        <ns0:is>
          <ns0:t>include_conservative</ns0:t>
        </ns0:is>
      </ns0:c>
      <ns0:c r="B22" s="21" t="inlineStr">
        <ns0:is>
          <ns0:t>Evaluated AI use</ns0:t>
        </ns0:is>
      </ns0:c>
      <ns0:c r="C22" s="21" t="inlineStr">
        <ns0:is>
          <ns0:t>rq2_observed</ns0:t>
        </ns0:is>
      </ns0:c>
      <ns0:c r="D22" s="34">
        <ns0:f>COUNTIFS('BASE_CIERRE'!$AE$5:$AE$458,1,'BASE_CIERRE'!$M$5:$M$458,"Evaluated at point of use")+COUNTIFS('BASE_CIERRE'!$AE$5:$AE$458,1,'BASE_CIERRE'!$M$5:$M$458,"Evaluated AI-supported intervention")+COUNTIFS('BASE_CIERRE'!$AE$5:$AE$458,1,'BASE_CIERRE'!$M$5:$M$458,"Evaluated care-delivery platform")</ns0:f>
        <ns0:v>19</ns0:v>
      </ns0:c>
      <ns0:c r="E22" s="34">
        <ns0:f>0</ns0:f>
        <ns0:v>0</ns0:v>
      </ns0:c>
      <ns0:c r="F22" s="34">
        <ns0:f>COUNTIFS('BASE_CIERRE'!$AE$5:$AE$458,1)</ns0:f>
        <ns0:v>410</ns0:v>
      </ns0:c>
      <ns0:c r="G22" s="32">
        <ns0:f>IFERROR(D22/F22,0)</ns0:f>
        <ns0:v>0.046341463414634146</ns0:v>
      </ns0:c>
    </ns0:row>
    <ns0:row r="23" ht="32" customHeight="1">
      <ns0:c r="A23" s="19" t="inlineStr">
        <ns0:is>
          <ns0:t>include_direct_stage_sensitivity</ns0:t>
        </ns0:is>
      </ns0:c>
      <ns0:c r="B23" s="19" t="inlineStr">
        <ns0:is>
          <ns0:t>External validation</ns0:t>
        </ns0:is>
      </ns0:c>
      <ns0:c r="C23" s="19" t="inlineStr">
        <ns0:is>
          <ns0:t>external_validation</ns0:t>
        </ns0:is>
      </ns0:c>
      <ns0:c r="D23" s="33">
        <ns0:f>COUNTIFS('BASE_CIERRE'!$AG$5:$AG$458,1,'BASE_CIERRE'!$Q$5:$Q$458,"Reported")</ns0:f>
        <ns0:v>21</ns0:v>
      </ns0:c>
      <ns0:c r="E23" s="33">
        <ns0:f>COUNTIFS('BASE_CIERRE'!$AG$5:$AG$458,1,'BASE_CIERRE'!$Q$5:$Q$458,"Not ascertainable")</ns0:f>
        <ns0:v>5</ns0:v>
      </ns0:c>
      <ns0:c r="F23" s="33">
        <ns0:f>COUNTIFS('BASE_CIERRE'!$AG$5:$AG$458,1)</ns0:f>
        <ns0:v>385</ns0:v>
      </ns0:c>
      <ns0:c r="G23" s="31">
        <ns0:f>IFERROR(D23/F23,0)</ns0:f>
        <ns0:v>0.05454545454545454</ns0:v>
      </ns0:c>
    </ns0:row>
    <ns0:row r="24" ht="32" customHeight="1">
      <ns0:c r="A24" s="21" t="inlineStr">
        <ns0:is>
          <ns0:t>include_direct_stage_sensitivity</ns0:t>
        </ns0:is>
      </ns0:c>
      <ns0:c r="B24" s="21" t="inlineStr">
        <ns0:is>
          <ns0:t>Multisource integration</ns0:t>
        </ns0:is>
      </ns0:c>
      <ns0:c r="C24" s="21" t="inlineStr">
        <ns0:is>
          <ns0:t>multisource_integration</ns0:t>
        </ns0:is>
      </ns0:c>
      <ns0:c r="D24" s="34">
        <ns0:f>COUNTIFS('BASE_CIERRE'!$AG$5:$AG$458,1,'BASE_CIERRE'!$R$5:$R$458,"Reported")</ns0:f>
        <ns0:v>68</ns0:v>
      </ns0:c>
      <ns0:c r="E24" s="34">
        <ns0:f>COUNTIFS('BASE_CIERRE'!$AG$5:$AG$458,1,'BASE_CIERRE'!$R$5:$R$458,"Not ascertainable")</ns0:f>
        <ns0:v>11</ns0:v>
      </ns0:c>
      <ns0:c r="F24" s="34">
        <ns0:f>COUNTIFS('BASE_CIERRE'!$AG$5:$AG$458,1)</ns0:f>
        <ns0:v>385</ns0:v>
      </ns0:c>
      <ns0:c r="G24" s="32">
        <ns0:f>IFERROR(D24/F24,0)</ns0:f>
        <ns0:v>0.17662337662337663</ns0:v>
      </ns0:c>
    </ns0:row>
    <ns0:row r="25" ht="32" customHeight="1">
      <ns0:c r="A25" s="19" t="inlineStr">
        <ns0:is>
          <ns0:t>include_direct_stage_sensitivity</ns0:t>
        </ns0:is>
      </ns0:c>
      <ns0:c r="B25" s="19" t="inlineStr">
        <ns0:is>
          <ns0:t>Explicit explainability (broad)</ns0:t>
        </ns0:is>
      </ns0:c>
      <ns0:c r="C25" s="19" t="inlineStr">
        <ns0:is>
          <ns0:t>xai_broad</ns0:t>
        </ns0:is>
      </ns0:c>
      <ns0:c r="D25" s="33">
        <ns0:f>COUNTIFS('BASE_CIERRE'!$AG$5:$AG$458,1,'BASE_CIERRE'!$S$5:$S$458,"Reported")</ns0:f>
        <ns0:v>115</ns0:v>
      </ns0:c>
      <ns0:c r="E25" s="33">
        <ns0:f>COUNTIFS('BASE_CIERRE'!$AG$5:$AG$458,1,'BASE_CIERRE'!$S$5:$S$458,"Not ascertainable")</ns0:f>
        <ns0:v>9</ns0:v>
      </ns0:c>
      <ns0:c r="F25" s="33">
        <ns0:f>COUNTIFS('BASE_CIERRE'!$AG$5:$AG$458,1)</ns0:f>
        <ns0:v>385</ns0:v>
      </ns0:c>
      <ns0:c r="G25" s="31">
        <ns0:f>IFERROR(D25/F25,0)</ns0:f>
        <ns0:v>0.2987012987012987</ns0:v>
      </ns0:c>
    </ns0:row>
    <ns0:row r="26" ht="32" customHeight="1">
      <ns0:c r="A26" s="21" t="inlineStr">
        <ns0:is>
          <ns0:t>include_direct_stage_sensitivity</ns0:t>
        </ns0:is>
      </ns0:c>
      <ns0:c r="B26" s="21" t="inlineStr">
        <ns0:is>
          <ns0:t>Cross-site evaluation</ns0:t>
        </ns0:is>
      </ns0:c>
      <ns0:c r="C26" s="21" t="inlineStr">
        <ns0:is>
          <ns0:t>cross_site_robustness</ns0:t>
        </ns0:is>
      </ns0:c>
      <ns0:c r="D26" s="34">
        <ns0:f>COUNTIFS('BASE_CIERRE'!$AG$5:$AG$458,1,'BASE_CIERRE'!$U$5:$U$458,"Reported")</ns0:f>
        <ns0:v>12</ns0:v>
      </ns0:c>
      <ns0:c r="E26" s="34">
        <ns0:f>COUNTIFS('BASE_CIERRE'!$AG$5:$AG$458,1,'BASE_CIERRE'!$U$5:$U$458,"Not ascertainable")</ns0:f>
        <ns0:v>2</ns0:v>
      </ns0:c>
      <ns0:c r="F26" s="34">
        <ns0:f>COUNTIFS('BASE_CIERRE'!$AG$5:$AG$458,1)</ns0:f>
        <ns0:v>385</ns0:v>
      </ns0:c>
      <ns0:c r="G26" s="32">
        <ns0:f>IFERROR(D26/F26,0)</ns0:f>
        <ns0:v>0.03116883116883117</ns0:v>
      </ns0:c>
    </ns0:row>
    <ns0:row r="27" ht="32" customHeight="1">
      <ns0:c r="A27" s="19" t="inlineStr">
        <ns0:is>
          <ns0:t>include_direct_stage_sensitivity</ns0:t>
        </ns0:is>
      </ns0:c>
      <ns0:c r="B27" s="19" t="inlineStr">
        <ns0:is>
          <ns0:t>Formal attribution/explanation (strict)</ns0:t>
        </ns0:is>
      </ns0:c>
      <ns0:c r="C27" s="19" t="inlineStr">
        <ns0:is>
          <ns0:t>xai_strict</ns0:t>
        </ns0:is>
      </ns0:c>
      <ns0:c r="D27" s="33">
        <ns0:f>COUNTIFS('BASE_CIERRE'!$AG$5:$AG$458,1,'BASE_CIERRE'!$T$5:$T$458,"Reported")</ns0:f>
        <ns0:v>35</ns0:v>
      </ns0:c>
      <ns0:c r="E27" s="33">
        <ns0:f>COUNTIFS('BASE_CIERRE'!$AG$5:$AG$458,1,'BASE_CIERRE'!$T$5:$T$458,"Not ascertainable")</ns0:f>
        <ns0:v>4</ns0:v>
      </ns0:c>
      <ns0:c r="F27" s="33">
        <ns0:f>COUNTIFS('BASE_CIERRE'!$AG$5:$AG$458,1)</ns0:f>
        <ns0:v>385</ns0:v>
      </ns0:c>
      <ns0:c r="G27" s="31">
        <ns0:f>IFERROR(D27/F27,0)</ns0:f>
        <ns0:v>0.09090909090909091</ns0:v>
      </ns0:c>
    </ns0:row>
    <ns0:row r="28" ht="32" customHeight="1">
      <ns0:c r="A28" s="21" t="inlineStr">
        <ns0:is>
          <ns0:t>include_direct_stage_sensitivity</ns0:t>
        </ns0:is>
      </ns0:c>
      <ns0:c r="B28" s="21" t="inlineStr">
        <ns0:is>
          <ns0:t>Evaluated AI use</ns0:t>
        </ns0:is>
      </ns0:c>
      <ns0:c r="C28" s="21" t="inlineStr">
        <ns0:is>
          <ns0:t>rq2_observed</ns0:t>
        </ns0:is>
      </ns0:c>
      <ns0:c r="D28" s="34">
        <ns0:f>COUNTIFS('BASE_CIERRE'!$AG$5:$AG$458,1,'BASE_CIERRE'!$M$5:$M$458,"Evaluated at point of use")+COUNTIFS('BASE_CIERRE'!$AG$5:$AG$458,1,'BASE_CIERRE'!$M$5:$M$458,"Evaluated AI-supported intervention")+COUNTIFS('BASE_CIERRE'!$AG$5:$AG$458,1,'BASE_CIERRE'!$M$5:$M$458,"Evaluated care-delivery platform")</ns0:f>
        <ns0:v>19</ns0:v>
      </ns0:c>
      <ns0:c r="E28" s="34">
        <ns0:f>0</ns0:f>
        <ns0:v>0</ns0:v>
      </ns0:c>
      <ns0:c r="F28" s="34">
        <ns0:f>COUNTIFS('BASE_CIERRE'!$AG$5:$AG$458,1)</ns0:f>
        <ns0:v>385</ns0:v>
      </ns0:c>
      <ns0:c r="G28" s="32">
        <ns0:f>IFERROR(D28/F28,0)</ns0:f>
        <ns0:v>0.04935064935064935</ns0:v>
      </ns0:c>
    </ns0:row>
  </ns0:sheetData>
  <ns0:autoFilter ref="A4:G28"/>
  <ns0:mergeCells count="2">
    <ns0:mergeCell ref="A2:G2"/>
    <ns0:mergeCell ref="A1:G1"/>
  </ns0:mergeCells>
  <ns0:printOptions horizontalCentered="1"/>
  <ns0:pageMargins left="0.75" right="0.75" top="1" bottom="1" header="0.5" footer="0.5"/>
  <ns0:pageSetup orientation="landscape" paperSize="8" fitToHeight="0" fitToWidth="1"/>
</ns0:worksheet>
</file>

<file path=xl/worksheets/sheet12.xml><?xml version="1.0" encoding="utf-8"?>
<ns0:worksheet xmlns:ns0="http://schemas.openxmlformats.org/spreadsheetml/2006/main" xmlns:ns1="http://schemas.openxmlformats.org/officeDocument/2006/relationships">
  <ns0:sheetPr>
    <ns0:tabColor rgb="00177E89"/>
    <ns0:outlinePr summaryBelow="1" summaryRight="0"/>
    <ns0:pageSetUpPr fitToPage="1"/>
  </ns0:sheetPr>
  <ns0:dimension ref="A1:G30"/>
  <ns0:sheetViews>
    <ns0:sheetView showGridLines="0" workbookViewId="0">
      <ns0:pane xSplit="2" ySplit="4" topLeftCell="C5" activePane="bottomRight" state="frozen"/>
      <ns0:selection pane="topRight"/>
      <ns0:selection pane="bottomLeft"/>
      <ns0:selection pane="bottomRight" activeCell="A1" sqref="A1"/>
    </ns0:sheetView>
  </ns0:sheetViews>
  <ns0:sheetFormatPr baseColWidth="8" defaultRowHeight="15"/>
  <ns0:cols>
    <ns0:col width="13" customWidth="1" min="1" max="1"/>
    <ns0:col width="72" customWidth="1" min="2" max="2"/>
    <ns0:col width="40" customWidth="1" min="3" max="3"/>
    <ns0:col width="24" customWidth="1" min="4" max="4"/>
    <ns0:col width="46" customWidth="1" min="5" max="5"/>
    <ns0:col width="100" customWidth="1" min="6" max="6"/>
    <ns0:col width="60" customWidth="1" min="7" max="7"/>
  </ns0:cols>
  <ns0:sheetData>
    <ns0:row r="1" ht="36" customHeight="1">
      <ns0:c r="A1" s="16" t="inlineStr">
        <ns0:is>
          <ns0:t>Exclusiones de la auditoria</ns0:t>
        </ns0:is>
      </ns0:c>
    </ns0:row>
    <ns0:row r="2" ht="32" customHeight="1">
      <ns0:c r="A2" s="17" t="inlineStr">
        <ns0:is>
          <ns0:t>26 registros retirados del analisis, conservados en BASE_CIERRE y en el archivo original.</ns0:t>
        </ns0:is>
      </ns0:c>
    </ns0:row>
    <ns0:row r="4" ht="34" customHeight="1">
      <ns0:c r="A4" s="18" t="inlineStr">
        <ns0:is>
          <ns0:t>study_id</ns0:t>
        </ns0:is>
      </ns0:c>
      <ns0:c r="B4" s="18" t="inlineStr">
        <ns0:is>
          <ns0:t>title</ns0:t>
        </ns0:is>
      </ns0:c>
      <ns0:c r="C4" s="18" t="inlineStr">
        <ns0:is>
          <ns0:t>doi</ns0:t>
        </ns0:is>
      </ns0:c>
      <ns0:c r="D4" s="18" t="inlineStr">
        <ns0:is>
          <ns0:t>cohort</ns0:t>
        </ns0:is>
      </ns0:c>
      <ns0:c r="E4" s="18" t="inlineStr">
        <ns0:is>
          <ns0:t>exclusion_reason</ns0:t>
        </ns0:is>
      </ns0:c>
      <ns0:c r="F4" s="18" t="inlineStr">
        <ns0:is>
          <ns0:t>rationale</ns0:t>
        </ns0:is>
      </ns0:c>
      <ns0:c r="G4" s="18" t="inlineStr">
        <ns0:is>
          <ns0:t>source_url</ns0:t>
        </ns0:is>
      </ns0:c>
    </ns0:row>
    <ns0:row r="5" ht="65" customHeight="1">
      <ns0:c r="A5" s="19" t="inlineStr">
        <ns0:is>
          <ns0:t>4</ns0:t>
        </ns0:is>
      </ns0:c>
      <ns0:c r="B5" s="19" t="inlineStr">
        <ns0:is>
          <ns0:t>Cognitive Disorder Detection Used for Early Autism Screening Using Deep Learning</ns0:t>
        </ns0:is>
      </ns0:c>
      <ns0:c r="C5" s="19" t="inlineStr">
        <ns0:is>
          <ns0:t>10.1007/978-981-96-3942-7_18</ns0:t>
        </ns0:is>
      </ns0:c>
      <ns0:c r="D5" s="19" t="inlineStr">
        <ns0:is>
          <ns0:t>Historical</ns0:t>
        </ns0:is>
      </ns0:c>
      <ns0:c r="E5" s="19" t="inlineStr">
        <ns0:is>
          <ns0:t>EC2 - Wrong condition / population</ns0:t>
        </ns0:is>
      </ns0:c>
      <ns0:c r="F5" s="19" t="inlineStr">
        <ns0:is>
          <ns0:t>The abstract describes CATest validation for mild cognitive disorder, Alzheimer disease and other neurological conditions rather than empirical ASD-specific modeling. Title wording alone does not establish eligibility.</ns0:t>
        </ns0:is>
      </ns0:c>
      <ns0:c r="G5" s="19" t="inlineStr">
        <ns0:is>
          <ns0:t>https://link.springer.com/chapter/10.1007/978-981-96-3942-7_18</ns0:t>
        </ns0:is>
      </ns0:c>
    </ns0:row>
    <ns0:row r="6" ht="65" customHeight="1">
      <ns0:c r="A6" s="21" t="inlineStr">
        <ns0:is>
          <ns0:t>26</ns0:t>
        </ns0:is>
      </ns0:c>
      <ns0:c r="B6" s="21" t="inlineStr">
        <ns0:is>
          <ns0:t>An Analysis of the Use of Machine Learning in the Diagnosis of Autism Spectrum Disorder</ns0:t>
        </ns0:is>
      </ns0:c>
      <ns0:c r="C6" s="21" t="inlineStr">
        <ns0:is>
          <ns0:t>10.1007/978-3-031-23683-9_12</ns0:t>
        </ns0:is>
      </ns0:c>
      <ns0:c r="D6" s="21" t="inlineStr">
        <ns0:is>
          <ns0:t>Historical</ns0:t>
        </ns0:is>
      </ns0:c>
      <ns0:c r="E6" s="21" t="inlineStr">
        <ns0:is>
          <ns0:t>EC1 - Secondary / non-empirical publication</ns0:t>
        </ns0:is>
      </ns0:c>
      <ns0:c r="F6" s="21" t="inlineStr">
        <ns0:is>
          <ns0:t>The publication identifies itself as a survey of machine-learning techniques and prior reported performance rather than an original empirical ASD model evaluation.</ns0:t>
        </ns0:is>
      </ns0:c>
      <ns0:c r="G6" s="21" t="inlineStr">
        <ns0:is>
          <ns0:t>https://link.springer.com/chapter/10.1007/978-3-031-23683-9_12</ns0:t>
        </ns0:is>
      </ns0:c>
    </ns0:row>
    <ns0:row r="7" ht="65" customHeight="1">
      <ns0:c r="A7" s="19" t="inlineStr">
        <ns0:is>
          <ns0:t>48</ns0:t>
        </ns0:is>
      </ns0:c>
      <ns0:c r="B7" s="19" t="inlineStr">
        <ns0:is>
          <ns0:t>A randomized controlled trial of 25 sessions comparing music therapy and music listening for children with autism spectrum disorder</ns0:t>
        </ns0:is>
      </ns0:c>
      <ns0:c r="C7" s="19" t="inlineStr">
        <ns0:is>
          <ns0:t>10.1016/j.psychres.2020.113377</ns0:t>
        </ns0:is>
      </ns0:c>
      <ns0:c r="D7" s="19" t="inlineStr">
        <ns0:is>
          <ns0:t>Historical</ns0:t>
        </ns0:is>
      </ns0:c>
      <ns0:c r="E7" s="19" t="inlineStr">
        <ns0:is>
          <ns0:t>EC3 No qualifying AI evaluation</ns0:t>
        </ns0:is>
      </ns0:c>
      <ns0:c r="F7" s="19" t="inlineStr">
        <ns0:is>
          <ns0:t>Verified original music-therapy RCT uses ML as music listening, not machine learning. The stored eye-tracking abstract belongs to a different report and is quarantined.</ns0:t>
        </ns0:is>
      </ns0:c>
      <ns0:c r="G7" s="19" t="inlineStr">
        <ns0:is>
          <ns0:t>https://extradoc.univ-nantes.fr/pluginfile.php/412199/mod_folder/content/0/article%20Bonnot-Vrait-Carasco-Rabeyron....pdf</ns0:t>
        </ns0:is>
      </ns0:c>
    </ns0:row>
    <ns0:row r="8" ht="65" customHeight="1">
      <ns0:c r="A8" s="21" t="inlineStr">
        <ns0:is>
          <ns0:t>56</ns0:t>
        </ns0:is>
      </ns0:c>
      <ns0:c r="B8" s="21" t="inlineStr">
        <ns0:is>
          <ns0:t>Epigenomic signatures reveal mechanistic clues and predictive markers for autism spectrum disorder</ns0:t>
        </ns0:is>
      </ns0:c>
      <ns0:c r="C8" s="21" t="inlineStr">
        <ns0:is>
          <ns0:t>10.1038/s41380-022-01917-9</ns0:t>
        </ns0:is>
      </ns0:c>
      <ns0:c r="D8" s="21" t="inlineStr">
        <ns0:is>
          <ns0:t>Historical</ns0:t>
        </ns0:is>
      </ns0:c>
      <ns0:c r="E8" s="21" t="inlineStr">
        <ns0:is>
          <ns0:t>EC1 Non-primary review</ns0:t>
        </ns0:is>
      </ns0:c>
      <ns0:c r="F8" s="21" t="inlineStr">
        <ns0:is>
          <ns0:t>Narrative synthesis of epigenomic signatures and anticipated future ML applications, not an original evaluated AI method.</ns0:t>
        </ns0:is>
      </ns0:c>
      <ns0:c r="G8" s="21" t="inlineStr">
        <ns0:is>
          <ns0:t>https://doi.org/10.1038/s41380-022-01917-9</ns0:t>
        </ns0:is>
      </ns0:c>
    </ns0:row>
    <ns0:row r="9" ht="65" customHeight="1">
      <ns0:c r="A9" s="19" t="inlineStr">
        <ns0:is>
          <ns0:t>60</ns0:t>
        </ns0:is>
      </ns0:c>
      <ns0:c r="B9" s="19" t="inlineStr">
        <ns0:is>
          <ns0:t>Hyperuricemia and Metabolic Adverse Effect in Children and Adolescents with Autism Spectrum Disorder Treated with Risperidone</ns0:t>
        </ns0:is>
      </ns0:c>
      <ns0:c r="C9" s="19" t="inlineStr">
        <ns0:is>
          <ns0:t>10.1016/j.eurpsy.2017.02.198</ns0:t>
        </ns0:is>
      </ns0:c>
      <ns0:c r="D9" s="19" t="inlineStr">
        <ns0:is>
          <ns0:t>Historical</ns0:t>
        </ns0:is>
      </ns0:c>
      <ns0:c r="E9" s="19" t="inlineStr">
        <ns0:is>
          <ns0:t>EC3 No qualifying AI evaluation</ns0:t>
        </ns0:is>
      </ns0:c>
      <ns0:c r="F9" s="19" t="inlineStr">
        <ns0:is>
          <ns0:t>Cross-sectional biochemical adverse-effect prevalence/correlation study, with no computational predictive model in the supplied report description.</ns0:t>
        </ns0:is>
      </ns0:c>
      <ns0:c r="G9" s="19" t="inlineStr">
        <ns0:is>
          <ns0:t>https://doi.org/10.1016/j.eurpsy.2017.02.198</ns0:t>
        </ns0:is>
      </ns0:c>
    </ns0:row>
    <ns0:row r="10" ht="65" customHeight="1">
      <ns0:c r="A10" s="21" t="inlineStr">
        <ns0:is>
          <ns0:t>62</ns0:t>
        </ns0:is>
      </ns0:c>
      <ns0:c r="B10" s="21" t="inlineStr">
        <ns0:is>
          <ns0:t>Impact of DRD2 polymorphisms on prolactin level in risperidone-treated Thai children and adolescent with autism spectrum disorders</ns0:t>
        </ns0:is>
      </ns0:c>
      <ns0:c r="C10" s="21" t="inlineStr">
        <ns0:is>
          <ns0:t>10.1016/j.eurpsy.2016.01.060</ns0:t>
        </ns0:is>
      </ns0:c>
      <ns0:c r="D10" s="21" t="inlineStr">
        <ns0:is>
          <ns0:t>Historical</ns0:t>
        </ns0:is>
      </ns0:c>
      <ns0:c r="E10" s="21" t="inlineStr">
        <ns0:is>
          <ns0:t>EC3 No qualifying AI evaluation</ns0:t>
        </ns0:is>
      </ns0:c>
      <ns0:c r="F10" s="21" t="inlineStr">
        <ns0:is>
          <ns0:t>Pharmacogenetic group comparison of prolactin; reported PCR genotyping and inferential tests do not establish ML.</ns0:t>
        </ns0:is>
      </ns0:c>
      <ns0:c r="G10" s="21" t="inlineStr">
        <ns0:is>
          <ns0:t>https://doi.org/10.1016/j.eurpsy.2016.01.060</ns0:t>
        </ns0:is>
      </ns0:c>
    </ns0:row>
    <ns0:row r="11" ht="65" customHeight="1">
      <ns0:c r="A11" s="19" t="inlineStr">
        <ns0:is>
          <ns0:t>83</ns0:t>
        </ns0:is>
      </ns0:c>
      <ns0:c r="B11" s="19" t="inlineStr">
        <ns0:is>
          <ns0:t>Converging Representations of Attention-Deficit/Hyperactivity Disorder and Autism on Social Media: Linguistic and Topic Analysis of Trends in Reddit Data</ns0:t>
        </ns0:is>
      </ns0:c>
      <ns0:c r="C11" s="19" t="inlineStr">
        <ns0:is>
          <ns0:t>10.2196/70914</ns0:t>
        </ns0:is>
      </ns0:c>
      <ns0:c r="D11" s="19" t="inlineStr">
        <ns0:is>
          <ns0:t>Historical</ns0:t>
        </ns0:is>
      </ns0:c>
      <ns0:c r="E11" s="19" t="inlineStr">
        <ns0:is>
          <ns0:t>EC4 No clinical or care-process model</ns0:t>
        </ns0:is>
      </ns0:c>
      <ns0:c r="F11" s="19" t="inlineStr">
        <ns0:is>
          <ns0:t>Public discourse convergence on Reddit is the primary endpoint; topic modeling does not classify, assess, monitor, predict care outcomes or provide an ASD intervention.</ns0:t>
        </ns0:is>
      </ns0:c>
      <ns0:c r="G11" s="19" t="inlineStr">
        <ns0:is>
          <ns0:t>https://doi.org/10.2196/70914</ns0:t>
        </ns0:is>
      </ns0:c>
    </ns0:row>
    <ns0:row r="12" ht="65" customHeight="1">
      <ns0:c r="A12" s="21" t="inlineStr">
        <ns0:is>
          <ns0:t>96</ns0:t>
        </ns0:is>
      </ns0:c>
      <ns0:c r="B12" s="21" t="inlineStr">
        <ns0:is>
          <ns0:t>Polychlorinated biphenyls influence on autism spectrum disorder risk in the MARBLES cohort</ns0:t>
        </ns0:is>
      </ns0:c>
      <ns0:c r="C12" s="21" t="inlineStr">
        <ns0:is>
          <ns0:t>10.1016/j.envres.2018.12.061</ns0:t>
        </ns0:is>
      </ns0:c>
      <ns0:c r="D12" s="21" t="inlineStr">
        <ns0:is>
          <ns0:t>Historical</ns0:t>
        </ns0:is>
      </ns0:c>
      <ns0:c r="E12" s="21" t="inlineStr">
        <ns0:is>
          <ns0:t>EC3 No qualifying AI evaluation</ns0:t>
        </ns0:is>
      </ns0:c>
      <ns0:c r="F12" s="21" t="inlineStr">
        <ns0:is>
          <ns0:t>Exposure-association epidemiology with multinomial odds ratios. DL denotes dioxin-like PCB, not deep learning; source notes explicitly identify non-ML analysis.</ns0:t>
        </ns0:is>
      </ns0:c>
      <ns0:c r="G12" s="21" t="inlineStr">
        <ns0:is>
          <ns0:t>https://doi.org/10.1016/j.envres.2018.12.061</ns0:t>
        </ns0:is>
      </ns0:c>
    </ns0:row>
    <ns0:row r="13" ht="65" customHeight="1">
      <ns0:c r="A13" s="19" t="inlineStr">
        <ns0:is>
          <ns0:t>99</ns0:t>
        </ns0:is>
      </ns0:c>
      <ns0:c r="B13" s="19" t="inlineStr">
        <ns0:is>
          <ns0:t>Serum Brain-derived neurotrophic factor levels in Chinese children with autism spectrum disorders: A pilot study</ns0:t>
        </ns0:is>
      </ns0:c>
      <ns0:c r="C13" s="19" t="inlineStr">
        <ns0:is>
          <ns0:t>10.1016/j.ijdevneu.2014.06.013</ns0:t>
        </ns0:is>
      </ns0:c>
      <ns0:c r="D13" s="19" t="inlineStr">
        <ns0:is>
          <ns0:t>Historical</ns0:t>
        </ns0:is>
      </ns0:c>
      <ns0:c r="E13" s="19" t="inlineStr">
        <ns0:is>
          <ns0:t>EC3 No qualifying AI evaluation</ns0:t>
        </ns0:is>
      </ns0:c>
      <ns0:c r="F13" s="19" t="inlineStr">
        <ns0:is>
          <ns0:t>Serum BDNF association and ROC threshold analysis; no AI model is described and the prior RQ2 adjudication explicitly found no AI/ML system.</ns0:t>
        </ns0:is>
      </ns0:c>
      <ns0:c r="G13" s="19" t="inlineStr">
        <ns0:is>
          <ns0:t>https://doi.org/10.1016/j.ijdevneu.2014.06.013</ns0:t>
        </ns0:is>
      </ns0:c>
    </ns0:row>
    <ns0:row r="14" ht="65" customHeight="1">
      <ns0:c r="A14" s="21" t="inlineStr">
        <ns0:is>
          <ns0:t>113</ns0:t>
        </ns0:is>
      </ns0:c>
      <ns0:c r="B14" s="21" t="inlineStr">
        <ns0:is>
          <ns0:t>Transient hearing abnormalities precede social deficits in a mouse model of autism</ns0:t>
        </ns0:is>
      </ns0:c>
      <ns0:c r="C14" s="21" t="inlineStr">
        <ns0:is>
          <ns0:t>10.1016/j.bbr.2022.114149</ns0:t>
        </ns0:is>
      </ns0:c>
      <ns0:c r="D14" s="21" t="inlineStr">
        <ns0:is>
          <ns0:t>Historical</ns0:t>
        </ns0:is>
      </ns0:c>
      <ns0:c r="E14" s="21" t="inlineStr">
        <ns0:is>
          <ns0:t>EC6 Non-human study</ns0:t>
        </ns0:is>
      </ns0:c>
      <ns0:c r="F14" s="21" t="inlineStr">
        <ns0:is>
          <ns0:t>Shank3B knockout mouse auditory-response/genotype prediction; no human ASD model evaluated.</ns0:t>
        </ns0:is>
      </ns0:c>
      <ns0:c r="G14" s="21" t="inlineStr">
        <ns0:is>
          <ns0:t>https://doi.org/10.1016/j.bbr.2022.114149</ns0:t>
        </ns0:is>
      </ns0:c>
    </ns0:row>
    <ns0:row r="15" ht="65" customHeight="1">
      <ns0:c r="A15" s="19" t="inlineStr">
        <ns0:is>
          <ns0:t>114</ns0:t>
        </ns0:is>
      </ns0:c>
      <ns0:c r="B15" s="19" t="inlineStr">
        <ns0:is>
          <ns0:t>Early-stage identification of autism in children using gesture monitoring based on artificial intelligence</ns0:t>
        </ns0:is>
      </ns0:c>
      <ns0:c r="C15" s="19" t="inlineStr">
        <ns0:is>
          <ns0:t>10.1016/b978-0-443-19073-5.00018-5</ns0:t>
        </ns0:is>
      </ns0:c>
      <ns0:c r="D15" s="19" t="inlineStr">
        <ns0:is>
          <ns0:t>Historical</ns0:t>
        </ns0:is>
      </ns0:c>
      <ns0:c r="E15" s="19" t="inlineStr">
        <ns0:is>
          <ns0:t>EC1 Ineligible publication type</ns0:t>
        </ns0:is>
      </ns0:c>
      <ns0:c r="F15" s="19" t="inlineStr">
        <ns0:is>
          <ns0:t>Standalone edited-book chapter (Elsevier book DOI B978...) rather than an eligible journal article or identified full conference proceeding; inherited update criteria exclude standalone chapters.</ns0:t>
        </ns0:is>
      </ns0:c>
      <ns0:c r="G15" s="19" t="inlineStr">
        <ns0:is>
          <ns0:t>https://doi.org/10.1016/b978-0-443-19073-5.00018-5</ns0:t>
        </ns0:is>
      </ns0:c>
    </ns0:row>
    <ns0:row r="16" ht="65" customHeight="1">
      <ns0:c r="A16" s="21" t="inlineStr">
        <ns0:is>
          <ns0:t>121</ns0:t>
        </ns0:is>
      </ns0:c>
      <ns0:c r="B16" s="21" t="inlineStr">
        <ns0:is>
          <ns0:t>46.3 ARTIFICIAL INTELLIGENCE: UTILIZING GOOGLE GLASS AND OTHER MOBILE APPLICATIONS FOR SOCIAL SKILLS TRAINING IN AUTISM SPECTRUM DISORDERS</ns0:t>
        </ns0:is>
      </ns0:c>
      <ns0:c r="C16" s="21" t="inlineStr">
        <ns0:is>
          <ns0:t>10.1016/j.jaac.2016.07.715</ns0:t>
        </ns0:is>
      </ns0:c>
      <ns0:c r="D16" s="21" t="inlineStr">
        <ns0:is>
          <ns0:t>Historical</ns0:t>
        </ns0:is>
      </ns0:c>
      <ns0:c r="E16" s="21" t="inlineStr">
        <ns0:is>
          <ns0:t>EC1 Ineligible publication type</ns0:t>
        </ns0:is>
      </ns0:c>
      <ns0:c r="F16" s="21" t="inlineStr">
        <ns0:is>
          <ns0:t>Numbered conference-session abstract in JAAC supplement, not a full eligible peer-reviewed conference report.</ns0:t>
        </ns0:is>
      </ns0:c>
      <ns0:c r="G16" s="21" t="inlineStr">
        <ns0:is>
          <ns0:t>https://doi.org/10.1016/j.jaac.2016.07.715</ns0:t>
        </ns0:is>
      </ns0:c>
    </ns0:row>
    <ns0:row r="17" ht="65" customHeight="1">
      <ns0:c r="A17" s="19" t="inlineStr">
        <ns0:is>
          <ns0:t>134</ns0:t>
        </ns0:is>
      </ns0:c>
      <ns0:c r="B17" s="19" t="inlineStr">
        <ns0:is>
          <ns0:t>A deep learning predictive classifier for autism screening and diagnosis</ns0:t>
        </ns0:is>
      </ns0:c>
      <ns0:c r="C17" s="19" t="inlineStr">
        <ns0:is>
          <ns0:t>10.1016/b978-0-12-822822-7.00011-9</ns0:t>
        </ns0:is>
      </ns0:c>
      <ns0:c r="D17" s="19" t="inlineStr">
        <ns0:is>
          <ns0:t>Historical</ns0:t>
        </ns0:is>
      </ns0:c>
      <ns0:c r="E17" s="19" t="inlineStr">
        <ns0:is>
          <ns0:t>EC1 Ineligible publication type</ns0:t>
        </ns0:is>
      </ns0:c>
      <ns0:c r="F17" s="19" t="inlineStr">
        <ns0:is>
          <ns0:t>Standalone edited-book chapter, explicitly described as a chapter; not an eligible identified conference proceeding or journal article.</ns0:t>
        </ns0:is>
      </ns0:c>
      <ns0:c r="G17" s="19" t="inlineStr">
        <ns0:is>
          <ns0:t>https://doi.org/10.1016/b978-0-12-822822-7.00011-9</ns0:t>
        </ns0:is>
      </ns0:c>
    </ns0:row>
    <ns0:row r="18" ht="65" customHeight="1">
      <ns0:c r="A18" s="21" t="inlineStr">
        <ns0:is>
          <ns0:t>162</ns0:t>
        </ns0:is>
      </ns0:c>
      <ns0:c r="B18" s="21" t="inlineStr">
        <ns0:is>
          <ns0:t>Machine Learning in ASD: An Intensive Study of Automated Disease Prediction System</ns0:t>
        </ns0:is>
      </ns0:c>
      <ns0:c r="C18" s="21" t="inlineStr">
        <ns0:is>
          <ns0:t>10.1002/9781119896838.ch18</ns0:t>
        </ns0:is>
      </ns0:c>
      <ns0:c r="D18" s="21" t="inlineStr">
        <ns0:is>
          <ns0:t>Historical</ns0:t>
        </ns0:is>
      </ns0:c>
      <ns0:c r="E18" s="21" t="inlineStr">
        <ns0:is>
          <ns0:t>EC1 Ineligible publication type</ns0:t>
        </ns0:is>
      </ns0:c>
      <ns0:c r="F18" s="21" t="inlineStr">
        <ns0:is>
          <ns0:t>Standalone Wiley edited-book chapter; source framework excludes standalone chapters while retaining identified conference proceedings.</ns0:t>
        </ns0:is>
      </ns0:c>
      <ns0:c r="G18" s="21" t="inlineStr">
        <ns0:is>
          <ns0:t>https://doi.org/10.1002/9781119896838.ch18</ns0:t>
        </ns0:is>
      </ns0:c>
    </ns0:row>
    <ns0:row r="19" ht="65" customHeight="1">
      <ns0:c r="A19" s="19" t="inlineStr">
        <ns0:is>
          <ns0:t>165</ns0:t>
        </ns0:is>
      </ns0:c>
      <ns0:c r="B19" s="19" t="inlineStr">
        <ns0:is>
          <ns0:t>Phase 3 diagnostic evaluation of a smart tablet serious game to identify autism in 760 children 3-5 years old in Sweden and the United Kingdom</ns0:t>
        </ns0:is>
      </ns0:c>
      <ns0:c r="C19" s="19" t="inlineStr">
        <ns0:is>
          <ns0:t>10.1136/bmjopen-2018-026226</ns0:t>
        </ns0:is>
      </ns0:c>
      <ns0:c r="D19" s="19" t="inlineStr">
        <ns0:is>
          <ns0:t>Historical</ns0:t>
        </ns0:is>
      </ns0:c>
      <ns0:c r="E19" s="19" t="inlineStr">
        <ns0:is>
          <ns0:t>EC1 Protocol without primary results</ns0:t>
        </ns0:is>
      </ns0:c>
      <ns0:c r="F19" s="19" t="inlineStr">
        <ns0:is>
          <ns0:t>Explicit phase-III study protocol, recruitment targets and pre-results registration, not results from the planned 760-child evaluation.</ns0:t>
        </ns0:is>
      </ns0:c>
      <ns0:c r="G19" s="19" t="inlineStr">
        <ns0:is>
          <ns0:t>https://doi.org/10.1136/bmjopen-2018-026226</ns0:t>
        </ns0:is>
      </ns0:c>
    </ns0:row>
    <ns0:row r="20" ht="65" customHeight="1">
      <ns0:c r="A20" s="21" t="inlineStr">
        <ns0:is>
          <ns0:t>182</ns0:t>
        </ns0:is>
      </ns0:c>
      <ns0:c r="B20" s="21" t="inlineStr">
        <ns0:is>
          <ns0:t>COMBINED ANALYSIS OF THE ORAL MICROBIOME AND MICROTRANSCRIPTOME OF AUTISM SPECTRUM DISORDER</ns0:t>
        </ns0:is>
      </ns0:c>
      <ns0:c r="C20" s="21" t="inlineStr">
        <ns0:is>
          <ns0:t>10.1016/j.euroneuro.2017.08.321</ns0:t>
        </ns0:is>
      </ns0:c>
      <ns0:c r="D20" s="21" t="inlineStr">
        <ns0:is>
          <ns0:t>Historical</ns0:t>
        </ns0:is>
      </ns0:c>
      <ns0:c r="E20" s="21" t="inlineStr">
        <ns0:is>
          <ns0:t>EC1 Ineligible publication type</ns0:t>
        </ns0:is>
      </ns0:c>
      <ns0:c r="F20" s="21" t="inlineStr">
        <ns0:is>
          <ns0:t>Conference-supplement abstract in European Neuropsychopharmacology, not a full eligible primary report.</ns0:t>
        </ns0:is>
      </ns0:c>
      <ns0:c r="G20" s="21" t="inlineStr">
        <ns0:is>
          <ns0:t>https://doi.org/10.1016/j.euroneuro.2017.08.321</ns0:t>
        </ns0:is>
      </ns0:c>
    </ns0:row>
    <ns0:row r="21" ht="65" customHeight="1">
      <ns0:c r="A21" s="19" t="inlineStr">
        <ns0:is>
          <ns0:t>191</ns0:t>
        </ns0:is>
      </ns0:c>
      <ns0:c r="B21" s="19" t="inlineStr">
        <ns0:is>
          <ns0:t>Explainable and scalable machine learning algorithms for detection of autism spectrum disorder using fMRI data</ns0:t>
        </ns0:is>
      </ns0:c>
      <ns0:c r="C21" s="19" t="inlineStr">
        <ns0:is>
          <ns0:t>10.1016/b978-0-12-822822-7.00004-1</ns0:t>
        </ns0:is>
      </ns0:c>
      <ns0:c r="D21" s="19" t="inlineStr">
        <ns0:is>
          <ns0:t>Historical</ns0:t>
        </ns0:is>
      </ns0:c>
      <ns0:c r="E21" s="19" t="inlineStr">
        <ns0:is>
          <ns0:t>EC1 Ineligible publication type</ns0:t>
        </ns0:is>
      </ns0:c>
      <ns0:c r="F21" s="19" t="inlineStr">
        <ns0:is>
          <ns0:t>Standalone edited-book chapter, not a journal article or identified conference proceeding.</ns0:t>
        </ns0:is>
      </ns0:c>
      <ns0:c r="G21" s="19" t="inlineStr">
        <ns0:is>
          <ns0:t>https://doi.org/10.1016/b978-0-12-822822-7.00004-1</ns0:t>
        </ns0:is>
      </ns0:c>
    </ns0:row>
    <ns0:row r="22" ht="65" customHeight="1">
      <ns0:c r="A22" s="21" t="inlineStr">
        <ns0:is>
          <ns0:t>195</ns0:t>
        </ns0:is>
      </ns0:c>
      <ns0:c r="B22" s="21" t="inlineStr">
        <ns0:is>
          <ns0:t>Fuzzy logic-based hybrid knowledge systems for the detection and diagnosis of childhood autism</ns0:t>
        </ns0:is>
      </ns0:c>
      <ns0:c r="C22" s="21" t="inlineStr">
        <ns0:is>
          <ns0:t>10.1016/b978-0-12-822271-3.00016-5</ns0:t>
        </ns0:is>
      </ns0:c>
      <ns0:c r="D22" s="21" t="inlineStr">
        <ns0:is>
          <ns0:t>Historical</ns0:t>
        </ns0:is>
      </ns0:c>
      <ns0:c r="E22" s="21" t="inlineStr">
        <ns0:is>
          <ns0:t>EC1 Ineligible publication type</ns0:t>
        </ns0:is>
      </ns0:c>
      <ns0:c r="F22" s="21" t="inlineStr">
        <ns0:is>
          <ns0:t>Standalone edited-book chapter describing fuzzy knowledge systems; not a full identified conference report or journal article.</ns0:t>
        </ns0:is>
      </ns0:c>
      <ns0:c r="G22" s="21" t="inlineStr">
        <ns0:is>
          <ns0:t>https://doi.org/10.1016/b978-0-12-822271-3.00016-5</ns0:t>
        </ns0:is>
      </ns0:c>
    </ns0:row>
    <ns0:row r="23" ht="65" customHeight="1">
      <ns0:c r="A23" s="19" t="inlineStr">
        <ns0:is>
          <ns0:t>196</ns0:t>
        </ns0:is>
      </ns0:c>
      <ns0:c r="B23" s="19" t="inlineStr">
        <ns0:is>
          <ns0:t>Genetic factor analysis for an early diagnosis of autism through machine learning</ns0:t>
        </ns0:is>
      </ns0:c>
      <ns0:c r="C23" s="19" t="inlineStr">
        <ns0:is>
          <ns0:t>10.1016/b978-0-323-98352-5.00001-x</ns0:t>
        </ns0:is>
      </ns0:c>
      <ns0:c r="D23" s="19" t="inlineStr">
        <ns0:is>
          <ns0:t>Historical</ns0:t>
        </ns0:is>
      </ns0:c>
      <ns0:c r="E23" s="19" t="inlineStr">
        <ns0:is>
          <ns0:t>EC1 Ineligible publication type</ns0:t>
        </ns0:is>
      </ns0:c>
      <ns0:c r="F23" s="19" t="inlineStr">
        <ns0:is>
          <ns0:t>Standalone edited-book chapter; source criteria exclude this publication type even when a computational case study is described.</ns0:t>
        </ns0:is>
      </ns0:c>
      <ns0:c r="G23" s="19" t="inlineStr">
        <ns0:is>
          <ns0:t>https://doi.org/10.1016/b978-0-323-98352-5.00001-x</ns0:t>
        </ns0:is>
      </ns0:c>
    </ns0:row>
    <ns0:row r="24" ht="65" customHeight="1">
      <ns0:c r="A24" s="21" t="inlineStr">
        <ns0:is>
          <ns0:t>238</ns0:t>
        </ns0:is>
      </ns0:c>
      <ns0:c r="B24" s="21" t="inlineStr">
        <ns0:is>
          <ns0:t>Data mining and machine learning techniques for early detection in autism spectrum disorder</ns0:t>
        </ns0:is>
      </ns0:c>
      <ns0:c r="C24" s="21" t="inlineStr">
        <ns0:is>
          <ns0:t>10.1016/b978-0-12-822822-7.00006-5</ns0:t>
        </ns0:is>
      </ns0:c>
      <ns0:c r="D24" s="21" t="inlineStr">
        <ns0:is>
          <ns0:t>Historical</ns0:t>
        </ns0:is>
      </ns0:c>
      <ns0:c r="E24" s="21" t="inlineStr">
        <ns0:is>
          <ns0:t>Ineligible publication type: standalone book chapter</ns0:t>
        </ns0:is>
      </ns0:c>
      <ns0:c r="F24" s="21" t="inlineStr">
        <ns0:is>
          <ns0:t>Elsevier B978 edited-book chapter. The current source eligibility codebook excludes standalone chapters, while retaining full conference proceedings.</ns0:t>
        </ns0:is>
      </ns0:c>
      <ns0:c r="G24" s="21" t="inlineStr">
        <ns0:is>
          <ns0:t>https://doi.org/10.1016/b978-0-12-822822-7.00006-5</ns0:t>
        </ns0:is>
      </ns0:c>
    </ns0:row>
    <ns0:row r="25" ht="65" customHeight="1">
      <ns0:c r="A25" s="19" t="inlineStr">
        <ns0:is>
          <ns0:t>246</ns0:t>
        </ns0:is>
      </ns0:c>
      <ns0:c r="B25" s="19" t="inlineStr">
        <ns0:is>
          <ns0:t>Exploring tree-based machine learning methods to predict autism spectrum disorder</ns0:t>
        </ns0:is>
      </ns0:c>
      <ns0:c r="C25" s="19" t="inlineStr">
        <ns0:is>
          <ns0:t>10.1016/b978-0-12-822822-7.00009-0</ns0:t>
        </ns0:is>
      </ns0:c>
      <ns0:c r="D25" s="19" t="inlineStr">
        <ns0:is>
          <ns0:t>Historical</ns0:t>
        </ns0:is>
      </ns0:c>
      <ns0:c r="E25" s="19" t="inlineStr">
        <ns0:is>
          <ns0:t>Ineligible publication type: standalone book chapter</ns0:t>
        </ns0:is>
      </ns0:c>
      <ns0:c r="F25" s="19" t="inlineStr">
        <ns0:is>
          <ns0:t>Elsevier B978 edited-book chapter; apply current publication-type eligibility consistently.</ns0:t>
        </ns0:is>
      </ns0:c>
      <ns0:c r="G25" s="19" t="inlineStr">
        <ns0:is>
          <ns0:t>https://doi.org/10.1016/b978-0-12-822822-7.00009-0</ns0:t>
        </ns0:is>
      </ns0:c>
    </ns0:row>
    <ns0:row r="26" ht="65" customHeight="1">
      <ns0:c r="A26" s="21" t="inlineStr">
        <ns0:is>
          <ns0:t>256</ns0:t>
        </ns0:is>
      </ns0:c>
      <ns0:c r="B26" s="21" t="inlineStr">
        <ns0:is>
          <ns0:t>Machine learning methods for autism spectrum disorder classification</ns0:t>
        </ns0:is>
      </ns0:c>
      <ns0:c r="C26" s="21" t="inlineStr">
        <ns0:is>
          <ns0:t>10.1016/b978-0-12-822822-7.00008-9</ns0:t>
        </ns0:is>
      </ns0:c>
      <ns0:c r="D26" s="21" t="inlineStr">
        <ns0:is>
          <ns0:t>Historical</ns0:t>
        </ns0:is>
      </ns0:c>
      <ns0:c r="E26" s="21" t="inlineStr">
        <ns0:is>
          <ns0:t>Ineligible publication type: standalone book chapter</ns0:t>
        </ns0:is>
      </ns0:c>
      <ns0:c r="F26" s="21" t="inlineStr">
        <ns0:is>
          <ns0:t>Elsevier B978 edited-book chapter; distinguish it from eligible full conference proceedings.</ns0:t>
        </ns0:is>
      </ns0:c>
      <ns0:c r="G26" s="21" t="inlineStr">
        <ns0:is>
          <ns0:t>https://doi.org/10.1016/b978-0-12-822822-7.00008-9</ns0:t>
        </ns0:is>
      </ns0:c>
    </ns0:row>
    <ns0:row r="27" ht="65" customHeight="1">
      <ns0:c r="A27" s="19" t="inlineStr">
        <ns0:is>
          <ns0:t>299</ns0:t>
        </ns0:is>
      </ns0:c>
      <ns0:c r="B27" s="19" t="inlineStr">
        <ns0:is>
          <ns0:t>Three-dimensional quantification of oxytocin neurons in the hypothalamic paraventricular nucleus reveals sex- and subregion-specific differences in two genetic mouse models of autism</ns0:t>
        </ns0:is>
      </ns0:c>
      <ns0:c r="C27" s="19" t="inlineStr">
        <ns0:is>
          <ns0:t>10.1111/jne.70092</ns0:t>
        </ns0:is>
      </ns0:c>
      <ns0:c r="D27" s="19" t="inlineStr">
        <ns0:is>
          <ns0:t>Historical</ns0:t>
        </ns0:is>
      </ns0:c>
      <ns0:c r="E27" s="19" t="inlineStr">
        <ns0:is>
          <ns0:t>Non-human study</ns0:t>
        </ns0:is>
      </ns0:c>
      <ns0:c r="F27" s="19" t="inlineStr">
        <ns0:is>
          <ns0:t>Oxytocin-neuron quantification in Cntnap2/Fmr1 knockout mice, without a human ASD evaluation.</ns0:t>
        </ns0:is>
      </ns0:c>
      <ns0:c r="G27" s="19" t="inlineStr">
        <ns0:is>
          <ns0:t>https://doi.org/10.1111/jne.70092</ns0:t>
        </ns0:is>
      </ns0:c>
    </ns0:row>
    <ns0:row r="28" ht="65" customHeight="1">
      <ns0:c r="A28" s="21" t="inlineStr">
        <ns0:is>
          <ns0:t>new_172</ns0:t>
        </ns0:is>
      </ns0:c>
      <ns0:c r="B28" s="21" t="inlineStr">
        <ns0:is>
          <ns0:t>Evaluating Public Sentiment on Attention-Deficit/Hyperactivity Disorder and Autism Spectrum Disorder Compared With Other Mental Health Disorders From Posts on X (Formerly Known as Twitter): Longitudinal Analysis</ns0:t>
        </ns0:is>
      </ns0:c>
      <ns0:c r="C28" s="21" t="inlineStr">
        <ns0:is>
          <ns0:t>10.2196/74440</ns0:t>
        </ns0:is>
      </ns0:c>
      <ns0:c r="D28" s="21" t="inlineStr">
        <ns0:is>
          <ns0:t>Update</ns0:t>
        </ns0:is>
      </ns0:c>
      <ns0:c r="E28" s="21" t="inlineStr">
        <ns0:is>
          <ns0:t>EC4 No clinical or care-process model</ns0:t>
        </ns0:is>
      </ns0:c>
      <ns0:c r="F28" s="21" t="inlineStr">
        <ns0:is>
          <ns0:t>Public sentiment comparison of ADHD/ASD and other diagnoses on X; computational discourse analysis without an evaluated ASD clinical or care-support model.</ns0:t>
        </ns0:is>
      </ns0:c>
      <ns0:c r="G28" s="21" t="inlineStr">
        <ns0:is>
          <ns0:t>https://doi.org/10.2196/74440</ns0:t>
        </ns0:is>
      </ns0:c>
    </ns0:row>
    <ns0:row r="29" ht="65" customHeight="1">
      <ns0:c r="A29" s="19" t="inlineStr">
        <ns0:is>
          <ns0:t>new_321</ns0:t>
        </ns0:is>
      </ns0:c>
      <ns0:c r="B29" s="19" t="inlineStr">
        <ns0:is>
          <ns0:t>Bridging the gap: explainable ai for autism diagnosis and parental support with TabPFNMix and SHAP</ns0:t>
        </ns0:is>
      </ns0:c>
      <ns0:c r="C29" s="19" t="inlineStr">
        <ns0:is>
          <ns0:t>10.1038/s41598-025-24662-9</ns0:t>
        </ns0:is>
      </ns0:c>
      <ns0:c r="D29" s="19" t="inlineStr">
        <ns0:is>
          <ns0:t>Update</ns0:t>
        </ns0:is>
      </ns0:c>
      <ns0:c r="E29" s="19" t="inlineStr">
        <ns0:is>
          <ns0:t>Retracted publication</ns0:t>
        </ns0:is>
      </ns0:c>
      <ns0:c r="F29" s="19" t="inlineStr">
        <ns0:is>
          <ns0:t>Publisher labels the original article retracted on 2025-12-05; retraction DOI 10.1038/s41598-025-31337-y.</ns0:t>
        </ns0:is>
      </ns0:c>
      <ns0:c r="G29" s="19" t="inlineStr">
        <ns0:is>
          <ns0:t>https://www.nature.com/articles/s41598-025-24662-9</ns0:t>
        </ns0:is>
      </ns0:c>
    </ns0:row>
    <ns0:row r="30" ht="65" customHeight="1">
      <ns0:c r="A30" s="21" t="inlineStr">
        <ns0:is>
          <ns0:t>new_331</ns0:t>
        </ns0:is>
      </ns0:c>
      <ns0:c r="B30" s="21" t="inlineStr">
        <ns0:is>
          <ns0:t>Hybrid deep learning and feature selection approach for autism detection from rs-fMRI data</ns0:t>
        </ns0:is>
      </ns0:c>
      <ns0:c r="C30" s="21" t="inlineStr">
        <ns0:is>
          <ns0:t>10.1371/journal.pone.0339921</ns0:t>
        </ns0:is>
      </ns0:c>
      <ns0:c r="D30" s="21" t="inlineStr">
        <ns0:is>
          <ns0:t>Update</ns0:t>
        </ns0:is>
      </ns0:c>
      <ns0:c r="E30" s="21" t="inlineStr">
        <ns0:is>
          <ns0:t>EC8 Retracted publication</ns0:t>
        </ns0:is>
      </ns0:c>
      <ns0:c r="F30" s="21" t="inlineStr">
        <ns0:is>
          <ns0:t>The PLOS One Editors retracted the original DOI 10.1371/journal.pone.0339921 on 27 July 2026 over result reliability and policy concerns. This is a primary notice, not a title-based integrity suspicion.</ns0:t>
        </ns0:is>
      </ns0:c>
      <ns0:c r="G30" s="21" t="inlineStr">
        <ns0:is>
          <ns0:t>https://journals.plos.org/plosone/article?id=10.1371/journal.pone.0354652</ns0:t>
        </ns0:is>
      </ns0:c>
    </ns0:row>
  </ns0:sheetData>
  <ns0:autoFilter ref="A4:G30"/>
  <ns0:mergeCells count="2">
    <ns0:mergeCell ref="A2:G2"/>
    <ns0:mergeCell ref="A1:G1"/>
  </ns0:mergeCells>
  <ns0:hyperlinks>
    <ns0:hyperlink ref="G5" ns1:id="rId1"/>
    <ns0:hyperlink ref="G6" ns1:id="rId2"/>
    <ns0:hyperlink ref="G7" ns1:id="rId3"/>
    <ns0:hyperlink ref="G8" ns1:id="rId4"/>
    <ns0:hyperlink ref="G9" ns1:id="rId5"/>
    <ns0:hyperlink ref="G10" ns1:id="rId6"/>
    <ns0:hyperlink ref="G11" ns1:id="rId7"/>
    <ns0:hyperlink ref="G12" ns1:id="rId8"/>
    <ns0:hyperlink ref="G13" ns1:id="rId9"/>
    <ns0:hyperlink ref="G14" ns1:id="rId10"/>
    <ns0:hyperlink ref="G15" ns1:id="rId11"/>
    <ns0:hyperlink ref="G16" ns1:id="rId12"/>
    <ns0:hyperlink ref="G17" ns1:id="rId13"/>
    <ns0:hyperlink ref="G18" ns1:id="rId14"/>
    <ns0:hyperlink ref="G19" ns1:id="rId15"/>
    <ns0:hyperlink ref="G20" ns1:id="rId16"/>
    <ns0:hyperlink ref="G21" ns1:id="rId17"/>
    <ns0:hyperlink ref="G22" ns1:id="rId18"/>
    <ns0:hyperlink ref="G23" ns1:id="rId19"/>
    <ns0:hyperlink ref="G24" ns1:id="rId20"/>
    <ns0:hyperlink ref="G25" ns1:id="rId21"/>
    <ns0:hyperlink ref="G26" ns1:id="rId22"/>
    <ns0:hyperlink ref="G27" ns1:id="rId23"/>
    <ns0:hyperlink ref="G28" ns1:id="rId24"/>
    <ns0:hyperlink ref="G29" ns1:id="rId25"/>
    <ns0:hyperlink ref="G30" ns1:id="rId26"/>
  </ns0:hyperlinks>
  <ns0:printOptions horizontalCentered="1"/>
  <ns0:pageMargins left="0.75" right="0.75" top="1" bottom="1" header="0.5" footer="0.5"/>
  <ns0:pageSetup orientation="landscape" paperSize="8" fitToHeight="0" fitToWidth="1"/>
</ns0:worksheet>
</file>

<file path=xl/worksheets/sheet13.xml><?xml version="1.0" encoding="utf-8"?>
<ns0:worksheet xmlns:ns0="http://schemas.openxmlformats.org/spreadsheetml/2006/main" xmlns:ns1="http://schemas.openxmlformats.org/officeDocument/2006/relationships">
  <ns0:sheetPr>
    <ns0:tabColor rgb="00177E89"/>
    <ns0:outlinePr summaryBelow="1" summaryRight="0"/>
    <ns0:pageSetUpPr fitToPage="1"/>
  </ns0:sheetPr>
  <ns0:dimension ref="A1:F22"/>
  <ns0:sheetViews>
    <ns0:sheetView showGridLines="0" workbookViewId="0">
      <ns0:pane xSplit="2" ySplit="4" topLeftCell="C5" activePane="bottomRight" state="frozen"/>
      <ns0:selection pane="topRight"/>
      <ns0:selection pane="bottomLeft"/>
      <ns0:selection pane="bottomRight" activeCell="A1" sqref="A1"/>
    </ns0:sheetView>
  </ns0:sheetViews>
  <ns0:sheetFormatPr baseColWidth="8" defaultRowHeight="15"/>
  <ns0:cols>
    <ns0:col width="13" customWidth="1" min="1" max="1"/>
    <ns0:col width="72" customWidth="1" min="2" max="2"/>
    <ns0:col width="24" customWidth="1" min="3" max="3"/>
    <ns0:col width="100" customWidth="1" min="4" max="4"/>
    <ns0:col width="60" customWidth="1" min="5" max="5"/>
    <ns0:col width="100" customWidth="1" min="6" max="6"/>
  </ns0:cols>
  <ns0:sheetData>
    <ns0:row r="1" ht="36" customHeight="1">
      <ns0:c r="A1" s="16" t="inlineStr">
        <ns0:is>
          <ns0:t>Alertas no eliminadas silenciosamente</ns0:t>
        </ns0:is>
      </ns0:c>
    </ns0:row>
    <ns0:row r="2" ht="32" customHeight="1">
      <ns0:c r="A2" s="17" t="inlineStr">
        <ns0:is>
          <ns0:t>18 informes: 2 expresiones de preocupacion y 16 cautelas de fuente/alcance. Se excluyen en la sensibilidad conservadora.</ns0:t>
        </ns0:is>
      </ns0:c>
    </ns0:row>
    <ns0:row r="4" ht="34" customHeight="1">
      <ns0:c r="A4" s="18" t="inlineStr">
        <ns0:is>
          <ns0:t>study_id</ns0:t>
        </ns0:is>
      </ns0:c>
      <ns0:c r="B4" s="18" t="inlineStr">
        <ns0:is>
          <ns0:t>title</ns0:t>
        </ns0:is>
      </ns0:c>
      <ns0:c r="C4" s="18" t="inlineStr">
        <ns0:is>
          <ns0:t>integrity_status</ns0:t>
        </ns0:is>
      </ns0:c>
      <ns0:c r="D4" s="18" t="inlineStr">
        <ns0:is>
          <ns0:t>source_scope_caution_detail</ns0:t>
        </ns0:is>
      </ns0:c>
      <ns0:c r="E4" s="18" t="inlineStr">
        <ns0:is>
          <ns0:t>source_url</ns0:t>
        </ns0:is>
      </ns0:c>
      <ns0:c r="F4" s="18" t="inlineStr">
        <ns0:is>
          <ns0:t>rationale</ns0:t>
        </ns0:is>
      </ns0:c>
    </ns0:row>
    <ns0:row r="5" ht="65" customHeight="1">
      <ns0:c r="A5" s="19" t="inlineStr">
        <ns0:is>
          <ns0:t>11</ns0:t>
        </ns0:is>
      </ns0:c>
      <ns0:c r="B5" s="19" t="inlineStr">
        <ns0:is>
          <ns0:t>Data Mining-Based Model for Computer-Aided Diagnosis of Autism and Gelotophobia: Mixed Methods Deep Learning Approach.</ns0:t>
        </ns0:is>
      </ns0:c>
      <ns0:c r="C5" s="19" t="inlineStr">
        <ns0:is>
          <ns0:t>Expression of Concern</ns0:t>
        </ns0:is>
      </ns0:c>
      <ns0:c r="D5" s="19" t="inlineStr"/>
      <ns0:c r="E5" s="19" t="inlineStr">
        <ns0:is>
          <ns0:t>https://formative.jmir.org/2026/1/e91833/</ns0:t>
        </ns0:is>
      </ns0:c>
      <ns0:c r="F5" s="19" t="inlineStr">
        <ns0:is>
          <ns0:t>Facial-image classification and questionnaire-assisted gelotophobia assessment are proposed for clinical use. Retain the expression-of-concern flag; diagnostic performance is not evidence of deployment.</ns0:t>
        </ns0:is>
      </ns0:c>
    </ns0:row>
    <ns0:row r="6" ht="65" customHeight="1">
      <ns0:c r="A6" s="21" t="inlineStr">
        <ns0:is>
          <ns0:t>75</ns0:t>
        </ns0:is>
      </ns0:c>
      <ns0:c r="B6" s="21" t="inlineStr">
        <ns0:is>
          <ns0:t>A monitoring system for patients of autism spectrum disorder using artificial intelligence</ns0:t>
        </ns0:is>
      </ns0:c>
      <ns0:c r="C6" s="21" t="inlineStr">
        <ns0:is>
          <ns0:t>Not recorded</ns0:t>
        </ns0:is>
      </ns0:c>
      <ns0:c r="D6" s="21" t="inlineStr">
        <ns0:is>
          <ns0:t>Accessible abstract proposes a system but does not establish original empirical AI evaluation; retain inherited inclusion with uncertainty and exclude in stricter-evidence sensitivity.</ns0:t>
        </ns0:is>
      </ns0:c>
      <ns0:c r="E6" s="21" t="inlineStr">
        <ns0:is>
          <ns0:t>https://link.springer.com/chapter/10.1007/978-3-030-59277-6_23</ns0:t>
        </ns0:is>
      </ns0:c>
      <ns0:c r="F6" s="21" t="inlineStr">
        <ns0:is>
          <ns0:t>Proposed sensor and facial-expression monitoring with caregiver alerts. Accessible description does not document a participant-facing empirical evaluation.
Accessible abstract proposes a system but does not establish original empirical AI evaluation; retain inherited inclusion with uncertainty and exclude in stricter-evidence sensitivity.</ns0:t>
        </ns0:is>
      </ns0:c>
    </ns0:row>
    <ns0:row r="7" ht="69" customHeight="1">
      <ns0:c r="A7" s="19" t="inlineStr">
        <ns0:is>
          <ns0:t>82</ns0:t>
        </ns0:is>
      </ns0:c>
      <ns0:c r="B7" s="19" t="inlineStr">
        <ns0:is>
          <ns0:t>Autism Spectrum Disorder detection framework for children based on federated learning integrated CNN-LSTM</ns0:t>
        </ns0:is>
      </ns0:c>
      <ns0:c r="C7" s="19" t="inlineStr">
        <ns0:is>
          <ns0:t>Not recorded</ns0:t>
        </ns0:is>
      </ns0:c>
      <ns0:c r="D7" s="19" t="inlineStr">
        <ns0:is>
          <ns0:t>Federated simulation claims across named instruments; participant linkage and provenance are not established in accessible evidence.</ns0:t>
        </ns0:is>
      </ns0:c>
      <ns0:c r="E7" s="19" t="inlineStr">
        <ns0:is>
          <ns0:t>https://doi.org/10.1016/j.compbiomed.2023.107539</ns0:t>
        </ns0:is>
      </ns0:c>
      <ns0:c r="F7" s="19" t="inlineStr">
        <ns0:is>
          <ns0:t>Named inputs are structured developmental screening instruments. Federated simulation does not demonstrate deployment, independent clinical sites, or held-out-site generalization; actual cross-instrument patient pairing remains unverified.
Federated simulation claims across named instruments; participant linkage and provenance are not established in accessible evidence.</ns0:t>
        </ns0:is>
      </ns0:c>
    </ns0:row>
    <ns0:row r="8" ht="65" customHeight="1">
      <ns0:c r="A8" s="21" t="inlineStr">
        <ns0:is>
          <ns0:t>166</ns0:t>
        </ns0:is>
      </ns0:c>
      <ns0:c r="B8" s="21" t="inlineStr">
        <ns0:is>
          <ns0:t>Research and development of autism diagnosis information system based on deep convolution neural network and facial expression data</ns0:t>
        </ns0:is>
      </ns0:c>
      <ns0:c r="C8" s="21" t="inlineStr">
        <ns0:is>
          <ns0:t>Not recorded</ns0:t>
        </ns0:is>
      </ns0:c>
      <ns0:c r="D8" s="21" t="inlineStr">
        <ns0:is>
          <ns0:t>Original evaluation is reported, but autism-specific labels and diagnostic endpoint versus facial-emotion recognition are not sufficiently clear in accessible description.</ns0:t>
        </ns0:is>
      </ns0:c>
      <ns0:c r="E8" s="21" t="inlineStr">
        <ns0:is>
          <ns0:t>https://doi.org/10.1108/lht-08-2019-0176</ns0:t>
        </ns0:is>
      </ns0:c>
      <ns0:c r="F8" s="21" t="inlineStr">
        <ns0:is>
          <ns0:t>Facial-expression CNN, including public expression datasets and a small additional child sample. No conventional-ML/DL hybrid is identified; diagnostic label validity is insufficiently described.
Original evaluation is reported, but autism-specific labels and diagnostic endpoint versus facial-emotion recognition are not sufficiently clear in accessible description.</ns0:t>
        </ns0:is>
      </ns0:c>
    </ns0:row>
    <ns0:row r="9" ht="81" customHeight="1">
      <ns0:c r="A9" s="19" t="inlineStr">
        <ns0:is>
          <ns0:t>224</ns0:t>
        </ns0:is>
      </ns0:c>
      <ns0:c r="B9" s="19" t="inlineStr">
        <ns0:is>
          <ns0:t>An ensemble classifier for emotion classification from EEG and GSR signals for autism detection</ns0:t>
        </ns0:is>
      </ns0:c>
      <ns0:c r="C9" s="19" t="inlineStr">
        <ns0:is>
          <ns0:t>Not recorded</ns0:t>
        </ns0:is>
      </ns0:c>
      <ns0:c r="D9" s="19" t="inlineStr">
        <ns0:is>
          <ns0:t>Public emotion dataset is unnamed in available abstract; ASD-specific evaluation population cannot be established. Retained from inherited eligibility; exclude in evidence-restricted sensitivity.</ns0:t>
        </ns0:is>
      </ns0:c>
      <ns0:c r="E9" s="19" t="inlineStr">
        <ns0:is>
          <ns0:t>https://doi.org/10.1016/j.cmpb.2025.108921</ns0:t>
        </ns0:is>
      </ns0:c>
      <ns0:c r="F9" s="19" t="inlineStr">
        <ns0:is>
          <ns0:t>EEG/GSR emotion classification proposed for autism-related care; abstract does not identify classifier components or establish that evaluation participants had ASD.
Reported precision 0.9870% is inconsistent with the other nearly perfect metrics; do not quote these metrics without full-text verification.
Public emotion dataset is unnamed in available abstract; ASD-specific evaluation population cannot be established. Retained from inherited eligibility; exclude in evidence-restricted sensitivity.</ns0:t>
        </ns0:is>
      </ns0:c>
    </ns0:row>
    <ns0:row r="10" ht="65" customHeight="1">
      <ns0:c r="A10" s="21" t="inlineStr">
        <ns0:is>
          <ns0:t>266</ns0:t>
        </ns0:is>
      </ns0:c>
      <ns0:c r="B10" s="21" t="inlineStr">
        <ns0:is>
          <ns0:t>Prenatal exposure to criteria air pollution and traffic-related air toxics and risk of autism spectrum disorder: A population-based cohort study of California births (1990–2018)</ns0:t>
        </ns0:is>
      </ns0:c>
      <ns0:c r="C10" s="21" t="inlineStr">
        <ns0:is>
          <ns0:t>Not recorded</ns0:t>
        </ns0:is>
      </ns0:c>
      <ns0:c r="D10" s="21" t="inlineStr">
        <ns0:is>
          <ns0:t>AI predicts environmental exposures rather than an ASD clinical endpoint; retain only in broad mapping and exclude in direct-clinical-endpoint sensitivity.</ns0:t>
        </ns0:is>
      </ns0:c>
      <ns0:c r="E10" s="21" t="inlineStr">
        <ns0:is>
          <ns0:t>https://doi.org/10.1016/j.envint.2025.109562</ns0:t>
        </ns0:is>
      </ns0:c>
      <ns0:c r="F10" s="21" t="inlineStr">
        <ns0:is>
          <ns0:t>ML estimates environmental exposure, followed by ASD epidemiological association analysis; no individual clinical risk decision system. Retained under broad computational ASD mapping, flagged for scope sensitivity.
AI predicts environmental exposures rather than an ASD clinical endpoint; retain only in broad mapping and exclude in direct-clinical-endpoint sensitivity.</ns0:t>
        </ns0:is>
      </ns0:c>
    </ns0:row>
    <ns0:row r="11" ht="65" customHeight="1">
      <ns0:c r="A11" s="19" t="inlineStr">
        <ns0:is>
          <ns0:t>289</ns0:t>
        </ns0:is>
      </ns0:c>
      <ns0:c r="B11" s="19" t="inlineStr">
        <ns0:is>
          <ns0:t>Increased serum levels of macrophage migration inhibitory factor in autism spectrum disorders</ns0:t>
        </ns0:is>
      </ns0:c>
      <ns0:c r="C11" s="19" t="inlineStr">
        <ns0:is>
          <ns0:t>Not recorded</ns0:t>
        </ns0:is>
      </ns0:c>
      <ns0:c r="D11" s="19" t="inlineStr">
        <ns0:is>
          <ns0:t>Exploratory regression biomarker model without out-of-sample evaluation; exclude in restrictive ML/clinical-endpoint sensitivity if protocol requires validated classifiers.</ns0:t>
        </ns0:is>
      </ns0:c>
      <ns0:c r="E11" s="19" t="inlineStr">
        <ns0:is>
          <ns0:t>https://doi.org/10.1016/j.neuro.2018.11.015</ns0:t>
        </ns0:is>
      </ns0:c>
      <ns0:c r="F11" s="19" t="inlineStr">
        <ns0:is>
          <ns0:t>Serum biomarker combined regression models are explicitly compared for concurrent ASD/severity; this is exploratory prediction, not a prospectively validated decision system.
Exploratory regression biomarker model without out-of-sample evaluation; exclude in restrictive ML/clinical-endpoint sensitivity if protocol requires validated classifiers.</ns0:t>
        </ns0:is>
      </ns0:c>
    </ns0:row>
    <ns0:row r="12" ht="65" customHeight="1">
      <ns0:c r="A12" s="21" t="inlineStr">
        <ns0:is>
          <ns0:t>290</ns0:t>
        </ns0:is>
      </ns0:c>
      <ns0:c r="B12" s="21" t="inlineStr">
        <ns0:is>
          <ns0:t>Machine Learning and Structural Dynamics-Based Approach to Reveal Molecular Mechanism of PTEN Missense Mutations Shared by Cancer and Autism Spectrum Disorder</ns0:t>
        </ns0:is>
      </ns0:c>
      <ns0:c r="C12" s="21" t="inlineStr">
        <ns0:is>
          <ns0:t>Not recorded</ns0:t>
        </ns0:is>
      </ns0:c>
      <ns0:c r="D12" s="21" t="inlineStr">
        <ns0:is>
          <ns0:t>Human gene/mutation-derived molecular modeling with dynamics simulations; no direct patient-level clinical outcome.</ns0:t>
        </ns0:is>
      </ns0:c>
      <ns0:c r="E12" s="21" t="inlineStr">
        <ns0:is>
          <ns0:t>https://doi.org/10.1021/acs.jcim.5c00134</ns0:t>
        </ns0:is>
      </ns0:c>
      <ns0:c r="F12" s="21" t="inlineStr">
        <ns0:is>
          <ns0:t>PTEN mutation structural dynamics and ML classify molecular effects, not patients; broad molecular ASD scope only.
Human gene/mutation-derived molecular modeling with dynamics simulations; no direct patient-level clinical outcome.</ns0:t>
        </ns0:is>
      </ns0:c>
    </ns0:row>
    <ns0:row r="13" ht="65" customHeight="1">
      <ns0:c r="A13" s="19" t="inlineStr">
        <ns0:is>
          <ns0:t>298</ns0:t>
        </ns0:is>
      </ns0:c>
      <ns0:c r="B13" s="19" t="inlineStr">
        <ns0:is>
          <ns0:t>Three Distinct Neuroanatomical Subtypes of Autism Spectrum Disorder, Revealed via Machine Learning, and Their Similarities With Schizophrenia Subtypes</ns0:t>
        </ns0:is>
      </ns0:c>
      <ns0:c r="C13" s="19" t="inlineStr">
        <ns0:is>
          <ns0:t>Not recorded</ns0:t>
        </ns0:is>
      </ns0:c>
      <ns0:c r="D13" s="19" t="inlineStr">
        <ns0:is>
          <ns0:t>Conference record in Biological Psychiatry; complete proceedings paper versus abstract-only publication cannot be established from institutional metadata. Exclude from evidence-restricted sensitivity.</ns0:t>
        </ns0:is>
      </ns0:c>
      <ns0:c r="E13" s="19" t="inlineStr">
        <ns0:is>
          <ns0:t>https://findanexpert.unimelb.edu.au/scholarlywork/1533141-three-distinct-neuroanatomical-subtypes-of-autism-spectrum-disorder--revealed-via-machine-learning--and-their-similarities-with-schizophrenia-subtypes</ns0:t>
        </ns0:is>
      </ns0:c>
      <ns0:c r="F13" s="19" t="inlineStr">
        <ns0:is>
          <ns0:t>Semi-supervised MRI subtyping rather than deep learning. Institutional record identifies conference proceedings; full-report status not established.
Conference record in Biological Psychiatry; complete proceedings paper versus abstract-only publication cannot be established from institutional metadata. Exclude from evidence-restricted sensitivity.</ns0:t>
        </ns0:is>
      </ns0:c>
    </ns0:row>
    <ns0:row r="14" ht="65" customHeight="1">
      <ns0:c r="A14" s="21" t="inlineStr">
        <ns0:is>
          <ns0:t>new_13</ns0:t>
        </ns0:is>
      </ns0:c>
      <ns0:c r="B14" s="21" t="inlineStr">
        <ns0:is>
          <ns0:t>In-silico assessment of dynamic symbiotic microbial interactions in a reduced microbiota related to the autism spectrum disorder symptoms</ns0:t>
        </ns0:is>
      </ns0:c>
      <ns0:c r="C14" s="21" t="inlineStr">
        <ns0:is>
          <ns0:t>Not recorded</ns0:t>
        </ns0:is>
      </ns0:c>
      <ns0:c r="D14" s="21" t="inlineStr">
        <ns0:is>
          <ns0:t>Human-derived microbial ML context with in-silico metabolic modeling; exclude in direct clinical-endpoint sensitivity.</ns0:t>
        </ns0:is>
      </ns0:c>
      <ns0:c r="E14" s="21" t="inlineStr">
        <ns0:is>
          <ns0:t>https://doi.org/10.1016/j.csbj.2025.09.006</ns0:t>
        </ns0:is>
      </ns0:c>
      <ns0:c r="F14" s="21" t="inlineStr">
        <ns0:is>
          <ns0:t>Diet-dependent microbial simulations contextualize ML predictions; no deep neural component establishes a Hybrid category.
Human-derived microbial ML context with in-silico metabolic modeling; exclude in direct clinical-endpoint sensitivity.</ns0:t>
        </ns0:is>
      </ns0:c>
    </ns0:row>
    <ns0:row r="15" ht="65" customHeight="1">
      <ns0:c r="A15" s="19" t="inlineStr">
        <ns0:is>
          <ns0:t>new_125</ns0:t>
        </ns0:is>
      </ns0:c>
      <ns0:c r="B15" s="19" t="inlineStr">
        <ns0:is>
          <ns0:t>Identification of critical brain regions for autism diagnosis from fMRI data using explainable AI: an observational analysis of the ABIDE dataset</ns0:t>
        </ns0:is>
      </ns0:c>
      <ns0:c r="C15" s="19" t="inlineStr">
        <ns0:is>
          <ns0:t>Expression of Concern</ns0:t>
        </ns0:is>
      </ns0:c>
      <ns0:c r="D15" s="19" t="inlineStr"/>
      <ns0:c r="E15" s="19" t="inlineStr">
        <ns0:is>
          <ns0:t>https://doi.org/10.1016/j.eclinm.2025.103452</ns0:t>
        </ns0:is>
      </ns0:c>
      <ns0:c r="F15" s="19" t="inlineStr">
        <ns0:is>
          <ns0:t>SVM-RFE is feature selection ahead of sparse-autoencoder/Softmax classification. Retrospective ABIDE evaluation and explainability, with inherited expression-of-concern flag retained.</ns0:t>
        </ns0:is>
      </ns0:c>
    </ns0:row>
    <ns0:row r="16" ht="65" customHeight="1">
      <ns0:c r="A16" s="21" t="inlineStr">
        <ns0:is>
          <ns0:t>new_160</ns0:t>
        </ns0:is>
      </ns0:c>
      <ns0:c r="B16" s="21" t="inlineStr">
        <ns0:is>
          <ns0:t>Large Language Model-Assisted Annotation Framework for Cross-Platform Analysis of Online Autism Communities: Implications for Parent Education and Digital Support</ns0:t>
        </ns0:is>
      </ns0:c>
      <ns0:c r="C16" s="21" t="inlineStr">
        <ns0:is>
          <ns0:t>Not recorded</ns0:t>
        </ns0:is>
      </ns0:c>
      <ns0:c r="D16" s="21" t="inlineStr">
        <ns0:is>
          <ns0:t>Caregiver information-needs research rather than an AI decision or delivered care-support system; exclude in direct clinical-endpoint sensitivity.</ns0:t>
        </ns0:is>
      </ns0:c>
      <ns0:c r="E16" s="21" t="inlineStr">
        <ns0:is>
          <ns0:t>https://www.jmir.org/2026/1/e85290</ns0:t>
        </ns0:is>
      </ns0:c>
      <ns0:c r="F16" s="21" t="inlineStr">
        <ns0:is>
          <ns0:t>Published final article validates LLM annotation of caregiver health-information communities; no care decisions made by this model.
Caregiver information-needs research rather than an AI decision or delivered care-support system; exclude in direct clinical-endpoint sensitivity.</ns0:t>
        </ns0:is>
      </ns0:c>
    </ns0:row>
    <ns0:row r="17" ht="65" customHeight="1">
      <ns0:c r="A17" s="19" t="inlineStr">
        <ns0:is>
          <ns0:t>new_384</ns0:t>
        </ns0:is>
      </ns0:c>
      <ns0:c r="B17" s="19" t="inlineStr">
        <ns0:is>
          <ns0:t>Air pollution and autism-like traits: Sensitive periods and joint effects of exposure to sources and constituents of fine particulate matter</ns0:t>
        </ns0:is>
      </ns0:c>
      <ns0:c r="C17" s="19" t="inlineStr">
        <ns0:is>
          <ns0:t>Not recorded</ns0:t>
        </ns0:is>
      </ns0:c>
      <ns0:c r="D17" s="19" t="inlineStr">
        <ns0:is>
          <ns0:t>Indirect ASD relevance: ML estimates exposure, not the clinical outcome.</ns0:t>
        </ns0:is>
      </ns0:c>
      <ns0:c r="E17" s="19" t="inlineStr">
        <ns0:is>
          <ns0:t>https://doi.org/10.1016/j.envres.2026.125213</ns0:t>
        </ns0:is>
      </ns0:c>
      <ns0:c r="F17" s="19" t="inlineStr">
        <ns0:is>
          <ns0:t>ML exposure reconstruction plus ASD-trait epidemiology; not a prospectively evaluated ASD prognosis tool.
Indirect ASD relevance: ML estimates exposure, not the clinical outcome.</ns0:t>
        </ns0:is>
      </ns0:c>
    </ns0:row>
    <ns0:row r="18" ht="153" customHeight="1">
      <ns0:c r="A18" s="21" t="inlineStr">
        <ns0:is>
          <ns0:t>new_364</ns0:t>
        </ns0:is>
      </ns0:c>
      <ns0:c r="B18" s="21" t="inlineStr">
        <ns0:is>
          <ns0:t>Smart detection of autism spectrum disorder using optimized deep learner for transforming early diagnosis and intervention</ns0:t>
        </ns0:is>
      </ns0:c>
      <ns0:c r="C18" s="21" t="inlineStr">
        <ns0:is>
          <ns0:t>Not recorded</ns0:t>
        </ns0:is>
      </ns0:c>
      <ns0:c r="D18" s="21" t="inlineStr">
        <ns0:is>
          <ns0:t>Material reporting/source-lineage inconsistency preserved; excluded in conservative sensitivity analysis.</ns0:t>
        </ns0:is>
      </ns0:c>
      <ns0:c r="E18" s="21" t="inlineStr">
        <ns0:is>
          <ns0:t>https://doi.org/10.1007/s12065-026-01162-x</ns0:t>
        </ns0:is>
      </ns0:c>
      <ns0:c r="F18" s="21" t="inlineStr">
        <ns0:is>
          <ns0:t>Retained source-specific coding after review of the supplied extraction notes; not a new full-text retrieval. The full text describes experiments on the Reddit Mental Health Dataset and ASD Screening Dataset, including stratified 70/15/15 train/validation/test splits and reported performance near 99%. Material reporting contradiction: the Methods/Results explicitly analyze two datasets, while the Data Availability statement says no datasets were generated or analysed. Inclusion is retained provisionally, but this requires high-priority human verification before final synthesis.
The full text describes experiments on the Reddit Mental Health Dataset and ASD Screening Dataset, including stratified 70/15/15 train/validation/test splits and reported performance near 99%. Material reporting contradiction: the Methods/Results explicitly analyze two datasets, while the Data Availability statement says no datasets were generated or analysed. Inclusion is retained provisionally, but this requires high-priority human verification before final synthesis.
Material reporting/source-lineage inconsistency preserved; excluded in conservative sensitivity analysis.</ns0:t>
        </ns0:is>
      </ns0:c>
    </ns0:row>
    <ns0:row r="19" ht="177" customHeight="1">
      <ns0:c r="A19" s="19" t="inlineStr">
        <ns0:is>
          <ns0:t>new_366</ns0:t>
        </ns0:is>
      </ns0:c>
      <ns0:c r="B19" s="19" t="inlineStr">
        <ns0:is>
          <ns0:t>Hybrid deep learning with cross-attention fusion for autism spectrum disorder classification from facial images</ns0:t>
        </ns0:is>
      </ns0:c>
      <ns0:c r="C19" s="19" t="inlineStr">
        <ns0:is>
          <ns0:t>Not recorded</ns0:t>
        </ns0:is>
      </ns0:c>
      <ns0:c r="D19" s="19" t="inlineStr">
        <ns0:is>
          <ns0:t>Material reporting/source-lineage inconsistency preserved; excluded in conservative sensitivity analysis.</ns0:t>
        </ns0:is>
      </ns0:c>
      <ns0:c r="E19" s="19" t="inlineStr">
        <ns0:is>
          <ns0:t>https://doi.org/10.1016/j.ibmed.2026.100421</ns0:t>
        </ns0:is>
      </ns0:c>
      <ns0:c r="F19" s="19" t="inlineStr">
        <ns0:is>
          <ns0:t>Retained source-specific coding after review of the supplied extraction notes; not a new full-text retrieval. A hybrid ResNet-152-CBAM/ViT-Large model with bidirectional cross-attention, weighted ensemble and test-time augmentation is evaluated on 2,940 public facial images; Grad-CAM highlights periocular regions and the ensemble reports 92% accuracy. The article reports a fixed 86.4%/3.4%/10.2% train/validation/test partition while the abstract also reports mean±SD across 5-fold cross-validation, creating an evaluation-protocol inconsistency that should be reconciled manually. No independent external dataset was used.
A hybrid ResNet-152-CBAM/ViT-Large model with bidirectional cross-attention, weighted ensemble and test-time augmentation is evaluated on 2,940 public facial images; Grad-CAM highlights periocular regions and the ensemble reports 92% accuracy. The article reports a fixed 86.4%/3.4%/10.2% train/validation/test partition while the abstract also reports mean±SD across 5-fold cross-validation, creating an evaluation-protocol inconsistency that should be reconciled manually. No independent external dataset was used.
Material reporting/source-lineage inconsistency preserved; excluded in conservative sensitivity analysis.
All-neural/optimization pipeline in recovered evidence; hybrid title is not sufficient for mixed conventional-ML/DL classification.</ns0:t>
        </ns0:is>
      </ns0:c>
    </ns0:row>
    <ns0:row r="20" ht="129" customHeight="1">
      <ns0:c r="A20" s="21" t="inlineStr">
        <ns0:is>
          <ns0:t>new_198</ns0:t>
        </ns0:is>
      </ns0:c>
      <ns0:c r="B20" s="21" t="inlineStr">
        <ns0:is>
          <ns0:t>A Multimodal AI Framework for Early Autism Identification Using CbRNN–Ensemble Modelling and Advanced NCIAPPF-Based Temporal Encoding</ns0:t>
        </ns0:is>
      </ns0:c>
      <ns0:c r="C20" s="21" t="inlineStr">
        <ns0:is>
          <ns0:t>Not recorded</ns0:t>
        </ns0:is>
      </ns0:c>
      <ns0:c r="D20" s="21" t="inlineStr">
        <ns0:is>
          <ns0:t>Material reporting/source-lineage inconsistency preserved; excluded in conservative sensitivity analysis.</ns0:t>
        </ns0:is>
      </ns0:c>
      <ns0:c r="E20" s="21" t="inlineStr">
        <ns0:is>
          <ns0:t>https://doi.org/10.1002/jdn.70117</ns0:t>
        </ns0:is>
      </ns0:c>
      <ns0:c r="F20" s="21" t="inlineStr">
        <ns0:is>
          <ns0:t>Retained source-specific coding after review of the supplied extraction notes; not a new full-text retrieval. AutiScan fuses facial-expression, eye-gaze, speech-prosody and behavioral cues using CbRNN-EM and NCIAPPF temporal processing for early ASD identification. High-priority reporting inconsistency: the article describes experimental multimodal analyses, while the publisher Data Availability Statement says that no datasets were generated or analyzed. Independent source/sample and validation verification is required.
AutiScan fuses facial-expression, eye-gaze, speech-prosody and behavioral cues using CbRNN-EM and NCIAPPF temporal processing for early ASD identification. High-priority reporting inconsistency: the article describes experimental multimodal analyses, while the publisher Data Availability Statement says that no datasets were generated or analyzed. Independent source/sample and validation verification is required.
Material reporting/source-lineage inconsistency preserved; excluded in conservative sensitivity analysis.</ns0:t>
        </ns0:is>
      </ns0:c>
    </ns0:row>
    <ns0:row r="21" ht="153" customHeight="1">
      <ns0:c r="A21" s="19" t="inlineStr">
        <ns0:is>
          <ns0:t>new_239</ns0:t>
        </ns0:is>
      </ns0:c>
      <ns0:c r="B21" s="19" t="inlineStr">
        <ns0:is>
          <ns0:t>Real-Time Classification for EEG Data in Children With ASD Using Deep Learning Techniques</ns0:t>
        </ns0:is>
      </ns0:c>
      <ns0:c r="C21" s="19" t="inlineStr">
        <ns0:is>
          <ns0:t>Not recorded</ns0:t>
        </ns0:is>
      </ns0:c>
      <ns0:c r="D21" s="19" t="inlineStr">
        <ns0:is>
          <ns0:t>Material reporting/source-lineage inconsistency preserved; excluded in conservative sensitivity analysis.</ns0:t>
        </ns0:is>
      </ns0:c>
      <ns0:c r="E21" s="19" t="inlineStr">
        <ns0:is>
          <ns0:t>https://doi.org/10.1002/dneu.23009</ns0:t>
        </ns0:is>
      </ns0:c>
      <ns0:c r="F21" s="19" t="inlineStr">
        <ns0:is>
          <ns0:t>Retained source-specific coding after review of the supplied extraction notes; not a new full-text retrieval. EEG from 60 children (30 ASD/30 TD) is processed with STFT/ICA and classified using CNN-LSTM; the paper reports 87.5% accuracy, while a ResNet baseline reports 89.1%. High-priority internal inconsistency: the abstract states that a 60-child EEG dataset was analyzed, while the publisher Data Availability Statement says no datasets were generated or analyzed. No external cohort or real-time prospective deployment was established.
EEG from 60 children (30 ASD/30 TD) is processed with STFT/ICA and classified using CNN-LSTM; the paper reports 87.5% accuracy, while a ResNet baseline reports 89.1%. High-priority internal inconsistency: the abstract states that a 60-child EEG dataset was analyzed, while the publisher Data Availability Statement says no datasets were generated or analyzed. No external cohort or real-time prospective deployment was established.
Material reporting/source-lineage inconsistency preserved; excluded in conservative sensitivity analysis.
All-neural/optimization pipeline in recovered evidence; hybrid title is not sufficient for mixed conventional-ML/DL classification.</ns0:t>
        </ns0:is>
      </ns0:c>
    </ns0:row>
    <ns0:row r="22" ht="129" customHeight="1">
      <ns0:c r="A22" s="21" t="inlineStr">
        <ns0:is>
          <ns0:t>new_415</ns0:t>
        </ns0:is>
      </ns0:c>
      <ns0:c r="B22" s="21" t="inlineStr">
        <ns0:is>
          <ns0:t>Artificial intelligence-based diagnostic model for autism spectrum disorder using blood biomarkers</ns0:t>
        </ns0:is>
      </ns0:c>
      <ns0:c r="C22" s="21" t="inlineStr">
        <ns0:is>
          <ns0:t>Not recorded</ns0:t>
        </ns0:is>
      </ns0:c>
      <ns0:c r="D22" s="21" t="inlineStr">
        <ns0:is>
          <ns0:t>Material reporting/source-lineage inconsistency preserved; excluded in conservative sensitivity analysis.</ns0:t>
        </ns0:is>
      </ns0:c>
      <ns0:c r="E22" s="21" t="inlineStr">
        <ns0:is>
          <ns0:t>https://doi.org/10.1007/s00521-025-11553-3</ns0:t>
        </ns0:is>
      </ns0:c>
      <ns0:c r="F22" s="21" t="inlineStr">
        <ns0:is>
          <ns0:t>Retained source-specific coding after review of the supplied extraction notes; not a new full-text retrieval. The ASA framework combines information-gain/Genetic-Algorithm feature selection with an optimized DNN and reports approximately 99% accuracy. 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
The ASA framework combines information-gain/Genetic-Algorithm feature selection with an optimized DNN and reports approximately 99% accuracy. 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
Material reporting/source-lineage inconsistency preserved; excluded in conservative sensitivity analysis.</ns0:t>
        </ns0:is>
      </ns0:c>
    </ns0:row>
  </ns0:sheetData>
  <ns0:autoFilter ref="A4:F22"/>
  <ns0:mergeCells count="2">
    <ns0:mergeCell ref="A2:F2"/>
    <ns0:mergeCell ref="A1:F1"/>
  </ns0:mergeCells>
  <ns0:hyperlinks>
    <ns0:hyperlink ref="E5" ns1:id="rId1"/>
    <ns0:hyperlink ref="E6" ns1:id="rId2"/>
    <ns0:hyperlink ref="E7" ns1:id="rId3"/>
    <ns0:hyperlink ref="E8" ns1:id="rId4"/>
    <ns0:hyperlink ref="E9" ns1:id="rId5"/>
    <ns0:hyperlink ref="E10" ns1:id="rId6"/>
    <ns0:hyperlink ref="E11" ns1:id="rId7"/>
    <ns0:hyperlink ref="E12" ns1:id="rId8"/>
    <ns0:hyperlink ref="E13" ns1:id="rId9"/>
    <ns0:hyperlink ref="E14" ns1:id="rId10"/>
    <ns0:hyperlink ref="E15" ns1:id="rId11"/>
    <ns0:hyperlink ref="E16" ns1:id="rId12"/>
    <ns0:hyperlink ref="E17" ns1:id="rId13"/>
    <ns0:hyperlink ref="E18" ns1:id="rId14"/>
    <ns0:hyperlink ref="E19" ns1:id="rId15"/>
    <ns0:hyperlink ref="E20" ns1:id="rId16"/>
    <ns0:hyperlink ref="E21" ns1:id="rId17"/>
    <ns0:hyperlink ref="E22" ns1:id="rId18"/>
  </ns0:hyperlinks>
  <ns0:printOptions horizontalCentered="1"/>
  <ns0:pageMargins left="0.75" right="0.75" top="1" bottom="1" header="0.5" footer="0.5"/>
  <ns0:pageSetup orientation="landscape" paperSize="8" fitToHeight="0" fitToWidth="1"/>
</ns0:worksheet>
</file>

<file path=xl/worksheets/sheet14.xml><?xml version="1.0" encoding="utf-8"?>
<ns0:worksheet xmlns:ns0="http://schemas.openxmlformats.org/spreadsheetml/2006/main" xmlns:ns1="http://schemas.openxmlformats.org/officeDocument/2006/relationships">
  <ns0:sheetPr>
    <ns0:tabColor rgb="00177E89"/>
    <ns0:outlinePr summaryBelow="1" summaryRight="0"/>
    <ns0:pageSetUpPr fitToPage="1"/>
  </ns0:sheetPr>
  <ns0:dimension ref="A1:M458"/>
  <ns0:sheetViews>
    <ns0:sheetView showGridLines="0" workbookViewId="0">
      <ns0:pane xSplit="2" ySplit="4" topLeftCell="C5" activePane="bottomRight" state="frozen"/>
      <ns0:selection pane="topRight"/>
      <ns0:selection pane="bottomLeft"/>
      <ns0:selection pane="bottomRight" activeCell="A1" sqref="A1"/>
    </ns0:sheetView>
  </ns0:sheetViews>
  <ns0:sheetFormatPr baseColWidth="8" defaultRowHeight="15"/>
  <ns0:cols>
    <ns0:col width="13" customWidth="1" min="1" max="1"/>
    <ns0:col width="72" customWidth="1" min="2" max="2"/>
    <ns0:col width="40" customWidth="1" min="3" max="3"/>
    <ns0:col width="60" customWidth="1" min="4" max="4"/>
    <ns0:col width="56" customWidth="1" min="5" max="5"/>
    <ns0:col width="100" customWidth="1" min="6" max="6"/>
    <ns0:col width="100" customWidth="1" min="7" max="7"/>
    <ns0:col hidden="1" outlineLevel="1" width="100" customWidth="1" min="8" max="13"/>
    <ns0:col width="13" customWidth="1" min="9" max="9"/>
    <ns0:col width="13" customWidth="1" min="10" max="10"/>
    <ns0:col width="13" customWidth="1" min="11" max="11"/>
    <ns0:col width="13" customWidth="1" min="12" max="12"/>
    <ns0:col width="13" customWidth="1" min="13" max="13"/>
  </ns0:cols>
  <ns0:sheetData>
    <ns0:row r="1" ht="36" customHeight="1">
      <ns0:c r="A1" s="16" t="inlineStr">
        <ns0:is>
          <ns0:t>Trazabilidad por informe</ns0:t>
        </ns0:is>
      </ns0:c>
    </ns0:row>
    <ns0:row r="2" ht="32" customHeight="1">
      <ns0:c r="A2" s="17" t="inlineStr">
        <ns0:is>
          <ns0:t>Texto y anotaciones originales preservados. Solo las comprobaciones adicionales registradas se atribuyen a nueva consulta de fuente.</ns0:t>
        </ns0:is>
      </ns0:c>
    </ns0:row>
    <ns0:row r="4" ht="34" customHeight="1">
      <ns0:c r="A4" s="18" t="inlineStr">
        <ns0:is>
          <ns0:t>study_id</ns0:t>
        </ns0:is>
      </ns0:c>
      <ns0:c r="B4" s="18" t="inlineStr">
        <ns0:is>
          <ns0:t>title</ns0:t>
        </ns0:is>
      </ns0:c>
      <ns0:c r="C4" s="18" t="inlineStr">
        <ns0:is>
          <ns0:t>doi</ns0:t>
        </ns0:is>
      </ns0:c>
      <ns0:c r="D4" s="18" t="inlineStr">
        <ns0:is>
          <ns0:t>source_url</ns0:t>
        </ns0:is>
      </ns0:c>
      <ns0:c r="E4" s="18" t="inlineStr">
        <ns0:is>
          <ns0:t>source_level</ns0:t>
        </ns0:is>
      </ns0:c>
      <ns0:c r="F4" s="18" t="inlineStr">
        <ns0:is>
          <ns0:t>source_locator</ns0:t>
        </ns0:is>
      </ns0:c>
      <ns0:c r="G4" s="18" t="inlineStr">
        <ns0:is>
          <ns0:t>recharting_rationale</ns0:t>
        </ns0:is>
      </ns0:c>
      <ns0:c r="H4" s="18" t="inlineStr">
        <ns0:is>
          <ns0:t>abstract_original</ns0:t>
        </ns0:is>
      </ns0:c>
      <ns0:c r="I4" s="18" t="inlineStr">
        <ns0:is>
          <ns0:t>coding_notes_original</ns0:t>
        </ns0:is>
      </ns0:c>
      <ns0:c r="J4" s="18" t="inlineStr">
        <ns0:is>
          <ns0:t>lot_evidence_original</ns0:t>
        </ns0:is>
      </ns0:c>
      <ns0:c r="K4" s="18" t="inlineStr">
        <ns0:is>
          <ns0:t>access_note_original</ns0:t>
        </ns0:is>
      </ns0:c>
      <ns0:c r="L4" s="18" t="inlineStr">
        <ns0:is>
          <ns0:t>independent_verification_original</ns0:t>
        </ns0:is>
      </ns0:c>
      <ns0:c r="M4" s="18" t="inlineStr">
        <ns0:is>
          <ns0:t>additional_sources</ns0:t>
        </ns0:is>
      </ns0:c>
    </ns0:row>
    <ns0:row r="5" ht="93" customHeight="1">
      <ns0:c r="A5" s="19" t="inlineStr">
        <ns0:is>
          <ns0:t>1</ns0:t>
        </ns0:is>
      </ns0:c>
      <ns0:c r="B5" s="19" t="inlineStr">
        <ns0:is>
          <ns0:t>A Clinically Interpretable Approach for Early Detection of Autism Using Machine Learning With Explainable AI</ns0:t>
        </ns0:is>
      </ns0:c>
      <ns0:c r="C5" s="19" t="inlineStr">
        <ns0:is>
          <ns0:t>10.1109/access.2025.3586314</ns0:t>
        </ns0:is>
      </ns0:c>
      <ns0:c r="D5" s="19" t="inlineStr">
        <ns0:is>
          <ns0:t>https://doi.org/10.1109/access.2025.3586314</ns0:t>
        </ns0:is>
      </ns0:c>
      <ns0:c r="E5" s="19" t="inlineStr">
        <ns0:is>
          <ns0:t>Supplied abstract/coding notes; no new full-text verification</ns0:t>
        </ns0:is>
      </ns0:c>
      <ns0:c r="F5" s="19" t="inlineStr">
        <ns0:is>
          <ns0:t>EVIDENCIA; original abstract/coding notes and lot source trace; Historical signals: title/abstract/notes; full-text completion not independently established</ns0:t>
        </ns0:is>
      </ns0:c>
      <ns0:c r="G5" s="19" t="inlineStr">
        <ns0:is>
          <ns0:t>Public age-specific screening datasets; five-fold CV and SHAP. Physician interpretation is proposed, not evaluated in a clinical workflow. Background mentions do not establish five clinical stages.</ns0:t>
        </ns0:is>
      </ns0:c>
      <ns0:c r="H5" s="19" t="inlineStr">
        <ns0:is>
          <ns0: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ns0:t>
        </ns0:is>
      </ns0:c>
      <ns0:c r="I5" s="19" t="inlineStr">
        <ns0:is>
          <ns0:t>“Comparative ML study: Naive Bayes, SVM, Random Forest; RF best; explainability via SHAP; 5-fold CV.”</ns0:t>
        </ns0:is>
      </ns0:c>
      <ns0:c r="J5" s="19" t="inlineStr"/>
      <ns0:c r="K5" s="19" t="inlineStr"/>
      <ns0:c r="L5" s="19" t="inlineStr">
        <ns0:is>
          <ns0:t>Not documented in provided sources</ns0:t>
        </ns0:is>
      </ns0:c>
      <ns0:c r="M5" s="19" t="inlineStr">
        <ns0:is>
          <ns0:t>[]</ns0:t>
        </ns0:is>
      </ns0:c>
    </ns0:row>
    <ns0:row r="6" ht="81" customHeight="1">
      <ns0:c r="A6" s="21" t="inlineStr">
        <ns0:is>
          <ns0:t>2</ns0:t>
        </ns0:is>
      </ns0:c>
      <ns0:c r="B6" s="21" t="inlineStr">
        <ns0:is>
          <ns0:t>Searching for a minimal set of behaviors for autism detection through feature selection-based machine learning</ns0:t>
        </ns0:is>
      </ns0:c>
      <ns0:c r="C6" s="21" t="inlineStr">
        <ns0:is>
          <ns0:t>10.1038/tp.2015.7</ns0:t>
        </ns0:is>
      </ns0:c>
      <ns0:c r="D6" s="21" t="inlineStr">
        <ns0:is>
          <ns0:t>https://doi.org/10.1038/tp.2015.7</ns0:t>
        </ns0:is>
      </ns0:c>
      <ns0:c r="E6" s="21" t="inlineStr">
        <ns0:is>
          <ns0:t>Supplied abstract/coding notes; no new full-text verification</ns0:t>
        </ns0:is>
      </ns0:c>
      <ns0:c r="F6" s="21" t="inlineStr">
        <ns0:is>
          <ns0:t>EVIDENCIA; original abstract/coding notes and lot source trace; Historical signals: title/abstract/notes; full-text completion not independently established</ns0:t>
        </ns0:is>
      </ns0:c>
      <ns0:c r="G6" s="21" t="inlineStr">
        <ns0:is>
          <ns0:t>ADOS score sheets are structured behavioral records, not unspecified data. The reduced behavioral set is proposed for preliminary triage; no prospective use of the resulting model is described.</ns0:t>
        </ns0:is>
      </ns0:c>
      <ns0:c r="H6" s="21" t="inlineStr">
        <ns0:is>
          <ns0: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ns0:t>
        </ns0:is>
      </ns0:c>
      <ns0:c r="I6" s="21" t="inlineStr">
        <ns0:is>
          <ns0:t>Usa ADOS/ítems conductuales para detección/cribado; algoritmo principal no explícito.</ns0:t>
        </ns0:is>
      </ns0:c>
      <ns0:c r="J6" s="21" t="inlineStr"/>
      <ns0:c r="K6" s="21" t="inlineStr"/>
      <ns0:c r="L6" s="21" t="inlineStr">
        <ns0:is>
          <ns0:t>Not documented in provided sources</ns0:t>
        </ns0:is>
      </ns0:c>
      <ns0:c r="M6" s="21" t="inlineStr">
        <ns0:is>
          <ns0:t>[]</ns0:t>
        </ns0:is>
      </ns0:c>
    </ns0:row>
    <ns0:row r="7" ht="93" customHeight="1">
      <ns0:c r="A7" s="19" t="inlineStr">
        <ns0:is>
          <ns0:t>3</ns0:t>
        </ns0:is>
      </ns0:c>
      <ns0:c r="B7" s="19" t="inlineStr">
        <ns0:is>
          <ns0:t>The use of data independent acquisition based proteomic analysis and machine learning to reveal potential biomarkers for autism spectrum disorder</ns0:t>
        </ns0:is>
      </ns0:c>
      <ns0:c r="C7" s="19" t="inlineStr">
        <ns0:is>
          <ns0:t>10.1016/j.jprot.2023.104872</ns0:t>
        </ns0:is>
      </ns0:c>
      <ns0:c r="D7" s="19" t="inlineStr">
        <ns0:is>
          <ns0:t>https://doi.org/10.1016/j.jprot.2023.104872</ns0:t>
        </ns0:is>
      </ns0:c>
      <ns0:c r="E7" s="19" t="inlineStr">
        <ns0:is>
          <ns0:t>Supplied abstract/coding notes; no new full-text verification</ns0:t>
        </ns0:is>
      </ns0:c>
      <ns0:c r="F7" s="19" t="inlineStr">
        <ns0:is>
          <ns0:t>EVIDENCIA; original abstract/coding notes and lot source trace; Historical signals: title/abstract/notes; full-text completion not independently established</ns0:t>
        </ns0:is>
      </ns0:c>
      <ns0:c r="G7" s="19" t="inlineStr">
        <ns0:is>
          <ns0:t>Plasma proteomics with DIA/MRM and machine-learning biomarker selection. Molecular assay verification alone does not establish external validation of the predictive model.</ns0:t>
        </ns0:is>
      </ns0:c>
      <ns0:c r="H7" s="19" t="inlineStr">
        <ns0:is>
          <ns0: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ns0:t>
        </ns0:is>
      </ns0:c>
      <ns0:c r="I7" s="19" t="inlineStr">
        <ns0:is>
          <ns0:t>Biomarcadores proteómicos en plasma para discriminar ASD vs controles; algoritmo ML no especificado.</ns0:t>
        </ns0:is>
      </ns0:c>
      <ns0:c r="J7" s="19" t="inlineStr"/>
      <ns0:c r="K7" s="19" t="inlineStr"/>
      <ns0:c r="L7" s="19" t="inlineStr">
        <ns0:is>
          <ns0:t>Not documented in provided sources</ns0:t>
        </ns0:is>
      </ns0:c>
      <ns0:c r="M7" s="19" t="inlineStr">
        <ns0:is>
          <ns0:t>[]</ns0:t>
        </ns0:is>
      </ns0:c>
    </ns0:row>
    <ns0:row r="8" ht="350" customHeight="1">
      <ns0:c r="A8" s="21" t="inlineStr">
        <ns0:is>
          <ns0:t>4</ns0:t>
        </ns0:is>
      </ns0:c>
      <ns0:c r="B8" s="21" t="inlineStr">
        <ns0:is>
          <ns0:t>Cognitive Disorder Detection Used for Early Autism Screening Using Deep Learning</ns0:t>
        </ns0:is>
      </ns0:c>
      <ns0:c r="C8" s="21" t="inlineStr">
        <ns0:is>
          <ns0:t>10.1007/978-981-96-3942-7_18</ns0:t>
        </ns0:is>
      </ns0:c>
      <ns0:c r="D8" s="21" t="inlineStr">
        <ns0:is>
          <ns0:t>https://link.springer.com/chapter/10.1007/978-981-96-3942-7_18</ns0:t>
        </ns0:is>
      </ns0:c>
      <ns0:c r="E8" s="21" t="inlineStr">
        <ns0:is>
          <ns0:t>Publisher abstract and bibliographic metadata</ns0:t>
        </ns0:is>
      </ns0:c>
      <ns0:c r="F8" s="21" t="inlineStr">
        <ns0:is>
          <ns0:t>Publisher abstract and references</ns0:t>
        </ns0:is>
      </ns0:c>
      <ns0:c r="G8" s="21" t="inlineStr">
        <ns0:is>
          <ns0:t>The abstract describes CATest validation for mild cognitive disorder, Alzheimer disease and other neurological conditions rather than empirical ASD-specific modeling. Title wording alone does not establish eligibility.</ns0:t>
        </ns0:is>
      </ns0:c>
      <ns0:c r="H8" s="21" t="inlineStr">
        <ns0:is>
          <ns0:t>The proposed Monotonous Trans cranial Magnetic Stimulation device has been used as an invasive therapy for a variety of neurological and psychiatric conditions, including schizophrenia, Parkinson's disease, and depression, throughout the last ten years. Early detection of cognitive disorders such as dementias and Alzheimer's allows patients to get higher-quality therapy that helps them retrieve the information they need and preserve their memories. The rTMS device modifies the firing pulse of neurons to initiate brain communication by providing a varying magnetic field. This problem arises because Alzheimer's disease tangles and the resulting neuronal death often begin in memory-related areas like the progress to. In clinical and research contexts, cognitive disorders are associated with difficulties; moderate cognitive disorder (MCD) in particular need a high level of diagnostic suspicion in addition to equipment that are sensitive enough to detect it. This study was out to validate the short cognitive test (CATest) for MiCD diagnosis.</ns0:t>
        </ns0:is>
      </ns0:c>
      <ns0:c r="I8" s="21" t="inlineStr">
        <ns0:is>
          <ns0:t>Classification task; target label not consistently described (cognitive disorder/MiCD vs ‘early autism screening</ns0:t>
        </ns0:is>
      </ns0:c>
      <ns0:c r="J8" s="21" t="inlineStr"/>
      <ns0:c r="K8" s="21" t="inlineStr"/>
      <ns0:c r="L8" s="21" t="inlineStr">
        <ns0:is>
          <ns0:t>Not documented in provided sources</ns0:t>
        </ns0:is>
      </ns0:c>
      <ns0:c r="M8" s="21" t="inlineStr">
        <ns0:is>
          <ns0:t>[{"url": "https://link.springer.com/chapter/10.1007/978-981-96-3942-7_18", "locator": "Publisher abstract and references", "assessment": "The publisher abstract concerns cognitive impairment, dementia and CATest validation, not a human ASD computational evaluation; title wording alone is insufficient.", "level": "Publisher abstract and bibliographic metadata", "date": "2026-09-08", "assessor": "ChatGPT-assisted source verification; not independent human review"}]</ns0:t>
        </ns0:is>
      </ns0:c>
    </ns0:row>
    <ns0:row r="9" ht="350" customHeight="1">
      <ns0:c r="A9" s="19" t="inlineStr">
        <ns0:is>
          <ns0:t>5</ns0:t>
        </ns0:is>
      </ns0:c>
      <ns0:c r="B9" s="19" t="inlineStr">
        <ns0:is>
          <ns0:t>Metabolomics as a tool for discovery of biomarkers of autism spectrum disorder in the blood plasma of children</ns0:t>
        </ns0:is>
      </ns0:c>
      <ns0:c r="C9" s="19" t="inlineStr">
        <ns0:is>
          <ns0:t>10.1371/journal.pone.0112445</ns0:t>
        </ns0:is>
      </ns0:c>
      <ns0:c r="D9" s="19" t="inlineStr">
        <ns0:is>
          <ns0:t>https://journals.plos.org/plosone/article?id=10.1371/journal.pone.0112445</ns0:t>
        </ns0:is>
      </ns0:c>
      <ns0:c r="E9" s="19" t="inlineStr">
        <ns0:is>
          <ns0:t>Primary-source full text (targeted sections)</ns0:t>
        </ns0:is>
      </ns0:c>
      <ns0:c r="F9" s="19" t="inlineStr">
        <ns0:is>
          <ns0:t>Methods: Training and Independent Validation Sets; Classification Modeling; Results: Validation Set Model Performance</ns0:t>
        </ns0:is>
      </ns0:c>
      <ns0:c r="G9" s="19" t="inlineStr">
        <ns0:is>
          <ns0:t>Metabolomic classification and feature-ranking study. The held-out 21 participants were randomly partitioned from the same 82-participant cohort; this is internal holdout validation, despite the authors' external-sample terminology.</ns0:t>
        </ns0:is>
      </ns0:c>
      <ns0:c r="H9" s="19" t="inlineStr">
        <ns0:is>
          <ns0: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ns0:t>
        </ns0:is>
      </ns0:c>
      <ns0:c r="I9" s="19" t="inlineStr">
        <ns0:is>
          <ns0:t>Metabolómica plasmática para discriminar ASD vs controles; confirmar algoritmo principal en full-text.</ns0:t>
        </ns0:is>
      </ns0:c>
      <ns0:c r="J9" s="19" t="inlineStr"/>
      <ns0:c r="K9" s="19" t="inlineStr"/>
      <ns0:c r="L9" s="19" t="inlineStr">
        <ns0:is>
          <ns0:t>Not documented in provided sources</ns0:t>
        </ns0:is>
      </ns0:c>
      <ns0:c r="M9" s="19" t="inlineStr">
        <ns0:is>
          <ns0:t>[{"url": "https://journals.plos.org/plosone/article?id=10.1371/journal.pone.0112445", "locator": "Methods: Training and Independent Validation Sets; Classification Modeling; Results: Validation Set Model Performance", "assessment": "82 participants were partitioned into training (61) and held-out validation (21) sets. SVM and PLS-DA were evaluated with nested CV. GC-MS and LC-HRMS features were combined. External validation is recoded as not met under the review definition; feature importance is reported.", "level": "Primary-source full text (targeted sections)", "date": "2026-09-08", "assessor": "ChatGPT-assisted source verification; not independent human review"}]</ns0:t>
        </ns0:is>
      </ns0:c>
    </ns0:row>
    <ns0:row r="10" ht="129" customHeight="1">
      <ns0:c r="A10" s="21" t="inlineStr">
        <ns0:is>
          <ns0:t>6</ns0:t>
        </ns0:is>
      </ns0:c>
      <ns0:c r="B10" s="21" t="inlineStr">
        <ns0:is>
          <ns0:t>Sparsifying machine learning models identify stable subsets of predictive features for behavioral detection of autism</ns0:t>
        </ns0:is>
      </ns0:c>
      <ns0:c r="C10" s="21" t="inlineStr">
        <ns0:is>
          <ns0:t>10.1186/s13229-017-0180-6</ns0:t>
        </ns0:is>
      </ns0:c>
      <ns0:c r="D10" s="21" t="inlineStr">
        <ns0:is>
          <ns0:t>https://doi.org/10.1186/s13229-017-0180-6</ns0:t>
        </ns0:is>
      </ns0:c>
      <ns0:c r="E10" s="21" t="inlineStr">
        <ns0:is>
          <ns0:t>Supplied abstract/coding notes; no new full-text verification</ns0:t>
        </ns0:is>
      </ns0:c>
      <ns0:c r="F10" s="21" t="inlineStr">
        <ns0:is>
          <ns0:t>EVIDENCIA; original abstract/coding notes and lot source trace; Historical signals: title/abstract/notes; full-text completion not independently established</ns0:t>
        </ns0:is>
      </ns0:c>
      <ns0:c r="G10" s="21" t="inlineStr">
        <ns0:is>
          <ns0:t>ADOS score sheets and demographic covariates; sparse models intended to shorten assessment. No clinical use of predictions is evaluated. Comparing ML models is not hybrid ML/DL integration.</ns0:t>
        </ns0:is>
      </ns0:c>
      <ns0:c r="H10" s="21" t="inlineStr">
        <ns0:is>
          <ns0: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ns0:t>
        </ns0:is>
      </ns0:c>
      <ns0:c r="I10" s="21" t="inlineStr">
        <ns0:is>
          <ns0:t>Comparative study (17 supervised models); sparse/regularized; interpretable candidates include Logistic Regression (L2) and Linear SVM (L1).</ns0:t>
        </ns0:is>
      </ns0:c>
      <ns0:c r="J10" s="21" t="inlineStr"/>
      <ns0:c r="K10" s="21" t="inlineStr"/>
      <ns0:c r="L10" s="21" t="inlineStr">
        <ns0:is>
          <ns0:t>Not documented in provided sources</ns0:t>
        </ns0:is>
      </ns0:c>
      <ns0:c r="M10" s="21" t="inlineStr">
        <ns0:is>
          <ns0:t>[]</ns0:t>
        </ns0:is>
      </ns0:c>
    </ns0:row>
    <ns0:row r="11" ht="65" customHeight="1">
      <ns0:c r="A11" s="19" t="inlineStr">
        <ns0:is>
          <ns0:t>7</ns0:t>
        </ns0:is>
      </ns0:c>
      <ns0:c r="B11" s="19" t="inlineStr">
        <ns0:is>
          <ns0:t>Transformer-based deep learning ensemble framework predicts autism spectrum disorder using health administrative and birth registry data</ns0:t>
        </ns0:is>
      </ns0:c>
      <ns0:c r="C11" s="19" t="inlineStr">
        <ns0:is>
          <ns0:t>10.1038/s41598-025-90216-8</ns0:t>
        </ns0:is>
      </ns0:c>
      <ns0:c r="D11" s="19" t="inlineStr">
        <ns0:is>
          <ns0:t>https://doi.org/10.1038/s41598-025-90216-8</ns0:t>
        </ns0:is>
      </ns0:c>
      <ns0:c r="E11" s="19" t="inlineStr">
        <ns0:is>
          <ns0:t>Supplied abstract/coding notes; no new full-text verification</ns0:t>
        </ns0:is>
      </ns0:c>
      <ns0:c r="F11" s="19" t="inlineStr">
        <ns0:is>
          <ns0:t>EVIDENCIA; original abstract/coding notes and lot source trace; Historical signals: title/abstract/notes; full-text completion not independently established</ns0:t>
        </ns0:is>
      </ns0:c>
      <ns0:c r="G11" s="19" t="inlineStr">
        <ns0:is>
          <ns0:t>Linked maternal-newborn administrative and registry records predict a future ASD diagnosis at 18-60 months. Population prescreening is a proposed use; the implemented endpoint is prognostic.</ns0:t>
        </ns0:is>
      </ns0:c>
      <ns0:c r="H11" s="19" t="inlineStr">
        <ns0:is>
          <ns0: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ns0:t>
        </ns0:is>
      </ns0:c>
      <ns0:c r="I11" s="19" t="inlineStr"/>
      <ns0:c r="J11" s="19" t="inlineStr"/>
      <ns0:c r="K11" s="19" t="inlineStr"/>
      <ns0:c r="L11" s="19" t="inlineStr">
        <ns0:is>
          <ns0:t>Not documented in provided sources</ns0:t>
        </ns0:is>
      </ns0:c>
      <ns0:c r="M11" s="19" t="inlineStr">
        <ns0:is>
          <ns0:t>[]</ns0:t>
        </ns0:is>
      </ns0:c>
    </ns0:row>
    <ns0:row r="12" ht="65" customHeight="1">
      <ns0:c r="A12" s="21" t="inlineStr">
        <ns0:is>
          <ns0:t>8</ns0:t>
        </ns0:is>
      </ns0:c>
      <ns0:c r="B12" s="21" t="inlineStr">
        <ns0:is>
          <ns0:t>A Closed-Loop Ear-Worn Wearable EEG System with Real-Time Passive Electrode Skin Impedance Measurement for Early Autism Detection †</ns0:t>
        </ns0:is>
      </ns0:c>
      <ns0:c r="C12" s="21" t="inlineStr">
        <ns0:is>
          <ns0:t>10.3390/s24237489</ns0:t>
        </ns0:is>
      </ns0:c>
      <ns0:c r="D12" s="21" t="inlineStr">
        <ns0:is>
          <ns0:t>https://doi.org/10.3390/s24237489</ns0:t>
        </ns0:is>
      </ns0:c>
      <ns0:c r="E12" s="21" t="inlineStr">
        <ns0:is>
          <ns0:t>Supplied abstract/coding notes; no new full-text verification</ns0:t>
        </ns0:is>
      </ns0:c>
      <ns0:c r="F12" s="21" t="inlineStr">
        <ns0:is>
          <ns0:t>EVIDENCIA; original abstract/coding notes and lot source trace; Historical signals: title/abstract/notes; full-text completion not independently established</ns0:t>
        </ns0:is>
      </ns0:c>
      <ns0:c r="G12" s="21" t="inlineStr">
        <ns0:is>
          <ns0:t>Ear-worn EEG hardware with on-chip classification is bench-tested using the Old Dominion University ASD dataset. A deployed wearable screening workflow is proposed, not demonstrated by a real-time hardware benchmark.</ns0:t>
        </ns0:is>
      </ns0:c>
      <ns0:c r="H12" s="21" t="inlineStr">
        <ns0:is>
          <ns0: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ns0:t>
        </ns0:is>
      </ns0:c>
      <ns0:c r="I12" s="21" t="inlineStr"/>
      <ns0:c r="J12" s="21" t="inlineStr"/>
      <ns0:c r="K12" s="21" t="inlineStr"/>
      <ns0:c r="L12" s="21" t="inlineStr">
        <ns0:is>
          <ns0:t>Not documented in provided sources</ns0:t>
        </ns0:is>
      </ns0:c>
      <ns0:c r="M12" s="21" t="inlineStr">
        <ns0:is>
          <ns0:t>[]</ns0:t>
        </ns0:is>
      </ns0:c>
    </ns0:row>
    <ns0:row r="13" ht="165" customHeight="1">
      <ns0:c r="A13" s="19" t="inlineStr">
        <ns0:is>
          <ns0:t>9</ns0:t>
        </ns0:is>
      </ns0:c>
      <ns0:c r="B13" s="19" t="inlineStr">
        <ns0:is>
          <ns0:t>An automated assessment framework for atypical prosody and stereotyped idiosyncratic phrases related to autism spectrum disorder</ns0:t>
        </ns0:is>
      </ns0:c>
      <ns0:c r="C13" s="19" t="inlineStr">
        <ns0:is>
          <ns0:t>10.1016/j.csl.2018.11.002</ns0:t>
        </ns0:is>
      </ns0:c>
      <ns0:c r="D13" s="19" t="inlineStr">
        <ns0:is>
          <ns0:t>https://doi.org/10.1016/j.csl.2018.11.002</ns0:t>
        </ns0:is>
      </ns0:c>
      <ns0:c r="E13" s="19" t="inlineStr">
        <ns0:is>
          <ns0:t>Supplied abstract/coding notes; no new full-text verification</ns0:t>
        </ns0:is>
      </ns0:c>
      <ns0:c r="F13" s="19" t="inlineStr">
        <ns0:is>
          <ns0:t>EVIDENCIA; original abstract/coding notes and lot source trace; Historical signals: title/abstract/notes; full-text completion not independently established</ns0:t>
        </ns0:is>
      </ns0:c>
      <ns0:c r="G13" s="19" t="inlineStr">
        <ns0:is>
          <ns0:t>Acoustic and transcript-based ADOS-code prediction is evaluated offline. Audio and transcript tasks are described separately; classifier score fusion is not itself evidence of independent-source fusion.</ns0:t>
        </ns0:is>
      </ns0:c>
      <ns0:c r="H13" s="19" t="inlineStr">
        <ns0:is>
          <ns0: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ns0:t>
        </ns0:is>
      </ns0:c>
      <ns0:c r="I13" s="19" t="inlineStr">
        <ns0:is>
          <ns0:t>“End-to-end models: CNN, RNN(BLSTM), CNN+RNN(GRU/LSTM) on spectrograms; baseline OpenSMILE+linear SVM; text task uses linear SVM with n-gram/dep-treebank/TF-IDF/LIWC; score-level fusion.</ns0:t>
        </ns0:is>
      </ns0:c>
      <ns0:c r="J13" s="19" t="inlineStr"/>
      <ns0:c r="K13" s="19" t="inlineStr"/>
      <ns0:c r="L13" s="19" t="inlineStr">
        <ns0:is>
          <ns0:t>Not documented in provided sources</ns0:t>
        </ns0:is>
      </ns0:c>
      <ns0:c r="M13" s="19" t="inlineStr">
        <ns0:is>
          <ns0:t>[]</ns0:t>
        </ns0:is>
      </ns0:c>
    </ns0:row>
    <ns0:row r="14" ht="65" customHeight="1">
      <ns0:c r="A14" s="21" t="inlineStr">
        <ns0:is>
          <ns0:t>10</ns0:t>
        </ns0:is>
      </ns0:c>
      <ns0:c r="B14" s="21" t="inlineStr">
        <ns0:is>
          <ns0:t>Artificial Intelligence Driven Predictive Analysis of Acoustic and Linguistic Behaviors for ASD Identification</ns0:t>
        </ns0:is>
      </ns0:c>
      <ns0:c r="C14" s="21" t="inlineStr">
        <ns0:is>
          <ns0:t>10.1109/tai.2024.3439288</ns0:t>
        </ns0:is>
      </ns0:c>
      <ns0:c r="D14" s="21" t="inlineStr">
        <ns0:is>
          <ns0:t>https://doi.org/10.1109/tai.2024.3439288</ns0:t>
        </ns0:is>
      </ns0:c>
      <ns0:c r="E14" s="21" t="inlineStr">
        <ns0:is>
          <ns0:t>Supplied abstract/coding notes; no new full-text verification</ns0:t>
        </ns0:is>
      </ns0:c>
      <ns0:c r="F14" s="21" t="inlineStr">
        <ns0:is>
          <ns0:t>EVIDENCIA; original abstract/coding notes and lot source trace; Historical signals: title/abstract/notes; full-text completion not independently established</ns0:t>
        </ns0:is>
      </ns0:c>
      <ns0:c r="G14" s="21" t="inlineStr">
        <ns0:is>
          <ns0:t>Speech-derived acoustic and linguistic biomarkers are evaluated in Hindi and English; no active clinician-facing workflow is documented in the assessed abstract.
Acoustic and linguistic representations from speech; language variation is not independent input modality.</ns0:t>
        </ns0:is>
      </ns0:c>
      <ns0:c r="H14" s="21" t="inlineStr">
        <ns0:is>
          <ns0:t>Our study addresses a crucial gap in autism research by delving into linguistic challenges in low-resource languages, often overlooked in prior research primarily focused on English. By investigating unique acoustic and linguistic features in Hindi-speaking CwA, our study aligns with established diagnostic tools and highlights a significant ∼9% enhancement in diagnostic accuracy (∼91.3%) for ASD in Hindi-speaking children. Hindi, a non-English language spoken by over 325 million people in India and ranking fifth globally, has been the subject of our pioneering effort, marking the first exploration of ASD speech analysis in this language. This initiative not only represents the first exploration of ASD speech analysis in Hindi but also establishes a precedent for studying linguistic atypicalities in similar resource-constrained languages. The potential impact extends beyond diagnosis, offering promise for enhanced early identification and interventions, ultimately improving outcomes for CwA in low-resource language settings.Show Less
Abstract:
The identification of autism spectrum disorder (ASD) faces challenges due to the lack of reliable biomarkers and the subjectivity in diagnostic procedures, necessitating improved tools for objectivity and efficiency. Being a key characteristic of autism, language impairments are regarded as potential markers for identifying ASD. However, current research predominantly focuses on analyzing language characteristics in English, overlooking linguistic and contextual specificities in other resource-constrained languages. Motivated by these, we developed an artificial intelligence (AI)-based system to detect ASD, utilizing a range of acoustic and linguistic features extracted from dyadic conversations between a child and their communication partner. Validating our model on 76 English-speaking children [35 ASD and 41 typically developing (TD)] and 33 Hindi-speaking children (15 ASD and 18 TD), our extensive analysis of a diverse and comprehensive set of acoustic and linguistic speech attributes, including lexical, syntactic, semantic, and pragmatic elements revealed reliable speech attributes as predictors of ASD. This comprehensive analysis achieved a remarkable macro F1-score of approximately ∼91.30%. We further addressed the influence of linguistic diversity on speech-based ASD assessment by examining speech behaviors in both English and the low-resource language, Hindi. Specific features such as adverbs and distinct roots contributed significantly to ASD classification in English, while the proportion of unintelligible utterances and adposition use held greater importance in Hindi. This study underscores the reliability of speech-based biomarkers in ASD assessment, emphasizing their effectiveness across diverse linguistic backgrounds and highlighting the need for language-specific research in this domain.</ns0:t>
        </ns0:is>
      </ns0:c>
      <ns0:c r="I14" s="21" t="inlineStr"/>
      <ns0:c r="J14" s="21" t="inlineStr"/>
      <ns0:c r="K14" s="21" t="inlineStr"/>
      <ns0:c r="L14" s="21" t="inlineStr">
        <ns0:is>
          <ns0:t>Not documented in provided sources</ns0:t>
        </ns0:is>
      </ns0:c>
      <ns0:c r="M14" s="21" t="inlineStr">
        <ns0:is>
          <ns0:t>[]</ns0:t>
        </ns0:is>
      </ns0:c>
    </ns0:row>
    <ns0:row r="15" ht="350" customHeight="1">
      <ns0:c r="A15" s="19" t="inlineStr">
        <ns0:is>
          <ns0:t>11</ns0:t>
        </ns0:is>
      </ns0:c>
      <ns0:c r="B15" s="19" t="inlineStr">
        <ns0:is>
          <ns0:t>Data Mining-Based Model for Computer-Aided Diagnosis of Autism and Gelotophobia: Mixed Methods Deep Learning Approach.</ns0:t>
        </ns0:is>
      </ns0:c>
      <ns0:c r="C15" s="19" t="inlineStr">
        <ns0:is>
          <ns0:t>10.2196/72115</ns0:t>
        </ns0:is>
      </ns0:c>
      <ns0:c r="D15" s="19" t="inlineStr">
        <ns0:is>
          <ns0:t>https://formative.jmir.org/2026/1/e91833/</ns0:t>
        </ns0:is>
      </ns0:c>
      <ns0:c r="E15" s="19" t="inlineStr">
        <ns0:is>
          <ns0:t>Primary-source full text (targeted sections)</ns0:t>
        </ns0:is>
      </ns0:c>
      <ns0:c r="F15" s="19" t="inlineStr">
        <ns0:is>
          <ns0:t>Editorial notice, 23 January 2026</ns0:t>
        </ns0:is>
      </ns0:c>
      <ns0:c r="G15" s="19" t="inlineStr">
        <ns0:is>
          <ns0:t>Facial-image classification and questionnaire-assisted gelotophobia assessment are proposed for clinical use. Retain the expression-of-concern flag; diagnostic performance is not evidence of deployment.</ns0:t>
        </ns0:is>
      </ns0:c>
      <ns0:c r="H15" s="19" t="inlineStr">
        <ns0:is>
          <ns0: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ns0:t>
        </ns0:is>
      </ns0:c>
      <ns0:c r="I15" s="19" t="inlineStr">
        <ns0:is>
          <ns0:t>ASD status classification from facial images using DeepFace feature extraction; multiple ML models evaluated; MLP reported as highest test accuracy; gelotophobia assessed via DeepFace emotion analysis + GELOPH&lt;15&gt; questionnaire as confirmatory when facial cues ambiguous</ns0:t>
        </ns0:is>
      </ns0:c>
      <ns0:c r="J15" s="19" t="inlineStr"/>
      <ns0:c r="K15" s="19" t="inlineStr"/>
      <ns0:c r="L15" s="19" t="inlineStr">
        <ns0:is>
          <ns0:t>Not documented in provided sources</ns0:t>
        </ns0:is>
      </ns0:c>
      <ns0:c r="M15" s="19" t="inlineStr">
        <ns0:is>
          <ns0:t>[{"url": "https://formative.jmir.org/2026/1/e91833/", "locator": "Editorial notice, 23 January 2026", "assessment": "The journal reports investigation of dataset validity. This is an expression of concern, not a retraction; retain with an explicit integrity flag and exclusion sensitivity analysis.", "level": "Primary-source full text (targeted sections)", "date": "2026-09-08", "assessor": "ChatGPT-assisted source verification; not independent human review"}]</ns0:t>
        </ns0:is>
      </ns0:c>
    </ns0:row>
    <ns0:row r="16" ht="189" customHeight="1">
      <ns0:c r="A16" s="21" t="inlineStr">
        <ns0:is>
          <ns0:t>12</ns0:t>
        </ns0:is>
      </ns0:c>
      <ns0:c r="B16" s="21" t="inlineStr">
        <ns0:is>
          <ns0:t>Effect of Wearable Digital Intervention for Improving Socialization in Children with Autism Spectrum Disorder: A Randomized Clinical Trial</ns0:t>
        </ns0:is>
      </ns0:c>
      <ns0:c r="C16" s="21" t="inlineStr">
        <ns0:is>
          <ns0:t>10.1001/jamapediatrics.2019.0285</ns0:t>
        </ns0:is>
      </ns0:c>
      <ns0:c r="D16" s="21" t="inlineStr">
        <ns0:is>
          <ns0:t>https://doi.org/10.1001/jamapediatrics.2019.0285</ns0:t>
        </ns0:is>
      </ns0:c>
      <ns0:c r="E16" s="21" t="inlineStr">
        <ns0:is>
          <ns0:t>Supplied abstract/coding notes; no new full-text verification</ns0:t>
        </ns0:is>
      </ns0:c>
      <ns0:c r="F16" s="21" t="inlineStr">
        <ns0:is>
          <ns0:t>EVIDENCIA; original abstract/coding notes and lot source trace; Historical signals: title/abstract/notes; full-text completion not independently established</ns0:t>
        </ns0:is>
      </ns0:c>
      <ns0:c r="G16" s="21" t="inlineStr">
        <ns0:is>
          <ns0:t>Superpower Glass provides AI-generated facial-expression feedback in a randomized home intervention. Standard ABA therapy and outcome scales are not additional AI input modalities.</ns0:t>
        </ns0:is>
      </ns0:c>
      <ns0:c r="H16" s="21" t="inlineStr">
        <ns0:is>
          <ns0:t>Importance: Autism behavioral therapy is effective but expensive and difficult to access. While mobile technology-based therapy can alleviate wait-lists and scale for increasing demand, few clinical trials exist to support its use for autism spectrum disorder (ASD) care. Objective: To evaluate the efficacy of Superpower Glass, an artificial intelligence-driven wearable behavioral intervention for improving social outcomes of children with ASD. Design, Setting, and Participants: A randomized clinical trial in which participants received the Superpower Glass intervention plus standard of care applied behavioral analysis therapy and control participants received only applied behavioral analysis therapy. Assessments were completed at the Stanford University Medical School, and enrolled participants used the Superpower Glass intervention in their homes. Children aged 6 to 12 years with a formal ASD diagnosis who were currently receiving applied behavioral analysis therapy were included. Families were recruited between June 2016 and December 2017. The first participant was enrolled on November 1, 2016, and the last appointment was completed on April 11, 2018. Data analysis was conducted between April and October 2018. Interventions: The Superpower Glass intervention, deployed via Google Glass (worn by the child) and a smartphone app, promotes facial engagement and emotion recognition by detecting facial expressions and providing reinforcing social cues. Families were asked to conduct 20-minute sessions at home 4 times per week for 6 weeks. Main Outcomes and Measures: Four socialization measures were assessed using an intention-to-treat analysis with a Bonferroni test correction. Results: Overall, 71 children (63 boys [89%]; mean [SD] age, 8.38 [2.46] years) diagnosed with ASD were enrolled (40 [56.3%] were randomized to treatment, and 31 (43.7%) were randomized to control). Children receiving the intervention showed significant improvements on the Vineland Adaptive Behaviors Scale socialization subscale compared with treatment as usual controls (mean [SD] treatment impact, 4.58 [1.62]; P =.005). Positive mean treatment effects were also found for the other 3 primary measures but not to a significance threshold of P =.0125. Conclusions and Relevance: The observed 4.58-point average gain on the Vineland Adaptive Behaviors Scale socialization subscale is comparable with gains observed with standard of care therapy. To our knowledge, this is the first randomized clinical trial to demonstrate efficacy of a wearable digital intervention to improve social behavior of children with ASD. The intervention reinforces facial engagement and emotion recognition, suggesting either or both could be a mechanism of action driving the observed improvement. This study underscores the potential of digital home therapy to augment the standard of care. Trial Registration: ClinicalTrials.gov identifier: NCT03569176.</ns0:t>
        </ns0:is>
      </ns0:c>
      <ns0:c r="I16" s="21" t="inlineStr">
        <ns0:is>
          <ns0:t>Wearable AI-driven behavioral intervention (‘Superpower Glass’) that detects facial expressions and provides cues for emotion recognition during home sessions; clinical RCT; AI model family not specified in paper text.</ns0:t>
        </ns0:is>
      </ns0:c>
      <ns0:c r="J16" s="21" t="inlineStr"/>
      <ns0:c r="K16" s="21" t="inlineStr"/>
      <ns0:c r="L16" s="21" t="inlineStr">
        <ns0:is>
          <ns0:t>Not documented in provided sources</ns0:t>
        </ns0:is>
      </ns0:c>
      <ns0:c r="M16" s="21" t="inlineStr">
        <ns0:is>
          <ns0:t>[]</ns0:t>
        </ns0:is>
      </ns0:c>
    </ns0:row>
    <ns0:row r="17" ht="81" customHeight="1">
      <ns0:c r="A17" s="19" t="inlineStr">
        <ns0:is>
          <ns0:t>13</ns0:t>
        </ns0:is>
      </ns0:c>
      <ns0:c r="B17" s="19" t="inlineStr">
        <ns0:is>
          <ns0:t>Feature Signature Discovery for Autism Detection: An Automated Machine Learning Based Feature Ranking Framework</ns0:t>
        </ns0:is>
      </ns0:c>
      <ns0:c r="C17" s="19" t="inlineStr">
        <ns0:is>
          <ns0:t>10.1155/2023/6330002</ns0:t>
        </ns0:is>
      </ns0:c>
      <ns0:c r="D17" s="19" t="inlineStr">
        <ns0:is>
          <ns0:t>https://doi.org/10.1155/2023/6330002</ns0:t>
        </ns0:is>
      </ns0:c>
      <ns0:c r="E17" s="19" t="inlineStr">
        <ns0:is>
          <ns0:t>Supplied abstract/coding notes; no new full-text verification</ns0:t>
        </ns0:is>
      </ns0:c>
      <ns0:c r="F17" s="19" t="inlineStr">
        <ns0:is>
          <ns0:t>EVIDENCIA; original abstract/coding notes and lot source trace; Historical signals: title/abstract/notes; full-text completion not independently established</ns0:t>
        </ns0:is>
      </ns0:c>
      <ns0:c r="G17" s="19" t="inlineStr">
        <ns0:is>
          <ns0:t>Q-CHAT-based tabular screening datasets and automated ML model ranking. Discussion of deep-learning comparators does not make the proposed AutoML framework deep learning.</ns0:t>
        </ns0:is>
      </ns0:c>
      <ns0:c r="H17" s="19" t="inlineStr">
        <ns0:is>
          <ns0: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ns0:t>
        </ns0:is>
      </ns0:c>
      <ns0:c r="I17" s="19" t="inlineStr">
        <ns0:is>
          <ns0:t>Usa puntajes Q-CHAT; framework AutoML/feature ranking no mapea a un algoritmo único.</ns0:t>
        </ns0:is>
      </ns0:c>
      <ns0:c r="J17" s="19" t="inlineStr"/>
      <ns0:c r="K17" s="19" t="inlineStr"/>
      <ns0:c r="L17" s="19" t="inlineStr">
        <ns0:is>
          <ns0:t>Not documented in provided sources</ns0:t>
        </ns0:is>
      </ns0:c>
      <ns0:c r="M17" s="19" t="inlineStr">
        <ns0:is>
          <ns0:t>[]</ns0:t>
        </ns0:is>
      </ns0:c>
    </ns0:row>
    <ns0:row r="18" ht="93" customHeight="1">
      <ns0:c r="A18" s="21" t="inlineStr">
        <ns0:is>
          <ns0:t>14</ns0:t>
        </ns0:is>
      </ns0:c>
      <ns0:c r="B18" s="21" t="inlineStr">
        <ns0:is>
          <ns0:t>Functional neuroimaging of high-risk 6-month-old infants predicts a diagnosis of autism at 24 months of age</ns0:t>
        </ns0:is>
      </ns0:c>
      <ns0:c r="C18" s="21" t="inlineStr">
        <ns0:is>
          <ns0:t>10.1126/scitranslmed.aag2882</ns0:t>
        </ns0:is>
      </ns0:c>
      <ns0:c r="D18" s="21" t="inlineStr">
        <ns0:is>
          <ns0:t>https://doi.org/10.1126/scitranslmed.aag2882</ns0:t>
        </ns0:is>
      </ns0:c>
      <ns0:c r="E18" s="21" t="inlineStr">
        <ns0:is>
          <ns0:t>Supplied abstract/coding notes; no new full-text verification</ns0:t>
        </ns0:is>
      </ns0:c>
      <ns0:c r="F18" s="21" t="inlineStr">
        <ns0:is>
          <ns0:t>EVIDENCIA; original abstract/coding notes and lot source trace; Historical signals: title/abstract/notes; full-text completion not independently established</ns0:t>
        </ns0:is>
      </ns0:c>
      <ns0:c r="G18" s="21" t="inlineStr">
        <ns0:is>
          <ns0:t>Prospective infant fcMRI cohort predicts research diagnosis at 24 months using internal cross-validation. Prospective data collection is not prospective clinical use of model outputs.</ns0:t>
        </ns0:is>
      </ns0:c>
      <ns0:c r="H18" s="21" t="inlineStr">
        <ns0:is>
          <ns0: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ns0:t>
        </ns0:is>
      </ns0:c>
      <ns0:c r="I18" s="21" t="inlineStr">
        <ns0:is>
          <ns0:t>Algoritmo principal no explícito o fuera del codebook; Confirmar algoritmo principal en full-text</ns0:t>
        </ns0:is>
      </ns0:c>
      <ns0:c r="J18" s="21" t="inlineStr"/>
      <ns0:c r="K18" s="21" t="inlineStr"/>
      <ns0:c r="L18" s="21" t="inlineStr">
        <ns0:is>
          <ns0:t>Not documented in provided sources</ns0:t>
        </ns0:is>
      </ns0:c>
      <ns0:c r="M18" s="21" t="inlineStr">
        <ns0:is>
          <ns0:t>[]</ns0:t>
        </ns0:is>
      </ns0:c>
    </ns0:row>
    <ns0:row r="19" ht="129" customHeight="1">
      <ns0:c r="A19" s="19" t="inlineStr">
        <ns0:is>
          <ns0:t>15</ns0:t>
        </ns0:is>
      </ns0:c>
      <ns0:c r="B19" s="19" t="inlineStr">
        <ns0:is>
          <ns0:t>Hybrid CNN and random forest model with late fusion for detection of autism spectrum disorder in Toddlers</ns0:t>
        </ns0:is>
      </ns0:c>
      <ns0:c r="C19" s="19" t="inlineStr">
        <ns0:is>
          <ns0:t>10.1016/j.mex.2025.103278</ns0:t>
        </ns0:is>
      </ns0:c>
      <ns0:c r="D19" s="19" t="inlineStr">
        <ns0:is>
          <ns0:t>https://doi.org/10.1016/j.mex.2025.103278</ns0:t>
        </ns0:is>
      </ns0:c>
      <ns0:c r="E19" s="19" t="inlineStr">
        <ns0:is>
          <ns0:t>Supplied abstract/coding notes; no new full-text verification</ns0:t>
        </ns0:is>
      </ns0:c>
      <ns0:c r="F19" s="19" t="inlineStr">
        <ns0:is>
          <ns0:t>EVIDENCIA; original abstract/coding notes and lot source trace; Historical signals: title/abstract/notes; full-text completion not independently established</ns0:t>
        </ns0:is>
      </ns0:c>
      <ns0:c r="G19" s="19" t="inlineStr">
        <ns0:is>
          <ns0:t>The source describes facial-image and questionnaire models with late fusion. Participant-level pairing and independence of the two datasets are not established by the abstract; no evaluated clinical workflow is claimed.</ns0:t>
        </ns0:is>
      </ns0:c>
      <ns0:c r="H19" s="19" t="inlineStr">
        <ns0:is>
          <ns0: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ns0:t>
        </ns0:is>
      </ns0:c>
      <ns0:c r="I19" s="19" t="inlineStr">
        <ns0:is>
          <ns0:t>Hybrid late-fusion: VGG16 (CNN feature extractor) + Random Forest classifier; compares vs VGG16/EfficientNet/AlexNet and conventional ML</ns0:t>
        </ns0:is>
      </ns0:c>
      <ns0:c r="J19" s="19" t="inlineStr"/>
      <ns0:c r="K19" s="19" t="inlineStr"/>
      <ns0:c r="L19" s="19" t="inlineStr">
        <ns0:is>
          <ns0:t>Not documented in provided sources</ns0:t>
        </ns0:is>
      </ns0:c>
      <ns0:c r="M19" s="19" t="inlineStr">
        <ns0:is>
          <ns0:t>[]</ns0:t>
        </ns0:is>
      </ns0:c>
    </ns0:row>
    <ns0:row r="20" ht="65" customHeight="1">
      <ns0:c r="A20" s="21" t="inlineStr">
        <ns0:is>
          <ns0:t>16</ns0:t>
        </ns0:is>
      </ns0:c>
      <ns0:c r="B20" s="21" t="inlineStr">
        <ns0:is>
          <ns0:t>Machine Learning Approaches for the Early Diagnosis of Autism Spectrum Disorder: A Systematic Framework</ns0:t>
        </ns0:is>
      </ns0:c>
      <ns0:c r="C20" s="21" t="inlineStr">
        <ns0:is>
          <ns0:t>10.1007/978-3-031-81083-1_7</ns0:t>
        </ns0:is>
      </ns0:c>
      <ns0:c r="D20" s="21" t="inlineStr">
        <ns0:is>
          <ns0:t>https://doi.org/10.1007/978-3-031-81083-1_7</ns0:t>
        </ns0:is>
      </ns0:c>
      <ns0:c r="E20" s="21" t="inlineStr">
        <ns0:is>
          <ns0:t>Supplied abstract/coding notes; no new full-text verification</ns0:t>
        </ns0:is>
      </ns0:c>
      <ns0:c r="F20" s="21" t="inlineStr">
        <ns0:is>
          <ns0:t>EVIDENCIA; original abstract/coding notes and lot source trace; Historical signals: title/abstract/notes; full-text completion not independently established</ns0:t>
        </ns0:is>
      </ns0:c>
      <ns0:c r="G20" s="21" t="inlineStr">
        <ns0:is>
          <ns0:t>The abstract describes screening-assessment datasets and neural-network training, with an intended early-screening system. Detailed architecture and deployment are not established.</ns0:t>
        </ns0:is>
      </ns0:c>
      <ns0:c r="H20" s="21" t="inlineStr">
        <ns0:is>
          <ns0:t>This study uses machine learning to address the urgent need for early detection and intervention in autism spectrum disorder (ASD). Autism Spectrum Disorder (ASD), a disorder of neural development affecting cognition and social interaction, necessitates customized interventions. Our research uses various screening assessments in early infancy as datasets to train for neural network algorithms, with the objective of identifying patterns associated with ASD. The suggested methodology utilizes predictive machine learning techniques to assess the ASD spectrum, accounting for its diverse pitches. Utilizing sophisticated screening instruments and an innovative methodology, we seek to establish a dependable system for the early detection of ASD. Ethical considerations, data privacy, and algorithmic openness are essential. The studies seek to foster collaboration among experts in neurodevelopment, psychological science, and data science to build precise tools for earlier identification of ASD. The use of machine learning, an effective tool, enhances the knowledge of healthcare workers. The research results underscore technology's capacity to transform initial measures, leading to enhanced outcomes for those on the autistic spectrum. It provides this assistance to enhance the dialogue at the gathering, thereby promoting interaction at the nexus of healthcare and digital technology.</ns0:t>
        </ns0:is>
      </ns0:c>
      <ns0:c r="I20" s="21" t="inlineStr"/>
      <ns0:c r="J20" s="21" t="inlineStr"/>
      <ns0:c r="K20" s="21" t="inlineStr"/>
      <ns0:c r="L20" s="21" t="inlineStr">
        <ns0:is>
          <ns0:t>Not documented in provided sources</ns0:t>
        </ns0:is>
      </ns0:c>
      <ns0:c r="M20" s="21" t="inlineStr">
        <ns0:is>
          <ns0:t>[]</ns0:t>
        </ns0:is>
      </ns0:c>
    </ns0:row>
    <ns0:row r="21" ht="225" customHeight="1">
      <ns0:c r="A21" s="19" t="inlineStr">
        <ns0:is>
          <ns0:t>17</ns0:t>
        </ns0:is>
      </ns0:c>
      <ns0:c r="B21" s="19" t="inlineStr">
        <ns0:is>
          <ns0:t>Machine learning classification of autism spectrum disorder based on reciprocity in naturalistic social interactions</ns0:t>
        </ns0:is>
      </ns0:c>
      <ns0:c r="C21" s="19" t="inlineStr">
        <ns0:is>
          <ns0:t>10.1038/s41398-024-02802-5</ns0:t>
        </ns0:is>
      </ns0:c>
      <ns0:c r="D21" s="19" t="inlineStr">
        <ns0:is>
          <ns0:t>https://doi.org/10.1038/s41398-024-02802-5</ns0:t>
        </ns0:is>
      </ns0:c>
      <ns0:c r="E21" s="19" t="inlineStr">
        <ns0:is>
          <ns0:t>Supplied abstract/coding notes; no new full-text verification</ns0:t>
        </ns0:is>
      </ns0:c>
      <ns0:c r="F21" s="19" t="inlineStr">
        <ns0:is>
          <ns0:t>EVIDENCIA; original abstract/coding notes and lot source trace; Historical signals: title/abstract/notes; full-text completion not independently established</ns0:t>
        </ns0:is>
      </ns0:c>
      <ns0:c r="G21" s="19" t="inlineStr">
        <ns0:is>
          <ns0:t>Naturalistic interaction videos are computationally annotated and classified offline; the source explicitly places routine-care generalization in future work.</ns0:t>
        </ns0:is>
      </ns0:c>
      <ns0:c r="H21" s="19" t="inlineStr">
        <ns0:is>
          <ns0: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ns0:t>
        </ns0:is>
      </ns0:c>
      <ns0:c r="I21" s="19" t="inlineStr">
        <ns0:is>
          <ns0:t>Naturalistic social interaction videos; open-source computer vision used for objective annotation (movement/facial expression synchrony); features fed into SVM model to classify autistic vs non-autistic interaction dyads; supplementary exploratory RF mentioned</ns0:t>
        </ns0:is>
      </ns0:c>
      <ns0:c r="J21" s="19" t="inlineStr"/>
      <ns0:c r="K21" s="19" t="inlineStr"/>
      <ns0:c r="L21" s="19" t="inlineStr">
        <ns0:is>
          <ns0:t>Not documented in provided sources</ns0:t>
        </ns0:is>
      </ns0:c>
      <ns0:c r="M21" s="19" t="inlineStr">
        <ns0:is>
          <ns0:t>[]</ns0:t>
        </ns0:is>
      </ns0:c>
    </ns0:row>
    <ns0:row r="22" ht="93" customHeight="1">
      <ns0:c r="A22" s="21" t="inlineStr">
        <ns0:is>
          <ns0:t>18</ns0:t>
        </ns0:is>
      </ns0:c>
      <ns0:c r="B22" s="21" t="inlineStr">
        <ns0:is>
          <ns0:t>Multiparametric MRI characterization and prediction in autism spectrum disorder using graph theory and machine learning</ns0:t>
        </ns0:is>
      </ns0:c>
      <ns0:c r="C22" s="21" t="inlineStr">
        <ns0:is>
          <ns0:t>10.1371/journal.pone.0090405</ns0:t>
        </ns0:is>
      </ns0:c>
      <ns0:c r="D22" s="21" t="inlineStr">
        <ns0:is>
          <ns0:t>https://doi.org/10.1371/journal.pone.0090405</ns0:t>
        </ns0:is>
      </ns0:c>
      <ns0:c r="E22" s="21" t="inlineStr">
        <ns0:is>
          <ns0:t>Supplied abstract/coding notes; no new full-text verification</ns0:t>
        </ns0:is>
      </ns0:c>
      <ns0:c r="F22" s="21" t="inlineStr">
        <ns0:is>
          <ns0:t>EVIDENCIA; original abstract/coding notes and lot source trace; Historical signals: title/abstract/notes; full-text completion not independently established</ns0:t>
        </ns0:is>
      </ns0:c>
      <ns0:c r="G22" s="21" t="inlineStr">
        <ns0:is>
          <ns0:t>Multiparametric MRI and graph-theoretic features are analyzed with machine learning, not necessarily a graph neural network. Multi-center data and multiple MRI-derived feature types are reported.</ns0:t>
        </ns0:is>
      </ns0:c>
      <ns0:c r="H22" s="21" t="inlineStr">
        <ns0:is>
          <ns0: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ns0:t>
        </ns0:is>
      </ns0:c>
      <ns0:c r="I22" s="21" t="inlineStr">
        <ns0:is>
          <ns0:t>Clasificación ASD vs control con MRI multiparamétrica; también predice rasgos fenotípicos.</ns0:t>
        </ns0:is>
      </ns0:c>
      <ns0:c r="J22" s="21" t="inlineStr"/>
      <ns0:c r="K22" s="21" t="inlineStr"/>
      <ns0:c r="L22" s="21" t="inlineStr">
        <ns0:is>
          <ns0:t>Not documented in provided sources</ns0:t>
        </ns0:is>
      </ns0:c>
      <ns0:c r="M22" s="21" t="inlineStr">
        <ns0:is>
          <ns0:t>[]</ns0:t>
        </ns0:is>
      </ns0:c>
    </ns0:row>
    <ns0:row r="23" ht="65" customHeight="1">
      <ns0:c r="A23" s="19" t="inlineStr">
        <ns0:is>
          <ns0:t>19</ns0:t>
        </ns0:is>
      </ns0:c>
      <ns0:c r="B23" s="19" t="inlineStr">
        <ns0:is>
          <ns0:t>Multivariate Neural Connectivity Patterns in Early Infancy Predict Later Autism Symptoms</ns0:t>
        </ns0:is>
      </ns0:c>
      <ns0:c r="C23" s="19" t="inlineStr">
        <ns0:is>
          <ns0:t>10.1016/j.bpsc.2020.06.003</ns0:t>
        </ns0:is>
      </ns0:c>
      <ns0:c r="D23" s="19" t="inlineStr">
        <ns0:is>
          <ns0:t>https://doi.org/10.1016/j.bpsc.2020.06.003</ns0:t>
        </ns0:is>
      </ns0:c>
      <ns0:c r="E23" s="19" t="inlineStr">
        <ns0:is>
          <ns0:t>Supplied abstract/coding notes; no new full-text verification</ns0:t>
        </ns0:is>
      </ns0:c>
      <ns0:c r="F23" s="19" t="inlineStr">
        <ns0:is>
          <ns0:t>EVIDENCIA; original abstract/coding notes and lot source trace; Historical signals: title/abstract/notes; full-text completion not independently established</ns0:t>
        </ns0:is>
      </ns0:c>
      <ns0:c r="G23" s="19" t="inlineStr">
        <ns0:is>
          <ns0:t>Three-month EEG predicts ADOS scores at 18 months in a longitudinal research cohort. A future clinical endpoint distinguishes prognosis from cross-sectional diagnosis.</ns0:t>
        </ns0:is>
      </ns0:c>
      <ns0:c r="H23" s="19" t="inlineStr">
        <ns0:is>
          <ns0: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ns0:t>
        </ns0:is>
      </ns0:c>
      <ns0:c r="I23" s="19" t="inlineStr"/>
      <ns0:c r="J23" s="19" t="inlineStr"/>
      <ns0:c r="K23" s="19" t="inlineStr"/>
      <ns0:c r="L23" s="19" t="inlineStr">
        <ns0:is>
          <ns0:t>Not documented in provided sources</ns0:t>
        </ns0:is>
      </ns0:c>
      <ns0:c r="M23" s="19" t="inlineStr">
        <ns0:is>
          <ns0:t>[]</ns0:t>
        </ns0:is>
      </ns0:c>
    </ns0:row>
    <ns0:row r="24" ht="129" customHeight="1">
      <ns0:c r="A24" s="21" t="inlineStr">
        <ns0:is>
          <ns0:t>20</ns0:t>
        </ns0:is>
      </ns0:c>
      <ns0:c r="B24" s="21" t="inlineStr">
        <ns0:is>
          <ns0:t>Testing the accuracy of an observation-based classifier for rapid detection of autism risk.</ns0:t>
        </ns0:is>
      </ns0:c>
      <ns0:c r="C24" s="21" t="inlineStr">
        <ns0:is>
          <ns0:t>10.1038/tp.2014.65</ns0:t>
        </ns0:is>
      </ns0:c>
      <ns0:c r="D24" s="21" t="inlineStr">
        <ns0:is>
          <ns0:t>https://doi.org/10.1038/tp.2014.65</ns0:t>
        </ns0:is>
      </ns0:c>
      <ns0:c r="E24" s="21" t="inlineStr">
        <ns0:is>
          <ns0:t>Supplied abstract/coding notes; no new full-text verification</ns0:t>
        </ns0:is>
      </ns0:c>
      <ns0:c r="F24" s="21" t="inlineStr">
        <ns0:is>
          <ns0:t>EVIDENCIA; original abstract/coding notes and lot source trace; Historical signals: title/abstract/notes; full-text completion not independently established</ns0:t>
        </ns0:is>
      </ns0:c>
      <ns0:c r="G24" s="21" t="inlineStr">
        <ns0:is>
          <ns0:t>A previously developed shortened ADOS classifier is tested on an independent 2616-child sample. This is external model evaluation but not an observed clinical triage deployment.</ns0:t>
        </ns0:is>
      </ns0:c>
      <ns0:c r="H24" s="21" t="inlineStr">
        <ns0:is>
          <ns0: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ns0:t>
        </ns0:is>
      </ns0:c>
      <ns0:c r="I24" s="21" t="inlineStr">
        <ns0:is>
          <ns0:t>Algorithm specifically is Alternating Decision Tree (ADTree) (not a standard single CART/ID3); mapped to Decision Tree due to allowed categories</ns0:t>
        </ns0:is>
      </ns0:c>
      <ns0:c r="J24" s="21" t="inlineStr"/>
      <ns0:c r="K24" s="21" t="inlineStr"/>
      <ns0:c r="L24" s="21" t="inlineStr">
        <ns0:is>
          <ns0:t>Not documented in provided sources</ns0:t>
        </ns0:is>
      </ns0:c>
      <ns0:c r="M24" s="21" t="inlineStr">
        <ns0:is>
          <ns0:t>[]</ns0:t>
        </ns0:is>
      </ns0:c>
    </ns0:row>
    <ns0:row r="25" ht="65" customHeight="1">
      <ns0:c r="A25" s="19" t="inlineStr">
        <ns0:is>
          <ns0:t>21</ns0:t>
        </ns0:is>
      </ns0:c>
      <ns0:c r="B25" s="19" t="inlineStr">
        <ns0:is>
          <ns0:t>Using deep learning to classify developmental differences in reaching and placing movements in children with and without autism spectrum disorder</ns0:t>
        </ns0:is>
      </ns0:c>
      <ns0:c r="C25" s="19" t="inlineStr">
        <ns0:is>
          <ns0:t>10.1038/s41598-024-81652-z</ns0:t>
        </ns0:is>
      </ns0:c>
      <ns0:c r="D25" s="19" t="inlineStr">
        <ns0:is>
          <ns0:t>https://doi.org/10.1038/s41598-024-81652-z</ns0:t>
        </ns0:is>
      </ns0:c>
      <ns0:c r="E25" s="19" t="inlineStr">
        <ns0:is>
          <ns0:t>Supplied abstract/coding notes; no new full-text verification</ns0:t>
        </ns0:is>
      </ns0:c>
      <ns0:c r="F25" s="19" t="inlineStr">
        <ns0:is>
          <ns0:t>EVIDENCIA; original abstract/coding notes and lot source trace; Historical signals: title/abstract/notes; full-text completion not independently established</ns0:t>
        </ns0:is>
      </ns0:c>
      <ns0:c r="G25" s="19" t="inlineStr">
        <ns0:is>
          <ns0:t>Deep classification uses reaching/placing movement kinematics; age groups and diagnostic labels are not separate data modalities. Clinical deployment is not evaluated.</ns0:t>
        </ns0:is>
      </ns0:c>
      <ns0:c r="H25" s="19" t="inlineStr">
        <ns0:is>
          <ns0: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ns0:t>
        </ns0:is>
      </ns0:c>
      <ns0:c r="I25" s="19" t="inlineStr"/>
      <ns0:c r="J25" s="19" t="inlineStr"/>
      <ns0:c r="K25" s="19" t="inlineStr"/>
      <ns0:c r="L25" s="19" t="inlineStr">
        <ns0:is>
          <ns0:t>Not documented in provided sources</ns0:t>
        </ns0:is>
      </ns0:c>
      <ns0:c r="M25" s="19" t="inlineStr">
        <ns0:is>
          <ns0:t>[]</ns0:t>
        </ns0:is>
      </ns0:c>
    </ns0:row>
    <ns0:row r="26" ht="165" customHeight="1">
      <ns0:c r="A26" s="21" t="inlineStr">
        <ns0:is>
          <ns0:t>22</ns0:t>
        </ns0:is>
      </ns0:c>
      <ns0:c r="B26" s="21" t="inlineStr">
        <ns0:is>
          <ns0:t>A CNN deep local and global ASD classification approach with continuous wavelet transform using task-based FMRI</ns0:t>
        </ns0:is>
      </ns0:c>
      <ns0:c r="C26" s="21" t="inlineStr">
        <ns0:is>
          <ns0:t>10.3390/s21175822</ns0:t>
        </ns0:is>
      </ns0:c>
      <ns0:c r="D26" s="21" t="inlineStr">
        <ns0:is>
          <ns0:t>https://doi.org/10.3390/s21175822</ns0:t>
        </ns0:is>
      </ns0:c>
      <ns0:c r="E26" s="21" t="inlineStr">
        <ns0:is>
          <ns0:t>Supplied abstract/coding notes; no new full-text verification</ns0:t>
        </ns0:is>
      </ns0:c>
      <ns0:c r="F26" s="21" t="inlineStr">
        <ns0:is>
          <ns0:t>EVIDENCIA; original abstract/coding notes and lot source trace; Historical signals: title/abstract/notes; full-text completion not independently established</ns0:t>
        </ns0:is>
      </ns0:c>
      <ns0:c r="G26" s="21" t="inlineStr">
        <ns0:is>
          <ns0:t>Task-fMRI CAD with local/global CNN classifiers and a proposed severity map. Speech is the eliciting stimulus, not the model's audio input. Clinical interpretation remains proposed.</ns0:t>
        </ns0:is>
      </ns0:c>
      <ns0:c r="H26" s="21" t="inlineStr">
        <ns0:is>
          <ns0:t>Autism spectrum disorder (ASD) is a neurodegenerative disorder characterized by lingual and social disabilities. The autism diagnostic observation schedule is the current gold standard for ASD diagnosis. Developing objective computer aided technologies for ASD diagnosis with the utilization of brain imaging modalities and machine learning is one of main tracks in current studies to understand autism. Task-based fMRI demonstrates the functional activation in the brain by measuring blood oxygen level-dependent (BOLD) variations in response to certain tasks. It is believed to hold discriminant features for autism. A novel computer aided diagnosis (CAD) framework is proposed to classify 50 ASD and 50 typically developed toddlers with the adoption of CNN deep networks. The CAD system includes both local and global diagnosis in a response to speech task. Spatial dimensionality reduction with region of interest selection and clustering has been utilized. In addition, the proposed framework performs discriminant feature extraction with continuous wavelet transform. Local diagnosis on cingulate gyri, superior temporal gyrus, primary auditory cortex and angular gyrus achieves accuracies ranging between 71% and 80% with a four-fold cross validation technique. The fused global diagnosis achieves an accuracy of 86% with 82% sensitivity, 92% specificity. A brain map indicating ASD severity level for each brain area is created, which contributes to personalized diagnosis and treatment plans.</ns0:t>
        </ns0:is>
      </ns0:c>
      <ns0:c r="I26" s="21" t="inlineStr">
        <ns0:is>
          <ns0:t>Incluye clustering para ROI/selección dimensional y generan “brain map indicating ASD severity level”, pero el objetivo central del sistema es clasificación ASD vs TD con CNN.</ns0:t>
        </ns0:is>
      </ns0:c>
      <ns0:c r="J26" s="21" t="inlineStr"/>
      <ns0:c r="K26" s="21" t="inlineStr"/>
      <ns0:c r="L26" s="21" t="inlineStr">
        <ns0:is>
          <ns0:t>Not documented in provided sources</ns0:t>
        </ns0:is>
      </ns0:c>
      <ns0:c r="M26" s="21" t="inlineStr">
        <ns0:is>
          <ns0:t>[]</ns0:t>
        </ns0:is>
      </ns0:c>
    </ns0:row>
    <ns0:row r="27" ht="153" customHeight="1">
      <ns0:c r="A27" s="19" t="inlineStr">
        <ns0:is>
          <ns0:t>23</ns0:t>
        </ns0:is>
      </ns0:c>
      <ns0:c r="B27" s="19" t="inlineStr">
        <ns0:is>
          <ns0:t>A new machine learning model based on induction of rules for autism detection</ns0:t>
        </ns0:is>
      </ns0:c>
      <ns0:c r="C27" s="19" t="inlineStr">
        <ns0:is>
          <ns0:t>10.1177/1460458218824711</ns0:t>
        </ns0:is>
      </ns0:c>
      <ns0:c r="D27" s="19" t="inlineStr">
        <ns0:is>
          <ns0:t>https://doi.org/10.1177/1460458218824711</ns0:t>
        </ns0:is>
      </ns0:c>
      <ns0:c r="E27" s="19" t="inlineStr">
        <ns0:is>
          <ns0:t>Supplied abstract/coding notes; no new full-text verification</ns0:t>
        </ns0:is>
      </ns0:c>
      <ns0:c r="F27" s="19" t="inlineStr">
        <ns0:is>
          <ns0:t>EVIDENCIA; original abstract/coding notes and lot source trace; Historical signals: title/abstract/notes; full-text completion not independently established</ns0:t>
        </ns0:is>
      </ns0:c>
      <ns0:c r="G27" s="19" t="inlineStr">
        <ns0:is>
          <ns0:t>Questionnaire-derived datasets support a rule-learning classifier whose rules are intended for domain-expert interpretation. Retain the specified rule family rather than forcing a decision-tree label.</ns0:t>
        </ns0:is>
      </ns0:c>
      <ns0:c r="H27" s="19" t="inlineStr">
        <ns0:is>
          <ns0: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ns0:t>
        </ns0:is>
      </ns0:c>
      <ns0:c r="I27" s="19" t="inlineStr">
        <ns0:is>
          <ns0:t>Boosting, Bagging, rule induction methods (rules-machine learning framework), Modelo basado en inducción de reglas sobre datasets de cribado; algoritmo fuera del codebook.</ns0:t>
        </ns0:is>
      </ns0:c>
      <ns0:c r="J27" s="19" t="inlineStr"/>
      <ns0:c r="K27" s="19" t="inlineStr"/>
      <ns0:c r="L27" s="19" t="inlineStr">
        <ns0:is>
          <ns0:t>Not documented in provided sources</ns0:t>
        </ns0:is>
      </ns0:c>
      <ns0:c r="M27" s="19" t="inlineStr">
        <ns0:is>
          <ns0:t>[]</ns0:t>
        </ns0:is>
      </ns0:c>
    </ns0:row>
    <ns0:row r="28" ht="93" customHeight="1">
      <ns0:c r="A28" s="21" t="inlineStr">
        <ns0:is>
          <ns0:t>24</ns0:t>
        </ns0:is>
      </ns0:c>
      <ns0:c r="B28" s="21" t="inlineStr">
        <ns0:is>
          <ns0:t>A Novel Grading System for Autism Severity Level Using Task-Based Functional MRI: A Response to Speech Study</ns0:t>
        </ns0:is>
      </ns0:c>
      <ns0:c r="C28" s="21" t="inlineStr">
        <ns0:is>
          <ns0:t>10.1109/access.2021.3097606</ns0:t>
        </ns0:is>
      </ns0:c>
      <ns0:c r="D28" s="21" t="inlineStr">
        <ns0:is>
          <ns0:t>https://doi.org/10.1109/access.2021.3097606</ns0:t>
        </ns0:is>
      </ns0:c>
      <ns0:c r="E28" s="21" t="inlineStr">
        <ns0:is>
          <ns0:t>Supplied abstract/coding notes; no new full-text verification</ns0:t>
        </ns0:is>
      </ns0:c>
      <ns0:c r="F28" s="21" t="inlineStr">
        <ns0:is>
          <ns0:t>EVIDENCIA; original abstract/coding notes and lot source trace; Historical signals: title/abstract/notes; full-text completion not independently established</ns0:t>
        </ns0:is>
      </ns0:c>
      <ns0:c r="G28" s="21" t="inlineStr">
        <ns0:is>
          <ns0:t>A task-fMRI framework grades contemporaneous ASD severity. Speech stimulation is not voice-data modeling; oversampling and repeated random splits are internal validation only.</ns0:t>
        </ns0:is>
      </ns0:c>
      <ns0:c r="H28" s="21" t="inlineStr">
        <ns0:is>
          <ns0: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ns0:t>
        </ns0:is>
      </ns0:c>
      <ns0:c r="I28" s="21" t="inlineStr">
        <ns0:is>
          <ns0:t>Gradación de severidad por clases con task-fMRI; clasificadores múltiples no detallados.</ns0:t>
        </ns0:is>
      </ns0:c>
      <ns0:c r="J28" s="21" t="inlineStr"/>
      <ns0:c r="K28" s="21" t="inlineStr"/>
      <ns0:c r="L28" s="21" t="inlineStr">
        <ns0:is>
          <ns0:t>Not documented in provided sources</ns0:t>
        </ns0:is>
      </ns0:c>
      <ns0:c r="M28" s="21" t="inlineStr">
        <ns0:is>
          <ns0:t>[]</ns0:t>
        </ns0:is>
      </ns0:c>
    </ns0:row>
    <ns0:row r="29" ht="65" customHeight="1">
      <ns0:c r="A29" s="19" t="inlineStr">
        <ns0:is>
          <ns0:t>26</ns0:t>
        </ns0:is>
      </ns0:c>
      <ns0:c r="B29" s="19" t="inlineStr">
        <ns0:is>
          <ns0:t>An Analysis of the Use of Machine Learning in the Diagnosis of Autism Spectrum Disorder</ns0:t>
        </ns0:is>
      </ns0:c>
      <ns0:c r="C29" s="19" t="inlineStr">
        <ns0:is>
          <ns0:t>10.1007/978-3-031-23683-9_12</ns0:t>
        </ns0:is>
      </ns0:c>
      <ns0:c r="D29" s="19" t="inlineStr">
        <ns0:is>
          <ns0:t>https://link.springer.com/chapter/10.1007/978-3-031-23683-9_12</ns0:t>
        </ns0:is>
      </ns0:c>
      <ns0:c r="E29" s="19" t="inlineStr">
        <ns0:is>
          <ns0:t>Supplied abstract/coding notes; no new full-text verification</ns0:t>
        </ns0:is>
      </ns0:c>
      <ns0:c r="F29" s="19" t="inlineStr">
        <ns0:is>
          <ns0:t>EVIDENCIA; original abstract/coding notes and lot source trace; Historical signals: title/abstract/notes; full-text completion not independently established</ns0:t>
        </ns0:is>
      </ns0:c>
      <ns0:c r="G29" s="19" t="inlineStr">
        <ns0:is>
          <ns0:t>The publication identifies itself as a survey of machine-learning techniques and prior reported performance rather than an original empirical ASD model evaluation.</ns0:t>
        </ns0:is>
      </ns0:c>
      <ns0:c r="H29" s="19" t="inlineStr">
        <ns0:is>
          <ns0:t>Autism spectrum disorder (ASD) is an illness related to brain development along with long-standing neuro-developmental disability. A subject with prior therapy at the initial stages has been proven to improve the subject’s indication and skill to work. The nature of ASD differs from person to person. One of the most important problems to adequate therapy of ASD is the challenge of early identification, but unfortunately, due to the lack of obtainability in identifying and diagnostic equipment in a few areas, many children who are affected remain undiagnosed without knowing that it is ASD or are diagnosed so late. The main motive of the work is to analyze autism spectrum disorder at the initial point to make better brain improvement and to make arrangements for enough attention to this disorder to the parents and guardians. Currently, ML algorithms play an essential role in determining ASD. This work aims to identify and survey the different techniques based on machine learning and review the attributes of autism and estimation of performance by the utilization of several metrics and examine the encouraging ways for the forthcoming research. This survey presents that the Random Forest algorithm provides a good outcome when contrasted with other algorithms.</ns0:t>
        </ns0:is>
      </ns0:c>
      <ns0:c r="I29" s="19" t="inlineStr"/>
      <ns0:c r="J29" s="19" t="inlineStr"/>
      <ns0:c r="K29" s="19" t="inlineStr"/>
      <ns0:c r="L29" s="19" t="inlineStr">
        <ns0:is>
          <ns0:t>Not documented in provided sources</ns0:t>
        </ns0:is>
      </ns0:c>
      <ns0:c r="M29" s="19" t="inlineStr">
        <ns0:is>
          <ns0:t>[]</ns0:t>
        </ns0:is>
      </ns0:c>
    </ns0:row>
    <ns0:row r="30" ht="69" customHeight="1">
      <ns0:c r="A30" s="21" t="inlineStr">
        <ns0:is>
          <ns0:t>27</ns0:t>
        </ns0:is>
      </ns0:c>
      <ns0:c r="B30" s="21" t="inlineStr">
        <ns0:is>
          <ns0:t>An analytics-driven model for identifying autism spectrum disorder using eye tracking</ns0:t>
        </ns0:is>
      </ns0:c>
      <ns0:c r="C30" s="21" t="inlineStr">
        <ns0:is>
          <ns0:t>10.1016/j.health.2025.100409</ns0:t>
        </ns0:is>
      </ns0:c>
      <ns0:c r="D30" s="21" t="inlineStr">
        <ns0:is>
          <ns0:t>https://doi.org/10.1016/j.health.2025.100409</ns0:t>
        </ns0:is>
      </ns0:c>
      <ns0:c r="E30" s="21" t="inlineStr">
        <ns0:is>
          <ns0:t>Supplied abstract/coding notes; no new full-text verification</ns0:t>
        </ns0:is>
      </ns0:c>
      <ns0:c r="F30" s="21" t="inlineStr">
        <ns0:is>
          <ns0:t>EVIDENCIA; original abstract/coding notes and lot source trace; Historical signals: title/abstract/notes; full-text completion not independently established</ns0:t>
        </ns0:is>
      </ns0:c>
      <ns0:c r="G30" s="21" t="inlineStr">
        <ns0:is>
          <ns0:t>Saliency4ASD eye-movement features are evaluated with several ML/DL models. The assessed material does not identify one primary model; comparison alone does not establish a hybrid architecture.</ns0:t>
        </ns0:is>
      </ns0:c>
      <ns0:c r="H30" s="21" t="inlineStr">
        <ns0:is>
          <ns0: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ns0:t>
        </ns0:is>
      </ns0:c>
      <ns0:c r="I30" s="21" t="inlineStr">
        <ns0:is>
          <ns0:t>Usa eye-tracking/gaze movement; algoritmo principal no explícito.</ns0:t>
        </ns0:is>
      </ns0:c>
      <ns0:c r="J30" s="21" t="inlineStr"/>
      <ns0:c r="K30" s="21" t="inlineStr"/>
      <ns0:c r="L30" s="21" t="inlineStr">
        <ns0:is>
          <ns0:t>Not documented in provided sources</ns0:t>
        </ns0:is>
      </ns0:c>
      <ns0:c r="M30" s="21" t="inlineStr">
        <ns0:is>
          <ns0:t>[]</ns0:t>
        </ns0:is>
      </ns0:c>
    </ns0:row>
    <ns0:row r="31" ht="81" customHeight="1">
      <ns0:c r="A31" s="19" t="inlineStr">
        <ns0:is>
          <ns0:t>28</ns0:t>
        </ns0:is>
      </ns0:c>
      <ns0:c r="B31" s="19" t="inlineStr">
        <ns0:is>
          <ns0:t>An evaluation of machine learning approaches for early diagnosis of autism spectrum disorder</ns0:t>
        </ns0:is>
      </ns0:c>
      <ns0:c r="C31" s="19" t="inlineStr">
        <ns0:is>
          <ns0:t>10.1016/j.health.2023.100293</ns0:t>
        </ns0:is>
      </ns0:c>
      <ns0:c r="D31" s="19" t="inlineStr">
        <ns0:is>
          <ns0:t>https://doi.org/10.1016/j.health.2023.100293</ns0:t>
        </ns0:is>
      </ns0:c>
      <ns0:c r="E31" s="19" t="inlineStr">
        <ns0:is>
          <ns0:t>Supplied abstract/coding notes; no new full-text verification</ns0:t>
        </ns0:is>
      </ns0:c>
      <ns0:c r="F31" s="19" t="inlineStr">
        <ns0:is>
          <ns0:t>EVIDENCIA; original abstract/coding notes and lot source trace; Historical signals: title/abstract/notes; full-text completion not independently established</ns0:t>
        </ns0:is>
      </ns0:c>
      <ns0:c r="G31" s="19" t="inlineStr">
        <ns0:is>
          <ns0:t>Public age-specific screening datasets are analyzed with classification and clustering. The proposed ANN is emphasized for the pooled dataset; no prospective diagnostic use is shown.</ns0:t>
        </ns0:is>
      </ns0:c>
      <ns0:c r="H31" s="19" t="inlineStr">
        <ns0:is>
          <ns0: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ns0:t>
        </ns0:is>
      </ns0:c>
      <ns0:c r="I31" s="19" t="inlineStr">
        <ns0:is>
          <ns0:t>Compara varios clasificadores; ANN/MLP reporta mejor desempeño en dataset combinado.</ns0:t>
        </ns0:is>
      </ns0:c>
      <ns0:c r="J31" s="19" t="inlineStr"/>
      <ns0:c r="K31" s="19" t="inlineStr"/>
      <ns0:c r="L31" s="19" t="inlineStr">
        <ns0:is>
          <ns0:t>Not documented in provided sources</ns0:t>
        </ns0:is>
      </ns0:c>
      <ns0:c r="M31" s="19" t="inlineStr">
        <ns0:is>
          <ns0:t>[]</ns0:t>
        </ns0:is>
      </ns0:c>
    </ns0:row>
    <ns0:row r="32" ht="105" customHeight="1">
      <ns0:c r="A32" s="21" t="inlineStr">
        <ns0:is>
          <ns0:t>29</ns0:t>
        </ns0:is>
      </ns0:c>
      <ns0:c r="B32" s="21" t="inlineStr">
        <ns0:is>
          <ns0:t>An intellectual autism spectrum disorder classification framework in healthcare industry using ViT-based adaptive deep learning model</ns0:t>
        </ns0:is>
      </ns0:c>
      <ns0:c r="C32" s="21" t="inlineStr">
        <ns0:is>
          <ns0:t>10.1016/j.bspc.2025.107737</ns0:t>
        </ns0:is>
      </ns0:c>
      <ns0:c r="D32" s="21" t="inlineStr">
        <ns0:is>
          <ns0:t>https://doi.org/10.1016/j.bspc.2025.107737</ns0:t>
        </ns0:is>
      </ns0:c>
      <ns0:c r="E32" s="21" t="inlineStr">
        <ns0:is>
          <ns0:t>Supplied abstract/coding notes; no new full-text verification</ns0:t>
        </ns0:is>
      </ns0:c>
      <ns0:c r="F32" s="21" t="inlineStr">
        <ns0:is>
          <ns0:t>EVIDENCIA; original abstract/coding notes and lot source trace; Historical signals: title/abstract/notes; full-text completion not independently established</ns0:t>
        </ns0:is>
      </ns0:c>
      <ns0:c r="G32" s="21" t="inlineStr">
        <ns0:is>
          <ns0:t>MRI classification uses a vision transformer, residual DenseNet and LSTM in a deep-learning architecture. Combining deep components is not ML/DL hybrid integration.</ns0:t>
        </ns0:is>
      </ns0:c>
      <ns0:c r="H32" s="21" t="inlineStr">
        <ns0:is>
          <ns0: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ns0:t>
        </ns0:is>
      </ns0:c>
      <ns0:c r="I32" s="21" t="inlineStr">
        <ns0:is>
          <ns0:t>Hybrid architecture includes ViT + (Adaptive Residual DenseNet) + LSTM; mapped to Transformer as primary component.</ns0:t>
        </ns0:is>
      </ns0:c>
      <ns0:c r="J32" s="21" t="inlineStr"/>
      <ns0:c r="K32" s="21" t="inlineStr"/>
      <ns0:c r="L32" s="21" t="inlineStr">
        <ns0:is>
          <ns0:t>Not documented in provided sources</ns0:t>
        </ns0:is>
      </ns0:c>
      <ns0:c r="M32" s="21" t="inlineStr">
        <ns0:is>
          <ns0:t>[]</ns0:t>
        </ns0:is>
      </ns0:c>
    </ns0:row>
    <ns0:row r="33" ht="153" customHeight="1">
      <ns0:c r="A33" s="19" t="inlineStr">
        <ns0:is>
          <ns0:t>30</ns0:t>
        </ns0:is>
      </ns0:c>
      <ns0:c r="B33" s="19" t="inlineStr">
        <ns0:is>
          <ns0:t>Analysis and Detection of Autism Spectrum Disorder Using Machine Learning Techniques</ns0:t>
        </ns0:is>
      </ns0:c>
      <ns0:c r="C33" s="19" t="inlineStr">
        <ns0:is>
          <ns0:t>10.1016/j.procs.2020.03.399</ns0:t>
        </ns0:is>
      </ns0:c>
      <ns0:c r="D33" s="19" t="inlineStr">
        <ns0:is>
          <ns0:t>https://doi.org/10.1016/j.procs.2020.03.399</ns0:t>
        </ns0:is>
      </ns0:c>
      <ns0:c r="E33" s="19" t="inlineStr">
        <ns0:is>
          <ns0:t>Supplied abstract/coding notes; no new full-text verification</ns0:t>
        </ns0:is>
      </ns0:c>
      <ns0:c r="F33" s="19" t="inlineStr">
        <ns0:is>
          <ns0:t>EVIDENCIA; original abstract/coding notes and lot source trace; Historical signals: title/abstract/notes; full-text completion not independently established</ns0:t>
        </ns0:is>
      </ns0:c>
      <ns0:c r="G33" s="19" t="inlineStr">
        <ns0:is>
          <ns0:t>Three public tabular screening datasets are evaluated. CNN is the reported best-performing model; evaluating conventional ML baselines does not make this a hybrid model.</ns0:t>
        </ns0:is>
      </ns0:c>
      <ns0:c r="H33" s="19" t="inlineStr">
        <ns0:is>
          <ns0: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ns0:t>
        </ns0:is>
      </ns0:c>
      <ns0:c r="I33" s="19" t="inlineStr">
        <ns0:is>
          <ns0:t>Comparan varios algoritmos (Naive Bayes, SVM, LR, KNN, NN y CNN); para tu columna AI_algorithm_main conviene poner CNN porque es el que señalan como mejor globalmente</ns0:t>
        </ns0:is>
      </ns0:c>
      <ns0:c r="J33" s="19" t="inlineStr"/>
      <ns0:c r="K33" s="19" t="inlineStr"/>
      <ns0:c r="L33" s="19" t="inlineStr">
        <ns0:is>
          <ns0:t>Not documented in provided sources</ns0:t>
        </ns0:is>
      </ns0:c>
      <ns0:c r="M33" s="19" t="inlineStr">
        <ns0:is>
          <ns0:t>[]</ns0:t>
        </ns0:is>
      </ns0:c>
    </ns0:row>
    <ns0:row r="34" ht="69" customHeight="1">
      <ns0:c r="A34" s="21" t="inlineStr">
        <ns0:is>
          <ns0:t>31</ns0:t>
        </ns0:is>
      </ns0:c>
      <ns0:c r="B34" s="21" t="inlineStr">
        <ns0:is>
          <ns0:t>ASD classification for children using deep neural network</ns0:t>
        </ns0:is>
      </ns0:c>
      <ns0:c r="C34" s="21" t="inlineStr">
        <ns0:is>
          <ns0:t>10.1016/j.gltp.2021.08.042</ns0:t>
        </ns0:is>
      </ns0:c>
      <ns0:c r="D34" s="21" t="inlineStr">
        <ns0:is>
          <ns0:t>https://doi.org/10.1016/j.gltp.2021.08.042</ns0:t>
        </ns0:is>
      </ns0:c>
      <ns0:c r="E34" s="21" t="inlineStr">
        <ns0:is>
          <ns0:t>Supplied abstract/coding notes; no new full-text verification</ns0:t>
        </ns0:is>
      </ns0:c>
      <ns0:c r="F34" s="21" t="inlineStr">
        <ns0:is>
          <ns0:t>EVIDENCIA; original abstract/coding notes and lot source trace; Historical signals: title/abstract/notes; full-text completion not independently established</ns0:t>
        </ns0:is>
      </ns0:c>
      <ns0:c r="G34" s="21" t="inlineStr">
        <ns0:is>
          <ns0:t>A UCI child screening dataset is classified using a DNN. The word diagnosis does not demonstrate specialist diagnostic workflow use.</ns0:t>
        </ns0:is>
      </ns0:c>
      <ns0:c r="H34" s="21" t="inlineStr">
        <ns0:is>
          <ns0: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ns0:t>
        </ns0:is>
      </ns0:c>
      <ns0:c r="I34" s="21" t="inlineStr">
        <ns0:is>
          <ns0:t>Tabular screening dataset; diffusion mapping + DNN classifier.</ns0:t>
        </ns0:is>
      </ns0:c>
      <ns0:c r="J34" s="21" t="inlineStr"/>
      <ns0:c r="K34" s="21" t="inlineStr"/>
      <ns0:c r="L34" s="21" t="inlineStr">
        <ns0:is>
          <ns0:t>Not documented in provided sources</ns0:t>
        </ns0:is>
      </ns0:c>
      <ns0:c r="M34" s="21" t="inlineStr">
        <ns0:is>
          <ns0:t>[]</ns0:t>
        </ns0:is>
      </ns0:c>
    </ns0:row>
    <ns0:row r="35" ht="117" customHeight="1">
      <ns0:c r="A35" s="19" t="inlineStr">
        <ns0:is>
          <ns0:t>32</ns0:t>
        </ns0:is>
      </ns0:c>
      <ns0:c r="B35" s="19" t="inlineStr">
        <ns0:is>
          <ns0:t>ASD-GraphNet: A novel graph learning approach for Autism Spectrum Disorder diagnosis using fMRI data</ns0:t>
        </ns0:is>
      </ns0:c>
      <ns0:c r="C35" s="19" t="inlineStr">
        <ns0:is>
          <ns0:t>10.1016/j.compbiomed.2025.110723</ns0:t>
        </ns0:is>
      </ns0:c>
      <ns0:c r="D35" s="19" t="inlineStr">
        <ns0:is>
          <ns0:t>https://doi.org/10.1016/j.compbiomed.2025.110723</ns0:t>
        </ns0:is>
      </ns0:c>
      <ns0:c r="E35" s="19" t="inlineStr">
        <ns0:is>
          <ns0:t>Supplied abstract/coding notes; no new full-text verification</ns0:t>
        </ns0:is>
      </ns0:c>
      <ns0:c r="F35" s="19" t="inlineStr">
        <ns0:is>
          <ns0:t>EVIDENCIA; original abstract/coding notes and lot source trace; Historical signals: title/abstract/notes; full-text completion not independently established</ns0:t>
        </ns0:is>
      </ns0:c>
      <ns0:c r="G35" s="19" t="inlineStr">
        <ns0:is>
          <ns0:t>ASD-GraphNet describes engineered brain-graph features and conventional classifiers. Graph analysis is not assumed to be a graph neural network; no clinician-facing implementation is evaluated.</ns0:t>
        </ns0:is>
      </ns0:c>
      <ns0:c r="H35" s="19" t="inlineStr">
        <ns0:is>
          <ns0: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ns0:t>
        </ns0:is>
      </ns0:c>
      <ns0:c r="I35" s="19" t="inlineStr">
        <ns0:is>
          <ns0:t>Graph feature engineering + classifier comparison (LR, SVM, XGBoost/LightGBM); main/best model not specified in abstract</ns0:t>
        </ns0:is>
      </ns0:c>
      <ns0:c r="J35" s="19" t="inlineStr"/>
      <ns0:c r="K35" s="19" t="inlineStr"/>
      <ns0:c r="L35" s="19" t="inlineStr">
        <ns0:is>
          <ns0:t>Not documented in provided sources</ns0:t>
        </ns0:is>
      </ns0:c>
      <ns0:c r="M35" s="19" t="inlineStr">
        <ns0:is>
          <ns0:t>[]</ns0:t>
        </ns0:is>
      </ns0:c>
    </ns0:row>
    <ns0:row r="36" ht="65" customHeight="1">
      <ns0:c r="A36" s="21" t="inlineStr">
        <ns0:is>
          <ns0:t>33</ns0:t>
        </ns0:is>
      </ns0:c>
      <ns0:c r="B36" s="21" t="inlineStr">
        <ns0:is>
          <ns0:t>Automated identification of postural control for children with autism spectrum disorder using a machine learning approach</ns0:t>
        </ns0:is>
      </ns0:c>
      <ns0:c r="C36" s="21" t="inlineStr">
        <ns0:is>
          <ns0:t>10.1016/j.jbiomech.2020.110073</ns0:t>
        </ns0:is>
      </ns0:c>
      <ns0:c r="D36" s="21" t="inlineStr">
        <ns0:is>
          <ns0:t>https://doi.org/10.1016/j.jbiomech.2020.110073</ns0:t>
        </ns0:is>
      </ns0:c>
      <ns0:c r="E36" s="21" t="inlineStr">
        <ns0:is>
          <ns0:t>Supplied abstract/coding notes; no new full-text verification</ns0:t>
        </ns0:is>
      </ns0:c>
      <ns0:c r="F36" s="21" t="inlineStr">
        <ns0:is>
          <ns0:t>EVIDENCIA; original abstract/coding notes and lot source trace; Historical signals: title/abstract/notes; full-text completion not independently established</ns0:t>
        </ns0:is>
      </ns0:c>
      <ns0:c r="G36" s="21" t="inlineStr">
        <ns0:is>
          <ns0:t>Force-plate postural-control features are classified in 50 children; naive Bayes is the reported optimal classifier. This is experimental motor-phenotype classification, not deep learning.</ns0:t>
        </ns0:is>
      </ns0:c>
      <ns0:c r="H36" s="21" t="inlineStr">
        <ns0:is>
          <ns0: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ns0:t>
        </ns0:is>
      </ns0:c>
      <ns0:c r="I36" s="21" t="inlineStr"/>
      <ns0:c r="J36" s="21" t="inlineStr"/>
      <ns0:c r="K36" s="21" t="inlineStr"/>
      <ns0:c r="L36" s="21" t="inlineStr">
        <ns0:is>
          <ns0:t>Not documented in provided sources</ns0:t>
        </ns0:is>
      </ns0:c>
      <ns0:c r="M36" s="21" t="inlineStr">
        <ns0:is>
          <ns0:t>[]</ns0:t>
        </ns0:is>
      </ns0:c>
    </ns0:row>
    <ns0:row r="37" ht="81" customHeight="1">
      <ns0:c r="A37" s="19" t="inlineStr">
        <ns0:is>
          <ns0:t>34</ns0:t>
        </ns0:is>
      </ns0:c>
      <ns0:c r="B37" s="19" t="inlineStr">
        <ns0:is>
          <ns0:t>Distributed Intrinsic Functional Connectivity Patterns Predict Diagnostic Status in Large Autism Cohort</ns0:t>
        </ns0:is>
      </ns0:c>
      <ns0:c r="C37" s="19" t="inlineStr">
        <ns0:is>
          <ns0:t>10.1089/brain.2017.0496</ns0:t>
        </ns0:is>
      </ns0:c>
      <ns0:c r="D37" s="19" t="inlineStr">
        <ns0:is>
          <ns0:t>https://doi.org/10.1089/brain.2017.0496</ns0:t>
        </ns0:is>
      </ns0:c>
      <ns0:c r="E37" s="19" t="inlineStr">
        <ns0:is>
          <ns0:t>Supplied abstract/coding notes; no new full-text verification</ns0:t>
        </ns0:is>
      </ns0:c>
      <ns0:c r="F37" s="19" t="inlineStr">
        <ns0:is>
          <ns0:t>EVIDENCIA; original abstract/coding notes and lot source trace; Historical signals: title/abstract/notes; full-text completion not independently established</ns0:t>
        </ns0:is>
      </ns0:c>
      <ns0:c r="G37" s="19" t="inlineStr">
        <ns0:is>
          <ns0:t>ABIDE resting-state connectivity classification is externally tested in an in-house dataset with substantially lower accuracy. This supports external/cross-dataset evaluation, not stable transportability or clinical deployment.</ns0:t>
        </ns0:is>
      </ns0:c>
      <ns0:c r="H37" s="19" t="inlineStr">
        <ns0:is>
          <ns0: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ns0:t>
        </ns0:is>
      </ns0:c>
      <ns0:c r="I37" s="19" t="inlineStr">
        <ns0:is>
          <ns0:t>Usa conditional random forest sobre rs-fMRI para clasificación diagnóstica.</ns0:t>
        </ns0:is>
      </ns0:c>
      <ns0:c r="J37" s="19" t="inlineStr"/>
      <ns0:c r="K37" s="19" t="inlineStr"/>
      <ns0:c r="L37" s="19" t="inlineStr">
        <ns0:is>
          <ns0:t>Not documented in provided sources</ns0:t>
        </ns0:is>
      </ns0:c>
      <ns0:c r="M37" s="19" t="inlineStr">
        <ns0:is>
          <ns0:t>[]</ns0:t>
        </ns0:is>
      </ns0:c>
    </ns0:row>
    <ns0:row r="38" ht="81" customHeight="1">
      <ns0:c r="A38" s="21" t="inlineStr">
        <ns0:is>
          <ns0:t>35</ns0:t>
        </ns0:is>
      </ns0:c>
      <ns0:c r="B38" s="21" t="inlineStr">
        <ns0:is>
          <ns0:t>Enhancing diagnosis of autism with optimized machine learning models and personal characteristic data</ns0:t>
        </ns0:is>
      </ns0:c>
      <ns0:c r="C38" s="21" t="inlineStr">
        <ns0:is>
          <ns0:t>10.3389/fncom.2019.00009</ns0:t>
        </ns0:is>
      </ns0:c>
      <ns0:c r="D38" s="21" t="inlineStr">
        <ns0:is>
          <ns0:t>https://doi.org/10.3389/fncom.2019.00009/full</ns0:t>
        </ns0:is>
      </ns0:c>
      <ns0:c r="E38" s="21" t="inlineStr">
        <ns0:is>
          <ns0:t>Supplied abstract/coding notes; no new full-text verification</ns0:t>
        </ns0:is>
      </ns0:c>
      <ns0:c r="F38" s="21" t="inlineStr">
        <ns0:is>
          <ns0:t>EVIDENCIA; original abstract/coding notes and lot source trace; Historical signals: title/abstract/notes; full-text completion not independently established</ns0:t>
        </ns0:is>
      </ns0:c>
      <ns0:c r="G38" s="21" t="inlineStr">
        <ns0:is>
          <ns0:t>Only six demographic/IQ characteristics from ABIDE are modeled. The fact that the parent resource is a neuroimaging database does not make these MRI inputs.</ns0:t>
        </ns0:is>
      </ns0:c>
      <ns0:c r="H38" s="21" t="inlineStr">
        <ns0:is>
          <ns0: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ns0:t>
        </ns0:is>
      </ns0:c>
      <ns0:c r="I38" s="21" t="inlineStr">
        <ns0:is>
          <ns0:t>Usa solo personal characteristic data de ABIDE; red neuronal fue el mejor modelo.</ns0:t>
        </ns0:is>
      </ns0:c>
      <ns0:c r="J38" s="21" t="inlineStr"/>
      <ns0:c r="K38" s="21" t="inlineStr"/>
      <ns0:c r="L38" s="21" t="inlineStr">
        <ns0:is>
          <ns0:t>Not documented in provided sources</ns0:t>
        </ns0:is>
      </ns0:c>
      <ns0:c r="M38" s="21" t="inlineStr">
        <ns0:is>
          <ns0:t>[]</ns0:t>
        </ns0:is>
      </ns0:c>
    </ns0:row>
    <ns0:row r="39" ht="105" customHeight="1">
      <ns0:c r="A39" s="19" t="inlineStr">
        <ns0:is>
          <ns0:t>36</ns0:t>
        </ns0:is>
      </ns0:c>
      <ns0:c r="B39" s="19" t="inlineStr">
        <ns0:is>
          <ns0:t>Investigating multiclass autism spectrum disorder classification using machine learning techniques</ns0:t>
        </ns0:is>
      </ns0:c>
      <ns0:c r="C39" s="19" t="inlineStr">
        <ns0:is>
          <ns0:t>10.1016/j.prime.2024.100602</ns0:t>
        </ns0:is>
      </ns0:c>
      <ns0:c r="D39" s="19" t="inlineStr">
        <ns0:is>
          <ns0:t>https://doi.org/10.1016/j.prime.2024.100602</ns0:t>
        </ns0:is>
      </ns0:c>
      <ns0:c r="E39" s="19" t="inlineStr">
        <ns0:is>
          <ns0:t>Supplied abstract/coding notes; no new full-text verification</ns0:t>
        </ns0:is>
      </ns0:c>
      <ns0:c r="F39" s="19" t="inlineStr">
        <ns0:is>
          <ns0:t>EVIDENCIA; original abstract/coding notes and lot source trace; Historical signals: title/abstract/notes; full-text completion not independently established</ns0:t>
        </ns0:is>
      </ns0:c>
      <ns0:c r="G39" s="19" t="inlineStr">
        <ns0:is>
          <ns0:t>Different models perform best across age-specific and pooled screening endpoints. A single universally best classifier is not identifiable from the reported comparisons.</ns0:t>
        </ns0:is>
      </ns0:c>
      <ns0:c r="H39" s="19" t="inlineStr">
        <ns0:is>
          <ns0: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ns0:t>
        </ns0:is>
      </ns0:c>
      <ns0:c r="I39" s="19" t="inlineStr">
        <ns0:is>
          <ns0:t>LR y SVM destacan; se selecciona LR como principal por mejor desempeño reportado en varios subconjuntos.</ns0:t>
        </ns0:is>
      </ns0:c>
      <ns0:c r="J39" s="19" t="inlineStr"/>
      <ns0:c r="K39" s="19" t="inlineStr"/>
      <ns0:c r="L39" s="19" t="inlineStr">
        <ns0:is>
          <ns0:t>Not documented in provided sources</ns0:t>
        </ns0:is>
      </ns0:c>
      <ns0:c r="M39" s="19" t="inlineStr">
        <ns0:is>
          <ns0:t>[]</ns0:t>
        </ns0:is>
      </ns0:c>
    </ns0:row>
    <ns0:row r="40" ht="65" customHeight="1">
      <ns0:c r="A40" s="21" t="inlineStr">
        <ns0:is>
          <ns0:t>37</ns0:t>
        </ns0:is>
      </ns0:c>
      <ns0:c r="B40" s="21" t="inlineStr">
        <ns0:is>
          <ns0:t>Jellyfish Search Optimization with Deep Learning Driven Autism Spectrum Disorder Classification</ns0:t>
        </ns0:is>
      </ns0:c>
      <ns0:c r="C40" s="21" t="inlineStr">
        <ns0:is>
          <ns0:t>10.32604/cmc.2023.032586</ns0:t>
        </ns0:is>
      </ns0:c>
      <ns0:c r="D40" s="21" t="inlineStr">
        <ns0:is>
          <ns0:t>https://doi.org/10.32604/cmc.2023.032586</ns0:t>
        </ns0:is>
      </ns0:c>
      <ns0:c r="E40" s="21" t="inlineStr">
        <ns0:is>
          <ns0:t>Supplied abstract/coding notes; no new full-text verification</ns0:t>
        </ns0:is>
      </ns0:c>
      <ns0:c r="F40" s="21" t="inlineStr">
        <ns0:is>
          <ns0:t>EVIDENCIA; original abstract/coding notes and lot source trace; Historical signals: title/abstract/notes; full-text completion not independently established</ns0:t>
        </ns0:is>
      </ns0:c>
      <ns0:c r="G40" s="21" t="inlineStr">
        <ns0:is>
          <ns0:t>Cross-sectional ASD classification, not temporal prognosis. Abstract identifies GRU but not the biomedical input source; distinct benchmark datasets do not establish fusion.</ns0:t>
        </ns0:is>
      </ns0:c>
      <ns0:c r="H40" s="21" t="inlineStr">
        <ns0:is>
          <ns0: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ns0:t>
        </ns0:is>
      </ns0:c>
      <ns0:c r="I40" s="21" t="inlineStr"/>
      <ns0:c r="J40" s="21" t="inlineStr"/>
      <ns0:c r="K40" s="21" t="inlineStr"/>
      <ns0:c r="L40" s="21" t="inlineStr">
        <ns0:is>
          <ns0:t>Not documented in provided sources</ns0:t>
        </ns0:is>
      </ns0:c>
      <ns0:c r="M40" s="21" t="inlineStr">
        <ns0:is>
          <ns0:t>[]</ns0:t>
        </ns0:is>
      </ns0:c>
    </ns0:row>
    <ns0:row r="41" ht="153" customHeight="1">
      <ns0:c r="A41" s="19" t="inlineStr">
        <ns0:is>
          <ns0:t>38</ns0:t>
        </ns0:is>
      </ns0:c>
      <ns0:c r="B41" s="19" t="inlineStr">
        <ns0:is>
          <ns0:t>Machine learning analysis of pregnancy data enables early identification of a subpopulation of newborns with ASD</ns0:t>
        </ns0:is>
      </ns0:c>
      <ns0:c r="C41" s="19" t="inlineStr">
        <ns0:is>
          <ns0:t>10.1038/s41598-021-86320-0</ns0:t>
        </ns0:is>
      </ns0:c>
      <ns0:c r="D41" s="19" t="inlineStr">
        <ns0:is>
          <ns0:t>https://doi.org/10.1038/s41598-021-86320-0</ns0:t>
        </ns0:is>
      </ns0:c>
      <ns0:c r="E41" s="19" t="inlineStr">
        <ns0:is>
          <ns0:t>Supplied abstract/coding notes; no new full-text verification</ns0:t>
        </ns0:is>
      </ns0:c>
      <ns0:c r="F41" s="19" t="inlineStr">
        <ns0:is>
          <ns0:t>EVIDENCIA; original abstract/coding notes and lot source trace; Historical signals: title/abstract/notes; full-text completion not independently established</ns0:t>
        </ns0:is>
      </ns0:c>
      <ns0:c r="G41" s="19" t="inlineStr">
        <ns0:is>
          <ns0:t>Retrospective pregnancy and birth measurements predict later ASD. Numeric ultrasound measurements are structured records, not raw imaging inputs. SHAP is explicitly documented in source coding notes.</ns0:t>
        </ns0:is>
      </ns0:c>
      <ns0:c r="H41" s="19" t="inlineStr">
        <ns0:is>
          <ns0: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ns0:t>
        </ns0:is>
      </ns0:c>
      <ns0:c r="I41" s="19" t="inlineStr">
        <ns0:is>
          <ns0:t>“Main classifier: Gradient Boosting Decision Trees implemented with XGBoost; feature selection via Lasso (automatic / semi-automatic) + SHAP interpretability; nested CV.</ns0:t>
        </ns0:is>
      </ns0:c>
      <ns0:c r="J41" s="19" t="inlineStr"/>
      <ns0:c r="K41" s="19" t="inlineStr"/>
      <ns0:c r="L41" s="19" t="inlineStr">
        <ns0:is>
          <ns0:t>Not documented in provided sources</ns0:t>
        </ns0:is>
      </ns0:c>
      <ns0:c r="M41" s="19" t="inlineStr">
        <ns0:is>
          <ns0:t>[]</ns0:t>
        </ns0:is>
      </ns0:c>
    </ns0:row>
    <ns0:row r="42" ht="65" customHeight="1">
      <ns0:c r="A42" s="21" t="inlineStr">
        <ns0:is>
          <ns0:t>39</ns0:t>
        </ns0:is>
      </ns0:c>
      <ns0:c r="B42" s="21" t="inlineStr">
        <ns0:is>
          <ns0:t>Machine Learning-Based Blood RNA Signature for Diagnosis of Autism Spectrum Disorder</ns0:t>
        </ns0:is>
      </ns0:c>
      <ns0:c r="C42" s="21" t="inlineStr">
        <ns0:is>
          <ns0:t>10.3390/ijms24032082</ns0:t>
        </ns0:is>
      </ns0:c>
      <ns0:c r="D42" s="21" t="inlineStr">
        <ns0:is>
          <ns0:t>https://doi.org/10.3390/ijms24032082</ns0:t>
        </ns0:is>
      </ns0:c>
      <ns0:c r="E42" s="21" t="inlineStr">
        <ns0:is>
          <ns0:t>Supplied abstract/coding notes; no new full-text verification</ns0:t>
        </ns0:is>
      </ns0:c>
      <ns0:c r="F42" s="21" t="inlineStr">
        <ns0:is>
          <ns0:t>EVIDENCIA; original abstract/coding notes and lot source trace; Historical signals: title/abstract/notes; full-text completion not independently established</ns0:t>
        </ns0:is>
      </ns0:c>
      <ns0:c r="G42" s="21" t="inlineStr">
        <ns0:is>
          <ns0:t>Blood RNA sequencing classifier; abstract calls for further independent validation, not a deployed diagnostic workflow.</ns0:t>
        </ns0:is>
      </ns0:c>
      <ns0:c r="H42" s="21" t="inlineStr">
        <ns0:is>
          <ns0: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ns0:t>
        </ns0:is>
      </ns0:c>
      <ns0:c r="I42" s="21" t="inlineStr">
        <ns0:is>
          <ns0:t>También usan Extra Trees</ns0:t>
        </ns0:is>
      </ns0:c>
      <ns0:c r="J42" s="21" t="inlineStr"/>
      <ns0:c r="K42" s="21" t="inlineStr"/>
      <ns0:c r="L42" s="21" t="inlineStr">
        <ns0:is>
          <ns0:t>Not documented in provided sources</ns0:t>
        </ns0:is>
      </ns0:c>
      <ns0:c r="M42" s="21" t="inlineStr">
        <ns0:is>
          <ns0:t>[]</ns0:t>
        </ns0:is>
      </ns0:c>
    </ns0:row>
    <ns0:row r="43" ht="65" customHeight="1">
      <ns0:c r="A43" s="19" t="inlineStr">
        <ns0:is>
          <ns0:t>40</ns0:t>
        </ns0:is>
      </ns0:c>
      <ns0:c r="B43" s="19" t="inlineStr">
        <ns0:is>
          <ns0:t>Metabolomic analysis of maternal mid-gestation plasma and cord blood in autism spectrum disorders</ns0:t>
        </ns0:is>
      </ns0:c>
      <ns0:c r="C43" s="19" t="inlineStr">
        <ns0:is>
          <ns0:t>10.1038/s41380-023-02051-w</ns0:t>
        </ns0:is>
      </ns0:c>
      <ns0:c r="D43" s="19" t="inlineStr">
        <ns0:is>
          <ns0:t>https://doi.org/10.1038/s41380-023-02051-w</ns0:t>
        </ns0:is>
      </ns0:c>
      <ns0:c r="E43" s="19" t="inlineStr">
        <ns0:is>
          <ns0:t>Supplied abstract/coding notes; no new full-text verification</ns0:t>
        </ns0:is>
      </ns0:c>
      <ns0:c r="F43" s="19" t="inlineStr">
        <ns0:is>
          <ns0:t>EVIDENCIA; original abstract/coding notes and lot source trace; Historical signals: title/abstract/notes; full-text completion not independently established</ns0:t>
        </ns0:is>
      </ns0:c>
      <ns0:c r="G43" s="19" t="inlineStr">
        <ns0:is>
          <ns0:t>Maternal mid-gestation and cord-blood metabolomic profiles predict subsequent ASD. Source describes separate analyses, not demonstrated combined-input prediction.</ns0:t>
        </ns0:is>
      </ns0:c>
      <ns0:c r="H43" s="19" t="inlineStr">
        <ns0:is>
          <ns0:t>The discovery of prenatal and neonatal molecular biomarkers has the potential to yield insights into autism spectrum disorder (ASD) and facilitate early diagnosis. We characterized metabolomic profiles in ASD using plasma samples collected in the Norwegian Autism Birth Cohort from mothers at weeks 17–21 gestation (maternal mid-gestation, MMG, n = 408) and from children on the day of birth (cord blood, CB, n = 418). We analyzed associations using sex-stratified adjusted logistic regression models with Bayesian analyses. Chemical enrichment analyses (ChemRICH) were performed to determine altered chemical clusters. We also employed machine learning algorithms to assess the utility of metabolomics as ASD biomarkers. We identified ASD associations with a variety of chemical compounds including arachidonic acid, glutamate, and glutamine, and metabolite clusters including hydroxy eicospentaenoic acids, phosphatidylcholines, and ceramides in MMG and CB plasma that are consistent with inflammation, disruption of membrane integrity, and impaired neurotransmission and neurotoxicity. Girls with ASD have disruption of ether/non-ether phospholipid balance in the MMG plasma that is similar to that found in other neurodevelopmental disorders. ASD boys in the CB analyses had the highest number of dysregulated chemical clusters. Machine learning classifiers distinguished ASD cases from controls with area under the receiver operating characteristic (AUROC) values ranging from 0.710 to 0.853. Predictive performance was better in CB analyses than in MMG. These findings may provide new insights into the sex-specific differences in ASD and have implications for discovery of biomarkers that may enable early detection and intervention.</ns0:t>
        </ns0:is>
      </ns0:c>
      <ns0:c r="I43" s="19" t="inlineStr"/>
      <ns0:c r="J43" s="19" t="inlineStr"/>
      <ns0:c r="K43" s="19" t="inlineStr"/>
      <ns0:c r="L43" s="19" t="inlineStr">
        <ns0:is>
          <ns0:t>Not documented in provided sources</ns0:t>
        </ns0:is>
      </ns0:c>
      <ns0:c r="M43" s="19" t="inlineStr">
        <ns0:is>
          <ns0:t>[]</ns0:t>
        </ns0:is>
      </ns0:c>
    </ns0:row>
    <ns0:row r="44" ht="105" customHeight="1">
      <ns0:c r="A44" s="21" t="inlineStr">
        <ns0:is>
          <ns0:t>41</ns0:t>
        </ns0:is>
      </ns0:c>
      <ns0:c r="B44" s="21" t="inlineStr">
        <ns0:is>
          <ns0:t>Predictors of age at diagnosis in autism spectrum disorders: the use of multiple regression analyses and a classification tree on a clinical sample</ns0:t>
        </ns0:is>
      </ns0:c>
      <ns0:c r="C44" s="21" t="inlineStr">
        <ns0:is>
          <ns0:t>10.1007/s00787-023-02189-6</ns0:t>
        </ns0:is>
      </ns0:c>
      <ns0:c r="D44" s="21" t="inlineStr">
        <ns0:is>
          <ns0:t>https://doi.org/10.1007/s00787-023-02189-6</ns0:t>
        </ns0:is>
      </ns0:c>
      <ns0:c r="E44" s="21" t="inlineStr">
        <ns0:is>
          <ns0:t>Supplied abstract/coding notes; no new full-text verification</ns0:t>
        </ns0:is>
      </ns0:c>
      <ns0:c r="F44" s="21" t="inlineStr">
        <ns0:is>
          <ns0:t>EVIDENCIA; original abstract/coding notes and lot source trace; Historical signals: title/abstract/notes; full-text completion not independently established</ns0:t>
        </ns0:is>
      </ns0:c>
      <ns0:c r="G44" s="21" t="inlineStr">
        <ns0:is>
          <ns0:t>Retrospective predictors of age at diagnosis; relevant care-pathway characterization but no uniquely supported prospective clinical stage.</ns0:t>
        </ns0:is>
      </ns0:c>
      <ns0:c r="H44" s="21" t="inlineStr">
        <ns0:is>
          <ns0: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ns0:t>
        </ns0:is>
      </ns0:c>
      <ns0:c r="I44" s="21" t="inlineStr">
        <ns0:is>
          <ns0:t>Análisis de predictores de edad al diagnóstico (regresión + árbol); no encaja claramente en una etapa clínica RQ1.</ns0:t>
        </ns0:is>
      </ns0:c>
      <ns0:c r="J44" s="21" t="inlineStr"/>
      <ns0:c r="K44" s="21" t="inlineStr"/>
      <ns0:c r="L44" s="21" t="inlineStr">
        <ns0:is>
          <ns0:t>Not documented in provided sources</ns0:t>
        </ns0:is>
      </ns0:c>
      <ns0:c r="M44" s="21" t="inlineStr">
        <ns0:is>
          <ns0:t>[]</ns0:t>
        </ns0:is>
      </ns0:c>
    </ns0:row>
    <ns0:row r="45" ht="65" customHeight="1">
      <ns0:c r="A45" s="19" t="inlineStr">
        <ns0:is>
          <ns0:t>42</ns0:t>
        </ns0:is>
      </ns0:c>
      <ns0:c r="B45" s="19" t="inlineStr">
        <ns0:is>
          <ns0:t>Promoting emotional and behavioral interventions in ASD treatment: Evidence from EPIGRAM, A naturalistic, prospective and longitudinal study</ns0:t>
        </ns0:is>
      </ns0:c>
      <ns0:c r="C45" s="19" t="inlineStr">
        <ns0:is>
          <ns0:t>10.1016/j.ridd.2024.104688</ns0:t>
        </ns0:is>
      </ns0:c>
      <ns0:c r="D45" s="19" t="inlineStr">
        <ns0:is>
          <ns0:t>https://doi.org/10.1016/j.ridd.2024.104688</ns0:t>
        </ns0:is>
      </ns0:c>
      <ns0:c r="E45" s="19" t="inlineStr">
        <ns0:is>
          <ns0:t>Supplied abstract/coding notes; no new full-text verification</ns0:t>
        </ns0:is>
      </ns0:c>
      <ns0:c r="F45" s="19" t="inlineStr">
        <ns0:is>
          <ns0:t>EVIDENCIA; original abstract/coding notes and lot source trace; Historical signals: title/abstract/notes; full-text completion not independently established</ns0:t>
        </ns0:is>
      </ns0:c>
      <ns0:c r="G45" s="19" t="inlineStr">
        <ns0:is>
          <ns0:t>Prognostic analysis of 12-month intervention outcomes. Prospective patient follow-up is not evidence that AI selected or adapted the treatment.</ns0:t>
        </ns0:is>
      </ns0:c>
      <ns0:c r="H45" s="19" t="inlineStr">
        <ns0:is>
          <ns0: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ns0:t>
        </ns0:is>
      </ns0:c>
      <ns0:c r="I45" s="19" t="inlineStr"/>
      <ns0:c r="J45" s="19" t="inlineStr"/>
      <ns0:c r="K45" s="19" t="inlineStr"/>
      <ns0:c r="L45" s="19" t="inlineStr">
        <ns0:is>
          <ns0:t>Not documented in provided sources</ns0:t>
        </ns0:is>
      </ns0:c>
      <ns0:c r="M45" s="19" t="inlineStr">
        <ns0:is>
          <ns0:t>[]</ns0:t>
        </ns0:is>
      </ns0:c>
    </ns0:row>
    <ns0:row r="46" ht="65" customHeight="1">
      <ns0:c r="A46" s="21" t="inlineStr">
        <ns0:is>
          <ns0:t>43</ns0:t>
        </ns0:is>
      </ns0:c>
      <ns0:c r="B46" s="21" t="inlineStr">
        <ns0:is>
          <ns0:t>The role of the dopamine system in autism spectrum disorder revealed using machine learning: an ABIDE database–based study</ns0:t>
        </ns0:is>
      </ns0:c>
      <ns0:c r="C46" s="21" t="inlineStr">
        <ns0:is>
          <ns0:t>10.1093/cercor/bhaf022</ns0:t>
        </ns0:is>
      </ns0:c>
      <ns0:c r="D46" s="21" t="inlineStr">
        <ns0:is>
          <ns0:t>https://doi.org/10.1093/cercor/bhaf022</ns0:t>
        </ns0:is>
      </ns0:c>
      <ns0:c r="E46" s="21" t="inlineStr">
        <ns0:is>
          <ns0:t>Supplied abstract/coding notes; no new full-text verification</ns0:t>
        </ns0:is>
      </ns0:c>
      <ns0:c r="F46" s="21" t="inlineStr">
        <ns0:is>
          <ns0:t>EVIDENCIA; original abstract/coding notes and lot source trace; Historical signals: title/abstract/notes; full-text completion not independently established</ns0:t>
        </ns0:is>
      </ns0:c>
      <ns0:c r="G46" s="21" t="inlineStr">
        <ns0:is>
          <ns0:t>fMRI analysis of dopaminergic regions. Multiple brain regions and computational representations do not establish separate data modalities or deep learning.</ns0:t>
        </ns0:is>
      </ns0:c>
      <ns0:c r="H46" s="21" t="inlineStr">
        <ns0:is>
          <ns0:t>This study explores the diagnostic value of dopamine system imaging characteristics in children with autism spectrum disorder. Functional magnetic resonance data from 551 children in the Autism Brain Imaging Data Exchange database were analyzed, focusing on six dopamine-related brain regions as regions of interest. Functional connectivity between these ROIs and across the whole brain was assessed. Machine learning techniques then evaluated the ability of the dopamine system’s imaging features to predict autism spectrum disorder. Functional connectivity was significantly higher in autism spectrum disorder children between the ventral tegmental area and substantia nigra, prefrontal cortex, nucleus accumbens, and between the substantia nigra and hypothalamus compared to typically developing children. Additionally, clustering methods identified two autism spectrum disorder subtypes, achieving over 0.8 accuracy. Subtype 1 showed higher stereotyped behavior scores than subtype 2 in both genders, with subtype-specific functional connectivity differences between male and female autism spectrum disorder groups. These findings suggest that abnormal functional connectivity in the dopamine system serves as a diagnostic biomarker for autism spectrum disorder and can support clinical decision-making and personalized treatment optimization.</ns0:t>
        </ns0:is>
      </ns0:c>
      <ns0:c r="I46" s="21" t="inlineStr">
        <ns0:is>
          <ns0:t>Usa ABIDE; marcar señal multisitio.</ns0:t>
        </ns0:is>
      </ns0:c>
      <ns0:c r="J46" s="21" t="inlineStr"/>
      <ns0:c r="K46" s="21" t="inlineStr"/>
      <ns0:c r="L46" s="21" t="inlineStr">
        <ns0:is>
          <ns0:t>Not documented in provided sources</ns0:t>
        </ns0:is>
      </ns0:c>
      <ns0:c r="M46" s="21" t="inlineStr">
        <ns0:is>
          <ns0:t>[]</ns0:t>
        </ns0:is>
      </ns0:c>
    </ns0:row>
    <ns0:row r="47" ht="93" customHeight="1">
      <ns0:c r="A47" s="19" t="inlineStr">
        <ns0:is>
          <ns0:t>44</ns0:t>
        </ns0:is>
      </ns0:c>
      <ns0:c r="B47" s="19" t="inlineStr">
        <ns0:is>
          <ns0:t>Using Artificial Intelligence to Identify Factors Associated with Autism Spectrum Disorder in Adolescents with Cerebral Palsy</ns0:t>
        </ns0:is>
      </ns0:c>
      <ns0:c r="C47" s="19" t="inlineStr">
        <ns0:is>
          <ns0:t>10.1055/s-0039-1685525</ns0:t>
        </ns0:is>
      </ns0:c>
      <ns0:c r="D47" s="19" t="inlineStr">
        <ns0:is>
          <ns0:t>https://doi.org/10.1055/s-0039-1685525</ns0:t>
        </ns0:is>
      </ns0:c>
      <ns0:c r="E47" s="19" t="inlineStr">
        <ns0:is>
          <ns0:t>Supplied abstract/coding notes; no new full-text verification</ns0:t>
        </ns0:is>
      </ns0:c>
      <ns0:c r="F47" s="19" t="inlineStr">
        <ns0:is>
          <ns0:t>EVIDENCIA; original abstract/coding notes and lot source trace; Historical signals: title/abstract/notes; full-text completion not independently established</ns0:t>
        </ns0:is>
      </ns0:c>
      <ns0:c r="G47" s="19" t="inlineStr">
        <ns0:is>
          <ns0:t>ASD co-occurrence is the model endpoint in adolescents with cerebral palsy; multicentre clinical variables, not a prospective risk forecast.</ns0:t>
        </ns0:is>
      </ns0:c>
      <ns0:c r="H47" s="19" t="inlineStr">
        <ns0:is>
          <ns0: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ns0:t>
        </ns0:is>
      </ns0:c>
      <ns0:c r="I47" s="19" t="inlineStr">
        <ns0:is>
          <ns0:t>Modelo predictivo con variables clínicas para identificar adolescentes con CP en riesgo de ASD.</ns0:t>
        </ns0:is>
      </ns0:c>
      <ns0:c r="J47" s="19" t="inlineStr"/>
      <ns0:c r="K47" s="19" t="inlineStr"/>
      <ns0:c r="L47" s="19" t="inlineStr">
        <ns0:is>
          <ns0:t>Not documented in provided sources</ns0:t>
        </ns0:is>
      </ns0:c>
      <ns0:c r="M47" s="19" t="inlineStr">
        <ns0:is>
          <ns0:t>[]</ns0:t>
        </ns0:is>
      </ns0:c>
    </ns0:row>
    <ns0:row r="48" ht="65" customHeight="1">
      <ns0:c r="A48" s="21" t="inlineStr">
        <ns0:is>
          <ns0:t>45</ns0:t>
        </ns0:is>
      </ns0:c>
      <ns0:c r="B48" s="21" t="inlineStr">
        <ns0:is>
          <ns0:t>Using resting state functional MRI to build a personalized autism diagnosis system</ns0:t>
        </ns0:is>
      </ns0:c>
      <ns0:c r="C48" s="21" t="inlineStr">
        <ns0:is>
          <ns0:t>10.1371/journal.pone.0206351</ns0:t>
        </ns0:is>
      </ns0:c>
      <ns0:c r="D48" s="21" t="inlineStr">
        <ns0:is>
          <ns0:t>https://doi.org/10.1371/journal.pone.0206351</ns0:t>
        </ns0:is>
      </ns0:c>
      <ns0:c r="E48" s="21" t="inlineStr">
        <ns0:is>
          <ns0:t>Supplied abstract/coding notes; no new full-text verification</ns0:t>
        </ns0:is>
      </ns0:c>
      <ns0:c r="F48" s="21" t="inlineStr">
        <ns0:is>
          <ns0:t>EVIDENCIA; original abstract/coding notes and lot source trace; Historical signals: title/abstract/notes; full-text completion not independently established</ns0:t>
        </ns0:is>
      </ns0:c>
      <ns0:c r="G48" s="21" t="inlineStr">
        <ns0:is>
          <ns0:t>Actual ML-DL pipeline is stated; PSD features and autoencoder representations originate from the same resting-state fMRI. Personalized reports were proposed, not evaluated in clinician decisions.</ns0:t>
        </ns0:is>
      </ns0:c>
      <ns0:c r="H48" s="21" t="inlineStr">
        <ns0:is>
          <ns0: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ns0:t>
        </ns0:is>
      </ns0:c>
      <ns0:c r="I48" s="21" t="inlineStr"/>
      <ns0:c r="J48" s="21" t="inlineStr"/>
      <ns0:c r="K48" s="21" t="inlineStr"/>
      <ns0:c r="L48" s="21" t="inlineStr">
        <ns0:is>
          <ns0:t>Not documented in provided sources</ns0:t>
        </ns0:is>
      </ns0:c>
      <ns0:c r="M48" s="21" t="inlineStr">
        <ns0:is>
          <ns0:t>[]</ns0:t>
        </ns0:is>
      </ns0:c>
    </ns0:row>
    <ns0:row r="49" ht="129" customHeight="1">
      <ns0:c r="A49" s="19" t="inlineStr">
        <ns0:is>
          <ns0:t>46</ns0:t>
        </ns0:is>
      </ns0:c>
      <ns0:c r="B49" s="19" t="inlineStr">
        <ns0:is>
          <ns0:t>A Model to Support the Prediction of Indicators in the Diagnosis and Intervention of Autism Spectrum Disorder</ns0:t>
        </ns0:is>
      </ns0:c>
      <ns0:c r="C49" s="19" t="inlineStr">
        <ns0:is>
          <ns0:t>10.1007/978-3-031-48642-5_7</ns0:t>
        </ns0:is>
      </ns0:c>
      <ns0:c r="D49" s="19" t="inlineStr">
        <ns0:is>
          <ns0:t>https://doi.org/10.1007/978-3-031-48642-5_7</ns0:t>
        </ns0:is>
      </ns0:c>
      <ns0:c r="E49" s="19" t="inlineStr">
        <ns0:is>
          <ns0:t>Supplied abstract/coding notes; no new full-text verification</ns0:t>
        </ns0:is>
      </ns0:c>
      <ns0:c r="F49" s="19" t="inlineStr">
        <ns0:is>
          <ns0:t>EVIDENCIA; original abstract/coding notes and lot source trace; Historical signals: title/abstract/notes; full-text completion not independently established</ns0:t>
        </ns0:is>
      </ns0:c>
      <ns0:c r="G49" s="19" t="inlineStr">
        <ns0:is>
          <ns0:t>Ongoing NLP project uses conversations or writing to inform intervention indicators. Proposed architecture is not sufficient to assert an implemented deep-learning family or a clinical intervention deployment.</ns0:t>
        </ns0:is>
      </ns0:c>
      <ns0:c r="H49" s="19" t="inlineStr">
        <ns0:is>
          <ns0: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ns0:t>
        </ns0:is>
      </ns0:c>
      <ns0:c r="I49" s="19" t="inlineStr">
        <ns0:is>
          <ns0:t>Proyecto en curso basado en conversaciones/escritura para apoyar indicadores diagnósticos/intervención; confirmar arquitectura final.</ns0:t>
        </ns0:is>
      </ns0:c>
      <ns0:c r="J49" s="19" t="inlineStr"/>
      <ns0:c r="K49" s="19" t="inlineStr"/>
      <ns0:c r="L49" s="19" t="inlineStr">
        <ns0:is>
          <ns0:t>Not documented in provided sources</ns0:t>
        </ns0:is>
      </ns0:c>
      <ns0:c r="M49" s="19" t="inlineStr">
        <ns0:is>
          <ns0:t>[]</ns0:t>
        </ns0:is>
      </ns0:c>
    </ns0:row>
    <ns0:row r="50" ht="81" customHeight="1">
      <ns0:c r="A50" s="21" t="inlineStr">
        <ns0:is>
          <ns0:t>47</ns0:t>
        </ns0:is>
      </ns0:c>
      <ns0:c r="B50" s="21" t="inlineStr">
        <ns0:is>
          <ns0:t>A novel multi-modal model to assist the diagnosis of autism spectrum disorder using eye-tracking data</ns0:t>
        </ns0:is>
      </ns0:c>
      <ns0:c r="C50" s="21" t="inlineStr">
        <ns0:is>
          <ns0:t>10.1007/s13755-024-00299-2</ns0:t>
        </ns0:is>
      </ns0:c>
      <ns0:c r="D50" s="21" t="inlineStr">
        <ns0:is>
          <ns0:t>https://doi.org/10.1007/s13755-024-00299-2</ns0:t>
        </ns0:is>
      </ns0:c>
      <ns0:c r="E50" s="21" t="inlineStr">
        <ns0:is>
          <ns0:t>Supplied abstract/coding notes; no new full-text verification</ns0:t>
        </ns0:is>
      </ns0:c>
      <ns0:c r="F50" s="21" t="inlineStr">
        <ns0:is>
          <ns0:t>EVIDENCIA; original abstract/coding notes and lot source trace; Historical signals: title/abstract/notes; full-text completion not independently established</ns0:t>
        </ns0:is>
      </ns0:c>
      <ns0:c r="G50" s="21" t="inlineStr">
        <ns0:is>
          <ns0:t>Scanpaths, distances and fixation durations derive from eye tracking; multiple representations do not by themselves establish multisource integration. All named components are neural, not an ML-DL hybrid.</ns0:t>
        </ns0:is>
      </ns0:c>
      <ns0:c r="H50" s="21" t="inlineStr">
        <ns0:is>
          <ns0:t>Background and objective
Timely and accurate detection of Autism Spectrum Disorder (ASD) is essential for early intervention and improved patient outcomes. This study aims to harness the power of machine learning (ML) techniques to improve ASD detection by incorporating temporal eye-tracking data. We developed a novel ML model to leverage eye scan paths, sequences of distances of eye movement, and a sequence of fixation durations, enhancing the temporal aspect of the analysis for more effective ASD identification.
Methods
We utilized a dataset of eye-tracking data without augmentation to train our ML model, which consists of a CNN-GRU-ANN architecture. The model was trained using gaze maps, the sequences of distances between eye fixations, and durations of fixations and saccades. Additionally, we employed a validation dataset to assess the model’s performance and compare it with other works.
Results
Our ML model demonstrated superior performance in ASD detection compared to the VGG-16 model. By incorporating temporal information from eye-tracking data, our model achieved higher accuracy, precision, and recall. The novel addition of sequence-based features allowed our model to effectively distinguish between ASD and typically developing individuals, achieving an impressive precision value of 93.10% on the validation dataset.
Conclusion
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ns0:t>
        </ns0:is>
      </ns0:c>
      <ns0:c r="I50" s="21" t="inlineStr">
        <ns0:is>
          <ns0:t>Hybrid CNN-GRU-ANN; mapped to RNN/LSTM/GRU as main due to temporal sequence modeling</ns0:t>
        </ns0:is>
      </ns0:c>
      <ns0:c r="J50" s="21" t="inlineStr"/>
      <ns0:c r="K50" s="21" t="inlineStr"/>
      <ns0:c r="L50" s="21" t="inlineStr">
        <ns0:is>
          <ns0:t>Not documented in provided sources</ns0:t>
        </ns0:is>
      </ns0:c>
      <ns0:c r="M50" s="21" t="inlineStr">
        <ns0:is>
          <ns0:t>[]</ns0:t>
        </ns0:is>
      </ns0:c>
    </ns0:row>
    <ns0:row r="51" ht="350" customHeight="1">
      <ns0:c r="A51" s="19" t="inlineStr">
        <ns0:is>
          <ns0:t>48</ns0:t>
        </ns0:is>
      </ns0:c>
      <ns0:c r="B51" s="19" t="inlineStr">
        <ns0:is>
          <ns0:t>A randomized controlled trial of 25 sessions comparing music therapy and music listening for children with autism spectrum disorder</ns0:t>
        </ns0:is>
      </ns0:c>
      <ns0:c r="C51" s="19" t="inlineStr">
        <ns0:is>
          <ns0:t>10.1016/j.psychres.2020.113377</ns0:t>
        </ns0:is>
      </ns0:c>
      <ns0:c r="D51" s="19" t="inlineStr">
        <ns0:is>
          <ns0:t>https://extradoc.univ-nantes.fr/pluginfile.php/412199/mod_folder/content/0/article%20Bonnot-Vrait-Carasco-Rabeyron....pdf</ns0:t>
        </ns0:is>
      </ns0:c>
      <ns0:c r="E51" s="19" t="inlineStr">
        <ns0:is>
          <ns0:t>Primary-source full text (targeted sections)</ns0:t>
        </ns0:is>
      </ns0:c>
      <ns0:c r="F51" s="19" t="inlineStr">
        <ns0:is>
          <ns0:t>Abstract and Methods, pp. 1-3</ns0:t>
        </ns0:is>
      </ns0:c>
      <ns0:c r="G51" s="19" t="inlineStr">
        <ns0:is>
          <ns0:t>Verified original music-therapy RCT uses ML as music listening, not machine learning. The stored eye-tracking abstract belongs to a different report and is quarantined.</ns0:t>
        </ns0:is>
      </ns0:c>
      <ns0:c r="H51" s="19" t="inlineStr">
        <ns0:is>
          <ns0: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ns0:t>
        </ns0:is>
      </ns0:c>
      <ns0:c r="I51" s="19" t="inlineStr">
        <ns0:is>
          <ns0:t>Posible desajuste título-abstract; el abstract describe detección por eye-tracking temporal.</ns0:t>
        </ns0:is>
      </ns0:c>
      <ns0:c r="J51" s="19" t="inlineStr"/>
      <ns0:c r="K51" s="19" t="inlineStr"/>
      <ns0:c r="L51" s="19" t="inlineStr">
        <ns0:is>
          <ns0:t>Not documented in provided sources</ns0:t>
        </ns0:is>
      </ns0:c>
      <ns0:c r="M51" s="19" t="inlineStr">
        <ns0:is>
          <ns0:t>[{"url": "https://extradoc.univ-nantes.fr/pluginfile.php/412199/mod_folder/content/0/article%20Bonnot-Vrait-Carasco-Rabeyron....pdf", "locator": "Abstract and Methods, pp. 1-3", "assessment": "The original report randomizes 37 children to music therapy or music listening. Its ML abbreviation is not machine learning. The original workbook abstract does not match this DOI.", "level": "Primary-source full text (targeted sections)", "date": "2026-09-08", "assessor": "ChatGPT-assisted source verification; not independent human review"}]</ns0:t>
        </ns0:is>
      </ns0:c>
    </ns0:row>
    <ns0:row r="52" ht="93" customHeight="1">
      <ns0:c r="A52" s="21" t="inlineStr">
        <ns0:is>
          <ns0:t>49</ns0:t>
        </ns0:is>
      </ns0:c>
      <ns0:c r="B52" s="21" t="inlineStr">
        <ns0:is>
          <ns0:t>A Triple-Pooling Graph Neural Network for\&amp;#xa0;Multi-scale Topological Learning of\&amp;#xa0;Brain Functional Connectivity: Application to\&amp;#xa0;ASD Diagnosis</ns0:t>
        </ns0:is>
      </ns0:c>
      <ns0:c r="C52" s="21" t="inlineStr">
        <ns0:is>
          <ns0:t>10.1007/978-3-030-93049-3_30</ns0:t>
        </ns0:is>
      </ns0:c>
      <ns0:c r="D52" s="21" t="inlineStr">
        <ns0:is>
          <ns0:t>https://doi.org/10.1007/978-3-030-93049-3_30</ns0:t>
        </ns0:is>
      </ns0:c>
      <ns0:c r="E52" s="21" t="inlineStr">
        <ns0:is>
          <ns0:t>Supplied abstract/coding notes; no new full-text verification</ns0:t>
        </ns0:is>
      </ns0:c>
      <ns0:c r="F52" s="21" t="inlineStr">
        <ns0:is>
          <ns0:t>EVIDENCIA; original abstract/coding notes and lot source trace; Historical signals: title/abstract/notes; full-text completion not independently established</ns0:t>
        </ns0:is>
      </ns0:c>
      <ns0:c r="G52" s="21" t="inlineStr">
        <ns0:is>
          <ns0:t>Functional brain-connectivity graphs are derived from resting-state fMRI; graph neural network is retained as its own family rather than Other or conventional CNN.</ns0:t>
        </ns0:is>
      </ns0:c>
      <ns0:c r="H52" s="21" t="inlineStr">
        <ns0:is>
          <ns0:t>Brain functional connectivity (BFC) built from resting-state functional magnetic resonance imaging (rs-fMRI) has shown promising results in revealing the pathological basis of neurological disorders. However, a major problem is that existing approaches tend to limit analysis to a single scale, which unmatches the truth that modern neuroscience highlights BFC as a multi-scale topological architecture. Such a narrow view does lose representation of the inherent BFC topology and would weaken its performance. To solve this issue, we propose a novel triple-pooling graph neural network (TPGNN) to learn different scales of BFC topological knowledge in a task-adaptive way. Specifically, a pooling architecture with triple branches is designed to automate BFC analysis on the global scale, community scale, and region of interest (ROI) scale, respectively. We validate the diagnostic performance of TPGNN on an open autism spectrum disorder (ASD) dataset. Experimental results demonstrate that TPGNN outperforms the alternative state-of-the-art BFC analysis methods and provides potential biomarkers of different scales to benefit neuroscience.</ns0:t>
        </ns0:is>
      </ns0:c>
      <ns0:c r="I52" s="21" t="inlineStr">
        <ns0:is>
          <ns0:t>Graph Neural Network (TPGNN) for rs-fMRI functional connectivity; mapped to Other (GNN not in list)</ns0:t>
        </ns0:is>
      </ns0:c>
      <ns0:c r="J52" s="21" t="inlineStr"/>
      <ns0:c r="K52" s="21" t="inlineStr"/>
      <ns0:c r="L52" s="21" t="inlineStr">
        <ns0:is>
          <ns0:t>Not documented in provided sources</ns0:t>
        </ns0:is>
      </ns0:c>
      <ns0:c r="M52" s="21" t="inlineStr">
        <ns0:is>
          <ns0:t>[]</ns0:t>
        </ns0:is>
      </ns0:c>
    </ns0:row>
    <ns0:row r="53" ht="93" customHeight="1">
      <ns0:c r="A53" s="19" t="inlineStr">
        <ns0:is>
          <ns0:t>51</ns0:t>
        </ns0:is>
      </ns0:c>
      <ns0:c r="B53" s="19" t="inlineStr">
        <ns0:is>
          <ns0:t>Bilinear Perceptual Fusion Algorithm Based on Brain Functional and Structural Data for ASD Diagnosis and Regions of Interest Identification</ns0:t>
        </ns0:is>
      </ns0:c>
      <ns0:c r="C53" s="19" t="inlineStr">
        <ns0:is>
          <ns0:t>10.1007/s12539-024-00651-w</ns0:t>
        </ns0:is>
      </ns0:c>
      <ns0:c r="D53" s="19" t="inlineStr">
        <ns0:is>
          <ns0:t>https://doi.org/10.1007/s12539-024-00651-w</ns0:t>
        </ns0:is>
      </ns0:c>
      <ns0:c r="E53" s="19" t="inlineStr">
        <ns0:is>
          <ns0:t>Supplied abstract/coding notes; no new full-text verification</ns0:t>
        </ns0:is>
      </ns0:c>
      <ns0:c r="F53" s="19" t="inlineStr">
        <ns0:is>
          <ns0:t>EVIDENCIA; original abstract/coding notes and lot source trace; Historical signals: title/abstract/notes; full-text completion not independently established</ns0:t>
        </ns0:is>
      </ns0:c>
      <ns0:c r="G53" s="19" t="inlineStr">
        <ns0:is>
          <ns0:t>Explicit deep graph architecture fuses structural and functional brain data; within-neuroimaging multimodal integration is retained.</ns0:t>
        </ns0:is>
      </ns0:c>
      <ns0:c r="H53" s="19" t="inlineStr">
        <ns0:is>
          <ns0: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ns0:t>
        </ns0:is>
      </ns0:c>
      <ns0:c r="I53" s="19" t="inlineStr">
        <ns0:is>
          <ns0:t>Fusión multimodal de datos cerebrales estructurales/funcionales; arquitectura GCN fuera del codebook.</ns0:t>
        </ns0:is>
      </ns0:c>
      <ns0:c r="J53" s="19" t="inlineStr"/>
      <ns0:c r="K53" s="19" t="inlineStr"/>
      <ns0:c r="L53" s="19" t="inlineStr">
        <ns0:is>
          <ns0:t>Not documented in provided sources</ns0:t>
        </ns0:is>
      </ns0:c>
      <ns0:c r="M53" s="19" t="inlineStr">
        <ns0:is>
          <ns0:t>[]</ns0:t>
        </ns0:is>
      </ns0:c>
    </ns0:row>
    <ns0:row r="54" ht="65" customHeight="1">
      <ns0:c r="A54" s="21" t="inlineStr">
        <ns0:is>
          <ns0:t>52</ns0:t>
        </ns0:is>
      </ns0:c>
      <ns0:c r="B54" s="21" t="inlineStr">
        <ns0:is>
          <ns0:t>Computer-aided diagnosis of autism spectrum disorder from EEG signals using deep learning with FAWT and multiscale permutation entropy features</ns0:t>
        </ns0:is>
      </ns0:c>
      <ns0:c r="C54" s="21" t="inlineStr">
        <ns0:is>
          <ns0:t>10.1177/09544119221141751</ns0:t>
        </ns0:is>
      </ns0:c>
      <ns0:c r="D54" s="21" t="inlineStr">
        <ns0:is>
          <ns0:t>https://doi.org/10.1177/09544119221141751</ns0:t>
        </ns0:is>
      </ns0:c>
      <ns0:c r="E54" s="21" t="inlineStr">
        <ns0:is>
          <ns0:t>Supplied abstract/coding notes; no new full-text verification</ns0:t>
        </ns0:is>
      </ns0:c>
      <ns0:c r="F54" s="21" t="inlineStr">
        <ns0:is>
          <ns0:t>EVIDENCIA; original abstract/coding notes and lot source trace; Historical signals: title/abstract/notes; full-text completion not independently established</ns0:t>
        </ns0:is>
      </ns0:c>
      <ns0:c r="G54" s="21" t="inlineStr">
        <ns0:is>
          <ns0:t>EEG wavelet and entropy preprocessing followed by CNN; comparison with conventional classifiers is not an integrated ML-DL hybrid or demonstrated clinician use.</ns0:t>
        </ns0:is>
      </ns0:c>
      <ns0:c r="H54" s="21" t="inlineStr">
        <ns0:is>
          <ns0: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ns0:t>
        </ns0:is>
      </ns0:c>
      <ns0:c r="I54" s="21" t="inlineStr"/>
      <ns0:c r="J54" s="21" t="inlineStr"/>
      <ns0:c r="K54" s="21" t="inlineStr"/>
      <ns0:c r="L54" s="21" t="inlineStr">
        <ns0:is>
          <ns0:t>Not documented in provided sources</ns0:t>
        </ns0:is>
      </ns0:c>
      <ns0:c r="M54" s="21" t="inlineStr">
        <ns0:is>
          <ns0:t>[]</ns0:t>
        </ns0:is>
      </ns0:c>
    </ns0:row>
    <ns0:row r="55" ht="93" customHeight="1">
      <ns0:c r="A55" s="19" t="inlineStr">
        <ns0:is>
          <ns0:t>53</ns0:t>
        </ns0:is>
      </ns0:c>
      <ns0:c r="B55" s="19" t="inlineStr">
        <ns0:is>
          <ns0:t>Development and validation of a machine learning-based tool to predict autism among children</ns0:t>
        </ns0:is>
      </ns0:c>
      <ns0:c r="C55" s="19" t="inlineStr">
        <ns0:is>
          <ns0:t>10.1002/aur.2912</ns0:t>
        </ns0:is>
      </ns0:c>
      <ns0:c r="D55" s="19" t="inlineStr">
        <ns0:is>
          <ns0:t>https://doi.org/10.1002/aur.2912</ns0:t>
        </ns0:is>
      </ns0:c>
      <ns0:c r="E55" s="19" t="inlineStr">
        <ns0:is>
          <ns0:t>Supplied abstract/coding notes; no new full-text verification</ns0:t>
        </ns0:is>
      </ns0:c>
      <ns0:c r="F55" s="19" t="inlineStr">
        <ns0:is>
          <ns0:t>EVIDENCIA; original abstract/coding notes and lot source trace; Historical signals: title/abstract/notes; full-text completion not independently established</ns0:t>
        </ns0:is>
      </ns0:c>
      <ns0:c r="G55" s="19" t="inlineStr">
        <ns0:is>
          <ns0:t>Linked maternal and infant administrative records predict later ASD; not a contemporaneous diagnostic or deployed clinical tool.</ns0:t>
        </ns0:is>
      </ns0:c>
      <ns0:c r="H55" s="19" t="inlineStr">
        <ns0:is>
          <ns0: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ns0:t>
        </ns0:is>
      </ns0:c>
      <ns0:c r="I55" s="19" t="inlineStr">
        <ns0:is>
          <ns0:t>También entrenan Gradient Boosted Trees (XGBoost/GBDT) y reportan desempeño comparable en validación.</ns0:t>
        </ns0:is>
      </ns0:c>
      <ns0:c r="J55" s="19" t="inlineStr"/>
      <ns0:c r="K55" s="19" t="inlineStr"/>
      <ns0:c r="L55" s="19" t="inlineStr">
        <ns0:is>
          <ns0:t>Not documented in provided sources</ns0:t>
        </ns0:is>
      </ns0:c>
      <ns0:c r="M55" s="19" t="inlineStr">
        <ns0:is>
          <ns0:t>[]</ns0:t>
        </ns0:is>
      </ns0:c>
    </ns0:row>
    <ns0:row r="56" ht="65" customHeight="1">
      <ns0:c r="A56" s="21" t="inlineStr">
        <ns0:is>
          <ns0:t>54</ns0:t>
        </ns0:is>
      </ns0:c>
      <ns0:c r="B56" s="21" t="inlineStr">
        <ns0:is>
          <ns0:t>Diagnostic classification of intrinsic functional connectivity highlights somatosensory, default mode, and visual regions in autism</ns0:t>
        </ns0:is>
      </ns0:c>
      <ns0:c r="C56" s="21" t="inlineStr">
        <ns0:is>
          <ns0:t>10.1016/j.nicl.2015.04.002</ns0:t>
        </ns0:is>
      </ns0:c>
      <ns0:c r="D56" s="21" t="inlineStr">
        <ns0:is>
          <ns0:t>https://doi.org/10.1016/j.nicl.2015.04.002</ns0:t>
        </ns0:is>
      </ns0:c>
      <ns0:c r="E56" s="21" t="inlineStr">
        <ns0:is>
          <ns0:t>Supplied abstract/coding notes; no new full-text verification</ns0:t>
        </ns0:is>
      </ns0:c>
      <ns0:c r="F56" s="21" t="inlineStr">
        <ns0:is>
          <ns0:t>EVIDENCIA; original abstract/coding notes and lot source trace; Historical signals: title/abstract/notes; full-text completion not independently established</ns0:t>
        </ns0:is>
      </ns0:c>
      <ns0:c r="G56" s="21" t="inlineStr">
        <ns0:is>
          <ns0:t>ABIDE resting-state fMRI classification. Identification of informative functional connections provides partial interpretability; multisite data alone are not cross-site testing.</ns0:t>
        </ns0:is>
      </ns0:c>
      <ns0:c r="H56" s="21" t="inlineStr">
        <ns0:is>
          <ns0: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ns0:t>
        </ns0:is>
      </ns0:c>
      <ns0:c r="I56" s="21" t="inlineStr"/>
      <ns0:c r="J56" s="21" t="inlineStr"/>
      <ns0:c r="K56" s="21" t="inlineStr"/>
      <ns0:c r="L56" s="21" t="inlineStr">
        <ns0:is>
          <ns0:t>Not documented in provided sources</ns0:t>
        </ns0:is>
      </ns0:c>
      <ns0:c r="M56" s="21" t="inlineStr">
        <ns0:is>
          <ns0:t>[]</ns0:t>
        </ns0:is>
      </ns0:c>
    </ns0:row>
    <ns0:row r="57" ht="65" customHeight="1">
      <ns0:c r="A57" s="19" t="inlineStr">
        <ns0:is>
          <ns0:t>56</ns0:t>
        </ns0:is>
      </ns0:c>
      <ns0:c r="B57" s="19" t="inlineStr">
        <ns0:is>
          <ns0:t>Epigenomic signatures reveal mechanistic clues and predictive markers for autism spectrum disorder</ns0:t>
        </ns0:is>
      </ns0:c>
      <ns0:c r="C57" s="19" t="inlineStr">
        <ns0:is>
          <ns0:t>10.1038/s41380-022-01917-9</ns0:t>
        </ns0:is>
      </ns0:c>
      <ns0:c r="D57" s="19" t="inlineStr">
        <ns0:is>
          <ns0:t>https://doi.org/10.1038/s41380-022-01917-9</ns0:t>
        </ns0:is>
      </ns0:c>
      <ns0:c r="E57" s="19" t="inlineStr">
        <ns0:is>
          <ns0:t>Supplied abstract/coding notes; no new full-text verification</ns0:t>
        </ns0:is>
      </ns0:c>
      <ns0:c r="F57" s="19" t="inlineStr">
        <ns0:is>
          <ns0:t>EVIDENCIA; original abstract/coding notes and lot source trace; Historical signals: title/abstract/notes; full-text completion not independently established</ns0:t>
        </ns0:is>
      </ns0:c>
      <ns0:c r="G57" s="19" t="inlineStr">
        <ns0:is>
          <ns0:t>Narrative synthesis of epigenomic signatures and anticipated future ML applications, not an original evaluated AI method.</ns0:t>
        </ns0:is>
      </ns0:c>
      <ns0:c r="H57" s="19" t="inlineStr">
        <ns0:is>
          <ns0:t>Autism spectrum disorder (ASD) comprises a heterogeneous group of neurodevelopmental outcomes in children with a commonality in deficits in social communication and language combined with repetitive behaviors and interests. The etiology of ASD is heterogeneous, as several hundred genes have been implicated as well as multiple in utero environmental exposures. Over the past two decades, epigenetic investigations, including DNA methylation, have emerged as a novel way to capture the complex interface of multivariate ASD etiologies. More recently, epigenome-wide association studies using human brain and surrogate accessible tissues have revealed some convergent genes that are epigenetically altered in ASD, many of which overlap with known genetic risk factors. Unlike transcriptomes, epigenomic signatures defined by DNA methylation from surrogate tissues such as placenta and cord blood can reflect past differences in fetal brain gene transcription, transcription factor binding, and chromatin. For example, the discovery of NHIP (neuronal hypoxia inducible, placenta associated) through an epigenome-wide association in placenta, identified a common genetic risk for ASD that was modified by prenatal vitamin use. While epigenomic signatures are distinct between different genetic syndromic causes of ASD, bivalent chromatin and some convergent gene pathways are consistently epigenetically altered in both syndromic and idiopathic ASD, as well as some environmental exposures. Together, these epigenomic signatures hold promising clues towards improved early prediction and prevention of ASD as well genes and gene pathways to target for pharmacological interventions. Future advancements in single cell and multi-omic technologies, machine learning, as well as non-invasive screening of epigenomic signatures during pregnancy or newborn periods are expected to continue to impact the translatability of the recent discoveries in epigenomics to precision public health.</ns0:t>
        </ns0:is>
      </ns0:c>
      <ns0:c r="I57" s="19" t="inlineStr">
        <ns0:is>
          <ns0:t>Sin señal explícita Q3 en título/abstract.</ns0:t>
        </ns0:is>
      </ns0:c>
      <ns0:c r="J57" s="19" t="inlineStr"/>
      <ns0:c r="K57" s="19" t="inlineStr"/>
      <ns0:c r="L57" s="19" t="inlineStr">
        <ns0:is>
          <ns0:t>Not documented in provided sources</ns0:t>
        </ns0:is>
      </ns0:c>
      <ns0:c r="M57" s="19" t="inlineStr">
        <ns0:is>
          <ns0:t>[]</ns0:t>
        </ns0:is>
      </ns0:c>
    </ns0:row>
    <ns0:row r="58" ht="153" customHeight="1">
      <ns0:c r="A58" s="21" t="inlineStr">
        <ns0:is>
          <ns0:t>57</ns0:t>
        </ns0:is>
      </ns0:c>
      <ns0:c r="B58" s="21" t="inlineStr">
        <ns0:is>
          <ns0:t>Evaluation and benchmarking of hybrid machine learning models for autism spectrum disorder diagnosis using a 2-tuple linguistic neutrosophic fuzzy sets-based decision-making model</ns0:t>
        </ns0:is>
      </ns0:c>
      <ns0:c r="C58" s="21" t="inlineStr">
        <ns0:is>
          <ns0:t>10.1007/s00521-024-09905-6</ns0:t>
        </ns0:is>
      </ns0:c>
      <ns0:c r="D58" s="21" t="inlineStr">
        <ns0:is>
          <ns0:t>https://doi.org/10.1007/s00521-024-09905-6</ns0:t>
        </ns0:is>
      </ns0:c>
      <ns0:c r="E58" s="21" t="inlineStr">
        <ns0:is>
          <ns0:t>Supplied abstract/coding notes; no new full-text verification</ns0:t>
        </ns0:is>
      </ns0:c>
      <ns0:c r="F58" s="21" t="inlineStr">
        <ns0:is>
          <ns0:t>EVIDENCIA; original abstract/coding notes and lot source trace; Historical signals: title/abstract/notes; full-text completion not independently established</ns0:t>
        </ns0:is>
      </ns0:c>
      <ns0:c r="G58" s="21" t="inlineStr">
        <ns0:is>
          <ns0:t>Linguistic neutrosophic sets are the ranking representation, not patient natural-language inputs. Empirical data comprise medical and sociodemographic variables.</ns0:t>
        </ns0:is>
      </ns0:c>
      <ns0:c r="H58" s="21" t="inlineStr">
        <ns0:is>
          <ns0: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ns0:t>
        </ns0:is>
      </ns0:c>
      <ns0:c r="I58" s="21" t="inlineStr">
        <ns0:is>
          <ns0:t>Algoritmo principal no explícito o fuera del codebook; Confirmar algoritmo principal en full-text; Se comparan varios modelos; se eligió el principal/mejor reportado</ns0:t>
        </ns0:is>
      </ns0:c>
      <ns0:c r="J58" s="21" t="inlineStr"/>
      <ns0:c r="K58" s="21" t="inlineStr"/>
      <ns0:c r="L58" s="21" t="inlineStr">
        <ns0:is>
          <ns0:t>Not documented in provided sources</ns0:t>
        </ns0:is>
      </ns0:c>
      <ns0:c r="M58" s="21" t="inlineStr">
        <ns0:is>
          <ns0:t>[]</ns0:t>
        </ns0:is>
      </ns0:c>
    </ns0:row>
    <ns0:row r="59" ht="65" customHeight="1">
      <ns0:c r="A59" s="19" t="inlineStr">
        <ns0:is>
          <ns0:t>58</ns0:t>
        </ns0:is>
      </ns0:c>
      <ns0:c r="B59" s="19" t="inlineStr">
        <ns0:is>
          <ns0:t>Event Related Potential Analysis Using Machine Learning to Predict Diagnostic Outcome of Autism Spectrum Disorder</ns0:t>
        </ns0:is>
      </ns0:c>
      <ns0:c r="C59" s="19" t="inlineStr">
        <ns0:is>
          <ns0:t>10.1007/978-3-030-88163-4_7</ns0:t>
        </ns0:is>
      </ns0:c>
      <ns0:c r="D59" s="19" t="inlineStr">
        <ns0:is>
          <ns0:t>https://doi.org/10.1007/978-3-030-88163-4_7</ns0:t>
        </ns0:is>
      </ns0:c>
      <ns0:c r="E59" s="19" t="inlineStr">
        <ns0:is>
          <ns0:t>Supplied abstract/coding notes; no new full-text verification</ns0:t>
        </ns0:is>
      </ns0:c>
      <ns0:c r="F59" s="19" t="inlineStr">
        <ns0:is>
          <ns0:t>EVIDENCIA; original abstract/coding notes and lot source trace; Historical signals: title/abstract/notes; full-text completion not independently established</ns0:t>
        </ns0:is>
      </ns0:c>
      <ns0:c r="G59" s="19" t="inlineStr">
        <ns0:is>
          <ns0:t>Six-month infant EEG event-related potentials predict subsequent diagnostic outcome; visual stimuli are not image inputs to the model.</ns0:t>
        </ns0:is>
      </ns0:c>
      <ns0:c r="H59" s="19" t="inlineStr">
        <ns0:is>
          <ns0:t>dentifying diagnostic biomarkers for autism spectrum disorder (ASD) is one of the challenges in autism research today. Recent studies using visual Event Related Potentials (ERPs) have identified abnormal patterns of brain activity in high-risk infants who go onto ASD diagnosis. In this study, we used well-established ERP components related to face processing. Features of these ERPs were used to explore the performance of machine learning algorithms in classifying ASD diagnostic outcomes. Data were used from the EEG Integrated Platform (EEG-IP). ERPs were recorded from six-months infants in response to static faces that dynamically changed between direct and averted eye gaze. Amplitude and latency measures of prominent ERP peaks including P100, N290 and P400 were derived across five scalp regions. Difference Scores between stimulus conditions (direct versus indirect eye gaze, toward versus away and face versus noise) were considered. Features were selected by weight correlation and used as inputs to three classifiers: k-Nearest Neighbor, Support Vector machines and Decision tree. Performance of these classifiers was compared. The results showed that the Decision tree classifier had the greatest average accuracy rate of 78.09% in classifying ASD diagnosis in high-risk infants.</ns0:t>
        </ns0:is>
      </ns0:c>
      <ns0:c r="I59" s="19" t="inlineStr"/>
      <ns0:c r="J59" s="19" t="inlineStr"/>
      <ns0:c r="K59" s="19" t="inlineStr"/>
      <ns0:c r="L59" s="19" t="inlineStr">
        <ns0:is>
          <ns0:t>Not documented in provided sources</ns0:t>
        </ns0:is>
      </ns0:c>
      <ns0:c r="M59" s="19" t="inlineStr">
        <ns0:is>
          <ns0:t>[]</ns0:t>
        </ns0:is>
      </ns0:c>
    </ns0:row>
    <ns0:row r="60" ht="65" customHeight="1">
      <ns0:c r="A60" s="21" t="inlineStr">
        <ns0:is>
          <ns0:t>59</ns0:t>
        </ns0:is>
      </ns0:c>
      <ns0:c r="B60" s="21" t="inlineStr">
        <ns0:is>
          <ns0:t>Functional Connectivities Are More Informative Than Anatomical Variables in Diagnostic Classification of Autism</ns0:t>
        </ns0:is>
      </ns0:c>
      <ns0:c r="C60" s="21" t="inlineStr">
        <ns0:is>
          <ns0:t>10.1089/brain.2019.0689</ns0:t>
        </ns0:is>
      </ns0:c>
      <ns0:c r="D60" s="21" t="inlineStr">
        <ns0:is>
          <ns0:t>https://doi.org/10.1089/brain.2019.0689</ns0:t>
        </ns0:is>
      </ns0:c>
      <ns0:c r="E60" s="21" t="inlineStr">
        <ns0:is>
          <ns0:t>Supplied abstract/coding notes; no new full-text verification</ns0:t>
        </ns0:is>
      </ns0:c>
      <ns0:c r="F60" s="21" t="inlineStr">
        <ns0:is>
          <ns0:t>EVIDENCIA; original abstract/coding notes and lot source trace; Historical signals: title/abstract/notes; full-text completion not independently established</ns0:t>
        </ns0:is>
      </ns0:c>
      <ns0:c r="G60" s="21" t="inlineStr">
        <ns0:is>
          <ns0:t>Diagnostic comparison and explicit fusion of anatomical MRI, DWI and functional MRI; not monitoring or intervention.</ns0:t>
        </ns0:is>
      </ns0:c>
      <ns0:c r="H60" s="21" t="inlineStr">
        <ns0:is>
          <ns0:t>Machine learning techniques have been implemented to reveal brain features that distinguish people with autism spectrum disorders (ASDs) from typically developing (TD) peers. However, it remains unknown whether different neuroimaging modalities are equally informative for diagnostic classification. We combined anatomical magnetic resonance imaging (aMRI), diffusion weighted imaging (DWI), and functional connectivity MRI (fcMRI) using conditional random forest (CRF) for supervised learning to compare how informative each modality was in diagnostic classification. In-house data (N = 93) included 47 TD and 46 ASD participants, matched on age, motion, and nonverbal IQ. Four main analyses consistently indicated that fcMRI variables were significantly more informative than anatomical variables from aMRI and DWI. This was found (1) when the top 100 variables from CRF (run separately in each modality) were combined for multimodal CRF; (2) when only 19 top variables reaching &gt;67% accuracy in each modality were combined in multimodal CRF; and (3) when the large number of initial variables (before dimension reduction) potentially biasing comparisons in favor of fcMRI was reduced using a less granular region of interest scheme. Consistent superiority of fcMRI was even found (4) when 100 variables per modality were randomly selected, removing any such potential bias. Greater informative value of functional than anatomical modalities may relate to the nature of fcMRI data, reflecting more closely behavioral condition, which is also the basis of diagnosis, whereas brain anatomy may be more reflective of neurodevelopmental history.</ns0:t>
        </ns0:is>
      </ns0:c>
      <ns0:c r="I60" s="21" t="inlineStr"/>
      <ns0:c r="J60" s="21" t="inlineStr"/>
      <ns0:c r="K60" s="21" t="inlineStr"/>
      <ns0:c r="L60" s="21" t="inlineStr">
        <ns0:is>
          <ns0:t>Not documented in provided sources</ns0:t>
        </ns0:is>
      </ns0:c>
      <ns0:c r="M60" s="21" t="inlineStr">
        <ns0:is>
          <ns0:t>[]</ns0:t>
        </ns0:is>
      </ns0:c>
    </ns0:row>
    <ns0:row r="61" ht="105" customHeight="1">
      <ns0:c r="A61" s="19" t="inlineStr">
        <ns0:is>
          <ns0:t>60</ns0:t>
        </ns0:is>
      </ns0:c>
      <ns0:c r="B61" s="19" t="inlineStr">
        <ns0:is>
          <ns0:t>Hyperuricemia and Metabolic Adverse Effect in Children and Adolescents with Autism Spectrum Disorder Treated with Risperidone</ns0:t>
        </ns0:is>
      </ns0:c>
      <ns0:c r="C61" s="19" t="inlineStr">
        <ns0:is>
          <ns0:t>10.1016/j.eurpsy.2017.02.198</ns0:t>
        </ns0:is>
      </ns0:c>
      <ns0:c r="D61" s="19" t="inlineStr">
        <ns0:is>
          <ns0:t>https://doi.org/10.1016/j.eurpsy.2017.02.198</ns0:t>
        </ns0:is>
      </ns0:c>
      <ns0:c r="E61" s="19" t="inlineStr">
        <ns0:is>
          <ns0:t>Supplied abstract/coding notes; no new full-text verification</ns0:t>
        </ns0:is>
      </ns0:c>
      <ns0:c r="F61" s="19" t="inlineStr">
        <ns0:is>
          <ns0:t>EVIDENCIA; original abstract/coding notes and lot source trace; Historical signals: title/abstract/notes; full-text completion not independently established</ns0:t>
        </ns0:is>
      </ns0:c>
      <ns0:c r="G61" s="19" t="inlineStr">
        <ns0:is>
          <ns0:t>Cross-sectional biochemical adverse-effect prevalence/correlation study, with no computational predictive model in the supplied report description.</ns0:t>
        </ns0:is>
      </ns0:c>
      <ns0:c r="H61" s="19" t="inlineStr">
        <ns0:is>
          <ns0: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ns0:t>
        </ns0:is>
      </ns0:c>
      <ns0:c r="I61" s="19" t="inlineStr">
        <ns0:is>
          <ns0:t>Estudio principalmente clínico/estadístico sobre efectos metabólicos de risperidona; relevancia de IA ambigua.</ns0:t>
        </ns0:is>
      </ns0:c>
      <ns0:c r="J61" s="19" t="inlineStr"/>
      <ns0:c r="K61" s="19" t="inlineStr"/>
      <ns0:c r="L61" s="19" t="inlineStr">
        <ns0:is>
          <ns0:t>Not documented in provided sources</ns0:t>
        </ns0:is>
      </ns0:c>
      <ns0:c r="M61" s="19" t="inlineStr">
        <ns0:is>
          <ns0:t>[]</ns0:t>
        </ns0:is>
      </ns0:c>
    </ns0:row>
    <ns0:row r="62" ht="65" customHeight="1">
      <ns0:c r="A62" s="21" t="inlineStr">
        <ns0:is>
          <ns0:t>61</ns0:t>
        </ns0:is>
      </ns0:c>
      <ns0:c r="B62" s="21" t="inlineStr">
        <ns0:is>
          <ns0:t>Identifying Visual Attention Features Accurately Discerning Between Autism and Typically Developing: a Deep Learning Framework</ns0:t>
        </ns0:is>
      </ns0:c>
      <ns0:c r="C62" s="21" t="inlineStr">
        <ns0:is>
          <ns0:t>10.1007/s12539-022-00510-6</ns0:t>
        </ns0:is>
      </ns0:c>
      <ns0:c r="D62" s="21" t="inlineStr">
        <ns0:is>
          <ns0:t>https://doi.org/10.1007/s12539-022-00510-6</ns0:t>
        </ns0:is>
      </ns0:c>
      <ns0:c r="E62" s="21" t="inlineStr">
        <ns0:is>
          <ns0:t>Supplied abstract/coding notes; no new full-text verification</ns0:t>
        </ns0:is>
      </ns0:c>
      <ns0:c r="F62" s="21" t="inlineStr">
        <ns0:is>
          <ns0:t>EVIDENCIA; original abstract/coding notes and lot source trace; Historical signals: title/abstract/notes; full-text completion not independently established</ns0:t>
        </ns0:is>
      </ns0:c>
      <ns0:c r="G62" s="21" t="inlineStr">
        <ns0:is>
          <ns0:t>Visual-attention classification and explicit feature-dissection by segmentation and image ablation. No longitudinal intervention was evaluated.</ns0:t>
        </ns0:is>
      </ns0:c>
      <ns0:c r="H62" s="21" t="inlineStr">
        <ns0:is>
          <ns0:t>Atypical visual attention is a hallmark of autism spectrum disorder (ASD). Identifying the attention features accurately discerning between people with ASD and typically developing (TD) at the individual level remains a challenge. In this study, we developed a new systematic framework combining high accuracy deep learning classification, deep learning segmentation, image ablation and a direct measurement of classification ability to identify the discriminative features for autism identification. Our two-stream model achieved the state-of-the-art performance with a classification accuracy of 0.95. Using this framework, two new categories of features, Food &amp; drink and Outdoor-objects, were identified as discriminative attention features, in addition to the previously reported features including Center-object and Human-faces, etc. Altered attention to the new categories helps to understand related atypical behaviors in ASD. Importantly, the area under curve (AUC) based on the combined top-9 features identified in this study was 0.92, allowing an accurate classification at the individual level. We also obtained a small but informative dataset of 12 images with an AUC of 0.86, suggesting a potentially efficient approach for the clinical diagnosis of ASD. Together, our deep learning framework based on VGG-16 provides a novel and powerful tool to recognize and understand abnormal visual attention in ASD, which will, in turn, facilitate the identification of biomarkers for ASD. Graphical abstract: [Figure not available: see fulltext.].</ns0:t>
        </ns0:is>
      </ns0:c>
      <ns0:c r="I62" s="21" t="inlineStr"/>
      <ns0:c r="J62" s="21" t="inlineStr"/>
      <ns0:c r="K62" s="21" t="inlineStr"/>
      <ns0:c r="L62" s="21" t="inlineStr">
        <ns0:is>
          <ns0:t>Not documented in provided sources</ns0:t>
        </ns0:is>
      </ns0:c>
      <ns0:c r="M62" s="21" t="inlineStr">
        <ns0:is>
          <ns0:t>[]</ns0:t>
        </ns0:is>
      </ns0:c>
    </ns0:row>
    <ns0:row r="63" ht="105" customHeight="1">
      <ns0:c r="A63" s="19" t="inlineStr">
        <ns0:is>
          <ns0:t>62</ns0:t>
        </ns0:is>
      </ns0:c>
      <ns0:c r="B63" s="19" t="inlineStr">
        <ns0:is>
          <ns0:t>Impact of DRD2 polymorphisms on prolactin level in risperidone-treated Thai children and adolescent with autism spectrum disorders</ns0:t>
        </ns0:is>
      </ns0:c>
      <ns0:c r="C63" s="19" t="inlineStr">
        <ns0:is>
          <ns0:t>10.1016/j.eurpsy.2016.01.060</ns0:t>
        </ns0:is>
      </ns0:c>
      <ns0:c r="D63" s="19" t="inlineStr">
        <ns0:is>
          <ns0:t>https://doi.org/10.1016/j.eurpsy.2016.01.060</ns0:t>
        </ns0:is>
      </ns0:c>
      <ns0:c r="E63" s="19" t="inlineStr">
        <ns0:is>
          <ns0:t>Supplied abstract/coding notes; no new full-text verification</ns0:t>
        </ns0:is>
      </ns0:c>
      <ns0:c r="F63" s="19" t="inlineStr">
        <ns0:is>
          <ns0:t>EVIDENCIA; original abstract/coding notes and lot source trace; Historical signals: title/abstract/notes; full-text completion not independently established</ns0:t>
        </ns0:is>
      </ns0:c>
      <ns0:c r="G63" s="19" t="inlineStr">
        <ns0:is>
          <ns0:t>Pharmacogenetic group comparison of prolactin; reported PCR genotyping and inferential tests do not establish ML.</ns0:t>
        </ns0:is>
      </ns0:c>
      <ns0:c r="H63" s="19" t="inlineStr">
        <ns0:is>
          <ns0: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ns0:t>
        </ns0:is>
      </ns0:c>
      <ns0:c r="I63" s="19" t="inlineStr">
        <ns0:is>
          <ns0:t>Estudio farmacogenético de prolactina en tratamiento con risperidona; uso de IA/ML no claramente descrito.</ns0:t>
        </ns0:is>
      </ns0:c>
      <ns0:c r="J63" s="19" t="inlineStr"/>
      <ns0:c r="K63" s="19" t="inlineStr"/>
      <ns0:c r="L63" s="19" t="inlineStr">
        <ns0:is>
          <ns0:t>Not documented in provided sources</ns0:t>
        </ns0:is>
      </ns0:c>
      <ns0:c r="M63" s="19" t="inlineStr">
        <ns0:is>
          <ns0:t>[]</ns0:t>
        </ns0:is>
      </ns0:c>
    </ns0:row>
    <ns0:row r="64" ht="93" customHeight="1">
      <ns0:c r="A64" s="21" t="inlineStr">
        <ns0:is>
          <ns0:t>63</ns0:t>
        </ns0:is>
      </ns0:c>
      <ns0:c r="B64" s="21" t="inlineStr">
        <ns0:is>
          <ns0:t>Improving fMRI-Based Autism Severity Identification via Brain Network Distance and Adaptive Label Distribution Learning</ns0:t>
        </ns0:is>
      </ns0:c>
      <ns0:c r="C64" s="21" t="inlineStr">
        <ns0:is>
          <ns0:t>10.1109/tnsre.2024.3516216</ns0:t>
        </ns0:is>
      </ns0:c>
      <ns0:c r="D64" s="21" t="inlineStr">
        <ns0:is>
          <ns0:t>https://doi.org/10.1109/tnsre.2024.3516216</ns0:t>
        </ns0:is>
      </ns0:c>
      <ns0:c r="E64" s="21" t="inlineStr">
        <ns0:is>
          <ns0:t>Supplied abstract/coding notes; no new full-text verification</ns0:t>
        </ns0:is>
      </ns0:c>
      <ns0:c r="F64" s="21" t="inlineStr">
        <ns0:is>
          <ns0:t>EVIDENCIA; original abstract/coding notes and lot source trace; Historical signals: title/abstract/notes; full-text completion not independently established</ns0:t>
        </ns0:is>
      </ns0:c>
      <ns0:c r="G64" s="21" t="inlineStr">
        <ns0:is>
          <ns0:t>Current symptom-severity identification from fMRI, not prediction of future course. The named method is retained rather than forcing it into an unsupported MLP family.</ns0:t>
        </ns0:is>
      </ns0:c>
      <ns0:c r="H64" s="21" t="inlineStr">
        <ns0:is>
          <ns0: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ns0:t>
        </ns0:is>
      </ns0:c>
      <ns0:c r="I64" s="21" t="inlineStr">
        <ns0:is>
          <ns0:t>Algoritmo principal no explícito o fuera del codebook; Confirmar algoritmo principal en full-text</ns0:t>
        </ns0:is>
      </ns0:c>
      <ns0:c r="J64" s="21" t="inlineStr"/>
      <ns0:c r="K64" s="21" t="inlineStr"/>
      <ns0:c r="L64" s="21" t="inlineStr">
        <ns0:is>
          <ns0:t>Not documented in provided sources</ns0:t>
        </ns0:is>
      </ns0:c>
      <ns0:c r="M64" s="21" t="inlineStr">
        <ns0:is>
          <ns0:t>[]</ns0:t>
        </ns0:is>
      </ns0:c>
    </ns0:row>
    <ns0:row r="65" ht="105" customHeight="1">
      <ns0:c r="A65" s="19" t="inlineStr">
        <ns0:is>
          <ns0:t>64</ns0:t>
        </ns0:is>
      </ns0:c>
      <ns0:c r="B65" s="19" t="inlineStr">
        <ns0:is>
          <ns0:t>Leveraging hybrid model of ConvNextBase and LightGBM for early ASD detection via eye-gaze analysis</ns0:t>
        </ns0:is>
      </ns0:c>
      <ns0:c r="C65" s="19" t="inlineStr">
        <ns0:is>
          <ns0:t>10.1016/j.mex.2025.103166</ns0:t>
        </ns0:is>
      </ns0:c>
      <ns0:c r="D65" s="19" t="inlineStr">
        <ns0:is>
          <ns0:t>https://doi.org/10.1016/j.mex.2025.103166</ns0:t>
        </ns0:is>
      </ns0:c>
      <ns0:c r="E65" s="19" t="inlineStr">
        <ns0:is>
          <ns0:t>Supplied abstract/coding notes; no new full-text verification</ns0:t>
        </ns0:is>
      </ns0:c>
      <ns0:c r="F65" s="19" t="inlineStr">
        <ns0:is>
          <ns0:t>EVIDENCIA; original abstract/coding notes and lot source trace; Historical signals: title/abstract/notes; full-text completion not independently established</ns0:t>
        </ns0:is>
      </ns0:c>
      <ns0:c r="G65" s="19" t="inlineStr">
        <ns0:is>
          <ns0:t>True neural feature extractor plus conventional boosted-tree classifier; public eye-gaze image benchmark, not clinical screening deployment.</ns0:t>
        </ns0:is>
      </ns0:c>
      <ns0:c r="H65" s="19" t="inlineStr">
        <ns0:is>
          <ns0: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ns0:t>
        </ns0:is>
      </ns0:c>
      <ns0:c r="I65" s="19" t="inlineStr">
        <ns0:is>
          <ns0:t>Es un híbrido: ConvNeXtBase (CNN) como extractor de características + LightGBM (GBDT) como clasificador.</ns0:t>
        </ns0:is>
      </ns0:c>
      <ns0:c r="J65" s="19" t="inlineStr"/>
      <ns0:c r="K65" s="19" t="inlineStr"/>
      <ns0:c r="L65" s="19" t="inlineStr">
        <ns0:is>
          <ns0:t>Not documented in provided sources</ns0:t>
        </ns0:is>
      </ns0:c>
      <ns0:c r="M65" s="19" t="inlineStr">
        <ns0:is>
          <ns0:t>[]</ns0:t>
        </ns0:is>
      </ns0:c>
    </ns0:row>
    <ns0:row r="66" ht="93" customHeight="1">
      <ns0:c r="A66" s="21" t="inlineStr">
        <ns0:is>
          <ns0:t>65</ns0:t>
        </ns0:is>
      </ns0:c>
      <ns0:c r="B66" s="21" t="inlineStr">
        <ns0:is>
          <ns0:t>Modified Grasshopper Optimization Algorithm for detection of Autism Spectrum Disorder</ns0:t>
        </ns0:is>
      </ns0:c>
      <ns0:c r="C66" s="21" t="inlineStr">
        <ns0:is>
          <ns0:t>10.1016/j.phycom.2020.101115</ns0:t>
        </ns0:is>
      </ns0:c>
      <ns0:c r="D66" s="21" t="inlineStr">
        <ns0:is>
          <ns0:t>https://doi.org/10.1016/j.phycom.2020.101115</ns0:t>
        </ns0:is>
      </ns0:c>
      <ns0:c r="E66" s="21" t="inlineStr">
        <ns0:is>
          <ns0:t>Supplied abstract/coding notes; no new full-text verification</ns0:t>
        </ns0:is>
      </ns0:c>
      <ns0:c r="F66" s="21" t="inlineStr">
        <ns0:is>
          <ns0:t>EVIDENCIA; original abstract/coding notes and lot source trace; Historical signals: title/abstract/notes; full-text completion not independently established</ns0:t>
        </ns0:is>
      </ns0:c>
      <ns0:c r="G66" s="21" t="inlineStr">
        <ns0:is>
          <ns0:t>Three age-specific questionnaire screening datasets; repeated model evaluation on different cohorts does not establish external validation or fused data.</ns0:t>
        </ns0:is>
      </ns0:c>
      <ns0:c r="H66" s="21" t="inlineStr">
        <ns0:is>
          <ns0: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ns0:t>
        </ns0:is>
      </ns0:c>
      <ns0:c r="I66" s="21" t="inlineStr">
        <ns0:is>
          <ns0:t>Algoritmo principal no explícito o fuera del codebook; Confirmar algoritmo principal en full-text</ns0:t>
        </ns0:is>
      </ns0:c>
      <ns0:c r="J66" s="21" t="inlineStr"/>
      <ns0:c r="K66" s="21" t="inlineStr"/>
      <ns0:c r="L66" s="21" t="inlineStr">
        <ns0:is>
          <ns0:t>Not documented in provided sources</ns0:t>
        </ns0:is>
      </ns0:c>
      <ns0:c r="M66" s="21" t="inlineStr">
        <ns0:is>
          <ns0:t>[]</ns0:t>
        </ns0:is>
      </ns0:c>
    </ns0:row>
    <ns0:row r="67" ht="105" customHeight="1">
      <ns0:c r="A67" s="19" t="inlineStr">
        <ns0:is>
          <ns0:t>66</ns0:t>
        </ns0:is>
      </ns0:c>
      <ns0:c r="B67" s="19" t="inlineStr">
        <ns0:is>
          <ns0:t>Motor Signature Differences Between Autism Spectrum Disorder and Developmental Coordination Disorder, and Their Neural Mechanisms</ns0:t>
        </ns0:is>
      </ns0:c>
      <ns0:c r="C67" s="19" t="inlineStr">
        <ns0:is>
          <ns0:t>10.1007/s10803-023-06171-8</ns0:t>
        </ns0:is>
      </ns0:c>
      <ns0:c r="D67" s="19" t="inlineStr">
        <ns0:is>
          <ns0:t>https://doi.org/10.1007/s10803-023-06171-8</ns0:t>
        </ns0:is>
      </ns0:c>
      <ns0:c r="E67" s="19" t="inlineStr">
        <ns0:is>
          <ns0:t>Supplied abstract/coding notes; no new full-text verification</ns0:t>
        </ns0:is>
      </ns0:c>
      <ns0:c r="F67" s="19" t="inlineStr">
        <ns0:is>
          <ns0:t>EVIDENCIA; original abstract/coding notes and lot source trace; Historical signals: title/abstract/notes; full-text completion not independently established</ns0:t>
        </ns0:is>
      </ns0:c>
      <ns0:c r="G67" s="19" t="inlineStr">
        <ns0:is>
          <ns0:t>Tablet movement classification with ancillary fMRI correlations; principal prediction uses kinematics, not a demonstrated multimodal fused network.</ns0:t>
        </ns0:is>
      </ns0:c>
      <ns0:c r="H67" s="19" t="inlineStr">
        <ns0:is>
          <ns0: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ns0:t>
        </ns0:is>
      </ns0:c>
      <ns0:c r="I67" s="19" t="inlineStr">
        <ns0:is>
          <ns0:t>Combina kinemática de tablet/video y fMRI para diferenciar ASD, DCD y TD; algoritmo principal no explícito.</ns0:t>
        </ns0:is>
      </ns0:c>
      <ns0:c r="J67" s="19" t="inlineStr"/>
      <ns0:c r="K67" s="19" t="inlineStr"/>
      <ns0:c r="L67" s="19" t="inlineStr">
        <ns0:is>
          <ns0:t>Not documented in provided sources</ns0:t>
        </ns0:is>
      </ns0:c>
      <ns0:c r="M67" s="19" t="inlineStr">
        <ns0:is>
          <ns0:t>[]</ns0:t>
        </ns0:is>
      </ns0:c>
    </ns0:row>
    <ns0:row r="68" ht="105" customHeight="1">
      <ns0:c r="A68" s="21" t="inlineStr">
        <ns0:is>
          <ns0:t>67</ns0:t>
        </ns0:is>
      </ns0:c>
      <ns0:c r="B68" s="21" t="inlineStr">
        <ns0:is>
          <ns0:t>Novelty detection using deep normative modeling for imu-based abnormal movement monitoring in parkinson’s disease and autism spectrum disorders</ns0:t>
        </ns0:is>
      </ns0:c>
      <ns0:c r="C68" s="21" t="inlineStr">
        <ns0:is>
          <ns0:t>10.3390/s18103533</ns0:t>
        </ns0:is>
      </ns0:c>
      <ns0:c r="D68" s="21" t="inlineStr">
        <ns0:is>
          <ns0:t>https://doi.org/10.3390/s18103533</ns0:t>
        </ns0:is>
      </ns0:c>
      <ns0:c r="E68" s="21" t="inlineStr">
        <ns0:is>
          <ns0:t>Supplied abstract/coding notes; no new full-text verification</ns0:t>
        </ns0:is>
      </ns0:c>
      <ns0:c r="F68" s="21" t="inlineStr">
        <ns0:is>
          <ns0:t>EVIDENCIA; original abstract/coding notes and lot source trace; Historical signals: title/abstract/notes; full-text completion not independently established</ns0:t>
        </ns0:is>
      </ns0:c>
      <ns0:c r="G68" s="21" t="inlineStr">
        <ns0:is>
          <ns0:t>Wearable IMU movement novelty detection is behavioral kinematics rather than electrophysiology. Evaluation is on benchmark datasets, not prospective patient-facing monitoring.</ns0:t>
        </ns0:is>
      </ns0:c>
      <ns0:c r="H68" s="21" t="inlineStr">
        <ns0:is>
          <ns0: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ns0:t>
        </ns0:is>
      </ns0:c>
      <ns0:c r="I68" s="21" t="inlineStr">
        <ns0:is>
          <ns0:t>Monitorización de movimiento anómalo con IMU mediante novelty/deep normative modeling; confirmar modelo principal.</ns0:t>
        </ns0:is>
      </ns0:c>
      <ns0:c r="J68" s="21" t="inlineStr"/>
      <ns0:c r="K68" s="21" t="inlineStr"/>
      <ns0:c r="L68" s="21" t="inlineStr">
        <ns0:is>
          <ns0:t>Not documented in provided sources</ns0:t>
        </ns0:is>
      </ns0:c>
      <ns0:c r="M68" s="21" t="inlineStr">
        <ns0:is>
          <ns0:t>[]</ns0:t>
        </ns0:is>
      </ns0:c>
    </ns0:row>
    <ns0:row r="69" ht="141" customHeight="1">
      <ns0:c r="A69" s="19" t="inlineStr">
        <ns0:is>
          <ns0:t>68</ns0:t>
        </ns0:is>
      </ns0:c>
      <ns0:c r="B69" s="19" t="inlineStr">
        <ns0:is>
          <ns0:t>Perceived social support in adults with autism spectrum disorder and attention-deficit/hyperactivity disorder</ns0:t>
        </ns0:is>
      </ns0:c>
      <ns0:c r="C69" s="19" t="inlineStr">
        <ns0:is>
          <ns0:t>10.1002/aur.1735</ns0:t>
        </ns0:is>
      </ns0:c>
      <ns0:c r="D69" s="19" t="inlineStr">
        <ns0:is>
          <ns0:t>https://doi.org/10.1002/aur.1735</ns0:t>
        </ns0:is>
      </ns0:c>
      <ns0:c r="E69" s="19" t="inlineStr">
        <ns0:is>
          <ns0:t>Supplied abstract/coding notes; no new full-text verification</ns0:t>
        </ns0:is>
      </ns0:c>
      <ns0:c r="F69" s="19" t="inlineStr">
        <ns0:is>
          <ns0:t>EVIDENCIA; original abstract/coding notes and lot source trace; Historical signals: title/abstract/notes; full-text completion not independently established</ns0:t>
        </ns0:is>
      </ns0:c>
      <ns0:c r="G69" s="19" t="inlineStr">
        <ns0:is>
          <ns0:t>Cross-sectional prediction of perceived social support in ASD/ADHD; relevant care characterization but not ASD diagnostic classification or future prognosis.</ns0:t>
        </ns0:is>
      </ns0:c>
      <ns0:c r="H69" s="19" t="inlineStr">
        <ns0:is>
          <ns0: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ns0:t>
        </ns0:is>
      </ns0:c>
      <ns0:c r="I69" s="19" t="inlineStr">
        <ns0:is>
          <ns0:t>ste paper no es diagnóstico ASD vs control; usa ML para modelar/predicir un puntaje de apoyo social percibido (MSPSS-f) en grupos ASD/ADHD/controles.</ns0:t>
        </ns0:is>
      </ns0:c>
      <ns0:c r="J69" s="19" t="inlineStr"/>
      <ns0:c r="K69" s="19" t="inlineStr"/>
      <ns0:c r="L69" s="19" t="inlineStr">
        <ns0:is>
          <ns0:t>Not documented in provided sources</ns0:t>
        </ns0:is>
      </ns0:c>
      <ns0:c r="M69" s="19" t="inlineStr">
        <ns0:is>
          <ns0:t>[]</ns0:t>
        </ns0:is>
      </ns0:c>
    </ns0:row>
    <ns0:row r="70" ht="81" customHeight="1">
      <ns0:c r="A70" s="21" t="inlineStr">
        <ns0:is>
          <ns0:t>69</ns0:t>
        </ns0:is>
      </ns0:c>
      <ns0:c r="B70" s="21" t="inlineStr">
        <ns0:is>
          <ns0:t>Regional-Asymmetric Adaptive Graph Convolutional Neural Network for Diagnosis of Autism in Children with Resting-State EEG</ns0:t>
        </ns0:is>
      </ns0:c>
      <ns0:c r="C70" s="21" t="inlineStr">
        <ns0:is>
          <ns0:t>10.1109/tnsre.2023.3347134</ns0:t>
        </ns0:is>
      </ns0:c>
      <ns0:c r="D70" s="21" t="inlineStr">
        <ns0:is>
          <ns0:t>https://doi.org/10.1109/tnsre.2023.3347134</ns0:t>
        </ns0:is>
      </ns0:c>
      <ns0:c r="E70" s="21" t="inlineStr">
        <ns0:is>
          <ns0:t>Supplied abstract/coding notes; no new full-text verification</ns0:t>
        </ns0:is>
      </ns0:c>
      <ns0:c r="F70" s="21" t="inlineStr">
        <ns0:is>
          <ns0:t>EVIDENCIA; original abstract/coding notes and lot source trace; Historical signals: title/abstract/notes; full-text completion not independently established</ns0:t>
        </ns0:is>
      </ns0:c>
      <ns0:c r="G70" s="21" t="inlineStr">
        <ns0:is>
          <ns0:t>Subject-independent internal cross-validation on resting EEG. Graph convolutional architecture is explicitly identified; no external cohort is described.</ns0:t>
        </ns0:is>
      </ns0:c>
      <ns0:c r="H70" s="21" t="inlineStr">
        <ns0:is>
          <ns0: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ns0:t>
        </ns0:is>
      </ns0:c>
      <ns0:c r="I70" s="21" t="inlineStr">
        <ns0:is>
          <ns0:t>Red neuronal convolucional en grafos sobre EEG; arquitectura fuera del codebook.</ns0:t>
        </ns0:is>
      </ns0:c>
      <ns0:c r="J70" s="21" t="inlineStr"/>
      <ns0:c r="K70" s="21" t="inlineStr"/>
      <ns0:c r="L70" s="21" t="inlineStr">
        <ns0:is>
          <ns0:t>Not documented in provided sources</ns0:t>
        </ns0:is>
      </ns0:c>
      <ns0:c r="M70" s="21" t="inlineStr">
        <ns0:is>
          <ns0:t>[]</ns0:t>
        </ns0:is>
      </ns0:c>
    </ns0:row>
    <ns0:row r="71" ht="65" customHeight="1">
      <ns0:c r="A71" s="19" t="inlineStr">
        <ns0:is>
          <ns0:t>70</ns0:t>
        </ns0:is>
      </ns0:c>
      <ns0:c r="B71" s="19" t="inlineStr">
        <ns0:is>
          <ns0:t>Relationship between abnormal intrinsic functional connectivity of subcortices and autism symptoms in high-functioning adults with autism spectrum disorder</ns0:t>
        </ns0:is>
      </ns0:c>
      <ns0:c r="C71" s="19" t="inlineStr">
        <ns0:is>
          <ns0:t>10.1016/j.pscychresns.2023.111762</ns0:t>
        </ns0:is>
      </ns0:c>
      <ns0:c r="D71" s="19" t="inlineStr">
        <ns0:is>
          <ns0:t>https://doi.org/10.1016/j.pscychresns.2023.111762</ns0:t>
        </ns0:is>
      </ns0:c>
      <ns0:c r="E71" s="19" t="inlineStr">
        <ns0:is>
          <ns0:t>Supplied abstract/coding notes; no new full-text verification</ns0:t>
        </ns0:is>
      </ns0:c>
      <ns0:c r="F71" s="19" t="inlineStr">
        <ns0:is>
          <ns0:t>EVIDENCIA; original abstract/coding notes and lot source trace; Historical signals: title/abstract/notes; full-text completion not independently established</ns0:t>
        </ns0:is>
      </ns0:c>
      <ns0:c r="G71" s="19" t="inlineStr">
        <ns0:is>
          <ns0:t>Concurrent ASD classification from fMRI or clinical scores. Separate predictors and correlations do not establish temporal prognosis or deep learning.</ns0:t>
        </ns0:is>
      </ns0:c>
      <ns0:c r="H71" s="19" t="inlineStr">
        <ns0:is>
          <ns0:t>Purpose: This study explores subcortices and their intrinsic functional connectivity (iFC) in autism spectrum disorder (ASD) adults and investigates their relationship with clinical severity. Methods: Resting-state functional magnetic resonance imaging (rs-fMRI) data were acquired from 74 ASD patients, and 63 gender and age-matched typically developing (TD) adults. Independent component analysis (ICA) was conducted to evaluate subcortical patterns of basal ganglia (BG) and thalamus. These two brain areas were treated as regions of interest to further calculate whole-brain FC. In addition, we employed multivariate machine learning to identify subcortices-based FC brain patterns and clinical scores to classify ASD adults from those TD subjects. Results: In ASD individuals, autism diagnostic observation schedule (ADOS) was negatively correlated with the BG network. Similarly, social responsiveness scale (SRS) was negatively correlated with the thalamus network. The BG-based iFC analysis revealed adults with ASD versus TD had lower FC, and its FC with the right medial temporal lobe (MTL), was positively correlated with SRS and ADOS separately. ASD could be predicted with a balanced accuracy of around 60.0 % using brain patterns and 84.7 % using clinical variables. Conclusion: Our results revealed the abnormal subcortical iFC may be related to autism symptoms.</ns0:t>
        </ns0:is>
      </ns0:c>
      <ns0:c r="I71" s="19" t="inlineStr"/>
      <ns0:c r="J71" s="19" t="inlineStr"/>
      <ns0:c r="K71" s="19" t="inlineStr"/>
      <ns0:c r="L71" s="19" t="inlineStr">
        <ns0:is>
          <ns0:t>Not documented in provided sources</ns0:t>
        </ns0:is>
      </ns0:c>
      <ns0:c r="M71" s="19" t="inlineStr">
        <ns0:is>
          <ns0:t>[]</ns0:t>
        </ns0:is>
      </ns0:c>
    </ns0:row>
    <ns0:row r="72" ht="81" customHeight="1">
      <ns0:c r="A72" s="21" t="inlineStr">
        <ns0:is>
          <ns0:t>72</ns0:t>
        </ns0:is>
      </ns0:c>
      <ns0:c r="B72" s="21" t="inlineStr">
        <ns0:is>
          <ns0:t>Transdiagnostic symptom subtypes across autism spectrum disorders and attention deficit hyperactivity disorder: validated by measures of neurocognition and structural connectivity</ns0:t>
        </ns0:is>
      </ns0:c>
      <ns0:c r="C72" s="21" t="inlineStr">
        <ns0:is>
          <ns0:t>10.1186/s12888-022-03734-4</ns0:t>
        </ns0:is>
      </ns0:c>
      <ns0:c r="D72" s="21" t="inlineStr">
        <ns0:is>
          <ns0:t>https://doi.org/10.1186/s12888-022-03734-4</ns0:t>
        </ns0:is>
      </ns0:c>
      <ns0:c r="E72" s="21" t="inlineStr">
        <ns0:is>
          <ns0:t>Supplied abstract/coding notes; no new full-text verification</ns0:t>
        </ns0:is>
      </ns0:c>
      <ns0:c r="F72" s="21" t="inlineStr">
        <ns0:is>
          <ns0:t>EVIDENCIA; original abstract/coding notes and lot source trace; Historical signals: title/abstract/notes; full-text completion not independently established</ns0:t>
        </ns0:is>
      </ns0:c>
      <ns0:c r="G72" s="21" t="inlineStr">
        <ns0:is>
          <ns0:t>Symptom-defined transdiagnostic subtyping with ancillary cognitive and structural-connectivity validation. Clustering is not automatically deep learning; validation of cluster correlates is not external predictive validation.</ns0:t>
        </ns0:is>
      </ns0:c>
      <ns0:c r="H72" s="21" t="inlineStr">
        <ns0:is>
          <ns0: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ns0:t>
        </ns0:is>
      </ns0:c>
      <ns0:c r="I72" s="21" t="inlineStr">
        <ns0:is>
          <ns0:t>Subtipado transdiagnóstico validado con neurocognición y conectividad estructural.</ns0:t>
        </ns0:is>
      </ns0:c>
      <ns0:c r="J72" s="21" t="inlineStr"/>
      <ns0:c r="K72" s="21" t="inlineStr"/>
      <ns0:c r="L72" s="21" t="inlineStr">
        <ns0:is>
          <ns0:t>Not documented in provided sources</ns0:t>
        </ns0:is>
      </ns0:c>
      <ns0:c r="M72" s="21" t="inlineStr">
        <ns0:is>
          <ns0:t>[]</ns0:t>
        </ns0:is>
      </ns0:c>
    </ns0:row>
    <ns0:row r="73" ht="65" customHeight="1">
      <ns0:c r="A73" s="19" t="inlineStr">
        <ns0:is>
          <ns0:t>73</ns0:t>
        </ns0:is>
      </ns0:c>
      <ns0:c r="B73" s="19" t="inlineStr">
        <ns0:is>
          <ns0:t>A Convolutional Neural Network Combined With Prototype Learning Framework for Brain Functional Network Classification of Autism Spectrum Disorder</ns0:t>
        </ns0:is>
      </ns0:c>
      <ns0:c r="C73" s="19" t="inlineStr">
        <ns0:is>
          <ns0:t>10.1109/tnsre.2021.3120024</ns0:t>
        </ns0:is>
      </ns0:c>
      <ns0:c r="D73" s="19" t="inlineStr">
        <ns0:is>
          <ns0:t>https://doi.org/10.1109/tnsre.2021.3120024</ns0:t>
        </ns0:is>
      </ns0:c>
      <ns0:c r="E73" s="19" t="inlineStr">
        <ns0:is>
          <ns0:t>Supplied abstract/coding notes; no new full-text verification</ns0:t>
        </ns0:is>
      </ns0:c>
      <ns0:c r="F73" s="19" t="inlineStr">
        <ns0:is>
          <ns0:t>EVIDENCIA; original abstract/coding notes and lot source trace; Historical signals: title/abstract/notes; full-text completion not independently established</ns0:t>
        </ns0:is>
      </ns0:c>
      <ns0:c r="G73" s="19" t="inlineStr">
        <ns0:is>
          <ns0:t>Multisite fMRI benchmark is explicitly described. Inter-site biomarker claims alone do not establish a held-out-site experiment.</ns0:t>
        </ns0:is>
      </ns0:c>
      <ns0:c r="H73" s="19" t="inlineStr">
        <ns0:is>
          <ns0: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ns0:t>
        </ns0:is>
      </ns0:c>
      <ns0:c r="I73" s="19" t="inlineStr"/>
      <ns0:c r="J73" s="19" t="inlineStr"/>
      <ns0:c r="K73" s="19" t="inlineStr"/>
      <ns0:c r="L73" s="19" t="inlineStr">
        <ns0:is>
          <ns0:t>Not documented in provided sources</ns0:t>
        </ns0:is>
      </ns0:c>
      <ns0:c r="M73" s="19" t="inlineStr">
        <ns0:is>
          <ns0:t>[]</ns0:t>
        </ns0:is>
      </ns0:c>
    </ns0:row>
    <ns0:row r="74" ht="153" customHeight="1">
      <ns0:c r="A74" s="21" t="inlineStr">
        <ns0:is>
          <ns0:t>74</ns0:t>
        </ns0:is>
      </ns0:c>
      <ns0:c r="B74" s="21" t="inlineStr">
        <ns0:is>
          <ns0:t>A heterogeneous graph convolutional attention network method for classification of autism spectrum disorder</ns0:t>
        </ns0:is>
      </ns0:c>
      <ns0:c r="C74" s="21" t="inlineStr">
        <ns0:is>
          <ns0:t>10.1186/s12859-023-05495-7</ns0:t>
        </ns0:is>
      </ns0:c>
      <ns0:c r="D74" s="21" t="inlineStr">
        <ns0:is>
          <ns0:t>https://doi.org/10.1186/s12859-023-05495-7</ns0:t>
        </ns0:is>
      </ns0:c>
      <ns0:c r="E74" s="21" t="inlineStr">
        <ns0:is>
          <ns0:t>Supplied abstract/coding notes; no new full-text verification</ns0:t>
        </ns0:is>
      </ns0:c>
      <ns0:c r="F74" s="21" t="inlineStr">
        <ns0:is>
          <ns0:t>EVIDENCIA; original abstract/coding notes and lot source trace; Historical signals: title/abstract/notes; full-text completion not independently established</ns0:t>
        </ns0:is>
      </ns0:c>
      <ns0:c r="G74" s="21" t="inlineStr">
        <ns0:is>
          <ns0:t>Graph framework combines fMRI connectivity and phenotype information; semantic attention is not itself proof of a validated explanation method.</ns0:t>
        </ns0:is>
      </ns0:c>
      <ns0:c r="H74" s="21" t="inlineStr">
        <ns0:is>
          <ns0: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ns0:t>
        </ns0:is>
      </ns0:c>
      <ns0:c r="I74" s="21" t="inlineStr">
        <ns0:is>
          <ns0:t>Algoritmo principal no explícito o fuera del codebook; Confirmar algoritmo principal en full-text; Se comparan varios modelos; se eligió el principal/mejor reportado</ns0:t>
        </ns0:is>
      </ns0:c>
      <ns0:c r="J74" s="21" t="inlineStr"/>
      <ns0:c r="K74" s="21" t="inlineStr"/>
      <ns0:c r="L74" s="21" t="inlineStr">
        <ns0:is>
          <ns0:t>Not documented in provided sources</ns0:t>
        </ns0:is>
      </ns0:c>
      <ns0:c r="M74" s="21" t="inlineStr">
        <ns0:is>
          <ns0:t>[]</ns0:t>
        </ns0:is>
      </ns0:c>
    </ns0:row>
    <ns0:row r="75" ht="350" customHeight="1">
      <ns0:c r="A75" s="19" t="inlineStr">
        <ns0:is>
          <ns0:t>75</ns0:t>
        </ns0:is>
      </ns0:c>
      <ns0:c r="B75" s="19" t="inlineStr">
        <ns0:is>
          <ns0:t>A monitoring system for patients of autism spectrum disorder using artificial intelligence</ns0:t>
        </ns0:is>
      </ns0:c>
      <ns0:c r="C75" s="19" t="inlineStr">
        <ns0:is>
          <ns0:t>10.1007/978-3-030-59277-6_23</ns0:t>
        </ns0:is>
      </ns0:c>
      <ns0:c r="D75" s="19" t="inlineStr">
        <ns0:is>
          <ns0:t>https://link.springer.com/chapter/10.1007/978-3-030-59277-6_23</ns0:t>
        </ns0:is>
      </ns0:c>
      <ns0:c r="E75" s="19" t="inlineStr">
        <ns0:is>
          <ns0:t>Publisher abstract and bibliographic metadata</ns0:t>
        </ns0:is>
      </ns0:c>
      <ns0:c r="F75" s="19" t="inlineStr">
        <ns0:is>
          <ns0:t>Publisher abstract; conference publication metadata</ns0:t>
        </ns0:is>
      </ns0:c>
      <ns0:c r="G75" s="19" t="inlineStr">
        <ns0:is>
          <ns0:t>Proposed sensor and facial-expression monitoring with caregiver alerts. Accessible description does not document a participant-facing empirical evaluation.
Accessible abstract proposes a system but does not establish original empirical AI evaluation; retain inherited inclusion with uncertainty and exclude in stricter-evidence sensitivity.</ns0:t>
        </ns0:is>
      </ns0:c>
      <ns0:c r="H75" s="19" t="inlineStr">
        <ns0:is>
          <ns0:t>When the world is suffering from the deadliest consequences of COVID-19, people with autism find themselves in the worst possible situation. The patients of autism lack social skills, and in many cases, show repetitive behavior. Many of them need outside support throughout their life. During the COVID-19 pandemic, as many of the places are in lockdown conditions, it is very tough for them to find help from their doctors and therapists. Suddenly, the caregivers and parents of the ASD patients find themselves in a strange situation. Therefore, we are proposing an artificial intelligence-based system that uses sensor data to monitor the patient’s condition, and based on the emotion and facial expression of the patient, adjusts the learning method through exciting games and tasks. Whenever something goes wrong with the patient’s behavior, the caregivers and the parents are alerted about it. We then presented how this AI-based system can help them during COVID-19 pandemic. This system can help the parents to adjust to the new situation and continue the mental growth of the patients.</ns0:t>
        </ns0:is>
      </ns0:c>
      <ns0:c r="I75" s="19" t="inlineStr">
        <ns0:is>
          <ns0:t>Sin señal explícita Q3 en título/abstract.</ns0:t>
        </ns0:is>
      </ns0:c>
      <ns0:c r="J75" s="19" t="inlineStr"/>
      <ns0:c r="K75" s="19" t="inlineStr"/>
      <ns0:c r="L75" s="19" t="inlineStr">
        <ns0:is>
          <ns0:t>Not documented in provided sources</ns0:t>
        </ns0:is>
      </ns0:c>
      <ns0:c r="M75" s="19" t="inlineStr">
        <ns0:is>
          <ns0:t>[{"url": "https://link.springer.com/chapter/10.1007/978-3-030-59277-6_23", "locator": "Publisher abstract; conference publication metadata", "assessment": "Conference paper, not a standalone edited-book chapter. Proposed adaptive games and caregiver alerts are described; accessible abstract does not report participant evaluation.", "level": "Publisher abstract and bibliographic metadata", "date": "2026-09-08", "assessor": "ChatGPT-assisted source verification; not independent human review"}]</ns0:t>
        </ns0:is>
      </ns0:c>
    </ns0:row>
    <ns0:row r="76" ht="65" customHeight="1">
      <ns0:c r="A76" s="21" t="inlineStr">
        <ns0:is>
          <ns0:t>77</ns0:t>
        </ns0:is>
      </ns0:c>
      <ns0:c r="B76" s="21" t="inlineStr">
        <ns0:is>
          <ns0:t>Age-Specific Diagnostic Classification of ASD Using Deep Learning Approaches</ns0:t>
        </ns0:is>
      </ns0:c>
      <ns0:c r="C76" s="21" t="inlineStr">
        <ns0:is>
          <ns0:t>10.3233/shti230794</ns0:t>
        </ns0:is>
      </ns0:c>
      <ns0:c r="D76" s="21" t="inlineStr">
        <ns0:is>
          <ns0:t>https://doi.org/10.3233/shti230794</ns0:t>
        </ns0:is>
      </ns0:c>
      <ns0:c r="E76" s="21" t="inlineStr">
        <ns0:is>
          <ns0:t>Supplied abstract/coding notes; no new full-text verification</ns0:t>
        </ns0:is>
      </ns0:c>
      <ns0:c r="F76" s="21" t="inlineStr">
        <ns0:is>
          <ns0:t>EVIDENCIA; original abstract/coding notes and lot source trace; Historical signals: title/abstract/notes; full-text completion not independently established</ns0:t>
        </ns0:is>
      </ns0:c>
      <ns0:c r="G76" s="21" t="inlineStr">
        <ns0:is>
          <ns0:t>Functional-connectivity matrices from fMRI are represented as heatmaps; they remain neuroimaging, not EEG or photographs. ABIDE I and II use does not specify independent train-test separation.</ns0:t>
        </ns0:is>
      </ns0:c>
      <ns0:c r="H76" s="21" t="inlineStr">
        <ns0:is>
          <ns0: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ns0:t>
        </ns0:is>
      </ns0:c>
      <ns0:c r="I76" s="21" t="inlineStr"/>
      <ns0:c r="J76" s="21" t="inlineStr"/>
      <ns0:c r="K76" s="21" t="inlineStr"/>
      <ns0:c r="L76" s="21" t="inlineStr">
        <ns0:is>
          <ns0:t>Not documented in provided sources</ns0:t>
        </ns0:is>
      </ns0:c>
      <ns0:c r="M76" s="21" t="inlineStr">
        <ns0:is>
          <ns0:t>[]</ns0:t>
        </ns0:is>
      </ns0:c>
    </ns0:row>
    <ns0:row r="77" ht="69" customHeight="1">
      <ns0:c r="A77" s="19" t="inlineStr">
        <ns0:is>
          <ns0:t>78</ns0:t>
        </ns0:is>
      </ns0:c>
      <ns0:c r="B77" s="19" t="inlineStr">
        <ns0:is>
          <ns0:t>An Automatic Framework for Detecting Autism Spectrum Disorder From EEG Signals Using TFD</ns0:t>
        </ns0:is>
      </ns0:c>
      <ns0:c r="C77" s="19" t="inlineStr">
        <ns0:is>
          <ns0:t>10.1109/jsen.2024.3362341</ns0:t>
        </ns0:is>
      </ns0:c>
      <ns0:c r="D77" s="19" t="inlineStr">
        <ns0:is>
          <ns0:t>https://doi.org/10.1109/jsen.2024.3362341</ns0:t>
        </ns0:is>
      </ns0:c>
      <ns0:c r="E77" s="19" t="inlineStr">
        <ns0:is>
          <ns0:t>Supplied abstract/coding notes; no new full-text verification</ns0:t>
        </ns0:is>
      </ns0:c>
      <ns0:c r="F77" s="19" t="inlineStr">
        <ns0:is>
          <ns0:t>EVIDENCIA; original abstract/coding notes and lot source trace; Historical signals: title/abstract/notes; full-text completion not independently established</ns0:t>
        </ns0:is>
      </ns0:c>
      <ns0:c r="G77" s="19" t="inlineStr">
        <ns0:is>
          <ns0:t>Time-frequency image representations originate from EEG and remain physiological data; alternative transforms do not establish additional sources.</ns0:t>
        </ns0:is>
      </ns0:c>
      <ns0:c r="H77" s="19" t="inlineStr">
        <ns0:is>
          <ns0: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ns0:t>
        </ns0:is>
      </ns0:c>
      <ns0:c r="I77" s="19" t="inlineStr">
        <ns0:is>
          <ns0:t>Se comparan varios modelos; se eligió el principal/mejor reportado</ns0:t>
        </ns0:is>
      </ns0:c>
      <ns0:c r="J77" s="19" t="inlineStr"/>
      <ns0:c r="K77" s="19" t="inlineStr"/>
      <ns0:c r="L77" s="19" t="inlineStr">
        <ns0:is>
          <ns0:t>Not documented in provided sources</ns0:t>
        </ns0:is>
      </ns0:c>
      <ns0:c r="M77" s="19" t="inlineStr">
        <ns0:is>
          <ns0:t>[]</ns0:t>
        </ns0:is>
      </ns0:c>
    </ns0:row>
    <ns0:row r="78" ht="81" customHeight="1">
      <ns0:c r="A78" s="21" t="inlineStr">
        <ns0:is>
          <ns0:t>79</ns0:t>
        </ns0:is>
      </ns0:c>
      <ns0:c r="B78" s="21" t="inlineStr">
        <ns0:is>
          <ns0:t>Applying Machine Learning to Kinematic and Eye Movement Features of a Movement Imitation Task to Predict Autism Diagnosis</ns0:t>
        </ns0:is>
      </ns0:c>
      <ns0:c r="C78" s="21" t="inlineStr">
        <ns0:is>
          <ns0:t>10.1038/s41598-020-65384-4</ns0:t>
        </ns0:is>
      </ns0:c>
      <ns0:c r="D78" s="21" t="inlineStr">
        <ns0:is>
          <ns0:t>https://doi.org/10.1038/s41598-020-65384-4</ns0:t>
        </ns0:is>
      </ns0:c>
      <ns0:c r="E78" s="21" t="inlineStr">
        <ns0:is>
          <ns0:t>Supplied abstract/coding notes; no new full-text verification</ns0:t>
        </ns0:is>
      </ns0:c>
      <ns0:c r="F78" s="21" t="inlineStr">
        <ns0:is>
          <ns0:t>EVIDENCIA; original abstract/coding notes and lot source trace; Historical signals: title/abstract/notes; full-text completion not independently established</ns0:t>
        </ns0:is>
      </ns0:c>
      <ns0:c r="G78" s="21" t="inlineStr">
        <ns0:is>
          <ns0:t>Motion tracking and eye tracking are explicitly combined and an independent sample is tested; multisource integration can occur within the behavioral domain.</ns0:t>
        </ns0:is>
      </ns0:c>
      <ns0:c r="H78" s="21" t="inlineStr">
        <ns0:is>
          <ns0: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ns0:t>
        </ns0:is>
      </ns0:c>
      <ns0:c r="I78" s="21" t="inlineStr">
        <ns0:is>
          <ns0:t>Clasifica ASD vs no-ASD con cinemática y eye-tracking en tarea de imitación.</ns0:t>
        </ns0:is>
      </ns0:c>
      <ns0:c r="J78" s="21" t="inlineStr"/>
      <ns0:c r="K78" s="21" t="inlineStr"/>
      <ns0:c r="L78" s="21" t="inlineStr">
        <ns0:is>
          <ns0:t>Not documented in provided sources</ns0:t>
        </ns0:is>
      </ns0:c>
      <ns0:c r="M78" s="21" t="inlineStr">
        <ns0:is>
          <ns0:t>[]</ns0:t>
        </ns0:is>
      </ns0:c>
    </ns0:row>
    <ns0:row r="79" ht="93" customHeight="1">
      <ns0:c r="A79" s="19" t="inlineStr">
        <ns0:is>
          <ns0:t>80</ns0:t>
        </ns0:is>
      </ns0:c>
      <ns0:c r="B79" s="19" t="inlineStr">
        <ns0:is>
          <ns0:t>Artificial intelligence analysis of newborn leucocyte epigenomic markers for the prediction of autism</ns0:t>
        </ns0:is>
      </ns0:c>
      <ns0:c r="C79" s="19" t="inlineStr">
        <ns0:is>
          <ns0:t>10.1016/j.brainres.2019.146457</ns0:t>
        </ns0:is>
      </ns0:c>
      <ns0:c r="D79" s="19" t="inlineStr">
        <ns0:is>
          <ns0:t>https://doi.org/10.1016/j.brainres.2019.146457</ns0:t>
        </ns0:is>
      </ns0:c>
      <ns0:c r="E79" s="19" t="inlineStr">
        <ns0:is>
          <ns0:t>Supplied abstract/coding notes; no new full-text verification</ns0:t>
        </ns0:is>
      </ns0:c>
      <ns0:c r="F79" s="19" t="inlineStr">
        <ns0:is>
          <ns0:t>EVIDENCIA; original abstract/coding notes and lot source trace; Historical signals: title/abstract/notes; full-text completion not independently established</ns0:t>
        </ns0:is>
      </ns0:c>
      <ns0:c r="G79" s="19" t="inlineStr">
        <ns0:is>
          <ns0:t>Newborn leukocyte methylation predicts subsequent ASD; biological input, not electrophysiological signal. Main neural architecture is not supplied in abstract.</ns0:t>
        </ns0:is>
      </ns0:c>
      <ns0:c r="H79" s="19" t="inlineStr">
        <ns0:is>
          <ns0: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ns0:t>
        </ns0:is>
      </ns0:c>
      <ns0:c r="I79" s="19" t="inlineStr">
        <ns0:is>
          <ns0:t>Algoritmo principal no explícito o fuera del codebook; Confirmar algoritmo principal en full-text</ns0:t>
        </ns0:is>
      </ns0:c>
      <ns0:c r="J79" s="19" t="inlineStr"/>
      <ns0:c r="K79" s="19" t="inlineStr"/>
      <ns0:c r="L79" s="19" t="inlineStr">
        <ns0:is>
          <ns0:t>Not documented in provided sources</ns0:t>
        </ns0:is>
      </ns0:c>
      <ns0:c r="M79" s="19" t="inlineStr">
        <ns0:is>
          <ns0:t>[]</ns0:t>
        </ns0:is>
      </ns0:c>
    </ns0:row>
    <ns0:row r="80" ht="93" customHeight="1">
      <ns0:c r="A80" s="21" t="inlineStr">
        <ns0:is>
          <ns0:t>81</ns0:t>
        </ns0:is>
      </ns0:c>
      <ns0:c r="B80" s="21" t="inlineStr">
        <ns0:is>
          <ns0:t>Autism Detection in Children using Common Spatial Patterns of MEG Signals</ns0:t>
        </ns0:is>
      </ns0:c>
      <ns0:c r="C80" s="21" t="inlineStr">
        <ns0:is>
          <ns0:t>10.1109/embc40787.2023.10340449</ns0:t>
        </ns0:is>
      </ns0:c>
      <ns0:c r="D80" s="21" t="inlineStr">
        <ns0:is>
          <ns0:t>https://doi.org/10.1109/embc40787.2023.10340449</ns0:t>
        </ns0:is>
      </ns0:c>
      <ns0:c r="E80" s="21" t="inlineStr">
        <ns0:is>
          <ns0:t>Supplied abstract/coding notes; no new full-text verification</ns0:t>
        </ns0:is>
      </ns0:c>
      <ns0:c r="F80" s="21" t="inlineStr">
        <ns0:is>
          <ns0:t>EVIDENCIA; original abstract/coding notes and lot source trace; Historical signals: title/abstract/notes; full-text completion not independently established</ns0:t>
        </ns0:is>
      </ns0:c>
      <ns0:c r="G80" s="21" t="inlineStr">
        <ns0:is>
          <ns0:t>MEG band-power classification; spatial patterns are described as putative biomarkers, with no clinician-facing deployment.</ns0:t>
        </ns0:is>
      </ns0:c>
      <ns0:c r="H80" s="21" t="inlineStr">
        <ns0:is>
          <ns0: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ns0:t>
        </ns0:is>
      </ns0:c>
      <ns0:c r="I80" s="21" t="inlineStr">
        <ns0:is>
          <ns0:t>Algoritmo principal no explícito o fuera del codebook; Confirmar algoritmo principal en full-text</ns0:t>
        </ns0:is>
      </ns0:c>
      <ns0:c r="J80" s="21" t="inlineStr"/>
      <ns0:c r="K80" s="21" t="inlineStr"/>
      <ns0:c r="L80" s="21" t="inlineStr">
        <ns0:is>
          <ns0:t>Not documented in provided sources</ns0:t>
        </ns0:is>
      </ns0:c>
      <ns0:c r="M80" s="21" t="inlineStr">
        <ns0:is>
          <ns0:t>[]</ns0:t>
        </ns0:is>
      </ns0:c>
    </ns0:row>
    <ns0:row r="81" ht="105" customHeight="1">
      <ns0:c r="A81" s="19" t="inlineStr">
        <ns0:is>
          <ns0:t>82</ns0:t>
        </ns0:is>
      </ns0:c>
      <ns0:c r="B81" s="19" t="inlineStr">
        <ns0:is>
          <ns0:t>Autism Spectrum Disorder detection framework for children based on federated learning integrated CNN-LSTM</ns0:t>
        </ns0:is>
      </ns0:c>
      <ns0:c r="C81" s="19" t="inlineStr">
        <ns0:is>
          <ns0:t>10.1016/j.compbiomed.2023.107539</ns0:t>
        </ns0:is>
      </ns0:c>
      <ns0:c r="D81" s="19" t="inlineStr">
        <ns0:is>
          <ns0:t>https://doi.org/10.1016/j.compbiomed.2023.107539</ns0:t>
        </ns0:is>
      </ns0:c>
      <ns0:c r="E81" s="19" t="inlineStr">
        <ns0:is>
          <ns0:t>Supplied abstract/coding notes; no new full-text verification</ns0:t>
        </ns0:is>
      </ns0:c>
      <ns0:c r="F81" s="19" t="inlineStr">
        <ns0:is>
          <ns0:t>EVIDENCIA; original abstract/coding notes and lot source trace; Historical signals: title/abstract/notes; full-text completion not independently established</ns0:t>
        </ns0:is>
      </ns0:c>
      <ns0:c r="G81" s="19" t="inlineStr">
        <ns0:is>
          <ns0:t>Named inputs are structured developmental screening instruments. Federated simulation does not demonstrate deployment, independent clinical sites, or held-out-site generalization; actual cross-instrument patient pairing remains unverified.
Federated simulation claims across named instruments; participant linkage and provenance are not established in accessible evidence.</ns0:t>
        </ns0:is>
      </ns0:c>
      <ns0:c r="H81" s="19" t="inlineStr">
        <ns0:is>
          <ns0: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ns0:t>
        </ns0:is>
      </ns0:c>
      <ns0:c r="I81" s="19" t="inlineStr">
        <ns0:is>
          <ns0:t>Marco federado CNN-LSTM con datasets multimodales de cribado; arquitectura híbrida fuera del codebook.</ns0:t>
        </ns0:is>
      </ns0:c>
      <ns0:c r="J81" s="19" t="inlineStr"/>
      <ns0:c r="K81" s="19" t="inlineStr"/>
      <ns0:c r="L81" s="19" t="inlineStr">
        <ns0:is>
          <ns0:t>Not documented in provided sources</ns0:t>
        </ns0:is>
      </ns0:c>
      <ns0:c r="M81" s="19" t="inlineStr">
        <ns0:is>
          <ns0:t>[]</ns0:t>
        </ns0:is>
      </ns0:c>
    </ns0:row>
    <ns0:row r="82" ht="65" customHeight="1">
      <ns0:c r="A82" s="21" t="inlineStr">
        <ns0:is>
          <ns0:t>83</ns0:t>
        </ns0:is>
      </ns0:c>
      <ns0:c r="B82" s="21" t="inlineStr">
        <ns0:is>
          <ns0:t>Converging Representations of Attention-Deficit/Hyperactivity Disorder and Autism on Social Media: Linguistic and Topic Analysis of Trends in Reddit Data</ns0:t>
        </ns0:is>
      </ns0:c>
      <ns0:c r="C82" s="21" t="inlineStr">
        <ns0:is>
          <ns0:t>10.2196/70914</ns0:t>
        </ns0:is>
      </ns0:c>
      <ns0:c r="D82" s="21" t="inlineStr">
        <ns0:is>
          <ns0:t>https://doi.org/10.2196/70914</ns0:t>
        </ns0:is>
      </ns0:c>
      <ns0:c r="E82" s="21" t="inlineStr">
        <ns0:is>
          <ns0:t>Supplied abstract/coding notes; no new full-text verification</ns0:t>
        </ns0:is>
      </ns0:c>
      <ns0:c r="F82" s="21" t="inlineStr">
        <ns0:is>
          <ns0:t>EVIDENCIA; original abstract/coding notes and lot source trace; Historical signals: title/abstract/notes; full-text completion not independently established</ns0:t>
        </ns0:is>
      </ns0:c>
      <ns0:c r="G82" s="21" t="inlineStr">
        <ns0:is>
          <ns0:t>Public discourse convergence on Reddit is the primary endpoint; topic modeling does not classify, assess, monitor, predict care outcomes or provide an ASD intervention.</ns0:t>
        </ns0:is>
      </ns0:c>
      <ns0:c r="H82" s="21" t="inlineStr">
        <ns0:is>
          <ns0: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ns0:t>
        </ns0:is>
      </ns0:c>
      <ns0:c r="I82" s="21" t="inlineStr"/>
      <ns0:c r="J82" s="21" t="inlineStr"/>
      <ns0:c r="K82" s="21" t="inlineStr"/>
      <ns0:c r="L82" s="21" t="inlineStr">
        <ns0:is>
          <ns0:t>Not documented in provided sources</ns0:t>
        </ns0:is>
      </ns0:c>
      <ns0:c r="M82" s="21" t="inlineStr">
        <ns0:is>
          <ns0:t>[]</ns0:t>
        </ns0:is>
      </ns0:c>
    </ns0:row>
    <ns0:row r="83" ht="93" customHeight="1">
      <ns0:c r="A83" s="19" t="inlineStr">
        <ns0:is>
          <ns0:t>84</ns0:t>
        </ns0:is>
      </ns0:c>
      <ns0:c r="B83" s="19" t="inlineStr">
        <ns0:is>
          <ns0:t>Creating a diagnostic assessment model for autism spectrum disorder by differentiating lexicogrammatical choices through machine learning</ns0:t>
        </ns0:is>
      </ns0:c>
      <ns0:c r="C83" s="19" t="inlineStr">
        <ns0:is>
          <ns0:t>10.1371/journal.pone.0311209</ns0:t>
        </ns0:is>
      </ns0:c>
      <ns0:c r="D83" s="19" t="inlineStr">
        <ns0:is>
          <ns0:t>https://doi.org/10.1371/journal.pone.0311209</ns0:t>
        </ns0:is>
      </ns0:c>
      <ns0:c r="E83" s="19" t="inlineStr">
        <ns0:is>
          <ns0:t>Supplied abstract/coding notes; no new full-text verification</ns0:t>
        </ns0:is>
      </ns0:c>
      <ns0:c r="F83" s="19" t="inlineStr">
        <ns0:is>
          <ns0:t>EVIDENCIA; original abstract/coding notes and lot source trace; Historical signals: title/abstract/notes; full-text completion not independently established</ns0:t>
        </ns0:is>
      </ns0:c>
      <ns0:c r="G83" s="19" t="inlineStr">
        <ns0:is>
          <ns0:t>Spoken language is transcribed and modeled as text; comparison with an interpretable logistic baseline does not establish an RNN architecture.</ns0:t>
        </ns0:is>
      </ns0:c>
      <ns0:c r="H83" s="19" t="inlineStr">
        <ns0:is>
          <ns0: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ns0:t>
        </ns0:is>
      </ns0:c>
      <ns0:c r="I83" s="19" t="inlineStr">
        <ns0:is>
          <ns0:t>comparan modelo lineal vs DNN; el modelo lineal es logistic regression (baseline interpretable).</ns0:t>
        </ns0:is>
      </ns0:c>
      <ns0:c r="J83" s="19" t="inlineStr"/>
      <ns0:c r="K83" s="19" t="inlineStr"/>
      <ns0:c r="L83" s="19" t="inlineStr">
        <ns0:is>
          <ns0:t>Not documented in provided sources</ns0:t>
        </ns0:is>
      </ns0:c>
      <ns0:c r="M83" s="19" t="inlineStr">
        <ns0:is>
          <ns0:t>[]</ns0:t>
        </ns0:is>
      </ns0:c>
    </ns0:row>
    <ns0:row r="84" ht="153" customHeight="1">
      <ns0:c r="A84" s="21" t="inlineStr">
        <ns0:is>
          <ns0:t>85</ns0:t>
        </ns0:is>
      </ns0:c>
      <ns0:c r="B84" s="21" t="inlineStr">
        <ns0:is>
          <ns0:t>Diagnosing autism spectrum disorder in children using conventional MRI and apparent diffusion coefficient based deep learning algorithms</ns0:t>
        </ns0:is>
      </ns0:c>
      <ns0:c r="C84" s="21" t="inlineStr">
        <ns0:is>
          <ns0:t>10.1007/s00330-021-08239-4</ns0:t>
        </ns0:is>
      </ns0:c>
      <ns0:c r="D84" s="21" t="inlineStr">
        <ns0:is>
          <ns0:t>https://doi.org/10.1007/s00330-021-08239-4</ns0:t>
        </ns0:is>
      </ns0:c>
      <ns0:c r="E84" s="21" t="inlineStr">
        <ns0:is>
          <ns0:t>Supplied abstract/coding notes; no new full-text verification</ns0:t>
        </ns0:is>
      </ns0:c>
      <ns0:c r="F84" s="21" t="inlineStr">
        <ns0:is>
          <ns0:t>EVIDENCIA; original abstract/coding notes and lot source trace; Historical signals: title/abstract/notes; full-text completion not independently established</ns0:t>
        </ns0:is>
      </ns0:c>
      <ns0:c r="G84" s="21" t="inlineStr">
        <ns0:is>
          <ns0:t>Additional independently acquired subjects form a test cohort. FLAIR and ADC are explicitly combined; attention as architecture is not sufficient for strict explainability.</ns0:t>
        </ns0:is>
      </ns0:c>
      <ns0:c r="H84" s="21" t="inlineStr">
        <ns0:is>
          <ns0: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ns0:t>
        </ns0:is>
      </ns0:c>
      <ns0:c r="I84" s="21" t="inlineStr">
        <ns0:is>
          <ns0:t>Algoritmo principal no explícito o fuera del codebook; Confirmar algoritmo principal en full-text; Se comparan varios modelos; se eligió el principal/mejor reportado</ns0:t>
        </ns0:is>
      </ns0:c>
      <ns0:c r="J84" s="21" t="inlineStr"/>
      <ns0:c r="K84" s="21" t="inlineStr"/>
      <ns0:c r="L84" s="21" t="inlineStr">
        <ns0:is>
          <ns0:t>Not documented in provided sources</ns0:t>
        </ns0:is>
      </ns0:c>
      <ns0:c r="M84" s="21" t="inlineStr">
        <ns0:is>
          <ns0:t>[]</ns0:t>
        </ns0:is>
      </ns0:c>
    </ns0:row>
    <ns0:row r="85" ht="177" customHeight="1">
      <ns0:c r="A85" s="19" t="inlineStr">
        <ns0:is>
          <ns0:t>86</ns0:t>
        </ns0:is>
      </ns0:c>
      <ns0:c r="B85" s="19" t="inlineStr">
        <ns0:is>
          <ns0:t>Dissecting the heterogeneity of autism spectrum disorder with sensory behavior, brain, and epigenetic factors</ns0:t>
        </ns0:is>
      </ns0:c>
      <ns0:c r="C85" s="19" t="inlineStr">
        <ns0:is>
          <ns0:t>10.1038/s41398-025-03566-2</ns0:t>
        </ns0:is>
      </ns0:c>
      <ns0:c r="D85" s="19" t="inlineStr">
        <ns0:is>
          <ns0:t>https://doi.org/10.1038/s41398-025-03566-2</ns0:t>
        </ns0:is>
      </ns0:c>
      <ns0:c r="E85" s="19" t="inlineStr">
        <ns0:is>
          <ns0:t>Supplied abstract/coding notes; no new full-text verification</ns0:t>
        </ns0:is>
      </ns0:c>
      <ns0:c r="F85" s="19" t="inlineStr">
        <ns0:is>
          <ns0:t>EVIDENCIA; original abstract/coding notes and lot source trace; Historical signals: title/abstract/notes; full-text completion not independently established</ns0:t>
        </ns0:is>
      </ns0:c>
      <ns0:c r="G85" s="19" t="inlineStr">
        <ns0:is>
          <ns0:t>Integrated sensory behavior, neuroimaging and saliva methylation; XGBoost is conventional machine learning, not deep learning.</ns0:t>
        </ns0:is>
      </ns0:c>
      <ns0:c r="H85" s="19" t="inlineStr">
        <ns0:is>
          <ns0: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ns0:t>
        </ns0:is>
      </ns0:c>
      <ns0:c r="I85" s="19" t="inlineStr">
        <ns0:is>
          <ns0:t>Clasificación ASD vs control integrando AASP (sensory behavior) + neuroimagen + metilación (OXTR/AVPR). Evaluaron varios algoritmos; el modelo final reportado usa XGBoost (otros probados: RF/SVM/LR).</ns0:t>
        </ns0:is>
      </ns0:c>
      <ns0:c r="J85" s="19" t="inlineStr"/>
      <ns0:c r="K85" s="19" t="inlineStr"/>
      <ns0:c r="L85" s="19" t="inlineStr">
        <ns0:is>
          <ns0:t>Not documented in provided sources</ns0:t>
        </ns0:is>
      </ns0:c>
      <ns0:c r="M85" s="19" t="inlineStr">
        <ns0:is>
          <ns0:t>[]</ns0:t>
        </ns0:is>
      </ns0:c>
    </ns0:row>
    <ns0:row r="86" ht="65" customHeight="1">
      <ns0:c r="A86" s="21" t="inlineStr">
        <ns0:is>
          <ns0:t>88</ns0:t>
        </ns0:is>
      </ns0:c>
      <ns0:c r="B86" s="21" t="inlineStr">
        <ns0:is>
          <ns0:t>Facial Emotions Are Accurately Encoded in the Neural Signal of Those With Autism Spectrum Disorder: A Deep Learning Approach</ns0:t>
        </ns0:is>
      </ns0:c>
      <ns0:c r="C86" s="21" t="inlineStr">
        <ns0:is>
          <ns0:t>10.1016/j.bpsc.2021.03.015</ns0:t>
        </ns0:is>
      </ns0:c>
      <ns0:c r="D86" s="21" t="inlineStr">
        <ns0:is>
          <ns0:t>https://doi.org/10.1016/j.bpsc.2021.03.015</ns0:t>
        </ns0:is>
      </ns0:c>
      <ns0:c r="E86" s="21" t="inlineStr">
        <ns0:is>
          <ns0:t>Supplied abstract/coding notes; no new full-text verification</ns0:t>
        </ns0:is>
      </ns0:c>
      <ns0:c r="F86" s="21" t="inlineStr">
        <ns0:is>
          <ns0:t>EVIDENCIA; original abstract/coding notes and lot source trace; Historical signals: title/abstract/notes; full-text completion not independently established</ns0:t>
        </ns0:is>
      </ns0:c>
      <ns0:c r="G86" s="21" t="inlineStr">
        <ns0:is>
          <ns0:t>EEG emotion decoding across ASD and non-ASD samples is mechanistic characterization, not an evaluated intervention. Replication across samples does not alone establish transfer of a frozen classifier.
Independent sample replication reported; a trained-model transfer test is not established in accessible abstract.</ns0:t>
        </ns0:is>
      </ns0:c>
      <ns0:c r="H86" s="21" t="inlineStr">
        <ns0:is>
          <ns0: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ns0:t>
        </ns0:is>
      </ns0:c>
      <ns0:c r="I86" s="21" t="inlineStr"/>
      <ns0:c r="J86" s="21" t="inlineStr"/>
      <ns0:c r="K86" s="21" t="inlineStr"/>
      <ns0:c r="L86" s="21" t="inlineStr">
        <ns0:is>
          <ns0:t>Not documented in provided sources</ns0:t>
        </ns0:is>
      </ns0:c>
      <ns0:c r="M86" s="21" t="inlineStr">
        <ns0:is>
          <ns0:t>[]</ns0:t>
        </ns0:is>
      </ns0:c>
    </ns0:row>
    <ns0:row r="87" ht="189" customHeight="1">
      <ns0:c r="A87" s="19" t="inlineStr">
        <ns0:is>
          <ns0:t>89</ns0:t>
        </ns0:is>
      </ns0:c>
      <ns0:c r="B87" s="19" t="inlineStr">
        <ns0:is>
          <ns0:t>Feasibility Testing of a Wearable Behavioral Aid for Social Learning in Children with Autism</ns0:t>
        </ns0:is>
      </ns0:c>
      <ns0:c r="C87" s="19" t="inlineStr">
        <ns0:is>
          <ns0:t>10.1055/s-0038-1626727</ns0:t>
        </ns0:is>
      </ns0:c>
      <ns0:c r="D87" s="19" t="inlineStr">
        <ns0:is>
          <ns0:t>https://doi.org/10.1055/s-0038-1626727</ns0:t>
        </ns0:is>
      </ns0:c>
      <ns0:c r="E87" s="19" t="inlineStr">
        <ns0:is>
          <ns0:t>Supplied abstract/coding notes; no new full-text verification</ns0:t>
        </ns0:is>
      </ns0:c>
      <ns0:c r="F87" s="19" t="inlineStr">
        <ns0:is>
          <ns0:t>EVIDENCIA; original abstract/coding notes and lot source trace; Historical signals: title/abstract/notes; full-text completion not independently established</ns0:t>
        </ns0:is>
      </ns0:c>
      <ns0:c r="G87" s="19" t="inlineStr">
        <ns0:is>
          <ns0:t>Controlled feasibility experiment supplied emotion labels via wearable glasses to participants. The separate ASD classifier is an ancillary analysis, not proof of clinical ASD diagnosis using glasses.
Wearable feedback was evaluated in a laboratory; not routine care and not an external validation of ASD diagnosis.</ns0:t>
        </ns0:is>
      </ns0:c>
      <ns0:c r="H87" s="19" t="inlineStr">
        <ns0:is>
          <ns0: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ns0:t>
        </ns0:is>
      </ns0:c>
      <ns0:c r="I87" s="19" t="inlineStr">
        <ns0:is>
          <ns0:t>Clasificación ASD vs NC usando matrices de confusión de reconocimiento de emociones; el sistema (Google Glass) da ‘emotion labeling’, pero el clasificador principal para inferir ASD/NC es logistic regression</ns0:t>
        </ns0:is>
      </ns0:c>
      <ns0:c r="J87" s="19" t="inlineStr"/>
      <ns0:c r="K87" s="19" t="inlineStr"/>
      <ns0:c r="L87" s="19" t="inlineStr">
        <ns0:is>
          <ns0:t>Not documented in provided sources</ns0:t>
        </ns0:is>
      </ns0:c>
      <ns0:c r="M87" s="19" t="inlineStr">
        <ns0:is>
          <ns0:t>[]</ns0:t>
        </ns0:is>
      </ns0:c>
    </ns0:row>
    <ns0:row r="88" ht="93" customHeight="1">
      <ns0:c r="A88" s="21" t="inlineStr">
        <ns0:is>
          <ns0:t>90</ns0:t>
        </ns0:is>
      </ns0:c>
      <ns0:c r="B88" s="21" t="inlineStr">
        <ns0:is>
          <ns0:t>Handwriting-Based ADHD Detection for Children Having ASD Using Machine Learning Approaches</ns0:t>
        </ns0:is>
      </ns0:c>
      <ns0:c r="C88" s="21" t="inlineStr">
        <ns0:is>
          <ns0:t>10.1109/access.2023.3302903</ns0:t>
        </ns0:is>
      </ns0:c>
      <ns0:c r="D88" s="21" t="inlineStr">
        <ns0:is>
          <ns0:t>https://doi.org/10.1109/access.2023.3302903</ns0:t>
        </ns0:is>
      </ns0:c>
      <ns0:c r="E88" s="21" t="inlineStr">
        <ns0:is>
          <ns0:t>Supplied abstract/coding notes; no new full-text verification</ns0:t>
        </ns0:is>
      </ns0:c>
      <ns0:c r="F88" s="21" t="inlineStr">
        <ns0:is>
          <ns0:t>EVIDENCIA; original abstract/coding notes and lot source trace; Historical signals: title/abstract/notes; full-text completion not independently established</ns0:t>
        </ns0:is>
      </ns0:c>
      <ns0:c r="G88" s="21" t="inlineStr">
        <ns0:is>
          <ns0:t>Tablet handwriting features classify ADHD with co-occurring ASD versus healthy controls. Included as ASD-related differential assessment; specificity for ASD alone cannot be inferred.</ns0:t>
        </ns0:is>
      </ns0:c>
      <ns0:c r="H88" s="21" t="inlineStr">
        <ns0:is>
          <ns0: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ns0:t>
        </ns0:is>
      </ns0:c>
      <ns0:c r="I88" s="21" t="inlineStr">
        <ns0:is>
          <ns0:t>Target is ADHD with coexisting ASD vs healthy (not ASD diagnosis). RF best on periodic lines task.</ns0:t>
        </ns0:is>
      </ns0:c>
      <ns0:c r="J88" s="21" t="inlineStr"/>
      <ns0:c r="K88" s="21" t="inlineStr"/>
      <ns0:c r="L88" s="21" t="inlineStr">
        <ns0:is>
          <ns0:t>Not documented in provided sources</ns0:t>
        </ns0:is>
      </ns0:c>
      <ns0:c r="M88" s="21" t="inlineStr">
        <ns0:is>
          <ns0:t>[]</ns0:t>
        </ns0:is>
      </ns0:c>
    </ns0:row>
    <ns0:row r="89" ht="81" customHeight="1">
      <ns0:c r="A89" s="19" t="inlineStr">
        <ns0:is>
          <ns0:t>91</ns0:t>
        </ns0:is>
      </ns0:c>
      <ns0:c r="B89" s="19" t="inlineStr">
        <ns0:is>
          <ns0:t>Integrating Graph Convolutional Networks (GCNNs) and Long Short-Term Memory (LSTM) for Efficient Diagnosis of Autism</ns0:t>
        </ns0:is>
      </ns0:c>
      <ns0:c r="C89" s="19" t="inlineStr">
        <ns0:is>
          <ns0:t>10.1007/978-3-031-09342-5_11</ns0:t>
        </ns0:is>
      </ns0:c>
      <ns0:c r="D89" s="19" t="inlineStr">
        <ns0:is>
          <ns0:t>https://doi.org/10.1007/978-3-031-09342-5_11</ns0:t>
        </ns0:is>
      </ns0:c>
      <ns0:c r="E89" s="19" t="inlineStr">
        <ns0:is>
          <ns0:t>Supplied abstract/coding notes; no new full-text verification</ns0:t>
        </ns0:is>
      </ns0:c>
      <ns0:c r="F89" s="19" t="inlineStr">
        <ns0:is>
          <ns0:t>EVIDENCIA; original abstract/coding notes and lot source trace; Historical signals: title/abstract/notes; full-text completion not independently established</ns0:t>
        </ns0:is>
      </ns0:c>
      <ns0:c r="G89" s="19" t="inlineStr">
        <ns0:is>
          <ns0:t>ABIDE fMRI; combining graph and recurrent neural networks remains deep learning, not a conventional-ML/DL hybrid.</ns0:t>
        </ns0:is>
      </ns0:c>
      <ns0:c r="H89" s="19" t="inlineStr">
        <ns0:is>
          <ns0: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ns0:t>
        </ns0:is>
      </ns0:c>
      <ns0:c r="I89" s="19" t="inlineStr">
        <ns0:is>
          <ns0:t>Hybrid GCNN + LSTM on ABIDE fMRI; mapped to Other because GNN not in algorithm list.</ns0:t>
        </ns0:is>
      </ns0:c>
      <ns0:c r="J89" s="19" t="inlineStr"/>
      <ns0:c r="K89" s="19" t="inlineStr"/>
      <ns0:c r="L89" s="19" t="inlineStr">
        <ns0:is>
          <ns0:t>Not documented in provided sources</ns0:t>
        </ns0:is>
      </ns0:c>
      <ns0:c r="M89" s="19" t="inlineStr">
        <ns0:is>
          <ns0:t>[]</ns0:t>
        </ns0:is>
      </ns0:c>
    </ns0:row>
    <ns0:row r="90" ht="93" customHeight="1">
      <ns0:c r="A90" s="21" t="inlineStr">
        <ns0:is>
          <ns0:t>92</ns0:t>
        </ns0:is>
      </ns0:c>
      <ns0:c r="B90" s="21" t="inlineStr">
        <ns0:is>
          <ns0:t>Learning discriminative functional connectivity networks for identifying Autism spectrum disorder</ns0:t>
        </ns0:is>
      </ns0:c>
      <ns0:c r="C90" s="21" t="inlineStr">
        <ns0:is>
          <ns0:t>10.1016/j.bspc.2024.107466</ns0:t>
        </ns0:is>
      </ns0:c>
      <ns0:c r="D90" s="21" t="inlineStr">
        <ns0:is>
          <ns0:t>https://doi.org/10.1016/j.bspc.2024.107466</ns0:t>
        </ns0:is>
      </ns0:c>
      <ns0:c r="E90" s="21" t="inlineStr">
        <ns0:is>
          <ns0:t>Supplied abstract/coding notes; no new full-text verification</ns0:t>
        </ns0:is>
      </ns0:c>
      <ns0:c r="F90" s="21" t="inlineStr">
        <ns0:is>
          <ns0:t>EVIDENCIA; original abstract/coding notes and lot source trace; Historical signals: title/abstract/notes; full-text completion not independently established</ns0:t>
        </ns0:is>
      </ns0:c>
      <ns0:c r="G90" s="21" t="inlineStr">
        <ns0:is>
          <ns0:t>Projection-matrix and connectivity learning, with no deep architecture specified in accessible source. A mathematical brain network is not automatically a neural network.</ns0:t>
        </ns0:is>
      </ns0:c>
      <ns0:c r="H90" s="21" t="inlineStr">
        <ns0:is>
          <ns0: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ns0:t>
        </ns0:is>
      </ns0:c>
      <ns0:c r="I90" s="21" t="inlineStr">
        <ns0:is>
          <ns0:t>Algoritmo principal no explícito o fuera del codebook; Confirmar algoritmo principal en full-text</ns0:t>
        </ns0:is>
      </ns0:c>
      <ns0:c r="J90" s="21" t="inlineStr"/>
      <ns0:c r="K90" s="21" t="inlineStr"/>
      <ns0:c r="L90" s="21" t="inlineStr">
        <ns0:is>
          <ns0:t>Not documented in provided sources</ns0:t>
        </ns0:is>
      </ns0:c>
      <ns0:c r="M90" s="21" t="inlineStr">
        <ns0:is>
          <ns0:t>[]</ns0:t>
        </ns0:is>
      </ns0:c>
    </ns0:row>
    <ns0:row r="91" ht="93" customHeight="1">
      <ns0:c r="A91" s="19" t="inlineStr">
        <ns0:is>
          <ns0:t>94</ns0:t>
        </ns0:is>
      </ns0:c>
      <ns0:c r="B91" s="19" t="inlineStr">
        <ns0:is>
          <ns0:t>Optimizing a de novo artificial intelligence-based medical device under a predetermined change control plan: Improved ability to detect or rule out pediatric autism</ns0:t>
        </ns0:is>
      </ns0:c>
      <ns0:c r="C91" s="19" t="inlineStr">
        <ns0:is>
          <ns0:t>10.1016/j.ibmed.2023.100102</ns0:t>
        </ns0:is>
      </ns0:c>
      <ns0:c r="D91" s="19" t="inlineStr">
        <ns0:is>
          <ns0:t>https://doi.org/10.1016/j.ibmed.2023.100102</ns0:t>
        </ns0:is>
      </ns0:c>
      <ns0:c r="E91" s="19" t="inlineStr">
        <ns0:is>
          <ns0:t>Supplied abstract/coding notes; no new full-text verification</ns0:t>
        </ns0:is>
      </ns0:c>
      <ns0:c r="F91" s="19" t="inlineStr">
        <ns0:is>
          <ns0:t>EVIDENCIA; original abstract/coding notes and lot source trace; Historical signals: title/abstract/notes; full-text completion not independently established</ns0:t>
        </ns0:is>
      </ns0:c>
      <ns0:c r="G91" s="19" t="inlineStr">
        <ns0:is>
          <ns0:t>Authorized device algorithm update is not itself evidence of prospective physician use of the new version. Source describes diagnostic threshold optimization, not general screening or an explicit deep architecture.</ns0:t>
        </ns0:is>
      </ns0:c>
      <ns0:c r="H91" s="19" t="inlineStr">
        <ns0:is>
          <ns0: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ns0:t>
        </ns0:is>
      </ns0:c>
      <ns0:c r="I91" s="19" t="inlineStr">
        <ns0:is>
          <ns0:t>Algoritmo principal no explícito o fuera del codebook; Confirmar algoritmo principal en full-text</ns0:t>
        </ns0:is>
      </ns0:c>
      <ns0:c r="J91" s="19" t="inlineStr"/>
      <ns0:c r="K91" s="19" t="inlineStr"/>
      <ns0:c r="L91" s="19" t="inlineStr">
        <ns0:is>
          <ns0:t>Not documented in provided sources</ns0:t>
        </ns0:is>
      </ns0:c>
      <ns0:c r="M91" s="19" t="inlineStr">
        <ns0:is>
          <ns0:t>[]</ns0:t>
        </ns0:is>
      </ns0:c>
    </ns0:row>
    <ns0:row r="92" ht="93" customHeight="1">
      <ns0:c r="A92" s="21" t="inlineStr">
        <ns0:is>
          <ns0:t>95</ns0:t>
        </ns0:is>
      </ns0:c>
      <ns0:c r="B92" s="21" t="inlineStr">
        <ns0:is>
          <ns0:t>Physician Versus Large Language Model Chatbot Responses to Web-Based Questions From Autistic Patients in Chinese: Cross-Sectional Comparative Analysis</ns0:t>
        </ns0:is>
      </ns0:c>
      <ns0:c r="C92" s="21" t="inlineStr">
        <ns0:is>
          <ns0:t>10.2196/54706</ns0:t>
        </ns0:is>
      </ns0:c>
      <ns0:c r="D92" s="21" t="inlineStr">
        <ns0:is>
          <ns0:t>https://doi.org/10.2196/54706</ns0:t>
        </ns0:is>
      </ns0:c>
      <ns0:c r="E92" s="21" t="inlineStr">
        <ns0:is>
          <ns0:t>Supplied abstract/coding notes; no new full-text verification</ns0:t>
        </ns0:is>
      </ns0:c>
      <ns0:c r="F92" s="21" t="inlineStr">
        <ns0:is>
          <ns0:t>EVIDENCIA; original abstract/coding notes and lot source trace; Historical signals: title/abstract/notes; full-text completion not independently established</ns0:t>
        </ns0:is>
      </ns0:c>
      <ns0:c r="G92" s="21" t="inlineStr">
        <ns0:is>
          <ns0:t>Comparison of generated versus physician answers to archived patient questions; no real-time clinical advice delivery or intervention is evaluated.</ns0:t>
        </ns0:is>
      </ns0:c>
      <ns0:c r="H92" s="21" t="inlineStr">
        <ns0:is>
          <ns0: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ns0:t>
        </ns0:is>
      </ns0:c>
      <ns0:c r="I92" s="21" t="inlineStr">
        <ns0:is>
          <ns0:t>Compara respuestas de médicos vs LLMs a preguntas web; no mapea claramente a una etapa clínica RQ1.</ns0:t>
        </ns0:is>
      </ns0:c>
      <ns0:c r="J92" s="21" t="inlineStr"/>
      <ns0:c r="K92" s="21" t="inlineStr"/>
      <ns0:c r="L92" s="21" t="inlineStr">
        <ns0:is>
          <ns0:t>Not documented in provided sources</ns0:t>
        </ns0:is>
      </ns0:c>
      <ns0:c r="M92" s="21" t="inlineStr">
        <ns0:is>
          <ns0:t>[]</ns0:t>
        </ns0:is>
      </ns0:c>
    </ns0:row>
    <ns0:row r="93" ht="105" customHeight="1">
      <ns0:c r="A93" s="19" t="inlineStr">
        <ns0:is>
          <ns0:t>96</ns0:t>
        </ns0:is>
      </ns0:c>
      <ns0:c r="B93" s="19" t="inlineStr">
        <ns0:is>
          <ns0:t>Polychlorinated biphenyls influence on autism spectrum disorder risk in the MARBLES cohort</ns0:t>
        </ns0:is>
      </ns0:c>
      <ns0:c r="C93" s="19" t="inlineStr">
        <ns0:is>
          <ns0:t>10.1016/j.envres.2018.12.061</ns0:t>
        </ns0:is>
      </ns0:c>
      <ns0:c r="D93" s="19" t="inlineStr">
        <ns0:is>
          <ns0:t>https://doi.org/10.1016/j.envres.2018.12.061</ns0:t>
        </ns0:is>
      </ns0:c>
      <ns0:c r="E93" s="19" t="inlineStr">
        <ns0:is>
          <ns0:t>Supplied abstract/coding notes; no new full-text verification</ns0:t>
        </ns0:is>
      </ns0:c>
      <ns0:c r="F93" s="19" t="inlineStr">
        <ns0:is>
          <ns0:t>EVIDENCIA; original abstract/coding notes and lot source trace; Historical signals: title/abstract/notes; full-text completion not independently established</ns0:t>
        </ns0:is>
      </ns0:c>
      <ns0:c r="G93" s="19" t="inlineStr">
        <ns0:is>
          <ns0:t>Exposure-association epidemiology with multinomial odds ratios. DL denotes dioxin-like PCB, not deep learning; source notes explicitly identify non-ML analysis.</ns0:t>
        </ns0:is>
      </ns0:c>
      <ns0:c r="H93" s="19" t="inlineStr">
        <ns0:is>
          <ns0:t>Background: Autism spectrum disorder (ASD) is suspected to have environmental and genetic contributions. Polychlorinated biphenyls (PCBs) are environmental risk factors of interest due to their potential as neurodevelopmental toxicants and environmental persistence despite a US production ban in the 1970s. Methods: Participants were mother-child pairs from MARBLES, a high-risk pregnancy cohort that enrolls families who have one child diagnosed with ASD and are planning to have another child. PCB concentrations were measured in maternal blood at each trimester of pregnancy using gas chromatography coupled with triple quadruple mass spectrometry. Concentrations were summed into total PCB and two categories based on function/mechanisms of action: dioxin-like (DL), and ryanodine receptor (RyR)-activating PCBs. Multinomial logistic regression assessed risk of clinical outcome classification of ASD and non-typical development (Non-TD) compared to typically developing (TD) in the children at 3 years old. Results: A total of 104 mother-child pairs were included. There were no significant associations for total PCB; however, there were borderline significant associations between DL-PCBs and decreased risk for Non-TD outcome classification (adjusted OR: 0.41 (95% CI 0.15–1.14)) and between RyR-activating PCBs and increased risk for ASD outcome classification (adjusted OR: 2.63 (95% CI 0.87–7.97)). Conclusion: This study does not provide strong supporting evidence that PCBs are risk factors for ASD or Non-TD. However, these analyses suggest the need to explore more deeply into subsets of PCBs as risk factors based on their function and structure in larger cohort studies where non-monotonic dose-response patterns can be better evaluated.</ns0:t>
        </ns0:is>
      </ns0:c>
      <ns0:c r="I93" s="19" t="inlineStr">
        <ns0:is>
          <ns0:t>Epidemiologic multinomial logistic regression (not ML/AI). Outcome categories ASD / Non-TD / TD at 3 years</ns0:t>
        </ns0:is>
      </ns0:c>
      <ns0:c r="J93" s="19" t="inlineStr"/>
      <ns0:c r="K93" s="19" t="inlineStr"/>
      <ns0:c r="L93" s="19" t="inlineStr">
        <ns0:is>
          <ns0:t>Not documented in provided sources</ns0:t>
        </ns0:is>
      </ns0:c>
      <ns0:c r="M93" s="19" t="inlineStr">
        <ns0:is>
          <ns0:t>[]</ns0:t>
        </ns0:is>
      </ns0:c>
    </ns0:row>
    <ns0:row r="94" ht="201" customHeight="1">
      <ns0:c r="A94" s="21" t="inlineStr">
        <ns0:is>
          <ns0:t>97</ns0:t>
        </ns0:is>
      </ns0:c>
      <ns0:c r="B94" s="21" t="inlineStr">
        <ns0:is>
          <ns0:t>Predicting Core Characteristics of ASD Through Facial Emotion Recognition and Eye Tracking in Youth.</ns0:t>
        </ns0:is>
      </ns0:c>
      <ns0:c r="C94" s="21" t="inlineStr">
        <ns0:is>
          <ns0:t>10.1109/embc44109.2020.9176843</ns0:t>
        </ns0:is>
      </ns0:c>
      <ns0:c r="D94" s="21" t="inlineStr">
        <ns0:is>
          <ns0:t>https://doi.org/10.1109/embc44109.2020.9176843</ns0:t>
        </ns0:is>
      </ns0:c>
      <ns0:c r="E94" s="21" t="inlineStr">
        <ns0:is>
          <ns0:t>Supplied abstract/coding notes; no new full-text verification</ns0:t>
        </ns0:is>
      </ns0:c>
      <ns0:c r="F94" s="21" t="inlineStr">
        <ns0:is>
          <ns0:t>EVIDENCIA; original abstract/coding notes and lot source trace; Historical signals: title/abstract/notes; full-text completion not independently established</ns0:t>
        </ns0:is>
      </ns0:c>
      <ns0:c r="G94" s="21" t="inlineStr">
        <ns0:is>
          <ns0:t>Predicts contemporaneous SRS-2/RBS-R scores from emotion-task performance and eye tracking; diagnostic characterization, not a longitudinal prognostic endpoint.</ns0:t>
        </ns0:is>
      </ns0:c>
      <ns0:c r="H94" s="21" t="inlineStr">
        <ns0:is>
          <ns0: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ns0:t>
        </ns0:is>
      </ns0:c>
      <ns0:c r="I94" s="21" t="inlineStr">
        <ns0:is>
          <ns0:t>aunque el paper comenta que el enfoque “may serve as a classifier for ASD diagnosis” y muestra ROC para clasificación, el pipeline principal reportado es regresión de puntajes; por eso conviene codificarlo como Regression</ns0:t>
        </ns0:is>
      </ns0:c>
      <ns0:c r="J94" s="21" t="inlineStr"/>
      <ns0:c r="K94" s="21" t="inlineStr"/>
      <ns0:c r="L94" s="21" t="inlineStr">
        <ns0:is>
          <ns0:t>Not documented in provided sources</ns0:t>
        </ns0:is>
      </ns0:c>
      <ns0:c r="M94" s="21" t="inlineStr">
        <ns0:is>
          <ns0:t>[]</ns0:t>
        </ns0:is>
      </ns0:c>
    </ns0:row>
    <ns0:row r="95" ht="81" customHeight="1">
      <ns0:c r="A95" s="19" t="inlineStr">
        <ns0:is>
          <ns0:t>98</ns0:t>
        </ns0:is>
      </ns0:c>
      <ns0:c r="B95" s="19" t="inlineStr">
        <ns0:is>
          <ns0:t>Self-supervised machine learning approach for autism detection in young children using MEG signals</ns0:t>
        </ns0:is>
      </ns0:c>
      <ns0:c r="C95" s="19" t="inlineStr">
        <ns0:is>
          <ns0:t>10.1016/j.bspc.2024.106671</ns0:t>
        </ns0:is>
      </ns0:c>
      <ns0:c r="D95" s="19" t="inlineStr">
        <ns0:is>
          <ns0:t>https://doi.org/10.1016/j.bspc.2024.106671</ns0:t>
        </ns0:is>
      </ns0:c>
      <ns0:c r="E95" s="19" t="inlineStr">
        <ns0:is>
          <ns0:t>Supplied abstract/coding notes; no new full-text verification</ns0:t>
        </ns0:is>
      </ns0:c>
      <ns0:c r="F95" s="19" t="inlineStr">
        <ns0:is>
          <ns0:t>EVIDENCIA; original abstract/coding notes and lot source trace; Historical signals: title/abstract/notes; full-text completion not independently established</ns0:t>
        </ns0:is>
      </ns0:c>
      <ns0:c r="G95" s="19" t="inlineStr">
        <ns0:is>
          <ns0:t>MEG remains the input despite speech pretraining; best reported classifier is neural. An alternative SVM branch is documented but not substituted for the principal pipeline.</ns0:t>
        </ns0:is>
      </ns0:c>
      <ns0:c r="H95" s="19" t="inlineStr">
        <ns0:is>
          <ns0: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ns0:t>
        </ns0:is>
      </ns0:c>
      <ns0:c r="I95" s="19" t="inlineStr">
        <ns0:is>
          <ns0:t>SSL con wav2vec 2.0 para extraer embeddings MEG; clasificación final con ANN/SVM.</ns0:t>
        </ns0:is>
      </ns0:c>
      <ns0:c r="J95" s="19" t="inlineStr"/>
      <ns0:c r="K95" s="19" t="inlineStr"/>
      <ns0:c r="L95" s="19" t="inlineStr">
        <ns0:is>
          <ns0:t>Not documented in provided sources</ns0:t>
        </ns0:is>
      </ns0:c>
      <ns0:c r="M95" s="19" t="inlineStr">
        <ns0:is>
          <ns0:t>[]</ns0:t>
        </ns0:is>
      </ns0:c>
    </ns0:row>
    <ns0:row r="96" ht="93" customHeight="1">
      <ns0:c r="A96" s="21" t="inlineStr">
        <ns0:is>
          <ns0:t>99</ns0:t>
        </ns0:is>
      </ns0:c>
      <ns0:c r="B96" s="21" t="inlineStr">
        <ns0:is>
          <ns0:t>Serum Brain-derived neurotrophic factor levels in Chinese children with autism spectrum disorders: A pilot study</ns0:t>
        </ns0:is>
      </ns0:c>
      <ns0:c r="C96" s="21" t="inlineStr">
        <ns0:is>
          <ns0:t>10.1016/j.ijdevneu.2014.06.013</ns0:t>
        </ns0:is>
      </ns0:c>
      <ns0:c r="D96" s="21" t="inlineStr">
        <ns0:is>
          <ns0:t>https://doi.org/10.1016/j.ijdevneu.2014.06.013</ns0:t>
        </ns0:is>
      </ns0:c>
      <ns0:c r="E96" s="21" t="inlineStr">
        <ns0:is>
          <ns0:t>Supplied abstract/coding notes; no new full-text verification</ns0:t>
        </ns0:is>
      </ns0:c>
      <ns0:c r="F96" s="21" t="inlineStr">
        <ns0:is>
          <ns0:t>EVIDENCIA; original abstract/coding notes and lot source trace; Historical signals: title/abstract/notes; full-text completion not independently established</ns0:t>
        </ns0:is>
      </ns0:c>
      <ns0:c r="G96" s="21" t="inlineStr">
        <ns0:is>
          <ns0:t>Serum BDNF association and ROC threshold analysis; no AI model is described and the prior RQ2 adjudication explicitly found no AI/ML system.</ns0:t>
        </ns0:is>
      </ns0:c>
      <ns0:c r="H96" s="21" t="inlineStr">
        <ns0:is>
          <ns0: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ns0:t>
        </ns0:is>
      </ns0:c>
      <ns0:c r="I96" s="21" t="inlineStr">
        <ns0:is>
          <ns0:t>Estudio de biomarcador sérico (BDNF) con ROC; no se describe algoritmo de IA/ML principal.</ns0:t>
        </ns0:is>
      </ns0:c>
      <ns0:c r="J96" s="21" t="inlineStr"/>
      <ns0:c r="K96" s="21" t="inlineStr"/>
      <ns0:c r="L96" s="21" t="inlineStr">
        <ns0:is>
          <ns0:t>Not documented in provided sources</ns0:t>
        </ns0:is>
      </ns0:c>
      <ns0:c r="M96" s="21" t="inlineStr">
        <ns0:is>
          <ns0:t>[]</ns0:t>
        </ns0:is>
      </ns0:c>
    </ns0:row>
    <ns0:row r="97" ht="105" customHeight="1">
      <ns0:c r="A97" s="19" t="inlineStr">
        <ns0:is>
          <ns0:t>100</ns0:t>
        </ns0:is>
      </ns0:c>
      <ns0:c r="B97" s="19" t="inlineStr">
        <ns0:is>
          <ns0:t>Sex Differences in Functional Gradients and Dynamic Functional Connectivity in Preschool-Aged Children With ASD</ns0:t>
        </ns0:is>
      </ns0:c>
      <ns0:c r="C97" s="19" t="inlineStr">
        <ns0:is>
          <ns0:t>10.1111/cns.70562</ns0:t>
        </ns0:is>
      </ns0:c>
      <ns0:c r="D97" s="19" t="inlineStr">
        <ns0:is>
          <ns0:t>https://doi.org/10.1111/cns.70562</ns0:t>
        </ns0:is>
      </ns0:c>
      <ns0:c r="E97" s="19" t="inlineStr">
        <ns0:is>
          <ns0:t>Supplied abstract/coding notes; no new full-text verification</ns0:t>
        </ns0:is>
      </ns0:c>
      <ns0:c r="F97" s="19" t="inlineStr">
        <ns0:is>
          <ns0:t>EVIDENCIA; original abstract/coding notes and lot source trace; Historical signals: title/abstract/notes; full-text completion not independently established</ns0:t>
        </ns0:is>
      </ns0:c>
      <ns0:c r="G97" s="19" t="inlineStr">
        <ns0:is>
          <ns0:t>Functional-gradient and dynamic-connectivity MRI features classify ASD versus TD; no deep classifier is specified in the accessible abstract.</ns0:t>
        </ns0:is>
      </ns0:c>
      <ns0:c r="H97" s="19" t="inlineStr">
        <ns0:is>
          <ns0: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ns0:t>
        </ns0:is>
      </ns0:c>
      <ns0:c r="I97" s="19" t="inlineStr">
        <ns0:is>
          <ns0:t>Se aplican múltiples modelos ML a características de conectividad/gradientes; algoritmo principal no especificado.</ns0:t>
        </ns0:is>
      </ns0:c>
      <ns0:c r="J97" s="19" t="inlineStr"/>
      <ns0:c r="K97" s="19" t="inlineStr"/>
      <ns0:c r="L97" s="19" t="inlineStr">
        <ns0:is>
          <ns0:t>Not documented in provided sources</ns0:t>
        </ns0:is>
      </ns0:c>
      <ns0:c r="M97" s="19" t="inlineStr">
        <ns0:is>
          <ns0:t>[]</ns0:t>
        </ns0:is>
      </ns0:c>
    </ns0:row>
    <ns0:row r="98" ht="153" customHeight="1">
      <ns0:c r="A98" s="21" t="inlineStr">
        <ns0:is>
          <ns0:t>102</ns0:t>
        </ns0:is>
      </ns0:c>
      <ns0:c r="B98" s="21" t="inlineStr">
        <ns0:is>
          <ns0:t>Toward continuous social phenotyping: Analyzing gaze patterns in an emotion recognition task for children with autism through wearable smart glasses</ns0:t>
        </ns0:is>
      </ns0:c>
      <ns0:c r="C98" s="21" t="inlineStr">
        <ns0:is>
          <ns0:t>10.2196/13810</ns0:t>
        </ns0:is>
      </ns0:c>
      <ns0:c r="D98" s="21" t="inlineStr">
        <ns0:is>
          <ns0:t>https://doi.org/10.2196/13810</ns0:t>
        </ns0:is>
      </ns0:c>
      <ns0:c r="E98" s="21" t="inlineStr">
        <ns0:is>
          <ns0:t>Supplied abstract/coding notes; no new full-text verification</ns0:t>
        </ns0:is>
      </ns0:c>
      <ns0:c r="F98" s="21" t="inlineStr">
        <ns0:is>
          <ns0:t>EVIDENCIA; original abstract/coding notes and lot source trace; Historical signals: title/abstract/notes; full-text completion not independently established</ns0:t>
        </ns0:is>
      </ns0:c>
      <ns0:c r="G98" s="21" t="inlineStr">
        <ns0:is>
          <ns0:t>Wearable gaze collection is tested, but diagnostic model performance is investigated offline; a wearable form factor alone does not establish clinical integration.</ns0:t>
        </ns0:is>
      </ns0:c>
      <ns0:c r="H98" s="21" t="inlineStr">
        <ns0:is>
          <ns0: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ns0:t>
        </ns0:is>
      </ns0:c>
      <ns0:c r="I98" s="21" t="inlineStr">
        <ns0:is>
          <ns0:t>Algoritmo principal no explícito o fuera del codebook; Confirmar algoritmo principal en full-text; Se comparan varios modelos; se eligió el principal/mejor reportado</ns0:t>
        </ns0:is>
      </ns0:c>
      <ns0:c r="J98" s="21" t="inlineStr"/>
      <ns0:c r="K98" s="21" t="inlineStr"/>
      <ns0:c r="L98" s="21" t="inlineStr">
        <ns0:is>
          <ns0:t>Not documented in provided sources</ns0:t>
        </ns0:is>
      </ns0:c>
      <ns0:c r="M98" s="21" t="inlineStr">
        <ns0:is>
          <ns0:t>[]</ns0:t>
        </ns0:is>
      </ns0:c>
    </ns0:row>
    <ns0:row r="99" ht="165" customHeight="1">
      <ns0:c r="A99" s="19" t="inlineStr">
        <ns0:is>
          <ns0:t>103</ns0:t>
        </ns0:is>
      </ns0:c>
      <ns0:c r="B99" s="19" t="inlineStr">
        <ns0:is>
          <ns0:t>Using machine learning to identify patterns of lifetime health problems in decedents with autism spectrum disorder</ns0:t>
        </ns0:is>
      </ns0:c>
      <ns0:c r="C99" s="19" t="inlineStr">
        <ns0:is>
          <ns0:t>10.1002/aur.1960</ns0:t>
        </ns0:is>
      </ns0:c>
      <ns0:c r="D99" s="19" t="inlineStr">
        <ns0:is>
          <ns0:t>https://doi.org/10.1002/aur.1960</ns0:t>
        </ns0:is>
      </ns0:c>
      <ns0:c r="E99" s="19" t="inlineStr">
        <ns0:is>
          <ns0:t>Supplied abstract/coding notes; no new full-text verification</ns0:t>
        </ns0:is>
      </ns0:c>
      <ns0:c r="F99" s="19" t="inlineStr">
        <ns0:is>
          <ns0:t>EVIDENCIA; original abstract/coding notes and lot source trace; Historical signals: title/abstract/notes; full-text completion not independently established</ns0:t>
        </ns0:is>
      </ns0:c>
      <ns0:c r="G99" s="19" t="inlineStr">
        <ns0:is>
          <ns0:t>Lifetime diagnostic-code patterns in decedents are retrospective care characterization, not prospective monitoring or multisource sensor integration.</ns0:t>
        </ns0:is>
      </ns0:c>
      <ns0:c r="H99" s="19" t="inlineStr">
        <ns0:is>
          <ns0:t>Very little is known about the health problems experienced by individuals with autism spectrum disorder (ASD) throughout their life course. We retrospectively analyzed diagnostic codes associated with de-identified electronic health records using a machine learning algorithm to characterize diagnostic patterns in decedents with ASD and matched decedent community controls. Participants were 91 decedents with ASD and 6,186 sex and birth year matched decedent community controls who had died since 1979, the majority of whom were middle aged or older adults at the time of their death. We analyzed all ICD-9 codes, V-codes, and E-codes available in the electronic health record and Elixhauser comorbidity categories associated with those codes. Diagnostic patterns distinguished decedents with ASD from decedent community controls with 75% sensitivity and 94% specificity solely based on their lifetime ICD-9 codes, V-codes, and E-codes. Decedents with ASD had higher rates of most conditions, including cardiovascular disease, motor problems, ear problems, urinary problems, digestive problems, side effects from long-term medication use, and nonspecific lab tests and encounters. In contrast, decedents with ASD had lower rates of cancer. Findings suggest distinctive lifetime diagnostic patterns among decedents with ASD and highlight the need for more research on health outcomes across the lifespan as the population of individuals with ASD ages. As a large wave of individuals with ASD diagnosed in the 1990s enters adulthood and middle age, knowledge about lifetime health problems will become increasingly important for care and prevention efforts. Autism Res 2018, 11: 1120–1128. © 2018 International Society for Autism Research, Wiley Periodicals, Inc. Lay Summary: This study looked at patterns of lifetime health problems to find differences between people with autism who had died and community controls who had died. People with autism had higher rates of most health problems, including cardiovascular, urinary, respiratory, digestive, and motor problems, in their electronic health records. They also had lower rates of cancer. More research is needed to understand these potential health risks as a large number of individuals with autism enter adulthood and middle age.</ns0:t>
        </ns0:is>
      </ns0:c>
      <ns0:c r="I99" s="19" t="inlineStr">
        <ns0:is>
          <ns0:t>la clasificación se hace a partir de códigos ICD-9/V/E de EHR en decedentes, para distinguir patrones de salud de por vida (no es biomarcador directo ni herramienta clínica prospectiva).</ns0:t>
        </ns0:is>
      </ns0:c>
      <ns0:c r="J99" s="19" t="inlineStr"/>
      <ns0:c r="K99" s="19" t="inlineStr"/>
      <ns0:c r="L99" s="19" t="inlineStr">
        <ns0:is>
          <ns0:t>Not documented in provided sources</ns0:t>
        </ns0:is>
      </ns0:c>
      <ns0:c r="M99" s="19" t="inlineStr">
        <ns0:is>
          <ns0:t>[]</ns0:t>
        </ns0:is>
      </ns0:c>
    </ns0:row>
    <ns0:row r="100" ht="165" customHeight="1">
      <ns0:c r="A100" s="21" t="inlineStr">
        <ns0:is>
          <ns0:t>104</ns0:t>
        </ns0:is>
      </ns0:c>
      <ns0:c r="B100" s="21" t="inlineStr">
        <ns0:is>
          <ns0:t>A Framework for Comparison and Interpretation of Machine Learning Classifiers to Predict Autism on the ABIDE Dataset</ns0:t>
        </ns0:is>
      </ns0:c>
      <ns0:c r="C100" s="21" t="inlineStr">
        <ns0:is>
          <ns0:t>10.1002/hbm.70190</ns0:t>
        </ns0:is>
      </ns0:c>
      <ns0:c r="D100" s="21" t="inlineStr">
        <ns0:is>
          <ns0:t>https://doi.org/10.1002/hbm.70190</ns0:t>
        </ns0:is>
      </ns0:c>
      <ns0:c r="E100" s="21" t="inlineStr">
        <ns0:is>
          <ns0:t>Supplied abstract/coding notes; no new full-text verification</ns0:t>
        </ns0:is>
      </ns0:c>
      <ns0:c r="F100" s="21" t="inlineStr">
        <ns0:is>
          <ns0:t>EVIDENCIA; original abstract/coding notes and lot source trace; Historical signals: title/abstract/notes; full-text completion not independently established</ns0:t>
        </ns0:is>
      </ns0:c>
      <ns0:c r="G100" s="21" t="inlineStr">
        <ns0:is>
          <ns0:t>Explicit benchmark compares heterogeneous models under equal testing conditions. Do not call comparison itself a hybrid pipeline; retain ensemble/multiple-model status and explicit SmoothGrad explanations.</ns0:t>
        </ns0:is>
      </ns0:c>
      <ns0:c r="H100" s="21" t="inlineStr">
        <ns0:is>
          <ns0:t>Autism is a neurodevelopmental condition affecting ~1% of the population. Recently, machine learning models have been trained to classify participants with autism using their neuroimaging features, though the performance of these models varies in the literature. Differences in experimental setup hamper the direct comparison of different machine-learning approaches. In this paper, five of the most widely used and best-performing machine learning models in the field were trained to classify participants with autism and typically developing (TD) participants, using functional connectivity matrices, structural volumetric measures, and phenotypic information from the Autism Brain Imaging Data Exchange (ABIDE) dataset. Their performance was compared under the same evaluation standard. The models implemented included: graph convolutional networks (GCN), edge-variational graph convolutional networks (EV-GCN), fully connected networks (FCN), autoencoder followed by a fully connected network (AE-FCN) and support vector machine (SVM). Our results show that all models performed similarly, achieving a classification accuracy around 70%. Our results suggest that different inclusion criteria, data modalities, and evaluation pipelines rather than different machine learning models may explain variations in accuracy in the published literature. The highest accuracy in our framework was obtained when using ensemble models (p &lt; 0.001), leading to an accuracy of 72.2% and AUC = 0.77 using GCN classifiers. However, an SVM classifier performed with an accuracy of 70.1% and AUC = 0.77, just marginally below GCN, and significant differences were not found when comparing different algorithms under the same testing conditions (p &gt; 0.05). Furthermore, we also investigated the stability of features identified by the different machine learning models using the SmoothGrad interpretation method. The FCN model demonstrated the highest stability in selecting relevant features contributing to model decision making. The code is available at https://github.com/YilanDong19/Machine-learning-with-ABIDE.</ns0:t>
        </ns0:is>
      </ns0:c>
      <ns0:c r="I100" s="21" t="inlineStr">
        <ns0:is>
          <ns0:t>este paper es benchmark/comparación bajo un marco estandarizado; reporta que el mayor desempeño se obtiene con ensemble y resultados cercanos entre modelos (GCN/EV-GCN/FCN/AE-FCN/SVM)</ns0:t>
        </ns0:is>
      </ns0:c>
      <ns0:c r="J100" s="21" t="inlineStr"/>
      <ns0:c r="K100" s="21" t="inlineStr"/>
      <ns0:c r="L100" s="21" t="inlineStr">
        <ns0:is>
          <ns0:t>Not documented in provided sources</ns0:t>
        </ns0:is>
      </ns0:c>
      <ns0:c r="M100" s="21" t="inlineStr">
        <ns0:is>
          <ns0:t>[]</ns0:t>
        </ns0:is>
      </ns0:c>
    </ns0:row>
    <ns0:row r="101" ht="189" customHeight="1">
      <ns0:c r="A101" s="19" t="inlineStr">
        <ns0:is>
          <ns0:t>105</ns0:t>
        </ns0:is>
      </ns0:c>
      <ns0:c r="B101" s="19" t="inlineStr">
        <ns0:is>
          <ns0:t>A Novel Deep Learning Approach for Recognizing Stereotypical Motor Movements within and across Subjects on the Autism Spectrum Disorder</ns0:t>
        </ns0:is>
      </ns0:c>
      <ns0:c r="C101" s="19" t="inlineStr">
        <ns0:is>
          <ns0:t>10.1155/2018/7186762</ns0:t>
        </ns0:is>
      </ns0:c>
      <ns0:c r="D101" s="19" t="inlineStr">
        <ns0:is>
          <ns0:t>https://doi.org/10.1155/2018/7186762</ns0:t>
        </ns0:is>
      </ns0:c>
      <ns0:c r="E101" s="19" t="inlineStr">
        <ns0:is>
          <ns0:t>Supplied abstract/coding notes; no new full-text verification</ns0:t>
        </ns0:is>
      </ns0:c>
      <ns0:c r="F101" s="19" t="inlineStr">
        <ns0:is>
          <ns0:t>EVIDENCIA; original abstract/coding notes and lot source trace; Historical signals: title/abstract/notes; full-text completion not independently established</ns0:t>
        </ns0:is>
      </ns0:c>
      <ns0:c r="G101" s="19" t="inlineStr">
        <ns0:is>
          <ns0:t>Stereotyped-movement recognition from wearable kinematics, including cross-subject transfer. Cross-subject testing is not cross-site robustness.</ns0:t>
        </ns0:is>
      </ns0:c>
      <ns0:c r="H101" s="19" t="inlineStr">
        <ns0:is>
          <ns0: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ns0:t>
        </ns0:is>
      </ns0:c>
      <ns0:c r="I101" s="19" t="inlineStr">
        <ns0:is>
          <ns0:t>para el escenario across-subjects combinan transfer learning + SVM classifier. Si tu Excel solo permite un algoritmo principal, deja CNN como principal y anota “SVM + transfer learning para across-subject”</ns0:t>
        </ns0:is>
      </ns0:c>
      <ns0:c r="J101" s="19" t="inlineStr"/>
      <ns0:c r="K101" s="19" t="inlineStr"/>
      <ns0:c r="L101" s="19" t="inlineStr">
        <ns0:is>
          <ns0:t>Not documented in provided sources</ns0:t>
        </ns0:is>
      </ns0:c>
      <ns0:c r="M101" s="19" t="inlineStr">
        <ns0:is>
          <ns0:t>[]</ns0:t>
        </ns0:is>
      </ns0:c>
    </ns0:row>
    <ns0:row r="102" ht="165" customHeight="1">
      <ns0:c r="A102" s="21" t="inlineStr">
        <ns0:is>
          <ns0:t>106</ns0:t>
        </ns0:is>
      </ns0:c>
      <ns0:c r="B102" s="21" t="inlineStr">
        <ns0:is>
          <ns0:t>Analysis of variant interactions in families with autism points to genes involved in the development of the central nervous system</ns0:t>
        </ns0:is>
      </ns0:c>
      <ns0:c r="C102" s="21" t="inlineStr">
        <ns0:is>
          <ns0:t>10.1371/journal.pone.0326022</ns0:t>
        </ns0:is>
      </ns0:c>
      <ns0:c r="D102" s="21" t="inlineStr">
        <ns0:is>
          <ns0:t>https://doi.org/10.1371/journal.pone.0326022</ns0:t>
        </ns0:is>
      </ns0:c>
      <ns0:c r="E102" s="21" t="inlineStr">
        <ns0:is>
          <ns0:t>Supplied abstract/coding notes; no new full-text verification</ns0:t>
        </ns0:is>
      </ns0:c>
      <ns0:c r="F102" s="21" t="inlineStr">
        <ns0:is>
          <ns0:t>EVIDENCIA; original abstract/coding notes and lot source trace; Historical signals: title/abstract/notes; full-text completion not independently established</ns0:t>
        </ns0:is>
      </ns0:c>
      <ns0:c r="G102" s="21" t="inlineStr">
        <ns0:is>
          <ns0:t>Human whole-genome family data explicitly support an ASD predictive classifier in addition to gene-enrichment analysis; retained as an original computational diagnostic study.</ns0:t>
        </ns0:is>
      </ns0:c>
      <ns0:c r="H102" s="21" t="inlineStr">
        <ns0:is>
          <ns0: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ns0:t>
        </ns0:is>
      </ns0:c>
      <ns0:c r="I102" s="21" t="inlineStr">
        <ns0:is>
          <ns0:t>además del predictor supervisado, el paper también hace clustering de muestras para explorar heterogeneidad (menciona K-means y propone PAM/medoids por interpretabilidad en datos binarios)</ns0:t>
        </ns0:is>
      </ns0:c>
      <ns0:c r="J102" s="21" t="inlineStr"/>
      <ns0:c r="K102" s="21" t="inlineStr"/>
      <ns0:c r="L102" s="21" t="inlineStr">
        <ns0:is>
          <ns0:t>Not documented in provided sources</ns0:t>
        </ns0:is>
      </ns0:c>
      <ns0:c r="M102" s="21" t="inlineStr">
        <ns0:is>
          <ns0:t>[]</ns0:t>
        </ns0:is>
      </ns0:c>
    </ns0:row>
    <ns0:row r="103" ht="65" customHeight="1">
      <ns0:c r="A103" s="19" t="inlineStr">
        <ns0:is>
          <ns0:t>107</ns0:t>
        </ns0:is>
      </ns0:c>
      <ns0:c r="B103" s="19" t="inlineStr">
        <ns0:is>
          <ns0:t>Detecting High-Functioning Autism in Adults Using Eye Tracking and Machine Learning</ns0:t>
        </ns0:is>
      </ns0:c>
      <ns0:c r="C103" s="19" t="inlineStr">
        <ns0:is>
          <ns0:t>10.1109/tnsre.2020.2991675</ns0:t>
        </ns0:is>
      </ns0:c>
      <ns0:c r="D103" s="19" t="inlineStr">
        <ns0:is>
          <ns0:t>https://doi.org/10.1109/tnsre.2020.2991675</ns0:t>
        </ns0:is>
      </ns0:c>
      <ns0:c r="E103" s="19" t="inlineStr">
        <ns0:is>
          <ns0:t>Supplied abstract/coding notes; no new full-text verification</ns0:t>
        </ns0:is>
      </ns0:c>
      <ns0:c r="F103" s="19" t="inlineStr">
        <ns0:is>
          <ns0:t>EVIDENCIA; original abstract/coding notes and lot source trace; Historical signals: title/abstract/notes; full-text completion not independently established</ns0:t>
        </ns0:is>
      </ns0:c>
      <ns0:c r="G103" s="19" t="inlineStr">
        <ns0:is>
          <ns0:t>Eye tracking across two tasks/studies; separate evaluation groups are not sufficient to assert a trained-model external transfer test. Different stimuli remain a single sensor modality.</ns0:t>
        </ns0:is>
      </ns0:c>
      <ns0:c r="H103" s="19" t="inlineStr">
        <ns0:is>
          <ns0: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ns0:t>
        </ns0:is>
      </ns0:c>
      <ns0:c r="I103" s="19" t="inlineStr"/>
      <ns0:c r="J103" s="19" t="inlineStr"/>
      <ns0:c r="K103" s="19" t="inlineStr"/>
      <ns0:c r="L103" s="19" t="inlineStr">
        <ns0:is>
          <ns0:t>Not documented in provided sources</ns0:t>
        </ns0:is>
      </ns0:c>
      <ns0:c r="M103" s="19" t="inlineStr">
        <ns0:is>
          <ns0:t>[]</ns0:t>
        </ns0:is>
      </ns0:c>
    </ns0:row>
    <ns0:row r="104" ht="69" customHeight="1">
      <ns0:c r="A104" s="21" t="inlineStr">
        <ns0:is>
          <ns0:t>108</ns0:t>
        </ns0:is>
      </ns0:c>
      <ns0:c r="B104" s="21" t="inlineStr">
        <ns0:is>
          <ns0:t>Identification of neural connectivity signatures of autism using machine learning</ns0:t>
        </ns0:is>
      </ns0:c>
      <ns0:c r="C104" s="21" t="inlineStr">
        <ns0:is>
          <ns0:t>10.3389/fnhum.2013.00670</ns0:t>
        </ns0:is>
      </ns0:c>
      <ns0:c r="D104" s="21" t="inlineStr">
        <ns0:is>
          <ns0:t>https://doi.org/10.3389/fnhum.2013.00670/full</ns0:t>
        </ns0:is>
      </ns0:c>
      <ns0:c r="E104" s="21" t="inlineStr">
        <ns0:is>
          <ns0:t>Supplied abstract/coding notes; no new full-text verification</ns0:t>
        </ns0:is>
      </ns0:c>
      <ns0:c r="F104" s="21" t="inlineStr">
        <ns0:is>
          <ns0:t>EVIDENCIA; original abstract/coding notes and lot source trace; Historical signals: title/abstract/notes; full-text completion not independently established</ns0:t>
        </ns0:is>
      </ns0:c>
      <ns0:c r="G104" s="21" t="inlineStr">
        <ns0:is>
          <ns0:t>fMRI effective/functional connectivity, DTI and assessment scores were submitted jointly. Imaging stimuli are not behavioral-image inputs; explanatory paths are explicit.</ns0:t>
        </ns0:is>
      </ns0:c>
      <ns0:c r="H104" s="21" t="inlineStr">
        <ns0:is>
          <ns0: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ns0:t>
        </ns0:is>
      </ns0:c>
      <ns0:c r="I104" s="21" t="inlineStr">
        <ns0:is>
          <ns0:t>Se comparan varios modelos; se eligió el principal/mejor reportado</ns0:t>
        </ns0:is>
      </ns0:c>
      <ns0:c r="J104" s="21" t="inlineStr"/>
      <ns0:c r="K104" s="21" t="inlineStr"/>
      <ns0:c r="L104" s="21" t="inlineStr">
        <ns0:is>
          <ns0:t>Not documented in provided sources</ns0:t>
        </ns0:is>
      </ns0:c>
      <ns0:c r="M104" s="21" t="inlineStr">
        <ns0:is>
          <ns0:t>[]</ns0:t>
        </ns0:is>
      </ns0:c>
    </ns0:row>
    <ns0:row r="105" ht="93" customHeight="1">
      <ns0:c r="A105" s="19" t="inlineStr">
        <ns0:is>
          <ns0:t>109</ns0:t>
        </ns0:is>
      </ns0:c>
      <ns0:c r="B105" s="19" t="inlineStr">
        <ns0:is>
          <ns0:t>Identifying autism from neural representations of social interactions: Neurocognitive markers of autism</ns0:t>
        </ns0:is>
      </ns0:c>
      <ns0:c r="C105" s="19" t="inlineStr">
        <ns0:is>
          <ns0:t>10.1371/journal.pone.0113879</ns0:t>
        </ns0:is>
      </ns0:c>
      <ns0:c r="D105" s="19" t="inlineStr">
        <ns0:is>
          <ns0:t>https://doi.org/10.1371/journal.pone.0113879</ns0:t>
        </ns0:is>
      </ns0:c>
      <ns0:c r="E105" s="19" t="inlineStr">
        <ns0:is>
          <ns0:t>Supplied abstract/coding notes; no new full-text verification</ns0:t>
        </ns0:is>
      </ns0:c>
      <ns0:c r="F105" s="19" t="inlineStr">
        <ns0:is>
          <ns0:t>EVIDENCIA; original abstract/coding notes and lot source trace; Historical signals: title/abstract/notes; full-text completion not independently established</ns0:t>
        </ns0:is>
      </ns0:c>
      <ns0:c r="G105" s="19" t="inlineStr">
        <ns0:is>
          <ns0:t>fMRI social-concept representations discriminate ASD. Principal classifier family is not named in accessible abstract.</ns0:t>
        </ns0:is>
      </ns0:c>
      <ns0:c r="H105" s="19" t="inlineStr">
        <ns0:is>
          <ns0: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ns0:t>
        </ns0:is>
      </ns0:c>
      <ns0:c r="I105" s="19" t="inlineStr">
        <ns0:is>
          <ns0:t>Algoritmo principal no explícito o fuera del codebook; Confirmar algoritmo principal en full-text</ns0:t>
        </ns0:is>
      </ns0:c>
      <ns0:c r="J105" s="19" t="inlineStr"/>
      <ns0:c r="K105" s="19" t="inlineStr"/>
      <ns0:c r="L105" s="19" t="inlineStr">
        <ns0:is>
          <ns0:t>Not documented in provided sources</ns0:t>
        </ns0:is>
      </ns0:c>
      <ns0:c r="M105" s="19" t="inlineStr">
        <ns0:is>
          <ns0:t>[]</ns0:t>
        </ns0:is>
      </ns0:c>
    </ns0:row>
    <ns0:row r="106" ht="65" customHeight="1">
      <ns0:c r="A106" s="21" t="inlineStr">
        <ns0:is>
          <ns0:t>110</ns0:t>
        </ns0:is>
      </ns0:c>
      <ns0:c r="B106" s="21" t="inlineStr">
        <ns0:is>
          <ns0:t>Identifying Language and Cognitive Profiles in Children With ASD via a Cluster Analysis Exploration: Implications for the New ICD-11</ns0:t>
        </ns0:is>
      </ns0:c>
      <ns0:c r="C106" s="21" t="inlineStr">
        <ns0:is>
          <ns0:t>10.1002/aur.2268</ns0:t>
        </ns0:is>
      </ns0:c>
      <ns0:c r="D106" s="21" t="inlineStr">
        <ns0:is>
          <ns0:t>https://doi.org/10.1002/aur.2268</ns0:t>
        </ns0:is>
      </ns0:c>
      <ns0:c r="E106" s="21" t="inlineStr">
        <ns0:is>
          <ns0:t>Supplied abstract/coding notes; no new full-text verification</ns0:t>
        </ns0:is>
      </ns0:c>
      <ns0:c r="F106" s="21" t="inlineStr">
        <ns0:is>
          <ns0:t>EVIDENCIA; original abstract/coding notes and lot source trace; Historical signals: title/abstract/notes; full-text completion not independently established</ns0:t>
        </ns0:is>
      </ns0:c>
      <ns0:c r="G106" s="21" t="inlineStr">
        <ns0:is>
          <ns0:t>Language-task and nonverbal test scores define cognitive/linguistic clinical profiles, not NLP text classification or deep learning.</ns0:t>
        </ns0:is>
      </ns0:c>
      <ns0:c r="H106" s="21" t="inlineStr">
        <ns0:is>
          <ns0: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ns0:t>
        </ns0:is>
      </ns0:c>
      <ns0:c r="I106" s="21" t="inlineStr"/>
      <ns0:c r="J106" s="21" t="inlineStr"/>
      <ns0:c r="K106" s="21" t="inlineStr"/>
      <ns0:c r="L106" s="21" t="inlineStr">
        <ns0:is>
          <ns0:t>Not documented in provided sources</ns0:t>
        </ns0:is>
      </ns0:c>
      <ns0:c r="M106" s="21" t="inlineStr">
        <ns0:is>
          <ns0:t>[]</ns0:t>
        </ns0:is>
      </ns0:c>
    </ns0:row>
    <ns0:row r="107" ht="129" customHeight="1">
      <ns0:c r="A107" s="19" t="inlineStr">
        <ns0:is>
          <ns0:t>111</ns0:t>
        </ns0:is>
      </ns0:c>
      <ns0:c r="B107" s="19" t="inlineStr">
        <ns0:is>
          <ns0:t>On the Utility of Parents' Historical Data to Investigate the Causes of Autism Spectrum Disorder: A Data Mining-Based Framework</ns0:t>
        </ns0:is>
      </ns0:c>
      <ns0:c r="C107" s="19" t="inlineStr">
        <ns0:is>
          <ns0:t>10.1016/j.irbm.2023.100780</ns0:t>
        </ns0:is>
      </ns0:c>
      <ns0:c r="D107" s="19" t="inlineStr">
        <ns0:is>
          <ns0:t>https://doi.org/10.1016/j.irbm.2023.100780</ns0:t>
        </ns0:is>
      </ns0:c>
      <ns0:c r="E107" s="19" t="inlineStr">
        <ns0:is>
          <ns0:t>Supplied abstract/coding notes; no new full-text verification</ns0:t>
        </ns0:is>
      </ns0:c>
      <ns0:c r="F107" s="19" t="inlineStr">
        <ns0:is>
          <ns0:t>EVIDENCIA; original abstract/coding notes and lot source trace; Historical signals: title/abstract/notes; full-text completion not independently established</ns0:t>
        </ns0:is>
      </ns0:c>
      <ns0:c r="G107" s="19" t="inlineStr">
        <ns0:is>
          <ns0:t>Parent-history tabular data and data-mining feature selection; SVM is the principal predictive classifier. Combining clustering and SVM is not a deep-learning hybrid.</ns0:t>
        </ns0:is>
      </ns0:c>
      <ns0:c r="H107" s="19" t="inlineStr">
        <ns0:is>
          <ns0: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ns0:t>
        </ns0:is>
      </ns0:c>
      <ns0:c r="I107" s="19" t="inlineStr">
        <ns0:is>
          <ns0:t>Usa historia parental/perinatal estructurada para modelar riesgo/causas; mezcla clustering y predicción sin algoritmo principal claro.</ns0:t>
        </ns0:is>
      </ns0:c>
      <ns0:c r="J107" s="19" t="inlineStr"/>
      <ns0:c r="K107" s="19" t="inlineStr"/>
      <ns0:c r="L107" s="19" t="inlineStr">
        <ns0:is>
          <ns0:t>Not documented in provided sources</ns0:t>
        </ns0:is>
      </ns0:c>
      <ns0:c r="M107" s="19" t="inlineStr">
        <ns0:is>
          <ns0:t>[]</ns0:t>
        </ns0:is>
      </ns0:c>
    </ns0:row>
    <ns0:row r="108" ht="93" customHeight="1">
      <ns0:c r="A108" s="21" t="inlineStr">
        <ns0:is>
          <ns0:t>112</ns0:t>
        </ns0:is>
      </ns0:c>
      <ns0:c r="B108" s="21" t="inlineStr">
        <ns0:is>
          <ns0:t>Structural variants identified using non-Mendelian inheritance patterns advance the mechanistic understanding of autism spectrum disorder</ns0:t>
        </ns0:is>
      </ns0:c>
      <ns0:c r="C108" s="21" t="inlineStr">
        <ns0:is>
          <ns0:t>10.1016/j.xhgg.2022.100150</ns0:t>
        </ns0:is>
      </ns0:c>
      <ns0:c r="D108" s="21" t="inlineStr">
        <ns0:is>
          <ns0:t>https://doi.org/10.1016/j.xhgg.2022.100150</ns0:t>
        </ns0:is>
      </ns0:c>
      <ns0:c r="E108" s="21" t="inlineStr">
        <ns0:is>
          <ns0:t>Supplied abstract/coding notes; no new full-text verification</ns0:t>
        </ns0:is>
      </ns0:c>
      <ns0:c r="F108" s="21" t="inlineStr">
        <ns0:is>
          <ns0:t>EVIDENCIA; original abstract/coding notes and lot source trace; Historical signals: title/abstract/notes; full-text completion not independently established</ns0:t>
        </ns0:is>
      </ns0:c>
      <ns0:c r="G108" s="21" t="inlineStr">
        <ns0:is>
          <ns0:t>Human family genotypes and structural-variant subgroups linked to ASD phenotypes. Not natural-language data; explicit explainable AI analysis is retained without inventing a family.</ns0:t>
        </ns0:is>
      </ns0:c>
      <ns0:c r="H108" s="21" t="inlineStr">
        <ns0:is>
          <ns0: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ns0:t>
        </ns0:is>
      </ns0:c>
      <ns0:c r="I108" s="21" t="inlineStr">
        <ns0:is>
          <ns0:t>Estudio genómico/estructural sin sistema IA clínico claramente codificable en el abstract.</ns0:t>
        </ns0:is>
      </ns0:c>
      <ns0:c r="J108" s="21" t="inlineStr"/>
      <ns0:c r="K108" s="21" t="inlineStr"/>
      <ns0:c r="L108" s="21" t="inlineStr">
        <ns0:is>
          <ns0:t>Not documented in provided sources</ns0:t>
        </ns0:is>
      </ns0:c>
      <ns0:c r="M108" s="21" t="inlineStr">
        <ns0:is>
          <ns0:t>[]</ns0:t>
        </ns0:is>
      </ns0:c>
    </ns0:row>
    <ns0:row r="109" ht="117" customHeight="1">
      <ns0:c r="A109" s="19" t="inlineStr">
        <ns0:is>
          <ns0:t>113</ns0:t>
        </ns0:is>
      </ns0:c>
      <ns0:c r="B109" s="19" t="inlineStr">
        <ns0:is>
          <ns0:t>Transient hearing abnormalities precede social deficits in a mouse model of autism</ns0:t>
        </ns0:is>
      </ns0:c>
      <ns0:c r="C109" s="19" t="inlineStr">
        <ns0:is>
          <ns0:t>10.1016/j.bbr.2022.114149</ns0:t>
        </ns0:is>
      </ns0:c>
      <ns0:c r="D109" s="19" t="inlineStr">
        <ns0:is>
          <ns0:t>https://doi.org/10.1016/j.bbr.2022.114149</ns0:t>
        </ns0:is>
      </ns0:c>
      <ns0:c r="E109" s="19" t="inlineStr">
        <ns0:is>
          <ns0:t>Supplied abstract/coding notes; no new full-text verification</ns0:t>
        </ns0:is>
      </ns0:c>
      <ns0:c r="F109" s="19" t="inlineStr">
        <ns0:is>
          <ns0:t>EVIDENCIA; original abstract/coding notes and lot source trace; Historical signals: title/abstract/notes; full-text completion not independently established</ns0:t>
        </ns0:is>
      </ns0:c>
      <ns0:c r="G109" s="19" t="inlineStr">
        <ns0:is>
          <ns0:t>Shank3B knockout mouse auditory-response/genotype prediction; no human ASD model evaluated.</ns0:t>
        </ns0:is>
      </ns0:c>
      <ns0:c r="H109" s="19" t="inlineStr">
        <ns0:is>
          <ns0:t>Hearing abnormalities are important symptoms of autism spectrum disorders (ASDs), a neurological and developmental disorder. However, the characteristics of hearing abnormalities associated with ASD during development have not been fully investigated. We found that in Shank3B knockout mice (a high-confidence mouse model of ASD), transient hearing abnormalities can be found in auditory brainstem response, auditory cortical activity, as well as acoustic startle response. More importantly, all hearing abnormalities at 4 weeks were most prominent and preceded the onset of social deficits at 6 weeks. These hearing abnormalities gradually recovered with age. In addition, analysis of ABR data at 4 weeks using Support Vector Machine (SVM) can faithfully predict the genotype of mice with an accuracy of 85.71%. These findings not only revealed hearing changes in Shank3B knockout autistic-like mice during development, but also suggested that hearing abnormalities could potentially be used as an early and effective indicator of ASD risk.</ns0:t>
        </ns0:is>
      </ns0:c>
      <ns0:c r="I109" s="19" t="inlineStr">
        <ns0:is>
          <ns0:t>Animal model; ML predicts genotype from ABR features (not ASD-vs-control clinical classification). Used as early risk indicator</ns0:t>
        </ns0:is>
      </ns0:c>
      <ns0:c r="J109" s="19" t="inlineStr"/>
      <ns0:c r="K109" s="19" t="inlineStr"/>
      <ns0:c r="L109" s="19" t="inlineStr">
        <ns0:is>
          <ns0:t>Not documented in provided sources</ns0:t>
        </ns0:is>
      </ns0:c>
      <ns0:c r="M109" s="19" t="inlineStr">
        <ns0:is>
          <ns0:t>[]</ns0:t>
        </ns0:is>
      </ns0:c>
    </ns0:row>
    <ns0:row r="110" ht="65" customHeight="1">
      <ns0:c r="A110" s="21" t="inlineStr">
        <ns0:is>
          <ns0:t>114</ns0:t>
        </ns0:is>
      </ns0:c>
      <ns0:c r="B110" s="21" t="inlineStr">
        <ns0:is>
          <ns0:t>Early-stage identification of autism in children using gesture monitoring based on artificial intelligence</ns0:t>
        </ns0:is>
      </ns0:c>
      <ns0:c r="C110" s="21" t="inlineStr">
        <ns0:is>
          <ns0:t>10.1016/b978-0-443-19073-5.00018-5</ns0:t>
        </ns0:is>
      </ns0:c>
      <ns0:c r="D110" s="21" t="inlineStr">
        <ns0:is>
          <ns0:t>https://doi.org/10.1016/b978-0-443-19073-5.00018-5</ns0:t>
        </ns0:is>
      </ns0:c>
      <ns0:c r="E110" s="21" t="inlineStr">
        <ns0:is>
          <ns0:t>Supplied abstract/coding notes; no new full-text verification</ns0:t>
        </ns0:is>
      </ns0:c>
      <ns0:c r="F110" s="21" t="inlineStr">
        <ns0:is>
          <ns0:t>EVIDENCIA; original abstract/coding notes and lot source trace; Historical signals: title/abstract/notes; full-text completion not independently established</ns0:t>
        </ns0:is>
      </ns0:c>
      <ns0:c r="G110" s="21" t="inlineStr">
        <ns0:is>
          <ns0:t>Standalone edited-book chapter (Elsevier book DOI B978...) rather than an eligible journal article or identified full conference proceeding; inherited update criteria exclude standalone chapters.</ns0:t>
        </ns0:is>
      </ns0:c>
      <ns0:c r="H110" s="21" t="inlineStr">
        <ns0:is>
          <ns0:t>This chapter explores the innovative integration of artificial intelligence (AI) and gesture monitoring for the early-stage recognition of autism spectrum disorder (ASD) in children. Early detection of ASD is crucial for initiating timely interventions that can improve developmental outcomes. This chapter begins with an overview of ASD, highlighting its definition, characteristics, prevalence, and risk factors. The impact of late diagnosis on children with ASD is discussed. This chapter presents the purpose and scope of the research, focusing on the potential of AI-based gesture monitoring in revolutionizing ASD screening and diagnosis. It outlines the current screening and diagnostic methods and challenges. To overcome these challenges, this chapter explores the advantages of early detection, emphasizing the critical role of gestures in child development and their association with ASD. Further, this chapter delves into the role of AI in health care and ASD diagnosis, with a particular focus on the application of machine learning (ML) algorithms for gesture analysis. It discusses the selection of participants, data collection techniques, and ethical considerations to ensure responsible research practices. Model training, validation, and performance metrics are also detailed to ensure the reliability and accuracy of AI models. This chapter highlights the potential impact of AI-based gesture analysis on public health, emphasizing its role in providing personalized care, supporting caregivers, and advancing research in the field. It discusses the challenges faced in implementing AI technologies and suggests improvements. In conclusion, this chapter underscores the transformative potential of AI-based gesture monitoring for early ASD identification. By addressing the challenges and leveraging the advantages of AI technologies, this chapter paves the way for innovative solutions that can significantly enhance the quality of life for those with ASD and their families.</ns0:t>
        </ns0:is>
      </ns0:c>
      <ns0:c r="I110" s="21" t="inlineStr"/>
      <ns0:c r="J110" s="21" t="inlineStr"/>
      <ns0:c r="K110" s="21" t="inlineStr"/>
      <ns0:c r="L110" s="21" t="inlineStr">
        <ns0:is>
          <ns0:t>Not documented in provided sources</ns0:t>
        </ns0:is>
      </ns0:c>
      <ns0:c r="M110" s="21" t="inlineStr">
        <ns0:is>
          <ns0:t>[]</ns0:t>
        </ns0:is>
      </ns0:c>
    </ns0:row>
    <ns0:row r="111" ht="153" customHeight="1">
      <ns0:c r="A111" s="19" t="inlineStr">
        <ns0:is>
          <ns0:t>115</ns0:t>
        </ns0:is>
      </ns0:c>
      <ns0:c r="B111" s="19" t="inlineStr">
        <ns0:is>
          <ns0:t>Electromagnetic Interaction Algorithm (EIA)-Based Feature Selection With Adaptive Kernel Attention Network (AKAttNet) for Autism Spectrum Disorder Classification</ns0:t>
        </ns0:is>
      </ns0:c>
      <ns0:c r="C111" s="19" t="inlineStr">
        <ns0:is>
          <ns0:t>10.1002/jdn.70034</ns0:t>
        </ns0:is>
      </ns0:c>
      <ns0:c r="D111" s="19" t="inlineStr">
        <ns0:is>
          <ns0:t>https://doi.org/10.1002/jdn.70034</ns0:t>
        </ns0:is>
      </ns0:c>
      <ns0:c r="E111" s="19" t="inlineStr">
        <ns0:is>
          <ns0:t>Supplied abstract/coding notes; no new full-text verification</ns0:t>
        </ns0:is>
      </ns0:c>
      <ns0:c r="F111" s="19" t="inlineStr">
        <ns0:is>
          <ns0:t>EVIDENCIA; original abstract/coding notes and lot source trace; Historical signals: title/abstract/notes; full-text completion not independently established</ns0:t>
        </ns0:is>
      </ns0:c>
      <ns0:c r="G111" s="19" t="inlineStr">
        <ns0:is>
          <ns0:t>Kernel-attention architecture and optimization are stated; a metaheuristic plus neural classifier is not automatically a conventional ML-DL hybrid. Input source remains unresolved.</ns0:t>
        </ns0:is>
      </ns0:c>
      <ns0:c r="H111" s="19" t="inlineStr">
        <ns0:is>
          <ns0: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ns0:t>
        </ns0:is>
      </ns0:c>
      <ns0:c r="I111" s="19" t="inlineStr">
        <ns0:is>
          <ns0:t>Algoritmo principal no explícito o fuera del codebook; Confirmar algoritmo principal en full-text; Se comparan varios modelos; se eligió el principal/mejor reportado</ns0:t>
        </ns0:is>
      </ns0:c>
      <ns0:c r="J111" s="19" t="inlineStr"/>
      <ns0:c r="K111" s="19" t="inlineStr"/>
      <ns0:c r="L111" s="19" t="inlineStr">
        <ns0:is>
          <ns0:t>Not documented in provided sources</ns0:t>
        </ns0:is>
      </ns0:c>
      <ns0:c r="M111" s="19" t="inlineStr">
        <ns0:is>
          <ns0:t>[]</ns0:t>
        </ns0:is>
      </ns0:c>
    </ns0:row>
    <ns0:row r="112" ht="117" customHeight="1">
      <ns0:c r="A112" s="21" t="inlineStr">
        <ns0:is>
          <ns0:t>116</ns0:t>
        </ns0:is>
      </ns0:c>
      <ns0:c r="B112" s="21" t="inlineStr">
        <ns0:is>
          <ns0:t>Use of machine learning for behavioral distinction of autism and ADHD</ns0:t>
        </ns0:is>
      </ns0:c>
      <ns0:c r="C112" s="21" t="inlineStr">
        <ns0:is>
          <ns0:t>10.1038/tp.2015.221</ns0:t>
        </ns0:is>
      </ns0:c>
      <ns0:c r="D112" s="21" t="inlineStr">
        <ns0:is>
          <ns0:t>https://doi.org/10.1038/tp.2015.221</ns0:t>
        </ns0:is>
      </ns0:c>
      <ns0:c r="E112" s="21" t="inlineStr">
        <ns0:is>
          <ns0:t>Supplied abstract/coding notes; no new full-text verification</ns0:t>
        </ns0:is>
      </ns0:c>
      <ns0:c r="F112" s="21" t="inlineStr">
        <ns0:is>
          <ns0:t>EVIDENCIA; original abstract/coding notes and lot source trace; Historical signals: title/abstract/notes; full-text completion not independently established</ns0:t>
        </ns0:is>
      </ns0:c>
      <ns0:c r="G112" s="21" t="inlineStr">
        <ns0:is>
          <ns0:t>SRS item reduction for caregiver-directed preclinical screening/triage is explicitly proposed; no clinical deployment. Differential ASD/ADHD classification uses structured instrument scores.</ns0:t>
        </ns0:is>
      </ns0:c>
      <ns0:c r="H112" s="21" t="inlineStr">
        <ns0:is>
          <ns0: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ns0:t>
        </ns0:is>
      </ns0:c>
      <ns0:c r="I112" s="21" t="inlineStr">
        <ns0:is>
          <ns0:t>Usa puntajes SRS para distinguir ASD vs ADHD; aunque es herramienta de cribado, el objetivo es distinción diagnóstica diferencial.</ns0:t>
        </ns0:is>
      </ns0:c>
      <ns0:c r="J112" s="21" t="inlineStr"/>
      <ns0:c r="K112" s="21" t="inlineStr"/>
      <ns0:c r="L112" s="21" t="inlineStr">
        <ns0:is>
          <ns0:t>Not documented in provided sources</ns0:t>
        </ns0:is>
      </ns0:c>
      <ns0:c r="M112" s="21" t="inlineStr">
        <ns0:is>
          <ns0:t>[]</ns0:t>
        </ns0:is>
      </ns0:c>
    </ns0:row>
    <ns0:row r="113" ht="69" customHeight="1">
      <ns0:c r="A113" s="19" t="inlineStr">
        <ns0:is>
          <ns0:t>117</ns0:t>
        </ns0:is>
      </ns0:c>
      <ns0:c r="B113" s="19" t="inlineStr">
        <ns0:is>
          <ns0:t>A Machine Learning Strategy for Autism Screening in Toddlers</ns0:t>
        </ns0:is>
      </ns0:c>
      <ns0:c r="C113" s="19" t="inlineStr">
        <ns0:is>
          <ns0:t>10.1097/dbp.0000000000000668</ns0:t>
        </ns0:is>
      </ns0:c>
      <ns0:c r="D113" s="19" t="inlineStr">
        <ns0:is>
          <ns0:t>https://doi.org/10.1097/dbp.0000000000000668</ns0:t>
        </ns0:is>
      </ns0:c>
      <ns0:c r="E113" s="19" t="inlineStr">
        <ns0:is>
          <ns0:t>Supplied abstract/coding notes; no new full-text verification</ns0:t>
        </ns0:is>
      </ns0:c>
      <ns0:c r="F113" s="19" t="inlineStr">
        <ns0:is>
          <ns0:t>EVIDENCIA; original abstract/coding notes and lot source trace; Historical signals: title/abstract/notes; full-text completion not independently established</ns0:t>
        </ns0:is>
      </ns0:c>
      <ns0:c r="G113" s="19" t="inlineStr">
        <ns0:is>
          <ns0:t>Archival M-CHAT-R item scoring; depth is not established, so do not label as deep learning. Future automatic scoring is proposed, not deployed in the evaluated workflow.</ns0:t>
        </ns0:is>
      </ns0:c>
      <ns0:c r="H113" s="19" t="inlineStr">
        <ns0:is>
          <ns0: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ns0:t>
        </ns0:is>
      </ns0:c>
      <ns0:c r="I113" s="19" t="inlineStr">
        <ns0:is>
          <ns0:t>Feedforward neural network aplicado a M-CHAT-R para cribado en toddlers.</ns0:t>
        </ns0:is>
      </ns0:c>
      <ns0:c r="J113" s="19" t="inlineStr"/>
      <ns0:c r="K113" s="19" t="inlineStr"/>
      <ns0:c r="L113" s="19" t="inlineStr">
        <ns0:is>
          <ns0:t>Not documented in provided sources</ns0:t>
        </ns0:is>
      </ns0:c>
      <ns0:c r="M113" s="19" t="inlineStr">
        <ns0:is>
          <ns0:t>[]</ns0:t>
        </ns0:is>
      </ns0:c>
    </ns0:row>
    <ns0:row r="114" ht="65" customHeight="1">
      <ns0:c r="A114" s="21" t="inlineStr">
        <ns0:is>
          <ns0:t>118</ns0:t>
        </ns0:is>
      </ns0:c>
      <ns0:c r="B114" s="21" t="inlineStr">
        <ns0:is>
          <ns0:t>Early detection of autism using digital behavioral phenotyping</ns0:t>
        </ns0:is>
      </ns0:c>
      <ns0:c r="C114" s="21" t="inlineStr">
        <ns0:is>
          <ns0:t>10.1038/s41591-023-02574-3</ns0:t>
        </ns0:is>
      </ns0:c>
      <ns0:c r="D114" s="21" t="inlineStr">
        <ns0:is>
          <ns0:t>https://doi.org/10.1038/s41591-023-02574-3</ns0:t>
        </ns0:is>
      </ns0:c>
      <ns0:c r="E114" s="21" t="inlineStr">
        <ns0:is>
          <ns0:t>Supplied abstract/coding notes; no new full-text verification</ns0:t>
        </ns0:is>
      </ns0:c>
      <ns0:c r="F114" s="21" t="inlineStr">
        <ns0:is>
          <ns0:t>EVIDENCIA; original abstract/coding notes and lot source trace; Historical signals: title/abstract/notes; full-text completion not independently established</ns0:t>
        </ns0:is>
      </ns0:c>
      <ns0:c r="G114" s="21" t="inlineStr">
        <ns0:is>
          <ns0:t>Tablet behavioral app administered prospectively during pediatric well-child visits. Real point-of-use evaluation is explicit, but prospective recruitment is distinct from external frozen-model testing.</ns0:t>
        </ns0:is>
      </ns0:c>
      <ns0:c r="H114" s="21" t="inlineStr">
        <ns0:is>
          <ns0:t>Early detection of autism, a neurodevelopmental condition associated with challenges in social communication, ensures timely access to intervention. Autism screening questionnaires have been shown to have lower accuracy when used in real-world settings, such as primary care, as compared to research studies, particularly for children of color and girls. 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 The app displayed stimuli that elicited behavioral signs of autism, quantified using computer vision and machine learning. An algorithm combining multiple digital phenotypes showed high diagnostic accuracy with the area under the receiver operating characteristic curve = 0.90, sensitivity = 87.8%, specificity = 80.8%, negative predictive value = 97.8% and positive predictive value = 40.6%. The algorithm had similar sensitivity performance across subgroups as defined by sex, race and ethnicity. These results demonstrate the potential for digital phenotyping to provide an objective, scalable approach to autism screening in real-world settings. Moreover, combining results from digital phenotyping and caregiver questionnaires may increase autism screening accuracy and help reduce disparities in access to diagnosis and intervention.</ns0:t>
        </ns0:is>
      </ns0:c>
      <ns0:c r="I114" s="21" t="inlineStr"/>
      <ns0:c r="J114" s="21" t="inlineStr"/>
      <ns0:c r="K114" s="21" t="inlineStr"/>
      <ns0:c r="L114" s="21" t="inlineStr">
        <ns0:is>
          <ns0:t>Not documented in provided sources</ns0:t>
        </ns0:is>
      </ns0:c>
      <ns0:c r="M114" s="21" t="inlineStr">
        <ns0:is>
          <ns0:t>[]</ns0:t>
        </ns0:is>
      </ns0:c>
    </ns0:row>
    <ns0:row r="115" ht="129" customHeight="1">
      <ns0:c r="A115" s="19" t="inlineStr">
        <ns0:is>
          <ns0:t>119</ns0:t>
        </ns0:is>
      </ns0:c>
      <ns0:c r="B115" s="19" t="inlineStr">
        <ns0:is>
          <ns0:t>Ensemble statistical and subspace clustering model for analysis of autism spectrum disorder phenotypes</ns0:t>
        </ns0:is>
      </ns0:c>
      <ns0:c r="C115" s="19" t="inlineStr">
        <ns0:is>
          <ns0:t>10.1109/embc.2016.7591440</ns0:t>
        </ns0:is>
      </ns0:c>
      <ns0:c r="D115" s="19" t="inlineStr">
        <ns0:is>
          <ns0:t>https://doi.org/10.1109/embc.2016.7591440</ns0:t>
        </ns0:is>
      </ns0:c>
      <ns0:c r="E115" s="19" t="inlineStr">
        <ns0:is>
          <ns0:t>Supplied abstract/coding notes; no new full-text verification</ns0:t>
        </ns0:is>
      </ns0:c>
      <ns0:c r="F115" s="19" t="inlineStr">
        <ns0:is>
          <ns0:t>EVIDENCIA; original abstract/coding notes and lot source trace; Historical signals: title/abstract/notes; full-text completion not independently established</ns0:t>
        </ns0:is>
      </ns0:c>
      <ns0:c r="G115" s="19" t="inlineStr">
        <ns0:is>
          <ns0:t>ADI-R/ADOS behavioral phenotyping in a single ASD cohort; diagnostic subtyping, not ongoing intervention or multiple acquisition sites.</ns0:t>
        </ns0:is>
      </ns0:c>
      <ns0:c r="H115" s="19" t="inlineStr">
        <ns0:is>
          <ns0:t>Heterogeneity in Autism Spectrum Disorder (ASD) is complex including variability in behavioral phenotype as well as clinical, physiologic, and pathologic parameters. The fifth edition of the Diagnostic and Statistical Manual of Mental Disorders (DSM-5) now diagnoses ASD using a 2-dimensional model based social communication deficits and fixated interests and repetitive behaviors. Sorting out heterogeneity is crucial for study of etiology, diagnosis, treatment and prognosis. In this paper, we present an ensemble model for analyzing ASD phenotypes using several machine learning techniques and a k-dimensional subspace clustering algorithm. Our ensemble also incorporates statistical methods at several stages of analysis. We apply this model to a sample of 208 probands drawn from the Simon Simplex Collection Missouri Site patients. The results provide useful evidence that is helpful in elucidating the phenotype complexity within ASD. Our model can be extended to other disorders that exhibit a diverse range of heterogeneity.</ns0:t>
        </ns0:is>
      </ns0:c>
      <ns0:c r="I115" s="19" t="inlineStr">
        <ns0:is>
          <ns0:t>Estudio de subtipificación/heterogeneidad en una cohorte ASD ya confirmada (SSC; ADI-R/ADOS); no clasifica ASD vs control como endpoint principal</ns0:t>
        </ns0:is>
      </ns0:c>
      <ns0:c r="J115" s="19" t="inlineStr"/>
      <ns0:c r="K115" s="19" t="inlineStr"/>
      <ns0:c r="L115" s="19" t="inlineStr">
        <ns0:is>
          <ns0:t>Not documented in provided sources</ns0:t>
        </ns0:is>
      </ns0:c>
      <ns0:c r="M115" s="19" t="inlineStr">
        <ns0:is>
          <ns0:t>[]</ns0:t>
        </ns0:is>
      </ns0:c>
    </ns0:row>
    <ns0:row r="116" ht="93" customHeight="1">
      <ns0:c r="A116" s="21" t="inlineStr">
        <ns0:is>
          <ns0:t>120</ns0:t>
        </ns0:is>
      </ns0:c>
      <ns0:c r="B116" s="21" t="inlineStr">
        <ns0:is>
          <ns0:t>Screening autism spectrum disorder in children using machine learning on speech transcripts</ns0:t>
        </ns0:is>
      </ns0:c>
      <ns0:c r="C116" s="21" t="inlineStr">
        <ns0:is>
          <ns0:t>10.1038/s41598-025-01500-6</ns0:t>
        </ns0:is>
      </ns0:c>
      <ns0:c r="D116" s="21" t="inlineStr">
        <ns0:is>
          <ns0:t>https://doi.org/10.1038/s41598-025-01500-6</ns0:t>
        </ns0:is>
      </ns0:c>
      <ns0:c r="E116" s="21" t="inlineStr">
        <ns0:is>
          <ns0:t>Supplied abstract/coding notes; no new full-text verification</ns0:t>
        </ns0:is>
      </ns0:c>
      <ns0:c r="F116" s="21" t="inlineStr">
        <ns0:is>
          <ns0:t>EVIDENCIA; original abstract/coding notes and lot source trace; Historical signals: title/abstract/notes; full-text completion not independently established</ns0:t>
        </ns0:is>
      </ns0:c>
      <ns0:c r="G116" s="21" t="inlineStr">
        <ns0:is>
          <ns0:t>Explicitly text-only speech transcripts; excludes raw video/audio. Two transcript datasets are not fused data modalities.</ns0:t>
        </ns0:is>
      </ns0:c>
      <ns0:c r="H116" s="21" t="inlineStr">
        <ns0:is>
          <ns0: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ns0:t>
        </ns0:is>
      </ns0:c>
      <ns0:c r="I116" s="21" t="inlineStr">
        <ns0:is>
          <ns0:t>Algoritmo principal no explícito o fuera del codebook; Confirmar algoritmo principal en full-text</ns0:t>
        </ns0:is>
      </ns0:c>
      <ns0:c r="J116" s="21" t="inlineStr"/>
      <ns0:c r="K116" s="21" t="inlineStr"/>
      <ns0:c r="L116" s="21" t="inlineStr">
        <ns0:is>
          <ns0:t>Not documented in provided sources</ns0:t>
        </ns0:is>
      </ns0:c>
      <ns0:c r="M116" s="21" t="inlineStr">
        <ns0:is>
          <ns0:t>[]</ns0:t>
        </ns0:is>
      </ns0:c>
    </ns0:row>
    <ns0:row r="117" ht="65" customHeight="1">
      <ns0:c r="A117" s="19" t="inlineStr">
        <ns0:is>
          <ns0:t>121</ns0:t>
        </ns0:is>
      </ns0:c>
      <ns0:c r="B117" s="19" t="inlineStr">
        <ns0:is>
          <ns0:t>46.3 ARTIFICIAL INTELLIGENCE: UTILIZING GOOGLE GLASS AND OTHER MOBILE APPLICATIONS FOR SOCIAL SKILLS TRAINING IN AUTISM SPECTRUM DISORDERS</ns0:t>
        </ns0:is>
      </ns0:c>
      <ns0:c r="C117" s="19" t="inlineStr">
        <ns0:is>
          <ns0:t>10.1016/j.jaac.2016.07.715</ns0:t>
        </ns0:is>
      </ns0:c>
      <ns0:c r="D117" s="19" t="inlineStr">
        <ns0:is>
          <ns0:t>https://doi.org/10.1016/j.jaac.2016.07.715</ns0:t>
        </ns0:is>
      </ns0:c>
      <ns0:c r="E117" s="19" t="inlineStr">
        <ns0:is>
          <ns0:t>Supplied abstract/coding notes; no new full-text verification</ns0:t>
        </ns0:is>
      </ns0:c>
      <ns0:c r="F117" s="19" t="inlineStr">
        <ns0:is>
          <ns0:t>EVIDENCIA; original abstract/coding notes and lot source trace; Historical signals: title/abstract/notes; full-text completion not independently established</ns0:t>
        </ns0:is>
      </ns0:c>
      <ns0:c r="G117" s="19" t="inlineStr">
        <ns0:is>
          <ns0:t>Numbered conference-session abstract in JAAC supplement, not a full eligible peer-reviewed conference report.</ns0:t>
        </ns0:is>
      </ns0:c>
      <ns0:c r="H117" s="19" t="inlineStr">
        <ns0:is>
          <ns0:t>Objectives: Deficits in social communication are defining features of ASD. Although prognosis can be improved significantly with intervention, existing interventions are resource intensive and often do not generalize to new contexts. Technology-aided interventions (TAI) can help overcome current limitations by providing a motivating, low cost, and versatile treatment option. Although early studies support the feasibility and potential effectiveness of TAI for social skills training in ASD, existing approaches have been criticized for their focus on human-to-computer interaction. A Google Glass-based application (app) was developed to guide children with ASD through human-to-human social interactions. Upon completion of this Clinical Perspectives, participants will be able to do the following: 1) summarize novel applications and research findings of TAI for children with ASD, including results from a usability study with the Google Glass; and 2) apply information learned regarding TAI to the daily clinical practice of treating youth with ASD. Methods: Children (n = 10; mean age = 13.2 years, sigma = 1.5; verbal IQ score = 104.4, sigma = 20.9; Social Communication Questionnaire score = 19, sigma = 3.5) with ASD were recruited to be participants. During each session, the participants used the app while engaging in a structured restaurant-themed interaction with a research assistant. Based on International Organization for Standardization 9241 (ISO 9241), the app was evaluated on its efficiency and user satisfaction. Results: The app's detection accuracy and recognition accuracy were 97 and 89 percent, respectively. The users' average response time was 2.5 seconds, and the system's average response time was -0.25 seconds. Notable user feedback on perceived experience (based on a 5-point Likert scale) includes the participant's belief that the app can help them in daily life (4.0/5) and that the app can help children communicate to people (4.0/5). Conclusions: To the best of our knowledge, this system is the first TAI for ASD that uses human-to-human coaching in naturalistic settings, and the results show that the device is an appropriate medium for treatment delivery. An effective application of technology can overcome many of the current barriers to treatment and, ultimately, help deliver higher-quality treatments to a larger and more diverse population of children.</ns0:t>
        </ns0:is>
      </ns0:c>
      <ns0:c r="I117" s="19" t="inlineStr">
        <ns0:is>
          <ns0:t>Sin señal explícita Q3 en título/abstract.</ns0:t>
        </ns0:is>
      </ns0:c>
      <ns0:c r="J117" s="19" t="inlineStr"/>
      <ns0:c r="K117" s="19" t="inlineStr"/>
      <ns0:c r="L117" s="19" t="inlineStr">
        <ns0:is>
          <ns0:t>Not documented in provided sources</ns0:t>
        </ns0:is>
      </ns0:c>
      <ns0:c r="M117" s="19" t="inlineStr">
        <ns0:is>
          <ns0:t>[]</ns0:t>
        </ns0:is>
      </ns0:c>
    </ns0:row>
    <ns0:row r="118" ht="65" customHeight="1">
      <ns0:c r="A118" s="21" t="inlineStr">
        <ns0:is>
          <ns0:t>122</ns0:t>
        </ns0:is>
      </ns0:c>
      <ns0:c r="B118" s="21" t="inlineStr">
        <ns0:is>
          <ns0:t>A Quantum-Based Machine Learning Approach for Autism Detection Using Common Spatial Patterns of EEG Signals</ns0:t>
        </ns0:is>
      </ns0:c>
      <ns0:c r="C118" s="21" t="inlineStr">
        <ns0:is>
          <ns0:t>10.1109/access.2025.3531979</ns0:t>
        </ns0:is>
      </ns0:c>
      <ns0:c r="D118" s="21" t="inlineStr">
        <ns0:is>
          <ns0:t>https://doi.org/10.1109/access.2025.3531979</ns0:t>
        </ns0:is>
      </ns0:c>
      <ns0:c r="E118" s="21" t="inlineStr">
        <ns0:is>
          <ns0:t>Supplied abstract/coding notes; no new full-text verification</ns0:t>
        </ns0:is>
      </ns0:c>
      <ns0:c r="F118" s="21" t="inlineStr">
        <ns0:is>
          <ns0:t>EVIDENCIA; original abstract/coding notes and lot source trace; Historical signals: title/abstract/notes; full-text completion not independently established</ns0:t>
        </ns0:is>
      </ns0:c>
      <ns0:c r="G118" s="21" t="inlineStr">
        <ns0:is>
          <ns0:t>Quantum kernel SVM is machine learning, not a deep-learning hybrid. EEG channels and CSP features remain one source.</ns0:t>
        </ns0:is>
      </ns0:c>
      <ns0:c r="H118" s="21" t="inlineStr">
        <ns0:is>
          <ns0: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ns0:t>
        </ns0:is>
      </ns0:c>
      <ns0:c r="I118" s="21" t="inlineStr"/>
      <ns0:c r="J118" s="21" t="inlineStr"/>
      <ns0:c r="K118" s="21" t="inlineStr"/>
      <ns0:c r="L118" s="21" t="inlineStr">
        <ns0:is>
          <ns0:t>Not documented in provided sources</ns0:t>
        </ns0:is>
      </ns0:c>
      <ns0:c r="M118" s="21" t="inlineStr">
        <ns0:is>
          <ns0:t>[]</ns0:t>
        </ns0:is>
      </ns0:c>
    </ns0:row>
    <ns0:row r="119" ht="249" customHeight="1">
      <ns0:c r="A119" s="19" t="inlineStr">
        <ns0:is>
          <ns0:t>124</ns0:t>
        </ns0:is>
      </ns0:c>
      <ns0:c r="B119" s="19" t="inlineStr">
        <ns0:is>
          <ns0:t>ASD2-TL∗ GTO: Autism spectrum disorders detection via transfer learning with gorilla troops optimizer framework</ns0:t>
        </ns0:is>
      </ns0:c>
      <ns0:c r="C119" s="19" t="inlineStr">
        <ns0:is>
          <ns0:t>10.1016/j.heliyon.2023.e21530</ns0:t>
        </ns0:is>
      </ns0:c>
      <ns0:c r="D119" s="19" t="inlineStr">
        <ns0:is>
          <ns0:t>https://doi.org/10.1016/j.heliyon.2023.e21530</ns0:t>
        </ns0:is>
      </ns0:c>
      <ns0:c r="E119" s="19" t="inlineStr">
        <ns0:is>
          <ns0:t>Supplied abstract/coding notes; no new full-text verification</ns0:t>
        </ns0:is>
      </ns0:c>
      <ns0:c r="F119" s="19" t="inlineStr">
        <ns0:is>
          <ns0:t>EVIDENCIA; original abstract/coding notes and lot source trace; Historical signals: title/abstract/notes; full-text completion not independently established</ns0:t>
        </ns0:is>
      </ns0:c>
      <ns0:c r="G119" s="19" t="inlineStr">
        <ns0:is>
          <ns0:t>Primary transfer-learning experiment uses facial images; parallel numeric questionnaire experiments are retained as secondary sources but not fused multimodal inputs.</ns0:t>
        </ns0:is>
      </ns0:c>
      <ns0:c r="H119" s="19" t="inlineStr">
        <ns0:is>
          <ns0:t>Autism Spectrum Disorder (ASD) treatment requires accurate diagnosis and effective rehabilitation. Artificial intelligence (AI) techniques in medical diagnosis and rehabilitation can aid doctors in detecting a wide range of diseases more effectively. Nevertheless, due to its highly heterogeneous symptoms and complicated nature, ASD diagnostics continues to be a challenge for researchers. This study introduces an intelligent system based on the Artificial Gorilla Troops Optimizer (GTO) metaheuristic optimizer to detect ASD using Deep Learning and Machine Learning. Kaggle and UCI ML Repository are the data sources used in this study. The first dataset is the Autistic Children Data Set, which contains 3,374 facial images of children divided into Autistic and Non-Autistic categories. The second dataset is a compilation of data from three numerical repositories: (1) Autism Screening Adults, (2) Autistic Spectrum Disorder Screening Data for Adolescents, and (3) Autistic Spectrum Disorder Screening Data for Children. When it comes to image dataset experiments, the most notable results are (1) a TF learning ratio greater than or equal to 50 is recommended, (2) all models recommend data augmentation, and (3) the DenseNet169 model reports the lowest loss value of 0.512. Concerning the numeric dataset, five experiments recommend standardization and the final five attributes are optional in the classification process. The performance metrics demonstrate the worthiness of the proposed feature selection technique using GTO more than counterparts in the literature review.</ns0:t>
        </ns0:is>
      </ns0:c>
      <ns0:c r="I119" s="19" t="inlineStr">
        <ns0:is>
          <ns0:t>El “main” encaja mejor como CNN porque usa transfer learning con DenseNet169 para imágenes faciales; además usa un metaheurístico (GTO) para selección de características y también experimentos con datos de screening (UCI). GTO no aparece en tu lista; por eso debe ir en comentario</ns0:t>
        </ns0:is>
      </ns0:c>
      <ns0:c r="J119" s="19" t="inlineStr"/>
      <ns0:c r="K119" s="19" t="inlineStr"/>
      <ns0:c r="L119" s="19" t="inlineStr">
        <ns0:is>
          <ns0:t>Not documented in provided sources</ns0:t>
        </ns0:is>
      </ns0:c>
      <ns0:c r="M119" s="19" t="inlineStr">
        <ns0:is>
          <ns0:t>[]</ns0:t>
        </ns0:is>
      </ns0:c>
    </ns0:row>
    <ns0:row r="120" ht="165" customHeight="1">
      <ns0:c r="A120" s="21" t="inlineStr">
        <ns0:is>
          <ns0:t>125</ns0:t>
        </ns0:is>
      </ns0:c>
      <ns0:c r="B120" s="21" t="inlineStr">
        <ns0:is>
          <ns0:t>Diagnosis of Autism Spectrum Disorders in Young Children Based on Resting-State Functional Magnetic Resonance Imaging Data Using Convolutional Neural Networks</ns0:t>
        </ns0:is>
      </ns0:c>
      <ns0:c r="C120" s="21" t="inlineStr">
        <ns0:is>
          <ns0:t>10.1007/s10278-019-00196-1</ns0:t>
        </ns0:is>
      </ns0:c>
      <ns0:c r="D120" s="21" t="inlineStr">
        <ns0:is>
          <ns0:t>https://doi.org/10.1007/s10278-019-00196-1</ns0:t>
        </ns0:is>
      </ns0:c>
      <ns0:c r="E120" s="21" t="inlineStr">
        <ns0:is>
          <ns0:t>Supplied abstract/coding notes; no new full-text verification</ns0:t>
        </ns0:is>
      </ns0:c>
      <ns0:c r="F120" s="21" t="inlineStr">
        <ns0:is>
          <ns0:t>EVIDENCIA; original abstract/coding notes and lot source trace; Historical signals: title/abstract/notes; full-text completion not independently established</ns0:t>
        </ns0:is>
      </ns0:c>
      <ns0:c r="G120" s="21" t="inlineStr">
        <ns0:is>
          <ns0:t>Resting-state fMRI classifier proposed for diagnosis; no observed clinician decision pathway in supplied material.</ns0:t>
        </ns0:is>
      </ns0:c>
      <ns0:c r="H120" s="21" t="inlineStr">
        <ns0:is>
          <ns0:t>Statistics show that the risk of autism spectrum disorder (ASD) is increasing in the world. Early diagnosis is most important factor in treatment of ASD. Thus far, the childhood diagnosis of ASD has been done based on clinical interviews and behavioral observations. There is a significant need to reduce the use of traditional diagnostic techniques and to diagnose this disorder in the right time and before the manifestation of behavioral symptoms. The purpose of this study is to present the intelligent model to diagnose ASD in young children based on resting-state functional magnetic resonance imaging (rs-fMRI) data using convolutional neural networks (CNNs). CNNs, which are by far one of the most powerful deep learning algorithms, are mainly trained using datasets with large numbers of samples. However, obtaining comprehensive datasets such as ImageNet and achieving acceptable results in medical imaging domain have become challenges. In order to overcome these two challenges, the two methods of “combining classifiers,” both dynamic (mixture of experts) and static (simple ‌Bayes) approaches, and “transfer learning” were used in this analysis. In addition, since diagnosis of ASD will be much more effective at an early age, samples ranging in age from 5 to 10 years from global Autism Brain Imaging Data Exchange I and II (ABIDE I and ABIDE II) datasets were used in this research. The accuracy, sensitivity, and specificity of presented model outperform the results of previous studies conducted on ABIDE I dataset (the best results obtained from Adamax optimization technique: accuracy = 0.7273, sensitivity = 0.712, specificity = 0.7348). Furthermore, acceptable classification results were obtained from ABIDE II dataset (the best results obtained from Adamax optimization technique: accuracy = 0.7, sensitivity = 0.582, specificity = 0.804) and the combination of ABIDE I and ABIDE II datasets (the best results obtained from Adam optimization technique: accuracy = 0.7045, sensitivity = 0.679, specificity = 0.7421). We can conclude that the proposed architecture can be considered as an efficient tool for diagnosis of ASD in young children. From another perspective, this proposed method can be applied to analyzing rs-fMRI data related to brain dysfunctions.</ns0:t>
        </ns0:is>
      </ns0:c>
      <ns0:c r="I120" s="21" t="inlineStr">
        <ns0:is>
          <ns0:t>demás de CNN, reporta transfer learning y combinación de clasificadores (mixture of experts / simple Bayes), pero el núcleo es CNN para clasificar ASD vs no-ASD con rs-fMRI (ABIDE).</ns0:t>
        </ns0:is>
      </ns0:c>
      <ns0:c r="J120" s="21" t="inlineStr"/>
      <ns0:c r="K120" s="21" t="inlineStr"/>
      <ns0:c r="L120" s="21" t="inlineStr">
        <ns0:is>
          <ns0:t>Not documented in provided sources</ns0:t>
        </ns0:is>
      </ns0:c>
      <ns0:c r="M120" s="21" t="inlineStr">
        <ns0:is>
          <ns0:t>[]</ns0:t>
        </ns0:is>
      </ns0:c>
    </ns0:row>
    <ns0:row r="121" ht="65" customHeight="1">
      <ns0:c r="A121" s="19" t="inlineStr">
        <ns0:is>
          <ns0:t>128</ns0:t>
        </ns0:is>
      </ns0:c>
      <ns0:c r="B121" s="19" t="inlineStr">
        <ns0:is>
          <ns0:t>Improvement of attention-deficit/hyperactivity disorder symptoms in school-aged children, adolescents, and young adults with autism via a digital smartglasses-based socioemotional coaching aid: Short-term, uncontrolled pilot study</ns0:t>
        </ns0:is>
      </ns0:c>
      <ns0:c r="C121" s="19" t="inlineStr">
        <ns0:is>
          <ns0:t>10.2196/mental.9631</ns0:t>
        </ns0:is>
      </ns0:c>
      <ns0:c r="D121" s="19" t="inlineStr">
        <ns0:is>
          <ns0:t>https://doi.org/10.2196/mental.9631</ns0:t>
        </ns0:is>
      </ns0:c>
      <ns0:c r="E121" s="19" t="inlineStr">
        <ns0:is>
          <ns0:t>Supplied abstract/coding notes; no new full-text verification</ns0:t>
        </ns0:is>
      </ns0:c>
      <ns0:c r="F121" s="19" t="inlineStr">
        <ns0:is>
          <ns0:t>EVIDENCIA; original abstract/coding notes and lot source trace; Historical signals: title/abstract/notes; full-text completion not independently established</ns0:t>
        </ns0:is>
      </ns0:c>
      <ns0:c r="G121" s="19" t="inlineStr">
        <ns0:is>
          <ns0:t>Actual uncontrolled participant-facing smartglasses intervention; not screening. Architecture is not inferred from the product being AI-enabled.</ns0:t>
        </ns0:is>
      </ns0:c>
      <ns0:c r="H121" s="19" t="inlineStr">
        <ns0:is>
          <ns0:t>Background: People with autism spectrum disorder (ASD) commonly experience symptoms related to attention-deficit/hyperactivity disorder (ADHD), including hyperactivity, inattention, and impulsivity. One-third of ASD cases may be complicated by the presence of ADHD. Individuals with dual diagnoses face greater barriers to accessing treatment for ADHD and respond less positively to primary pharmacologic interventions. Nonpharmacologic technology-aided tools for hyperactivity and inattention in people with ASD are being developed, although research into their efficacy and safety remains limited. Objective: The objective of this preliminary study was to describe the changes in ADHD-related symptoms in children, adolescents, and young adults with ASD immediately after use of the Empowered Brain system, a behavioral and social communication aid for ASD running on augmented reality smartglasses. Methods: We recruited 8 children, adolescents, and young adults with ASD (male to female ratio of 7:1, mean age 15 years, range 11.7-20.5 years) through a Web-based research signup form. The baseline score on the hyperactivity subscale of the Aberrant Behavioral Checklist (ABC-H), a measure of hyperactivity, inattention, and impulsivity, determined their classification into a high ADHD-related symptom group (n=4, ABC-H=13) and a low ADHD-related symptom group (n=4, ABC-H&lt;13). All participants received an intervention with Empowered Brain, where they used smartglasses-based social communication and behavioral modules while interacting with their caregiver. We then calculated caregiver-reported ABC-H scores at 24 and 48 hours after the session. Results: All 8 participants were able to complete the intervention session. Postintervention ABC-H scores were lower for most participants at 24 hours (n=6, 75%) and for all participants at 48 hours (n=8, 100%). At 24 hours after the session, average participant ABC-H scores decreased by 54.9% in the high ADHD symptom group and by 20% in the low ADHD symptom group. At 48 hours after the session, ABC-H scores compared with baseline decreased by 56.4% in the high ADHD symptom group and by 66.3% in the low ADHD symptom group. Conclusions: This study provides initial evidence for the possible potential of the Empowered Brain system to reduce ADHD-related symptoms, such as hyperactivity, inattention, and impulsivity, in school-aged children, adolescents, and young adults with ASD. This digital smartglasses intervention can potentially be targeted at a broader array of mental health conditions that exhibit transdiagnostic attentional and social communication deficits, including schizophrenia and bipolar disorder. Further research is required to understand the clinical importance of these observed changes and to conduct longitudinal studies on this intervention with control groups and larger sample sizes.</ns0:t>
        </ns0:is>
      </ns0:c>
      <ns0:c r="I121" s="19" t="inlineStr"/>
      <ns0:c r="J121" s="19" t="inlineStr"/>
      <ns0:c r="K121" s="19" t="inlineStr"/>
      <ns0:c r="L121" s="19" t="inlineStr">
        <ns0:is>
          <ns0:t>Not documented in provided sources</ns0:t>
        </ns0:is>
      </ns0:c>
      <ns0:c r="M121" s="19" t="inlineStr">
        <ns0:is>
          <ns0:t>[]</ns0:t>
        </ns0:is>
      </ns0:c>
    </ns0:row>
    <ns0:row r="122" ht="65" customHeight="1">
      <ns0:c r="A122" s="21" t="inlineStr">
        <ns0:is>
          <ns0:t>129</ns0:t>
        </ns0:is>
      </ns0:c>
      <ns0:c r="B122" s="21" t="inlineStr">
        <ns0:is>
          <ns0:t>Investigating Diagnostic Data and Performance Implications in the Autism AI Dataset</ns0:t>
        </ns0:is>
      </ns0:c>
      <ns0:c r="C122" s="21" t="inlineStr">
        <ns0:is>
          <ns0:t>10.1007/978-981-96-6960-8_26</ns0:t>
        </ns0:is>
      </ns0:c>
      <ns0:c r="D122" s="21" t="inlineStr">
        <ns0:is>
          <ns0:t>https://doi.org/10.1007/978-981-96-6960-8_26</ns0:t>
        </ns0:is>
      </ns0:c>
      <ns0:c r="E122" s="21" t="inlineStr">
        <ns0:is>
          <ns0:t>Supplied abstract/coding notes; no new full-text verification</ns0:t>
        </ns0:is>
      </ns0:c>
      <ns0:c r="F122" s="21" t="inlineStr">
        <ns0:is>
          <ns0:t>EVIDENCIA; original abstract/coding notes and lot source trace; Historical signals: title/abstract/notes; full-text completion not independently established</ns0:t>
        </ns0:is>
      </ns0:c>
      <ns0:c r="G122" s="21" t="inlineStr">
        <ns0:is>
          <ns0:t>Questionnaire-derived labels and imbalance adjustments in a trait-screening dataset. Screening-rule labels are not independent clinical diagnoses.
Outcome labels were partly derived from screening-score rules; model agreement cannot be interpreted as externally validated clinical diagnostic accuracy.</ns0:t>
        </ns0:is>
      </ns0:c>
      <ns0:c r="H122" s="21" t="inlineStr">
        <ns0:is>
          <ns0: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ns0:t>
        </ns0:is>
      </ns0:c>
      <ns0:c r="I122" s="21" t="inlineStr"/>
      <ns0:c r="J122" s="21" t="inlineStr"/>
      <ns0:c r="K122" s="21" t="inlineStr"/>
      <ns0:c r="L122" s="21" t="inlineStr">
        <ns0:is>
          <ns0:t>Not documented in provided sources</ns0:t>
        </ns0:is>
      </ns0:c>
      <ns0:c r="M122" s="21" t="inlineStr">
        <ns0:is>
          <ns0:t>[]</ns0:t>
        </ns0:is>
      </ns0:c>
    </ns0:row>
    <ns0:row r="123" ht="93" customHeight="1">
      <ns0:c r="A123" s="19" t="inlineStr">
        <ns0:is>
          <ns0:t>130</ns0:t>
        </ns0:is>
      </ns0:c>
      <ns0:c r="B123" s="19" t="inlineStr">
        <ns0:is>
          <ns0:t>Large-scale examination of early-age sex differences in neurotypical toddlers and those with autism spectrum disorder or other developmental conditions</ns0:t>
        </ns0:is>
      </ns0:c>
      <ns0:c r="C123" s="19" t="inlineStr">
        <ns0:is>
          <ns0:t>10.1038/s41562-025-02132-6</ns0:t>
        </ns0:is>
      </ns0:c>
      <ns0:c r="D123" s="19" t="inlineStr">
        <ns0:is>
          <ns0:t>https://doi.org/10.1038/s41562-025-02132-6</ns0:t>
        </ns0:is>
      </ns0:c>
      <ns0:c r="E123" s="19" t="inlineStr">
        <ns0:is>
          <ns0:t>Supplied abstract/coding notes; no new full-text verification</ns0:t>
        </ns0:is>
      </ns0:c>
      <ns0:c r="F123" s="19" t="inlineStr">
        <ns0:is>
          <ns0:t>EVIDENCIA; original abstract/coding notes and lot source trace; Historical signals: title/abstract/notes; full-text completion not independently established</ns0:t>
        </ns0:is>
      </ns0:c>
      <ns0:c r="G123" s="19" t="inlineStr">
        <ns0:is>
          <ns0:t>Sex/age developmental phenotyping using standardized assessments and eye tracking. Longitudinal data collection alone is not an evaluated prognostic or monitoring AI system.</ns0:t>
        </ns0:is>
      </ns0:c>
      <ns0:c r="H123" s="19" t="inlineStr">
        <ns0:is>
          <ns0: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ns0:t>
        </ns0:is>
      </ns0:c>
      <ns0:c r="I123" s="19" t="inlineStr">
        <ns0:is>
          <ns0:t>Examen de diferencias por sexo/edad; no queda claro el algoritmo o la tarea principal de IA.</ns0:t>
        </ns0:is>
      </ns0:c>
      <ns0:c r="J123" s="19" t="inlineStr"/>
      <ns0:c r="K123" s="19" t="inlineStr"/>
      <ns0:c r="L123" s="19" t="inlineStr">
        <ns0:is>
          <ns0:t>Not documented in provided sources</ns0:t>
        </ns0:is>
      </ns0:c>
      <ns0:c r="M123" s="19" t="inlineStr">
        <ns0:is>
          <ns0:t>[]</ns0:t>
        </ns0:is>
      </ns0:c>
    </ns0:row>
    <ns0:row r="124" ht="65" customHeight="1">
      <ns0:c r="A124" s="21" t="inlineStr">
        <ns0:is>
          <ns0:t>131</ns0:t>
        </ns0:is>
      </ns0:c>
      <ns0:c r="B124" s="21" t="inlineStr">
        <ns0:is>
          <ns0:t>Online concerns of parents suspecting autism spectrum disorder in their child: Content analysis of signs and automated prediction of risk</ns0:t>
        </ns0:is>
      </ns0:c>
      <ns0:c r="C124" s="21" t="inlineStr">
        <ns0:is>
          <ns0:t>10.2196/jmir.5439</ns0:t>
        </ns0:is>
      </ns0:c>
      <ns0:c r="D124" s="21" t="inlineStr">
        <ns0:is>
          <ns0:t>https://doi.org/10.2196/jmir.5439</ns0:t>
        </ns0:is>
      </ns0:c>
      <ns0:c r="E124" s="21" t="inlineStr">
        <ns0:is>
          <ns0:t>Supplied abstract/coding notes; no new full-text verification</ns0:t>
        </ns0:is>
      </ns0:c>
      <ns0:c r="F124" s="21" t="inlineStr">
        <ns0:is>
          <ns0:t>EVIDENCIA; original abstract/coding notes and lot source trace; Historical signals: title/abstract/notes; full-text completion not independently established</ns0:t>
        </ns0:is>
      </ns0:c>
      <ns0:c r="G124" s="21" t="inlineStr">
        <ns0:is>
          <ns0:t>Clinical experts label risk from parental online concerns; multiple annotated categories from the same text do not establish multiple data sources.</ns0:t>
        </ns0:is>
      </ns0:c>
      <ns0:c r="H124" s="21" t="inlineStr">
        <ns0:is>
          <ns0: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ns0:t>
        </ns0:is>
      </ns0:c>
      <ns0:c r="I124" s="21" t="inlineStr"/>
      <ns0:c r="J124" s="21" t="inlineStr"/>
      <ns0:c r="K124" s="21" t="inlineStr"/>
      <ns0:c r="L124" s="21" t="inlineStr">
        <ns0:is>
          <ns0:t>Not documented in provided sources</ns0:t>
        </ns0:is>
      </ns0:c>
      <ns0:c r="M124" s="21" t="inlineStr">
        <ns0:is>
          <ns0:t>[]</ns0:t>
        </ns0:is>
      </ns0:c>
    </ns0:row>
    <ns0:row r="125" ht="65" customHeight="1">
      <ns0:c r="A125" s="19" t="inlineStr">
        <ns0:is>
          <ns0:t>132</ns0:t>
        </ns0:is>
      </ns0:c>
      <ns0:c r="B125" s="19" t="inlineStr">
        <ns0:is>
          <ns0:t>Use of machine learning to improve autism screening and diagnostic instruments: Effectiveness, efficiency, and multi‐instrument fusion</ns0:t>
        </ns0:is>
      </ns0:c>
      <ns0:c r="C125" s="19" t="inlineStr">
        <ns0:is>
          <ns0:t>10.1111/jcpp.12559</ns0:t>
        </ns0:is>
      </ns0:c>
      <ns0:c r="D125" s="19" t="inlineStr">
        <ns0:is>
          <ns0:t>https://doi.org/10.1111/jcpp.12559</ns0:t>
        </ns0:is>
      </ns0:c>
      <ns0:c r="E125" s="19" t="inlineStr">
        <ns0:is>
          <ns0:t>Supplied abstract/coding notes; no new full-text verification</ns0:t>
        </ns0:is>
      </ns0:c>
      <ns0:c r="F125" s="19" t="inlineStr">
        <ns0:is>
          <ns0:t>EVIDENCIA; original abstract/coding notes and lot source trace; Historical signals: title/abstract/notes; full-text completion not independently established</ns0:t>
        </ns0:is>
      </ns0:c>
      <ns0:c r="G125" s="19" t="inlineStr">
        <ns0:is>
          <ns0:t>Structured ADI-R and SRS codes with explicitly evaluated multi-instrument fusion; not natural-language text input or external validation.</ns0:t>
        </ns0:is>
      </ns0:c>
      <ns0:c r="H125" s="19" t="inlineStr">
        <ns0:is>
          <ns0:t>Background: Machine learning (ML) provides novel opportunities for human behavior research and clinical translation, yet its application can have noted pitfalls (Bone et al., 2015). In this work, we fastidiously utilize ML to derive autism spectrum disorder (ASD) instrument algorithms in an attempt to improve upon widely used ASD screening and diagnostic tools. Methods: The data consisted of Autism Diagnostic Interview-Revised (ADI-R) and Social Responsiveness Scale (SRS) scores for 1,264 verbal individuals with ASD and 462 verbal individuals with non-ASD developmental or psychiatric disorders, split at age 10. Algorithms were created via a robust ML classifier, support vector machine, while targeting best-estimate clinical diagnosis of ASD versus non-ASD. Parameter settings were tuned in multiple levels of cross-validation. Results: The created algorithms were more effective (higher performing) than the current algorithms, were tunable (sensitivity and specificity can be differentially weighted), and were more efficient (achieving near-peak performance with five or fewer codes). Results from ML-based fusion of ADI-R and SRS are reported. We present a screener algorithm for below (above) age 10 that reached 89.2% (86.7%) sensitivity and 59.0% (53.4%) specificity with only five behavioral codes. Conclusions: ML is useful for creating robust, customizable instrument algorithms. In a unique dataset comprised of controls with other difficulties, our findings highlight the limitations of current caregiver-report instruments and indicate possible avenues for improving ASD screening and diagnostic tools.</ns0:t>
        </ns0:is>
      </ns0:c>
      <ns0:c r="I125" s="19" t="inlineStr"/>
      <ns0:c r="J125" s="19" t="inlineStr"/>
      <ns0:c r="K125" s="19" t="inlineStr"/>
      <ns0:c r="L125" s="19" t="inlineStr">
        <ns0:is>
          <ns0:t>Not documented in provided sources</ns0:t>
        </ns0:is>
      </ns0:c>
      <ns0:c r="M125" s="19" t="inlineStr">
        <ns0:is>
          <ns0:t>[]</ns0:t>
        </ns0:is>
      </ns0:c>
    </ns0:row>
    <ns0:row r="126" ht="65" customHeight="1">
      <ns0:c r="A126" s="21" t="inlineStr">
        <ns0:is>
          <ns0:t>133</ns0:t>
        </ns0:is>
      </ns0:c>
      <ns0:c r="B126" s="21" t="inlineStr">
        <ns0:is>
          <ns0:t>A data driven machine learning approach to differentiate between autism spectrum disorder and attention-deficit/hyperactivity disorder based on the best-practice diagnostic instruments for autism</ns0:t>
        </ns0:is>
      </ns0:c>
      <ns0:c r="C126" s="21" t="inlineStr">
        <ns0:is>
          <ns0:t>10.1038/s41598-022-21719-x</ns0:t>
        </ns0:is>
      </ns0:c>
      <ns0:c r="D126" s="21" t="inlineStr">
        <ns0:is>
          <ns0:t>https://doi.org/10.1038/s41598-022-21719-x</ns0:t>
        </ns0:is>
      </ns0:c>
      <ns0:c r="E126" s="21" t="inlineStr">
        <ns0:is>
          <ns0:t>Supplied abstract/coding notes; no new full-text verification</ns0:t>
        </ns0:is>
      </ns0:c>
      <ns0:c r="F126" s="21" t="inlineStr">
        <ns0:is>
          <ns0:t>EVIDENCIA; original abstract/coding notes and lot source trace; Historical signals: title/abstract/notes; full-text completion not independently established</ns0:t>
        </ns0:is>
      </ns0:c>
      <ns0:c r="G126" s="21" t="inlineStr">
        <ns0:is>
          <ns0:t>ADOS and ADI-R items jointly support differential ASD/ADHD diagnostic classification; scale scores are structured records.</ns0:t>
        </ns0:is>
      </ns0:c>
      <ns0:c r="H126" s="21" t="inlineStr">
        <ns0:is>
          <ns0: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ns0:t>
        </ns0:is>
      </ns0:c>
      <ns0:c r="I126" s="21" t="inlineStr"/>
      <ns0:c r="J126" s="21" t="inlineStr"/>
      <ns0:c r="K126" s="21" t="inlineStr"/>
      <ns0:c r="L126" s="21" t="inlineStr">
        <ns0:is>
          <ns0:t>Not documented in provided sources</ns0:t>
        </ns0:is>
      </ns0:c>
      <ns0:c r="M126" s="21" t="inlineStr">
        <ns0:is>
          <ns0:t>[]</ns0:t>
        </ns0:is>
      </ns0:c>
    </ns0:row>
    <ns0:row r="127" ht="153" customHeight="1">
      <ns0:c r="A127" s="19" t="inlineStr">
        <ns0:is>
          <ns0:t>134</ns0:t>
        </ns0:is>
      </ns0:c>
      <ns0:c r="B127" s="19" t="inlineStr">
        <ns0:is>
          <ns0:t>A deep learning predictive classifier for autism screening and diagnosis</ns0:t>
        </ns0:is>
      </ns0:c>
      <ns0:c r="C127" s="19" t="inlineStr">
        <ns0:is>
          <ns0:t>10.1016/b978-0-12-822822-7.00011-9</ns0:t>
        </ns0:is>
      </ns0:c>
      <ns0:c r="D127" s="19" t="inlineStr">
        <ns0:is>
          <ns0:t>https://doi.org/10.1016/b978-0-12-822822-7.00011-9</ns0:t>
        </ns0:is>
      </ns0:c>
      <ns0:c r="E127" s="19" t="inlineStr">
        <ns0:is>
          <ns0:t>Supplied abstract/coding notes; no new full-text verification</ns0:t>
        </ns0:is>
      </ns0:c>
      <ns0:c r="F127" s="19" t="inlineStr">
        <ns0:is>
          <ns0:t>EVIDENCIA; original abstract/coding notes and lot source trace; Historical signals: title/abstract/notes; full-text completion not independently established</ns0:t>
        </ns0:is>
      </ns0:c>
      <ns0:c r="G127" s="19" t="inlineStr">
        <ns0:is>
          <ns0:t>Standalone edited-book chapter, explicitly described as a chapter; not an eligible identified conference proceeding or journal article.</ns0:t>
        </ns0:is>
      </ns0:c>
      <ns0:c r="H127" s="19" t="inlineStr">
        <ns0:is>
          <ns0: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ns0:t>
        </ns0:is>
      </ns0:c>
      <ns0:c r="I127" s="19" t="inlineStr">
        <ns0:is>
          <ns0:t>Algoritmo principal no explícito o fuera del codebook; Confirmar algoritmo principal en full-text; Se comparan varios modelos; se eligió el principal/mejor reportado</ns0:t>
        </ns0:is>
      </ns0:c>
      <ns0:c r="J127" s="19" t="inlineStr"/>
      <ns0:c r="K127" s="19" t="inlineStr"/>
      <ns0:c r="L127" s="19" t="inlineStr">
        <ns0:is>
          <ns0:t>Not documented in provided sources</ns0:t>
        </ns0:is>
      </ns0:c>
      <ns0:c r="M127" s="19" t="inlineStr">
        <ns0:is>
          <ns0:t>[]</ns0:t>
        </ns0:is>
      </ns0:c>
    </ns0:row>
    <ns0:row r="128" ht="93" customHeight="1">
      <ns0:c r="A128" s="21" t="inlineStr">
        <ns0:is>
          <ns0:t>135</ns0:t>
        </ns0:is>
      </ns0:c>
      <ns0:c r="B128" s="21" t="inlineStr">
        <ns0:is>
          <ns0:t>A Deep Neural Network-Based Model for Screening Autism Spectrum Disorder Using the Quantitative Checklist for Autism in Toddlers (QCHAT)</ns0:t>
        </ns0:is>
      </ns0:c>
      <ns0:c r="C128" s="21" t="inlineStr">
        <ns0:is>
          <ns0:t>10.1007/s10803-021-05141-2</ns0:t>
        </ns0:is>
      </ns0:c>
      <ns0:c r="D128" s="21" t="inlineStr">
        <ns0:is>
          <ns0:t>https://doi.org/10.1007/s10803-021-05141-2</ns0:t>
        </ns0:is>
      </ns0:c>
      <ns0:c r="E128" s="21" t="inlineStr">
        <ns0:is>
          <ns0:t>Supplied abstract/coding notes; no new full-text verification</ns0:t>
        </ns0:is>
      </ns0:c>
      <ns0:c r="F128" s="21" t="inlineStr">
        <ns0:is>
          <ns0:t>EVIDENCIA; original abstract/coding notes and lot source trace; Historical signals: title/abstract/notes; full-text completion not independently established</ns0:t>
        </ns0:is>
      </ns0:c>
      <ns0:c r="G128" s="21" t="inlineStr">
        <ns0:is>
          <ns0:t>QCHAT/QCHAT-10 questionnaire data, not voice. Separate full and short instruments do not establish simultaneous fusion.</ns0:t>
        </ns0:is>
      </ns0:c>
      <ns0:c r="H128" s="21" t="inlineStr">
        <ns0:is>
          <ns0: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ns0:t>
        </ns0:is>
      </ns0:c>
      <ns0:c r="I128" s="21" t="inlineStr">
        <ns0:is>
          <ns0:t>Algoritmo principal no explícito o fuera del codebook; Confirmar algoritmo principal en full-text</ns0:t>
        </ns0:is>
      </ns0:c>
      <ns0:c r="J128" s="21" t="inlineStr"/>
      <ns0:c r="K128" s="21" t="inlineStr"/>
      <ns0:c r="L128" s="21" t="inlineStr">
        <ns0:is>
          <ns0:t>Not documented in provided sources</ns0:t>
        </ns0:is>
      </ns0:c>
      <ns0:c r="M128" s="21" t="inlineStr">
        <ns0:is>
          <ns0:t>[]</ns0:t>
        </ns0:is>
      </ns0:c>
    </ns0:row>
    <ns0:row r="129" ht="65" customHeight="1">
      <ns0:c r="A129" s="19" t="inlineStr">
        <ns0:is>
          <ns0:t>136</ns0:t>
        </ns0:is>
      </ns0:c>
      <ns0:c r="B129" s="19" t="inlineStr">
        <ns0:is>
          <ns0:t>A semi-supervised autoencoder for autism disease diagnosis</ns0:t>
        </ns0:is>
      </ns0:c>
      <ns0:c r="C129" s="19" t="inlineStr">
        <ns0:is>
          <ns0:t>10.1016/j.neucom.2022.02.017</ns0:t>
        </ns0:is>
      </ns0:c>
      <ns0:c r="D129" s="19" t="inlineStr">
        <ns0:is>
          <ns0:t>https://doi.org/10.1016/j.neucom.2022.02.017</ns0:t>
        </ns0:is>
      </ns0:c>
      <ns0:c r="E129" s="19" t="inlineStr">
        <ns0:is>
          <ns0:t>Supplied abstract/coding notes; no new full-text verification</ns0:t>
        </ns0:is>
      </ns0:c>
      <ns0:c r="F129" s="19" t="inlineStr">
        <ns0:is>
          <ns0:t>EVIDENCIA; original abstract/coding notes and lot source trace; Historical signals: title/abstract/notes; full-text completion not independently established</ns0:t>
        </ns0:is>
      </ns0:c>
      <ns0:c r="G129" s="19" t="inlineStr">
        <ns0:is>
          <ns0:t>Resting-state fMRI connectivity in ABIDE; internal cross-validation, not external or site-held-out validation.</ns0:t>
        </ns0:is>
      </ns0:c>
      <ns0:c r="H129" s="19" t="inlineStr">
        <ns0:is>
          <ns0: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ns0:t>
        </ns0:is>
      </ns0:c>
      <ns0:c r="I129" s="19" t="inlineStr"/>
      <ns0:c r="J129" s="19" t="inlineStr"/>
      <ns0:c r="K129" s="19" t="inlineStr"/>
      <ns0:c r="L129" s="19" t="inlineStr">
        <ns0:is>
          <ns0:t>Not documented in provided sources</ns0:t>
        </ns0:is>
      </ns0:c>
      <ns0:c r="M129" s="19" t="inlineStr">
        <ns0:is>
          <ns0:t>[]</ns0:t>
        </ns0:is>
      </ns0:c>
    </ns0:row>
    <ns0:row r="130" ht="93" customHeight="1">
      <ns0:c r="A130" s="21" t="inlineStr">
        <ns0:is>
          <ns0:t>137</ns0:t>
        </ns0:is>
      </ns0:c>
      <ns0:c r="B130" s="21" t="inlineStr">
        <ns0:is>
          <ns0:t>Applying machine learning on home videos for remote autism diagnosis: Further study and analysis</ns0:t>
        </ns0:is>
      </ns0:c>
      <ns0:c r="C130" s="21" t="inlineStr">
        <ns0:is>
          <ns0:t>10.1177/1460458221991882</ns0:t>
        </ns0:is>
      </ns0:c>
      <ns0:c r="D130" s="21" t="inlineStr">
        <ns0:is>
          <ns0:t>https://doi.org/10.1177/1460458221991882</ns0:t>
        </ns0:is>
      </ns0:c>
      <ns0:c r="E130" s="21" t="inlineStr">
        <ns0:is>
          <ns0:t>Supplied abstract/coding notes; no new full-text verification</ns0:t>
        </ns0:is>
      </ns0:c>
      <ns0:c r="F130" s="21" t="inlineStr">
        <ns0:is>
          <ns0:t>EVIDENCIA; original abstract/coding notes and lot source trace; Historical signals: title/abstract/notes; full-text completion not independently established</ns0:t>
        </ns0:is>
      </ns0:c>
      <ns0:c r="G130" s="21" t="inlineStr">
        <ns0:is>
          <ns0:t>Non-clinicians provide structured ratings of home videos; classifier consumes ratings, not raw video pixels. Explicit interpretable companion models support explanation coding.</ns0:t>
        </ns0:is>
      </ns0:c>
      <ns0:c r="H130" s="21" t="inlineStr">
        <ns0:is>
          <ns0: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ns0:t>
        </ns0:is>
      </ns0:c>
      <ns0:c r="I130" s="21" t="inlineStr">
        <ns0:is>
          <ns0:t>Algoritmo principal no explícito o fuera del codebook; Confirmar algoritmo principal en full-text</ns0:t>
        </ns0:is>
      </ns0:c>
      <ns0:c r="J130" s="21" t="inlineStr"/>
      <ns0:c r="K130" s="21" t="inlineStr"/>
      <ns0:c r="L130" s="21" t="inlineStr">
        <ns0:is>
          <ns0:t>Not documented in provided sources</ns0:t>
        </ns0:is>
      </ns0:c>
      <ns0:c r="M130" s="21" t="inlineStr">
        <ns0:is>
          <ns0:t>[]</ns0:t>
        </ns0:is>
      </ns0:c>
    </ns0:row>
    <ns0:row r="131" ht="65" customHeight="1">
      <ns0:c r="A131" s="19" t="inlineStr">
        <ns0:is>
          <ns0:t>138</ns0:t>
        </ns0:is>
      </ns0:c>
      <ns0:c r="B131" s="19" t="inlineStr">
        <ns0:is>
          <ns0:t>ASD-SWNet: a novel shared-weight feature extraction and classification network for autism spectrum disorder diagnosis</ns0:t>
        </ns0:is>
      </ns0:c>
      <ns0:c r="C131" s="19" t="inlineStr">
        <ns0:is>
          <ns0:t>10.1038/s41598-024-64299-8</ns0:t>
        </ns0:is>
      </ns0:c>
      <ns0:c r="D131" s="19" t="inlineStr">
        <ns0:is>
          <ns0:t>https://doi.org/10.1038/s41598-024-64299-8</ns0:t>
        </ns0:is>
      </ns0:c>
      <ns0:c r="E131" s="19" t="inlineStr">
        <ns0:is>
          <ns0:t>Supplied abstract/coding notes; no new full-text verification</ns0:t>
        </ns0:is>
      </ns0:c>
      <ns0:c r="F131" s="19" t="inlineStr">
        <ns0:is>
          <ns0:t>EVIDENCIA; original abstract/coding notes and lot source trace; Historical signals: title/abstract/notes; full-text completion not independently established</ns0:t>
        </ns0:is>
      </ns0:c>
      <ns0:c r="G131" s="19" t="inlineStr">
        <ns0:is>
          <ns0:t>Explicit joint deep architecture using fMRI; nested ten-fold internal cross-validation. Two neural components are not an ML-DL hybrid.</ns0:t>
        </ns0:is>
      </ns0:c>
      <ns0:c r="H131" s="19" t="inlineStr">
        <ns0:is>
          <ns0: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ns0:t>
        </ns0:is>
      </ns0:c>
      <ns0:c r="I131" s="19" t="inlineStr"/>
      <ns0:c r="J131" s="19" t="inlineStr"/>
      <ns0:c r="K131" s="19" t="inlineStr"/>
      <ns0:c r="L131" s="19" t="inlineStr">
        <ns0:is>
          <ns0:t>Not documented in provided sources</ns0:t>
        </ns0:is>
      </ns0:c>
      <ns0:c r="M131" s="19" t="inlineStr">
        <ns0:is>
          <ns0:t>[]</ns0:t>
        </ns0:is>
      </ns0:c>
    </ns0:row>
    <ns0:row r="132" ht="65" customHeight="1">
      <ns0:c r="A132" s="21" t="inlineStr">
        <ns0:is>
          <ns0:t>140</ns0:t>
        </ns0:is>
      </ns0:c>
      <ns0:c r="B132" s="21" t="inlineStr">
        <ns0:is>
          <ns0:t>Autism spectrum disorder diagnosis based on deep unrolling-based spatial constraint representation.</ns0:t>
        </ns0:is>
      </ns0:c>
      <ns0:c r="C132" s="21" t="inlineStr">
        <ns0:is>
          <ns0:t>10.1007/s11517-023-02859-2</ns0:t>
        </ns0:is>
      </ns0:c>
      <ns0:c r="D132" s="21" t="inlineStr">
        <ns0:is>
          <ns0:t>https://doi.org/10.1007/s11517-023-02859-2</ns0:t>
        </ns0:is>
      </ns0:c>
      <ns0:c r="E132" s="21" t="inlineStr">
        <ns0:is>
          <ns0:t>Supplied abstract/coding notes; no new full-text verification</ns0:t>
        </ns0:is>
      </ns0:c>
      <ns0:c r="F132" s="21" t="inlineStr">
        <ns0:is>
          <ns0:t>EVIDENCIA; original abstract/coding notes and lot source trace; Historical signals: title/abstract/notes; full-text completion not independently established</ns0:t>
        </ns0:is>
      </ns0:c>
      <ns0:c r="G132" s="21" t="inlineStr">
        <ns0:is>
          <ns0:t>End-to-end fMRI brain-network learning and classification; deep unrolling is an explicit architecture, not a generic unspecified method.</ns0:t>
        </ns0:is>
      </ns0:c>
      <ns0:c r="H132" s="21" t="inlineStr">
        <ns0:is>
          <ns0: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ns0:t>
        </ns0:is>
      </ns0:c>
      <ns0:c r="I132" s="21" t="inlineStr"/>
      <ns0:c r="J132" s="21" t="inlineStr"/>
      <ns0:c r="K132" s="21" t="inlineStr"/>
      <ns0:c r="L132" s="21" t="inlineStr">
        <ns0:is>
          <ns0:t>Not documented in provided sources</ns0:t>
        </ns0:is>
      </ns0:c>
      <ns0:c r="M132" s="21" t="inlineStr">
        <ns0:is>
          <ns0:t>[]</ns0:t>
        </ns0:is>
      </ns0:c>
    </ns0:row>
    <ns0:row r="133" ht="65" customHeight="1">
      <ns0:c r="A133" s="19" t="inlineStr">
        <ns0:is>
          <ns0:t>141</ns0:t>
        </ns0:is>
      </ns0:c>
      <ns0:c r="B133" s="19" t="inlineStr">
        <ns0:is>
          <ns0:t>Automatic Cry Analysis: Deep Learning for Screening of Autism Spectrum Disorder in Early Childhood</ns0:t>
        </ns0:is>
      </ns0:c>
      <ns0:c r="C133" s="19" t="inlineStr">
        <ns0:is>
          <ns0:t>10.1007/s10803-025-06811-1</ns0:t>
        </ns0:is>
      </ns0:c>
      <ns0:c r="D133" s="19" t="inlineStr">
        <ns0:is>
          <ns0:t>https://doi.org/10.1007/s10803-025-06811-1</ns0:t>
        </ns0:is>
      </ns0:c>
      <ns0:c r="E133" s="19" t="inlineStr">
        <ns0:is>
          <ns0:t>Supplied abstract/coding notes; no new full-text verification</ns0:t>
        </ns0:is>
      </ns0:c>
      <ns0:c r="F133" s="19" t="inlineStr">
        <ns0:is>
          <ns0:t>EVIDENCIA; original abstract/coding notes and lot source trace; Historical signals: title/abstract/notes; full-text completion not independently established</ns0:t>
        </ns0:is>
      </ns0:c>
      <ns0:c r="G133" s="19" t="inlineStr">
        <ns0:is>
          <ns0:t>Acoustic cry classification of already characterized children; screening intent is explicit, but it is not prospective newborn prescreening or multisource integration.</ns0:t>
        </ns0:is>
      </ns0:c>
      <ns0:c r="H133" s="19" t="inlineStr">
        <ns0:is>
          <ns0:t>Purpose: The objective of this study is to identify the acoustic characteristics of cries of Typically Developing (TD) and Autism Spectrum Disorder (ASD) children via Deep Learning (DL) techniques to support clinicians in the early detection of ASD._x000D_
_x000D_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children._x000D_
_x000D_
Results: We found a statistical significant increase in jitter and shimmer for ASD cries compared to TD, as well as a decrease in HNR for ASD cries. Additionally, the DL algorithm achieved an accuracy of 90.28% in differentiating ASD cries from TD._x000D_
_x000D_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ns0:t>
        </ns0:is>
      </ns0:c>
      <ns0:c r="I133" s="19" t="inlineStr"/>
      <ns0:c r="J133" s="19" t="inlineStr"/>
      <ns0:c r="K133" s="19" t="inlineStr"/>
      <ns0:c r="L133" s="19" t="inlineStr">
        <ns0:is>
          <ns0:t>Not documented in provided sources</ns0:t>
        </ns0:is>
      </ns0:c>
      <ns0:c r="M133" s="19" t="inlineStr">
        <ns0:is>
          <ns0:t>[]</ns0:t>
        </ns0:is>
      </ns0:c>
    </ns0:row>
    <ns0:row r="134" ht="105" customHeight="1">
      <ns0:c r="A134" s="21" t="inlineStr">
        <ns0:is>
          <ns0:t>142</ns0:t>
        </ns0:is>
      </ns0:c>
      <ns0:c r="B134" s="21" t="inlineStr">
        <ns0:is>
          <ns0:t>AV-FOS: Transformer-Based Audio-Visual Multimodal Interaction Style Recognition for Children With Autism Using the Revised Family Observation Schedule 3rd Edition (FOS-R-III)</ns0:t>
        </ns0:is>
      </ns0:c>
      <ns0:c r="C134" s="21" t="inlineStr">
        <ns0:is>
          <ns0:t>10.1109/jbhi.2025.3542066</ns0:t>
        </ns0:is>
      </ns0:c>
      <ns0:c r="D134" s="21" t="inlineStr">
        <ns0:is>
          <ns0:t>https://doi.org/10.1109/jbhi.2025.3542066</ns0:t>
        </ns0:is>
      </ns0:c>
      <ns0:c r="E134" s="21" t="inlineStr">
        <ns0:is>
          <ns0:t>Supplied abstract/coding notes; no new full-text verification</ns0:t>
        </ns0:is>
      </ns0:c>
      <ns0:c r="F134" s="21" t="inlineStr">
        <ns0:is>
          <ns0:t>EVIDENCIA; original abstract/coding notes and lot source trace; Historical signals: title/abstract/notes; full-text completion not independently established</ns0:t>
        </ns0:is>
      </ns0:c>
      <ns0:c r="G134" s="21" t="inlineStr">
        <ns0:is>
          <ns0:t>Explicit audio-visual fusion for automated family-interaction coding; clinically annotated recordings are not proof of deployment in live care.</ns0:t>
        </ns0:is>
      </ns0:c>
      <ns0:c r="H134" s="21" t="inlineStr">
        <ns0:is>
          <ns0: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ns0:t>
        </ns0:is>
      </ns0:c>
      <ns0:c r="I134" s="21" t="inlineStr">
        <ns0:is>
          <ns0:t>Reconocimiento de estilo de interacción audio-visual en FOS-R-III; etapa clínica exacta requiere confirmación.</ns0:t>
        </ns0:is>
      </ns0:c>
      <ns0:c r="J134" s="21" t="inlineStr"/>
      <ns0:c r="K134" s="21" t="inlineStr"/>
      <ns0:c r="L134" s="21" t="inlineStr">
        <ns0:is>
          <ns0:t>Not documented in provided sources</ns0:t>
        </ns0:is>
      </ns0:c>
      <ns0:c r="M134" s="21" t="inlineStr">
        <ns0:is>
          <ns0:t>[]</ns0:t>
        </ns0:is>
      </ns0:c>
    </ns0:row>
    <ns0:row r="135" ht="93" customHeight="1">
      <ns0:c r="A135" s="19" t="inlineStr">
        <ns0:is>
          <ns0:t>143</ns0:t>
        </ns0:is>
      </ns0:c>
      <ns0:c r="B135" s="19" t="inlineStr">
        <ns0:is>
          <ns0:t>Biomarker prediction in autism spectrum disorder using a network-based approach</ns0:t>
        </ns0:is>
      </ns0:c>
      <ns0:c r="C135" s="19" t="inlineStr">
        <ns0:is>
          <ns0:t>10.1186/s12920-023-01439-5</ns0:t>
        </ns0:is>
      </ns0:c>
      <ns0:c r="D135" s="19" t="inlineStr">
        <ns0:is>
          <ns0:t>https://doi.org/10.1186/s12920-023-01439-5</ns0:t>
        </ns0:is>
      </ns0:c>
      <ns0:c r="E135" s="19" t="inlineStr">
        <ns0:is>
          <ns0:t>Supplied abstract/coding notes; no new full-text verification</ns0:t>
        </ns0:is>
      </ns0:c>
      <ns0:c r="F135" s="19" t="inlineStr">
        <ns0:is>
          <ns0:t>EVIDENCIA; original abstract/coding notes and lot source trace; Historical signals: title/abstract/notes; full-text completion not independently established</ns0:t>
        </ns0:is>
      </ns0:c>
      <ns0:c r="G135" s="19" t="inlineStr">
        <ns0:is>
          <ns0:t>Human molecular biomarker-discovery algorithms, not deep learning. Clinical interpretation is limited to candidate-feature discovery, not patient-level diagnostic accuracy.</ns0:t>
        </ns0:is>
      </ns0:c>
      <ns0:c r="H135" s="19" t="inlineStr">
        <ns0:is>
          <ns0: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ns0:t>
        </ns0:is>
      </ns0:c>
      <ns0:c r="I135" s="19" t="inlineStr">
        <ns0:is>
          <ns0:t>Algoritmo principal no explícito o fuera del codebook; Confirmar algoritmo principal en full-text</ns0:t>
        </ns0:is>
      </ns0:c>
      <ns0:c r="J135" s="19" t="inlineStr"/>
      <ns0:c r="K135" s="19" t="inlineStr"/>
      <ns0:c r="L135" s="19" t="inlineStr">
        <ns0:is>
          <ns0:t>Not documented in provided sources</ns0:t>
        </ns0:is>
      </ns0:c>
      <ns0:c r="M135" s="19" t="inlineStr">
        <ns0:is>
          <ns0:t>[]</ns0:t>
        </ns0:is>
      </ns0:c>
    </ns0:row>
    <ns0:row r="136" ht="65" customHeight="1">
      <ns0:c r="A136" s="21" t="inlineStr">
        <ns0:is>
          <ns0:t>144</ns0:t>
        </ns0:is>
      </ns0:c>
      <ns0:c r="B136" s="21" t="inlineStr">
        <ns0:is>
          <ns0:t>Classifying autism in a clinical population based on motion synchrony: a proof-of-concept study using real-life diagnostic interviews</ns0:t>
        </ns0:is>
      </ns0:c>
      <ns0:c r="C136" s="21" t="inlineStr">
        <ns0:is>
          <ns0:t>10.1038/s41598-024-56098-y</ns0:t>
        </ns0:is>
      </ns0:c>
      <ns0:c r="D136" s="21" t="inlineStr">
        <ns0:is>
          <ns0:t>https://doi.org/10.1038/s41598-024-56098-y</ns0:t>
        </ns0:is>
      </ns0:c>
      <ns0:c r="E136" s="21" t="inlineStr">
        <ns0:is>
          <ns0:t>Supplied abstract/coding notes; no new full-text verification</ns0:t>
        </ns0:is>
      </ns0:c>
      <ns0:c r="F136" s="21" t="inlineStr">
        <ns0:is>
          <ns0:t>EVIDENCIA; original abstract/coding notes and lot source trace; Historical signals: title/abstract/notes; full-text completion not independently established</ns0:t>
        </ns0:is>
      </ns0:c>
      <ns0:c r="G136" s="21" t="inlineStr">
        <ns0:is>
          <ns0:t>Classifier is trained offline on recorded real-life diagnostic interviews. Clinical provenance of recordings does not mean model outputs supported the clinical decisions.</ns0:t>
        </ns0:is>
      </ns0:c>
      <ns0:c r="H136" s="21" t="inlineStr">
        <ns0:is>
          <ns0: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ns0:t>
        </ns0:is>
      </ns0:c>
      <ns0:c r="I136" s="21" t="inlineStr"/>
      <ns0:c r="J136" s="21" t="inlineStr"/>
      <ns0:c r="K136" s="21" t="inlineStr"/>
      <ns0:c r="L136" s="21" t="inlineStr">
        <ns0:is>
          <ns0:t>Not documented in provided sources</ns0:t>
        </ns0:is>
      </ns0:c>
      <ns0:c r="M136" s="21" t="inlineStr">
        <ns0:is>
          <ns0:t>[]</ns0:t>
        </ns0:is>
      </ns0:c>
    </ns0:row>
    <ns0:row r="137" ht="105" customHeight="1">
      <ns0:c r="A137" s="19" t="inlineStr">
        <ns0:is>
          <ns0:t>145</ns0:t>
        </ns0:is>
      </ns0:c>
      <ns0:c r="B137" s="19" t="inlineStr">
        <ns0:is>
          <ns0:t>Clinical Evaluation of a Novel and Mobile Autism Risk Assessment</ns0:t>
        </ns0:is>
      </ns0:c>
      <ns0:c r="C137" s="19" t="inlineStr">
        <ns0:is>
          <ns0:t>10.1007/s10803-016-2718-4</ns0:t>
        </ns0:is>
      </ns0:c>
      <ns0:c r="D137" s="19" t="inlineStr">
        <ns0:is>
          <ns0:t>https://doi.org/10.1007/s10803-016-2718-4</ns0:t>
        </ns0:is>
      </ns0:c>
      <ns0:c r="E137" s="19" t="inlineStr">
        <ns0:is>
          <ns0:t>Supplied abstract/coding notes; no new full-text verification</ns0:t>
        </ns0:is>
      </ns0:c>
      <ns0:c r="F137" s="19" t="inlineStr">
        <ns0:is>
          <ns0:t>EVIDENCIA; original abstract/coding notes and lot source trace; Historical signals: title/abstract/notes; full-text completion not independently established</ns0:t>
        </ns0:is>
      </ns0:c>
      <ns0:c r="G137" s="19" t="inlineStr">
        <ns0:is>
          <ns0:t>Mobile risk assessment was administered at the first developmental-behavioral clinic visit and compared with the encounter diagnosis. This establishes point-of-use evaluation, not proof of improved clinical decisions.</ns0:t>
        </ns0:is>
      </ns0:c>
      <ns0:c r="H137" s="19" t="inlineStr">
        <ns0:is>
          <ns0:t>The Mobile Autism Risk Assessment (MARA) is a new, electronically administered, 7-question autism spectrum disorder (ASD) screen to triage those at highest risk for ASD. Children 16 months–17 years (N = 222) were screened during their first visit in a developmental-behavioral pediatric clinic. MARA scores were compared to diagnosis from the clinical encounter. Participant median age was 5.8 years, 76.1 % were male, and most participants had an intelligence/developmental quotient score &gt;85; 69 of the participants (31 %) received a clinical diagnosis of ASD. The sensitivity of the MARA in detecting ASD was 89.9 % [95 % CI = 82.7–97]; the specificity was 79.7 % [95 % CI = 73.4–86.1]. In a high-risk clinical setting, the MARA shows promise as a screen to distinguish ASD from other developmental/behavioral disorders.</ns0:t>
        </ns0:is>
      </ns0:c>
      <ns0:c r="I137" s="19" t="inlineStr">
        <ns0:is>
          <ns0:t>Alternating Decision Tree (ADTree)” es una variante de árbol de decisión; por eso cae naturalmente en Decision Tree</ns0:t>
        </ns0:is>
      </ns0:c>
      <ns0:c r="J137" s="19" t="inlineStr"/>
      <ns0:c r="K137" s="19" t="inlineStr"/>
      <ns0:c r="L137" s="19" t="inlineStr">
        <ns0:is>
          <ns0:t>Not documented in provided sources</ns0:t>
        </ns0:is>
      </ns0:c>
      <ns0:c r="M137" s="19" t="inlineStr">
        <ns0:is>
          <ns0:t>[]</ns0:t>
        </ns0:is>
      </ns0:c>
    </ns0:row>
    <ns0:row r="138" ht="69" customHeight="1">
      <ns0:c r="A138" s="21" t="inlineStr">
        <ns0:is>
          <ns0:t>146</ns0:t>
        </ns0:is>
      </ns0:c>
      <ns0:c r="B138" s="21" t="inlineStr">
        <ns0:is>
          <ns0:t>Comparison of classification algorithms for predicting autistic spectrum disorder using WEKA modeler</ns0:t>
        </ns0:is>
      </ns0:c>
      <ns0:c r="C138" s="21" t="inlineStr">
        <ns0:is>
          <ns0:t>10.1186/s12911-022-02050-x</ns0:t>
        </ns0:is>
      </ns0:c>
      <ns0:c r="D138" s="21" t="inlineStr">
        <ns0:is>
          <ns0:t>https://doi.org/10.1186/s12911-022-02050-x</ns0:t>
        </ns0:is>
      </ns0:c>
      <ns0:c r="E138" s="21" t="inlineStr">
        <ns0:is>
          <ns0:t>Supplied abstract/coding notes; no new full-text verification</ns0:t>
        </ns0:is>
      </ns0:c>
      <ns0:c r="F138" s="21" t="inlineStr">
        <ns0:is>
          <ns0:t>EVIDENCIA; original abstract/coding notes and lot source trace; Historical signals: title/abstract/notes; full-text completion not independently established</ns0:t>
        </ns0:is>
      </ns0:c>
      <ns0:c r="G138" s="21" t="inlineStr">
        <ns0:is>
          <ns0:t>Explicit best-performing J48 in classifier comparison; not SVM or a hybrid architecture. Missing-value imputation is preprocessing, not another modality.</ns0:t>
        </ns0:is>
      </ns0:c>
      <ns0:c r="H138" s="21" t="inlineStr">
        <ns0:is>
          <ns0: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ns0:t>
        </ns0:is>
      </ns0:c>
      <ns0:c r="I138" s="21" t="inlineStr">
        <ns0:is>
          <ns0:t>Se comparan varios modelos; se eligió el principal/mejor reportado</ns0:t>
        </ns0:is>
      </ns0:c>
      <ns0:c r="J138" s="21" t="inlineStr"/>
      <ns0:c r="K138" s="21" t="inlineStr"/>
      <ns0:c r="L138" s="21" t="inlineStr">
        <ns0:is>
          <ns0:t>Not documented in provided sources</ns0:t>
        </ns0:is>
      </ns0:c>
      <ns0:c r="M138" s="21" t="inlineStr">
        <ns0:is>
          <ns0:t>[]</ns0:t>
        </ns0:is>
      </ns0:c>
    </ns0:row>
    <ns0:row r="139" ht="93" customHeight="1">
      <ns0:c r="A139" s="19" t="inlineStr">
        <ns0:is>
          <ns0:t>147</ns0:t>
        </ns0:is>
      </ns0:c>
      <ns0:c r="B139" s="19" t="inlineStr">
        <ns0:is>
          <ns0:t>DALNN: Dual Attention Learning Neural Network for Diagnosis of Autism Spectrum Disorders and Exploration of Lesion Brain Regions</ns0:t>
        </ns0:is>
      </ns0:c>
      <ns0:c r="C139" s="19" t="inlineStr">
        <ns0:is>
          <ns0:t>10.1109/tcss.2025.3593119</ns0:t>
        </ns0:is>
      </ns0:c>
      <ns0:c r="D139" s="19" t="inlineStr">
        <ns0:is>
          <ns0:t>https://doi.org/10.1109/tcss.2025.3593119</ns0:t>
        </ns0:is>
      </ns0:c>
      <ns0:c r="E139" s="19" t="inlineStr">
        <ns0:is>
          <ns0:t>Supplied abstract/coding notes; no new full-text verification</ns0:t>
        </ns0:is>
      </ns0:c>
      <ns0:c r="F139" s="19" t="inlineStr">
        <ns0:is>
          <ns0:t>EVIDENCIA; original abstract/coding notes and lot source trace; Historical signals: title/abstract/notes; full-text completion not independently established</ns0:t>
        </ns0:is>
      </ns0:c>
      <ns0:c r="G139" s="19" t="inlineStr">
        <ns0:is>
          <ns0:t>Explicit multimodal fusion and region-of-interest extraction in ABIDE. Site aggregation does not establish cross-site held-out testing.</ns0:t>
        </ns0:is>
      </ns0:c>
      <ns0:c r="H139" s="19" t="inlineStr">
        <ns0:is>
          <ns0: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ns0:t>
        </ns0:is>
      </ns0:c>
      <ns0:c r="I139" s="19" t="inlineStr">
        <ns0:is>
          <ns0:t>Algoritmo principal no explícito o fuera del codebook; Confirmar algoritmo principal en full-text</ns0:t>
        </ns0:is>
      </ns0:c>
      <ns0:c r="J139" s="19" t="inlineStr"/>
      <ns0:c r="K139" s="19" t="inlineStr"/>
      <ns0:c r="L139" s="19" t="inlineStr">
        <ns0:is>
          <ns0:t>Not documented in provided sources</ns0:t>
        </ns0:is>
      </ns0:c>
      <ns0:c r="M139" s="19" t="inlineStr">
        <ns0:is>
          <ns0:t>[]</ns0:t>
        </ns0:is>
      </ns0:c>
    </ns0:row>
    <ns0:row r="140" ht="65" customHeight="1">
      <ns0:c r="A140" s="21" t="inlineStr">
        <ns0:is>
          <ns0:t>148</ns0:t>
        </ns0:is>
      </ns0:c>
      <ns0:c r="B140" s="21" t="inlineStr">
        <ns0:is>
          <ns0:t>Detecting Autism Spectrum Disorder and Attention Deficit Hyperactivity Disorder Using Multimodal Time-Frequency Analysis with Machine Learning Using the Electroretinogram from Two Flash Strengths</ns0:t>
        </ns0:is>
      </ns0:c>
      <ns0:c r="C140" s="21" t="inlineStr">
        <ns0:is>
          <ns0:t>10.1007/s10803-024-06290-w</ns0:t>
        </ns0:is>
      </ns0:c>
      <ns0:c r="D140" s="21" t="inlineStr">
        <ns0:is>
          <ns0:t>https://doi.org/10.1007/s10803-024-06290-w</ns0:t>
        </ns0:is>
      </ns0:c>
      <ns0:c r="E140" s="21" t="inlineStr">
        <ns0:is>
          <ns0:t>Supplied abstract/coding notes; no new full-text verification</ns0:t>
        </ns0:is>
      </ns0:c>
      <ns0:c r="F140" s="21" t="inlineStr">
        <ns0:is>
          <ns0:t>EVIDENCIA; original abstract/coding notes and lot source trace; Historical signals: title/abstract/notes; full-text completion not independently established</ns0:t>
        </ns0:is>
      </ns0:c>
      <ns0:c r="G140" s="21" t="inlineStr">
        <ns0:is>
          <ns0:t>ERG at two flash strengths and two transforms remains a single physiological modality; no deep architecture is identified.</ns0:t>
        </ns0:is>
      </ns0:c>
      <ns0:c r="H140" s="21" t="inlineStr">
        <ns0:is>
          <ns0: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ns0:t>
        </ns0:is>
      </ns0:c>
      <ns0:c r="I140" s="21" t="inlineStr"/>
      <ns0:c r="J140" s="21" t="inlineStr"/>
      <ns0:c r="K140" s="21" t="inlineStr"/>
      <ns0:c r="L140" s="21" t="inlineStr">
        <ns0:is>
          <ns0:t>Not documented in provided sources</ns0:t>
        </ns0:is>
      </ns0:c>
      <ns0:c r="M140" s="21" t="inlineStr">
        <ns0:is>
          <ns0:t>[]</ns0:t>
        </ns0:is>
      </ns0:c>
    </ns0:row>
    <ns0:row r="141" ht="93" customHeight="1">
      <ns0:c r="A141" s="19" t="inlineStr">
        <ns0:is>
          <ns0:t>149</ns0:t>
        </ns0:is>
      </ns0:c>
      <ns0:c r="B141" s="19" t="inlineStr">
        <ns0:is>
          <ns0:t>Diagnostic classification for human autism and obsessive-compulsive disorder based on machine learning from a primate genetic model</ns0:t>
        </ns0:is>
      </ns0:c>
      <ns0:c r="C141" s="19" t="inlineStr">
        <ns0:is>
          <ns0:t>10.1176/appi.ajp.2020.19101091</ns0:t>
        </ns0:is>
      </ns0:c>
      <ns0:c r="D141" s="19" t="inlineStr">
        <ns0:is>
          <ns0:t>https://doi.org/10.1176/appi.ajp.2020.19101091</ns0:t>
        </ns0:is>
      </ns0:c>
      <ns0:c r="E141" s="19" t="inlineStr">
        <ns0:is>
          <ns0:t>Supplied abstract/coding notes; no new full-text verification</ns0:t>
        </ns0:is>
      </ns0:c>
      <ns0:c r="F141" s="19" t="inlineStr">
        <ns0:is>
          <ns0:t>EVIDENCIA; original abstract/coding notes and lot source trace; Historical signals: title/abstract/notes; full-text completion not independently established</ns0:t>
        </ns0:is>
      </ns0:c>
      <ns0:c r="G141" s="19" t="inlineStr">
        <ns0:is>
          <ns0:t>Retained because the computational method is explicitly evaluated on human ASD datasets, despite its animal-derived prior. Genetically selected brain regions do not constitute human genetic inputs.
Animal-derived feature prior; human ASD evaluation is present. Keep separate from purely non-human studies.</ns0:t>
        </ns0:is>
      </ns0:c>
      <ns0:c r="H141" s="19" t="inlineStr">
        <ns0:is>
          <ns0: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ns0:t>
        </ns0:is>
      </ns0:c>
      <ns0:c r="I141" s="19" t="inlineStr">
        <ns0:is>
          <ns0:t>Clasificación diagnóstica basada en modelo genético de primates; confirmar fuente biológica exacta.</ns0:t>
        </ns0:is>
      </ns0:c>
      <ns0:c r="J141" s="19" t="inlineStr"/>
      <ns0:c r="K141" s="19" t="inlineStr"/>
      <ns0:c r="L141" s="19" t="inlineStr">
        <ns0:is>
          <ns0:t>Not documented in provided sources</ns0:t>
        </ns0:is>
      </ns0:c>
      <ns0:c r="M141" s="19" t="inlineStr">
        <ns0:is>
          <ns0:t>[]</ns0:t>
        </ns0:is>
      </ns0:c>
    </ns0:row>
    <ns0:row r="142" ht="153" customHeight="1">
      <ns0:c r="A142" s="21" t="inlineStr">
        <ns0:is>
          <ns0:t>150</ns0:t>
        </ns0:is>
      </ns0:c>
      <ns0:c r="B142" s="21" t="inlineStr">
        <ns0:is>
          <ns0:t>Diagnostic shifts in autism spectrum disorder can be linked to the fuzzy nature of the diagnostic boundary: a data-driven approach</ns0:t>
        </ns0:is>
      </ns0:c>
      <ns0:c r="C142" s="21" t="inlineStr">
        <ns0:is>
          <ns0:t>10.1111/jcpp.13406</ns0:t>
        </ns0:is>
      </ns0:c>
      <ns0:c r="D142" s="21" t="inlineStr">
        <ns0:is>
          <ns0:t>https://doi.org/10.1111/jcpp.13406</ns0:t>
        </ns0:is>
      </ns0:c>
      <ns0:c r="E142" s="21" t="inlineStr">
        <ns0:is>
          <ns0:t>Supplied abstract/coding notes; no new full-text verification</ns0:t>
        </ns0:is>
      </ns0:c>
      <ns0:c r="F142" s="21" t="inlineStr">
        <ns0:is>
          <ns0:t>EVIDENCIA; original abstract/coding notes and lot source trace; Historical signals: title/abstract/notes; full-text completion not independently established</ns0:t>
        </ns0:is>
      </ns0:c>
      <ns0:c r="G142" s="21" t="inlineStr">
        <ns0:is>
          <ns0:t>Repeated developmental/adaptive scores explain diagnostic instability; no physiological input or deep architecture is supported. Longitudinal characterization is not a prospectively used prediction tool.</ns0:t>
        </ns0:is>
      </ns0:c>
      <ns0:c r="H142" s="21" t="inlineStr">
        <ns0:is>
          <ns0: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ns0:t>
        </ns0:is>
      </ns0:c>
      <ns0:c r="I142" s="21" t="inlineStr">
        <ns0:is>
          <ns0:t>Algoritmo principal no explícito o fuera del codebook; Confirmar algoritmo principal en full-text; Se comparan varios modelos; se eligió el principal/mejor reportado</ns0:t>
        </ns0:is>
      </ns0:c>
      <ns0:c r="J142" s="21" t="inlineStr"/>
      <ns0:c r="K142" s="21" t="inlineStr"/>
      <ns0:c r="L142" s="21" t="inlineStr">
        <ns0:is>
          <ns0:t>Not documented in provided sources</ns0:t>
        </ns0:is>
      </ns0:c>
      <ns0:c r="M142" s="21" t="inlineStr">
        <ns0:is>
          <ns0:t>[]</ns0:t>
        </ns0:is>
      </ns0:c>
    </ns0:row>
    <ns0:row r="143" ht="93" customHeight="1">
      <ns0:c r="A143" s="19" t="inlineStr">
        <ns0:is>
          <ns0:t>151</ns0:t>
        </ns0:is>
      </ns0:c>
      <ns0:c r="B143" s="19" t="inlineStr">
        <ns0:is>
          <ns0:t>Early identification of autism spectrum disorder by multi-instrument fusion: A clinically applicable machine learning approach</ns0:t>
        </ns0:is>
      </ns0:c>
      <ns0:c r="C143" s="19" t="inlineStr">
        <ns0:is>
          <ns0:t>10.1016/j.psychres.2023.115050</ns0:t>
        </ns0:is>
      </ns0:c>
      <ns0:c r="D143" s="19" t="inlineStr">
        <ns0:is>
          <ns0:t>https://doi.org/10.1016/j.psychres.2023.115050</ns0:t>
        </ns0:is>
      </ns0:c>
      <ns0:c r="E143" s="19" t="inlineStr">
        <ns0:is>
          <ns0:t>Supplied abstract/coding notes; no new full-text verification</ns0:t>
        </ns0:is>
      </ns0:c>
      <ns0:c r="F143" s="19" t="inlineStr">
        <ns0:is>
          <ns0:t>EVIDENCIA; original abstract/coding notes and lot source trace; Historical signals: title/abstract/notes; full-text completion not independently established</ns0:t>
        </ns0:is>
      </ns0:c>
      <ns0:c r="G143" s="19" t="inlineStr">
        <ns0:is>
          <ns0:t>External 60-child test and comparison with pediatricians are explicit. Separate human-versus-model benchmarking does not establish clinicians using AI in decisions.</ns0:t>
        </ns0:is>
      </ns0:c>
      <ns0:c r="H143" s="19" t="inlineStr">
        <ns0:is>
          <ns0: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ns0:t>
        </ns0:is>
      </ns0:c>
      <ns0:c r="I143" s="19" t="inlineStr">
        <ns0:is>
          <ns0:t>Fusión multi-instrumento para identificación temprana; enfoque clínicamente aplicable de cribado.</ns0:t>
        </ns0:is>
      </ns0:c>
      <ns0:c r="J143" s="19" t="inlineStr"/>
      <ns0:c r="K143" s="19" t="inlineStr"/>
      <ns0:c r="L143" s="19" t="inlineStr">
        <ns0:is>
          <ns0:t>Not documented in provided sources</ns0:t>
        </ns0:is>
      </ns0:c>
      <ns0:c r="M143" s="19" t="inlineStr">
        <ns0:is>
          <ns0:t>[]</ns0:t>
        </ns0:is>
      </ns0:c>
    </ns0:row>
    <ns0:row r="144" ht="65" customHeight="1">
      <ns0:c r="A144" s="21" t="inlineStr">
        <ns0:is>
          <ns0:t>152</ns0:t>
        </ns0:is>
      </ns0:c>
      <ns0:c r="B144" s="21" t="inlineStr">
        <ns0:is>
          <ns0:t>Early screening of autism spectrum disorder diagnoses of children using artificial intelligence</ns0:t>
        </ns0:is>
      </ns0:c>
      <ns0:c r="C144" s="21" t="inlineStr">
        <ns0:is>
          <ns0:t>10.57197/jdr-2023-0004</ns0:t>
        </ns0:is>
      </ns0:c>
      <ns0:c r="D144" s="21" t="inlineStr">
        <ns0:is>
          <ns0:t>https://doi.org/10.57197/jdr-2023-0004</ns0:t>
        </ns0:is>
      </ns0:c>
      <ns0:c r="E144" s="21" t="inlineStr">
        <ns0:is>
          <ns0:t>Supplied abstract/coding notes; no new full-text verification</ns0:t>
        </ns0:is>
      </ns0:c>
      <ns0:c r="F144" s="21" t="inlineStr">
        <ns0:is>
          <ns0:t>EVIDENCIA; original abstract/coding notes and lot source trace; Historical signals: title/abstract/notes; full-text completion not independently established</ns0:t>
        </ns0:is>
      </ns0:c>
      <ns0:c r="G144" s="21" t="inlineStr">
        <ns0:is>
          <ns0:t>Repository screening dataset with random 80/20 split; tied reported winners retained. Internal holdout is not external validation.</ns0:t>
        </ns0:is>
      </ns0:c>
      <ns0:c r="H144" s="21" t="inlineStr">
        <ns0:is>
          <ns0: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ns0:t>
        </ns0:is>
      </ns0:c>
      <ns0:c r="I144" s="21" t="inlineStr"/>
      <ns0:c r="J144" s="21" t="inlineStr"/>
      <ns0:c r="K144" s="21" t="inlineStr"/>
      <ns0:c r="L144" s="21" t="inlineStr">
        <ns0:is>
          <ns0:t>Not documented in provided sources</ns0:t>
        </ns0:is>
      </ns0:c>
      <ns0:c r="M144" s="21" t="inlineStr">
        <ns0:is>
          <ns0:t>[]</ns0:t>
        </ns0:is>
      </ns0:c>
    </ns0:row>
    <ns0:row r="145" ht="65" customHeight="1">
      <ns0:c r="A145" s="19" t="inlineStr">
        <ns0:is>
          <ns0:t>153</ns0:t>
        </ns0:is>
      </ns0:c>
      <ns0:c r="B145" s="19" t="inlineStr">
        <ns0:is>
          <ns0:t>Enhanced Special Needs Assessment: A Multimodal Approach for Autism Prediction</ns0:t>
        </ns0:is>
      </ns0:c>
      <ns0:c r="C145" s="19" t="inlineStr">
        <ns0:is>
          <ns0:t>10.1109/access.2024.3453440</ns0:t>
        </ns0:is>
      </ns0:c>
      <ns0:c r="D145" s="19" t="inlineStr">
        <ns0:is>
          <ns0:t>https://doi.org/10.1109/access.2024.3453440</ns0:t>
        </ns0:is>
      </ns0:c>
      <ns0:c r="E145" s="19" t="inlineStr">
        <ns0:is>
          <ns0:t>Supplied abstract/coding notes; no new full-text verification</ns0:t>
        </ns0:is>
      </ns0:c>
      <ns0:c r="F145" s="19" t="inlineStr">
        <ns0:is>
          <ns0:t>EVIDENCIA; original abstract/coding notes and lot source trace; Historical signals: title/abstract/notes; full-text completion not independently established</ns0:t>
        </ns0:is>
      </ns0:c>
      <ns0:c r="G145" s="19" t="inlineStr">
        <ns0:is>
          <ns0:t>Explicit facial-image and ADOS-score concatenation. Pairing and label provenance remain relevant validity limitations, not assumptions to fill from performance claims.</ns0:t>
        </ns0:is>
      </ns0:c>
      <ns0:c r="H145" s="19" t="inlineStr">
        <ns0:is>
          <ns0:t>Autism spectrum disorder (ASD) poses significant challenges in early detection, necessitating innovative approaches for accurate identification. In this study, we propose a novel method utilizing machine learning models trained on a diverse dataset comprising facial images and behavioral ADOS scores. Employing cutting-edge convolutional neural network (CNN) architectures such as MobileNetV2, ResNet50, and InceptionV3, alongside a bespoke CNN model tailored for ASD detection, we explore the efficacy of our approach. Additionally, we introduce a multimodal concatenation model that integrates image features with behavioral scores to enhance predictive performance. Our results showcase promising outcomes, with the multimodal concatenation model achieving a remarkable accuracy of 97.05%. Furthermore, our models demonstrate competitive precision, recall, F1 score, and area under the ROC curve (AUC), underscoring their potential to facilitate early ASD diagnosis. These findings signify the significance of leveraging multimodal data fusion techniques to augment ASD detection accuracy, thereby contributing to advancements in early intervention strategies.</ns0:t>
        </ns0:is>
      </ns0:c>
      <ns0:c r="I145" s="19" t="inlineStr"/>
      <ns0:c r="J145" s="19" t="inlineStr"/>
      <ns0:c r="K145" s="19" t="inlineStr"/>
      <ns0:c r="L145" s="19" t="inlineStr">
        <ns0:is>
          <ns0:t>Not documented in provided sources</ns0:t>
        </ns0:is>
      </ns0:c>
      <ns0:c r="M145" s="19" t="inlineStr">
        <ns0:is>
          <ns0:t>[]</ns0:t>
        </ns0:is>
      </ns0:c>
    </ns0:row>
    <ns0:row r="146" ht="65" customHeight="1">
      <ns0:c r="A146" s="21" t="inlineStr">
        <ns0:is>
          <ns0:t>154</ns0:t>
        </ns0:is>
      </ns0:c>
      <ns0:c r="B146" s="21" t="inlineStr">
        <ns0:is>
          <ns0:t>Enhancing Early Diagnosis of Autism Spectrum Disorder in Children: A Comparative Analysis of Machine Learning Techniques</ns0:t>
        </ns0:is>
      </ns0:c>
      <ns0:c r="C146" s="21" t="inlineStr">
        <ns0:is>
          <ns0:t>10.1007/978-981-97-6995-7_34</ns0:t>
        </ns0:is>
      </ns0:c>
      <ns0:c r="D146" s="21" t="inlineStr">
        <ns0:is>
          <ns0:t>https://doi.org/10.1007/978-981-97-6995-7_34</ns0:t>
        </ns0:is>
      </ns0:c>
      <ns0:c r="E146" s="21" t="inlineStr">
        <ns0:is>
          <ns0:t>Supplied abstract/coding notes; no new full-text verification</ns0:t>
        </ns0:is>
      </ns0:c>
      <ns0:c r="F146" s="21" t="inlineStr">
        <ns0:is>
          <ns0:t>EVIDENCIA; original abstract/coding notes and lot source trace; Historical signals: title/abstract/notes; full-text completion not independently established</ns0:t>
        </ns0:is>
      </ns0:c>
      <ns0:c r="G146" s="21" t="inlineStr">
        <ns0:is>
          <ns0:t>Comparative study names algorithms but not a unique best model or specific data source in the abstract. Preserve multiple-model category rather than inventing a principal family.</ns0:t>
        </ns0:is>
      </ns0:c>
      <ns0:c r="H146" s="21" t="inlineStr">
        <ns0:is>
          <ns0: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ns0:t>
        </ns0:is>
      </ns0:c>
      <ns0:c r="I146" s="21" t="inlineStr">
        <ns0:is>
          <ns0:t>Comparative study; no best model declared in abstract</ns0:t>
        </ns0:is>
      </ns0:c>
      <ns0:c r="J146" s="21" t="inlineStr"/>
      <ns0:c r="K146" s="21" t="inlineStr"/>
      <ns0:c r="L146" s="21" t="inlineStr">
        <ns0:is>
          <ns0:t>Not documented in provided sources</ns0:t>
        </ns0:is>
      </ns0:c>
      <ns0:c r="M146" s="21" t="inlineStr">
        <ns0:is>
          <ns0:t>[]</ns0:t>
        </ns0:is>
      </ns0:c>
    </ns0:row>
    <ns0:row r="147" ht="105" customHeight="1">
      <ns0:c r="A147" s="19" t="inlineStr">
        <ns0:is>
          <ns0:t>155</ns0:t>
        </ns0:is>
      </ns0:c>
      <ns0:c r="B147" s="19" t="inlineStr">
        <ns0:is>
          <ns0:t>Evaluation of AI tools for healthcare networks at the cloud-edge interaction to diagnose autism in educational environments</ns0:t>
        </ns0:is>
      </ns0:c>
      <ns0:c r="C147" s="19" t="inlineStr">
        <ns0:is>
          <ns0:t>10.1186/s13677-023-00558-9</ns0:t>
        </ns0:is>
      </ns0:c>
      <ns0:c r="D147" s="19" t="inlineStr">
        <ns0:is>
          <ns0:t>https://doi.org/10.1186/s13677-023-00558-9</ns0:t>
        </ns0:is>
      </ns0:c>
      <ns0:c r="E147" s="19" t="inlineStr">
        <ns0:is>
          <ns0:t>Supplied abstract/coding notes; no new full-text verification</ns0:t>
        </ns0:is>
      </ns0:c>
      <ns0:c r="F147" s="19" t="inlineStr">
        <ns0:is>
          <ns0:t>EVIDENCIA; original abstract/coding notes and lot source trace; Historical signals: title/abstract/notes; full-text completion not independently established</ns0:t>
        </ns0:is>
      </ns0:c>
      <ns0:c r="G147" s="19" t="inlineStr">
        <ns0:is>
          <ns0:t>Actual described application is facial-image analysis with edge computing. Discussion of EEG, speech and imaging literature is not multisource input to the evaluated system.</ns0:t>
        </ns0:is>
      </ns0:c>
      <ns0:c r="H147" s="19" t="inlineStr">
        <ns0:is>
          <ns0: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ns0:t>
        </ns0:is>
      </ns0:c>
      <ns0:c r="I147" s="19" t="inlineStr">
        <ns0:is>
          <ns0:t>Discute varias técnicas pero aplica AlexNet sobre rostros en entorno educativo; confirmar diseño final.</ns0:t>
        </ns0:is>
      </ns0:c>
      <ns0:c r="J147" s="19" t="inlineStr"/>
      <ns0:c r="K147" s="19" t="inlineStr"/>
      <ns0:c r="L147" s="19" t="inlineStr">
        <ns0:is>
          <ns0:t>Not documented in provided sources</ns0:t>
        </ns0:is>
      </ns0:c>
      <ns0:c r="M147" s="19" t="inlineStr">
        <ns0:is>
          <ns0:t>[]</ns0:t>
        </ns0:is>
      </ns0:c>
    </ns0:row>
    <ns0:row r="148" ht="93" customHeight="1">
      <ns0:c r="A148" s="21" t="inlineStr">
        <ns0:is>
          <ns0:t>156</ns0:t>
        </ns0:is>
      </ns0:c>
      <ns0:c r="B148" s="21" t="inlineStr">
        <ns0:is>
          <ns0:t>Exploring sMRI Biomarkers for Diagnosis of Autism Spectrum Disorders Based on Multi Class Activation Mapping Models</ns0:t>
        </ns0:is>
      </ns0:c>
      <ns0:c r="C148" s="21" t="inlineStr">
        <ns0:is>
          <ns0:t>10.1109/access.2021.3069211</ns0:t>
        </ns0:is>
      </ns0:c>
      <ns0:c r="D148" s="21" t="inlineStr">
        <ns0:is>
          <ns0:t>https://doi.org/10.1109/access.2021.3069211</ns0:t>
        </ns0:is>
      </ns0:c>
      <ns0:c r="E148" s="21" t="inlineStr">
        <ns0:is>
          <ns0:t>Supplied abstract/coding notes; no new full-text verification</ns0:t>
        </ns0:is>
      </ns0:c>
      <ns0:c r="F148" s="21" t="inlineStr">
        <ns0:is>
          <ns0:t>EVIDENCIA; original abstract/coding notes and lot source trace; Historical signals: title/abstract/notes; full-text completion not independently established</ns0:t>
        </ns0:is>
      </ns0:c>
      <ns0:c r="G148" s="21" t="inlineStr">
        <ns0:is>
          <ns0:t>Structural MRI classification with explicitly evaluated visual attribution methods; explanation supports proposed interpretation, not demonstrated clinical use.</ns0:t>
        </ns0:is>
      </ns0:c>
      <ns0:c r="H148" s="21" t="inlineStr">
        <ns0:is>
          <ns0: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ns0:t>
        </ns0:is>
      </ns0:c>
      <ns0:c r="I148" s="21" t="inlineStr">
        <ns0:is>
          <ns0:t>Algoritmo principal no explícito o fuera del codebook; Confirmar algoritmo principal en full-text</ns0:t>
        </ns0:is>
      </ns0:c>
      <ns0:c r="J148" s="21" t="inlineStr"/>
      <ns0:c r="K148" s="21" t="inlineStr"/>
      <ns0:c r="L148" s="21" t="inlineStr">
        <ns0:is>
          <ns0:t>Not documented in provided sources</ns0:t>
        </ns0:is>
      </ns0:c>
      <ns0:c r="M148" s="21" t="inlineStr">
        <ns0:is>
          <ns0:t>[]</ns0:t>
        </ns0:is>
      </ns0:c>
    </ns0:row>
    <ns0:row r="149" ht="165" customHeight="1">
      <ns0:c r="A149" s="19" t="inlineStr">
        <ns0:is>
          <ns0:t>157</ns0:t>
        </ns0:is>
      </ns0:c>
      <ns0:c r="B149" s="19" t="inlineStr">
        <ns0:is>
          <ns0:t>Functional connectivity classification of autism identifies highly predictive brain features but falls short of biomarker standards</ns0:t>
        </ns0:is>
      </ns0:c>
      <ns0:c r="C149" s="19" t="inlineStr">
        <ns0:is>
          <ns0:t>10.1016/j.nicl.2014.12.013</ns0:t>
        </ns0:is>
      </ns0:c>
      <ns0:c r="D149" s="19" t="inlineStr">
        <ns0:is>
          <ns0:t>https://doi.org/10.1016/j.nicl.2014.12.013</ns0:t>
        </ns0:is>
      </ns0:c>
      <ns0:c r="E149" s="19" t="inlineStr">
        <ns0:is>
          <ns0:t>Supplied abstract/coding notes; no new full-text verification</ns0:t>
        </ns0:is>
      </ns0:c>
      <ns0:c r="F149" s="19" t="inlineStr">
        <ns0:is>
          <ns0:t>EVIDENCIA; original abstract/coding notes and lot source trace; Historical signals: title/abstract/notes; full-text completion not independently established</ns0:t>
        </ns0:is>
      </ns0:c>
      <ns0:c r="G149" s="19" t="inlineStr">
        <ns0:is>
          <ns0:t>fMRI versus behavioral classifiers are evaluated separately. Independent replication cohort is described, but trained-model transport must not be assumed from replication alone.</ns0:t>
        </ns0:is>
      </ns0:c>
      <ns0:c r="H149" s="19" t="inlineStr">
        <ns0:is>
          <ns0:t>Objectives Autism spectrum disorders (ASD) are diagnosed based on early-manifesting clinical symptoms, including markedly impaired social communication. We assessed the viability of resting-state functional MRI (rs-fMRI) connectivity measures as diagnostic biomarkers for ASD and investigated which connectivity features are predictive of a diagnosis. Methods Rs-fMRI scans from 59 high functioning males with ASD and 59 age- and IQ-matched typically developing (TD) males were used to build a series of machine learning classifiers. Classification features were obtained using 3 sets of brain regions. Another set of classifiers was built from participants' scores on behavioral metrics. An additional age and IQ-matched cohort of 178 individuals (89 ASD; 89 TD) from the Autism Brain Imaging Data Exchange (ABIDE) open-access dataset (http://fcon-1000.projects.nitrc.org/indi/abide/) were included for replication. Results High classification accuracy was achieved through several rs-fMRI methods (peak accuracy 76.67%). However, classification via behavioral measures consistently surpassed rs-fMRI classifiers (peak accuracy 95.19%). The class probability estimates, P(ASD|fMRI data), from brain-based classifiers significantly correlated with scores on a measure of social functioning, the Social Responsiveness Scale (SRS), as did the most informative features from 2 of the 3 sets of brain-based features. The most informative connections predominantly originated from regions strongly associated with social functioning. Conclusions While individuals can be classified as having ASD with statistically significant accuracy from their rs-fMRI scans alone, this method falls short of biomarker standards. Classification methods provided further evidence that ASD functional connectivity is characterized by dysfunction of large-scale functional networks, particularly those involved in social information processing.</ns0:t>
        </ns0:is>
      </ns0:c>
      <ns0:c r="I149" s="19" t="inlineStr">
        <ns0:is>
          <ns0:t>comparan múltiples algoritmos (RF, KNN, SVM, varias regresiones logísticas, etc.), pero para “main” aquí lo más defendible es Logistic Regression (L2LR) por desempeño consistente.</ns0:t>
        </ns0:is>
      </ns0:c>
      <ns0:c r="J149" s="19" t="inlineStr"/>
      <ns0:c r="K149" s="19" t="inlineStr"/>
      <ns0:c r="L149" s="19" t="inlineStr">
        <ns0:is>
          <ns0:t>Not documented in provided sources</ns0:t>
        </ns0:is>
      </ns0:c>
      <ns0:c r="M149" s="19" t="inlineStr">
        <ns0:is>
          <ns0:t>[]</ns0:t>
        </ns0:is>
      </ns0:c>
    </ns0:row>
    <ns0:row r="150" ht="153" customHeight="1">
      <ns0:c r="A150" s="21" t="inlineStr">
        <ns0:is>
          <ns0:t>158</ns0:t>
        </ns0:is>
      </ns0:c>
      <ns0:c r="B150" s="21" t="inlineStr">
        <ns0:is>
          <ns0:t>Graph Convolutional Networks Based on\&amp;#xa0;Relational Attention Mechanism for\&amp;#xa0;Autism Spectrum Disorders Diagnosis</ns0:t>
        </ns0:is>
      </ns0:c>
      <ns0:c r="C150" s="21" t="inlineStr">
        <ns0:is>
          <ns0:t>10.1007/978-3-031-13844-7_33</ns0:t>
        </ns0:is>
      </ns0:c>
      <ns0:c r="D150" s="21" t="inlineStr">
        <ns0:is>
          <ns0:t>https://doi.org/10.1007/978-3-031-13844-7_33</ns0:t>
        </ns0:is>
      </ns0:c>
      <ns0:c r="E150" s="21" t="inlineStr">
        <ns0:is>
          <ns0:t>Supplied abstract/coding notes; no new full-text verification</ns0:t>
        </ns0:is>
      </ns0:c>
      <ns0:c r="F150" s="21" t="inlineStr">
        <ns0:is>
          <ns0:t>EVIDENCIA; original abstract/coding notes and lot source trace; Historical signals: title/abstract/notes; full-text completion not independently established</ns0:t>
        </ns0:is>
      </ns0:c>
      <ns0:c r="G150" s="21" t="inlineStr">
        <ns0:is>
          <ns0:t>ABIDE fMRI functional-connectivity graph classifier; no unspecified modality or generic Other family is needed.</ns0:t>
        </ns0:is>
      </ns0:c>
      <ns0:c r="H150" s="21" t="inlineStr">
        <ns0:is>
          <ns0: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ns0:t>
        </ns0:is>
      </ns0:c>
      <ns0:c r="I150" s="21" t="inlineStr">
        <ns0:is>
          <ns0:t>Algoritmo principal no explícito o fuera del codebook; Confirmar algoritmo principal en full-text; Se comparan varios modelos; se eligió el principal/mejor reportado</ns0:t>
        </ns0:is>
      </ns0:c>
      <ns0:c r="J150" s="21" t="inlineStr"/>
      <ns0:c r="K150" s="21" t="inlineStr"/>
      <ns0:c r="L150" s="21" t="inlineStr">
        <ns0:is>
          <ns0:t>Not documented in provided sources</ns0:t>
        </ns0:is>
      </ns0:c>
      <ns0:c r="M150" s="21" t="inlineStr">
        <ns0:is>
          <ns0:t>[]</ns0:t>
        </ns0:is>
      </ns0:c>
    </ns0:row>
    <ns0:row r="151" ht="93" customHeight="1">
      <ns0:c r="A151" s="19" t="inlineStr">
        <ns0:is>
          <ns0:t>159</ns0:t>
        </ns0:is>
      </ns0:c>
      <ns0:c r="B151" s="19" t="inlineStr">
        <ns0:is>
          <ns0:t>Hybrid similarity based feature selection and cascade deep maxout fuzzy network for Autism Spectrum Disorder detection using EEG signal</ns0:t>
        </ns0:is>
      </ns0:c>
      <ns0:c r="C151" s="19" t="inlineStr">
        <ns0:is>
          <ns0:t>10.1016/j.compbiolchem.2024.108177</ns0:t>
        </ns0:is>
      </ns0:c>
      <ns0:c r="D151" s="19" t="inlineStr">
        <ns0:is>
          <ns0:t>https://doi.org/10.1016/j.compbiolchem.2024.108177</ns0:t>
        </ns0:is>
      </ns0:c>
      <ns0:c r="E151" s="19" t="inlineStr">
        <ns0:is>
          <ns0:t>Supplied abstract/coding notes; no new full-text verification</ns0:t>
        </ns0:is>
      </ns0:c>
      <ns0:c r="F151" s="19" t="inlineStr">
        <ns0:is>
          <ns0:t>EVIDENCIA; original abstract/coding notes and lot source trace; Historical signals: title/abstract/notes; full-text completion not independently established</ns0:t>
        </ns0:is>
      </ns0:c>
      <ns0:c r="G151" s="19" t="inlineStr">
        <ns0:is>
          <ns0:t>Explicit neural and fuzzy-system integration; EEG benchmarks remain a single data modality.</ns0:t>
        </ns0:is>
      </ns0:c>
      <ns0:c r="H151" s="19" t="inlineStr">
        <ns0:is>
          <ns0:t>Autism Spectrum Disorder (ASD) is a neurological disorder that influences a person's comprehension and way of behaving. It is a lifetime disability that cannot be completely treated using any therapy up to date. Nevertheless, in time identification and continuous therapies have a huge effect on autism patients. The existing models took a long time to confirm the diagnosis process and also, it is highly complex to differentiate autism from various developmental disorders. To facilitate early diagnosis by providing timely intervention, saving healthcare costs and reducing stress for the family in the long run, this research introduces an affordable and straightforward diagnostic model to detect ASD using EEG and deep learning models. Here, a hybrid deep learning model called Cascade deep maxout fuzzy network (Cascade DMFN) is proposed to identify ASD and it is achieved by the integration of Deep Maxout Network (DMN) and hybrid cascade neuro-fuzzy. Moreover, hybrid similarity measures like Canberra distance and Kumar-hassebrook is employed to conduct the feature selection technique. Also, the EEG dataset and BCIAUT_P300 dataset are used for analyzing the designed Cascade DMFN for detecting Autism Spectrum Disorder. The designed Cascade DMFN has outperformed other classical models by yielding a high accuracy of 0.930, Negative Predictive Value (NPV) of 0.919, Positive Predictive Value (PPV) of 0.923, True Negative Rate (TNR) of 0.926, and True Positive Rate (TPR) of 0.934.</ns0:t>
        </ns0:is>
      </ns0:c>
      <ns0:c r="I151" s="19" t="inlineStr">
        <ns0:is>
          <ns0:t>Cascade Deep Maxout Fuzzy Network (DMN + neuro-fuzzy), con feature selection por medidas de similitud</ns0:t>
        </ns0:is>
      </ns0:c>
      <ns0:c r="J151" s="19" t="inlineStr"/>
      <ns0:c r="K151" s="19" t="inlineStr"/>
      <ns0:c r="L151" s="19" t="inlineStr">
        <ns0:is>
          <ns0:t>Not documented in provided sources</ns0:t>
        </ns0:is>
      </ns0:c>
      <ns0:c r="M151" s="19" t="inlineStr">
        <ns0:is>
          <ns0:t>[]</ns0:t>
        </ns0:is>
      </ns0:c>
    </ns0:row>
    <ns0:row r="152" ht="201" customHeight="1">
      <ns0:c r="A152" s="21" t="inlineStr">
        <ns0:is>
          <ns0:t>160</ns0:t>
        </ns0:is>
      </ns0:c>
      <ns0:c r="B152" s="21" t="inlineStr">
        <ns0:is>
          <ns0:t>Imputing cognitive impairment in SPARK, a large autism cohort</ns0:t>
        </ns0:is>
      </ns0:c>
      <ns0:c r="C152" s="21" t="inlineStr">
        <ns0:is>
          <ns0:t>10.1002/aur.2622</ns0:t>
        </ns0:is>
      </ns0:c>
      <ns0:c r="D152" s="21" t="inlineStr">
        <ns0:is>
          <ns0:t>https://doi.org/10.1002/aur.2622</ns0:t>
        </ns0:is>
      </ns0:c>
      <ns0:c r="E152" s="21" t="inlineStr">
        <ns0:is>
          <ns0:t>Supplied abstract/coding notes; no new full-text verification</ns0:t>
        </ns0:is>
      </ns0:c>
      <ns0:c r="F152" s="21" t="inlineStr">
        <ns0:is>
          <ns0:t>EVIDENCIA; original abstract/coding notes and lot source trace; Historical signals: title/abstract/notes; full-text completion not independently established</ns0:t>
        </ns0:is>
      </ns0:c>
      <ns0:c r="G152" s="21" t="inlineStr">
        <ns0:is>
          <ns0:t>Cognitive-impairment imputation within ASD from parent-reported surveys, with independent evaluation sample. Not ASD detection, deep learning or NLP.</ns0:t>
        </ns0:is>
      </ns0:c>
      <ns0:c r="H152" s="21" t="inlineStr">
        <ns0:is>
          <ns0: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ns0:t>
        </ns0:is>
      </ns0:c>
      <ns0:c r="I152" s="21" t="inlineStr">
        <ns0:is>
          <ns0:t>el modelo no busca detectar ASD vs no-ASD; trabaja dentro de una cohorte ASD para imputar/estimar capacidad cognitiva / impairment (FSIQ y umbrales). Eso no cae limpio en Prescreening/Screening/Diagnosis/Prognosis/Monitoring de ASD.</ns0:t>
        </ns0:is>
      </ns0:c>
      <ns0:c r="J152" s="21" t="inlineStr"/>
      <ns0:c r="K152" s="21" t="inlineStr"/>
      <ns0:c r="L152" s="21" t="inlineStr">
        <ns0:is>
          <ns0:t>Not documented in provided sources</ns0:t>
        </ns0:is>
      </ns0:c>
      <ns0:c r="M152" s="21" t="inlineStr">
        <ns0:is>
          <ns0:t>[]</ns0:t>
        </ns0:is>
      </ns0:c>
    </ns0:row>
    <ns0:row r="153" ht="65" customHeight="1">
      <ns0:c r="A153" s="19" t="inlineStr">
        <ns0:is>
          <ns0:t>162</ns0:t>
        </ns0:is>
      </ns0:c>
      <ns0:c r="B153" s="19" t="inlineStr">
        <ns0:is>
          <ns0:t>Machine Learning in ASD: An Intensive Study of Automated Disease Prediction System</ns0:t>
        </ns0:is>
      </ns0:c>
      <ns0:c r="C153" s="19" t="inlineStr">
        <ns0:is>
          <ns0:t>10.1002/9781119896838.ch18</ns0:t>
        </ns0:is>
      </ns0:c>
      <ns0:c r="D153" s="19" t="inlineStr">
        <ns0:is>
          <ns0:t>https://doi.org/10.1002/9781119896838.ch18</ns0:t>
        </ns0:is>
      </ns0:c>
      <ns0:c r="E153" s="19" t="inlineStr">
        <ns0:is>
          <ns0:t>Supplied abstract/coding notes; no new full-text verification</ns0:t>
        </ns0:is>
      </ns0:c>
      <ns0:c r="F153" s="19" t="inlineStr">
        <ns0:is>
          <ns0:t>EVIDENCIA; original abstract/coding notes and lot source trace; Historical signals: title/abstract/notes; full-text completion not independently established</ns0:t>
        </ns0:is>
      </ns0:c>
      <ns0:c r="G153" s="19" t="inlineStr">
        <ns0:is>
          <ns0:t>Standalone Wiley edited-book chapter; source framework excludes standalone chapters while retaining identified conference proceedings.</ns0:t>
        </ns0:is>
      </ns0:c>
      <ns0:c r="H153" s="19" t="inlineStr">
        <ns0:is>
          <ns0:t>Of late, due to drastic climate change and excessive pollution, people live in such an atmosphere where they have to combat continuously several deadly diseases. To get the proper treatment of such diseases, people must rely on appropriate diagnoses. There are a lot of signs or symptoms that bear the existence of a particular condition. Generally, almost all the people who suffer from viral infections, dengue, and COVID-19 get a common sign of high fever. Therefore, it is challenging for doctors to determine the exact disease with this particular symptom. Accordingly, a technically equipped medical system should be developed to get a more error-free diagnosis. In this context, a case study uses the Random Forest Algorithm to combine diagnostic prediction and technology, which will help medical practitioners detect diseases. Agile Software can be used here. One of the essential advantages of agile methodology is speed to market and risk reduction. This paper showcases a module developed with the help of Machine Learning. Here, Agile Software is designed to become very effective in detecting a particular disease more efficiently. In this specific system preventing errors and malfunctions has been proven to be 95% effective in the medical field.</ns0:t>
        </ns0:is>
      </ns0:c>
      <ns0:c r="I153" s="19" t="inlineStr">
        <ns0:is>
          <ns0:t>Sin señal explícita Q3 en título/abstract.</ns0:t>
        </ns0:is>
      </ns0:c>
      <ns0:c r="J153" s="19" t="inlineStr"/>
      <ns0:c r="K153" s="19" t="inlineStr"/>
      <ns0:c r="L153" s="19" t="inlineStr">
        <ns0:is>
          <ns0:t>Not documented in provided sources</ns0:t>
        </ns0:is>
      </ns0:c>
      <ns0:c r="M153" s="19" t="inlineStr">
        <ns0:is>
          <ns0:t>[]</ns0:t>
        </ns0:is>
      </ns0:c>
    </ns0:row>
    <ns0:row r="154" ht="93" customHeight="1">
      <ns0:c r="A154" s="21" t="inlineStr">
        <ns0:is>
          <ns0:t>163</ns0:t>
        </ns0:is>
      </ns0:c>
      <ns0:c r="B154" s="21" t="inlineStr">
        <ns0:is>
          <ns0:t>Multichannel Deep Attention Neural Networks for the Classification of Autism Spectrum Disorder Using Neuroimaging and Personal Characteristic Data</ns0:t>
        </ns0:is>
      </ns0:c>
      <ns0:c r="C154" s="21" t="inlineStr">
        <ns0:is>
          <ns0:t>10.1155/2020/1357853</ns0:t>
        </ns0:is>
      </ns0:c>
      <ns0:c r="D154" s="21" t="inlineStr">
        <ns0:is>
          <ns0:t>https://doi.org/10.1155/2020/1357853</ns0:t>
        </ns0:is>
      </ns0:c>
      <ns0:c r="E154" s="21" t="inlineStr">
        <ns0:is>
          <ns0:t>Supplied abstract/coding notes; no new full-text verification</ns0:t>
        </ns0:is>
      </ns0:c>
      <ns0:c r="F154" s="21" t="inlineStr">
        <ns0:is>
          <ns0:t>EVIDENCIA; original abstract/coding notes and lot source trace; Historical signals: title/abstract/notes; full-text completion not independently established</ns0:t>
        </ns0:is>
      </ns0:c>
      <ns0:c r="G154" s="21" t="inlineStr">
        <ns0:is>
          <ns0:t>Functional connectomes and personal characteristics are fused. Leave-one-site-out testing is explicit and supports cross-site robustness and site-held-out external validation.</ns0:t>
        </ns0:is>
      </ns0:c>
      <ns0:c r="H154" s="21" t="inlineStr">
        <ns0:is>
          <ns0: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ns0:t>
        </ns0:is>
      </ns0:c>
      <ns0:c r="I154" s="21" t="inlineStr">
        <ns0:is>
          <ns0:t>Algoritmo principal no explícito o fuera del codebook; Confirmar algoritmo principal en full-text</ns0:t>
        </ns0:is>
      </ns0:c>
      <ns0:c r="J154" s="21" t="inlineStr"/>
      <ns0:c r="K154" s="21" t="inlineStr"/>
      <ns0:c r="L154" s="21" t="inlineStr">
        <ns0:is>
          <ns0:t>Not documented in provided sources</ns0:t>
        </ns0:is>
      </ns0:c>
      <ns0:c r="M154" s="21" t="inlineStr">
        <ns0:is>
          <ns0:t>[]</ns0:t>
        </ns0:is>
      </ns0:c>
    </ns0:row>
    <ns0:row r="155" ht="69" customHeight="1">
      <ns0:c r="A155" s="19" t="inlineStr">
        <ns0:is>
          <ns0:t>164</ns0:t>
        </ns0:is>
      </ns0:c>
      <ns0:c r="B155" s="19" t="inlineStr">
        <ns0:is>
          <ns0:t>Multimodal Kernel-based discriminant correlation analysis data-fusion approach: an automated autism spectrum disorder diagnostic system</ns0:t>
        </ns0:is>
      </ns0:c>
      <ns0:c r="C155" s="19" t="inlineStr">
        <ns0:is>
          <ns0:t>10.1007/s13246-023-01350-4</ns0:t>
        </ns0:is>
      </ns0:c>
      <ns0:c r="D155" s="19" t="inlineStr">
        <ns0:is>
          <ns0:t>https://doi.org/10.1007/s13246-023-01350-4</ns0:t>
        </ns0:is>
      </ns0:c>
      <ns0:c r="E155" s="19" t="inlineStr">
        <ns0:is>
          <ns0:t>Supplied abstract/coding notes; no new full-text verification</ns0:t>
        </ns0:is>
      </ns0:c>
      <ns0:c r="F155" s="19" t="inlineStr">
        <ns0:is>
          <ns0:t>EVIDENCIA; original abstract/coding notes and lot source trace; Historical signals: title/abstract/notes; full-text completion not independently established</ns0:t>
        </ns0:is>
      </ns0:c>
      <ns0:c r="G155" s="19" t="inlineStr">
        <ns0:is>
          <ns0:t>Reported EEG, eye-tracking and computational data fusion. Distinct sample cardinalities and ordering require caution: paired-patient multimodal validity is not established by classification accuracy.
Fusion across different sample cardinalities is reported; matched participant-level acquisition is not established in the available abstract.</ns0:t>
        </ns0:is>
      </ns0:c>
      <ns0:c r="H155" s="19" t="inlineStr">
        <ns0:is>
          <ns0:t>Autism spectrum disorder (ASD) diagnostic systems, based on association of multimodal tools such as combination of Electroencephalogram (EEG) and eye-tracking, have emerged as an analytical to provide objective biomarkers. However, the existing feature-redundancy-based systems have lacked in providing knowledge of fusion approaches and robust feature-set. The present paper aims to reduce disorder homogeneity by proposing a multimodal diagnostic system which can incorporate multimodal data. The paper has collected simultaneous-data from three modalities (laptop-performance tool, EEG machine, and Eye-tracker) fused the recorded computational, neural and visual data. The multimodal features are analyzed via proposed multimodal Kernel-based discriminant correlation analysis (MKDCA) fusion approach and classified using state-of-the-art machine-learning classifiers. The proposed framework has considered the distinct cardinality of the feature vectors and fused the group structure among multiple samples after ranking them in increasing order. As per the results, the proposed multimodal system provided fused feature set of 11 influential features out of total 39 features. The SVM classifier has diagnosed ASD with 92% testing accuracy and 0.988 AUC(ROC). The proposed automated fusion-based system has the potential to classify disorder by reducing the disorder heterogeneity and stratifying ASD individuals into homogeneous sub-groups. In future, the correlation of reduced feature set with ASD clinical symptoms accounted by screening scales can provide clinical relevance of proposed model.</ns0:t>
        </ns0:is>
      </ns0:c>
      <ns0:c r="I155" s="19" t="inlineStr">
        <ns0:is>
          <ns0:t>Fusión MKDCA + SVM; multimodal EEG+eye-tracking+computational”.</ns0:t>
        </ns0:is>
      </ns0:c>
      <ns0:c r="J155" s="19" t="inlineStr"/>
      <ns0:c r="K155" s="19" t="inlineStr"/>
      <ns0:c r="L155" s="19" t="inlineStr">
        <ns0:is>
          <ns0:t>Not documented in provided sources</ns0:t>
        </ns0:is>
      </ns0:c>
      <ns0:c r="M155" s="19" t="inlineStr">
        <ns0:is>
          <ns0:t>[]</ns0:t>
        </ns0:is>
      </ns0:c>
    </ns0:row>
    <ns0:row r="156" ht="65" customHeight="1">
      <ns0:c r="A156" s="21" t="inlineStr">
        <ns0:is>
          <ns0:t>165</ns0:t>
        </ns0:is>
      </ns0:c>
      <ns0:c r="B156" s="21" t="inlineStr">
        <ns0:is>
          <ns0:t>Phase 3 diagnostic evaluation of a smart tablet serious game to identify autism in 760 children 3-5 years old in Sweden and the United Kingdom</ns0:t>
        </ns0:is>
      </ns0:c>
      <ns0:c r="C156" s="21" t="inlineStr">
        <ns0:is>
          <ns0:t>10.1136/bmjopen-2018-026226</ns0:t>
        </ns0:is>
      </ns0:c>
      <ns0:c r="D156" s="21" t="inlineStr">
        <ns0:is>
          <ns0:t>https://doi.org/10.1136/bmjopen-2018-026226</ns0:t>
        </ns0:is>
      </ns0:c>
      <ns0:c r="E156" s="21" t="inlineStr">
        <ns0:is>
          <ns0:t>Supplied abstract/coding notes; no new full-text verification</ns0:t>
        </ns0:is>
      </ns0:c>
      <ns0:c r="F156" s="21" t="inlineStr">
        <ns0:is>
          <ns0:t>EVIDENCIA; original abstract/coding notes and lot source trace; Historical signals: title/abstract/notes; full-text completion not independently established</ns0:t>
        </ns0:is>
      </ns0:c>
      <ns0:c r="G156" s="21" t="inlineStr">
        <ns0:is>
          <ns0:t>Explicit phase-III study protocol, recruitment targets and pre-results registration, not results from the planned 760-child evaluation.</ns0:t>
        </ns0:is>
      </ns0:c>
      <ns0:c r="H156" s="21" t="inlineStr">
        <ns0:is>
          <ns0: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ns0:t>
        </ns0:is>
      </ns0:c>
      <ns0:c r="I156" s="21" t="inlineStr"/>
      <ns0:c r="J156" s="21" t="inlineStr"/>
      <ns0:c r="K156" s="21" t="inlineStr"/>
      <ns0:c r="L156" s="21" t="inlineStr">
        <ns0:is>
          <ns0:t>Not documented in provided sources</ns0:t>
        </ns0:is>
      </ns0:c>
      <ns0:c r="M156" s="21" t="inlineStr">
        <ns0:is>
          <ns0:t>[]</ns0:t>
        </ns0:is>
      </ns0:c>
    </ns0:row>
    <ns0:row r="157" ht="65" customHeight="1">
      <ns0:c r="A157" s="19" t="inlineStr">
        <ns0:is>
          <ns0:t>166</ns0:t>
        </ns0:is>
      </ns0:c>
      <ns0:c r="B157" s="19" t="inlineStr">
        <ns0:is>
          <ns0:t>Research and development of autism diagnosis information system based on deep convolution neural network and facial expression data</ns0:t>
        </ns0:is>
      </ns0:c>
      <ns0:c r="C157" s="19" t="inlineStr">
        <ns0:is>
          <ns0:t>10.1108/lht-08-2019-0176</ns0:t>
        </ns0:is>
      </ns0:c>
      <ns0:c r="D157" s="19" t="inlineStr">
        <ns0:is>
          <ns0:t>https://doi.org/10.1108/lht-08-2019-0176</ns0:t>
        </ns0:is>
      </ns0:c>
      <ns0:c r="E157" s="19" t="inlineStr">
        <ns0:is>
          <ns0:t>Supplied abstract/coding notes; no new full-text verification</ns0:t>
        </ns0:is>
      </ns0:c>
      <ns0:c r="F157" s="19" t="inlineStr">
        <ns0:is>
          <ns0:t>EVIDENCIA; original abstract/coding notes and lot source trace; Historical signals: title/abstract/notes; full-text completion not independently established</ns0:t>
        </ns0:is>
      </ns0:c>
      <ns0:c r="G157" s="19" t="inlineStr">
        <ns0:is>
          <ns0:t>Facial-expression CNN, including public expression datasets and a small additional child sample. No conventional-ML/DL hybrid is identified; diagnostic label validity is insufficiently described.
Original evaluation is reported, but autism-specific labels and diagnostic endpoint versus facial-emotion recognition are not sufficiently clear in accessible description.</ns0:t>
        </ns0:is>
      </ns0:c>
      <ns0:c r="H157" s="19" t="inlineStr">
        <ns0:is>
          <ns0: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ns0:t>
        </ns0:is>
      </ns0:c>
      <ns0:c r="I157" s="19" t="inlineStr"/>
      <ns0:c r="J157" s="19" t="inlineStr"/>
      <ns0:c r="K157" s="19" t="inlineStr"/>
      <ns0:c r="L157" s="19" t="inlineStr">
        <ns0:is>
          <ns0:t>Not documented in provided sources</ns0:t>
        </ns0:is>
      </ns0:c>
      <ns0:c r="M157" s="19" t="inlineStr">
        <ns0:is>
          <ns0:t>[]</ns0:t>
        </ns0:is>
      </ns0:c>
    </ns0:row>
    <ns0:row r="158" ht="117" customHeight="1">
      <ns0:c r="A158" s="21" t="inlineStr">
        <ns0:is>
          <ns0:t>168</ns0:t>
        </ns0:is>
      </ns0:c>
      <ns0:c r="B158" s="21" t="inlineStr">
        <ns0:is>
          <ns0:t>Stratification of Children with Autism Spectrum Disorder Through Fusion of Temporal Information in Eye-gaze Scan-Paths</ns0:t>
        </ns0:is>
      </ns0:c>
      <ns0:c r="C158" s="21" t="inlineStr">
        <ns0:is>
          <ns0:t>10.1145/3539226</ns0:t>
        </ns0:is>
      </ns0:c>
      <ns0:c r="D158" s="21" t="inlineStr">
        <ns0:is>
          <ns0:t>https://doi.org/10.1145/3539226</ns0:t>
        </ns0:is>
      </ns0:c>
      <ns0:c r="E158" s="21" t="inlineStr">
        <ns0:is>
          <ns0:t>Supplied abstract/coding notes; no new full-text verification</ns0:t>
        </ns0:is>
      </ns0:c>
      <ns0:c r="F158" s="21" t="inlineStr">
        <ns0:is>
          <ns0:t>EVIDENCIA; original abstract/coding notes and lot source trace; Historical signals: title/abstract/notes; full-text completion not independently established</ns0:t>
        </ns0:is>
      </ns0:c>
      <ns0:c r="G158" s="21" t="inlineStr">
        <ns0:is>
          <ns0:t>Endpoint is ASD versus TD diagnosis, not within-ASD subgrouping. Spatial, temporal and velocity representations originate from the same gaze stream.</ns0:t>
        </ns0:is>
      </ns0:c>
      <ns0:c r="H158" s="21" t="inlineStr">
        <ns0:is>
          <ns0: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ns0:t>
        </ns0:is>
      </ns0:c>
      <ns0:c r="I158" s="21" t="inlineStr">
        <ns0:is>
          <ns0:t>Estratificación de niños con ASD usando trayectorias de eye-gaze; confirmar si el objetivo es subtipado vs clasificación.</ns0:t>
        </ns0:is>
      </ns0:c>
      <ns0:c r="J158" s="21" t="inlineStr"/>
      <ns0:c r="K158" s="21" t="inlineStr"/>
      <ns0:c r="L158" s="21" t="inlineStr">
        <ns0:is>
          <ns0:t>Not documented in provided sources</ns0:t>
        </ns0:is>
      </ns0:c>
      <ns0:c r="M158" s="21" t="inlineStr">
        <ns0:is>
          <ns0:t>[]</ns0:t>
        </ns0:is>
      </ns0:c>
    </ns0:row>
    <ns0:row r="159" ht="65" customHeight="1">
      <ns0:c r="A159" s="19" t="inlineStr">
        <ns0:is>
          <ns0:t>169</ns0:t>
        </ns0:is>
      </ns0:c>
      <ns0:c r="B159" s="19" t="inlineStr">
        <ns0:is>
          <ns0:t>The Classification of Abnormal Hand Movement to Aid in Autism Detection: Machine Learning Study</ns0:t>
        </ns0:is>
      </ns0:c>
      <ns0:c r="C159" s="19" t="inlineStr">
        <ns0:is>
          <ns0:t>10.2196/33771</ns0:t>
        </ns0:is>
      </ns0:c>
      <ns0:c r="D159" s="19" t="inlineStr">
        <ns0:is>
          <ns0:t>https://doi.org/10.2196/33771</ns0:t>
        </ns0:is>
      </ns0:c>
      <ns0:c r="E159" s="19" t="inlineStr">
        <ns0:is>
          <ns0:t>Supplied abstract/coding notes; no new full-text verification</ns0:t>
        </ns0:is>
      </ns0:c>
      <ns0:c r="F159" s="19" t="inlineStr">
        <ns0:is>
          <ns0:t>EVIDENCIA; original abstract/coding notes and lot source trace; Historical signals: title/abstract/notes; full-text completion not independently established</ns0:t>
        </ns0:is>
      </ns0:c>
      <ns0:c r="G159" s="19" t="inlineStr">
        <ns0:is>
          <ns0:t>Detects hand flapping from home videos as a candidate screening component; activity recognition is not validated ASD diagnosis or live caregiver support.</ns0:t>
        </ns0:is>
      </ns0:c>
      <ns0:c r="H159" s="19" t="inlineStr">
        <ns0:is>
          <ns0: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ns0:t>
        </ns0:is>
      </ns0:c>
      <ns0:c r="I159" s="19" t="inlineStr"/>
      <ns0:c r="J159" s="19" t="inlineStr"/>
      <ns0:c r="K159" s="19" t="inlineStr"/>
      <ns0:c r="L159" s="19" t="inlineStr">
        <ns0:is>
          <ns0:t>Not documented in provided sources</ns0:t>
        </ns0:is>
      </ns0:c>
      <ns0:c r="M159" s="19" t="inlineStr">
        <ns0:is>
          <ns0:t>[]</ns0:t>
        </ns0:is>
      </ns0:c>
    </ns0:row>
    <ns0:row r="160" ht="153" customHeight="1">
      <ns0:c r="A160" s="21" t="inlineStr">
        <ns0:is>
          <ns0:t>170</ns0:t>
        </ns0:is>
      </ns0:c>
      <ns0:c r="B160" s="21" t="inlineStr">
        <ns0:is>
          <ns0:t>The development of a practical artificial intelligence tool for diagnosing and evaluating autism spectrum disorder: Multicenter study</ns0:t>
        </ns0:is>
      </ns0:c>
      <ns0:c r="C160" s="21" t="inlineStr">
        <ns0:is>
          <ns0:t>10.2196/15767</ns0:t>
        </ns0:is>
      </ns0:c>
      <ns0:c r="D160" s="21" t="inlineStr">
        <ns0:is>
          <ns0:t>https://doi.org/10.2196/15767</ns0:t>
        </ns0:is>
      </ns0:c>
      <ns0:c r="E160" s="21" t="inlineStr">
        <ns0:is>
          <ns0:t>Supplied abstract/coding notes; no new full-text verification</ns0:t>
        </ns0:is>
      </ns0:c>
      <ns0:c r="F160" s="21" t="inlineStr">
        <ns0:is>
          <ns0:t>EVIDENCIA; original abstract/coding notes and lot source trace; Historical signals: title/abstract/notes; full-text completion not independently established</ns0:t>
        </ns0:is>
      </ns0:c>
      <ns0:c r="G160" s="21" t="inlineStr">
        <ns0:is>
          <ns0:t>Structural MRI HOG features; algorithmic classification and clinical potential do not establish actual workflow use or deep learning.</ns0:t>
        </ns0:is>
      </ns0:c>
      <ns0:c r="H160" s="21" t="inlineStr">
        <ns0:is>
          <ns0: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ns0:t>
        </ns0:is>
      </ns0:c>
      <ns0:c r="I160" s="21" t="inlineStr">
        <ns0:is>
          <ns0:t>Algoritmo principal no explícito o fuera del codebook; Confirmar algoritmo principal en full-text; Se comparan varios modelos; se eligió el principal/mejor reportado</ns0:t>
        </ns0:is>
      </ns0:c>
      <ns0:c r="J160" s="21" t="inlineStr"/>
      <ns0:c r="K160" s="21" t="inlineStr"/>
      <ns0:c r="L160" s="21" t="inlineStr">
        <ns0:is>
          <ns0:t>Not documented in provided sources</ns0:t>
        </ns0:is>
      </ns0:c>
      <ns0:c r="M160" s="21" t="inlineStr">
        <ns0:is>
          <ns0:t>[]</ns0:t>
        </ns0:is>
      </ns0:c>
    </ns0:row>
    <ns0:row r="161" ht="93" customHeight="1">
      <ns0:c r="A161" s="19" t="inlineStr">
        <ns0:is>
          <ns0:t>171</ns0:t>
        </ns0:is>
      </ns0:c>
      <ns0:c r="B161" s="19" t="inlineStr">
        <ns0:is>
          <ns0:t>Toward the Autism Motor Signature: Gesture patterns during smart tablet gameplay identify children with autism</ns0:t>
        </ns0:is>
      </ns0:c>
      <ns0:c r="C161" s="19" t="inlineStr">
        <ns0:is>
          <ns0:t>10.1038/srep31107</ns0:t>
        </ns0:is>
      </ns0:c>
      <ns0:c r="D161" s="19" t="inlineStr">
        <ns0:is>
          <ns0:t>https://doi.org/10.1038/srep31107</ns0:t>
        </ns0:is>
      </ns0:c>
      <ns0:c r="E161" s="19" t="inlineStr">
        <ns0:is>
          <ns0:t>Supplied abstract/coding notes; no new full-text verification</ns0:t>
        </ns0:is>
      </ns0:c>
      <ns0:c r="F161" s="19" t="inlineStr">
        <ns0:is>
          <ns0:t>EVIDENCIA; original abstract/coding notes and lot source trace; Historical signals: title/abstract/notes; full-text completion not independently established</ns0:t>
        </ns0:is>
      </ns0:c>
      <ns0:c r="G161" s="19" t="inlineStr">
        <ns0:is>
          <ns0:t>Touch-screen and inertial movement measurements are behavioral motor data, not physiological brain signals. Feasibility classification, not observed clinical screening decisions.</ns0:t>
        </ns0:is>
      </ns0:c>
      <ns0:c r="H161" s="19" t="inlineStr">
        <ns0:is>
          <ns0: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ns0:t>
        </ns0:is>
      </ns0:c>
      <ns0:c r="I161" s="19" t="inlineStr">
        <ns0:is>
          <ns0:t>Algoritmo principal no explícito o fuera del codebook; Confirmar algoritmo principal en full-text</ns0:t>
        </ns0:is>
      </ns0:c>
      <ns0:c r="J161" s="19" t="inlineStr"/>
      <ns0:c r="K161" s="19" t="inlineStr"/>
      <ns0:c r="L161" s="19" t="inlineStr">
        <ns0:is>
          <ns0:t>Not documented in provided sources</ns0:t>
        </ns0:is>
      </ns0:c>
      <ns0:c r="M161" s="19" t="inlineStr">
        <ns0:is>
          <ns0:t>[]</ns0:t>
        </ns0:is>
      </ns0:c>
    </ns0:row>
    <ns0:row r="162" ht="81" customHeight="1">
      <ns0:c r="A162" s="21" t="inlineStr">
        <ns0:is>
          <ns0:t>172</ns0:t>
        </ns0:is>
      </ns0:c>
      <ns0:c r="B162" s="21" t="inlineStr">
        <ns0:is>
          <ns0:t>Using #ActuallyAutistic on Twitter for Precision Diagnosis of Autism Spectrum Disorder: Machine Learning Study</ns0:t>
        </ns0:is>
      </ns0:c>
      <ns0:c r="C162" s="21" t="inlineStr">
        <ns0:is>
          <ns0:t>10.2196/52660</ns0:t>
        </ns0:is>
      </ns0:c>
      <ns0:c r="D162" s="21" t="inlineStr">
        <ns0:is>
          <ns0:t>https://doi.org/10.2196/52660</ns0:t>
        </ns0:is>
      </ns0:c>
      <ns0:c r="E162" s="21" t="inlineStr">
        <ns0:is>
          <ns0:t>Supplied abstract/coding notes; no new full-text verification</ns0:t>
        </ns0:is>
      </ns0:c>
      <ns0:c r="F162" s="21" t="inlineStr">
        <ns0:is>
          <ns0:t>EVIDENCIA; original abstract/coding notes and lot source trace; Historical signals: title/abstract/notes; full-text completion not independently established</ns0:t>
        </ns0:is>
      </ns0:c>
      <ns0:c r="G162" s="21" t="inlineStr">
        <ns0:is>
          <ns0:t>Social-media language classifier uses self-identified autism status; this is a screening-oriented research proxy, not precision clinical diagnosis.
Self-identification or hashtag-derived status is a proxy label, not independent standardized clinical diagnosis.</ns0:t>
        </ns0:is>
      </ns0:c>
      <ns0:c r="H162" s="21" t="inlineStr">
        <ns0:is>
          <ns0: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ns0:t>
        </ns0:is>
      </ns0:c>
      <ns0:c r="I162" s="21" t="inlineStr">
        <ns0:is>
          <ns0:t>Clasificación de tweets #ActuallyAutistic; relevancia clínica/etapa RQ1 ambigua.</ns0:t>
        </ns0:is>
      </ns0:c>
      <ns0:c r="J162" s="21" t="inlineStr"/>
      <ns0:c r="K162" s="21" t="inlineStr"/>
      <ns0:c r="L162" s="21" t="inlineStr">
        <ns0:is>
          <ns0:t>Not documented in provided sources</ns0:t>
        </ns0:is>
      </ns0:c>
      <ns0:c r="M162" s="21" t="inlineStr">
        <ns0:is>
          <ns0:t>[]</ns0:t>
        </ns0:is>
      </ns0:c>
    </ns0:row>
    <ns0:row r="163" ht="69" customHeight="1">
      <ns0:c r="A163" s="19" t="inlineStr">
        <ns0:is>
          <ns0:t>173</ns0:t>
        </ns0:is>
      </ns0:c>
      <ns0:c r="B163" s="19" t="inlineStr">
        <ns0:is>
          <ns0:t>Using machine learning to improve diagnostic assessment of ASD in the light of specific differential and co-occurring diagnoses</ns0:t>
        </ns0:is>
      </ns0:c>
      <ns0:c r="C163" s="19" t="inlineStr">
        <ns0:is>
          <ns0:t>10.1111/jcpp.13650</ns0:t>
        </ns0:is>
      </ns0:c>
      <ns0:c r="D163" s="19" t="inlineStr">
        <ns0:is>
          <ns0:t>https://doi.org/10.1111/jcpp.13650</ns0:t>
        </ns0:is>
      </ns0:c>
      <ns0:c r="E163" s="19" t="inlineStr">
        <ns0:is>
          <ns0:t>Supplied abstract/coding notes; no new full-text verification</ns0:t>
        </ns0:is>
      </ns0:c>
      <ns0:c r="F163" s="19" t="inlineStr">
        <ns0:is>
          <ns0:t>EVIDENCIA; original abstract/coding notes and lot source trace; Historical signals: title/abstract/notes; full-text completion not independently established</ns0:t>
        </ns0:is>
      </ns0:c>
      <ns0:c r="G163" s="19" t="inlineStr">
        <ns0:is>
          <ns0:t>ADOS item scores with an illustrative web app; named deployment platform is not proof of clinical use. Item importance is explicitly examined.</ns0:t>
        </ns0:is>
      </ns0:c>
      <ns0:c r="H163" s="19" t="inlineStr">
        <ns0:is>
          <ns0: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ns0:t>
        </ns0:is>
      </ns0:c>
      <ns0:c r="I163" s="19" t="inlineStr">
        <ns0:is>
          <ns0:t>Se comparan varios modelos; se eligió el principal/mejor reportado</ns0:t>
        </ns0:is>
      </ns0:c>
      <ns0:c r="J163" s="19" t="inlineStr"/>
      <ns0:c r="K163" s="19" t="inlineStr"/>
      <ns0:c r="L163" s="19" t="inlineStr">
        <ns0:is>
          <ns0:t>Not documented in provided sources</ns0:t>
        </ns0:is>
      </ns0:c>
      <ns0:c r="M163" s="19" t="inlineStr">
        <ns0:is>
          <ns0:t>[]</ns0:t>
        </ns0:is>
      </ns0:c>
    </ns0:row>
    <ns0:row r="164" ht="65" customHeight="1">
      <ns0:c r="A164" s="21" t="inlineStr">
        <ns0:is>
          <ns0:t>174</ns0:t>
        </ns0:is>
      </ns0:c>
      <ns0:c r="B164" s="21" t="inlineStr">
        <ns0:is>
          <ns0:t>A Framework to Diagnose Autism Spectrum Disorder Using Morphological Connectivity of sMRI and XGBoost</ns0:t>
        </ns0:is>
      </ns0:c>
      <ns0:c r="C164" s="21" t="inlineStr">
        <ns0:is>
          <ns0:t>10.3233/shti230734</ns0:t>
        </ns0:is>
      </ns0:c>
      <ns0:c r="D164" s="21" t="inlineStr">
        <ns0:is>
          <ns0:t>https://doi.org/10.3233/shti230734</ns0:t>
        </ns0:is>
      </ns0:c>
      <ns0:c r="E164" s="21" t="inlineStr">
        <ns0:is>
          <ns0:t>Supplied abstract/coding notes; no new full-text verification</ns0:t>
        </ns0:is>
      </ns0:c>
      <ns0:c r="F164" s="21" t="inlineStr">
        <ns0:is>
          <ns0:t>EVIDENCIA; original abstract/coding notes and lot source trace; Historical signals: title/abstract/notes; full-text completion not independently established</ns0:t>
        </ns0:is>
      </ns0:c>
      <ns0:c r="G164" s="21" t="inlineStr">
        <ns0:is>
          <ns0:t>sMRI morphological features and Pearson connectivity feed a boosted-tree classifier; no neural component justifies Hybrid.</ns0:t>
        </ns0:is>
      </ns0:c>
      <ns0:c r="H164" s="21" t="inlineStr">
        <ns0:is>
          <ns0: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ns0:t>
        </ns0:is>
      </ns0:c>
      <ns0:c r="I164" s="21" t="inlineStr"/>
      <ns0:c r="J164" s="21" t="inlineStr"/>
      <ns0:c r="K164" s="21" t="inlineStr"/>
      <ns0:c r="L164" s="21" t="inlineStr">
        <ns0:is>
          <ns0:t>Not documented in provided sources</ns0:t>
        </ns0:is>
      </ns0:c>
      <ns0:c r="M164" s="21" t="inlineStr">
        <ns0:is>
          <ns0:t>[]</ns0:t>
        </ns0:is>
      </ns0:c>
    </ns0:row>
    <ns0:row r="165" ht="93" customHeight="1">
      <ns0:c r="A165" s="19" t="inlineStr">
        <ns0:is>
          <ns0:t>175</ns0:t>
        </ns0:is>
      </ns0:c>
      <ns0:c r="B165" s="19" t="inlineStr">
        <ns0:is>
          <ns0:t>A machine learning approach for understanding the metabolomics response of children with autism spectrum disorder to medical cannabis treatment</ns0:t>
        </ns0:is>
      </ns0:c>
      <ns0:c r="C165" s="19" t="inlineStr">
        <ns0:is>
          <ns0:t>10.1038/s41598-023-40073-0</ns0:t>
        </ns0:is>
      </ns0:c>
      <ns0:c r="D165" s="19" t="inlineStr">
        <ns0:is>
          <ns0:t>https://doi.org/10.1038/s41598-023-40073-0</ns0:t>
        </ns0:is>
      </ns0:c>
      <ns0:c r="E165" s="19" t="inlineStr">
        <ns0:is>
          <ns0:t>Supplied abstract/coding notes; no new full-text verification</ns0:t>
        </ns0:is>
      </ns0:c>
      <ns0:c r="F165" s="19" t="inlineStr">
        <ns0:is>
          <ns0:t>EVIDENCIA; original abstract/coding notes and lot source trace; Historical signals: title/abstract/notes; full-text completion not independently established</ns0:t>
        </ns0:is>
      </ns0:c>
      <ns0:c r="G165" s="19" t="inlineStr">
        <ns0:is>
          <ns0:t>Post hoc before/after treatment biomarker analysis; AI was not shown to prescribe cannabis, adapt treatment, or improve clinical outcomes.</ns0:t>
        </ns0:is>
      </ns0:c>
      <ns0:c r="H165" s="19" t="inlineStr">
        <ns0:is>
          <ns0: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ns0:t>
        </ns0:is>
      </ns0:c>
      <ns0:c r="I165" s="19" t="inlineStr">
        <ns0:is>
          <ns0:t>Algoritmo principal no explícito o fuera del codebook; Confirmar algoritmo principal en full-text</ns0:t>
        </ns0:is>
      </ns0:c>
      <ns0:c r="J165" s="19" t="inlineStr"/>
      <ns0:c r="K165" s="19" t="inlineStr"/>
      <ns0:c r="L165" s="19" t="inlineStr">
        <ns0:is>
          <ns0:t>Not documented in provided sources</ns0:t>
        </ns0:is>
      </ns0:c>
      <ns0:c r="M165" s="19" t="inlineStr">
        <ns0:is>
          <ns0:t>[]</ns0:t>
        </ns0:is>
      </ns0:c>
    </ns0:row>
    <ns0:row r="166" ht="69" customHeight="1">
      <ns0:c r="A166" s="21" t="inlineStr">
        <ns0:is>
          <ns0:t>177</ns0:t>
        </ns0:is>
      </ns0:c>
      <ns0:c r="B166" s="21" t="inlineStr">
        <ns0:is>
          <ns0:t>Aided Diagnosis of\&amp;#xa0;Autism Spectrum Disorder Based on\&amp;#xa0;a\&amp;#xa0;Mixed Neural Network Model</ns0:t>
        </ns0:is>
      </ns0:c>
      <ns0:c r="C166" s="21" t="inlineStr">
        <ns0:is>
          <ns0:t>10.1007/978-981-99-8141-0_12</ns0:t>
        </ns0:is>
      </ns0:c>
      <ns0:c r="D166" s="21" t="inlineStr">
        <ns0:is>
          <ns0:t>https://doi.org/10.1007/978-981-99-8141-0_12</ns0:t>
        </ns0:is>
      </ns0:c>
      <ns0:c r="E166" s="21" t="inlineStr">
        <ns0:is>
          <ns0:t>Supplied abstract/coding notes; no new full-text verification</ns0:t>
        </ns0:is>
      </ns0:c>
      <ns0:c r="F166" s="21" t="inlineStr">
        <ns0:is>
          <ns0:t>EVIDENCIA; original abstract/coding notes and lot source trace; Historical signals: title/abstract/notes; full-text completion not independently established</ns0:t>
        </ns0:is>
      </ns0:c>
      <ns0:c r="G166" s="21" t="inlineStr">
        <ns0:is>
          <ns0:t>fMRI connectivity and gradient features are derived from the same imaging source; multiple representations do not constitute multisource integration.</ns0:t>
        </ns0:is>
      </ns0:c>
      <ns0:c r="H166" s="21" t="inlineStr">
        <ns0:is>
          <ns0: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ns0:t>
        </ns0:is>
      </ns0:c>
      <ns0:c r="I166" s="21" t="inlineStr">
        <ns0:is>
          <ns0:t>Se comparan varios modelos; se eligió el principal/mejor reportado</ns0:t>
        </ns0:is>
      </ns0:c>
      <ns0:c r="J166" s="21" t="inlineStr"/>
      <ns0:c r="K166" s="21" t="inlineStr"/>
      <ns0:c r="L166" s="21" t="inlineStr">
        <ns0:is>
          <ns0:t>Not documented in provided sources</ns0:t>
        </ns0:is>
      </ns0:c>
      <ns0:c r="M166" s="21" t="inlineStr">
        <ns0:is>
          <ns0:t>[]</ns0:t>
        </ns0:is>
      </ns0:c>
    </ns0:row>
    <ns0:row r="167" ht="65" customHeight="1">
      <ns0:c r="A167" s="19" t="inlineStr">
        <ns0:is>
          <ns0:t>178</ns0:t>
        </ns0:is>
      </ns0:c>
      <ns0:c r="B167" s="19" t="inlineStr">
        <ns0:is>
          <ns0:t>Application of Single-Nucleotide Polymorphisms in the Diagnosis of Autism Spectrum Disorders: A Preliminary Study with Artificial Neural Networks</ns0:t>
        </ns0:is>
      </ns0:c>
      <ns0:c r="C167" s="19" t="inlineStr">
        <ns0:is>
          <ns0:t>10.1007/s12031-019-01311-1</ns0:t>
        </ns0:is>
      </ns0:c>
      <ns0:c r="D167" s="19" t="inlineStr">
        <ns0:is>
          <ns0:t>https://doi.org/10.1007/s12031-019-01311-1</ns0:t>
        </ns0:is>
      </ns0:c>
      <ns0:c r="E167" s="19" t="inlineStr">
        <ns0:is>
          <ns0:t>Supplied abstract/coding notes; no new full-text verification</ns0:t>
        </ns0:is>
      </ns0:c>
      <ns0:c r="F167" s="19" t="inlineStr">
        <ns0:is>
          <ns0:t>EVIDENCIA; original abstract/coding notes and lot source trace; Historical signals: title/abstract/notes; full-text completion not independently established</ns0:t>
        </ns0:is>
      </ns0:c>
      <ns0:c r="G167" s="19" t="inlineStr">
        <ns0:is>
          <ns0:t>Human SNP classification with explicit LIME explanations and internal ten-fold validation. Use of Keras alone does not establish deep architecture.</ns0:t>
        </ns0:is>
      </ns0:c>
      <ns0:c r="H167" s="19" t="inlineStr">
        <ns0:is>
          <ns0:t>Autism spectrum disorder (ASD) includes different neurodevelopmental disorders characterized by deficits in social communication, and restricted, repetitive patterns of behavior, interests or activities. Based on the importance of early diagnosis for effective therapeutic intervention, several strategies have been employed for detection of the disorder. The artificial neural network (ANN) as a type of machine learning method is a common strategy. In the current study, we extracted genomic data for 487 ASD patients and 455 healthy individuals. All individuals were genotyped in certain single-nucleotide polymorphisms within retinoic acid-related orphan receptor alpha (RORA), gamma-aminobutyric acid type A receptor beta3 subunit (GABRB3), synaptosomal-associated protein 25 (SNAP25) and metabotropic glutamate receptor 7 (GRM7) genes. Subsequently, we used the “Keras” package to create and train the ANN model. For cross-validation, samples were divided into ten folds. In the training process, initially, the first fold was preserved for validation and the other folds were used to train the model. The validation fold was then used to evaluate model performance. The k-fold cross-validation method was used to ensure model generalizability and to prevent overfitting. Local interpretable model-agnostic explanations (LIME) were applied to explain model predictions at the data sample level. The output of loss function was evaluated in the training process for each fold in the k-fold cross-validation model. Finally, the number of losses was reduced to less than 0.6 after 200 epochs (except in two cases). The accuracy, sensitivity and specificity of our model were 73.67%, 82.75% and 63.95%, respectively. The area under the curve (AUC) was 80.59. Consequently, in the current study, we propose an ANN-based method for differentiating ASD status from healthy status with adequate power.</ns0:t>
        </ns0:is>
      </ns0:c>
      <ns0:c r="I167" s="19" t="inlineStr"/>
      <ns0:c r="J167" s="19" t="inlineStr"/>
      <ns0:c r="K167" s="19" t="inlineStr"/>
      <ns0:c r="L167" s="19" t="inlineStr">
        <ns0:is>
          <ns0:t>Not documented in provided sources</ns0:t>
        </ns0:is>
      </ns0:c>
      <ns0:c r="M167" s="19" t="inlineStr">
        <ns0:is>
          <ns0:t>[]</ns0:t>
        </ns0:is>
      </ns0:c>
    </ns0:row>
    <ns0:row r="168" ht="65" customHeight="1">
      <ns0:c r="A168" s="21" t="inlineStr">
        <ns0:is>
          <ns0:t>179</ns0:t>
        </ns0:is>
      </ns0:c>
      <ns0:c r="B168" s="21" t="inlineStr">
        <ns0:is>
          <ns0:t>Autism spectrum disorder detection with machine learning methods</ns0:t>
        </ns0:is>
      </ns0:c>
      <ns0:c r="C168" s="21" t="inlineStr">
        <ns0:is>
          <ns0:t>10.2174/2666082215666191111121115</ns0:t>
        </ns0:is>
      </ns0:c>
      <ns0:c r="D168" s="21" t="inlineStr">
        <ns0:is>
          <ns0:t>https://doi.org/10.2174/2666082215666191111121115</ns0:t>
        </ns0:is>
      </ns0:c>
      <ns0:c r="E168" s="21" t="inlineStr">
        <ns0:is>
          <ns0:t>Supplied abstract/coding notes; no new full-text verification</ns0:t>
        </ns0:is>
      </ns0:c>
      <ns0:c r="F168" s="21" t="inlineStr">
        <ns0:is>
          <ns0:t>EVIDENCIA; original abstract/coding notes and lot source trace; Historical signals: title/abstract/notes; full-text completion not independently established</ns0:t>
        </ns0:is>
      </ns0:c>
      <ns0:c r="G168" s="21" t="inlineStr">
        <ns0:is>
          <ns0:t>Age-specific questionnaire screening datasets; random holdout repeated 100 times is internal validation. RF is the reported best performer.</ns0:t>
        </ns0:is>
      </ns0:c>
      <ns0:c r="H168" s="21" t="inlineStr">
        <ns0:is>
          <ns0: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ns0:t>
        </ns0:is>
      </ns0:c>
      <ns0:c r="I168" s="21" t="inlineStr"/>
      <ns0:c r="J168" s="21" t="inlineStr"/>
      <ns0:c r="K168" s="21" t="inlineStr"/>
      <ns0:c r="L168" s="21" t="inlineStr">
        <ns0:is>
          <ns0:t>Not documented in provided sources</ns0:t>
        </ns0:is>
      </ns0:c>
      <ns0:c r="M168" s="21" t="inlineStr">
        <ns0:is>
          <ns0:t>[]</ns0:t>
        </ns0:is>
      </ns0:c>
    </ns0:row>
    <ns0:row r="169" ht="69" customHeight="1">
      <ns0:c r="A169" s="19" t="inlineStr">
        <ns0:is>
          <ns0:t>180</ns0:t>
        </ns0:is>
      </ns0:c>
      <ns0:c r="B169" s="19" t="inlineStr">
        <ns0:is>
          <ns0:t>Biosignal comparison for autism assessment using machine learning models and virtual reality</ns0:t>
        </ns0:is>
      </ns0:c>
      <ns0:c r="C169" s="19" t="inlineStr">
        <ns0:is>
          <ns0:t>10.1016/j.compbiomed.2024.108194</ns0:t>
        </ns0:is>
      </ns0:c>
      <ns0:c r="D169" s="19" t="inlineStr">
        <ns0:is>
          <ns0:t>https://doi.org/10.1016/j.compbiomed.2024.108194</ns0:t>
        </ns0:is>
      </ns0:c>
      <ns0:c r="E169" s="19" t="inlineStr">
        <ns0:is>
          <ns0:t>Supplied abstract/coding notes; no new full-text verification</ns0:t>
        </ns0:is>
      </ns0:c>
      <ns0:c r="F169" s="19" t="inlineStr">
        <ns0:is>
          <ns0:t>EVIDENCIA; original abstract/coding notes and lot source trace; Historical signals: title/abstract/notes; full-text completion not independently established</ns0:t>
        </ns0:is>
      </ns0:c>
      <ns0:c r="G169" s="19" t="inlineStr">
        <ns0:is>
          <ns0:t>Motor, gaze and task responses in VR are behavioral measurements. Separate modality-specific models are compared; scenes within a modality are combined, not necessarily cross-modality fusion.</ns0:t>
        </ns0:is>
      </ns0:c>
      <ns0:c r="H169" s="19" t="inlineStr">
        <ns0:is>
          <ns0: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ns0:t>
        </ns0:is>
      </ns0:c>
      <ns0:c r="I169" s="19" t="inlineStr">
        <ns0:is>
          <ns0:t>Se comparan varios modelos; se eligió el principal/mejor reportado</ns0:t>
        </ns0:is>
      </ns0:c>
      <ns0:c r="J169" s="19" t="inlineStr"/>
      <ns0:c r="K169" s="19" t="inlineStr"/>
      <ns0:c r="L169" s="19" t="inlineStr">
        <ns0:is>
          <ns0:t>Not documented in provided sources</ns0:t>
        </ns0:is>
      </ns0:c>
      <ns0:c r="M169" s="19" t="inlineStr">
        <ns0:is>
          <ns0:t>[]</ns0:t>
        </ns0:is>
      </ns0:c>
    </ns0:row>
    <ns0:row r="170" ht="65" customHeight="1">
      <ns0:c r="A170" s="21" t="inlineStr">
        <ns0:is>
          <ns0:t>182</ns0:t>
        </ns0:is>
      </ns0:c>
      <ns0:c r="B170" s="21" t="inlineStr">
        <ns0:is>
          <ns0:t>COMBINED ANALYSIS OF THE ORAL MICROBIOME AND MICROTRANSCRIPTOME OF AUTISM SPECTRUM DISORDER</ns0:t>
        </ns0:is>
      </ns0:c>
      <ns0:c r="C170" s="21" t="inlineStr">
        <ns0:is>
          <ns0:t>10.1016/j.euroneuro.2017.08.321</ns0:t>
        </ns0:is>
      </ns0:c>
      <ns0:c r="D170" s="21" t="inlineStr">
        <ns0:is>
          <ns0:t>https://doi.org/10.1016/j.euroneuro.2017.08.321</ns0:t>
        </ns0:is>
      </ns0:c>
      <ns0:c r="E170" s="21" t="inlineStr">
        <ns0:is>
          <ns0:t>Supplied abstract/coding notes; no new full-text verification</ns0:t>
        </ns0:is>
      </ns0:c>
      <ns0:c r="F170" s="21" t="inlineStr">
        <ns0:is>
          <ns0:t>EVIDENCIA; original abstract/coding notes and lot source trace; Historical signals: title/abstract/notes; full-text completion not independently established</ns0:t>
        </ns0:is>
      </ns0:c>
      <ns0:c r="G170" s="21" t="inlineStr">
        <ns0:is>
          <ns0:t>Conference-supplement abstract in European Neuropsychopharmacology, not a full eligible primary report.</ns0:t>
        </ns0:is>
      </ns0:c>
      <ns0:c r="H170" s="21" t="inlineStr">
        <ns0:is>
          <ns0:t>Background: Autism Spectrum Disorder (ASD) affects 1 in 45 children aged 3-17 and is characterized by a wide array of deficits in social interaction, communication, and behavior. Despite significant evidence for genetic contributions to ASD risk, single gene variants as a group do not explain the vast majority of cases. Consequently, considerable interest has turned to the study of epigenetic mechanisms as potential contributing factors. miRNAs are now well-recognized epigenetic regulators of gene expression that influence biological processes in all cell types and are released from the cells in which they are synthesized and circulate throughout the body in extracellular fluids. We previously identified significant alterations in miRNA levels in the saliva of ASD subjects (average age 9) compared with matched typically developing control children. We also observed (but did not report) that the salivary microbiome of ASD children was significantly different than that of the control children. In the present study, we sought to replicate and extend these observations on the oral microtranscriptome and microbiome of ASD children in a larger and younger cohort. Method(s): Parental consent was obtained for all subjects. More than 350 samples were collected from children aged 2-6, with either a confirmed diagnosis of ASD, Developmental Delay, or healthy controls. Comprehensive medical and demographic information was obtained using detailed questionnaires, the Vineland Adaptive Behavior Scales (2nd Edition), and the Autism Diagnostic Observation Schedule (2nd Edition). Identification and quantification of saliva miRNA and microbiome abundance were performed using NGS on a NextSeq. 500 instrument at the SUNY Molecular Analysis Core (SUNYMAC) at Upstate Medical University. Alignment of NGS reads was performed to the miRbase21 database using the Shrimp2 algorithm in Partek Flow software to identify mature and precursor miRNAs and alignment of metatranscriptome reads was performed to the Human Microbiome Database, using K-SLAM and Kraken software. Data were subjected to quantile normalization, filtered for quality control, and examined for their diagnostic utility using machine learning algorithms. The most promising variables were also examined to identify salient patterns and subjected to functional analysis. Result(s): Saliva miRNA and microbiome taxon variables demonstrated the ability to distinguish children with ASD from typically developing controls, with accuracy approximating 75-80% based on Monte-Carlo Cross Validation. When combined, the best miRNA and taxon classifiers from the learning algorithm performed at an overall accuracy level exceeding 86%, including more than 90% accuracy for ASD children. Notably, the top miRNA classifiers disproportionately targeted mRNAs that were enriched in several key biological pathways of interest for ASD, including Amphetamine Addiction, Axon Guidance, and Oxytocin Signaling. Notably, many miRNAs and taxon classifiers exhibited robust correlations, suggesting possible host-microbiome signaling. Discussion(s): This is the first report of correlated miRNA and microbiome elements in saliva. Our results indicate a high degree of potential diagnostic utility in using these saliva-based data for ASD and Developmental Delay. Ongoing work is establishing the quantitative relationship between these variables and functional measures of ASD symptoms and severity, as well as co-morbid medical conditions including sleep disorders and GI disturbances.Copyright © 2017</ns0:t>
        </ns0:is>
      </ns0:c>
      <ns0:c r="I170" s="21" t="inlineStr"/>
      <ns0:c r="J170" s="21" t="inlineStr"/>
      <ns0:c r="K170" s="21" t="inlineStr"/>
      <ns0:c r="L170" s="21" t="inlineStr">
        <ns0:is>
          <ns0:t>Not documented in provided sources</ns0:t>
        </ns0:is>
      </ns0:c>
      <ns0:c r="M170" s="21" t="inlineStr">
        <ns0:is>
          <ns0:t>[]</ns0:t>
        </ns0:is>
      </ns0:c>
    </ns0:row>
    <ns0:row r="171" ht="129" customHeight="1">
      <ns0:c r="A171" s="19" t="inlineStr">
        <ns0:is>
          <ns0:t>183</ns0:t>
        </ns0:is>
      </ns0:c>
      <ns0:c r="B171" s="19" t="inlineStr">
        <ns0:is>
          <ns0:t>Computational Methods to Measure Patterns of Gaze in Toddlers with Autism Spectrum Disorder</ns0:t>
        </ns0:is>
      </ns0:c>
      <ns0:c r="C171" s="19" t="inlineStr">
        <ns0:is>
          <ns0:t>10.1001/jamapediatrics.2021.0530</ns0:t>
        </ns0:is>
      </ns0:c>
      <ns0:c r="D171" s="19" t="inlineStr">
        <ns0:is>
          <ns0:t>https://doi.org/10.1001/jamapediatrics.2021.0530</ns0:t>
        </ns0:is>
      </ns0:c>
      <ns0:c r="E171" s="19" t="inlineStr">
        <ns0:is>
          <ns0:t>Supplied abstract/coding notes; no new full-text verification</ns0:t>
        </ns0:is>
      </ns0:c>
      <ns0:c r="F171" s="19" t="inlineStr">
        <ns0:is>
          <ns0:t>EVIDENCIA; original abstract/coding notes and lot source trace; Historical signals: title/abstract/notes; full-text completion not independently established</ns0:t>
        </ns0:is>
      </ns0:c>
      <ns0:c r="G171" s="19" t="inlineStr">
        <ns0:is>
          <ns0:t>Prospective pediatric well-child app measurement is explicit. Gaze quantification and group comparison are not necessarily external validation of a trained ASD classifier.</ns0:t>
        </ns0:is>
      </ns0:c>
      <ns0:c r="H171" s="19" t="inlineStr">
        <ns0:is>
          <ns0:t>Importance: Atypical eye gaze is an early-emerging symptom of autism spectrum disorder (ASD) and holds promise for autism screening. Current eye-tracking methods are expensive and require special equipment and calibration. There is a need for scalable, feasible methods for measuring eye gaze. Objective: Using computational methods based on computer vision analysis, we evaluated whether an app deployed on an iPhone or iPad that displayed strategically designed brief movies could elicit and quantify differences in eye-gaze patterns of toddlers with ASD vs typical development. Design, Setting, and Participants: A prospective study in pediatric primary care clinics was conducted from December 2018 to March 2020, comparing toddlers with and without ASD. Caregivers of 1564 toddlers were invited to participate during a well-child visit. A total of 993 toddlers (63%) completed study measures. Enrollment criteria were aged 16 to 38 months, healthy, English- or Spanish-speaking caregiver, and toddler able to sit and view the app. Participants were screened with the Modified Checklist for Autism in Toddlers-Revised With Follow-up during routine care. Children were referred by their pediatrician for diagnostic evaluation based on results of the checklist or if the caregiver or pediatrician was concerned. Forty toddlers subsequently were diagnosed with ASD. Exposures: A mobile app displayed on a smartphone or tablet. Main Outcomes and Measures: Computer vision analysis quantified eye-gaze patterns elicited by the app, which were compared between toddlers with ASD vs typical development. Results: Mean age of the sample was 21.1 months (range, 17.1-36.9 months), and 50.6% were boys, 59.8% White individuals, 16.5% Black individuals, 23.7% other race, and 16.9% Hispanic/Latino individuals. Distinctive eye-gaze patterns were detected in toddlers with ASD, characterized by reduced gaze to social stimuli and to salient social moments during the movies, and previously unknown deficits in coordination of gaze with speech sounds. The area under the receiver operating characteristic curve discriminating ASD vs non-ASD using multiple gaze features was 0.90 (95% CI, 0.82-0.97). Conclusions and Relevance: The app reliably measured both known and new gaze biomarkers that distinguished toddlers with ASD vs typical development. These novel results may have potential for developing scalable autism screening tools, exportable to natural settings, and enabling data sets amenable to machine learning.</ns0:t>
        </ns0:is>
      </ns0:c>
      <ns0:c r="I171" s="19" t="inlineStr">
        <ns0:is>
          <ns0:t>No es “diagnóstico” como tal; es una herramienta en visita pediátrica para detectar síntomas tempranos/riesgo usando patrones de mirada.</ns0:t>
        </ns0:is>
      </ns0:c>
      <ns0:c r="J171" s="19" t="inlineStr"/>
      <ns0:c r="K171" s="19" t="inlineStr"/>
      <ns0:c r="L171" s="19" t="inlineStr">
        <ns0:is>
          <ns0:t>Not documented in provided sources</ns0:t>
        </ns0:is>
      </ns0:c>
      <ns0:c r="M171" s="19" t="inlineStr">
        <ns0:is>
          <ns0:t>[]</ns0:t>
        </ns0:is>
      </ns0:c>
    </ns0:row>
    <ns0:row r="172" ht="153" customHeight="1">
      <ns0:c r="A172" s="21" t="inlineStr">
        <ns0:is>
          <ns0:t>184</ns0:t>
        </ns0:is>
      </ns0:c>
      <ns0:c r="B172" s="21" t="inlineStr">
        <ns0:is>
          <ns0:t>Computerized Assessment of Motor Imitation as a Scalable Method for Distinguishing Children With Autism</ns0:t>
        </ns0:is>
      </ns0:c>
      <ns0:c r="C172" s="21" t="inlineStr">
        <ns0:is>
          <ns0:t>10.1016/j.bpsc.2020.09.001</ns0:t>
        </ns0:is>
      </ns0:c>
      <ns0:c r="D172" s="21" t="inlineStr">
        <ns0:is>
          <ns0:t>https://doi.org/10.1016/j.bpsc.2020.09.001</ns0:t>
        </ns0:is>
      </ns0:c>
      <ns0:c r="E172" s="21" t="inlineStr">
        <ns0:is>
          <ns0:t>Supplied abstract/coding notes; no new full-text verification</ns0:t>
        </ns0:is>
      </ns0:c>
      <ns0:c r="F172" s="21" t="inlineStr">
        <ns0:is>
          <ns0:t>EVIDENCIA; original abstract/coding notes and lot source trace; Historical signals: title/abstract/notes; full-text completion not independently established</ns0:t>
        </ns0:is>
      </ns0:c>
      <ns0:c r="G172" s="21" t="inlineStr">
        <ns0:is>
          <ns0:t>Objective motor imitation measurement with interpretable similarity scores, compared with human coding; not neural image classification or a tested intervention.</ns0:t>
        </ns0:is>
      </ns0:c>
      <ns0:c r="H172" s="21" t="inlineStr">
        <ns0:is>
          <ns0: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ns0:t>
        </ns0:is>
      </ns0:c>
      <ns0:c r="I172" s="21" t="inlineStr">
        <ns0:is>
          <ns0:t>Algoritmo principal no explícito o fuera del codebook; Confirmar algoritmo principal en full-text; Se comparan varios modelos; se eligió el principal/mejor reportado</ns0:t>
        </ns0:is>
      </ns0:c>
      <ns0:c r="J172" s="21" t="inlineStr"/>
      <ns0:c r="K172" s="21" t="inlineStr"/>
      <ns0:c r="L172" s="21" t="inlineStr">
        <ns0:is>
          <ns0:t>Not documented in provided sources</ns0:t>
        </ns0:is>
      </ns0:c>
      <ns0:c r="M172" s="21" t="inlineStr">
        <ns0:is>
          <ns0:t>[]</ns0:t>
        </ns0:is>
      </ns0:c>
    </ns0:row>
    <ns0:row r="173" ht="65" customHeight="1">
      <ns0:c r="A173" s="19" t="inlineStr">
        <ns0:is>
          <ns0:t>185</ns0:t>
        </ns0:is>
      </ns0:c>
      <ns0:c r="B173" s="19" t="inlineStr">
        <ns0:is>
          <ns0:t>Construction of ASD Intervention System Based On Neural Network Model</ns0:t>
        </ns0:is>
      </ns0:c>
      <ns0:c r="C173" s="19" t="inlineStr">
        <ns0:is>
          <ns0:t>10.1016/j.procs.2025.05.032</ns0:t>
        </ns0:is>
      </ns0:c>
      <ns0:c r="D173" s="19" t="inlineStr">
        <ns0:is>
          <ns0:t>https://doi.org/10.1016/j.procs.2025.05.032</ns0:t>
        </ns0:is>
      </ns0:c>
      <ns0:c r="E173" s="19" t="inlineStr">
        <ns0:is>
          <ns0:t>Supplied abstract/coding notes; no new full-text verification</ns0:t>
        </ns0:is>
      </ns0:c>
      <ns0:c r="F173" s="19" t="inlineStr">
        <ns0:is>
          <ns0:t>EVIDENCIA; original abstract/coding notes and lot source trace; Historical signals: title/abstract/notes; full-text completion not independently established</ns0:t>
        </ns0:is>
      </ns0:c>
      <ns0:c r="G173" s="19" t="inlineStr">
        <ns0:is>
          <ns0:t>Reported video/sensor behavior prediction and designed adaptive intervention. Prediction accuracy alone does not demonstrate that AI-guided treatment was delivered or effective.
Real-time adaptive system is designed; patient-level delivery, allocation, outcomes and decision impact are not established by the supplied prediction metrics.</ns0:t>
        </ns0:is>
      </ns0:c>
      <ns0:c r="H173" s="19" t="inlineStr">
        <ns0:is>
          <ns0: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ns0:t>
        </ns0:is>
      </ns0:c>
      <ns0:c r="I173" s="19" t="inlineStr"/>
      <ns0:c r="J173" s="19" t="inlineStr"/>
      <ns0:c r="K173" s="19" t="inlineStr"/>
      <ns0:c r="L173" s="19" t="inlineStr">
        <ns0:is>
          <ns0:t>Not documented in provided sources</ns0:t>
        </ns0:is>
      </ns0:c>
      <ns0:c r="M173" s="19" t="inlineStr">
        <ns0:is>
          <ns0:t>[]</ns0:t>
        </ns0:is>
      </ns0:c>
    </ns0:row>
    <ns0:row r="174" ht="153" customHeight="1">
      <ns0:c r="A174" s="21" t="inlineStr">
        <ns0:is>
          <ns0:t>186</ns0:t>
        </ns0:is>
      </ns0:c>
      <ns0:c r="B174" s="21" t="inlineStr">
        <ns0:is>
          <ns0:t>Decoding Autism: Uncovering patterns in brain connectivity through sparsity analysis with rs-fMRI data</ns0:t>
        </ns0:is>
      </ns0:c>
      <ns0:c r="C174" s="21" t="inlineStr">
        <ns0:is>
          <ns0:t>10.1016/j.jneumeth.2024.110100</ns0:t>
        </ns0:is>
      </ns0:c>
      <ns0:c r="D174" s="21" t="inlineStr">
        <ns0:is>
          <ns0:t>https://doi.org/10.1016/j.jneumeth.2024.110100</ns0:t>
        </ns0:is>
      </ns0:c>
      <ns0:c r="E174" s="21" t="inlineStr">
        <ns0:is>
          <ns0:t>Supplied abstract/coding notes; no new full-text verification</ns0:t>
        </ns0:is>
      </ns0:c>
      <ns0:c r="F174" s="21" t="inlineStr">
        <ns0:is>
          <ns0:t>EVIDENCIA; original abstract/coding notes and lot source trace; Historical signals: title/abstract/notes; full-text completion not independently established</ns0:t>
        </ns0:is>
      </ns0:c>
      <ns0:c r="G174" s="21" t="inlineStr">
        <ns0:is>
          <ns0:t>Best reported full-feature classifier is a 1D CNN on sparse fMRI connectivity. The word prognostic does not establish a future outcome in this cross-sectional classification experiment.</ns0:t>
        </ns0:is>
      </ns0:c>
      <ns0:c r="H174" s="21" t="inlineStr">
        <ns0:is>
          <ns0: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ns0:t>
        </ns0:is>
      </ns0:c>
      <ns0:c r="I174" s="21" t="inlineStr">
        <ns0:is>
          <ns0:t>Algoritmo principal no explícito o fuera del codebook; Confirmar algoritmo principal en full-text; Se comparan varios modelos; se eligió el principal/mejor reportado</ns0:t>
        </ns0:is>
      </ns0:c>
      <ns0:c r="J174" s="21" t="inlineStr"/>
      <ns0:c r="K174" s="21" t="inlineStr"/>
      <ns0:c r="L174" s="21" t="inlineStr">
        <ns0:is>
          <ns0:t>Not documented in provided sources</ns0:t>
        </ns0:is>
      </ns0:c>
      <ns0:c r="M174" s="21" t="inlineStr">
        <ns0:is>
          <ns0:t>[]</ns0:t>
        </ns0:is>
      </ns0:c>
    </ns0:row>
    <ns0:row r="175" ht="65" customHeight="1">
      <ns0:c r="A175" s="19" t="inlineStr">
        <ns0:is>
          <ns0:t>187</ns0:t>
        </ns0:is>
      </ns0:c>
      <ns0:c r="B175" s="19" t="inlineStr">
        <ns0:is>
          <ns0:t>Deep Radiomics for Autism Diagnosis and Age Prediction</ns0:t>
        </ns0:is>
      </ns0:c>
      <ns0:c r="C175" s="19" t="inlineStr">
        <ns0:is>
          <ns0:t>10.1109/thms.2025.3526957</ns0:t>
        </ns0:is>
      </ns0:c>
      <ns0:c r="D175" s="19" t="inlineStr">
        <ns0:is>
          <ns0:t>https://doi.org/10.1109/thms.2025.3526957</ns0:t>
        </ns0:is>
      </ns0:c>
      <ns0:c r="E175" s="19" t="inlineStr">
        <ns0:is>
          <ns0:t>Supplied abstract/coding notes; no new full-text verification</ns0:t>
        </ns0:is>
      </ns0:c>
      <ns0:c r="F175" s="19" t="inlineStr">
        <ns0:is>
          <ns0:t>EVIDENCIA; original abstract/coding notes and lot source trace; Historical signals: title/abstract/notes; full-text completion not independently established</ns0:t>
        </ns0:is>
      </ns0:c>
      <ns0:c r="G175" s="19" t="inlineStr">
        <ns0:is>
          <ns0:t>Site-specific and pooled cross-validation are described; these differ from training on some sites and testing on unseen sites. Age classification is secondary, not future prognosis.</ns0:t>
        </ns0:is>
      </ns0:c>
      <ns0:c r="H175" s="19" t="inlineStr">
        <ns0:is>
          <ns0: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ns0:t>
        </ns0:is>
      </ns0:c>
      <ns0:c r="I175" s="19" t="inlineStr"/>
      <ns0:c r="J175" s="19" t="inlineStr"/>
      <ns0:c r="K175" s="19" t="inlineStr"/>
      <ns0:c r="L175" s="19" t="inlineStr">
        <ns0:is>
          <ns0:t>Not documented in provided sources</ns0:t>
        </ns0:is>
      </ns0:c>
      <ns0:c r="M175" s="19" t="inlineStr">
        <ns0:is>
          <ns0:t>[]</ns0:t>
        </ns0:is>
      </ns0:c>
    </ns0:row>
    <ns0:row r="176" ht="105" customHeight="1">
      <ns0:c r="A176" s="21" t="inlineStr">
        <ns0:is>
          <ns0:t>188</ns0:t>
        </ns0:is>
      </ns0:c>
      <ns0:c r="B176" s="21" t="inlineStr">
        <ns0:is>
          <ns0:t>Deep-learning-based detection of infants with autism spectrum disorder using auto-encoder feature representation</ns0:t>
        </ns0:is>
      </ns0:c>
      <ns0:c r="C176" s="21" t="inlineStr">
        <ns0:is>
          <ns0:t>10.3390/s20236762</ns0:t>
        </ns0:is>
      </ns0:c>
      <ns0:c r="D176" s="21" t="inlineStr">
        <ns0:is>
          <ns0:t>https://doi.org/10.3390/s20236762</ns0:t>
        </ns0:is>
      </ns0:c>
      <ns0:c r="E176" s="21" t="inlineStr">
        <ns0:is>
          <ns0:t>Supplied abstract/coding notes; no new full-text verification</ns0:t>
        </ns0:is>
      </ns0:c>
      <ns0:c r="F176" s="21" t="inlineStr">
        <ns0:is>
          <ns0:t>EVIDENCIA; original abstract/coding notes and lot source trace; Historical signals: title/abstract/notes; full-text completion not independently established</ns0:t>
        </ns0:is>
      </ns0:c>
      <ns0:c r="G176" s="21" t="inlineStr">
        <ns0:is>
          <ns0:t>Vocal acoustic eGeMAPS inputs are explicitly described; no unresolved imaging source is needed.</ns0:t>
        </ns0:is>
      </ns0:c>
      <ns0:c r="H176" s="21" t="inlineStr">
        <ns0:is>
          <ns0: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ns0:t>
        </ns0:is>
      </ns0:c>
      <ns0:c r="I176" s="21" t="inlineStr">
        <ns0:is>
          <ns0:t>Autoencoder para detección en infantes; confirmar fuente de datos exacta (no totalmente explícita en el abstract).</ns0:t>
        </ns0:is>
      </ns0:c>
      <ns0:c r="J176" s="21" t="inlineStr"/>
      <ns0:c r="K176" s="21" t="inlineStr"/>
      <ns0:c r="L176" s="21" t="inlineStr">
        <ns0:is>
          <ns0:t>Not documented in provided sources</ns0:t>
        </ns0:is>
      </ns0:c>
      <ns0:c r="M176" s="21" t="inlineStr">
        <ns0:is>
          <ns0:t>[]</ns0:t>
        </ns0:is>
      </ns0:c>
    </ns0:row>
    <ns0:row r="177" ht="69" customHeight="1">
      <ns0:c r="A177" s="19" t="inlineStr">
        <ns0:is>
          <ns0:t>189</ns0:t>
        </ns0:is>
      </ns0:c>
      <ns0:c r="B177" s="19" t="inlineStr">
        <ns0:is>
          <ns0:t>Early identification of autism spectrum disorder based on machine learning with eye-tracking data</ns0:t>
        </ns0:is>
      </ns0:c>
      <ns0:c r="C177" s="19" t="inlineStr">
        <ns0:is>
          <ns0:t>10.1016/j.jad.2024.04.049</ns0:t>
        </ns0:is>
      </ns0:c>
      <ns0:c r="D177" s="19" t="inlineStr">
        <ns0:is>
          <ns0:t>https://doi.org/10.1016/j.jad.2024.04.049</ns0:t>
        </ns0:is>
      </ns0:c>
      <ns0:c r="E177" s="19" t="inlineStr">
        <ns0:is>
          <ns0:t>Supplied abstract/coding notes; no new full-text verification</ns0:t>
        </ns0:is>
      </ns0:c>
      <ns0:c r="F177" s="19" t="inlineStr">
        <ns0:is>
          <ns0:t>EVIDENCIA; original abstract/coding notes and lot source trace; Historical signals: title/abstract/notes; full-text completion not independently established</ns0:t>
        </ns0:is>
      </ns0:c>
      <ns0:c r="G177" s="19" t="inlineStr">
        <ns0:is>
          <ns0:t>Eye-tracking classifier with independent prospective 80-child validation and SHAP. Comparison of conventional/neural candidates is not a hybrid final RF model or proof of clinical decision use.</ns0:t>
        </ns0:is>
      </ns0:c>
      <ns0:c r="H177" s="19" t="inlineStr">
        <ns0:is>
          <ns0: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ns0:t>
        </ns0:is>
      </ns0:c>
      <ns0:c r="I177" s="19" t="inlineStr">
        <ns0:is>
          <ns0:t>Se comparan varios modelos; se eligió el principal/mejor reportado</ns0:t>
        </ns0:is>
      </ns0:c>
      <ns0:c r="J177" s="19" t="inlineStr"/>
      <ns0:c r="K177" s="19" t="inlineStr"/>
      <ns0:c r="L177" s="19" t="inlineStr">
        <ns0:is>
          <ns0:t>Not documented in provided sources</ns0:t>
        </ns0:is>
      </ns0:c>
      <ns0:c r="M177" s="19" t="inlineStr">
        <ns0:is>
          <ns0:t>[]</ns0:t>
        </ns0:is>
      </ns0:c>
    </ns0:row>
    <ns0:row r="178" ht="69" customHeight="1">
      <ns0:c r="A178" s="21" t="inlineStr">
        <ns0:is>
          <ns0:t>190</ns0:t>
        </ns0:is>
      </ns0:c>
      <ns0:c r="B178" s="21" t="inlineStr">
        <ns0:is>
          <ns0:t>Examining overlap and homogeneity in ASD, ADHD, and OCD: a data-driven, diagnosis-agnostic approach</ns0:t>
        </ns0:is>
      </ns0:c>
      <ns0:c r="C178" s="21" t="inlineStr">
        <ns0:is>
          <ns0:t>10.1038/s41398-019-0631-2</ns0:t>
        </ns0:is>
      </ns0:c>
      <ns0:c r="D178" s="21" t="inlineStr">
        <ns0:is>
          <ns0:t>https://doi.org/10.1038/s41398-019-0631-2</ns0:t>
        </ns0:is>
      </ns0:c>
      <ns0:c r="E178" s="21" t="inlineStr">
        <ns0:is>
          <ns0:t>Supplied abstract/coding notes; no new full-text verification</ns0:t>
        </ns0:is>
      </ns0:c>
      <ns0:c r="F178" s="21" t="inlineStr">
        <ns0:is>
          <ns0:t>EVIDENCIA; original abstract/coding notes and lot source trace; Historical signals: title/abstract/notes; full-text completion not independently established</ns0:t>
        </ns0:is>
      </ns0:c>
      <ns0:c r="G178" s="21" t="inlineStr">
        <ns0:is>
          <ns0:t>Integrated cortical morphology and phenotypic features form diagnostic-agnostic subgroups; clustering is not deep learning.</ns0:t>
        </ns0:is>
      </ns0:c>
      <ns0:c r="H178" s="21" t="inlineStr">
        <ns0:is>
          <ns0: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ns0:t>
        </ns0:is>
      </ns0:c>
      <ns0:c r="I178" s="21" t="inlineStr">
        <ns0:is>
          <ns0:t>Bagged-multiview clustering (bagging + spectral clustering)</ns0:t>
        </ns0:is>
      </ns0:c>
      <ns0:c r="J178" s="21" t="inlineStr"/>
      <ns0:c r="K178" s="21" t="inlineStr"/>
      <ns0:c r="L178" s="21" t="inlineStr">
        <ns0:is>
          <ns0:t>Not documented in provided sources</ns0:t>
        </ns0:is>
      </ns0:c>
      <ns0:c r="M178" s="21" t="inlineStr">
        <ns0:is>
          <ns0:t>[]</ns0:t>
        </ns0:is>
      </ns0:c>
    </ns0:row>
    <ns0:row r="179" ht="81" customHeight="1">
      <ns0:c r="A179" s="19" t="inlineStr">
        <ns0:is>
          <ns0:t>191</ns0:t>
        </ns0:is>
      </ns0:c>
      <ns0:c r="B179" s="19" t="inlineStr">
        <ns0:is>
          <ns0:t>Explainable and scalable machine learning algorithms for detection of autism spectrum disorder using fMRI data</ns0:t>
        </ns0:is>
      </ns0:c>
      <ns0:c r="C179" s="19" t="inlineStr">
        <ns0:is>
          <ns0:t>10.1016/b978-0-12-822822-7.00004-1</ns0:t>
        </ns0:is>
      </ns0:c>
      <ns0:c r="D179" s="19" t="inlineStr">
        <ns0:is>
          <ns0:t>https://doi.org/10.1016/b978-0-12-822822-7.00004-1</ns0:t>
        </ns0:is>
      </ns0:c>
      <ns0:c r="E179" s="19" t="inlineStr">
        <ns0:is>
          <ns0:t>Supplied abstract/coding notes; no new full-text verification</ns0:t>
        </ns0:is>
      </ns0:c>
      <ns0:c r="F179" s="19" t="inlineStr">
        <ns0:is>
          <ns0:t>EVIDENCIA; original abstract/coding notes and lot source trace; Historical signals: title/abstract/notes; full-text completion not independently established</ns0:t>
        </ns0:is>
      </ns0:c>
      <ns0:c r="G179" s="19" t="inlineStr">
        <ns0:is>
          <ns0:t>Standalone edited-book chapter, not a journal article or identified conference proceeding.</ns0:t>
        </ns0:is>
      </ns0:c>
      <ns0:c r="H179" s="19" t="inlineStr">
        <ns0:is>
          <ns0:t>Diagnosing autism spectrum disorder (ASD) is a challenging problem and is based purely on behavioral descriptions of symptomology (Diagnostic and Statistical Manual-5th Edition/ICD-10). Numerous limitations (e.g., informant discrepancies, lack of adherence to assessment guidelines) to current diagnostic practices have the potential to result in misdiagnosis of the disorder. Prior research provides evidence that structural and functional magnetic resonance imaging (MRI) data collected from individuals with ASD exhibit distinguishing characteristics that differ in neural patterns of the brain. Our proposed deep learning model ASD-DiagNet exhibits consistently high accuracy for classification of ASD brain scans from neurotypical scans. We have integrated traditional machine learning and deep learning techniques that allow us to isolate ASD biomarkers from MRI data sets. Our method, called Auto-ASD-Network, uses a combination of deep learning and support vector machines to classify ASD scans from neurotypical ones. Such interpretable models would help one to explain the decisions made by deep learning techniques leading to knowledge discovery for neuroscientists.</ns0:t>
        </ns0:is>
      </ns0:c>
      <ns0:c r="I179" s="19" t="inlineStr">
        <ns0:is>
          <ns0:t>Título/abstract con señal explícita de explainable; estrategia híbrida/integrativa.</ns0:t>
        </ns0:is>
      </ns0:c>
      <ns0:c r="J179" s="19" t="inlineStr"/>
      <ns0:c r="K179" s="19" t="inlineStr"/>
      <ns0:c r="L179" s="19" t="inlineStr">
        <ns0:is>
          <ns0:t>Not documented in provided sources</ns0:t>
        </ns0:is>
      </ns0:c>
      <ns0:c r="M179" s="19" t="inlineStr">
        <ns0:is>
          <ns0:t>[]</ns0:t>
        </ns0:is>
      </ns0:c>
    </ns0:row>
    <ns0:row r="180" ht="65" customHeight="1">
      <ns0:c r="A180" s="21" t="inlineStr">
        <ns0:is>
          <ns0:t>193</ns0:t>
        </ns0:is>
      </ns0:c>
      <ns0:c r="B180" s="21" t="inlineStr">
        <ns0:is>
          <ns0:t>Feasibility Study of\&amp;#xa0;a\&amp;#xa0;ML-Based ASD Monitoring System</ns0:t>
        </ns0:is>
      </ns0:c>
      <ns0:c r="C180" s="21" t="inlineStr">
        <ns0:is>
          <ns0:t>10.1007/978-3-031-06242-1_27</ns0:t>
        </ns0:is>
      </ns0:c>
      <ns0:c r="D180" s="21" t="inlineStr">
        <ns0:is>
          <ns0:t>https://doi.org/10.1007/978-3-031-06242-1_27</ns0:t>
        </ns0:is>
      </ns0:c>
      <ns0:c r="E180" s="21" t="inlineStr">
        <ns0:is>
          <ns0:t>Supplied abstract/coding notes; no new full-text verification</ns0:t>
        </ns0:is>
      </ns0:c>
      <ns0:c r="F180" s="21" t="inlineStr">
        <ns0:is>
          <ns0:t>EVIDENCIA; original abstract/coding notes and lot source trace; Historical signals: title/abstract/notes; full-text completion not independently established</ns0:t>
        </ns0:is>
      </ns0:c>
      <ns0:c r="G180" s="21" t="inlineStr">
        <ns0:is>
          <ns0:t>Signals collected in clinical tasks were analyzed to relate state changes to stimuli. Clinical recording context does not establish AI feedback or decision integration.</ns0:t>
        </ns0:is>
      </ns0:c>
      <ns0:c r="H180" s="21" t="inlineStr">
        <ns0:is>
          <ns0: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ns0:t>
        </ns0:is>
      </ns0:c>
      <ns0:c r="I180" s="21" t="inlineStr"/>
      <ns0:c r="J180" s="21" t="inlineStr"/>
      <ns0:c r="K180" s="21" t="inlineStr"/>
      <ns0:c r="L180" s="21" t="inlineStr">
        <ns0:is>
          <ns0:t>Not documented in provided sources</ns0:t>
        </ns0:is>
      </ns0:c>
      <ns0:c r="M180" s="21" t="inlineStr">
        <ns0:is>
          <ns0:t>[]</ns0:t>
        </ns0:is>
      </ns0:c>
    </ns0:row>
    <ns0:row r="181" ht="189" customHeight="1">
      <ns0:c r="A181" s="19" t="inlineStr">
        <ns0:is>
          <ns0:t>194</ns0:t>
        </ns0:is>
      </ns0:c>
      <ns0:c r="B181" s="19" t="inlineStr">
        <ns0:is>
          <ns0:t>Feature replacement methods enable reliable home video analysis for machine learning detection of autism</ns0:t>
        </ns0:is>
      </ns0:c>
      <ns0:c r="C181" s="19" t="inlineStr">
        <ns0:is>
          <ns0:t>10.1038/s41598-020-76874-w</ns0:t>
        </ns0:is>
      </ns0:c>
      <ns0:c r="D181" s="19" t="inlineStr">
        <ns0:is>
          <ns0:t>https://doi.org/10.1038/s41598-020-76874-w</ns0:t>
        </ns0:is>
      </ns0:c>
      <ns0:c r="E181" s="19" t="inlineStr">
        <ns0:is>
          <ns0:t>Supplied abstract/coding notes; no new full-text verification</ns0:t>
        </ns0:is>
      </ns0:c>
      <ns0:c r="F181" s="19" t="inlineStr">
        <ns0:is>
          <ns0:t>EVIDENCIA; original abstract/coding notes and lot source trace; Historical signals: title/abstract/notes; full-text completion not independently established</ns0:t>
        </ns0:is>
      </ns0:c>
      <ns0:c r="G181" s="19" t="inlineStr">
        <ns0:is>
          <ns0:t>Models trained on instrument scores are tested on human ratings of independent home videos. Ratings are structured inputs, not pixel-level CNN analysis.</ns0:t>
        </ns0:is>
      </ns0:c>
      <ns0:c r="H181" s="19" t="inlineStr">
        <ns0:is>
          <ns0: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ns0:t>
        </ns0:is>
      </ns0:c>
      <ns0:c r="I181" s="19" t="inlineStr">
        <ns0:is>
          <ns0:t>El paper evalúa dos familias (LR9 y ADTree7). Si tu columna “main algorithm” solo permite una opción, conviene añadir una opción tipo “Multiple (specify)” o permitir multiselección para no perder fidelidad</ns0:t>
        </ns0:is>
      </ns0:c>
      <ns0:c r="J181" s="19" t="inlineStr"/>
      <ns0:c r="K181" s="19" t="inlineStr"/>
      <ns0:c r="L181" s="19" t="inlineStr">
        <ns0:is>
          <ns0:t>Not documented in provided sources</ns0:t>
        </ns0:is>
      </ns0:c>
      <ns0:c r="M181" s="19" t="inlineStr">
        <ns0:is>
          <ns0:t>[]</ns0:t>
        </ns0:is>
      </ns0:c>
    </ns0:row>
    <ns0:row r="182" ht="65" customHeight="1">
      <ns0:c r="A182" s="21" t="inlineStr">
        <ns0:is>
          <ns0:t>195</ns0:t>
        </ns0:is>
      </ns0:c>
      <ns0:c r="B182" s="21" t="inlineStr">
        <ns0:is>
          <ns0:t>Fuzzy logic-based hybrid knowledge systems for the detection and diagnosis of childhood autism</ns0:t>
        </ns0:is>
      </ns0:c>
      <ns0:c r="C182" s="21" t="inlineStr">
        <ns0:is>
          <ns0:t>10.1016/b978-0-12-822271-3.00016-5</ns0:t>
        </ns0:is>
      </ns0:c>
      <ns0:c r="D182" s="21" t="inlineStr">
        <ns0:is>
          <ns0:t>https://doi.org/10.1016/b978-0-12-822271-3.00016-5</ns0:t>
        </ns0:is>
      </ns0:c>
      <ns0:c r="E182" s="21" t="inlineStr">
        <ns0:is>
          <ns0:t>Supplied abstract/coding notes; no new full-text verification</ns0:t>
        </ns0:is>
      </ns0:c>
      <ns0:c r="F182" s="21" t="inlineStr">
        <ns0:is>
          <ns0:t>EVIDENCIA; original abstract/coding notes and lot source trace; Historical signals: title/abstract/notes; full-text completion not independently established</ns0:t>
        </ns0:is>
      </ns0:c>
      <ns0:c r="G182" s="21" t="inlineStr">
        <ns0:is>
          <ns0:t>Standalone edited-book chapter describing fuzzy knowledge systems; not a full identified conference report or journal article.</ns0:t>
        </ns0:is>
      </ns0:c>
      <ns0:c r="H182" s="21" t="inlineStr">
        <ns0:is>
          <ns0:t>Autism is one of those psychiatric disorders that affect an individual’s social, personal, and professional sphere(s). Autism, especially in children, is one of the most common behavioral disorders, wherein lack of good communication understandability exists throughout adulthood. The prescribed treatment of an autistic child depends completely upon an exhaustive, accurate examination of the child, which is very difficult for clinicians and consultants. Since autism is a complicated and very difficult psychiatric disorder, clinicians have joined hands with computational biologists to solve the foundations underlying the detection and diagnosis of autism. There is enormous literature evidence that highlights the pros of using machine learning techniques to develop an efficient, accurate, and robust autism detection and diagnosis system. Based on soft computing approaches, many researchers have proposed fuzzy logic-based solutions for modeling and predicting autism spectrum disorder. This chapter highlights the current scenario of autism detection and diagnosis, and how a soft computing-based intelligent agent-fuzzy logic systems-is being used to predict autism and its grades in children.</ns0:t>
        </ns0:is>
      </ns0:c>
      <ns0:c r="I182" s="21" t="inlineStr"/>
      <ns0:c r="J182" s="21" t="inlineStr"/>
      <ns0:c r="K182" s="21" t="inlineStr"/>
      <ns0:c r="L182" s="21" t="inlineStr">
        <ns0:is>
          <ns0:t>Not documented in provided sources</ns0:t>
        </ns0:is>
      </ns0:c>
      <ns0:c r="M182" s="21" t="inlineStr">
        <ns0:is>
          <ns0:t>[]</ns0:t>
        </ns0:is>
      </ns0:c>
    </ns0:row>
    <ns0:row r="183" ht="65" customHeight="1">
      <ns0:c r="A183" s="19" t="inlineStr">
        <ns0:is>
          <ns0:t>196</ns0:t>
        </ns0:is>
      </ns0:c>
      <ns0:c r="B183" s="19" t="inlineStr">
        <ns0:is>
          <ns0:t>Genetic factor analysis for an early diagnosis of autism through machine learning</ns0:t>
        </ns0:is>
      </ns0:c>
      <ns0:c r="C183" s="19" t="inlineStr">
        <ns0:is>
          <ns0:t>10.1016/b978-0-323-98352-5.00001-x</ns0:t>
        </ns0:is>
      </ns0:c>
      <ns0:c r="D183" s="19" t="inlineStr">
        <ns0:is>
          <ns0:t>https://doi.org/10.1016/b978-0-323-98352-5.00001-x</ns0:t>
        </ns0:is>
      </ns0:c>
      <ns0:c r="E183" s="19" t="inlineStr">
        <ns0:is>
          <ns0:t>Supplied abstract/coding notes; no new full-text verification</ns0:t>
        </ns0:is>
      </ns0:c>
      <ns0:c r="F183" s="19" t="inlineStr">
        <ns0:is>
          <ns0:t>EVIDENCIA; original abstract/coding notes and lot source trace; Historical signals: title/abstract/notes; full-text completion not independently established</ns0:t>
        </ns0:is>
      </ns0:c>
      <ns0:c r="G183" s="19" t="inlineStr">
        <ns0:is>
          <ns0:t>Standalone edited-book chapter; source criteria exclude this publication type even when a computational case study is described.</ns0:t>
        </ns0:is>
      </ns0:c>
      <ns0:c r="H183" s="19" t="inlineStr">
        <ns0:is>
          <ns0:t>Instances of autism spectrum disorder (ASD) in children are not uncommon. In fact, it is one of the most prevalent neurologic diseases in leading nations of the world. Around 1 out of every 270 children worldwide is affected by autism according to the World Health Organization. Its prevalence, however, varies by regions across the world. The United States of America has one of the highest compositions of autism-affected babies. ASD is generally marked by an impairment in mental, emotional, and cognitive abilities in people from birth. Its causes range through a multitude of genetic and environmental factors, and in some cases, they might be a combination. It is also presumed that children with a family history of autism possess a much higher chance of acquiring autism by heredity. A low birth weight or a high age of the parent during the birth of the baby might also influence the presence of autism in the child. Most ASDs are further transmitted through genes from parents to the offspring. In recent times, machine learning–associated research and related diagnosis has advanced to replace conventional approaches that might be tedious and expensive. Machine learning algorithms also have an immense scope of improving diagnostic research in psychologic sciences, and they can be specifically instrumental with cases involving the familiar and diverse ailments in ASD. Machine learning algorithms also assist researchers to better understand and comprehend as to why the traits of autism vary in nature from one person to another. However, the application of machine learning algorithms when there is a lack of medical prowess is not the best choice, and it can lead to unexplainable results if the diagnosis is not performed in the right manner, which is important to the analysis of preprocessing the data. The authors in this chapter critically examine various signs in babies that might help with early diagnosis of autism in babies by carrying out a set of machine learning algorithms on an existing data set, along with analyzing various genetic and preexisting factors, in an attempt to produce actionable insights in this regard.</ns0:t>
        </ns0:is>
      </ns0:c>
      <ns0:c r="I183" s="19" t="inlineStr">
        <ns0:is>
          <ns0:t>Sin señal explícita Q3 en título/abstract.</ns0:t>
        </ns0:is>
      </ns0:c>
      <ns0:c r="J183" s="19" t="inlineStr"/>
      <ns0:c r="K183" s="19" t="inlineStr"/>
      <ns0:c r="L183" s="19" t="inlineStr">
        <ns0:is>
          <ns0:t>Not documented in provided sources</ns0:t>
        </ns0:is>
      </ns0:c>
      <ns0:c r="M183" s="19" t="inlineStr">
        <ns0:is>
          <ns0:t>[]</ns0:t>
        </ns0:is>
      </ns0:c>
    </ns0:row>
    <ns0:row r="184" ht="153" customHeight="1">
      <ns0:c r="A184" s="21" t="inlineStr">
        <ns0:is>
          <ns0:t>197</ns0:t>
        </ns0:is>
      </ns0:c>
      <ns0:c r="B184" s="21" t="inlineStr">
        <ns0:is>
          <ns0:t>Hybrid Diagnosis Models for Autism Patients Based on Medical and Sociodemographic Features Using Machine Learning and Multicriteria Decision-Making (MCDM) Techniques: An Evaluation and Benchmarking Framework</ns0:t>
        </ns0:is>
      </ns0:c>
      <ns0:c r="C184" s="21" t="inlineStr">
        <ns0:is>
          <ns0:t>10.1155/2022/9410222</ns0:t>
        </ns0:is>
      </ns0:c>
      <ns0:c r="D184" s="21" t="inlineStr">
        <ns0:is>
          <ns0:t>https://doi.org/10.1155/2022/9410222</ns0:t>
        </ns0:is>
      </ns0:c>
      <ns0:c r="E184" s="21" t="inlineStr">
        <ns0:is>
          <ns0:t>Supplied abstract/coding notes; no new full-text verification</ns0:t>
        </ns0:is>
      </ns0:c>
      <ns0:c r="F184" s="21" t="inlineStr">
        <ns0:is>
          <ns0:t>EVIDENCIA; original abstract/coding notes and lot source trace; Historical signals: title/abstract/notes; full-text completion not independently established</ns0:t>
        </ns0:is>
      </ns0:c>
      <ns0:c r="G184" s="21" t="inlineStr">
        <ns0:is>
          <ns0:t>Medical/sociodemographic tabular features predict severity using MCDM model selection; fuzzy linguistic ranking is not NLP. Multiple fields do not establish independent data-source fusion.</ns0:t>
        </ns0:is>
      </ns0:c>
      <ns0:c r="H184" s="21" t="inlineStr">
        <ns0:is>
          <ns0: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ns0:t>
        </ns0:is>
      </ns0:c>
      <ns0:c r="I184" s="21" t="inlineStr">
        <ns0:is>
          <ns0:t>Algoritmo principal no explícito o fuera del codebook; Confirmar algoritmo principal en full-text; Se comparan varios modelos; se eligió el principal/mejor reportado</ns0:t>
        </ns0:is>
      </ns0:c>
      <ns0:c r="J184" s="21" t="inlineStr"/>
      <ns0:c r="K184" s="21" t="inlineStr"/>
      <ns0:c r="L184" s="21" t="inlineStr">
        <ns0:is>
          <ns0:t>Not documented in provided sources</ns0:t>
        </ns0:is>
      </ns0:c>
      <ns0:c r="M184" s="21" t="inlineStr">
        <ns0:is>
          <ns0:t>[]</ns0:t>
        </ns0:is>
      </ns0:c>
    </ns0:row>
    <ns0:row r="185" ht="69" customHeight="1">
      <ns0:c r="A185" s="19" t="inlineStr">
        <ns0:is>
          <ns0:t>199</ns0:t>
        </ns0:is>
      </ns0:c>
      <ns0:c r="B185" s="19" t="inlineStr">
        <ns0:is>
          <ns0:t>Informing developmental milestone achievement for children with autism: Machine learning approach</ns0:t>
        </ns0:is>
      </ns0:c>
      <ns0:c r="C185" s="19" t="inlineStr">
        <ns0:is>
          <ns0:t>10.2196/29242</ns0:t>
        </ns0:is>
      </ns0:c>
      <ns0:c r="D185" s="19" t="inlineStr">
        <ns0:is>
          <ns0:t>https://doi.org/10.2196/29242</ns0:t>
        </ns0:is>
      </ns0:c>
      <ns0:c r="E185" s="19" t="inlineStr">
        <ns0:is>
          <ns0:t>Supplied abstract/coding notes; no new full-text verification</ns0:t>
        </ns0:is>
      </ns0:c>
      <ns0:c r="F185" s="19" t="inlineStr">
        <ns0:is>
          <ns0:t>EVIDENCIA; original abstract/coding notes and lot source trace; Historical signals: title/abstract/notes; full-text completion not independently established</ns0:t>
        </ns0:is>
      </ns0:c>
      <ns0:c r="G185" s="19" t="inlineStr">
        <ns0:is>
          <ns0:t>mCARE platform was deployed, but the AI models were trained/tested retrospectively on its collected records. Platform deployment is not proof that ML predictions drove care.
Clinical data-collection/communication platform deployed; AI predictions evaluated offline. Do not equate the two.</ns0:t>
        </ns0:is>
      </ns0:c>
      <ns0:c r="H185" s="19" t="inlineStr">
        <ns0:is>
          <ns0: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ns0:t>
        </ns0:is>
      </ns0:c>
      <ns0:c r="I185" s="19" t="inlineStr">
        <ns0:is>
          <ns0:t>Binary classification of milestone achievement; not ASD-vs-control.</ns0:t>
        </ns0:is>
      </ns0:c>
      <ns0:c r="J185" s="19" t="inlineStr"/>
      <ns0:c r="K185" s="19" t="inlineStr"/>
      <ns0:c r="L185" s="19" t="inlineStr">
        <ns0:is>
          <ns0:t>Not documented in provided sources</ns0:t>
        </ns0:is>
      </ns0:c>
      <ns0:c r="M185" s="19" t="inlineStr">
        <ns0:is>
          <ns0:t>[]</ns0:t>
        </ns0:is>
      </ns0:c>
    </ns0:row>
    <ns0:row r="186" ht="65" customHeight="1">
      <ns0:c r="A186" s="21" t="inlineStr">
        <ns0:is>
          <ns0:t>200</ns0:t>
        </ns0:is>
      </ns0:c>
      <ns0:c r="B186" s="21" t="inlineStr">
        <ns0:is>
          <ns0:t>Machine learning based autism screening tool—a modified approach</ns0:t>
        </ns0:is>
      </ns0:c>
      <ns0:c r="C186" s="21" t="inlineStr">
        <ns0:is>
          <ns0:t>10.1007/s11042-024-18519-y</ns0:t>
        </ns0:is>
      </ns0:c>
      <ns0:c r="D186" s="21" t="inlineStr">
        <ns0:is>
          <ns0:t>https://doi.org/10.1007/s11042-024-18519-y</ns0:t>
        </ns0:is>
      </ns0:c>
      <ns0:c r="E186" s="21" t="inlineStr">
        <ns0:is>
          <ns0:t>Supplied abstract/coding notes; no new full-text verification</ns0:t>
        </ns0:is>
      </ns0:c>
      <ns0:c r="F186" s="21" t="inlineStr">
        <ns0:is>
          <ns0:t>EVIDENCIA; original abstract/coding notes and lot source trace; Historical signals: title/abstract/notes; full-text completion not independently established</ns0:t>
        </ns0:is>
      </ns0:c>
      <ns0:c r="G186" s="21" t="inlineStr">
        <ns0:is>
          <ns0:t>ISAA item scores and six added attributes for severity/attention prioritization. The best reported primary classifier is SVM, with a separate MLP alternative.</ns0:t>
        </ns0:is>
      </ns0:c>
      <ns0:c r="H186" s="21" t="inlineStr">
        <ns0:is>
          <ns0: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ns0:t>
        </ns0:is>
      </ns0:c>
      <ns0:c r="I186" s="21" t="inlineStr"/>
      <ns0:c r="J186" s="21" t="inlineStr"/>
      <ns0:c r="K186" s="21" t="inlineStr"/>
      <ns0:c r="L186" s="21" t="inlineStr">
        <ns0:is>
          <ns0:t>Not documented in provided sources</ns0:t>
        </ns0:is>
      </ns0:c>
      <ns0:c r="M186" s="21" t="inlineStr">
        <ns0:is>
          <ns0:t>[]</ns0:t>
        </ns0:is>
      </ns0:c>
    </ns0:row>
    <ns0:row r="187" ht="69" customHeight="1">
      <ns0:c r="A187" s="19" t="inlineStr">
        <ns0:is>
          <ns0:t>201</ns0:t>
        </ns0:is>
      </ns0:c>
      <ns0:c r="B187" s="19" t="inlineStr">
        <ns0:is>
          <ns0:t>Machine Learning–Based Approach for Early Screening of Autism Spectrum Disorders</ns0:t>
        </ns0:is>
      </ns0:c>
      <ns0:c r="C187" s="19" t="inlineStr">
        <ns0:is>
          <ns0:t>10.1155/acis/9975499</ns0:t>
        </ns0:is>
      </ns0:c>
      <ns0:c r="D187" s="19" t="inlineStr">
        <ns0:is>
          <ns0:t>https://doi.org/10.1155/acis/9975499</ns0:t>
        </ns0:is>
      </ns0:c>
      <ns0:c r="E187" s="19" t="inlineStr">
        <ns0:is>
          <ns0:t>Supplied abstract/coding notes; no new full-text verification</ns0:t>
        </ns0:is>
      </ns0:c>
      <ns0:c r="F187" s="19" t="inlineStr">
        <ns0:is>
          <ns0:t>EVIDENCIA; original abstract/coding notes and lot source trace; Historical signals: title/abstract/notes; full-text completion not independently established</ns0:t>
        </ns0:is>
      </ns0:c>
      <ns0:c r="G187" s="19" t="inlineStr">
        <ns0:is>
          <ns0:t>Structured age-group screening datasets and feature significance; no electrophysiology. Different cohort-specific winning models are retained explicitly.</ns0:t>
        </ns0:is>
      </ns0:c>
      <ns0:c r="H187" s="19" t="inlineStr">
        <ns0:is>
          <ns0: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ns0:t>
        </ns0:is>
      </ns0:c>
      <ns0:c r="I187" s="19" t="inlineStr">
        <ns0:is>
          <ns0:t>Se comparan varios modelos; se eligió el principal/mejor reportado</ns0:t>
        </ns0:is>
      </ns0:c>
      <ns0:c r="J187" s="19" t="inlineStr"/>
      <ns0:c r="K187" s="19" t="inlineStr"/>
      <ns0:c r="L187" s="19" t="inlineStr">
        <ns0:is>
          <ns0:t>Not documented in provided sources</ns0:t>
        </ns0:is>
      </ns0:c>
      <ns0:c r="M187" s="19" t="inlineStr">
        <ns0:is>
          <ns0:t>[]</ns0:t>
        </ns0:is>
      </ns0:c>
    </ns0:row>
    <ns0:row r="188" ht="93" customHeight="1">
      <ns0:c r="A188" s="21" t="inlineStr">
        <ns0:is>
          <ns0:t>202</ns0:t>
        </ns0:is>
      </ns0:c>
      <ns0:c r="B188" s="21" t="inlineStr">
        <ns0:is>
          <ns0:t>Model selection to achieve reproducible associations between resting state EEG features and autism</ns0:t>
        </ns0:is>
      </ns0:c>
      <ns0:c r="C188" s="21" t="inlineStr">
        <ns0:is>
          <ns0:t>10.1038/s41598-024-76659-5</ns0:t>
        </ns0:is>
      </ns0:c>
      <ns0:c r="D188" s="21" t="inlineStr">
        <ns0:is>
          <ns0:t>https://doi.org/10.1038/s41598-024-76659-5</ns0:t>
        </ns0:is>
      </ns0:c>
      <ns0:c r="E188" s="21" t="inlineStr">
        <ns0:is>
          <ns0:t>Supplied abstract/coding notes; no new full-text verification</ns0:t>
        </ns0:is>
      </ns0:c>
      <ns0:c r="F188" s="21" t="inlineStr">
        <ns0:is>
          <ns0:t>EVIDENCIA; original abstract/coding notes and lot source trace; Historical signals: title/abstract/notes; full-text completion not independently established</ns0:t>
        </ns0:is>
      </ns0:c>
      <ns0:c r="G188" s="21" t="inlineStr">
        <ns0:is>
          <ns0:t>EEG power/connectivity classification with reproducibility-focused model selection; not a deep network. Model association stability does not equal cross-site validation.</ns0:t>
        </ns0:is>
      </ns0:c>
      <ns0:c r="H188" s="21" t="inlineStr">
        <ns0:is>
          <ns0: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ns0:t>
        </ns0:is>
      </ns0:c>
      <ns0:c r="I188" s="21" t="inlineStr">
        <ns0:is>
          <ns0:t>Algoritmo principal no explícito o fuera del codebook; Confirmar algoritmo principal en full-text</ns0:t>
        </ns0:is>
      </ns0:c>
      <ns0:c r="J188" s="21" t="inlineStr"/>
      <ns0:c r="K188" s="21" t="inlineStr"/>
      <ns0:c r="L188" s="21" t="inlineStr">
        <ns0:is>
          <ns0:t>Not documented in provided sources</ns0:t>
        </ns0:is>
      </ns0:c>
      <ns0:c r="M188" s="21" t="inlineStr">
        <ns0:is>
          <ns0:t>[]</ns0:t>
        </ns0:is>
      </ns0:c>
    </ns0:row>
    <ns0:row r="189" ht="65" customHeight="1">
      <ns0:c r="A189" s="19" t="inlineStr">
        <ns0:is>
          <ns0:t>203</ns0:t>
        </ns0:is>
      </ns0:c>
      <ns0:c r="B189" s="19" t="inlineStr">
        <ns0:is>
          <ns0:t>Multimodal autism detection: Deep hybrid model with improved feature level fusion</ns0:t>
        </ns0:is>
      </ns0:c>
      <ns0:c r="C189" s="19" t="inlineStr">
        <ns0:is>
          <ns0:t>10.1016/j.cmpb.2024.108492</ns0:t>
        </ns0:is>
      </ns0:c>
      <ns0:c r="D189" s="19" t="inlineStr">
        <ns0:is>
          <ns0:t>https://doi.org/10.1016/j.cmpb.2024.108492</ns0:t>
        </ns0:is>
      </ns0:c>
      <ns0:c r="E189" s="19" t="inlineStr">
        <ns0:is>
          <ns0:t>Supplied abstract/coding notes; no new full-text verification</ns0:t>
        </ns0:is>
      </ns0:c>
      <ns0:c r="F189" s="19" t="inlineStr">
        <ns0:is>
          <ns0:t>EVIDENCIA; original abstract/coding notes and lot source trace; Historical signals: title/abstract/notes; full-text completion not independently established</ns0:t>
        </ns0:is>
      </ns0:c>
      <ns0:c r="G189" s="19" t="inlineStr">
        <ns0:is>
          <ns0:t>Explicit EEG and facial-image feature fusion, with neural CNN and recurrent components. The word hybrid denotes a combination of deep architectures, not conventional-ML/DL integration.
Fusion is reported; participant-level pairing across EEG and face data is not established by the accessible abstract.</ns0:t>
        </ns0:is>
      </ns0:c>
      <ns0:c r="H189" s="19" t="inlineStr">
        <ns0:is>
          <ns0: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ns0:t>
        </ns0:is>
      </ns0:c>
      <ns0:c r="I189" s="19" t="inlineStr"/>
      <ns0:c r="J189" s="19" t="inlineStr"/>
      <ns0:c r="K189" s="19" t="inlineStr"/>
      <ns0:c r="L189" s="19" t="inlineStr">
        <ns0:is>
          <ns0:t>Not documented in provided sources</ns0:t>
        </ns0:is>
      </ns0:c>
      <ns0:c r="M189" s="19" t="inlineStr">
        <ns0:is>
          <ns0:t>[]</ns0:t>
        </ns0:is>
      </ns0:c>
    </ns0:row>
    <ns0:row r="190" ht="65" customHeight="1">
      <ns0:c r="A190" s="21" t="inlineStr">
        <ns0:is>
          <ns0:t>204</ns0:t>
        </ns0:is>
      </ns0:c>
      <ns0:c r="B190" s="21" t="inlineStr">
        <ns0:is>
          <ns0:t>Multi-task feature selection via supervised canonical graph matching for diagnosis of autism spectrum disorder</ns0:t>
        </ns0:is>
      </ns0:c>
      <ns0:c r="C190" s="21" t="inlineStr">
        <ns0:is>
          <ns0:t>10.1007/s11682-015-9360-1</ns0:t>
        </ns0:is>
      </ns0:c>
      <ns0:c r="D190" s="21" t="inlineStr">
        <ns0:is>
          <ns0:t>https://doi.org/10.1007/s11682-015-9360-1</ns0:t>
        </ns0:is>
      </ns0:c>
      <ns0:c r="E190" s="21" t="inlineStr">
        <ns0:is>
          <ns0:t>Supplied abstract/coding notes; no new full-text verification</ns0:t>
        </ns0:is>
      </ns0:c>
      <ns0:c r="F190" s="21" t="inlineStr">
        <ns0:is>
          <ns0:t>EVIDENCIA; original abstract/coding notes and lot source trace; Historical signals: title/abstract/notes; full-text completion not independently established</ns0:t>
        </ns0:is>
      </ns0:c>
      <ns0:c r="G190" s="21" t="inlineStr">
        <ns0:is>
          <ns0:t>Gray- and white-matter features originate from structural MRI; multiple tissue representations are not additional source modalities.</ns0:t>
        </ns0:is>
      </ns0:c>
      <ns0:c r="H190" s="21" t="inlineStr">
        <ns0:is>
          <ns0: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ns0:t>
        </ns0:is>
      </ns0:c>
      <ns0:c r="I190" s="21" t="inlineStr"/>
      <ns0:c r="J190" s="21" t="inlineStr"/>
      <ns0:c r="K190" s="21" t="inlineStr"/>
      <ns0:c r="L190" s="21" t="inlineStr">
        <ns0:is>
          <ns0:t>Not documented in provided sources</ns0:t>
        </ns0:is>
      </ns0:c>
      <ns0:c r="M190" s="21" t="inlineStr">
        <ns0:is>
          <ns0:t>[]</ns0:t>
        </ns0:is>
      </ns0:c>
    </ns0:row>
    <ns0:row r="191" ht="93" customHeight="1">
      <ns0:c r="A191" s="19" t="inlineStr">
        <ns0:is>
          <ns0:t>205</ns0:t>
        </ns0:is>
      </ns0:c>
      <ns0:c r="B191" s="19" t="inlineStr">
        <ns0:is>
          <ns0:t>Off-Body Sleep Analysis for Predicting Adverse Behavior in Individuals With Autism Spectrum Disorder</ns0:t>
        </ns0:is>
      </ns0:c>
      <ns0:c r="C191" s="19" t="inlineStr">
        <ns0:is>
          <ns0:t>10.1109/jbhi.2024.3455942</ns0:t>
        </ns0:is>
      </ns0:c>
      <ns0:c r="D191" s="19" t="inlineStr">
        <ns0:is>
          <ns0:t>https://doi.org/10.1109/jbhi.2024.3455942</ns0:t>
        </ns0:is>
      </ns0:c>
      <ns0:c r="E191" s="19" t="inlineStr">
        <ns0:is>
          <ns0:t>Supplied abstract/coding notes; no new full-text verification</ns0:t>
        </ns0:is>
      </ns0:c>
      <ns0:c r="F191" s="19" t="inlineStr">
        <ns0:is>
          <ns0:t>EVIDENCIA; original abstract/coding notes and lot source trace; Historical signals: title/abstract/notes; full-text completion not independently established</ns0:t>
        </ns0:is>
      </ns0:c>
      <ns0:c r="G191" s="19" t="inlineStr">
        <ns0:is>
          <ns0:t>Near-infrared camera sleep-motion features predict next-day adverse behavior. Explicit future outcome establishes prognosis; recording over time does not show AI-guided care.</ns0:t>
        </ns0:is>
      </ns0:c>
      <ns0:c r="H191" s="19" t="inlineStr">
        <ns0:is>
          <ns0: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ns0:t>
        </ns0:is>
      </ns0:c>
      <ns0:c r="I191" s="19" t="inlineStr">
        <ns0:is>
          <ns0:t>Algoritmo principal no explícito o fuera del codebook; Confirmar algoritmo principal en full-text</ns0:t>
        </ns0:is>
      </ns0:c>
      <ns0:c r="J191" s="19" t="inlineStr"/>
      <ns0:c r="K191" s="19" t="inlineStr"/>
      <ns0:c r="L191" s="19" t="inlineStr">
        <ns0:is>
          <ns0:t>Not documented in provided sources</ns0:t>
        </ns0:is>
      </ns0:c>
      <ns0:c r="M191" s="19" t="inlineStr">
        <ns0:is>
          <ns0:t>[]</ns0:t>
        </ns0:is>
      </ns0:c>
    </ns0:row>
    <ns0:row r="192" ht="93" customHeight="1">
      <ns0:c r="A192" s="21" t="inlineStr">
        <ns0:is>
          <ns0:t>206</ns0:t>
        </ns0:is>
      </ns0:c>
      <ns0:c r="B192" s="21" t="inlineStr">
        <ns0:is>
          <ns0:t>Overlaps in brain dynamic functional connectivity between schizophrenia and autism spectrum disorder</ns0:t>
        </ns0:is>
      </ns0:c>
      <ns0:c r="C192" s="21" t="inlineStr">
        <ns0:is>
          <ns0:t>10.1016/j.sciaf.2018.e00019</ns0:t>
        </ns0:is>
      </ns0:c>
      <ns0:c r="D192" s="21" t="inlineStr">
        <ns0:is>
          <ns0:t>https://doi.org/10.1016/j.sciaf.2018.e00019</ns0:t>
        </ns0:is>
      </ns0:c>
      <ns0:c r="E192" s="21" t="inlineStr">
        <ns0:is>
          <ns0:t>Supplied abstract/coding notes; no new full-text verification</ns0:t>
        </ns0:is>
      </ns0:c>
      <ns0:c r="F192" s="21" t="inlineStr">
        <ns0:is>
          <ns0:t>EVIDENCIA; original abstract/coding notes and lot source trace; Historical signals: title/abstract/notes; full-text completion not independently established</ns0:t>
        </ns0:is>
      </ns0:c>
      <ns0:c r="G192" s="21" t="inlineStr">
        <ns0:is>
          <ns0:t>Resting-state brain connectivity, with separate ASD and schizophrenia cohorts. Multiple conditions do not imply multiple input modalities or deep learning.</ns0:t>
        </ns0:is>
      </ns0:c>
      <ns0:c r="H192" s="21" t="inlineStr">
        <ns0:is>
          <ns0: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ns0:t>
        </ns0:is>
      </ns0:c>
      <ns0:c r="I192" s="21" t="inlineStr">
        <ns0:is>
          <ns0:t>Algoritmo principal no explícito o fuera del codebook; Confirmar algoritmo principal en full-text</ns0:t>
        </ns0:is>
      </ns0:c>
      <ns0:c r="J192" s="21" t="inlineStr"/>
      <ns0:c r="K192" s="21" t="inlineStr"/>
      <ns0:c r="L192" s="21" t="inlineStr">
        <ns0:is>
          <ns0:t>Not documented in provided sources</ns0:t>
        </ns0:is>
      </ns0:c>
      <ns0:c r="M192" s="21" t="inlineStr">
        <ns0:is>
          <ns0:t>[]</ns0:t>
        </ns0:is>
      </ns0:c>
    </ns0:row>
    <ns0:row r="193" ht="65" customHeight="1">
      <ns0:c r="A193" s="19" t="inlineStr">
        <ns0:is>
          <ns0:t>207</ns0:t>
        </ns0:is>
      </ns0:c>
      <ns0:c r="B193" s="19" t="inlineStr">
        <ns0:is>
          <ns0:t>Persistent spectral based machine learning method for autism spectrum disorder classification</ns0:t>
        </ns0:is>
      </ns0:c>
      <ns0:c r="C193" s="19" t="inlineStr">
        <ns0:is>
          <ns0:t>10.1016/j.neucom.2025.130780</ns0:t>
        </ns0:is>
      </ns0:c>
      <ns0:c r="D193" s="19" t="inlineStr">
        <ns0:is>
          <ns0:t>https://doi.org/10.1016/j.neucom.2025.130780</ns0:t>
        </ns0:is>
      </ns0:c>
      <ns0:c r="E193" s="19" t="inlineStr">
        <ns0:is>
          <ns0:t>Supplied abstract/coding notes; no new full-text verification</ns0:t>
        </ns0:is>
      </ns0:c>
      <ns0:c r="F193" s="19" t="inlineStr">
        <ns0:is>
          <ns0:t>EVIDENCIA; original abstract/coding notes and lot source trace; Historical signals: title/abstract/notes; full-text completion not independently established</ns0:t>
        </ns0:is>
      </ns0:c>
      <ns0:c r="G193" s="19" t="inlineStr">
        <ns0:is>
          <ns0:t>Functional-connectivity simplicial complexes and Laplacian features from ABIDE fMRI; not deep learning simply because a graph/network is used.</ns0:t>
        </ns0:is>
      </ns0:c>
      <ns0:c r="H193" s="19" t="inlineStr">
        <ns0:is>
          <ns0:t>Background: Autism spectrum disorder (ASD) is a widespread and intricate neurodevelopmental condition. The increasing prevalence of ASD creates a very significant burden on both society and families. Functional magnetic resonance imaging (fMRI) contributes to a deeper understanding of ASD while also facilitating the development of early diagnosis and effective treatment strategies. This study aims to provide new and more reliable tools for early diagnosis of ASD and gain deeper insights into its neural mechanisms through the combination of topology and persistent spectral theory with functional connectivity. Methods: We proposed a persistent spectral machine learning model based on the simplicial complex for characterizing the functional connectivity in the Autism Brain Imaging Data Exchange I dataset. Simplicial complexes were used to characterize the functional connectivity with coefficients no less than 0.3. We arranged a filtration value for each simplex and persistent Laplacian matrices were calculated through a filtration process. The corresponding persistent attributes, after removing covariates, were used as inputs of classifiers. Results: Achieving an accuracy of 87.5%, our model outperformed other models that applied functional connectivity, similar sample sizes and the same preprocessing pipelines. We found that the numbers and distribution of connected components and loops of the global functional connectivity are important for classification. Conclusions: This study provided a feature extraction method based on persistent spectral theory for ASD research. Our model offers a different perspective on the research of related conditions and has great and notable potential in diagnosis.</ns0:t>
        </ns0:is>
      </ns0:c>
      <ns0:c r="I193" s="19" t="inlineStr"/>
      <ns0:c r="J193" s="19" t="inlineStr"/>
      <ns0:c r="K193" s="19" t="inlineStr"/>
      <ns0:c r="L193" s="19" t="inlineStr">
        <ns0:is>
          <ns0:t>Not documented in provided sources</ns0:t>
        </ns0:is>
      </ns0:c>
      <ns0:c r="M193" s="19" t="inlineStr">
        <ns0:is>
          <ns0:t>[]</ns0:t>
        </ns0:is>
      </ns0:c>
    </ns0:row>
    <ns0:row r="194" ht="65" customHeight="1">
      <ns0:c r="A194" s="21" t="inlineStr">
        <ns0:is>
          <ns0:t>208</ns0:t>
        </ns0:is>
      </ns0:c>
      <ns0:c r="B194" s="21" t="inlineStr">
        <ns0:is>
          <ns0:t>Phenotypic differences between female and male individuals with suspicion of autism spectrum disorder</ns0:t>
        </ns0:is>
      </ns0:c>
      <ns0:c r="C194" s="21" t="inlineStr">
        <ns0:is>
          <ns0:t>10.1186/s13229-022-00491-9</ns0:t>
        </ns0:is>
      </ns0:c>
      <ns0:c r="D194" s="21" t="inlineStr">
        <ns0:is>
          <ns0:t>https://doi.org/10.1186/s13229-022-00491-9</ns0:t>
        </ns0:is>
      </ns0:c>
      <ns0:c r="E194" s="21" t="inlineStr">
        <ns0:is>
          <ns0:t>Supplied abstract/coding notes; no new full-text verification</ns0:t>
        </ns0:is>
      </ns0:c>
      <ns0:c r="F194" s="21" t="inlineStr">
        <ns0:is>
          <ns0:t>EVIDENCIA; original abstract/coding notes and lot source trace; Historical signals: title/abstract/notes; full-text completion not independently established</ns0:t>
        </ns0:is>
      </ns0:c>
      <ns0:c r="G194" s="21" t="inlineStr">
        <ns0:is>
          <ns0:t>ADOS items are structured clinician ratings; sex-specific model comparisons do not create multisource data.</ns0:t>
        </ns0:is>
      </ns0:c>
      <ns0:c r="H194" s="21" t="inlineStr">
        <ns0:is>
          <ns0: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ns0:t>
        </ns0:is>
      </ns0:c>
      <ns0:c r="I194" s="21" t="inlineStr"/>
      <ns0:c r="J194" s="21" t="inlineStr"/>
      <ns0:c r="K194" s="21" t="inlineStr"/>
      <ns0:c r="L194" s="21" t="inlineStr">
        <ns0:is>
          <ns0:t>Not documented in provided sources</ns0:t>
        </ns0:is>
      </ns0:c>
      <ns0:c r="M194" s="21" t="inlineStr">
        <ns0:is>
          <ns0:t>[]</ns0:t>
        </ns0:is>
      </ns0:c>
    </ns0:row>
    <ns0:row r="195" ht="93" customHeight="1">
      <ns0:c r="A195" s="19" t="inlineStr">
        <ns0:is>
          <ns0:t>209</ns0:t>
        </ns0:is>
      </ns0:c>
      <ns0:c r="B195" s="19" t="inlineStr">
        <ns0:is>
          <ns0:t>Predicting individual autistic symptoms for patients with autism spectrum disorder using interregional morphological connectivity</ns0:t>
        </ns0:is>
      </ns0:c>
      <ns0:c r="C195" s="19" t="inlineStr">
        <ns0:is>
          <ns0:t>10.1016/j.pscychresns.2024.111822</ns0:t>
        </ns0:is>
      </ns0:c>
      <ns0:c r="D195" s="19" t="inlineStr">
        <ns0:is>
          <ns0:t>https://doi.org/10.1016/j.pscychresns.2024.111822</ns0:t>
        </ns0:is>
      </ns0:c>
      <ns0:c r="E195" s="19" t="inlineStr">
        <ns0:is>
          <ns0:t>Supplied abstract/coding notes; no new full-text verification</ns0:t>
        </ns0:is>
      </ns0:c>
      <ns0:c r="F195" s="19" t="inlineStr">
        <ns0:is>
          <ns0:t>EVIDENCIA; original abstract/coding notes and lot source trace; Historical signals: title/abstract/notes; full-text completion not independently established</ns0:t>
        </ns0:is>
      </ns0:c>
      <ns0:c r="G195" s="19" t="inlineStr">
        <ns0:is>
          <ns0:t>Current ADOS symptom scores are targets, not another model input. Anatomical MRI alone drives prediction; not prospective monitoring or fusion.</ns0:t>
        </ns0:is>
      </ns0:c>
      <ns0:c r="H195" s="19" t="inlineStr">
        <ns0:is>
          <ns0: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ns0:t>
        </ns0:is>
      </ns0:c>
      <ns0:c r="I195" s="19" t="inlineStr">
        <ns0:is>
          <ns0:t>Algoritmo principal no explícito o fuera del codebook; Confirmar algoritmo principal en full-text</ns0:t>
        </ns0:is>
      </ns0:c>
      <ns0:c r="J195" s="19" t="inlineStr"/>
      <ns0:c r="K195" s="19" t="inlineStr"/>
      <ns0:c r="L195" s="19" t="inlineStr">
        <ns0:is>
          <ns0:t>Not documented in provided sources</ns0:t>
        </ns0:is>
      </ns0:c>
      <ns0:c r="M195" s="19" t="inlineStr">
        <ns0:is>
          <ns0:t>[]</ns0:t>
        </ns0:is>
      </ns0:c>
    </ns0:row>
    <ns0:row r="196" ht="93" customHeight="1">
      <ns0:c r="A196" s="21" t="inlineStr">
        <ns0:is>
          <ns0:t>210</ns0:t>
        </ns0:is>
      </ns0:c>
      <ns0:c r="B196" s="21" t="inlineStr">
        <ns0:is>
          <ns0:t>Prediction of Behavioral Improvement Through Resting-State Electroencephalography and Clinical Severity in a Randomized Controlled Trial Testing Bumetanide in Autism Spectrum Disorder</ns0:t>
        </ns0:is>
      </ns0:c>
      <ns0:c r="C196" s="21" t="inlineStr">
        <ns0:is>
          <ns0:t>10.1016/j.bpsc.2021.08.009</ns0:t>
        </ns0:is>
      </ns0:c>
      <ns0:c r="D196" s="21" t="inlineStr">
        <ns0:is>
          <ns0:t>https://doi.org/10.1016/j.bpsc.2021.08.009</ns0:t>
        </ns0:is>
      </ns0:c>
      <ns0:c r="E196" s="21" t="inlineStr">
        <ns0:is>
          <ns0:t>Supplied abstract/coding notes; no new full-text verification</ns0:t>
        </ns0:is>
      </ns0:c>
      <ns0:c r="F196" s="21" t="inlineStr">
        <ns0:is>
          <ns0:t>EVIDENCIA; original abstract/coding notes and lot source trace; Historical signals: title/abstract/notes; full-text completion not independently established</ns0:t>
        </ns0:is>
      </ns0:c>
      <ns0:c r="G196" s="21" t="inlineStr">
        <ns0:is>
          <ns0:t>Baseline EEG plus clinical severity predict 91-day treatment response. AI analysis of a randomized drug trial is not an AI-guided intervention trial.</ns0:t>
        </ns0:is>
      </ns0:c>
      <ns0:c r="H196" s="21" t="inlineStr">
        <ns0:is>
          <ns0: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ns0:t>
        </ns0:is>
      </ns0:c>
      <ns0:c r="I196" s="21" t="inlineStr">
        <ns0:is>
          <ns0:t>Algoritmo principal no explícito o fuera del codebook; Confirmar algoritmo principal en full-text</ns0:t>
        </ns0:is>
      </ns0:c>
      <ns0:c r="J196" s="21" t="inlineStr"/>
      <ns0:c r="K196" s="21" t="inlineStr"/>
      <ns0:c r="L196" s="21" t="inlineStr">
        <ns0:is>
          <ns0:t>Not documented in provided sources</ns0:t>
        </ns0:is>
      </ns0:c>
      <ns0:c r="M196" s="21" t="inlineStr">
        <ns0:is>
          <ns0:t>[]</ns0:t>
        </ns0:is>
      </ns0:c>
    </ns0:row>
    <ns0:row r="197" ht="65" customHeight="1">
      <ns0:c r="A197" s="19" t="inlineStr">
        <ns0:is>
          <ns0:t>211</ns0:t>
        </ns0:is>
      </ns0:c>
      <ns0:c r="B197" s="19" t="inlineStr">
        <ns0:is>
          <ns0:t>Prediction of Outcomes in Mini-Basketball Training Program for Preschool Children with Autism Using Machine Learning Models</ns0:t>
        </ns0:is>
      </ns0:c>
      <ns0:c r="C197" s="19" t="inlineStr">
        <ns0:is>
          <ns0:t>10.32604/ijmhp.2022.020075</ns0:t>
        </ns0:is>
      </ns0:c>
      <ns0:c r="D197" s="19" t="inlineStr">
        <ns0:is>
          <ns0:t>https://doi.org/10.32604/ijmhp.2022.020075</ns0:t>
        </ns0:is>
      </ns0:c>
      <ns0:c r="E197" s="19" t="inlineStr">
        <ns0:is>
          <ns0:t>Supplied abstract/coding notes; no new full-text verification</ns0:t>
        </ns0:is>
      </ns0:c>
      <ns0:c r="F197" s="19" t="inlineStr">
        <ns0:is>
          <ns0:t>EVIDENCIA; original abstract/coding notes and lot source trace; Historical signals: title/abstract/notes; full-text completion not independently established</ns0:t>
        </ns0:is>
      </ns0:c>
      <ns0:c r="G197" s="19" t="inlineStr">
        <ns0:is>
          <ns0:t>Baseline physical/developmental assessments predict later mini-basketball outcomes. The intervention was not allocated or adapted by AI in the reported experiment.</ns0:t>
        </ns0:is>
      </ns0:c>
      <ns0:c r="H197" s="19" t="inlineStr">
        <ns0:is>
          <ns0:t>In recent years evidence has emerged suggesting that Mini-basketball training program (MBTP) can be an effective intervention method to improve social communication (SC) impairments and restricted and repetitive beha-viors (RRBs) in preschool children suffering from autism spectrum disorder (ASD). However, there is a considerable degree if interindividual variability concerning these social outcomes and thus not all preschool children with ASD profit from a MBTP intervention to the same extent. In order to make more accurate predictions which preschool children with ASD can benefit from an MBTP intervention or which preschool children with ASD need additional interventions to achieve behavioral improvements, further research is required. This study aimed to investigate which individual factors of preschool children with ASD can predict MBTP intervention outcomes concerning SC impairments and RRBs. Then, test the performance of machine learning models in predicting intervention outcomes based on these factors. Participants were 26 preschool children with ASD who enrolled in a quasi-experiment and received MBTP intervention. Baseline demographic variables (e.g., age, body, mass index [BMI]), indicators of physical fitness (e.g., handgrip strength, balance performance), performance in executive function, severity of ASD symptoms, level of SC impairments, and severity of RRBs were obtained to predict treatment outcomes after MBTP intervention. Machine learning models were established based on support vector machine algorithm were implemented. For comparison, we also employed multiple linear regression models in statistics. Our findings suggest that in preschool children with ASD symptomatic severity (r = 0.712, p &lt; 0.001) and baseline SC impairments (r = 0.713, p &lt; 0.001) are predictors for intervention outcomes of SC impair-ments. Furthermore, BMI (r = −0.430, p = 0.028), symptomatic severity (r = 0.656, p &lt; 0.001), baseline SC impairments (r = 0.504, p = 0.009) and baseline RRBs (r = 0.647, p &lt; 0.001) can predict intervention outcomes of RRBs. Statistical models predicted 59.6% of variance in post-treatment SC impairments (MSE = 0.455, RMSE = 0.675, R2 = 0.596) and 58.9% of variance in post-treatment RRBs (MSE = 0.464, RMSE = 0.681, R2 = 0.589). Machine learning models predicted 83% of variance in post-treatment SC impairments (MSE = 0.188, RMSE = 0.434, R2 = 0.83) and 85.9% of variance in post-treatment RRBs (MSE = 0.051, RMSE = 0.226, R2 = 0.859), which were better than statistical models. Our findings suggest that baseline characteristics such as symptomatic severity of ASD symptoms and SC impairments are important predictors determining MBTP intervention-induced improvements concerning SC impairments and RBBs. Furthermore, the current study revealed that machine learning models can successfully be applied to predict the MBTP intervention-related outcomes in preschool children with ASD, and performed better than statistical models. Our findings can help to inform which preschool children with ASD are most likely to benefit from an MBTP intervention, and they might provide a reference for the development of personalized intervention programs for preschool children with ASD.</ns0:t>
        </ns0:is>
      </ns0:c>
      <ns0:c r="I197" s="19" t="inlineStr"/>
      <ns0:c r="J197" s="19" t="inlineStr"/>
      <ns0:c r="K197" s="19" t="inlineStr"/>
      <ns0:c r="L197" s="19" t="inlineStr">
        <ns0:is>
          <ns0:t>Not documented in provided sources</ns0:t>
        </ns0:is>
      </ns0:c>
      <ns0:c r="M197" s="19" t="inlineStr">
        <ns0:is>
          <ns0:t>[]</ns0:t>
        </ns0:is>
      </ns0:c>
    </ns0:row>
    <ns0:row r="198" ht="65" customHeight="1">
      <ns0:c r="A198" s="21" t="inlineStr">
        <ns0:is>
          <ns0:t>212</ns0:t>
        </ns0:is>
      </ns0:c>
      <ns0:c r="B198" s="21" t="inlineStr">
        <ns0:is>
          <ns0:t>Pre-trained artificial intelligence language model represents pragmatic language variability central to autism and genetically related phenotypes</ns0:t>
        </ns0:is>
      </ns0:c>
      <ns0:c r="C198" s="21" t="inlineStr">
        <ns0:is>
          <ns0:t>10.1177/13623613241304488</ns0:t>
        </ns0:is>
      </ns0:c>
      <ns0:c r="D198" s="21" t="inlineStr">
        <ns0:is>
          <ns0:t>https://doi.org/10.1177/13623613241304488</ns0:t>
        </ns0:is>
      </ns0:c>
      <ns0:c r="E198" s="21" t="inlineStr">
        <ns0:is>
          <ns0:t>Supplied abstract/coding notes; no new full-text verification</ns0:t>
        </ns0:is>
      </ns0:c>
      <ns0:c r="F198" s="21" t="inlineStr">
        <ns0:is>
          <ns0:t>EVIDENCIA; original abstract/coding notes and lot source trace; Historical signals: title/abstract/notes; full-text completion not independently established</ns0:t>
        </ns0:is>
      </ns0:c>
      <ns0:c r="G198" s="21" t="inlineStr">
        <ns0:is>
          <ns0:t>Cross-sectional pragmatic-language characterization in ASD and related genetic phenotypes; no future course or delivered intervention is modeled.</ns0:t>
        </ns0:is>
      </ns0:c>
      <ns0:c r="H198" s="21" t="inlineStr">
        <ns0:is>
          <ns0:t>Many individuals with autism experience challenges using language in social contexts (i.e., pragmatic language). Characterizing and understanding pragmatic variability is important to inform intervention strategies and the etiology of communication challenges in autism; however, current manual coding-based methods are often time and labor intensive, and not readily applied in ample sample sizes. This proof-of-concept methodological study employed an artificial intelligence pre-trained language model, Bidirectional Encoder Representations from Transformers, as a tool to address such challenges. We applied Bidirectional Encoder Representations from Transformers to computationally index pragmatic-related variability in autism and in genetically related phenotypes displaying pragmatic differences, namely, in parents of autistic individuals, fragile X syndrome, and FMR1 premutation. Findings suggest that without model fine-tuning, Bidirectional Encoder Representations from Transformers’s Next Sentence Prediction module was able to derive estimates that differentiate autistic from non-autistic groups. Moreover, such computational estimates correlated with manually coded characterization of pragmatic abilities that contribute to conversational coherence, not only in autism but also in the other genetically related phenotypes. This study represents a step forward in evaluating the efficacy of artificial intelligence language models for capturing clinically important pragmatic differences and variability related to autism, showcasing the potential of artificial intelligence to provide automatized, efficient, and objective tools for pragmatic characterization to help advance the field. Lay abstract: Autism is clinically defined by challenges with social language, including difficulties offering on-topic language in a conversation. Similar differences are also seen in genetically related conditions such as fragile X syndrome (FXS), and even among those carrying autism-related genes who do not have clinical diagnoses (e.g., the first-degree relatives of autistic individuals and carriers of the FMR1 premutation), which suggests there are genetic influences on social language related to the genes involved in autism. Characterization of social language is therefore important for informing potential intervention strategies and understanding the causes of communication challenges in autism. However, current tools for characterizing social language in both clinical and research settings are very time and labor intensive. In this study, we test an automized computational method that may address this problem. We used a type of artificial intelligence known as pre-trained language model to measure aspects of social language in autistic individuals and their parents, non-autistic comparison groups, and individuals with FXS and the FMR1 premutation. Findings suggest that these artificial intelligence approaches were able to identify differences in social language in autism, and to provide insight into the individuals’ ability to keep a conversation on-topic. These findings also were associated with broader measures of participants’ social communication ability. This study is one of the first to use artificial intelligence models to capture important differences in social language in autism and genetically related groups, demonstrating how artificial intelligence might be used to provide automatized, efficient, and objective tools for language characterization.</ns0:t>
        </ns0:is>
      </ns0:c>
      <ns0:c r="I198" s="21" t="inlineStr"/>
      <ns0:c r="J198" s="21" t="inlineStr"/>
      <ns0:c r="K198" s="21" t="inlineStr"/>
      <ns0:c r="L198" s="21" t="inlineStr">
        <ns0:is>
          <ns0:t>Not documented in provided sources</ns0:t>
        </ns0:is>
      </ns0:c>
      <ns0:c r="M198" s="21" t="inlineStr">
        <ns0:is>
          <ns0:t>[]</ns0:t>
        </ns0:is>
      </ns0:c>
    </ns0:row>
    <ns0:row r="199" ht="93" customHeight="1">
      <ns0:c r="A199" s="19" t="inlineStr">
        <ns0:is>
          <ns0:t>213</ns0:t>
        </ns0:is>
      </ns0:c>
      <ns0:c r="B199" s="19" t="inlineStr">
        <ns0:is>
          <ns0:t>Resting state functional magnetic resonance imaging and neural network classified autism and control</ns0:t>
        </ns0:is>
      </ns0:c>
      <ns0:c r="C199" s="19" t="inlineStr">
        <ns0:is>
          <ns0:t>10.1016/j.cortex.2014.08.011</ns0:t>
        </ns0:is>
      </ns0:c>
      <ns0:c r="D199" s="19" t="inlineStr">
        <ns0:is>
          <ns0:t>https://doi.org/10.1016/j.cortex.2014.08.011</ns0:t>
        </ns0:is>
      </ns0:c>
      <ns0:c r="E199" s="19" t="inlineStr">
        <ns0:is>
          <ns0:t>Supplied abstract/coding notes; no new full-text verification</ns0:t>
        </ns0:is>
      </ns0:c>
      <ns0:c r="F199" s="19" t="inlineStr">
        <ns0:is>
          <ns0:t>EVIDENCIA; original abstract/coding notes and lot source trace; Historical signals: title/abstract/notes; full-text completion not independently established</ns0:t>
        </ns0:is>
      </ns0:c>
      <ns0:c r="G199" s="19" t="inlineStr">
        <ns0:is>
          <ns0:t>Resting fMRI correlation matrices with a probabilistic neural classifier. Similar accuracies by institution are site-stratified analysis, not proof of unseen-site transport.</ns0:t>
        </ns0:is>
      </ns0:c>
      <ns0:c r="H199" s="19" t="inlineStr">
        <ns0:is>
          <ns0: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ns0:t>
        </ns0:is>
      </ns0:c>
      <ns0:c r="I199" s="19" t="inlineStr">
        <ns0:is>
          <ns0:t>Algoritmo principal no explícito o fuera del codebook; Confirmar algoritmo principal en full-text</ns0:t>
        </ns0:is>
      </ns0:c>
      <ns0:c r="J199" s="19" t="inlineStr"/>
      <ns0:c r="K199" s="19" t="inlineStr"/>
      <ns0:c r="L199" s="19" t="inlineStr">
        <ns0:is>
          <ns0:t>Not documented in provided sources</ns0:t>
        </ns0:is>
      </ns0:c>
      <ns0:c r="M199" s="19" t="inlineStr">
        <ns0:is>
          <ns0:t>[]</ns0:t>
        </ns0:is>
      </ns0:c>
    </ns0:row>
    <ns0:row r="200" ht="65" customHeight="1">
      <ns0:c r="A200" s="21" t="inlineStr">
        <ns0:is>
          <ns0:t>214</ns0:t>
        </ns0:is>
      </ns0:c>
      <ns0:c r="B200" s="21" t="inlineStr">
        <ns0:is>
          <ns0:t>Self-Paced Learning and Privileged Information based Cascaded Multi-column Classification algorithm for ASD diagnosis</ns0:t>
        </ns0:is>
      </ns0:c>
      <ns0:c r="C200" s="21" t="inlineStr">
        <ns0:is>
          <ns0:t>10.1109/embc46164.2021.9630150</ns0:t>
        </ns0:is>
      </ns0:c>
      <ns0:c r="D200" s="21" t="inlineStr">
        <ns0:is>
          <ns0:t>https://doi.org/10.1109/embc46164.2021.9630150</ns0:t>
        </ns0:is>
      </ns0:c>
      <ns0:c r="E200" s="21" t="inlineStr">
        <ns0:is>
          <ns0:t>Supplied abstract/coding notes; no new full-text verification</ns0:t>
        </ns0:is>
      </ns0:c>
      <ns0:c r="F200" s="21" t="inlineStr">
        <ns0:is>
          <ns0:t>EVIDENCIA; original abstract/coding notes and lot source trace; Historical signals: title/abstract/notes; full-text completion not independently established</ns0:t>
        </ns0:is>
      </ns0:c>
      <ns0:c r="G200" s="21" t="inlineStr">
        <ns0:is>
          <ns0:t>Explicit single-modal fMRI privileged-information method; cascaded RVFL is retained rather than forcing it into conventional CNN or unspecified Other.</ns0:t>
        </ns0:is>
      </ns0:c>
      <ns0:c r="H200" s="21" t="inlineStr">
        <ns0:is>
          <ns0:t>Autism spectrum disorder (ASD) is one of the most serious mental disorder in children. Machine learning based computer aided diagnosis (CAD) on resting-state functional magnetic resonance imaging (rs-fMRI) for ASD has attracted widespread attention. In recent years, learning using privileged information (LUPI), a supervised transfer learning method, has been generally used on multi-modality cases, which can transfer knowledge from source domain to target domain in order to improve the prediction capability on the target domain. However, multi-modality data is difficult to collect in clinical cases. LUPI method without introducing additional imaging modality images is worth further study. Random vector function link network plus (RVFL+) is a LUPI diagnosis algorithm, which has been proven to be effective for classification tasks. In this work, we proposed a self-paced learning based cascaded multi-column RVFL+ algorithm (SPL-cmcRVFL+) for ASD diagnosis. Initial classification model is trained using RVFL on the single-modal data (e.g. rs-fMRI). The output of the initial layer is then sent as privileged information (PI) to train the next layer of classification model. During this process, samples are selected using self-paced learning (SPL), which can adaptively select simple to difficult samples according to the loss value. The procedure is repeated until all samples are included. Experimental results show that our proposed method can accurately identify ASD and normal control, and outperforms other methods by a relatively higher classification accuracy.</ns0:t>
        </ns0:is>
      </ns0:c>
      <ns0:c r="I200" s="21" t="inlineStr"/>
      <ns0:c r="J200" s="21" t="inlineStr"/>
      <ns0:c r="K200" s="21" t="inlineStr"/>
      <ns0:c r="L200" s="21" t="inlineStr">
        <ns0:is>
          <ns0:t>Not documented in provided sources</ns0:t>
        </ns0:is>
      </ns0:c>
      <ns0:c r="M200" s="21" t="inlineStr">
        <ns0:is>
          <ns0:t>[]</ns0:t>
        </ns0:is>
      </ns0:c>
    </ns0:row>
    <ns0:row r="201" ht="65" customHeight="1">
      <ns0:c r="A201" s="19" t="inlineStr">
        <ns0:is>
          <ns0:t>215</ns0:t>
        </ns0:is>
      </ns0:c>
      <ns0:c r="B201" s="19" t="inlineStr">
        <ns0:is>
          <ns0:t>Smartphone Haptics Can Uncover Differences in Touch Interactions Between ASD and Neurotypicals</ns0:t>
        </ns0:is>
      </ns0:c>
      <ns0:c r="C201" s="19" t="inlineStr">
        <ns0:is>
          <ns0:t>10.1145/3699749</ns0:t>
        </ns0:is>
      </ns0:c>
      <ns0:c r="D201" s="19" t="inlineStr">
        <ns0:is>
          <ns0:t>https://doi.org/10.1145/3699749</ns0:t>
        </ns0:is>
      </ns0:c>
      <ns0:c r="E201" s="19" t="inlineStr">
        <ns0:is>
          <ns0:t>Supplied abstract/coding notes; no new full-text verification</ns0:t>
        </ns0:is>
      </ns0:c>
      <ns0:c r="F201" s="19" t="inlineStr">
        <ns0:is>
          <ns0:t>EVIDENCIA; original abstract/coding notes and lot source trace; Historical signals: title/abstract/notes; full-text completion not independently established</ns0:t>
        </ns0:is>
      </ns0:c>
      <ns0:c r="G201" s="19" t="inlineStr">
        <ns0:is>
          <ns0:t>Smartphone touch and tilt are behavioral motor data. Deploying a data-collection game does not establish an AI clinical screening workflow.</ns0:t>
        </ns0:is>
      </ns0:c>
      <ns0:c r="H201" s="19" t="inlineStr">
        <ns0:is>
          <ns0: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ns0:t>
        </ns0:is>
      </ns0:c>
      <ns0:c r="I201" s="19" t="inlineStr"/>
      <ns0:c r="J201" s="19" t="inlineStr"/>
      <ns0:c r="K201" s="19" t="inlineStr"/>
      <ns0:c r="L201" s="19" t="inlineStr">
        <ns0:is>
          <ns0:t>Not documented in provided sources</ns0:t>
        </ns0:is>
      </ns0:c>
      <ns0:c r="M201" s="19" t="inlineStr">
        <ns0:is>
          <ns0:t>[]</ns0:t>
        </ns0:is>
      </ns0:c>
    </ns0:row>
    <ns0:row r="202" ht="65" customHeight="1">
      <ns0:c r="A202" s="21" t="inlineStr">
        <ns0:is>
          <ns0:t>216</ns0:t>
        </ns0:is>
      </ns0:c>
      <ns0:c r="B202" s="21" t="inlineStr">
        <ns0:is>
          <ns0:t>Targeted metabolomics in children with autism spectrum disorder with and without developmental regression</ns0:t>
        </ns0:is>
      </ns0:c>
      <ns0:c r="C202" s="21" t="inlineStr">
        <ns0:is>
          <ns0:t>10.1007/s11011-025-01604-y</ns0:t>
        </ns0:is>
      </ns0:c>
      <ns0:c r="D202" s="21" t="inlineStr">
        <ns0:is>
          <ns0:t>https://doi.org/10.1007/s11011-025-01604-y</ns0:t>
        </ns0:is>
      </ns0:c>
      <ns0:c r="E202" s="21" t="inlineStr">
        <ns0:is>
          <ns0:t>Supplied abstract/coding notes; no new full-text verification</ns0:t>
        </ns0:is>
      </ns0:c>
      <ns0:c r="F202" s="21" t="inlineStr">
        <ns0:is>
          <ns0:t>EVIDENCIA; original abstract/coding notes and lot source trace; Historical signals: title/abstract/notes; full-text completion not independently established</ns0:t>
        </ns0:is>
      </ns0:c>
      <ns0:c r="G202" s="21" t="inlineStr">
        <ns0:is>
          <ns0:t>Plasma targeted metabolomics; reported best classifiers RF and SVM, not an unspecified data modality.</ns0:t>
        </ns0:is>
      </ns0:c>
      <ns0:c r="H202" s="21" t="inlineStr">
        <ns0:is>
          <ns0:t>Early diagnosis and intervention in children with autism spectrum disorder (ASD) is crucial. At present, diagnosis of ASD is primarily based on subjective tools. Identifying metabolic biomarkers will aid in early diagnosis of ASD complementing the assessment tools. The study aimed to conduct targeted metabolomic analysis and determine the plasma metabolites that can discriminate children with ASD from typically developing children (TD), and to determine the utility of machine learning in classifying ASD children based on the metabotypes. This was a multi-centric, analytical, case-control study conducted between April 2021–April 2023. Fasting plasma samples were obtained from seventy ASD and fifty-eight TD children, aged 2 to 12 years. Samples were quantitively analysed for 52 targeted metabolites (13 amino acids, 37 acylcarnitines, adenosine and 2-deoxyadenosine levels) using tandem mass spectrometry. An in-depth statistical analysis was performed. A total of 26 metabolites (11 amino acids, 14 acyl carnitines and adenosine) were found to be significantly (p &lt; 0.005) different between ASD and TD children. Adenosine and amino acid levels were significantly decreased in ASD children. Among acyl carnitines, short- and long-chain acyl carnitine levels were significantly decreased, while medium-chain acyl carnitine levels were significantly increased in ASD children. Octenoylcarnitine-C8:1 (Cut-off value- 0.025 mmol/L, AUC- 0.683) and adenosine (Cut-off value- 0.025 mmol/L, AUC- 0.673) were found to predict children with ASD at a sensitivity of 55.7% and 57.1%, specificity of 79.3% and 72.4% respectively. Based on the metabolites, machine learning models like Support Vector Machine (SVM) and Random Forest (RF) were able to discriminate ASD from TD children with the classification accuracy score being highest in RF (79.487%, AUC- 0.800). Significant abnormalities in plasma metabolites were observed leading to disturbances in the Krebs cycle, urea cycle and fatty acid oxidation, suggesting mitochondrial dysfunction that may possibly contribute in the pathobiology of ASD. Octenoylcarnitine-C8:1 and Adenosine may serve as potential metabolic biomarkers for ASD.</ns0:t>
        </ns0:is>
      </ns0:c>
      <ns0:c r="I202" s="21" t="inlineStr"/>
      <ns0:c r="J202" s="21" t="inlineStr"/>
      <ns0:c r="K202" s="21" t="inlineStr"/>
      <ns0:c r="L202" s="21" t="inlineStr">
        <ns0:is>
          <ns0:t>Not documented in provided sources</ns0:t>
        </ns0:is>
      </ns0:c>
      <ns0:c r="M202" s="21" t="inlineStr">
        <ns0:is>
          <ns0:t>[]</ns0:t>
        </ns0:is>
      </ns0:c>
    </ns0:row>
    <ns0:row r="203" ht="65" customHeight="1">
      <ns0:c r="A203" s="19" t="inlineStr">
        <ns0:is>
          <ns0:t>217</ns0:t>
        </ns0:is>
      </ns0:c>
      <ns0:c r="B203" s="19" t="inlineStr">
        <ns0:is>
          <ns0:t>Twinned neuroimaging analysis contributes to improving the classification of young people with autism spectrum disorder</ns0:t>
        </ns0:is>
      </ns0:c>
      <ns0:c r="C203" s="19" t="inlineStr">
        <ns0:is>
          <ns0:t>10.1038/s41598-024-71174-z</ns0:t>
        </ns0:is>
      </ns0:c>
      <ns0:c r="D203" s="19" t="inlineStr">
        <ns0:is>
          <ns0:t>https://doi.org/10.1038/s41598-024-71174-z</ns0:t>
        </ns0:is>
      </ns0:c>
      <ns0:c r="E203" s="19" t="inlineStr">
        <ns0:is>
          <ns0:t>Supplied abstract/coding notes; no new full-text verification</ns0:t>
        </ns0:is>
      </ns0:c>
      <ns0:c r="F203" s="19" t="inlineStr">
        <ns0:is>
          <ns0:t>EVIDENCIA; original abstract/coding notes and lot source trace; Historical signals: title/abstract/notes; full-text completion not independently established</ns0:t>
        </ns0:is>
      </ns0:c>
      <ns0:c r="G203" s="19" t="inlineStr">
        <ns0:is>
          <ns0:t>Structural MRI combined with sALFF/fALFF functional MRI; two-channel CNN. Cross-validation on ABIDE is not external validation.</ns0:t>
        </ns0:is>
      </ns0:c>
      <ns0:c r="H203" s="19" t="inlineStr">
        <ns0:is>
          <ns0:t>Autism spectrum disorder (ASD) is diagnosed using comprehensive behavioral information. Neuroimaging offers additional information but lacks clinical utility for diagnosis. This study investigates whether multi-forms of magnetic resonance imaging (MRI) contrast can be used individually and in combination to produce a categorical classification of young individuals with ASD. MRI data were accessed from the Autism Brain Imaging Data Exchange (ABIDE). Young participants (ages 2–30) were selected, and two group cohorts consisted of 702 participants: 351 ASD and 351 controls. Image-based classification was performed using one-channel and two-channel inputs to 3D-DenseNet deep learning networks. The models were trained and tested using tenfold cross-validation. Two-channel models were twinned with combinations of structural MRI (sMRI) maps and amplitude of low-frequency fluctuations (ALFF) or fractional ALFF (fALFF) maps from resting-state functional MRI (rs-fMRI). All models produced classification accuracy that exceeded 65.1%. The two-channel ALFF-sMRI model achieved the highest mean accuracy of 76.9% ± 2.34. The one-channel ALFF-based model alone had mean accuracy of 72% ± 3.1. This study leveraged the ABIDE dataset to produce ASD classification results that are comparable and/or exceed literature values. The deep learning approach was conducive to diverse neuroimaging inputs. Findings reveal that the ALFF-sMRI two-channel model outperformed all others.</ns0:t>
        </ns0:is>
      </ns0:c>
      <ns0:c r="I203" s="19" t="inlineStr"/>
      <ns0:c r="J203" s="19" t="inlineStr"/>
      <ns0:c r="K203" s="19" t="inlineStr"/>
      <ns0:c r="L203" s="19" t="inlineStr">
        <ns0:is>
          <ns0:t>Not documented in provided sources</ns0:t>
        </ns0:is>
      </ns0:c>
      <ns0:c r="M203" s="19" t="inlineStr">
        <ns0:is>
          <ns0:t>[]</ns0:t>
        </ns0:is>
      </ns0:c>
    </ns0:row>
    <ns0:row r="204" ht="93" customHeight="1">
      <ns0:c r="A204" s="21" t="inlineStr">
        <ns0:is>
          <ns0:t>218</ns0:t>
        </ns0:is>
      </ns0:c>
      <ns0:c r="B204" s="21" t="inlineStr">
        <ns0:is>
          <ns0:t>Using a small dataset to classify strength-interactions with an elastic display: a case study for the screening of autism spectrum disorder</ns0:t>
        </ns0:is>
      </ns0:c>
      <ns0:c r="C204" s="21" t="inlineStr">
        <ns0:is>
          <ns0:t>10.1007/s13042-022-01554-2</ns0:t>
        </ns0:is>
      </ns0:c>
      <ns0:c r="D204" s="21" t="inlineStr">
        <ns0:is>
          <ns0:t>https://doi.org/10.1007/s13042-022-01554-2</ns0:t>
        </ns0:is>
      </ns0:c>
      <ns0:c r="E204" s="21" t="inlineStr">
        <ns0:is>
          <ns0:t>Supplied abstract/coding notes; no new full-text verification</ns0:t>
        </ns0:is>
      </ns0:c>
      <ns0:c r="F204" s="21" t="inlineStr">
        <ns0:is>
          <ns0:t>EVIDENCIA; original abstract/coding notes and lot source trace; Historical signals: title/abstract/notes; full-text completion not independently established</ns0:t>
        </ns0:is>
      </ns0:c>
      <ns0:c r="G204" s="21" t="inlineStr">
        <ns0:is>
          <ns0:t>Elastic-screen gesture measurements and small therapy dataset used to train classifiers; no evidence that model outputs guided care or that classifiers were deep networks.</ns0:t>
        </ns0:is>
      </ns0:c>
      <ns0:c r="H204" s="21" t="inlineStr">
        <ns0:is>
          <ns0: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ns0:t>
        </ns0:is>
      </ns0:c>
      <ns0:c r="I204" s="21" t="inlineStr">
        <ns0:is>
          <ns0:t>Algoritmo principal no explícito o fuera del codebook; Confirmar algoritmo principal en full-text</ns0:t>
        </ns0:is>
      </ns0:c>
      <ns0:c r="J204" s="21" t="inlineStr"/>
      <ns0:c r="K204" s="21" t="inlineStr"/>
      <ns0:c r="L204" s="21" t="inlineStr">
        <ns0:is>
          <ns0:t>Not documented in provided sources</ns0:t>
        </ns0:is>
      </ns0:c>
      <ns0:c r="M204" s="21" t="inlineStr">
        <ns0:is>
          <ns0:t>[]</ns0:t>
        </ns0:is>
      </ns0:c>
    </ns0:row>
    <ns0:row r="205" ht="81" customHeight="1">
      <ns0:c r="A205" s="19" t="inlineStr">
        <ns0:is>
          <ns0:t>219</ns0:t>
        </ns0:is>
      </ns0:c>
      <ns0:c r="B205" s="19" t="inlineStr">
        <ns0:is>
          <ns0:t>Wearable EEG Neurofeedback Based-on Machine Learning Algorithms for Children with Autism: A Randomized, Placebo-controlled Study</ns0:t>
        </ns0:is>
      </ns0:c>
      <ns0:c r="C205" s="19" t="inlineStr">
        <ns0:is>
          <ns0:t>10.1007/s11596-024-2938-3</ns0:t>
        </ns0:is>
      </ns0:c>
      <ns0:c r="D205" s="19" t="inlineStr">
        <ns0:is>
          <ns0:t>https://doi.org/10.1007/s11596-024-2938-3</ns0:t>
        </ns0:is>
      </ns0:c>
      <ns0:c r="E205" s="19" t="inlineStr">
        <ns0:is>
          <ns0:t>Supplied abstract/coding notes; no new full-text verification</ns0:t>
        </ns0:is>
      </ns0:c>
      <ns0:c r="F205" s="19" t="inlineStr">
        <ns0:is>
          <ns0:t>EVIDENCIA; original abstract/coding notes and lot source trace; Historical signals: title/abstract/notes; full-text completion not independently established</ns0:t>
        </ns0:is>
      </ns0:c>
      <ns0:c r="G205" s="19" t="inlineStr">
        <ns0:is>
          <ns0:t>Randomized sham-controlled EEG mu-neurofeedback evaluation; physiological input and delivered feedback intervention, not an image classifier. Architecture insufficiently specified.</ns0:t>
        </ns0:is>
      </ns0:c>
      <ns0:c r="H205" s="19" t="inlineStr">
        <ns0:is>
          <ns0:t>Objective: Behavioral interventions have been shown to ameliorate the electroencephalogram (EEG) dynamics underlying the behavioral symptoms of autism spectrum disorder (ASD), while studies have also demonstrated that mirror neuron mu rhythm-based EEG neurofeedback training improves the behavioral functioning of individuals with ASD. This study aimed to test the effects of a wearable mu rhythm neurofeedback training system based on machine learning algorithms for children with autism. Methods: A randomized, placebo-controlled study was carried out on 60 participants aged 3 to 6 years who were diagnosed with autism, at two center-based intervention sites. The neurofeedback group received active mu rhythm neurofeedback training, while the control group received a sham neurofeedback training. Other behavioral intervention programs were similar between the two groups. Results: After 60 sessions of treatment, both groups showed significant improvements in several domains including language, social and problem behavior. The neurofeedback group showed significantly greater improvements in expressive language (P=0.013) and cognitive awareness (including joint attention, P=0.003) than did the placebo-controlled group. Conclusion: Artificial intelligence-powered wearable EEG neurofeedback, as a type of brain-computer interface application, is a promising assistive technology that can provide targeted intervention for the core brain mechanisms underlying ASD symptoms.</ns0:t>
        </ns0:is>
      </ns0:c>
      <ns0:c r="I205" s="19" t="inlineStr">
        <ns0:is>
          <ns0:t>Menciona two center-based intervention sites; señal multisitio preliminar.</ns0:t>
        </ns0:is>
      </ns0:c>
      <ns0:c r="J205" s="19" t="inlineStr"/>
      <ns0:c r="K205" s="19" t="inlineStr"/>
      <ns0:c r="L205" s="19" t="inlineStr">
        <ns0:is>
          <ns0:t>Not documented in provided sources</ns0:t>
        </ns0:is>
      </ns0:c>
      <ns0:c r="M205" s="19" t="inlineStr">
        <ns0:is>
          <ns0:t>[]</ns0:t>
        </ns0:is>
      </ns0:c>
    </ns0:row>
    <ns0:row r="206" ht="65" customHeight="1">
      <ns0:c r="A206" s="21" t="inlineStr">
        <ns0:is>
          <ns0:t>220</ns0:t>
        </ns0:is>
      </ns0:c>
      <ns0:c r="B206" s="21" t="inlineStr">
        <ns0:is>
          <ns0:t>1D-convolutional neural network and fast Walsh–Hadamard transform approach for diagnosing autism spectrum disorder</ns0:t>
        </ns0:is>
      </ns0:c>
      <ns0:c r="C206" s="21" t="inlineStr">
        <ns0:is>
          <ns0:t>10.1007/s00521-025-11208-3</ns0:t>
        </ns0:is>
      </ns0:c>
      <ns0:c r="D206" s="21" t="inlineStr">
        <ns0:is>
          <ns0:t>https://doi.org/10.1007/s00521-025-11208-3</ns0:t>
        </ns0:is>
      </ns0:c>
      <ns0:c r="E206" s="21" t="inlineStr">
        <ns0:is>
          <ns0:t>Supplied abstract/coding notes; no new full-text verification</ns0:t>
        </ns0:is>
      </ns0:c>
      <ns0:c r="F206" s="21" t="inlineStr">
        <ns0:is>
          <ns0:t>EVIDENCIA; original abstract/coding notes and lot source trace; Historical signals: title/abstract/notes; full-text completion not independently established</ns0:t>
        </ns0:is>
      </ns0:c>
      <ns0:c r="G206" s="21" t="inlineStr">
        <ns0:is>
          <ns0:t>EEG fast Walsh-Hadamard features feed a one-dimensional CNN.</ns0:t>
        </ns0:is>
      </ns0:c>
      <ns0:c r="H206" s="21" t="inlineStr">
        <ns0:is>
          <ns0: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ns0:t>
        </ns0:is>
      </ns0:c>
      <ns0:c r="I206" s="21" t="inlineStr"/>
      <ns0:c r="J206" s="21" t="inlineStr"/>
      <ns0:c r="K206" s="21" t="inlineStr"/>
      <ns0:c r="L206" s="21" t="inlineStr">
        <ns0:is>
          <ns0:t>Not documented in provided sources</ns0:t>
        </ns0:is>
      </ns0:c>
      <ns0:c r="M206" s="21" t="inlineStr">
        <ns0:is>
          <ns0:t>[]</ns0:t>
        </ns0:is>
      </ns0:c>
    </ns0:row>
    <ns0:row r="207" ht="93" customHeight="1">
      <ns0:c r="A207" s="19" t="inlineStr">
        <ns0:is>
          <ns0:t>221</ns0:t>
        </ns0:is>
      </ns0:c>
      <ns0:c r="B207" s="19" t="inlineStr">
        <ns0:is>
          <ns0:t>A hybrid Stacking-SMOTE model for optimizing the prediction of autistic genes</ns0:t>
        </ns0:is>
      </ns0:c>
      <ns0:c r="C207" s="19" t="inlineStr">
        <ns0:is>
          <ns0:t>10.1186/s12859-023-05501-y</ns0:t>
        </ns0:is>
      </ns0:c>
      <ns0:c r="D207" s="19" t="inlineStr">
        <ns0:is>
          <ns0:t>https://doi.org/10.1186/s12859-023-05501-y</ns0:t>
        </ns0:is>
      </ns0:c>
      <ns0:c r="E207" s="19" t="inlineStr">
        <ns0:is>
          <ns0:t>Supplied abstract/coding notes; no new full-text verification</ns0:t>
        </ns0:is>
      </ns0:c>
      <ns0:c r="F207" s="19" t="inlineStr">
        <ns0:is>
          <ns0:t>EVIDENCIA; original abstract/coding notes and lot source trace; Historical signals: title/abstract/notes; full-text completion not independently established</ns0:t>
        </ns0:is>
      </ns0:c>
      <ns0:c r="G207" s="19" t="inlineStr">
        <ns0:is>
          <ns0:t>SFARI/gene-ontology gene-prioritization stacking classifiers; gene-level endpoint, not a patient diagnostic accuracy estimate.</ns0:t>
        </ns0:is>
      </ns0:c>
      <ns0:c r="H207" s="19" t="inlineStr">
        <ns0:is>
          <ns0: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ns0:t>
        </ns0:is>
      </ns0:c>
      <ns0:c r="I207" s="19" t="inlineStr">
        <ns0:is>
          <ns0:t>Algoritmo principal no explícito o fuera del codebook; Confirmar algoritmo principal en full-text</ns0:t>
        </ns0:is>
      </ns0:c>
      <ns0:c r="J207" s="19" t="inlineStr"/>
      <ns0:c r="K207" s="19" t="inlineStr"/>
      <ns0:c r="L207" s="19" t="inlineStr">
        <ns0:is>
          <ns0:t>Not documented in provided sources</ns0:t>
        </ns0:is>
      </ns0:c>
      <ns0:c r="M207" s="19" t="inlineStr">
        <ns0:is>
          <ns0:t>[]</ns0:t>
        </ns0:is>
      </ns0:c>
    </ns0:row>
    <ns0:row r="208" ht="81" customHeight="1">
      <ns0:c r="A208" s="21" t="inlineStr">
        <ns0:is>
          <ns0:t>222</ns0:t>
        </ns0:is>
      </ns0:c>
      <ns0:c r="B208" s="21" t="inlineStr">
        <ns0:is>
          <ns0:t>An amygdala-centered hyper-connectivity signature of threatening face processing predicts anxiety in youths with autism spectrum conditions</ns0:t>
        </ns0:is>
      </ns0:c>
      <ns0:c r="C208" s="21" t="inlineStr">
        <ns0:is>
          <ns0:t>10.1002/aur.2595</ns0:t>
        </ns0:is>
      </ns0:c>
      <ns0:c r="D208" s="21" t="inlineStr">
        <ns0:is>
          <ns0:t>https://doi.org/10.1002/aur.2595</ns0:t>
        </ns0:is>
      </ns0:c>
      <ns0:c r="E208" s="21" t="inlineStr">
        <ns0:is>
          <ns0:t>Supplied abstract/coding notes; no new full-text verification</ns0:t>
        </ns0:is>
      </ns0:c>
      <ns0:c r="F208" s="21" t="inlineStr">
        <ns0:is>
          <ns0:t>EVIDENCIA; original abstract/coding notes and lot source trace; Historical signals: title/abstract/notes; full-text completion not independently established</ns0:t>
        </ns0:is>
      </ns0:c>
      <ns0:c r="G208" s="21" t="inlineStr">
        <ns0:is>
          <ns0:t>Threat-related fMRI predicts concurrent anxiety symptoms; not a longitudinal intervention or future prognosis study.</ns0:t>
        </ns0:is>
      </ns0:c>
      <ns0:c r="H208" s="21" t="inlineStr">
        <ns0:is>
          <ns0: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ns0:t>
        </ns0:is>
      </ns0:c>
      <ns0:c r="I208" s="21" t="inlineStr">
        <ns0:is>
          <ns0:t>Usa fMRI de procesamiento de amenaza para predecir ansiedad en jóvenes con ASC.</ns0:t>
        </ns0:is>
      </ns0:c>
      <ns0:c r="J208" s="21" t="inlineStr"/>
      <ns0:c r="K208" s="21" t="inlineStr"/>
      <ns0:c r="L208" s="21" t="inlineStr">
        <ns0:is>
          <ns0:t>Not documented in provided sources</ns0:t>
        </ns0:is>
      </ns0:c>
      <ns0:c r="M208" s="21" t="inlineStr">
        <ns0:is>
          <ns0:t>[]</ns0:t>
        </ns0:is>
      </ns0:c>
    </ns0:row>
    <ns0:row r="209" ht="65" customHeight="1">
      <ns0:c r="A209" s="19" t="inlineStr">
        <ns0:is>
          <ns0:t>223</ns0:t>
        </ns0:is>
      </ns0:c>
      <ns0:c r="B209" s="19" t="inlineStr">
        <ns0:is>
          <ns0:t>An effective autism spectrum disorder screening method using machine learning classification techniques</ns0:t>
        </ns0:is>
      </ns0:c>
      <ns0:c r="C209" s="19" t="inlineStr">
        <ns0:is>
          <ns0:t>10.1002/cpe.7898</ns0:t>
        </ns0:is>
      </ns0:c>
      <ns0:c r="D209" s="19" t="inlineStr">
        <ns0:is>
          <ns0:t>https://doi.org/10.1002/cpe.7898</ns0:t>
        </ns0:is>
      </ns0:c>
      <ns0:c r="E209" s="19" t="inlineStr">
        <ns0:is>
          <ns0:t>Supplied abstract/coding notes; no new full-text verification</ns0:t>
        </ns0:is>
      </ns0:c>
      <ns0:c r="F209" s="19" t="inlineStr">
        <ns0:is>
          <ns0:t>EVIDENCIA; original abstract/coding notes and lot source trace; Historical signals: title/abstract/notes; full-text completion not independently established</ns0:t>
        </ns0:is>
      </ns0:c>
      <ns0:c r="G209" s="19" t="inlineStr">
        <ns0:is>
          <ns0:t>Questionnaire app and classifier comparisons proposed for early screening. A developed app does not by itself demonstrate clinical workflow use.</ns0:t>
        </ns0:is>
      </ns0:c>
      <ns0:c r="H209" s="19" t="inlineStr">
        <ns0:is>
          <ns0:t>Nowadays, autism spectrum disorder (ASD) is one of the fastest-growing developmental disorders globally. Screening test consumes more time and expensive to detect the autism signs. Due to advances in artificial intelligence and machine learning (ML), Autism can be predicted at the initial stage. Numerous researches have been conducted using different methods, but none of these researches presented any anticipated results about the capability to predict autism traits under different age groups. Therefore, this paper proposes an effectual prediction method based upon ML strategy to develop a mobile application for predicting ASD of any age people. The autism prediction model is developed by five ML classifiers, such as Gaussian Naive Bayes, Decision Tree Classifier, K-Nearest Neighbors (KNN), Multinomial Logistic Regression (MLR), Support Vector Machine (SVM) and also a mobile application is developed using proposed prediction method. The proposed method is analyzed with IAPQ records gathered from certain areas in Erode district, Tamil Nadu, India. From the analysis, the SVM classifier achieves maximum sensitivity of 23.14%, 6.04%, 5.89%, 11.03% than other classifiers, like Gaussian Naive Bayes, Decision Tree Classifier, KNN, and MLR.</ns0:t>
        </ns0:is>
      </ns0:c>
      <ns0:c r="I209" s="19" t="inlineStr"/>
      <ns0:c r="J209" s="19" t="inlineStr"/>
      <ns0:c r="K209" s="19" t="inlineStr"/>
      <ns0:c r="L209" s="19" t="inlineStr">
        <ns0:is>
          <ns0:t>Not documented in provided sources</ns0:t>
        </ns0:is>
      </ns0:c>
      <ns0:c r="M209" s="19" t="inlineStr">
        <ns0:is>
          <ns0:t>[]</ns0:t>
        </ns0:is>
      </ns0:c>
    </ns0:row>
    <ns0:row r="210" ht="81" customHeight="1">
      <ns0:c r="A210" s="21" t="inlineStr">
        <ns0:is>
          <ns0:t>224</ns0:t>
        </ns0:is>
      </ns0:c>
      <ns0:c r="B210" s="21" t="inlineStr">
        <ns0:is>
          <ns0:t>An ensemble classifier for emotion classification from EEG and GSR signals for autism detection</ns0:t>
        </ns0:is>
      </ns0:c>
      <ns0:c r="C210" s="21" t="inlineStr">
        <ns0:is>
          <ns0:t>10.1016/j.cmpb.2025.108921</ns0:t>
        </ns0:is>
      </ns0:c>
      <ns0:c r="D210" s="21" t="inlineStr">
        <ns0:is>
          <ns0:t>https://doi.org/10.1016/j.cmpb.2025.108921</ns0:t>
        </ns0:is>
      </ns0:c>
      <ns0:c r="E210" s="21" t="inlineStr">
        <ns0:is>
          <ns0:t>Supplied abstract/coding notes; no new full-text verification</ns0:t>
        </ns0:is>
      </ns0:c>
      <ns0:c r="F210" s="21" t="inlineStr">
        <ns0:is>
          <ns0:t>EVIDENCIA; original abstract/coding notes and lot source trace; Historical signals: title/abstract/notes; full-text completion not independently established</ns0:t>
        </ns0:is>
      </ns0:c>
      <ns0:c r="G210" s="21" t="inlineStr">
        <ns0:is>
          <ns0:t>EEG/GSR emotion classification proposed for autism-related care; abstract does not identify classifier components or establish that evaluation participants had ASD.
Reported precision 0.9870% is inconsistent with the other nearly perfect metrics; do not quote these metrics without full-text verification.
Public emotion dataset is unnamed in available abstract; ASD-specific evaluation population cannot be established. Retained from inherited eligibility; exclude in evidence-restricted sensitivity.</ns0:t>
        </ns0:is>
      </ns0:c>
      <ns0:c r="H210" s="21" t="inlineStr">
        <ns0:is>
          <ns0: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ns0:t>
        </ns0:is>
      </ns0:c>
      <ns0:c r="I210" s="21" t="inlineStr"/>
      <ns0:c r="J210" s="21" t="inlineStr"/>
      <ns0:c r="K210" s="21" t="inlineStr"/>
      <ns0:c r="L210" s="21" t="inlineStr">
        <ns0:is>
          <ns0:t>Not documented in provided sources</ns0:t>
        </ns0:is>
      </ns0:c>
      <ns0:c r="M210" s="21" t="inlineStr">
        <ns0:is>
          <ns0:t>[]</ns0:t>
        </ns0:is>
      </ns0:c>
    </ns0:row>
    <ns0:row r="211" ht="93" customHeight="1">
      <ns0:c r="A211" s="19" t="inlineStr">
        <ns0:is>
          <ns0:t>225</ns0:t>
        </ns0:is>
      </ns0:c>
      <ns0:c r="B211" s="19" t="inlineStr">
        <ns0:is>
          <ns0:t>Applying Eye Tracking to Identify Autism Spectrum Disorder in Children</ns0:t>
        </ns0:is>
      </ns0:c>
      <ns0:c r="C211" s="19" t="inlineStr">
        <ns0:is>
          <ns0:t>10.1007/s10803-018-3690-y</ns0:t>
        </ns0:is>
      </ns0:c>
      <ns0:c r="D211" s="19" t="inlineStr">
        <ns0:is>
          <ns0:t>https://doi.org/10.1007/s10803-018-3690-y</ns0:t>
        </ns0:is>
      </ns0:c>
      <ns0:c r="E211" s="19" t="inlineStr">
        <ns0:is>
          <ns0:t>Supplied abstract/coding notes; no new full-text verification</ns0:t>
        </ns0:is>
      </ns0:c>
      <ns0:c r="F211" s="19" t="inlineStr">
        <ns0:is>
          <ns0:t>EVIDENCIA; original abstract/coding notes and lot source trace; Historical signals: title/abstract/notes; full-text completion not independently established</ns0:t>
        </ns0:is>
      </ns0:c>
      <ns0:c r="G211" s="19" t="inlineStr">
        <ns0:is>
          <ns0:t>Gaze comparison of 37 ASD and 37 typically developing children; discriminant analysis rather than deep learning.</ns0:t>
        </ns0:is>
      </ns0:c>
      <ns0:c r="H211" s="19" t="inlineStr">
        <ns0:is>
          <ns0: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ns0:t>
        </ns0:is>
      </ns0:c>
      <ns0:c r="I211" s="19" t="inlineStr">
        <ns0:is>
          <ns0:t>Algoritmo principal no explícito o fuera del codebook; Confirmar algoritmo principal en full-text</ns0:t>
        </ns0:is>
      </ns0:c>
      <ns0:c r="J211" s="19" t="inlineStr"/>
      <ns0:c r="K211" s="19" t="inlineStr"/>
      <ns0:c r="L211" s="19" t="inlineStr">
        <ns0:is>
          <ns0:t>Not documented in provided sources</ns0:t>
        </ns0:is>
      </ns0:c>
      <ns0:c r="M211" s="19" t="inlineStr">
        <ns0:is>
          <ns0:t>[]</ns0:t>
        </ns0:is>
      </ns0:c>
    </ns0:row>
    <ns0:row r="212" ht="93" customHeight="1">
      <ns0:c r="A212" s="21" t="inlineStr">
        <ns0:is>
          <ns0:t>226</ns0:t>
        </ns0:is>
      </ns0:c>
      <ns0:c r="B212" s="21" t="inlineStr">
        <ns0:is>
          <ns0:t>Artificial intelligence and sensor-based autism spectrum disorder diagnosis using brain connectivity analysis</ns0:t>
        </ns0:is>
      </ns0:c>
      <ns0:c r="C212" s="21" t="inlineStr">
        <ns0:is>
          <ns0:t>10.1016/j.compeleceng.2023.108720</ns0:t>
        </ns0:is>
      </ns0:c>
      <ns0:c r="D212" s="21" t="inlineStr">
        <ns0:is>
          <ns0:t>https://doi.org/10.1016/j.compeleceng.2023.108720</ns0:t>
        </ns0:is>
      </ns0:c>
      <ns0:c r="E212" s="21" t="inlineStr">
        <ns0:is>
          <ns0:t>Supplied abstract/coding notes; no new full-text verification</ns0:t>
        </ns0:is>
      </ns0:c>
      <ns0:c r="F212" s="21" t="inlineStr">
        <ns0:is>
          <ns0:t>EVIDENCIA; original abstract/coding notes and lot source trace; Historical signals: title/abstract/notes; full-text completion not independently established</ns0:t>
        </ns0:is>
      </ns0:c>
      <ns0:c r="G212" s="21" t="inlineStr">
        <ns0:is>
          <ns0:t>Resting-state fMRI connectivity across atlases with majority voting. Abstract does not identify base classifiers or establish deep learning.</ns0:t>
        </ns0:is>
      </ns0:c>
      <ns0:c r="H212" s="21" t="inlineStr">
        <ns0:is>
          <ns0: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ns0:t>
        </ns0:is>
      </ns0:c>
      <ns0:c r="I212" s="21" t="inlineStr">
        <ns0:is>
          <ns0:t>Algoritmo principal no explícito o fuera del codebook; Confirmar algoritmo principal en full-text</ns0:t>
        </ns0:is>
      </ns0:c>
      <ns0:c r="J212" s="21" t="inlineStr"/>
      <ns0:c r="K212" s="21" t="inlineStr"/>
      <ns0:c r="L212" s="21" t="inlineStr">
        <ns0:is>
          <ns0:t>Not documented in provided sources</ns0:t>
        </ns0:is>
      </ns0:c>
      <ns0:c r="M212" s="21" t="inlineStr">
        <ns0:is>
          <ns0:t>[]</ns0:t>
        </ns0:is>
      </ns0:c>
    </ns0:row>
    <ns0:row r="213" ht="69" customHeight="1">
      <ns0:c r="A213" s="19" t="inlineStr">
        <ns0:is>
          <ns0:t>227</ns0:t>
        </ns0:is>
      </ns0:c>
      <ns0:c r="B213" s="19" t="inlineStr">
        <ns0:is>
          <ns0:t>Attention Level Evaluation in Children With Autism: Leveraging Head Pose and Gaze Parameters From Videos for Educational Intervention</ns0:t>
        </ns0:is>
      </ns0:c>
      <ns0:c r="C213" s="19" t="inlineStr">
        <ns0:is>
          <ns0:t>10.1109/tlt.2024.3409702</ns0:t>
        </ns0:is>
      </ns0:c>
      <ns0:c r="D213" s="19" t="inlineStr">
        <ns0:is>
          <ns0:t>https://doi.org/10.1109/tlt.2024.3409702</ns0:t>
        </ns0:is>
      </ns0:c>
      <ns0:c r="E213" s="19" t="inlineStr">
        <ns0:is>
          <ns0:t>Supplied abstract/coding notes; no new full-text verification</ns0:t>
        </ns0:is>
      </ns0:c>
      <ns0:c r="F213" s="19" t="inlineStr">
        <ns0:is>
          <ns0:t>EVIDENCIA; original abstract/coding notes and lot source trace; Historical signals: title/abstract/notes; full-text completion not independently established</ns0:t>
        </ns0:is>
      </ns0:c>
      <ns0:c r="G213" s="19" t="inlineStr">
        <ns0:is>
          <ns0:t>Webcam head-pose deep learning and eye-tracking/attention models for real-time attention assessment; model-assisted intervention outcomes not demonstrated.</ns0:t>
        </ns0:is>
      </ns0:c>
      <ns0:c r="H213" s="19" t="inlineStr">
        <ns0:is>
          <ns0: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ns0:t>
        </ns0:is>
      </ns0:c>
      <ns0:c r="I213" s="19" t="inlineStr">
        <ns0:is>
          <ns0:t>Combina señales conductuales y estrategia explícita de ensemble.</ns0:t>
        </ns0:is>
      </ns0:c>
      <ns0:c r="J213" s="19" t="inlineStr"/>
      <ns0:c r="K213" s="19" t="inlineStr"/>
      <ns0:c r="L213" s="19" t="inlineStr">
        <ns0:is>
          <ns0:t>Not documented in provided sources</ns0:t>
        </ns0:is>
      </ns0:c>
      <ns0:c r="M213" s="19" t="inlineStr">
        <ns0:is>
          <ns0:t>[]</ns0:t>
        </ns0:is>
      </ns0:c>
    </ns0:row>
    <ns0:row r="214" ht="65" customHeight="1">
      <ns0:c r="A214" s="21" t="inlineStr">
        <ns0:is>
          <ns0:t>228</ns0:t>
        </ns0:is>
      </ns0:c>
      <ns0:c r="B214" s="21" t="inlineStr">
        <ns0:is>
          <ns0:t>Autism Spectrum Disorder Diagnosis Using Graph Neural Network Based on\&amp;#xa0;Graph Pooling and\&amp;#xa0;Self-adjust Filter</ns0:t>
        </ns0:is>
      </ns0:c>
      <ns0:c r="C214" s="21" t="inlineStr">
        <ns0:is>
          <ns0:t>10.1007/978-981-99-8558-6_35</ns0:t>
        </ns0:is>
      </ns0:c>
      <ns0:c r="D214" s="21" t="inlineStr">
        <ns0:is>
          <ns0:t>https://doi.org/10.1007/978-981-99-8558-6_35</ns0:t>
        </ns0:is>
      </ns0:c>
      <ns0:c r="E214" s="21" t="inlineStr">
        <ns0:is>
          <ns0:t>Supplied abstract/coding notes; no new full-text verification</ns0:t>
        </ns0:is>
      </ns0:c>
      <ns0:c r="F214" s="21" t="inlineStr">
        <ns0:is>
          <ns0:t>EVIDENCIA; original abstract/coding notes and lot source trace; Historical signals: title/abstract/notes; full-text completion not independently established</ns0:t>
        </ns0:is>
      </ns0:c>
      <ns0:c r="G214" s="21" t="inlineStr">
        <ns0:is>
          <ns0:t>Image features and phenotype-defined graph edges jointly inform a population GNN.</ns0:t>
        </ns0:is>
      </ns0:c>
      <ns0:c r="H214" s="21" t="inlineStr">
        <ns0:is>
          <ns0:t>Currently, accurately identifying autism spectrum disorders (ASD) still have challenges. However, graph neural network used for ASD diagnosis only focus on the part of abnormal brain functional connectivity, ignoring the effects between brain regions and the help of phenotypic information, and the kernel is also pre-defined. To solve the above problems, a graph neural network based on self-attention graph pooling and self-adjust filter is proposed for ASD diagnosis. Specifically, first, self-attention graph pooling is used for feature extraction of the fMRI to account for the influence of nodes with abnormal brain functional connectivity and activity between brain regions in fMRI data. Then, image features were taken as graph nodes and phenotypic information as edges to form a population graph. Finally, to focus on both high and low frequency information in the graph, a graph neural network based on self-adjust filter is used to learn node embedding. Experimental results on ABIDE I showed the effectiveness of the proposed method.</ns0:t>
        </ns0:is>
      </ns0:c>
      <ns0:c r="I214" s="21" t="inlineStr">
        <ns0:is>
          <ns0:t>ABIDE I + integración de fMRI con datos fenotípicos.</ns0:t>
        </ns0:is>
      </ns0:c>
      <ns0:c r="J214" s="21" t="inlineStr"/>
      <ns0:c r="K214" s="21" t="inlineStr"/>
      <ns0:c r="L214" s="21" t="inlineStr">
        <ns0:is>
          <ns0:t>Not documented in provided sources</ns0:t>
        </ns0:is>
      </ns0:c>
      <ns0:c r="M214" s="21" t="inlineStr">
        <ns0:is>
          <ns0:t>[]</ns0:t>
        </ns0:is>
      </ns0:c>
    </ns0:row>
    <ns0:row r="215" ht="177" customHeight="1">
      <ns0:c r="A215" s="19" t="inlineStr">
        <ns0:is>
          <ns0:t>229</ns0:t>
        </ns0:is>
      </ns0:c>
      <ns0:c r="B215" s="19" t="inlineStr">
        <ns0:is>
          <ns0:t>Autoencoder Based Methods for Diagnosis of Autism Spectrum Disorder</ns0:t>
        </ns0:is>
      </ns0:c>
      <ns0:c r="C215" s="19" t="inlineStr">
        <ns0:is>
          <ns0:t>10.1007/978-3-030-46165-2_4</ns0:t>
        </ns0:is>
      </ns0:c>
      <ns0:c r="D215" s="19" t="inlineStr">
        <ns0:is>
          <ns0:t>https://doi.org/10.1007/978-3-030-46165-2_4</ns0:t>
        </ns0:is>
      </ns0:c>
      <ns0:c r="E215" s="19" t="inlineStr">
        <ns0:is>
          <ns0:t>Supplied abstract/coding notes; no new full-text verification</ns0:t>
        </ns0:is>
      </ns0:c>
      <ns0:c r="F215" s="19" t="inlineStr">
        <ns0:is>
          <ns0:t>EVIDENCIA; original abstract/coding notes and lot source trace; Historical signals: title/abstract/notes; full-text completion not independently established</ns0:t>
        </ns0:is>
      </ns0:c>
      <ns0:c r="G215" s="19" t="inlineStr">
        <ns0:is>
          <ns0:t>Best emphasized pipeline is autoencoder plus DNN; traditional-ML alternatives do not make the primary architecture hybrid.</ns0:t>
        </ns0:is>
      </ns0:c>
      <ns0:c r="H215" s="19" t="inlineStr">
        <ns0:is>
          <ns0: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ns0:t>
        </ns0:is>
      </ns0:c>
      <ns0:c r="I215" s="19" t="inlineStr">
        <ns0:is>
          <ns0:t>Pipeline AE + (SVM/KNN/subspace discriminant) + DNN; AE+DNN logra mejor (accuracy 79.2%, AUC 82.4%). Paradigma mixto: AE (no supervisado) + clasificador (supervisado); abstract no etiqueta “supervised”.</ns0:t>
        </ns0:is>
      </ns0:c>
      <ns0:c r="J215" s="19" t="inlineStr"/>
      <ns0:c r="K215" s="19" t="inlineStr"/>
      <ns0:c r="L215" s="19" t="inlineStr">
        <ns0:is>
          <ns0:t>Not documented in provided sources</ns0:t>
        </ns0:is>
      </ns0:c>
      <ns0:c r="M215" s="19" t="inlineStr">
        <ns0:is>
          <ns0:t>[]</ns0:t>
        </ns0:is>
      </ns0:c>
    </ns0:row>
    <ns0:row r="216" ht="65" customHeight="1">
      <ns0:c r="A216" s="21" t="inlineStr">
        <ns0:is>
          <ns0:t>230</ns0:t>
        </ns0:is>
      </ns0:c>
      <ns0:c r="B216" s="21" t="inlineStr">
        <ns0:is>
          <ns0:t>BrainWaveNet: Wavelet-based Transformer for Autism Spectrum Disorder Diagnosis</ns0:t>
        </ns0:is>
      </ns0:c>
      <ns0:c r="C216" s="21" t="inlineStr">
        <ns0:is>
          <ns0:t>10.1007/978-3-031-72069-7_6</ns0:t>
        </ns0:is>
      </ns0:c>
      <ns0:c r="D216" s="21" t="inlineStr">
        <ns0:is>
          <ns0:t>https://doi.org/10.1007/978-3-031-72069-7_6</ns0:t>
        </ns0:is>
      </ns0:c>
      <ns0:c r="E216" s="21" t="inlineStr">
        <ns0:is>
          <ns0:t>Supplied abstract/coding notes; no new full-text verification</ns0:t>
        </ns0:is>
      </ns0:c>
      <ns0:c r="F216" s="21" t="inlineStr">
        <ns0:is>
          <ns0:t>EVIDENCIA; original abstract/coding notes and lot source trace; Historical signals: title/abstract/notes; full-text completion not independently established</ns0:t>
        </ns0:is>
      </ns0:c>
      <ns0:c r="G216" s="21" t="inlineStr">
        <ns0:is>
          <ns0:t>Wavelet transformer uses resting-state fMRI, not a nonimaging physiological recording; neurological interpretation is explicit.</ns0:t>
        </ns0:is>
      </ns0:c>
      <ns0:c r="H216" s="21" t="inlineStr">
        <ns0:is>
          <ns0: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ns0:t>
        </ns0:is>
      </ns0:c>
      <ns0:c r="I216" s="21" t="inlineStr"/>
      <ns0:c r="J216" s="21" t="inlineStr"/>
      <ns0:c r="K216" s="21" t="inlineStr"/>
      <ns0:c r="L216" s="21" t="inlineStr">
        <ns0:is>
          <ns0:t>Not documented in provided sources</ns0:t>
        </ns0:is>
      </ns0:c>
      <ns0:c r="M216" s="21" t="inlineStr">
        <ns0:is>
          <ns0:t>[]</ns0:t>
        </ns0:is>
      </ns0:c>
    </ns0:row>
    <ns0:row r="217" ht="65" customHeight="1">
      <ns0:c r="A217" s="19" t="inlineStr">
        <ns0:is>
          <ns0:t>231</ns0:t>
        </ns0:is>
      </ns0:c>
      <ns0:c r="B217" s="19" t="inlineStr">
        <ns0:is>
          <ns0:t>Can lung airway geometry be used to predict autism? A preliminary machine learning-based study</ns0:t>
        </ns0:is>
      </ns0:c>
      <ns0:c r="C217" s="19" t="inlineStr">
        <ns0:is>
          <ns0:t>10.1002/ar.25332</ns0:t>
        </ns0:is>
      </ns0:c>
      <ns0:c r="D217" s="19" t="inlineStr">
        <ns0:is>
          <ns0:t>https://doi.org/10.1002/ar.25332</ns0:t>
        </ns0:is>
      </ns0:c>
      <ns0:c r="E217" s="19" t="inlineStr">
        <ns0:is>
          <ns0:t>Supplied abstract/coding notes; no new full-text verification</ns0:t>
        </ns0:is>
      </ns0:c>
      <ns0:c r="F217" s="19" t="inlineStr">
        <ns0:is>
          <ns0:t>EVIDENCIA; original abstract/coding notes and lot source trace; Historical signals: title/abstract/notes; full-text completion not independently established</ns0:t>
        </ns0:is>
      </ns0:c>
      <ns0:c r="G217" s="19" t="inlineStr">
        <ns0:is>
          <ns0:t>Retrospective chest CT airway geometry, not brain imaging or behavioral photographs; retained as other biomedical imaging with subtype recorded.
Chest CT airway geometry</ns0:t>
        </ns0:is>
      </ns0:c>
      <ns0:c r="H217" s="19" t="inlineStr">
        <ns0:is>
          <ns0: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ns0:t>
        </ns0:is>
      </ns0:c>
      <ns0:c r="I217" s="19" t="inlineStr"/>
      <ns0:c r="J217" s="19" t="inlineStr"/>
      <ns0:c r="K217" s="19" t="inlineStr"/>
      <ns0:c r="L217" s="19" t="inlineStr">
        <ns0:is>
          <ns0:t>Not documented in provided sources</ns0:t>
        </ns0:is>
      </ns0:c>
      <ns0:c r="M217" s="19" t="inlineStr">
        <ns0:is>
          <ns0:t>[]</ns0:t>
        </ns0:is>
      </ns0:c>
    </ns0:row>
    <ns0:row r="218" ht="261" customHeight="1">
      <ns0:c r="A218" s="21" t="inlineStr">
        <ns0:is>
          <ns0:t>232</ns0:t>
        </ns0:is>
      </ns0:c>
      <ns0:c r="B218" s="21" t="inlineStr">
        <ns0:is>
          <ns0:t>Classification of autism spectrum disorder based on fluctuation entropy of spontaneous hemodynamic fluctuations</ns0:t>
        </ns0:is>
      </ns0:c>
      <ns0:c r="C218" s="21" t="inlineStr">
        <ns0:is>
          <ns0:t>10.1016/j.bspc.2020.101958</ns0:t>
        </ns0:is>
      </ns0:c>
      <ns0:c r="D218" s="21" t="inlineStr">
        <ns0:is>
          <ns0:t>https://doi.org/10.1016/j.bspc.2020.101958</ns0:t>
        </ns0:is>
      </ns0:c>
      <ns0:c r="E218" s="21" t="inlineStr">
        <ns0:is>
          <ns0:t>Supplied abstract/coding notes; no new full-text verification</ns0:t>
        </ns0:is>
      </ns0:c>
      <ns0:c r="F218" s="21" t="inlineStr">
        <ns0:is>
          <ns0:t>EVIDENCIA; original abstract/coding notes and lot source trace; Historical signals: title/abstract/notes; full-text completion not independently established</ns0:t>
        </ns0:is>
      </ns0:c>
      <ns0:c r="G218" s="21" t="inlineStr">
        <ns0:is>
          <ns0:t>fNIRS fluctuation entropy with network-classifier comparison; old note identifies multiple classifiers but no single primary.</ns0:t>
        </ns0:is>
      </ns0:c>
      <ns0:c r="H218" s="21" t="inlineStr">
        <ns0:is>
          <ns0: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ns0:t>
        </ns0:is>
      </ns0:c>
      <ns0:c r="I218" s="21" t="inlineStr">
        <ns0:is>
          <ns0: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ns0:t>
        </ns0:is>
      </ns0:c>
      <ns0:c r="J218" s="21" t="inlineStr"/>
      <ns0:c r="K218" s="21" t="inlineStr"/>
      <ns0:c r="L218" s="21" t="inlineStr">
        <ns0:is>
          <ns0:t>Not documented in provided sources</ns0:t>
        </ns0:is>
      </ns0:c>
      <ns0:c r="M218" s="21" t="inlineStr">
        <ns0:is>
          <ns0:t>[]</ns0:t>
        </ns0:is>
      </ns0:c>
    </ns0:row>
    <ns0:row r="219" ht="261" customHeight="1">
      <ns0:c r="A219" s="19" t="inlineStr">
        <ns0:is>
          <ns0:t>233</ns0:t>
        </ns0:is>
      </ns0:c>
      <ns0:c r="B219" s="19" t="inlineStr">
        <ns0:is>
          <ns0:t>Classification of autism spectrum disorder based on sample entropy of spontaneous functional near infra-red spectroscopy signal</ns0:t>
        </ns0:is>
      </ns0:c>
      <ns0:c r="C219" s="19" t="inlineStr">
        <ns0:is>
          <ns0:t>10.1016/j.clinph.2019.12.400</ns0:t>
        </ns0:is>
      </ns0:c>
      <ns0:c r="D219" s="19" t="inlineStr">
        <ns0:is>
          <ns0:t>https://doi.org/10.1016/j.clinph.2019.12.400</ns0:t>
        </ns0:is>
      </ns0:c>
      <ns0:c r="E219" s="19" t="inlineStr">
        <ns0:is>
          <ns0:t>Supplied abstract/coding notes; no new full-text verification</ns0:t>
        </ns0:is>
      </ns0:c>
      <ns0:c r="F219" s="19" t="inlineStr">
        <ns0:is>
          <ns0:t>EVIDENCIA; original abstract/coding notes and lot source trace; Historical signals: title/abstract/notes; full-text completion not independently established</ns0:t>
        </ns0:is>
      </ns0:c>
      <ns0:c r="G219" s="19" t="inlineStr">
        <ns0:is>
          <ns0:t>fNIRS sample entropy; available coding note describes classifier comparison and does not justify a clustering main family.</ns0:t>
        </ns0:is>
      </ns0:c>
      <ns0:c r="H219" s="19" t="inlineStr">
        <ns0:is>
          <ns0:t>Objectives: To assess the possibility of distinguishing autism spectrum disorder (ASD) based on the characteristic of spontaneous hemodynamic fluctuations and to explore the location of abnormality in the brain. Methods: Using the sample entropy (SampEn) of functional near-infrared spectroscopy (fNIRS) from bilateral inferior frontal gyrus (IFG) and temporal cortex (TC) on 25 children with ASD and 22 typical development (TD) children, the pattern of mind-wandering was assessed. With the SampEn as feature variables, a machine learning classifier was applied to mark ASD and locate the abnormal area in the brain. Results: The SampEn was generally lower for ASD than TD, indicating the fNIRS series from ASD was unstable, had low fluctuation, and high self-similarity. The classification between ASD and TD could reach 97.6% in accuracy. Conclusions: The SampEn of fNIRS could accurately distinguish ASD. The abnormality in terms of the SampEn occurs more frequently in IFG than TC, and more frequently in the left than in the right hemisphere. Significance: The results of this study may help to understand the cortical mechanism of ASD and provide a fNIRS-based diagnosis for ASD.</ns0:t>
        </ns0:is>
      </ns0:c>
      <ns0:c r="I219" s="19" t="inlineStr">
        <ns0:is>
          <ns0: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ns0:t>
        </ns0:is>
      </ns0:c>
      <ns0:c r="J219" s="19" t="inlineStr"/>
      <ns0:c r="K219" s="19" t="inlineStr"/>
      <ns0:c r="L219" s="19" t="inlineStr">
        <ns0:is>
          <ns0:t>Not documented in provided sources</ns0:t>
        </ns0:is>
      </ns0:c>
      <ns0:c r="M219" s="19" t="inlineStr">
        <ns0:is>
          <ns0:t>[]</ns0:t>
        </ns0:is>
      </ns0:c>
    </ns0:row>
    <ns0:row r="220" ht="93" customHeight="1">
      <ns0:c r="A220" s="21" t="inlineStr">
        <ns0:is>
          <ns0:t>234</ns0:t>
        </ns0:is>
      </ns0:c>
      <ns0:c r="B220" s="21" t="inlineStr">
        <ns0:is>
          <ns0:t>Classification of\&amp;#xa0;Facial Images to\&amp;#xa0;Assist in\&amp;#xa0;the\&amp;#xa0;Diagnosis of\&amp;#xa0;Autism Spectrum Disorder: A Study on\&amp;#xa0;the\&amp;#xa0;Effect of\&amp;#xa0;Face Detection and\&amp;#xa0;Landmark Identification Algorithms</ns0:t>
        </ns0:is>
      </ns0:c>
      <ns0:c r="C220" s="21" t="inlineStr">
        <ns0:is>
          <ns0:t>10.1007/978-3-031-45389-2_18</ns0:t>
        </ns0:is>
      </ns0:c>
      <ns0:c r="D220" s="21" t="inlineStr">
        <ns0:is>
          <ns0:t>https://doi.org/10.1007/978-3-031-45389-2_18</ns0:t>
        </ns0:is>
      </ns0:c>
      <ns0:c r="E220" s="21" t="inlineStr">
        <ns0:is>
          <ns0:t>Supplied abstract/coding notes; no new full-text verification</ns0:t>
        </ns0:is>
      </ns0:c>
      <ns0:c r="F220" s="21" t="inlineStr">
        <ns0:is>
          <ns0:t>EVIDENCIA; original abstract/coding notes and lot source trace; Historical signals: title/abstract/notes; full-text completion not independently established</ns0:t>
        </ns0:is>
      </ns0:c>
      <ns0:c r="G220" s="21" t="inlineStr">
        <ns0:is>
          <ns0:t>Facial landmark-library comparison; classifier family not provided by available abstract.</ns0:t>
        </ns0:is>
      </ns0:c>
      <ns0:c r="H220" s="21" t="inlineStr">
        <ns0:is>
          <ns0: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ns0:t>
        </ns0:is>
      </ns0:c>
      <ns0:c r="I220" s="21" t="inlineStr">
        <ns0:is>
          <ns0:t>Algoritmo principal no explícito o fuera del codebook; Confirmar algoritmo principal en full-text</ns0:t>
        </ns0:is>
      </ns0:c>
      <ns0:c r="J220" s="21" t="inlineStr"/>
      <ns0:c r="K220" s="21" t="inlineStr"/>
      <ns0:c r="L220" s="21" t="inlineStr">
        <ns0:is>
          <ns0:t>Not documented in provided sources</ns0:t>
        </ns0:is>
      </ns0:c>
      <ns0:c r="M220" s="21" t="inlineStr">
        <ns0:is>
          <ns0:t>[]</ns0:t>
        </ns0:is>
      </ns0:c>
    </ns0:row>
    <ns0:row r="221" ht="65" customHeight="1">
      <ns0:c r="A221" s="19" t="inlineStr">
        <ns0:is>
          <ns0:t>235</ns0:t>
        </ns0:is>
      </ns0:c>
      <ns0:c r="B221" s="19" t="inlineStr">
        <ns0:is>
          <ns0:t>Combining anatomical and functional networks for neuropathology identification: A case study on autism spectrum disorder</ns0:t>
        </ns0:is>
      </ns0:c>
      <ns0:c r="C221" s="19" t="inlineStr">
        <ns0:is>
          <ns0:t>10.1016/j.media.2021.101986</ns0:t>
        </ns0:is>
      </ns0:c>
      <ns0:c r="D221" s="19" t="inlineStr">
        <ns0:is>
          <ns0:t>https://doi.org/10.1016/j.media.2021.101986</ns0:t>
        </ns0:is>
      </ns0:c>
      <ns0:c r="E221" s="19" t="inlineStr">
        <ns0:is>
          <ns0:t>Supplied abstract/coding notes; no new full-text verification</ns0:t>
        </ns0:is>
      </ns0:c>
      <ns0:c r="F221" s="19" t="inlineStr">
        <ns0:is>
          <ns0:t>EVIDENCIA; original abstract/coding notes and lot source trace; Historical signals: title/abstract/notes; full-text completion not independently established</ns0:t>
        </ns0:is>
      </ns0:c>
      <ns0:c r="G221" s="19" t="inlineStr">
        <ns0:is>
          <ns0:t>Anatomical graph and functional MRI signals fused; Fukunaga-Koontz features and interpretable decision-tree model.</ns0:t>
        </ns0:is>
      </ns0:c>
      <ns0:c r="H221" s="19" t="inlineStr">
        <ns0:is>
          <ns0: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ns0:t>
        </ns0:is>
      </ns0:c>
      <ns0:c r="I221" s="19" t="inlineStr"/>
      <ns0:c r="J221" s="19" t="inlineStr"/>
      <ns0:c r="K221" s="19" t="inlineStr"/>
      <ns0:c r="L221" s="19" t="inlineStr">
        <ns0:is>
          <ns0:t>Not documented in provided sources</ns0:t>
        </ns0:is>
      </ns0:c>
      <ns0:c r="M221" s="19" t="inlineStr">
        <ns0:is>
          <ns0:t>[]</ns0:t>
        </ns0:is>
      </ns0:c>
    </ns0:row>
    <ns0:row r="222" ht="105" customHeight="1">
      <ns0:c r="A222" s="21" t="inlineStr">
        <ns0:is>
          <ns0:t>236</ns0:t>
        </ns0:is>
      </ns0:c>
      <ns0:c r="B222" s="21" t="inlineStr">
        <ns0:is>
          <ns0:t>Correlations between blood group and Rh factor in families and autism spectrum disorder: A comprehensive analysis</ns0:t>
        </ns0:is>
      </ns0:c>
      <ns0:c r="C222" s="21" t="inlineStr">
        <ns0:is>
          <ns0:t>10.1038/s41598-025-97313-8</ns0:t>
        </ns0:is>
      </ns0:c>
      <ns0:c r="D222" s="21" t="inlineStr">
        <ns0:is>
          <ns0:t>https://doi.org/10.1038/s41598-025-97313-8</ns0:t>
        </ns0:is>
      </ns0:c>
      <ns0:c r="E222" s="21" t="inlineStr">
        <ns0:is>
          <ns0:t>Supplied abstract/coding notes; no new full-text verification</ns0:t>
        </ns0:is>
      </ns0:c>
      <ns0:c r="F222" s="21" t="inlineStr">
        <ns0:is>
          <ns0:t>EVIDENCIA; original abstract/coding notes and lot source trace; Historical signals: title/abstract/notes; full-text completion not independently established</ns0:t>
        </ns0:is>
      </ns0:c>
      <ns0:c r="G222" s="21" t="inlineStr">
        <ns0:is>
          <ns0:t>Blood group/Rh association study explicitly mentions machine learning, but no prospective risk model or operational workflow is established.</ns0:t>
        </ns0:is>
      </ns0:c>
      <ns0:c r="H222" s="21" t="inlineStr">
        <ns0:is>
          <ns0: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ns0:t>
        </ns0:is>
      </ns0:c>
      <ns0:c r="I222" s="21" t="inlineStr">
        <ns0:is>
          <ns0:t>Análisis de grupos sanguíneos con regresión logística/ML no claramente central para una etapa clínica RQ1.</ns0:t>
        </ns0:is>
      </ns0:c>
      <ns0:c r="J222" s="21" t="inlineStr"/>
      <ns0:c r="K222" s="21" t="inlineStr"/>
      <ns0:c r="L222" s="21" t="inlineStr">
        <ns0:is>
          <ns0:t>Not documented in provided sources</ns0:t>
        </ns0:is>
      </ns0:c>
      <ns0:c r="M222" s="21" t="inlineStr">
        <ns0:is>
          <ns0:t>[]</ns0:t>
        </ns0:is>
      </ns0:c>
    </ns0:row>
    <ns0:row r="223" ht="93" customHeight="1">
      <ns0:c r="A223" s="19" t="inlineStr">
        <ns0:is>
          <ns0:t>237</ns0:t>
        </ns0:is>
      </ns0:c>
      <ns0:c r="B223" s="19" t="inlineStr">
        <ns0:is>
          <ns0:t>Cross-linguistic patterns of speech prosodic differences in autism: A machine learning study</ns0:t>
        </ns0:is>
      </ns0:c>
      <ns0:c r="C223" s="19" t="inlineStr">
        <ns0:is>
          <ns0:t>10.1371/journal.pone.0269637</ns0:t>
        </ns0:is>
      </ns0:c>
      <ns0:c r="D223" s="19" t="inlineStr">
        <ns0:is>
          <ns0:t>https://doi.org/10.1371/journal.pone.0269637</ns0:t>
        </ns0:is>
      </ns0:c>
      <ns0:c r="E223" s="19" t="inlineStr">
        <ns0:is>
          <ns0:t>Supplied abstract/coding notes; no new full-text verification</ns0:t>
        </ns0:is>
      </ns0:c>
      <ns0:c r="F223" s="19" t="inlineStr">
        <ns0:is>
          <ns0:t>EVIDENCIA; original abstract/coding notes and lot source trace; Historical signals: title/abstract/notes; full-text completion not independently established</ns0:t>
        </ns0:is>
      </ns0:c>
      <ns0:c r="G223" s="19" t="inlineStr">
        <ns0:is>
          <ns0:t>Acoustic prosody classification within and across English and Cantonese; not text analysis. Cross-language transfer is not automatically cross-site robustness.</ns0:t>
        </ns0:is>
      </ns0:c>
      <ns0:c r="H223" s="19" t="inlineStr">
        <ns0:is>
          <ns0: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ns0:t>
        </ns0:is>
      </ns0:c>
      <ns0:c r="I223" s="19" t="inlineStr">
        <ns0:is>
          <ns0:t>Algoritmo principal no explícito o fuera del codebook; Confirmar algoritmo principal en full-text</ns0:t>
        </ns0:is>
      </ns0:c>
      <ns0:c r="J223" s="19" t="inlineStr"/>
      <ns0:c r="K223" s="19" t="inlineStr"/>
      <ns0:c r="L223" s="19" t="inlineStr">
        <ns0:is>
          <ns0:t>Not documented in provided sources</ns0:t>
        </ns0:is>
      </ns0:c>
      <ns0:c r="M223" s="19" t="inlineStr">
        <ns0:is>
          <ns0:t>[]</ns0:t>
        </ns0:is>
      </ns0:c>
    </ns0:row>
    <ns0:row r="224" ht="93" customHeight="1">
      <ns0:c r="A224" s="21" t="inlineStr">
        <ns0:is>
          <ns0:t>238</ns0:t>
        </ns0:is>
      </ns0:c>
      <ns0:c r="B224" s="21" t="inlineStr">
        <ns0:is>
          <ns0:t>Data mining and machine learning techniques for early detection in autism spectrum disorder</ns0:t>
        </ns0:is>
      </ns0:c>
      <ns0:c r="C224" s="21" t="inlineStr">
        <ns0:is>
          <ns0:t>10.1016/b978-0-12-822822-7.00006-5</ns0:t>
        </ns0:is>
      </ns0:c>
      <ns0:c r="D224" s="21" t="inlineStr">
        <ns0:is>
          <ns0:t>https://doi.org/10.1016/b978-0-12-822822-7.00006-5</ns0:t>
        </ns0:is>
      </ns0:c>
      <ns0:c r="E224" s="21" t="inlineStr">
        <ns0:is>
          <ns0:t>Supplied abstract/coding notes; no new full-text verification</ns0:t>
        </ns0:is>
      </ns0:c>
      <ns0:c r="F224" s="21" t="inlineStr">
        <ns0:is>
          <ns0:t>EVIDENCIA; original abstract/coding notes and lot source trace; Historical signals: title/abstract/notes; full-text completion not independently established</ns0:t>
        </ns0:is>
      </ns0:c>
      <ns0:c r="G224" s="21" t="inlineStr">
        <ns0:is>
          <ns0:t>Elsevier B978 edited-book chapter. The current source eligibility codebook excludes standalone chapters, while retaining full conference proceedings.</ns0:t>
        </ns0:is>
      </ns0:c>
      <ns0:c r="H224" s="21" t="inlineStr">
        <ns0:is>
          <ns0:t>Nowadays, artificial intelligence techniques are applied in many fields such as industry, natural language processing, or medicine. In this chapter, we have focused on the health area. Within the field of health, artificial intelligence acts in different ways, from predicting any type of disease or dysfunctions in order to establish correlations between different measures collected. Here, we have addressed the application of data mining and machine learning techniques for early detection in autism spectrum disorder. Our approach consists of an architecture based on five steps: (1) search and selection of data sources; (2) application of extract, transform, and load process; (3) creation of the data warehouse and data mart; (4) application of machine learning techniques with the aim of extracting relevant information from selected information sources in order to correctly classify the new data; and (5) visualization of results. In order to test our methodology, we present a case study using three autism datasets with patients of different ages. We used different machine learning techniques in order to compare the results obtained and to find out the best techniques depending on the input data and indicators collected. Finally, we have created dashboards using two of the most significant tools (i.e., Power BI and Tableau) in order to graphically analyze the results.</ns0:t>
        </ns0:is>
      </ns0:c>
      <ns0:c r="I224" s="21" t="inlineStr">
        <ns0:is>
          <ns0:t>Usa varios datasets, pero no basta para marcar validación externa o multisource strategy.</ns0:t>
        </ns0:is>
      </ns0:c>
      <ns0:c r="J224" s="21" t="inlineStr"/>
      <ns0:c r="K224" s="21" t="inlineStr"/>
      <ns0:c r="L224" s="21" t="inlineStr">
        <ns0:is>
          <ns0:t>Not documented in provided sources</ns0:t>
        </ns0:is>
      </ns0:c>
      <ns0:c r="M224" s="21" t="inlineStr">
        <ns0:is>
          <ns0:t>[]</ns0:t>
        </ns0:is>
      </ns0:c>
    </ns0:row>
    <ns0:row r="225" ht="105" customHeight="1">
      <ns0:c r="A225" s="19" t="inlineStr">
        <ns0:is>
          <ns0:t>239</ns0:t>
        </ns0:is>
      </ns0:c>
      <ns0:c r="B225" s="19" t="inlineStr">
        <ns0:is>
          <ns0:t>Diagnosing autism severity associated with physical fitness and gray matter volume in children with autism spectrum disorder: Explainable machine learning method</ns0:t>
        </ns0:is>
      </ns0:c>
      <ns0:c r="C225" s="19" t="inlineStr">
        <ns0:is>
          <ns0:t>10.1016/j.ctcp.2023.101825</ns0:t>
        </ns0:is>
      </ns0:c>
      <ns0:c r="D225" s="19" t="inlineStr">
        <ns0:is>
          <ns0:t>https://doi.org/10.1016/j.ctcp.2023.101825</ns0:t>
        </ns0:is>
      </ns0:c>
      <ns0:c r="E225" s="19" t="inlineStr">
        <ns0:is>
          <ns0:t>Supplied abstract/coding notes; no new full-text verification</ns0:t>
        </ns0:is>
      </ns0:c>
      <ns0:c r="F225" s="19" t="inlineStr">
        <ns0:is>
          <ns0:t>EVIDENCIA; original abstract/coding notes and lot source trace; Historical signals: title/abstract/notes; full-text completion not independently established</ns0:t>
        </ns0:is>
      </ns0:c>
      <ns0:c r="G225" s="19" t="inlineStr">
        <ns0:is>
          <ns0:t>Physical fitness and MRI gray-matter volumes jointly predict concurrent severity; XGBoost emphasized and SHAP explicitly reported.</ns0:t>
        </ns0:is>
      </ns0:c>
      <ns0:c r="H225" s="19" t="inlineStr">
        <ns0:is>
          <ns0: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ns0:t>
        </ns0:is>
      </ns0:c>
      <ns0:c r="I225" s="19" t="inlineStr">
        <ns0:is>
          <ns0:t>Modelos XGB/RF/SVM/DT para severidad; se selecciona XGBoost como principal y se marca GMV + pruebas físicas.</ns0:t>
        </ns0:is>
      </ns0:c>
      <ns0:c r="J225" s="19" t="inlineStr"/>
      <ns0:c r="K225" s="19" t="inlineStr"/>
      <ns0:c r="L225" s="19" t="inlineStr">
        <ns0:is>
          <ns0:t>Not documented in provided sources</ns0:t>
        </ns0:is>
      </ns0:c>
      <ns0:c r="M225" s="19" t="inlineStr">
        <ns0:is>
          <ns0:t>[]</ns0:t>
        </ns0:is>
      </ns0:c>
    </ns0:row>
    <ns0:row r="226" ht="69" customHeight="1">
      <ns0:c r="A226" s="21" t="inlineStr">
        <ns0:is>
          <ns0:t>240</ns0:t>
        </ns0:is>
      </ns0:c>
      <ns0:c r="B226" s="21" t="inlineStr">
        <ns0:is>
          <ns0:t>Diagnosis of Autism Disorder Based on Deep Network Trained by Augmented EEG Signals</ns0:t>
        </ns0:is>
      </ns0:c>
      <ns0:c r="C226" s="21" t="inlineStr">
        <ns0:is>
          <ns0:t>10.1142/s0129065722500460</ns0:t>
        </ns0:is>
      </ns0:c>
      <ns0:c r="D226" s="21" t="inlineStr">
        <ns0:is>
          <ns0:t>https://doi.org/10.1142/s0129065722500460</ns0:t>
        </ns0:is>
      </ns0:c>
      <ns0:c r="E226" s="21" t="inlineStr">
        <ns0:is>
          <ns0:t>Supplied abstract/coding notes; no new full-text verification</ns0:t>
        </ns0:is>
      </ns0:c>
      <ns0:c r="F226" s="21" t="inlineStr">
        <ns0:is>
          <ns0:t>EVIDENCIA; original abstract/coding notes and lot source trace; Historical signals: title/abstract/notes; full-text completion not independently established</ns0:t>
        </ns0:is>
      </ns0:c>
      <ns0:c r="G226" s="21" t="inlineStr">
        <ns0:is>
          <ns0:t>EEG windows rendered as images remain EEG source data; augmentation does not add independent data sources.</ns0:t>
        </ns0:is>
      </ns0:c>
      <ns0:c r="H226" s="21" t="inlineStr">
        <ns0:is>
          <ns0: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ns0:t>
        </ns0:is>
      </ns0:c>
      <ns0:c r="I226" s="21" t="inlineStr">
        <ns0:is>
          <ns0:t>Se comparan varios modelos; se eligió el principal/mejor reportado</ns0:t>
        </ns0:is>
      </ns0:c>
      <ns0:c r="J226" s="21" t="inlineStr"/>
      <ns0:c r="K226" s="21" t="inlineStr"/>
      <ns0:c r="L226" s="21" t="inlineStr">
        <ns0:is>
          <ns0:t>Not documented in provided sources</ns0:t>
        </ns0:is>
      </ns0:c>
      <ns0:c r="M226" s="21" t="inlineStr">
        <ns0:is>
          <ns0:t>[]</ns0:t>
        </ns0:is>
      </ns0:c>
    </ns0:row>
    <ns0:row r="227" ht="65" customHeight="1">
      <ns0:c r="A227" s="19" t="inlineStr">
        <ns0:is>
          <ns0:t>241</ns0:t>
        </ns0:is>
      </ns0:c>
      <ns0:c r="B227" s="19" t="inlineStr">
        <ns0:is>
          <ns0:t>Differences in atypical resting-state effective connectivity distinguish autism from schizophrenia</ns0:t>
        </ns0:is>
      </ns0:c>
      <ns0:c r="C227" s="19" t="inlineStr">
        <ns0:is>
          <ns0:t>10.1016/j.nicl.2018.01.014</ns0:t>
        </ns0:is>
      </ns0:c>
      <ns0:c r="D227" s="19" t="inlineStr">
        <ns0:is>
          <ns0:t>https://doi.org/10.1016/j.nicl.2018.01.014</ns0:t>
        </ns0:is>
      </ns0:c>
      <ns0:c r="E227" s="19" t="inlineStr">
        <ns0:is>
          <ns0:t>Supplied abstract/coding notes; no new full-text verification</ns0:t>
        </ns0:is>
      </ns0:c>
      <ns0:c r="F227" s="19" t="inlineStr">
        <ns0:is>
          <ns0:t>EVIDENCIA; original abstract/coding notes and lot source trace; Historical signals: title/abstract/notes; full-text completion not independently established</ns0:t>
        </ns0:is>
      </ns0:c>
      <ns0:c r="G227" s="19" t="inlineStr">
        <ns0:is>
          <ns0:t>Effective-connectivity MRI classifier tested in an independent cohort.</ns0:t>
        </ns0:is>
      </ns0:c>
      <ns0:c r="H227" s="19" t="inlineStr">
        <ns0:is>
          <ns0: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ns0:t>
        </ns0:is>
      </ns0:c>
      <ns0:c r="I227" s="19" t="inlineStr"/>
      <ns0:c r="J227" s="19" t="inlineStr"/>
      <ns0:c r="K227" s="19" t="inlineStr"/>
      <ns0:c r="L227" s="19" t="inlineStr">
        <ns0:is>
          <ns0:t>Not documented in provided sources</ns0:t>
        </ns0:is>
      </ns0:c>
      <ns0:c r="M227" s="19" t="inlineStr">
        <ns0:is>
          <ns0:t>[]</ns0:t>
        </ns0:is>
      </ns0:c>
    </ns0:row>
    <ns0:row r="228" ht="65" customHeight="1">
      <ns0:c r="A228" s="21" t="inlineStr">
        <ns0:is>
          <ns0:t>242</ns0:t>
        </ns0:is>
      </ns0:c>
      <ns0:c r="B228" s="21" t="inlineStr">
        <ns0:is>
          <ns0:t>Eigenvector Centrality Characterization on fMRI Data: Gender and Node Differences in Normal and ASD Subjects: Author name</ns0:t>
        </ns0:is>
      </ns0:c>
      <ns0:c r="C228" s="21" t="inlineStr">
        <ns0:is>
          <ns0:t>10.1007/s10803-023-05922-x</ns0:t>
        </ns0:is>
      </ns0:c>
      <ns0:c r="D228" s="21" t="inlineStr">
        <ns0:is>
          <ns0:t>https://doi.org/10.1007/s10803-023-05922-x</ns0:t>
        </ns0:is>
      </ns0:c>
      <ns0:c r="E228" s="21" t="inlineStr">
        <ns0:is>
          <ns0:t>Supplied abstract/coding notes; no new full-text verification</ns0:t>
        </ns0:is>
      </ns0:c>
      <ns0:c r="F228" s="21" t="inlineStr">
        <ns0:is>
          <ns0:t>EVIDENCIA; original abstract/coding notes and lot source trace; Historical signals: title/abstract/notes; full-text completion not independently established</ns0:t>
        </ns0:is>
      </ns0:c>
      <ns0:c r="G228" s="21" t="inlineStr">
        <ns0:is>
          <ns0:t>fMRI eigenvector centrality; inherited tree classifier belongs to conventional ML, not deep learning. Family retained from prior charting.</ns0:t>
        </ns0:is>
      </ns0:c>
      <ns0:c r="H228" s="21" t="inlineStr">
        <ns0:is>
          <ns0: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ns0:t>
        </ns0:is>
      </ns0:c>
      <ns0:c r="I228" s="21" t="inlineStr"/>
      <ns0:c r="J228" s="21" t="inlineStr"/>
      <ns0:c r="K228" s="21" t="inlineStr"/>
      <ns0:c r="L228" s="21" t="inlineStr">
        <ns0:is>
          <ns0:t>Not documented in provided sources</ns0:t>
        </ns0:is>
      </ns0:c>
      <ns0:c r="M228" s="21" t="inlineStr">
        <ns0:is>
          <ns0:t>[]</ns0:t>
        </ns0:is>
      </ns0:c>
    </ns0:row>
    <ns0:row r="229" ht="65" customHeight="1">
      <ns0:c r="A229" s="19" t="inlineStr">
        <ns0:is>
          <ns0:t>243</ns0:t>
        </ns0:is>
      </ns0:c>
      <ns0:c r="B229" s="19" t="inlineStr">
        <ns0:is>
          <ns0:t>Enhancing Multi-view ASD Diagnosis Using Structural MRI and Pretrained CNN</ns0:t>
        </ns0:is>
      </ns0:c>
      <ns0:c r="C229" s="19" t="inlineStr">
        <ns0:is>
          <ns0:t>10.1007/978-3-031-83845-3_26</ns0:t>
        </ns0:is>
      </ns0:c>
      <ns0:c r="D229" s="19" t="inlineStr">
        <ns0:is>
          <ns0:t>https://doi.org/10.1007/978-3-031-83845-3_26</ns0:t>
        </ns0:is>
      </ns0:c>
      <ns0:c r="E229" s="19" t="inlineStr">
        <ns0:is>
          <ns0:t>Supplied abstract/coding notes; no new full-text verification</ns0:t>
        </ns0:is>
      </ns0:c>
      <ns0:c r="F229" s="19" t="inlineStr">
        <ns0:is>
          <ns0:t>EVIDENCIA; original abstract/coding notes and lot source trace; Historical signals: title/abstract/notes; full-text completion not independently established</ns0:t>
        </ns0:is>
      </ns0:c>
      <ns0:c r="G229" s="19" t="inlineStr">
        <ns0:is>
          <ns0:t>Multiple views of the same structural MRI scan do not constitute independent source fusion.</ns0:t>
        </ns0:is>
      </ns0:c>
      <ns0:c r="H229" s="19" t="inlineStr">
        <ns0:is>
          <ns0: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ns0:t>
        </ns0:is>
      </ns0:c>
      <ns0:c r="I229" s="19" t="inlineStr"/>
      <ns0:c r="J229" s="19" t="inlineStr"/>
      <ns0:c r="K229" s="19" t="inlineStr"/>
      <ns0:c r="L229" s="19" t="inlineStr">
        <ns0:is>
          <ns0:t>Not documented in provided sources</ns0:t>
        </ns0:is>
      </ns0:c>
      <ns0:c r="M229" s="19" t="inlineStr">
        <ns0:is>
          <ns0:t>[]</ns0:t>
        </ns0:is>
      </ns0:c>
    </ns0:row>
    <ns0:row r="230" ht="65" customHeight="1">
      <ns0:c r="A230" s="21" t="inlineStr">
        <ns0:is>
          <ns0:t>245</ns0:t>
        </ns0:is>
      </ns0:c>
      <ns0:c r="B230" s="21" t="inlineStr">
        <ns0:is>
          <ns0:t>Exploring Sparse Gaussian Processes for Bayesian Optimization in Convolutional Neural Networks for Autism Classification</ns0:t>
        </ns0:is>
      </ns0:c>
      <ns0:c r="C230" s="21" t="inlineStr">
        <ns0:is>
          <ns0:t>10.1109/access.2024.3351168</ns0:t>
        </ns0:is>
      </ns0:c>
      <ns0:c r="D230" s="21" t="inlineStr">
        <ns0:is>
          <ns0:t>https://doi.org/10.1109/access.2024.3351168</ns0:t>
        </ns0:is>
      </ns0:c>
      <ns0:c r="E230" s="21" t="inlineStr">
        <ns0:is>
          <ns0:t>Supplied abstract/coding notes; no new full-text verification</ns0:t>
        </ns0:is>
      </ns0:c>
      <ns0:c r="F230" s="21" t="inlineStr">
        <ns0:is>
          <ns0:t>EVIDENCIA; original abstract/coding notes and lot source trace; Historical signals: title/abstract/notes; full-text completion not independently established</ns0:t>
        </ns0:is>
      </ns0:c>
      <ns0:c r="G230" s="21" t="inlineStr">
        <ns0:is>
          <ns0:t>Eye-tracking image CNN with Bayesian hyperparameter optimization; optimization is not a separate fused clinical modality.</ns0:t>
        </ns0:is>
      </ns0:c>
      <ns0:c r="H230" s="21" t="inlineStr">
        <ns0:is>
          <ns0:t>Autism Spectrum Disorder (ASD) constitutes a prevalent childhood condition, impacting approximately 0.62% of the global population. Children grappling with ASD encounter challenges in acquiring language proficiency, comprehending spoken communication, and interpreting nonverbal cues, including eye contact, facial expressions, and hand gestures. This discourse delves into the application of eye tracking as a foundational instrument in ASD screening, leveraging the distinctive attributes of gaze behavior. Within the realm of Artificial Intelligence, Deep Learning manifests substantial promise, exhibiting considerable strides across diverse domains and emerging as an indispensable technological paradigm. This treatise introduces an innovative Convolutional Neural Network (CNN) model predicated on Bayesian optimization for the discernment of eye tracking images. The model comprises two primary components: the initial segment employs CNN to extract and amalgamate salient features, while the subsequent section incorporates a Bayesian optimizer tasked with fine-tuning the CNN’s hyperparameters contingent on an objective function. In the preliminary analysis, three distinct scenarios devoid of specific elements are juxtaposed with Bayesian optimization. During the examination, these circumstances are assessed through convergence charts and metrics of accuracy. The algorithm proposed manifests an elevated performance, demonstrating a conspicuous accuracy threshold of % during the evaluative phase of the model. This outcome constitutes a commendable advancement in research, accentuating the efficacy and resilience of the developed approach. The article undertakes a comparative analysis of research methodologies and thematic analysis approaches, furnishing valuable insights for qualitative researchers and offering methodologically robust pathways to address research inquiries. In practical applications, the model attests to heightened reliability and precision, thereby underscored as efficacious in real-world scenarios.</ns0:t>
        </ns0:is>
      </ns0:c>
      <ns0:c r="I230" s="21" t="inlineStr">
        <ns0:is>
          <ns0:t>Sin señal explícita Q3 en título/abstract.</ns0:t>
        </ns0:is>
      </ns0:c>
      <ns0:c r="J230" s="21" t="inlineStr"/>
      <ns0:c r="K230" s="21" t="inlineStr"/>
      <ns0:c r="L230" s="21" t="inlineStr">
        <ns0:is>
          <ns0:t>Not documented in provided sources</ns0:t>
        </ns0:is>
      </ns0:c>
      <ns0:c r="M230" s="21" t="inlineStr">
        <ns0:is>
          <ns0:t>[]</ns0:t>
        </ns0:is>
      </ns0:c>
    </ns0:row>
    <ns0:row r="231" ht="65" customHeight="1">
      <ns0:c r="A231" s="19" t="inlineStr">
        <ns0:is>
          <ns0:t>246</ns0:t>
        </ns0:is>
      </ns0:c>
      <ns0:c r="B231" s="19" t="inlineStr">
        <ns0:is>
          <ns0:t>Exploring tree-based machine learning methods to predict autism spectrum disorder</ns0:t>
        </ns0:is>
      </ns0:c>
      <ns0:c r="C231" s="19" t="inlineStr">
        <ns0:is>
          <ns0:t>10.1016/b978-0-12-822822-7.00009-0</ns0:t>
        </ns0:is>
      </ns0:c>
      <ns0:c r="D231" s="19" t="inlineStr">
        <ns0:is>
          <ns0:t>https://doi.org/10.1016/b978-0-12-822822-7.00009-0</ns0:t>
        </ns0:is>
      </ns0:c>
      <ns0:c r="E231" s="19" t="inlineStr">
        <ns0:is>
          <ns0:t>Supplied abstract/coding notes; no new full-text verification</ns0:t>
        </ns0:is>
      </ns0:c>
      <ns0:c r="F231" s="19" t="inlineStr">
        <ns0:is>
          <ns0:t>EVIDENCIA; original abstract/coding notes and lot source trace; Historical signals: title/abstract/notes; full-text completion not independently established</ns0:t>
        </ns0:is>
      </ns0:c>
      <ns0:c r="G231" s="19" t="inlineStr">
        <ns0:is>
          <ns0:t>Elsevier B978 edited-book chapter; apply current publication-type eligibility consistently.</ns0:t>
        </ns0:is>
      </ns0:c>
      <ns0:c r="H231" s="19" t="inlineStr">
        <ns0:is>
          <ns0: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ns0:t>
        </ns0:is>
      </ns0:c>
      <ns0:c r="I231" s="19" t="inlineStr"/>
      <ns0:c r="J231" s="19" t="inlineStr"/>
      <ns0:c r="K231" s="19" t="inlineStr"/>
      <ns0:c r="L231" s="19" t="inlineStr">
        <ns0:is>
          <ns0:t>Not documented in provided sources</ns0:t>
        </ns0:is>
      </ns0:c>
      <ns0:c r="M231" s="19" t="inlineStr">
        <ns0:is>
          <ns0:t>[]</ns0:t>
        </ns0:is>
      </ns0:c>
    </ns0:row>
    <ns0:row r="232" ht="65" customHeight="1">
      <ns0:c r="A232" s="21" t="inlineStr">
        <ns0:is>
          <ns0:t>247</ns0:t>
        </ns0:is>
      </ns0:c>
      <ns0:c r="B232" s="21" t="inlineStr">
        <ns0:is>
          <ns0:t>Few-Shot Classification of Autism Spectrum Disorder using Site-Agnostic Meta-Learning and Brain MRI</ns0:t>
        </ns0:is>
      </ns0:c>
      <ns0:c r="C232" s="21" t="inlineStr">
        <ns0:is>
          <ns0:t>10.1109/embc40787.2023.10340852</ns0:t>
        </ns0:is>
      </ns0:c>
      <ns0:c r="D232" s="21" t="inlineStr">
        <ns0:is>
          <ns0:t>https://doi.org/10.1109/embc40787.2023.10340852</ns0:t>
        </ns0:is>
      </ns0:c>
      <ns0:c r="E232" s="21" t="inlineStr">
        <ns0:is>
          <ns0:t>Supplied abstract/coding notes; no new full-text verification</ns0:t>
        </ns0:is>
      </ns0:c>
      <ns0:c r="F232" s="21" t="inlineStr">
        <ns0:is>
          <ns0:t>EVIDENCIA; original abstract/coding notes and lot source trace; Historical signals: title/abstract/notes; full-text completion not independently established</ns0:t>
        </ns0:is>
      </ns0:c>
      <ns0:c r="G232" s="21" t="inlineStr">
        <ns0:is>
          <ns0:t>Brain MRI site-agnostic meta-learning evaluated zero-shot on an independent site; not NLP. Neural backbone not specified in available abstract.</ns0:t>
        </ns0:is>
      </ns0:c>
      <ns0:c r="H232" s="21" t="inlineStr">
        <ns0:is>
          <ns0:t>For machine learning applications in medical imaging, the availability of training data is often limited, which hampers the design of radiological classifiers for subtle conditions such as autism spectrum disorder (ASD). Transfer learning is one method to counter this problem of low training data regimes. Here we explore the use of meta-learning for very low data regimes in the context of having prior data from multiple sites-an approach we term site-agnostic meta-learning. Inspired by the effectiveness of meta-learning for optimizing a model across multiple tasks, here we propose a framework to adapt it to learn across multiple sites. We tested our meta-learning model for classifying ASD versus typically developing controls in 2,201 T1-weighted (T1-w) MRI scans collected from 38 imaging sites as part of Autism Brain Imaging Data Exchange (ABIDE) [age: 5.2-64.0 years]. The method was trained to find a good initialization state for our model that can quickly adapt to data from new unseen sites by fine-tuning on the limited data that is available. The proposed method achieved an area under the receiver operating characteristic curve (ROC-AUC)=0.857 on 370 scans from 7 unseen sites in ABIDE using a few-shot setting of 2-way 20-shot i.e., 20 training samples per site. Our results outperformed a transfer learning baseline by generalizing across a wider range of sites as well as other related prior work. We also tested our model in a zero-shot setting on an independent test site without any additional fine-tuning. Our experiments show the promise of the proposed site-agnostic meta-learning framework for challenging neuroimaging tasks involving multi-site heterogeneity with limited availability of training data.Clinical Relevance-We propose a learning framework that accommodates multi-site heterogeneity and limited data to assist in challenging neuroimaging tasks.</ns0:t>
        </ns0:is>
      </ns0:c>
      <ns0:c r="I232" s="21" t="inlineStr"/>
      <ns0:c r="J232" s="21" t="inlineStr"/>
      <ns0:c r="K232" s="21" t="inlineStr"/>
      <ns0:c r="L232" s="21" t="inlineStr">
        <ns0:is>
          <ns0:t>Not documented in provided sources</ns0:t>
        </ns0:is>
      </ns0:c>
      <ns0:c r="M232" s="21" t="inlineStr">
        <ns0:is>
          <ns0:t>[]</ns0:t>
        </ns0:is>
      </ns0:c>
    </ns0:row>
    <ns0:row r="233" ht="65" customHeight="1">
      <ns0:c r="A233" s="19" t="inlineStr">
        <ns0:is>
          <ns0:t>248</ns0:t>
        </ns0:is>
      </ns0:c>
      <ns0:c r="B233" s="19" t="inlineStr">
        <ns0:is>
          <ns0:t>Gaze Patterns in Children With Autism Spectrum Disorder to Emotional Faces: Scanpath and Similarity</ns0:t>
        </ns0:is>
      </ns0:c>
      <ns0:c r="C233" s="19" t="inlineStr">
        <ns0:is>
          <ns0:t>10.1109/tnsre.2024.3361935</ns0:t>
        </ns0:is>
      </ns0:c>
      <ns0:c r="D233" s="19" t="inlineStr">
        <ns0:is>
          <ns0:t>https://doi.org/10.1109/tnsre.2024.3361935</ns0:t>
        </ns0:is>
      </ns0:c>
      <ns0:c r="E233" s="19" t="inlineStr">
        <ns0:is>
          <ns0:t>Supplied abstract/coding notes; no new full-text verification</ns0:t>
        </ns0:is>
      </ns0:c>
      <ns0:c r="F233" s="19" t="inlineStr">
        <ns0:is>
          <ns0:t>EVIDENCIA; original abstract/coding notes and lot source trace; Historical signals: title/abstract/notes; full-text completion not independently established</ns0:t>
        </ns0:is>
      </ns0:c>
      <ns0:c r="G233" s="19" t="inlineStr">
        <ns0:is>
          <ns0:t>Sequential gaze scanpath classification, with recurrent family inherited from prior coding.</ns0:t>
        </ns0:is>
      </ns0:c>
      <ns0:c r="H233" s="19" t="inlineStr">
        <ns0:is>
          <ns0: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ns0:t>
        </ns0:is>
      </ns0:c>
      <ns0:c r="I233" s="19" t="inlineStr"/>
      <ns0:c r="J233" s="19" t="inlineStr"/>
      <ns0:c r="K233" s="19" t="inlineStr"/>
      <ns0:c r="L233" s="19" t="inlineStr">
        <ns0:is>
          <ns0:t>Not documented in provided sources</ns0:t>
        </ns0:is>
      </ns0:c>
      <ns0:c r="M233" s="19" t="inlineStr">
        <ns0:is>
          <ns0:t>[]</ns0:t>
        </ns0:is>
      </ns0:c>
    </ns0:row>
    <ns0:row r="234" ht="93" customHeight="1">
      <ns0:c r="A234" s="21" t="inlineStr">
        <ns0:is>
          <ns0:t>249</ns0:t>
        </ns0:is>
      </ns0:c>
      <ns0:c r="B234" s="21" t="inlineStr">
        <ns0:is>
          <ns0:t>Gray Matter Alterations in Young Children with Autism Spectrum Disorders: Comparing Morphometry at the Voxel and Regional Level</ns0:t>
        </ns0:is>
      </ns0:c>
      <ns0:c r="C234" s="21" t="inlineStr">
        <ns0:is>
          <ns0:t>10.1111/jon.12280</ns0:t>
        </ns0:is>
      </ns0:c>
      <ns0:c r="D234" s="21" t="inlineStr">
        <ns0:is>
          <ns0:t>https://doi.org/10.1111/jon.12280</ns0:t>
        </ns0:is>
      </ns0:c>
      <ns0:c r="E234" s="21" t="inlineStr">
        <ns0:is>
          <ns0:t>Supplied abstract/coding notes; no new full-text verification</ns0:t>
        </ns0:is>
      </ns0:c>
      <ns0:c r="F234" s="21" t="inlineStr">
        <ns0:is>
          <ns0:t>EVIDENCIA; original abstract/coding notes and lot source trace; Historical signals: title/abstract/notes; full-text completion not independently established</ns0:t>
        </ns0:is>
      </ns0:c>
      <ns0:c r="G234" s="21" t="inlineStr">
        <ns0:is>
          <ns0:t>Gray-matter MRI morphometry; support-vector machine is explicit in abstract.</ns0:t>
        </ns0:is>
      </ns0:c>
      <ns0:c r="H234" s="21" t="inlineStr">
        <ns0:is>
          <ns0: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ns0:t>
        </ns0:is>
      </ns0:c>
      <ns0:c r="I234" s="21" t="inlineStr">
        <ns0:is>
          <ns0:t>Algoritmo principal no explícito o fuera del codebook; Confirmar algoritmo principal en full-text</ns0:t>
        </ns0:is>
      </ns0:c>
      <ns0:c r="J234" s="21" t="inlineStr"/>
      <ns0:c r="K234" s="21" t="inlineStr"/>
      <ns0:c r="L234" s="21" t="inlineStr">
        <ns0:is>
          <ns0:t>Not documented in provided sources</ns0:t>
        </ns0:is>
      </ns0:c>
      <ns0:c r="M234" s="21" t="inlineStr">
        <ns0:is>
          <ns0:t>[]</ns0:t>
        </ns0:is>
      </ns0:c>
    </ns0:row>
    <ns0:row r="235" ht="65" customHeight="1">
      <ns0:c r="A235" s="19" t="inlineStr">
        <ns0:is>
          <ns0:t>250</ns0:t>
        </ns0:is>
      </ns0:c>
      <ns0:c r="B235" s="19" t="inlineStr">
        <ns0:is>
          <ns0:t>Identification of Autism spectrum disorder based on a novel feature selection method and Variational Autoencoder</ns0:t>
        </ns0:is>
      </ns0:c>
      <ns0:c r="C235" s="19" t="inlineStr">
        <ns0:is>
          <ns0:t>10.1016/j.compbiomed.2022.105854</ns0:t>
        </ns0:is>
      </ns0:c>
      <ns0:c r="D235" s="19" t="inlineStr">
        <ns0:is>
          <ns0:t>https://doi.org/10.1016/j.compbiomed.2022.105854</ns0:t>
        </ns0:is>
      </ns0:c>
      <ns0:c r="E235" s="19" t="inlineStr">
        <ns0:is>
          <ns0:t>Supplied abstract/coding notes; no new full-text verification</ns0:t>
        </ns0:is>
      </ns0:c>
      <ns0:c r="F235" s="19" t="inlineStr">
        <ns0:is>
          <ns0:t>EVIDENCIA; original abstract/coding notes and lot source trace; Historical signals: title/abstract/notes; full-text completion not independently established</ns0:t>
        </ns0:is>
      </ns0:c>
      <ns0:c r="G235" s="19" t="inlineStr">
        <ns0:is>
          <ns0:t>Resting-state fMRI functional connectivity with VAE-pretrained MLP, internal repeated cross-validation.</ns0:t>
        </ns0:is>
      </ns0:c>
      <ns0:c r="H235" s="19" t="inlineStr">
        <ns0:is>
          <ns0: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ns0:t>
        </ns0:is>
      </ns0:c>
      <ns0:c r="I235" s="19" t="inlineStr"/>
      <ns0:c r="J235" s="19" t="inlineStr"/>
      <ns0:c r="K235" s="19" t="inlineStr"/>
      <ns0:c r="L235" s="19" t="inlineStr">
        <ns0:is>
          <ns0:t>Not documented in provided sources</ns0:t>
        </ns0:is>
      </ns0:c>
      <ns0:c r="M235" s="19" t="inlineStr">
        <ns0:is>
          <ns0:t>[]</ns0:t>
        </ns0:is>
      </ns0:c>
    </ns0:row>
    <ns0:row r="236" ht="93" customHeight="1">
      <ns0:c r="A236" s="21" t="inlineStr">
        <ns0:is>
          <ns0:t>251</ns0:t>
        </ns0:is>
      </ns0:c>
      <ns0:c r="B236" s="21" t="inlineStr">
        <ns0:is>
          <ns0:t>Integrative analysis of long noncoding RNAs dysregulation and synapse-associated ceRNA regulatory axes in autism</ns0:t>
        </ns0:is>
      </ns0:c>
      <ns0:c r="C236" s="21" t="inlineStr">
        <ns0:is>
          <ns0:t>10.1038/s41398-023-02662-5</ns0:t>
        </ns0:is>
      </ns0:c>
      <ns0:c r="D236" s="21" t="inlineStr">
        <ns0:is>
          <ns0:t>https://doi.org/10.1038/s41398-023-02662-5</ns0:t>
        </ns0:is>
      </ns0:c>
      <ns0:c r="E236" s="21" t="inlineStr">
        <ns0:is>
          <ns0:t>Supplied abstract/coding notes; no new full-text verification</ns0:t>
        </ns0:is>
      </ns0:c>
      <ns0:c r="F236" s="21" t="inlineStr">
        <ns0:is>
          <ns0:t>EVIDENCIA; original abstract/coding notes and lot source trace; Historical signals: title/abstract/notes; full-text completion not independently established</ns0:t>
        </ns0:is>
      </ns0:c>
      <ns0:c r="G236" s="21" t="inlineStr">
        <ns0:is>
          <ns0:t>Integrative human transcriptomics/ceRNA marker study, including SVM and RF; not physiological signal or generic NLP.</ns0:t>
        </ns0:is>
      </ns0:c>
      <ns0:c r="H236" s="21" t="inlineStr">
        <ns0:is>
          <ns0: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ns0:t>
        </ns0:is>
      </ns0:c>
      <ns0:c r="I236" s="21" t="inlineStr">
        <ns0:is>
          <ns0:t>Análisis integrativo de lncRNA/ceRNA sin algoritmo de IA clínico principal claramente reportado.</ns0:t>
        </ns0:is>
      </ns0:c>
      <ns0:c r="J236" s="21" t="inlineStr"/>
      <ns0:c r="K236" s="21" t="inlineStr"/>
      <ns0:c r="L236" s="21" t="inlineStr">
        <ns0:is>
          <ns0:t>Not documented in provided sources</ns0:t>
        </ns0:is>
      </ns0:c>
      <ns0:c r="M236" s="21" t="inlineStr">
        <ns0:is>
          <ns0:t>[]</ns0:t>
        </ns0:is>
      </ns0:c>
    </ns0:row>
    <ns0:row r="237" ht="93" customHeight="1">
      <ns0:c r="A237" s="19" t="inlineStr">
        <ns0:is>
          <ns0:t>253</ns0:t>
        </ns0:is>
      </ns0:c>
      <ns0:c r="B237" s="19" t="inlineStr">
        <ns0:is>
          <ns0:t>Interpersonal Motor Coordination in Children with Autism and the Establishment of Machine Learning Models to Objectively Classify Children with Autism and Typical Development</ns0:t>
        </ns0:is>
      </ns0:c>
      <ns0:c r="C237" s="19" t="inlineStr">
        <ns0:is>
          <ns0:t>10.1016/j.irbm.2024.100838</ns0:t>
        </ns0:is>
      </ns0:c>
      <ns0:c r="D237" s="19" t="inlineStr">
        <ns0:is>
          <ns0:t>https://doi.org/10.1016/j.irbm.2024.100838</ns0:t>
        </ns0:is>
      </ns0:c>
      <ns0:c r="E237" s="19" t="inlineStr">
        <ns0:is>
          <ns0:t>Supplied abstract/coding notes; no new full-text verification</ns0:t>
        </ns0:is>
      </ns0:c>
      <ns0:c r="F237" s="19" t="inlineStr">
        <ns0:is>
          <ns0:t>EVIDENCIA; original abstract/coding notes and lot source trace; Historical signals: title/abstract/notes; full-text completion not independently established</ns0:t>
        </ns0:is>
      </ns0:c>
      <ns0:c r="G237" s="19" t="inlineStr">
        <ns0:is>
          <ns0:t>Filmed interpersonal motor coordination and engineered wavelet coherence features; no deep architecture specified.</ns0:t>
        </ns0:is>
      </ns0:c>
      <ns0:c r="H237" s="19" t="inlineStr">
        <ns0:is>
          <ns0: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ns0:t>
        </ns0:is>
      </ns0:c>
      <ns0:c r="I237" s="19" t="inlineStr">
        <ns0:is>
          <ns0:t>Algoritmo principal no explícito o fuera del codebook; Confirmar algoritmo principal en full-text</ns0:t>
        </ns0:is>
      </ns0:c>
      <ns0:c r="J237" s="19" t="inlineStr"/>
      <ns0:c r="K237" s="19" t="inlineStr"/>
      <ns0:c r="L237" s="19" t="inlineStr">
        <ns0:is>
          <ns0:t>Not documented in provided sources</ns0:t>
        </ns0:is>
      </ns0:c>
      <ns0:c r="M237" s="19" t="inlineStr">
        <ns0:is>
          <ns0:t>[]</ns0:t>
        </ns0:is>
      </ns0:c>
    </ns0:row>
    <ns0:row r="238" ht="153" customHeight="1">
      <ns0:c r="A238" s="21" t="inlineStr">
        <ns0:is>
          <ns0:t>254</ns0:t>
        </ns0:is>
      </ns0:c>
      <ns0:c r="B238" s="21" t="inlineStr">
        <ns0:is>
          <ns0:t>Low-Rank Representation for Multi-center Autism Spectrum Disorder Identification.</ns0:t>
        </ns0:is>
      </ns0:c>
      <ns0:c r="C238" s="21" t="inlineStr">
        <ns0:is>
          <ns0:t>10.1007/978-3-030-00928-1_73</ns0:t>
        </ns0:is>
      </ns0:c>
      <ns0:c r="D238" s="21" t="inlineStr">
        <ns0:is>
          <ns0:t>https://doi.org/10.1007/978-3-030-00928-1_73</ns0:t>
        </ns0:is>
      </ns0:c>
      <ns0:c r="E238" s="21" t="inlineStr">
        <ns0:is>
          <ns0:t>Supplied abstract/coding notes; no new full-text verification</ns0:t>
        </ns0:is>
      </ns0:c>
      <ns0:c r="F238" s="21" t="inlineStr">
        <ns0:is>
          <ns0:t>EVIDENCIA; original abstract/coding notes and lot source trace; Historical signals: title/abstract/notes; full-text completion not independently established</ns0:t>
        </ns0:is>
      </ns0:c>
      <ns0:c r="G238" s="21" t="inlineStr">
        <ns0:is>
          <ns0:t>Multi-center low-rank domain adaptation plus KNN. Target-center data participate in representation learning, so this is site-adapted evaluation, not untouched external validation.
Cross-center domain adaptation; target data used during adaptation, not untouched external cohort</ns0:t>
        </ns0:is>
      </ns0:c>
      <ns0:c r="H238" s="21" t="inlineStr">
        <ns0:is>
          <ns0: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ns0:t>
        </ns0:is>
      </ns0:c>
      <ns0:c r="I238" s="21" t="inlineStr">
        <ns0:is>
          <ns0:t>Algoritmo principal no explícito o fuera del codebook; Confirmar algoritmo principal en full-text; Se comparan varios modelos; se eligió el principal/mejor reportado</ns0:t>
        </ns0:is>
      </ns0:c>
      <ns0:c r="J238" s="21" t="inlineStr"/>
      <ns0:c r="K238" s="21" t="inlineStr"/>
      <ns0:c r="L238" s="21" t="inlineStr">
        <ns0:is>
          <ns0:t>Not documented in provided sources</ns0:t>
        </ns0:is>
      </ns0:c>
      <ns0:c r="M238" s="21" t="inlineStr">
        <ns0:is>
          <ns0:t>[]</ns0:t>
        </ns0:is>
      </ns0:c>
    </ns0:row>
    <ns0:row r="239" ht="69" customHeight="1">
      <ns0:c r="A239" s="19" t="inlineStr">
        <ns0:is>
          <ns0:t>255</ns0:t>
        </ns0:is>
      </ns0:c>
      <ns0:c r="B239" s="19" t="inlineStr">
        <ns0:is>
          <ns0:t>LSTA-CNN: A Lightweight Spatiotemporal Attention-Based Convolutional Neural Network for ASD Diagnosis Using EEG</ns0:t>
        </ns0:is>
      </ns0:c>
      <ns0:c r="C239" s="19" t="inlineStr">
        <ns0:is>
          <ns0:t>10.1109/tnsre.2025.3580593</ns0:t>
        </ns0:is>
      </ns0:c>
      <ns0:c r="D239" s="19" t="inlineStr">
        <ns0:is>
          <ns0:t>https://doi.org/10.1109/tnsre.2025.3580593</ns0:t>
        </ns0:is>
      </ns0:c>
      <ns0:c r="E239" s="19" t="inlineStr">
        <ns0:is>
          <ns0:t>Supplied abstract/coding notes; no new full-text verification</ns0:t>
        </ns0:is>
      </ns0:c>
      <ns0:c r="F239" s="19" t="inlineStr">
        <ns0:is>
          <ns0:t>EVIDENCIA; original abstract/coding notes and lot source trace; Historical signals: title/abstract/notes; full-text completion not independently established</ns0:t>
        </ns0:is>
      </ns0:c>
      <ns0:c r="G239" s="19" t="inlineStr">
        <ns0:is>
          <ns0:t>EEG spatial-temporal attention CNN. Attention mechanism alone does not demonstrate explanatory analysis.</ns0:t>
        </ns0:is>
      </ns0:c>
      <ns0:c r="H239" s="19" t="inlineStr">
        <ns0:is>
          <ns0: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ns0:t>
        </ns0:is>
      </ns0:c>
      <ns0:c r="I239" s="19" t="inlineStr">
        <ns0:is>
          <ns0:t>Se comparan varios modelos; se eligió el principal/mejor reportado</ns0:t>
        </ns0:is>
      </ns0:c>
      <ns0:c r="J239" s="19" t="inlineStr"/>
      <ns0:c r="K239" s="19" t="inlineStr"/>
      <ns0:c r="L239" s="19" t="inlineStr">
        <ns0:is>
          <ns0:t>Not documented in provided sources</ns0:t>
        </ns0:is>
      </ns0:c>
      <ns0:c r="M239" s="19" t="inlineStr">
        <ns0:is>
          <ns0:t>[]</ns0:t>
        </ns0:is>
      </ns0:c>
    </ns0:row>
    <ns0:row r="240" ht="65" customHeight="1">
      <ns0:c r="A240" s="21" t="inlineStr">
        <ns0:is>
          <ns0:t>256</ns0:t>
        </ns0:is>
      </ns0:c>
      <ns0:c r="B240" s="21" t="inlineStr">
        <ns0:is>
          <ns0:t>Machine learning methods for autism spectrum disorder classification</ns0:t>
        </ns0:is>
      </ns0:c>
      <ns0:c r="C240" s="21" t="inlineStr">
        <ns0:is>
          <ns0:t>10.1016/b978-0-12-822822-7.00008-9</ns0:t>
        </ns0:is>
      </ns0:c>
      <ns0:c r="D240" s="21" t="inlineStr">
        <ns0:is>
          <ns0:t>https://doi.org/10.1016/b978-0-12-822822-7.00008-9</ns0:t>
        </ns0:is>
      </ns0:c>
      <ns0:c r="E240" s="21" t="inlineStr">
        <ns0:is>
          <ns0:t>Supplied abstract/coding notes; no new full-text verification</ns0:t>
        </ns0:is>
      </ns0:c>
      <ns0:c r="F240" s="21" t="inlineStr">
        <ns0:is>
          <ns0:t>EVIDENCIA; original abstract/coding notes and lot source trace; Historical signals: title/abstract/notes; full-text completion not independently established</ns0:t>
        </ns0:is>
      </ns0:c>
      <ns0:c r="G240" s="21" t="inlineStr">
        <ns0:is>
          <ns0:t>Elsevier B978 edited-book chapter; distinguish it from eligible full conference proceedings.</ns0:t>
        </ns0:is>
      </ns0:c>
      <ns0:c r="H240" s="21" t="inlineStr">
        <ns0:is>
          <ns0:t>The use of AI-driven predictive models to identify patterns that can act as biomarkers for different neuropathological conditions is becoming highly prevalent. In particular, the recent advances in representation learning techniques provide unprecedented opportunities to understand, diagnose, and eventually treat a gamut of neurological conditions, including epilepsy, stroke, and autism. In this chapter, we consider the challenging problem of autism spectrum disorder classification using resting state fMRI (rs-fMRI) measurements. While supervised learning methods provide a convenient way to build predictive functions that can identify specific signatures in rs-fMRI pertinent to different levels of severity, the key challenge is in modeling the complex spatiotemporal data (from brain networks) and leveraging the dependencies among patients in a population. In this context, graphs provide a powerful framework to address both these challenges and enable the design of sophisticated predictive modeling tools. The advances in graph signal analysis and the generalization of machine learning techniques, such as kernel methods and deep neural networks, to graphs, make them suitable for challenging diagnosis problems. In this chapter, we describe how graphs, either at patient level or population level, can be used to build predictive models. We present mathematical formulations, algorithmic solutions, and empirical studies to establish graph-based machine learning as an effective solution for autism diagnosis.</ns0:t>
        </ns0:is>
      </ns0:c>
      <ns0:c r="I240" s="21" t="inlineStr">
        <ns0:is>
          <ns0:t>Sin señal explícita Q3 en título/abstract.</ns0:t>
        </ns0:is>
      </ns0:c>
      <ns0:c r="J240" s="21" t="inlineStr"/>
      <ns0:c r="K240" s="21" t="inlineStr"/>
      <ns0:c r="L240" s="21" t="inlineStr">
        <ns0:is>
          <ns0:t>Not documented in provided sources</ns0:t>
        </ns0:is>
      </ns0:c>
      <ns0:c r="M240" s="21" t="inlineStr">
        <ns0:is>
          <ns0:t>[]</ns0:t>
        </ns0:is>
      </ns0:c>
    </ns0:row>
    <ns0:row r="241" ht="117" customHeight="1">
      <ns0:c r="A241" s="19" t="inlineStr">
        <ns0:is>
          <ns0:t>258</ns0:t>
        </ns0:is>
      </ns0:c>
      <ns0:c r="B241" s="19" t="inlineStr">
        <ns0:is>
          <ns0:t>MDNCT: a multi-domain neurocognitive transformer architecture approach for early prediction of autism spectrum disorders</ns0:t>
        </ns0:is>
      </ns0:c>
      <ns0:c r="C241" s="19" t="inlineStr">
        <ns0:is>
          <ns0:t>10.1038/s41598-025-09862-7</ns0:t>
        </ns0:is>
      </ns0:c>
      <ns0:c r="D241" s="19" t="inlineStr">
        <ns0:is>
          <ns0:t>https://doi.org/10.1038/s41598-025-09862-7</ns0:t>
        </ns0:is>
      </ns0:c>
      <ns0:c r="E241" s="19" t="inlineStr">
        <ns0:is>
          <ns0:t>Supplied abstract/coding notes; no new full-text verification</ns0:t>
        </ns0:is>
      </ns0:c>
      <ns0:c r="F241" s="19" t="inlineStr">
        <ns0:is>
          <ns0:t>EVIDENCIA; original abstract/coding notes and lot source trace; Historical signals: title/abstract/notes; full-text completion not independently established</ns0:t>
        </ns0:is>
      </ns0:c>
      <ns0:c r="G241" s="19" t="inlineStr">
        <ns0:is>
          <ns0:t>Multi-domain transformer includes ASD toddler identification, but ASD-specific input modality is not specified. Other-domain text/dementia tasks cannot define the ASD data source.</ns0:t>
        </ns0:is>
      </ns0:c>
      <ns0:c r="H241" s="19" t="inlineStr">
        <ns0:is>
          <ns0: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ns0:t>
        </ns0:is>
      </ns0:c>
      <ns0:c r="I241" s="19" t="inlineStr">
        <ns0:is>
          <ns0:t>Arquitectura transformer multi-domain para predicción temprana; fuente de datos específica no es explícita en el abstract.</ns0:t>
        </ns0:is>
      </ns0:c>
      <ns0:c r="J241" s="19" t="inlineStr"/>
      <ns0:c r="K241" s="19" t="inlineStr"/>
      <ns0:c r="L241" s="19" t="inlineStr">
        <ns0:is>
          <ns0:t>Not documented in provided sources</ns0:t>
        </ns0:is>
      </ns0:c>
      <ns0:c r="M241" s="19" t="inlineStr">
        <ns0:is>
          <ns0:t>[]</ns0:t>
        </ns0:is>
      </ns0:c>
    </ns0:row>
    <ns0:row r="242" ht="65" customHeight="1">
      <ns0:c r="A242" s="21" t="inlineStr">
        <ns0:is>
          <ns0:t>259</ns0:t>
        </ns0:is>
      </ns0:c>
      <ns0:c r="B242" s="21" t="inlineStr">
        <ns0:is>
          <ns0:t>MHATC: Autism Spectrum Disorder Identification Utilizing Multi-Head Attention Encoder Along with Temporal Consolidation Modules</ns0:t>
        </ns0:is>
      </ns0:c>
      <ns0:c r="C242" s="21" t="inlineStr">
        <ns0:is>
          <ns0:t>10.1109/embc48229.2022.9871130</ns0:t>
        </ns0:is>
      </ns0:c>
      <ns0:c r="D242" s="21" t="inlineStr">
        <ns0:is>
          <ns0:t>https://doi.org/10.1109/embc48229.2022.9871130</ns0:t>
        </ns0:is>
      </ns0:c>
      <ns0:c r="E242" s="21" t="inlineStr">
        <ns0:is>
          <ns0:t>Supplied abstract/coding notes; no new full-text verification</ns0:t>
        </ns0:is>
      </ns0:c>
      <ns0:c r="F242" s="21" t="inlineStr">
        <ns0:is>
          <ns0:t>EVIDENCIA; original abstract/coding notes and lot source trace; Historical signals: title/abstract/notes; full-text completion not independently established</ns0:t>
        </ns0:is>
      </ns0:c>
      <ns0:c r="G242" s="21" t="inlineStr">
        <ns0:is>
          <ns0:t>Brain imaging connectivity with multi-head attention and temporal consolidation.</ns0:t>
        </ns0:is>
      </ns0:c>
      <ns0:c r="H242" s="21" t="inlineStr">
        <ns0:is>
          <ns0: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ns0:t>
        </ns0:is>
      </ns0:c>
      <ns0:c r="I242" s="21" t="inlineStr"/>
      <ns0:c r="J242" s="21" t="inlineStr"/>
      <ns0:c r="K242" s="21" t="inlineStr"/>
      <ns0:c r="L242" s="21" t="inlineStr">
        <ns0:is>
          <ns0:t>Not documented in provided sources</ns0:t>
        </ns0:is>
      </ns0:c>
      <ns0:c r="M242" s="21" t="inlineStr">
        <ns0:is>
          <ns0:t>[]</ns0:t>
        </ns0:is>
      </ns0:c>
    </ns0:row>
    <ns0:row r="243" ht="153" customHeight="1">
      <ns0:c r="A243" s="19" t="inlineStr">
        <ns0:is>
          <ns0:t>260</ns0:t>
        </ns0:is>
      </ns0:c>
      <ns0:c r="B243" s="19" t="inlineStr">
        <ns0:is>
          <ns0:t>Multi-atlas Representations Based on\&amp;#xa0;Graph Convolutional Networks for\&amp;#xa0;Autism Spectrum Disorder Diagnosis</ns0:t>
        </ns0:is>
      </ns0:c>
      <ns0:c r="C243" s="19" t="inlineStr">
        <ns0:is>
          <ns0:t>10.1007/978-981-99-8558-6_38</ns0:t>
        </ns0:is>
      </ns0:c>
      <ns0:c r="D243" s="19" t="inlineStr">
        <ns0:is>
          <ns0:t>https://doi.org/10.1007/978-981-99-8558-6_38</ns0:t>
        </ns0:is>
      </ns0:c>
      <ns0:c r="E243" s="19" t="inlineStr">
        <ns0:is>
          <ns0:t>Supplied abstract/coding notes; no new full-text verification</ns0:t>
        </ns0:is>
      </ns0:c>
      <ns0:c r="F243" s="19" t="inlineStr">
        <ns0:is>
          <ns0:t>EVIDENCIA; original abstract/coding notes and lot source trace; Historical signals: title/abstract/notes; full-text completion not independently established</ns0:t>
        </ns0:is>
      </ns0:c>
      <ns0:c r="G243" s="19" t="inlineStr">
        <ns0:is>
          <ns0:t>Multiple atlases of the same brain imaging data do not establish multimodal source fusion.</ns0:t>
        </ns0:is>
      </ns0:c>
      <ns0:c r="H243" s="19" t="inlineStr">
        <ns0:is>
          <ns0: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ns0:t>
        </ns0:is>
      </ns0:c>
      <ns0:c r="I243" s="19" t="inlineStr">
        <ns0:is>
          <ns0:t>Algoritmo principal no explícito o fuera del codebook; Confirmar algoritmo principal en full-text; Se comparan varios modelos; se eligió el principal/mejor reportado</ns0:t>
        </ns0:is>
      </ns0:c>
      <ns0:c r="J243" s="19" t="inlineStr"/>
      <ns0:c r="K243" s="19" t="inlineStr"/>
      <ns0:c r="L243" s="19" t="inlineStr">
        <ns0:is>
          <ns0:t>Not documented in provided sources</ns0:t>
        </ns0:is>
      </ns0:c>
      <ns0:c r="M243" s="19" t="inlineStr">
        <ns0:is>
          <ns0:t>[]</ns0:t>
        </ns0:is>
      </ns0:c>
    </ns0:row>
    <ns0:row r="244" ht="65" customHeight="1">
      <ns0:c r="A244" s="21" t="inlineStr">
        <ns0:is>
          <ns0:t>261</ns0:t>
        </ns0:is>
      </ns0:c>
      <ns0:c r="B244" s="21" t="inlineStr">
        <ns0:is>
          <ns0:t>Multiple Classification of Brain MRI Autism Spectrum Disorder by Age and Gender Using Deep Learning</ns0:t>
        </ns0:is>
      </ns0:c>
      <ns0:c r="C244" s="21" t="inlineStr">
        <ns0:is>
          <ns0:t>10.1007/s10916-023-02032-0</ns0:t>
        </ns0:is>
      </ns0:c>
      <ns0:c r="D244" s="21" t="inlineStr">
        <ns0:is>
          <ns0:t>https://doi.org/10.1007/s10916-023-02032-0</ns0:t>
        </ns0:is>
      </ns0:c>
      <ns0:c r="E244" s="21" t="inlineStr">
        <ns0:is>
          <ns0:t>Supplied abstract/coding notes; no new full-text verification</ns0:t>
        </ns0:is>
      </ns0:c>
      <ns0:c r="F244" s="21" t="inlineStr">
        <ns0:is>
          <ns0:t>EVIDENCIA; original abstract/coding notes and lot source trace; Historical signals: title/abstract/notes; full-text completion not independently established</ns0:t>
        </ns0:is>
      </ns0:c>
      <ns0:c r="G244" s="21" t="inlineStr">
        <ns0:is>
          <ns0:t>Structural brain MRI deep-learning classification stratified by age/sex; strata are not additional input modalities.</ns0:t>
        </ns0:is>
      </ns0:c>
      <ns0:c r="H244" s="21" t="inlineStr">
        <ns0:is>
          <ns0: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ns0:t>
        </ns0:is>
      </ns0:c>
      <ns0:c r="I244" s="21" t="inlineStr"/>
      <ns0:c r="J244" s="21" t="inlineStr"/>
      <ns0:c r="K244" s="21" t="inlineStr"/>
      <ns0:c r="L244" s="21" t="inlineStr">
        <ns0:is>
          <ns0:t>Not documented in provided sources</ns0:t>
        </ns0:is>
      </ns0:c>
      <ns0:c r="M244" s="21" t="inlineStr">
        <ns0:is>
          <ns0:t>[]</ns0:t>
        </ns0:is>
      </ns0:c>
    </ns0:row>
    <ns0:row r="245" ht="65" customHeight="1">
      <ns0:c r="A245" s="19" t="inlineStr">
        <ns0:is>
          <ns0:t>262</ns0:t>
        </ns0:is>
      </ns0:c>
      <ns0:c r="B245" s="19" t="inlineStr">
        <ns0:is>
          <ns0:t>MVS-GCN: A prior brain structure learning-guided multi-view graph convolution network for autism spectrum disorder diagnosis</ns0:t>
        </ns0:is>
      </ns0:c>
      <ns0:c r="C245" s="19" t="inlineStr">
        <ns0:is>
          <ns0:t>10.1016/j.compbiomed.2022.105239</ns0:t>
        </ns0:is>
      </ns0:c>
      <ns0:c r="D245" s="19" t="inlineStr">
        <ns0:is>
          <ns0:t>https://doi.org/10.1016/j.compbiomed.2022.105239</ns0:t>
        </ns0:is>
      </ns0:c>
      <ns0:c r="E245" s="19" t="inlineStr">
        <ns0:is>
          <ns0:t>Supplied abstract/coding notes; no new full-text verification</ns0:t>
        </ns0:is>
      </ns0:c>
      <ns0:c r="F245" s="19" t="inlineStr">
        <ns0:is>
          <ns0:t>EVIDENCIA; original abstract/coding notes and lot source trace; Historical signals: title/abstract/notes; full-text completion not independently established</ns0:t>
        </ns0:is>
      </ns0:c>
      <ns0:c r="G245" s="19" t="inlineStr">
        <ns0:is>
          <ns0:t>Multi-view functional brain networks; evaluation on ADNI is a different disease task, not external validation of the ASD classifier.</ns0:t>
        </ns0:is>
      </ns0:c>
      <ns0:c r="H245" s="19" t="inlineStr">
        <ns0:is>
          <ns0: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ns0:t>
        </ns0:is>
      </ns0:c>
      <ns0:c r="I245" s="19" t="inlineStr"/>
      <ns0:c r="J245" s="19" t="inlineStr"/>
      <ns0:c r="K245" s="19" t="inlineStr"/>
      <ns0:c r="L245" s="19" t="inlineStr">
        <ns0:is>
          <ns0:t>Not documented in provided sources</ns0:t>
        </ns0:is>
      </ns0:c>
      <ns0:c r="M245" s="19" t="inlineStr">
        <ns0:is>
          <ns0:t>[]</ns0:t>
        </ns0:is>
      </ns0:c>
    </ns0:row>
    <ns0:row r="246" ht="65" customHeight="1">
      <ns0:c r="A246" s="21" t="inlineStr">
        <ns0:is>
          <ns0:t>263</ns0:t>
        </ns0:is>
      </ns0:c>
      <ns0:c r="B246" s="21" t="inlineStr">
        <ns0:is>
          <ns0:t>Neurodevelopmental model of schizophrenia revisited: similarity in individual deviation and idiosyncrasy from the normative model of whole-brain white matter tracts and shared brain-cognition covariation with ADHD and ASD</ns0:t>
        </ns0:is>
      </ns0:c>
      <ns0:c r="C246" s="21" t="inlineStr">
        <ns0:is>
          <ns0:t>10.1038/s41380-022-01636-1</ns0:t>
        </ns0:is>
      </ns0:c>
      <ns0:c r="D246" s="21" t="inlineStr">
        <ns0:is>
          <ns0:t>https://doi.org/10.1038/s41380-022-01636-1</ns0:t>
        </ns0:is>
      </ns0:c>
      <ns0:c r="E246" s="21" t="inlineStr">
        <ns0:is>
          <ns0:t>Supplied abstract/coding notes; no new full-text verification</ns0:t>
        </ns0:is>
      </ns0:c>
      <ns0:c r="F246" s="21" t="inlineStr">
        <ns0:is>
          <ns0:t>EVIDENCIA; original abstract/coding notes and lot source trace; Historical signals: title/abstract/notes; full-text completion not independently established</ns0:t>
        </ns0:is>
      </ns0:c>
      <ns0:c r="G246" s="21" t="inlineStr">
        <ns0:is>
          <ns0:t>Human diffusion MRI normative deviations and unsupervised cross-disorder characterization; substantive ASD group retained, not a deployed diagnostic classifier or deep network.</ns0:t>
        </ns0:is>
      </ns0:c>
      <ns0:c r="H246" s="21" t="inlineStr">
        <ns0:is>
          <ns0:t>The neurodevelopmental model of schizophrenia is supported by multi-level impairments shared among schizophrenia and neurodevelopmental disorders. Despite schizophrenia and typical neurodevelopmental disorders, i.e., autism spectrum disorder (ASD) and attention-deficit/hyperactivity disorder (ADHD), as disorders of brain dysconnectivity, no study has ever elucidated whether whole-brain white matter (WM) tracts integrity alterations overlap or diverge between these three disorders. Moreover, whether the linked dimensions of cognition and brain metrics per the Research Domain Criteria framework cut across diagnostic boundaries remains unknown. We aimed to map deviations from normative ranges of whole-brain major WM tracts for individual patients to investigate the similarity and differences among schizophrenia (281 patients subgrouped into the first-episode, subchronic and chronic phases), ASD (175 patients), and ADHD (279 patients). Sex-specific WM tract normative development was modeled from diffusion spectrum imaging of 626 typically developing controls (5–40 years). There were three significant findings. First, the patterns of deviation and idiosyncrasy of WM tracts were similar between schizophrenia and ADHD alongside ASD, particularly at the earlier stages of schizophrenia relative to chronic stages. Second, using the WM deviation patterns as features, schizophrenia cannot be separated from neurodevelopmental disorders in the unsupervised machine learning algorithm. Lastly, the canonical correlation analysis showed schizophrenia, ADHD, and ASD shared linked cognitive dimensions driven by WM deviations. Together, our results provide new insights into the neurodevelopmental facet of schizophrenia and its brain basis. Individual’s WM deviations may contribute to diverse arrays of cognitive function along a continuum with phenotypic expressions from typical neurodevelopmental disorders to schizophrenia.</ns0:t>
        </ns0:is>
      </ns0:c>
      <ns0:c r="I246" s="21" t="inlineStr"/>
      <ns0:c r="J246" s="21" t="inlineStr"/>
      <ns0:c r="K246" s="21" t="inlineStr"/>
      <ns0:c r="L246" s="21" t="inlineStr">
        <ns0:is>
          <ns0:t>Not documented in provided sources</ns0:t>
        </ns0:is>
      </ns0:c>
      <ns0:c r="M246" s="21" t="inlineStr">
        <ns0:is>
          <ns0:t>[]</ns0:t>
        </ns0:is>
      </ns0:c>
    </ns0:row>
    <ns0:row r="247" ht="350" customHeight="1">
      <ns0:c r="A247" s="19" t="inlineStr">
        <ns0:is>
          <ns0:t>264</ns0:t>
        </ns0:is>
      </ns0:c>
      <ns0:c r="B247" s="19" t="inlineStr">
        <ns0:is>
          <ns0:t>Non-Oscillatory Connectivity Approach for Classification of Autism Spectrum Disorder Subtypes Using Resting-State fMRI</ns0:t>
        </ns0:is>
      </ns0:c>
      <ns0:c r="C247" s="19" t="inlineStr">
        <ns0:is>
          <ns0:t>10.1109/access.2022.3146719</ns0:t>
        </ns0:is>
      </ns0:c>
      <ns0:c r="D247" s="19" t="inlineStr">
        <ns0:is>
          <ns0:t>https://doi.org/10.1109/access.2022.3146719</ns0:t>
        </ns0:is>
      </ns0:c>
      <ns0:c r="E247" s="19" t="inlineStr">
        <ns0:is>
          <ns0:t>Supplied abstract/coding notes; no new full-text verification</ns0:t>
        </ns0:is>
      </ns0:c>
      <ns0:c r="F247" s="19" t="inlineStr">
        <ns0:is>
          <ns0:t>EVIDENCIA; original abstract/coding notes and lot source trace; Historical signals: title/abstract/notes; full-text completion not independently established</ns0:t>
        </ns0:is>
      </ns0:c>
      <ns0:c r="G247" s="19" t="inlineStr">
        <ns0:is>
          <ns0:t>Non-oscillatory MRI connectivity with p-value feature selection and SVM; no deep-learning branch to justify Hybrid.</ns0:t>
        </ns0:is>
      </ns0:c>
      <ns0:c r="H247" s="19" t="inlineStr">
        <ns0:is>
          <ns0: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ns0:t>
        </ns0:is>
      </ns0:c>
      <ns0:c r="I247" s="19" t="inlineStr">
        <ns0:is>
          <ns0:t>No hay un único “modelo”; hay un pipeline de conectividad NOC + selección por p-values + comparación de clasificadores, y SVM queda como el mejor. 
Non-Oscillatory_Connectivity_Ap…
Dataset de subtipos es pequeño (36 sujetos por clase), y además validan ASD vs NC con un dataset grande (505 ASD / 530 NC). Esto puede ser importante si tu Excel tiene campo de “tamaño/validación”.</ns0:t>
        </ns0:is>
      </ns0:c>
      <ns0:c r="J247" s="19" t="inlineStr"/>
      <ns0:c r="K247" s="19" t="inlineStr"/>
      <ns0:c r="L247" s="19" t="inlineStr">
        <ns0:is>
          <ns0:t>Not documented in provided sources</ns0:t>
        </ns0:is>
      </ns0:c>
      <ns0:c r="M247" s="19" t="inlineStr">
        <ns0:is>
          <ns0:t>[]</ns0:t>
        </ns0:is>
      </ns0:c>
    </ns0:row>
    <ns0:row r="248" ht="65" customHeight="1">
      <ns0:c r="A248" s="21" t="inlineStr">
        <ns0:is>
          <ns0:t>265</ns0:t>
        </ns0:is>
      </ns0:c>
      <ns0:c r="B248" s="21" t="inlineStr">
        <ns0:is>
          <ns0:t>Personalized identification of autism-related bacteria in the gut microbiome using explainable artificial intelligence</ns0:t>
        </ns0:is>
      </ns0:c>
      <ns0:c r="C248" s="21" t="inlineStr">
        <ns0:is>
          <ns0:t>10.1016/j.isci.2024.110709</ns0:t>
        </ns0:is>
      </ns0:c>
      <ns0:c r="D248" s="21" t="inlineStr">
        <ns0:is>
          <ns0:t>https://doi.org/10.1016/j.isci.2024.110709</ns0:t>
        </ns0:is>
      </ns0:c>
      <ns0:c r="E248" s="21" t="inlineStr">
        <ns0:is>
          <ns0:t>Supplied abstract/coding notes; no new full-text verification</ns0:t>
        </ns0:is>
      </ns0:c>
      <ns0:c r="F248" s="21" t="inlineStr">
        <ns0:is>
          <ns0:t>EVIDENCIA; original abstract/coding notes and lot source trace; Historical signals: title/abstract/notes; full-text completion not independently established</ns0:t>
        </ns0:is>
      </ns0:c>
      <ns0:c r="G248" s="21" t="inlineStr">
        <ns0:is>
          <ns0:t>Microbiome XAI studies contemporaneous ASD-associated species; personalized interventions are a proposed implication, not prospective prognosis or image analysis.</ns0:t>
        </ns0:is>
      </ns0:c>
      <ns0:c r="H248" s="21" t="inlineStr">
        <ns0:is>
          <ns0: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ns0:t>
        </ns0:is>
      </ns0:c>
      <ns0:c r="I248" s="21" t="inlineStr"/>
      <ns0:c r="J248" s="21" t="inlineStr"/>
      <ns0:c r="K248" s="21" t="inlineStr"/>
      <ns0:c r="L248" s="21" t="inlineStr">
        <ns0:is>
          <ns0:t>Not documented in provided sources</ns0:t>
        </ns0:is>
      </ns0:c>
      <ns0:c r="M248" s="21" t="inlineStr">
        <ns0:is>
          <ns0:t>[]</ns0:t>
        </ns0:is>
      </ns0:c>
    </ns0:row>
    <ns0:row r="249" ht="93" customHeight="1">
      <ns0:c r="A249" s="19" t="inlineStr">
        <ns0:is>
          <ns0:t>266</ns0:t>
        </ns0:is>
      </ns0:c>
      <ns0:c r="B249" s="19" t="inlineStr">
        <ns0:is>
          <ns0:t>Prenatal exposure to criteria air pollution and traffic-related air toxics and risk of autism spectrum disorder: A population-based cohort study of California births (1990–2018)</ns0:t>
        </ns0:is>
      </ns0:c>
      <ns0:c r="C249" s="19" t="inlineStr">
        <ns0:is>
          <ns0:t>10.1016/j.envint.2025.109562</ns0:t>
        </ns0:is>
      </ns0:c>
      <ns0:c r="D249" s="19" t="inlineStr">
        <ns0:is>
          <ns0:t>https://doi.org/10.1016/j.envint.2025.109562</ns0:t>
        </ns0:is>
      </ns0:c>
      <ns0:c r="E249" s="19" t="inlineStr">
        <ns0:is>
          <ns0:t>Supplied abstract/coding notes; no new full-text verification</ns0:t>
        </ns0:is>
      </ns0:c>
      <ns0:c r="F249" s="19" t="inlineStr">
        <ns0:is>
          <ns0:t>EVIDENCIA; original abstract/coding notes and lot source trace; Historical signals: title/abstract/notes; full-text completion not independently established</ns0:t>
        </ns0:is>
      </ns0:c>
      <ns0:c r="G249" s="19" t="inlineStr">
        <ns0:is>
          <ns0:t>ML estimates environmental exposure, followed by ASD epidemiological association analysis; no individual clinical risk decision system. Retained under broad computational ASD mapping, flagged for scope sensitivity.
AI predicts environmental exposures rather than an ASD clinical endpoint; retain only in broad mapping and exclude in direct-clinical-endpoint sensitivity.</ns0:t>
        </ns0:is>
      </ns0:c>
      <ns0:c r="H249" s="19" t="inlineStr">
        <ns0:is>
          <ns0: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ns0:t>
        </ns0:is>
      </ns0:c>
      <ns0:c r="I249" s="19" t="inlineStr">
        <ns0:is>
          <ns0:t>Algoritmo principal no explícito o fuera del codebook; Confirmar algoritmo principal en full-text</ns0:t>
        </ns0:is>
      </ns0:c>
      <ns0:c r="J249" s="19" t="inlineStr"/>
      <ns0:c r="K249" s="19" t="inlineStr"/>
      <ns0:c r="L249" s="19" t="inlineStr">
        <ns0:is>
          <ns0:t>Not documented in provided sources</ns0:t>
        </ns0:is>
      </ns0:c>
      <ns0:c r="M249" s="19" t="inlineStr">
        <ns0:is>
          <ns0:t>[]</ns0:t>
        </ns0:is>
      </ns0:c>
    </ns0:row>
    <ns0:row r="250" ht="93" customHeight="1">
      <ns0:c r="A250" s="21" t="inlineStr">
        <ns0:is>
          <ns0:t>267</ns0:t>
        </ns0:is>
      </ns0:c>
      <ns0:c r="B250" s="21" t="inlineStr">
        <ns0:is>
          <ns0:t>Risk assessment for parents who suspect their child has autism spectrum disorder: Machine learning approach</ns0:t>
        </ns0:is>
      </ns0:c>
      <ns0:c r="C250" s="21" t="inlineStr">
        <ns0:is>
          <ns0:t>10.2196/jmir.9496</ns0:t>
        </ns0:is>
      </ns0:c>
      <ns0:c r="D250" s="21" t="inlineStr">
        <ns0:is>
          <ns0:t>https://doi.org/10.2196/jmir.9496</ns0:t>
        </ns0:is>
      </ns0:c>
      <ns0:c r="E250" s="21" t="inlineStr">
        <ns0:is>
          <ns0:t>Supplied abstract/coding notes; no new full-text verification</ns0:t>
        </ns0:is>
      </ns0:c>
      <ns0:c r="F250" s="21" t="inlineStr">
        <ns0:is>
          <ns0:t>EVIDENCIA; original abstract/coding notes and lot source trace; Historical signals: title/abstract/notes; full-text completion not independently established</ns0:t>
        </ns0:is>
      </ns0:c>
      <ns0:c r="G250" s="21" t="inlineStr">
        <ns0:is>
          <ns0:t>Parental free text is combined with an adaptively selected screening question; proposed prescreening role, not demonstrated clinical use.</ns0:t>
        </ns0:is>
      </ns0:c>
      <ns0:c r="H250" s="21" t="inlineStr">
        <ns0:is>
          <ns0: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ns0:t>
        </ns0:is>
      </ns0:c>
      <ns0:c r="I250" s="21" t="inlineStr">
        <ns0:is>
          <ns0:t>Algoritmo principal no explícito o fuera del codebook; Confirmar algoritmo principal en full-text</ns0:t>
        </ns0:is>
      </ns0:c>
      <ns0:c r="J250" s="21" t="inlineStr"/>
      <ns0:c r="K250" s="21" t="inlineStr"/>
      <ns0:c r="L250" s="21" t="inlineStr">
        <ns0:is>
          <ns0:t>Not documented in provided sources</ns0:t>
        </ns0:is>
      </ns0:c>
      <ns0:c r="M250" s="21" t="inlineStr">
        <ns0:is>
          <ns0:t>[]</ns0:t>
        </ns0:is>
      </ns0:c>
    </ns0:row>
    <ns0:row r="251" ht="65" customHeight="1">
      <ns0:c r="A251" s="19" t="inlineStr">
        <ns0:is>
          <ns0:t>268</ns0:t>
        </ns0:is>
      </ns0:c>
      <ns0:c r="B251" s="19" t="inlineStr">
        <ns0:is>
          <ns0:t>Robust Low Complexity Framework for Early Diagnosis of Autism Spectrum Disorder Based on Cross Wavelet Transform and Deep Transfer Learning</ns0:t>
        </ns0:is>
      </ns0:c>
      <ns0:c r="C251" s="19" t="inlineStr">
        <ns0:is>
          <ns0:t>10.1007/s42979-023-02564-9</ns0:t>
        </ns0:is>
      </ns0:c>
      <ns0:c r="D251" s="19" t="inlineStr">
        <ns0:is>
          <ns0:t>https://doi.org/10.1007/s42979-023-02564-9</ns0:t>
        </ns0:is>
      </ns0:c>
      <ns0:c r="E251" s="19" t="inlineStr">
        <ns0:is>
          <ns0:t>Supplied abstract/coding notes; no new full-text verification</ns0:t>
        </ns0:is>
      </ns0:c>
      <ns0:c r="F251" s="19" t="inlineStr">
        <ns0:is>
          <ns0:t>EVIDENCIA; original abstract/coding notes and lot source trace; Historical signals: title/abstract/notes; full-text completion not independently established</ns0:t>
        </ns0:is>
      </ns0:c>
      <ns0:c r="G251" s="19" t="inlineStr">
        <ns0:is>
          <ns0:t>EEG cross-wavelet images with ResNet-101. Older/younger split is internal age-stratified evaluation, and auditory stimulus is not a second measured input source.</ns0:t>
        </ns0:is>
      </ns0:c>
      <ns0:c r="H251" s="19" t="inlineStr">
        <ns0:is>
          <ns0: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ns0:t>
        </ns0:is>
      </ns0:c>
      <ns0:c r="I251" s="19" t="inlineStr"/>
      <ns0:c r="J251" s="19" t="inlineStr"/>
      <ns0:c r="K251" s="19" t="inlineStr"/>
      <ns0:c r="L251" s="19" t="inlineStr">
        <ns0:is>
          <ns0:t>Not documented in provided sources</ns0:t>
        </ns0:is>
      </ns0:c>
      <ns0:c r="M251" s="19" t="inlineStr">
        <ns0:is>
          <ns0:t>[]</ns0:t>
        </ns0:is>
      </ns0:c>
    </ns0:row>
    <ns0:row r="252" ht="65" customHeight="1">
      <ns0:c r="A252" s="21" t="inlineStr">
        <ns0:is>
          <ns0:t>269</ns0:t>
        </ns0:is>
      </ns0:c>
      <ns0:c r="B252" s="21" t="inlineStr">
        <ns0:is>
          <ns0:t>Self-weighted adaptive structure learning for ASD diagnosis via multi-template multi-center representation</ns0:t>
        </ns0:is>
      </ns0:c>
      <ns0:c r="C252" s="21" t="inlineStr">
        <ns0:is>
          <ns0:t>10.1016/j.media.2020.101662</ns0:t>
        </ns0:is>
      </ns0:c>
      <ns0:c r="D252" s="21" t="inlineStr">
        <ns0:is>
          <ns0:t>https://doi.org/10.1016/j.media.2020.101662</ns0:t>
        </ns0:is>
      </ns0:c>
      <ns0:c r="E252" s="21" t="inlineStr">
        <ns0:is>
          <ns0:t>Supplied abstract/coding notes; no new full-text verification</ns0:t>
        </ns0:is>
      </ns0:c>
      <ns0:c r="F252" s="21" t="inlineStr">
        <ns0:is>
          <ns0:t>EVIDENCIA; original abstract/coding notes and lot source trace; Historical signals: title/abstract/notes; full-text completion not independently established</ns0:t>
        </ns0:is>
      </ns0:c>
      <ns0:c r="G252" s="21" t="inlineStr">
        <ns0:is>
          <ns0:t>SASL ensemble on multi-template fMRI connectivity, not a deep architecture or multiple source modality.
Multicenter representation learning; held-out-site test design not established by available abstract</ns0:t>
        </ns0:is>
      </ns0:c>
      <ns0:c r="H252" s="21" t="inlineStr">
        <ns0:is>
          <ns0:t>As a kind of neurodevelopmental disease, autism spectrum disorder (ASD) can cause severe social, communication, interaction, and behavioral challenges. To date, many imaging-based machine learning techniques have been proposed to address ASD diagnosis issues. However, most of these techniques are restricted to a single template or dataset from one imaging center. In this paper, we propose a novel multi-template multi-center ensemble classification scheme for automatic ASD diagnosis. Specifically, based on different pre-defined templates, we construct multiple functional connectivity (FC) brain networks for each subject based on our proposed Pearson's correlation-based sparse low-rank representation. After extracting features from these FC networks, informative features to learn optimal similarity matrix are then selected by our self-weighted adaptive structure learning (SASL) model. For each template, the SASL method automatically assigns an optimal weight learned from the structural information without additional weights and parameters. Finally, an ensemble strategy based on the multi- template multi-center representations is applied to derive the final diagnosis results. Extensive experiments are conducted on the publicly available Autism Brain Imaging Data Exchange (ABIDE) database to demonstrate the efficacy of our proposed method. Experimental results verify that our proposed method boosts ASD diagnosis performance and outperforms state-of-the-art methods.</ns0:t>
        </ns0:is>
      </ns0:c>
      <ns0:c r="I252" s="21" t="inlineStr">
        <ns0:is>
          <ns0:t>el algoritmo principal es SASL-E/SASL, no uno de tu lista</ns0:t>
        </ns0:is>
      </ns0:c>
      <ns0:c r="J252" s="21" t="inlineStr"/>
      <ns0:c r="K252" s="21" t="inlineStr"/>
      <ns0:c r="L252" s="21" t="inlineStr">
        <ns0:is>
          <ns0:t>Not documented in provided sources</ns0:t>
        </ns0:is>
      </ns0:c>
      <ns0:c r="M252" s="21" t="inlineStr">
        <ns0:is>
          <ns0:t>[]</ns0:t>
        </ns0:is>
      </ns0:c>
    </ns0:row>
    <ns0:row r="253" ht="81" customHeight="1">
      <ns0:c r="A253" s="19" t="inlineStr">
        <ns0:is>
          <ns0:t>270</ns0:t>
        </ns0:is>
      </ns0:c>
      <ns0:c r="B253" s="19" t="inlineStr">
        <ns0:is>
          <ns0:t>Smart bed based daytime behavior prediction in Children with autism spectrum disorder - A Pilot Study</ns0:t>
        </ns0:is>
      </ns0:c>
      <ns0:c r="C253" s="19" t="inlineStr">
        <ns0:is>
          <ns0:t>10.1016/j.medengphy.2020.07.004</ns0:t>
        </ns0:is>
      </ns0:c>
      <ns0:c r="D253" s="19" t="inlineStr">
        <ns0:is>
          <ns0:t>https://doi.org/10.1016/j.medengphy.2020.07.004</ns0:t>
        </ns0:is>
      </ns0:c>
      <ns0:c r="E253" s="19" t="inlineStr">
        <ns0:is>
          <ns0:t>Supplied abstract/coding notes; no new full-text verification</ns0:t>
        </ns0:is>
      </ns0:c>
      <ns0:c r="F253" s="19" t="inlineStr">
        <ns0:is>
          <ns0:t>EVIDENCIA; original abstract/coding notes and lot source trace; Historical signals: title/abstract/notes; full-text completion not independently established</ns0:t>
        </ns0:is>
      </ns0:c>
      <ns0:c r="G253" s="19" t="inlineStr">
        <ns0:is>
          <ns0:t>Previous-night BCG restlessness predicts next-day behavior; a temporal prognosis endpoint, not AI-guided intervention. Comparing ANN/SVM is not Hybrid.</ns0:t>
        </ns0:is>
      </ns0:c>
      <ns0:c r="H253" s="19" t="inlineStr">
        <ns0:is>
          <ns0: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ns0:t>
        </ns0:is>
      </ns0:c>
      <ns0:c r="I253" s="19" t="inlineStr">
        <ns0:is>
          <ns0:t>Predice conducta diurna a partir de señales BCG de smart bed; SVM y ANN comparados.</ns0:t>
        </ns0:is>
      </ns0:c>
      <ns0:c r="J253" s="19" t="inlineStr"/>
      <ns0:c r="K253" s="19" t="inlineStr"/>
      <ns0:c r="L253" s="19" t="inlineStr">
        <ns0:is>
          <ns0:t>Not documented in provided sources</ns0:t>
        </ns0:is>
      </ns0:c>
      <ns0:c r="M253" s="19" t="inlineStr">
        <ns0:is>
          <ns0:t>[]</ns0:t>
        </ns0:is>
      </ns0:c>
    </ns0:row>
    <ns0:row r="254" ht="105" customHeight="1">
      <ns0:c r="A254" s="21" t="inlineStr">
        <ns0:is>
          <ns0:t>272</ns0:t>
        </ns0:is>
      </ns0:c>
      <ns0:c r="B254" s="21" t="inlineStr">
        <ns0:is>
          <ns0:t>Subtyping cognitive profiles in Autism Spectrum Disorder using a Functional Random Forest algorithm</ns0:t>
        </ns0:is>
      </ns0:c>
      <ns0:c r="C254" s="21" t="inlineStr">
        <ns0:is>
          <ns0:t>10.1016/j.neuroimage.2017.12.044</ns0:t>
        </ns0:is>
      </ns0:c>
      <ns0:c r="D254" s="21" t="inlineStr">
        <ns0:is>
          <ns0:t>https://doi.org/10.1016/j.neuroimage.2017.12.044</ns0:t>
        </ns0:is>
      </ns0:c>
      <ns0:c r="E254" s="21" t="inlineStr">
        <ns0:is>
          <ns0:t>Supplied abstract/coding notes; no new full-text verification</ns0:t>
        </ns0:is>
      </ns0:c>
      <ns0:c r="F254" s="21" t="inlineStr">
        <ns0:is>
          <ns0:t>EVIDENCIA; original abstract/coding notes and lot source trace; Historical signals: title/abstract/notes; full-text completion not independently established</ns0:t>
        </ns0:is>
      </ns0:c>
      <ns0:c r="G254" s="21" t="inlineStr">
        <ns0:is>
          <ns0:t>Functional random forest learns from seven cognitive tasks. MRI is used for subsequent subgroup characterization rather than as the classifier input.
Multiple cognitive instruments; MRI is downstream validation/characterization, not predictive input</ns0:t>
        </ns0:is>
      </ns0:c>
      <ns0:c r="H254" s="21" t="inlineStr">
        <ns0:is>
          <ns0: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ns0:t>
        </ns0:is>
      </ns0:c>
      <ns0:c r="I254" s="21" t="inlineStr">
        <ns0:is>
          <ns0:t>Random forest funcional para matriz de proximidad y posterior detección de comunidades/cognitivos subtipos.</ns0:t>
        </ns0:is>
      </ns0:c>
      <ns0:c r="J254" s="21" t="inlineStr"/>
      <ns0:c r="K254" s="21" t="inlineStr"/>
      <ns0:c r="L254" s="21" t="inlineStr">
        <ns0:is>
          <ns0:t>Not documented in provided sources</ns0:t>
        </ns0:is>
      </ns0:c>
      <ns0:c r="M254" s="21" t="inlineStr">
        <ns0:is>
          <ns0:t>[]</ns0:t>
        </ns0:is>
      </ns0:c>
    </ns0:row>
    <ns0:row r="255" ht="93" customHeight="1">
      <ns0:c r="A255" s="19" t="inlineStr">
        <ns0:is>
          <ns0:t>273</ns0:t>
        </ns0:is>
      </ns0:c>
      <ns0:c r="B255" s="19" t="inlineStr">
        <ns0:is>
          <ns0:t>Towards autism subtype detection through identification of discriminatory factors using machine learning</ns0:t>
        </ns0:is>
      </ns0:c>
      <ns0:c r="C255" s="19" t="inlineStr">
        <ns0:is>
          <ns0:t>10.1007/978-3-030-86993-9_36</ns0:t>
        </ns0:is>
      </ns0:c>
      <ns0:c r="D255" s="19" t="inlineStr">
        <ns0:is>
          <ns0:t>https://doi.org/10.1007/978-3-030-86993-9_36</ns0:t>
        </ns0:is>
      </ns0:c>
      <ns0:c r="E255" s="19" t="inlineStr">
        <ns0:is>
          <ns0:t>Supplied abstract/coding notes; no new full-text verification</ns0:t>
        </ns0:is>
      </ns0:c>
      <ns0:c r="F255" s="19" t="inlineStr">
        <ns0:is>
          <ns0:t>EVIDENCIA; original abstract/coding notes and lot source trace; Historical signals: title/abstract/notes; full-text completion not independently established</ns0:t>
        </ns0:is>
      </ns0:c>
      <ns0:c r="G255" s="19" t="inlineStr">
        <ns0:is>
          <ns0:t>Questionnaire-based subtype discovery with k-means; classifier SHAP follow-up explicit. Not free-text NLP.</ns0:t>
        </ns0:is>
      </ns0:c>
      <ns0:c r="H255" s="19" t="inlineStr">
        <ns0:is>
          <ns0: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ns0:t>
        </ns0:is>
      </ns0:c>
      <ns0:c r="I255" s="19" t="inlineStr">
        <ns0:is>
          <ns0:t>Genera subtipos con k-means a partir de Q-CHAT/AQ-10; clasificadores posteriores son secundarios.</ns0:t>
        </ns0:is>
      </ns0:c>
      <ns0:c r="J255" s="19" t="inlineStr"/>
      <ns0:c r="K255" s="19" t="inlineStr"/>
      <ns0:c r="L255" s="19" t="inlineStr">
        <ns0:is>
          <ns0:t>Not documented in provided sources</ns0:t>
        </ns0:is>
      </ns0:c>
      <ns0:c r="M255" s="19" t="inlineStr">
        <ns0:is>
          <ns0:t>[]</ns0:t>
        </ns0:is>
      </ns0:c>
    </ns0:row>
    <ns0:row r="256" ht="65" customHeight="1">
      <ns0:c r="A256" s="21" t="inlineStr">
        <ns0:is>
          <ns0:t>274</ns0:t>
        </ns0:is>
      </ns0:c>
      <ns0:c r="B256" s="21" t="inlineStr">
        <ns0:is>
          <ns0:t>‘IoT and AI-Based Application for Automatic Interpretation of the Affective State of Children Diagnosed with Autism</ns0:t>
        </ns0:is>
      </ns0:c>
      <ns0:c r="C256" s="21" t="inlineStr">
        <ns0:is>
          <ns0:t>10.3390/s22072528</ns0:t>
        </ns0:is>
      </ns0:c>
      <ns0:c r="D256" s="21" t="inlineStr">
        <ns0:is>
          <ns0:t>https://doi.org/10.3390/s22072528</ns0:t>
        </ns0:is>
      </ns0:c>
      <ns0:c r="E256" s="21" t="inlineStr">
        <ns0:is>
          <ns0:t>Supplied abstract/coding notes; no new full-text verification</ns0:t>
        </ns0:is>
      </ns0:c>
      <ns0:c r="F256" s="21" t="inlineStr">
        <ns0:is>
          <ns0:t>EVIDENCIA; original abstract/coding notes and lot source trace; Historical signals: title/abstract/notes; full-text completion not independently established</ns0:t>
        </ns0:is>
      </ns0:c>
      <ns0:c r="G256" s="21" t="inlineStr">
        <ns0:is>
          <ns0:t>PandaSays CNN output commands a robot; functional prototype integration is demonstrated, but abstract does not establish evaluation of delivered treatment in ASD participants.
System-to-robot technical integration does not establish patient-facing clinical evaluation.</ns0:t>
        </ns0:is>
      </ns0:c>
      <ns0:c r="H256" s="21" t="inlineStr">
        <ns0:is>
          <ns0: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ns0:t>
        </ns0:is>
      </ns0:c>
      <ns0:c r="I256" s="21" t="inlineStr"/>
      <ns0:c r="J256" s="21" t="inlineStr"/>
      <ns0:c r="K256" s="21" t="inlineStr"/>
      <ns0:c r="L256" s="21" t="inlineStr">
        <ns0:is>
          <ns0:t>Not documented in provided sources</ns0:t>
        </ns0:is>
      </ns0:c>
      <ns0:c r="M256" s="21" t="inlineStr">
        <ns0:is>
          <ns0:t>[]</ns0:t>
        </ns0:is>
      </ns0:c>
    </ns0:row>
    <ns0:row r="257" ht="189" customHeight="1">
      <ns0:c r="A257" s="19" t="inlineStr">
        <ns0:is>
          <ns0:t>275</ns0:t>
        </ns0:is>
      </ns0:c>
      <ns0:c r="B257" s="19" t="inlineStr">
        <ns0:is>
          <ns0:t>A Fusion-Based Machine Learning Approach for Autism Detection in Young Children Using Magnetoencephalography Signals</ns0:t>
        </ns0:is>
      </ns0:c>
      <ns0:c r="C257" s="19" t="inlineStr">
        <ns0:is>
          <ns0:t>10.1007/s10803-022-05767-w</ns0:t>
        </ns0:is>
      </ns0:c>
      <ns0:c r="D257" s="19" t="inlineStr">
        <ns0:is>
          <ns0:t>https://doi.org/10.1007/s10803-022-05767-w</ns0:t>
        </ns0:is>
      </ns0:c>
      <ns0:c r="E257" s="19" t="inlineStr">
        <ns0:is>
          <ns0:t>Supplied abstract/coding notes; no new full-text verification</ns0:t>
        </ns0:is>
      </ns0:c>
      <ns0:c r="F257" s="19" t="inlineStr">
        <ns0:is>
          <ns0:t>EVIDENCIA; original abstract/coding notes and lot source trace; Historical signals: title/abstract/notes; full-text completion not independently established</ns0:t>
        </ns0:is>
      </ns0:c>
      <ns0:c r="G257" s="19" t="inlineStr">
        <ns0:is>
          <ns0:t>MEG power and phase feature/score fusion are two representations of one recorded source, not multisource acquisition.</ns0:t>
        </ns0:is>
      </ns0:c>
      <ns0:c r="H257" s="19" t="inlineStr">
        <ns0:is>
          <ns0:t>In this study, we aimed to find biomarkers of autism in young children. We recorded magnetoencephalography (MEG) in thirty children (4–7 years) with autism and thirty age, gender-matched controls while they were watching cartoons. We focused on characterizing neural oscillations by amplitude (power spectral density, PSD) and phase (preferred phase angle, PPA). Machine learning based classifier showed a higher classification accuracy (88%) for PPA features than PSD features (82%). Further, by a novel fusion method combining PSD and PPA features, we achieved an average classification accuracy of 94% and 98% for feature-level and score-level fusion, respectively. These findings reveal discriminatory patterns of neural oscillations of autism in young children and provide novel insight into autism pathophysiology.</ns0:t>
        </ns0:is>
      </ns0:c>
      <ns0:c r="I257" s="19" t="inlineStr">
        <ns0:is>
          <ns0:t>Aunque el paper enfatiza “young children” y “early markers”, el uso que reporta es clasificación ASD vs TD en una muestra ya diagnosticada; por eso “Diagnosis” es el mapeo más consistente con tus opciones.</ns0:t>
        </ns0:is>
      </ns0:c>
      <ns0:c r="J257" s="19" t="inlineStr"/>
      <ns0:c r="K257" s="19" t="inlineStr"/>
      <ns0:c r="L257" s="19" t="inlineStr">
        <ns0:is>
          <ns0:t>Not documented in provided sources</ns0:t>
        </ns0:is>
      </ns0:c>
      <ns0:c r="M257" s="19" t="inlineStr">
        <ns0:is>
          <ns0:t>[]</ns0:t>
        </ns0:is>
      </ns0:c>
    </ns0:row>
    <ns0:row r="258" ht="93" customHeight="1">
      <ns0:c r="A258" s="21" t="inlineStr">
        <ns0:is>
          <ns0:t>276</ns0:t>
        </ns0:is>
      </ns0:c>
      <ns0:c r="B258" s="21" t="inlineStr">
        <ns0:is>
          <ns0:t>A situation-aware system for the detection of motion disorders of patients with Autism Spectrum Disorders</ns0:t>
        </ns0:is>
      </ns0:c>
      <ns0:c r="C258" s="21" t="inlineStr">
        <ns0:is>
          <ns0:t>10.1016/j.eswa.2014.05.011</ns0:t>
        </ns0:is>
      </ns0:c>
      <ns0:c r="D258" s="21" t="inlineStr">
        <ns0:is>
          <ns0:t>https://doi.org/10.1016/j.eswa.2014.05.011</ns0:t>
        </ns0:is>
      </ns0:c>
      <ns0:c r="E258" s="21" t="inlineStr">
        <ns0:is>
          <ns0:t>Supplied abstract/coding notes; no new full-text verification</ns0:t>
        </ns0:is>
      </ns0:c>
      <ns0:c r="F258" s="21" t="inlineStr">
        <ns0:is>
          <ns0:t>EVIDENCIA; original abstract/coding notes and lot source trace; Historical signals: title/abstract/notes; full-text completion not independently established</ns0:t>
        </ns0:is>
      </ns0:c>
      <ns0:c r="G258" s="21" t="inlineStr">
        <ns0:is>
          <ns0:t>Accelerometer-based stereotypy detection with situation-aware event reporting; hospital-deployed prototype explicitly tested, but classifier architecture unspecified.
Hospital prototype evaluation established; effect on clinician decisions not quantified in available abstract.</ns0:t>
        </ns0:is>
      </ns0:c>
      <ns0:c r="H258" s="21" t="inlineStr">
        <ns0:is>
          <ns0: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ns0:t>
        </ns0:is>
      </ns0:c>
      <ns0:c r="I258" s="21" t="inlineStr">
        <ns0:is>
          <ns0:t>Algoritmo principal no explícito o fuera del codebook; Confirmar algoritmo principal en full-text</ns0:t>
        </ns0:is>
      </ns0:c>
      <ns0:c r="J258" s="21" t="inlineStr"/>
      <ns0:c r="K258" s="21" t="inlineStr"/>
      <ns0:c r="L258" s="21" t="inlineStr">
        <ns0:is>
          <ns0:t>Not documented in provided sources</ns0:t>
        </ns0:is>
      </ns0:c>
      <ns0:c r="M258" s="21" t="inlineStr">
        <ns0:is>
          <ns0:t>[]</ns0:t>
        </ns0:is>
      </ns0:c>
    </ns0:row>
    <ns0:row r="259" ht="81" customHeight="1">
      <ns0:c r="A259" s="19" t="inlineStr">
        <ns0:is>
          <ns0:t>277</ns0:t>
        </ns0:is>
      </ns0:c>
      <ns0:c r="B259" s="19" t="inlineStr">
        <ns0:is>
          <ns0:t>Accurate corresponding fiber tract segmentation via FiberGeoMap learner with application to autism</ns0:t>
        </ns0:is>
      </ns0:c>
      <ns0:c r="C259" s="19" t="inlineStr">
        <ns0:is>
          <ns0:t>10.1093/cercor/bhad125</ns0:t>
        </ns0:is>
      </ns0:c>
      <ns0:c r="D259" s="19" t="inlineStr">
        <ns0:is>
          <ns0:t>https://doi.org/10.1093/cercor/bhad125</ns0:t>
        </ns0:is>
      </ns0:c>
      <ns0:c r="E259" s="19" t="inlineStr">
        <ns0:is>
          <ns0:t>Supplied abstract/coding notes; no new full-text verification</ns0:t>
        </ns0:is>
      </ns0:c>
      <ns0:c r="F259" s="19" t="inlineStr">
        <ns0:is>
          <ns0:t>EVIDENCIA; original abstract/coding notes and lot source trace; Historical signals: title/abstract/notes; full-text completion not independently established</ns0:t>
        </ns0:is>
      </ns0:c>
      <ns0:c r="G259" s="19" t="inlineStr">
        <ns0:is>
          <ns0:t>Diffusion tract segmentation with downstream autism group comparisons; not a diagnostic classifier despite clinical research relevance.</ns0:t>
        </ns0:is>
      </ns0:c>
      <ns0:c r="H259" s="19" t="inlineStr">
        <ns0:is>
          <ns0: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ns0:t>
        </ns0:is>
      </ns0:c>
      <ns0:c r="I259" s="19" t="inlineStr">
        <ns0:is>
          <ns0:t>Segmentación de tractos de difusión; algoritmo FiberGeoMap fuera del codebook.</ns0:t>
        </ns0:is>
      </ns0:c>
      <ns0:c r="J259" s="19" t="inlineStr"/>
      <ns0:c r="K259" s="19" t="inlineStr"/>
      <ns0:c r="L259" s="19" t="inlineStr">
        <ns0:is>
          <ns0:t>Not documented in provided sources</ns0:t>
        </ns0:is>
      </ns0:c>
      <ns0:c r="M259" s="19" t="inlineStr">
        <ns0:is>
          <ns0:t>[]</ns0:t>
        </ns0:is>
      </ns0:c>
    </ns0:row>
    <ns0:row r="260" ht="65" customHeight="1">
      <ns0:c r="A260" s="21" t="inlineStr">
        <ns0:is>
          <ns0:t>278</ns0:t>
        </ns0:is>
      </ns0:c>
      <ns0:c r="B260" s="21" t="inlineStr">
        <ns0:is>
          <ns0:t>Autism risk classification using placental chorionic surface vascular network features</ns0:t>
        </ns0:is>
      </ns0:c>
      <ns0:c r="C260" s="21" t="inlineStr">
        <ns0:is>
          <ns0:t>10.1186/s12911-017-0564-8</ns0:t>
        </ns0:is>
      </ns0:c>
      <ns0:c r="D260" s="21" t="inlineStr">
        <ns0:is>
          <ns0:t>https://doi.org/10.1186/s12911-017-0564-8</ns0:t>
        </ns0:is>
      </ns0:c>
      <ns0:c r="E260" s="21" t="inlineStr">
        <ns0:is>
          <ns0:t>Supplied abstract/coding notes; no new full-text verification</ns0:t>
        </ns0:is>
      </ns0:c>
      <ns0:c r="F260" s="21" t="inlineStr">
        <ns0:is>
          <ns0:t>EVIDENCIA; original abstract/coding notes and lot source trace; Historical signals: title/abstract/notes; full-text completion not independently established</ns0:t>
        </ns0:is>
      </ns0:c>
      <ns0:c r="G260" s="21" t="inlineStr">
        <ns0:is>
          <ns0:t>Placental vascular images classify high-risk versus population cohorts; risk-group discrimination is not prediction of subsequently observed child ASD diagnosis.
Placental vascular imaging</ns0:t>
        </ns0:is>
      </ns0:c>
      <ns0:c r="H260" s="21" t="inlineStr">
        <ns0:is>
          <ns0: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ns0:t>
        </ns0:is>
      </ns0:c>
      <ns0:c r="I260" s="21" t="inlineStr"/>
      <ns0:c r="J260" s="21" t="inlineStr"/>
      <ns0:c r="K260" s="21" t="inlineStr"/>
      <ns0:c r="L260" s="21" t="inlineStr">
        <ns0:is>
          <ns0:t>Not documented in provided sources</ns0:t>
        </ns0:is>
      </ns0:c>
      <ns0:c r="M260" s="21" t="inlineStr">
        <ns0:is>
          <ns0:t>[]</ns0:t>
        </ns0:is>
      </ns0:c>
    </ns0:row>
    <ns0:row r="261" ht="65" customHeight="1">
      <ns0:c r="A261" s="19" t="inlineStr">
        <ns0:is>
          <ns0:t>279</ns0:t>
        </ns0:is>
      </ns0:c>
      <ns0:c r="B261" s="19" t="inlineStr">
        <ns0:is>
          <ns0:t>Autism spectrum disorder detection using sequential minimal optimization-support vector machine hybrid classifier according to history of jaundice and family autism in children</ns0:t>
        </ns0:is>
      </ns0:c>
      <ns0:c r="C261" s="19" t="inlineStr">
        <ns0:is>
          <ns0:t>10.1002/cpe.6498</ns0:t>
        </ns0:is>
      </ns0:c>
      <ns0:c r="D261" s="19" t="inlineStr">
        <ns0:is>
          <ns0:t>https://doi.org/10.1002/cpe.6498</ns0:t>
        </ns0:is>
      </ns0:c>
      <ns0:c r="E261" s="19" t="inlineStr">
        <ns0:is>
          <ns0:t>Supplied abstract/coding notes; no new full-text verification</ns0:t>
        </ns0:is>
      </ns0:c>
      <ns0:c r="F261" s="19" t="inlineStr">
        <ns0:is>
          <ns0:t>EVIDENCIA; original abstract/coding notes and lot source trace; Historical signals: title/abstract/notes; full-text completion not independently established</ns0:t>
        </ns0:is>
      </ns0:c>
      <ns0:c r="G261" s="19" t="inlineStr">
        <ns0:is>
          <ns0:t>Digitized clinical/questionnaire history with SMO-trained SVM; optimization does not make an ML/DL hybrid.</ns0:t>
        </ns0:is>
      </ns0:c>
      <ns0:c r="H261" s="19" t="inlineStr">
        <ns0:is>
          <ns0: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ns0:t>
        </ns0:is>
      </ns0:c>
      <ns0:c r="I261" s="19" t="inlineStr"/>
      <ns0:c r="J261" s="19" t="inlineStr"/>
      <ns0:c r="K261" s="19" t="inlineStr"/>
      <ns0:c r="L261" s="19" t="inlineStr">
        <ns0:is>
          <ns0:t>Not documented in provided sources</ns0:t>
        </ns0:is>
      </ns0:c>
      <ns0:c r="M261" s="19" t="inlineStr">
        <ns0:is>
          <ns0:t>[]</ns0:t>
        </ns0:is>
      </ns0:c>
    </ns0:row>
    <ns0:row r="262" ht="153" customHeight="1">
      <ns0:c r="A262" s="21" t="inlineStr">
        <ns0:is>
          <ns0:t>280</ns0:t>
        </ns0:is>
      </ns0:c>
      <ns0:c r="B262" s="21" t="inlineStr">
        <ns0:is>
          <ns0:t>Classification of autism based on short-term spontaneous hemodynamic fluctuations using an adaptive graph neural network</ns0:t>
        </ns0:is>
      </ns0:c>
      <ns0:c r="C262" s="21" t="inlineStr">
        <ns0:is>
          <ns0:t>10.1016/j.jneumeth.2023.109901</ns0:t>
        </ns0:is>
      </ns0:c>
      <ns0:c r="D262" s="21" t="inlineStr">
        <ns0:is>
          <ns0:t>https://doi.org/10.1016/j.jneumeth.2023.109901</ns0:t>
        </ns0:is>
      </ns0:c>
      <ns0:c r="E262" s="21" t="inlineStr">
        <ns0:is>
          <ns0:t>Supplied abstract/coding notes; no new full-text verification</ns0:t>
        </ns0:is>
      </ns0:c>
      <ns0:c r="F262" s="21" t="inlineStr">
        <ns0:is>
          <ns0:t>EVIDENCIA; original abstract/coding notes and lot source trace; Historical signals: title/abstract/notes; full-text completion not independently established</ns0:t>
        </ns0:is>
      </ns0:c>
      <ns0:c r="G262" s="21" t="inlineStr">
        <ns0:is>
          <ns0:t>Single fNIRS source with temporal and graph convolution; multiple channels do not establish multisource data.</ns0:t>
        </ns0:is>
      </ns0:c>
      <ns0:c r="H262" s="21" t="inlineStr">
        <ns0:is>
          <ns0: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ns0:t>
        </ns0:is>
      </ns0:c>
      <ns0:c r="I262" s="21" t="inlineStr">
        <ns0:is>
          <ns0:t>Algoritmo principal no explícito o fuera del codebook; Confirmar algoritmo principal en full-text; Se comparan varios modelos; se eligió el principal/mejor reportado</ns0:t>
        </ns0:is>
      </ns0:c>
      <ns0:c r="J262" s="21" t="inlineStr"/>
      <ns0:c r="K262" s="21" t="inlineStr"/>
      <ns0:c r="L262" s="21" t="inlineStr">
        <ns0:is>
          <ns0:t>Not documented in provided sources</ns0:t>
        </ns0:is>
      </ns0:c>
      <ns0:c r="M262" s="21" t="inlineStr">
        <ns0:is>
          <ns0:t>[]</ns0:t>
        </ns0:is>
      </ns0:c>
    </ns0:row>
    <ns0:row r="263" ht="81" customHeight="1">
      <ns0:c r="A263" s="19" t="inlineStr">
        <ns0:is>
          <ns0:t>281</ns0:t>
        </ns0:is>
      </ns0:c>
      <ns0:c r="B263" s="19" t="inlineStr">
        <ns0:is>
          <ns0:t>Deep Mobile Linguistic Therapy for Patients with ASD</ns0:t>
        </ns0:is>
      </ns0:c>
      <ns0:c r="C263" s="19" t="inlineStr">
        <ns0:is>
          <ns0:t>10.3390/ijerph191912857</ns0:t>
        </ns0:is>
      </ns0:c>
      <ns0:c r="D263" s="19" t="inlineStr">
        <ns0:is>
          <ns0:t>https://doi.org/10.3390/ijerph191912857</ns0:t>
        </ns0:is>
      </ns0:c>
      <ns0:c r="E263" s="19" t="inlineStr">
        <ns0:is>
          <ns0:t>Supplied abstract/coding notes; no new full-text verification</ns0:t>
        </ns0:is>
      </ns0:c>
      <ns0:c r="F263" s="19" t="inlineStr">
        <ns0:is>
          <ns0:t>EVIDENCIA; original abstract/coding notes and lot source trace; Historical signals: title/abstract/notes; full-text completion not independently established</ns0:t>
        </ns0:is>
      </ns0:c>
      <ns0:c r="G263" s="19" t="inlineStr">
        <ns0:is>
          <ns0:t>Mobile linguistic-therapy architecture combines image and language components; available abstract reports a software proposal, not a clinical treatment trial.</ns0:t>
        </ns0:is>
      </ns0:c>
      <ns0:c r="H263" s="19" t="inlineStr">
        <ns0:is>
          <ns0: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ns0:t>
        </ns0:is>
      </ns0:c>
      <ns0:c r="I263" s="19" t="inlineStr">
        <ns0:is>
          <ns0:t>Sistema de terapia lingüística móvil; no corresponde a una tarea diagnóstica clásica.</ns0:t>
        </ns0:is>
      </ns0:c>
      <ns0:c r="J263" s="19" t="inlineStr"/>
      <ns0:c r="K263" s="19" t="inlineStr"/>
      <ns0:c r="L263" s="19" t="inlineStr">
        <ns0:is>
          <ns0:t>Not documented in provided sources</ns0:t>
        </ns0:is>
      </ns0:c>
      <ns0:c r="M263" s="19" t="inlineStr">
        <ns0:is>
          <ns0:t>[]</ns0:t>
        </ns0:is>
      </ns0:c>
    </ns0:row>
    <ns0:row r="264" ht="141" customHeight="1">
      <ns0:c r="A264" s="21" t="inlineStr">
        <ns0:is>
          <ns0:t>282</ns0:t>
        </ns0:is>
      </ns0:c>
      <ns0:c r="B264" s="21" t="inlineStr">
        <ns0:is>
          <ns0:t>DeepASDPred: a CNN-LSTM-based deep learning method for Autism spectrum disorders risk RNA identification</ns0:t>
        </ns0:is>
      </ns0:c>
      <ns0:c r="C264" s="21" t="inlineStr">
        <ns0:is>
          <ns0:t>10.1186/s12859-023-05378-x</ns0:t>
        </ns0:is>
      </ns0:c>
      <ns0:c r="D264" s="21" t="inlineStr">
        <ns0:is>
          <ns0:t>https://doi.org/10.1186/s12859-023-05378-x</ns0:t>
        </ns0:is>
      </ns0:c>
      <ns0:c r="E264" s="21" t="inlineStr">
        <ns0:is>
          <ns0:t>Supplied abstract/coding notes; no new full-text verification</ns0:t>
        </ns0:is>
      </ns0:c>
      <ns0:c r="F264" s="21" t="inlineStr">
        <ns0:is>
          <ns0:t>EVIDENCIA; original abstract/coding notes and lot source trace; Historical signals: title/abstract/notes; full-text completion not independently established</ns0:t>
        </ns0:is>
      </ns0:c>
      <ns0:c r="G264" s="21" t="inlineStr">
        <ns0:is>
          <ns0:t>RNA sequence and expression fusion for gene-level risk classification. CNN and LSTM are both deep learning; logistic feature selection does not establish a mixed clinical classifier.</ns0:t>
        </ns0:is>
      </ns0:c>
      <ns0:c r="H264" s="21" t="inlineStr">
        <ns0:is>
          <ns0: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ns0:t>
        </ns0:is>
      </ns0:c>
      <ns0:c r="I264" s="21" t="inlineStr">
        <ns0:is>
          <ns0:t>Recodificado desde texto completo: secuencia de RNA y expresión génica; identificación etiológica de RNA/genes de riesgo, no prescreening clínico.</ns0:t>
        </ns0:is>
      </ns0:c>
      <ns0:c r="J264" s="21" t="inlineStr"/>
      <ns0:c r="K264" s="21" t="inlineStr"/>
      <ns0:c r="L264" s="21" t="inlineStr">
        <ns0:is>
          <ns0:t>Not documented in provided sources</ns0:t>
        </ns0:is>
      </ns0:c>
      <ns0:c r="M264" s="21" t="inlineStr">
        <ns0:is>
          <ns0:t>[]</ns0:t>
        </ns0:is>
      </ns0:c>
    </ns0:row>
    <ns0:row r="265" ht="153" customHeight="1">
      <ns0:c r="A265" s="19" t="inlineStr">
        <ns0:is>
          <ns0:t>283</ns0:t>
        </ns0:is>
      </ns0:c>
      <ns0:c r="B265" s="19" t="inlineStr">
        <ns0:is>
          <ns0:t>Employing Machine Learning-Based Predictive Analytical Approaches to Classify Autism Spectrum Disorder Types</ns0:t>
        </ns0:is>
      </ns0:c>
      <ns0:c r="C265" s="19" t="inlineStr">
        <ns0:is>
          <ns0:t>10.1155/2022/8134018</ns0:t>
        </ns0:is>
      </ns0:c>
      <ns0:c r="D265" s="19" t="inlineStr">
        <ns0:is>
          <ns0:t>https://doi.org/10.1155/2022/8134018</ns0:t>
        </ns0:is>
      </ns0:c>
      <ns0:c r="E265" s="19" t="inlineStr">
        <ns0:is>
          <ns0:t>Supplied abstract/coding notes; no new full-text verification</ns0:t>
        </ns0:is>
      </ns0:c>
      <ns0:c r="F265" s="19" t="inlineStr">
        <ns0:is>
          <ns0:t>EVIDENCIA; original abstract/coding notes and lot source trace; Historical signals: title/abstract/notes; full-text completion not independently established</ns0:t>
        </ns0:is>
      </ns0:c>
      <ns0:c r="G265" s="19" t="inlineStr">
        <ns0:is>
          <ns0:t>DNN outperformed comparators in concurrent ASD severity classification; data source cannot be recovered from available abstract.</ns0:t>
        </ns0:is>
      </ns0:c>
      <ns0:c r="H265" s="19" t="inlineStr">
        <ns0:is>
          <ns0: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ns0:t>
        </ns0:is>
      </ns0:c>
      <ns0:c r="I265" s="19" t="inlineStr">
        <ns0:is>
          <ns0:t xml:space="preserve">No es “ASD vs TD” puro; es clasificación de severidad (incluye “No ASD” + Levels 1–3). Si tu análisis separa “diagnosis binaria” vs “severity”, aquí conviene anotarlo. </ns0:t>
        </ns0:is>
      </ns0:c>
      <ns0:c r="J265" s="19" t="inlineStr"/>
      <ns0:c r="K265" s="19" t="inlineStr"/>
      <ns0:c r="L265" s="19" t="inlineStr">
        <ns0:is>
          <ns0:t>Not documented in provided sources</ns0:t>
        </ns0:is>
      </ns0:c>
      <ns0:c r="M265" s="19" t="inlineStr">
        <ns0:is>
          <ns0:t>[]</ns0:t>
        </ns0:is>
      </ns0:c>
    </ns0:row>
    <ns0:row r="266" ht="213" customHeight="1">
      <ns0:c r="A266" s="21" t="inlineStr">
        <ns0:is>
          <ns0:t>284</ns0:t>
        </ns0:is>
      </ns0:c>
      <ns0:c r="B266" s="21" t="inlineStr">
        <ns0:is>
          <ns0:t>Exploration of Autism Spectrum Disorder using Classification Algorithms</ns0:t>
        </ns0:is>
      </ns0:c>
      <ns0:c r="C266" s="21" t="inlineStr">
        <ns0:is>
          <ns0:t>10.1016/j.procs.2020.01.098</ns0:t>
        </ns0:is>
      </ns0:c>
      <ns0:c r="D266" s="21" t="inlineStr">
        <ns0:is>
          <ns0:t>https://doi.org/10.1016/j.procs.2020.01.098</ns0:t>
        </ns0:is>
      </ns0:c>
      <ns0:c r="E266" s="21" t="inlineStr">
        <ns0:is>
          <ns0:t>Supplied abstract/coding notes; no new full-text verification</ns0:t>
        </ns0:is>
      </ns0:c>
      <ns0:c r="F266" s="21" t="inlineStr">
        <ns0:is>
          <ns0:t>EVIDENCIA; original abstract/coding notes and lot source trace; Historical signals: title/abstract/notes; full-text completion not independently established</ns0:t>
        </ns0:is>
      </ns0:c>
      <ns0:c r="G266" s="21" t="inlineStr">
        <ns0:is>
          <ns0:t>Conventional classifier comparison, not ML/DL hybrid. Input modality not specified in available abstract.</ns0:t>
        </ns0:is>
      </ns0:c>
      <ns0:c r="H266" s="21" t="inlineStr">
        <ns0:is>
          <ns0: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ns0:t>
        </ns0:is>
      </ns0:c>
      <ns0:c r="I266" s="21" t="inlineStr">
        <ns0:is>
          <ns0:t>Es un paper comparativo (Naive Bayes, Decision Table, SVM). Aunque SVM es “best” según su texto, también reportan desempeño perfecto para otro método en su tabla; si tu Excel exige un solo “main”, SVM es defendible solo con esa frase de “best”</ns0:t>
        </ns0:is>
      </ns0:c>
      <ns0:c r="J266" s="21" t="inlineStr"/>
      <ns0:c r="K266" s="21" t="inlineStr"/>
      <ns0:c r="L266" s="21" t="inlineStr">
        <ns0:is>
          <ns0:t>Not documented in provided sources</ns0:t>
        </ns0:is>
      </ns0:c>
      <ns0:c r="M266" s="21" t="inlineStr">
        <ns0:is>
          <ns0:t>[]</ns0:t>
        </ns0:is>
      </ns0:c>
    </ns0:row>
    <ns0:row r="267" ht="201" customHeight="1">
      <ns0:c r="A267" s="19" t="inlineStr">
        <ns0:is>
          <ns0:t>285</ns0:t>
        </ns0:is>
      </ns0:c>
      <ns0:c r="B267" s="19" t="inlineStr">
        <ns0:is>
          <ns0:t>Exploring pesticide risk in autism via integrative machine learning and network toxicology</ns0:t>
        </ns0:is>
      </ns0:c>
      <ns0:c r="C267" s="19" t="inlineStr">
        <ns0:is>
          <ns0:t>10.1016/j.ecoenv.2025.118233</ns0:t>
        </ns0:is>
      </ns0:c>
      <ns0:c r="D267" s="19" t="inlineStr">
        <ns0:is>
          <ns0:t>https://doi.org/10.1016/j.ecoenv.2025.118233</ns0:t>
        </ns0:is>
      </ns0:c>
      <ns0:c r="E267" s="19" t="inlineStr">
        <ns0:is>
          <ns0:t>Supplied abstract/coding notes; no new full-text verification</ns0:t>
        </ns0:is>
      </ns0:c>
      <ns0:c r="F267" s="19" t="inlineStr">
        <ns0:is>
          <ns0:t>EVIDENCIA; original abstract/coding notes and lot source trace; Historical signals: title/abstract/notes; full-text completion not independently established</ns0:t>
        </ns0:is>
      </ns0:c>
      <ns0:c r="G267" s="19" t="inlineStr">
        <ns0:is>
          <ns0:t>Transcriptomic gene selection followed by network toxicology and docking; no deep-learning component or deployed clinical decision.</ns0:t>
        </ns0:is>
      </ns0:c>
      <ns0:c r="H267" s="19" t="inlineStr">
        <ns0:is>
          <ns0: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ns0:t>
        </ns0:is>
      </ns0:c>
      <ns0:c r="I267" s="19" t="inlineStr">
        <ns0:is>
          <ns0:t>La ML se usa como parte de un pipeline mecanístico: LASSO para seleccionar targets (“Using the LASSO algorithm, 23 key targets…”) y luego selección final por desempeño (“SGD model… best predictive performance… 20 features”)</ns0:t>
        </ns0:is>
      </ns0:c>
      <ns0:c r="J267" s="19" t="inlineStr"/>
      <ns0:c r="K267" s="19" t="inlineStr"/>
      <ns0:c r="L267" s="19" t="inlineStr">
        <ns0:is>
          <ns0:t>Not documented in provided sources</ns0:t>
        </ns0:is>
      </ns0:c>
      <ns0:c r="M267" s="19" t="inlineStr">
        <ns0:is>
          <ns0:t>[]</ns0:t>
        </ns0:is>
      </ns0:c>
    </ns0:row>
    <ns0:row r="268" ht="105" customHeight="1">
      <ns0:c r="A268" s="21" t="inlineStr">
        <ns0:is>
          <ns0:t>286</ns0:t>
        </ns0:is>
      </ns0:c>
      <ns0:c r="B268" s="21" t="inlineStr">
        <ns0:is>
          <ns0:t>Feedback Artificial Tree-Anti Corona Virus Optimization enabled deep learning for detecting autism spectrum disorder</ns0:t>
        </ns0:is>
      </ns0:c>
      <ns0:c r="C268" s="21" t="inlineStr">
        <ns0:is>
          <ns0:t>10.1111/exsy.13040</ns0:t>
        </ns0:is>
      </ns0:c>
      <ns0:c r="D268" s="21" t="inlineStr">
        <ns0:is>
          <ns0:t>https://doi.org/10.1111/exsy.13040</ns0:t>
        </ns0:is>
      </ns0:c>
      <ns0:c r="E268" s="21" t="inlineStr">
        <ns0:is>
          <ns0:t>Supplied abstract/coding notes; no new full-text verification</ns0:t>
        </ns0:is>
      </ns0:c>
      <ns0:c r="F268" s="21" t="inlineStr">
        <ns0:is>
          <ns0:t>EVIDENCIA; original abstract/coding notes and lot source trace; Historical signals: title/abstract/notes; full-text completion not independently established</ns0:t>
        </ns0:is>
      </ns0:c>
      <ns0:c r="G268" s="21" t="inlineStr">
        <ns0:is>
          <ns0:t>Deep residual network on ABIDE fMRI with optimization; testing two repositories does not itself show independent transfer.</ns0:t>
        </ns0:is>
      </ns0:c>
      <ns0:c r="H268" s="21" t="inlineStr">
        <ns0:is>
          <ns0: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ns0:t>
        </ns0:is>
      </ns0:c>
      <ns0:c r="I268" s="21" t="inlineStr">
        <ns0:is>
          <ns0:t>fMRI con ROI extraction + deep residual network optimizada; se codifica CNN/DRN como algoritmo principal.</ns0:t>
        </ns0:is>
      </ns0:c>
      <ns0:c r="J268" s="21" t="inlineStr"/>
      <ns0:c r="K268" s="21" t="inlineStr"/>
      <ns0:c r="L268" s="21" t="inlineStr">
        <ns0:is>
          <ns0:t>Not documented in provided sources</ns0:t>
        </ns0:is>
      </ns0:c>
      <ns0:c r="M268" s="21" t="inlineStr">
        <ns0:is>
          <ns0:t>[]</ns0:t>
        </ns0:is>
      </ns0:c>
    </ns0:row>
    <ns0:row r="269" ht="350" customHeight="1">
      <ns0:c r="A269" s="19" t="inlineStr">
        <ns0:is>
          <ns0:t>287</ns0:t>
        </ns0:is>
      </ns0:c>
      <ns0:c r="B269" s="19" t="inlineStr">
        <ns0:is>
          <ns0:t>Forecasting risk gene discovery in autism with machine learning and genome-scale data</ns0:t>
        </ns0:is>
      </ns0:c>
      <ns0:c r="C269" s="19" t="inlineStr">
        <ns0:is>
          <ns0:t>10.1038/s41598-020-61288-5</ns0:t>
        </ns0:is>
      </ns0:c>
      <ns0:c r="D269" s="19" t="inlineStr">
        <ns0:is>
          <ns0:t>https://www.nature.com/articles/s41598-020-61288-5</ns0:t>
        </ns0:is>
      </ns0:c>
      <ns0:c r="E269" s="19" t="inlineStr">
        <ns0:is>
          <ns0:t>Primary-source full text (targeted sections)</ns0:t>
        </ns0:is>
      </ns0:c>
      <ns0:c r="F269" s="19" t="inlineStr">
        <ns0:is>
          <ns0:t>Methods: Overview; Model training; Results: model performance</ns0:t>
        </ns0:is>
      </ns0:c>
      <ns0:c r="G269" s="19" t="inlineStr">
        <ns0:is>
          <ns0:t>forecASD uses stacked random forests for gene prioritization, not clinical prescreening or deep learning. Independent gene-level cohorts test generalization.</ns0:t>
        </ns0:is>
      </ns0:c>
      <ns0:c r="H269" s="19" t="inlineStr">
        <ns0:is>
          <ns0: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ns0:t>
        </ns0:is>
      </ns0:c>
      <ns0:c r="I269" s="19" t="inlineStr">
        <ns0:is>
          <ns0:t>Algoritmo principal no explícito o fuera del codebook; Confirmar algoritmo principal en full-text</ns0:t>
        </ns0:is>
      </ns0:c>
      <ns0:c r="J269" s="19" t="inlineStr"/>
      <ns0:c r="K269" s="19" t="inlineStr"/>
      <ns0:c r="L269" s="19" t="inlineStr">
        <ns0:is>
          <ns0:t>Not documented in provided sources</ns0:t>
        </ns0:is>
      </ns0:c>
      <ns0:c r="M269" s="19" t="inlineStr">
        <ns0:is>
          <ns0:t>[{"url": "https://www.nature.com/articles/s41598-020-61288-5", "locator": "Methods: Overview; Model training; Results: model performance", "assessment": "Stacked random forests integrate BrainSpan, STRING and prior gene scores. Three sequencing cohorts were not used in training. Gene-level external evidence, not clinical screening accuracy. Publisher also lists an author correction.", "level": "Primary-source full text (targeted sections)", "date": "2026-09-08", "assessor": "ChatGPT-assisted source verification; not independent human review"}]</ns0:t>
        </ns0:is>
      </ns0:c>
    </ns0:row>
    <ns0:row r="270" ht="93" customHeight="1">
      <ns0:c r="A270" s="21" t="inlineStr">
        <ns0:is>
          <ns0:t>288</ns0:t>
        </ns0:is>
      </ns0:c>
      <ns0:c r="B270" s="21" t="inlineStr">
        <ns0:is>
          <ns0:t>Identifying Autism with Head Movement Features by Implementing Machine Learning Algorithms</ns0:t>
        </ns0:is>
      </ns0:c>
      <ns0:c r="C270" s="21" t="inlineStr">
        <ns0:is>
          <ns0:t>10.1007/s10803-021-05179-2</ns0:t>
        </ns0:is>
      </ns0:c>
      <ns0:c r="D270" s="21" t="inlineStr">
        <ns0:is>
          <ns0:t>https://doi.org/10.1007/s10803-021-05179-2</ns0:t>
        </ns0:is>
      </ns0:c>
      <ns0:c r="E270" s="21" t="inlineStr">
        <ns0:is>
          <ns0:t>Supplied abstract/coding notes; no new full-text verification</ns0:t>
        </ns0:is>
      </ns0:c>
      <ns0:c r="F270" s="21" t="inlineStr">
        <ns0:is>
          <ns0:t>EVIDENCIA; original abstract/coding notes and lot source trace; Historical signals: title/abstract/notes; full-text completion not independently established</ns0:t>
        </ns0:is>
      </ns0:c>
      <ns0:c r="G270" s="21" t="inlineStr">
        <ns0:is>
          <ns0:t>Behavioral head-motion angles and rates; decision tree best classifier is explicit.</ns0:t>
        </ns0:is>
      </ns0:c>
      <ns0:c r="H270" s="21" t="inlineStr">
        <ns0:is>
          <ns0: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ns0:t>
        </ns0:is>
      </ns0:c>
      <ns0:c r="I270" s="21" t="inlineStr">
        <ns0:is>
          <ns0:t>Algoritmo principal no explícito o fuera del codebook; Confirmar algoritmo principal en full-text</ns0:t>
        </ns0:is>
      </ns0:c>
      <ns0:c r="J270" s="21" t="inlineStr"/>
      <ns0:c r="K270" s="21" t="inlineStr"/>
      <ns0:c r="L270" s="21" t="inlineStr">
        <ns0:is>
          <ns0:t>Not documented in provided sources</ns0:t>
        </ns0:is>
      </ns0:c>
      <ns0:c r="M270" s="21" t="inlineStr">
        <ns0:is>
          <ns0:t>[]</ns0:t>
        </ns0:is>
      </ns0:c>
    </ns0:row>
    <ns0:row r="271" ht="65" customHeight="1">
      <ns0:c r="A271" s="19" t="inlineStr">
        <ns0:is>
          <ns0:t>289</ns0:t>
        </ns0:is>
      </ns0:c>
      <ns0:c r="B271" s="19" t="inlineStr">
        <ns0:is>
          <ns0:t>Increased serum levels of macrophage migration inhibitory factor in autism spectrum disorders</ns0:t>
        </ns0:is>
      </ns0:c>
      <ns0:c r="C271" s="19" t="inlineStr">
        <ns0:is>
          <ns0:t>10.1016/j.neuro.2018.11.015</ns0:t>
        </ns0:is>
      </ns0:c>
      <ns0:c r="D271" s="19" t="inlineStr">
        <ns0:is>
          <ns0:t>https://doi.org/10.1016/j.neuro.2018.11.015</ns0:t>
        </ns0:is>
      </ns0:c>
      <ns0:c r="E271" s="19" t="inlineStr">
        <ns0:is>
          <ns0:t>Supplied abstract/coding notes; no new full-text verification</ns0:t>
        </ns0:is>
      </ns0:c>
      <ns0:c r="F271" s="19" t="inlineStr">
        <ns0:is>
          <ns0:t>EVIDENCIA; original abstract/coding notes and lot source trace; Historical signals: title/abstract/notes; full-text completion not independently established</ns0:t>
        </ns0:is>
      </ns0:c>
      <ns0:c r="G271" s="19" t="inlineStr">
        <ns0:is>
          <ns0:t>Serum biomarker combined regression models are explicitly compared for concurrent ASD/severity; this is exploratory prediction, not a prospectively validated decision system.
Exploratory regression biomarker model without out-of-sample evaluation; exclude in restrictive ML/clinical-endpoint sensitivity if protocol requires validated classifiers.</ns0:t>
        </ns0:is>
      </ns0:c>
      <ns0:c r="H271" s="19" t="inlineStr">
        <ns0:is>
          <ns0: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ns0:t>
        </ns0:is>
      </ns0:c>
      <ns0:c r="I271" s="19" t="inlineStr">
        <ns0:is>
          <ns0:t>Etapa clínica no clara</ns0:t>
        </ns0:is>
      </ns0:c>
      <ns0:c r="J271" s="19" t="inlineStr"/>
      <ns0:c r="K271" s="19" t="inlineStr"/>
      <ns0:c r="L271" s="19" t="inlineStr">
        <ns0:is>
          <ns0:t>Not documented in provided sources</ns0:t>
        </ns0:is>
      </ns0:c>
      <ns0:c r="M271" s="19" t="inlineStr">
        <ns0:is>
          <ns0:t>[]</ns0:t>
        </ns0:is>
      </ns0:c>
    </ns0:row>
    <ns0:row r="272" ht="65" customHeight="1">
      <ns0:c r="A272" s="21" t="inlineStr">
        <ns0:is>
          <ns0:t>290</ns0:t>
        </ns0:is>
      </ns0:c>
      <ns0:c r="B272" s="21" t="inlineStr">
        <ns0:is>
          <ns0:t>Machine Learning and Structural Dynamics-Based Approach to Reveal Molecular Mechanism of PTEN Missense Mutations Shared by Cancer and Autism Spectrum Disorder</ns0:t>
        </ns0:is>
      </ns0:c>
      <ns0:c r="C272" s="21" t="inlineStr">
        <ns0:is>
          <ns0:t>10.1021/acs.jcim.5c00134</ns0:t>
        </ns0:is>
      </ns0:c>
      <ns0:c r="D272" s="21" t="inlineStr">
        <ns0:is>
          <ns0:t>https://doi.org/10.1021/acs.jcim.5c00134</ns0:t>
        </ns0:is>
      </ns0:c>
      <ns0:c r="E272" s="21" t="inlineStr">
        <ns0:is>
          <ns0:t>Supplied abstract/coding notes; no new full-text verification</ns0:t>
        </ns0:is>
      </ns0:c>
      <ns0:c r="F272" s="21" t="inlineStr">
        <ns0:is>
          <ns0:t>EVIDENCIA; original abstract/coding notes and lot source trace; Historical signals: title/abstract/notes; full-text completion not independently established</ns0:t>
        </ns0:is>
      </ns0:c>
      <ns0:c r="G272" s="21" t="inlineStr">
        <ns0:is>
          <ns0:t>PTEN mutation structural dynamics and ML classify molecular effects, not patients; broad molecular ASD scope only.
Human gene/mutation-derived molecular modeling with dynamics simulations; no direct patient-level clinical outcome.</ns0:t>
        </ns0:is>
      </ns0:c>
      <ns0:c r="H272" s="21" t="inlineStr">
        <ns0:is>
          <ns0: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ns0:t>
        </ns0:is>
      </ns0:c>
      <ns0:c r="I272" s="21" t="inlineStr"/>
      <ns0:c r="J272" s="21" t="inlineStr"/>
      <ns0:c r="K272" s="21" t="inlineStr"/>
      <ns0:c r="L272" s="21" t="inlineStr">
        <ns0:is>
          <ns0:t>Not documented in provided sources</ns0:t>
        </ns0:is>
      </ns0:c>
      <ns0:c r="M272" s="21" t="inlineStr">
        <ns0:is>
          <ns0:t>[]</ns0:t>
        </ns0:is>
      </ns0:c>
    </ns0:row>
    <ns0:row r="273" ht="213" customHeight="1">
      <ns0:c r="A273" s="19" t="inlineStr">
        <ns0:is>
          <ns0:t>291</ns0:t>
        </ns0:is>
      </ns0:c>
      <ns0:c r="B273" s="19" t="inlineStr">
        <ns0:is>
          <ns0:t>MCDGLN: Masked connection-based dynamic graph learning network for autism spectrum disorder</ns0:t>
        </ns0:is>
      </ns0:c>
      <ns0:c r="C273" s="19" t="inlineStr">
        <ns0:is>
          <ns0:t>10.1016/j.brainresbull.2025.111290</ns0:t>
        </ns0:is>
      </ns0:c>
      <ns0:c r="D273" s="19" t="inlineStr">
        <ns0:is>
          <ns0:t>https://doi.org/10.1016/j.brainresbull.2025.111290</ns0:t>
        </ns0:is>
      </ns0:c>
      <ns0:c r="E273" s="19" t="inlineStr">
        <ns0:is>
          <ns0:t>Supplied abstract/coding notes; no new full-text verification</ns0:t>
        </ns0:is>
      </ns0:c>
      <ns0:c r="F273" s="19" t="inlineStr">
        <ns0:is>
          <ns0:t>EVIDENCIA; original abstract/coding notes and lot source trace; Historical signals: title/abstract/notes; full-text completion not independently established</ns0:t>
        </ns0:is>
      </ns0:c>
      <ns0:c r="G273" s="19" t="inlineStr">
        <ns0:is>
          <ns0:t>Dynamic and static BOLD connectivity within a single fMRI source.</ns0:t>
        </ns0:is>
      </ns0:c>
      <ns0:c r="H273" s="19" t="inlineStr">
        <ns0:is>
          <ns0: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ns0:t>
        </ns0:is>
      </ns0:c>
      <ns0:c r="I273" s="19" t="inlineStr">
        <ns0:is>
          <ns0:t>Modelo explícitamente dinámico + máscara anti-ruido: “segments BOLD signals using sliding temporal windows… and… mask… reducing noise and pruning irrelevant links.” Además reportan dataset ABIDE-I “1035 subjects… 505 with ASD and 530 TD”</ns0:t>
        </ns0:is>
      </ns0:c>
      <ns0:c r="J273" s="19" t="inlineStr"/>
      <ns0:c r="K273" s="19" t="inlineStr"/>
      <ns0:c r="L273" s="19" t="inlineStr">
        <ns0:is>
          <ns0:t>Not documented in provided sources</ns0:t>
        </ns0:is>
      </ns0:c>
      <ns0:c r="M273" s="19" t="inlineStr">
        <ns0:is>
          <ns0:t>[]</ns0:t>
        </ns0:is>
      </ns0:c>
    </ns0:row>
    <ns0:row r="274" ht="81" customHeight="1">
      <ns0:c r="A274" s="21" t="inlineStr">
        <ns0:is>
          <ns0:t>292</ns0:t>
        </ns0:is>
      </ns0:c>
      <ns0:c r="B274" s="21" t="inlineStr">
        <ns0:is>
          <ns0:t>Performance of case-control rare copy number variation annotation in classification of autism</ns0:t>
        </ns0:is>
      </ns0:c>
      <ns0:c r="C274" s="21" t="inlineStr">
        <ns0:is>
          <ns0:t>10.1186/1755-8794-8-s1-s7</ns0:t>
        </ns0:is>
      </ns0:c>
      <ns0:c r="D274" s="21" t="inlineStr">
        <ns0:is>
          <ns0:t>https://doi.org/10.1186/1755-8794-8-s1-s7</ns0:t>
        </ns0:is>
      </ns0:c>
      <ns0:c r="E274" s="21" t="inlineStr">
        <ns0:is>
          <ns0:t>Supplied abstract/coding notes; no new full-text verification</ns0:t>
        </ns0:is>
      </ns0:c>
      <ns0:c r="F274" s="21" t="inlineStr">
        <ns0:is>
          <ns0:t>EVIDENCIA; original abstract/coding notes and lot source trace; Historical signals: title/abstract/notes; full-text completion not independently established</ns0:t>
        </ns0:is>
      </ns0:c>
      <ns0:c r="G274" s="21" t="inlineStr">
        <ns0:is>
          <ns0:t>Rare CNVs and annotations with conditional-inference forest; conventional ML, not deep-learning hybrid.</ns0:t>
        </ns0:is>
      </ns0:c>
      <ns0:c r="H274" s="21" t="inlineStr">
        <ns0:is>
          <ns0: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ns0:t>
        </ns0:is>
      </ns0:c>
      <ns0:c r="I274" s="21" t="inlineStr">
        <ns0:is>
          <ns0:t>Clasificación basada en rare CNV; conditional inference forest rinde mejor.</ns0:t>
        </ns0:is>
      </ns0:c>
      <ns0:c r="J274" s="21" t="inlineStr"/>
      <ns0:c r="K274" s="21" t="inlineStr"/>
      <ns0:c r="L274" s="21" t="inlineStr">
        <ns0:is>
          <ns0:t>Not documented in provided sources</ns0:t>
        </ns0:is>
      </ns0:c>
      <ns0:c r="M274" s="21" t="inlineStr">
        <ns0:is>
          <ns0:t>[]</ns0:t>
        </ns0:is>
      </ns0:c>
    </ns0:row>
    <ns0:row r="275" ht="65" customHeight="1">
      <ns0:c r="A275" s="19" t="inlineStr">
        <ns0:is>
          <ns0:t>293</ns0:t>
        </ns0:is>
      </ns0:c>
      <ns0:c r="B275" s="19" t="inlineStr">
        <ns0:is>
          <ns0:t>Personalized machine learning for robot perception of affect and engagement in autism therapy</ns0:t>
        </ns0:is>
      </ns0:c>
      <ns0:c r="C275" s="19" t="inlineStr">
        <ns0:is>
          <ns0:t>10.1126/scirobotics.aao6760</ns0:t>
        </ns0:is>
      </ns0:c>
      <ns0:c r="D275" s="19" t="inlineStr">
        <ns0:is>
          <ns0:t>https://doi.org/10.1126/scirobotics.aao6760</ns0:t>
        </ns0:is>
      </ns0:c>
      <ns0:c r="E275" s="19" t="inlineStr">
        <ns0:is>
          <ns0:t>Supplied abstract/coding notes; no new full-text verification</ns0:t>
        </ns0:is>
      </ns0:c>
      <ns0:c r="F275" s="19" t="inlineStr">
        <ns0:is>
          <ns0:t>EVIDENCIA; original abstract/coding notes and lot source trace; Historical signals: title/abstract/notes; full-text completion not independently established</ns0:t>
        </ns0:is>
      </ns0:c>
      <ns0:c r="G275" s="19" t="inlineStr">
        <ns0:is>
          <ns0:t>Multimodal affect/engagement models evaluated on recordings from robot therapy; abstract does not show that model estimates drove robot behavior during therapy.
Two cultures are described; independent held-out-cultural/site testing and real-time feedback use are not established by the available abstract.</ns0:t>
        </ns0:is>
      </ns0:c>
      <ns0:c r="H275" s="19" t="inlineStr">
        <ns0:is>
          <ns0: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ns0:t>
        </ns0:is>
      </ns0:c>
      <ns0:c r="I275" s="19" t="inlineStr"/>
      <ns0:c r="J275" s="19" t="inlineStr"/>
      <ns0:c r="K275" s="19" t="inlineStr"/>
      <ns0:c r="L275" s="19" t="inlineStr">
        <ns0:is>
          <ns0:t>Not documented in provided sources</ns0:t>
        </ns0:is>
      </ns0:c>
      <ns0:c r="M275" s="19" t="inlineStr">
        <ns0:is>
          <ns0:t>[]</ns0:t>
        </ns0:is>
      </ns0:c>
    </ns0:row>
    <ns0:row r="276" ht="165" customHeight="1">
      <ns0:c r="A276" s="21" t="inlineStr">
        <ns0:is>
          <ns0:t>295</ns0:t>
        </ns0:is>
      </ns0:c>
      <ns0:c r="B276" s="21" t="inlineStr">
        <ns0:is>
          <ns0:t>Prediction of Autism at 3 Years from Behavioural and Developmental Measures in High-Risk Infants: A Longitudinal Cross-Domain Classifier Analysis</ns0:t>
        </ns0:is>
      </ns0:c>
      <ns0:c r="C276" s="21" t="inlineStr">
        <ns0:is>
          <ns0:t>10.1007/s10803-018-3509-x</ns0:t>
        </ns0:is>
      </ns0:c>
      <ns0:c r="D276" s="21" t="inlineStr">
        <ns0:is>
          <ns0:t>https://doi.org/10.1007/s10803-018-3509-x</ns0:t>
        </ns0:is>
      </ns0:c>
      <ns0:c r="E276" s="21" t="inlineStr">
        <ns0:is>
          <ns0:t>Supplied abstract/coding notes; no new full-text verification</ns0:t>
        </ns0:is>
      </ns0:c>
      <ns0:c r="F276" s="21" t="inlineStr">
        <ns0:is>
          <ns0:t>EVIDENCIA; original abstract/coding notes and lot source trace; Historical signals: title/abstract/notes; full-text completion not independently established</ns0:t>
        </ns0:is>
      </ns0:c>
      <ns0:c r="G276" s="21" t="inlineStr">
        <ns0:is>
          <ns0:t>Multiple standardized developmental instruments in high-risk infants predict later ASD outcome; longitudinal data collection is not prospective model deployment.</ns0:t>
        </ns0:is>
      </ns0:c>
      <ns0:c r="H276" s="21" t="inlineStr">
        <ns0:is>
          <ns0: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ns0:t>
        </ns0:is>
      </ns0:c>
      <ns0:c r="I276" s="21" t="inlineStr">
        <ns0:is>
          <ns0:t>No es “ASD vs control poblacional”, sino predicción dentro del grupo de alto riesgo: “Low-risk controls were excluded… our main aim… predicting ASD outcome among HR siblings.”</ns0:t>
        </ns0:is>
      </ns0:c>
      <ns0:c r="J276" s="21" t="inlineStr"/>
      <ns0:c r="K276" s="21" t="inlineStr"/>
      <ns0:c r="L276" s="21" t="inlineStr">
        <ns0:is>
          <ns0:t>Not documented in provided sources</ns0:t>
        </ns0:is>
      </ns0:c>
      <ns0:c r="M276" s="21" t="inlineStr">
        <ns0:is>
          <ns0:t>[]</ns0:t>
        </ns0:is>
      </ns0:c>
    </ns0:row>
    <ns0:row r="277" ht="153" customHeight="1">
      <ns0:c r="A277" s="19" t="inlineStr">
        <ns0:is>
          <ns0:t>296</ns0:t>
        </ns0:is>
      </ns0:c>
      <ns0:c r="B277" s="19" t="inlineStr">
        <ns0:is>
          <ns0:t>STDCformer: Spatial-temporal dual-path cross-attention model for fMRI-based autism spectrum disorder identification</ns0:t>
        </ns0:is>
      </ns0:c>
      <ns0:c r="C277" s="19" t="inlineStr">
        <ns0:is>
          <ns0:t>10.1016/j.heliyon.2024.e34245</ns0:t>
        </ns0:is>
      </ns0:c>
      <ns0:c r="D277" s="19" t="inlineStr">
        <ns0:is>
          <ns0:t>https://doi.org/10.1016/j.heliyon.2024.e34245</ns0:t>
        </ns0:is>
      </ns0:c>
      <ns0:c r="E277" s="19" t="inlineStr">
        <ns0:is>
          <ns0:t>Supplied abstract/coding notes; no new full-text verification</ns0:t>
        </ns0:is>
      </ns0:c>
      <ns0:c r="F277" s="19" t="inlineStr">
        <ns0:is>
          <ns0:t>EVIDENCIA; original abstract/coding notes and lot source trace; Historical signals: title/abstract/notes; full-text completion not independently established</ns0:t>
        </ns0:is>
      </ns0:c>
      <ns0:c r="G277" s="19" t="inlineStr">
        <ns0:is>
          <ns0:t>Spatiotemporal fMRI transformer and post-hoc interpretation; all neural branches remain deep learning.</ns0:t>
        </ns0:is>
      </ns0:c>
      <ns0:c r="H277" s="19" t="inlineStr">
        <ns0:is>
          <ns0: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ns0:t>
        </ns0:is>
      </ns0:c>
      <ns0:c r="I277" s="19" t="inlineStr">
        <ns0:is>
          <ns0:t>arquitectura híbrida: embedding temporal con “LSTM” y embedding espacial con “GAT”, integrados con “dual-path cross-attention” y “2D convolution” en el feed-forward.</ns0:t>
        </ns0:is>
      </ns0:c>
      <ns0:c r="J277" s="19" t="inlineStr"/>
      <ns0:c r="K277" s="19" t="inlineStr"/>
      <ns0:c r="L277" s="19" t="inlineStr">
        <ns0:is>
          <ns0:t>Not documented in provided sources</ns0:t>
        </ns0:is>
      </ns0:c>
      <ns0:c r="M277" s="19" t="inlineStr">
        <ns0:is>
          <ns0:t>[]</ns0:t>
        </ns0:is>
      </ns0:c>
    </ns0:row>
    <ns0:row r="278" ht="350" customHeight="1">
      <ns0:c r="A278" s="21" t="inlineStr">
        <ns0:is>
          <ns0:t>298</ns0:t>
        </ns0:is>
      </ns0:c>
      <ns0:c r="B278" s="21" t="inlineStr">
        <ns0:is>
          <ns0:t>Three Distinct Neuroanatomical Subtypes of Autism Spectrum Disorder, Revealed via Machine Learning, and Their Similarities With Schizophrenia Subtypes</ns0:t>
        </ns0:is>
      </ns0:c>
      <ns0:c r="C278" s="21" t="inlineStr">
        <ns0:is>
          <ns0:t>10.1016/j.biopsych.2021.02.931</ns0:t>
        </ns0:is>
      </ns0:c>
      <ns0:c r="D278" s="21" t="inlineStr">
        <ns0:is>
          <ns0:t>https://findanexpert.unimelb.edu.au/scholarlywork/1533141-three-distinct-neuroanatomical-subtypes-of-autism-spectrum-disorder--revealed-via-machine-learning--and-their-similarities-with-schizophrenia-subtypes</ns0:t>
        </ns0:is>
      </ns0:c>
      <ns0:c r="E278" s="21" t="inlineStr">
        <ns0:is>
          <ns0:t>Author-institution bibliographic record</ns0:t>
        </ns0:is>
      </ns0:c>
      <ns0:c r="F278" s="21" t="inlineStr">
        <ns0:is>
          <ns0:t>Institutional publication record</ns0:t>
        </ns0:is>
      </ns0:c>
      <ns0:c r="G278" s="21" t="inlineStr">
        <ns0:is>
          <ns0:t>Semi-supervised MRI subtyping rather than deep learning. Institutional record identifies conference proceedings; full-report status not established.
Conference record in Biological Psychiatry; complete proceedings paper versus abstract-only publication cannot be established from institutional metadata. Exclude from evidence-restricted sensitivity.</ns0:t>
        </ns0:is>
      </ns0:c>
      <ns0:c r="H278" s="21" t="inlineStr">
        <ns0:is>
          <ns0: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ns0:t>
        </ns0:is>
      </ns0:c>
      <ns0:c r="I278" s="21" t="inlineStr"/>
      <ns0:c r="J278" s="21" t="inlineStr"/>
      <ns0:c r="K278" s="21" t="inlineStr"/>
      <ns0:c r="L278" s="21" t="inlineStr">
        <ns0:is>
          <ns0:t>Not documented in provided sources</ns0:t>
        </ns0:is>
      </ns0:c>
      <ns0:c r="M278" s="21" t="inlineStr">
        <ns0:is>
          <ns0:t>[{"url": "https://findanexpert.unimelb.edu.au/scholarlywork/1533141-three-distinct-neuroanatomical-subtypes-of-autism-spectrum-disorder--revealed-via-machine-learning--and-their-similarities-with-schizophrenia-subtypes", "locator": "Institutional publication record", "assessment": "Record labeled Conference Proceedings; does not establish that a complete peer-reviewed paper rather than an abstract was published.", "level": "Author-institution bibliographic record", "date": "2026-09-08", "assessor": "ChatGPT-assisted source verification; not independent human review"}]</ns0:t>
        </ns0:is>
      </ns0:c>
    </ns0:row>
    <ns0:row r="279" ht="65" customHeight="1">
      <ns0:c r="A279" s="19" t="inlineStr">
        <ns0:is>
          <ns0:t>299</ns0:t>
        </ns0:is>
      </ns0:c>
      <ns0:c r="B279" s="19" t="inlineStr">
        <ns0:is>
          <ns0:t>Three-dimensional quantification of oxytocin neurons in the hypothalamic paraventricular nucleus reveals sex- and subregion-specific differences in two genetic mouse models of autism</ns0:t>
        </ns0:is>
      </ns0:c>
      <ns0:c r="C279" s="19" t="inlineStr">
        <ns0:is>
          <ns0:t>10.1111/jne.70092</ns0:t>
        </ns0:is>
      </ns0:c>
      <ns0:c r="D279" s="19" t="inlineStr">
        <ns0:is>
          <ns0:t>https://doi.org/10.1111/jne.70092</ns0:t>
        </ns0:is>
      </ns0:c>
      <ns0:c r="E279" s="19" t="inlineStr">
        <ns0:is>
          <ns0:t>Supplied abstract/coding notes; no new full-text verification</ns0:t>
        </ns0:is>
      </ns0:c>
      <ns0:c r="F279" s="19" t="inlineStr">
        <ns0:is>
          <ns0:t>EVIDENCIA; original abstract/coding notes and lot source trace; Historical signals: title/abstract/notes; full-text completion not independently established</ns0:t>
        </ns0:is>
      </ns0:c>
      <ns0:c r="G279" s="19" t="inlineStr">
        <ns0:is>
          <ns0:t>Oxytocin-neuron quantification in Cntnap2/Fmr1 knockout mice, without a human ASD evaluation.</ns0:t>
        </ns0:is>
      </ns0:c>
      <ns0:c r="H279" s="19" t="inlineStr">
        <ns0:is>
          <ns0: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ns0:t>
        </ns0:is>
      </ns0:c>
      <ns0:c r="I279" s="19" t="inlineStr">
        <ns0:is>
          <ns0:t>Sin señal explícita Q3 en título/abstract.</ns0:t>
        </ns0:is>
      </ns0:c>
      <ns0:c r="J279" s="19" t="inlineStr"/>
      <ns0:c r="K279" s="19" t="inlineStr"/>
      <ns0:c r="L279" s="19" t="inlineStr">
        <ns0:is>
          <ns0:t>Not documented in provided sources</ns0:t>
        </ns0:is>
      </ns0:c>
      <ns0:c r="M279" s="19" t="inlineStr">
        <ns0:is>
          <ns0:t>[]</ns0:t>
        </ns0:is>
      </ns0:c>
    </ns0:row>
    <ns0:row r="280" ht="65" customHeight="1">
      <ns0:c r="A280" s="21" t="inlineStr">
        <ns0:is>
          <ns0:t>300</ns0:t>
        </ns0:is>
      </ns0:c>
      <ns0:c r="B280" s="21" t="inlineStr">
        <ns0:is>
          <ns0:t>Application of Speech Signal for Early Screening of Children with Autism Spectrum Disorder</ns0:t>
        </ns0:is>
      </ns0:c>
      <ns0:c r="C280" s="21" t="inlineStr">
        <ns0:is>
          <ns0:t>10.1007/978-3-031-62273-1_36</ns0:t>
        </ns0:is>
      </ns0:c>
      <ns0:c r="D280" s="21" t="inlineStr">
        <ns0:is>
          <ns0:t>https://doi.org/10.1007/978-3-031-62273-1_36</ns0:t>
        </ns0:is>
      </ns0:c>
      <ns0:c r="E280" s="21" t="inlineStr">
        <ns0:is>
          <ns0:t>Supplied abstract/coding notes; no new full-text verification</ns0:t>
        </ns0:is>
      </ns0:c>
      <ns0:c r="F280" s="21" t="inlineStr">
        <ns0:is>
          <ns0:t>EVIDENCIA; original abstract/coding notes and lot source trace; Historical signals: title/abstract/notes; full-text completion not independently established</ns0:t>
        </ns0:is>
      </ns0:c>
      <ns0:c r="G280" s="21" t="inlineStr">
        <ns0:is>
          <ns0:t>Speech is the stated source, not physiological biosignals; available abstract does not establish model family.</ns0:t>
        </ns0:is>
      </ns0:c>
      <ns0:c r="H280" s="21" t="inlineStr">
        <ns0:is>
          <ns0:t xml:space="preserve">Currently, there is no cure for Autism Spectrum Disorder (ASD), a neurodevelopmental disease. ASD causes problems in social communication and interaction, accompanied by repeating behaviors. Early and effective treatments may lessen the problems over time. Thus, it is essential to screen this problem from an early age. Proposed methods in literature employed physiological and behavioral signals. We propose in this paper the use of speech signal and artificial intelligence to determine ASD in children. Experiments prove that this is a positive way for early discrimination of children with/without ASD.
</ns0:t>
        </ns0:is>
      </ns0:c>
      <ns0:c r="I280" s="21" t="inlineStr">
        <ns0:is>
          <ns0:t>Sin señal explícita Q3 en título/abstract.</ns0:t>
        </ns0:is>
      </ns0:c>
      <ns0:c r="J280" s="21" t="inlineStr"/>
      <ns0:c r="K280" s="21" t="inlineStr"/>
      <ns0:c r="L280" s="21" t="inlineStr">
        <ns0:is>
          <ns0:t>Not documented in provided sources</ns0:t>
        </ns0:is>
      </ns0:c>
      <ns0:c r="M280" s="21" t="inlineStr">
        <ns0:is>
          <ns0:t>[]</ns0:t>
        </ns0:is>
      </ns0:c>
    </ns0:row>
    <ns0:row r="281" ht="350" customHeight="1">
      <ns0:c r="A281" s="19" t="inlineStr">
        <ns0:is>
          <ns0:t>new_12</ns0:t>
        </ns0:is>
      </ns0:c>
      <ns0:c r="B281" s="19" t="inlineStr">
        <ns0:is>
          <ns0:t>Integration of an Artificial Intelligence–Based Autism Diagnostic Device into the ECHO Autism Primary Care Workflow: Prospective Observational Study</ns0:t>
        </ns0:is>
      </ns0:c>
      <ns0:c r="C281" s="19" t="inlineStr">
        <ns0:is>
          <ns0:t>10.2196/80733</ns0:t>
        </ns0:is>
      </ns0:c>
      <ns0:c r="D281" s="19" t="inlineStr">
        <ns0:is>
          <ns0:t>https://doi.org/10.2196/80733</ns0:t>
        </ns0:is>
      </ns0:c>
      <ns0:c r="E281" s="19" t="inlineStr">
        <ns0:is>
          <ns0:t>Supplied abstract/coding notes; no new full-text verification</ns0:t>
        </ns0:is>
      </ns0:c>
      <ns0:c r="F281" s="19" t="inlineStr">
        <ns0:is>
          <ns0:t>EVIDENCIA; original abstract/coding notes and lot source trace; Inherited scoped adjudication; see source level and lot caveats</ns0:t>
        </ns0:is>
      </ns0:c>
      <ns0:c r="G281" s="19" t="inlineStr">
        <ns0:is>
          <ns0:t>Canvas Dx explicitly integrated into ECHO primary-care diagnostic workflow; prospective observational evaluation, not merely an offline classifier.</ns0:t>
        </ns0:is>
      </ns0:c>
      <ns0:c r="H281" s="19" t="inlineStr">
        <ns0:is>
          <ns0:t>Background: Pediatric specialist shortages and rapidly rising autism prevalence rates have compelled primary care clinicians to consider playing a greater role in the autism diagnostic process. The ECHO Autism: Early Diagnosis Program (EDx) prepares clinicians to screen, evaluate, differentiate, diagnose, and provide longitudinal care for children with autism in primary care settings. Canvas Dx is a prescription-only Software as a Medical Device designed to support clinical diagnosis or rule out of autism, including in primary care settings. It is authorized by the Food and Drug Administration for use, in conjunction with clinical judgment, in 18‐ to 72-month-olds with indicators of developmental delay. Objective: This study aims to assess the feasibility and impact of integrating the device into the ECHO Autism: EDx workflow. Time from the first clinical question of developmental delay to autism diagnosis is the primary endpoint. Secondary endpoints explore clinician and caregiver experience of device use. Methods: Children aged 18 to 72 months with concern for developmental delay indicated by either a caregiver or health professionals were eligible to participate in this prospective observational study. Experienced ECHO Autism: EDx clinicians were recruited to evaluate the inclusion of the device as part of their diagnostic evaluations. Outcome data were collected via a combination of electronic questionnaires, standard clinical care record reviews, and analysis of device outputs. Institutional review board approval was provided by the University of Missouri-Columbia (project number 2075722). Results: Eighty children and 7 clinicians completed the study. On average, time from clinical concern at study enrollment to final autism diagnosis was 39.22 days, compared to 180‐ to 264-day waits at adjacent specialist referral centers. The vast majority (93%, 50/54) of caregivers reported being satisfied with the ECHO Autism: EDx plus device evaluation their child received and endorsed that they would recommend it to others and that they felt comfortable using the device. The device produced determinate autism predictions or rule-outs for 52.5% of participants, and in all cases, these were consistent with the final clinical determination. Participating clinicians reported that device use was feasible and reduced several challenges associated with their previous diagnostic process; however, they noted it did not obviate the need for additional structured observation in every case. Conclusions: The ECHO Autism: EDx plus device workflow offers considerable time savings compared to specialty center referral and was strongly endorsed by caregiver participants. Embedding the device into the ECHO Autism: EDx workflow was feasible and helped streamline several workflow efficiencies. Clinicians still utilized their training and application and interpretation of Diagnostic and Statistical Manual of Mental Disorders, Fifth Edition, criteria when formulating the diagnosis for indeterminate cases.</ns0:t>
        </ns0:is>
      </ns0:c>
      <ns0:c r="I281" s="19" t="inlineStr">
        <ns0:is>
          <ns0:t xml:space="preserve">Background: Pediatric specialist shortages and rapidly rising autism prevalence rates have compelled primary care clinicians to consider playing a greater role in the autism diagnostic process. The ECHO Autism: Early Diagnosis Program (EDx) prepares clinicians to screen, evaluate, differentiate, diagnose, and provide longitudinal care for children with autism in primary care settings. Canvas Dx is a prescription-only Software as a Medical Device </ns0:t>
        </ns0:is>
      </ns0:c>
      <ns0:c r="J281" s="19" t="inlineStr"/>
      <ns0:c r="K281" s="19" t="inlineStr">
        <ns0:is>
          <ns0:t>Texto abierto evaluable revisado; extracción RQ disponible.</ns0:t>
        </ns0:is>
      </ns0:c>
      <ns0:c r="L281" s="19" t="inlineStr">
        <ns0:is>
          <ns0:t>Not documented in provided sources</ns0:t>
        </ns0:is>
      </ns0:c>
      <ns0:c r="M281" s="19" t="inlineStr">
        <ns0:is>
          <ns0:t>[]</ns0:t>
        </ns0:is>
      </ns0:c>
    </ns0:row>
    <ns0:row r="282" ht="350" customHeight="1">
      <ns0:c r="A282" s="21" t="inlineStr">
        <ns0:is>
          <ns0:t>new_13</ns0:t>
        </ns0:is>
      </ns0:c>
      <ns0:c r="B282" s="21" t="inlineStr">
        <ns0:is>
          <ns0:t>In-silico assessment of dynamic symbiotic microbial interactions in a reduced microbiota related to the autism spectrum disorder symptoms</ns0:t>
        </ns0:is>
      </ns0:c>
      <ns0:c r="C282" s="21" t="inlineStr">
        <ns0:is>
          <ns0:t>10.1016/j.csbj.2025.09.006</ns0:t>
        </ns0:is>
      </ns0:c>
      <ns0:c r="D282" s="21" t="inlineStr">
        <ns0:is>
          <ns0:t>https://doi.org/10.1016/j.csbj.2025.09.006</ns0:t>
        </ns0:is>
      </ns0:c>
      <ns0:c r="E282" s="21" t="inlineStr">
        <ns0:is>
          <ns0:t>Supplied abstract/coding notes; no new full-text verification</ns0:t>
        </ns0:is>
      </ns0:c>
      <ns0:c r="F282" s="21" t="inlineStr">
        <ns0:is>
          <ns0:t>EVIDENCIA; original abstract/coding notes and lot source trace; Inherited scoped adjudication; see source level and lot caveats</ns0:t>
        </ns0:is>
      </ns0:c>
      <ns0:c r="G282" s="21" t="inlineStr">
        <ns0:is>
          <ns0:t>Diet-dependent microbial simulations contextualize ML predictions; no deep neural component establishes a Hybrid category.
Human-derived microbial ML context with in-silico metabolic modeling; exclude in direct clinical-endpoint sensitivity.</ns0:t>
        </ns0:is>
      </ns0:c>
      <ns0:c r="H282" s="21" t="inlineStr">
        <ns0:is>
          <ns0:t>The gut microbiota plays a crucial role in human health, with growing evidence linking its composition to the development of Autism Spectrum Disorder. However, inconsistencies in previous studies have hindered the identification of a definitive microbial signature associated with Autism Spectrum Disorder. Machine learning models have emerged as powerful tools for analyzing microbiome data, yet their interpretability remains limited. In this study, we integrate in silico simulations with machine learning predictions to explore microbial interactions under different dietary conditions and provide biological context to features of the intestinal microbiota that are linked to Autism Spectrum Disorder. This study employs constraint-based modeling to simulate metabolic exchanges among key bacterial taxa in order to assess their ecological relationships. Findings reveal that high-fiber diets foster mutualistic and balanced interactions, whereas Western-style diets promote competitive and parasitic dynamics, potentially contributing to gut dysbiosis in Autism Spectrum Disorder. In addition, the presence of oxygen (a factor associated with colonocyte permeability, a pathological condition of the colon) significantly alters microbial interactions, influencing metabolic dependencies and the overall structure of the community. This integrative approach enhances the interpretability of machine learning-based Autism Spectrum Disorder classifiers, bridging computational predictions with mechanistic insights. By identifying diet-dependent microbial interactions, our study highlights potential dietary interventions to modulate the composition of the gut microbiota in Autism Spectrum Disorder. These findings underscore the value of combining in silico modeling and machine learning for unraveling complex microbiome-host relationships and improving Autism Spectrum Disorder biomarker identification.</ns0:t>
        </ns0:is>
      </ns0:c>
      <ns0:c r="I282" s="21" t="inlineStr">
        <ns0:is>
          <ns0:t>The gut microbiota plays a crucial role in human health, with growing evidence linking its composition to the development of Autism Spectrum Disorder. However, inconsistencies in previous studies have hindered the identification of a definitive microbial signature associated with Autism Spectrum Disorder. Machine learning models have emerged as powerful tools for analyzing microbiome data, yet their interpretability remains limited. In this study</ns0:t>
        </ns0:is>
      </ns0:c>
      <ns0:c r="J282" s="21" t="inlineStr"/>
      <ns0:c r="K282" s="21" t="inlineStr">
        <ns0:is>
          <ns0:t>Texto abierto evaluable revisado; extracción RQ disponible.</ns0:t>
        </ns0:is>
      </ns0:c>
      <ns0:c r="L282" s="21" t="inlineStr">
        <ns0:is>
          <ns0:t>Not documented in provided sources</ns0:t>
        </ns0:is>
      </ns0:c>
      <ns0:c r="M282" s="21" t="inlineStr">
        <ns0:is>
          <ns0:t>[]</ns0:t>
        </ns0:is>
      </ns0:c>
    </ns0:row>
    <ns0:row r="283" ht="350" customHeight="1">
      <ns0:c r="A283" s="19" t="inlineStr">
        <ns0:is>
          <ns0:t>new_35</ns0:t>
        </ns0:is>
      </ns0:c>
      <ns0:c r="B283" s="19" t="inlineStr">
        <ns0:is>
          <ns0:t>Deep Learning Approaches for Classifying Children With and Without Autism Spectrum Disorder Using Inertial Measurement Unit Hand Tracking Data: Comparative Study</ns0:t>
        </ns0:is>
      </ns0:c>
      <ns0:c r="C283" s="19" t="inlineStr">
        <ns0:is>
          <ns0:t>10.2196/73440</ns0:t>
        </ns0:is>
      </ns0:c>
      <ns0:c r="D283" s="19" t="inlineStr">
        <ns0:is>
          <ns0:t>https://doi.org/10.2196/73440</ns0:t>
        </ns0:is>
      </ns0:c>
      <ns0:c r="E283" s="19" t="inlineStr">
        <ns0:is>
          <ns0:t>Supplied abstract/coding notes; no new full-text verification</ns0:t>
        </ns0:is>
      </ns0:c>
      <ns0:c r="F283" s="19" t="inlineStr">
        <ns0:is>
          <ns0:t>EVIDENCIA; original abstract/coding notes and lot source trace; Inherited scoped adjudication; see source level and lot caveats</ns0:t>
        </ns0:is>
      </ns0:c>
      <ns0:c r="G283" s="19" t="inlineStr">
        <ns0:is>
          <ns0:t>Inertial hand-movement recordings are behavioral motor data, not physiological biosignals; classifier comparison without care deployment.</ns0:t>
        </ns0:is>
      </ns0:c>
      <ns0:c r="H283" s="19" t="inlineStr">
        <ns0:is>
          <ns0:t>Background: Autism spectrum disorder (ASD) is a prevalent neurodevelopmental condition that can be quite difficult to diagnose due to a lack of objective diagnostic methods in the currently used behavioral assessments. Recent work has shown that children with ASD have a higher incidence of motor control differences. A compilation of studies indicates that between 50% and 88% of the children with ASD have issues with movement control based on standardized motor assessments or parent-reported questionnaires. Objective: In this study, we assess a variety of deep learning approaches for the classification of ASD, utilizing data collected via inertial measurement unit (IMU) hand tracking during goal-directed arm movements. Methods: IMU hand tracking data were recorded from 41 school-aged children both with and without an ASD diagnosis to track their arm movements during a reach-to-clean up task. The IMU data were then preprocessed using a moving average and z score normalization to prepare the data for deep learning models. We evaluated the effectiveness of different deep learning models using the preprocessed data and a k-fold validation approach, as well as a patient-separated approach. Results: The best result was achieved with a convolutional autoencoder combined with long short-term memory layers, reaching an accuracy of 90.21% and an F1-score of 90.02%. Once the convolutional autoencoder+long short-term memory was determined to be the most effective model for this datatype, it was retrained and evaluated with a patient-separated dataset to assess the generalization capability of the model, achieving an accuracy of 91.87% and an F1-score of 93.66%. Conclusions: Our deep learning approach demonstrates that our models hold potential for facilitating ASD diagnosis in clinical settings. This work validates that there are significant differences between the physical movements of typically developing children and children with ASD, and these differences can be identified by analyzing hand-eye coordination skills. Additionally, we have validated that small-scale models can still achieve a high accuracy and good generalization when classifying medical data, opening the door for future research into diagnostic models that may not require massive amounts of data.</ns0:t>
        </ns0:is>
      </ns0:c>
      <ns0:c r="I283" s="19" t="inlineStr">
        <ns0:is>
          <ns0:t>Background: Autism spectrum disorder (ASD) is a prevalent neurodevelopmental condition that can be quite difficult to diagnose due to a lack of objective diagnostic methods in the currently used behavioral assessments. Recent work has shown that children with ASD have a higher incidence of motor control differences. A compilation of studies indicates that between 50% and 88% of the children with ASD have issues with movement control based on stan</ns0:t>
        </ns0:is>
      </ns0:c>
      <ns0:c r="J283" s="19" t="inlineStr"/>
      <ns0:c r="K283" s="19" t="inlineStr">
        <ns0:is>
          <ns0:t>Texto abierto evaluable revisado; extracción RQ disponible.</ns0:t>
        </ns0:is>
      </ns0:c>
      <ns0:c r="L283" s="19" t="inlineStr">
        <ns0:is>
          <ns0:t>Not documented in provided sources</ns0:t>
        </ns0:is>
      </ns0:c>
      <ns0:c r="M283" s="19" t="inlineStr">
        <ns0:is>
          <ns0:t>[]</ns0:t>
        </ns0:is>
      </ns0:c>
    </ns0:row>
    <ns0:row r="284" ht="350" customHeight="1">
      <ns0:c r="A284" s="21" t="inlineStr">
        <ns0:is>
          <ns0:t>new_50</ns0:t>
        </ns0:is>
      </ns0:c>
      <ns0:c r="B284" s="21" t="inlineStr">
        <ns0:is>
          <ns0:t>Effectiveness of Artificial Intelligence–Based Platform in Administering Therapies for Children With Autism Spectrum Disorder: 12-Month Observational Study</ns0:t>
        </ns0:is>
      </ns0:c>
      <ns0:c r="C284" s="21" t="inlineStr">
        <ns0:is>
          <ns0:t>10.2196/70589</ns0:t>
        </ns0:is>
      </ns0:c>
      <ns0:c r="D284" s="21" t="inlineStr">
        <ns0:is>
          <ns0:t>https://doi.org/10.2196/70589</ns0:t>
        </ns0:is>
      </ns0:c>
      <ns0:c r="E284" s="21" t="inlineStr">
        <ns0:is>
          <ns0:t>Supplied abstract/coding notes; no new full-text verification</ns0:t>
        </ns0:is>
      </ns0:c>
      <ns0:c r="F284" s="21" t="inlineStr">
        <ns0:is>
          <ns0:t>EVIDENCIA; original abstract/coding notes and lot source trace; Inherited scoped adjudication; see source level and lot caveats</ns0:t>
        </ns0:is>
      </ns0:c>
      <ns0:c r="G284" s="21" t="inlineStr">
        <ns0:is>
          <ns0:t>CognitiveBotics platform used alongside therapy over 12 months. Assessment scales are outcomes and do not establish the AI input modality or architecture.
Nonrandom adherence-defined groups and concurrent standard therapy; do not attribute observed improvement causally to AI.</ns0:t>
        </ns0:is>
      </ns0:c>
      <ns0:c r="H284" s="21" t="inlineStr">
        <ns0:is>
          <ns0:t>Background: A 12-month longitudinal observational study was conducted on 43 children aged 2‐18 years to evaluate the effectiveness of the CognitiveBotics artificial intelligence (AI)–based platform in conjunction with continuous therapy in improving therapeutic outcomes for children with autism spectrum disorder (ASD). Objective: This study evaluates the CognitiveBotics software’s effectiveness in supporting children with ASD through structured, technology-assisted learning. The primary objectives include assessing user engagement, tracking progress, and measuring efficacy using standardized clinical assessments. Methods: A 12-month observational study was conducted on children diagnosed with ASD using the CognitiveBotics AI-based platform. Standardized assessments, include the Childhood Autism Rating Scale (CARS), Vineland Social Maturity Scale, Developmental Screening Test, and Receptive Expressive Emergent Language Test (REEL), were conducted at baseline (T1) and at the endpoint (T2). All participants meeting the inclusion criteria were provided access to the platform and received standard therapy. Participants who consistently adhered to platform use as per the study protocol were classified as the intervention group, while those who did not maintain continuous platform use were designated as the control group. Additionally, caregivers received structured training, including web-based parent teaching sessions, reinforcement strategy training, and home-based activity guidance. Results: Participants in the intervention group demonstrated statistically significant improvements across multiple scales. CARS scores reduced from 33.41 (SD 1.89) at T1 to 28.34 (SD 3.80) at T2 (P&lt;.001). Social age increased from 22.80 (SD 7.33) to 35.76 (SD 9.09; mean change: 12.96, 56.84% increase; P&lt;.001). Social quotient increased from 53.26 (SD 11.84) to 64.75 (SD 16.12; mean change: 11.49, 21.57% increase; P&lt;.001). Developmental age showed an improvement from 30.93 (SD 9.91) to 45.31 (SD 11.20; mean change: 14.38, 46.49% increase; P&lt;.001), while developmental quotient increased from 70.94 (SD 10.95) to 81.33 (SD 16.85; mean change: 10.39, 14.65% increase; P&lt;.001). REEL scores showed substantial improvements, with receptive language increasing by 56.22% (P&lt;.001) and expressive language by 59.93% (P&lt;.001). In the control group, while most psychometric parameters showed some improvements, they were not statistically significant. CARS scores decreased by 10.62% (P=.06), social age increased by 52.27% (P=.06), social quotient increased by 19.62% (P=.12), developmental age increased by 44.88% (P=.06), and developmental quotient increased by 11.23% (P=.19). REEL receptive and expressive language increased by 34.69% (P=.10) and 40.48% (P=.054), respectively. Conclusions: Overall, the platform was an effective supplement in enhancing therapeutic outcomes for children with ASD. This platform holds promise as a valuable tool for augmenting ASD therapies across cognitive, social, and developmental domains. Future development should prioritize expanding the product’s accessibility across various languages, ensuring cultural sensitivity and enhancing user-friendliness.</ns0:t>
        </ns0:is>
      </ns0:c>
      <ns0:c r="I284" s="21" t="inlineStr">
        <ns0:is>
          <ns0:t xml:space="preserve">Background: A 12-month longitudinal observational study was conducted on 43 children aged 2‐18 years to evaluate the effectiveness of the CognitiveBotics artificial intelligence (AI)–based platform in conjunction with continuous therapy in improving therapeutic outcomes for children with autism spectrum disorder (ASD). Objective: This study evaluates the CognitiveBotics software’s effectiveness in supporting children with ASD through structured, </ns0:t>
        </ns0:is>
      </ns0:c>
      <ns0:c r="J284" s="21" t="inlineStr"/>
      <ns0:c r="K284" s="21" t="inlineStr">
        <ns0:is>
          <ns0:t>Texto abierto evaluable revisado; extracción RQ disponible.</ns0:t>
        </ns0:is>
      </ns0:c>
      <ns0:c r="L284" s="21" t="inlineStr">
        <ns0:is>
          <ns0:t>Not documented in provided sources</ns0:t>
        </ns0:is>
      </ns0:c>
      <ns0:c r="M284" s="21" t="inlineStr">
        <ns0:is>
          <ns0:t>[]</ns0:t>
        </ns0:is>
      </ns0:c>
    </ns0:row>
    <ns0:row r="285" ht="350" customHeight="1">
      <ns0:c r="A285" s="19" t="inlineStr">
        <ns0:is>
          <ns0:t>new_93</ns0:t>
        </ns0:is>
      </ns0:c>
      <ns0:c r="B285" s="19" t="inlineStr">
        <ns0:is>
          <ns0:t>Large language models deconstruct the clinical intuition behind diagnosing autism</ns0:t>
        </ns0:is>
      </ns0:c>
      <ns0:c r="C285" s="19" t="inlineStr">
        <ns0:is>
          <ns0:t>10.1016/j.cell.2025.02.025</ns0:t>
        </ns0:is>
      </ns0:c>
      <ns0:c r="D285" s="19" t="inlineStr">
        <ns0:is>
          <ns0:t>https://doi.org/10.1016/j.cell.2025.02.025</ns0:t>
        </ns0:is>
      </ns0:c>
      <ns0:c r="E285" s="19" t="inlineStr">
        <ns0:is>
          <ns0:t>Supplied abstract/coding notes; no new full-text verification</ns0:t>
        </ns0:is>
      </ns0:c>
      <ns0:c r="F285" s="19" t="inlineStr">
        <ns0:is>
          <ns0:t>EVIDENCIA; original abstract/coding notes and lot source trace; Inherited scoped adjudication; see source level and lot caveats</ns0:t>
        </ns0:is>
      </ns0:c>
      <ns0:c r="G285" s="19" t="inlineStr">
        <ns0:is>
          <ns0:t>RoBERTa/clinical-note classification with sentence-level explanations, analyzed retrospectively.</ns0:t>
        </ns0:is>
      </ns0:c>
      <ns0:c r="H285" s="19" t="inlineStr">
        <ns0:is>
          <ns0:t>Efforts to use genome-wide assays or brain scans to diagnose autism have seen diminishing returns. Yet the clinical intuition of healthcare professionals, based on longstanding first-hand experience, remains the gold standard for diagnosis of autism. We leveraged deep learning to deconstruct and interrogate the logic of expert clinician intuition from clinical reports to inform our understanding of autism. After pre-training on hundreds of millions of general sentences, we finessed large language models (LLMs) on &gt;4,000 free-form health records from healthcare professionals to distinguish confirmed versus suspected autism cases. By introducing an explainability strategy, our extended language model architecture could pin down the most salient single sentences in what drives clinical thinking toward correct diagnoses. Our framework flagged the most autism-critical DSM-5 criteria to be stereotyped repetitive behaviors, special interests, and perception-based behaviors, which challenges today's focus on deficits in social interplay, suggesting necessary revision of long-trusted diagnostic criteria in gold-standard instruments.</ns0:t>
        </ns0:is>
      </ns0:c>
      <ns0:c r="I285" s="19" t="inlineStr">
        <ns0:is>
          <ns0:t>Efforts to use genome-wide assays or brain scans to diagnose autism have seen diminishing returns. Yet the clinical intuition of healthcare professionals, based on longstanding first-hand experience, remains the gold standard for diagnosis of autism. We leveraged deep learning to deconstruct and interrogate the logic of expert clinician intuition from clinical reports to inform our understanding of autism. After pre-training on hundreds of millio</ns0:t>
        </ns0:is>
      </ns0:c>
      <ns0:c r="J285" s="19" t="inlineStr"/>
      <ns0:c r="K285" s="19" t="inlineStr">
        <ns0:is>
          <ns0:t>Texto abierto evaluable revisado; extracción RQ disponible.</ns0:t>
        </ns0:is>
      </ns0:c>
      <ns0:c r="L285" s="19" t="inlineStr">
        <ns0:is>
          <ns0:t>Not documented in provided sources</ns0:t>
        </ns0:is>
      </ns0:c>
      <ns0:c r="M285" s="19" t="inlineStr">
        <ns0:is>
          <ns0:t>[]</ns0:t>
        </ns0:is>
      </ns0:c>
    </ns0:row>
    <ns0:row r="286" ht="350" customHeight="1">
      <ns0:c r="A286" s="21" t="inlineStr">
        <ns0:is>
          <ns0:t>new_96</ns0:t>
        </ns0:is>
      </ns0:c>
      <ns0:c r="B286" s="21" t="inlineStr">
        <ns0:is>
          <ns0:t>Ensemble of Deep Learning with Crested Porcupine Optimizer Based Autism Spectrum Disorder Detection Using Facial Images</ns0:t>
        </ns0:is>
      </ns0:c>
      <ns0:c r="C286" s="21" t="inlineStr">
        <ns0:is>
          <ns0:t>10.32604/cmc.2025.062266</ns0:t>
        </ns0:is>
      </ns0:c>
      <ns0:c r="D286" s="21" t="inlineStr">
        <ns0:is>
          <ns0:t>https://doi.org/10.32604/cmc.2025.062266</ns0:t>
        </ns0:is>
      </ns0:c>
      <ns0:c r="E286" s="21" t="inlineStr">
        <ns0:is>
          <ns0:t>Supplied abstract/coding notes; no new full-text verification</ns0:t>
        </ns0:is>
      </ns0:c>
      <ns0:c r="F286" s="21" t="inlineStr">
        <ns0:is>
          <ns0:t>EVIDENCIA; original abstract/coding notes and lot source trace; Inherited scoped adjudication; see source level and lot caveats</ns0:t>
        </ns0:is>
      </ns0:c>
      <ns0:c r="G286" s="21" t="inlineStr">
        <ns0:is>
          <ns0:t>Facial-image deep-learning ensemble and optimizer; background CAD discussion is not a demonstrated clinician-facing workflow.</ns0:t>
        </ns0:is>
      </ns0:c>
      <ns0:c r="H286" s="21" t="inlineStr">
        <ns0:is>
          <ns0:t>Autism spectrum disorder (ASD) is a multifaceted neurological developmental condition that manifests in several ways. Nearly all autistic children remain undiagnosed before the age of three. Developmental problems affecting face features are often associated with fundamental brain disorders. The facial evolution of newborns with ASD is quite different from that of typically developing children. Early recognition is very significant to aid families and parents in superstition and denial. Distinguishing facial features from typically developing children is an evident manner to detect children analyzed with ASD. Presently, artificial intelligence (AI) significantly contributes to the emerging computer-aided diagnosis (CAD) of autism and to the evolving interactive methods that aid in the treatment and reintegration of autistic patients. This study introduces an Ensemble of deep learning models based on the autism spectrum disorder detection in facial images (EDLM-ASDDFI) model. The overarching goal of the EDLM-ASDDFI model is to recognize the difference between facial images of individuals with ASD and normal controls. In the EDLM-ASDDFI method, the primary level of data pre-processing is involved by Gabor filtering (GF). Besides, the EDLM-ASDDFI technique applies the MobileNetV2 model to learn complex features from the pre-processed data. For the ASD detection process, the EDLM-ASDDFI method uses ensemble techniques for classification procedure that encompasses long short-term memory (LSTM), deep belief network (DBN), and hybrid kernel extreme learning machine (HKELM). Finally, the hyperparameter selection of the three deep learning (DL) models can be implemented by the design of the crested porcupine optimizer (CPO) technique. An extensive experiment was conducted to emphasize the improved ASD detection performance of the EDLM-ASDDFI method. The simulation outcomes indicated that the EDLM-ASDDFI technique highlighted betterment over other existing models in terms of numerous performance measures.</ns0:t>
        </ns0:is>
      </ns0:c>
      <ns0:c r="I286" s="21" t="inlineStr">
        <ns0:is>
          <ns0:t>Autism spectrum disorder (ASD) is a multifaceted neurological developmental condition that manifests in several ways. Nearly all autistic children remain undiagnosed before the age of three. Developmental problems affecting face features are often associated with fundamental brain disorders. The facial evolution of newborns with ASD is quite different from that of typically developing children. Early recognition is very significant to aid familie</ns0:t>
        </ns0:is>
      </ns0:c>
      <ns0:c r="J286" s="21" t="inlineStr"/>
      <ns0:c r="K286" s="21" t="inlineStr">
        <ns0:is>
          <ns0:t>Texto abierto evaluable revisado; extracción RQ disponible.</ns0:t>
        </ns0:is>
      </ns0:c>
      <ns0:c r="L286" s="21" t="inlineStr">
        <ns0:is>
          <ns0:t>Not documented in provided sources</ns0:t>
        </ns0:is>
      </ns0:c>
      <ns0:c r="M286" s="21" t="inlineStr">
        <ns0:is>
          <ns0:t>[]</ns0:t>
        </ns0:is>
      </ns0:c>
    </ns0:row>
    <ns0:row r="287" ht="350" customHeight="1">
      <ns0:c r="A287" s="19" t="inlineStr">
        <ns0:is>
          <ns0:t>new_108</ns0:t>
        </ns0:is>
      </ns0:c>
      <ns0:c r="B287" s="19" t="inlineStr">
        <ns0:is>
          <ns0:t>Awareness with Machine: Hybrid Approach to Detecting ASD with a Clustering</ns0:t>
        </ns0:is>
      </ns0:c>
      <ns0:c r="C287" s="19" t="inlineStr">
        <ns0:is>
          <ns0:t>10.32604/cmc.2025.062643</ns0:t>
        </ns0:is>
      </ns0:c>
      <ns0:c r="D287" s="19" t="inlineStr">
        <ns0:is>
          <ns0:t>https://doi.org/10.32604/cmc.2025.062643</ns0:t>
        </ns0:is>
      </ns0:c>
      <ns0:c r="E287" s="19" t="inlineStr">
        <ns0:is>
          <ns0:t>Supplied abstract/coding notes; no new full-text verification</ns0:t>
        </ns0:is>
      </ns0:c>
      <ns0:c r="F287" s="19" t="inlineStr">
        <ns0:is>
          <ns0:t>EVIDENCIA; original abstract/coding notes and lot source trace; Inherited scoped adjudication; see source level and lot caveats</ns0:t>
        </ns0:is>
      </ns0:c>
      <ns0:c r="G287" s="19" t="inlineStr">
        <ns0:is>
          <ns0:t>Conventional clustering and ten ML classifiers across age datasets; title word Hybrid does not establish ML/DL integration.</ns0:t>
        </ns0:is>
      </ns0:c>
      <ns0:c r="H287" s="19" t="inlineStr">
        <ns0:is>
          <ns0:t>Detection of Autism Spectrum Disorder (ASD) is a crucial area of research, representing a foundational aspect of psychological studies. The advancement of technology and the widespread adoption of machine learning methodologies have brought significant attention to this field in recent years. Interdisciplinary efforts have further propelled research into detection methods. Consequently, this study aims to contribute to both the fields of psychology and computer science. Specifically, the goal is to apply machine learning techniques to limited data for the detection of Autism Spectrum Disorder. This study is structured into two distinct phases: data preprocessing and classification. In the data preprocessing phase, four datasets—Toddler, Children, Adolescent, and Adult—were converted into numerical form, adjusted as necessary, and subsequently clustered. Clustering was performed using six different methods: K-means, agglomerative, DBSCAN (Density-Based Spatial Clustering of Applications with Noise), mean shift, spectral, and Birch. In the second phase, the clustered ASD data were classified. The model’s accuracy was assessed using 5-fold cross-validation to ensure robust evaluation. In total, ten distinct machine learning algorithms were employed. The findings indicate that all clustering methods demonstrated success with various classifiers. Notably, the K-means algorithm emerged as particularly effective, achieving consistent and significant results across all datasets. This study is expected to serve as a guide for improving ASD detection performance, even with minimal data availability.</ns0:t>
        </ns0:is>
      </ns0:c>
      <ns0:c r="I287" s="19" t="inlineStr">
        <ns0:is>
          <ns0:t>Detection of Autism Spectrum Disorder (ASD) is a crucial area of research, representing a foundational aspect of psychological studies. The advancement of technology and the widespread adoption of machine learning methodologies have brought significant attention to this field in recent years. Interdisciplinary efforts have further propelled research into detection methods. Consequently, this study aims to contribute to both the fields of psycholo</ns0:t>
        </ns0:is>
      </ns0:c>
      <ns0:c r="J287" s="19" t="inlineStr"/>
      <ns0:c r="K287" s="19" t="inlineStr">
        <ns0:is>
          <ns0:t>Texto abierto evaluable revisado; extracción RQ disponible.</ns0:t>
        </ns0:is>
      </ns0:c>
      <ns0:c r="L287" s="19" t="inlineStr">
        <ns0:is>
          <ns0:t>Not documented in provided sources</ns0:t>
        </ns0:is>
      </ns0:c>
      <ns0:c r="M287" s="19" t="inlineStr">
        <ns0:is>
          <ns0:t>[]</ns0:t>
        </ns0:is>
      </ns0:c>
    </ns0:row>
    <ns0:row r="288" ht="350" customHeight="1">
      <ns0:c r="A288" s="21" t="inlineStr">
        <ns0:is>
          <ns0:t>new_125</ns0:t>
        </ns0:is>
      </ns0:c>
      <ns0:c r="B288" s="21" t="inlineStr">
        <ns0:is>
          <ns0:t>Identification of critical brain regions for autism diagnosis from fMRI data using explainable AI: an observational analysis of the ABIDE dataset</ns0:t>
        </ns0:is>
      </ns0:c>
      <ns0:c r="C288" s="21" t="inlineStr">
        <ns0:is>
          <ns0:t>10.1016/j.eclinm.2025.103452</ns0:t>
        </ns0:is>
      </ns0:c>
      <ns0:c r="D288" s="21" t="inlineStr">
        <ns0:is>
          <ns0:t>https://doi.org/10.1016/j.eclinm.2025.103452</ns0:t>
        </ns0:is>
      </ns0:c>
      <ns0:c r="E288" s="21" t="inlineStr">
        <ns0:is>
          <ns0:t>Supplied abstract/coding notes; no new full-text verification</ns0:t>
        </ns0:is>
      </ns0:c>
      <ns0:c r="F288" s="21" t="inlineStr">
        <ns0:is>
          <ns0:t>EVIDENCIA; original abstract/coding notes and lot source trace; Inherited scoped adjudication; see source level and lot caveats</ns0:t>
        </ns0:is>
      </ns0:c>
      <ns0:c r="G288" s="21" t="inlineStr">
        <ns0:is>
          <ns0:t>SVM-RFE is feature selection ahead of sparse-autoencoder/Softmax classification. Retrospective ABIDE evaluation and explainability, with inherited expression-of-concern flag retained.</ns0:t>
        </ns0:is>
      </ns0:c>
      <ns0:c r="H288" s="21" t="inlineStr">
        <ns0:is>
          <ns0:t>Background: Diagnosis of autism spectrum disorder (ASD) significantly improves quality of life, yet current diagnostic practices rely on subjective behavioural assessments. While machine learning models using functional Magnetic Resonance Imaging (fMRI) show promise for objective diagnosis, existing approaches have critical limitations. High-accuracy models often neglect interpretability, increasing clinical distrust, while interpretable approaches frequently suffer from low accuracy and lack neuroscientific validation of identified biomarkers. Furthermore, no studies have systematically benchmarked which interpretability methods are most effective for fMRI data, hindering the translation of Artificial intelligence (AI) findings into clinical practice. Methods: In this observational study, we used the Autism Brain Imaging Data Exchange I (ABIDE I) dataset comprising 884 participants (408 with ASD; 476 controls with typical development) aged 7–64 years from five countries (Belgium, Germany, Ireland, the Netherlands, and the USA) across 17 international sites after applying mean framewise displacement (FD) filtering (&gt;0.2 mm). Data were collected at the respective sites prior to the release of the ABIDE I dataset in August 2012. We described an explainable deep learning (DL) pipeline using a Stacked Sparse Autoencoder (SSAE) with a softmax classifier, trained on functional connectivity data. We systematically benchmarked seven interpretability methods using the Remove And Retrain (ROAR) technique and cross-validated our findings across three preprocessing pipelines. Critically, we validated identified biomarkers against independent neuroscientific literature from genetic, neuroanatomical, and functional studies. Findings: Filtering head movement (FD &gt; 0.2 mm) increased classification accuracy from 91% to 98.2% (F1-score: 0.97), achieving state-of-the-art performance. ROAR analysis revealed gradient-based methods, particularly Integrated Gradients, as most reliable for fMRI interpretation. The model consistently identified visual processing regions (calcarine sulcus, cuneus) as critical for ASD classification. These findings aligned with independent genetic studies and neuroimaging research, confirming our model captured genuine neurobiological ASD markers rather than overfitting to dataset artifacts. Interpretation: We addressed three key research gaps by developing a highly accurate, interpretable ASD classification model, establishing a benchmarking framework for interpretability methods in the fMRI modality, and validating our identified biomarkers against established neuroscience literature. The consistent importance of visual processing regions suggests a fundamental biomarker potentially present across the ASD spectrum, offering new directions for diagnostic biomarker research, though translation to individual-level clinical applications requires further development. Funding: This work was supported by the Engineering and Physical Sciences Research Council, UK [EP/W524554/1].</ns0:t>
        </ns0:is>
      </ns0:c>
      <ns0:c r="I288" s="21" t="inlineStr">
        <ns0:is>
          <ns0:t>Background: Diagnosis of autism spectrum disorder (ASD) significantly improves quality of life, yet current diagnostic practices rely on subjective behavioural assessments. While machine learning models using functional Magnetic Resonance Imaging (fMRI) show promise for objective diagnosis, existing approaches have critical limitations. High-accuracy models often neglect interpretability, increasing clinical distrust, while interpretable approach</ns0:t>
        </ns0:is>
      </ns0:c>
      <ns0:c r="J288" s="21" t="inlineStr"/>
      <ns0:c r="K288" s="21" t="inlineStr">
        <ns0:is>
          <ns0:t>Texto abierto evaluable revisado; extracción RQ disponible.</ns0:t>
        </ns0:is>
      </ns0:c>
      <ns0:c r="L288" s="21" t="inlineStr">
        <ns0:is>
          <ns0:t>Not documented in provided sources</ns0:t>
        </ns0:is>
      </ns0:c>
      <ns0:c r="M288" s="21" t="inlineStr">
        <ns0:is>
          <ns0:t>[]</ns0:t>
        </ns0:is>
      </ns0:c>
    </ns0:row>
    <ns0:row r="289" ht="350" customHeight="1">
      <ns0:c r="A289" s="19" t="inlineStr">
        <ns0:is>
          <ns0:t>new_132</ns0:t>
        </ns0:is>
      </ns0:c>
      <ns0:c r="B289" s="19" t="inlineStr">
        <ns0:is>
          <ns0:t>A Brief Observation to Screen Autism in Toddlers and Predict Developmental Trajectory</ns0:t>
        </ns0:is>
      </ns0:c>
      <ns0:c r="C289" s="19" t="inlineStr">
        <ns0:is>
          <ns0:t>10.1016/j.jpedcp.2025.200176</ns0:t>
        </ns0:is>
      </ns0:c>
      <ns0:c r="D289" s="19" t="inlineStr">
        <ns0:is>
          <ns0:t>https://doi.org/10.1016/j.jpedcp.2025.200176</ns0:t>
        </ns0:is>
      </ns0:c>
      <ns0:c r="E289" s="19" t="inlineStr">
        <ns0:is>
          <ns0:t>Supplied abstract/coding notes; no new full-text verification</ns0:t>
        </ns0:is>
      </ns0:c>
      <ns0:c r="F289" s="19" t="inlineStr">
        <ns0:is>
          <ns0:t>EVIDENCIA; original abstract/coding notes and lot source trace; Inherited scoped adjudication; see source level and lot caveats</ns0:t>
        </ns0:is>
      </ns0:c>
      <ns0:c r="G289" s="19" t="inlineStr">
        <ns0:is>
          <ns0:t>ESCS decision algorithm explicitly intended to guide pediatricians; secondary future cognitive-outcome model recorded. Longitudinal analysis does not establish prospective model evaluation.</ns0:t>
        </ns0:is>
      </ns0:c>
      <ns0:c r="H289" s="19" t="inlineStr">
        <ns0:is>
          <ns0:t>Objective: Autism spectrum disorder (ASD) affects approximately 1 in 31 children. Early diagnosis is crucial for optimizing outcomes through early interventions, and primary care settings need efficient tools to identify children presenting autistic features. This study explores the potential of early socio-communicative behaviors, measured by the Early Social Communication Scales, to screen for ASD in children younger than 3 years old, and predict their future cognitive development using machine learning models. Study design: This study analyzed longitudinal data from 113 children with ASD and 59 with typical development (TD), aged from 1 to 3 at baseline. Twenty-three ESCS variables were used to screen for ASD and predict cognitive development. The C5.0 decision tree algorithm was used to classify ASD vs TD, while linear regression and K-means clustering identified cognitive development patterns among autistic children. K-fold cross-validation, permutation testing, and undersampling were used for validation. Results: We distinguished between ASD and TD children with 95% accuracy, 96% sensitivity and 92% specificity. Nine behaviors contributed to distinguish ASD from TD. Behaviors that contributed most are the child's ability to initiate a turn taking and to point at desired objects. A separate model stratified children into groups with different cognitive outcome with 97% accuracy. Behavioral requests variables contributed in distinguishing extreme cognitive trajectories in autistic children. Conclusions: We provide an original decision-algorithm focusing on early socio-communicative behaviors to guide pediatricians through autism screening and cognitive development prediction.</ns0:t>
        </ns0:is>
      </ns0:c>
      <ns0:c r="I289" s="19" t="inlineStr">
        <ns0:is>
          <ns0:t>Objective: Autism spectrum disorder (ASD) affects approximately 1 in 31 children. Early diagnosis is crucial for optimizing outcomes through early interventions, and primary care settings need efficient tools to identify children presenting autistic features. This study explores the potential of early socio-communicative behaviors, measured by the Early Social Communication Scales, to screen for ASD in children younger than 3 years old, and predi</ns0:t>
        </ns0:is>
      </ns0:c>
      <ns0:c r="J289" s="19" t="inlineStr"/>
      <ns0:c r="K289" s="19" t="inlineStr">
        <ns0:is>
          <ns0:t>Texto abierto evaluable revisado; extracción RQ disponible.</ns0:t>
        </ns0:is>
      </ns0:c>
      <ns0:c r="L289" s="19" t="inlineStr">
        <ns0:is>
          <ns0:t>Not documented in provided sources</ns0:t>
        </ns0:is>
      </ns0:c>
      <ns0:c r="M289" s="19" t="inlineStr">
        <ns0:is>
          <ns0:t>[]</ns0:t>
        </ns0:is>
      </ns0:c>
    </ns0:row>
    <ns0:row r="290" ht="350" customHeight="1">
      <ns0:c r="A290" s="21" t="inlineStr">
        <ns0:is>
          <ns0:t>new_145</ns0:t>
        </ns0:is>
      </ns0:c>
      <ns0:c r="B290" s="21" t="inlineStr">
        <ns0:is>
          <ns0:t>Explainable Ensemble Learning Framework for Early Detection of Autism Spectrum Disorder: Enhancing Trust, Interpretability and Reliability in AI-Driven Healthcare</ns0:t>
        </ns0:is>
      </ns0:c>
      <ns0:c r="C290" s="21" t="inlineStr">
        <ns0:is>
          <ns0:t>10.32604/cmes.2025.074627</ns0:t>
        </ns0:is>
      </ns0:c>
      <ns0:c r="D290" s="21" t="inlineStr">
        <ns0:is>
          <ns0:t>https://doi.org/10.32604/cmes.2025.074627</ns0:t>
        </ns0:is>
      </ns0:c>
      <ns0:c r="E290" s="21" t="inlineStr">
        <ns0:is>
          <ns0:t>Supplied abstract/coding notes; no new full-text verification</ns0:t>
        </ns0:is>
      </ns0:c>
      <ns0:c r="F290" s="21" t="inlineStr">
        <ns0:is>
          <ns0:t>EVIDENCIA; original abstract/coding notes and lot source trace; Inherited scoped adjudication; see source level and lot caveats</ns0:t>
        </ns0:is>
      </ns0:c>
      <ns0:c r="G290" s="21" t="inlineStr">
        <ns0:is>
          <ns0:t>Behavioral and multimodal model experiments with SHAP/LIME; no actual clinician workflow use is reported.</ns0:t>
        </ns0:is>
      </ns0:c>
      <ns0:c r="H290" s="21" t="inlineStr">
        <ns0:is>
          <ns0:t>Artificial Intelligence (AI) is changing healthcare by helping with diagnosis. However, for doctors to trust AI tools, they need to be both accurate and easy to understand. In this study, we created a new machine learning system for the early detection of Autism Spectrum Disorder (ASD) in children. Our main goal was to build a model that is not only good at predicting ASD but also clear in its reasoning. For this, we combined several different models, including Random Forest, XGBoost, and Neural Networks, into a single, more powerful framework. We used two different types of datasets: (i) a standard behavioral dataset and (ii) a more complex multimodal dataset with images, audio, and physiological information. The datasets were carefully preprocessed for missing values, redundant features, and dataset imbalance to ensure fair learning. The results outperformed the state-of-the-art with a Regularized Neural Network, achieving 97.6% accuracy on behavioral data. Whereas, on the multimodal data, the accuracy is 98.2%. Other models also did well with accuracies consistently above 96%. We also used SHAP and LIME on a behavioral dataset for models' explainability.</ns0:t>
        </ns0:is>
      </ns0:c>
      <ns0:c r="I290" s="21" t="inlineStr">
        <ns0:is>
          <ns0:t>Artificial Intelligence (AI) is changing healthcare by helping with diagnosis. However, for doctors to trust AI tools, they need to be both accurate and easy to understand. In this study, we created a new machine learning system for the early detection of Autism Spectrum Disorder (ASD) in children. Our main goal was to build a model that is not only good at predicting ASD but also clear in its reasoning. For this, we combined several different mo</ns0:t>
        </ns0:is>
      </ns0:c>
      <ns0:c r="J290" s="21" t="inlineStr"/>
      <ns0:c r="K290" s="21" t="inlineStr">
        <ns0:is>
          <ns0:t>Texto abierto evaluable revisado; extracción RQ disponible.</ns0:t>
        </ns0:is>
      </ns0:c>
      <ns0:c r="L290" s="21" t="inlineStr">
        <ns0:is>
          <ns0:t>Not documented in provided sources</ns0:t>
        </ns0:is>
      </ns0:c>
      <ns0:c r="M290" s="21" t="inlineStr">
        <ns0:is>
          <ns0:t>[]</ns0:t>
        </ns0:is>
      </ns0:c>
    </ns0:row>
    <ns0:row r="291" ht="350" customHeight="1">
      <ns0:c r="A291" s="19" t="inlineStr">
        <ns0:is>
          <ns0:t>new_160</ns0:t>
        </ns0:is>
      </ns0:c>
      <ns0:c r="B291" s="19" t="inlineStr">
        <ns0:is>
          <ns0:t>Large Language Model-Assisted Annotation Framework for Cross-Platform Analysis of Online Autism Communities: Implications for Parent Education and Digital Support</ns0:t>
        </ns0:is>
      </ns0:c>
      <ns0:c r="C291" s="19" t="inlineStr">
        <ns0:is>
          <ns0:t>10.2196/85290</ns0:t>
        </ns0:is>
      </ns0:c>
      <ns0:c r="D291" s="19" t="inlineStr">
        <ns0:is>
          <ns0:t>https://www.jmir.org/2026/1/e85290</ns0:t>
        </ns0:is>
      </ns0:c>
      <ns0:c r="E291" s="19" t="inlineStr">
        <ns0:is>
          <ns0:t>Primary-source final article abstract and publication metadata</ns0:t>
        </ns0:is>
      </ns0:c>
      <ns0:c r="F291" s="19" t="inlineStr">
        <ns0:is>
          <ns0:t>Publication banner and final abstract</ns0:t>
        </ns0:is>
      </ns0:c>
      <ns0:c r="G291" s="19" t="inlineStr">
        <ns0:is>
          <ns0:t>Published final article validates LLM annotation of caregiver health-information communities; no care decisions made by this model.
Caregiver information-needs research rather than an AI decision or delivered care-support system; exclude in direct clinical-endpoint sensitivity.</ns0:t>
        </ns0:is>
      </ns0:c>
      <ns0:c r="H291" s="19" t="inlineStr"/>
      <ns0:c r="I291" s="19" t="inlineStr"/>
      <ns0:c r="J291" s="19" t="inlineStr"/>
      <ns0:c r="K291" s="19" t="inlineStr">
        <ns0:is>
          <ns0:t>Texto abierto evaluable revisado; extracción RQ disponible.</ns0:t>
        </ns0:is>
      </ns0:c>
      <ns0:c r="L291" s="19" t="inlineStr">
        <ns0:is>
          <ns0:t>Not documented in provided sources</ns0:t>
        </ns0:is>
      </ns0:c>
      <ns0:c r="M291" s="19" t="inlineStr">
        <ns0:is>
          <ns0:t>[{"url": "https://www.jmir.org/2026/1/e85290", "locator": "Publication banner and final abstract", "assessment": "Published 10 July 2026; not a preprint. LLMs annotate topics across autism caregiver forums and physician-patient platforms; publication does not demonstrate AI-mediated clinical care.", "level": "Primary-source final article abstract and publication metadata", "date": "2026-09-08", "assessor": "ChatGPT-assisted source verification; not independent human review"}]</ns0:t>
        </ns0:is>
      </ns0:c>
    </ns0:row>
    <ns0:row r="292" ht="350" customHeight="1">
      <ns0:c r="A292" s="21" t="inlineStr">
        <ns0:is>
          <ns0:t>new_169</ns0:t>
        </ns0:is>
      </ns0:c>
      <ns0:c r="B292" s="21" t="inlineStr">
        <ns0:is>
          <ns0:t>GPT-Powered Chatbot-Based Positive Psychology Intervention for Well-Being Among Parents of Children With Autism Spectrum Disorder: Single-Arm Mixed Methods Study</ns0:t>
        </ns0:is>
      </ns0:c>
      <ns0:c r="C292" s="21" t="inlineStr">
        <ns0:is>
          <ns0:t>10.2196/85060</ns0:t>
        </ns0:is>
      </ns0:c>
      <ns0:c r="D292" s="21" t="inlineStr">
        <ns0:is>
          <ns0:t>https://doi.org/10.2196/85060</ns0:t>
        </ns0:is>
      </ns0:c>
      <ns0:c r="E292" s="21" t="inlineStr">
        <ns0:is>
          <ns0:t>Supplied abstract/coding notes; no new full-text verification</ns0:t>
        </ns0:is>
      </ns0:c>
      <ns0:c r="F292" s="21" t="inlineStr">
        <ns0:is>
          <ns0:t>EVIDENCIA; original abstract/coding notes and lot source trace; Inherited scoped adjudication; see source level and lot caveats</ns0:t>
        </ns0:is>
      </ns0:c>
      <ns0:c r="G292" s="21" t="inlineStr">
        <ns0:is>
          <ns0:t>GPT chatbot delivers positive-psychology intervention to ASD caregivers. Well-being scales and interviews evaluate outcomes rather than establish multimodal AI input.</ns0:t>
        </ns0:is>
      </ns0:c>
      <ns0:c r="H292" s="21" t="inlineStr">
        <ns0:is>
          <ns0:t>Background: Parents of autistic children frequently experience elevated stress levels, depressive symptoms, and reduced well-being. Positive psychology interventions (PPIs) can strengthen resilience, and chatbots offer a scalable channel through which such skills can be delivered. However, evidence on the evaluation of large language model–guided PPI-based chatbots for this population is limited. Objective: This study evaluated the feasibility and acceptability of a GPT-powered chatbot (“Allie”). This study was designed to deliver culturally adapted PPIs to parents of autistic children and to explore their preliminary effects on well-being, depression, stress, and health-related quality of life. Methods: We conducted a single-arm mixed-methods pilot study with 19 parents with autistic children. These parents engaged with Allie for 2 weeks to complete 8 structured PPI exercises. The primary outcomes were feasibility (completion, ease of use, and practicality) and acceptability (multidimensional user ratings). Secondary outcomes were the World Health Organization–Five Well-Being Index (WHO-5), Patient Health Questionnaire-9, Perceived Stress Scale-10, and Short Form-12 Health Survey (version 2) Physical and Mental Component Summary scores. Outcomes were analyzed using paired t tests or Wilcoxon signed-rank tests. Optional postintervention interviews were analyzed using reflexive thematic analysis. Results: A total of 17 (89.5%) participants completed all the exercises, which indicated a high degree of procedural feasibility. There were also high ratings for ease of use and practicality (means 4.47/5, SD 0.70, and 4.32/5, SD 0.67, respectively). Acceptability was favorable (overall satisfaction mean=5.68/7, SD 0.70; prompt response time=6.37/7, SD 0.68). The WHO-5 score improved significantly from 32.84 to 46.11 (t18=2.48, P=.02; Cohen d=0.52). Changes in the Patient Health Questionnaire-9 (z=−0.49, P=.63; r=0.11), Perceived Stress Scale-10 (t18=−0.82, P=.43; Cohen d=0.12), and Short Form-12 Health Survey (version 2) Physical Component Summary (t18=−0.94, P=.36; Cohen d=0.18) and Mental Component Summary (t18=−0.89, P=.39; Cohen d=0.17) scores were not significant. Qualitative feedback (14/19) described benefits aligned with PPI mechanisms such as greater self-reflection, a more positive orientation, perspective-taking, emotional support, and coping skills. However, participants also suggested refinements, such as more natural conversation (colloquial Cantonese), shorter or less repetitive outputs, user-chosen sequencing with reminders and progress tracking, multimodal features, and autism spectrum disorder–specific resources. Conclusions: This pilot study revealed the feasibility, acceptability, and preliminary improvement in well-being (WHO-5) of a PPI-based GPT-powered chatbot, Allie, among parents of autistic children. Although there was no significant short-term change in other outcomes, the findings provide insights into design priorities, including personalization, conversational naturalness, multimodal content, and autism spectrum disorder–specific guidance. Larger, controlled trials with longer exposures and more diverse samples are needed to establish efficacy and durability.</ns0:t>
        </ns0:is>
      </ns0:c>
      <ns0:c r="I292" s="21" t="inlineStr">
        <ns0:is>
          <ns0:t>Background: Parents of autistic children frequently experience elevated stress levels, depressive symptoms, and reduced well-being. Positive psychology interventions (PPIs) can strengthen resilience, and chatbots offer a scalable channel through which such skills can be delivered. However, evidence on the evaluation of large language model–guided PPI-based chatbots for this population is limited. Objective: This study evaluated the feasibility an</ns0:t>
        </ns0:is>
      </ns0:c>
      <ns0:c r="J292" s="21" t="inlineStr"/>
      <ns0:c r="K292" s="21" t="inlineStr">
        <ns0:is>
          <ns0:t>Texto abierto evaluable revisado; extracción RQ disponible.</ns0:t>
        </ns0:is>
      </ns0:c>
      <ns0:c r="L292" s="21" t="inlineStr">
        <ns0:is>
          <ns0:t>Not documented in provided sources</ns0:t>
        </ns0:is>
      </ns0:c>
      <ns0:c r="M292" s="21" t="inlineStr">
        <ns0:is>
          <ns0:t>[]</ns0:t>
        </ns0:is>
      </ns0:c>
    </ns0:row>
    <ns0:row r="293" ht="350" customHeight="1">
      <ns0:c r="A293" s="19" t="inlineStr">
        <ns0:is>
          <ns0:t>new_171</ns0:t>
        </ns0:is>
      </ns0:c>
      <ns0:c r="B293" s="19" t="inlineStr">
        <ns0:is>
          <ns0:t>Large Language Model Few-Shot Learning for Predicting Individual Treatment Response to Smartphone-Based Mindfulness in Autistic Adults With Anxiety: Secondary Analysis of a Randomized Controlled Trial</ns0:t>
        </ns0:is>
      </ns0:c>
      <ns0:c r="C293" s="19" t="inlineStr">
        <ns0:is>
          <ns0:t>10.2196/89054</ns0:t>
        </ns0:is>
      </ns0:c>
      <ns0:c r="D293" s="19" t="inlineStr">
        <ns0:is>
          <ns0:t>https://ai.jmir.org/2026/1/e89054</ns0:t>
        </ns0:is>
      </ns0:c>
      <ns0:c r="E293" s="19" t="inlineStr">
        <ns0:is>
          <ns0:t>Primary-source final publication metadata</ns0:t>
        </ns0:is>
      </ns0:c>
      <ns0:c r="F293" s="19" t="inlineStr">
        <ns0:is>
          <ns0:t>Final publication title and metadata; linked from publisher preprint page</ns0:t>
        </ns0:is>
      </ns0:c>
      <ns0:c r="G293" s="19" t="inlineStr">
        <ns0:is>
          <ns0:t>Published final article evaluates few-shot LLM prediction of individual mindfulness response in a secondary RCT analysis; not AI-assigned treatment.</ns0:t>
        </ns0:is>
      </ns0:c>
      <ns0:c r="H293" s="19" t="inlineStr"/>
      <ns0:c r="I293" s="19" t="inlineStr"/>
      <ns0:c r="J293" s="19" t="inlineStr"/>
      <ns0:c r="K293" s="19" t="inlineStr">
        <ns0:is>
          <ns0:t>Texto abierto evaluable revisado; extracción RQ disponible.</ns0:t>
        </ns0:is>
      </ns0:c>
      <ns0:c r="L293" s="19" t="inlineStr">
        <ns0:is>
          <ns0:t>Not documented in provided sources</ns0:t>
        </ns0:is>
      </ns0:c>
      <ns0:c r="M293" s="19" t="inlineStr">
        <ns0:is>
          <ns0:t>[{"url": "https://ai.jmir.org/2026/1/e89054", "locator": "Final publication title and metadata; linked from publisher preprint page", "assessment": "Final peer-reviewed secondary RCT-analysis publication located, replacing stale preprint metadata.", "level": "Primary-source final publication metadata", "date": "2026-09-08", "assessor": "ChatGPT-assisted source verification; not independent human review"}]</ns0:t>
        </ns0:is>
      </ns0:c>
    </ns0:row>
    <ns0:row r="294" ht="350" customHeight="1">
      <ns0:c r="A294" s="21" t="inlineStr">
        <ns0:is>
          <ns0:t>new_172</ns0:t>
        </ns0:is>
      </ns0:c>
      <ns0:c r="B294" s="21" t="inlineStr">
        <ns0:is>
          <ns0:t>Evaluating Public Sentiment on Attention-Deficit/Hyperactivity Disorder and Autism Spectrum Disorder Compared With Other Mental Health Disorders From Posts on X (Formerly Known as Twitter): Longitudinal Analysis</ns0:t>
        </ns0:is>
      </ns0:c>
      <ns0:c r="C294" s="21" t="inlineStr">
        <ns0:is>
          <ns0:t>10.2196/74440</ns0:t>
        </ns0:is>
      </ns0:c>
      <ns0:c r="D294" s="21" t="inlineStr">
        <ns0:is>
          <ns0:t>https://doi.org/10.2196/74440</ns0:t>
        </ns0:is>
      </ns0:c>
      <ns0:c r="E294" s="21" t="inlineStr">
        <ns0:is>
          <ns0:t>Supplied abstract/coding notes; no new full-text verification</ns0:t>
        </ns0:is>
      </ns0:c>
      <ns0:c r="F294" s="21" t="inlineStr">
        <ns0:is>
          <ns0:t>EVIDENCIA; original abstract/coding notes and lot source trace; Inherited scoped adjudication; see source level and lot caveats</ns0:t>
        </ns0:is>
      </ns0:c>
      <ns0:c r="G294" s="21" t="inlineStr">
        <ns0:is>
          <ns0:t>Public sentiment comparison of ADHD/ASD and other diagnoses on X; computational discourse analysis without an evaluated ASD clinical or care-support model.</ns0:t>
        </ns0:is>
      </ns0:c>
      <ns0:c r="H294" s="21" t="inlineStr">
        <ns0:is>
          <ns0:t>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on ADHD and ASD between 2009 and 2023 by analyzing posts from X (formerly known as Twitter; X Corp), comparing perceptions across English and Spanish languages and against other mental health conditions. Methods: Posts mentioning keywords related to ADHD and ASD and control conditions (eg, depression, anxiety, insomnia, bipolar disorder, schizophrenia, suicide, and substance use disorders) were collected from X between 2009 and 2023. The dataset included posts in both English and Spanish. Machine learning algorithms were then applied to classify post content into predefined categories, including volume of posts, engagement, personal experiences, trivialization, perceived causes, and perceived treatability. Parametric and nonparametric tests were used to assess for differences by language. Descriptive statistics were presented using tables and graphical representations. Results: A total of 852,990 posts were analyzed, including 511,510 (59.97%) in English and 341,480 (40.03%) in Spanish. Overall, post volume on mental health conditions increased across the study period. In English, posts about ADHD (97,084/511,510, 18.98%) and ASD (74,619/511,510, 14.59%) were among the most frequent, while of the 341,480 Spanish posts, there were 49,475 (14.49%) ASD posts, significantly outnumbering ADHD posts (n=18,223, 5.34%; chi-square test P&lt;.001). Engagement analysis indicated a notable increase in likes and reposts per post over time, particularly after 2019, with ADHD-related posts in English experiencing peak engagement during the COVID-19 pandemic. However, ASD posts had comparatively lower engagement across languages. Posts sharing personal experiences were more polarized in Spanish, with higher proportions of negative and positive experiences compared with English posts. Trivialization of mental illnesses was less common in Spanish posts than in English posts, particularly for ADHD (17,053/18,223, 93.59%; chi-square test P&lt;.001) and ASD (41,933/49,475, 84.73%; chi-square test P&lt;.001). User-perceived causes included multifactorial factors, biological or genetic factors, substance use, psychological susceptibility, acute psychosocial stressors, and COVID-19. Perceived treatability varied by language but consistently included high perceived incurability, limited improvement despite professional help, and low perceived self-manageability except for anxiety. Conclusions: Analysis of social media discourse showed that ADHD attracted higher post volumes, particularly during the COVID-19 pandemic, often described with multifactorial causes including substance use and genetics. ASD consistently received lower engagement. Both language groups showed low trivialization, awareness of the chronicity of the illness, and limited support for the self-management of mental health conditions. These findings underscore social media’s value for capturing direct public perceptions to guide future educational and intervention efforts.</ns0:t>
        </ns0:is>
      </ns0:c>
      <ns0:c r="I294" s="21" t="inlineStr">
        <ns0:is>
          <ns0:t xml:space="preserve">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ns0:t>
        </ns0:is>
      </ns0:c>
      <ns0:c r="J294" s="21" t="inlineStr"/>
      <ns0:c r="K294" s="21" t="inlineStr">
        <ns0:is>
          <ns0:t>Texto abierto evaluable revisado; extracción RQ disponible.</ns0:t>
        </ns0:is>
      </ns0:c>
      <ns0:c r="L294" s="21" t="inlineStr">
        <ns0:is>
          <ns0:t>Not documented in provided sources</ns0:t>
        </ns0:is>
      </ns0:c>
      <ns0:c r="M294" s="21" t="inlineStr">
        <ns0:is>
          <ns0:t>[]</ns0:t>
        </ns0:is>
      </ns0:c>
    </ns0:row>
    <ns0:row r="295" ht="350" customHeight="1">
      <ns0:c r="A295" s="19" t="inlineStr">
        <ns0:is>
          <ns0:t>new_173</ns0:t>
        </ns0:is>
      </ns0:c>
      <ns0:c r="B295" s="19" t="inlineStr">
        <ns0:is>
          <ns0:t>Autism-Related Information on Websites and General-Purpose Artificial Intelligence Chatbots: Comparative, Bilingual Study</ns0:t>
        </ns0:is>
      </ns0:c>
      <ns0:c r="C295" s="19" t="inlineStr">
        <ns0:is>
          <ns0:t>10.2196/85196</ns0:t>
        </ns0:is>
      </ns0:c>
      <ns0:c r="D295" s="19" t="inlineStr">
        <ns0:is>
          <ns0:t>https://preprints.jmir.org/preprint/85196</ns0:t>
        </ns0:is>
      </ns0:c>
      <ns0:c r="E295" s="19" t="inlineStr">
        <ns0:is>
          <ns0:t>Primary-source abstract and final-publication metadata</ns0:t>
        </ns0:is>
      </ns0:c>
      <ns0:c r="F295" s="19" t="inlineStr">
        <ns0:is>
          <ns0:t>Final-publication citation and abstract</ns0:t>
        </ns0:is>
      </ns0:c>
      <ns0:c r="G295" s="19" t="inlineStr">
        <ns0:is>
          <ns0:t>Peer-reviewed final article benchmarks ASD information quality of general-purpose chatbots; no caregiver-outcome or clinical-use study.</ns0:t>
        </ns0:is>
      </ns0:c>
      <ns0:c r="H295" s="19" t="inlineStr"/>
      <ns0:c r="I295" s="19" t="inlineStr"/>
      <ns0:c r="J295" s="19" t="inlineStr"/>
      <ns0:c r="K295" s="19" t="inlineStr">
        <ns0:is>
          <ns0:t>Texto abierto evaluable revisado; extracción RQ disponible.</ns0:t>
        </ns0:is>
      </ns0:c>
      <ns0:c r="L295" s="19" t="inlineStr">
        <ns0:is>
          <ns0:t>Not documented in provided sources</ns0:t>
        </ns0:is>
      </ns0:c>
      <ns0:c r="M295" s="19" t="inlineStr">
        <ns0:is>
          <ns0:t>[{"url": "https://preprints.jmir.org/preprint/85196", "locator": "Final-publication citation and abstract", "assessment": "Publisher identifies a final peer-reviewed article; evaluates website/chatbot information completeness and accuracy, not clinical outcomes.", "level": "Primary-source abstract and final-publication metadata", "date": "2026-09-08", "assessor": "ChatGPT-assisted source verification; not independent human review"}]</ns0:t>
        </ns0:is>
      </ns0:c>
    </ns0:row>
    <ns0:row r="296" ht="350" customHeight="1">
      <ns0:c r="A296" s="21" t="inlineStr">
        <ns0:is>
          <ns0:t>new_179</ns0:t>
        </ns0:is>
      </ns0:c>
      <ns0:c r="B296" s="21" t="inlineStr">
        <ns0:is>
          <ns0:t>Free Water Corrected Diffusion Magnetic Resonance Imaging Reveals Microstructural Alterations in Corpus Callosum Subregions of Preschool Children With Autism</ns0:t>
        </ns0:is>
      </ns0:c>
      <ns0:c r="C296" s="21" t="inlineStr">
        <ns0:is>
          <ns0:t>10.1002/hbm.70435</ns0:t>
        </ns0:is>
      </ns0:c>
      <ns0:c r="D296" s="21" t="inlineStr">
        <ns0:is>
          <ns0:t>https://doi.org/10.1002/hbm.70435</ns0:t>
        </ns0:is>
      </ns0:c>
      <ns0:c r="E296" s="21" t="inlineStr">
        <ns0:is>
          <ns0:t>Supplied abstract/coding notes; no new full-text verification</ns0:t>
        </ns0:is>
      </ns0:c>
      <ns0:c r="F296" s="21" t="inlineStr">
        <ns0:is>
          <ns0:t>EVIDENCIA; original abstract/coding notes and lot source trace; Inherited scoped adjudication; see source level and lot caveats</ns0:t>
        </ns0:is>
      </ns0:c>
      <ns0:c r="G296" s="21" t="inlineStr">
        <ns0:is>
          <ns0:t>Diffusion microstructure comparison using tract segmentation. Healthy controls are not an independent external validation cohort for an ASD prediction model.</ns0:t>
        </ns0:is>
      </ns0:c>
      <ns0:c r="H296" s="21" t="inlineStr">
        <ns0:is>
          <ns0:t>Autism spectrum disorder (ASD) is associated with white matter microstructural abnormalities, particularly in the corpus callosum (CC). This study employed free water corrected diffusion magnetic resonance imaging (fwc-dMRI) to investigate CC subregion-specific microstructural alterations in preschool children with ASD, which mitigates partial volume effects from extracellular free water. Sixty-one ASD children (6.03 ± 1.08 years) and 62 typically developing (TD) controls (6.49 ± 1.45 years) were enrolled in this study. In the ASD group, the symptom severity was assessed by the Autism Behavior Checklist (ABC). Fwc-dMRI technique, a bi-tensor tractography method, was used to investigate the white matter microstructure, which models free water and brain tissues through isotropic and anisotropic tensors to eliminate the partial volume effects caused by extracellular free water. The CC was segmented into seven subregions automatically according to its alignment to the cortex by a robust machine learning approach based on an anatomically curated white matter atlas. Fwc-dMRI-derived metrics were extracted for each CC subregion. Then we compared diffusion metrics between the two groups, and the correlation between the fractional anisotropy tissue (FAt) and the scores of the ABC scale was analyzed in ASD. Significant group differences were localized to CC6 (temporal lobe projections), showing reduced FAt (t = −3.251, p &lt; 0.01) and elevated radial diffusivity tissue (t = 3.632, p &lt; 0.01), and CC1 (orbital lobe projections), exhibiting decreased free water (t = −3.068, p &lt; 0.05). FAt in CC2–5 negatively correlated with ABC scores (r = −0.36 to −0.52, p &lt; 0.01), linking frontoparietal connectivity to the symptom severity of ASD. Fwc-dMRI identified distinct microstructural disruptions in CC subregions, implicating dysmyelination in temporal pathways (CC6) and abnormal axonal development in frontal projections (CC1). These findings highlight fwc-dMRI's potential for early ASD diagnosis and intervention monitoring.</ns0:t>
        </ns0:is>
      </ns0:c>
      <ns0:c r="I296" s="21" t="inlineStr">
        <ns0:is>
          <ns0:t>Autism spectrum disorder (ASD) is associated with white matter microstructural abnormalities, particularly in the corpus callosum (CC). This study employed free water corrected diffusion magnetic resonance imaging (fwc-dMRI) to investigate CC subregion-specific microstructural alterations in preschool children with ASD, which mitigates partial volume effects from extracellular free water. Sixty-one ASD children (6.03 ± 1.08 years) and 62 typicall</ns0:t>
        </ns0:is>
      </ns0:c>
      <ns0:c r="J296" s="21" t="inlineStr"/>
      <ns0:c r="K296" s="21" t="inlineStr">
        <ns0:is>
          <ns0:t>Texto abierto evaluable revisado; extracción RQ disponible.</ns0:t>
        </ns0:is>
      </ns0:c>
      <ns0:c r="L296" s="21" t="inlineStr">
        <ns0:is>
          <ns0:t>Not documented in provided sources</ns0:t>
        </ns0:is>
      </ns0:c>
      <ns0:c r="M296" s="21" t="inlineStr">
        <ns0:is>
          <ns0:t>[]</ns0:t>
        </ns0:is>
      </ns0:c>
    </ns0:row>
    <ns0:row r="297" ht="350" customHeight="1">
      <ns0:c r="A297" s="19" t="inlineStr">
        <ns0:is>
          <ns0:t>new_182</ns0:t>
        </ns0:is>
      </ns0:c>
      <ns0:c r="B297" s="19" t="inlineStr">
        <ns0:is>
          <ns0:t>Label leakage unmasked: a trustworthy-AI audit of autism screening models using the CLEAR-RD framework.</ns0:t>
        </ns0:is>
      </ns0:c>
      <ns0:c r="C297" s="19" t="inlineStr">
        <ns0:is>
          <ns0:t>10.3389/fpubh.2026.1881829</ns0:t>
        </ns0:is>
      </ns0:c>
      <ns0:c r="D297" s="19" t="inlineStr">
        <ns0:is>
          <ns0:t>https://doi.org/10.3389/fpubh.2026.1881829</ns0:t>
        </ns0:is>
      </ns0:c>
      <ns0:c r="E297" s="19" t="inlineStr">
        <ns0:is>
          <ns0:t>Supplied abstract/coding notes; no new full-text verification</ns0:t>
        </ns0:is>
      </ns0:c>
      <ns0:c r="F297" s="19" t="inlineStr">
        <ns0:is>
          <ns0:t>EVIDENCIA; original abstract/coding notes and lot source trace; Inherited scoped adjudication; see source level and lot caveats</ns0:t>
        </ns0:is>
      </ns0:c>
      <ns0:c r="G297" s="19" t="inlineStr">
        <ns0:is>
          <ns0:t>Model-family comparison audits rule-derived screening labels; gradient boosting leads the leakage-free scenario. Comparing deep and classical models is not a Hybrid pipeline.</ns0:t>
        </ns0:is>
      </ns0:c>
      <ns0:c r="H297" s="19" t="inlineStr">
        <ns0:is>
          <ns0:t>Trustworthy pediatric screening AI needs more than accuracy: label validity, calibration, subgroup robustness, and clinical-scope limits. We propose Clear-Rd (Clinical Leakage Evaluation and Audit Routine for Rule-Derived labels), a five-stage framework-Configure, Lift, Evaluate, Audit, Report-and apply it to two public autism-screening datasets-Q-CHAT-10 toddler (N = 1054) and AQ-10 child/adolescent/adult (N = 6075)-merged into a unified cohort (N = 7129); prior studies report accuracies above 95%. Three configurations-S 1 (full, with score), S 2 (items, no score), and S 3 (demographics only)-separate label leakage from demographic signal. A leakage audit confirms the Q-CHAT-10 label is exactly determined by score&gt;3, the AQ-10 label approximately by score≥6. Sixteen models from three families (classical, deep-tabular, and prompt-structure simulators) are evaluated under 5-fold stratified cross-validation. On the leakage-free S 3, Gradient Boosting attains ROC-AUC 0.766 ± 0.005 and all families converge within 0.04 ROC-AUC, indicating the binding constraint is the feature set, not model capacity. Calibration, subgroup-parity, and cost-sensitive analyses complete the audit. The results expose a gap between reported and clinically interpretable performance; Clear-Rd is a reusable template for rule-derived medical labels. No such model should be interpreted as predicting clinical autism diagnosis without external validation against gold-standard outcomes.</ns0:t>
        </ns0:is>
      </ns0:c>
      <ns0:c r="I297" s="19" t="inlineStr">
        <ns0:is>
          <ns0:t xml:space="preserve">Trustworthy pediatric screening AI needs more than accuracy: label validity, calibration, subgroup robustness, and clinical-scope limits. We propose Clear-Rd (Clinical Leakage Evaluation and Audit Routine for Rule-Derived labels), a five-stage framework-Configure, Lift, Evaluate, Audit, Report-and apply it to two public autism-screening datasets-Q-CHAT-10 toddler (N = 1054) and AQ-10 child/adolescent/adult (N = 6075)-merged into a unified cohort </ns0:t>
        </ns0:is>
      </ns0:c>
      <ns0:c r="J297" s="19" t="inlineStr"/>
      <ns0:c r="K297" s="19" t="inlineStr">
        <ns0:is>
          <ns0:t>Texto abierto evaluable revisado; extracción RQ disponible.</ns0:t>
        </ns0:is>
      </ns0:c>
      <ns0:c r="L297" s="19" t="inlineStr">
        <ns0:is>
          <ns0:t>Not documented in provided sources</ns0:t>
        </ns0:is>
      </ns0:c>
      <ns0:c r="M297" s="19" t="inlineStr">
        <ns0:is>
          <ns0:t>[]</ns0:t>
        </ns0:is>
      </ns0:c>
    </ns0:row>
    <ns0:row r="298" ht="350" customHeight="1">
      <ns0:c r="A298" s="21" t="inlineStr">
        <ns0:is>
          <ns0:t>new_185</ns0:t>
        </ns0:is>
      </ns0:c>
      <ns0:c r="B298" s="21" t="inlineStr">
        <ns0:is>
          <ns0:t>Early multimodal behavioral cues in autism: a micro-analytical exploration of actions, gestures and speech during naturalistic parent-child interactions</ns0:t>
        </ns0:is>
      </ns0:c>
      <ns0:c r="C298" s="21" t="inlineStr">
        <ns0:is>
          <ns0:t>10.1016/j.ijchp.2026.100664</ns0:t>
        </ns0:is>
      </ns0:c>
      <ns0:c r="D298" s="21" t="inlineStr">
        <ns0:is>
          <ns0:t>https://doi.org/10.1016/j.ijchp.2026.100664</ns0:t>
        </ns0:is>
      </ns0:c>
      <ns0:c r="E298" s="21" t="inlineStr">
        <ns0:is>
          <ns0:t>Supplied abstract/coding notes; no new full-text verification</ns0:t>
        </ns0:is>
      </ns0:c>
      <ns0:c r="F298" s="21" t="inlineStr">
        <ns0:is>
          <ns0:t>EVIDENCIA; original abstract/coding notes and lot source trace; Inherited scoped adjudication; see source level and lot caveats</ns0:t>
        </ns0:is>
      </ns0:c>
      <ns0:c r="G298" s="21" t="inlineStr">
        <ns0:is>
          <ns0:t>Microanalytically coded behavioral frequencies feed logistic regression; multiple behaviors from one coded observation do not automatically establish multimodal input fusion.</ns0:t>
        </ns0:is>
      </ns0:c>
      <ns0:c r="H298" s="21" t="inlineStr">
        <ns0:is>
          <ns0:t>Early signs of autism often emerge through distinct developmental pathways, particularly in communication, social interaction, and play. While naturalistic parent-child interactions during free play are ideal for observing spontaneous social behaviors, few autism studies have adopted this ecological and developmental approach. To address this gap, we used a fine-grained microanalytic method to examine motor, gestural, and vocal behaviors in young children, integrating machine learning to explore how combinations of these traits distinguish early autistic neurodivergence. We analyzed video recordings of 58 autistic and non-autistic children (aged 13–40 months) engaged in naturalistic parent-child play. A frame-by-frame micro-coding scheme was applied to capture actions, gestures, speech, and their multimodal integration. Clear differences emerged between neurotypical (NT) and autistic (ASC) children. NT children displayed more gestures, particularly deictic and conventional-interactive, greater gesture–gaze coordination, more functional object play, and more frequent multi-word utterances. In contrast, ASC children showed fewer deictic and conventional-interactive gestures and greater use of instrumental gestures, reduced gesture–gaze coordination, a higher reliance on vocalizations rather than words, and increased object manipulation compared to functional play. Feature selection using ANOVA F-tests identified a core set of key predictors most frequently and independently selected across folds of cross-validation: Alternate Gaze, Reaching, and Instrumental Gesture. Higher values of Alternate Gaze were associated with NT classification, while elevated frequencies of Reaching and Instrumental Gestures were linked to ASC classification. A logistic regression classifier trained on these features achieved over 85% accuracy in distinguishing the two groups. These findings underscore the value of an ecologically valid, and developmentally informed approach to identifying early behavioral markers of autism, supporting earlier recognition and the design of more personalized, strengths-based interventions.</ns0:t>
        </ns0:is>
      </ns0:c>
      <ns0:c r="I298" s="21" t="inlineStr">
        <ns0:is>
          <ns0:t>Early signs of autism often emerge through distinct developmental pathways, particularly in communication, social interaction, and play. While naturalistic parent-child interactions during free play are ideal for observing spontaneous social behaviors, few autism studies have adopted this ecological and developmental approach. To address this gap, we used a fine-grained microanalytic method to examine motor, gestural, and vocal behaviors in young</ns0:t>
        </ns0:is>
      </ns0:c>
      <ns0:c r="J298" s="21" t="inlineStr"/>
      <ns0:c r="K298" s="21" t="inlineStr">
        <ns0:is>
          <ns0:t>Texto abierto evaluable revisado; extracción RQ disponible.</ns0:t>
        </ns0:is>
      </ns0:c>
      <ns0:c r="L298" s="21" t="inlineStr">
        <ns0:is>
          <ns0:t>Not documented in provided sources</ns0:t>
        </ns0:is>
      </ns0:c>
      <ns0:c r="M298" s="21" t="inlineStr">
        <ns0:is>
          <ns0:t>[]</ns0:t>
        </ns0:is>
      </ns0:c>
    </ns0:row>
    <ns0:row r="299" ht="350" customHeight="1">
      <ns0:c r="A299" s="19" t="inlineStr">
        <ns0:is>
          <ns0:t>new_186</ns0:t>
        </ns0:is>
      </ns0:c>
      <ns0:c r="B299" s="19" t="inlineStr">
        <ns0:is>
          <ns0:t>Mood instability and mental health service use in autism and attention-deficit/hyperactivity disorder: a natural language processing analysis of CRIS electronic healthcare records from 21 906 children and adolescents.</ns0:t>
        </ns0:is>
      </ns0:c>
      <ns0:c r="C299" s="19" t="inlineStr">
        <ns0:is>
          <ns0:t>10.1136/bmjment-2026-302488</ns0:t>
        </ns0:is>
      </ns0:c>
      <ns0:c r="D299" s="19" t="inlineStr">
        <ns0:is>
          <ns0:t>https://doi.org/10.1136/bmjment-2026-302488</ns0:t>
        </ns0:is>
      </ns0:c>
      <ns0:c r="E299" s="19" t="inlineStr">
        <ns0:is>
          <ns0:t>Supplied abstract/coding notes; no new full-text verification</ns0:t>
        </ns0:is>
      </ns0:c>
      <ns0:c r="F299" s="19" t="inlineStr">
        <ns0:is>
          <ns0:t>EVIDENCIA; original abstract/coding notes and lot source trace; Inherited scoped adjudication; see source level and lot caveats</ns0:t>
        </ns0:is>
      </ns0:c>
      <ns0:c r="G299" s="19" t="inlineStr">
        <ns0:is>
          <ns0:t>Baseline NLP-derived mood instability and structured covariates model subsequent service use/time to discharge; observational prognosis, not deployed monitoring.</ns0:t>
        </ns0:is>
      </ns0:c>
      <ns0:c r="H299" s="19" t="inlineStr">
        <ns0:is>
          <ns0:t>BACKGROUND Children and young people (CYP) with neurodevelopmental diagnoses such as autism spectrum disorder (ASD) and attention-deficit/hyperactivity disorder (ADHD) have high child and adolescent mental health service (CAMHS) needs. Mood instability is a common and impairing emotion dysregulation-related symptom linked to increased adult psychiatric service use; however, its role in CAMHS trajectories remains unclear. We aimed to examine whether baseline mood instability was significantly associated with time to discharge and annual CAMHS use in CYP with ASD and/or ADHD. METHODS We applied natural language processing (NLP) to extract mentions of mood instability within 3 months of ASD or ADHD index diagnosis from electronic health records of 21 906 CYP referred to CAMHS between 2008 and 2022. We used accelerated failure time models and negative binomial regression to assess associations between baseline mood instability and time to discharge and annual CAMHS use, adjusting for clinical and sociodemographic confounders. FINDINGS Mood instability was associated with increased annual CAMHS use across ASD (adjusted incidence rate ratio (aIRR) 1.24, 95% CI 1.08 to 1.42), ADHD (aIRR 1.47, 95% CI 1.30 to 1.67) and ASD+ADHD (aIRR 1.27, 95% CI 1.12 to 1.44) groups. While mood instability had no significant effect on discharge timelines in autistic children with or without ADHD, it was linked to reduced time to discharge in the ADHD group (aTR 0.76, 95% CI 0.69 to 0.84). Associations were most pronounced in those not receiving ADHD medication in the ADHD group (aIRR 1.67, 95% CI 1.47 to 1.89; aTR 0.70, 95% CI 0.61 to 0.79). CONCLUSIONS Mood instability was significantly associated with elevated CAMHS use in CYP with neurodevelopmental conditions, with differential effect across diagnostic groups. This may reflect both variations in clinical expression of mood instability and configuration of neurodevelopmental CAMHS provision. CLINICALIMPLICATIONS These findings suggest the importance of assessing emotion dysregulation in care planning and pathway allocation in neurodevelopmental CAMHS. NLP offers a time- and cost-efficient approach to surface and structure clinical data from electronic CAMHS records for scalable clinical research on complex constructs such as mood instability.</ns0:t>
        </ns0:is>
      </ns0:c>
      <ns0:c r="I299" s="19" t="inlineStr">
        <ns0:is>
          <ns0:t>BACKGROUND Children and young people (CYP) with neurodevelopmental diagnoses such as autism spectrum disorder (ASD) and attention-deficit/hyperactivity disorder (ADHD) have high child and adolescent mental health service (CAMHS) needs. Mood instability is a common and impairing emotion dysregulation-related symptom linked to increased adult psychiatric service use; however, its role in CAMHS trajectories remains unclear. We aimed to examine wheth</ns0:t>
        </ns0:is>
      </ns0:c>
      <ns0:c r="J299" s="19" t="inlineStr"/>
      <ns0:c r="K299" s="19" t="inlineStr">
        <ns0:is>
          <ns0:t>Texto abierto evaluable revisado; extracción RQ disponible.</ns0:t>
        </ns0:is>
      </ns0:c>
      <ns0:c r="L299" s="19" t="inlineStr">
        <ns0:is>
          <ns0:t>Not documented in provided sources</ns0:t>
        </ns0:is>
      </ns0:c>
      <ns0:c r="M299" s="19" t="inlineStr">
        <ns0:is>
          <ns0:t>[]</ns0:t>
        </ns0:is>
      </ns0:c>
    </ns0:row>
    <ns0:row r="300" ht="350" customHeight="1">
      <ns0:c r="A300" s="21" t="inlineStr">
        <ns0:is>
          <ns0:t>new_191</ns0:t>
        </ns0:is>
      </ns0:c>
      <ns0:c r="B300" s="21" t="inlineStr">
        <ns0:is>
          <ns0:t>A functional system-informed graph neural network framework to quantify interpretable brain dysfunction in ASD</ns0:t>
        </ns0:is>
      </ns0:c>
      <ns0:c r="C300" s="21" t="inlineStr">
        <ns0:is>
          <ns0:t>10.1016/j.neunet.2025.108295</ns0:t>
        </ns0:is>
      </ns0:c>
      <ns0:c r="D300" s="21" t="inlineStr">
        <ns0:is>
          <ns0:t>https://doi.org/10.1016/j.neunet.2025.108295</ns0:t>
        </ns0:is>
      </ns0:c>
      <ns0:c r="E300" s="21" t="inlineStr">
        <ns0:is>
          <ns0:t>Supplied abstract/coding notes; no new full-text verification</ns0:t>
        </ns0:is>
      </ns0:c>
      <ns0:c r="F300" s="21" t="inlineStr">
        <ns0:is>
          <ns0:t>EVIDENCIA; original abstract/coding notes and lot source trace; Inherited scoped adjudication; see source level and lot caveats</ns0:t>
        </ns0:is>
      </ns0:c>
      <ns0:c r="G300" s="21" t="inlineStr">
        <ns0:is>
          <ns0:t>Functional-system GNN on retrospective multisite fMRI; interpretive biomarker analysis but no tested clinical workflow.</ns0:t>
        </ns0:is>
      </ns0:c>
      <ns0:c r="H300" s="21" t="inlineStr">
        <ns0:is>
          <ns0:t>Autism Spectrum Disorder (ASD) is one of the most common neurodevelopmental disorders affecting patients from childhood to adulthood. Yet, its pathological mechanism has not been conclusively established, and its diagnosis mainly depends on subjective assessments of clinical or behavioral measures. In the human brain, connectivity is ubiquitous between brain regions that share functional properties, and groups of brain regions spontaneously assemble into large-scale systems as per their functions. In this study, we propose functional system-informed graph neural network (FS-GNN), a framework using functional magnetic resonance images (fMRI) to diagnose ASD and unveil new perceptions of ASD-related dysfunctions by fully leveraging the topological and functional information underlying the brain connectome. Specifically, we introduce a learnable positional encoding approach for brain regions of interest (ROIs) concerning their natural locations and functional interactions. The large-scale brain systems are integrated as prior knowledge into the graph representation learning to aid the model in identifying clusters of functionality. A graph readout with system-driven regularization is also developed to automatically weigh the ROIs in respect of their contribution to the classification. Experimental results on a multi-site database known as Autism Brain Imaging Data Exchange (ABIDE) validate the efficacy of FS-GNN by outperforming prevalent machine learning and GNN approaches, reaching 75.02 % accuracy, 73.22 % precision, and 71.64 % recall in ASD diagnosis. The brain dysfunctions detected by our model from both ROI and system levels achieve high agreement with previous fMRI-derived evidence of ASD biomarkers. The results demonstrate the strength of our proposed FS-GNN in discovering interpretable and trustworthy neural patterns for a more precise diagnosis of ASD.</ns0:t>
        </ns0:is>
      </ns0:c>
      <ns0:c r="I300" s="21" t="inlineStr">
        <ns0:is>
          <ns0:t>Autism Spectrum Disorder (ASD) is one of the most common neurodevelopmental disorders affecting patients from childhood to adulthood. Yet, its pathological mechanism has not been conclusively established, and its diagnosis mainly depends on subjective assessments of clinical or behavioral measures. In the human brain, connectivity is ubiquitous between brain regions that share functional properties, and groups of brain regions spontaneously assem</ns0:t>
        </ns0:is>
      </ns0:c>
      <ns0:c r="J300" s="21" t="inlineStr"/>
      <ns0:c r="K300" s="21" t="inlineStr">
        <ns0:is>
          <ns0:t>Texto abierto evaluable revisado; extracción RQ disponible.</ns0:t>
        </ns0:is>
      </ns0:c>
      <ns0:c r="L300" s="21" t="inlineStr">
        <ns0:is>
          <ns0:t>Not documented in provided sources</ns0:t>
        </ns0:is>
      </ns0:c>
      <ns0:c r="M300" s="21" t="inlineStr">
        <ns0:is>
          <ns0:t>[]</ns0:t>
        </ns0:is>
      </ns0:c>
    </ns0:row>
    <ns0:row r="301" ht="350" customHeight="1">
      <ns0:c r="A301" s="19" t="inlineStr">
        <ns0:is>
          <ns0:t>new_197</ns0:t>
        </ns0:is>
      </ns0:c>
      <ns0:c r="B301" s="19" t="inlineStr">
        <ns0:is>
          <ns0:t>Deep learning for autism detection using clinical notes: A comparison of transfer learning for a transparent and black-box approach</ns0:t>
        </ns0:is>
      </ns0:c>
      <ns0:c r="C301" s="19" t="inlineStr">
        <ns0:is>
          <ns0:t>10.1016/j.artmed.2025.103318</ns0:t>
        </ns0:is>
      </ns0:c>
      <ns0:c r="D301" s="19" t="inlineStr">
        <ns0:is>
          <ns0:t>https://doi.org/10.1016/j.artmed.2025.103318</ns0:t>
        </ns0:is>
      </ns0:c>
      <ns0:c r="E301" s="19" t="inlineStr">
        <ns0:is>
          <ns0:t>Supplied abstract/coding notes; no new full-text verification</ns0:t>
        </ns0:is>
      </ns0:c>
      <ns0:c r="F301" s="19" t="inlineStr">
        <ns0:is>
          <ns0:t>EVIDENCIA; original abstract/coding notes and lot source trace; Inherited scoped adjudication; see source level and lot caveats</ns0:t>
        </ns0:is>
      </ns0:c>
      <ns0:c r="G301" s="19" t="inlineStr">
        <ns0:is>
          <ns0:t>BioBERT clinical-note transfer experiments train sequentially or jointly on two datasets; untouched external validation is not established in available abstract.
Sequential/mixed-dataset transfer; training-test independence of an untouched external cohort not established</ns0:t>
        </ns0:is>
      </ns0:c>
      <ns0:c r="H301" s="19" t="inlineStr">
        <ns0:is>
          <ns0:t>Autism spectrum disorder (ASD) is a complex neurodevelopmental condition whose rising prevalence places increasing demands on a lengthy diagnostic process. Machine learning (ML) has shown promise in automating ASD diagnosis, but most existing models operate as black boxes and are typically trained on a single dataset, limiting their generalizability. In this study, we introduce a transparent and interpretable ML approach that leverages BioBERT, a state-of-the-art language model, to analyze unstructured clinical text. The model is trained to label descriptions of behaviors and map them to diagnostic criteria, which are then used to assign a final label (ASD or not). We evaluate transfer learning, the ability to transfer knowledge to new data, using two distinct real-world datasets. We trained on datasets sequentially and mixed together and compared the performance of the best models and their ability to transfer to new data. We also created a black-box approach and repeated this transfer process for comparison. Our transparent model demonstrated robust performance, with the mixed-data training strategy yielding the best results (97 % sensitivity, 98 % specificity). Sequential training across datasets led to a slight drop in performance, highlighting the importance of training data order. The black-box model performed worse (90 % sensitivity, 96 % specificity) when trained sequentially or with mixed data. Overall, our transparent approach outperformed the black-box approach. Mixing datasets during training resulted in slightly better performance and should be the preferred approach when practically possible. This work paves the way for more trustworthy, generalizable, and clinically actionable AI tools in neurodevelopmental diagnostics.</ns0:t>
        </ns0:is>
      </ns0:c>
      <ns0:c r="I301" s="19" t="inlineStr">
        <ns0:is>
          <ns0:t>Autism spectrum disorder (ASD) is a complex neurodevelopmental condition whose rising prevalence places increasing demands on a lengthy diagnostic process. Machine learning (ML) has shown promise in automating ASD diagnosis, but most existing models operate as black boxes and are typically trained on a single dataset, limiting their generalizability. In this study, we introduce a transparent and interpretable ML approach that leverages BioBERT, a</ns0:t>
        </ns0:is>
      </ns0:c>
      <ns0:c r="J301" s="19" t="inlineStr"/>
      <ns0:c r="K301" s="19" t="inlineStr">
        <ns0:is>
          <ns0:t>Texto abierto evaluable revisado; extracción RQ disponible.</ns0:t>
        </ns0:is>
      </ns0:c>
      <ns0:c r="L301" s="19" t="inlineStr">
        <ns0:is>
          <ns0:t>Not documented in provided sources</ns0:t>
        </ns0:is>
      </ns0:c>
      <ns0:c r="M301" s="19" t="inlineStr">
        <ns0:is>
          <ns0:t>[]</ns0:t>
        </ns0:is>
      </ns0:c>
    </ns0:row>
    <ns0:row r="302" ht="350" customHeight="1">
      <ns0:c r="A302" s="21" t="inlineStr">
        <ns0:is>
          <ns0:t>new_200</ns0:t>
        </ns0:is>
      </ns0:c>
      <ns0:c r="B302" s="21" t="inlineStr">
        <ns0:is>
          <ns0:t>Finding the forest in the trees: Using machine learning and online cognitive and perceptual measures to predict adult autism diagnosis</ns0:t>
        </ns0:is>
      </ns0:c>
      <ns0:c r="C302" s="21" t="inlineStr">
        <ns0:is>
          <ns0:t>10.1038/s41398-026-03823-y</ns0:t>
        </ns0:is>
      </ns0:c>
      <ns0:c r="D302" s="21" t="inlineStr">
        <ns0:is>
          <ns0:t>https://doi.org/10.1038/s41398-026-03823-y</ns0:t>
        </ns0:is>
      </ns0:c>
      <ns0:c r="E302" s="21" t="inlineStr">
        <ns0:is>
          <ns0:t>Supplied abstract/coding notes; no new full-text verification</ns0:t>
        </ns0:is>
      </ns0:c>
      <ns0:c r="F302" s="21" t="inlineStr">
        <ns0:is>
          <ns0:t>EVIDENCIA; original abstract/coding notes and lot source trace; Inherited scoped adjudication; see source level and lot caveats</ns0:t>
        </ns0:is>
      </ns0:c>
      <ns0:c r="G302" s="21" t="inlineStr">
        <ns0:is>
          <ns0:t>Online cognitive task scores combined with a screening questionnaire; explicit intended screening tool but no demonstrated clinical deployment.</ns0:t>
        </ns0:is>
      </ns0:c>
      <ns0:c r="H302" s="21" t="inlineStr">
        <ns0:is>
          <ns0:t>Traditional subjective measures are limited in the insight they provide into underlying behavioral differences associated with autism and, accordingly, their ability to predict diagnosis. Performance-based measures offer an attractive alternative, being designed to capture neuropsychological constructs more directly and objectively. However, due to the heterogeneity of autism, differences in any one specific neuropsychological domain are inconsistently detected. Meanwhile, protracted wait times for diagnostic interviews delay access to care, highlighting the importance of developing better methods for identifying individuals likely to be autistic and understanding the associated behavioral differences. We administered a battery of online tasks measuring multisensory perception, emotion recognition, and executive function to a large group of autistic and non-autistic adults. We then used machine learning to classify participants and reveal which factors from the resulting dataset were most predictive of diagnosis. Not only were these measures able to predict autism in a late-diagnosed population known to be particularly difficult to identify, their combination with the most popular screening questionnaire enhanced its predictive accuracy (reaching 92% together). This indicates that performance-based measures may be a promising means of predicting autism, providing complementary information to existing screening questionnaires. Many variables in which significant group differences were not detected had predictive value in combination, suggesting complex latent relationships associated with autism. Machine learning’s ability to harness these connections and pinpoint the most crucial features for prediction could allow optimization of a screening tool that offers a unique marriage of predictive accuracy and accessibility.</ns0:t>
        </ns0:is>
      </ns0:c>
      <ns0:c r="I302" s="21" t="inlineStr">
        <ns0:is>
          <ns0:t>Traditional subjective measures are limited in the insight they provide into underlying behavioral differences associated with autism and, accordingly, their ability to predict diagnosis. Performance-based measures offer an attractive alternative, being designed to capture neuropsychological constructs more directly and objectively. However, due to the heterogeneity of autism, differences in any one specific neuropsychological domain are inconsis</ns0:t>
        </ns0:is>
      </ns0:c>
      <ns0:c r="J302" s="21" t="inlineStr"/>
      <ns0:c r="K302" s="21" t="inlineStr">
        <ns0:is>
          <ns0:t>Texto abierto evaluable revisado; extracción RQ disponible.</ns0:t>
        </ns0:is>
      </ns0:c>
      <ns0:c r="L302" s="21" t="inlineStr">
        <ns0:is>
          <ns0:t>Not documented in provided sources</ns0:t>
        </ns0:is>
      </ns0:c>
      <ns0:c r="M302" s="21" t="inlineStr">
        <ns0:is>
          <ns0:t>[]</ns0:t>
        </ns0:is>
      </ns0:c>
    </ns0:row>
    <ns0:row r="303" ht="350" customHeight="1">
      <ns0:c r="A303" s="19" t="inlineStr">
        <ns0:is>
          <ns0:t>new_210</ns0:t>
        </ns0:is>
      </ns0:c>
      <ns0:c r="B303" s="19" t="inlineStr">
        <ns0:is>
          <ns0:t>Biomarker Discovery for Autism Prediction Using Massive Feature Extraction Based on EEG Signals</ns0:t>
        </ns0:is>
      </ns0:c>
      <ns0:c r="C303" s="19" t="inlineStr">
        <ns0:is>
          <ns0:t>10.3390/s26061862</ns0:t>
        </ns0:is>
      </ns0:c>
      <ns0:c r="D303" s="19" t="inlineStr">
        <ns0:is>
          <ns0:t>https://doi.org/10.3390/s26061862</ns0:t>
        </ns0:is>
      </ns0:c>
      <ns0:c r="E303" s="19" t="inlineStr">
        <ns0:is>
          <ns0:t>Supplied abstract/coding notes; no new full-text verification</ns0:t>
        </ns0:is>
      </ns0:c>
      <ns0:c r="F303" s="19" t="inlineStr">
        <ns0:is>
          <ns0:t>EVIDENCIA; original abstract/coding notes and lot source trace; Inherited scoped adjudication; see source level and lot caveats</ns0:t>
        </ns0:is>
      </ns0:c>
      <ns0:c r="G303" s="19" t="inlineStr">
        <ns0:is>
          <ns0:t>EEG HCTSA features and conventional classifiers with Shapley explanations; single small dataset, not externally validated.</ns0:t>
        </ns0:is>
      </ns0:c>
      <ns0:c r="H303" s="19" t="inlineStr">
        <ns0:is>
          <ns0:t>Autism spectrum disorder (ASD) is a heterogeneous neurodevelopmental disorder that requires early diagnosis for better intervention. However, current clinical behavioural examinations are time-consuming and prone to human error. Objective and effective biomarkers are essential for the diagnosis and prognosis of the disorder. Electroencephalography (EEG) is a non-invasive and inexpensive brain-imaging technique that is widely applied in the diagnosis of ASD. Feature-based methods have shown better performance in EEG-based applications. Here, we present a prediction framework based on massive feature extraction using the highly comparative time-series analysis (HCTSA) method and a hybrid feature selection method for the classification of ASD from resting-state EEG. Machine-learning models are trained and tested on a different number of selected features. Our models demonstrated 100% accuracy with ≥50 features on a balanced dataset of 56 participants. The most discriminating EEG channels and features were used in the prediction process, as well as those using Shapley values to provide explainability of our framework. Whilst these results are promising, we acknowledge the limitations of a single small-scale dataset and emphasise the need for validation on larger independent cohorts before clinical translation.</ns0:t>
        </ns0:is>
      </ns0:c>
      <ns0:c r="I303" s="19" t="inlineStr">
        <ns0:is>
          <ns0:t>Autism spectrum disorder (ASD) is a heterogeneous neurodevelopmental disorder that requires early diagnosis for better intervention. However, current clinical behavioural examinations are time-consuming and prone to human error. Objective and effective biomarkers are essential for the diagnosis and prognosis of the disorder. Electroencephalography (EEG) is a non-invasive and inexpensive brain-imaging technique that is widely applied in the diagno</ns0:t>
        </ns0:is>
      </ns0:c>
      <ns0:c r="J303" s="19" t="inlineStr"/>
      <ns0:c r="K303" s="19" t="inlineStr">
        <ns0:is>
          <ns0:t>Texto abierto evaluable revisado; extracción RQ disponible.</ns0:t>
        </ns0:is>
      </ns0:c>
      <ns0:c r="L303" s="19" t="inlineStr">
        <ns0:is>
          <ns0:t>Not documented in provided sources</ns0:t>
        </ns0:is>
      </ns0:c>
      <ns0:c r="M303" s="19" t="inlineStr">
        <ns0:is>
          <ns0:t>[]</ns0:t>
        </ns0:is>
      </ns0:c>
    </ns0:row>
    <ns0:row r="304" ht="350" customHeight="1">
      <ns0:c r="A304" s="21" t="inlineStr">
        <ns0:is>
          <ns0:t>new_212</ns0:t>
        </ns0:is>
      </ns0:c>
      <ns0:c r="B304" s="21" t="inlineStr">
        <ns0:is>
          <ns0:t>Comparison of cognitive ability and its distribution between men with autism spectrum disorder and attention-deficit/hyperactivity disorder</ns0:t>
        </ns0:is>
      </ns0:c>
      <ns0:c r="C304" s="21" t="inlineStr">
        <ns0:is>
          <ns0:t>10.1371/journal.pone.0345522</ns0:t>
        </ns0:is>
      </ns0:c>
      <ns0:c r="D304" s="21" t="inlineStr">
        <ns0:is>
          <ns0:t>https://doi.org/10.1371/journal.pone.0345522</ns0:t>
        </ns0:is>
      </ns0:c>
      <ns0:c r="E304" s="21" t="inlineStr">
        <ns0:is>
          <ns0:t>Supplied abstract/coding notes; no new full-text verification</ns0:t>
        </ns0:is>
      </ns0:c>
      <ns0:c r="F304" s="21" t="inlineStr">
        <ns0:is>
          <ns0:t>EVIDENCIA; original abstract/coding notes and lot source trace; Inherited scoped adjudication; see source level and lot caveats</ns0:t>
        </ns0:is>
      </ns0:c>
      <ns0:c r="G304" s="21" t="inlineStr">
        <ns0:is>
          <ns0:t>Wechsler cognitive profiles in ASD versus ADHD; exploratory cognitive characterization.</ns0:t>
        </ns0:is>
      </ns0:c>
      <ns0:c r="H304" s="21" t="inlineStr">
        <ns0:is>
          <ns0:t>Objectives Clarification of the strengths and weaknesses of cognitive ability is essential to our understanding of the characteristics of autism spectrum disorder and attention deficit/ hyperactivity disorder. However, whether individuals with these conditions exhibit distinct patterns of cognitive ability remains unclear. To address this point, we aimed to compare the cognitive profiles of patients with autism spectrum disorder with those of patients with attention deficit/hyperactivity disorder by placing special emphasis on the distribution of cognitive function within each group. Methods This study compared the Wechsler Adult Intelligence Scale index scores of men with autism spectrum disorder and attention deficit/hyperactivity disorder. A machine learning model was trained to classify autism spectrum disorder and attention deficit/ hyperactivity disorder based on the subtest scores. The conformity of the within-group distribution of each index score to a normal distribution was also tested. Results Individuals with autism spectrum disorder scored higher than those with attention deficit/hyperactivity disorder in the Verbal Comprehension Index and Working Memory Index, while the opposite pattern was observed for the Perceptual Organization Index. The classification performance of the machine learning model was above chance level. The distributions of the Verbal Comprehension Index and Perceptual Organization Index deviated significantly from a normal distribution only in the autism spectrum disorder group. The results of Gaussian mixture clustering indicated that men with autism spectrum disorder could be divided into two distinct clusters based on their Verbal Comprehension Index scores. Conclusions Our findings indicate that men with autism spectrum disorder and attention deficit/ hyperactivity disorder show distinct cognitive profile patterns from each other. The distribution of some of the index scores deviated from the normal distribution only in autism spectrum disorder, which supports the view that autism spectrum disorder comprises heterogeneous subgroups with different cognitive profiles.</ns0:t>
        </ns0:is>
      </ns0:c>
      <ns0:c r="I304" s="21" t="inlineStr">
        <ns0:is>
          <ns0:t>Objectives Clarification of the strengths and weaknesses of cognitive ability is essential to our understanding of the characteristics of autism spectrum disorder and attention deficit/ hyperactivity disorder. However, whether individuals with these conditions exhibit distinct patterns of cognitive ability remains unclear. To address this point, we aimed to compare the cognitive profiles of patients with autism spectrum disorder with those of pat</ns0:t>
        </ns0:is>
      </ns0:c>
      <ns0:c r="J304" s="21" t="inlineStr"/>
      <ns0:c r="K304" s="21" t="inlineStr">
        <ns0:is>
          <ns0:t>Texto abierto evaluable revisado; extracción RQ disponible.</ns0:t>
        </ns0:is>
      </ns0:c>
      <ns0:c r="L304" s="21" t="inlineStr">
        <ns0:is>
          <ns0:t>Not documented in provided sources</ns0:t>
        </ns0:is>
      </ns0:c>
      <ns0:c r="M304" s="21" t="inlineStr">
        <ns0:is>
          <ns0:t>[]</ns0:t>
        </ns0:is>
      </ns0:c>
    </ns0:row>
    <ns0:row r="305" ht="350" customHeight="1">
      <ns0:c r="A305" s="19" t="inlineStr">
        <ns0:is>
          <ns0:t>new_214</ns0:t>
        </ns0:is>
      </ns0:c>
      <ns0:c r="B305" s="19" t="inlineStr">
        <ns0:is>
          <ns0:t>Hippocampal Subregion Function and Its Clinical Correlations in Childhood Autism Spectrum Disorders</ns0:t>
        </ns0:is>
      </ns0:c>
      <ns0:c r="C305" s="19" t="inlineStr">
        <ns0:is>
          <ns0:t>10.1002/aur.70124</ns0:t>
        </ns0:is>
      </ns0:c>
      <ns0:c r="D305" s="19" t="inlineStr">
        <ns0:is>
          <ns0:t>https://doi.org/10.1002/aur.70124</ns0:t>
        </ns0:is>
      </ns0:c>
      <ns0:c r="E305" s="19" t="inlineStr">
        <ns0:is>
          <ns0:t>Supplied abstract/coding notes; no new full-text verification</ns0:t>
        </ns0:is>
      </ns0:c>
      <ns0:c r="F305" s="19" t="inlineStr">
        <ns0:is>
          <ns0:t>EVIDENCIA; original abstract/coding notes and lot source trace; Inherited scoped adjudication; see source level and lot caveats</ns0:t>
        </ns0:is>
      </ns0:c>
      <ns0:c r="G305" s="19" t="inlineStr">
        <ns0:is>
          <ns0:t>Hippocampal fMRI classifier comparison and clinical associations; research use only.</ns0:t>
        </ns0:is>
      </ns0:c>
      <ns0:c r="H305" s="19" t="inlineStr">
        <ns0:is>
          <ns0:t>The hippocampus plays a crucial role in memory and social processing, both of which are impaired in autism spectrum disorder (ASD). Investigating the functional activity of hippocampal subregions can provide valuable insights into their involvement in ASD-related social and behavioral symptoms. This study analyzed hippocampal resting-state functional connectivity (rsFC) in 507 male child participants from the ABIDE dataset (225 ASD, 282 typical controls) and its relation to clinical features. The hippocampus was subdivided into rostral and caudal subregions, and rsFC patterns were compared between groups. Significant group differences were observed in the left caudal, right rostral, and right caudal hippocampus, with enhanced connectivity to widespread cortical and subcortical regions, including visual, motor, parietal, and cerebellar networks. Machine learning using hippocampal rsFC achieved modest classification performance. Clinically, rsFC correlated with core ASD symptoms: social awareness was associated with right caudal connectivity to fusiform and temporal regions, while restricted and repetitive behaviors were linked to distinct rostral–caudal patterns involving frontal, motor, and cerebellar areas. Age of onset showed positive correlations with rsFC across all subregions, with rostral hippocampus engaging socioemotional and motor control networks and caudal hippocampus connecting more strongly to visual and sensorimotor integration regions. These findings demonstrate subregional specificity of hippocampal connectivity in ASD, suggesting distinct anterior–posterior contributions to symptom expression and developmental timing.</ns0:t>
        </ns0:is>
      </ns0:c>
      <ns0:c r="I305" s="19" t="inlineStr">
        <ns0:is>
          <ns0:t>The hippocampus plays a crucial role in memory and social processing, both of which are impaired in autism spectrum disorder (ASD). Investigating the functional activity of hippocampal subregions can provide valuable insights into their involvement in ASD-related social and behavioral symptoms. This study analyzed hippocampal resting-state functional connectivity (rsFC) in 507 male child participants from the ABIDE dataset (225 ASD, 282 typical c</ns0:t>
        </ns0:is>
      </ns0:c>
      <ns0:c r="J305" s="19" t="inlineStr"/>
      <ns0:c r="K305" s="19" t="inlineStr">
        <ns0:is>
          <ns0:t>Texto abierto evaluable revisado; extracción RQ disponible.</ns0:t>
        </ns0:is>
      </ns0:c>
      <ns0:c r="L305" s="19" t="inlineStr">
        <ns0:is>
          <ns0:t>Not documented in provided sources</ns0:t>
        </ns0:is>
      </ns0:c>
      <ns0:c r="M305" s="19" t="inlineStr">
        <ns0:is>
          <ns0:t>[]</ns0:t>
        </ns0:is>
      </ns0:c>
    </ns0:row>
    <ns0:row r="306" ht="350" customHeight="1">
      <ns0:c r="A306" s="21" t="inlineStr">
        <ns0:is>
          <ns0:t>new_216</ns0:t>
        </ns0:is>
      </ns0:c>
      <ns0:c r="B306" s="21" t="inlineStr">
        <ns0:is>
          <ns0:t>Parental Stress and Caregiver Role Modulate Child–Caregiver Prosodic Synchrony in Autism: A Computational Analysis</ns0:t>
        </ns0:is>
      </ns0:c>
      <ns0:c r="C306" s="21" t="inlineStr">
        <ns0:is>
          <ns0:t>10.1002/aur.70189</ns0:t>
        </ns0:is>
      </ns0:c>
      <ns0:c r="D306" s="21" t="inlineStr">
        <ns0:is>
          <ns0:t>https://doi.org/10.1002/aur.70189</ns0:t>
        </ns0:is>
      </ns0:c>
      <ns0:c r="E306" s="21" t="inlineStr">
        <ns0:is>
          <ns0:t>Supplied abstract/coding notes; no new full-text verification</ns0:t>
        </ns0:is>
      </ns0:c>
      <ns0:c r="F306" s="21" t="inlineStr">
        <ns0:is>
          <ns0:t>EVIDENCIA; original abstract/coding notes and lot source trace; Inherited scoped adjudication; see source level and lot caveats</ns0:t>
        </ns0:is>
      </ns0:c>
      <ns0:c r="G306" s="21" t="inlineStr">
        <ns0:is>
          <ns0:t>Deep acoustic segmentation and subsequent prosodic-synchrony analysis over two time points, without live care decisions.</ns0:t>
        </ns0:is>
      </ns0:c>
      <ns0:c r="H306" s="21" t="inlineStr">
        <ns0:is>
          <ns0:t>Parental stress influences parent–child interactions in typical development and is a prognostic factor of autism outcome. However, we still do not know to what extent parental stress affects parent–child interactions and whether caregiver role matters. This study explored the relationship between parental stress and prosodic synchrony in parent–child vocal interactions, drawing on complex dynamic systems and affective computing frameworks. We assessed 62 dyads (31 autistic preschoolers, interacting separately with their mother and father) during structured play interactions at two time points (12 months apart) along with perceived parental stress. We used a Deep Learning model to segment child-caregiver acoustic interactions with high accuracy automatically. Downstream, prosodic synchrony was modeled through cross-recurrence quantification analysis. Linear mixed-effects models were used to assess the impact of parental stress, caregiver role, and time on synchrony metrics. Models showed significant associations between parental stress and synchrony metrics for spectral and formant amplitude features. Higher stress levels were linked to less stable, predictable, and structured interactions. These effects were more pronounced in father–child dyads compared to mother–child dyads. Permutation analyses confirmed that these associations were specific to moment-to-moment coordination rather than general acoustic similarity. In autistic children, parental stress levels are linked with the temporal dynamics of parent–child prosodic synchrony, specifically affective speech and moment-to-moment coordination. It appears to be more pronounced in fathers. The results underscore the importance of fostering parental well-being and tailoring interventions to account for differences between maternal and paternal interaction patterns in autism.</ns0:t>
        </ns0:is>
      </ns0:c>
      <ns0:c r="I306" s="21" t="inlineStr">
        <ns0:is>
          <ns0:t>Parental stress influences parent–child interactions in typical development and is a prognostic factor of autism outcome. However, we still do not know to what extent parental stress affects parent–child interactions and whether caregiver role matters. This study explored the relationship between parental stress and prosodic synchrony in parent–child vocal interactions, drawing on complex dynamic systems and affective computing frameworks. We ass</ns0:t>
        </ns0:is>
      </ns0:c>
      <ns0:c r="J306" s="21" t="inlineStr"/>
      <ns0:c r="K306" s="21" t="inlineStr">
        <ns0:is>
          <ns0:t>Texto abierto evaluable revisado; extracción RQ disponible.</ns0:t>
        </ns0:is>
      </ns0:c>
      <ns0:c r="L306" s="21" t="inlineStr">
        <ns0:is>
          <ns0:t>Not documented in provided sources</ns0:t>
        </ns0:is>
      </ns0:c>
      <ns0:c r="M306" s="21" t="inlineStr">
        <ns0:is>
          <ns0:t>[]</ns0:t>
        </ns0:is>
      </ns0:c>
    </ns0:row>
    <ns0:row r="307" ht="350" customHeight="1">
      <ns0:c r="A307" s="19" t="inlineStr">
        <ns0:is>
          <ns0:t>new_217</ns0:t>
        </ns0:is>
      </ns0:c>
      <ns0:c r="B307" s="19" t="inlineStr">
        <ns0:is>
          <ns0:t>Predicting brain age in children aged 2–6 years with autism spectrum disorders using routine T1- and T2-weighted magnetic resonance imaging</ns0:t>
        </ns0:is>
      </ns0:c>
      <ns0:c r="C307" s="19" t="inlineStr">
        <ns0:is>
          <ns0:t>10.1002/ped4.70064</ns0:t>
        </ns0:is>
      </ns0:c>
      <ns0:c r="D307" s="19" t="inlineStr">
        <ns0:is>
          <ns0:t>https://doi.org/10.1002/ped4.70064</ns0:t>
        </ns0:is>
      </ns0:c>
      <ns0:c r="E307" s="19" t="inlineStr">
        <ns0:is>
          <ns0:t>Supplied abstract/coding notes; no new full-text verification</ns0:t>
        </ns0:is>
      </ns0:c>
      <ns0:c r="F307" s="19" t="inlineStr">
        <ns0:is>
          <ns0:t>EVIDENCIA; original abstract/coding notes and lot source trace; Inherited scoped adjudication; see source level and lot caveats</ns0:t>
        </ns0:is>
      </ns0:c>
      <ns0:c r="G307" s="19" t="inlineStr">
        <ns0:is>
          <ns0:t>Predicts current brain age from T1/T2 MRI, not future clinical trajectory. Application to ASD participants does not itself establish external study-level validation.
Normative TDC-to-ASD application; independent acquisition cohort versus same-study held-out group unresolved</ns0:t>
        </ns0:is>
      </ns0:c>
      <ns0:c r="H307" s="19" t="inlineStr">
        <ns0:is>
          <ns0:t>Importance: Early childhood (ages 2–6 years) represents a dynamic phase of brain maturation and a critical window for the emergence of neurodevelopmental disorders, such as autism spectrum disorder (ASD). However, the maturational patterns of the brain during this period remain underexplored, especially regarding the utility of routine clinical imaging. Objective: To develop a brain age prediction model using routine magnetic resonance imaging (MRI) and characterize maturational deviations in children with ASD. Methods: We retrospectively collected MRI data from 2010 typically developing children (TDC) and 822 children with ASD (aged 2–6 years). A brain age prediction model based on T1- and T2-weighted MRI was developed using machine learning algorithms in the TDC cohort and subsequently applied to the ASD cohort. Model performance was assessed using the mean absolute error (MAE) and Pearson's correlation coefficient (PCC). Brain age difference (BAD) was compared between the two groups, followed by age-matched analyses and age-stratified comparisons. Results: The Ridge regression model demonstrated a robust performance in the TDC testing set (MAE = 0.526 years, PCC = 0.812) and showed comparable predictive performance in the ASD cohort (MAE = 0.497 years, PCC = 0.775). Age-matched analysis revealed significantly delayed brain maturation in ASD patients compared with TDC patients (P &lt; 0.001). Stratified analysis identified nominal delays in ASD subgroups aged 3–4 years and 4–5 years, with a trend toward relatively advanced predicted brain age by ages 5–6 years. Interpretation: This routine MRI-based brain age prediction model demonstrated good performance, with low prediction error and high correlation between predicted and chronological age, in estimating the brain age of TDC and ASD. It revealed a dynamic, age-related pattern in children with ASD, highlighting developmental heterogeneity across early childhood.</ns0:t>
        </ns0:is>
      </ns0:c>
      <ns0:c r="I307" s="19" t="inlineStr">
        <ns0:is>
          <ns0:t>Importance: Early childhood (ages 2–6 years) represents a dynamic phase of brain maturation and a critical window for the emergence of neurodevelopmental disorders, such as autism spectrum disorder (ASD). However, the maturational patterns of the brain during this period remain underexplored, especially regarding the utility of routine clinical imaging. Objective: To develop a brain age prediction model using routine magnetic resonance imaging (M</ns0:t>
        </ns0:is>
      </ns0:c>
      <ns0:c r="J307" s="19" t="inlineStr"/>
      <ns0:c r="K307" s="19" t="inlineStr">
        <ns0:is>
          <ns0:t>Texto abierto evaluable revisado; extracción RQ disponible.</ns0:t>
        </ns0:is>
      </ns0:c>
      <ns0:c r="L307" s="19" t="inlineStr">
        <ns0:is>
          <ns0:t>Not documented in provided sources</ns0:t>
        </ns0:is>
      </ns0:c>
      <ns0:c r="M307" s="19" t="inlineStr">
        <ns0:is>
          <ns0:t>[]</ns0:t>
        </ns0:is>
      </ns0:c>
    </ns0:row>
    <ns0:row r="308" ht="350" customHeight="1">
      <ns0:c r="A308" s="21" t="inlineStr">
        <ns0:is>
          <ns0:t>new_228</ns0:t>
        </ns0:is>
      </ns0:c>
      <ns0:c r="B308" s="21" t="inlineStr">
        <ns0:is>
          <ns0:t>Unveiling Diagnostic Biomarkers in Autism: A Comparative Proteome Analysis of CNTNAP2 Knockout Mice and Human ASD Patients</ns0:t>
        </ns0:is>
      </ns0:c>
      <ns0:c r="C308" s="21" t="inlineStr">
        <ns0:is>
          <ns0:t>10.3390/biom16030340</ns0:t>
        </ns0:is>
      </ns0:c>
      <ns0:c r="D308" s="21" t="inlineStr">
        <ns0:is>
          <ns0:t>https://doi.org/10.3390/biom16030340</ns0:t>
        </ns0:is>
      </ns0:c>
      <ns0:c r="E308" s="21" t="inlineStr">
        <ns0:is>
          <ns0:t>Supplied abstract/coding notes; no new full-text verification</ns0:t>
        </ns0:is>
      </ns0:c>
      <ns0:c r="F308" s="21" t="inlineStr">
        <ns0:is>
          <ns0:t>EVIDENCIA; original abstract/coding notes and lot source trace; Inherited scoped adjudication; see source level and lot caveats</ns0:t>
        </ns0:is>
      </ns0:c>
      <ns0:c r="G308" s="21" t="inlineStr">
        <ns0:is>
          <ns0:t>Human serum proteomes are included alongside mouse proteomics, so not a mouse-only study. XGBoost biomarker classification reported.</ns0:t>
        </ns0:is>
      </ns0:c>
      <ns0:c r="H308" s="21" t="inlineStr">
        <ns0:is>
          <ns0:t>Autism Spectrum Disorder (ASD) is a biologically heterogeneous neurodevelopmental condition, presenting a major barrier to the identification of robust and translatable molecular biomarkers. Here, we employ a cross-species proteomic framework to identify conserved protein signatures associated with ASD. Quantitative proteomic profiling of brain and serum from CNTNAP2 knockout mice, integrated with serum proteomes from individuals with ASD, revealed 132 proteins consistently dysregulated across species. Functional pathway analyses implicated coordinated alterations in lipid metabolism, synaptic signaling, and immune regulation. To prioritize diagnostically informative candidates, we applied machine learning-based feature selection and identified a minimal panel of ten proteins (COL1A1, ITIH4, CLU, NID1, C5, MASP1, PON1, PLTP, HSPA5, and FETUB) that robustly discriminated ASD from control samples. Gene ontology and KEGG pathway analyses highlighted enrichment of immune regulatory pathways, synaptic transmission, oxidative stress responses, and lipid metabolic processes, consistent with emerging models linking neuroimmune dysregulation and metabolic imbalance to ASD pathophysiology. An XGBClassifier trained on this biomarker panel achieved strong performance in independent test sets (AUC = 0.75). Together, these findings establish cross-species proteomic integration combined with machine learning as a powerful strategy for uncovering conserved, biologically grounded biomarkers in ASD, providing a framework for future validation and translational development.</ns0:t>
        </ns0:is>
      </ns0:c>
      <ns0:c r="I308" s="21" t="inlineStr">
        <ns0:is>
          <ns0:t>Autism Spectrum Disorder (ASD) is a biologically heterogeneous neurodevelopmental condition, presenting a major barrier to the identification of robust and translatable molecular biomarkers. Here, we employ a cross-species proteomic framework to identify conserved protein signatures associated with ASD. Quantitative proteomic profiling of brain and serum from CNTNAP2 knockout mice, integrated with serum proteomes from individuals with ASD, reveal</ns0:t>
        </ns0:is>
      </ns0:c>
      <ns0:c r="J308" s="21" t="inlineStr"/>
      <ns0:c r="K308" s="21" t="inlineStr">
        <ns0:is>
          <ns0:t>Texto abierto evaluable revisado; extracción RQ disponible.</ns0:t>
        </ns0:is>
      </ns0:c>
      <ns0:c r="L308" s="21" t="inlineStr">
        <ns0:is>
          <ns0:t>Not documented in provided sources</ns0:t>
        </ns0:is>
      </ns0:c>
      <ns0:c r="M308" s="21" t="inlineStr">
        <ns0:is>
          <ns0:t>[]</ns0:t>
        </ns0:is>
      </ns0:c>
    </ns0:row>
    <ns0:row r="309" ht="350" customHeight="1">
      <ns0:c r="A309" s="19" t="inlineStr">
        <ns0:is>
          <ns0:t>new_237</ns0:t>
        </ns0:is>
      </ns0:c>
      <ns0:c r="B309" s="19" t="inlineStr">
        <ns0:is>
          <ns0:t>Late Fusion Model for Emotion Recognition from Facial Expressions and Biosignals in a Dataset of Children with Autism Spectrum Disorder</ns0:t>
        </ns0:is>
      </ns0:c>
      <ns0:c r="C309" s="19" t="inlineStr">
        <ns0:is>
          <ns0:t>10.3390/s25247485</ns0:t>
        </ns0:is>
      </ns0:c>
      <ns0:c r="D309" s="19" t="inlineStr">
        <ns0:is>
          <ns0:t>https://doi.org/10.3390/s25247485</ns0:t>
        </ns0:is>
      </ns0:c>
      <ns0:c r="E309" s="19" t="inlineStr">
        <ns0:is>
          <ns0:t>Supplied abstract/coding notes; no new full-text verification</ns0:t>
        </ns0:is>
      </ns0:c>
      <ns0:c r="F309" s="19" t="inlineStr">
        <ns0:is>
          <ns0:t>EVIDENCIA; original abstract/coding notes and lot source trace; Inherited scoped adjudication; see source level and lot caveats</ns0:t>
        </ns0:is>
      </ns0:c>
      <ns0:c r="G309" s="19" t="inlineStr">
        <ns0:is>
          <ns0:t>Explicit fusion of facial expression and EDA/temperature/heart rate on EMBOA recordings, not demonstrated robot-feedback deployment.</ns0:t>
        </ns0:is>
      </ns0:c>
      <ns0:c r="H309" s="19" t="inlineStr">
        <ns0:is>
          <ns0:t>Children with autism spectrum disorder (ASD) often display atypical emotional expressions and physiological responses, making emotion recognition challenging. This study proposes a multimodal recognition model employing a late fusion framework combining facial expression with physiological measures: electrodermal activity (EDA), temperature (TEMP), and heart rate (HR). Emotional states are annotated using two complementary schemes derived from a shared set of labels. Three annotators provide one categorical Ekman emotion for each timestamp. From these annotations, a majority-vote label identifies the dominant emotion, while a proportional distribution reflects the likelihood of each emotion based on the relative frequency of the annotators’ selections. Separate machine learning models are trained for each modality and for each annotation scheme, and their outputs are integrated through decision-level fusion. A distinct decision-level fusion model is constructed for each annotation scheme, ensuring that both the categorical and likelihood-based representations are optimally combined. The experiments on the EMBOA dataset, collected within the project “Affective loop in Socially Assistive Robotics as an intervention tool for children with autism”, show that the late fusion model achieves higher accuracy and robustness than unimodal baselines. The system attains an accuracy of 68% for categorical emotion classification and 78% under the likelihood-estimation scheme. The results obtained, although lower than those reported in other studies, suggest that further research into emotion recognition in autistic children using other fusions is warranted, even in the case of datasets with a significant number of missing values and low sample representation for certain emotions.</ns0:t>
        </ns0:is>
      </ns0:c>
      <ns0:c r="I309" s="19" t="inlineStr">
        <ns0:is>
          <ns0:t xml:space="preserve">Children with autism spectrum disorder (ASD) often display atypical emotional expressions and physiological responses, making emotion recognition challenging. This study proposes a multimodal recognition model employing a late fusion framework combining facial expression with physiological measures: electrodermal activity (EDA), temperature (TEMP), and heart rate (HR). Emotional states are annotated using two complementary schemes derived from a </ns0:t>
        </ns0:is>
      </ns0:c>
      <ns0:c r="J309" s="19" t="inlineStr"/>
      <ns0:c r="K309" s="19" t="inlineStr">
        <ns0:is>
          <ns0:t>Texto abierto evaluable revisado; extracción RQ disponible.</ns0:t>
        </ns0:is>
      </ns0:c>
      <ns0:c r="L309" s="19" t="inlineStr">
        <ns0:is>
          <ns0:t>Not documented in provided sources</ns0:t>
        </ns0:is>
      </ns0:c>
      <ns0:c r="M309" s="19" t="inlineStr">
        <ns0:is>
          <ns0:t>[]</ns0:t>
        </ns0:is>
      </ns0:c>
    </ns0:row>
    <ns0:row r="310" ht="350" customHeight="1">
      <ns0:c r="A310" s="21" t="inlineStr">
        <ns0:is>
          <ns0:t>new_247</ns0:t>
        </ns0:is>
      </ns0:c>
      <ns0:c r="B310" s="21" t="inlineStr">
        <ns0:is>
          <ns0:t>New intelligent music therapy method for applications of enhancing social skills of autism children based on TL-GCN and deep learning</ns0:t>
        </ns0:is>
      </ns0:c>
      <ns0:c r="C310" s="21" t="inlineStr">
        <ns0:is>
          <ns0:t>10.1038/s41598-025-26307-3</ns0:t>
        </ns0:is>
      </ns0:c>
      <ns0:c r="D310" s="21" t="inlineStr">
        <ns0:is>
          <ns0:t>https://doi.org/10.1038/s41598-025-26307-3</ns0:t>
        </ns0:is>
      </ns0:c>
      <ns0:c r="E310" s="21" t="inlineStr">
        <ns0:is>
          <ns0:t>Supplied abstract/coding notes; no new full-text verification</ns0:t>
        </ns0:is>
      </ns0:c>
      <ns0:c r="F310" s="21" t="inlineStr">
        <ns0:is>
          <ns0:t>EVIDENCIA; original abstract/coding notes and lot source trace; Inherited scoped adjudication; see source level and lot caveats</ns0:t>
        </ns0:is>
      </ns0:c>
      <ns0:c r="G310" s="21" t="inlineStr">
        <ns0:is>
          <ns0:t>Emotion-video model linked to music therapy with reported pre/post evaluation in 182 families. Questionnaire outcomes are not additional AI inputs.
Reported uncontrolled pre/post study; it does not establish causal efficacy or external diagnostic validation.</ns0:t>
        </ns0:is>
      </ns0:c>
      <ns0:c r="H310" s="21" t="inlineStr">
        <ns0:is>
          <ns0:t>To address the long-standing challenges children with autism face in social skills and emotional regulation, this study introduces Emotion-based Music Intelligent Network (EmoMusik-Net)—a deep learning model designed for intelligent music therapy. The model focuses on emotional impairments exhibited during social interactions, integrating Transformer-based temporal modeling with a Transfer Learning-based Graph Convolutional Network (TL-GCN). This combination enables high-precision recognition of facial expression sequences and supports a dynamically adaptive, closed-loop mechanism for personalized music recommendation. EmoMusik-Net was trained and optimized using three publicly available emotional video datasets. A pre- and post-intervention study, conducted in collaboration with the families of 182 children with autism, employed questionnaire-based assessments to systematically evaluate the model’s real-world feasibility and effectiveness. Experimental results demonstrated that EmoMusik-Net achieved an emotion recognition accuracy above 0.970, an F1-score consistently over 0.960, and an Area Under the Curve (AUC) of 0.978. The model also showed outstanding robustness on large-scale datasets, with a stability score of 0.994, indicating strong classification performance and generalizability. In terms of intervention outcomes, boys aged 1–6 showed a marked increase in social interest scores, rising from 1.280 to 2.540—a 98.44% improvement. Girls aged 7–12 exhibited significant gains in emotional response scores, from 1.670 to 3.120—an 86.77% increase. Further statistical analysis using the Mixed-effects Model for Repeated Measures (MMRM) and bootstrap confidence interval estimation confirmed the intervention’s significance both statistically and clinically, with particularly strong effects observed in younger participants. Expert blind evaluations further validated the system’s effectiveness, showing high consistency in rhythm and emotion matching. The Intraclass Correlation Coefficient (ICC) ranged from 0.75 to 0.91, with matching accuracy surpassing 94% in certain subgroups. EmoMusik-Net not only addresses the current research gap in integrating intelligent emotion recognition with music-based interventions but also offers a responsive, technology-driven support tool for parents, educators, and clinicians. This approach holds strong potential to advance autism spectrum disorder interventions toward personalized, data-driven methodologies.</ns0:t>
        </ns0:is>
      </ns0:c>
      <ns0:c r="I310" s="21" t="inlineStr">
        <ns0:is>
          <ns0:t>To address the long-standing challenges children with autism face in social skills and emotional regulation, this study introduces Emotion-based Music Intelligent Network (EmoMusik-Net)—a deep learning model designed for intelligent music therapy. The model focuses on emotional impairments exhibited during social interactions, integrating Transformer-based temporal modeling with a Transfer Learning-based Graph Convolutional Network (TL-GCN). This</ns0:t>
        </ns0:is>
      </ns0:c>
      <ns0:c r="J310" s="21" t="inlineStr"/>
      <ns0:c r="K310" s="21" t="inlineStr">
        <ns0:is>
          <ns0:t>Texto abierto evaluable revisado; extracción RQ disponible.</ns0:t>
        </ns0:is>
      </ns0:c>
      <ns0:c r="L310" s="21" t="inlineStr">
        <ns0:is>
          <ns0:t>Not documented in provided sources</ns0:t>
        </ns0:is>
      </ns0:c>
      <ns0:c r="M310" s="21" t="inlineStr">
        <ns0:is>
          <ns0:t>[]</ns0:t>
        </ns0:is>
      </ns0:c>
    </ns0:row>
    <ns0:row r="311" ht="350" customHeight="1">
      <ns0:c r="A311" s="19" t="inlineStr">
        <ns0:is>
          <ns0:t>new_257</ns0:t>
        </ns0:is>
      </ns0:c>
      <ns0:c r="B311" s="19" t="inlineStr">
        <ns0:is>
          <ns0:t>The Use of the Social Robot LOVOT for Children with Autism Spectrum Disorder: A Feasibility Study</ns0:t>
        </ns0:is>
      </ns0:c>
      <ns0:c r="C311" s="19" t="inlineStr">
        <ns0:is>
          <ns0:t>10.3233/shti251499</ns0:t>
        </ns0:is>
      </ns0:c>
      <ns0:c r="D311" s="19" t="inlineStr">
        <ns0:is>
          <ns0:t>https://doi.org/10.3233/shti251499</ns0:t>
        </ns0:is>
      </ns0:c>
      <ns0:c r="E311" s="19" t="inlineStr">
        <ns0:is>
          <ns0:t>Supplied abstract/coding notes; no new full-text verification</ns0:t>
        </ns0:is>
      </ns0:c>
      <ns0:c r="F311" s="19" t="inlineStr">
        <ns0:is>
          <ns0:t>EVIDENCIA; original abstract/coding notes and lot source trace; Inherited scoped adjudication; see source level and lot caveats</ns0:t>
        </ns0:is>
      </ns0:c>
      <ns0:c r="G311" s="19" t="inlineStr">
        <ns0:is>
          <ns0:t>LOVOT interaction sessions tested in four ASD children; actual assistive use, but AI architecture and causal efficacy remain unspecified.</ns0:t>
        </ns0:is>
      </ns0:c>
      <ns0:c r="H311" s="19" t="inlineStr">
        <ns0:is>
          <ns0: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specializes in special education programs for children with ASD. The interactions between children with ASD and the social robot were tested in individual sessions twice per week for a total of four weeks. Four children with ASD between 9-14 years were included (n=4). A triangulation of data collection techniques was used: Participant observation (n = 15 hours), children's questionnaire (n = 4), and semi-structured interviews with staff (n = 3). Findings: Findings can be summarized as follows: Acceptance of the social robot, positive changes in mood and behavior of children with ASD, a secure relationship, technical and practical issues to overcome, and ethical considerations. Conclusion: The professional staff saw a potential for using the robot with AI functionalities as a pedagogical tool for children with ASD.</ns0:t>
        </ns0:is>
      </ns0:c>
      <ns0:c r="I311" s="19" t="inlineStr">
        <ns0:is>
          <ns0: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ns0:t>
        </ns0:is>
      </ns0:c>
      <ns0:c r="J311" s="19" t="inlineStr"/>
      <ns0:c r="K311" s="19" t="inlineStr">
        <ns0:is>
          <ns0:t>Texto abierto evaluable revisado; extracción RQ disponible.</ns0:t>
        </ns0:is>
      </ns0:c>
      <ns0:c r="L311" s="19" t="inlineStr">
        <ns0:is>
          <ns0:t>Not documented in provided sources</ns0:t>
        </ns0:is>
      </ns0:c>
      <ns0:c r="M311" s="19" t="inlineStr">
        <ns0:is>
          <ns0:t>[]</ns0:t>
        </ns0:is>
      </ns0:c>
    </ns0:row>
    <ns0:row r="312" ht="350" customHeight="1">
      <ns0:c r="A312" s="21" t="inlineStr">
        <ns0:is>
          <ns0:t>new_259</ns0:t>
        </ns0:is>
      </ns0:c>
      <ns0:c r="B312" s="21" t="inlineStr">
        <ns0:is>
          <ns0:t>Data-Driven and Explainable Discovery of Autism Spectrum Disorder Patterns Across Age Groups</ns0:t>
        </ns0:is>
      </ns0:c>
      <ns0:c r="C312" s="21" t="inlineStr">
        <ns0:is>
          <ns0:t>10.1155/hbe2/1923339</ns0:t>
        </ns0:is>
      </ns0:c>
      <ns0:c r="D312" s="21" t="inlineStr">
        <ns0:is>
          <ns0:t>https://doi.org/10.1155/hbe2/1923339</ns0:t>
        </ns0:is>
      </ns0:c>
      <ns0:c r="E312" s="21" t="inlineStr">
        <ns0:is>
          <ns0:t>Supplied abstract/coding notes; no new full-text verification</ns0:t>
        </ns0:is>
      </ns0:c>
      <ns0:c r="F312" s="21" t="inlineStr">
        <ns0:is>
          <ns0:t>EVIDENCIA; original abstract/coding notes and lot source trace; Inherited scoped adjudication; see source level and lot caveats</ns0:t>
        </ns0:is>
      </ns0:c>
      <ns0:c r="G312" s="21" t="inlineStr">
        <ns0:is>
          <ns0:t>Interpretable C4.5 screening-pattern analysis across age datasets; no workflow evaluation.</ns0:t>
        </ns0:is>
      </ns0:c>
      <ns0:c r="H312" s="21" t="inlineStr">
        <ns0:is>
          <ns0:t>Autism Spectrum Disorder (ASD) presents a complex and diverse challenge, with difficulties in social communication and restricted interests manifesting differently among children, adolescents and adults. The traditional ASD diagnosis is often time consuming and resource intensive, delaying access to crucial interventions. Early detection of ASD is vital, as it enables timely referral for comprehensive assessment and supports interventions during key developmental periods, greatly enhancing long-term outcomes. To address these challenges, this research presents three complementary studies examining ASD detection across children, adolescents and adults. Using the Autism Spectrum Quotient (AQ) short-form dataset encompassing behavioural, communication and self-reported indicators, each study applies decision tree machine learning models to identify behavioural screening patterns within each age group. Study 1 focuses on children, highlighting observable social and behavioural cues; Study 2 investigates adolescents, revealing transitional communication and self-awareness patterns; and Study 3 explores adults, emphasising subtle self-reported and behavioural markers. Across studies, interpretable models achieved strong classification accuracy while revealing developmental variations in ASD-related traits. Collectively, these findings enhance understanding of age-specific patterns in ASD expression, support earlier and more individualised screening and provide a foundation for designing tailored interventions that align with developmental milestones and improve overall care quality.</ns0:t>
        </ns0:is>
      </ns0:c>
      <ns0:c r="I312" s="21" t="inlineStr">
        <ns0:is>
          <ns0:t xml:space="preserve">Autism Spectrum Disorder (ASD) presents a complex and diverse challenge, with difficulties in social communication and restricted interests manifesting differently among children, adolescents and adults. The traditional ASD diagnosis is often time consuming and resource intensive, delaying access to crucial interventions. Early detection of ASD is vital, as it enables timely referral for comprehensive assessment and supports interventions during </ns0:t>
        </ns0:is>
      </ns0:c>
      <ns0:c r="J312" s="21" t="inlineStr"/>
      <ns0:c r="K312" s="21" t="inlineStr">
        <ns0:is>
          <ns0:t>Texto abierto evaluable revisado; extracción RQ disponible.</ns0:t>
        </ns0:is>
      </ns0:c>
      <ns0:c r="L312" s="21" t="inlineStr">
        <ns0:is>
          <ns0:t>Not documented in provided sources</ns0:t>
        </ns0:is>
      </ns0:c>
      <ns0:c r="M312" s="21" t="inlineStr">
        <ns0:is>
          <ns0:t>[]</ns0:t>
        </ns0:is>
      </ns0:c>
    </ns0:row>
    <ns0:row r="313" ht="350" customHeight="1">
      <ns0:c r="A313" s="19" t="inlineStr">
        <ns0:is>
          <ns0:t>new_261</ns0:t>
        </ns0:is>
      </ns0:c>
      <ns0:c r="B313" s="19" t="inlineStr">
        <ns0:is>
          <ns0:t>Artificial Intelligence Networks Combining Histopathology and Machine Learning Can Extract Axon Pathology in Autism Spectrum Disorder</ns0:t>
        </ns0:is>
      </ns0:c>
      <ns0:c r="C313" s="19" t="inlineStr">
        <ns0:is>
          <ns0:t>10.1002/aur.70135</ns0:t>
        </ns0:is>
      </ns0:c>
      <ns0:c r="D313" s="19" t="inlineStr">
        <ns0:is>
          <ns0:t>https://doi.org/10.1002/aur.70135</ns0:t>
        </ns0:is>
      </ns0:c>
      <ns0:c r="E313" s="19" t="inlineStr">
        <ns0:is>
          <ns0:t>Supplied abstract/coding notes; no new full-text verification</ns0:t>
        </ns0:is>
      </ns0:c>
      <ns0:c r="F313" s="19" t="inlineStr">
        <ns0:is>
          <ns0:t>EVIDENCIA; original abstract/coding notes and lot source trace; Inherited scoped adjudication; see source level and lot caveats</ns0:t>
        </ns0:is>
      </ns0:c>
      <ns0:c r="G313" s="19" t="inlineStr">
        <ns0:is>
          <ns0:t>Postmortem human histopathology image classification; tissue regions are not distinct acquired modalities.</ns0:t>
        </ns0:is>
      </ns0:c>
      <ns0:c r="H313" s="19" t="inlineStr">
        <ns0:is>
          <ns0:t>Axon features that underlie the structural and functional organization of cortical pathways have distinct patterns in the brains of neurotypical controls (CTR) compared to individuals with Autism Spectrum Disorder (ASD). However, detailed axon study demands labor-intensive surveys and time-consuming analysis of microscopic sections from postmortem human brain tissue, making it challenging to systematically examine large regions of the brain. To address these challenges, we developed an approach that uses machine learning to automatically classify microscopic sections from ASD and CTR brains, while also considering different white matter regions: superficial white matter (SWM), which contains a majority of axons that connect nearby cortical areas, and deep white matter (DWM), which is comprised exclusively of axons that participate in long-range pathways. The result was a deep neural network that can successfully classify the white matter below the anterior cingulate cortex (ACC) of ASD and CTR groups with 98% accuracy, while also distinguishing between DWM and SWM pathway composition with high average accuracy, up to 80%. Examination of image regions important for network classification and misclassification, through sensitivity maps, along with multidimensional scaling analysis, helped identify key pathological markers of ASD and highlighted the spectrum of ASD heterogeneity and overlaps with neurotypical characteristics. Large datasets that can be used to expand training, validation, and testing of this network have the potential to automate high-resolution microscopic analysis of postmortem brain tissue, so that it can be used to systematically study white matter across brain regions in health and disease.</ns0:t>
        </ns0:is>
      </ns0:c>
      <ns0:c r="I313" s="19" t="inlineStr">
        <ns0:is>
          <ns0:t>Axon features that underlie the structural and functional organization of cortical pathways have distinct patterns in the brains of neurotypical controls (CTR) compared to individuals with Autism Spectrum Disorder (ASD). However, detailed axon study demands labor-intensive surveys and time-consuming analysis of microscopic sections from postmortem human brain tissue, making it challenging to systematically examine large regions of the brain. To a</ns0:t>
        </ns0:is>
      </ns0:c>
      <ns0:c r="J313" s="19" t="inlineStr"/>
      <ns0:c r="K313" s="19" t="inlineStr">
        <ns0:is>
          <ns0:t>Texto abierto evaluable revisado; extracción RQ disponible.</ns0:t>
        </ns0:is>
      </ns0:c>
      <ns0:c r="L313" s="19" t="inlineStr">
        <ns0:is>
          <ns0:t>Not documented in provided sources</ns0:t>
        </ns0:is>
      </ns0:c>
      <ns0:c r="M313" s="19" t="inlineStr">
        <ns0:is>
          <ns0:t>[]</ns0:t>
        </ns0:is>
      </ns0:c>
    </ns0:row>
    <ns0:row r="314" ht="350" customHeight="1">
      <ns0:c r="A314" s="21" t="inlineStr">
        <ns0:is>
          <ns0:t>new_262</ns0:t>
        </ns0:is>
      </ns0:c>
      <ns0:c r="B314" s="21" t="inlineStr">
        <ns0:is>
          <ns0:t>Profiling Chinese children with symptoms of SpLD, ADHD, or ASD: a transdiagnostic and biopsychosocial study</ns0:t>
        </ns0:is>
      </ns0:c>
      <ns0:c r="C314" s="21" t="inlineStr">
        <ns0:is>
          <ns0:t>10.1186/s12888-025-07754-8</ns0:t>
        </ns0:is>
      </ns0:c>
      <ns0:c r="D314" s="21" t="inlineStr">
        <ns0:is>
          <ns0:t>https://doi.org/10.1186/s12888-025-07754-8</ns0:t>
        </ns0:is>
      </ns0:c>
      <ns0:c r="E314" s="21" t="inlineStr">
        <ns0:is>
          <ns0:t>Supplied abstract/coding notes; no new full-text verification</ns0:t>
        </ns0:is>
      </ns0:c>
      <ns0:c r="F314" s="21" t="inlineStr">
        <ns0:is>
          <ns0:t>EVIDENCIA; original abstract/coding notes and lot source trace; Inherited scoped adjudication; see source level and lot caveats</ns0:t>
        </ns0:is>
      </ns0:c>
      <ns0:c r="G314" s="21" t="inlineStr">
        <ns0:is>
          <ns0:t>Cognitive and psychosocial scores jointly define transdiagnostic child clusters; substantive ASD-related sample but not an operational diagnosis system.</ns0:t>
        </ns0:is>
      </ns0:c>
      <ns0:c r="H314" s="21" t="inlineStr">
        <ns0:is>
          <ns0: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Following the transdiagnostic approach and biopsychosocial model, this study aims to cluster and profile children with these symptoms via cognitive, psychological, and ecological factors, using an unsupervised machine learning algorithm. Methods: Based on parent-report checklists, 267 Chinese primary school children in Grades 1–4 with at least one type of NDD symptoms were identified (164 boys; age in months: M = 102, SD = 17.30) from a bigger dataset (N = 1,034). A typically developing (TD) control group was created and matched with the NDD group in terms of age, gender, nonverbal IQ, and family socioeconomic status (SES). By using exploratory and confirmatory analyses, executive functioning, visual processing, and linguistic skills were extracted as cognitive factors, while internalising problems, externalising problems, positive child-parent relationships, and negative child-parent relationships were extracted as psychological and ecological factors. Results: K-means clustering based on the seven extracted core factors identified five distinct clusters. Three clusters exhibited specific cognitive weaknesses, while the other two mainly showed psychosocial problems. Two severe-symptom groups (i.e., the Linguistic Difficulties group and the Psychosocial Difficulties group) also demonstrated worse academic and mental health outcomes. Conclusions: Our findings demonstrate the potential to focus on symptoms beyond diagnostic labels, as well as the inclusion of psychosocial factors alongside cognitive ones, thereby contributing to the design of more targeted and comprehensive support for children with special education needs and informing current inclusive education practice in China. Clinical trial number: Not applicable.</ns0:t>
        </ns0:is>
      </ns0:c>
      <ns0:c r="I314" s="21" t="inlineStr">
        <ns0:is>
          <ns0: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ns0:t>
        </ns0:is>
      </ns0:c>
      <ns0:c r="J314" s="21" t="inlineStr"/>
      <ns0:c r="K314" s="21" t="inlineStr">
        <ns0:is>
          <ns0:t>Texto abierto evaluable revisado; extracción RQ disponible.</ns0:t>
        </ns0:is>
      </ns0:c>
      <ns0:c r="L314" s="21" t="inlineStr">
        <ns0:is>
          <ns0:t>Not documented in provided sources</ns0:t>
        </ns0:is>
      </ns0:c>
      <ns0:c r="M314" s="21" t="inlineStr">
        <ns0:is>
          <ns0:t>[]</ns0:t>
        </ns0:is>
      </ns0:c>
    </ns0:row>
    <ns0:row r="315" ht="350" customHeight="1">
      <ns0:c r="A315" s="19" t="inlineStr">
        <ns0:is>
          <ns0:t>new_263</ns0:t>
        </ns0:is>
      </ns0:c>
      <ns0:c r="B315" s="19" t="inlineStr">
        <ns0:is>
          <ns0:t>Enhancing Psychological Assessments with Open-Ended Questionnaires and Large Language Models: An ASD Case Study</ns0:t>
        </ns0:is>
      </ns0:c>
      <ns0:c r="C315" s="19" t="inlineStr">
        <ns0:is>
          <ns0:t>10.1109/jbhi.2025.3599643</ns0:t>
        </ns0:is>
      </ns0:c>
      <ns0:c r="D315" s="19" t="inlineStr">
        <ns0:is>
          <ns0:t>https://doi.org/10.1109/jbhi.2025.3599643</ns0:t>
        </ns0:is>
      </ns0:c>
      <ns0:c r="E315" s="19" t="inlineStr">
        <ns0:is>
          <ns0:t>Supplied abstract/coding notes; no new full-text verification</ns0:t>
        </ns0:is>
      </ns0:c>
      <ns0:c r="F315" s="19" t="inlineStr">
        <ns0:is>
          <ns0:t>EVIDENCIA; original abstract/coding notes and lot source trace; Inherited scoped adjudication; see source level and lot caveats</ns0:t>
        </ns0:is>
      </ns0:c>
      <ns0:c r="G315" s="19" t="inlineStr">
        <ns0:is>
          <ns0:t>Open-ended questionnaire responses are free text; model/embedding comparisons and interpretability, not closed-item tabular input.</ns0:t>
        </ns0:is>
      </ns0:c>
      <ns0:c r="H315" s="19" t="inlineStr">
        <ns0:is>
          <ns0:t>Open-ended questionnaires allow respondents to express freely, capturing richer information than close-ended formats, but they are harder to analyze. Recent natural language processing advancements enable automatic assessment of open-ended responses, yet its use in psychological classification is underexplored. This study proposes a methodology using pre-trained large language models (LLMs) for automatic classification of open-ended questionnaires, applied to autism spectrum disorder (ASD) classification via parental reports. We compare multiple training strategies using transcribed responses from 51 parents (26 with typically developing children, 25 with ASD), exploring variations in model fine-tuning, input representation, and specificity. Subject-level predictions are derived by aggregating 12 individual question responses. Our best approach achieved 84% subject-wise accuracy and 1.0 ROC-AUC using an OpenAI embedding model, per-question training, including questions in the input, and combining the predictions with a voting system. In addition, a zero-shot evaluation using GPT-4o was conducted, yielding comparable results, underscoring the potential of both compact, local models and large out-of-the-box LLMs. To enhance transparency, we explored interpretability methods. Proprietary LLMs like GPT-4o offered no direct explanation, and OpenAI embedding models showed limited interpretability. However, locally deployable LLMs provided the highest interpretability. This highlights a trade-off between proprietary models' performance and local models' explainability. Our findings validate LLMs for automatically classifying open-ended questionnaires, offering a scalable, cost-effective complement for ASD assessment. These results suggest broader applicability for psychological analysis of other conditions, advancing LLM use in mental health research.</ns0:t>
        </ns0:is>
      </ns0:c>
      <ns0:c r="I315" s="19" t="inlineStr">
        <ns0:is>
          <ns0:t>Open-ended questionnaires allow respondents to express freely, capturing richer information than close-ended formats, but they are harder to analyze. Recent natural language processing advancements enable automatic assessment of open-ended responses, yet its use in psychological classification is underexplored. This study proposes a methodology using pre-trained large language models (LLMs) for automatic classification of open-ended questionnaire</ns0:t>
        </ns0:is>
      </ns0:c>
      <ns0:c r="J315" s="19" t="inlineStr"/>
      <ns0:c r="K315" s="19" t="inlineStr">
        <ns0:is>
          <ns0:t>Texto abierto evaluable revisado; extracción RQ disponible.</ns0:t>
        </ns0:is>
      </ns0:c>
      <ns0:c r="L315" s="19" t="inlineStr">
        <ns0:is>
          <ns0:t>Not documented in provided sources</ns0:t>
        </ns0:is>
      </ns0:c>
      <ns0:c r="M315" s="19" t="inlineStr">
        <ns0:is>
          <ns0:t>[]</ns0:t>
        </ns0:is>
      </ns0:c>
    </ns0:row>
    <ns0:row r="316" ht="350" customHeight="1">
      <ns0:c r="A316" s="21" t="inlineStr">
        <ns0:is>
          <ns0:t>new_268</ns0:t>
        </ns0:is>
      </ns0:c>
      <ns0:c r="B316" s="21" t="inlineStr">
        <ns0:is>
          <ns0:t>Compact subsets of autism screening items predict clinical diagnoses with a machine learning analysis of the QCHAT-10</ns0:t>
        </ns0:is>
      </ns0:c>
      <ns0:c r="C316" s="21" t="inlineStr">
        <ns0:is>
          <ns0:t>10.1038/s41598-025-26131-9</ns0:t>
        </ns0:is>
      </ns0:c>
      <ns0:c r="D316" s="21" t="inlineStr">
        <ns0:is>
          <ns0:t>https://doi.org/10.1038/s41598-025-26131-9</ns0:t>
        </ns0:is>
      </ns0:c>
      <ns0:c r="E316" s="21" t="inlineStr">
        <ns0:is>
          <ns0:t>Supplied abstract/coding notes; no new full-text verification</ns0:t>
        </ns0:is>
      </ns0:c>
      <ns0:c r="F316" s="21" t="inlineStr">
        <ns0:is>
          <ns0:t>EVIDENCIA; original abstract/coding notes and lot source trace; Inherited scoped adjudication; see source level and lot caveats</ns0:t>
        </ns0:is>
      </ns0:c>
      <ns0:c r="G316" s="21" t="inlineStr">
        <ns0:is>
          <ns0:t>QCHAT models trained in New Zealand/Saudi Arabia are explicitly tested on independent Polish clinical diagnoses; genuine cross-setting evaluation.</ns0:t>
        </ns0:is>
      </ns0:c>
      <ns0:c r="H316" s="21" t="inlineStr">
        <ns0:is>
          <ns0:t>Early identification improves life outcomes for individuals with autism. This study addresses a central question: do compact subsets of the most predictive QCHAT-10 items, when fed into machine learning (ML) models trained to reproduce the full questionnaire’s screening result, generalize to predicting clinician-established autism diagnoses in independent clinical settings? We applied ML to the 10-question QCHAT-10, training models on New Zealand (n = 1054) and Saudi Arabian (n = 506) datasets with QCHAT-derived labels and testing on Polish data with clinical diagnoses (n = 252). Recursive Feature Elimination identified four-item models retaining three common features: eye contact, following gaze direction, and pretend play. When tested on clinically-diagnosed Polish cases at the 0.3 prediction threshold, the New Zealand model achieved an AUROC of 85% ± 13 (sensitivity 91%, specificity 50%), while the Saudi model reached 87% ± 11 (sensitivity 84%, specificity 80%), compared to the Polish four-item model’s cross-validation AUROC of 91% ± 5. These findings demonstrate partial transfer from the prediction of assessment scores to clinical diagnosis. The convergence on eye contact, gaze following, and pretend play suggests these behaviors represent robust autism risk markers. Compact assessment tools offer advantages, including reduced burden, shortened administration, and simplified deployment, with direct applications for targeted digital phenotyping.</ns0:t>
        </ns0:is>
      </ns0:c>
      <ns0:c r="I316" s="21" t="inlineStr">
        <ns0:is>
          <ns0:t>Early identification improves life outcomes for individuals with autism. This study addresses a central question: do compact subsets of the most predictive QCHAT-10 items, when fed into machine learning (ML) models trained to reproduce the full questionnaire’s screening result, generalize to predicting clinician-established autism diagnoses in independent clinical settings? We applied ML to the 10-question QCHAT-10, training models on New Zealand</ns0:t>
        </ns0:is>
      </ns0:c>
      <ns0:c r="J316" s="21" t="inlineStr"/>
      <ns0:c r="K316" s="21" t="inlineStr">
        <ns0:is>
          <ns0:t>Texto abierto evaluable revisado; extracción RQ disponible.</ns0:t>
        </ns0:is>
      </ns0:c>
      <ns0:c r="L316" s="21" t="inlineStr">
        <ns0:is>
          <ns0:t>Not documented in provided sources</ns0:t>
        </ns0:is>
      </ns0:c>
      <ns0:c r="M316" s="21" t="inlineStr">
        <ns0:is>
          <ns0:t>[]</ns0:t>
        </ns0:is>
      </ns0:c>
    </ns0:row>
    <ns0:row r="317" ht="350" customHeight="1">
      <ns0:c r="A317" s="19" t="inlineStr">
        <ns0:is>
          <ns0:t>new_288</ns0:t>
        </ns0:is>
      </ns0:c>
      <ns0:c r="B317" s="19" t="inlineStr">
        <ns0:is>
          <ns0:t>Nonparametric motion control in functional connectivity studies in children with autism spectrum disorder</ns0:t>
        </ns0:is>
      </ns0:c>
      <ns0:c r="C317" s="19" t="inlineStr">
        <ns0:is>
          <ns0:t>10.1093/biomtc/ujag099</ns0:t>
        </ns0:is>
      </ns0:c>
      <ns0:c r="D317" s="19" t="inlineStr">
        <ns0:is>
          <ns0:t>https://doi.org/10.1093/biomtc/ujag099</ns0:t>
        </ns0:is>
      </ns0:c>
      <ns0:c r="E317" s="19" t="inlineStr">
        <ns0:is>
          <ns0:t>Supplied abstract/coding notes; no new full-text verification</ns0:t>
        </ns0:is>
      </ns0:c>
      <ns0:c r="F317" s="19" t="inlineStr">
        <ns0:is>
          <ns0:t>EVIDENCIA; original abstract/coding notes and lot source trace; Inherited scoped adjudication; see source level and lot caveats</ns0:t>
        </ns0:is>
      </ns0:c>
      <ns0:c r="G317" s="19" t="inlineStr">
        <ns0:is>
          <ns0:t>Motion-adjusted functional-connectivity estimation; methodological research, not direct clinical prediction or generic cross-site robustness.</ns0:t>
        </ns0:is>
      </ns0:c>
      <ns0:c r="H317" s="19" t="inlineStr">
        <ns0:is>
          <ns0:t>Autism spectrum disorder (ASD) is a neurodevelopmental condition associated with difficulties with social interactions, communication, and restricted or repetitive behaviors. To characterize ASD, investigators often use functional connectivity derived from resting-state functional magnetic resonance imaging of the brain. However, participants’ head motion during the scanning session can induce motion artifacts. Many studies remove participants with excessive motion and then estimate the effect of diagnosis on functional connectivity using linear regression. However, participant exclusions and linearity assumptions can cause biases. We propose an estimand that quantifies the difference in average functional connectivity in autistic and non-ASD children while standardizing motion relative to the low motion distribution in scans that pass motion quality control. We introduce a nonparametric estimator for motion control, called Motion Controlled (MoCo), that uses all participants and flexibly models the impacts of motion and other relevant features using an ensemble of machine learning methods. We establish large-sample efficiency and multiple robustness of our proposed estimator. The framework is applied to estimate the difference in functional connectivity between 132 autistic and 245 non-ASD children, of which 34 and 126 pass motion quality control, respectively. MoCo appears to dramatically reduce motion artifacts compared to a standard approach with no participant removal, while more efficiently utilizing participant data and accounting for possible selection biases compared to participant removal.</ns0:t>
        </ns0:is>
      </ns0:c>
      <ns0:c r="I317" s="19" t="inlineStr">
        <ns0:is>
          <ns0:t>Autism spectrum disorder (ASD) is a neurodevelopmental condition associated with difficulties with social interactions, communication, and restricted or repetitive behaviors. To characterize ASD, investigators often use functional connectivity derived from resting-state functional magnetic resonance imaging of the brain. However, participants’ head motion during the scanning session can induce motion artifacts. Many studies remove participants wi</ns0:t>
        </ns0:is>
      </ns0:c>
      <ns0:c r="J317" s="19" t="inlineStr"/>
      <ns0:c r="K317" s="19" t="inlineStr">
        <ns0:is>
          <ns0:t>Texto abierto evaluable revisado; extracción RQ disponible.</ns0:t>
        </ns0:is>
      </ns0:c>
      <ns0:c r="L317" s="19" t="inlineStr">
        <ns0:is>
          <ns0:t>Not documented in provided sources</ns0:t>
        </ns0:is>
      </ns0:c>
      <ns0:c r="M317" s="19" t="inlineStr">
        <ns0:is>
          <ns0:t>[]</ns0:t>
        </ns0:is>
      </ns0:c>
    </ns0:row>
    <ns0:row r="318" ht="350" customHeight="1">
      <ns0:c r="A318" s="21" t="inlineStr">
        <ns0:is>
          <ns0:t>new_305</ns0:t>
        </ns0:is>
      </ns0:c>
      <ns0:c r="B318" s="21" t="inlineStr">
        <ns0:is>
          <ns0:t>Integrating Multimodal Neuroimaging and Physical-Health Markers for Autism Spectrum Disorder in the ABCD Study</ns0:t>
        </ns0:is>
      </ns0:c>
      <ns0:c r="C318" s="21" t="inlineStr">
        <ns0:is>
          <ns0:t>10.31083/jin48212</ns0:t>
        </ns0:is>
      </ns0:c>
      <ns0:c r="D318" s="21" t="inlineStr">
        <ns0:is>
          <ns0:t>https://doi.org/10.31083/jin48212</ns0:t>
        </ns0:is>
      </ns0:c>
      <ns0:c r="E318" s="21" t="inlineStr">
        <ns0:is>
          <ns0:t>Supplied abstract/coding notes; no new full-text verification</ns0:t>
        </ns0:is>
      </ns0:c>
      <ns0:c r="F318" s="21" t="inlineStr">
        <ns0:is>
          <ns0:t>EVIDENCIA; original abstract/coding notes and lot source trace; Inherited scoped adjudication; see source level and lot caveats</ns0:t>
        </ns0:is>
      </ns0:c>
      <ns0:c r="G318" s="21" t="inlineStr">
        <ns0:is>
          <ns0:t>Multimodal MRI combined with physical-health markers from ABCD; stratified internal cross-validation.</ns0:t>
        </ns0:is>
      </ns0:c>
      <ns0:c r="H318" s="21" t="inlineStr">
        <ns0:is>
          <ns0:t>Background: Autism Spectrum Disorder (ASD) is a complex neurodevelopmental condition characterized by diverse presentations, which complicates the identification of consistent biological markers. This study examined whether integrating multimodal neuroimaging and physical-health measures from a population-based cohort can improve ASD classification and reveal interpretable markers that reflect both clinical and community variation. Methods: Data were drawn from the Adolescent Brain Cognitive Development (ABCD) Study, a large community-based cohort of adolescents recruited from the general population. Participants with and without ASD were selected from this cohort, allowing contrasts that reflect natural variability across individuals. Structural, diffusion, and resting-state functional magnetic resonance imaging (MRI) data were integrated with physical-health markers, including sleep, growth, and early development. Propensity-score matching created demographically balanced groups, and multimodal machine learning models were evaluated through stratified cross-validation. Results: The multimodal integration of brain and physical-health markers outperformed single-modality models (area under the receiver operating characteristic curve [AUC-ROC]=0.68, 95% confidence interval [CI]: 0.62– 0.73; area under the precision-recall curve [AUC-PR]=0.66, 95% CI: 0.60–0.73). Among physical-health markers, sleep function contributed most strongly to ASD classification, while neuroimaging predictors included cortical thickness in the right superior temporal gyrus and connectivity between the cingulo-opercular and default mode networks. These findings indicate that integrating modalities capturing both neural and physiological systems provides complementary information for identifying ASD-related differences within a population-based framework. Conclusions: This study provides a proof of concept that combining multimodal MRI and physical-health data within a large, demographically representative cohort can enhance ASD classification and yield biologically interpretable features. The population-based design situates these findings within a community context and offers a preliminary framework for integrating neural and physiological measures in future large-scale studies of neurodevelopmental diversity.</ns0:t>
        </ns0:is>
      </ns0:c>
      <ns0:c r="I318" s="21" t="inlineStr">
        <ns0:is>
          <ns0:t xml:space="preserve">Background: Autism Spectrum Disorder (ASD) is a complex neurodevelopmental condition characterized by diverse presentations, which complicates the identification of consistent biological markers. This study examined whether integrating multimodal neuroimaging and physical-health measures from a population-based cohort can improve ASD classification and reveal interpretable markers that reflect both clinical and community variation. Methods: Data </ns0:t>
        </ns0:is>
      </ns0:c>
      <ns0:c r="J318" s="21" t="inlineStr"/>
      <ns0:c r="K318" s="21" t="inlineStr">
        <ns0:is>
          <ns0:t>Texto abierto evaluable revisado; extracción RQ disponible.</ns0:t>
        </ns0:is>
      </ns0:c>
      <ns0:c r="L318" s="21" t="inlineStr">
        <ns0:is>
          <ns0:t>Not documented in provided sources</ns0:t>
        </ns0:is>
      </ns0:c>
      <ns0:c r="M318" s="21" t="inlineStr">
        <ns0:is>
          <ns0:t>[]</ns0:t>
        </ns0:is>
      </ns0:c>
    </ns0:row>
    <ns0:row r="319" ht="350" customHeight="1">
      <ns0:c r="A319" s="19" t="inlineStr">
        <ns0:is>
          <ns0:t>new_307</ns0:t>
        </ns0:is>
      </ns0:c>
      <ns0:c r="B319" s="19" t="inlineStr">
        <ns0:is>
          <ns0:t>Spatial structure based deep feature fusion network for autism spectrum disorder classification</ns0:t>
        </ns0:is>
      </ns0:c>
      <ns0:c r="C319" s="19" t="inlineStr">
        <ns0:is>
          <ns0:t>10.1038/s41598-026-48562-8</ns0:t>
        </ns0:is>
      </ns0:c>
      <ns0:c r="D319" s="19" t="inlineStr">
        <ns0:is>
          <ns0:t>https://doi.org/10.1038/s41598-026-48562-8</ns0:t>
        </ns0:is>
      </ns0:c>
      <ns0:c r="E319" s="19" t="inlineStr">
        <ns0:is>
          <ns0:t>Supplied abstract/coding notes; no new full-text verification</ns0:t>
        </ns0:is>
      </ns0:c>
      <ns0:c r="F319" s="19" t="inlineStr">
        <ns0:is>
          <ns0:t>EVIDENCIA; original abstract/coding notes and lot source trace; Inherited scoped adjudication; see source level and lot caveats</ns0:t>
        </ns0:is>
      </ns0:c>
      <ns0:c r="G319" s="19" t="inlineStr">
        <ns0:is>
          <ns0:t>EEG spatial/functional features from a single signal; two datasets evaluated, but external transfer design not established in available evidence.
Sheffield and KAU benchmark evaluations; train-on-one/test-on-the-other not established by abstract</ns0:t>
        </ns0:is>
      </ns0:c>
      <ns0:c r="H319" s="19" t="inlineStr">
        <ns0:is>
          <ns0:t>Autism spectrum disorder (ASD) is a neuro-developmental disorder that has serious impact on person’s social interaction, communication, and behavior. Non intrusive detection through analysis of electroencephalogram (EEG) signals with deep learning techniques has been the prominent area of research in ASD diagnosis. The current deep learning techniques processed EEG signals without considering their spatial structure. They treat EEG features as independent or grid-like sequences, ignoring the non-Euclidean structure of brain connectivity. As the result, the features do not capture the intricate relationship between signals obtained from multiple electrodes considering both spatial and long term temporal dependencies. To solve this problem, this work proposes a spatial structure based feature fusion network (SSFFN) which considers two attributes of spatial proximity and functional connectivity to capture local and long range interactions between brain regions as fused features. These fused features are used for ASD classification using long short term (LSTM) predictor considering the long term temporal dependencies. Experimental analysis of proposed solution against Sheffield dataset and KAU dataset showed a 1% higher accuracy and 4.4% higher recall compared to most recent time frequency synergy networks.</ns0:t>
        </ns0:is>
      </ns0:c>
      <ns0:c r="I319" s="19" t="inlineStr">
        <ns0:is>
          <ns0:t>Autism spectrum disorder (ASD) is a neuro-developmental disorder that has serious impact on person’s social interaction, communication, and behavior. Non intrusive detection through analysis of electroencephalogram (EEG) signals with deep learning techniques has been the prominent area of research in ASD diagnosis. The current deep learning techniques processed EEG signals without considering their spatial structure. They treat EEG features as in</ns0:t>
        </ns0:is>
      </ns0:c>
      <ns0:c r="J319" s="19" t="inlineStr"/>
      <ns0:c r="K319" s="19" t="inlineStr">
        <ns0:is>
          <ns0:t>Texto abierto evaluable revisado; extracción RQ disponible.</ns0:t>
        </ns0:is>
      </ns0:c>
      <ns0:c r="L319" s="19" t="inlineStr">
        <ns0:is>
          <ns0:t>Not documented in provided sources</ns0:t>
        </ns0:is>
      </ns0:c>
      <ns0:c r="M319" s="19" t="inlineStr">
        <ns0:is>
          <ns0:t>[]</ns0:t>
        </ns0:is>
      </ns0:c>
    </ns0:row>
    <ns0:row r="320" ht="350" customHeight="1">
      <ns0:c r="A320" s="21" t="inlineStr">
        <ns0:is>
          <ns0:t>new_313</ns0:t>
        </ns0:is>
      </ns0:c>
      <ns0:c r="B320" s="21" t="inlineStr">
        <ns0:is>
          <ns0:t>Metaheuristic hyperparameter optimization of deep neural networks for demographic-aware autism spectrum disorder classification.</ns0:t>
        </ns0:is>
      </ns0:c>
      <ns0:c r="C320" s="21" t="inlineStr">
        <ns0:is>
          <ns0:t>10.1038/s41598-026-58789-0</ns0:t>
        </ns0:is>
      </ns0:c>
      <ns0:c r="D320" s="21" t="inlineStr">
        <ns0:is>
          <ns0:t>https://doi.org/10.1038/s41598-026-58789-0</ns0:t>
        </ns0:is>
      </ns0:c>
      <ns0:c r="E320" s="21" t="inlineStr">
        <ns0:is>
          <ns0:t>Supplied abstract/coding notes; no new full-text verification</ns0:t>
        </ns0:is>
      </ns0:c>
      <ns0:c r="F320" s="21" t="inlineStr">
        <ns0:is>
          <ns0:t>EVIDENCIA; original abstract/coding notes and lot source trace; Inherited scoped adjudication; see source level and lot caveats</ns0:t>
        </ns0:is>
      </ns0:c>
      <ns0:c r="G320" s="21" t="inlineStr">
        <ns0:is>
          <ns0:t>Demographic-aware sMRI CNNs with internal five-fold validation; independent-data evaluation explicitly left for future work.</ns0:t>
        </ns0:is>
      </ns0:c>
      <ns0:c r="H320" s="21" t="inlineStr">
        <ns0:is>
          <ns0:t>Autism Spectrum Disorder (ASD) classification from neuroimaging data poses significant challenges due to high data heterogeneity and the complexity of learning robust representations across demographic subgroups. While recent deep learning approaches have shown promise, most existing studies rely on binary classification and limited model tuning strategies, overlooking demographic variability and the role of systematic optimization in model design. To address these challenges, this study formulates demographic-aware ASD classification as an optimization-driven learning problem and proposes a deep learning framework based on structural MRI (sMRI) data. The proposed framework employs three customized Convolutional Neural Network (CNN) models targeting gender-based classification, age-group-based classification, and joint age-gender classification using an octal class structure. Model architecture and training hyperparameters are automatically optimized using the Optimized Artificial Bee Colony (OptABC) algorithm, enabling task-specific adaptation without manual tuning. A dedicated preprocessing pipeline incorporating structural localization and controlled data augmentation is applied to improve robustness across heterogeneous imaging sites. All models are evaluated using five-fold cross-validation on the multi-site ABIDE dataset. Experimental results demonstrate that the proposed optimization-driven framework achieves accuracies of 84.25%, 88.07%, and 71.58% for gender-based, age-based, and joint age-gender classification tasks, respectively, yielding competitive performance relative to widely used pre-trained transfer learning models under comparable experimental settings. The results further indicate that age-aware modeling offers stronger discriminative capability than gender-based classification, while joint demographic stratification introduces increased task complexity due to finer class granularity. Overall, the findings highlight the effectiveness of metaheuristic optimization for enhancing deep learning models in complex, demographic-aware neuroimaging classification tasks. Further evaluation on independent datasets is planned to assess robustness across broader settings.</ns0:t>
        </ns0:is>
      </ns0:c>
      <ns0:c r="I320" s="21" t="inlineStr">
        <ns0:is>
          <ns0:t>Autism Spectrum Disorder (ASD) classification from neuroimaging data poses significant challenges due to high data heterogeneity and the complexity of learning robust representations across demographic subgroups. While recent deep learning approaches have shown promise, most existing studies rely on binary classification and limited model tuning strategies, overlooking demographic variability and the role of systematic optimization in model desig</ns0:t>
        </ns0:is>
      </ns0:c>
      <ns0:c r="J320" s="21" t="inlineStr"/>
      <ns0:c r="K320" s="21" t="inlineStr">
        <ns0:is>
          <ns0:t>Texto abierto evaluable revisado; extracción RQ disponible.</ns0:t>
        </ns0:is>
      </ns0:c>
      <ns0:c r="L320" s="21" t="inlineStr">
        <ns0:is>
          <ns0:t>Not documented in provided sources</ns0:t>
        </ns0:is>
      </ns0:c>
      <ns0:c r="M320" s="21" t="inlineStr">
        <ns0:is>
          <ns0:t>[]</ns0:t>
        </ns0:is>
      </ns0:c>
    </ns0:row>
    <ns0:row r="321" ht="350" customHeight="1">
      <ns0:c r="A321" s="19" t="inlineStr">
        <ns0:is>
          <ns0:t>new_321</ns0:t>
        </ns0:is>
      </ns0:c>
      <ns0:c r="B321" s="19" t="inlineStr">
        <ns0:is>
          <ns0:t>Bridging the gap: explainable ai for autism diagnosis and parental support with TabPFNMix and SHAP</ns0:t>
        </ns0:is>
      </ns0:c>
      <ns0:c r="C321" s="19" t="inlineStr">
        <ns0:is>
          <ns0:t>10.1038/s41598-025-24662-9</ns0:t>
        </ns0:is>
      </ns0:c>
      <ns0:c r="D321" s="19" t="inlineStr">
        <ns0:is>
          <ns0:t>https://www.nature.com/articles/s41598-025-24662-9</ns0:t>
        </ns0:is>
      </ns0:c>
      <ns0:c r="E321" s="19" t="inlineStr">
        <ns0:is>
          <ns0:t>Publisher integrity notice</ns0:t>
        </ns0:is>
      </ns0:c>
      <ns0:c r="F321" s="19" t="inlineStr">
        <ns0:is>
          <ns0:t>Publisher banner and change history, 5 December 2025</ns0:t>
        </ns0:is>
      </ns0:c>
      <ns0:c r="G321" s="19" t="inlineStr">
        <ns0:is>
          <ns0:t>Publisher labels the original article retracted on 2025-12-05; retraction DOI 10.1038/s41598-025-31337-y.</ns0:t>
        </ns0:is>
      </ns0:c>
      <ns0:c r="H321" s="19" t="inlineStr">
        <ns0:is>
          <ns0:t>Autism Spectrum Disorder (ASD) is a complex neurodevelopmental condition that affects a growing number of individuals worldwide. Despite extensive research, the underlying causes of ASD remain largely unknown, with genetic predisposition, parental history, and environmental influences identified as potential risk factors. Diagnosing ASD remains challenging due to its highly variable presentation and overlap with other neurodevelopmental disorders. Early and accurate diagnosis is crucial for timely intervention, which can significantly improve developmental outcomes and parental support. This work presents a novel artificial intelligence (AI) and explainable AI (XAI)-based framework to enhance ASD diagnosis and provide interpretable insights for medical professionals and caregivers. The proposed framework leverages advanced classification models, specifically the TabPFNMix regressor, which is optimized for structured medical datasets. Unlike traditional machine learning methods, TabPFNMix demonstrates superior performance in capturing complex ASD-related patterns. To address the black-box nature of AI models, Shapley Additive Explanations (SHAP) is integrated to provide transparent and interpretable reasoning behind the model’s decisions, ensuring better understanding for clinicians and caregivers. Extensive experiments were conducted using a publicly available benchmark dataset, with performance evaluated through standard metrics such as accuracy, precision, recall, F1-score, and AUC-ROC. Comparative analysis with baseline models, including Random Forest, XGBoost, Support Vector Machine (SVM), and Deep Neural Networks (DNNs), demonstrates that TabPFNMix achieves the highest accuracy (91.5%), surpassing XGBoost (87.3%) by 4.2 percentage points. Additionally, it attains superior recall (92.7%), precision (90.2%), F1-score (91.4%), and AUC-ROC (94.3%), ensuring both high diagnostic accuracy and robustness in real-world ASD screening. An ablation study highlights the significance of feature selection and preprocessing, revealing that omitting key features or preprocessing steps (such as normalization and missing data imputation) significantly degrades performance. Furthermore, SHAP-based feature importance analysis identifies social responsiveness scores, repetitive behavior scales, and parental age at birth as the most influential factors in ASD diagnosis. These insights align with medical literature, reinforcing the reliability of the model’s predictions and its applicability in clinical settings.</ns0:t>
        </ns0:is>
      </ns0:c>
      <ns0:c r="I321" s="19" t="inlineStr">
        <ns0:is>
          <ns0:t>Autism Spectrum Disorder (ASD) is a complex neurodevelopmental condition that affects a growing number of individuals worldwide. Despite extensive research, the underlying causes of ASD remain largely unknown, with genetic predisposition, parental history, and environmental influences identified as potential risk factors. Diagnosing ASD remains challenging due to its highly variable presentation and overlap with other neurodevelopmental disorders</ns0:t>
        </ns0:is>
      </ns0:c>
      <ns0:c r="J321" s="19" t="inlineStr"/>
      <ns0:c r="K321" s="19" t="inlineStr">
        <ns0:is>
          <ns0:t>Texto abierto evaluable revisado; extracción RQ disponible.</ns0:t>
        </ns0:is>
      </ns0:c>
      <ns0:c r="L321" s="19" t="inlineStr">
        <ns0:is>
          <ns0:t>Not documented in provided sources</ns0:t>
        </ns0:is>
      </ns0:c>
      <ns0:c r="M321" s="19" t="inlineStr">
        <ns0:is>
          <ns0:t>[{"url": "https://www.nature.com/articles/s41598-025-24662-9", "locator": "Publisher banner and change history, 5 December 2025", "assessment": "Retraction explicitly verified; exclude from all analytical estimates.", "level": "Publisher integrity notice", "date": "2026-09-08", "assessor": "ChatGPT-assisted source verification; not independent human review"}]</ns0:t>
        </ns0:is>
      </ns0:c>
    </ns0:row>
    <ns0:row r="322" ht="350" customHeight="1">
      <ns0:c r="A322" s="21" t="inlineStr">
        <ns0:is>
          <ns0:t>new_331</ns0:t>
        </ns0:is>
      </ns0:c>
      <ns0:c r="B322" s="21" t="inlineStr">
        <ns0:is>
          <ns0:t>Hybrid deep learning and feature selection approach for autism detection from rs-fMRI data</ns0:t>
        </ns0:is>
      </ns0:c>
      <ns0:c r="C322" s="21" t="inlineStr">
        <ns0:is>
          <ns0:t>10.1371/journal.pone.0339921</ns0:t>
        </ns0:is>
      </ns0:c>
      <ns0:c r="D322" s="21" t="inlineStr">
        <ns0:is>
          <ns0:t>https://journals.plos.org/plosone/article?id=10.1371/journal.pone.0354652</ns0:t>
        </ns0:is>
      </ns0:c>
      <ns0:c r="E322" s="21" t="inlineStr">
        <ns0:is>
          <ns0:t>Primary publisher integrity notice</ns0:t>
        </ns0:is>
      </ns0:c>
      <ns0:c r="F322" s="21" t="inlineStr">
        <ns0:is>
          <ns0:t>Retraction notice, 27 July 2026; original article in reference 1</ns0:t>
        </ns0:is>
      </ns0:c>
      <ns0:c r="G322" s="21" t="inlineStr">
        <ns0:is>
          <ns0:t>The PLOS One Editors retracted the original DOI 10.1371/journal.pone.0339921 on 27 July 2026 over result reliability and policy concerns. This is a primary notice, not a title-based integrity suspicion.</ns0:t>
        </ns0:is>
      </ns0:c>
      <ns0:c r="H322" s="21" t="inlineStr">
        <ns0:is>
          <ns0:t>Autism Spectrum Disorder (ASD) is a neurodevelopmental condition that is primarily characterized by deficits in social communication and restricted or repetitive behavioral patterns. Although psychologists contribute significantly to the understanding of ASD, offering insights into its cognitive, emotional, and behavioral dimensions through assessments, diagnoses, therapeutic approaches, and family support, the diagnostic process remains complex. This complexity arises from the diverse manifestations of the disorder and the challenges associated with data sharing. In addition, conventional machine learning approaches for ASD detection may struggle with high-dimensional neuroimaging data and may require careful feature engineering. Consequently, this motivated us to enhance ASD diagnosis by incorporating deep learning (DL) techniques for feature extraction alongside a modified exponential-trigonometric optimization (ETO) algorithm as a feature selection (FS) technique. The modified ETO integrates the Arithmetic Optimization Algorithm (AOA) and the Guided Learning Strategy (GLS) to improve diagnostic performance. To evaluate the effectiveness of the proposed model, we utilized resting-state functional MRI (rs-fMRI) data from the Autism Brain Imaging Data Exchange (ABIDE I). Furthermore, the performance of the proposed model was compared with that of established models. The results indicate that the proposed model achieves competitive and, in most cases, superior performance compared with the benchmark methods, demonstrating superior accuracy, sensitivity, and AUC in diagnosing ASD. On average across the three atlas-based feature sets, the proposed model has an accuracy, sensitivity, and AUC of 73%, 78%, and 79%, respectively.</ns0:t>
        </ns0:is>
      </ns0:c>
      <ns0:c r="I322" s="21" t="inlineStr">
        <ns0:is>
          <ns0:t>Autism Spectrum Disorder (ASD) is a neurodevelopmental condition that is primarily characterized by deficits in social communication and restricted or repetitive behavioral patterns. Although psychologists contribute significantly to the understanding of ASD, offering insights into its cognitive, emotional, and behavioral dimensions through assessments, diagnoses, therapeutic approaches, and family support, the diagnostic process remains complex.</ns0:t>
        </ns0:is>
      </ns0:c>
      <ns0:c r="J322" s="21" t="inlineStr"/>
      <ns0:c r="K322" s="21" t="inlineStr">
        <ns0:is>
          <ns0:t>Texto abierto evaluable revisado; extracción RQ disponible.</ns0:t>
        </ns0:is>
      </ns0:c>
      <ns0:c r="L322" s="21" t="inlineStr">
        <ns0:is>
          <ns0:t>Not documented in provided sources</ns0:t>
        </ns0:is>
      </ns0:c>
      <ns0:c r="M322" s="21" t="inlineStr">
        <ns0:is>
          <ns0:t>[{"url": "https://journals.plos.org/plosone/article?id=10.1371/journal.pone.0354652", "locator": "Retraction notice, 27 July 2026; original article in reference 1", "assessment": "Publisher notice explicitly retracts DOI 10.1371/journal.pone.0339921 for unresolved result-reliability and publication-policy concerns. Excluded from analytical corpus.", "level": "Primary publisher integrity notice", "date": "2026-09-08", "assessor": "ChatGPT-assisted source verification; not independent human review"}]</ns0:t>
        </ns0:is>
      </ns0:c>
    </ns0:row>
    <ns0:row r="323" ht="350" customHeight="1">
      <ns0:c r="A323" s="19" t="inlineStr">
        <ns0:is>
          <ns0:t>new_335</ns0:t>
        </ns0:is>
      </ns0:c>
      <ns0:c r="B323" s="19" t="inlineStr">
        <ns0:is>
          <ns0:t>Diagnostic Classification of Autism Spectrum Disorder in the Frequency Domain Using Resting-State fMRI</ns0:t>
        </ns0:is>
      </ns0:c>
      <ns0:c r="C323" s="19" t="inlineStr">
        <ns0:is>
          <ns0:t>10.1007/s12021-026-09782-5</ns0:t>
        </ns0:is>
      </ns0:c>
      <ns0:c r="D323" s="19" t="inlineStr">
        <ns0:is>
          <ns0:t>https://doi.org/10.1007/s12021-026-09782-5</ns0:t>
        </ns0:is>
      </ns0:c>
      <ns0:c r="E323" s="19" t="inlineStr">
        <ns0:is>
          <ns0:t>Supplied abstract/coding notes; no new full-text verification</ns0:t>
        </ns0:is>
      </ns0:c>
      <ns0:c r="F323" s="19" t="inlineStr">
        <ns0:is>
          <ns0:t>EVIDENCIA; original abstract/coding notes and lot source trace; Inherited scoped adjudication; see source level and lot caveats</ns0:t>
        </ns0:is>
      </ns0:c>
      <ns0:c r="G323" s="19" t="inlineStr">
        <ns0:is>
          <ns0:t>Frequency-domain rs-fMRI offline classifier; CAD motivation does not establish clinical use.</ns0:t>
        </ns0:is>
      </ns0:c>
      <ns0:c r="H323" s="19" t="inlineStr">
        <ns0:is>
          <ns0:t>Autism spectrum disorder (ASD) is a neurodevelopmental disorder with problems in social interactions, verbal and non-verbal communication, repetitive behaviors, and limited interests in a person. Considering the challenges in diagnosing ASD based on behavioral symptoms—such as subjectivity, variability among individuals, and overlap with other developmental conditions—it seems necessary to propose computer-aided diagnosis systems (CADS) for ASD. We proposed an age-dependent CADS based on functional connectivity (FC) in the frequency domain for ASD using resting-state functional magnetic resonance imaging (rs-fMRI). Also, the features and classification accuracy obtained in the frequency and time domains were compared. First, preprocessing was performed on the rs-fMRI data. Then, group-independent component analysis (GICA) was used to obtain resting state networks (RSNs). This was followed by obtaining separate components of RSNs for each individual using dual regression. Then, coherence analysis was used to extract the features of FC in the frequency domain between RSNs. To consider the role of age in the classification process, three age groups of children, adolescents, and adults were considered, and feature selection for each age group was applied separately using an embedded approach, in which all classifiers in the Waikato Environment for Knowledge Analysis (WEKA) machine learning platform were used simultaneously. Finally, classification accuracy was obtained for each age group. The proposed CADS was able to classify 95.23% in the children group, 88.1% in the adolescent group, and 92.8% in the adult group. In addition, the frequency bands whose features obtained the most distinction in each age group were identified, highlighting their potential relevance for supporting ASD diagnosis and monitoring rehabilitation.</ns0:t>
        </ns0:is>
      </ns0:c>
      <ns0:c r="I323" s="19" t="inlineStr">
        <ns0:is>
          <ns0:t xml:space="preserve">Autism spectrum disorder (ASD) is a neurodevelopmental disorder with problems in social interactions, verbal and non-verbal communication, repetitive behaviors, and limited interests in a person. Considering the challenges in diagnosing ASD based on behavioral symptoms—such as subjectivity, variability among individuals, and overlap with other developmental conditions—it seems necessary to propose computer-aided diagnosis systems (CADS) for ASD. </ns0:t>
        </ns0:is>
      </ns0:c>
      <ns0:c r="J323" s="19" t="inlineStr"/>
      <ns0:c r="K323" s="19" t="inlineStr">
        <ns0:is>
          <ns0:t>Texto abierto evaluable revisado; extracción RQ disponible.</ns0:t>
        </ns0:is>
      </ns0:c>
      <ns0:c r="L323" s="19" t="inlineStr">
        <ns0:is>
          <ns0:t>Not documented in provided sources</ns0:t>
        </ns0:is>
      </ns0:c>
      <ns0:c r="M323" s="19" t="inlineStr">
        <ns0:is>
          <ns0:t>[]</ns0:t>
        </ns0:is>
      </ns0:c>
    </ns0:row>
    <ns0:row r="324" ht="350" customHeight="1">
      <ns0:c r="A324" s="21" t="inlineStr">
        <ns0:is>
          <ns0:t>new_352</ns0:t>
        </ns0:is>
      </ns0:c>
      <ns0:c r="B324" s="21" t="inlineStr">
        <ns0:is>
          <ns0:t>Efficient Kulczynski EEG feature selection for autism spectrum disorder diagnosis over fog and cloud computing</ns0:t>
        </ns0:is>
      </ns0:c>
      <ns0:c r="C324" s="21" t="inlineStr">
        <ns0:is>
          <ns0:t>10.1007/s41870-025-02987-y</ns0:t>
        </ns0:is>
      </ns0:c>
      <ns0:c r="D324" s="21" t="inlineStr">
        <ns0:is>
          <ns0:t>https://doi.org/10.1007/s41870-025-02987-y</ns0:t>
        </ns0:is>
      </ns0:c>
      <ns0:c r="E324" s="21" t="inlineStr">
        <ns0:is>
          <ns0:t>Supplied abstract/coding notes; no new full-text verification</ns0:t>
        </ns0:is>
      </ns0:c>
      <ns0:c r="F324" s="21" t="inlineStr">
        <ns0:is>
          <ns0:t>EVIDENCIA; original abstract/coding notes and lot source trace; Inherited scoped adjudication; see source level and lot caveats</ns0:t>
        </ns0:is>
      </ns0:c>
      <ns0:c r="G324" s="21" t="inlineStr">
        <ns0:is>
          <ns0:t>Fog/cloud diagnostic architecture proposed; feature selection alone does not demonstrate model explanation.</ns0:t>
        </ns0:is>
      </ns0:c>
      <ns0:c r="H324" s="21" t="inlineStr">
        <ns0:is>
          <ns0:t>This work introduces an efficient feature selection approach based on the Kulczynski Similarity (KS) measure to improve the efficiency and accuracy of machine learning models in Electroencephalogram (EEG)-based autism spectrum disorder (ASD) detection. EEG data are inherently high-dimensional, and using all features increases computational burden while incorporating redundant or irrelevant attributes that may hinder classification performance. The proposed KS method addresses these issues by ranking features according to their similarity, retaining those with high harmony that are most relevant for diagnosis, and discarding non-contributory dimensions. To evaluate the effectiveness of the KS framework, three configurations were compared: the complete EEG feature set, features selected with standard Particle Swarm Optimization (PSO), and features selected with the proposed KS method. While PSO retained 30 out of 47 features (63.83% selection ratio and 36.17% reduction ratio), KS achieved a more compact subset of 28 features (59.57% selection ratio and 40.43% reduction ratio), achieving an additional 4.26% improvement in both selection and reduction ratios over PSO. Despite using fewer inputs, KS consistently delivered higher performance across five classifiers. The best accuracy was obtained by K-Nearest Neighbors (KNN) at 99.20%, followed by eXtreme Gradient Boosting (XGBoost) at 98.12%, Random Forest (RF) at 97.05%, Support Vector Machine (SVM) at 95.36%, and Decision Tree (DT) at 87.95%. The findings demonstrate that KS-based feature selection reduces dimensionality, improves accuracy, and lowers complexity, supporting fog and Cloud computing enabled real-time diagnostics and clinical decision systems for efficient EEG analysis in early ASD detection and better patient care.</ns0:t>
        </ns0:is>
      </ns0:c>
      <ns0:c r="I324" s="21" t="inlineStr">
        <ns0:is>
          <ns0:t>This work introduces an efficient feature selection approach based on the Kulczynski Similarity (KS) measure to improve the efficiency and accuracy of machine learning models in Electroencephalogram (EEG)-based autism spectrum disorder (ASD) detection. EEG data are inherently high-dimensional, and using all features increases computational burden while incorporating redundant or irrelevant attributes that may hinder classification performance. Th</ns0:t>
        </ns0:is>
      </ns0:c>
      <ns0:c r="J324" s="21" t="inlineStr"/>
      <ns0:c r="K324" s="21" t="inlineStr">
        <ns0:is>
          <ns0:t>Texto abierto evaluable revisado; extracción RQ disponible.</ns0:t>
        </ns0:is>
      </ns0:c>
      <ns0:c r="L324" s="21" t="inlineStr">
        <ns0:is>
          <ns0:t>Not documented in provided sources</ns0:t>
        </ns0:is>
      </ns0:c>
      <ns0:c r="M324" s="21" t="inlineStr">
        <ns0:is>
          <ns0:t>[]</ns0:t>
        </ns0:is>
      </ns0:c>
    </ns0:row>
    <ns0:row r="325" ht="350" customHeight="1">
      <ns0:c r="A325" s="19" t="inlineStr">
        <ns0:is>
          <ns0:t>new_359</ns0:t>
        </ns0:is>
      </ns0:c>
      <ns0:c r="B325" s="19" t="inlineStr">
        <ns0:is>
          <ns0:t>Privacy preserving federated framework for autism spectrum disorder screening with ensemble stacking and deep learning approaches</ns0:t>
        </ns0:is>
      </ns0:c>
      <ns0:c r="C325" s="19" t="inlineStr">
        <ns0:is>
          <ns0:t>10.1007/s44163-026-01103-8</ns0:t>
        </ns0:is>
      </ns0:c>
      <ns0:c r="D325" s="19" t="inlineStr">
        <ns0:is>
          <ns0:t>https://doi.org/10.1007/s44163-026-01103-8</ns0:t>
        </ns0:is>
      </ns0:c>
      <ns0:c r="E325" s="19" t="inlineStr">
        <ns0:is>
          <ns0:t>Supplied abstract/coding notes; no new full-text verification</ns0:t>
        </ns0:is>
      </ns0:c>
      <ns0:c r="F325" s="19" t="inlineStr">
        <ns0:is>
          <ns0:t>EVIDENCIA; original abstract/coding notes and lot source trace; Inherited scoped adjudication; see source level and lot caveats</ns0:t>
        </ns0:is>
      </ns0:c>
      <ns0:c r="G325" s="19" t="inlineStr">
        <ns0:is>
          <ns0:t>Federated simulation with artificial clients; not observed multisite clinical evaluation or demonstrated privacy guarantee.</ns0:t>
        </ns0:is>
      </ns0:c>
      <ns0:c r="H325" s="19" t="inlineStr">
        <ns0:is>
          <ns0:t>Objectives: Autism Spectrum Disorder (ASD) is a neurological condition that affects social and cognitive skills, and early detection is crucial for minimizing long-term effects. This study aims to develop a decentralized diagnostic framework for precise ASD detection, utilizing a federated learning simulation with raw data held at the client-side, but no specific privacy safety (DP, Secure Aggregation, Homomorphic Encryption). It integrates Ensemble Stacking with Deep Learning approaches, combining classifiers such as Decision Tree, Random Forest, XG Boost, and Logistic Regression (meta), and compares their effectiveness to deep learning models. Methods: The research used a Kaggle-based ASD dataset and included preprocessing steps such as missing value imputation, one-hot encoding, PCA for dimensionality reduction, oversampling for class balancing, and feature standardization. Two. models were implemented: a Federated Ensemble Model combining Decision Tree, Random Forest, and XG Boost in a stacked framework and a Federated Deep Learning Model for binary classification. Both models operated in a federated learning setup, with data distributed across two clients and aggregated via federated averaging. Metrics like accuracy, precision, recall, and F1-score were used for evaluation. Results: The federated ensemble model achieved 96.0% accuracy with precision, recall, and F1-scores of 0.97 and 0.92. The federated deep learning model outperformed it with 97.0% accuracy, higher precision (0.98), and improved recall (0.94), highlighting better balance in sensitivity and precision for ASD detection in decentralized environments. Conclusions: Both federated models demonstrated high diagnostic accuracy while maintaining data privacy. The federated deep learning model was superior and is suited for clinical applications. These are initial results obtained and are only using Kaggle ASD screening dataset. Generalizability will be tested by using external validation of larger and clinically diverse datasets (e.g., ABIDE-I/II).</ns0:t>
        </ns0:is>
      </ns0:c>
      <ns0:c r="I325" s="19" t="inlineStr">
        <ns0:is>
          <ns0:t>Objectives: Autism Spectrum Disorder (ASD) is a neurological condition that affects social and cognitive skills, and early detection is crucial for minimizing long-term effects. This study aims to develop a decentralized diagnostic framework for precise ASD detection, utilizing a federated learning simulation with raw data held at the client-side, but no specific privacy safety (DP, Secure Aggregation, Homomorphic Encryption). It integrates Ensem</ns0:t>
        </ns0:is>
      </ns0:c>
      <ns0:c r="J325" s="19" t="inlineStr"/>
      <ns0:c r="K325" s="19" t="inlineStr">
        <ns0:is>
          <ns0:t>Texto abierto evaluable revisado; extracción RQ disponible.</ns0:t>
        </ns0:is>
      </ns0:c>
      <ns0:c r="L325" s="19" t="inlineStr">
        <ns0:is>
          <ns0:t>Not documented in provided sources</ns0:t>
        </ns0:is>
      </ns0:c>
      <ns0:c r="M325" s="19" t="inlineStr">
        <ns0:is>
          <ns0:t>[]</ns0:t>
        </ns0:is>
      </ns0:c>
    </ns0:row>
    <ns0:row r="326" ht="350" customHeight="1">
      <ns0:c r="A326" s="21" t="inlineStr">
        <ns0:is>
          <ns0:t>new_372</ns0:t>
        </ns0:is>
      </ns0:c>
      <ns0:c r="B326" s="21" t="inlineStr">
        <ns0:is>
          <ns0:t>Machine learning of clinical phenotypes facilitates autism screening and identifies novel subgroups with distinct transcriptomic profiles</ns0:t>
        </ns0:is>
      </ns0:c>
      <ns0:c r="C326" s="21" t="inlineStr">
        <ns0:is>
          <ns0:t>10.1038/s41598-025-95291-5</ns0:t>
        </ns0:is>
      </ns0:c>
      <ns0:c r="D326" s="21" t="inlineStr">
        <ns0:is>
          <ns0:t>https://doi.org/10.1038/s41598-025-95291-5</ns0:t>
        </ns0:is>
      </ns0:c>
      <ns0:c r="E326" s="21" t="inlineStr">
        <ns0:is>
          <ns0:t>Supplied abstract/coding notes; no new full-text verification</ns0:t>
        </ns0:is>
      </ns0:c>
      <ns0:c r="F326" s="21" t="inlineStr">
        <ns0:is>
          <ns0:t>EVIDENCIA; original abstract/coding notes and lot source trace; Inherited scoped adjudication; see source level and lot caveats</ns0:t>
        </ns0:is>
      </ns0:c>
      <ns0:c r="G326" s="21" t="inlineStr">
        <ns0:is>
          <ns0:t>Screening model uses ADI-R phenotypes; transcriptomic subgroup characterization is secondary, not necessarily joint predictive input.</ns0:t>
        </ns0:is>
      </ns0:c>
      <ns0:c r="H326" s="21" t="inlineStr">
        <ns0:is>
          <ns0:t>Autism spectrum disorder (ASD) presents significant challenges in diagnosis and intervention due to its diverse clinical manifestations and underlying biological complexity. This study explored machine learning approaches to enhance ASD screening accuracy and identify meaningful subtypes using clinical assessments from AGRE database integrated with molecular data from GSE15402. Analysis of ADI-R scores from a large cohort of 2794 individuals demonstrated that deep learning models could achieve exceptional screening accuracy of 95.23% (CI 94.32–95.99%). Notably, comparable performance was maintained using a streamlined set of just 27 ADI-R sub-items, suggesting potential for more efficient diagnostic tools. Clustering analyses revealed three distinct subgroups identifiable through both clinical symptoms and gene expression patterns. When ASD were grouped based on clinical features, stronger associations emerged between symptoms and underlying molecular profiles compared to grouping based on gene expression alone. These findings suggest that starting with detailed clinical observations may be more effective for identifying biologically meaningful ASD subtypes than beginning with molecular data. This integrated approach combining clinical and molecular data through machine learning offers promising directions for developing more precise screening methods and personalized intervention strategies for individuals with ASD.</ns0:t>
        </ns0:is>
      </ns0:c>
      <ns0:c r="I326" s="21" t="inlineStr">
        <ns0:is>
          <ns0:t>Autism spectrum disorder (ASD) presents significant challenges in diagnosis and intervention due to its diverse clinical manifestations and underlying biological complexity. This study explored machine learning approaches to enhance ASD screening accuracy and identify meaningful subtypes using clinical assessments from AGRE database integrated with molecular data from GSE15402. Analysis of ADI-R scores from a large cohort of 2794 individuals demo</ns0:t>
        </ns0:is>
      </ns0:c>
      <ns0:c r="J326" s="21" t="inlineStr"/>
      <ns0:c r="K326" s="21" t="inlineStr">
        <ns0:is>
          <ns0:t>Texto abierto evaluable revisado; extracción RQ disponible.</ns0:t>
        </ns0:is>
      </ns0:c>
      <ns0:c r="L326" s="21" t="inlineStr">
        <ns0:is>
          <ns0:t>Not documented in provided sources</ns0:t>
        </ns0:is>
      </ns0:c>
      <ns0:c r="M326" s="21" t="inlineStr">
        <ns0:is>
          <ns0:t>[]</ns0:t>
        </ns0:is>
      </ns0:c>
    </ns0:row>
    <ns0:row r="327" ht="350" customHeight="1">
      <ns0:c r="A327" s="19" t="inlineStr">
        <ns0:is>
          <ns0:t>new_378</ns0:t>
        </ns0:is>
      </ns0:c>
      <ns0:c r="B327" s="19" t="inlineStr">
        <ns0:is>
          <ns0:t>Integrating Network Analysis and Machine Learning Identifies Key Autism Spectrum Disorder Genes Linked to Immune Dysregulation and Therapeutic Targets</ns0:t>
        </ns0:is>
      </ns0:c>
      <ns0:c r="C327" s="19" t="inlineStr">
        <ns0:is>
          <ns0:t>10.3390/genes16091109</ns0:t>
        </ns0:is>
      </ns0:c>
      <ns0:c r="D327" s="19" t="inlineStr">
        <ns0:is>
          <ns0:t>https://doi.org/10.3390/genes16091109</ns0:t>
        </ns0:is>
      </ns0:c>
      <ns0:c r="E327" s="19" t="inlineStr">
        <ns0:is>
          <ns0:t>Supplied abstract/coding notes; no new full-text verification</ns0:t>
        </ns0:is>
      </ns0:c>
      <ns0:c r="F327" s="19" t="inlineStr">
        <ns0:is>
          <ns0:t>EVIDENCIA; original abstract/coding notes and lot source trace; Inherited scoped adjudication; see source level and lot caveats</ns0:t>
        </ns0:is>
      </ns0:c>
      <ns0:c r="G327" s="19" t="inlineStr">
        <ns0:is>
          <ns0:t>Gene prioritization endpoint, not patient diagnostic prediction.</ns0:t>
        </ns0:is>
      </ns0:c>
      <ns0:c r="H327" s="19" t="inlineStr">
        <ns0:is>
          <ns0:t>Background: Understanding the genetic mechanisms and identifying potential therapeutic targets are essential for clarifying Autism Spectrum Disorder (ASD) etiology and improving treatments. This study aims to bridge the gap between basic transcriptomic discoveries and clinical applications in ASD research. Methods: Differentially expressed genes (DEGs) of GSE18123 datase were identified. A protein–protein interaction (PPI) network was constructed. Functional enrichment analysis was performed to link genetic loci to relevant biological pathways. Connectivity Map (CMap) analysis was used to predict potential drugs. Furthermore, immune infiltration correlation analysis explored associations between key genes and immune cell subpopulations. Diagnostic performance of top genes was evaluated by receiver operating characteristic (ROC) analysis. Results: The functional enrichment analysis successfully revealed relevant biological processes associated with ASD, while the CMap analysis predicted potential drugs that were consistent with some clinical trial results. Random forest analysis selected ten key feature genes (SHANK3, NLRP3, SERAC1, TUBB2A, MGAT4C, TFAP2A, EVC, GABRE, TRAK1, and GPR161) with the highest importance scores for autism prediction. Immune infiltration analysis showed significant correlations in genes and multiple immune cell types, demonstrating complex pleiotropic associations within the immune microenvironment. ROC curve analysis indicated that most top genes had strong discriminatory power in differentiating ASD from controls, particularly MGAT4C (AUC = 0.730), highlighting its potential as a robust biomarker. Conclusions: This study effectively bridges the basic transcriptomic discoveries and clinical applications in ASD research. The findings contribute to a better understanding of the etiology of ASD and provide potential therapeutic leads. Future research could focus on validating these potential drugs in clinical studies, as well as further exploring the biological functions of the identified genes to develop more targeted and effective treatments for ASD.</ns0:t>
        </ns0:is>
      </ns0:c>
      <ns0:c r="I327" s="19" t="inlineStr">
        <ns0:is>
          <ns0:t>Background: Understanding the genetic mechanisms and identifying potential therapeutic targets are essential for clarifying Autism Spectrum Disorder (ASD) etiology and improving treatments. This study aims to bridge the gap between basic transcriptomic discoveries and clinical applications in ASD research. Methods: Differentially expressed genes (DEGs) of GSE18123 datase were identified. A protein–protein interaction (PPI) network was constructed</ns0:t>
        </ns0:is>
      </ns0:c>
      <ns0:c r="J327" s="19" t="inlineStr"/>
      <ns0:c r="K327" s="19" t="inlineStr">
        <ns0:is>
          <ns0:t>Texto abierto evaluable revisado; extracción RQ disponible.</ns0:t>
        </ns0:is>
      </ns0:c>
      <ns0:c r="L327" s="19" t="inlineStr">
        <ns0:is>
          <ns0:t>Not documented in provided sources</ns0:t>
        </ns0:is>
      </ns0:c>
      <ns0:c r="M327" s="19" t="inlineStr">
        <ns0:is>
          <ns0:t>[]</ns0:t>
        </ns0:is>
      </ns0:c>
    </ns0:row>
    <ns0:row r="328" ht="350" customHeight="1">
      <ns0:c r="A328" s="21" t="inlineStr">
        <ns0:is>
          <ns0:t>new_384</ns0:t>
        </ns0:is>
      </ns0:c>
      <ns0:c r="B328" s="21" t="inlineStr">
        <ns0:is>
          <ns0:t>Air pollution and autism-like traits: Sensitive periods and joint effects of exposure to sources and constituents of fine particulate matter</ns0:t>
        </ns0:is>
      </ns0:c>
      <ns0:c r="C328" s="21" t="inlineStr">
        <ns0:is>
          <ns0:t>10.1016/j.envres.2026.125213</ns0:t>
        </ns0:is>
      </ns0:c>
      <ns0:c r="D328" s="21" t="inlineStr">
        <ns0:is>
          <ns0:t>https://doi.org/10.1016/j.envres.2026.125213</ns0:t>
        </ns0:is>
      </ns0:c>
      <ns0:c r="E328" s="21" t="inlineStr">
        <ns0:is>
          <ns0:t>Supplied abstract/coding notes; no new full-text verification</ns0:t>
        </ns0:is>
      </ns0:c>
      <ns0:c r="F328" s="21" t="inlineStr">
        <ns0:is>
          <ns0:t>EVIDENCIA; original abstract/coding notes and lot source trace; Inherited scoped adjudication; see source level and lot caveats</ns0:t>
        </ns0:is>
      </ns0:c>
      <ns0:c r="G328" s="21" t="inlineStr">
        <ns0:is>
          <ns0:t>ML exposure reconstruction plus ASD-trait epidemiology; not a prospectively evaluated ASD prognosis tool.
Indirect ASD relevance: ML estimates exposure, not the clinical outcome.</ns0:t>
        </ns0:is>
      </ns0:c>
      <ns0:c r="H328" s="21" t="inlineStr">
        <ns0:is>
          <ns0:t>Growing evidence suggests that exposure to air pollution during early life is associated with autism spectrum disorder (ASD). However, results have been inconsistent for autism-like traits and in low exposure settings. Here, we assessed sensitive windows of exposure to fine particulate matter (PM2.5), nitrogen dioxide (NO2), and ozone (O3) and joint effects of exposure to sources and constituents of PM2.5 on autism-like traits among 798 children in the Upstate KIDS cohort. Residential air pollution exposures were assessed with machine learning and land use regression models. Autism-like traits at age 10 were assessed via the ASD subscale on the Child Behavior Checklist. Treed distributed lag mixture model was used to identify critical windows of exposure to PM2.5, NO2, and O3 and partial linear single index model was applied to estimate contributions of sources and constituents of PM2.5 on autism-like traits. The median PM2.5 exposures were 8.36 and 8.00 μg/m3 for pregnancy and the first year of life. We did not observe critical windows of exposure to PM2.5, NO2, or O3 for autism-like traits. Exposures to elemental carbon (EC) PM2.5 during gestation and to EC and traffic PM2.5 during the first year of life were associated with higher odds of autism-like traits (prenatal EC adjusted odds ratio (aOR): 1.72, 95% CI: 1.04-2.83; first year EC aOR: 1.72, 95% CI: 1.21-2.46; traffic aOR: 1.31, 95% CI: 1.01-1.71). Our results suggest that exposure to motor vehicle traffic sources of PM2.5 may drive previously reported associations between total PM2.5 and autism-like traits.</ns0:t>
        </ns0:is>
      </ns0:c>
      <ns0:c r="I328" s="21" t="inlineStr">
        <ns0:is>
          <ns0:t xml:space="preserve">Growing evidence suggests that exposure to air pollution during early life is associated with autism spectrum disorder (ASD). However, results have been inconsistent for autism-like traits and in low exposure settings. Here, we assessed sensitive windows of exposure to fine particulate matter (PM2.5), nitrogen dioxide (NO2), and ozone (O3) and joint effects of exposure to sources and constituents of PM2.5 on autism-like traits among 798 children </ns0:t>
        </ns0:is>
      </ns0:c>
      <ns0:c r="J328" s="21" t="inlineStr"/>
      <ns0:c r="K328" s="21" t="inlineStr">
        <ns0:is>
          <ns0:t>Texto abierto evaluable revisado; extracción RQ disponible.</ns0:t>
        </ns0:is>
      </ns0:c>
      <ns0:c r="L328" s="21" t="inlineStr">
        <ns0:is>
          <ns0:t>Not documented in provided sources</ns0:t>
        </ns0:is>
      </ns0:c>
      <ns0:c r="M328" s="21" t="inlineStr">
        <ns0:is>
          <ns0:t>[]</ns0:t>
        </ns0:is>
      </ns0:c>
    </ns0:row>
    <ns0:row r="329" ht="350" customHeight="1">
      <ns0:c r="A329" s="19" t="inlineStr">
        <ns0:is>
          <ns0:t>new_395</ns0:t>
        </ns0:is>
      </ns0:c>
      <ns0:c r="B329" s="19" t="inlineStr">
        <ns0:is>
          <ns0:t>Prematurity and genetic liability for autism spectrum disorder</ns0:t>
        </ns0:is>
      </ns0:c>
      <ns0:c r="C329" s="19" t="inlineStr">
        <ns0:is>
          <ns0:t>10.1186/s13073-025-01552-3</ns0:t>
        </ns0:is>
      </ns0:c>
      <ns0:c r="D329" s="19" t="inlineStr">
        <ns0:is>
          <ns0:t>https://link.springer.com/article/10.1186/s13073-025-01552-3</ns0:t>
        </ns0:is>
      </ns0:c>
      <ns0:c r="E329" s="19" t="inlineStr">
        <ns0:is>
          <ns0:t>Primary-source full text (targeted sections)</ns0:t>
        </ns0:is>
      </ns0:c>
      <ns0:c r="F329" s="19" t="inlineStr">
        <ns0:is>
          <ns0:t>Methods: Machine learning model; Discussion: lack of independent preterm cohort</ns0:t>
        </ns0:is>
      </ns0:c>
      <ns0:c r="G329" s="19" t="inlineStr">
        <ns0:is>
          <ns0:t>Birth-available phenotype/genetic features predict later ASD; model uses nested CV, SSC validation is for association analyses rather than the ML model.
Nested cross-validation of ML model; SSC replication of associations is not external ML validation.</ns0:t>
        </ns0:is>
      </ns0:c>
      <ns0:c r="H329" s="19" t="inlineStr">
        <ns0:is>
          <ns0:t>Background: Autism spectrum disorder (ASD) is a neurodevelopmental condition characterized by diverse presentations and a strong genetic component. Environmental factors, such as prematurity, have also been linked to increased liability for ASD, though the interaction between genetic predisposition and prematurity remains unclear. This study aims to investigate the impact of genetic liability and preterm birth on ASD conditions. Methods: We analyzed phenotype and genetic data from two large ASD cohorts, the Simons Foundation Powering Autism Research for Knowledge (SPARK) and Simons Simplex Collection (SSC), encompassing 78,559 individuals for phenotype analysis, 12,519 individuals with genome sequencing data, and 8104 individuals with exome sequencing data. Statistical significance of differences in clinical measures was evaluated between individuals with different ASD and preterm status. We assessed the rare variants burden using generalized estimating equations (GEE) models and polygenic load using the ASD-associated polygenic risk score (PRS). Furthermore, we developed a machine learning model to predict ASD in preterm children using phenotype and genetic features available at birth. Results: Individuals with both preterm birth and ASD exhibit more severe phenotypic outcomes despite similar levels of genetic liability for ASD across the term and preterm groups. Notably, preterm-ASD individuals showed an elevated rate of de novo variants identified in exome sequencing (GEE model, p = 0.005) in comparison to non-ASD-preterm group. Additionally, a GEE model showed that a higher ASD PRS, preterm birth, and male sex were positively associated with a higher predicted probability for ASD in SPARK, reaching a probability close to 90%. Lastly, we developed a machine learning model using phenotype and genetic features available at birth with limited predictive power (AUROC = 0.65). Conclusions: Preterm birth may exacerbate multimorbidity present in ASD, which was not due to ASD-associated genetic variants. However, increased ASD-associated rare variants may elevate the likelihood of a preterm child being diagnosed with ASD. Additionally, a polygenic load of ASD-associated variants had an additive role with preterm birth in the predicted probability for ASD, especially for boys. Future integration of genetic and phenotypic data in larger preterm or population-based cohorts will be crucial for advancing early ASD identification in preterm subgroup.</ns0:t>
        </ns0:is>
      </ns0:c>
      <ns0:c r="I329" s="19" t="inlineStr">
        <ns0:is>
          <ns0:t>Background: Autism spectrum disorder (ASD) is a neurodevelopmental condition characterized by diverse presentations and a strong genetic component. Environmental factors, such as prematurity, have also been linked to increased liability for ASD, though the interaction between genetic predisposition and prematurity remains unclear. This study aims to investigate the impact of genetic liability and preterm birth on ASD conditions. Methods: We analy</ns0:t>
        </ns0:is>
      </ns0:c>
      <ns0:c r="J329" s="19" t="inlineStr"/>
      <ns0:c r="K329" s="19" t="inlineStr">
        <ns0:is>
          <ns0:t>Texto abierto evaluable revisado; extracción RQ disponible.</ns0:t>
        </ns0:is>
      </ns0:c>
      <ns0:c r="L329" s="19" t="inlineStr">
        <ns0:is>
          <ns0:t>Not documented in provided sources</ns0:t>
        </ns0:is>
      </ns0:c>
      <ns0:c r="M329" s="19" t="inlineStr">
        <ns0:is>
          <ns0:t>[{"url": "https://link.springer.com/article/10.1186/s13073-025-01552-3", "locator": "Methods: Machine learning model; Discussion: lack of independent preterm cohort", "assessment": "Removed false external-validation flag: SSC validates separate association analyses; predictive model evaluated by nested CV.", "level": "Primary-source full text (targeted sections)", "date": "2026-09-08", "assessor": "ChatGPT-assisted source verification; not independent human review"}]</ns0:t>
        </ns0:is>
      </ns0:c>
    </ns0:row>
    <ns0:row r="330" ht="350" customHeight="1">
      <ns0:c r="A330" s="21" t="inlineStr">
        <ns0:is>
          <ns0:t>new_406</ns0:t>
        </ns0:is>
      </ns0:c>
      <ns0:c r="B330" s="21" t="inlineStr">
        <ns0:is>
          <ns0:t>NeuroCypher ASD: Machine Learning with Knowledge Graph-Based Representation for ASD Screening in Toddlers</ns0:t>
        </ns0:is>
      </ns0:c>
      <ns0:c r="C330" s="21" t="inlineStr">
        <ns0:is>
          <ns0:t>10.1007/s41666-026-00243-x</ns0:t>
        </ns0:is>
      </ns0:c>
      <ns0:c r="D330" s="21" t="inlineStr">
        <ns0:is>
          <ns0:t>https://doi.org/10.1007/s41666-026-00243-x</ns0:t>
        </ns0:is>
      </ns0:c>
      <ns0:c r="E330" s="21" t="inlineStr">
        <ns0:is>
          <ns0:t>Supplied abstract/coding notes; no new full-text verification</ns0:t>
        </ns0:is>
      </ns0:c>
      <ns0:c r="F330" s="21" t="inlineStr">
        <ns0:is>
          <ns0:t>EVIDENCIA; original abstract/coding notes and lot source trace; Inherited scoped adjudication; see source level and lot caveats</ns0:t>
        </ns0:is>
      </ns0:c>
      <ns0:c r="G330" s="21" t="inlineStr">
        <ns0:is>
          <ns0:t>Questionnaire-derived graph is a representation of the same input, not an independent modality; NLP interface is not evidence of new input data.</ns0:t>
        </ns0:is>
      </ns0:c>
      <ns0:c r="H330" s="21" t="inlineStr">
        <ns0:is>
          <ns0:t>Autism Spectrum Disorder (ASD) screening often relies on structured questionnaires. Yet these data are not always easy to interpret or use in practice. There is a need for screening frameworks that support risk estimation, case comparison, and pattern exploration in a clear and accessible way. In this work, we present NeuroCypher ASD, a framework that combines tabular machine learning with a knowledge graph for ASD screening, interpretation, and data exploration. The tabular model uses questionnaire responses and demographic features to estimate ASD risk. The knowledge graph organizes the data and supports case comparison, pattern exploration, and natural language querying. The system is evaluated under a leakage-aware protocol using tabular, graph-based, and hybrid models. The results show strong performance for the tabular model and clarify the role of graph-based representations within the overall workflow. In this setting, the knowledge graph supports structured analysis of screening data by helping users examine relationships between cases, inspect shared features, and interpret predictions in context. To strengthen interpretability, the framework includes SHAP-based analysis and approximate mappings between embedding dimensions and original questionnaire features. It also includes an anomaly detection module that highlights atypical cases for closer review. Overall, NeuroCypher ASD provides a practical framework for combining prediction, interpretation, and data exploration in ASD screening. The results show the value of integrating machine learning, graph-based context, and natural language interaction in more transparent and accessible screening workflows, particularly in school-based environments.</ns0:t>
        </ns0:is>
      </ns0:c>
      <ns0:c r="I330" s="21" t="inlineStr">
        <ns0:is>
          <ns0:t xml:space="preserve">Autism Spectrum Disorder (ASD) screening often relies on structured questionnaires. Yet these data are not always easy to interpret or use in practice. There is a need for screening frameworks that support risk estimation, case comparison, and pattern exploration in a clear and accessible way. In this work, we present NeuroCypher ASD, a framework that combines tabular machine learning with a knowledge graph for ASD screening, interpretation, and </ns0:t>
        </ns0:is>
      </ns0:c>
      <ns0:c r="J330" s="21" t="inlineStr"/>
      <ns0:c r="K330" s="21" t="inlineStr">
        <ns0:is>
          <ns0:t>Texto abierto evaluable revisado; extracción RQ disponible.</ns0:t>
        </ns0:is>
      </ns0:c>
      <ns0:c r="L330" s="21" t="inlineStr">
        <ns0:is>
          <ns0:t>Not documented in provided sources</ns0:t>
        </ns0:is>
      </ns0:c>
      <ns0:c r="M330" s="21" t="inlineStr">
        <ns0:is>
          <ns0:t>[]</ns0:t>
        </ns0:is>
      </ns0:c>
    </ns0:row>
    <ns0:row r="331" ht="350" customHeight="1">
      <ns0:c r="A331" s="19" t="inlineStr">
        <ns0:is>
          <ns0:t>new_410</ns0:t>
        </ns0:is>
      </ns0:c>
      <ns0:c r="B331" s="19" t="inlineStr">
        <ns0:is>
          <ns0:t>Robust deep learning pipeline to improve access to autism triage and diagnosis</ns0:t>
        </ns0:is>
      </ns0:c>
      <ns0:c r="C331" s="19" t="inlineStr">
        <ns0:is>
          <ns0:t>10.1007/s44163-026-01299-9</ns0:t>
        </ns0:is>
      </ns0:c>
      <ns0:c r="D331" s="19" t="inlineStr">
        <ns0:is>
          <ns0:t>https://doi.org/10.1007/s44163-026-01299-9</ns0:t>
        </ns0:is>
      </ns0:c>
      <ns0:c r="E331" s="19" t="inlineStr">
        <ns0:is>
          <ns0:t>Supplied abstract/coding notes; no new full-text verification</ns0:t>
        </ns0:is>
      </ns0:c>
      <ns0:c r="F331" s="19" t="inlineStr">
        <ns0:is>
          <ns0:t>EVIDENCIA; original abstract/coding notes and lot source trace; Inherited scoped adjudication; see source level and lot caveats</ns0:t>
        </ns0:is>
      </ns0:c>
      <ns0:c r="G331" s="19" t="inlineStr">
        <ns0:is>
          <ns0:t>Proposed MRI/demographic triage pipeline; no actual clinical workflow evaluation established.</ns0:t>
        </ns0:is>
      </ns0:c>
      <ns0:c r="H331" s="19" t="inlineStr">
        <ns0:is>
          <ns0:t>Purpose: Timely access to autism spectrum disorder (ASD) diagnosis represents a major clinical burden, especially in children. Robust and quantitative triage tools to refer children at high risk of ASD for rapid evaluation are not available. We investigate a robust artificial intelligence pipeline combining anatomic and resting state MRI scans with demographics to triage children into high and low risk of an ASD diagnosis. Methods: The ABIDE I and II datasets were used to train deep learning (DL) models on both the anatomic and resting state MRI scans, which were then combined with demographics to render a prediction for an ASD diagnosis. The pipeline was formally tested using a train (70%, n = 1555), validation (20%, n = 439) and test (10%, n = 222) data split ensuring robust testing and assessment of generalizability. DL model outputs were combined with demographics in a generalized linear model with Lasso regularization, and was then optimized using area-under-the-curve (AUC) analysis. Results: The test, validation and train groups had similar demographics in which 46–52% of the population had an ASD diagnosis, 80–83% were male, with a median age of 13–14 and 71–75% reported eyes open during the resting state MRI. The AI pipeline successfully distinguished between ASD and non-ASD with suspicion scores of 0.803 [0.461–0.964] compared to 0.377 [0.044–0.873], p &lt; 0.0001 and an AUC of 71.1%. Under AUC optimization, an accuracy of 62.6% with a sensitivity of 58.9% and specificity of 66.1% was achieved. Conclusion: The artificial intelligence pipeline described here is a promising method for accurately distinguishing between ASD and non-ASD participants.</ns0:t>
        </ns0:is>
      </ns0:c>
      <ns0:c r="I331" s="19" t="inlineStr">
        <ns0:is>
          <ns0:t>Purpose: Timely access to autism spectrum disorder (ASD) diagnosis represents a major clinical burden, especially in children. Robust and quantitative triage tools to refer children at high risk of ASD for rapid evaluation are not available. We investigate a robust artificial intelligence pipeline combining anatomic and resting state MRI scans with demographics to triage children into high and low risk of an ASD diagnosis. Methods: The ABIDE I an</ns0:t>
        </ns0:is>
      </ns0:c>
      <ns0:c r="J331" s="19" t="inlineStr"/>
      <ns0:c r="K331" s="19" t="inlineStr">
        <ns0:is>
          <ns0:t>Texto abierto evaluable revisado; extracción RQ disponible.</ns0:t>
        </ns0:is>
      </ns0:c>
      <ns0:c r="L331" s="19" t="inlineStr">
        <ns0:is>
          <ns0:t>Not documented in provided sources</ns0:t>
        </ns0:is>
      </ns0:c>
      <ns0:c r="M331" s="19" t="inlineStr">
        <ns0:is>
          <ns0:t>[]</ns0:t>
        </ns0:is>
      </ns0:c>
    </ns0:row>
    <ns0:row r="332" ht="350" customHeight="1">
      <ns0:c r="A332" s="21" t="inlineStr">
        <ns0:is>
          <ns0:t>new_417</ns0:t>
        </ns0:is>
      </ns0:c>
      <ns0:c r="B332" s="21" t="inlineStr">
        <ns0:is>
          <ns0:t>Perivascular Space Burden in Children With Autism Spectrum Disorder Correlates With Neurodevelopmental Severity</ns0:t>
        </ns0:is>
      </ns0:c>
      <ns0:c r="C332" s="21" t="inlineStr">
        <ns0:is>
          <ns0:t>10.1002/jmri.70023</ns0:t>
        </ns0:is>
      </ns0:c>
      <ns0:c r="D332" s="21" t="inlineStr">
        <ns0:is>
          <ns0:t>https://doi.org/10.1002/jmri.70023</ns0:t>
        </ns0:is>
      </ns0:c>
      <ns0:c r="E332" s="21" t="inlineStr">
        <ns0:is>
          <ns0:t>Supplied abstract/coding notes; no new full-text verification</ns0:t>
        </ns0:is>
      </ns0:c>
      <ns0:c r="F332" s="21" t="inlineStr">
        <ns0:is>
          <ns0:t>EVIDENCIA; original abstract/coding notes and lot source trace; Inherited scoped adjudication; see source level and lot caveats</ns0:t>
        </ns0:is>
      </ns0:c>
      <ns0:c r="G332" s="21" t="inlineStr">
        <ns0:is>
          <ns0:t>Retrospective segmentation and concurrent severity association, not future prognosis.</ns0:t>
        </ns0:is>
      </ns0:c>
      <ns0:c r="H332" s="21" t="inlineStr">
        <ns0:is>
          <ns0:t>Background: Cerebral perivascular spaces (PVS) are involved in cerebrospinal fluid (CSF) circulation and clearance of metabolic waste in adult humans. A high number of PVS has been reported in autism spectrum disorder (ASD) but its relationship with CSF and disease severity is unclear. Purpose: To quantify PVS in children with ASD through MRI. Study Type: Retrospective. Population: Sixty six children with ASD (mean age: 4.7 ± 1.5 years; males/females: 59/7). Field Strength/Sequence: 3T, 3D T1-weighted GRE and 3D T2-weighted turbo spin echo sequences. Assessment: PVS were segmented using a weakly supervised PVS algorithm. PVS count, white matter-perivascular spaces (WM-PVStot) and normalized volume (WM-PVSvoln) were analyzed in the entire white matter. Six regions: frontal, parietal, limbic, occipital, temporal, and deep WM (WM-PVSsr). WM, GM, CSF, and extra-axial CSF (eaCSF) volumes were also calculated. Autism Diagnostic Observation Schedule, Wechsler Intelligence Scale, and Griffiths Mental Developmental scales were used to assess clinical severity and developmental quotient (DQ). Statistical Tests: Kendall correlation analysis (continuous variables) and Friedman (categorical variables) tests were used to compare medians of PVS variables across different WM regions. Post hoc pairwise comparisons with Wilcoxon tests were used to evaluate distributions of PVS in WM regions. Generalized linear models were employed to assess DQ, clinical severity, age, and eaCSF volume in relation to PVS variables. A p-value &lt; 0.05 indicated statistical significance. Results: Severe DQ (β = 0.0089), mild form of autism (β = −0.0174), and larger eaCSF (β = 0.0082) volume was significantly associated with greater WM-PVStot count. WM-PVSvoln was predominantly affected by normalized eaCSF volume (eaCSFvoln) (β = 0.0242; adjusted for WM volumes). The percentage of WM-PVSsr was higher in the frontal areas (32%) and was lowest in the temporal regions (11%). Data Conclusion: PVS count and volume in ASD are associated with eaCSFvoln. PVS count is related to clinical severity and DQ. PVS count was higher in frontal regions and lower in temporal regions. Evidence Level: 4. Technical Efficacy: Stage 3.</ns0:t>
        </ns0:is>
      </ns0:c>
      <ns0:c r="I332" s="21" t="inlineStr">
        <ns0:is>
          <ns0:t>Background: Cerebral perivascular spaces (PVS) are involved in cerebrospinal fluid (CSF) circulation and clearance of metabolic waste in adult humans. A high number of PVS has been reported in autism spectrum disorder (ASD) but its relationship with CSF and disease severity is unclear. Purpose: To quantify PVS in children with ASD through MRI. Study Type: Retrospective. Population: Sixty six children with ASD (mean age: 4.7 ± 1.5 years; males/fem</ns0:t>
        </ns0:is>
      </ns0:c>
      <ns0:c r="J332" s="21" t="inlineStr"/>
      <ns0:c r="K332" s="21" t="inlineStr">
        <ns0:is>
          <ns0:t>Texto abierto evaluable revisado; extracción RQ disponible.</ns0:t>
        </ns0:is>
      </ns0:c>
      <ns0:c r="L332" s="21" t="inlineStr">
        <ns0:is>
          <ns0:t>Not documented in provided sources</ns0:t>
        </ns0:is>
      </ns0:c>
      <ns0:c r="M332" s="21" t="inlineStr">
        <ns0:is>
          <ns0:t>[]</ns0:t>
        </ns0:is>
      </ns0:c>
    </ns0:row>
    <ns0:row r="333" ht="350" customHeight="1">
      <ns0:c r="A333" s="19" t="inlineStr">
        <ns0:is>
          <ns0:t>new_420</ns0:t>
        </ns0:is>
      </ns0:c>
      <ns0:c r="B333" s="19" t="inlineStr">
        <ns0:is>
          <ns0:t>Two-tier nature inspired optimization-driven ensemble of deep learning models for effective autism spectrum disorder diagnosis in disabled persons</ns0:t>
        </ns0:is>
      </ns0:c>
      <ns0:c r="C333" s="19" t="inlineStr">
        <ns0:is>
          <ns0:t>10.1038/s41598-025-93802-y</ns0:t>
        </ns0:is>
      </ns0:c>
      <ns0:c r="D333" s="19" t="inlineStr">
        <ns0:is>
          <ns0:t>https://doi.org/10.1038/s41598-025-93802-y</ns0:t>
        </ns0:is>
      </ns0:c>
      <ns0:c r="E333" s="19" t="inlineStr">
        <ns0:is>
          <ns0:t>Supplied abstract/coding notes; no new full-text verification</ns0:t>
        </ns0:is>
      </ns0:c>
      <ns0:c r="F333" s="19" t="inlineStr">
        <ns0:is>
          <ns0:t>EVIDENCIA; original abstract/coding notes and lot source trace; Inherited scoped adjudication; see source level and lot caveats</ns0:t>
        </ns0:is>
      </ns0:c>
      <ns0:c r="G333" s="19" t="inlineStr">
        <ns0:is>
          <ns0:t>Public-data simulation; ensemble architecture is not clinical deployment.</ns0:t>
        </ns0:is>
      </ns0:c>
      <ns0:c r="H333" s="19" t="inlineStr">
        <ns0:is>
          <ns0:t>Autism spectrum disorder (ASD) includes a varied set of neuropsychiatric illnesses. This disorder is described by a definite grade of loss in social communication, academic functioning, personal contact, and limited and repetitive behaviours. Individuals with ASD might perform, convey, and study in a different way than others. ASDs naturally are apparent before age 3 years, with related impairments affecting manifold regions of a person’s lifespan. Deep learning (DL) and machine learning (ML) techniques are used in medical research to diagnose and detect ASD promptly. This study presents a Two-Tier Metaheuristic-Driven Ensemble Deep Learning for Effective Autism Spectrum Disorder Diagnosis in Disabled Persons (T2MEDL-EASDDP) model. The main aim of the presented T2MEDL-EASDDP model is to analyze and diagnose the different stages of ASD in disabled individuals. To accomplish this, the T2MEDL-EASDDP model utilizes min-max normalization for data pre-processing to ensure that the input data is scaled to a uniform range. Furthermore, the improved butterfly optimization algorithm (IBOA)-based feature selection (FS) is utilized to identify the most relevant features and reduce dimensionality efficiently. Additionally, an ensemble of DL holds three approaches, namely autoencoder (AE), long short-term memory (LSTM), and deep belief network (DBN) approach is employed for analyzing and detecting ASD. Finally, the presented T2MEDL-EASDDP model employs brownian motion (BM) and directional mutation scheme-based coati optimizer algorithm (BDCOA) techniques to fine-tune the hyperparameters involved in the three ensemble methods. A wide range of simulation analyses of the T2MEDL-EASDDP technique is accomplished under the ASD-Toddler and ASD-Adult datasets. The performance validation of the T2MEDL-EASDDP method portrayed a superior accuracy value of 97.79% over existing techniques.</ns0:t>
        </ns0:is>
      </ns0:c>
      <ns0:c r="I333" s="19" t="inlineStr">
        <ns0:is>
          <ns0:t>Autism spectrum disorder (ASD) includes a varied set of neuropsychiatric illnesses. This disorder is described by a definite grade of loss in social communication, academic functioning, personal contact, and limited and repetitive behaviours. Individuals with ASD might perform, convey, and study in a different way than others. ASDs naturally are apparent before age 3 years, with related impairments affecting manifold regions of a person’s lifespa</ns0:t>
        </ns0:is>
      </ns0:c>
      <ns0:c r="J333" s="19" t="inlineStr"/>
      <ns0:c r="K333" s="19" t="inlineStr">
        <ns0:is>
          <ns0:t>Texto abierto evaluable revisado; extracción RQ disponible.</ns0:t>
        </ns0:is>
      </ns0:c>
      <ns0:c r="L333" s="19" t="inlineStr">
        <ns0:is>
          <ns0:t>Not documented in provided sources</ns0:t>
        </ns0:is>
      </ns0:c>
      <ns0:c r="M333" s="19" t="inlineStr">
        <ns0:is>
          <ns0:t>[]</ns0:t>
        </ns0:is>
      </ns0:c>
    </ns0:row>
    <ns0:row r="334" ht="350" customHeight="1">
      <ns0:c r="A334" s="21" t="inlineStr">
        <ns0:is>
          <ns0:t>new_422</ns0:t>
        </ns0:is>
      </ns0:c>
      <ns0:c r="B334" s="21" t="inlineStr">
        <ns0:is>
          <ns0:t>MIND-TEA: An Adaptive Multi-Agent Framework for Multimodal Autism Diagnosis</ns0:t>
        </ns0:is>
      </ns0:c>
      <ns0:c r="C334" s="21" t="inlineStr">
        <ns0:is>
          <ns0:t>10.1109/access.2026.3688987</ns0:t>
        </ns0:is>
      </ns0:c>
      <ns0:c r="D334" s="21" t="inlineStr">
        <ns0:is>
          <ns0:t>https://doi.org/10.1109/access.2026.3688987</ns0:t>
        </ns0:is>
      </ns0:c>
      <ns0:c r="E334" s="21" t="inlineStr">
        <ns0:is>
          <ns0:t>Supplied abstract/coding notes; no new full-text verification</ns0:t>
        </ns0:is>
      </ns0:c>
      <ns0:c r="F334" s="21" t="inlineStr">
        <ns0:is>
          <ns0:t>EVIDENCIA; original abstract/coding notes and lot source trace; Inherited scoped adjudication; see source level and lot caveats</ns0:t>
        </ns0:is>
      </ns0:c>
      <ns0:c r="G334" s="21" t="inlineStr">
        <ns0:is>
          <ns0:t>Explicit zero-shot ABIDE I to ABIDE II evaluation supports external testing; site-stratified internal CV alone would not. Clinical text provenance remains a caveat.
Zero-shot ABIDE I to ABIDE II; external accuracy 52.3% author-reported.
Clinical text origin and independence from labels require caution; not verified from full text in this pass.</ns0:t>
        </ns0:is>
      </ns0:c>
      <ns0:c r="H334" s="21" t="inlineStr">
        <ns0:is>
          <ns0:t>Autism Spectrum Disorder (ASD) presents substantial diagnostic heterogeneity, challenging the reliability and generalization of static, single-model classifiers. To address this, MIND-TEA is introduced as an adaptive multimodal framework for neurodevelopmental diagnosis. The system integrates resting-state fMRI (rs-fMRI) features with clinical text and utilizes a meta-learning orchestrator to dynamically route each patient to an optimal specialist model. Using subject-wise, site-stratified five-fold cross-validation on ABIDE I (n=1,112), the proposed method achieves 87.3% accuracy and 0.910 AUC (p &lt; 0.05). This corresponds to an absolute improvement of 17.3 percentage points in accuracy compared to representative deep learning baselines reported in prior ASD neuroimaging studies. To assess generalization under clinical conditions, a zero-shot external evaluation is conducted on the independent ABIDE II cohort (n=626). While cross-site domain shift reduces overall accuracy (52.3%), protocol-compatible subsets maintain performance above 60%, highlighting the impact of acquisition variability. The framework distills 108 candidate configurations into three plane-specific specialists (axial, coronal, sagittal). At inference, a single model is executed per subject, guaranteeing O(1) complexity and clinically viable latency without relying on large ensemble strategies. By selecting the most suitable specialist based on semantic similarity and historical performance, MIND-TEA enables adaptive decision-making tailored to individual cases and highlights the importance of data harmonization for robust multi-site generalization.</ns0:t>
        </ns0:is>
      </ns0:c>
      <ns0:c r="I334" s="21" t="inlineStr">
        <ns0:is>
          <ns0:t>Autism Spectrum Disorder (ASD) presents substantial diagnostic heterogeneity, challenging the reliability and generalization of static, single-model classifiers. To address this, MIND-TEA is introduced as an adaptive multimodal framework for neurodevelopmental diagnosis. The system integrates resting-state fMRI (rs-fMRI) features with clinical text and utilizes a meta-learning orchestrator to dynamically route each patient to an optimal specialis</ns0:t>
        </ns0:is>
      </ns0:c>
      <ns0:c r="J334" s="21" t="inlineStr"/>
      <ns0:c r="K334" s="21" t="inlineStr">
        <ns0:is>
          <ns0:t>Texto abierto evaluable revisado; extracción RQ disponible.</ns0:t>
        </ns0:is>
      </ns0:c>
      <ns0:c r="L334" s="21" t="inlineStr">
        <ns0:is>
          <ns0:t>Not documented in provided sources</ns0:t>
        </ns0:is>
      </ns0:c>
      <ns0:c r="M334" s="21" t="inlineStr">
        <ns0:is>
          <ns0:t>[]</ns0:t>
        </ns0:is>
      </ns0:c>
    </ns0:row>
    <ns0:row r="335" ht="350" customHeight="1">
      <ns0:c r="A335" s="19" t="inlineStr">
        <ns0:is>
          <ns0:t>new_424</ns0:t>
        </ns0:is>
      </ns0:c>
      <ns0:c r="B335" s="19" t="inlineStr">
        <ns0:is>
          <ns0:t>Interpretable Autism Screening via Object-Based Analysis of Child-Drawn Sketches</ns0:t>
        </ns0:is>
      </ns0:c>
      <ns0:c r="C335" s="19" t="inlineStr">
        <ns0:is>
          <ns0:t>10.1109/access.2025.3642950</ns0:t>
        </ns0:is>
      </ns0:c>
      <ns0:c r="D335" s="19" t="inlineStr">
        <ns0:is>
          <ns0:t>https://doi.org/10.1109/access.2025.3642950</ns0:t>
        </ns0:is>
      </ns0:c>
      <ns0:c r="E335" s="19" t="inlineStr">
        <ns0:is>
          <ns0:t>Supplied abstract/coding notes; no new full-text verification</ns0:t>
        </ns0:is>
      </ns0:c>
      <ns0:c r="F335" s="19" t="inlineStr">
        <ns0:is>
          <ns0:t>EVIDENCIA; original abstract/coding notes and lot source trace; Inherited scoped adjudication; see source level and lot caveats</ns0:t>
        </ns0:is>
      </ns0:c>
      <ns0:c r="G335" s="19" t="inlineStr">
        <ns0:is>
          <ns0:t>Drawing-based developmental screening benchmark with LRP explanations, not clinical deployment.</ns0:t>
        </ns0:is>
      </ns0:c>
      <ns0:c r="H335" s="19" t="inlineStr">
        <ns0:is>
          <ns0:t>Developmental assessment methods for children largely rely on subjective manual scoring, which leads to limitations in interpretability, consistency, and scalability. For high-stakes applications in clinical and educational environments, high accuracy and transparency are essential in decision-making, which underscores the growing importance of explainable artificial intelligence techniques for automated developmental assessment. To address these challenges, we propose an explainable deep learning framework for automated developmental assessment based on freehand portraits drawn by children. The proposed system integrates clinically evaluated criteria directly into the design of a computational model to ensure both accuracy and interpretability. Focusing specifically on unstructured freehand portrait sketches, the framework introduces an object-based contribution analysis that segments each sketch into semantically meaningful parts such as eyes, nose, ears, and torso, for localized contribution scoring. A customized vision transformer architecture equipped with relative position encoding and safe layer normalization was utilized to model inter-object dependencies and extract robust features. Contribution scores were computed using layer-wise relevance propagation and visualized via heatmaps and bar plots, to allow clinicians to trace the rationale behind the predictions. The results of an extensive evaluation demonstrated that this method yields high classification accuracy in distinguishing between autism spectrum disorder and typical development, and provides rule-aligned explanations that mirror clinical reasoning. The findings of this study provide a foundation for future real-world deployment of early screening, special education, and pediatric neuropsychological applications.</ns0:t>
        </ns0:is>
      </ns0:c>
      <ns0:c r="I335" s="19" t="inlineStr">
        <ns0:is>
          <ns0:t>Developmental assessment methods for children largely rely on subjective manual scoring, which leads to limitations in interpretability, consistency, and scalability. For high-stakes applications in clinical and educational environments, high accuracy and transparency are essential in decision-making, which underscores the growing importance of explainable artificial intelligence techniques for automated developmental assessment. To address these</ns0:t>
        </ns0:is>
      </ns0:c>
      <ns0:c r="J335" s="19" t="inlineStr"/>
      <ns0:c r="K335" s="19" t="inlineStr">
        <ns0:is>
          <ns0:t>Texto abierto evaluable revisado; extracción RQ disponible.</ns0:t>
        </ns0:is>
      </ns0:c>
      <ns0:c r="L335" s="19" t="inlineStr">
        <ns0:is>
          <ns0:t>Not documented in provided sources</ns0:t>
        </ns0:is>
      </ns0:c>
      <ns0:c r="M335" s="19" t="inlineStr">
        <ns0:is>
          <ns0:t>[]</ns0:t>
        </ns0:is>
      </ns0:c>
    </ns0:row>
    <ns0:row r="336" ht="350" customHeight="1">
      <ns0:c r="A336" s="21" t="inlineStr">
        <ns0:is>
          <ns0:t>new_425</ns0:t>
        </ns0:is>
      </ns0:c>
      <ns0:c r="B336" s="21" t="inlineStr">
        <ns0:is>
          <ns0:t>Bridging Deep Learning and Quantum Computing for EEG-Driven P300 Targeted ASD Response Detection</ns0:t>
        </ns0:is>
      </ns0:c>
      <ns0:c r="C336" s="21" t="inlineStr">
        <ns0:is>
          <ns0:t>10.1109/access.2025.3646589</ns0:t>
        </ns0:is>
      </ns0:c>
      <ns0:c r="D336" s="21" t="inlineStr">
        <ns0:is>
          <ns0:t>https://doi.org/10.1109/access.2025.3646589</ns0:t>
        </ns0:is>
      </ns0:c>
      <ns0:c r="E336" s="21" t="inlineStr">
        <ns0:is>
          <ns0:t>Supplied abstract/coding notes; no new full-text verification</ns0:t>
        </ns0:is>
      </ns0:c>
      <ns0:c r="F336" s="21" t="inlineStr">
        <ns0:is>
          <ns0:t>EVIDENCIA; original abstract/coding notes and lot source trace; Inherited scoped adjudication; see source level and lot caveats</ns0:t>
        </ns0:is>
      </ns0:c>
      <ns0:c r="G336" s="21" t="inlineStr">
        <ns0:is>
          <ns0:t>Offline P300 target-response classifier; hybrid quantum-classical architecture kept explicit, not conventional ML plus DL.
Quantum-classical hybrid; not conventional ML-DL hybrid.
EEG P300</ns0:t>
        </ns0:is>
      </ns0:c>
      <ns0:c r="H336" s="21" t="inlineStr">
        <ns0:is>
          <ns0:t>Autism Spectrum Disorder (ASD) is a neurodevelopmental condition whose diagnosis relies heavily on subjective behavioral assessments. Electroencephalography (EEG) provides an inexpensive and non-invasive method of objective biomarker detection, but is plagued by high dimensionality and noise that complicates automated analysis. This article introduces a hybrid Transformer-Quantum Neural Network (QNN) model that combines deep learning and quantum computing to enhance P300 targeted ASD responses from non-targeted responses. The model uses transformer capabilities to capture cross-domain correlations and feature-level dependencies across heterogeneous feature sources, and the quantum heads introduced via parameterized quantum circuits detect high-order, nonlinear relations in a Hilbert space via entanglement and superposition. Experimental results on the BCIAUT-P300 dataset better pure classical alternatives with higher diagnostic accuracy at higher accuracy (0.921) and F1-score (0.915). Statistical comparisons confirm that the hybrid approach yields significant improvements in discriminative reliability and diagnostic odds ratio, justifying quantum feature embedding's expressivity and efficiency. The results bear witness to the feasibility and potential of hybrid quantum-classical systems as potential future intelligent diagnostic devices for ASD responses from EEG signals.</ns0:t>
        </ns0:is>
      </ns0:c>
      <ns0:c r="I336" s="21" t="inlineStr">
        <ns0:is>
          <ns0:t xml:space="preserve">Autism Spectrum Disorder (ASD) is a neurodevelopmental condition whose diagnosis relies heavily on subjective behavioral assessments. Electroencephalography (EEG) provides an inexpensive and non-invasive method of objective biomarker detection, but is plagued by high dimensionality and noise that complicates automated analysis. This article introduces a hybrid Transformer-Quantum Neural Network (QNN) model that combines deep learning and quantum </ns0:t>
        </ns0:is>
      </ns0:c>
      <ns0:c r="J336" s="21" t="inlineStr"/>
      <ns0:c r="K336" s="21" t="inlineStr">
        <ns0:is>
          <ns0:t>Texto abierto evaluable revisado; extracción RQ disponible.</ns0:t>
        </ns0:is>
      </ns0:c>
      <ns0:c r="L336" s="21" t="inlineStr">
        <ns0:is>
          <ns0:t>Not documented in provided sources</ns0:t>
        </ns0:is>
      </ns0:c>
      <ns0:c r="M336" s="21" t="inlineStr">
        <ns0:is>
          <ns0:t>[]</ns0:t>
        </ns0:is>
      </ns0:c>
    </ns0:row>
    <ns0:row r="337" ht="350" customHeight="1">
      <ns0:c r="A337" s="19" t="inlineStr">
        <ns0:is>
          <ns0:t>new_427</ns0:t>
        </ns0:is>
      </ns0:c>
      <ns0:c r="B337" s="19" t="inlineStr">
        <ns0:is>
          <ns0:t>A Hybrid Multi-Branch Deep Learning Model for Autism Spectrum Disorder Detection Using Spatiotemporal Gait Analysis</ns0:t>
        </ns0:is>
      </ns0:c>
      <ns0:c r="C337" s="19" t="inlineStr">
        <ns0:is>
          <ns0:t>10.1109/access.2026.3704046</ns0:t>
        </ns0:is>
      </ns0:c>
      <ns0:c r="D337" s="19" t="inlineStr">
        <ns0:is>
          <ns0:t>https://doi.org/10.1109/access.2026.3704046</ns0:t>
        </ns0:is>
      </ns0:c>
      <ns0:c r="E337" s="19" t="inlineStr">
        <ns0:is>
          <ns0:t>Supplied abstract/coding notes; no new full-text verification</ns0:t>
        </ns0:is>
      </ns0:c>
      <ns0:c r="F337" s="19" t="inlineStr">
        <ns0:is>
          <ns0:t>EVIDENCIA; original abstract/coding notes and lot source trace; Inherited scoped adjudication; see source level and lot caveats</ns0:t>
        </ns0:is>
      </ns0:c>
      <ns0:c r="G337" s="19" t="inlineStr">
        <ns0:is>
          <ns0:t>Gait classification benchmark; all-neural branches do not imply conventional ML-DL hybrid.</ns0:t>
        </ns0:is>
      </ns0:c>
      <ns0:c r="H337" s="19" t="inlineStr">
        <ns0:is>
          <ns0:t>Early and objective diagnosis of autism spectrum disorders (ASD) remains a pressing issue in modern medical and cognitive informatics, where motor behavior analysis is considered a promising source of digital biomarkers. In particular, kinematic gait characteristics obtained with contactless sensors enable the identification of subtle motor impairments that may not be apparent on visual assessment. In this paper, we propose a hybrid multi-branch deep learning model, HMB-TSC, for the automatic classification of children with ASD based on spatiotemporal gait data extracted from the Kinect v2 camera. An open dataset containing gait recordings of children with ASD and typically developing (TD) peers was used for the experiments. Data preprocessing included outlier filtering, feature normalization, feature expansion, and time-series segmentation using a sliding-window method. The HMB-TSC architecture combines three complementary branches: a Transformer for modeling global temporal dependencies, a CNN-BiLSTM for extracting local spatiotemporal patterns, and a CNN-BiGRU for efficient sequential analysis. The performance evaluation was conducted using the holdout, 5-fold, and 5 × 3 nested validation protocols. In a reproducible released run, HMB-TSC achieved Accuracy = 0.850, AUROC = 0.948, and F1 = 0.880 in holdout validation. Under 5-fold and 5 × 3 nested cross-validation, the model achieved Accuracy = 0.850 ± 0.035, AUROC = 0.940 ± 0.029, and F1 = 0.845 ± 0.036. Compared with the baseline CNN, LSTM, and Transformer models, the proposed model demonstrated strong and stable overall performance across validation protocols, especially in terms of AUROC and balanced F1-score.</ns0:t>
        </ns0:is>
      </ns0:c>
      <ns0:c r="I337" s="19" t="inlineStr">
        <ns0:is>
          <ns0:t xml:space="preserve">Early and objective diagnosis of autism spectrum disorders (ASD) remains a pressing issue in modern medical and cognitive informatics, where motor behavior analysis is considered a promising source of digital biomarkers. In particular, kinematic gait characteristics obtained with contactless sensors enable the identification of subtle motor impairments that may not be apparent on visual assessment. In this paper, we propose a hybrid multi-branch </ns0:t>
        </ns0:is>
      </ns0:c>
      <ns0:c r="J337" s="19" t="inlineStr"/>
      <ns0:c r="K337" s="19" t="inlineStr">
        <ns0:is>
          <ns0:t>Texto abierto evaluable revisado; extracción RQ disponible.</ns0:t>
        </ns0:is>
      </ns0:c>
      <ns0:c r="L337" s="19" t="inlineStr">
        <ns0:is>
          <ns0:t>Not documented in provided sources</ns0:t>
        </ns0:is>
      </ns0:c>
      <ns0:c r="M337" s="19" t="inlineStr">
        <ns0:is>
          <ns0:t>[]</ns0:t>
        </ns0:is>
      </ns0:c>
    </ns0:row>
    <ns0:row r="338" ht="350" customHeight="1">
      <ns0:c r="A338" s="21" t="inlineStr">
        <ns0:is>
          <ns0:t>new_428</ns0:t>
        </ns0:is>
      </ns0:c>
      <ns0:c r="B338" s="21" t="inlineStr">
        <ns0:is>
          <ns0:t>Autism Action Dataset (AAD): A Comprehensive Video Benchmark for ASD Behavior Recognition Using Deep Learning</ns0:t>
        </ns0:is>
      </ns0:c>
      <ns0:c r="C338" s="21" t="inlineStr">
        <ns0:is>
          <ns0:t>10.1109/access.2026.3686583</ns0:t>
        </ns0:is>
      </ns0:c>
      <ns0:c r="D338" s="21" t="inlineStr">
        <ns0:is>
          <ns0:t>https://doi.org/10.1109/access.2026.3686583</ns0:t>
        </ns0:is>
      </ns0:c>
      <ns0:c r="E338" s="21" t="inlineStr">
        <ns0:is>
          <ns0:t>Supplied abstract/coding notes; no new full-text verification</ns0:t>
        </ns0:is>
      </ns0:c>
      <ns0:c r="F338" s="21" t="inlineStr">
        <ns0:is>
          <ns0:t>EVIDENCIA; original abstract/coding notes and lot source trace; Inherited scoped adjudication; see source level and lot caveats</ns0:t>
        </ns0:is>
      </ns0:c>
      <ns0:c r="G338" s="21" t="inlineStr">
        <ns0:is>
          <ns0:t>Behavioral action dataset benchmark; no primary winning family inferred.</ns0:t>
        </ns0:is>
      </ns0:c>
      <ns0:c r="H338" s="21" t="inlineStr">
        <ns0:is>
          <ns0:t>Autism spectrum disorder (ASD) is a neurodevelopmental disorder characterized by impairments in social interaction, communication, and behavior. Accurately recognizing the behaviors of children with ASD is crucial for diagnosis and early intervention. Traditional clinician- or caregiver-based approaches are often time-consuming, subjective, and delayed. In contrast, computer vision, along with modern deep learning (DL)-based methods, offers promising alternative solutions. However, a significant obstacle for this purpose is the lack of large-scale, publicly available datasets of ASD-related behaviors. To address the gap, we present the Autism Action Dataset (AAD), a novel publicly available video dataset including 202 manually annotated videos with seven distinct ASD-related action classes: Jumping, Arm Flapping, Joint Attention, Spinning, Head Banging, Head Shaking, and Imitation. These videos were collected from diverse YouTube sources to ensure variability in environment and subject condition. We evaluated the dataset using several state-of-the-art convolutional neural network (CNN)-based action recognition benchmarks, including CNN-LSTM, Inflated 3D (I3D), SlowFast, and Expandable 3D (X3D), as well as transformer-based attention benchmarks such as Video Vision Transformer (ViViT) and Multiscale Vision Transformer (MViT). Additionally, we evaluated pre-trained models fine-tuned on our dataset, as well as models trained from scratch under 5-fold stratified cross-validation. Among fine-tuned pre-trained methods, X3D achieved the best performance, reaching an accuracy of 84.18% along with a 79.82% F1-score. When trained from scratch, I3D achieved the highest performance with an accuracy of 64.29% with a 59.29% F1-score. These results demonstrate both the value of the AAD dataset as a publicly available benchmark and the efficacy of the I3D and X3D methods for ASD behavior analysis. They provide a solid foundation for future research and the development of assistive diagnostic tools. The dataset, metadata, and corresponding benchmark result will be publicly available at https://github.com/reyadhasan605/Autism-Action-Dataset</ns0:t>
        </ns0:is>
      </ns0:c>
      <ns0:c r="I338" s="21" t="inlineStr">
        <ns0:is>
          <ns0:t>Autism spectrum disorder (ASD) is a neurodevelopmental disorder characterized by impairments in social interaction, communication, and behavior. Accurately recognizing the behaviors of children with ASD is crucial for diagnosis and early intervention. Traditional clinician- or caregiver-based approaches are often time-consuming, subjective, and delayed. In contrast, computer vision, along with modern deep learning (DL)-based methods, offers promi</ns0:t>
        </ns0:is>
      </ns0:c>
      <ns0:c r="J338" s="21" t="inlineStr"/>
      <ns0:c r="K338" s="21" t="inlineStr">
        <ns0:is>
          <ns0:t>Texto abierto evaluable revisado; extracción RQ disponible.</ns0:t>
        </ns0:is>
      </ns0:c>
      <ns0:c r="L338" s="21" t="inlineStr">
        <ns0:is>
          <ns0:t>Not documented in provided sources</ns0:t>
        </ns0:is>
      </ns0:c>
      <ns0:c r="M338" s="21" t="inlineStr">
        <ns0:is>
          <ns0:t>[]</ns0:t>
        </ns0:is>
      </ns0:c>
    </ns0:row>
    <ns0:row r="339" ht="350" customHeight="1">
      <ns0:c r="A339" s="19" t="inlineStr">
        <ns0:is>
          <ns0:t>new_429</ns0:t>
        </ns0:is>
      </ns0:c>
      <ns0:c r="B339" s="19" t="inlineStr">
        <ns0:is>
          <ns0:t>A Data-Driven Approach for Autism Spectrum Disorder Screening</ns0:t>
        </ns0:is>
      </ns0:c>
      <ns0:c r="C339" s="19" t="inlineStr">
        <ns0:is>
          <ns0:t>10.1109/access.2026.3650856</ns0:t>
        </ns0:is>
      </ns0:c>
      <ns0:c r="D339" s="19" t="inlineStr">
        <ns0:is>
          <ns0:t>https://doi.org/10.1109/access.2026.3650856</ns0:t>
        </ns0:is>
      </ns0:c>
      <ns0:c r="E339" s="19" t="inlineStr">
        <ns0:is>
          <ns0:t>Supplied abstract/coding notes; no new full-text verification</ns0:t>
        </ns0:is>
      </ns0:c>
      <ns0:c r="F339" s="19" t="inlineStr">
        <ns0:is>
          <ns0:t>EVIDENCIA; original abstract/coding notes and lot source trace; Inherited scoped adjudication; see source level and lot caveats</ns0:t>
        </ns0:is>
      </ns0:c>
      <ns0:c r="G339" s="19" t="inlineStr">
        <ns0:is>
          <ns0:t>Abstract explicitly reports operation at a healthcare provider; deployment is author-reported, clinical benefit is not independently established.
Operational-use claim from abstract; no independently verified causal improvement in diagnostic outcomes.</ns0:t>
        </ns0:is>
      </ns0:c>
      <ns0:c r="H339" s="19" t="inlineStr">
        <ns0:is>
          <ns0:t>Autism spectrum disorder (ASD) is a brain development condition influenced by genes and environment, with no known cause or cure. The diagnosis is challenging due to the absence of biological markers, requiring various examinations and specialist input. Delayed diagnosis often results in late intervention, emphasizing the need for early, individualized therapeutic approaches to enhance quality of life. Current ASD research emphasizes early detection, integrating clinical assessments with advanced technology to expedite diagnosis. One alternative for achieving rapid detection is the use of Machine Learning (ML) models, which have shown potential in identifying patterns in datasets, aiding in early ASD diagnosis. For this purpose, a representative dataset needs to be used to train these models for the ASD classification task. However, healthcare providers often lack access to detailed diagnostic data, making ML model applications challenging. This study proposes utilizing non-diagnostic data from healthcare providers, such as requests for consultations and procedures, to develop ML models for ASD classification. The approach involves creating a dataset without diagnostic data, selecting essential variables, and training ML models for classification. The classifiers utilized were Random Forest, XGboost, Catboost and a stacking strategy to combine the base classifiers. Models trained with parameter tuning presented better results, and the stacking strategy achieved the accuracy of 73.62%. The present study demonstrates the predictive power of a new strategy for ASD screening, providing an alternative where traditional diagnostic data is unavailable. The proposed approach is running in a healthcare provider operator for ASD screening and is benefiting many children and adolescents with faster and more accurate diagnoses.</ns0:t>
        </ns0:is>
      </ns0:c>
      <ns0:c r="I339" s="19" t="inlineStr">
        <ns0:is>
          <ns0:t>Autism spectrum disorder (ASD) is a brain development condition influenced by genes and environment, with no known cause or cure. The diagnosis is challenging due to the absence of biological markers, requiring various examinations and specialist input. Delayed diagnosis often results in late intervention, emphasizing the need for early, individualized therapeutic approaches to enhance quality of life. Current ASD research emphasizes early detect</ns0:t>
        </ns0:is>
      </ns0:c>
      <ns0:c r="J339" s="19" t="inlineStr"/>
      <ns0:c r="K339" s="19" t="inlineStr">
        <ns0:is>
          <ns0:t>Texto abierto evaluable revisado; extracción RQ disponible.</ns0:t>
        </ns0:is>
      </ns0:c>
      <ns0:c r="L339" s="19" t="inlineStr">
        <ns0:is>
          <ns0:t>Not documented in provided sources</ns0:t>
        </ns0:is>
      </ns0:c>
      <ns0:c r="M339" s="19" t="inlineStr">
        <ns0:is>
          <ns0:t>[]</ns0:t>
        </ns0:is>
      </ns0:c>
    </ns0:row>
    <ns0:row r="340" ht="350" customHeight="1">
      <ns0:c r="A340" s="21" t="inlineStr">
        <ns0:is>
          <ns0:t>new_1</ns0:t>
        </ns0:is>
      </ns0:c>
      <ns0:c r="B340" s="21" t="inlineStr">
        <ns0:is>
          <ns0:t>A novel thermal imaging-based framework for continuous ASD classification and behavior analysis using facial mood and skin temperature features</ns0:t>
        </ns0:is>
      </ns0:c>
      <ns0:c r="C340" s="21" t="inlineStr">
        <ns0:is>
          <ns0:t>10.1016/j.bspc.2024.107009</ns0:t>
        </ns0:is>
      </ns0:c>
      <ns0:c r="D340" s="21" t="inlineStr">
        <ns0:is>
          <ns0:t>https://doi.org/10.1016/j.bspc.2024.107009</ns0:t>
        </ns0:is>
      </ns0:c>
      <ns0:c r="E340" s="21" t="inlineStr">
        <ns0:is>
          <ns0:t>Prior source-specific extraction retained; no new full-text retrieval</ns0:t>
        </ns0:is>
      </ns0:c>
      <ns0:c r="F340" s="21" t="inlineStr">
        <ns0:is>
          <ns0:t>EVIDENCIA; original abstract/coding notes and lot source trace; Inherited scoped adjudication; see source level and lot caveats</ns0:t>
        </ns0:is>
      </ns0:c>
      <ns0:c r="G340" s="21" t="inlineStr">
        <ns0:is>
          <ns0:t>Thermal facial monitoring prototype; proposed medication adjustment is not evidence of actual treatment decisions.</ns0:t>
        </ns0:is>
      </ns0:c>
      <ns0:c r="H340" s="21" t="inlineStr">
        <ns0:is>
          <ns0:t>Autism Spectrum Disorder (ASD) is a developmental impairment with brain abnormalities, characterized by social communication deficits and repetitive behavior patterns per recent diagnostic criteria. The Aberrant Behavior Checklist (ABC) is commonly used to analyze these behaviors and guide medication dosage. However, the short duration of ABC measurements may not accurately capture the full spectrum of ASD severity, such as mild, moderate, or severe, potentially leading to adverse drug effects. Therefore, continuous monitoring is necessary for accurate ASD classification to provide appropriate dosages. To address this challenge, a novel thermal imaging-based framework for ASD classification has been proposed, integrating continuous behavioral analysis to optimize medication dosage. The approach utilizes skin temperature and facial mood (FM) features extracted from thermal images. The Deep Network-based Facial Mood Extraction (DN-FME) model efficiently extracts facial mood features while mitigating high memory usage, computation speed issues, and overfitting. The DN-FME model demonstrated a performance accuracy of 96.39%, precision of 96.60%, recall of 96.53%, and an F1 score of 96.54%. For classification, features from skin temperature and facial moods were analyzed using machine learning classifiers: Random Forest (RF), Support Vector Machine (SVM), and K-Nearest Neighbor (KNN). The RF and SVM classifiers achieved an accuracy of 98.33%, while the KNN classifier achieved an accuracy of 90.00%. Unlike existing methods focusing mainly on severe ASD stages, this framework evaluates mild, moderate, and severe stages, demonstrating superior accuracy compared to traditional clinical assessments and observational techniques. This allows for more precise medication dosage adjustments for ASD children.</ns0:t>
        </ns0:is>
      </ns0:c>
      <ns0:c r="I340" s="21" t="inlineStr">
        <ns0:is>
          <ns0:t>El marco extrae estado afectivo y temperatura cutánea de imágenes térmicas; DN-FME reporta 96.39% de accuracy y RF/SVM 98.33% para clasificación de severidad. La propuesta de ajustar dosis farmacológica no fue evaluada como intervención clínica prospectiva en el texto recuperado; debe tratarse como integración propuesta, no como eficacia clínica demostrada.</ns0:t>
        </ns0:is>
      </ns0:c>
      <ns0:c r="J340" s="21" t="inlineStr">
        <ns0:is>
          <ns0:t>Lote_01_25: nivel=Texto del artículo indexado por el editor; se recuperaron secciones suficientes de metodología, resultados y conclusión; hallazgo=El marco extrae estado afectivo y temperatura cutánea de imágenes térmicas; DN-FME reporta 96.39% de accuracy y RF/SVM 98.33% para clasificación de severidad.; limitación=La propuesta de ajustar dosis farmacológica no fue evaluada como intervención clínica prospectiva en el texto recuperado; debe tratarse como integración propuesta, no como eficacia clínica demostrada.; acción=Verificación independiente del revisor humano antes del cierre final; fuente=https://www.sciencedirect.com/science/article/pii/S174680942401067X</ns0:t>
        </ns0:is>
      </ns0:c>
      <ns0:c r="K340" s="21" t="inlineStr">
        <ns0:is>
          <ns0:t>Contenido integral evaluable revisado; ver nivel exacto de fuente, evidencia y cautelas en Lote_01_25.</ns0:t>
        </ns0:is>
      </ns0:c>
      <ns0:c r="L340" s="21" t="inlineStr">
        <ns0:is>
          <ns0:t>Not documented in provided sources</ns0:t>
        </ns0:is>
      </ns0:c>
      <ns0:c r="M340" s="21" t="inlineStr">
        <ns0:is>
          <ns0:t>[]</ns0:t>
        </ns0:is>
      </ns0:c>
    </ns0:row>
    <ns0:row r="341" ht="350" customHeight="1">
      <ns0:c r="A341" s="19" t="inlineStr">
        <ns0:is>
          <ns0:t>new_3</ns0:t>
        </ns0:is>
      </ns0:c>
      <ns0:c r="B341" s="19" t="inlineStr">
        <ns0:is>
          <ns0:t>Efficient machine learning models across multiple datasets for autism spectrum disorder diagnoses</ns0:t>
        </ns0:is>
      </ns0:c>
      <ns0:c r="C341" s="19" t="inlineStr">
        <ns0:is>
          <ns0:t>10.1016/j.bspc.2024.106949</ns0:t>
        </ns0:is>
      </ns0:c>
      <ns0:c r="D341" s="19" t="inlineStr">
        <ns0:is>
          <ns0:t>https://doi.org/10.1016/j.bspc.2024.106949</ns0:t>
        </ns0:is>
      </ns0:c>
      <ns0:c r="E341" s="19" t="inlineStr">
        <ns0:is>
          <ns0:t>Prior source-specific extraction retained; no new full-text retrieval</ns0:t>
        </ns0:is>
      </ns0:c>
      <ns0:c r="F341" s="19" t="inlineStr">
        <ns0:is>
          <ns0:t>EVIDENCIA; original abstract/coding notes and lot source trace; Inherited scoped adjudication; see source level and lot caveats</ns0:t>
        </ns0:is>
      </ns0:c>
      <ns0:c r="G341" s="19" t="inlineStr">
        <ns0:is>
          <ns0:t>Retained source-specific coding after review of the supplied extraction notes; not a new full-text retrieval. ASDD evalúa 27 modelos y herramientas AutoML sobre siete datasets y un dataset combinado; varios resultados llegan a 100% de accuracy/F1. Los resultados perfectos exigen cautela. No se identificó una validación externa fija en un cohort/dataset independiente del proceso de desarrollo; múltiples datasets no equivalen automáticamente a external validation.</ns0:t>
        </ns0:is>
      </ns0:c>
      <ns0:c r="H341" s="19" t="inlineStr">
        <ns0:is>
          <ns0:t>Autism Spectrum Disorder (ASD) presents a complex neurodevelopmental challenge with diverse behavioral symptoms that overlap with other mental disorders, complicating diagnosis. Challenges in existing systems include the complexity and diversity of ASD symptoms, as well as the need for innovative and efficient detection strategies across different age groups. The application of machine learning (ML) offers a promising avenue for revolutionizing ASD prediction and diagnosis. The proposed work aims to overcome these challenges by leveraging ML and Automated Machine Learning (AutoML) techniques, combined with comprehensive datasets and advanced analytics, to enhance ASD detection and prediction capabilities. This study introduces the Autism Spectrum Disorder Detection (ASDD) Framework, which systematically applies ML and AutoML across text-based datasets for various age groups. A combined dataset is generated through the concatenation of various data sources, enriching the diagnostic scope. The framework incorporates AutoML tools such as Lazy Predict, TPOT, and AutoKeras, alongside feature selection methods like Principal Component Analysis (PCA) and Chi-Square. It also employs robust hyperparameter optimization techniques, including Bayesian optimization, Random Search, and genetic algorithms, and uses advanced ensemble methods like voting and bagging to boost prediction accuracy. An empirical evaluation of 27 distinct ML models across seven datasets, including a synthesized dataset named DB8, demonstrates exceptional performance, with many models achieving 100% accuracy and perfect F1 scores in various contexts. These outcomes highlight the effectiveness of the proposed framework in advancing ASD detection and prediction methodologies.</ns0:t>
        </ns0:is>
      </ns0:c>
      <ns0:c r="I341" s="19" t="inlineStr">
        <ns0:is>
          <ns0:t>ASDD evalúa 27 modelos y herramientas AutoML sobre siete datasets y un dataset combinado; varios resultados llegan a 100% de accuracy/F1. Los resultados perfectos exigen cautela. No se identificó una validación externa fija en un cohort/dataset independiente del proceso de desarrollo; múltiples datasets no equivalen automáticamente a external validation.</ns0:t>
        </ns0:is>
      </ns0:c>
      <ns0:c r="J341" s="19" t="inlineStr">
        <ns0:is>
          <ns0:t>Lote_01_25: nivel=Texto del artículo indexado por el editor; metodología/resultados suficientemente recuperados; hallazgo=ASDD evalúa 27 modelos y herramientas AutoML sobre siete datasets y un dataset combinado; varios resultados llegan a 100% de accuracy/F1.; limitación=Los resultados perfectos exigen cautela. No se identificó una validación externa fija en un cohort/dataset independiente del proceso de desarrollo; múltiples datasets no equivalen automáticamente a external validation.; acción=Verificación independiente del revisor humano antes del cierre final; fuente=https://www.sciencedirect.com/science/article/pii/S1746809424010073</ns0:t>
        </ns0:is>
      </ns0:c>
      <ns0:c r="K341" s="19" t="inlineStr">
        <ns0:is>
          <ns0:t>Contenido integral evaluable revisado; ver nivel exacto de fuente, evidencia y cautelas en Lote_01_25.</ns0:t>
        </ns0:is>
      </ns0:c>
      <ns0:c r="L341" s="19" t="inlineStr">
        <ns0:is>
          <ns0:t>Not documented in provided sources</ns0:t>
        </ns0:is>
      </ns0:c>
      <ns0:c r="M341" s="19" t="inlineStr">
        <ns0:is>
          <ns0:t>[]</ns0:t>
        </ns0:is>
      </ns0:c>
    </ns0:row>
    <ns0:row r="342" ht="350" customHeight="1">
      <ns0:c r="A342" s="21" t="inlineStr">
        <ns0:is>
          <ns0:t>new_4</ns0:t>
        </ns0:is>
      </ns0:c>
      <ns0:c r="B342" s="21" t="inlineStr">
        <ns0:is>
          <ns0:t>EmoLand: Utilizing narrative animations, multilevel games, and affective computing to foster emotional development in children with autism spectrum disorder</ns0:t>
        </ns0:is>
      </ns0:c>
      <ns0:c r="C342" s="21" t="inlineStr">
        <ns0:is>
          <ns0:t>10.1016/j.ijhcs.2025.103486</ns0:t>
        </ns0:is>
      </ns0:c>
      <ns0:c r="D342" s="21" t="inlineStr">
        <ns0:is>
          <ns0:t>https://doi.org/10.1016/j.ijhcs.2025.103486</ns0:t>
        </ns0:is>
      </ns0:c>
      <ns0:c r="E342" s="21" t="inlineStr">
        <ns0:is>
          <ns0:t>Prior source-specific extraction retained; no new full-text retrieval</ns0:t>
        </ns0:is>
      </ns0:c>
      <ns0:c r="F342" s="21" t="inlineStr">
        <ns0:is>
          <ns0:t>EVIDENCIA; original abstract/coding notes and lot source trace; Inherited scoped adjudication; see source level and lot caveats</ns0:t>
        </ns0:is>
      </ns0:c>
      <ns0:c r="G342" s="21" t="inlineStr">
        <ns0:is>
          <ns0:t>Retained source-specific coding after review of the supplied extraction notes; not a new full-text retrieval. Evaluación de campo de 3 semanas en escuela especial: 12 niños con ASD, 5 tutores, 330 clips revisados; el módulo de feedback afectivo reporta 97.6% de acierto. Muestra pequeña y evaluación breve. La precisión del módulo de feedback no debe confundirse con eficacia clínica de largo plazo.</ns0:t>
        </ns0:is>
      </ns0:c>
      <ns0:c r="H342" s="21" t="inlineStr">
        <ns0:is>
          <ns0:t>Emotional skills are crucial for a child's success, though children with autism spectrum disorder (ASD) face challenges in understanding social contexts, as well as recognizing and expressing facial expressions. We present EmoLand, a web-based interactive system that utilizes narrative animations, multilevel games, and artificial intelligence (AI) affective computing to instruct children with ASD about neurotypical emotions and facial expressions in social contexts. The paper sets out the iterative design process used, which was informed by ASD intervention theories, empirical studies focused on children with ASD and their educators (tutors, therapists, parents), and multiple discipline expert inputs. A preliminary evaluation involving twelve children with ASD (aged 4 to 7 years) and five tutors suggests that EmoLand is a viable teaching aid for ASD educators and effectively assists children in learning and applying generalized knowledge about emotions and facial expressions. In this paper, we discuss the design approach and key lessons learned for creating interactive AI systems for children with ASD and explore beneficial considerations for enhancing emotional development.</ns0:t>
        </ns0:is>
      </ns0:c>
      <ns0:c r="I342" s="21" t="inlineStr">
        <ns0:is>
          <ns0:t>Evaluación de campo de 3 semanas en escuela especial: 12 niños con ASD, 5 tutores, 330 clips revisados; el módulo de feedback afectivo reporta 97.6% de acierto. Muestra pequeña y evaluación breve. La precisión del módulo de feedback no debe confundirse con eficacia clínica de largo plazo.</ns0:t>
        </ns0:is>
      </ns0:c>
      <ns0:c r="J342" s="21" t="inlineStr">
        <ns0:is>
          <ns0:t>Lote_01_25: nivel=Texto completo compartido por autores; hallazgo=Evaluación de campo de 3 semanas en escuela especial: 12 niños con ASD, 5 tutores, 330 clips revisados; el módulo de feedback afectivo reporta 97.6% de acierto.; limitación=Muestra pequeña y evaluación breve. La precisión del módulo de feedback no debe confundirse con eficacia clínica de largo plazo.; acción=Verificación independiente del revisor humano antes del cierre final; fuente=https://www.researchgate.net/publication/389491878_EmoLand_Utilizing_Narrative_Animations_Multilevel_Games_and_Affective_Computing_to_Foster_Emotional_Development_in_Children_with_Autism_Spectrum_Disorder</ns0:t>
        </ns0:is>
      </ns0:c>
      <ns0:c r="K342" s="21" t="inlineStr">
        <ns0:is>
          <ns0:t>Contenido integral evaluable revisado; ver nivel exacto de fuente, evidencia y cautelas en Lote_01_25.</ns0:t>
        </ns0:is>
      </ns0:c>
      <ns0:c r="L342" s="21" t="inlineStr">
        <ns0:is>
          <ns0:t>Not documented in provided sources</ns0:t>
        </ns0:is>
      </ns0:c>
      <ns0:c r="M342" s="21" t="inlineStr">
        <ns0:is>
          <ns0:t>[]</ns0:t>
        </ns0:is>
      </ns0:c>
    </ns0:row>
    <ns0:row r="343" ht="350" customHeight="1">
      <ns0:c r="A343" s="19" t="inlineStr">
        <ns0:is>
          <ns0:t>new_7</ns0:t>
        </ns0:is>
      </ns0:c>
      <ns0:c r="B343" s="19" t="inlineStr">
        <ns0:is>
          <ns0:t>Hybrid optimization enabled DenseNet for autism spectrum disorders using MRI image</ns0:t>
        </ns0:is>
      </ns0:c>
      <ns0:c r="C343" s="19" t="inlineStr">
        <ns0:is>
          <ns0:t>10.1016/j.compbiolchem.2024.108335</ns0:t>
        </ns0:is>
      </ns0:c>
      <ns0:c r="D343" s="19" t="inlineStr">
        <ns0:is>
          <ns0:t>https://doi.org/10.1016/j.compbiolchem.2024.108335</ns0:t>
        </ns0:is>
      </ns0:c>
      <ns0:c r="E343" s="19" t="inlineStr">
        <ns0:is>
          <ns0:t>Prior source-specific extraction retained; no new full-text retrieval</ns0:t>
        </ns0:is>
      </ns0:c>
      <ns0:c r="F343" s="19" t="inlineStr">
        <ns0:is>
          <ns0:t>EVIDENCIA; original abstract/coding notes and lot source trace; Inherited scoped adjudication; see source level and lot caveats</ns0:t>
        </ns0:is>
      </ns0:c>
      <ns0:c r="G343" s="19" t="inlineStr">
        <ns0:is>
          <ns0:t>Retained source-specific coding after review of the supplied extraction notes; not a new full-text retrieval. Pipeline con preprocesamiento MRI, extracción ROI/rasgos y DenseNet optimizado con JSTO; reporta accuracy de 94.8%. No se identificó validación externa independiente. Además, el texto indexado reporta FNR/FPR que parecen incompatibles con TPR/TNR simultáneamente reportados bajo definiciones estándar; requiere comprobación de tabla en verificación independiente.</ns0:t>
        </ns0:is>
      </ns0:c>
      <ns0:c r="H343" s="19" t="inlineStr">
        <ns0:is>
          <ns0:t>Autism spectrum disorder (ASD) is the neuro-developmental disorder caused by various changes in the brain. It affects the life conditions with social interaction and communication. Most of the previous researches used the various techniques for the early detection to reduce the ASD, but it had been occurred several complications such as, time expenses, and low accessibility for diagnosis.This paper aims to develop the JSTO-DenseNetmodel is for the detection of ASD. In this paper, an input autism brainimage is considered as an input applied to image pre-processing phase. In image pre-processing, the clatters are removed utilizing Gaussian filtering and also, Region of Interest (ROI) extraction is carried out. Thereafter, extraction of pivotal region is done based on functional connectivity utilizing proposed Jaya Sewing Training Optimization (JSTO). The JSTO is newly introduced by combining Jaya algorithm and Sewing Training-Based Optimization (STBO). Thus, output-1 is obtained. In feature extraction phase, grey level co-occurrence matrix (GLCM) features like entropy, correlation, energy, homogeneity, inverse difference moment, Angular second moment and texture features namelylocal ternary patterns (LTP), Local Optimal Oriented Pattern (LOOP) and Histogram of Oriented Gradients (HOG) are extracted from the Magnetic Resonance Imaging (MRI). Therefore, output-2 is obtained. From output-1 and output-2, ASD classification is accomplished using DenseNet, which is trained employing same proposed JSTO.The proposed JSTO-DenseNet model achieves the highest accuracy of 94.8 %, True Positive Rate (TPR) of 90 %, True Negative Rate (TNR) of 90.5 %, un-weighted average recall (UAR) of 89.8 % and the lowest False Negative Rate (FNR) of 86.7 %, and False Positive Rate of 82.6 %, when compared with other traditional methods like, Explainable Artificial Intelligence (XAI), Hybrid deep lightweight feature generator, CLAttention, Two stream end-to-end deep learning (DL), Auto-Encoder feature representation, and Fuzzy Inference Gait System-Deep Extreme Adaptive Fuzzy (FIGS-DEAF) based on Abide 1 dataset.</ns0:t>
        </ns0:is>
      </ns0:c>
      <ns0:c r="I343" s="19" t="inlineStr">
        <ns0:is>
          <ns0:t>Pipeline con preprocesamiento MRI, extracción ROI/rasgos y DenseNet optimizado con JSTO; reporta accuracy de 94.8%. No se identificó validación externa independiente. Además, el texto indexado reporta FNR/FPR que parecen incompatibles con TPR/TNR simultáneamente reportados bajo definiciones estándar; requiere comprobación de tabla en verificación independiente.</ns0:t>
        </ns0:is>
      </ns0:c>
      <ns0:c r="J343" s="19" t="inlineStr">
        <ns0:is>
          <ns0:t>Lote_01_25: nivel=Texto del artículo indexado por el editor; se recuperaron metodología/resultados/conclusión; hallazgo=Pipeline con preprocesamiento MRI, extracción ROI/rasgos y DenseNet optimizado con JSTO; reporta accuracy de 94.8%.; limitación=No se identificó validación externa independiente. Además, el texto indexado reporta FNR/FPR que parecen incompatibles con TPR/TNR simultáneamente reportados bajo definiciones estándar; requiere comprobación de tabla en verificación independiente.; acción=Verificación independiente del revisor humano antes del cierre final; fuente=https://www.sciencedirect.com/science/article/pii/S1476927124003232</ns0:t>
        </ns0:is>
      </ns0:c>
      <ns0:c r="K343" s="19" t="inlineStr">
        <ns0:is>
          <ns0:t>Contenido integral evaluable revisado; ver nivel exacto de fuente, evidencia y cautelas en Lote_01_25.</ns0:t>
        </ns0:is>
      </ns0:c>
      <ns0:c r="L343" s="19" t="inlineStr">
        <ns0:is>
          <ns0:t>Not documented in provided sources</ns0:t>
        </ns0:is>
      </ns0:c>
      <ns0:c r="M343" s="19" t="inlineStr">
        <ns0:is>
          <ns0:t>[]</ns0:t>
        </ns0:is>
      </ns0:c>
    </ns0:row>
    <ns0:row r="344" ht="350" customHeight="1">
      <ns0:c r="A344" s="21" t="inlineStr">
        <ns0:is>
          <ns0:t>new_15</ns0:t>
        </ns0:is>
      </ns0:c>
      <ns0:c r="B344" s="21" t="inlineStr">
        <ns0:is>
          <ns0:t>MCBERT: A multi-modal framework for the diagnosis of autism spectrum disorder</ns0:t>
        </ns0:is>
      </ns0:c>
      <ns0:c r="C344" s="21" t="inlineStr">
        <ns0:is>
          <ns0:t>10.1016/j.biopsycho.2024.108976</ns0:t>
        </ns0:is>
      </ns0:c>
      <ns0:c r="D344" s="21" t="inlineStr">
        <ns0:is>
          <ns0:t>https://doi.org/10.1016/j.biopsycho.2024.108976</ns0:t>
        </ns0:is>
      </ns0:c>
      <ns0:c r="E344" s="21" t="inlineStr">
        <ns0:is>
          <ns0:t>Prior source-specific extraction retained; no new full-text retrieval</ns0:t>
        </ns0:is>
      </ns0:c>
      <ns0:c r="F344" s="21" t="inlineStr">
        <ns0:is>
          <ns0:t>EVIDENCIA; original abstract/coding notes and lot source trace; Inherited scoped adjudication; see source level and lot caveats</ns0:t>
        </ns0:is>
      </ns0:c>
      <ns0:c r="G344" s="21" t="inlineStr">
        <ns0:is>
          <ns0:t>Retained source-specific coding after review of the supplied extraction notes; not a new full-text retrieval. MCBERT fusiona MRI y meta-features en ABIDE-I y usa leave-one-site-out; se reporta accuracy máxima de 93.4%. LOSO sí aporta evaluación entre sitios y se codifica como external/site-held-out validation. El uso de atención arquitectónica no se contabilizó como XAI porque no se identificó una evaluación explícita de explicaciones.</ns0:t>
        </ns0:is>
      </ns0:c>
      <ns0:c r="H344" s="21" t="inlineStr">
        <ns0:is>
          <ns0:t>Within the domain of neurodevelopmental disorders, autism spectrum disorder (ASD) emerges as a distinctive neurological condition characterized by multifaceted challenges. The delayed identification of ASD poses a considerable hurdle in effectively managing its impact and mitigating its severity. Addressing these complexities requires a nuanced understanding of data modalities and the underlying patterns. Existing studies have focused on a single data modality for ASD diagnosis. Recently, there has been a significant shift towards multimodal architectures with deep learning strategies due to their ability to handle and incorporate complex data modalities. In this paper, we developed a novel multimodal ASD diagnosis architecture, referred to as Multi-Head CNN with BERT (MCBERT), which integrates bidirectional encoder representations from transformers (BERT) for meta-features and a multi-head convolutional neural network (MCNN) for the brain image modality. The MCNN incorporates two attention mechanisms to capture spatial (SAC) and channel (CAC) features. The outputs of BERT and MCNN are then fused and processed through a classification module to generate the final diagnosis. We employed the ABIDE-I dataset, a multimodal dataset, and conducted a leave-one-site-out classification to assess the model's effectiveness comprehensively. Experimental simulations demonstrate that the proposed architecture achieves a high accuracy of 93.4 %. Furthermore, the exploration of functional MRI data may provide a deeper understanding of the underlying characteristics of ASD.</ns0:t>
        </ns0:is>
      </ns0:c>
      <ns0:c r="I344" s="21" t="inlineStr">
        <ns0:is>
          <ns0:t>MCBERT fusiona MRI y meta-features en ABIDE-I y usa leave-one-site-out; se reporta accuracy máxima de 93.4%. LOSO sí aporta evaluación entre sitios y se codifica como external/site-held-out validation. El uso de atención arquitectónica no se contabilizó como XAI porque no se identificó una evaluación explícita de explicaciones.</ns0:t>
        </ns0:is>
      </ns0:c>
      <ns0:c r="J344" s="21" t="inlineStr">
        <ns0:is>
          <ns0:t>Lote_01_25: nivel=Texto del artículo indexado por el editor; arquitectura, experimento y LOSO recuperados; hallazgo=MCBERT fusiona MRI y meta-features en ABIDE-I y usa leave-one-site-out; se reporta accuracy máxima de 93.4%.; limitación=LOSO sí aporta evaluación entre sitios y se codifica como external/site-held-out validation. El uso de atención arquitectónica no se contabilizó como XAI porque no se identificó una evaluación explícita de explicaciones.; acción=Verificación independiente del revisor humano antes del cierre final; fuente=https://www.sciencedirect.com/science/article/pii/S0301051124002369</ns0:t>
        </ns0:is>
      </ns0:c>
      <ns0:c r="K344" s="21" t="inlineStr">
        <ns0:is>
          <ns0:t>Contenido integral evaluable revisado; ver nivel exacto de fuente, evidencia y cautelas en Lote_01_25.</ns0:t>
        </ns0:is>
      </ns0:c>
      <ns0:c r="L344" s="21" t="inlineStr">
        <ns0:is>
          <ns0:t>Not documented in provided sources</ns0:t>
        </ns0:is>
      </ns0:c>
      <ns0:c r="M344" s="21" t="inlineStr">
        <ns0:is>
          <ns0:t>[]</ns0:t>
        </ns0:is>
      </ns0:c>
    </ns0:row>
    <ns0:row r="345" ht="350" customHeight="1">
      <ns0:c r="A345" s="19" t="inlineStr">
        <ns0:is>
          <ns0:t>new_21</ns0:t>
        </ns0:is>
      </ns0:c>
      <ns0:c r="B345" s="19" t="inlineStr">
        <ns0:is>
          <ns0:t>Screening biomarkers for autism spectrum disorder using plasma proteomics combined with machine learning methods</ns0:t>
        </ns0:is>
      </ns0:c>
      <ns0:c r="C345" s="19" t="inlineStr">
        <ns0:is>
          <ns0:t>10.1016/j.cca.2024.120018</ns0:t>
        </ns0:is>
      </ns0:c>
      <ns0:c r="D345" s="19" t="inlineStr">
        <ns0:is>
          <ns0:t>https://doi.org/10.1016/j.cca.2024.120018</ns0:t>
        </ns0:is>
      </ns0:c>
      <ns0:c r="E345" s="19" t="inlineStr">
        <ns0:is>
          <ns0:t>Prior source-specific extraction retained; no new full-text retrieval</ns0:t>
        </ns0:is>
      </ns0:c>
      <ns0:c r="F345" s="19" t="inlineStr">
        <ns0:is>
          <ns0:t>EVIDENCIA; original abstract/coding notes and lot source trace; Inherited scoped adjudication; see source level and lot caveats</ns0:t>
        </ns0:is>
      </ns0:c>
      <ns0:c r="G345" s="19" t="inlineStr">
        <ns0:is>
          <ns0:t>Retained source-specific coding after review of the supplied extraction notes; not a new full-text retrieval. SWATH-MS en 30 ASD vs controles seleccionó biomarcadores mediante ML; un grupo independiente adicional de 30 ASD vs controles fue validado por MRM. Panel de 4 proteínas: AUC 0.8087. La validación independiente fortalece el biomarcador, pero parece provenir del mismo entorno institucional y no demuestra generalización cross-site.</ns0:t>
        </ns0:is>
      </ns0:c>
      <ns0:c r="H345" s="19" t="inlineStr">
        <ns0:is>
          <ns0:t>Background and aims: Autism spectrum disorder (ASD) is a common neurodevelopmental disorder in children. Early intervention is effective. Investigation of novel blood biomarkers of ASD facilitates early detection and intervention. Materials and Methods: Sequential window acquisition of all theoretical spectra-mass spectrometry (SWATH-MS)-based proteomics technology and 30 DSM-V defined ASD cases versus age- and sex-matched controls were initially evaluated, and candidate biomarkers were screened using machine learning methods. Candidate biomarkers were validated by targeted proteomics multiple reaction monitoring (MRM) analysis using an independent group of 30 ASD cases vs. controls. Results: Fifty-one differentially expressed proteins (DEPs) were identified by SWATH analysis. They were associated with the immune response, complements and coagulation cascade pathways, and apolipoprotein-related metabolic pathways. Machine learning analysis screened 10 proteins as biomarker combinations (TFRC, PPBP, APCS, ALDH1A1, CD5L, SPARC, FGG, SHBG, S100A9, and PF4V1). In the MRM analysis, four proteins (PPBP, APCS, FGG, and PF4V1) were significantly different between the groups, and their combination as a screening indicator showed high potential (AUC = 0.8087, 95 % confidence interval 0.6904–0.9252, p &lt; 0.0001). Conclusions: Our study provides data that suggests that a few plasma proteins have potential use in screening for ASD.</ns0:t>
        </ns0:is>
      </ns0:c>
      <ns0:c r="I345" s="19" t="inlineStr">
        <ns0:is>
          <ns0:t>SWATH-MS en 30 ASD vs controles seleccionó biomarcadores mediante ML; un grupo independiente adicional de 30 ASD vs controles fue validado por MRM. Panel de 4 proteínas: AUC 0.8087. La validación independiente fortalece el biomarcador, pero parece provenir del mismo entorno institucional y no demuestra generalización cross-site.</ns0:t>
        </ns0:is>
      </ns0:c>
      <ns0:c r="J345" s="19" t="inlineStr">
        <ns0:is>
          <ns0:t>Lote_01_25: nivel=Texto del artículo indexado por el editor; materiales/métodos y validación independiente recuperados; hallazgo=SWATH-MS en 30 ASD vs controles seleccionó biomarcadores mediante ML; un grupo independiente adicional de 30 ASD vs controles fue validado por MRM. Panel de 4 proteínas: AUC 0.8087.; limitación=La validación independiente fortalece el biomarcador, pero parece provenir del mismo entorno institucional y no demuestra generalización cross-site.; acción=Verificación independiente del revisor humano antes del cierre final; fuente=https://www.sciencedirect.com/science/article/pii/S000989812402271X</ns0:t>
        </ns0:is>
      </ns0:c>
      <ns0:c r="K345" s="19" t="inlineStr">
        <ns0:is>
          <ns0:t>Contenido integral evaluable revisado; ver nivel exacto de fuente, evidencia y cautelas en Lote_01_25.</ns0:t>
        </ns0:is>
      </ns0:c>
      <ns0:c r="L345" s="19" t="inlineStr">
        <ns0:is>
          <ns0:t>Not documented in provided sources</ns0:t>
        </ns0:is>
      </ns0:c>
      <ns0:c r="M345" s="19" t="inlineStr">
        <ns0:is>
          <ns0:t>[]</ns0:t>
        </ns0:is>
      </ns0:c>
    </ns0:row>
    <ns0:row r="346" ht="350" customHeight="1">
      <ns0:c r="A346" s="21" t="inlineStr">
        <ns0:is>
          <ns0:t>new_23</ns0:t>
        </ns0:is>
      </ns0:c>
      <ns0:c r="B346" s="21" t="inlineStr">
        <ns0:is>
          <ns0:t>Introducing 3DCNN ResNets for ASD full-body kinematic assessment: A comparison with hand-crafted features</ns0:t>
        </ns0:is>
      </ns0:c>
      <ns0:c r="C346" s="21" t="inlineStr">
        <ns0:is>
          <ns0:t>10.1016/j.eswa.2024.126295</ns0:t>
        </ns0:is>
      </ns0:c>
      <ns0:c r="D346" s="21" t="inlineStr">
        <ns0:is>
          <ns0:t>https://doi.org/10.1016/j.eswa.2024.126295</ns0:t>
        </ns0:is>
      </ns0:c>
      <ns0:c r="E346" s="21" t="inlineStr">
        <ns0:is>
          <ns0:t>Prior source-specific extraction retained; no new full-text retrieval</ns0:t>
        </ns0:is>
      </ns0:c>
      <ns0:c r="F346" s="21" t="inlineStr">
        <ns0:is>
          <ns0:t>EVIDENCIA; original abstract/coding notes and lot source trace; Inherited scoped adjudication; see source level and lot caveats</ns0:t>
        </ns0:is>
      </ns0:c>
      <ns0:c r="G346" s="21" t="inlineStr">
        <ns0:is>
          <ns0:t>Retained source-specific coding after review of the supplied extraction notes; not a new full-text retrieval. n=81 (42 TD, 39 ASD); validación anidada repetida separada por sujeto; compara modelos end-to-end 3D CNN-ResNet con rasgos manuales y aplica SHAP. La validación interna está bien protegida contra mezcla de sujetos, pero el tamaño muestral sigue siendo pequeño y no existe cohorte externa independiente.</ns0:t>
        </ns0:is>
      </ns0:c>
      <ns0:c r="H346" s="21" t="inlineStr">
        <ns0:is>
          <ns0:t>Autism Spectrum Disorder (ASD) is characterized by challenges in social communication and restricted patterns, with motor abnormalities gaining traction for early detection. However, kinematic analysis in ASD is limited, often lacking robust validation and relying on hand-crafted features for single tasks, leading to inconsistencies across studies. End-to-end models have emerged as promising methods to overcome the need for feature engineering. Our aim is to propose a newly adapted 3DCNN ResNet from action recognition and compare it to widely used hand-crafted features for motor ASD assessment. Specifically, we developed a virtual reality environment with multiple motor tasks and trained models using both approaches. We prioritized a reliable validation framework with subject-wise nestedrepeated cross-validation. Results show the proposed model achieves a maximum accuracy of 85±3%, outperforming state-of-the-art end-to-end models with short 1-to-3 min samples. Our comparative analysis with hand-crafted features shows feature-engineered models outperformed our end-to-end model in certain tasks. However, generalized linear mixed-effects models showed that our end-to-end model achieved a statistically higher mean AUC (0.80±0.03) and Sensitivity (66±3%), while showing less variability across all VR tasks, demonstrating domain generalization and reliability. These findings show that end-to-end models enable less variable and context-independent ASD classification without requiring domain knowledge or task specificity. However, they also recognize the effectiveness of hand-crafted features in specific task scenarios.</ns0:t>
        </ns0:is>
      </ns0:c>
      <ns0:c r="I346" s="21" t="inlineStr">
        <ns0:is>
          <ns0:t>n=81 (42 TD, 39 ASD); validación anidada repetida separada por sujeto; compara modelos end-to-end 3D CNN-ResNet con rasgos manuales y aplica SHAP. La validación interna está bien protegida contra mezcla de sujetos, pero el tamaño muestral sigue siendo pequeño y no existe cohorte externa independiente.</ns0:t>
        </ns0:is>
      </ns0:c>
      <ns0:c r="J346" s="21" t="inlineStr">
        <ns0:is>
          <ns0:t>Lote_01_25: nivel=PDF completo en repositorio institucional UPV; hallazgo=n=81 (42 TD, 39 ASD); validación anidada repetida separada por sujeto; compara modelos end-to-end 3D CNN-ResNet con rasgos manuales y aplica SHAP.; limitación=La validación interna está bien protegida contra mezcla de sujetos, pero el tamaño muestral sigue siendo pequeño y no existe cohorte externa independiente.; acción=Verificación independiente del revisor humano antes del cierre final; fuente=https://riunet.upv.es/bitstreams/7dfd9135-24ed-4b77-af02-6141eb544c60/download</ns0:t>
        </ns0:is>
      </ns0:c>
      <ns0:c r="K346" s="21" t="inlineStr">
        <ns0:is>
          <ns0:t>Contenido integral evaluable revisado; ver nivel exacto de fuente, evidencia y cautelas en Lote_01_25.</ns0:t>
        </ns0:is>
      </ns0:c>
      <ns0:c r="L346" s="21" t="inlineStr">
        <ns0:is>
          <ns0:t>Not documented in provided sources</ns0:t>
        </ns0:is>
      </ns0:c>
      <ns0:c r="M346" s="21" t="inlineStr">
        <ns0:is>
          <ns0:t>[]</ns0:t>
        </ns0:is>
      </ns0:c>
    </ns0:row>
    <ns0:row r="347" ht="350" customHeight="1">
      <ns0:c r="A347" s="19" t="inlineStr">
        <ns0:is>
          <ns0:t>new_37</ns0:t>
        </ns0:is>
      </ns0:c>
      <ns0:c r="B347" s="19" t="inlineStr">
        <ns0:is>
          <ns0:t>Design of adaptive recommendation system for autism children using optimal feature selection-based adaptive dilated 1DCNN-LSTM with attention mechanism</ns0:t>
        </ns0:is>
      </ns0:c>
      <ns0:c r="C347" s="19" t="inlineStr">
        <ns0:is>
          <ns0:t>10.1016/j.eswa.2024.125399</ns0:t>
        </ns0:is>
      </ns0:c>
      <ns0:c r="D347" s="19" t="inlineStr">
        <ns0:is>
          <ns0:t>https://doi.org/10.1016/j.eswa.2024.125399</ns0:t>
        </ns0:is>
      </ns0:c>
      <ns0:c r="E347" s="19" t="inlineStr">
        <ns0:is>
          <ns0:t>Prior source-specific extraction retained; no new full-text retrieval</ns0:t>
        </ns0:is>
      </ns0:c>
      <ns0:c r="F347" s="19" t="inlineStr">
        <ns0:is>
          <ns0:t>EVIDENCIA; original abstract/coding notes and lot source trace; Inherited scoped adjudication; see source level and lot caveats</ns0:t>
        </ns0:is>
      </ns0:c>
      <ns0:c r="G347" s="19" t="inlineStr">
        <ns0:is>
          <ns0:t>Retained source-specific coding after review of the supplied extraction notes; not a new full-text retrieval. Sistema adaptativo con selección/optimización MGSOA y red dilated 1DCNN-LSTM con atención para detectar estados y recomendar acciones; la evaluación descrita es computacional/simulada. No se identificó despliegue real ni evaluación clínica prospectiva; la modalidad primaria de datos no quedó suficientemente especificada para codificarla sin inferencia.</ns0:t>
        </ns0:is>
      </ns0:c>
      <ns0:c r="H347" s="19" t="inlineStr">
        <ns0:is>
          <ns0:t>One kind of neurological disorder is caused in the brain which is defined as Autism Spectrum Disorder (ASD). It has acquired the symptoms that appear in young children. In addition to that, it influences how the individual behaves and learns as well as communicates and interacts with others. More specifically, the term Autism is defined as a developmental disorder that impacts communication and social skills and it may vary from mental handicap cases to relieving superior cognitive abilities, intact, and the characteristic pattern of poor. Moreover, the school activities have acquired various difficulties to the given model that include changes in expected routines, intense sensory stimulation, noisy or disordered environments, and social interactions. Consequently, the conventional approaches face certain limitations like user privacy, scalability, and cold-start. Here, a novel suggestion system for autistic children is developed to detect distractions and anxious situations using deep learning and then treat the children based on their abilities. It has helped to prevent the risk to children. The data is given to the selection of the feature stage. The weight optimization is performed using the Modified Garter Snake Optimization Algorithm (MGSOA) during the selection of features. Then, the selected features are given to the Adaptive Dilated One Dimensional Conventional Neural Network (1DCNN) and Long Short-Term Memory (LSTM) with Attention Mechanism termed AD-1DCNN + LSTM-AMfor detecting the autism disorder for children. Here, the parameter optimization is performed using MGSOA optimization. It effectively forecasts the symptoms in a short time. This optimization helps to provide reliable and flexible outcomes for the developed recommendation system for autistic children. The developed recommendation system for autistic children is compared to baseline techniques with efficacy metrics to visualize elevated results.</ns0:t>
        </ns0:is>
      </ns0:c>
      <ns0:c r="I347" s="19" t="inlineStr">
        <ns0:is>
          <ns0:t>Sistema adaptativo con selección/optimización MGSOA y red dilated 1DCNN-LSTM con atención para detectar estados y recomendar acciones; la evaluación descrita es computacional/simulada. No se identificó despliegue real ni evaluación clínica prospectiva; la modalidad primaria de datos no quedó suficientemente especificada para codificarla sin inferencia.</ns0:t>
        </ns0:is>
      </ns0:c>
      <ns0:c r="J347" s="19" t="inlineStr">
        <ns0:is>
          <ns0:t>Lote_01_25: nivel=Texto del artículo indexado por el editor; método, experimento y conclusión suficientemente recuperados; hallazgo=Sistema adaptativo con selección/optimización MGSOA y red dilated 1DCNN-LSTM con atención para detectar estados y recomendar acciones; la evaluación descrita es computacional/simulada.; limitación=No se identificó despliegue real ni evaluación clínica prospectiva; la modalidad primaria de datos no quedó suficientemente especificada para codificarla sin inferencia.; acción=Verificación independiente del revisor humano antes del cierre final; fuente=https://www.sciencedirect.com/science/article/abs/pii/S0957417424022668</ns0:t>
        </ns0:is>
      </ns0:c>
      <ns0:c r="K347" s="19" t="inlineStr">
        <ns0:is>
          <ns0:t>Contenido integral evaluable revisado; ver nivel exacto de fuente, evidencia y cautelas en Lote_01_25.</ns0:t>
        </ns0:is>
      </ns0:c>
      <ns0:c r="L347" s="19" t="inlineStr">
        <ns0:is>
          <ns0:t>Not documented in provided sources</ns0:t>
        </ns0:is>
      </ns0:c>
      <ns0:c r="M347" s="19" t="inlineStr">
        <ns0:is>
          <ns0:t>[]</ns0:t>
        </ns0:is>
      </ns0:c>
    </ns0:row>
    <ns0:row r="348" ht="350" customHeight="1">
      <ns0:c r="A348" s="21" t="inlineStr">
        <ns0:is>
          <ns0:t>new_38</ns0:t>
        </ns0:is>
      </ns0:c>
      <ns0:c r="B348" s="21" t="inlineStr">
        <ns0:is>
          <ns0:t>Early detection of autism spectrum disorder using explainable AI and optimized teaching strategies</ns0:t>
        </ns0:is>
      </ns0:c>
      <ns0:c r="C348" s="21" t="inlineStr">
        <ns0:is>
          <ns0:t>10.1016/j.jneumeth.2024.110315</ns0:t>
        </ns0:is>
      </ns0:c>
      <ns0:c r="D348" s="21" t="inlineStr">
        <ns0:is>
          <ns0:t>https://doi.org/10.1016/j.jneumeth.2024.110315</ns0:t>
        </ns0:is>
      </ns0:c>
      <ns0:c r="E348" s="21" t="inlineStr">
        <ns0:is>
          <ns0:t>Prior source-specific extraction retained; no new full-text retrieval</ns0:t>
        </ns0:is>
      </ns0:c>
      <ns0:c r="F348" s="21" t="inlineStr">
        <ns0:is>
          <ns0:t>EVIDENCIA; original abstract/coding notes and lot source trace; Inherited scoped adjudication; see source level and lot caveats</ns0:t>
        </ns0:is>
      </ns0:c>
      <ns0:c r="G348" s="21" t="inlineStr">
        <ns0:is>
          <ns0:t>Retained source-specific coding after review of the supplied extraction notes; not a new full-text retrieval. Combina dos datasets de toddlers, usa split 80:20, SMOTE, tres métodos de selección y ensamble LR-SVM; reporta 94% para ASD y 99.29% para estrategia docente. Aunque el título usa “explainable AI”, no se identificó SHAP/LIME u otro método XAI formal en el texto recuperado; se codificó solo interpretabilidad parcial por selección de rasgos. No hay validación externa independiente.</ns0:t>
        </ns0:is>
      </ns0:c>
      <ns0:c r="H348" s="21" t="inlineStr">
        <ns0:is>
          <ns0:t>Autism spectrum disorder (ASD) is defined by the deficits of social relating, language, object use and understanding, intelligence and learning, and verbal and nonverbal communication. Most of the individuals with ASD have genetic conditions; however, early identification and intervention reduce the use of health services and other diagnostic procedures. The varied nature of ASD is widely acknowledged, with each affected individual displaying distinct traits. The variability among autistic children underscores the challenge of identifying effective teaching strategies, as what works for one child may not be suitable for another. In this study, we merge two ASD screening datasets focusing on toddlers. We employ three feature engineering techniques to extract significant features from the dataset to enhance model performance. This study presents an innovative two-phase method where initially, we employ diverse machine learning models, such as a combination of logistic regression and support vector machine classifiers. The focus of the second phase is on identifying tailored educational methods for children with ASD through the assessment of their behavioral, verbal, and physical responses. The main goal of this study is to develop personalized educational strategies for individuals with ASD. This will be achieved by employing machine learning techniques to enhance precision and better meet their unique needs. Experimental results achieve a classification accuracy of 94% in ASD identification using Chi-square extracted features. Concerning the choice of the best teaching approach for ASD children, the proposed approach shows 99.29% accuracy. Performance comparison with existing studies shows the superior performance of the proposed LR-SVM ensemble coupled with Chi-square features. In conclusion, the proposed approach provides a two-phase strategy for identifying ASD children and offering a suitable teaching strategy with respect to the severity of the ASD, thereby potentially contributing to the development of tailored solutions for children with varying needs.</ns0:t>
        </ns0:is>
      </ns0:c>
      <ns0:c r="I348" s="21" t="inlineStr">
        <ns0:is>
          <ns0:t>Combina dos datasets de toddlers, usa split 80:20, SMOTE, tres métodos de selección y ensamble LR-SVM; reporta 94% para ASD y 99.29% para estrategia docente. Aunque el título usa “explainable AI”, no se identificó SHAP/LIME u otro método XAI formal en el texto recuperado; se codificó solo interpretabilidad parcial por selección de rasgos. No hay validación externa independiente.</ns0:t>
        </ns0:is>
      </ns0:c>
      <ns0:c r="J348" s="21" t="inlineStr">
        <ns0:is>
          <ns0:t>Lote_01_25: nivel=Artículo indexado con introducción, Materials and methods, Results, Discussion y Conclusion recuperados; hallazgo=Combina dos datasets de toddlers, usa split 80:20, SMOTE, tres métodos de selección y ensamble LR-SVM; reporta 94% para ASD y 99.29% para estrategia docente.; limitación=Aunque el título usa “explainable AI”, no se identificó SHAP/LIME u otro método XAI formal en el texto recuperado; se codificó solo interpretabilidad parcial por selección de rasgos. No hay validación externa independiente.; acción=Verificación independiente del revisor humano antes del cierre final; fuente=https://www.sciencedirect.com/science/article/abs/pii/S0165027024002607</ns0:t>
        </ns0:is>
      </ns0:c>
      <ns0:c r="K348" s="21" t="inlineStr">
        <ns0:is>
          <ns0:t>Contenido integral evaluable revisado; ver nivel exacto de fuente, evidencia y cautelas en Lote_01_25.</ns0:t>
        </ns0:is>
      </ns0:c>
      <ns0:c r="L348" s="21" t="inlineStr">
        <ns0:is>
          <ns0:t>Not documented in provided sources</ns0:t>
        </ns0:is>
      </ns0:c>
      <ns0:c r="M348" s="21" t="inlineStr">
        <ns0:is>
          <ns0:t>[]</ns0:t>
        </ns0:is>
      </ns0:c>
    </ns0:row>
    <ns0:row r="349" ht="350" customHeight="1">
      <ns0:c r="A349" s="19" t="inlineStr">
        <ns0:is>
          <ns0:t>new_41</ns0:t>
        </ns0:is>
      </ns0:c>
      <ns0:c r="B349" s="19" t="inlineStr">
        <ns0:is>
          <ns0:t>A systematic evaluation of autism spectrum disorder identification with Scanpath Trend Analysis (STA)</ns0:t>
        </ns0:is>
      </ns0:c>
      <ns0:c r="C349" s="19" t="inlineStr">
        <ns0:is>
          <ns0:t>10.1016/j.bspc.2024.107414</ns0:t>
        </ns0:is>
      </ns0:c>
      <ns0:c r="D349" s="19" t="inlineStr">
        <ns0:is>
          <ns0:t>https://doi.org/10.1016/j.bspc.2024.107414</ns0:t>
        </ns0:is>
      </ns0:c>
      <ns0:c r="E349" s="19" t="inlineStr">
        <ns0:is>
          <ns0:t>Prior source-specific extraction retained; no new full-text retrieval</ns0:t>
        </ns0:is>
      </ns0:c>
      <ns0:c r="F349" s="19" t="inlineStr">
        <ns0:is>
          <ns0:t>EVIDENCIA; original abstract/coding notes and lot source trace; Inherited scoped adjudication; see source level and lot caveats</ns0:t>
        </ns0:is>
      </ns0:c>
      <ns0:c r="G349" s="19" t="inlineStr">
        <ns0:is>
          <ns0:t>Retained source-specific coding after review of the supplied extraction notes; not a new full-text retrieval. Evalúa STA en tres datasets de eye-tracking y diferentes páginas/tareas; obtiene ~60% de éxito, con menor variación que comparadores ML. La repetición en tres datasets muestra consistencia del algoritmo, pero no se identificó un esquema de entrenamiento fijo en una cohorte y validación externa en otra; no se codifica external validation.</ns0:t>
        </ns0:is>
      </ns0:c>
      <ns0:c r="H349" s="19" t="inlineStr">
        <ns0:is>
          <ns0:t>Background: Eye-tracking combined with machine learning (ML) has the potential to provide an objective and cost-effective method for identifying autism. However, current ML approaches that aim to identify Autism Spectrum Disorder (ASD) based on naturalistic web interactions have high variations on different pages and tasks. This inconsistency necessitates a more consistent approach since there is no clear pattern for identifying suitable web pages or tasks. In our previous study, we proposed using STA as a consistent approach, which demonstrated a higher mean accuracy than a relevant ML approach. However, our evaluation of STA was limited to a single dataset and a comparison with only one relevant ML approach. Objective: We aim to systematically evaluate the suitability of STA for autism identification using various datasets and compare its performance with other relevant ML approaches. Methods: We evaluated the accuracy of STA across various web pages, images, and tasks using three eye-tracking datasets and compared it to other ML approaches. Results: STA has demonstrated consistent accuracy across different web pages, images, and tasks, achieving a success rate of approximately 60%. STA has also outperformed other relevant ML approaches in terms of both the mean and standard deviation of accuracy rates on individual web pages, resulting in significantly higher results in most browsing tasks. Conclusion: STA is a consistent approach for identifying autism, as it achieves stable accuracy on various web pages, images, and tasks. However, further studies are necessary to improve its accuracy.</ns0:t>
        </ns0:is>
      </ns0:c>
      <ns0:c r="I349" s="19" t="inlineStr">
        <ns0:is>
          <ns0:t>Evalúa STA en tres datasets de eye-tracking y diferentes páginas/tareas; obtiene ~60% de éxito, con menor variación que comparadores ML. La repetición en tres datasets muestra consistencia del algoritmo, pero no se identificó un esquema de entrenamiento fijo en una cohorte y validación externa en otra; no se codifica external validation.</ns0:t>
        </ns0:is>
      </ns0:c>
      <ns0:c r="J349" s="19" t="inlineStr">
        <ns0:is>
          <ns0:t>Lote_01_25: nivel=Artículo indexado con métodos, resultados y conclusión recuperados; hallazgo=Evalúa STA en tres datasets de eye-tracking y diferentes páginas/tareas; obtiene ~60% de éxito, con menor variación que comparadores ML.; limitación=La repetición en tres datasets muestra consistencia del algoritmo, pero no se identificó un esquema de entrenamiento fijo en una cohorte y validación externa en otra; no se codifica external validation.; acción=Verificación independiente del revisor humano antes del cierre final; fuente=https://www.sciencedirect.com/science/article/pii/S1746809424014721</ns0:t>
        </ns0:is>
      </ns0:c>
      <ns0:c r="K349" s="19" t="inlineStr">
        <ns0:is>
          <ns0:t>Contenido integral evaluable revisado; ver nivel exacto de fuente, evidencia y cautelas en Lote_01_25.</ns0:t>
        </ns0:is>
      </ns0:c>
      <ns0:c r="L349" s="19" t="inlineStr">
        <ns0:is>
          <ns0:t>Not documented in provided sources</ns0:t>
        </ns0:is>
      </ns0:c>
      <ns0:c r="M349" s="19" t="inlineStr">
        <ns0:is>
          <ns0:t>[]</ns0:t>
        </ns0:is>
      </ns0:c>
    </ns0:row>
    <ns0:row r="350" ht="350" customHeight="1">
      <ns0:c r="A350" s="21" t="inlineStr">
        <ns0:is>
          <ns0:t>new_46</ns0:t>
        </ns0:is>
      </ns0:c>
      <ns0:c r="B350" s="21" t="inlineStr">
        <ns0:is>
          <ns0:t>Recognition of autism in subcortical brain volumetric images using autoencoding-based region selection method and Siamese Convolutional Neural Network</ns0:t>
        </ns0:is>
      </ns0:c>
      <ns0:c r="C350" s="21" t="inlineStr">
        <ns0:is>
          <ns0:t>10.1016/j.ijmedinf.2024.105707</ns0:t>
        </ns0:is>
      </ns0:c>
      <ns0:c r="D350" s="21" t="inlineStr">
        <ns0:is>
          <ns0:t>https://doi.org/10.1016/j.ijmedinf.2024.105707</ns0:t>
        </ns0:is>
      </ns0:c>
      <ns0:c r="E350" s="21" t="inlineStr">
        <ns0:is>
          <ns0:t>Prior source-specific extraction retained; no new full-text retrieval</ns0:t>
        </ns0:is>
      </ns0:c>
      <ns0:c r="F350" s="21" t="inlineStr">
        <ns0:is>
          <ns0:t>EVIDENCIA; original abstract/coding notes and lot source trace; Inherited scoped adjudication; see source level and lot caveats</ns0:t>
        </ns0:is>
      </ns0:c>
      <ns0:c r="G350" s="21" t="inlineStr">
        <ns0:is>
          <ns0:t>Retained source-specific coding after review of the supplied extraction notes; not a new full-text retrieval. Usa ABIDE-II, autoencoder 3D para representación/selección regional y Siamese CNN; la selección MI alcanza accuracy máxima reportada cercana a 0.66. ABIDE-II es multisitio, pero no se identificó validación site-held-out. La selección de regiones aporta interpretabilidad anatómica parcial, no XAI formal.</ns0:t>
        </ns0:is>
      </ns0:c>
      <ns0:c r="H350" s="21" t="inlineStr">
        <ns0:is>
          <ns0:t>Background: Autism Spectrum Disorder (ASD) is a neurodevelopmental condition that affects social interactions and behavior. Accurate and early diagnosis of ASD is still challenging even with the improvements in neuroimaging technology and machine learning algorithms. It's challenging because of the wide range of symptoms, delayed appearance of symptoms, and the subjective nature of diagnosis. In this study, the aim is to enhance ASD recognition by focusing on brain subcortical regions, which are critical for understanding ASD pathology. Methodology: First, subcortical structures were extracted from a collection of brain MRI datasets using sophisticated processing steps. Next, a 3D autoencoder was trained on these 3D images to help identify brain regions related to ASD. Two distinct feature selection methods were then applied to the features extracted from the encoder. The highest-ranked features were iteratively selected and increased to reconstruct a specific percentage of the brain that represents the most relevant parts for ASD. Finally, a Siamese Convolutional Neural Network (SCNN) was employed as the classifier model. Results: The 3D autoencoder stage helped in identifying and reconstructing the significant subcortical regions related to ASD. Based on the studied dataset, high agreement in regions like the Putamen and Pallidum indicated the critical nature of these structures in distinguishing Autism from controls cases. Subsequently, applying SCNN on these selected subcortical regions yielded promising results. For example, using the classifier on the output regions identified by the Mutual Information (MI) features selection method achieved the highest accuracy of 0.66. Conclusions: This study shows that using a two-stage model involving autoencoder and SCNN can notably improve the classification of ASD from brain MRI volumetric images. Applying an iterative feature extraction approach allowed to achieve a more accurate identification of ASD-related brain areas. This two-stage approach not only improved classification performance but also enhanced the interpretability of the neuroimaging data.</ns0:t>
        </ns0:is>
      </ns0:c>
      <ns0:c r="I350" s="21" t="inlineStr">
        <ns0:is>
          <ns0:t>Usa ABIDE-II, autoencoder 3D para representación/selección regional y Siamese CNN; la selección MI alcanza accuracy máxima reportada cercana a 0.66. ABIDE-II es multisitio, pero no se identificó validación site-held-out. La selección de regiones aporta interpretabilidad anatómica parcial, no XAI formal.</ns0:t>
        </ns0:is>
      </ns0:c>
      <ns0:c r="J350" s="21" t="inlineStr">
        <ns0:is>
          <ns0:t>Lote_01_25: nivel=Texto del artículo indexado por el editor; metodología/resultados suficientemente recuperados; hallazgo=Usa ABIDE-II, autoencoder 3D para representación/selección regional y Siamese CNN; la selección MI alcanza accuracy máxima reportada cercana a 0.66.; limitación=ABIDE-II es multisitio, pero no se identificó validación site-held-out. La selección de regiones aporta interpretabilidad anatómica parcial, no XAI formal.; acción=Verificación independiente del revisor humano antes del cierre final; fuente=https://www.sciencedirect.com/science/article/pii/S1386505624003708</ns0:t>
        </ns0:is>
      </ns0:c>
      <ns0:c r="K350" s="21" t="inlineStr">
        <ns0:is>
          <ns0:t>Contenido integral evaluable revisado; ver nivel exacto de fuente, evidencia y cautelas en Lote_01_25.</ns0:t>
        </ns0:is>
      </ns0:c>
      <ns0:c r="L350" s="21" t="inlineStr">
        <ns0:is>
          <ns0:t>Not documented in provided sources</ns0:t>
        </ns0:is>
      </ns0:c>
      <ns0:c r="M350" s="21" t="inlineStr">
        <ns0:is>
          <ns0:t>[]</ns0:t>
        </ns0:is>
      </ns0:c>
    </ns0:row>
    <ns0:row r="351" ht="350" customHeight="1">
      <ns0:c r="A351" s="19" t="inlineStr">
        <ns0:is>
          <ns0:t>new_47</ns0:t>
        </ns0:is>
      </ns0:c>
      <ns0:c r="B351" s="19" t="inlineStr">
        <ns0:is>
          <ns0:t>Leveraging deep learning for enhanced diagnosis of autism spectrum disorder using resting-state functional magnetic resonance imaging and clinical data</ns0:t>
        </ns0:is>
      </ns0:c>
      <ns0:c r="C351" s="19" t="inlineStr">
        <ns0:is>
          <ns0:t>10.1016/j.rineng.2025.104444</ns0:t>
        </ns0:is>
      </ns0:c>
      <ns0:c r="D351" s="19" t="inlineStr">
        <ns0:is>
          <ns0:t>https://doi.org/10.1016/j.rineng.2025.104444</ns0:t>
        </ns0:is>
      </ns0:c>
      <ns0:c r="E351" s="19" t="inlineStr">
        <ns0:is>
          <ns0:t>Prior source-specific extraction retained; no new full-text retrieval</ns0:t>
        </ns0:is>
      </ns0:c>
      <ns0:c r="F351" s="19" t="inlineStr">
        <ns0:is>
          <ns0:t>EVIDENCIA; original abstract/coding notes and lot source trace; Inherited scoped adjudication; see source level and lot caveats</ns0:t>
        </ns0:is>
      </ns0:c>
      <ns0:c r="G351" s="19" t="inlineStr">
        <ns0:is>
          <ns0:t>Retained source-specific coding after review of the supplied extraction notes; not a new full-text retrieval. ABIDE (n≈1112) con conectividad rs-fMRI + datos fenotípicos; CNN-BiLSTM con atención y split interno 70/30. El conjunto es multisitio y multifuente, pero la evaluación reportada es un split interno; no se identificó site-held-out/cross-site validation. Atención arquitectónica no se contó como XAI sin análisis de explicación.</ns0:t>
        </ns0:is>
      </ns0:c>
      <ns0:c r="H351" s="19" t="inlineStr">
        <ns0:is>
          <ns0:t>Autism Spectrum Disorder (ASD) presents a multifaceted challenge, characterized by intricate difficulties in social interaction, communication, and behavior. Timely and accurate diagnosis is crucial for effective intervention and support. However, existing methods often struggle to capture the intricate patterns indicative of ASD traits, leading to misdiagnosis or delayed intervention. In response, this research introduces an innovative approach leveraging Deep Attention Bidirectional Long Short-Term Memory (LSTM) networks alongside Convolutional Neural Networks (CNN) with Bidirectional LSTM with Attention for ASD classification. By analyzing resting-state functional Magnetic Resonance Imaging (rs-fMRI) data and phenotypic information from the Autism Brain Imaging Data Exchange (ABIDE) dataset, our model aims to dissect the complex temporal and spatial signatures associated with ASD. Our methodology focuses on integrating attention mechanisms to identify and prioritize key features in the input data, improving classification accuracy. Extensive training and validation are conducted to establish a strong classification framework. Evaluation metrics such as accuracy, precision, sensitivity, and AUC-ROC are used to rigorously assess the effectiveness of our model. Preliminary results showcase promising outcomes: an accuracy of 93%, a precision of 0.90, and an AUC-ROC of 0.93. These findings not only advance the realm of ASD diagnosis research but also hold the potential to augment clinical decision-making with nuanced and reliable classification tools, ultimately improving outcomes for individuals affected by ASD.</ns0:t>
        </ns0:is>
      </ns0:c>
      <ns0:c r="I351" s="19" t="inlineStr">
        <ns0:is>
          <ns0:t>ABIDE (n≈1112) con conectividad rs-fMRI + datos fenotípicos; CNN-BiLSTM con atención y split interno 70/30. El conjunto es multisitio y multifuente, pero la evaluación reportada es un split interno; no se identificó site-held-out/cross-site validation. Atención arquitectónica no se contó como XAI sin análisis de explicación.</ns0:t>
        </ns0:is>
      </ns0:c>
      <ns0:c r="J351" s="19" t="inlineStr">
        <ns0:is>
          <ns0:t>Lote_01_25: nivel=Texto completo compartido por autores / contenido completo revisable; hallazgo=ABIDE (n≈1112) con conectividad rs-fMRI + datos fenotípicos; CNN-BiLSTM con atención y split interno 70/30.; limitación=El conjunto es multisitio y multifuente, pero la evaluación reportada es un split interno; no se identificó site-held-out/cross-site validation. Atención arquitectónica no se contó como XAI sin análisis de explicación.; acción=Verificación independiente del revisor humano antes del cierre final; fuente=https://doi.org/10.1016/j.rineng.2025.104444</ns0:t>
        </ns0:is>
      </ns0:c>
      <ns0:c r="K351" s="19" t="inlineStr">
        <ns0:is>
          <ns0:t>Contenido integral evaluable revisado; ver nivel exacto de fuente, evidencia y cautelas en Lote_01_25.</ns0:t>
        </ns0:is>
      </ns0:c>
      <ns0:c r="L351" s="19" t="inlineStr">
        <ns0:is>
          <ns0:t>Not documented in provided sources</ns0:t>
        </ns0:is>
      </ns0:c>
      <ns0:c r="M351" s="19" t="inlineStr">
        <ns0:is>
          <ns0:t>[]</ns0:t>
        </ns0:is>
      </ns0:c>
    </ns0:row>
    <ns0:row r="352" ht="350" customHeight="1">
      <ns0:c r="A352" s="21" t="inlineStr">
        <ns0:is>
          <ns0:t>new_51</ns0:t>
        </ns0:is>
      </ns0:c>
      <ns0:c r="B352" s="21" t="inlineStr">
        <ns0:is>
          <ns0:t>Involution fused convolution for classifying eye-tracking patterns of children with Autism Spectrum Disorder</ns0:t>
        </ns0:is>
      </ns0:c>
      <ns0:c r="C352" s="21" t="inlineStr">
        <ns0:is>
          <ns0:t>10.1016/j.engappai.2024.109475</ns0:t>
        </ns0:is>
      </ns0:c>
      <ns0:c r="D352" s="21" t="inlineStr">
        <ns0:is>
          <ns0:t>https://doi.org/10.1016/j.engappai.2024.109475</ns0:t>
        </ns0:is>
      </ns0:c>
      <ns0:c r="E352" s="21" t="inlineStr">
        <ns0:is>
          <ns0:t>Prior source-specific extraction retained; no new full-text retrieval</ns0:t>
        </ns0:is>
      </ns0:c>
      <ns0:c r="F352" s="21" t="inlineStr">
        <ns0:is>
          <ns0:t>EVIDENCIA; original abstract/coding notes and lot source trace; Inherited scoped adjudication; see source level and lot caveats</ns0:t>
        </ns0:is>
      </ns0:c>
      <ns0:c r="G352" s="21" t="inlineStr">
        <ns0:is>
          <ns0:t>Retained source-specific coding after review of the supplied extraction notes; not a new full-text retrieval. Evalúa involution+convolution en dos datasets de eye-tracking y su combinación; el modelo IC con tres capas de involution supera comparadores. Se usa partición aleatoria tras combinar/aumentar imágenes. Esto plantea un riesgo potencial de dependencia entre imágenes/sujetos si la partición no fue totalmente subject-wise; no se afirma leakage porque el texto no lo demuestra.</ns0:t>
        </ns0:is>
      </ns0:c>
      <ns0:c r="H352" s="21" t="inlineStr">
        <ns0:is>
          <ns0:t>Autism Spectrum Disorder (ASD) is a neurological condition that is challenging to diagnose. Numerous studies demonstrate that children diagnosed with autism struggle with maintaining attention spans and have less focused vision. The eye-tracking technology has drawn special attention in the context of ASD since anomalies in gaze have long been acknowledged as a defining feature of autism. Deep Learning (DL) approaches coupled with eye-tracking sensors are exploiting additional capabilities to advance the diagnostic and its applications. DL architectures like convolution have been dominating this domain. However, convolutions alone may be insufficient to capture the important spatial information in eye-tracking patterns, as these patterns are more likely to be localized. The dynamic kernel-based process known as involutions can improve the classification efficiency. In this study, we utilize two image-processing operations to see how these processes learn eye-tracking patterns. Since these patterns are primarily based on spatial information, we employ a hybrid of involution and convolution. Our study shows that adding a few involution layers reduces size and computational cost while enhancing location-specific capabilities, maintaining performance comparable to pure convolutional models. However, excessive involution layers lead to weaker performance. For comparisons, we experiment with two datasets and a combined version of both in ablation studies. Our proposed model, featuring three involution layers and three convolution layers, achieved 99.43% accuracy on the first dataset and 96.78% on the second, with a size of only 1.36 megabytes. These results showcase the effectiveness of combining involution and convolution layers which outperforms previous literature.</ns0:t>
        </ns0:is>
      </ns0:c>
      <ns0:c r="I352" s="21" t="inlineStr">
        <ns0:is>
          <ns0:t>Evalúa involution+convolution en dos datasets de eye-tracking y su combinación; el modelo IC con tres capas de involution supera comparadores. Se usa partición aleatoria tras combinar/aumentar imágenes. Esto plantea un riesgo potencial de dependencia entre imágenes/sujetos si la partición no fue totalmente subject-wise; no se afirma leakage porque el texto no lo demuestra.</ns0:t>
        </ns0:is>
      </ns0:c>
      <ns0:c r="J352" s="21" t="inlineStr">
        <ns0:is>
          <ns0:t>Lote_01_25: nivel=Preprint completo de autores en arXiv, coincidente con artículo final; hallazgo=Evalúa involution+convolution en dos datasets de eye-tracking y su combinación; el modelo IC con tres capas de involution supera comparadores.; limitación=Se usa partición aleatoria tras combinar/aumentar imágenes. Esto plantea un riesgo potencial de dependencia entre imágenes/sujetos si la partición no fue totalmente subject-wise; no se afirma leakage porque el texto no lo demuestra.; acción=Verificación independiente del revisor humano antes del cierre final; fuente=https://arxiv.org/pdf/2401.03575</ns0:t>
        </ns0:is>
      </ns0:c>
      <ns0:c r="K352" s="21" t="inlineStr">
        <ns0:is>
          <ns0:t>Contenido integral evaluable revisado; ver nivel exacto de fuente, evidencia y cautelas en Lote_01_25.</ns0:t>
        </ns0:is>
      </ns0:c>
      <ns0:c r="L352" s="21" t="inlineStr">
        <ns0:is>
          <ns0:t>Not documented in provided sources</ns0:t>
        </ns0:is>
      </ns0:c>
      <ns0:c r="M352" s="21" t="inlineStr">
        <ns0:is>
          <ns0:t>[]</ns0:t>
        </ns0:is>
      </ns0:c>
    </ns0:row>
    <ns0:row r="353" ht="350" customHeight="1">
      <ns0:c r="A353" s="19" t="inlineStr">
        <ns0:is>
          <ns0:t>new_59</ns0:t>
        </ns0:is>
      </ns0:c>
      <ns0:c r="B353" s="19" t="inlineStr">
        <ns0:is>
          <ns0:t>Advanced autism detection and visualization through XGBoost algorithm for fNIRS hemo-dynamic signals</ns0:t>
        </ns0:is>
      </ns0:c>
      <ns0:c r="C353" s="19" t="inlineStr">
        <ns0:is>
          <ns0:t>10.1016/j.eswa.2025.127013</ns0:t>
        </ns0:is>
      </ns0:c>
      <ns0:c r="D353" s="19" t="inlineStr">
        <ns0:is>
          <ns0:t>https://doi.org/10.1016/j.eswa.2025.127013</ns0:t>
        </ns0:is>
      </ns0:c>
      <ns0:c r="E353" s="19" t="inlineStr">
        <ns0:is>
          <ns0:t>Prior source-specific extraction retained; no new full-text retrieval</ns0:t>
        </ns0:is>
      </ns0:c>
      <ns0:c r="F353" s="19" t="inlineStr">
        <ns0:is>
          <ns0:t>EVIDENCIA; original abstract/coding notes and lot source trace; Inherited scoped adjudication; see source level and lot caveats</ns0:t>
        </ns0:is>
      </ns0:c>
      <ns0:c r="G353" s="19" t="inlineStr">
        <ns0:is>
          <ns0:t>Retained source-specific coding after review of the supplied extraction notes; not a new full-text retrieval. Estudio clínico prospectivo con 24 ASD y 27 TD, fNIRS de 41 canales y XGBoost con validación anidada (outer 10, inner 5); reporta accuracy 96%. La validación es interna. Los autores reconocen muestra pequeña y ausencia de ADI-R/ADOS como gold-standard; no hay cohorte externa.</ns0:t>
        </ns0:is>
      </ns0:c>
      <ns0:c r="H353" s="19" t="inlineStr">
        <ns0:is>
          <ns0:t>Early detection of Autism Spectrum Disorder (ASD), a neuro-developmental condition characterized by impairments in social communication, is critical for prompt intervention and care. Recent advancements in digital medicine have significantly enhanced the precision and efficiency of ASD diagnosis, management, and care coordination. These technologies offer considerable potential for optimizing treatment pathways and improving patient outcomes. However, challenges remain in sustaining long-term user engagement and effectively integrating these innovations into routine clinical practice for ASD management. In this study, we report the findings from a clinic-based, prospective investigation aimed at evaluating the diagnostic validity of ASD employing XGBoost algorithm. Of the 51 cases assessed, 24 were diagnosed with ASD, while 27 were identified as having developmental delay without autism. Functional near-infrared spectroscopy (fNIRS) was employed to measure resting-state hemo-dynamic fluctuations in the bilateral temporal lobes, revealing connectivity differences through computer vision and machine learning analysis. Agglomerative hierarchical clustering (AgHC) was employed to evaluate the active coupling between fluctuations of deoxygenated hemoglobin (HbR) and oxygenated hemoglobin (HbO) across specific channels, elucidating inter-channel relationships in neurovascular coupling. The algorithm, using a range of significant features, achieved robust diagnostic performance with area under receiver operating characteristic curve of 0.99 ± 1, demonstrating sensitivity of 98%, specificity of 95%, negative predictive value (NPV) of 98%, and positive predictive value (PPV) of 95%, indicating high diagnostic accuracy in distinguishing relevant cases. These findings underscore the potential of digital medicine to offer objective and scalable framework for the diagnosis of autism in real-world clinical environments.</ns0:t>
        </ns0:is>
      </ns0:c>
      <ns0:c r="I353" s="19" t="inlineStr">
        <ns0:is>
          <ns0:t>Estudio clínico prospectivo con 24 ASD y 27 TD, fNIRS de 41 canales y XGBoost con validación anidada (outer 10, inner 5); reporta accuracy 96%. La validación es interna. Los autores reconocen muestra pequeña y ausencia de ADI-R/ADOS como gold-standard; no hay cohorte externa.</ns0:t>
        </ns0:is>
      </ns0:c>
      <ns0:c r="J353" s="19" t="inlineStr">
        <ns0:is>
          <ns0:t>Lote_01_25: nivel=Artículo del editor con metodología, resultados y limitaciones recuperados; hallazgo=Estudio clínico prospectivo con 24 ASD y 27 TD, fNIRS de 41 canales y XGBoost con validación anidada (outer 10, inner 5); reporta accuracy 96%.; limitación=La validación es interna. Los autores reconocen muestra pequeña y ausencia de ADI-R/ADOS como gold-standard; no hay cohorte externa.; acción=Verificación independiente del revisor humano antes del cierre final; fuente=https://doi.org/10.1016/j.eswa.2025.127013</ns0:t>
        </ns0:is>
      </ns0:c>
      <ns0:c r="K353" s="19" t="inlineStr">
        <ns0:is>
          <ns0:t>Contenido integral evaluable revisado; ver nivel exacto de fuente, evidencia y cautelas en Lote_01_25.</ns0:t>
        </ns0:is>
      </ns0:c>
      <ns0:c r="L353" s="19" t="inlineStr">
        <ns0:is>
          <ns0:t>Not documented in provided sources</ns0:t>
        </ns0:is>
      </ns0:c>
      <ns0:c r="M353" s="19" t="inlineStr">
        <ns0:is>
          <ns0:t>[]</ns0:t>
        </ns0:is>
      </ns0:c>
    </ns0:row>
    <ns0:row r="354" ht="350" customHeight="1">
      <ns0:c r="A354" s="21" t="inlineStr">
        <ns0:is>
          <ns0:t>new_60</ns0:t>
        </ns0:is>
      </ns0:c>
      <ns0:c r="B354" s="21" t="inlineStr">
        <ns0:is>
          <ns0:t>Using convolutional network in graphical model detection of autism disorders with fuzzy inference systems</ns0:t>
        </ns0:is>
      </ns0:c>
      <ns0:c r="C354" s="21" t="inlineStr">
        <ns0:is>
          <ns0:t>10.1016/j.ibmed.2025.100213</ns0:t>
        </ns0:is>
      </ns0:c>
      <ns0:c r="D354" s="21" t="inlineStr">
        <ns0:is>
          <ns0:t>https://doi.org/10.1016/j.ibmed.2025.100213</ns0:t>
        </ns0:is>
      </ns0:c>
      <ns0:c r="E354" s="21" t="inlineStr">
        <ns0:is>
          <ns0:t>Prior source-specific extraction retained; no new full-text retrieval</ns0:t>
        </ns0:is>
      </ns0:c>
      <ns0:c r="F354" s="21" t="inlineStr">
        <ns0:is>
          <ns0:t>EVIDENCIA; original abstract/coding notes and lot source trace; Inherited scoped adjudication; see source level and lot caveats</ns0:t>
        </ns0:is>
      </ns0:c>
      <ns0:c r="G354" s="21" t="inlineStr">
        <ns0:is>
          <ns0:t>Retained source-specific coding after review of the supplied extraction notes; not a new full-text retrieval. Combina conectividad rs-fMRI y variables fenotípicas de ABIDE-I en un GCN multiescala con inferencia difusa; usa 11-fold CV interno. Aunque ABIDE-I es multisitio, no se identificó site-held-out validation. El sitio de adquisición aparece entre rasgos fenotípicos, lo que puede introducir dependencia del sitio; se requiere análisis específico antes de afirmar robustez cross-site.</ns0:t>
        </ns0:is>
      </ns0:c>
      <ns0:c r="H354" s="21" t="inlineStr">
        <ns0:is>
          <ns0:t>Autism spectrum disorder (ASD) study faces several challenges, including variations in brain connectivity patterns, small sample sizes, and data heterogeneity detection by magnetic resonance imaging (MRI). These issues make it challenging to identify consistent imaging modalities. Researchers have explored improved analysis techniques to solve the above problem via multimodal imaging and graph-based methods. Therefore, it is better to understand ASD neurology. The current techniques focus mainly on pairwise comparisons between individuals and often overlook features and individual characteristics. To overcome these limitations, in the proposed novel method, a multiscale enhanced graph with a convolutional network is used for ASD detection. This work integrates non-imaging phenotypic data (from brain imaging data) with functional connectivity data (from Functional magnetic resonance images). In this approach, the population graph represents all individuals as vertices. The phenotypic data were used to calculate the weight between vertices in the graph using the fuzzy inference system. Fuzzy if-then rules, is used to determine the similarity between the phenotypic data. Each vertice connects feature vectors derived from the image data. The vertices and weights of each edge are used to incorporate phenotypic information. A random walk with a fuzzy MSE-GCN framework employs multiple parallel GCN layer embeddings. The outputs from these layers are joined in a completely linked layer to detect ASD efficiently. We assessed the performance of this background by the ABIDE data set and utilized recursive feature elimination and a multilayer perceptron for feature selection. This method achieved an accuracy rate of 87 % better than the current study.</ns0:t>
        </ns0:is>
      </ns0:c>
      <ns0:c r="I354" s="21" t="inlineStr">
        <ns0:is>
          <ns0:t>Combina conectividad rs-fMRI y variables fenotípicas de ABIDE-I en un GCN multiescala con inferencia difusa; usa 11-fold CV interno. Aunque ABIDE-I es multisitio, no se identificó site-held-out validation. El sitio de adquisición aparece entre rasgos fenotípicos, lo que puede introducir dependencia del sitio; se requiere análisis específico antes de afirmar robustez cross-site.</ns0:t>
        </ns0:is>
      </ns0:c>
      <ns0:c r="J354" s="21" t="inlineStr">
        <ns0:is>
          <ns0:t>Lote_01_25: nivel=Artículo del editor con método y resultados suficientemente recuperados; hallazgo=Combina conectividad rs-fMRI y variables fenotípicas de ABIDE-I en un GCN multiescala con inferencia difusa; usa 11-fold CV interno.; limitación=Aunque ABIDE-I es multisitio, no se identificó site-held-out validation. El sitio de adquisición aparece entre rasgos fenotípicos, lo que puede introducir dependencia del sitio; se requiere análisis específico antes de afirmar robustez cross-site.; acción=Verificación independiente del revisor humano antes del cierre final; fuente=https://doi.org/10.1016/j.ibmed.2025.100213</ns0:t>
        </ns0:is>
      </ns0:c>
      <ns0:c r="K354" s="21" t="inlineStr">
        <ns0:is>
          <ns0:t>Contenido integral evaluable revisado; ver nivel exacto de fuente, evidencia y cautelas en Lote_01_25.</ns0:t>
        </ns0:is>
      </ns0:c>
      <ns0:c r="L354" s="21" t="inlineStr">
        <ns0:is>
          <ns0:t>Not documented in provided sources</ns0:t>
        </ns0:is>
      </ns0:c>
      <ns0:c r="M354" s="21" t="inlineStr">
        <ns0:is>
          <ns0:t>[]</ns0:t>
        </ns0:is>
      </ns0:c>
    </ns0:row>
    <ns0:row r="355" ht="350" customHeight="1">
      <ns0:c r="A355" s="19" t="inlineStr">
        <ns0:is>
          <ns0:t>new_63</ns0:t>
        </ns0:is>
      </ns0:c>
      <ns0:c r="B355" s="19" t="inlineStr">
        <ns0:is>
          <ns0:t>Enhancing autism spectrum disorder early detection with parent-child dyads block-play protocol and attention-enhanced hybrid deep learning framework</ns0:t>
        </ns0:is>
      </ns0:c>
      <ns0:c r="C355" s="19" t="inlineStr">
        <ns0:is>
          <ns0:t>10.1016/j.engappai.2025.110430</ns0:t>
        </ns0:is>
      </ns0:c>
      <ns0:c r="D355" s="19" t="inlineStr">
        <ns0:is>
          <ns0:t>https://doi.org/10.1016/j.engappai.2025.110430</ns0:t>
        </ns0:is>
      </ns0:c>
      <ns0:c r="E355" s="19" t="inlineStr">
        <ns0:is>
          <ns0:t>Prior source-specific extraction retained; no new full-text retrieval</ns0:t>
        </ns0:is>
      </ns0:c>
      <ns0:c r="F355" s="19" t="inlineStr">
        <ns0:is>
          <ns0:t>EVIDENCIA; original abstract/coding notes and lot source trace; Inherited scoped adjudication; see source level and lot caveats</ns0:t>
        </ns0:is>
      </ns0:c>
      <ns0:c r="G355" s="19" t="inlineStr">
        <ns0:is>
          <ns0:t>Retained source-specific coding after review of the supplied extraction notes; not a new full-text retrieval. Protocolo de block-play parent-child con 40 ASD y 89 TD; cámara RGB, pose con Faster R-CNN+HRNet y clasificador 2sGCN-AxLSTM; accuracy reportada 89.6%. Datos recogidos prospectivamente en un único entorno y n=129; no hay validación externa independiente. El módulo de atención no se contó como XAI porque no se presentó como explicación clínica.</ns0:t>
        </ns0:is>
      </ns0:c>
      <ns0:c r="H355" s="19" t="inlineStr">
        <ns0:is>
          <ns0:t>Autism Spectrum Disorder (ASD) is a rapidly growing neurodevelopmental disorder. Early intervention is crucial for the development of young children with ASD, yet traditional clinical screening methods often lack objectivity. We introduce a novel Parent-Child Dyads Block-Play (PCB) protocol that captures distinct behavioral patterns in ASD toddlers during naturalistic interactions with their parents. This protocol systematically captures and quantifies parent–child interactions during the block-play task, providing a structured and naturalistic environment to observe ASD-relevant behaviors. Drawing on kinesiological and neuroscientific insights, our approach analyzes movement dynamics to reliably differentiate ASD from typically developing (TD) toddlers. In a dataset of 129 toddlers (40 ASD, 89 TD), we analyze the videos using a hybrid deep learning framework that integrates a two-stream graph convolution network (2sGCN) with an attention-enhanced extended long short-term memory (AxLSTM), enabling the capture of both spatial and temporal aspects of movement. Our 2sGCN-AxLSTM framework efficiently analyzes human dynamic behavioral patterns and is able to distinguish between ASD and typical developmental disorders with an unprecedented 89.6% accuracy. This high level of accuracy holds promise for practical clinical use, as it could facilitate timely interventions and potentially improve developmental outcomes. By focusing on real-life parent–child interactions, the proposed PCB protocol provides a valuable tool that can complement traditional assessments, facilitating timely interventions, and potentially improving developmental outcomes.</ns0:t>
        </ns0:is>
      </ns0:c>
      <ns0:c r="I355" s="19" t="inlineStr">
        <ns0:is>
          <ns0:t>Protocolo de block-play parent-child con 40 ASD y 89 TD; cámara RGB, pose con Faster R-CNN+HRNet y clasificador 2sGCN-AxLSTM; accuracy reportada 89.6%. Datos recogidos prospectivamente en un único entorno y n=129; no hay validación externa independiente. El módulo de atención no se contó como XAI porque no se presentó como explicación clínica.</ns0:t>
        </ns0:is>
      </ns0:c>
      <ns0:c r="J355" s="19" t="inlineStr">
        <ns0:is>
          <ns0:t>Lote_01_25: nivel=Preprint completo de autores en arXiv, coincidente con artículo final; hallazgo=Protocolo de block-play parent-child con 40 ASD y 89 TD; cámara RGB, pose con Faster R-CNN+HRNet y clasificador 2sGCN-AxLSTM; accuracy reportada 89.6%.; limitación=Datos recogidos prospectivamente en un único entorno y n=129; no hay validación externa independiente. El módulo de atención no se contó como XAI porque no se presentó como explicación clínica.; acción=Verificación independiente del revisor humano antes del cierre final; fuente=https://arxiv.org/pdf/2408.16924</ns0:t>
        </ns0:is>
      </ns0:c>
      <ns0:c r="K355" s="19" t="inlineStr">
        <ns0:is>
          <ns0:t>Contenido integral evaluable revisado; ver nivel exacto de fuente, evidencia y cautelas en Lote_01_25.</ns0:t>
        </ns0:is>
      </ns0:c>
      <ns0:c r="L355" s="19" t="inlineStr">
        <ns0:is>
          <ns0:t>Not documented in provided sources</ns0:t>
        </ns0:is>
      </ns0:c>
      <ns0:c r="M355" s="19" t="inlineStr">
        <ns0:is>
          <ns0:t>[]</ns0:t>
        </ns0:is>
      </ns0:c>
    </ns0:row>
    <ns0:row r="356" ht="350" customHeight="1">
      <ns0:c r="A356" s="21" t="inlineStr">
        <ns0:is>
          <ns0:t>new_64</ns0:t>
        </ns0:is>
      </ns0:c>
      <ns0:c r="B356" s="21" t="inlineStr">
        <ns0:is>
          <ns0:t>Involvement of disulfidptosis in the pathophysiology of autism spectrum disorder</ns0:t>
        </ns0:is>
      </ns0:c>
      <ns0:c r="C356" s="21" t="inlineStr">
        <ns0:is>
          <ns0:t>10.1016/j.lfs.2025.123531</ns0:t>
        </ns0:is>
      </ns0:c>
      <ns0:c r="D356" s="21" t="inlineStr">
        <ns0:is>
          <ns0:t>https://doi.org/10.1016/j.lfs.2025.123531</ns0:t>
        </ns0:is>
      </ns0:c>
      <ns0:c r="E356" s="21" t="inlineStr">
        <ns0:is>
          <ns0:t>Prior source-specific extraction retained; no new full-text retrieval</ns0:t>
        </ns0:is>
      </ns0:c>
      <ns0:c r="F356" s="21" t="inlineStr">
        <ns0:is>
          <ns0:t>EVIDENCIA; original abstract/coding notes and lot source trace; Inherited scoped adjudication; see source level and lot caveats</ns0:t>
        </ns0:is>
      </ns0:c>
      <ns0:c r="G356" s="21" t="inlineStr">
        <ns0:is>
          <ns0:t>Retained source-specific coding after review of the supplied extraction notes; not a new full-text retrieval. Identifies seven disulfidptosis-related genes and reports a predictive model (AUC 0.759) with external validation (AUC 0.811), plus animal follow-up. The paper is primarily mechanistic/biomarker research. External datasets support validation, but no real clinical workflow or site-held-out evaluation was demonstrated.</ns0:t>
        </ns0:is>
      </ns0:c>
      <ns0:c r="H356" s="21" t="inlineStr">
        <ns0:is>
          <ns0:t>Autism Spectrum Disorder (ASD) is a complex neurodevelopmental disorder, with oxidative stress recognized as a key pathogenic mechanisms. Oxidative stress disrupts intracellular dynamic- thiol/disulfide homeostasis (DTDH), potentially leading to disulfidptosis, a newly identified cell death mechanism. While studies suggest a link between DTDH and ASD, direct evidence implicating disulfidptosis in ASD pathogenesis remains limited. In this study, Mendelian randomization analysis revealed a significant causal association between disulfidptosis-related sulfhydryl oxidase 1 and 2 and ASD (OR1 = 0.883, OR2 = 0.924, p &lt; 0.05). A positive correlation between protein disulfide-isomerase and cognitive performance (OR = 1.021, p &lt; 0.01) further supported the role of disulfidptosis in ASD. Seven disulfidptosis-related genes (TIMP1, STAT3, VWA1, ADA, IL5, PF4, and TXNDC12) were identified and linked to immune cell alterations. A TF-miRNA-mRNA regulatory network and a predictive model (AUC = 0.759) were constructed and external validation datasets (AUC = 0.811). Immune infiltration analysis demonstrated altered expression of naive B cells and three other types of immune cells in ASD children. Animal experiments further validated the differential expression of key genes, highlighting their relevance to ASD pathogenesis. Animal experiments found that BTBR mice exhibit glucose starvation and NADPH depletion, with the specific indicator Slc7a11 being highly expressed. Silencing Slc7a11 can improve core ASD impairments in BTBR mice. Conclusion: This study establishes the first mechanistic link between disulfidptosis and ASD, identifies seven key genes and their regulatory network, and develops a predictive model with clinical utility. Animal experiments further confirmed the strong association between disulfidpotosis and ASD phenotypes. These findings offer novel therapeutic targets for modulating oxidative stress in ASD.</ns0:t>
        </ns0:is>
      </ns0:c>
      <ns0:c r="I356" s="21" t="inlineStr">
        <ns0:is>
          <ns0:t>Identifies seven disulfidptosis-related genes and reports a predictive model (AUC 0.759) with external validation (AUC 0.811), plus animal follow-up. The paper is primarily mechanistic/biomarker research. External datasets support validation, but no real clinical workflow or site-held-out evaluation was demonstrated.</ns0:t>
        </ns0:is>
      </ns0:c>
      <ns0:c r="J356" s="21" t="inlineStr">
        <ns0:is>
          <ns0:t>Lote_02_25: nivel=Publisher-indexed article text; sufficient Methods/Results/Discussion sections recovered; hallazgo=Identifies seven disulfidptosis-related genes and reports a predictive model (AUC 0.759) with external validation (AUC 0.811), plus animal follow-up.; limitación=The paper is primarily mechanistic/biomarker research. External datasets support validation, but no real clinical workflow or site-held-out evaluation was demonstrated.; acción=Verificacion independiente del revisor humano antes del cierre final; fuente=https://www.sciencedirect.com/science/article/pii/S0024320525001651</ns0:t>
        </ns0:is>
      </ns0:c>
      <ns0:c r="K356" s="21" t="inlineStr">
        <ns0:is>
          <ns0:t>Contenido integral evaluable revisado; ver nivel exacto de fuente, evidencia y cautelas en Lote_02_25.</ns0:t>
        </ns0:is>
      </ns0:c>
      <ns0:c r="L356" s="21" t="inlineStr">
        <ns0:is>
          <ns0:t>Not documented in provided sources</ns0:t>
        </ns0:is>
      </ns0:c>
      <ns0:c r="M356" s="21" t="inlineStr">
        <ns0:is>
          <ns0:t>[]</ns0:t>
        </ns0:is>
      </ns0:c>
    </ns0:row>
    <ns0:row r="357" ht="350" customHeight="1">
      <ns0:c r="A357" s="19" t="inlineStr">
        <ns0:is>
          <ns0:t>new_67</ns0:t>
        </ns0:is>
      </ns0:c>
      <ns0:c r="B357" s="19" t="inlineStr">
        <ns0:is>
          <ns0:t>Enhancing the identification of autism spectrum disorder in facial expressions using DenseResNet-Based transfer learning approach</ns0:t>
        </ns0:is>
      </ns0:c>
      <ns0:c r="C357" s="19" t="inlineStr">
        <ns0:is>
          <ns0:t>10.1016/j.bspc.2024.107433</ns0:t>
        </ns0:is>
      </ns0:c>
      <ns0:c r="D357" s="19" t="inlineStr">
        <ns0:is>
          <ns0:t>https://doi.org/10.1016/j.bspc.2024.107433</ns0:t>
        </ns0:is>
      </ns0:c>
      <ns0:c r="E357" s="19" t="inlineStr">
        <ns0:is>
          <ns0:t>Prior source-specific extraction retained; no new full-text retrieval</ns0:t>
        </ns0:is>
      </ns0:c>
      <ns0:c r="F357" s="19" t="inlineStr">
        <ns0:is>
          <ns0:t>EVIDENCIA; original abstract/coding notes and lot source trace; Inherited scoped adjudication; see source level and lot caveats</ns0:t>
        </ns0:is>
      </ns0:c>
      <ns0:c r="G357" s="19" t="inlineStr">
        <ns0:is>
          <ns0:t>Retained source-specific coding after review of the supplied extraction notes; not a new full-text retrieval. DenseResNet combines DenseNet and ResNet transfer learning on facial images; 2526 training and 200 test images; reported accuracy 97.07%. Internal dataset evaluation only. No independent external cohort, prospective clinical workflow, cross-site test, or formal XAI was identified.</ns0:t>
        </ns0:is>
      </ns0:c>
      <ns0:c r="H357" s="19" t="inlineStr">
        <ns0:is>
          <ns0:t>Autism Spectrum Disorder (ASD) is a neurological disability, which is characterized by cognition, behavioral challenges, social skills, and communication. Identifying children with ASD in the early stages helps improve their learning ability and limit the symptoms. Since there is no medical test to diagnose the disorder, it is very challenging. Many researchers diagnose ASD through facial images and the child's behavior. In this methodology, DenseResNet (DRN)-based transfer learning approaches are proposed to analyze the facial images through deep learning techniques. Generally, the human face reflects the human brain and when it is used as a biomarker, it becomes easy to diagnose ASD in its early stages. This strategy combines two methods: densely connected networks and residual networks, which are pre-trained models to detect facial images of autistic children. This model reaches 97.07% classification accuracy and uses its dataset. The deep learning model creates four dense blocks for extracting features. Moreover, it extracts the features from residual network layers and finally combines the features for classifying the images. This model is trained using around 2526 images and is tested using 200 images. Based on classification accuracy, the autism diagnosis system for children is effectively used by using only facial images.</ns0:t>
        </ns0:is>
      </ns0:c>
      <ns0:c r="I357" s="19" t="inlineStr">
        <ns0:is>
          <ns0:t>DenseResNet combines DenseNet and ResNet transfer learning on facial images; 2526 training and 200 test images; reported accuracy 97.07%. Internal dataset evaluation only. No independent external cohort, prospective clinical workflow, cross-site test, or formal XAI was identified.</ns0:t>
        </ns0:is>
      </ns0:c>
      <ns0:c r="J357" s="19" t="inlineStr">
        <ns0:is>
          <ns0:t>Lote_02_25: nivel=Publisher-indexed article text; sufficient methodology, experimental setup, discussion and conclusion recovered; hallazgo=DenseResNet combines DenseNet and ResNet transfer learning on facial images; 2526 training and 200 test images; reported accuracy 97.07%.; limitación=Internal dataset evaluation only. No independent external cohort, prospective clinical workflow, cross-site test, or formal XAI was identified.; acción=Verificacion independiente del revisor humano antes del cierre final; fuente=https://www.sciencedirect.com/science/article/pii/S1746809424014915</ns0:t>
        </ns0:is>
      </ns0:c>
      <ns0:c r="K357" s="19" t="inlineStr">
        <ns0:is>
          <ns0:t>Contenido integral evaluable revisado; ver nivel exacto de fuente, evidencia y cautelas en Lote_02_25.</ns0:t>
        </ns0:is>
      </ns0:c>
      <ns0:c r="L357" s="19" t="inlineStr">
        <ns0:is>
          <ns0:t>Not documented in provided sources</ns0:t>
        </ns0:is>
      </ns0:c>
      <ns0:c r="M357" s="19" t="inlineStr">
        <ns0:is>
          <ns0:t>[]</ns0:t>
        </ns0:is>
      </ns0:c>
    </ns0:row>
    <ns0:row r="358" ht="350" customHeight="1">
      <ns0:c r="A358" s="21" t="inlineStr">
        <ns0:is>
          <ns0:t>new_74</ns0:t>
        </ns0:is>
      </ns0:c>
      <ns0:c r="B358" s="21" t="inlineStr">
        <ns0:is>
          <ns0:t>Deep neurocomputational fusion for ASD diagnosis using multi-domain EEG analysis</ns0:t>
        </ns0:is>
      </ns0:c>
      <ns0:c r="C358" s="21" t="inlineStr">
        <ns0:is>
          <ns0:t>10.1016/j.neucom.2025.130353</ns0:t>
        </ns0:is>
      </ns0:c>
      <ns0:c r="D358" s="21" t="inlineStr">
        <ns0:is>
          <ns0:t>https://doi.org/10.1016/j.neucom.2025.130353</ns0:t>
        </ns0:is>
      </ns0:c>
      <ns0:c r="E358" s="21" t="inlineStr">
        <ns0:is>
          <ns0:t>Prior source-specific extraction retained; no new full-text retrieval</ns0:t>
        </ns0:is>
      </ns0:c>
      <ns0:c r="F358" s="21" t="inlineStr">
        <ns0:is>
          <ns0:t>EVIDENCIA; original abstract/coding notes and lot source trace; Inherited scoped adjudication; see source level and lot caveats</ns0:t>
        </ns0:is>
      </ns0:c>
      <ns0:c r="G358" s="21" t="inlineStr">
        <ns0:is>
          <ns0:t>Retained source-specific coding after review of the supplied extraction notes; not a new full-text retrieval. EEFM fuses time/frequency EEG features using an LSTM autoencoder, XGBoost and linear regression; reported ASD-vs-TD accuracy is 93%. Multiple EEG collections do not by themselves establish independent external validation or cross-site robustness; no formal XAI was reported.</ns0:t>
        </ns0:is>
      </ns0:c>
      <ns0:c r="H358" s="21" t="inlineStr">
        <ns0:is>
          <ns0:t>Autism spectrum disorder (ASD) presents significant challenges in early detection due to its heterogeneous nature and the subtlety of neurophysiological variations. Electroencephalography (EEG) has emerged as a promising tool for ASD diagnosis, offering insights into intricate neurophysiological signal dynamics. However, existing computational EEG analysis techniques often struggle to effectively capture complex ASD-related neural activity patterns. To address these limitations, this study proposes an Encoder-Ensemble Fusion Model (EEFM), designed to enhance EEG-based ASD classification through advanced neurocomputational modeling. EEFM integrates multi-domain EEG features with a sophisticated fusion network, initially extracting a diverse range of time and frequency-domain characteristics. This model enables the identification of nuanced and heterogeneous ASD-specific neural activity, leveraging ensemble learning and autoencoder architectures to uncover complex relationships within the data. Specifically, an LSTM (Long Short-Term Memory)-autoencoder models temporal and spatial dependencies, followed by an XGBoost Regressor for nonlinear EEG signal interpretation and a linear regression model for decision boundary refinement. The proposed model has been evaluated on a dataset focusing on sex-specific EEG variations in ASD and Typically Developing (TD) subjects. By incorporating EEG-based neurophysiological biomarkers, EEFM achieved 93% accuracy in distinguishing ASD from TD individuals. This model enhances sensitivity to subtle ASD-related abnormalities while addressing challenges in data heterogeneity, scarcity, and generalizability, contributing to advancements in neurocomputing methodologies for EEG-based ASD diagnosis.</ns0:t>
        </ns0:is>
      </ns0:c>
      <ns0:c r="I358" s="21" t="inlineStr">
        <ns0:is>
          <ns0:t>EEFM fuses time/frequency EEG features using an LSTM autoencoder, XGBoost and linear regression; reported ASD-vs-TD accuracy is 93%. Multiple EEG collections do not by themselves establish independent external validation or cross-site robustness; no formal XAI was reported.</ns0:t>
        </ns0:is>
      </ns0:c>
      <ns0:c r="J358" s="21" t="inlineStr">
        <ns0:is>
          <ns0:t>Lote_02_25: nivel=Publisher-indexed article text; model description, dataset context, analyses, discussion and conclusion recovered; hallazgo=EEFM fuses time/frequency EEG features using an LSTM autoencoder, XGBoost and linear regression; reported ASD-vs-TD accuracy is 93%.; limitación=Multiple EEG collections do not by themselves establish independent external validation or cross-site robustness; no formal XAI was reported.; acción=Verificacion independiente del revisor humano antes del cierre final; fuente=https://www.sciencedirect.com/science/article/pii/S0925231225010252</ns0:t>
        </ns0:is>
      </ns0:c>
      <ns0:c r="K358" s="21" t="inlineStr">
        <ns0:is>
          <ns0:t>Contenido integral evaluable revisado; ver nivel exacto de fuente, evidencia y cautelas en Lote_02_25.</ns0:t>
        </ns0:is>
      </ns0:c>
      <ns0:c r="L358" s="21" t="inlineStr">
        <ns0:is>
          <ns0:t>Not documented in provided sources</ns0:t>
        </ns0:is>
      </ns0:c>
      <ns0:c r="M358" s="21" t="inlineStr">
        <ns0:is>
          <ns0:t>[]</ns0:t>
        </ns0:is>
      </ns0:c>
    </ns0:row>
    <ns0:row r="359" ht="350" customHeight="1">
      <ns0:c r="A359" s="19" t="inlineStr">
        <ns0:is>
          <ns0:t>new_76</ns0:t>
        </ns0:is>
      </ns0:c>
      <ns0:c r="B359" s="19" t="inlineStr">
        <ns0:is>
          <ns0:t>Female autism categorization using CNN based NeuroNet57 and ant colony optimization</ns0:t>
        </ns0:is>
      </ns0:c>
      <ns0:c r="C359" s="19" t="inlineStr">
        <ns0:is>
          <ns0:t>10.1016/j.compbiomed.2025.109926</ns0:t>
        </ns0:is>
      </ns0:c>
      <ns0:c r="D359" s="19" t="inlineStr">
        <ns0:is>
          <ns0:t>https://doi.org/10.1016/j.compbiomed.2025.109926</ns0:t>
        </ns0:is>
      </ns0:c>
      <ns0:c r="E359" s="19" t="inlineStr">
        <ns0:is>
          <ns0:t>Prior source-specific extraction retained; no new full-text retrieval</ns0:t>
        </ns0:is>
      </ns0:c>
      <ns0:c r="F359" s="19" t="inlineStr">
        <ns0:is>
          <ns0:t>EVIDENCIA; original abstract/coding notes and lot source trace; Inherited scoped adjudication; see source level and lot caveats</ns0:t>
        </ns0:is>
      </ns0:c>
      <ns0:c r="G359" s="19" t="inlineStr">
        <ns0:is>
          <ns0:t>Retained source-specific coding after review of the supplied extraction notes; not a new full-text retrieval. NeuroNet57 extracts ABIDE-I/II features, ACO selects features, and FineKNN reports 92.21% accuracy on ABIDE-I and 93.49% on ABIDE-II. ABIDE is multisite, but the recovered text did not document site-held-out testing or a fixed development-versus-external validation design.</ns0:t>
        </ns0:is>
      </ns0:c>
      <ns0:c r="H359" s="19" t="inlineStr">
        <ns0:is>
          <ns0:t>Autism identification and classification using biomedical medical image analysis has advanced recently. Research shows autistic females have different phenotypic and age-related brain variations than males. Gender-specific hormones and genes affect autistic female brain circuitry, unfortunately, female phenotypic and genotypic data is quite deficient. Since physicians spend much time in assessing autistic females manually. Advanced large-scale deep learning algorithms are in dire need of accurate medical diagnosis. This research proposed a 57-layer CNN architecture called NeuroNet57 that can extract features from fMRI factually. After pre-training on the Brain Tumour dataset, the NeuroNet57 model extracts female phenotypic features from autism brain imagining data exchange (ABIDE)-I+II datasets using T1 modality fMRI scans, resulting in feature matrices of 14372 × 4096 for ABIDE_I and 16168 × 4096 for ABIDE_II. Our model uses ant colony optimization (ACO) to select feature subsets for dimensionality reduction. Further, nine machine learning classifiers are used to categorize females with autism spectrum disorder (ASD) from females with control behavior. The KNN-based fineKNN (FKNN) classifier had 92.21% accuracy on ABIDE-I and 93.49% on ABIDE-II. This proves the effectiveness of our proposed model.</ns0:t>
        </ns0:is>
      </ns0:c>
      <ns0:c r="I359" s="19" t="inlineStr">
        <ns0:is>
          <ns0:t>NeuroNet57 extracts ABIDE-I/II features, ACO selects features, and FineKNN reports 92.21% accuracy on ABIDE-I and 93.49% on ABIDE-II. ABIDE is multisite, but the recovered text did not document site-held-out testing or a fixed development-versus-external validation design.</ns0:t>
        </ns0:is>
      </ns0:c>
      <ns0:c r="J359" s="19" t="inlineStr">
        <ns0:is>
          <ns0:t>Lote_02_25: nivel=Publisher-indexed article text; contributions, preprocessing, experimental setup and results recovered; hallazgo=NeuroNet57 extracts ABIDE-I/II features, ACO selects features, and FineKNN reports 92.21% accuracy on ABIDE-I and 93.49% on ABIDE-II.; limitación=ABIDE is multisite, but the recovered text did not document site-held-out testing or a fixed development-versus-external validation design.; acción=Verificacion independiente del revisor humano antes del cierre final; fuente=https://www.sciencedirect.com/science/article/pii/S001048252500277X</ns0:t>
        </ns0:is>
      </ns0:c>
      <ns0:c r="K359" s="19" t="inlineStr">
        <ns0:is>
          <ns0:t>Contenido integral evaluable revisado; ver nivel exacto de fuente, evidencia y cautelas en Lote_02_25.</ns0:t>
        </ns0:is>
      </ns0:c>
      <ns0:c r="L359" s="19" t="inlineStr">
        <ns0:is>
          <ns0:t>Not documented in provided sources</ns0:t>
        </ns0:is>
      </ns0:c>
      <ns0:c r="M359" s="19" t="inlineStr">
        <ns0:is>
          <ns0:t>[]</ns0:t>
        </ns0:is>
      </ns0:c>
    </ns0:row>
    <ns0:row r="360" ht="350" customHeight="1">
      <ns0:c r="A360" s="21" t="inlineStr">
        <ns0:is>
          <ns0:t>new_78</ns0:t>
        </ns0:is>
      </ns0:c>
      <ns0:c r="B360" s="21" t="inlineStr">
        <ns0:is>
          <ns0:t>Capsule DenseNet++: Enhanced autism detection framework with deep learning and reinforcement learning-based lifestyle recommendation</ns0:t>
        </ns0:is>
      </ns0:c>
      <ns0:c r="C360" s="21" t="inlineStr">
        <ns0:is>
          <ns0:t>10.1016/j.compbiomed.2025.110038</ns0:t>
        </ns0:is>
      </ns0:c>
      <ns0:c r="D360" s="21" t="inlineStr">
        <ns0:is>
          <ns0:t>https://doi.org/10.1016/j.compbiomed.2025.110038</ns0:t>
        </ns0:is>
      </ns0:c>
      <ns0:c r="E360" s="21" t="inlineStr">
        <ns0:is>
          <ns0:t>Prior source-specific extraction retained; no new full-text retrieval</ns0:t>
        </ns0:is>
      </ns0:c>
      <ns0:c r="F360" s="21" t="inlineStr">
        <ns0:is>
          <ns0:t>EVIDENCIA; original abstract/coding notes and lot source trace; Inherited scoped adjudication; see source level and lot caveats</ns0:t>
        </ns0:is>
      </ns0:c>
      <ns0:c r="G360" s="21" t="inlineStr">
        <ns0:is>
          <ns0:t>Retained source-specific coding after review of the supplied extraction notes; not a new full-text retrieval. Uses Capsule DenseNet++ with optimization for ASD screening on two public datasets and a PPO component for lifestyle recommendation; reported accuracies are about 99.2-99.3%. The two datasets were not documented as a fixed independent external-validation scheme, and the recommendation component was not evaluated in a prospective care workflow.
All-neural/optimization pipeline in recovered evidence; hybrid title is not sufficient for mixed conventional-ML/DL classification.</ns0:t>
        </ns0:is>
      </ns0:c>
      <ns0:c r="H360" s="21" t="inlineStr">
        <ns0:is>
          <ns0:t>Autism Spectrum Disorder (ASD) is a complex neurological condition that impairs the ability to interact, communicate, and behave. It is becoming increasingly prevalent worldwide, with an increase in the number of young children diagnosed with ASD in Saudi Arabia. Timely identification and customized interventions are essential for enhancing developmental outcomes. However, existing diagnostic approaches are subjective, limiting the cost-effectiveness of their utilization and the uniformity of their outcomes across different communities. In light of these concerns, this study presents a two-phase deep learning framework for autism detection with lifestyle advice using reinforcement learning. In the first phase, the proposed framework utilizes advanced multiscale statistical techniques for feature extraction, such as measures of central tendencies, variability indices, and percentiles, incorporated with the CosmoNest Optimizer, which is a hybrid of the African Vultures Optimization Algorithm and Butterfly Optimization Algorithm. For accurate ASD identification, these optimized features were classified using Capsule DenseNet++, an advanced deep learning model that increases feature representation efficiency and interpretability. In the second stage, we implement a personalized lifestyle recommendation system using the Proximal Policy Optimization (PPO) algorithm, a reinforcement learning algorithm. In the PPO approach, lifestyle decisions are sequential actions aimed at optimizing interventions, therapies, or daily activities for a given person. The PPO system dynamically learns and adapts recommendations over time to improve its effectiveness. The framework was developed in Python and tested on two datasets: autism screening data and ASD screening data for toddlers in Saudi Arabia. The performance of the detection model was recorded in terms of accuracy (99.2 % and 99.3 %, respectively), precision (98.5 % and 98.7 %, respectively), sensitivity (98.7 % and 98.9 %, respectively), and F1-score (99.1 % and 99.2 %, respectively), demonstrating its robustness for ASD detection across both datasets.</ns0:t>
        </ns0:is>
      </ns0:c>
      <ns0:c r="I360" s="21" t="inlineStr">
        <ns0:is>
          <ns0:t>Uses Capsule DenseNet++ with optimization for ASD screening on two public datasets and a PPO component for lifestyle recommendation; reported accuracies are about 99.2-99.3%. The two datasets were not documented as a fixed independent external-validation scheme, and the recommendation component was not evaluated in a prospective care workflow.</ns0:t>
        </ns0:is>
      </ns0:c>
      <ns0:c r="J360" s="21" t="inlineStr">
        <ns0:is>
          <ns0:t>Lote_02_25: nivel=Publisher-indexed article text; contributions, experiments, results and conclusion recovered; hallazgo=Uses Capsule DenseNet++ with optimization for ASD screening on two public datasets and a PPO component for lifestyle recommendation; reported accuracies are about 99.2-99.3%.; limitación=The two datasets were not documented as a fixed independent external-validation scheme, and the recommendation component was not evaluated in a prospective care workflow.; acción=Verificacion independiente del revisor humano antes del cierre final; fuente=https://www.sciencedirect.com/science/article/pii/S0010482525003890</ns0:t>
        </ns0:is>
      </ns0:c>
      <ns0:c r="K360" s="21" t="inlineStr">
        <ns0:is>
          <ns0:t>Contenido integral evaluable revisado; ver nivel exacto de fuente, evidencia y cautelas en Lote_02_25.</ns0:t>
        </ns0:is>
      </ns0:c>
      <ns0:c r="L360" s="21" t="inlineStr">
        <ns0:is>
          <ns0:t>Not documented in provided sources</ns0:t>
        </ns0:is>
      </ns0:c>
      <ns0:c r="M360" s="21" t="inlineStr">
        <ns0:is>
          <ns0:t>[]</ns0:t>
        </ns0:is>
      </ns0:c>
    </ns0:row>
    <ns0:row r="361" ht="350" customHeight="1">
      <ns0:c r="A361" s="19" t="inlineStr">
        <ns0:is>
          <ns0:t>new_81</ns0:t>
        </ns0:is>
      </ns0:c>
      <ns0:c r="B361" s="19" t="inlineStr">
        <ns0:is>
          <ns0:t>Self-training EEG discrimination model with weakly supervised sample construction: An age-based perspective on ASD evaluation</ns0:t>
        </ns0:is>
      </ns0:c>
      <ns0:c r="C361" s="19" t="inlineStr">
        <ns0:is>
          <ns0:t>10.1016/j.neunet.2025.107337</ns0:t>
        </ns0:is>
      </ns0:c>
      <ns0:c r="D361" s="19" t="inlineStr">
        <ns0:is>
          <ns0:t>https://doi.org/10.1016/j.neunet.2025.107337</ns0:t>
        </ns0:is>
      </ns0:c>
      <ns0:c r="E361" s="19" t="inlineStr">
        <ns0:is>
          <ns0:t>Prior source-specific extraction retained; no new full-text retrieval</ns0:t>
        </ns0:is>
      </ns0:c>
      <ns0:c r="F361" s="19" t="inlineStr">
        <ns0:is>
          <ns0:t>EVIDENCIA; original abstract/coding notes and lot source trace; Inherited scoped adjudication; see source level and lot caveats</ns0:t>
        </ns0:is>
      </ns0:c>
      <ns0:c r="G361" s="19" t="inlineStr">
        <ns0:is>
          <ns0:t>Retained source-specific coding after review of the supplied extraction notes; not a new full-text retrieval. STEM combines an autoencoder, depthwise-separable convolution, BiGRU and pseudo-label self-training across EEG data; reported accuracy is 88.33% and F1 87.24%. Use of several EEG datasets does not automatically prove external validation; no explicit site-held-out or prospective clinical evaluation was identified.</ns0:t>
        </ns0:is>
      </ns0:c>
      <ns0:c r="H361" s="19" t="inlineStr">
        <ns0:is>
          <ns0:t>Deep learning for Electroencephalography (EEG) has become dominant in the tasks of discrimination and evaluation of brain disorders. However, despite its significant successes, this approach has long been facing challenges due to the limited availability of labeled samples and the individuality of subjects, particularly in complex scenarios such as Autism Spectrum Disorders (ASD). To facilitate the efficient optimization of EEG discrimination models in the face of these limitations, this study has developed a framework called STEM (Self-Training EEG Model). STEM accomplishes this by self-training the model, which involves initializing it with limited labeled samples and optimizing it with self-constructed samples. (1) Model initialization with multi-task learning: A multi-task model (MAC) comprising an AutoEncoder and a classifier offers guidance for subsequent pseudo-labeling. This guidance includes task-related latent EEG representations and prediction probabilities of unlabeled samples. The AutoEncoder, which consists of depth-separable convolutions and BiGRUs, is responsible for learning comprehensive EEG representations through the EEG reconstruction task. Meanwhile, the classifier, trained using limited labeled samples through supervised learning, directs the model's attention towards capturing task-related features. (2) Model optimization aided by pseudo-labeled samples construction: Next, trustworthy pseudo-labels are assigned to the unlabeled samples, and this approach (PLASC) combines the sample's distance relationship in the feature space mapped by the encoder with the sample's predicted probability, using the initial MAC model as a reference. The constructed pseudo-labeled samples then support the self-training of MAC to learn individual information from new subjects, potentially enhancing the adaptation of the optimized model to samples from new subjects. The STEM framework has undergone an extensive evaluation, comparing it to state-of-the-art counterparts, using resting-state EEG data collected from 175 ASD-suspicious children spanning different age groups. The observed results indicate the following: (1) STEM achieves the best performance, with an accuracy of 88.33% and an F1-score of 87.24%, and (2) STEM's multi-task learning capability outperforms supervised methods when labeled data is limited. More importantly, the use of PLASC improves the model's performance in ASD discrimination across different age groups, resulting in an increase in accuracy (3%–8%) and F1-scores (4%–10%). These increments are approximately 6% higher than those achieved by the comparison methods.</ns0:t>
        </ns0:is>
      </ns0:c>
      <ns0:c r="I361" s="19" t="inlineStr">
        <ns0:is>
          <ns0:t>STEM combines an autoencoder, depthwise-separable convolution, BiGRU and pseudo-label self-training across EEG data; reported accuracy is 88.33% and F1 87.24%. Use of several EEG datasets does not automatically prove external validation; no explicit site-held-out or prospective clinical evaluation was identified.</ns0:t>
        </ns0:is>
      </ns0:c>
      <ns0:c r="J361" s="19" t="inlineStr">
        <ns0:is>
          <ns0:t>Lote_02_25: nivel=Publisher-indexed article text; architecture, datasets, results and conclusion recovered; hallazgo=STEM combines an autoencoder, depthwise-separable convolution, BiGRU and pseudo-label self-training across EEG data; reported accuracy is 88.33% and F1 87.24%.; limitación=Use of several EEG datasets does not automatically prove external validation; no explicit site-held-out or prospective clinical evaluation was identified.; acción=Verificacion independiente del revisor humano antes del cierre final; fuente=https://www.sciencedirect.com/science/article/pii/S0893608025002163</ns0:t>
        </ns0:is>
      </ns0:c>
      <ns0:c r="K361" s="19" t="inlineStr">
        <ns0:is>
          <ns0:t>Contenido integral evaluable revisado; ver nivel exacto de fuente, evidencia y cautelas en Lote_02_25.</ns0:t>
        </ns0:is>
      </ns0:c>
      <ns0:c r="L361" s="19" t="inlineStr">
        <ns0:is>
          <ns0:t>Not documented in provided sources</ns0:t>
        </ns0:is>
      </ns0:c>
      <ns0:c r="M361" s="19" t="inlineStr">
        <ns0:is>
          <ns0:t>[]</ns0:t>
        </ns0:is>
      </ns0:c>
    </ns0:row>
    <ns0:row r="362" ht="350" customHeight="1">
      <ns0:c r="A362" s="21" t="inlineStr">
        <ns0:is>
          <ns0:t>new_84</ns0:t>
        </ns0:is>
      </ns0:c>
      <ns0:c r="B362" s="21" t="inlineStr">
        <ns0:is>
          <ns0:t>Towards screening of children students with autism spectrum disorder based on executive functions with serious game and machine learning approaches</ns0:t>
        </ns0:is>
      </ns0:c>
      <ns0:c r="C362" s="21" t="inlineStr">
        <ns0:is>
          <ns0:t>10.1016/j.eswa.2025.128884</ns0:t>
        </ns0:is>
      </ns0:c>
      <ns0:c r="D362" s="21" t="inlineStr">
        <ns0:is>
          <ns0:t>https://doi.org/10.1016/j.eswa.2025.128884</ns0:t>
        </ns0:is>
      </ns0:c>
      <ns0:c r="E362" s="21" t="inlineStr">
        <ns0:is>
          <ns0:t>Prior source-specific extraction retained; no new full-text retrieval</ns0:t>
        </ns0:is>
      </ns0:c>
      <ns0:c r="F362" s="21" t="inlineStr">
        <ns0:is>
          <ns0:t>EVIDENCIA; original abstract/coding notes and lot source trace; Inherited scoped adjudication; see source level and lot caveats</ns0:t>
        </ns0:is>
      </ns0:c>
      <ns0:c r="G362" s="21" t="inlineStr">
        <ns0:is>
          <ns0:t>Retained source-specific coding after review of the supplied extraction notes; not a new full-text retrieval. Three teachers supervised 12 children (6 ASD, 6 TD) over three months and 640 game sessions; Random Forest was best, with reported accuracy near 96%. Very small single-context sample. Data collection was prospective, but the classifier was not shown to operate as an independent deployed screening decision in routine practice.</ns0:t>
        </ns0:is>
      </ns0:c>
      <ns0:c r="H362" s="21" t="inlineStr">
        <ns0:is>
          <ns0:t>Educators face challenges in accommodating children with Autism Spectrum Disorder (ASD), particularly those without a definitive clinical diagnosis. Full-day schools provide a convenient setting to implement ASD screening techniques. Children diagnosed with ASD can receive customized interventions, allowing educators to customize teaching to individual needs and promote inclusive education. However, screening methods must seamlessly integrate into the educational environment, ensuring they are noninvasive and engaging. This study proposes a Serious Game (SG) tablet application that combines user requirements for inclusive design with Machine Learning (ML) techniques for screening analysis, offering a playful tool for ASD screening. This tablet application includes three classical games designed to analyze executive functions (EF) in children. We recruited three inclusive education teachers to supervise 12 children aged between 3 and 6 years old, including 6 with ASD and 6 typically developing children. The teachers also facilitated the children's use of our tablet application. Over three months, children completed 640 game matches, and preprocessing these matches resulted in a comprehensive dataset. We compared seven well-known and commonly used ML approaches: Random Forest (RF), Multilayer Perceptron (MLP), K-Nearest Neighbor (KNN), Logistic Regression (LR), Deep Learning (DL), Support Vector Machine (SVM), and Naive Bayes (NB). According to our results, the RF model performed best with an accuracy of 96 %. Our study sheds light on the integration of playful approaches based on SG and ML techniques in educational environments, laying the groundwork for future research and practical applications to screen for suspected ASD among children in school settings.</ns0:t>
        </ns0:is>
      </ns0:c>
      <ns0:c r="I362" s="21" t="inlineStr">
        <ns0:is>
          <ns0:t>Three teachers supervised 12 children (6 ASD, 6 TD) over three months and 640 game sessions; Random Forest was best, with reported accuracy near 96%. Very small single-context sample. Data collection was prospective, but the classifier was not shown to operate as an independent deployed screening decision in routine practice.</ns0:t>
        </ns0:is>
      </ns0:c>
      <ns0:c r="J362" s="21" t="inlineStr">
        <ns0:is>
          <ns0:t>Lote_02_25: nivel=Publisher-indexed article text; experimental protocol, participant context, model comparison and results recovered; hallazgo=Three teachers supervised 12 children (6 ASD, 6 TD) over three months and 640 game sessions; Random Forest was best, with reported accuracy near 96%.; limitación=Very small single-context sample. Data collection was prospective, but the classifier was not shown to operate as an independent deployed screening decision in routine practice.; acción=Verificacion independiente del revisor humano antes del cierre final; fuente=https://www.sciencedirect.com/science/article/pii/S0957417425025011</ns0:t>
        </ns0:is>
      </ns0:c>
      <ns0:c r="K362" s="21" t="inlineStr">
        <ns0:is>
          <ns0:t>Contenido integral evaluable revisado; ver nivel exacto de fuente, evidencia y cautelas en Lote_02_25.</ns0:t>
        </ns0:is>
      </ns0:c>
      <ns0:c r="L362" s="21" t="inlineStr">
        <ns0:is>
          <ns0:t>Not documented in provided sources</ns0:t>
        </ns0:is>
      </ns0:c>
      <ns0:c r="M362" s="21" t="inlineStr">
        <ns0:is>
          <ns0:t>[]</ns0:t>
        </ns0:is>
      </ns0:c>
    </ns0:row>
    <ns0:row r="363" ht="350" customHeight="1">
      <ns0:c r="A363" s="19" t="inlineStr">
        <ns0:is>
          <ns0:t>new_86</ns0:t>
        </ns0:is>
      </ns0:c>
      <ns0:c r="B363" s="19" t="inlineStr">
        <ns0:is>
          <ns0:t>Optimized attention-enhanced U-Net for autism detection and region localization in MRI</ns0:t>
        </ns0:is>
      </ns0:c>
      <ns0:c r="C363" s="19" t="inlineStr">
        <ns0:is>
          <ns0:t>10.1016/j.pscychresns.2025.111970</ns0:t>
        </ns0:is>
      </ns0:c>
      <ns0:c r="D363" s="19" t="inlineStr">
        <ns0:is>
          <ns0:t>https://doi.org/10.1016/j.pscychresns.2025.111970</ns0:t>
        </ns0:is>
      </ns0:c>
      <ns0:c r="E363" s="19" t="inlineStr">
        <ns0:is>
          <ns0:t>Prior source-specific extraction retained; no new full-text retrieval</ns0:t>
        </ns0:is>
      </ns0:c>
      <ns0:c r="F363" s="19" t="inlineStr">
        <ns0:is>
          <ns0:t>EVIDENCIA; original abstract/coding notes and lot source trace; Inherited scoped adjudication; see source level and lot caveats</ns0:t>
        </ns0:is>
      </ns0:c>
      <ns0:c r="G363" s="19" t="inlineStr">
        <ns0:is>
          <ns0:t>Retained source-specific coding after review of the supplied extraction notes; not a new full-text retrieval. An optimized attention-enhanced MRI pipeline classifies ASD and localizes abnormal regions; reported accuracy is 97.29% on ABIDE-derived data. ABIDE provides multisite data, but no site-held-out validation was identified. Region localization was coded as partial interpretability, not formal XAI.</ns0:t>
        </ns0:is>
      </ns0:c>
      <ns0:c r="H363" s="19" t="inlineStr">
        <ns0:is>
          <ns0:t>Autism spectrum disorder (ASD) is a neurodevelopmental condition that affects a child's cognitive and social skills, often diagnosed only after symptoms appear around age 2. Leveraging MRI for early ASD detection can improve intervention outcomes. This study proposes a framework for autism detection and region localization using an optimized deep learning approach with attention mechanisms. The pipeline includes MRI image collection, pre-processing (bias field correction, histogram equalization, artifact removal, and non-local mean filtering), and autism classification with a Symmetric Structured MobileNet with Attention Mechanism (SSM-AM). Enhanced by Refreshing Awareness-aided Election-Based Optimization (RA-EBO), SSM-AM achieves robust classification. Abnormality region localization utilizes a Multiscale Dilated Attention-based Adaptive U-Net (MDA-AUnet) further optimized by RA-EBO. Experimental results demonstrate that our proposed model outperforms existing methods, achieving an accuracy of 97.29%, sensitivity of 97.27%, specificity of 97.36%, and precision of 98.98%, significantly improving classification and localization performance. These results highlight the potential of our approach for early ASD diagnosis and targeted interventions. The datasets utilized for this work are publicly available at https://fcon_1000.projects.nitrc.org/indi/abide/.</ns0:t>
        </ns0:is>
      </ns0:c>
      <ns0:c r="I363" s="19" t="inlineStr">
        <ns0:is>
          <ns0:t>An optimized attention-enhanced MRI pipeline classifies ASD and localizes abnormal regions; reported accuracy is 97.29% on ABIDE-derived data. ABIDE provides multisite data, but no site-held-out validation was identified. Region localization was coded as partial interpretability, not formal XAI.</ns0:t>
        </ns0:is>
      </ns0:c>
      <ns0:c r="J363" s="19" t="inlineStr">
        <ns0:is>
          <ns0:t>Lote_02_25: nivel=Publisher-indexed article text; pipeline, experimental setup, localization analysis and conclusion recovered; hallazgo=An optimized attention-enhanced MRI pipeline classifies ASD and localizes abnormal regions; reported accuracy is 97.29% on ABIDE-derived data.; limitación=ABIDE provides multisite data, but no site-held-out validation was identified. Region localization was coded as partial interpretability, not formal XAI.; acción=Verificacion independiente del revisor humano antes del cierre final; fuente=https://www.sciencedirect.com/science/article/pii/S0925492725000253</ns0:t>
        </ns0:is>
      </ns0:c>
      <ns0:c r="K363" s="19" t="inlineStr">
        <ns0:is>
          <ns0:t>Contenido integral evaluable revisado; ver nivel exacto de fuente, evidencia y cautelas en Lote_02_25.</ns0:t>
        </ns0:is>
      </ns0:c>
      <ns0:c r="L363" s="19" t="inlineStr">
        <ns0:is>
          <ns0:t>Not documented in provided sources</ns0:t>
        </ns0:is>
      </ns0:c>
      <ns0:c r="M363" s="19" t="inlineStr">
        <ns0:is>
          <ns0:t>[]</ns0:t>
        </ns0:is>
      </ns0:c>
    </ns0:row>
    <ns0:row r="364" ht="350" customHeight="1">
      <ns0:c r="A364" s="21" t="inlineStr">
        <ns0:is>
          <ns0:t>new_97</ns0:t>
        </ns0:is>
      </ns0:c>
      <ns0:c r="B364" s="21" t="inlineStr">
        <ns0:is>
          <ns0:t>Child-therapist acoustic synchrony and response trajectories in autism intervention: an AI-based automated analysis using dynamic systems theory and affective computing</ns0:t>
        </ns0:is>
      </ns0:c>
      <ns0:c r="C364" s="21" t="inlineStr">
        <ns0:is>
          <ns0:t>10.1016/j.etdah.2025.100176</ns0:t>
        </ns0:is>
      </ns0:c>
      <ns0:c r="D364" s="21" t="inlineStr">
        <ns0:is>
          <ns0:t>https://doi.org/10.1016/j.etdah.2025.100176</ns0:t>
        </ns0:is>
      </ns0:c>
      <ns0:c r="E364" s="21" t="inlineStr">
        <ns0:is>
          <ns0:t>Prior source-specific extraction retained; no new full-text retrieval</ns0:t>
        </ns0:is>
      </ns0:c>
      <ns0:c r="F364" s="21" t="inlineStr">
        <ns0:is>
          <ns0:t>EVIDENCIA; original abstract/coding notes and lot source trace; Inherited scoped adjudication; see source level and lot caveats</ns0:t>
        </ns0:is>
      </ns0:c>
      <ns0:c r="G364" s="21" t="inlineStr">
        <ns0:is>
          <ns0:t>Retained source-specific coding after review of the supplied extraction notes; not a new full-text retrieval. Follows 25 autistic preschoolers over one year of NDBI; 75 intervention videos are analyzed with automatic speech segmentation and CRQA acoustic synchrony. Prospective longitudinal data support monitoring research, but the AI output was analyzed as a research measure rather than used to alter therapy decisions in real time.</ns0:t>
        </ns0:is>
      </ns0:c>
      <ns0:c r="H364" s="21" t="inlineStr">
        <ns0:is>
          <ns0:t>Introduction: Child-clinician interpersonal dynamics are central to psychotherapy and are increasingly acknowledged as key elements in autism intervention. However, quantitatively studying fine-grained aspects such as the child-clinician synchrony patterns poses challenges, limiting translational research. Moreover, synchrony is rarely investigated with a long-term perspective. This study employed an AI-based, fully automated computational pipeline to analyze child-clinician interpersonal acoustic synchrony through the lens of complex dynamic systems and affective computing. Methods: We followed 25 autistic preschoolers over one year of Naturalistic Developmental Behavioral Intervention (NDBI). Three 60-minute intervention sessions, at the beginning, after three months, and after one year, were analyzed second-by-second, totaling 75 videos. After AI-based automatic speech segmentation, acoustic synchrony was assessed using Cross-Recurrence Quantification Analysis to derive interaction metrics over the entire therapy sessions employing affective prosodic features. Robust Bayesian correlation analysis was used to explore the relationship between affective acoustic synchrony and developmental learning rates at different time points. Results: No significant associations were found at baseline, while correlations emerged after three months and became more pronounced at one year. Early in therapy, interactions with a stronger internal structure, particularly in loudness, spectral dynamics, and voice quality, were linked to higher developmental gains. After one year, the relationship between synchrony and response shifted toward metrics reflecting transition dynamics and stability. Associations with fine-grained spectral features particularly characterized this phase. Discussion: Specific and different synchrony aspects were associated with therapy response trajectories both in the initial and latter phases of therapy. Acoustic features involved in intervention response are known to participate in the emotional content of speech, highlighting the contribution of affective aspects to therapy. These findings provide valuable insights into the role of interpersonal synchrony in autism intervention and underscore the potential of computational methods in monitoring treatment progress.</ns0:t>
        </ns0:is>
      </ns0:c>
      <ns0:c r="I364" s="21" t="inlineStr">
        <ns0:is>
          <ns0:t>Follows 25 autistic preschoolers over one year of NDBI; 75 intervention videos are analyzed with automatic speech segmentation and CRQA acoustic synchrony. Prospective longitudinal data support monitoring research, but the AI output was analyzed as a research measure rather than used to alter therapy decisions in real time.</ns0:t>
        </ns0:is>
      </ns0:c>
      <ns0:c r="J364" s="21" t="inlineStr">
        <ns0:is>
          <ns0:t>Lote_02_25: nivel=Open-access article/full-text source located; Methods and longitudinal results sufficiently recovered; hallazgo=Follows 25 autistic preschoolers over one year of NDBI; 75 intervention videos are analyzed with automatic speech segmentation and CRQA acoustic synchrony.; limitación=Prospective longitudinal data support monitoring research, but the AI output was analyzed as a research measure rather than used to alter therapy decisions in real time.; acción=Verificacion independiente del revisor humano antes del cierre final; fuente=https://www.sciencedirect.com/science/article/pii/S2667118225000078</ns0:t>
        </ns0:is>
      </ns0:c>
      <ns0:c r="K364" s="21" t="inlineStr">
        <ns0:is>
          <ns0:t>Contenido integral evaluable revisado; ver nivel exacto de fuente, evidencia y cautelas en Lote_02_25.</ns0:t>
        </ns0:is>
      </ns0:c>
      <ns0:c r="L364" s="21" t="inlineStr">
        <ns0:is>
          <ns0:t>Not documented in provided sources</ns0:t>
        </ns0:is>
      </ns0:c>
      <ns0:c r="M364" s="21" t="inlineStr">
        <ns0:is>
          <ns0:t>[]</ns0:t>
        </ns0:is>
      </ns0:c>
    </ns0:row>
    <ns0:row r="365" ht="350" customHeight="1">
      <ns0:c r="A365" s="19" t="inlineStr">
        <ns0:is>
          <ns0:t>new_103</ns0:t>
        </ns0:is>
      </ns0:c>
      <ns0:c r="B365" s="19" t="inlineStr">
        <ns0:is>
          <ns0:t>Early fusion for Autism classification with biomarker detection using rs-fMRI and phenotypic data</ns0:t>
        </ns0:is>
      </ns0:c>
      <ns0:c r="C365" s="19" t="inlineStr">
        <ns0:is>
          <ns0:t>10.1016/j.bspc.2025.108020</ns0:t>
        </ns0:is>
      </ns0:c>
      <ns0:c r="D365" s="19" t="inlineStr">
        <ns0:is>
          <ns0:t>https://doi.org/10.1016/j.bspc.2025.108020</ns0:t>
        </ns0:is>
      </ns0:c>
      <ns0:c r="E365" s="19" t="inlineStr">
        <ns0:is>
          <ns0:t>Prior source-specific extraction retained; no new full-text retrieval</ns0:t>
        </ns0:is>
      </ns0:c>
      <ns0:c r="F365" s="19" t="inlineStr">
        <ns0:is>
          <ns0:t>EVIDENCIA; original abstract/coding notes and lot source trace; Inherited scoped adjudication; see source level and lot caveats</ns0:t>
        </ns0:is>
      </ns0:c>
      <ns0:c r="G365" s="19" t="inlineStr">
        <ns0:is>
          <ns0:t>Retained source-specific coding after review of the supplied extraction notes; not a new full-text retrieval. Early fusion combines rs-fMRI and phenotypic features; the study reports explainable biomarker analysis and leave-one-site-out evaluation on multisite ABIDE data. LOSO is strong evidence of site-level generalization but performance remains moderate; it is still retrospective research rather than prospective clinical deployment.</ns0:t>
        </ns0:is>
      </ns0:c>
      <ns0:c r="H365" s="19" t="inlineStr">
        <ns0:is>
          <ns0:t>Autism Spectrum Disorder (ASD) is a neurodevelopmental disorder affecting approximately 1% of people worldwide. Traditional diagnosis of ASD relies on subjective questionnaire-based assessments, whereas neuroimaging, particularly resting-state functional MRI (rs-fMRI), offers an objective approach for automated detection and improved accuracy. This paper proposes an end-to-end machine learning-based ASD diagnostic model that (i) integrates phenotypic and rs-fMRI data through early fusion, (ii) addresses high data dimensionality using principal component analysis (PCA) and convolutional autoencoder (AE), and (iii) leverages explainable Artificial Intelligence approaches to identify potential biomarkers. We evaluate the proposed model on the Autism Brain Imaging Data Exchange (ABIDE 1), a publicly available multisite dataset. To assess its effectiveness and generalizability, we conduct experiments on combined and individual site data, perform leave-one-site-out evaluations, and analyze the impact of dimensionality reduction techniques. We first train the model on combined data from all sites, achieving 64.9% accuracy with logistic regression. Next, we train and evaluate it on individual sites, with KKI yielding the highest accuracy of 83%. A leave-one-site-out evaluation is further performed to assess the model's generalizability across different sites, achieving the best accuracy of 65.3% with the SVM classifier using a linear kernel. Overall, we observe that the performance of convolutional AE is superior to PCA. Key regions such as the superior frontal gyrus, precuneus cortex, and some vital functional connections such as Brain Stem - Cerebellum were identified as potential biomarkers for the diagnosis of ASD. These findings offer significant clinical value, aiding clinicians in more reliable diagnoses.</ns0:t>
        </ns0:is>
      </ns0:c>
      <ns0:c r="I365" s="19" t="inlineStr">
        <ns0:is>
          <ns0:t>Early fusion combines rs-fMRI and phenotypic features; the study reports explainable biomarker analysis and leave-one-site-out evaluation on multisite ABIDE data. LOSO is strong evidence of site-level generalization but performance remains moderate; it is still retrospective research rather than prospective clinical deployment.</ns0:t>
        </ns0:is>
      </ns0:c>
      <ns0:c r="J365" s="19" t="inlineStr">
        <ns0:is>
          <ns0:t>Lote_02_25: nivel=Publisher-indexed article text; highlights, Methods/evaluation details and conclusions recovered; hallazgo=Early fusion combines rs-fMRI and phenotypic features; the study reports explainable biomarker analysis and leave-one-site-out evaluation on multisite ABIDE data.; limitación=LOSO is strong evidence of site-level generalization but performance remains moderate; it is still retrospective research rather than prospective clinical deployment.; acción=Verificacion independiente del revisor humano antes del cierre final; fuente=https://www.sciencedirect.com/science/article/pii/S1746809425005312</ns0:t>
        </ns0:is>
      </ns0:c>
      <ns0:c r="K365" s="19" t="inlineStr">
        <ns0:is>
          <ns0:t>Contenido integral evaluable revisado; ver nivel exacto de fuente, evidencia y cautelas en Lote_02_25.</ns0:t>
        </ns0:is>
      </ns0:c>
      <ns0:c r="L365" s="19" t="inlineStr">
        <ns0:is>
          <ns0:t>Not documented in provided sources</ns0:t>
        </ns0:is>
      </ns0:c>
      <ns0:c r="M365" s="19" t="inlineStr">
        <ns0:is>
          <ns0:t>[]</ns0:t>
        </ns0:is>
      </ns0:c>
    </ns0:row>
    <ns0:row r="366" ht="350" customHeight="1">
      <ns0:c r="A366" s="21" t="inlineStr">
        <ns0:is>
          <ns0:t>new_110</ns0:t>
        </ns0:is>
      </ns0:c>
      <ns0:c r="B366" s="21" t="inlineStr">
        <ns0:is>
          <ns0:t>A deep learning model for diagnosing autism using brain time series</ns0:t>
        </ns0:is>
      </ns0:c>
      <ns0:c r="C366" s="21" t="inlineStr">
        <ns0:is>
          <ns0:t>10.1016/j.neuroscience.2025.08.001</ns0:t>
        </ns0:is>
      </ns0:c>
      <ns0:c r="D366" s="21" t="inlineStr">
        <ns0:is>
          <ns0:t>https://doi.org/10.1016/j.neuroscience.2025.08.001</ns0:t>
        </ns0:is>
      </ns0:c>
      <ns0:c r="E366" s="21" t="inlineStr">
        <ns0:is>
          <ns0:t>Prior source-specific extraction retained; no new full-text retrieval</ns0:t>
        </ns0:is>
      </ns0:c>
      <ns0:c r="F366" s="21" t="inlineStr">
        <ns0:is>
          <ns0:t>EVIDENCIA; original abstract/coding notes and lot source trace; Inherited scoped adjudication; see source level and lot caveats</ns0:t>
        </ns0:is>
      </ns0:c>
      <ns0:c r="G366" s="21" t="inlineStr">
        <ns0:is>
          <ns0:t>Retained source-specific coding after review of the supplied extraction notes; not a new full-text retrieval. Uses ABIDE brain time series with an LSTM-attention architecture; evaluation uses an internal subject split and cross-validation, with no separate external test set. ABIDE is multisite, but the recovered evaluation is not site-held-out. Architectural attention was not counted as XAI without explicit explanation analysis.</ns0:t>
        </ns0:is>
      </ns0:c>
      <ns0:c r="H366" s="21" t="inlineStr">
        <ns0:is>
          <ns0:t>The early identification of autism is especially critical as it can significantly enhance the effectiveness of intervention strategies. However, the recognition task remains challenging due to the subtle differences between ASD patients and neurotypical individuals. The presented approach leverages a hybrid model that combines Long Short-Term Memory (LSTM) networks with an Attention mechanism, enabling the extraction of both long-term and short-term features for more accurate autism diagnosis. Additionally, we integrate a residual block with channel Attention to enhance feature fusion and mitigate the risk of network degradation. Innovatively, we introduce a sliding window-based data preprocessing method alongside a voting strategy and validate the framework using subject-level 5-fold cross-validation to ensure generalizability across data splits. Our model was evaluated on the Region of Interest (ROI) time series dataset from the Autism Brain Imaging Data Exchange (ABIDE), achieving 73.1 % accuracy on the DOS brain atlas and 81.1 % on the HO brain atlas—outperforming baseline models. Moreover, we constructed brain functional connectivity topological structures for both ASD patients and healthy individuals, providing valuable resources for future autism research.</ns0:t>
        </ns0:is>
      </ns0:c>
      <ns0:c r="I366" s="21" t="inlineStr">
        <ns0:is>
          <ns0:t>Uses ABIDE brain time series with an LSTM-attention architecture; evaluation uses an internal subject split and cross-validation, with no separate external test set. ABIDE is multisite, but the recovered evaluation is not site-held-out. Architectural attention was not counted as XAI without explicit explanation analysis.</ns0:t>
        </ns0:is>
      </ns0:c>
      <ns0:c r="J366" s="21" t="inlineStr">
        <ns0:is>
          <ns0:t>Lote_02_25: nivel=Publisher-indexed article text; dataset, preprocessing, model and evaluation sections recovered; hallazgo=Uses ABIDE brain time series with an LSTM-attention architecture; evaluation uses an internal subject split and cross-validation, with no separate external test set.; limitación=ABIDE is multisite, but the recovered evaluation is not site-held-out. Architectural attention was not counted as XAI without explicit explanation analysis.; acción=Verificacion independiente del revisor humano antes del cierre final; fuente=https://www.sciencedirect.com/science/article/pii/S0306452225008346</ns0:t>
        </ns0:is>
      </ns0:c>
      <ns0:c r="K366" s="21" t="inlineStr">
        <ns0:is>
          <ns0:t>Contenido integral evaluable revisado; ver nivel exacto de fuente, evidencia y cautelas en Lote_02_25.</ns0:t>
        </ns0:is>
      </ns0:c>
      <ns0:c r="L366" s="21" t="inlineStr">
        <ns0:is>
          <ns0:t>Not documented in provided sources</ns0:t>
        </ns0:is>
      </ns0:c>
      <ns0:c r="M366" s="21" t="inlineStr">
        <ns0:is>
          <ns0:t>[]</ns0:t>
        </ns0:is>
      </ns0:c>
    </ns0:row>
    <ns0:row r="367" ht="350" customHeight="1">
      <ns0:c r="A367" s="19" t="inlineStr">
        <ns0:is>
          <ns0:t>new_118</ns0:t>
        </ns0:is>
      </ns0:c>
      <ns0:c r="B367" s="19" t="inlineStr">
        <ns0:is>
          <ns0:t>Massively parallel characterization of non-coding de novo mutations in autism spectrum disorder</ns0:t>
        </ns0:is>
      </ns0:c>
      <ns0:c r="C367" s="19" t="inlineStr">
        <ns0:is>
          <ns0:t>10.1016/j.jgg.2025.07.008</ns0:t>
        </ns0:is>
      </ns0:c>
      <ns0:c r="D367" s="19" t="inlineStr">
        <ns0:is>
          <ns0:t>https://doi.org/10.1016/j.jgg.2025.07.008</ns0:t>
        </ns0:is>
      </ns0:c>
      <ns0:c r="E367" s="19" t="inlineStr">
        <ns0:is>
          <ns0:t>Prior source-specific extraction retained; no new full-text retrieval</ns0:t>
        </ns0:is>
      </ns0:c>
      <ns0:c r="F367" s="19" t="inlineStr">
        <ns0:is>
          <ns0:t>EVIDENCIA; original abstract/coding notes and lot source trace; Inherited scoped adjudication; see source level and lot caveats</ns0:t>
        </ns0:is>
      </ns0:c>
      <ns0:c r="G367" s="19" t="inlineStr">
        <ns0:is>
          <ns0:t>Retained source-specific coding after review of the supplied extraction notes; not a new full-text retrieval. Analyzes ncDNMs from SSC and MSSNG using a cell-specific variant-effect model and MPRA follow-up, prioritizing ASD-risk regulatory mutations. This is mechanistic genomic research rather than a clinical-stage decision tool. Multiple cohorts/assays were not coded as formal multisource model fusion or cross-site validation.</ns0:t>
        </ns0:is>
      </ns0:c>
      <ns0:c r="H367" s="19" t="inlineStr">
        <ns0:is>
          <ns0:t>Autism spectrum disorder (ASD) is a neurodevelopmental disorder where de novo mutations play a significant role. Although coding mutations in ASD have been extensively characterized, the impact of non-coding de novo mutations (ncDNMs) remains less understood. Here, we integrate cortex cell-specific cis -regulatory element annotations, a deep learning-based variant prediction model, and massively parallel reporter assays to systematically evaluate the functional impact of 227,878 ncDNMs from Simons Simplex Collection (SSC) and Autism Speaks MSSNG resource (MSSNG) cohorts. Our analysis identifies 238 ncDNMs with confirmed functional regulatory effects, including 137 down-regulated regulatory mutations (DrMuts) and 101 up-regulated regulatory mutations (UrMuts). Subsequent association analyses reveal that only DrMuts regulating loss-of-function (LoF) intolerant genes rather than other ncDNMs are significantly associated with the risk of ASD (Odds ratio = 4.34; P = 0.001). A total of 42 potential ASD-risk DrMuts across 41 candidate ASD-susceptibility genes are identified, including 12 recognized and 29 unreported genes. Interestingly, these noncoding disruptive mutations tend to be observed in genes extremely intolerant to LoF mutations. Our study introduces an optimized approach for elucidating the functional roles of ncDNMs, thereby expanding the spectrum of pathogenic variants and deepening our understanding of the complex molecular mechanisms underlying ASD.</ns0:t>
        </ns0:is>
      </ns0:c>
      <ns0:c r="I367" s="19" t="inlineStr">
        <ns0:is>
          <ns0:t>Analyzes ncDNMs from SSC and MSSNG using a cell-specific variant-effect model and MPRA follow-up, prioritizing ASD-risk regulatory mutations. This is mechanistic genomic research rather than a clinical-stage decision tool. Multiple cohorts/assays were not coded as formal multisource model fusion or cross-site validation.</ns0:t>
        </ns0:is>
      </ns0:c>
      <ns0:c r="J367" s="19" t="inlineStr">
        <ns0:is>
          <ns0:t>Lote_02_25: nivel=Publisher-indexed article text; cohort sources, prioritization methods, discussion and experimental validation sections recovered; hallazgo=Analyzes ncDNMs from SSC and MSSNG using a cell-specific variant-effect model and MPRA follow-up, prioritizing ASD-risk regulatory mutations.; limitación=This is mechanistic genomic research rather than a clinical-stage decision tool. Multiple cohorts/assays were not coded as formal multisource model fusion or cross-site validation.; acción=Verificacion independiente del revisor humano antes del cierre final; fuente=https://www.sciencedirect.com/science/article/pii/S167385272500205X</ns0:t>
        </ns0:is>
      </ns0:c>
      <ns0:c r="K367" s="19" t="inlineStr">
        <ns0:is>
          <ns0:t>Contenido integral evaluable revisado; ver nivel exacto de fuente, evidencia y cautelas en Lote_02_25.</ns0:t>
        </ns0:is>
      </ns0:c>
      <ns0:c r="L367" s="19" t="inlineStr">
        <ns0:is>
          <ns0:t>Not documented in provided sources</ns0:t>
        </ns0:is>
      </ns0:c>
      <ns0:c r="M367" s="19" t="inlineStr">
        <ns0:is>
          <ns0:t>[]</ns0:t>
        </ns0:is>
      </ns0:c>
    </ns0:row>
    <ns0:row r="368" ht="350" customHeight="1">
      <ns0:c r="A368" s="21" t="inlineStr">
        <ns0:is>
          <ns0:t>new_122</ns0:t>
        </ns0:is>
      </ns0:c>
      <ns0:c r="B368" s="21" t="inlineStr">
        <ns0:is>
          <ns0:t>A novel hybrid deep learning model using MEResNextfor autism spectrum disorder detection</ns0:t>
        </ns0:is>
      </ns0:c>
      <ns0:c r="C368" s="21" t="inlineStr">
        <ns0:is>
          <ns0:t>10.1016/j.compbiolchem.2025.108619</ns0:t>
        </ns0:is>
      </ns0:c>
      <ns0:c r="D368" s="21" t="inlineStr">
        <ns0:is>
          <ns0:t>https://doi.org/10.1016/j.compbiolchem.2025.108619</ns0:t>
        </ns0:is>
      </ns0:c>
      <ns0:c r="E368" s="21" t="inlineStr">
        <ns0:is>
          <ns0:t>Prior source-specific extraction retained; no new full-text retrieval</ns0:t>
        </ns0:is>
      </ns0:c>
      <ns0:c r="F368" s="21" t="inlineStr">
        <ns0:is>
          <ns0:t>EVIDENCIA; original abstract/coding notes and lot source trace; Inherited scoped adjudication; see source level and lot caveats</ns0:t>
        </ns0:is>
      </ns0:c>
      <ns0:c r="G368" s="21" t="inlineStr">
        <ns0:is>
          <ns0:t>Retained source-specific coding after review of the supplied extraction notes; not a new full-text retrieval. Proposes MEResNeXt with feature selection for ASD detection on a structured toddler screening dataset and reports high classification performance. No independent external cohort, prospective workflow, cross-site test or formal XAI was identified in the recovered article text.
All-neural/optimization pipeline in recovered evidence; hybrid title is not sufficient for mixed conventional-ML/DL classification.</ns0:t>
        </ns0:is>
      </ns0:c>
      <ns0:c r="H368" s="21" t="inlineStr">
        <ns0:is>
          <ns0:t>A neurological disease, named autism spectrum disorder (ASD), is portrayed through divergence with social interaction, communication, and repetitive activities. As heredity is an important source, initial identification and treatment can diminish the need for wide examinations and expensive medical procedures for those with ASD. Prolonged effects and severity can be avoided at a timely determination of ASD. This study develops a hybrid deep-learning method for ASD detection. Pre-processing, feature selection and ASD detection are three steps involved. In thepre-processing phase, input data is passed in which noise and artefacts present in the data are removed using Yeo-Jhonson transformation. Next, by integrating Double exponential Smoothing (DES) in Elk Herd Optimizer (EHO), Double exponential Smoothing-Elk Herd Optimizer (DeSEHO),is proposed to select features. At last, the features that are selected are subjected to the ASD detection phase. In this stage, the Moments Embedding ResNeXt (MEResNeXt), which is the combination of Moments Embedding Network (MoNet) and ResNeXt, is used for ASD detection. The results of the research show that MEResNeXtperformed better in terms of traditionalmodelswhich show accuracyof95.3 %, sensitivity of 96.5 %, and specificity of 94.8 %.</ns0:t>
        </ns0:is>
      </ns0:c>
      <ns0:c r="I368" s="21" t="inlineStr">
        <ns0:is>
          <ns0:t>Proposes MEResNeXt with feature selection for ASD detection on a structured toddler screening dataset and reports high classification performance. No independent external cohort, prospective workflow, cross-site test or formal XAI was identified in the recovered article text.</ns0:t>
        </ns0:is>
      </ns0:c>
      <ns0:c r="J368" s="21" t="inlineStr">
        <ns0:is>
          <ns0:t>Lote_02_25: nivel=Publisher-indexed article text; methodology, experiments, results and conclusion recovered; hallazgo=Proposes MEResNeXt with feature selection for ASD detection on a structured toddler screening dataset and reports high classification performance.; limitación=No independent external cohort, prospective workflow, cross-site test or formal XAI was identified in the recovered article text.; acción=Verificacion independiente del revisor humano antes del cierre final; fuente=https://www.sciencedirect.com/science/article/pii/S1476927125002804</ns0:t>
        </ns0:is>
      </ns0:c>
      <ns0:c r="K368" s="21" t="inlineStr">
        <ns0:is>
          <ns0:t>Contenido integral evaluable revisado; ver nivel exacto de fuente, evidencia y cautelas en Lote_02_25.</ns0:t>
        </ns0:is>
      </ns0:c>
      <ns0:c r="L368" s="21" t="inlineStr">
        <ns0:is>
          <ns0:t>Not documented in provided sources</ns0:t>
        </ns0:is>
      </ns0:c>
      <ns0:c r="M368" s="21" t="inlineStr">
        <ns0:is>
          <ns0:t>[]</ns0:t>
        </ns0:is>
      </ns0:c>
    </ns0:row>
    <ns0:row r="369" ht="350" customHeight="1">
      <ns0:c r="A369" s="19" t="inlineStr">
        <ns0:is>
          <ns0:t>new_123</ns0:t>
        </ns0:is>
      </ns0:c>
      <ns0:c r="B369" s="19" t="inlineStr">
        <ns0:is>
          <ns0:t>FaithfulNet: An explainable deep learning framework for autism diagnosis using structural MRI</ns0:t>
        </ns0:is>
      </ns0:c>
      <ns0:c r="C369" s="19" t="inlineStr">
        <ns0:is>
          <ns0:t>10.1016/j.brainres.2025.149904</ns0:t>
        </ns0:is>
      </ns0:c>
      <ns0:c r="D369" s="19" t="inlineStr">
        <ns0:is>
          <ns0:t>https://doi.org/10.1016/j.brainres.2025.149904</ns0:t>
        </ns0:is>
      </ns0:c>
      <ns0:c r="E369" s="19" t="inlineStr">
        <ns0:is>
          <ns0:t>Prior source-specific extraction retained; no new full-text retrieval</ns0:t>
        </ns0:is>
      </ns0:c>
      <ns0:c r="F369" s="19" t="inlineStr">
        <ns0:is>
          <ns0:t>EVIDENCIA; original abstract/coding notes and lot source trace; Inherited scoped adjudication; see source level and lot caveats</ns0:t>
        </ns0:is>
      </ns0:c>
      <ns0:c r="G369" s="19" t="inlineStr">
        <ns0:is>
          <ns0:t>Retained source-specific coding after review of the supplied extraction notes; not a new full-text retrieval. FaithfulNet classifies ABIDE-II sMRI and Faith_CAM combines Grad-CAM with SHAP for explanation/region localization; very high internal performance is reported. ABIDE-II is multisite, but no site-held-out or independent external validation was identified. Very high performance warrants leakage/partition review during human verification.</ns0:t>
        </ns0:is>
      </ns0:c>
      <ns0:c r="H369" s="19" t="inlineStr">
        <ns0:is>
          <ns0:t>Explainable Artificial Intelligence (XAI) can decode the ‘black box’ models, enhancing trust in clinical decision-making. XAI makes the predictions of deep learning models interpretable, transparent, and trustworthy. This study employed XAI techniques to explain the predictions made by a deep learning-based model for diagnosing autism and identifying the memory regions responsible for children's academic performance. This study utilized publicly available sMRI data from the ABIDE-II repository. First, a deep learning model, FaithfulNet, was developed to aid in the diagnosis of autism. Next, gradient-based class activation maps and the SHAP gradient explainer were employed to generate explanations for the model's predictions. These explanations were integrated to develop a novel and faithful visual explanation, Faith_CAM. Finally, this faithful explanation was quantified using the pointing game score and analyzed with cortical and subcortical structure masks to identify the impaired brain regions in the autistic brain. This study achieved a classification accuracy of 99.74% with an AUC value of 1. In addition to facilitating autism diagnosis, this study assesses the degree of impairment in memory regions responsible for the children's academic performance, thus contributing to the development of personalized treatment plans.</ns0:t>
        </ns0:is>
      </ns0:c>
      <ns0:c r="I369" s="19" t="inlineStr">
        <ns0:is>
          <ns0:t>FaithfulNet classifies ABIDE-II sMRI and Faith_CAM combines Grad-CAM with SHAP for explanation/region localization; very high internal performance is reported. ABIDE-II is multisite, but no site-held-out or independent external validation was identified. Very high performance warrants leakage/partition review during human verification.</ns0:t>
        </ns0:is>
      </ns0:c>
      <ns0:c r="J369" s="19" t="inlineStr">
        <ns0:is>
          <ns0:t>Lote_02_25: nivel=Publisher-indexed article text; architecture, explanation method, evaluation, discussion and conclusion recovered; hallazgo=FaithfulNet classifies ABIDE-II sMRI and Faith_CAM combines Grad-CAM with SHAP for explanation/region localization; very high internal performance is reported.; limitación=ABIDE-II is multisite, but no site-held-out or independent external validation was identified. Very high performance warrants leakage/partition review during human verification.; acción=Verificacion independiente del revisor humano antes del cierre final; fuente=https://www.sciencedirect.com/science/article/pii/S0006899325004676</ns0:t>
        </ns0:is>
      </ns0:c>
      <ns0:c r="K369" s="19" t="inlineStr">
        <ns0:is>
          <ns0:t>Contenido integral evaluable revisado; ver nivel exacto de fuente, evidencia y cautelas en Lote_02_25.</ns0:t>
        </ns0:is>
      </ns0:c>
      <ns0:c r="L369" s="19" t="inlineStr">
        <ns0:is>
          <ns0:t>Not documented in provided sources</ns0:t>
        </ns0:is>
      </ns0:c>
      <ns0:c r="M369" s="19" t="inlineStr">
        <ns0:is>
          <ns0:t>[]</ns0:t>
        </ns0:is>
      </ns0:c>
    </ns0:row>
    <ns0:row r="370" ht="350" customHeight="1">
      <ns0:c r="A370" s="21" t="inlineStr">
        <ns0:is>
          <ns0:t>new_126</ns0:t>
        </ns0:is>
      </ns0:c>
      <ns0:c r="B370" s="21" t="inlineStr">
        <ns0:is>
          <ns0:t>CARE: Comprehensive Artificial Intelligence Techniques for Reliable Autism Evaluation in Pediatric Care</ns0:t>
        </ns0:is>
      </ns0:c>
      <ns0:c r="C370" s="21" t="inlineStr">
        <ns0:is>
          <ns0:t>10.32604/cmc.2025.067784</ns0:t>
        </ns0:is>
      </ns0:c>
      <ns0:c r="D370" s="21" t="inlineStr">
        <ns0:is>
          <ns0:t>https://doi.org/10.32604/cmc.2025.067784</ns0:t>
        </ns0:is>
      </ns0:c>
      <ns0:c r="E370" s="21" t="inlineStr">
        <ns0:is>
          <ns0:t>Prior source-specific extraction retained; no new full-text retrieval</ns0:t>
        </ns0:is>
      </ns0:c>
      <ns0:c r="F370" s="21" t="inlineStr">
        <ns0:is>
          <ns0:t>EVIDENCIA; original abstract/coding notes and lot source trace; Inherited scoped adjudication; see source level and lot caveats</ns0:t>
        </ns0:is>
      </ns0:c>
      <ns0:c r="G370" s="21" t="inlineStr">
        <ns0:is>
          <ns0:t>Retained source-specific coding after review of the supplied extraction notes; not a new full-text retrieval. CARE evaluates AutoML/CatBoost on a pediatric ASD-traits dataset and uses SHAP for explicit feature-level explanation. Retrospective/public structured-data modeling only; no independent external cohort or prospective pediatric workflow evaluation was demonstrated.</ns0:t>
        </ns0:is>
      </ns0:c>
      <ns0:c r="H370" s="21" t="inlineStr">
        <ns0:is>
          <ns0:t>Improving early diagnosis of autism spectrum disorder (ASD) in children increasingly relies on predictive models that are reliable and accessible to non-experts. This study aims to develop such models using Python-based tools to improve ASD diagnosis in clinical settings. We performed exploratory data analysis to ensure data quality and identify key patterns in pediatric ASD data. We selected the categorical boosting (CatBoost) algorithm to effectively handle the large number of categorical variables. We used the PyCaret automated machine learning (AutoML) tool to make the models user-friendly for clinicians without extensive machine learning expertise. In addition, we applied Shapley additive explanations (SHAP), an explainable artificial intelligence (XAI) technique, to improve the interpretability of the models. Models developed using CatBoost and other AI algorithms showed high accuracy in diagnosing ASD in children. SHAP provided clear insights into the influence of each variable on diagnostic outcomes, making model decisions transparent and understandable to healthcare professionals. By integrating robust machine learning methods with user-friendly tools such as PyCaret and leveraging XAI techniques such as SHAP, this study contributes to the development of reliable, interpretable, and accessible diagnostic tools for ASD. These advances hold great promise for supporting informed decision-making in clinical settings, ultimately improving early identification and intervention strategies for ASD in the pediatric population. However, the study is limited by the dataset’s demographic imbalance and the lack of external clinical validation, which should be addressed in future research.</ns0:t>
        </ns0:is>
      </ns0:c>
      <ns0:c r="I370" s="21" t="inlineStr">
        <ns0:is>
          <ns0:t>CARE evaluates AutoML/CatBoost on a pediatric ASD-traits dataset and uses SHAP for explicit feature-level explanation. Retrospective/public structured-data modeling only; no independent external cohort or prospective pediatric workflow evaluation was demonstrated.</ns0:t>
        </ns0:is>
      </ns0:c>
      <ns0:c r="J370" s="21" t="inlineStr">
        <ns0:is>
          <ns0:t>Lote_02_25: nivel=Open-access publisher full text (HTML/PDF) reviewed; hallazgo=CARE evaluates AutoML/CatBoost on a pediatric ASD-traits dataset and uses SHAP for explicit feature-level explanation.; limitación=Retrospective/public structured-data modeling only; no independent external cohort or prospective pediatric workflow evaluation was demonstrated.; acción=Verificacion independiente del revisor humano antes del cierre final; fuente=https://www.techscience.com/cmc/v85n1/63573/html</ns0:t>
        </ns0:is>
      </ns0:c>
      <ns0:c r="K370" s="21" t="inlineStr">
        <ns0:is>
          <ns0:t>Contenido integral evaluable revisado; ver nivel exacto de fuente, evidencia y cautelas en Lote_02_25.</ns0:t>
        </ns0:is>
      </ns0:c>
      <ns0:c r="L370" s="21" t="inlineStr">
        <ns0:is>
          <ns0:t>Not documented in provided sources</ns0:t>
        </ns0:is>
      </ns0:c>
      <ns0:c r="M370" s="21" t="inlineStr">
        <ns0:is>
          <ns0:t>[]</ns0:t>
        </ns0:is>
      </ns0:c>
    </ns0:row>
    <ns0:row r="371" ht="350" customHeight="1">
      <ns0:c r="A371" s="19" t="inlineStr">
        <ns0:is>
          <ns0:t>new_134</ns0:t>
        </ns0:is>
      </ns0:c>
      <ns0:c r="B371" s="19" t="inlineStr">
        <ns0:is>
          <ns0:t>ASD-HybridNet: A hybrid deep learning framework for detection of autism spectrum disorder</ns0:t>
        </ns0:is>
      </ns0:c>
      <ns0:c r="C371" s="19" t="inlineStr">
        <ns0:is>
          <ns0:t>10.1016/j.mri.2025.110492</ns0:t>
        </ns0:is>
      </ns0:c>
      <ns0:c r="D371" s="19" t="inlineStr">
        <ns0:is>
          <ns0:t>https://doi.org/10.1016/j.mri.2025.110492</ns0:t>
        </ns0:is>
      </ns0:c>
      <ns0:c r="E371" s="19" t="inlineStr">
        <ns0:is>
          <ns0:t>Prior source-specific extraction retained; no new full-text retrieval</ns0:t>
        </ns0:is>
      </ns0:c>
      <ns0:c r="F371" s="19" t="inlineStr">
        <ns0:is>
          <ns0:t>EVIDENCIA; original abstract/coding notes and lot source trace; Inherited scoped adjudication; see source level and lot caveats</ns0:t>
        </ns0:is>
      </ns0:c>
      <ns0:c r="G371" s="19" t="inlineStr">
        <ns0:is>
          <ns0:t>Retained source-specific coding after review of the supplied extraction notes; not a new full-text retrieval. ASD-HybridNet fuses ROI time-series and functional-connectivity representations from ABIDE-I; reported accuracy is about 71.87%. The fused inputs are representations of the same rs-fMRI source, so q3_multisource_data remains 0. ABIDE-I is multisite but no site-held-out test was identified.</ns0:t>
        </ns0:is>
      </ns0:c>
      <ns0:c r="H371" s="19" t="inlineStr">
        <ns0:is>
          <ns0:t>Current diagnostic methods for autism spectrum disorder (ASD) are based on subjective behavioral assessments, which present challenges to an accurate and early diagnosis. This paper proposes a hybrid deep learning framework, ASD-HybridNet, which integrates both region of interest (ROI) time series data and functional connectivity (FC) maps derived from functional magnetic resonance imaging (fMRI) data to improve ASD detection. Experiments on the ABIDE dataset demonstrate the effectiveness of the proposed method compared to existing approaches.</ns0:t>
        </ns0:is>
      </ns0:c>
      <ns0:c r="I371" s="19" t="inlineStr">
        <ns0:is>
          <ns0:t>ASD-HybridNet fuses ROI time-series and functional-connectivity representations from ABIDE-I; reported accuracy is about 71.87%. The fused inputs are representations of the same rs-fMRI source, so q3_multisource_data remains 0. ABIDE-I is multisite but no site-held-out test was identified.</ns0:t>
        </ns0:is>
      </ns0:c>
      <ns0:c r="J371" s="19" t="inlineStr">
        <ns0:is>
          <ns0:t>Lote_02_25: nivel=Publisher-indexed article text; dataset, architecture, training/evaluation and results recovered; hallazgo=ASD-HybridNet fuses ROI time-series and functional-connectivity representations from ABIDE-I; reported accuracy is about 71.87%.; limitación=The fused inputs are representations of the same rs-fMRI source, so q3_multisource_data remains 0. ABIDE-I is multisite but no site-held-out test was identified.; acción=Verificacion independiente del revisor humano antes del cierre final; fuente=https://www.sciencedirect.com/science/article/pii/S0730725X25001766</ns0:t>
        </ns0:is>
      </ns0:c>
      <ns0:c r="K371" s="19" t="inlineStr">
        <ns0:is>
          <ns0:t>Contenido integral evaluable revisado; ver nivel exacto de fuente, evidencia y cautelas en Lote_02_25.</ns0:t>
        </ns0:is>
      </ns0:c>
      <ns0:c r="L371" s="19" t="inlineStr">
        <ns0:is>
          <ns0:t>Not documented in provided sources</ns0:t>
        </ns0:is>
      </ns0:c>
      <ns0:c r="M371" s="19" t="inlineStr">
        <ns0:is>
          <ns0:t>[]</ns0:t>
        </ns0:is>
      </ns0:c>
    </ns0:row>
    <ns0:row r="372" ht="350" customHeight="1">
      <ns0:c r="A372" s="21" t="inlineStr">
        <ns0:is>
          <ns0:t>new_146</ns0:t>
        </ns0:is>
      </ns0:c>
      <ns0:c r="B372" s="21" t="inlineStr">
        <ns0:is>
          <ns0:t>Deep learning-based detection of autism spectrum disorder and emotion recognition in children</ns0:t>
        </ns0:is>
      </ns0:c>
      <ns0:c r="C372" s="21" t="inlineStr">
        <ns0:is>
          <ns0:t>10.1016/j.patcog.2025.112906</ns0:t>
        </ns0:is>
      </ns0:c>
      <ns0:c r="D372" s="21" t="inlineStr">
        <ns0:is>
          <ns0:t>https://doi.org/10.1016/j.patcog.2025.112906</ns0:t>
        </ns0:is>
      </ns0:c>
      <ns0:c r="E372" s="21" t="inlineStr">
        <ns0:is>
          <ns0:t>Prior source-specific extraction retained; no new full-text retrieval</ns0:t>
        </ns0:is>
      </ns0:c>
      <ns0:c r="F372" s="21" t="inlineStr">
        <ns0:is>
          <ns0:t>EVIDENCIA; original abstract/coding notes and lot source trace; Inherited scoped adjudication; see source level and lot caveats</ns0:t>
        </ns0:is>
      </ns0:c>
      <ns0:c r="G372" s="21" t="inlineStr">
        <ns0:is>
          <ns0:t>Retained source-specific coding after review of the supplied extraction notes; not a new full-text retrieval. Combines deep CNN architectures for child facial ASD detection and emotion recognition on public image datasets; ASD accuracy is reported near 95%. No external clinical cohort, prospective workflow or formal XAI was identified; explainability/multimodal extensions are presented as future directions.</ns0:t>
        </ns0:is>
      </ns0:c>
      <ns0:c r="H372" s="21" t="inlineStr">
        <ns0:is>
          <ns0:t>Autism Spectrum Disorder (ASD) is a multifaceted neurological development disability that is characterized by deficits in social communication and emotion detection. Early and accurate identification of ASD is important; however, clinicians and researchers have often depended upon lengthy, in-clinic assessments. This research work proposes two deep learning models. This study proposes two deep learning models: a Hybrid resNet50V2+InceptionV3 model for ASD prediction from facial images and an enhanced MobileNet for recognizing six emotions in children with ASD. Data sets were collected from two public datasets. Preprocessing was performed (normalization and augmentation) and a hybrid ResNet50V2+InceptionV3 model and enhanced MobileNet were trained and tested. The hybrid model produced 95 % accuracy for predicting ASD, and the enhanced MobileNet achieved 73.3 % accuracy for predicting emotions; both accuracy rates were significantly improved as compared to baseline models. Overall, both models demonstrated that hybrid and enhanced model architectures improve the predictive accuracy and generalization of children with ASD from facial images. The models can also be used as non-invasive methodologies for early detection of ASD and emotion classification in clinical or educational contexts. Future research will include multimodal inputs and methods in explainable AI for further clinical implication.</ns0:t>
        </ns0:is>
      </ns0:c>
      <ns0:c r="I372" s="21" t="inlineStr">
        <ns0:is>
          <ns0:t>Combines deep CNN architectures for child facial ASD detection and emotion recognition on public image datasets; ASD accuracy is reported near 95%. No external clinical cohort, prospective workflow or formal XAI was identified; explainability/multimodal extensions are presented as future directions.</ns0:t>
        </ns0:is>
      </ns0:c>
      <ns0:c r="J372" s="21" t="inlineStr">
        <ns0:is>
          <ns0:t>Lote_02_25: nivel=Publisher-indexed article text; datasets, methodology, experimental setup and conclusion recovered; hallazgo=Combines deep CNN architectures for child facial ASD detection and emotion recognition on public image datasets; ASD accuracy is reported near 95%.; limitación=No external clinical cohort, prospective workflow or formal XAI was identified; explainability/multimodal extensions are presented as future directions.; acción=Verificacion independiente del revisor humano antes del cierre final; fuente=https://www.sciencedirect.com/science/article/pii/S0031320325015699</ns0:t>
        </ns0:is>
      </ns0:c>
      <ns0:c r="K372" s="21" t="inlineStr">
        <ns0:is>
          <ns0:t>Contenido integral evaluable revisado; ver nivel exacto de fuente, evidencia y cautelas en Lote_02_25.</ns0:t>
        </ns0:is>
      </ns0:c>
      <ns0:c r="L372" s="21" t="inlineStr">
        <ns0:is>
          <ns0:t>Not documented in provided sources</ns0:t>
        </ns0:is>
      </ns0:c>
      <ns0:c r="M372" s="21" t="inlineStr">
        <ns0:is>
          <ns0:t>[]</ns0:t>
        </ns0:is>
      </ns0:c>
    </ns0:row>
    <ns0:row r="373" ht="350" customHeight="1">
      <ns0:c r="A373" s="19" t="inlineStr">
        <ns0:is>
          <ns0:t>new_149</ns0:t>
        </ns0:is>
      </ns0:c>
      <ns0:c r="B373" s="19" t="inlineStr">
        <ns0:is>
          <ns0:t>A new approach in autism diagnosis: Evaluating natural interaction using point of view (POV) glasses</ns0:t>
        </ns0:is>
      </ns0:c>
      <ns0:c r="C373" s="19" t="inlineStr">
        <ns0:is>
          <ns0:t>10.1016/j.ajp.2025.104798</ns0:t>
        </ns0:is>
      </ns0:c>
      <ns0:c r="D373" s="19" t="inlineStr">
        <ns0:is>
          <ns0:t>https://doi.org/10.1016/j.ajp.2025.104798</ns0:t>
        </ns0:is>
      </ns0:c>
      <ns0:c r="E373" s="19" t="inlineStr">
        <ns0:is>
          <ns0:t>Prior source-specific extraction retained; no new full-text retrieval</ns0:t>
        </ns0:is>
      </ns0:c>
      <ns0:c r="F373" s="19" t="inlineStr">
        <ns0:is>
          <ns0:t>EVIDENCIA; original abstract/coding notes and lot source trace; Inherited scoped adjudication; see source level and lot caveats</ns0:t>
        </ns0:is>
      </ns0:c>
      <ns0:c r="G373" s="19" t="inlineStr">
        <ns0:is>
          <ns0:t>Retained source-specific coding after review of the supplied extraction notes; not a new full-text retrieval. Uses examiner-worn POV glasses with 29 ASD and 27 non-ASD children aged 17-36 months; CV features feed AdaBoost/decision trees, with reported AUC about 0.95. Prospective participant data were collected, but the model was not validated in an independent site/cohort or used to determine real clinical decisions during care.
Learned OpenFace/MediaPipe vision pipeline combined with conventional AdaBoost/tree classifier.</ns0:t>
        </ns0:is>
      </ns0:c>
      <ns0:c r="H373" s="19" t="inlineStr">
        <ns0:is>
          <ns0:t>This study introduces an AI-assisted method based on examiner-worn Point of View (POV) glasses and computer vision analysis to provide objective behavioral data for the diagnosis of Autism Spectrum Disorder (ASD). The study included 29 children with ASD and 27 children without ASD, aged between 17 and 36 months. During semi-structured naturalistic interactions, the examiner wore POV glasses equipped with a scene camera that captured the child's face from an eye-level perspective, preserving ecological validity. Behavioral parameters—including facial expressions, approximate social gaze (operationalized as the child's eyes orientation toward the POV camera), and head mobility—were extracted using OpenFace and MediaPipe and subsequently analyzed with machine learning techniques. Statistical analyses revealed that total social gaze duration, longest social gaze, social smiling, number of responses to name, response latency, response duration, social responsiveness, and head movements along the z-axis had p-values ≤ 0.05, while head movements on the x- and y-axes, total head movement, and rapid head movements had p-values &gt; 0.05. The classification model developed using decision trees and the AdaBoost algorithm demonstrated high performance, achieving an accuracy of 91.07 % and a sensitivity of 89.65 %. These findings support the clinical applicability of examiner-worn POV recordings for early ASD detection and highlight their potential to complement traditional, subjective assessment methods.</ns0:t>
        </ns0:is>
      </ns0:c>
      <ns0:c r="I373" s="19" t="inlineStr">
        <ns0:is>
          <ns0:t>Uses examiner-worn POV glasses with 29 ASD and 27 non-ASD children aged 17-36 months; CV features feed AdaBoost/decision trees, with reported AUC about 0.95. Prospective participant data were collected, but the model was not validated in an independent site/cohort or used to determine real clinical decisions during care.</ns0:t>
        </ns0:is>
      </ns0:c>
      <ns0:c r="J373" s="19" t="inlineStr">
        <ns0:is>
          <ns0:t>Lote_02_25: nivel=Full-text/OA article source located; participant protocol, feature extraction and results recovered; hallazgo=Uses examiner-worn POV glasses with 29 ASD and 27 non-ASD children aged 17-36 months; CV features feed AdaBoost/decision trees, with reported AUC about 0.95.; limitación=Prospective participant data were collected, but the model was not validated in an independent site/cohort or used to determine real clinical decisions during care.; acción=Verificacion independiente del revisor humano antes del cierre final; fuente=https://www.sciencedirect.com/science/article/pii/S1876201825004411</ns0:t>
        </ns0:is>
      </ns0:c>
      <ns0:c r="K373" s="19" t="inlineStr">
        <ns0:is>
          <ns0:t>Contenido integral evaluable revisado; ver nivel exacto de fuente, evidencia y cautelas en Lote_02_25.</ns0:t>
        </ns0:is>
      </ns0:c>
      <ns0:c r="L373" s="19" t="inlineStr">
        <ns0:is>
          <ns0:t>Not documented in provided sources</ns0:t>
        </ns0:is>
      </ns0:c>
      <ns0:c r="M373" s="19" t="inlineStr">
        <ns0:is>
          <ns0:t>[]</ns0:t>
        </ns0:is>
      </ns0:c>
    </ns0:row>
    <ns0:row r="374" ht="350" customHeight="1">
      <ns0:c r="A374" s="21" t="inlineStr">
        <ns0:is>
          <ns0:t>new_154</ns0:t>
        </ns0:is>
      </ns0:c>
      <ns0:c r="B374" s="21" t="inlineStr">
        <ns0:is>
          <ns0:t>A two-step temporal data augmentation and supervised learning framework for predicting autism diagnosis at 36 months in patients with tuberous sclerosis complex</ns0:t>
        </ns0:is>
      </ns0:c>
      <ns0:c r="C374" s="21" t="inlineStr">
        <ns0:is>
          <ns0:t>10.1016/j.compbiomed.2026.111719</ns0:t>
        </ns0:is>
      </ns0:c>
      <ns0:c r="D374" s="21" t="inlineStr">
        <ns0:is>
          <ns0:t>https://doi.org/10.1016/j.compbiomed.2026.111719</ns0:t>
        </ns0:is>
      </ns0:c>
      <ns0:c r="E374" s="21" t="inlineStr">
        <ns0:is>
          <ns0:t>Prior source-specific extraction retained; no new full-text retrieval</ns0:t>
        </ns0:is>
      </ns0:c>
      <ns0:c r="F374" s="21" t="inlineStr">
        <ns0:is>
          <ns0:t>EVIDENCIA; original abstract/coding notes and lot source trace; Inherited scoped adjudication; see source level and lot caveats</ns0:t>
        </ns0:is>
      </ns0:c>
      <ns0:c r="G374" s="21" t="inlineStr">
        <ns0:is>
          <ns0:t>Retained source-specific coding after review of the supplied extraction notes; not a new full-text retrieval. TACERN is a prospective longitudinal multisite study; DTI plus behavioral features from 93 children predict 36-month ASD diagnosis, with regularized logistic regression AUC about 0.808-0.831. Although the cohort is multisite and prospective, the recovered evaluation uses repeated train-test procedures rather than an explicit site-held-out or independent external validation cohort.</ns0:t>
        </ns0:is>
      </ns0:c>
      <ns0:c r="H374" s="21" t="inlineStr">
        <ns0:is>
          <ns0:t>Background Autism spectrum disorder (ASD) affects approximately 25-50% of children with tuberous sclerosis complex (TSC). Early identification of ASD in this high-risk population is crucial for timely intervention but remains challenging due to the heterogeneous clinical presentation and complex interplay of genetic, neurological, and environmental factors. This study aimed to integrate longitudinal diffusion tensor imaging (DTI) metrics with early behavioral features using supervised learning algorithms to predict ASD outcomes at 36 months. Methods Data were obtained from the children enrolled in the TSC Autism Center of Excellence Research Network study. Four DTI metrics: axial diffusivity, fractional anisotropy, mean diffusivity, and radial diffusivity, were measured across 27 major white matter tracts at up to four irregular time points. To account for variability in acquisition timing, we developed a two-step data augmentation algorithm to interpolate each subject's data to standardized ages of 12, 24, and 36 months. In addition, 9 behavioral features from the ADOS-2 and ADI-R assessments at 24 months were included. Supervised learning algorithms were trained to predict ASD diagnosis at 36 months under two input settings. Results Performance of the supervised learning algorithms was evaluated with accuracy, sensitivity, specificity, and area under the receiver operating characteristic curve as performance metrics. Regularized logistic regression models, least absolute shrinkage and selection operator and elastic net, demonstrated the most balanced overall performance across most evaluation metrics. Comparing input settings, Setting 1 (DTI at 24 months + behavioral features) achieved comparable or slightly improved performance relative to Setting 2 (DTI at 12 and 24 months + behavioral features) in predicting ASD diagnosis. Conclusion Integrating early neuroimaging and behavioral data suggests potential for prediction of ASD outcomes at 36 months in children with TSC. This multimodal machine learning framework highlights 24-month DTI and behavioral measures as key early biomarkers and demonstrates the effectiveness of regularized regression techniques for small-sample, heterogeneous clinical datasets.</ns0:t>
        </ns0:is>
      </ns0:c>
      <ns0:c r="I374" s="21" t="inlineStr">
        <ns0:is>
          <ns0:t>TACERN is a prospective longitudinal multisite study; DTI plus behavioral features from 93 children predict 36-month ASD diagnosis, with regularized logistic regression AUC about 0.808-0.831. Although the cohort is multisite and prospective, the recovered evaluation uses repeated train-test procedures rather than an explicit site-held-out or independent external validation cohort.</ns0:t>
        </ns0:is>
      </ns0:c>
      <ns0:c r="J374" s="21" t="inlineStr">
        <ns0:is>
          <ns0:t>Lote_02_25: nivel=Open-access full text/PMC plus publisher sections reviewed; hallazgo=TACERN is a prospective longitudinal multisite study; DTI plus behavioral features from 93 children predict 36-month ASD diagnosis, with regularized logistic regression AUC about 0.808-0.831.; limitación=Although the cohort is multisite and prospective, the recovered evaluation uses repeated train-test procedures rather than an explicit site-held-out or independent external validation cohort.; acción=Verificacion independiente del revisor humano antes del cierre final; fuente=https://pmc.ncbi.nlm.nih.gov/articles/PMC13175081/</ns0:t>
        </ns0:is>
      </ns0:c>
      <ns0:c r="K374" s="21" t="inlineStr">
        <ns0:is>
          <ns0:t>Contenido integral evaluable revisado; ver nivel exacto de fuente, evidencia y cautelas en Lote_02_25.</ns0:t>
        </ns0:is>
      </ns0:c>
      <ns0:c r="L374" s="21" t="inlineStr">
        <ns0:is>
          <ns0:t>Not documented in provided sources</ns0:t>
        </ns0:is>
      </ns0:c>
      <ns0:c r="M374" s="21" t="inlineStr">
        <ns0:is>
          <ns0:t>[]</ns0:t>
        </ns0:is>
      </ns0:c>
    </ns0:row>
    <ns0:row r="375" ht="350" customHeight="1">
      <ns0:c r="A375" s="19" t="inlineStr">
        <ns0:is>
          <ns0:t>new_162</ns0:t>
        </ns0:is>
      </ns0:c>
      <ns0:c r="B375" s="19" t="inlineStr">
        <ns0:is>
          <ns0:t>EMLF-Net: A multi-level feature fusion network based on autism EEG signals for autism spectrum disorder classification</ns0:t>
        </ns0:is>
      </ns0:c>
      <ns0:c r="C375" s="19" t="inlineStr">
        <ns0:is>
          <ns0:t>10.1016/j.bspc.2025.109180</ns0:t>
        </ns0:is>
      </ns0:c>
      <ns0:c r="D375" s="19" t="inlineStr">
        <ns0:is>
          <ns0:t>https://doi.org/10.1016/j.bspc.2025.109180</ns0:t>
        </ns0:is>
      </ns0:c>
      <ns0:c r="E375" s="19" t="inlineStr">
        <ns0:is>
          <ns0:t>Prior source-specific extraction retained; no new full-text retrieval</ns0:t>
        </ns0:is>
      </ns0:c>
      <ns0:c r="F375" s="19" t="inlineStr">
        <ns0:is>
          <ns0:t>EVIDENCIA; original abstract/coding notes and lot source trace; Inherited scoped adjudication; see source level and lot caveats</ns0:t>
        </ns0:is>
      </ns0:c>
      <ns0:c r="G375" s="19" t="inlineStr">
        <ns0:is>
          <ns0:t>Retained source-specific coding after review of the supplied extraction notes; not a new full-text retrieval. EMLF-Net fuses time- and frequency-domain EEG features; KAU results are 99.20% subject-dependent and 92.09% subject-independent; topographic analysis shows channel importance. Single small public dataset (12 ASD, 5 TD). Topographic/channel-importance visualization was coded as partial interpretability, not formal XAI.</ns0:t>
        </ns0:is>
      </ns0:c>
      <ns0:c r="H375" s="19" t="inlineStr">
        <ns0:is>
          <ns0:t>Autism spectrum disorder (ASD) is a neurodevelopmental disorder that affects social interaction and communication skills. Early diagnosis is crucial for effective intervention. Although machine learning technology can assist automatic feature extraction, its efficiency is limited. Although deep learning improves the efficiency of feature extraction, it is easy to lose important low-level feature information in the feature fusion process, and the integration of time-temporal features needs to be improved. To solve the above problems, this study proposes a multi-level feature fusion network (EMLF-Net) that fuses time domain and frequency domain features for end-to-end recognition of autism EEG signals. The network is based on a two-stream parallel structure, and a Hierarchical Domain Fusion and Refinement Model (HDFR) is built to effectively fuse the time domain and frequency domain features. The Differential Fusion Block (DFB) module was designed to separate the unique and shared features in time domain and frequency domain, and the Orthogonal Fusion Block (OFB) module was used to realize the fusion of multi-level features. Experiments on KAU dataset show that EMLF-Net achieves 99.20% and 92.09% accuracy on subject-dependent and subject-independent, respectively. Brain topography analysis and t-SNE visualization further reveal that time domain and frequency domain features capture distinct channel importance in different experiments, which provides a basis for individualized and universal diagnosis.</ns0:t>
        </ns0:is>
      </ns0:c>
      <ns0:c r="I375" s="19" t="inlineStr">
        <ns0:is>
          <ns0:t>EMLF-Net fuses time- and frequency-domain EEG features; KAU results are 99.20% subject-dependent and 92.09% subject-independent; topographic analysis shows channel importance. Single small public dataset (12 ASD, 5 TD). Topographic/channel-importance visualization was coded as partial interpretability, not formal XAI.</ns0:t>
        </ns0:is>
      </ns0:c>
      <ns0:c r="J375" s="19" t="inlineStr">
        <ns0:is>
          <ns0:t>Lote_02_25: nivel=Publisher-indexed article text; dataset, subject-dependent/independent experiments, discussion and conclusion recovered; hallazgo=EMLF-Net fuses time- and frequency-domain EEG features; KAU results are 99.20% subject-dependent and 92.09% subject-independent; topographic analysis shows channel importance.; limitación=Single small public dataset (12 ASD, 5 TD). Topographic/channel-importance visualization was coded as partial interpretability, not formal XAI.; acción=Verificacion independiente del revisor humano antes del cierre final; fuente=https://www.sciencedirect.com/science/article/pii/S174680942501691X</ns0:t>
        </ns0:is>
      </ns0:c>
      <ns0:c r="K375" s="19" t="inlineStr">
        <ns0:is>
          <ns0:t>Contenido integral evaluable revisado; ver nivel exacto de fuente, evidencia y cautelas en Lote_02_25.</ns0:t>
        </ns0:is>
      </ns0:c>
      <ns0:c r="L375" s="19" t="inlineStr">
        <ns0:is>
          <ns0:t>Not documented in provided sources</ns0:t>
        </ns0:is>
      </ns0:c>
      <ns0:c r="M375" s="19" t="inlineStr">
        <ns0:is>
          <ns0:t>[]</ns0:t>
        </ns0:is>
      </ns0:c>
    </ns0:row>
    <ns0:row r="376" ht="350" customHeight="1">
      <ns0:c r="A376" s="21" t="inlineStr">
        <ns0:is>
          <ns0:t>new_180</ns0:t>
        </ns0:is>
      </ns0:c>
      <ns0:c r="B376" s="21" t="inlineStr">
        <ns0:is>
          <ns0:t>The effect of spatial and intensity level augmentation of structural magnetic resonance images on autism diagnosis model</ns0:t>
        </ns0:is>
      </ns0:c>
      <ns0:c r="C376" s="21" t="inlineStr">
        <ns0:is>
          <ns0:t>10.1016/j.ajp.2026.104830</ns0:t>
        </ns0:is>
      </ns0:c>
      <ns0:c r="D376" s="21" t="inlineStr">
        <ns0:is>
          <ns0:t>https://doi.org/10.1016/j.ajp.2026.104830</ns0:t>
        </ns0:is>
      </ns0:c>
      <ns0:c r="E376" s="21" t="inlineStr">
        <ns0:is>
          <ns0:t>Prior source-specific extraction retained; no new full-text retrieval</ns0:t>
        </ns0:is>
      </ns0:c>
      <ns0:c r="F376" s="21" t="inlineStr">
        <ns0:is>
          <ns0:t>EVIDENCIA; original abstract/coding notes and lot source trace; Inherited scoped adjudication; see source level and lot caveats</ns0:t>
        </ns0:is>
      </ns0:c>
      <ns0:c r="G376" s="21" t="inlineStr">
        <ns0:is>
          <ns0:t>Retained source-specific coding after review of the supplied extraction notes; not a new full-text retrieval. Systematically evaluates spatial and intensity augmentation on structural MRI with ResNet34; combined augmentation improves reported AUC to 0.7433. ABIDE data are multisite, but no site-held-out cross-site evaluation was identified. The study evaluates augmentation robustness, not external clinical generalization.</ns0:t>
        </ns0:is>
      </ns0:c>
      <ns0:c r="H376" s="21" t="inlineStr">
        <ns0:is>
          <ns0:t>In deep learning, the robustness and generalizability of models significantly depend on diverse and heterogeneous training data. Acquiring such an extensive dataset is challenging in fields like disorder prediction due to data scarcity, which can be attributed to factors such as privacy concerns, limited patient population, or inadequate facilities. Data augmentation can be an ideal solution to this problem, particularly in the field of disorder prediction, like autism, using medical imaging. Data augmentation can expand and balance datasets by generating high-quality and varied data, thereby improving the generalizability of deep learning models. This study proposed two types of augmentation methods: 1. Spatial level 2. Intensity level augmentation techniques. Eight different levels of augmentations were experimented with across these categories. This study found that the combination of spatial and intensity level augmentations enhanced the model's generalizability and robustness, achieving an AUC value of 0.7433. Additionally, it was observed that the Left to Right flip method, under spatial augmentation, diminished the model's performance, whereas random noise injection, under intensity level augmentation, improved prediction accuracy.</ns0:t>
        </ns0:is>
      </ns0:c>
      <ns0:c r="I376" s="21" t="inlineStr">
        <ns0:is>
          <ns0:t>Systematically evaluates spatial and intensity augmentation on structural MRI with ResNet34; combined augmentation improves reported AUC to 0.7433. ABIDE data are multisite, but no site-held-out cross-site evaluation was identified. The study evaluates augmentation robustness, not external clinical generalization.</ns0:t>
        </ns0:is>
      </ns0:c>
      <ns0:c r="J376" s="21" t="inlineStr">
        <ns0:is>
          <ns0:t>Lote_02_25: nivel=Publisher-indexed article text; methodology, multi-site ABIDE data, results, discussion and conclusion recovered; hallazgo=Systematically evaluates spatial and intensity augmentation on structural MRI with ResNet34; combined augmentation improves reported AUC to 0.7433.; limitación=ABIDE data are multisite, but no site-held-out cross-site evaluation was identified. The study evaluates augmentation robustness, not external clinical generalization.; acción=Verificacion independiente del revisor humano antes del cierre final; fuente=https://doi.org/10.1016/j.ajp.2026.104830</ns0:t>
        </ns0:is>
      </ns0:c>
      <ns0:c r="K376" s="21" t="inlineStr">
        <ns0:is>
          <ns0:t>Contenido integral evaluable revisado; ver nivel exacto de fuente, evidencia y cautelas en Lote_02_25.</ns0:t>
        </ns0:is>
      </ns0:c>
      <ns0:c r="L376" s="21" t="inlineStr">
        <ns0:is>
          <ns0:t>Not documented in provided sources</ns0:t>
        </ns0:is>
      </ns0:c>
      <ns0:c r="M376" s="21" t="inlineStr">
        <ns0:is>
          <ns0:t>[]</ns0:t>
        </ns0:is>
      </ns0:c>
    </ns0:row>
    <ns0:row r="377" ht="350" customHeight="1">
      <ns0:c r="A377" s="19" t="inlineStr">
        <ns0:is>
          <ns0:t>new_181</ns0:t>
        </ns0:is>
      </ns0:c>
      <ns0:c r="B377" s="19" t="inlineStr">
        <ns0:is>
          <ns0:t>Human-centered AI for inclusive tourism: enhancing travel planning for adults with autism spectrum disorder</ns0:t>
        </ns0:is>
      </ns0:c>
      <ns0:c r="C377" s="19" t="inlineStr">
        <ns0:is>
          <ns0:t>10.1016/j.ijhcs.2025.103696</ns0:t>
        </ns0:is>
      </ns0:c>
      <ns0:c r="D377" s="19" t="inlineStr">
        <ns0:is>
          <ns0:t>https://doi.org/10.1016/j.ijhcs.2025.103696</ns0:t>
        </ns0:is>
      </ns0:c>
      <ns0:c r="E377" s="19" t="inlineStr">
        <ns0:is>
          <ns0:t>Prior source-specific extraction retained; no new full-text retrieval</ns0:t>
        </ns0:is>
      </ns0:c>
      <ns0:c r="F377" s="19" t="inlineStr">
        <ns0:is>
          <ns0:t>EVIDENCIA; original abstract/coding notes and lot source trace; Inherited scoped adjudication; see source level and lot caveats</ns0:t>
        </ns0:is>
      </ns0:c>
      <ns0:c r="G377" s="19" t="inlineStr">
        <ns0:is>
          <ns0:t>Retained source-specific coding after review of the supplied extraction notes; not a new full-text retrieval. CARES is a human-centered AI trip planner tested with 14 autistic adults, designed to reduce information overload while preserving user decision autonomy. The paper demonstrates an assistive user-facing intervention, not a clinical diagnostic workflow. The exact algorithm family does not map cleanly to ML/DL and is therefore left Not specified.
Assistive travel-planning user evaluation, not clinical treatment efficacy.</ns0:t>
        </ns0:is>
      </ns0:c>
      <ns0:c r="H377" s="19" t="inlineStr">
        <ns0:is>
          <ns0:t>Travel experiences can challenge individuals with Autism Spectrum Disorder (ASD) before embarking on a trip, because of the complexity of planning, but also during the trip, due to sensory overstimulation while visiting places. Artificial Intelligence (AI) could help overcome some obstacles. However, it might represent a barrier for people with mid-functioning autism if their needs for assistance are not considered when designing tourism applications. Moreover, most trip planners fully control the generation of solutions, undermining users’ decision autonomy. To address these challenges, we explored the development of itinerary planning technologies through a human-centered approach. We aimed to balance guiding users in their decision-making with empowering them to plan tours independently. The result is CARES, an Artificial Intelligence-driven trip planner designed for autistic adults, which we present in this article. CARES applies a collaborative approach to developing itineraries, based on the exploitation of (i) AI technologies for information filtering and interactive itinerary planning that are robust to the data scarcity characterizing the autism domain; (ii) a user interface that reduces information overload and decision fatigue in information exploration. We tested CARES with 14 autistic adults, gathering insights to guide future design and improve the usability of Artificial Intelligence for neurodivergent users. The results indicate that our approach provides an accessible solution for enhancing the travel experiences of mid- to high-functioning autistic adults. In doing so, it contributes to more inclusive tourism.</ns0:t>
        </ns0:is>
      </ns0:c>
      <ns0:c r="I377" s="19" t="inlineStr">
        <ns0:is>
          <ns0:t>CARES is a human-centered AI trip planner tested with 14 autistic adults, designed to reduce information overload while preserving user decision autonomy. The paper demonstrates an assistive user-facing intervention, not a clinical diagnostic workflow. The exact algorithm family does not map cleanly to ML/DL and is therefore left Not specified.</ns0:t>
        </ns0:is>
      </ns0:c>
      <ns0:c r="J377" s="19" t="inlineStr">
        <ns0:is>
          <ns0:t>Lote_02_25: nivel=Open-access editorial PDF located in institutional repository; system design and user-study results available; hallazgo=CARES is a human-centered AI trip planner tested with 14 autistic adults, designed to reduce information overload while preserving user decision autonomy.; limitación=The paper demonstrates an assistive user-facing intervention, not a clinical diagnostic workflow. The exact algorithm family does not map cleanly to ML/DL and is therefore left Not specified.; acción=Verificacion independiente del revisor humano antes del cierre final; fuente=https://iris.unito.it/handle/2318/2114230</ns0:t>
        </ns0:is>
      </ns0:c>
      <ns0:c r="K377" s="19" t="inlineStr">
        <ns0:is>
          <ns0:t>Contenido integral evaluable revisado; ver nivel exacto de fuente, evidencia y cautelas en Lote_02_25.</ns0:t>
        </ns0:is>
      </ns0:c>
      <ns0:c r="L377" s="19" t="inlineStr">
        <ns0:is>
          <ns0:t>Not documented in provided sources</ns0:t>
        </ns0:is>
      </ns0:c>
      <ns0:c r="M377" s="19" t="inlineStr">
        <ns0:is>
          <ns0:t>[]</ns0:t>
        </ns0:is>
      </ns0:c>
    </ns0:row>
    <ns0:row r="378" ht="297" customHeight="1">
      <ns0:c r="A378" s="21" t="inlineStr">
        <ns0:is>
          <ns0:t>new_187</ns0:t>
        </ns0:is>
      </ns0:c>
      <ns0:c r="B378" s="21" t="inlineStr">
        <ns0:is>
          <ns0:t>Early Identification of Autism Spectrum Disorder using a Hybrid ViT–Mamba Multimodal Architecture</ns0:t>
        </ns0:is>
      </ns0:c>
      <ns0:c r="C378" s="21" t="inlineStr">
        <ns0:is>
          <ns0:t>10.1016/j.procs.2026.06.363</ns0:t>
        </ns0:is>
      </ns0:c>
      <ns0:c r="D378" s="21" t="inlineStr">
        <ns0:is>
          <ns0:t>https://doi.org/10.1016/j.procs.2026.06.363</ns0:t>
        </ns0:is>
      </ns0:c>
      <ns0:c r="E378" s="21" t="inlineStr">
        <ns0:is>
          <ns0:t>Prior source-specific extraction retained; no new full-text retrieval</ns0:t>
        </ns0:is>
      </ns0:c>
      <ns0:c r="F378" s="21" t="inlineStr">
        <ns0:is>
          <ns0:t>EVIDENCIA; original abstract/coding notes and lot source trace; Inherited scoped adjudication; see source level and lot caveats</ns0:t>
        </ns0:is>
      </ns0:c>
      <ns0:c r="G378" s="21" t="inlineStr">
        <ns0:is>
          <ns0:t>Retained source-specific coding after review of the supplied extraction notes; not a new full-text retrieval. Combines handwriting and behavioral questionnaire data with a Mamba-enabled multimodal architecture; reported screening accuracy is 95%. Evaluation is experimental and the article itself describes uncertain/limited datasets; no independent external cohort, prospective deployment, site-held-out robustness, or formal XAI was identified.
All-neural/optimization pipeline in recovered evidence; hybrid title is not sufficient for mixed conventional-ML/DL classification.</ns0:t>
        </ns0:is>
      </ns0:c>
      <ns0:c r="H378" s="21" t="inlineStr"/>
      <ns0:c r="I378" s="21" t="inlineStr">
        <ns0:is>
          <ns0:t>Combines handwriting and behavioral questionnaire data with a Mamba-enabled multimodal architecture; reported screening accuracy is 95%. Evaluation is experimental and the article itself describes uncertain/limited datasets; no independent external cohort, prospective deployment, site-held-out robustness, or formal XAI was identified.</ns0:t>
        </ns0:is>
      </ns0:c>
      <ns0:c r="J378" s="21" t="inlineStr">
        <ns0:is>
          <ns0:t>Lote_03_25: nivel=Publisher OA article text and indexed methods/results sufficient for scoped coding; hallazgo=Combines handwriting and behavioral questionnaire data with a Mamba-enabled multimodal architecture; reported screening accuracy is 95%.; limitación=; acción=; fuente=https://www.sciencedirect.com/science/article/pii/S1877050926019952</ns0:t>
        </ns0:is>
      </ns0:c>
      <ns0:c r="K378" s="21" t="inlineStr">
        <ns0:is>
          <ns0:t>Contenido evaluable revisado; ver nivel exacto de fuente, evidencia y cautelas en Lote_03_25.</ns0:t>
        </ns0:is>
      </ns0:c>
      <ns0:c r="L378" s="21" t="inlineStr">
        <ns0:is>
          <ns0:t>Not documented in provided sources</ns0:t>
        </ns0:is>
      </ns0:c>
      <ns0:c r="M378" s="21" t="inlineStr">
        <ns0:is>
          <ns0:t>[]</ns0:t>
        </ns0:is>
      </ns0:c>
    </ns0:row>
    <ns0:row r="379" ht="350" customHeight="1">
      <ns0:c r="A379" s="19" t="inlineStr">
        <ns0:is>
          <ns0:t>new_188</ns0:t>
        </ns0:is>
      </ns0:c>
      <ns0:c r="B379" s="19" t="inlineStr">
        <ns0:is>
          <ns0:t>Baseline symptom severity and response to multisession cathodal transcranial direct current stimulation in adolescents and young adults with autism: an exploratory analysis</ns0:t>
        </ns0:is>
      </ns0:c>
      <ns0:c r="C379" s="19" t="inlineStr">
        <ns0:is>
          <ns0:t>10.1016/j.jpsychires.2026.03.043</ns0:t>
        </ns0:is>
      </ns0:c>
      <ns0:c r="D379" s="19" t="inlineStr">
        <ns0:is>
          <ns0:t>https://doi.org/10.1016/j.jpsychires.2026.03.043</ns0:t>
        </ns0:is>
      </ns0:c>
      <ns0:c r="E379" s="19" t="inlineStr">
        <ns0:is>
          <ns0:t>Prior source-specific extraction retained; no new full-text retrieval</ns0:t>
        </ns0:is>
      </ns0:c>
      <ns0:c r="F379" s="19" t="inlineStr">
        <ns0:is>
          <ns0:t>EVIDENCIA; original abstract/coding notes and lot source trace; Inherited scoped adjudication; see source level and lot caveats</ns0:t>
        </ns0:is>
      </ns0:c>
      <ns0:c r="G379" s="19" t="inlineStr">
        <ns0:is>
          <ns0:t>Retained source-specific coding after review of the supplied extraction notes; not a new full-text retrieval. Baseline ADI-R features were used to distinguish tDCS responders; SHAP linked lower verbal communication severity to greater RRB reduction and a model-derived threshold of 19.6 was reported. Exploratory analysis from a registered intervention protocol. The article explicitly calls for replication in larger independent cohorts; the exact base learner was not recoverable from the indexed text.</ns0:t>
        </ns0:is>
      </ns0:c>
      <ns0:c r="H379" s="19" t="inlineStr">
        <ns0:is>
          <ns0:t>AbstractBackgroundIdentifying baseline clinical characteristics associated with treatment response is crucial for optimising intervention strategies in people with autism spectrum disorder (ASD). This study aimed to distinguish responders from non-responders to a multisession prefrontal transcranial direct current stimulation (tDCS) protocol and to explore how baseline individual characteristics relate to treatment outcomes.MethodsUsing complementary inferential statistics and predictive modelling approaches, we analysed baseline clinical characteristics of adolescents and young adults with ASD who underwent cathodal tDCS (1.5 mA) over the left dorsolateral prefrontal cortex, coupled with cognitive remediation training. Baseline symptom severity was assessed using the Autism Diagnostic Interview-Revised (ADI-R). Normalised feature importance and Shapley additive explanations (SHAP) were used to identify features associated with restricted and repetitive behaviour (RRB) reduction, and a model-derived classification threshold was estimated to stratify potential responders and non-responders within this protocol.ResultsInferential statistics revealed that responders had significantly lower social interaction symptom severity than non-responders (p &lt; .001; Cohen's d = 0.41). Predictive modelling further indicated that lower baseline verbal communication severity was associated with greater RRB reduction (averaged SHAP value across models = −0.017). A model-derived classification threshold of 19.6 on the ADI-R verbal communication sub-score was identified to differentiate responders and non-responders within this protocol.ConclusionLower baseline verbal communication severity is associated with greater behavioural improvement following this multisession prefrontal tDCS protocol. These findings should be interpreted as exploratory and hypothesis-generating. Replication in larger, independent cohorts is required to assess the robustness and generalisability of these findings.Trial registrationClinicalTrials.gov (ID: NCT05035511).</ns0:t>
        </ns0:is>
      </ns0:c>
      <ns0:c r="I379" s="19" t="inlineStr">
        <ns0:is>
          <ns0:t>Baseline ADI-R features were used to distinguish tDCS responders; SHAP linked lower verbal communication severity to greater RRB reduction and a model-derived threshold of 19.6 was reported. Exploratory analysis from a registered intervention protocol. The article explicitly calls for replication in larger independent cohorts; the exact base learner was not recoverable from the indexed text.</ns0:t>
        </ns0:is>
      </ns0:c>
      <ns0:c r="J379" s="19" t="inlineStr">
        <ns0:is>
          <ns0:t>Lote_03_25: nivel=Open-access publisher short communication plus PubMed record; methods/results sufficient for scoped coding; hallazgo=Baseline ADI-R features were used to distinguish tDCS responders; SHAP linked lower verbal communication severity to greater RRB reduction and a model-derived threshold of 19.6 was reported.; limitación=; acción=; fuente=https://www.sciencedirect.com/science/article/pii/S0022395626001998</ns0:t>
        </ns0:is>
      </ns0:c>
      <ns0:c r="K379" s="19" t="inlineStr">
        <ns0:is>
          <ns0:t>Contenido evaluable revisado; ver nivel exacto de fuente, evidencia y cautelas en Lote_03_25.</ns0:t>
        </ns0:is>
      </ns0:c>
      <ns0:c r="L379" s="19" t="inlineStr">
        <ns0:is>
          <ns0:t>Not documented in provided sources</ns0:t>
        </ns0:is>
      </ns0:c>
      <ns0:c r="M379" s="19" t="inlineStr">
        <ns0:is>
          <ns0:t>[]</ns0:t>
        </ns0:is>
      </ns0:c>
    </ns0:row>
    <ns0:row r="380" ht="309" customHeight="1">
      <ns0:c r="A380" s="21" t="inlineStr">
        <ns0:is>
          <ns0:t>new_190</ns0:t>
        </ns0:is>
      </ns0:c>
      <ns0:c r="B380" s="21" t="inlineStr">
        <ns0:is>
          <ns0:t>DenWide-Net: Dense WideresNet for autism spectrum disorder detection using MRI image</ns0:t>
        </ns0:is>
      </ns0:c>
      <ns0:c r="C380" s="21" t="inlineStr">
        <ns0:is>
          <ns0:t>10.1016/j.bspc.2025.108976</ns0:t>
        </ns0:is>
      </ns0:c>
      <ns0:c r="D380" s="21" t="inlineStr">
        <ns0:is>
          <ns0:t>https://doi.org/10.1016/j.bspc.2025.108976</ns0:t>
        </ns0:is>
      </ns0:c>
      <ns0:c r="E380" s="21" t="inlineStr">
        <ns0:is>
          <ns0:t>Prior source-specific extraction retained; no new full-text retrieval</ns0:t>
        </ns0:is>
      </ns0:c>
      <ns0:c r="F380" s="21" t="inlineStr">
        <ns0:is>
          <ns0:t>EVIDENCIA; original abstract/coding notes and lot source trace; Inherited scoped adjudication; see source level and lot caveats</ns0:t>
        </ns0:is>
      </ns0:c>
      <ns0:c r="G380" s="21" t="inlineStr">
        <ns0:is>
          <ns0:t>Retained source-specific coding after review of the supplied extraction notes; not a new full-text retrieval. Uses Acerta-ABIDE brain MRI with Wiener filtering, ROI extraction, fractional hiking optimization and Dense WideResNet; reported accuracy is about 91%. ABIDE is multisite, but no explicit site-held-out or independent external validation design was identified; no prospective clinical evaluation or formal XAI was reported.
All-neural/optimization pipeline in recovered evidence; hybrid title is not sufficient for mixed conventional-ML/DL classification.</ns0:t>
        </ns0:is>
      </ns0:c>
      <ns0:c r="H380" s="21" t="inlineStr">
        <ns0:is>
          <ns0:t>Autism Spectrum Disorder (ASD) is a multifactorial neurological condition defined by cognitive impairments. The symptoms of ASD involve behavioral changes, indistinct speech, social impairment, and so on. As a result, detecting ASD at an early stage is essential to lessen the disorder's impact. Various ASD detection approaches have been devised over the past decades for detecting ASD from Magnetic Resonance Image (MRI). Meanwhile, these detection schemes measured low detection accuracies and attained low generalization ability in detecting ASD. A deep learning-based optimization model, Fractional Hiking Optimization Algorithm combined with Dense WideResNet (FHOA + DenWide-Net), is proposed in this article for detecting ASD from brain MRI images. Initially, the MRI images are denoised using the Wiener filter, followed by the extraction of the relevant regions from the denoised image through Region of Interest (ROI) extraction. The Fractional Hiking Optimization Algorithm (FHOA) is designed for the selection of optimal grid during nub region extraction from the extracted ROI image. Following this, the ASD is detected from the nub region using the designed DenWide-Net technique. In addition, DenWide-Net exceeds the performance of other baseline models, delivering a sensitivity of 91.385 %, specificity of 91.175 %, and accuracy of 91 %.</ns0:t>
        </ns0:is>
      </ns0:c>
      <ns0:c r="I380" s="21" t="inlineStr">
        <ns0:is>
          <ns0:t>Uses Acerta-ABIDE brain MRI with Wiener filtering, ROI extraction, fractional hiking optimization and Dense WideResNet; reported accuracy is about 91%. ABIDE is multisite, but no explicit site-held-out or independent external validation design was identified; no prospective clinical evaluation or formal XAI was reported.</ns0:t>
        </ns0:is>
      </ns0:c>
      <ns0:c r="J380" s="21" t="inlineStr">
        <ns0:is>
          <ns0:t>Lote_03_25: nivel=Publisher indexed article text with method section snippets and dataset description; hallazgo=Uses Acerta-ABIDE brain MRI with Wiener filtering, ROI extraction, fractional hiking optimization and Dense WideResNet; reported accuracy is about 91%.; limitación=; acción=; fuente=https://www.sciencedirect.com/science/article/pii/S1746809425014879</ns0:t>
        </ns0:is>
      </ns0:c>
      <ns0:c r="K380" s="21" t="inlineStr">
        <ns0:is>
          <ns0:t>Contenido evaluable revisado; ver nivel exacto de fuente, evidencia y cautelas en Lote_03_25.</ns0:t>
        </ns0:is>
      </ns0:c>
      <ns0:c r="L380" s="21" t="inlineStr">
        <ns0:is>
          <ns0:t>Not documented in provided sources</ns0:t>
        </ns0:is>
      </ns0:c>
      <ns0:c r="M380" s="21" t="inlineStr">
        <ns0:is>
          <ns0:t>[]</ns0:t>
        </ns0:is>
      </ns0:c>
    </ns0:row>
    <ns0:row r="381" ht="350" customHeight="1">
      <ns0:c r="A381" s="19" t="inlineStr">
        <ns0:is>
          <ns0:t>new_199</ns0:t>
        </ns0:is>
      </ns0:c>
      <ns0:c r="B381" s="19" t="inlineStr">
        <ns0:is>
          <ns0:t>Artificial Intelligence for Enhancing Emotion Expression in Augmentative and Alternative Communication Systems: A Preliminary Study Including Children Both With and Without Autism.</ns0:t>
        </ns0:is>
      </ns0:c>
      <ns0:c r="C381" s="19" t="inlineStr">
        <ns0:is>
          <ns0:t>10.1044/2026_ajslp-25-00469</ns0:t>
        </ns0:is>
      </ns0:c>
      <ns0:c r="D381" s="19" t="inlineStr">
        <ns0:is>
          <ns0:t>https://doi.org/10.1044/2026_ajslp-25-00469</ns0:t>
        </ns0:is>
      </ns0:c>
      <ns0:c r="E381" s="19" t="inlineStr">
        <ns0:is>
          <ns0:t>Prior source-specific extraction retained; no new full-text retrieval</ns0:t>
        </ns0:is>
      </ns0:c>
      <ns0:c r="F381" s="19" t="inlineStr">
        <ns0:is>
          <ns0:t>EVIDENCIA; original abstract/coding notes and lot source trace; Inherited scoped adjudication; see source level and lot caveats</ns0:t>
        </ns0:is>
      </ns0:c>
      <ns0:c r="G381" s="19" t="inlineStr">
        <ns0:is>
          <ns0:t>Retained source-specific coding after review of the supplied extraction notes; not a new full-text retrieval. Twelve neurotypical children and four autistic children completed imitation and semispontaneous emotion tasks using DeepFace with individualized calibration; provisional accuracy and user experience were reported. Very small ASD subgroup and no active AAC users. The study is preliminary; multimodal inputs, broader populations and real-world AAC deployment remain future work.
Small emotion-task feasibility study, no active AAC users; not an integrated AAC clinical evaluation.</ns0:t>
        </ns0:is>
      </ns0:c>
      <ns0:c r="H381" s="19" t="inlineStr">
        <ns0:is>
          <ns0:t>PURPOSE Artificial intelligence is increasingly being explored in augmentative and alternative communication (AAC) to support personalized and responsive communication. Integrating emotion recognition into AAC systems may help users convey emotion content in real time, enhancing social interaction and communication quality. METHOD This preliminary study utilized DeepFace, a facial emotion recognition tool, as a starting point for integrating emotion recognition into AAC systems. Twelve neurotypical children and four children with autism, aged 8-13 years, completed two tasks: an imitated (copy) emotion condition using static images and a semispontaneous emotion-elicitation condition. Similar to existing AAC devices, each participant completed an individualized calibration procedure to help tailor the model to their facial expressions. Number scale ratings of the user experience were also collected. RESULTS Overall, the system demonstrated promising provisional accuracy, particularly for happiness, sadness, and calm (neutrality), although performance varied across emotions, participants, and task types. User experience ratings were generally positive, suggesting satisfaction and engagement with the system, with variability observed. CONCLUSIONS Findings highlight the value of calibration and personalization in AAC. Future work should expand training data sets to better represent children's facial expressions, incorporate multimodal inputs, and explore the alignment of synthetic speech output with detected emotions. Broader studies including active AAC users, diverse developmental and cultural backgrounds, and more spontaneous real-world interactions are needed. These results support the preliminary utility of DeepFace as a possible starting point for integrating emotion recognition into AAC systems, but further research is warranted. Directions for user-centered development are also discussed. SUPPLEMENTAL MATERIAL https://doi.org/10.23641/asha.32511465.</ns0:t>
        </ns0:is>
      </ns0:c>
      <ns0:c r="I381" s="19" t="inlineStr">
        <ns0:is>
          <ns0:t>Twelve neurotypical children and four autistic children completed imitation and semispontaneous emotion tasks using DeepFace with individualized calibration; provisional accuracy and user experience were reported. Very small ASD subgroup and no active AAC users. The study is preliminary; multimodal inputs, broader populations and real-world AAC deployment remain future work.</ns0:t>
        </ns0:is>
      </ns0:c>
      <ns0:c r="J381" s="19" t="inlineStr">
        <ns0:is>
          <ns0:t>Lote_03_25: nivel=Publisher/PubMed detailed research abstract with participant methods and results sufficient for scoped coding; hallazgo=Twelve neurotypical children and four autistic children completed imitation and semispontaneous emotion tasks using DeepFace with individualized calibration; provisional accuracy and user experience were reported.; limitación=; acción=; fuente=https://pubs.asha.org/doi/10.1044/2026_AJSLP-25-00469</ns0:t>
        </ns0:is>
      </ns0:c>
      <ns0:c r="K381" s="19" t="inlineStr">
        <ns0:is>
          <ns0:t>Contenido evaluable revisado; ver nivel exacto de fuente, evidencia y cautelas en Lote_03_25.</ns0:t>
        </ns0:is>
      </ns0:c>
      <ns0:c r="L381" s="19" t="inlineStr">
        <ns0:is>
          <ns0:t>Not documented in provided sources</ns0:t>
        </ns0:is>
      </ns0:c>
      <ns0:c r="M381" s="19" t="inlineStr">
        <ns0:is>
          <ns0:t>[]</ns0:t>
        </ns0:is>
      </ns0:c>
    </ns0:row>
    <ns0:row r="382" ht="333" customHeight="1">
      <ns0:c r="A382" s="21" t="inlineStr">
        <ns0:is>
          <ns0:t>new_203</ns0:t>
        </ns0:is>
      </ns0:c>
      <ns0:c r="B382" s="21" t="inlineStr">
        <ns0:is>
          <ns0:t>Individuation of predictive parameters of posterior cranial fossa decompression in pediatric patients with Chiari I malformation and autism spectrum disorder</ns0:t>
        </ns0:is>
      </ns0:c>
      <ns0:c r="C382" s="21" t="inlineStr">
        <ns0:is>
          <ns0:t>10.1007/s00381-025-07119-2</ns0:t>
        </ns0:is>
      </ns0:c>
      <ns0:c r="D382" s="21" t="inlineStr">
        <ns0:is>
          <ns0:t>https://doi.org/10.1007/s00381-025-07119-2</ns0:t>
        </ns0:is>
      </ns0:c>
      <ns0:c r="E382" s="21" t="inlineStr">
        <ns0:is>
          <ns0:t>Prior source-specific extraction retained; no new full-text retrieval</ns0:t>
        </ns0:is>
      </ns0:c>
      <ns0:c r="F382" s="21" t="inlineStr">
        <ns0:is>
          <ns0:t>EVIDENCIA; original abstract/coding notes and lot source trace; Inherited scoped adjudication; see source level and lot caveats</ns0:t>
        </ns0:is>
      </ns0:c>
      <ns0:c r="G382" s="21" t="inlineStr">
        <ns0:is>
          <ns0:t>Retained source-specific coding after review of the supplied extraction notes; not a new full-text retrieval. CT/MRI morphometry and a binary tree classifier identified tentorium angle as a potential predictor of postsurgical ASD symptom improvement in children with Chiari I malformation. Narrow comorbid pediatric population and retrospective/small-cohort design limit generalizability. The tree/cutoff is interpretable, but no external or prospective validation was identified.
CT and MRI morphometry</ns0:t>
        </ns0:is>
      </ns0:c>
      <ns0:c r="H382" s="21" t="inlineStr">
        <ns0:is>
          <ns0:t>Purpose: There are no specific guidelines for posterior cranial fossa decompression (PCFD) in asymptomatic Chiari Malformation Type I (CM-I) patients with autism spectrum disorder (ASD). However, some studies suggest that surgery for symptomatic CM-I may improve ASD symptoms. This study aims to identify skull and brain morphometric parameters that could predict surgical outcomes in symptomatic CM-I with ASD, using artificial intelligence (AI). Methods: This study included pediatric patients diagnosed with both symptomatic CM-I and ASD who underwent posterior cranial fossa (PCF) surgery. Eleven morphometric parameters were measured using computed tomography (CT) and magnetic resonance imaging (MRI) scans, including cerebellar tonsil descent, tentorium length and angle, cerebellum-to-PCF area ratio, PCF-to-cerebrum area ratio, PCF height and diameter, and various distances involving the corpus callosum, pons, fastigium, foramen magnum, and clivus length. ASD symptom changes were assessed through phone interviews and outpatient evaluations. A binary tree classifier AI model was used to identify patients who improved post-surgically. Results: Our analysis showed that patients with a larger tentorium angle experienced some improvements in ASD symptoms after surgery, whereas those with a significantly smaller tentorium angle showed no improvement. AI identified a tentorium angle of 89.55° as a potential cut-off for distinguishing between outcome groups. No other morphometric parameters significantly influenced ASD symptom outcomes. Conclusions: This study evaluates the relevance of the tentorium angle width as a potentially valuable MRI-based morphometric parameter that could guide neurosurgeons in the decision-making process for this unique patient population. These findings may contribute to a more tailored approach for managing patients with CM-I and coexistent ASD.</ns0:t>
        </ns0:is>
      </ns0:c>
      <ns0:c r="I382" s="21" t="inlineStr">
        <ns0:is>
          <ns0:t>CT/MRI morphometry and a binary tree classifier identified tentorium angle as a potential predictor of postsurgical ASD symptom improvement in children with Chiari I malformation. Narrow comorbid pediatric population and retrospective/small-cohort design limit generalizability. The tree/cutoff is interpretable, but no external or prospective validation was identified.</ns0:t>
        </ns0:is>
      </ns0:c>
      <ns0:c r="J382" s="21" t="inlineStr">
        <ns0:is>
          <ns0:t>Lote_03_25: nivel=PubMed and institutional repository abstract with detailed methods/results; publisher article located; hallazgo=CT/MRI morphometry and a binary tree classifier identified tentorium angle as a potential predictor of postsurgical ASD symptom improvement in children with Chiari I malformation.; limitación=; acción=; fuente=https://pubmed.ncbi.nlm.nih.gov/41535441/</ns0:t>
        </ns0:is>
      </ns0:c>
      <ns0:c r="K382" s="21" t="inlineStr">
        <ns0:is>
          <ns0:t>Contenido evaluable revisado; ver nivel exacto de fuente, evidencia y cautelas en Lote_03_25.</ns0:t>
        </ns0:is>
      </ns0:c>
      <ns0:c r="L382" s="21" t="inlineStr">
        <ns0:is>
          <ns0:t>Not documented in provided sources</ns0:t>
        </ns0:is>
      </ns0:c>
      <ns0:c r="M382" s="21" t="inlineStr">
        <ns0:is>
          <ns0:t>[]</ns0:t>
        </ns0:is>
      </ns0:c>
    </ns0:row>
    <ns0:row r="383" ht="285" customHeight="1">
      <ns0:c r="A383" s="19" t="inlineStr">
        <ns0:is>
          <ns0:t>new_204</ns0:t>
        </ns0:is>
      </ns0:c>
      <ns0:c r="B383" s="19" t="inlineStr">
        <ns0:is>
          <ns0:t>An automated detection system of autism spectrum disorder using meta-heuristic approach of adaptive LSTM with bayesian learning technique</ns0:t>
        </ns0:is>
      </ns0:c>
      <ns0:c r="C383" s="19" t="inlineStr">
        <ns0:is>
          <ns0:t>10.1007/s13246-025-01681-4</ns0:t>
        </ns0:is>
      </ns0:c>
      <ns0:c r="D383" s="19" t="inlineStr">
        <ns0:is>
          <ns0:t>https://doi.org/10.1007/s13246-025-01681-4</ns0:t>
        </ns0:is>
      </ns0:c>
      <ns0:c r="E383" s="19" t="inlineStr">
        <ns0:is>
          <ns0:t>Prior source-specific extraction retained; no new full-text retrieval</ns0:t>
        </ns0:is>
      </ns0:c>
      <ns0:c r="F383" s="19" t="inlineStr">
        <ns0:is>
          <ns0:t>EVIDENCIA; original abstract/coding notes and lot source trace; Inherited scoped adjudication; see source level and lot caveats</ns0:t>
        </ns0:is>
      </ns0:c>
      <ns0:c r="G383" s="19" t="inlineStr">
        <ns0:is>
          <ns0:t>Retained source-specific coding after review of the supplied extraction notes; not a new full-text retrieval. Combines MResNet feature extraction, adaptive cascaded-attention LSTM with Bayesian learning and metaheuristic optimization on ABIDE brain images. Public multisite dataset use does not establish independent external or site-held-out validation. Attention is architectural and was not counted as formal XAI.
All-neural/optimization pipeline in recovered evidence; hybrid title is not sufficient for mixed conventional-ML/DL classification.</ns0:t>
        </ns0:is>
      </ns0:c>
      <ns0:c r="H383" s="19" t="inlineStr">
        <ns0:is>
          <ns0:t>Autism spectrum disorder (ASD) is one of the major neurological symptoms affecting young children. Most neurological diseases are captured through speech, voice and changes in sbrain activity. Research leading to ASD diagnosis is done in different ways; still, the early ASD diagnosis is a complex task. Various co-occurring situations may hinder Automated ASD detection, and deep learners effectively tackle such issues and create a better design. Here, a novel automated autism detection approach is proposed employing a deep learning technique with the help of brain image. Initially, the brain images are garnered from the standard dataset links. These gathered images are employed for the pre-processing stage, which is accomplished by using contrast enhancement. Subsequently, the most noteworthy deep features are extracted from the image pre-processed using a multi-atlas-based residual network (MResNet). Finally, the detection process is carried out by influencing the adaptive cascaded attention long short term memory with bayesian learning (ACAL-BL), in which some of the hyperparameters are tuned optimally by the random fixed marine predators algorithm (RFMPA). The performance is examined under Python using various factors and contrasted with other classical models and the results show that our ACAL-BL achieved an FPR of 4.5%, representing relative improvements of 52%, 54%, 56%, 58%, and 60% compared to LSTM, CNN, ANN, auto encoder, and LSTM-Bayesian learning, respectively. Thus, the suggested technique has the tendency to exploit the outstanding results that aid clinical practitioners to diagnose the disease earlier.</ns0:t>
        </ns0:is>
      </ns0:c>
      <ns0:c r="I383" s="19" t="inlineStr">
        <ns0:is>
          <ns0:t>Combines MResNet feature extraction, adaptive cascaded-attention LSTM with Bayesian learning and metaheuristic optimization on ABIDE brain images. Public multisite dataset use does not establish independent external or site-held-out validation. Attention is architectural and was not counted as formal XAI.</ns0:t>
        </ns0:is>
      </ns0:c>
      <ns0:c r="J383" s="19" t="inlineStr">
        <ns0:is>
          <ns0:t>Lote_03_25: nivel=PubMed/publisher indexed research article with detailed model and dataset description; hallazgo=Combines MResNet feature extraction, adaptive cascaded-attention LSTM with Bayesian learning and metaheuristic optimization on ABIDE brain images.; limitación=; acción=; fuente=https://pubmed.ncbi.nlm.nih.gov/41642457/</ns0:t>
        </ns0:is>
      </ns0:c>
      <ns0:c r="K383" s="19" t="inlineStr">
        <ns0:is>
          <ns0:t>Contenido evaluable revisado; ver nivel exacto de fuente, evidencia y cautelas en Lote_03_25.</ns0:t>
        </ns0:is>
      </ns0:c>
      <ns0:c r="L383" s="19" t="inlineStr">
        <ns0:is>
          <ns0:t>Not documented in provided sources</ns0:t>
        </ns0:is>
      </ns0:c>
      <ns0:c r="M383" s="19" t="inlineStr">
        <ns0:is>
          <ns0:t>[]</ns0:t>
        </ns0:is>
      </ns0:c>
    </ns0:row>
    <ns0:row r="384" ht="321" customHeight="1">
      <ns0:c r="A384" s="21" t="inlineStr">
        <ns0:is>
          <ns0:t>new_208</ns0:t>
        </ns0:is>
      </ns0:c>
      <ns0:c r="B384" s="21" t="inlineStr">
        <ns0:is>
          <ns0:t>ADBrainNet: a deep neural network for Autism Spectrum Disorder (ASD) and Attention Deficit and Hyperactivity Disorder (ADHD) classification using resting-state fMRI images based on explainable artificial intelligence.</ns0:t>
        </ns0:is>
      </ns0:c>
      <ns0:c r="C384" s="21" t="inlineStr">
        <ns0:is>
          <ns0:t>10.1007/s11517-026-03530-2</ns0:t>
        </ns0:is>
      </ns0:c>
      <ns0:c r="D384" s="21" t="inlineStr">
        <ns0:is>
          <ns0:t>https://doi.org/10.1007/s11517-026-03530-2</ns0:t>
        </ns0:is>
      </ns0:c>
      <ns0:c r="E384" s="21" t="inlineStr">
        <ns0:is>
          <ns0:t>Prior source-specific extraction retained; no new full-text retrieval</ns0:t>
        </ns0:is>
      </ns0:c>
      <ns0:c r="F384" s="21" t="inlineStr">
        <ns0:is>
          <ns0:t>EVIDENCIA; original abstract/coding notes and lot source trace; Inherited scoped adjudication; see source level and lot caveats</ns0:t>
        </ns0:is>
      </ns0:c>
      <ns0:c r="G384" s="21" t="inlineStr">
        <ns0:is>
          <ns0:t>Retained source-specific coding after review of the supplied extraction notes; not a new full-text retrieval. ADBrainNet uses rs-fMRI from ABIDE and ADHD-200 and reports an independent external testing set; LIME was used to identify influential features. The abstract describes the external test together with five-fold cross-validation, so the exact independence of the external evaluation should be checked manually. No explicit site-held-out robustness analysis was identified.
External-test claim and five-fold CV are not sufficiently disambiguated in recovered evidence.</ns0:t>
        </ns0:is>
      </ns0:c>
      <ns0:c r="H384" s="21" t="inlineStr">
        <ns0:is>
          <ns0:t>Autism Spectrum Disorder (ASD) and Attention Deficit and Hyperactivity Disorder (ADHD) are two psychiatric disorders frequently encountered in children. ADHD is further categorized into three subtypes. The diagnostic processes for these conditions are complex and often prone to misclassification. We proposed a lightweight deep neural network, ADBrainNet, to differentiate ASD, ADHD combined, ADHD hyperactive/impulsive, ADHD inattentive and neurotypical individuals. Our methodology was benchmarked against prevalent ImageNet transfer learning methods, including AlexNet, MobileNet, ResNet18, and Xception, for training on resting-state fMRI images sourced from ABIDE and ADHD-200 datasets. ADBrainNet achieved superior performance on the independent external testing set through five-fold cross-validation, with a mean (± standard deviation) accuracy, precision, recall, and F1 score of 61.87% (± 5.59%), 65.72% (± 6.98%), 61.87% (± 5.59%), and 62.50% (± 5.78%), respectively. Furthermore, the explainable artificial intelligence algorithm LIME was employed to explore the most significant features during ADBrainNet's decision process. Our model provides an interpretable computational framework for neuroimaging-based classification between ASD and ADHD subtypes. This approach may inform future research and, upon further validation and comparison with clinician performance, could potentially aid in patient assessment, stratification, and management of psychiatric disorders.</ns0:t>
        </ns0:is>
      </ns0:c>
      <ns0:c r="I384" s="21" t="inlineStr">
        <ns0:is>
          <ns0:t>ADBrainNet uses rs-fMRI from ABIDE and ADHD-200 and reports an independent external testing set; LIME was used to identify influential features. The abstract describes the external test together with five-fold cross-validation, so the exact independence of the external evaluation should be checked manually. No explicit site-held-out robustness analysis was identified.</ns0:t>
        </ns0:is>
      </ns0:c>
      <ns0:c r="J384" s="21" t="inlineStr">
        <ns0:is>
          <ns0:t>Lote_03_25: nivel=PubMed indexed research article with external-test and LIME details sufficient for scoped coding; hallazgo=ADBrainNet uses rs-fMRI from ABIDE and ADHD-200 and reports an independent external testing set; LIME was used to identify influential features.; limitación=; acción=; fuente=https://pubmed.ncbi.nlm.nih.gov/41781648/</ns0:t>
        </ns0:is>
      </ns0:c>
      <ns0:c r="K384" s="21" t="inlineStr">
        <ns0:is>
          <ns0:t>Contenido evaluable revisado; ver nivel exacto de fuente, evidencia y cautelas en Lote_03_25.</ns0:t>
        </ns0:is>
      </ns0:c>
      <ns0:c r="L384" s="21" t="inlineStr">
        <ns0:is>
          <ns0:t>Not documented in provided sources</ns0:t>
        </ns0:is>
      </ns0:c>
      <ns0:c r="M384" s="21" t="inlineStr">
        <ns0:is>
          <ns0:t>[]</ns0:t>
        </ns0:is>
      </ns0:c>
    </ns0:row>
    <ns0:row r="385" ht="333" customHeight="1">
      <ns0:c r="A385" s="19" t="inlineStr">
        <ns0:is>
          <ns0:t>new_209</ns0:t>
        </ns0:is>
      </ns0:c>
      <ns0:c r="B385" s="19" t="inlineStr">
        <ns0:is>
          <ns0:t>Integrating EEG microstate dynamics in a stacked ensemble for neurodiagnostic ASD assessment</ns0:t>
        </ns0:is>
      </ns0:c>
      <ns0:c r="C385" s="19" t="inlineStr">
        <ns0:is>
          <ns0:t>10.1016/j.bbr.2026.116220</ns0:t>
        </ns0:is>
      </ns0:c>
      <ns0:c r="D385" s="19" t="inlineStr">
        <ns0:is>
          <ns0:t>https://doi.org/10.1016/j.bbr.2026.116220</ns0:t>
        </ns0:is>
      </ns0:c>
      <ns0:c r="E385" s="19" t="inlineStr">
        <ns0:is>
          <ns0:t>Prior source-specific extraction retained; no new full-text retrieval</ns0:t>
        </ns0:is>
      </ns0:c>
      <ns0:c r="F385" s="19" t="inlineStr">
        <ns0:is>
          <ns0:t>EVIDENCIA; original abstract/coding notes and lot source trace; Inherited scoped adjudication; see source level and lot caveats</ns0:t>
        </ns0:is>
      </ns0:c>
      <ns0:c r="G385" s="19" t="inlineStr">
        <ns0:is>
          <ns0:t>Retained source-specific coding after review of the supplied extraction notes; not a new full-text retrieval. A stacked Random Forest ensemble integrates spectral/connectivity/complexity features with microstate and HMM dynamics, reaching 96.3% accuracy under GroupKFold validation. Validation is internal GroupKFold; no independent external cohort, multisite/site-held-out robustness, prospective evaluation, or formal XAI was identified.</ns0:t>
        </ns0:is>
      </ns0:c>
      <ns0:c r="H385" s="19" t="inlineStr">
        <ns0:is>
          <ns0:t>Autism Spectrum Disorder (ASD) remains diagnostically challenging due to its neurobiological heterogeneity and the current reliance on subjective behavioral assessments. To address this, we propose a novel stacked ensemble machine learning framework that enhances EEG-based ASD classification by integrating both spatial and temporal neural features. Spatial features including spectral power, functional connectivity, and signal complexity were extracted alongside temporal features derived from microstate transitions and Hidden Markov Model (HMM)-based dynamics, capturing complementary aspects of resting-state brain activity. Using Random Forest models for both base learners and the meta-classifier, our ensemble achieved a classification accuracy of 96.3% under rigorous GroupKFold cross-validation, significantly outperforming unimodal models based on spatial (88.15%) and temporal (73.6%) features alone. Bootstrapped confidence intervals confirmed the statistical robustness and generalizability of the ensemble approach. Our framework not only improves diagnostic accuracy but also lays the groundwork for translational neurotechnology aimed at early detection, subtype differentiation, and personalized intervention strategies in ASD.</ns0:t>
        </ns0:is>
      </ns0:c>
      <ns0:c r="I385" s="19" t="inlineStr">
        <ns0:is>
          <ns0:t>A stacked Random Forest ensemble integrates spectral/connectivity/complexity features with microstate and HMM dynamics, reaching 96.3% accuracy under GroupKFold validation. Validation is internal GroupKFold; no independent external cohort, multisite/site-held-out robustness, prospective evaluation, or formal XAI was identified.</ns0:t>
        </ns0:is>
      </ns0:c>
      <ns0:c r="J385" s="19" t="inlineStr">
        <ns0:is>
          <ns0:t>Lote_03_25: nivel=Publisher/PubMed detailed research abstract with validation protocol and model architecture; hallazgo=A stacked Random Forest ensemble integrates spectral/connectivity/complexity features with microstate and HMM dynamics, reaching 96.3% accuracy under GroupKFold validation.; limitación=; acción=; fuente=https://www.sciencedirect.com/science/article/pii/S0166432826001968</ns0:t>
        </ns0:is>
      </ns0:c>
      <ns0:c r="K385" s="19" t="inlineStr">
        <ns0:is>
          <ns0:t>Contenido evaluable revisado; ver nivel exacto de fuente, evidencia y cautelas en Lote_03_25.</ns0:t>
        </ns0:is>
      </ns0:c>
      <ns0:c r="L385" s="19" t="inlineStr">
        <ns0:is>
          <ns0:t>Not documented in provided sources</ns0:t>
        </ns0:is>
      </ns0:c>
      <ns0:c r="M385" s="19" t="inlineStr">
        <ns0:is>
          <ns0:t>[]</ns0:t>
        </ns0:is>
      </ns0:c>
    </ns0:row>
    <ns0:row r="386" ht="321" customHeight="1">
      <ns0:c r="A386" s="21" t="inlineStr">
        <ns0:is>
          <ns0:t>new_213</ns0:t>
        </ns0:is>
      </ns0:c>
      <ns0:c r="B386" s="21" t="inlineStr">
        <ns0:is>
          <ns0:t>Identifying autism spectrum disorder diagnosis in children via temporal-frequency hyperdimensional computing with resting-state EEG</ns0:t>
        </ns0:is>
      </ns0:c>
      <ns0:c r="C386" s="21" t="inlineStr">
        <ns0:is>
          <ns0:t>10.1016/j.eswa.2025.130671</ns0:t>
        </ns0:is>
      </ns0:c>
      <ns0:c r="D386" s="21" t="inlineStr">
        <ns0:is>
          <ns0:t>https://doi.org/10.1016/j.eswa.2025.130671</ns0:t>
        </ns0:is>
      </ns0:c>
      <ns0:c r="E386" s="21" t="inlineStr">
        <ns0:is>
          <ns0:t>Prior source-specific extraction retained; no new full-text retrieval</ns0:t>
        </ns0:is>
      </ns0:c>
      <ns0:c r="F386" s="21" t="inlineStr">
        <ns0:is>
          <ns0:t>EVIDENCIA; original abstract/coding notes and lot source trace; Inherited scoped adjudication; see source level and lot caveats</ns0:t>
        </ns0:is>
      </ns0:c>
      <ns0:c r="G386" s="21" t="inlineStr">
        <ns0:is>
          <ns0:t>Retained source-specific coding after review of the supplied extraction notes; not a new full-text retrieval. TF-HDC classifies resting-state EEG from 120 age-matched male participants (60 ASD, 60 TD) and reports about 90.9% accuracy while benchmarking conventional ML/DL models. Small single-cohort evaluation with no independent external dataset, site-held-out test, prospective clinical workflow, or formal XAI identified.</ns0:t>
        </ns0:is>
      </ns0:c>
      <ns0:c r="H386" s="21" t="inlineStr">
        <ns0:is>
          <ns0:t>Autism spectrum disorder (ASD) is a neurodevelopmental disorder with high heterogeneity and complexity, it remains a challenge to identify ASD with existing artificial intelligence models, which tend to rely on typical data features, large-scale training datasets, and high computational resource. This study introduced a novel application of hyperdimensional computing (HDC) for ASD detection using resting-state EEG signals, addressing these limitations. We developed a Temporal-Frequency HDC (TF-HDC) model that integrated time-frequency EEG features from 120 age-matched male subjects (60 ASD vs. 60 typically developing controls). The proposed framework achieved 90.91 % classification accuracy with a relatively low computational cost compared to traditional machine learning methods (including SVM, RF, XGBoost, DNN, CNN, and LSTM). Crucially, the model demonstrated exceptional robustness in small-sample scenarios, maintaining strong performance with limited training data. These findings establish TF-HDC as both a computationally efficient and clinically practical solution for early ASD diagnosis, particularly in resource-constrained settings where large datasets are unavailable.</ns0:t>
        </ns0:is>
      </ns0:c>
      <ns0:c r="I386" s="21" t="inlineStr">
        <ns0:is>
          <ns0:t>TF-HDC classifies resting-state EEG from 120 age-matched male participants (60 ASD, 60 TD) and reports about 90.9% accuracy while benchmarking conventional ML/DL models. Small single-cohort evaluation with no independent external dataset, site-held-out test, prospective clinical workflow, or formal XAI identified.</ns0:t>
        </ns0:is>
      </ns0:c>
      <ns0:c r="J386" s="21" t="inlineStr">
        <ns0:is>
          <ns0:t>Lote_03_25: nivel=Publisher indexed article text and detailed abstract with cohort/model/results; hallazgo=TF-HDC classifies resting-state EEG from 120 age-matched male participants (60 ASD, 60 TD) and reports about 90.9% accuracy while benchmarking conventional ML/DL models.; limitación=; acción=; fuente=https://www.sciencedirect.com/science/article/pii/S0957417425042861</ns0:t>
        </ns0:is>
      </ns0:c>
      <ns0:c r="K386" s="21" t="inlineStr">
        <ns0:is>
          <ns0:t>Contenido evaluable revisado; ver nivel exacto de fuente, evidencia y cautelas en Lote_03_25.</ns0:t>
        </ns0:is>
      </ns0:c>
      <ns0:c r="L386" s="21" t="inlineStr">
        <ns0:is>
          <ns0:t>Not documented in provided sources</ns0:t>
        </ns0:is>
      </ns0:c>
      <ns0:c r="M386" s="21" t="inlineStr">
        <ns0:is>
          <ns0:t>[]</ns0:t>
        </ns0:is>
      </ns0:c>
    </ns0:row>
    <ns0:row r="387" ht="350" customHeight="1">
      <ns0:c r="A387" s="19" t="inlineStr">
        <ns0:is>
          <ns0:t>new_215</ns0:t>
        </ns0:is>
      </ns0:c>
      <ns0:c r="B387" s="19" t="inlineStr">
        <ns0:is>
          <ns0:t>Integrated transcriptomic and clinical analysis of autism spectrum disorder reveals structured heterogeneity and links Methyl-CpG Binding Domain Protein 2 expression with symptom severity</ns0:t>
        </ns0:is>
      </ns0:c>
      <ns0:c r="C387" s="19" t="inlineStr">
        <ns0:is>
          <ns0:t>10.1111/pcn.70065</ns0:t>
        </ns0:is>
      </ns0:c>
      <ns0:c r="D387" s="19" t="inlineStr">
        <ns0:is>
          <ns0:t>https://doi.org/10.1111/pcn.70065</ns0:t>
        </ns0:is>
      </ns0:c>
      <ns0:c r="E387" s="19" t="inlineStr">
        <ns0:is>
          <ns0:t>Prior source-specific extraction retained; no new full-text retrieval</ns0:t>
        </ns0:is>
      </ns0:c>
      <ns0:c r="F387" s="19" t="inlineStr">
        <ns0:is>
          <ns0:t>EVIDENCIA; original abstract/coding notes and lot source trace; Inherited scoped adjudication; see source level and lot caveats</ns0:t>
        </ns0:is>
      </ns0:c>
      <ns0:c r="G387" s="19" t="inlineStr">
        <ns0:is>
          <ns0:t>Retained source-specific coding after review of the supplied extraction notes; not a new full-text retrieval. Transcriptomic profiling (150 ASD/70 TD) and clinical data (200 ASD/110 TD) were analyzed with clustering, integrative modeling and clinical ML; a 17-transcript panel showed discriminative performance. Screening performance is explicitly within-cohort and no external/site-held-out validation was reported in the accessible text. Molecular clusters only partially corresponded to clinical phenotype.</ns0:t>
        </ns0:is>
      </ns0:c>
      <ns0:c r="H387" s="19" t="inlineStr">
        <ns0:is>
          <ns0:t>Aim: Autism spectrum disorder (ASD) remains underexplored in Southeast Asia, with limited characterization of its molecular underpinnings and clinical heterogeneity. This study investigated transcriptomic variation and its relationship to clinical diversity in Thai children with ASD using integrated molecular and phenotypic analyses. Method: Peripheral blood transcriptomic profiling was performed in 150 ASD and 70 typically developing (TD) children to identify differentially expressed transcripts (DETs), followed by pathway enrichment, unsupervised molecular clustering, and integrative multiomics modeling. Clinical data from 200 ASD and 110 TD participants were analyzed in parallel to evaluate screening performance and derive phenotype-based subgroups. Results: Differential expression analysis identified 1,407 DETs with significant enrichment of autism-associated genes. Pathway analysis consistently implicated dysregulation of protein-synthesis machinery. Unsupervised transcriptome-based clustering revealed three molecular subgroups characterized by translational, innate-immune, and interferon-associated signatures, which did not directly correspond to clinical severity, age, or cognitive level, indicating structured biological heterogeneity beyond symptom-based classification. Integration of transcriptomic and phenotypic data demonstrated moderate cross-domain correspondence. Among recurrent molecular signals, MBD2 showed consistent upregulation across subgroups and strong associations with social-interaction measures (r = 0.74). In parallel, clinical machine-learning models showed high within-cohort screening performance, while a refined 17-transcript panel achieved robust discriminative accuracy, supporting the complementary role of molecular features in ASD stratification. Conclusion: Transcriptomic stratification reveals biologically structured heterogeneity in ASD that is only partially reflected in clinical presentation, supporting a multilayered framework integrating molecular and phenotypic dimensions.</ns0:t>
        </ns0:is>
      </ns0:c>
      <ns0:c r="I387" s="19" t="inlineStr">
        <ns0:is>
          <ns0:t>Transcriptomic profiling (150 ASD/70 TD) and clinical data (200 ASD/110 TD) were analyzed with clustering, integrative modeling and clinical ML; a 17-transcript panel showed discriminative performance. Screening performance is explicitly within-cohort and no external/site-held-out validation was reported in the accessible text. Molecular clusters only partially corresponded to clinical phenotype.</ns0:t>
        </ns0:is>
      </ns0:c>
      <ns0:c r="J387" s="19" t="inlineStr">
        <ns0:is>
          <ns0:t>Lote_03_25: nivel=Open publisher/PubMed research abstract with cohort sizes, integrated analyses and screening results; hallazgo=Transcriptomic profiling (150 ASD/70 TD) and clinical data (200 ASD/110 TD) were analyzed with clustering, integrative modeling and clinical ML; a 17-transcript panel showed discriminative performance.; limitación=; acción=; fuente=https://onlinelibrary.wiley.com/doi/10.1111/pcn.70065</ns0:t>
        </ns0:is>
      </ns0:c>
      <ns0:c r="K387" s="19" t="inlineStr">
        <ns0:is>
          <ns0:t>Contenido evaluable revisado; ver nivel exacto de fuente, evidencia y cautelas en Lote_03_25.</ns0:t>
        </ns0:is>
      </ns0:c>
      <ns0:c r="L387" s="19" t="inlineStr">
        <ns0:is>
          <ns0:t>Not documented in provided sources</ns0:t>
        </ns0:is>
      </ns0:c>
      <ns0:c r="M387" s="19" t="inlineStr">
        <ns0:is>
          <ns0:t>[]</ns0:t>
        </ns0:is>
      </ns0:c>
    </ns0:row>
    <ns0:row r="388" ht="309" customHeight="1">
      <ns0:c r="A388" s="21" t="inlineStr">
        <ns0:is>
          <ns0:t>new_218</ns0:t>
        </ns0:is>
      </ns0:c>
      <ns0:c r="B388" s="21" t="inlineStr">
        <ns0:is>
          <ns0:t>A Robust Computational Framework for Autism Spectrum Disorder Identification Using Optimized Image Processing and Hybrid Learning Models</ns0:t>
        </ns0:is>
      </ns0:c>
      <ns0:c r="C388" s="21" t="inlineStr">
        <ns0:is>
          <ns0:t>10.1002/dneu.70028</ns0:t>
        </ns0:is>
      </ns0:c>
      <ns0:c r="D388" s="21" t="inlineStr">
        <ns0:is>
          <ns0:t>https://doi.org/10.1002/dneu.70028</ns0:t>
        </ns0:is>
      </ns0:c>
      <ns0:c r="E388" s="21" t="inlineStr">
        <ns0:is>
          <ns0:t>Prior source-specific extraction retained; no new full-text retrieval</ns0:t>
        </ns0:is>
      </ns0:c>
      <ns0:c r="F388" s="21" t="inlineStr">
        <ns0:is>
          <ns0:t>EVIDENCIA; original abstract/coding notes and lot source trace; Inherited scoped adjudication; see source level and lot caveats</ns0:t>
        </ns0:is>
      </ns0:c>
      <ns0:c r="G388" s="21" t="inlineStr">
        <ns0:is>
          <ns0:t>Retained source-specific coding after review of the supplied extraction notes; not a new full-text retrieval. The hybrid pipeline was tested on AID, structured ASD screening data and ABIDE and reports very high performance (accuracy 99.95%). The accessible report does not establish a fixed development-versus-independent-external design or cross-site evaluation. Heterogeneous public datasets are evaluated, but explicit multisource fusion is not demonstrated.
Multiple datasets are described but the recovered evidence does not establish a single primary source or participant-linked multisource fusion.</ns0:t>
        </ns0:is>
      </ns0:c>
      <ns0:c r="H388" s="21" t="inlineStr">
        <ns0:is>
          <ns0:t>The classification of autism spectrum disorder (ASD) has reached a new stage of development that includes the former machine learning (ML) designs and image analysis designs. The study introduces a new framework that uses discrete wavelet transformation with Gaussian filter kernel (DWT-GFK) to achieve the robust preprocessing of the image, including noise removal and preserving edges without affecting the quality of the image. The VGG16 deep learning model is used to extract features, elaborate visual patterns, and data features that are pertinent to the identification of ASD. The classification stage uses a family of Elevated Learning-based Boosting Network with Hybrid Learning with Neural Classifier Logic (ELBN–HLNCL) that is optimized with the help of Walrus Optimization Algorithm (WaOA) to derive optimal model settings. Experimental testing of the proposed methods using the autism image dataset (AID), ASD screening dataset, and ABIDE dataset has shown the superiority of the proposed methodology with 99.95% accuracy, 99.9% recall, 99.8% precision, and 99.85% F1-score. The results demonstrate strong competitive performance compared with existing ASD classification approaches across multiple datasets. The findings offer promising applications in early ASD detection, facilitating improved diagnostic tools and aiding healthcare professionals in accurate assessments.</ns0:t>
        </ns0:is>
      </ns0:c>
      <ns0:c r="I388" s="21" t="inlineStr">
        <ns0:is>
          <ns0:t>The hybrid pipeline was tested on AID, structured ASD screening data and ABIDE and reports very high performance (accuracy 99.95%). The accessible report does not establish a fixed development-versus-independent-external design or cross-site evaluation. Heterogeneous public datasets are evaluated, but explicit multisource fusion is not demonstrated.</ns0:t>
        </ns0:is>
      </ns0:c>
      <ns0:c r="J388" s="21" t="inlineStr">
        <ns0:is>
          <ns0:t>Lote_03_25: nivel=Publisher/PubMed detailed research abstract plus data-availability statement; hallazgo=The hybrid pipeline was tested on AID, structured ASD screening data and ABIDE and reports very high performance (accuracy 99.95%).; limitación=; acción=; fuente=https://onlinelibrary.wiley.com/doi/10.1002/dneu.70028</ns0:t>
        </ns0:is>
      </ns0:c>
      <ns0:c r="K388" s="21" t="inlineStr">
        <ns0:is>
          <ns0:t>Contenido evaluable revisado; ver nivel exacto de fuente, evidencia y cautelas en Lote_03_25.</ns0:t>
        </ns0:is>
      </ns0:c>
      <ns0:c r="L388" s="21" t="inlineStr">
        <ns0:is>
          <ns0:t>Not documented in provided sources</ns0:t>
        </ns0:is>
      </ns0:c>
      <ns0:c r="M388" s="21" t="inlineStr">
        <ns0:is>
          <ns0:t>[]</ns0:t>
        </ns0:is>
      </ns0:c>
    </ns0:row>
    <ns0:row r="389" ht="333" customHeight="1">
      <ns0:c r="A389" s="19" t="inlineStr">
        <ns0:is>
          <ns0:t>new_222</ns0:t>
        </ns0:is>
      </ns0:c>
      <ns0:c r="B389" s="19" t="inlineStr">
        <ns0:is>
          <ns0:t>Adaptive network based fuzzy inference system efficientnet for autism spectrum disorder detection with optimization based pivotal region extraction</ns0:t>
        </ns0:is>
      </ns0:c>
      <ns0:c r="C389" s="19" t="inlineStr">
        <ns0:is>
          <ns0:t>10.1016/j.pscychresns.2025.112109</ns0:t>
        </ns0:is>
      </ns0:c>
      <ns0:c r="D389" s="19" t="inlineStr">
        <ns0:is>
          <ns0:t>https://doi.org/10.1016/j.pscychresns.2025.112109</ns0:t>
        </ns0:is>
      </ns0:c>
      <ns0:c r="E389" s="19" t="inlineStr">
        <ns0:is>
          <ns0:t>Prior source-specific extraction retained; no new full-text retrieval</ns0:t>
        </ns0:is>
      </ns0:c>
      <ns0:c r="F389" s="19" t="inlineStr">
        <ns0:is>
          <ns0:t>EVIDENCIA; original abstract/coding notes and lot source trace; Inherited scoped adjudication; see source level and lot caveats</ns0:t>
        </ns0:is>
      </ns0:c>
      <ns0:c r="G389" s="19" t="inlineStr">
        <ns0:is>
          <ns0:t>Retained source-specific coding after review of the supplied extraction notes; not a new full-text retrieval. ANFIS-EffNet combines fuzzy inference and EfficientNet with optimization-based pivotal-region extraction; reported accuracy is about 93.2% on ABIDE-related imaging. ABIDE-I/II use was treated as multisite evidence only; no explicit train-on-one/test-on-another or site-held-out robustness design was identified. Pivotal-region extraction was not counted as formal XAI.</ns0:t>
        </ns0:is>
      </ns0:c>
      <ns0:c r="H389" s="19" t="inlineStr">
        <ns0:is>
          <ns0:t>Autism Spectrum Disorder (ASD) refers to abnormal neural activity that may increase the risk of premature brain development issues. Many traditional treatment methods are available for ASD, but they require continuous assessment and analysis of patient behavior. However, traditional models are time-consuming and often lead to unclear outcomes, significantly impacting patient's social lives and communication ability. Hence, a novel hybrid approach is developed, namely, Adaptive Network Based Fuzzy Inference System EfficientNet (ANFIS-EffNet), which combines the ability of Adaptive Network Based Fuzzy Inference (ANFIS) and EfficientNet by modifying their layers. At first, the input autism brain image is given to the pre-processing stage, performed using Anisotropic diffusion and Region of Interest (ROI) extraction. Next, functional connectivity-based pivotal region extraction is done by Adam War Strategy Optimization (AWSO), a combination of the Adam optimization algorithm and War Strategy Optimization (WSO) technique. Next, feature extraction is carried out by including Learned Invariant Feature Transform (LIFT) and statistical methods. At last, ANFIS-EffNet is employed to detect autism spectrum disorder. The ANFIS-EffNet model has achieved outstanding performance with an accuracy of 93.219 %, sensitivity of 93.670 % and specificity of 93.840 % respectively.</ns0:t>
        </ns0:is>
      </ns0:c>
      <ns0:c r="I389" s="19" t="inlineStr">
        <ns0:is>
          <ns0:t>ANFIS-EffNet combines fuzzy inference and EfficientNet with optimization-based pivotal-region extraction; reported accuracy is about 93.2% on ABIDE-related imaging. ABIDE-I/II use was treated as multisite evidence only; no explicit train-on-one/test-on-another or site-held-out robustness design was identified. Pivotal-region extraction was not counted as formal XAI.</ns0:t>
        </ns0:is>
      </ns0:c>
      <ns0:c r="J389" s="19" t="inlineStr">
        <ns0:is>
          <ns0:t>Lote_03_25: nivel=Open-access ScienceDirect article with methods/results and ABIDE-I/II evaluation details; hallazgo=ANFIS-EffNet combines fuzzy inference and EfficientNet with optimization-based pivotal-region extraction; reported accuracy is about 93.2% on ABIDE-related imaging.; limitación=; acción=; fuente=https://www.sciencedirect.com/science/article/pii/S0925492725001647</ns0:t>
        </ns0:is>
      </ns0:c>
      <ns0:c r="K389" s="19" t="inlineStr">
        <ns0:is>
          <ns0:t>Contenido evaluable revisado; ver nivel exacto de fuente, evidencia y cautelas en Lote_03_25.</ns0:t>
        </ns0:is>
      </ns0:c>
      <ns0:c r="L389" s="19" t="inlineStr">
        <ns0:is>
          <ns0:t>Not documented in provided sources</ns0:t>
        </ns0:is>
      </ns0:c>
      <ns0:c r="M389" s="19" t="inlineStr">
        <ns0:is>
          <ns0:t>[]</ns0:t>
        </ns0:is>
      </ns0:c>
    </ns0:row>
    <ns0:row r="390" ht="345" customHeight="1">
      <ns0:c r="A390" s="21" t="inlineStr">
        <ns0:is>
          <ns0:t>new_223</ns0:t>
        </ns0:is>
      </ns0:c>
      <ns0:c r="B390" s="21" t="inlineStr">
        <ns0:is>
          <ns0:t>Identification of Autism Through Fractal Analysis of EEG Signals and Bayesian Optimized Artificial Neural Network</ns0:t>
        </ns0:is>
      </ns0:c>
      <ns0:c r="C390" s="21" t="inlineStr">
        <ns0:is>
          <ns0:t>10.1002/ima.70326</ns0:t>
        </ns0:is>
      </ns0:c>
      <ns0:c r="D390" s="21" t="inlineStr">
        <ns0:is>
          <ns0:t>https://doi.org/10.1002/ima.70326</ns0:t>
        </ns0:is>
      </ns0:c>
      <ns0:c r="E390" s="21" t="inlineStr">
        <ns0:is>
          <ns0:t>Prior source-specific extraction retained; no new full-text retrieval</ns0:t>
        </ns0:is>
      </ns0:c>
      <ns0:c r="F390" s="21" t="inlineStr">
        <ns0:is>
          <ns0:t>EVIDENCIA; original abstract/coding notes and lot source trace; Inherited scoped adjudication; see source level and lot caveats</ns0:t>
        </ns0:is>
      </ns0:c>
      <ns0:c r="G390" s="21" t="inlineStr">
        <ns0:is>
          <ns0:t>Retained source-specific coding after review of the supplied extraction notes; not a new full-text retrieval. Five fractal-dimension measures from 16 EEG channels feed several classifiers; BO-ANN reached 97.38% accuracy and XGBoost feature importance identified influential channels/features. Small sample (29 ASD, 30 TD) and no independent external/site-held-out validation. Feature importance supports XAI coding but does not establish clinical interpretability or utility.</ns0:t>
        </ns0:is>
      </ns0:c>
      <ns0:c r="H390" s="21" t="inlineStr">
        <ns0:is>
          <ns0:t>Autism Spectrum Disorder (ASD) is a neurological condition that affects the cerebrospinal nervous system, impairs motor function, and other developmental aspects. In this study, we proposed a novel approach that ensembled Fractal Dimension (FD) measures with a Bayesian Optimized Artificial Neural Network (BO-ANN) for the automated classification of multichannel Electroencephalography (EEG) signals into ASD (n = 29) and Typically Developing (TD) (n = 30) participants. We extracted five FD measures: Higuchi's Fractal Dimension (HFD), Correlation Dimension (CRD), Box-Counting Method (BCM), Katz's Fractal Dimension (KFD), and Petrosian's Fractal Dimension (PFD) from EEG signals. These features are assembled into an 80-dimensional vector (5 FDs × 16 channels) and demonstrate a statistically significant difference between TD and ASD controls (α &lt; 0.05). This feature set subsequently fed into six Machine Learning (ML) classifiers, an ANN model, and the proposed BO-ANN model for the identification process. Extreme Gradient Boosting (XGB) achieved an accuracy of 90.09%, while the baseline ANN obtained 91.44%. The proposed BO-ANN outperformed all models with a classification accuracy of 97.38%. Feature importance analysis with XGB further revealed the most influential channels and FD measures contributing to discrimination. Our study provides a robust framework for ASD identification using EEG signals and the proposed BO-ANN model, emphasizing the effectiveness of FD-based features. The proposed framework not only improves accuracy compared to the existing approaches but also enhances interpretability, making it a promising tool for practical applications in ASD identification.</ns0:t>
        </ns0:is>
      </ns0:c>
      <ns0:c r="I390" s="21" t="inlineStr">
        <ns0:is>
          <ns0:t>Five fractal-dimension measures from 16 EEG channels feed several classifiers; BO-ANN reached 97.38% accuracy and XGBoost feature importance identified influential channels/features. Small sample (29 ASD, 30 TD) and no independent external/site-held-out validation. Feature importance supports XAI coding but does not establish clinical interpretability or utility.</ns0:t>
        </ns0:is>
      </ns0:c>
      <ns0:c r="J390" s="21" t="inlineStr">
        <ns0:is>
          <ns0:t>Lote_03_25: nivel=Publisher indexed research article with model results, feature importance and data-availability statement; hallazgo=Five fractal-dimension measures from 16 EEG channels feed several classifiers; BO-ANN reached 97.38% accuracy and XGBoost feature importance identified influential channels/features.; limitación=; acción=; fuente=https://onlinelibrary.wiley.com/doi/10.1002/ima.70326</ns0:t>
        </ns0:is>
      </ns0:c>
      <ns0:c r="K390" s="21" t="inlineStr">
        <ns0:is>
          <ns0:t>Contenido evaluable revisado; ver nivel exacto de fuente, evidencia y cautelas en Lote_03_25.</ns0:t>
        </ns0:is>
      </ns0:c>
      <ns0:c r="L390" s="21" t="inlineStr">
        <ns0:is>
          <ns0:t>Not documented in provided sources</ns0:t>
        </ns0:is>
      </ns0:c>
      <ns0:c r="M390" s="21" t="inlineStr">
        <ns0:is>
          <ns0:t>[]</ns0:t>
        </ns0:is>
      </ns0:c>
    </ns0:row>
    <ns0:row r="391" ht="345" customHeight="1">
      <ns0:c r="A391" s="19" t="inlineStr">
        <ns0:is>
          <ns0:t>new_231</ns0:t>
        </ns0:is>
      </ns0:c>
      <ns0:c r="B391" s="19" t="inlineStr">
        <ns0:is>
          <ns0:t>Linguistic Explanations of Deep Models in Detecting Autism and Schizophrenia</ns0:t>
        </ns0:is>
      </ns0:c>
      <ns0:c r="C391" s="19" t="inlineStr">
        <ns0:is>
          <ns0:t>10.1111/coin.70158</ns0:t>
        </ns0:is>
      </ns0:c>
      <ns0:c r="D391" s="19" t="inlineStr">
        <ns0:is>
          <ns0:t>https://doi.org/10.1111/coin.70158</ns0:t>
        </ns0:is>
      </ns0:c>
      <ns0:c r="E391" s="19" t="inlineStr">
        <ns0:is>
          <ns0:t>Prior source-specific extraction retained; no new full-text retrieval</ns0:t>
        </ns0:is>
      </ns0:c>
      <ns0:c r="F391" s="19" t="inlineStr">
        <ns0:is>
          <ns0:t>EVIDENCIA; original abstract/coding notes and lot source trace; Inherited scoped adjudication; see source level and lot caveats</ns0:t>
        </ns0:is>
      </ns0:c>
      <ns0:c r="G391" s="19" t="inlineStr">
        <ns0:is>
          <ns0:t>Retained source-specific coding after review of the supplied extraction notes; not a new full-text retrieval. Integrated Gradients token attributions from HerBERT are mapped to syntactic and psycholinguistic variables and linked to feature importance and selected clinical tests. The indexed text does not expose the full sampling/validation design or evidence of independent external testing; data are restricted and available on request.</ns0:t>
        </ns0:is>
      </ns0:c>
      <ns0:c r="H391" s="19" t="inlineStr">
        <ns0:is>
          <ns0:t>Automated detection of mental conditions from text is increasingly important due to the rise of digital communication and limited access to clinicians, but the methods often suffer from insufficient explainability. In this study, we propose a novel framework to utilize linguistic dimensions to explain the attribution scores (Integrated Gradients) of tokens in a deep neural network (HerBERT) trained to detect autism and schizophrenia from textual data. In our approach, the scores are mapped to syntactic and psycholinguistic variables, which are then used to train explainable models. The feature importance derived from these models is thereby linked to linguistic dimensions, enhancing interpretability. Our results emphasize the role of syntactic clues, such as grammatical gender and case, in language processing. We also demonstrate that the deep model's attribution scores, when mapped to linguistic features, correlate with selected clinical tests. We propose that our framework can enhance the analysis and interpretation of deep neural networks used for detecting psychiatric disorders. Our approach advances explainable artificial intelligence in mental health by providing researchers with deeper insights into the linguistic cues driving deep neural model predictions.</ns0:t>
        </ns0:is>
      </ns0:c>
      <ns0:c r="I391" s="19" t="inlineStr">
        <ns0:is>
          <ns0:t>Integrated Gradients token attributions from HerBERT are mapped to syntactic and psycholinguistic variables and linked to feature importance and selected clinical tests. The indexed text does not expose the full sampling/validation design or evidence of independent external testing; data are restricted and available on request.</ns0:t>
        </ns0:is>
      </ns0:c>
      <ns0:c r="J391" s="19" t="inlineStr">
        <ns0:is>
          <ns0:t>Lote_03_25: nivel=Publisher indexed research article/PDF abstract with explicit Integrated Gradients and linguistic feature analysis; hallazgo=Integrated Gradients token attributions from HerBERT are mapped to syntactic and psycholinguistic variables and linked to feature importance and selected clinical tests.; limitación=; acción=; fuente=https://onlinelibrary.wiley.com/doi/10.1111/coin.70158</ns0:t>
        </ns0:is>
      </ns0:c>
      <ns0:c r="K391" s="19" t="inlineStr">
        <ns0:is>
          <ns0:t>Contenido evaluable revisado; ver nivel exacto de fuente, evidencia y cautelas en Lote_03_25.</ns0:t>
        </ns0:is>
      </ns0:c>
      <ns0:c r="L391" s="19" t="inlineStr">
        <ns0:is>
          <ns0:t>Not documented in provided sources</ns0:t>
        </ns0:is>
      </ns0:c>
      <ns0:c r="M391" s="19" t="inlineStr">
        <ns0:is>
          <ns0:t>[]</ns0:t>
        </ns0:is>
      </ns0:c>
    </ns0:row>
    <ns0:row r="392" ht="285" customHeight="1">
      <ns0:c r="A392" s="21" t="inlineStr">
        <ns0:is>
          <ns0:t>new_233</ns0:t>
        </ns0:is>
      </ns0:c>
      <ns0:c r="B392" s="21" t="inlineStr">
        <ns0:is>
          <ns0:t>Autism Screening Based on Deep Learning Analysis of Eye Movement Trajectories</ns0:t>
        </ns0:is>
      </ns0:c>
      <ns0:c r="C392" s="21" t="inlineStr">
        <ns0:is>
          <ns0:t>10.1049/cvi2.70078</ns0:t>
        </ns0:is>
      </ns0:c>
      <ns0:c r="D392" s="21" t="inlineStr">
        <ns0:is>
          <ns0:t>https://doi.org/10.1049/cvi2.70078</ns0:t>
        </ns0:is>
      </ns0:c>
      <ns0:c r="E392" s="21" t="inlineStr">
        <ns0:is>
          <ns0:t>Prior source-specific extraction retained; no new full-text retrieval</ns0:t>
        </ns0:is>
      </ns0:c>
      <ns0:c r="F392" s="21" t="inlineStr">
        <ns0:is>
          <ns0:t>EVIDENCIA; original abstract/coding notes and lot source trace; Inherited scoped adjudication; see source level and lot caveats</ns0:t>
        </ns0:is>
      </ns0:c>
      <ns0:c r="G392" s="21" t="inlineStr">
        <ns0:is>
          <ns0:t>Retained source-specific coding after review of the supplied extraction notes; not a new full-text retrieval. ET-ASDNet analyzes eye-movement trajectories and reports 85.19% and 72.67% accuracy on two public datasets. Use of two public datasets does not by itself establish external validation unless a fixed development/external design is shown. Attention/fusion modules were not counted as formal XAI.</ns0:t>
        </ns0:is>
      </ns0:c>
      <ns0:c r="H392" s="21" t="inlineStr">
        <ns0:is>
          <ns0:t>&lt;p&gt;Traditional clinical diagnosis of autism spectrum disorder (ASD) relies heavily on subjective physician assessments, resulting in longer diagnostic cycles and low efficiency. Eye‐tracking technology offers a noninvasive approach to objectively record visual attention patterns, enabling the identification of autism‐specific visual behavioural features that serve as diagnostic indicators, showing unique advantages for autism diagnosis. This study proposes ET‐ASDNet, a deep learning framework based on ResNet18 with three specialised modules for analysing eye movement trajectories to assist in ASD screening. The framework incorporates dynamic trajectory perception, multi‐dimensional cross‐attention fusion and adaptive spatial feature integration to capture ASD‐specific visual patterns. Evaluation was conducted using stratified three‐fold cross‐validation on two public eye‐tracking datasets: the Eye‐tracking Scanpath Dataset, where ET‐ASDNet achieved 85.19% accuracy and 86.96% F1‐score, and the Saliency4ASD dataset, where it achieved 72.67% accuracy and 76.84% F1‐score. Results demonstrate that ET‐ASDNet can provide an objective tool for auxiliary ASD screening.&lt;/p&gt;</ns0:t>
        </ns0:is>
      </ns0:c>
      <ns0:c r="I392" s="21" t="inlineStr">
        <ns0:is>
          <ns0:t>ET-ASDNet analyzes eye-movement trajectories and reports 85.19% and 72.67% accuracy on two public datasets. Use of two public datasets does not by itself establish external validation unless a fixed development/external design is shown. Attention/fusion modules were not counted as formal XAI.</ns0:t>
        </ns0:is>
      </ns0:c>
      <ns0:c r="J392" s="21" t="inlineStr">
        <ns0:is>
          <ns0:t>Lote_03_25: nivel=Open-access IET article/PDF located; two public datasets and experimental protocol reviewed; hallazgo=ET-ASDNet analyzes eye-movement trajectories and reports 85.19% and 72.67% accuracy on two public datasets.; limitación=; acción=; fuente=https://ietresearch.onlinelibrary.wiley.com/doi/10.1049/cvi2.70078</ns0:t>
        </ns0:is>
      </ns0:c>
      <ns0:c r="K392" s="21" t="inlineStr">
        <ns0:is>
          <ns0:t>Contenido evaluable revisado; ver nivel exacto de fuente, evidencia y cautelas en Lote_03_25.</ns0:t>
        </ns0:is>
      </ns0:c>
      <ns0:c r="L392" s="21" t="inlineStr">
        <ns0:is>
          <ns0:t>Not documented in provided sources</ns0:t>
        </ns0:is>
      </ns0:c>
      <ns0:c r="M392" s="21" t="inlineStr">
        <ns0:is>
          <ns0:t>[]</ns0:t>
        </ns0:is>
      </ns0:c>
    </ns0:row>
    <ns0:row r="393" ht="345" customHeight="1">
      <ns0:c r="A393" s="19" t="inlineStr">
        <ns0:is>
          <ns0:t>new_235</ns0:t>
        </ns0:is>
      </ns0:c>
      <ns0:c r="B393" s="19" t="inlineStr">
        <ns0:is>
          <ns0:t>Automatic measurement of social gaze during naturalistic conversations in autism</ns0:t>
        </ns0:is>
      </ns0:c>
      <ns0:c r="C393" s="19" t="inlineStr">
        <ns0:is>
          <ns0:t>10.1016/j.jpsychires.2026.05.015</ns0:t>
        </ns0:is>
      </ns0:c>
      <ns0:c r="D393" s="19" t="inlineStr">
        <ns0:is>
          <ns0:t>https://doi.org/10.1016/j.jpsychires.2026.05.015</ns0:t>
        </ns0:is>
      </ns0:c>
      <ns0:c r="E393" s="19" t="inlineStr">
        <ns0:is>
          <ns0:t>Prior source-specific extraction retained; no new full-text retrieval</ns0:t>
        </ns0:is>
      </ns0:c>
      <ns0:c r="F393" s="19" t="inlineStr">
        <ns0:is>
          <ns0:t>EVIDENCIA; original abstract/coding notes and lot source trace; Inherited scoped adjudication; see source level and lot caveats</ns0:t>
        </ns0:is>
      </ns0:c>
      <ns0:c r="G393" s="19" t="inlineStr">
        <ns0:is>
          <ns0:t>Retained source-specific coding after review of the supplied extraction notes; not a new full-text retrieval. Videos from 46 autistic and 36 neurotypical participants were used to train an automatic gaze detector; granular gaze features correlated with ADOS-2 Social Affect and classified ASD vs NT at 73%. Cross-validation is internal and no independent cohort/site test was reported. Human-defined gaze features are interpretable, but no formal post-hoc XAI method was used.</ns0:t>
        </ns0:is>
      </ns0:c>
      <ns0:c r="H393" s="19" t="inlineStr">
        <ns0:is>
          <ns0:t>Standardized, granular measurement of social communication behaviors, such as social gaze during natural interactions, is needed for a range of psychiatric applications including diagnosis and detecting clinical change in conditions such as autism. Computational approaches show promise in automatically measuring social behaviors within natural settings. This study aims to automatically measure social gaze features from videos of dyadic conversations, characterize autism-related differences, and capture individual-level differences. 46 autistic Participants and 36 neurotypical Participants, aged 8-29 years, engaged in a brief video-recorded conversation with a research staff member (Partner). An automated social gaze detector was trained to detect whether each partner was looking at the other and achieved 89% cross-validated accuracy with human annotations. Comparing detailed automatic gaze measurements, autistic Participants spent less time looking at Partners and engaging in mutual gaze than neurotypical Participants did. They also initiated mutual gaze less frequently and had shorter mutual gaze episodes, but did not differ in mutual gaze counts. A social gaze summary score fusing individual variables correlated specifically with ADOS-2 Social Affect scores and not Restricted and Repetitive Behavior scores. A cross-validated multivariate classification model using gaze features was able to make individual-level diagnostic prediction (autism versus neurotypical) with 73% accuracy. This study provides a framework for automatically quantifying social gaze behaviors with high granularity and demonstrates its use in psychiatric research. This framework has a potential for enhancing measurement of social skills and tracking therapeutic progress in autism and other psychiatric conditions.</ns0:t>
        </ns0:is>
      </ns0:c>
      <ns0:c r="I393" s="19" t="inlineStr">
        <ns0:is>
          <ns0:t>Videos from 46 autistic and 36 neurotypical participants were used to train an automatic gaze detector; granular gaze features correlated with ADOS-2 Social Affect and classified ASD vs NT at 73%. Cross-validation is internal and no independent cohort/site test was reported. Human-defined gaze features are interpretable, but no formal post-hoc XAI method was used.</ns0:t>
        </ns0:is>
      </ns0:c>
      <ns0:c r="J393" s="19" t="inlineStr">
        <ns0:is>
          <ns0:t>Lote_03_25: nivel=Open-access PMC/ScienceDirect full article with participant, modeling and validation details; hallazgo=Videos from 46 autistic and 36 neurotypical participants were used to train an automatic gaze detector; granular gaze features correlated with ADOS-2 Social Affect and classified ASD vs NT at 73%.; limitación=; acción=; fuente=https://pmc.ncbi.nlm.nih.gov/articles/PMC13248665/</ns0:t>
        </ns0:is>
      </ns0:c>
      <ns0:c r="K393" s="19" t="inlineStr">
        <ns0:is>
          <ns0:t>Contenido evaluable revisado; ver nivel exacto de fuente, evidencia y cautelas en Lote_03_25.</ns0:t>
        </ns0:is>
      </ns0:c>
      <ns0:c r="L393" s="19" t="inlineStr">
        <ns0:is>
          <ns0:t>Not documented in provided sources</ns0:t>
        </ns0:is>
      </ns0:c>
      <ns0:c r="M393" s="19" t="inlineStr">
        <ns0:is>
          <ns0:t>[]</ns0:t>
        </ns0:is>
      </ns0:c>
    </ns0:row>
    <ns0:row r="394" ht="321" customHeight="1">
      <ns0:c r="A394" s="21" t="inlineStr">
        <ns0:is>
          <ns0:t>new_236</ns0:t>
        </ns0:is>
      </ns0:c>
      <ns0:c r="B394" s="21" t="inlineStr">
        <ns0:is>
          <ns0:t>An image-based analytics framework for early autism detection using eye movements</ns0:t>
        </ns0:is>
      </ns0:c>
      <ns0:c r="C394" s="21" t="inlineStr">
        <ns0:is>
          <ns0:t>10.1016/j.health.2025.100439</ns0:t>
        </ns0:is>
      </ns0:c>
      <ns0:c r="D394" s="21" t="inlineStr">
        <ns0:is>
          <ns0:t>https://doi.org/10.1016/j.health.2025.100439</ns0:t>
        </ns0:is>
      </ns0:c>
      <ns0:c r="E394" s="21" t="inlineStr">
        <ns0:is>
          <ns0:t>Prior source-specific extraction retained; no new full-text retrieval</ns0:t>
        </ns0:is>
      </ns0:c>
      <ns0:c r="F394" s="21" t="inlineStr">
        <ns0:is>
          <ns0:t>EVIDENCIA; original abstract/coding notes and lot source trace; Inherited scoped adjudication; see source level and lot caveats</ns0:t>
        </ns0:is>
      </ns0:c>
      <ns0:c r="G394" s="21" t="inlineStr">
        <ns0:is>
          <ns0:t>Retained source-specific coding after review of the supplied extraction notes; not a new full-text retrieval. GazeScan converts gaze trajectories into grayscale scanpath images and uses a lightweight CNN; five-fold CV on ETSP reports 97.01% accuracy and AUC 0.98. Public single-dataset internal cross-validation only; no independent external cohort, multisite robustness, prospective clinical evaluation, or formal XAI identified.</ns0:t>
        </ns0:is>
      </ns0:c>
      <ns0:c r="H394" s="21" t="inlineStr">
        <ns0:is>
          <ns0:t>Autism Spectrum Disorder (ASD) is a complex neurodevelopmental condition whose early detection is crucial for improving social and cognitive outcomes. Current diagnostic tools are often costly, subjective, and inaccessible to many clinics. This work presents GazeScan, an image-based analytics framework that identifies ASD from eye-tracking behavior using only standard video input. The system non-invasively performs gaze estimation via a 16-point geometric calibration and transforms gaze trajectories into grayscale scanpath images. These images are classified using a lightweight convolutional neural network. GazeScan was evaluated on the Eye-Tracking Scan Path (ETSP) dataset with five-fold cross-validation, achieving 97.01% accuracy and an AUC of 0.98. The model's compact architecture enables real-time inference and mobile deployment without specialized hardware. The results obtained highlight the potential of accessible, AI-enabled digital screening tools to support early ASD detection and broader behavioral healthcare delivery.</ns0:t>
        </ns0:is>
      </ns0:c>
      <ns0:c r="I394" s="21" t="inlineStr">
        <ns0:is>
          <ns0:t>GazeScan converts gaze trajectories into grayscale scanpath images and uses a lightweight CNN; five-fold CV on ETSP reports 97.01% accuracy and AUC 0.98. Public single-dataset internal cross-validation only; no independent external cohort, multisite robustness, prospective clinical evaluation, or formal XAI identified.</ns0:t>
        </ns0:is>
      </ns0:c>
      <ns0:c r="J394" s="21" t="inlineStr">
        <ns0:is>
          <ns0:t>Lote_03_25: nivel=Open-access ScienceDirect article with dataset, model, cross-validation and deployment details; hallazgo=GazeScan converts gaze trajectories into grayscale scanpath images and uses a lightweight CNN; five-fold CV on ETSP reports 97.01% accuracy and AUC 0.98.; limitación=; acción=; fuente=https://www.sciencedirect.com/science/article/pii/S2772442525000589</ns0:t>
        </ns0:is>
      </ns0:c>
      <ns0:c r="K394" s="21" t="inlineStr">
        <ns0:is>
          <ns0:t>Contenido evaluable revisado; ver nivel exacto de fuente, evidencia y cautelas en Lote_03_25.</ns0:t>
        </ns0:is>
      </ns0:c>
      <ns0:c r="L394" s="21" t="inlineStr">
        <ns0:is>
          <ns0:t>Not documented in provided sources</ns0:t>
        </ns0:is>
      </ns0:c>
      <ns0:c r="M394" s="21" t="inlineStr">
        <ns0:is>
          <ns0:t>[]</ns0:t>
        </ns0:is>
      </ns0:c>
    </ns0:row>
    <ns0:row r="395" ht="321" customHeight="1">
      <ns0:c r="A395" s="19" t="inlineStr">
        <ns0:is>
          <ns0:t>new_242</ns0:t>
        </ns0:is>
      </ns0:c>
      <ns0:c r="B395" s="19" t="inlineStr">
        <ns0:is>
          <ns0:t>Neurophysiological EEG Characterization of Autism Spectrum Disorder Using DWT-Based Frequency Analysis With Selective Electrodes and Brain Segmentation: An Explainable AI-Driven Approach</ns0:t>
        </ns0:is>
      </ns0:c>
      <ns0:c r="C395" s="19" t="inlineStr">
        <ns0:is>
          <ns0:t>10.1096/fj.202600019r</ns0:t>
        </ns0:is>
      </ns0:c>
      <ns0:c r="D395" s="19" t="inlineStr">
        <ns0:is>
          <ns0:t>https://doi.org/10.1096/fj.202600019r</ns0:t>
        </ns0:is>
      </ns0:c>
      <ns0:c r="E395" s="19" t="inlineStr">
        <ns0:is>
          <ns0:t>Prior source-specific extraction retained; no new full-text retrieval</ns0:t>
        </ns0:is>
      </ns0:c>
      <ns0:c r="F395" s="19" t="inlineStr">
        <ns0:is>
          <ns0:t>EVIDENCIA; original abstract/coding notes and lot source trace; Inherited scoped adjudication; see source level and lot caveats</ns0:t>
        </ns0:is>
      </ns0:c>
      <ns0:c r="G395" s="19" t="inlineStr">
        <ns0:is>
          <ns0:t>Retained source-specific coding after review of the supplied extraction notes; not a new full-text retrieval. DWT features from 15 EEG electrodes were benchmarked across 21 models; Logistic Regression performed best at 88.57% accuracy, and explainability identified delta/theta power as key features. Preliminary small-cohort study with internal validation; the authors explicitly state that larger independent cohorts are needed.</ns0:t>
        </ns0:is>
      </ns0:c>
      <ns0:c r="H395" s="19" t="inlineStr">
        <ns0:is>
          <ns0:t>Autism Spectrum Disorder (ASD) diagnosis benefits from the technical analysis of neural oscillations. The objective identification of Autism Spectrum Disorder (ASD) is advanced through a dedicated engineering framework that analyzes neural oscillations via electroencephalogram (EEG) signals. This methodology synthesizes statistical signal processing, frequency-domain transformation, and computational intelligence. Multi-channel EEG data from 15 electrodes were first organized into seven functional brain regions. A Discrete Wavelet Transform (db4) was then applied for multiresolution decomposition, extracting and normalizing the spectral power of delta, theta, alpha, beta, and gamma frequency bands. This spectral characterization was augmented with statistical descriptors to quantify signal dynamics and complexity, creating a robust multi-domain feature set. For classification, the framework implements a comprehensive comparative analysis across multiple learning paradigms. The engineered feature space was processed by nine classical machine learning algorithms, eight deep neural network architectures, and four meta-learning strategies. Empirical validation revealed that Logistic Regression achieved 88.57% accuracy with an AUC of 0.77. Further Extra Trees achieving 86.42% accuracy. Long Short-Term Memory (LSTM) networks demonstrated strong sequential modeling capability, attaining a competitive accuracy of approximately 87%. While meta-learning preserved diagnostic sensitivity, it did not surpass the leading standalone models. To ensure clinical interpretability, Explainability was employed, identifying delta and theta band power as the most critical discriminative features. Consequently, this study delivers a technically rigorous, transparent, and automated pipeline for electrophysiological signal characterization, establishing a preliminary computational foundation for neurophysiological differentiation in pediatric ASD. All findings are preliminary and exploratory, pending validation in larger independent cohorts.</ns0:t>
        </ns0:is>
      </ns0:c>
      <ns0:c r="I395" s="19" t="inlineStr">
        <ns0:is>
          <ns0:t>DWT features from 15 EEG electrodes were benchmarked across 21 models; Logistic Regression performed best at 88.57% accuracy, and explainability identified delta/theta power as key features. Preliminary small-cohort study with internal validation; the authors explicitly state that larger independent cohorts are needed.</ns0:t>
        </ns0:is>
      </ns0:c>
      <ns0:c r="J395" s="19" t="inlineStr">
        <ns0:is>
          <ns0:t>Lote_03_25: nivel=Publisher/PubMed detailed research article with model comparison and XAI result; hallazgo=DWT features from 15 EEG electrodes were benchmarked across 21 models; Logistic Regression performed best at 88.57% accuracy, and explainability identified delta/theta power as key features.; limitación=; acción=; fuente=https://pubmed.ncbi.nlm.nih.gov/42417525/</ns0:t>
        </ns0:is>
      </ns0:c>
      <ns0:c r="K395" s="19" t="inlineStr">
        <ns0:is>
          <ns0:t>Contenido evaluable revisado; ver nivel exacto de fuente, evidencia y cautelas en Lote_03_25.</ns0:t>
        </ns0:is>
      </ns0:c>
      <ns0:c r="L395" s="19" t="inlineStr">
        <ns0:is>
          <ns0:t>Not documented in provided sources</ns0:t>
        </ns0:is>
      </ns0:c>
      <ns0:c r="M395" s="19" t="inlineStr">
        <ns0:is>
          <ns0:t>[]</ns0:t>
        </ns0:is>
      </ns0:c>
    </ns0:row>
    <ns0:row r="396" ht="309" customHeight="1">
      <ns0:c r="A396" s="21" t="inlineStr">
        <ns0:is>
          <ns0:t>new_244</ns0:t>
        </ns0:is>
      </ns0:c>
      <ns0:c r="B396" s="21" t="inlineStr">
        <ns0:is>
          <ns0:t>DHCA-Net: A Novel Dual-Stream Hierarchical Channel Attention Network for Explainable Autism Spectrum Disorder Detection From Facial Images</ns0:t>
        </ns0:is>
      </ns0:c>
      <ns0:c r="C396" s="21" t="inlineStr">
        <ns0:is>
          <ns0:t>10.1002/jdn.70158</ns0:t>
        </ns0:is>
      </ns0:c>
      <ns0:c r="D396" s="21" t="inlineStr">
        <ns0:is>
          <ns0:t>https://doi.org/10.1002/jdn.70158</ns0:t>
        </ns0:is>
      </ns0:c>
      <ns0:c r="E396" s="21" t="inlineStr">
        <ns0:is>
          <ns0:t>Prior source-specific extraction retained; no new full-text retrieval</ns0:t>
        </ns0:is>
      </ns0:c>
      <ns0:c r="F396" s="21" t="inlineStr">
        <ns0:is>
          <ns0:t>EVIDENCIA; original abstract/coding notes and lot source trace; Inherited scoped adjudication; see source level and lot caveats</ns0:t>
        </ns0:is>
      </ns0:c>
      <ns0:c r="G396" s="21" t="inlineStr">
        <ns0:is>
          <ns0:t>Retained source-specific coding after review of the supplied extraction notes; not a new full-text retrieval. DHCA-Net was tested on 2,936 facial images using train/test/validation splits and achieved 93.7% accuracy, F1 0.9365 and AUC 0.9887. Despite the word explainable in the title, the accessible report describes attention mechanisms but no explicit explanation method/output satisfying strict XAI criteria. Broader demographic generalization remains future work.</ns0:t>
        </ns0:is>
      </ns0:c>
      <ns0:c r="H396" s="21" t="inlineStr">
        <ns0:is>
          <ns0:t>Autism spectrum disorder (ASD) consists of a spectrum of neurodevelopmental conditions characterized by complex behavioural traits and subtle, atypical facial morphologies. Analysing these facial biomarkers provides a promising, non-invasive avenue for objective clinical screening, addressing the subjectivity of traditional diagnostic processes. Therefore, the present study aims to introduce DHCA-Net, a deep learning framework designed for automated ASD detection through the analysis of facial images. The proposed architecture uses different levels of attention and different adaptive tuning to advance discriminative learning. Specifically, DHCA-Net introduces three novel attention mechanisms to advance discriminative learning: a hierarchical channel module for spatial-semantic processing, a temporal-depth convolutional module for local contextual control and an inverted residual multi-core module for dynamic feature learning. An adaptive refinement step is also introduced to denoise clinical features. To bolster and diversify the classifier, the model exploits deep spatial and contextual resources via a multi-head feature fusion (MHFF) mechanism. We conducted extensive testing on a benchmark dataset comprising 2936 diverse, preprocessed facial images (86.4% train, 10.2% test, 3.4% validation splits). A comparative analysis evaluated DHCA-Net against architectures such as DenseNet, Xception, EfficientNet and Swin-Transformer. The proposed model achieved 93.7% classification accuracy, a 0.9365 F1 score and a 0.9887 AUC, demonstrating superior performance. Furthermore, the model maintains an efficient average inference latency of 70.14 ms despite its mid-to-high computational complexity. This explainable framework offers significant clinical applicability for scalable screening, though future work must address generalization across broader demographic populations.</ns0:t>
        </ns0:is>
      </ns0:c>
      <ns0:c r="I396" s="21" t="inlineStr">
        <ns0:is>
          <ns0:t>DHCA-Net was tested on 2,936 facial images using train/test/validation splits and achieved 93.7% accuracy, F1 0.9365 and AUC 0.9887. Despite the word explainable in the title, the accessible report describes attention mechanisms but no explicit explanation method/output satisfying strict XAI criteria. Broader demographic generalization remains future work.</ns0:t>
        </ns0:is>
      </ns0:c>
      <ns0:c r="J396" s="21" t="inlineStr">
        <ns0:is>
          <ns0:t>Lote_03_25: nivel=Publisher/PubMed/PMC research record with dataset split, architecture and results; hallazgo=DHCA-Net was tested on 2,936 facial images using train/test/validation splits and achieved 93.7% accuracy, F1 0.9365 and AUC 0.9887.; limitación=; acción=; fuente=https://onlinelibrary.wiley.com/doi/10.1002/jdn.70158</ns0:t>
        </ns0:is>
      </ns0:c>
      <ns0:c r="K396" s="21" t="inlineStr">
        <ns0:is>
          <ns0:t>Contenido evaluable revisado; ver nivel exacto de fuente, evidencia y cautelas en Lote_03_25.</ns0:t>
        </ns0:is>
      </ns0:c>
      <ns0:c r="L396" s="21" t="inlineStr">
        <ns0:is>
          <ns0:t>Not documented in provided sources</ns0:t>
        </ns0:is>
      </ns0:c>
      <ns0:c r="M396" s="21" t="inlineStr">
        <ns0:is>
          <ns0:t>[]</ns0:t>
        </ns0:is>
      </ns0:c>
    </ns0:row>
    <ns0:row r="397" ht="309" customHeight="1">
      <ns0:c r="A397" s="19" t="inlineStr">
        <ns0:is>
          <ns0:t>new_246</ns0:t>
        </ns0:is>
      </ns0:c>
      <ns0:c r="B397" s="19" t="inlineStr">
        <ns0:is>
          <ns0:t>MTT: Multi-Tier Transformer for Early Diagnosis of Autism Spectrum Disorder and Language Disorder in Infants</ns0:t>
        </ns0:is>
      </ns0:c>
      <ns0:c r="C397" s="19" t="inlineStr">
        <ns0:is>
          <ns0:t>10.1111/coin.70131</ns0:t>
        </ns0:is>
      </ns0:c>
      <ns0:c r="D397" s="19" t="inlineStr">
        <ns0:is>
          <ns0:t>https://doi.org/10.1111/coin.70131</ns0:t>
        </ns0:is>
      </ns0:c>
      <ns0:c r="E397" s="19" t="inlineStr">
        <ns0:is>
          <ns0:t>Prior source-specific extraction retained; no new full-text retrieval</ns0:t>
        </ns0:is>
      </ns0:c>
      <ns0:c r="F397" s="19" t="inlineStr">
        <ns0:is>
          <ns0:t>EVIDENCIA; original abstract/coding notes and lot source trace; Inherited scoped adjudication; see source level and lot caveats</ns0:t>
        </ns0:is>
      </ns0:c>
      <ns0:c r="G397" s="19" t="inlineStr">
        <ns0:is>
          <ns0:t>Retained source-specific coding after review of the supplied extraction notes; not a new full-text retrieval. MTT uses resting-state infant EEG baseline power, SMOTE, transfer learning and feature/self/cross-attention; reported accuracy is 0.91 and AUC 0.97. No independent external/site-held-out evaluation is identified. Interpretability is attention-based only, so it was coded as partial rather than strict XAI.</ns0:t>
        </ns0:is>
      </ns0:c>
      <ns0:c r="H397" s="19" t="inlineStr">
        <ns0:is>
          <ns0:t>Current diagnosis of autism spectrum disorder (ASD) and developmental language/reading disorder (DLD/DD) relies predominantly on subjective behavioral assessments, this underscoring the urgent need for objective biomarkers to enable early intervention. This study proposes a Multi-Tier Transformer (MTT) model for early identification of ASD and DLD/DD using resting-state EEG baseline power values. To address severe class imbalance, we augmented the dataset using the SMOTE method. The MTT architecture integrates a Feature-Embedding layer, a Feature-Attention mechanism that dynamically weights multi-spectral inputs, and a dual-attention encoding block comprising both self-attention and cross-attention to enhance contextual representation learning from limited samples. Transfer learning was further employed to improve robustness by pre-training on augmented data and fine-tuning on original samples. Evaluated on clinical infant EEG data, the proposed MTT achieved an accuracy of 0.91 (95% CI: 0.89–0.93), recall of 0.89, and AUC of 0.97, significantly outperforming the state-of-the-art FT-transformer (p = 0.00091). The results indicate that MTT provides a robust and interpretable deep learning tool for auxiliary diagnosis of neurodevelopmental disorders in infancy.</ns0:t>
        </ns0:is>
      </ns0:c>
      <ns0:c r="I397" s="19" t="inlineStr">
        <ns0:is>
          <ns0:t>MTT uses resting-state infant EEG baseline power, SMOTE, transfer learning and feature/self/cross-attention; reported accuracy is 0.91 and AUC 0.97. No independent external/site-held-out evaluation is identified. Interpretability is attention-based only, so it was coded as partial rather than strict XAI.</ns0:t>
        </ns0:is>
      </ns0:c>
      <ns0:c r="J397" s="19" t="inlineStr">
        <ns0:is>
          <ns0:t>Lote_03_25: nivel=Publisher detailed research abstract with clinical EEG, model architecture and performance; hallazgo=MTT uses resting-state infant EEG baseline power, SMOTE, transfer learning and feature/self/cross-attention; reported accuracy is 0.91 and AUC 0.97.; limitación=; acción=; fuente=https://onlinelibrary.wiley.com/doi/10.1111/coin.70131</ns0:t>
        </ns0:is>
      </ns0:c>
      <ns0:c r="K397" s="19" t="inlineStr">
        <ns0:is>
          <ns0:t>Contenido evaluable revisado; ver nivel exacto de fuente, evidencia y cautelas en Lote_03_25.</ns0:t>
        </ns0:is>
      </ns0:c>
      <ns0:c r="L397" s="19" t="inlineStr">
        <ns0:is>
          <ns0:t>Not documented in provided sources</ns0:t>
        </ns0:is>
      </ns0:c>
      <ns0:c r="M397" s="19" t="inlineStr">
        <ns0:is>
          <ns0:t>[]</ns0:t>
        </ns0:is>
      </ns0:c>
    </ns0:row>
    <ns0:row r="398" ht="350" customHeight="1">
      <ns0:c r="A398" s="21" t="inlineStr">
        <ns0:is>
          <ns0:t>new_248</ns0:t>
        </ns0:is>
      </ns0:c>
      <ns0:c r="B398" s="21" t="inlineStr">
        <ns0:is>
          <ns0:t>Optimized quadrangle attention consolidated convolutional multi-scale vision transformer based autism detection</ns0:t>
        </ns0:is>
      </ns0:c>
      <ns0:c r="C398" s="21" t="inlineStr">
        <ns0:is>
          <ns0:t>10.1016/j.pscychresns.2026.112251</ns0:t>
        </ns0:is>
      </ns0:c>
      <ns0:c r="D398" s="21" t="inlineStr">
        <ns0:is>
          <ns0:t>https://doi.org/10.1016/j.pscychresns.2026.112251</ns0:t>
        </ns0:is>
      </ns0:c>
      <ns0:c r="E398" s="21" t="inlineStr">
        <ns0:is>
          <ns0:t>Prior source-specific extraction retained; no new full-text retrieval</ns0:t>
        </ns0:is>
      </ns0:c>
      <ns0:c r="F398" s="21" t="inlineStr">
        <ns0:is>
          <ns0:t>EVIDENCIA; original abstract/coding notes and lot source trace; Inherited scoped adjudication; see source level and lot caveats</ns0:t>
        </ns0:is>
      </ns0:c>
      <ns0:c r="G398" s="21" t="inlineStr">
        <ns0:is>
          <ns0:t>Retained source-specific coding after review of the supplied extraction notes; not a new full-text retrieval. Uses two facial-image datasets, AMGF preprocessing, GAN augmentation, DMM-AND feature extraction and an optimized convolutional multi-scale vision transformer; reported accuracies are 97.96% and 98.04%. Evaluation on two datasets is not documented as an independent external-validation design or site-held-out test in the accessible material; very high performance warrants independent replication.
All-neural/optimization pipeline in recovered evidence; hybrid title is not sufficient for mixed conventional-ML/DL classification.</ns0:t>
        </ns0:is>
      </ns0:c>
      <ns0:c r="H398" s="21" t="inlineStr">
        <ns0:is>
          <ns0:t>Autism is a complex neurological condition characterized by repetitive behaviours, varied speech and difficulties in social interaction. Identifying autism spectrum using traditional methods alone is challenging due to its complexity and variability. In order to facilitate earlier and more accurate detection, Artificial intelligence (AI) methods have been developed to improve traditional diagnostic techniques. Standard diagnostic methods often struggle with reliability due to the variability and complexity of autistic individuals. To overcome these challenges, this study proposes a novel Deep Learning (DL) based framework for efficient and accurate autism spectrum detection. The input data are first pre-processed using an Adaptive Median Gaussian Filter (AMGF) to remove noise while preserving essential image features. Then, Generative Adversarial Networks (GANs) are employed for data augmentation, effectively overcoming dataset imbalance and security. Feature extraction is carried out using the Deep Multi-scale and multi-level enclosed attentional DarkNet (DMM-AND) model, which captures both fine-grained and high-level patterns. Finally, autism spectrum detection is performed using the Optimized Quadrangle Attention consolidated Convolutional Multi-scale Vision Transformer (OQA-CMVT) model. Here, the Random Spiral exploit chimp optimization algorithm (RS-COA) is used for the hyperparameter tuning process. The proposed technique achieves 97.96% accuracy for the autistic children's facial dataset and 98.04% for the Autism_Image_Data dataset.</ns0:t>
        </ns0:is>
      </ns0:c>
      <ns0:c r="I398" s="21" t="inlineStr">
        <ns0:is>
          <ns0:t>Uses two facial-image datasets, AMGF preprocessing, GAN augmentation, DMM-AND feature extraction and an optimized convolutional multi-scale vision transformer; reported accuracies are 97.96% and 98.04%. Evaluation on two datasets is not documented as an independent external-validation design or site-held-out test in the accessible material; very high performance warrants independent replication.</ns0:t>
        </ns0:is>
      </ns0:c>
      <ns0:c r="J398" s="21" t="inlineStr">
        <ns0:is>
          <ns0:t>Lote_04_25: nivel=Publisher/PubMed detailed research abstract with methods and results sufficient for scoped coding; hallazgo=Uses two facial-image datasets, AMGF preprocessing, GAN augmentation, DMM-AND feature extraction and an optimized convolutional multi-scale vision transformer; reported accuracies are 97.96% and 98.04%.; limitación=; acción=; fuente=https://www.sciencedirect.com/science/article/pii/S0925492726001162</ns0:t>
        </ns0:is>
      </ns0:c>
      <ns0:c r="K398" s="21" t="inlineStr">
        <ns0:is>
          <ns0:t>Contenido evaluable revisado; el nivel exacto de fuente, evidencia y cautelas se documenta en Lote_04_25.</ns0:t>
        </ns0:is>
      </ns0:c>
      <ns0:c r="L398" s="21" t="inlineStr">
        <ns0:is>
          <ns0:t>Not documented in provided sources</ns0:t>
        </ns0:is>
      </ns0:c>
      <ns0:c r="M398" s="21" t="inlineStr">
        <ns0:is>
          <ns0:t>[]</ns0:t>
        </ns0:is>
      </ns0:c>
    </ns0:row>
    <ns0:row r="399" ht="297" customHeight="1">
      <ns0:c r="A399" s="19" t="inlineStr">
        <ns0:is>
          <ns0:t>new_249</ns0:t>
        </ns0:is>
      </ns0:c>
      <ns0:c r="B399" s="19" t="inlineStr">
        <ns0:is>
          <ns0:t>An early detection of autism spectrum disorder using machine learning</ns0:t>
        </ns0:is>
      </ns0:c>
      <ns0:c r="C399" s="19" t="inlineStr">
        <ns0:is>
          <ns0:t>10.1016/j.compbiomed.2025.111238</ns0:t>
        </ns0:is>
      </ns0:c>
      <ns0:c r="D399" s="19" t="inlineStr">
        <ns0:is>
          <ns0:t>https://doi.org/10.1016/j.compbiomed.2025.111238</ns0:t>
        </ns0:is>
      </ns0:c>
      <ns0:c r="E399" s="19" t="inlineStr">
        <ns0:is>
          <ns0:t>Prior source-specific extraction retained; no new full-text retrieval</ns0:t>
        </ns0:is>
      </ns0:c>
      <ns0:c r="F399" s="19" t="inlineStr">
        <ns0:is>
          <ns0:t>EVIDENCIA; original abstract/coding notes and lot source trace; Inherited scoped adjudication; see source level and lot caveats</ns0:t>
        </ns0:is>
      </ns0:c>
      <ns0:c r="G399" s="19" t="inlineStr">
        <ns0:is>
          <ns0:t>Retained source-specific coding after review of the supplied extraction notes; not a new full-text retrieval. Baseline infant EEG power features were analyzed with DT, RF and SVM; SVM reached AUC 0.93 and SHAP was used to explain the best-performing model. The accessible record does not establish an independent external cohort, multisite evaluation or prospective clinical deployment.</ns0:t>
        </ns0:is>
      </ns0:c>
      <ns0:c r="H399" s="19" t="inlineStr">
        <ns0:is>
          <ns0:t>Background Children with autism spectrum disorder (ASD), a developmental disease, exhibit limited and repetitive activities in addition to challenges with communication and social interaction. Numerous neurological disorders have been identified with the aid of the electroencephalography (EEG) technology, which measures the electrical activity of the brain. Objective The primary purpose of this study is to use EEG data to detect ASD in newborns. Methods Power values from baseline EEG recordings of babies are processed and analyzed to extract relevant information. Using machine learning approaches like decision tree (DT), random forest (RF), and support vector machine (SVM) and Explainable AI(SHAP), the model is trained using extracted data to differentiate between those with ASD and those who are usually developing. SHAP (SHapley Additive exPlanations) is a technique that can be used to describe the output of machine learning models. Understanding the rationale behind the predictions produced by the best-performing model is made easier with SHAP. Results Our machine learning model with SVM classifier (AUC = 93 %) and RF classifier (AUC = 90 %) has demonstrated exceptional performance in diagnosing infants with ASD. Novelty : Previously little-focused, this work provides a machine learning model with the use of explainable AI to identify autism spectrum disorder in children under the age of one. Early identification of ASD is challenging since children under the age of 18 months do not exhibit many behavioral indicators. Therefore, medical reports of infants' EEGs are useful in determining whether or not an infant has ASD. Applications: As a result, this model may be used to automatically diagnose ASD using the infant's EEG data.</ns0:t>
        </ns0:is>
      </ns0:c>
      <ns0:c r="I399" s="19" t="inlineStr">
        <ns0:is>
          <ns0:t>Baseline infant EEG power features were analyzed with DT, RF and SVM; SVM reached AUC 0.93 and SHAP was used to explain the best-performing model. The accessible record does not establish an independent external cohort, multisite evaluation or prospective clinical deployment.</ns0:t>
        </ns0:is>
      </ns0:c>
      <ns0:c r="J399" s="19" t="inlineStr">
        <ns0:is>
          <ns0:t>Lote_04_25: nivel=PubMed/ScienceDirect structured research abstract with methods, models, SHAP and results; hallazgo=Baseline infant EEG power features were analyzed with DT, RF and SVM; SVM reached AUC 0.93 and SHAP was used to explain the best-performing model.; limitación=; acción=; fuente=https://pubmed.ncbi.nlm.nih.gov/41151500/</ns0:t>
        </ns0:is>
      </ns0:c>
      <ns0:c r="K399" s="19" t="inlineStr">
        <ns0:is>
          <ns0:t>Contenido evaluable revisado; el nivel exacto de fuente, evidencia y cautelas se documenta en Lote_04_25.</ns0:t>
        </ns0:is>
      </ns0:c>
      <ns0:c r="L399" s="19" t="inlineStr">
        <ns0:is>
          <ns0:t>Not documented in provided sources</ns0:t>
        </ns0:is>
      </ns0:c>
      <ns0:c r="M399" s="19" t="inlineStr">
        <ns0:is>
          <ns0:t>[]</ns0:t>
        </ns0:is>
      </ns0:c>
    </ns0:row>
    <ns0:row r="400" ht="333" customHeight="1">
      <ns0:c r="A400" s="21" t="inlineStr">
        <ns0:is>
          <ns0:t>new_250</ns0:t>
        </ns0:is>
      </ns0:c>
      <ns0:c r="B400" s="21" t="inlineStr">
        <ns0:is>
          <ns0:t>An Effective LRSF-DLNN-Based Autism Spectrum Disorder Prediction Using EEG and fMRI</ns0:t>
        </ns0:is>
      </ns0:c>
      <ns0:c r="C400" s="21" t="inlineStr">
        <ns0:is>
          <ns0:t>10.1002/dneu.70047</ns0:t>
        </ns0:is>
      </ns0:c>
      <ns0:c r="D400" s="21" t="inlineStr">
        <ns0:is>
          <ns0:t>https://doi.org/10.1002/dneu.70047</ns0:t>
        </ns0:is>
      </ns0:c>
      <ns0:c r="E400" s="21" t="inlineStr">
        <ns0:is>
          <ns0:t>Prior source-specific extraction retained; no new full-text retrieval</ns0:t>
        </ns0:is>
      </ns0:c>
      <ns0:c r="F400" s="21" t="inlineStr">
        <ns0:is>
          <ns0:t>EVIDENCIA; original abstract/coding notes and lot source trace; Inherited scoped adjudication; see source level and lot caveats</ns0:t>
        </ns0:is>
      </ns0:c>
      <ns0:c r="G400" s="21" t="inlineStr">
        <ns0:is>
          <ns0:t>Retained source-specific coding after review of the supplied extraction notes; not a new full-text retrieval. Combines EEG and fMRI after modality-specific preprocessing and feature extraction, followed by DFGAO feature selection and LRSF-DLNN classification; reported accuracy is 98.8%. No independent external validation, site-held-out robustness or explicit XAI method is established in the accessible material.
All-neural/optimization pipeline in recovered evidence; hybrid title is not sufficient for mixed conventional-ML/DL classification.</ns0:t>
        </ns0:is>
      </ns0:c>
      <ns0:c r="H400" s="21" t="inlineStr">
        <ns0:is>
          <ns0:t>In today's society, autism spectrum disorder (ASD) is a common neurological disorder that affects a person's behavior and communication. Hence, an early ASD prediction is essential for improving the lifecycle of ASD patients. Recently, many works have been deployed for diagnosing ASD using the electroencephalogram (EEG) and magnetic resonance imaging (MRI). But they are inefficient owing to the irrelevant noises and misclassification outcomes. Hence, a well-ordered logistic regression with scaled function-based deep learning neural network (LRSF-DLNN)-based ASD prediction using EEG and functional MRI (fMRI) is proposed. Initially, the inputs, like the EEG signal and fMRI image of the eye, are gathered and then subjected to the preprocessing phase. Here, for performing noise removal of EEG, the cosine-based Butterworth filter (CBF) approach is established. Similarly, the fMRI undergoes slice time correction and a GF filter-based smoothing process. Then, the preprocessed EEG is decomposed by utilizing weighted penalty factor-centric variational mode decomposition (WPFVMD), and the process of alpha and theta band estimation is performed on the basis of single-scale time dependent-based event-related spectral perturbation (SSTD-ERSP). Likewise, the features are extracted from both the decomposed EEG and smoothed fMRI. Next, the extracted features are given for feature selection (FS) utilizing distance functional green anaconda optimization (DFGAO). Lastly, the optimal features are given to the LRSF-DLNN classifier, which efficiently predicts ASD. Hence, the evaluation outcomes exposed that the proposed technique achieved better performance with a higher accuracy (98.8%) than other prevailing models.</ns0:t>
        </ns0:is>
      </ns0:c>
      <ns0:c r="I400" s="21" t="inlineStr">
        <ns0:is>
          <ns0:t>Combines EEG and fMRI after modality-specific preprocessing and feature extraction, followed by DFGAO feature selection and LRSF-DLNN classification; reported accuracy is 98.8%. No independent external validation, site-held-out robustness or explicit XAI method is established in the accessible material.</ns0:t>
        </ns0:is>
      </ns0:c>
      <ns0:c r="J400" s="21" t="inlineStr">
        <ns0:is>
          <ns0:t>Lote_04_25: nivel=Wiley/PubMed detailed research abstract with multimodal pipeline and performance results; hallazgo=Combines EEG and fMRI after modality-specific preprocessing and feature extraction, followed by DFGAO feature selection and LRSF-DLNN classification; reported accuracy is 98.8%.; limitación=; acción=; fuente=https://pubmed.ncbi.nlm.nih.gov/?term=10.1002%2Fdneu.70047</ns0:t>
        </ns0:is>
      </ns0:c>
      <ns0:c r="K400" s="21" t="inlineStr">
        <ns0:is>
          <ns0:t>Contenido evaluable revisado; el nivel exacto de fuente, evidencia y cautelas se documenta en Lote_04_25.</ns0:t>
        </ns0:is>
      </ns0:c>
      <ns0:c r="L400" s="21" t="inlineStr">
        <ns0:is>
          <ns0:t>Not documented in provided sources</ns0:t>
        </ns0:is>
      </ns0:c>
      <ns0:c r="M400" s="21" t="inlineStr">
        <ns0:is>
          <ns0:t>[]</ns0:t>
        </ns0:is>
      </ns0:c>
    </ns0:row>
    <ns0:row r="401" ht="345" customHeight="1">
      <ns0:c r="A401" s="19" t="inlineStr">
        <ns0:is>
          <ns0:t>new_252</ns0:t>
        </ns0:is>
      </ns0:c>
      <ns0:c r="B401" s="19" t="inlineStr">
        <ns0:is>
          <ns0:t>A New Paradigm for Autism Spectrum Disorder Discrimination in Children Utilizing EEG Data Collected During Cartoon Viewing With a Focus on Atypical Semantic Processing</ns0:t>
        </ns0:is>
      </ns0:c>
      <ns0:c r="C401" s="19" t="inlineStr">
        <ns0:is>
          <ns0:t>10.1002/aur.70105</ns0:t>
        </ns0:is>
      </ns0:c>
      <ns0:c r="D401" s="19" t="inlineStr">
        <ns0:is>
          <ns0:t>https://doi.org/10.1002/aur.70105</ns0:t>
        </ns0:is>
      </ns0:c>
      <ns0:c r="E401" s="19" t="inlineStr">
        <ns0:is>
          <ns0:t>Prior source-specific extraction retained; no new full-text retrieval</ns0:t>
        </ns0:is>
      </ns0:c>
      <ns0:c r="F401" s="19" t="inlineStr">
        <ns0:is>
          <ns0:t>EVIDENCIA; original abstract/coding notes and lot source trace; Inherited scoped adjudication; see source level and lot caveats</ns0:t>
        </ns0:is>
      </ns0:c>
      <ns0:c r="G401" s="19" t="inlineStr">
        <ns0:is>
          <ns0:t>Retained source-specific coding after review of the supplied extraction notes; not a new full-text retrieval. EEG recorded during naturalistic cartoon viewing was linked to semantic representations derived from pretrained language models; the study reports ASD/TD discrimination and a validation analysis. The accessible description does not establish that the reported validation analysis used an independent external cohort; semantic annotations are stimulus descriptors rather than a second human data modality.</ns0:t>
        </ns0:is>
      </ns0:c>
      <ns0:c r="H401" s="19" t="inlineStr">
        <ns0:is>
          <ns0:t>Autism spectrum disorder (ASD) is characterized by impaired social interaction and communication skills, with semantic processing difficulties being a hallmark feature that significantly impacts social communication. While traditional neuroimaging studies have provided insights into language processing in ASD, ecological validity remains a challenge, particularly when assessing young children. This study introduces a novel approach to evaluate atypical semantic processing in children with ASD (aged 4–10 years) through electroencephalography (EEG) data collection during cartoon viewing, offering a more natural assessment environment. We developed an innovative methodology combining pretrained language models with regression techniques in a machine learning framework. The analysis incorporated the Six-dimensional Semantic Database system and EEG topographical mapping to investigate semantic processing preferences and neural mechanisms across various word dimensions. Our semantic processing model demonstrated robust performance with high sensitivity (91.3%) and moderate specificity (61.0%); findings successfully replicated in validation analysis. These results reveal distinct patterns in how children with ASD process semantic information, particularly in their integration and response to emotional semantic dimensions. These findings help us understand the language processing patterns in ASD and provide potential applications for auxiliary diagnosis in more natural settings, meeting important needs in clinical practice.</ns0:t>
        </ns0:is>
      </ns0:c>
      <ns0:c r="I401" s="19" t="inlineStr">
        <ns0:is>
          <ns0:t>EEG recorded during naturalistic cartoon viewing was linked to semantic representations derived from pretrained language models; the study reports ASD/TD discrimination and a validation analysis. The accessible description does not establish that the reported validation analysis used an independent external cohort; semantic annotations are stimulus descriptors rather than a second human data modality.</ns0:t>
        </ns0:is>
      </ns0:c>
      <ns0:c r="J401" s="19" t="inlineStr">
        <ns0:is>
          <ns0:t>Lote_04_25: nivel=Wiley/PubMed detailed research abstract and publisher record sufficient for scoped coding; hallazgo=EEG recorded during naturalistic cartoon viewing was linked to semantic representations derived from pretrained language models; the study reports ASD/TD discrimination and a validation analysis.; limitación=; acción=; fuente=https://onlinelibrary.wiley.com/doi/10.1002/aur.70105</ns0:t>
        </ns0:is>
      </ns0:c>
      <ns0:c r="K401" s="19" t="inlineStr">
        <ns0:is>
          <ns0:t>Contenido evaluable revisado; el nivel exacto de fuente, evidencia y cautelas se documenta en Lote_04_25.</ns0:t>
        </ns0:is>
      </ns0:c>
      <ns0:c r="L401" s="19" t="inlineStr">
        <ns0:is>
          <ns0:t>Not documented in provided sources</ns0:t>
        </ns0:is>
      </ns0:c>
      <ns0:c r="M401" s="19" t="inlineStr">
        <ns0:is>
          <ns0:t>[]</ns0:t>
        </ns0:is>
      </ns0:c>
    </ns0:row>
    <ns0:row r="402" ht="309" customHeight="1">
      <ns0:c r="A402" s="21" t="inlineStr">
        <ns0:is>
          <ns0:t>new_254</ns0:t>
        </ns0:is>
      </ns0:c>
      <ns0:c r="B402" s="21" t="inlineStr">
        <ns0:is>
          <ns0:t>Hybrid groupers-moray orangutan optimization algorithm-based dense-resolution network for autism spectrum disorder detection using multimodal data</ns0:t>
        </ns0:is>
      </ns0:c>
      <ns0:c r="C402" s="21" t="inlineStr">
        <ns0:is>
          <ns0:t>10.1016/j.pscychresns.2026.112204</ns0:t>
        </ns0:is>
      </ns0:c>
      <ns0:c r="D402" s="21" t="inlineStr">
        <ns0:is>
          <ns0:t>https://doi.org/10.1016/j.pscychresns.2026.112204</ns0:t>
        </ns0:is>
      </ns0:c>
      <ns0:c r="E402" s="21" t="inlineStr">
        <ns0:is>
          <ns0:t>Prior source-specific extraction retained; no new full-text retrieval</ns0:t>
        </ns0:is>
      </ns0:c>
      <ns0:c r="F402" s="21" t="inlineStr">
        <ns0:is>
          <ns0:t>EVIDENCIA; original abstract/coding notes and lot source trace; Inherited scoped adjudication; see source level and lot caveats</ns0:t>
        </ns0:is>
      </ns0:c>
      <ns0:c r="G402" s="21" t="inlineStr">
        <ns0:is>
          <ns0:t>Retained source-specific coding after review of the supplied extraction notes; not a new full-text retrieval. Integrates MRI-derived features with phenotypic variables, applies feature selection/optimization and DRNet classification; reported accuracy is 92.77%. No independent external validation, prospective evaluation or explicit site-held-out robustness is established in the accessible record.
All-neural/optimization pipeline in recovered evidence; hybrid title is not sufficient for mixed conventional-ML/DL classification.</ns0:t>
        </ns0:is>
      </ns0:c>
      <ns0:c r="H402" s="21" t="inlineStr">
        <ns0:is>
          <ns0:t>Autism Spectrum Disorder (ASD) is a neurodevelopmental disorder involving cognitive and social impairments. Precise diagnosis is vital for effective intervention. However, conventional diagnostic techniques exhibited poor generalization, and high error rates while dealing with subtle patterns in neuroimaging or behavioral datasets. To resolve these concerns, this research introduces the Groupers and Moray Orangutan Optimization Algorithm based Dense-Resolution Network (GMOA-DRNet). The multimodal inputs consist of Magnetic Resonance Imaging (MRI) brain images and autism-related phenotypic data. Initially, input brain images are pre-processed by Geometric Mean filters and Region of Interest (RoI) extraction. Then, Functional connectivity-based pivotal region are identified using GMOA. After that, feature extraction is performed by Tamura features and Gradient Directional Pattern (GDP). Concurrently, autism-related data is normalized based on the hyperbolic tangent function, and relevant features are selected using ANOVA. Moreover, data augmentation is conducted using the Adaptive Synthetic Sampling Approach (ADASYN) technique. The extracted features and augmented data are used for ASD detection by the DRNet, trained using GMOA, which combines Groupers and Moray Eels Optimization (GMEO) and Orangutan Optimization Algorithm (OOA). Moreover, GMOA-DRNet achieved better performance with an accuracy of 92.77%, sensitivity of 92.52%, specificity of 92.77%, and a False Omission Rate (FOR) of 0.080.</ns0:t>
        </ns0:is>
      </ns0:c>
      <ns0:c r="I402" s="21" t="inlineStr">
        <ns0:is>
          <ns0:t>Integrates MRI-derived features with phenotypic variables, applies feature selection/optimization and DRNet classification; reported accuracy is 92.77%. No independent external validation, prospective evaluation or explicit site-held-out robustness is established in the accessible record.</ns0:t>
        </ns0:is>
      </ns0:c>
      <ns0:c r="J402" s="21" t="inlineStr">
        <ns0:is>
          <ns0:t>Lote_04_25: nivel=ScienceDirect/PubMed detailed research abstract with multimodal methods and results; hallazgo=Integrates MRI-derived features with phenotypic variables, applies feature selection/optimization and DRNet classification; reported accuracy is 92.77%.; limitación=; acción=; fuente=https://www.sciencedirect.com/science/article/pii/S0925492726000697</ns0:t>
        </ns0:is>
      </ns0:c>
      <ns0:c r="K402" s="21" t="inlineStr">
        <ns0:is>
          <ns0:t>Contenido evaluable revisado; el nivel exacto de fuente, evidencia y cautelas se documenta en Lote_04_25.</ns0:t>
        </ns0:is>
      </ns0:c>
      <ns0:c r="L402" s="21" t="inlineStr">
        <ns0:is>
          <ns0:t>Not documented in provided sources</ns0:t>
        </ns0:is>
      </ns0:c>
      <ns0:c r="M402" s="21" t="inlineStr">
        <ns0:is>
          <ns0:t>[]</ns0:t>
        </ns0:is>
      </ns0:c>
    </ns0:row>
    <ns0:row r="403" ht="350" customHeight="1">
      <ns0:c r="A403" s="19" t="inlineStr">
        <ns0:is>
          <ns0:t>new_266</ns0:t>
        </ns0:is>
      </ns0:c>
      <ns0:c r="B403" s="19" t="inlineStr">
        <ns0:is>
          <ns0:t>Machine Learning-Based Early Prediction Model for Autism Spectrum Disorder in Infants Using Acoustic Feature</ns0:t>
        </ns0:is>
      </ns0:c>
      <ns0:c r="C403" s="19" t="inlineStr">
        <ns0:is>
          <ns0:t>10.1002/aur.70179</ns0:t>
        </ns0:is>
      </ns0:c>
      <ns0:c r="D403" s="19" t="inlineStr">
        <ns0:is>
          <ns0:t>https://doi.org/10.1002/aur.70179</ns0:t>
        </ns0:is>
      </ns0:c>
      <ns0:c r="E403" s="19" t="inlineStr">
        <ns0:is>
          <ns0:t>Prior source-specific extraction retained; no new full-text retrieval</ns0:t>
        </ns0:is>
      </ns0:c>
      <ns0:c r="F403" s="19" t="inlineStr">
        <ns0:is>
          <ns0:t>EVIDENCIA; original abstract/coding notes and lot source trace; Inherited scoped adjudication; see source level and lot caveats</ns0:t>
        </ns0:is>
      </ns0:c>
      <ns0:c r="G403" s="19" t="inlineStr">
        <ns0:is>
          <ns0:t>Retained source-specific coding after review of the supplied extraction notes; not a new full-text retrieval. In a prospective infant-sibling cohort, vocalizations at 9-18 months were parameterized into thousands of acoustic features, reduced with LASSO, and classified with SVM against ASD outcome confirmed at 36 months. The cohort is relatively small and the accessible record does not establish independent external validation; LASSO-based feature reduction is treated as partial interpretability rather than strict XAI.</ns0:t>
        </ns0:is>
      </ns0:c>
      <ns0:c r="H403" s="19" t="inlineStr">
        <ns0:is>
          <ns0:t>This study aimed to create a machine learning-based predictive model for early detection of autism spectrum disorder (ASD) in infants using acoustic features. Conducted as a prospective cohort at Nanjing Medical University from 2019 to 2024, infants aged 9–18 months from an ASD sibling cohort participated. Behavioral and vocalization data were gathered during the Still-Face Paradigm, with ASD diagnoses confirmed at 36 months through ADOS and ADI-R assessments. Researchers extracted 4368 acoustic features from the recordings and applied LASSO regression for dimensionality reduction, identifying 39 key features. A support vector machine (SVM) classifier was then developed, tested with four kernel functions—linear, radial basis function, polynomial, and sigmoid—via tenfold cross-validation. The final sample included 88 infants, 28 of whom were diagnosed with ASD. The sigmoid kernel yielded the best results, achieving a 92.86% sensitivity, 93.33% specificity, and a 93.18% accuracy. Notably, spectral and energy-related features were significantly higher in ASD infants (p &lt; 0.01). These findings suggest that acoustic features can serve as early, noninvasive biomarkers for ASD, and the SVM model demonstrates significant promise for early screening and intervention efforts.</ns0:t>
        </ns0:is>
      </ns0:c>
      <ns0:c r="I403" s="19" t="inlineStr">
        <ns0:is>
          <ns0:t>In a prospective infant-sibling cohort, vocalizations at 9-18 months were parameterized into thousands of acoustic features, reduced with LASSO, and classified with SVM against ASD outcome confirmed at 36 months. The cohort is relatively small and the accessible record does not establish independent external validation; LASSO-based feature reduction is treated as partial interpretability rather than strict XAI.</ns0:t>
        </ns0:is>
      </ns0:c>
      <ns0:c r="J403" s="19" t="inlineStr">
        <ns0:is>
          <ns0:t>Lote_04_25: nivel=PubMed/Wiley research abstract with explicit prospective cohort design and outcome timing; hallazgo=In a prospective infant-sibling cohort, vocalizations at 9-18 months were parameterized into thousands of acoustic features, reduced with LASSO, and classified with SVM against ASD outcome confirmed at 36 months.; limitación=; acción=; fuente=https://pubmed.ncbi.nlm.nih.gov/41502369/</ns0:t>
        </ns0:is>
      </ns0:c>
      <ns0:c r="K403" s="19" t="inlineStr">
        <ns0:is>
          <ns0:t>Contenido evaluable revisado; el nivel exacto de fuente, evidencia y cautelas se documenta en Lote_04_25.</ns0:t>
        </ns0:is>
      </ns0:c>
      <ns0:c r="L403" s="19" t="inlineStr">
        <ns0:is>
          <ns0:t>Not documented in provided sources</ns0:t>
        </ns0:is>
      </ns0:c>
      <ns0:c r="M403" s="19" t="inlineStr">
        <ns0:is>
          <ns0:t>[]</ns0:t>
        </ns0:is>
      </ns0:c>
    </ns0:row>
    <ns0:row r="404" ht="350" customHeight="1">
      <ns0:c r="A404" s="21" t="inlineStr">
        <ns0:is>
          <ns0:t>new_269</ns0:t>
        </ns0:is>
      </ns0:c>
      <ns0:c r="B404" s="21" t="inlineStr">
        <ns0:is>
          <ns0:t>Predicting fine motor deficit in autism by measuring brain activities and characterizing motor impairments</ns0:t>
        </ns0:is>
      </ns0:c>
      <ns0:c r="C404" s="21" t="inlineStr">
        <ns0:is>
          <ns0:t>10.1016/j.compbiomed.2026.111470</ns0:t>
        </ns0:is>
      </ns0:c>
      <ns0:c r="D404" s="21" t="inlineStr">
        <ns0:is>
          <ns0:t>https://doi.org/10.1016/j.compbiomed.2026.111470</ns0:t>
        </ns0:is>
      </ns0:c>
      <ns0:c r="E404" s="21" t="inlineStr">
        <ns0:is>
          <ns0:t>Prior source-specific extraction retained; no new full-text retrieval</ns0:t>
        </ns0:is>
      </ns0:c>
      <ns0:c r="F404" s="21" t="inlineStr">
        <ns0:is>
          <ns0:t>EVIDENCIA; original abstract/coding notes and lot source trace; Inherited scoped adjudication; see source level and lot caveats</ns0:t>
        </ns0:is>
      </ns0:c>
      <ns0:c r="G404" s="21" t="inlineStr">
        <ns0:is>
          <ns0:t>Retained source-specific coding after review of the supplied extraction notes; not a new full-text retrieval. The publisher article contains participant recruitment, data collection, Methods and Results. It integrates QEEG, Finger Tapping, Hand-Eye Coordination, Visual Memory and AQ-10 variables; logistic regression was the best model and RF Gini plots were used for feature interpretation. PubMed labels the record as Review, but the publisher full article is clearly an original empirical study with recruited participants and primary data collection. The metadata conflict should be checked independently; stage is left Not specified because the AI endpoint is fine-motor deficit rather than a unique ASD screening/diagnostic stage.</ns0:t>
        </ns0:is>
      </ns0:c>
      <ns0:c r="H404" s="21" t="inlineStr">
        <ns0:is>
          <ns0:t>Motor impairments affect approximately 86.9% of children with Autism Spectrum Disorder (ASD), often persisting into adolescence and increasing the risk of Developmental Coordination Disorder (DCD). Despite their prevalence, only 31.6% of affected individuals receive physical therapy, underscoring a critical gap in early intervention. Traditional methods for diagnosing Fine Motor Deficits (FMD) are often time-consuming and costly, necessitating the adoption of data-driven approaches. This study introduces a machine learning framework for the rapid and reliable prediction of fine motor impairments in adolescents with ASD. By integrating EEG-based neurophysiological signals, behavioral assessments, and motor coordination tests, the study evaluates five classification models—Logistic Regression, Support Vector Machine, K-Nearest Neighbors, Random Forest, and Neural Network. Among these, Logistic Regression achieved the highest accuracy (95.84%), demonstrating strong predictive power for identifying fine motor deficits. The proposed framework enhances the efficiency of FMD screening and provides an interpretable model for potential clinical use in early ASD diagnosis.</ns0:t>
        </ns0:is>
      </ns0:c>
      <ns0:c r="I404" s="21" t="inlineStr">
        <ns0:is>
          <ns0:t>The publisher article contains participant recruitment, data collection, Methods and Results. It integrates QEEG, Finger Tapping, Hand-Eye Coordination, Visual Memory and AQ-10 variables; logistic regression was the best model and RF Gini plots were used for feature interpretation. PubMed labels the record as Review, but the publisher full article is clearly an original empirical study with recruited participants and primary data collection. The metadata conflict should be checked independently; stage is left Not specified because the AI endpoint is fine-motor deficit rather than a unique ASD screening/diagnostic stage.</ns0:t>
        </ns0:is>
      </ns0:c>
      <ns0:c r="J404" s="21" t="inlineStr">
        <ns0:is>
          <ns0:t>Lote_04_25: nivel=ScienceDirect full article sections reviewed; PubMed publication-type metadata conflict documented; hallazgo=The publisher article contains participant recruitment, data collection, Methods and Results. It integrates QEEG, Finger Tapping, Hand-Eye Coordination, Visual Memory and AQ-10 variables; logistic regression was the best model and RF Gini plots were used for feature interpretation.; limitación=; acción=; fuente=https://www.sciencedirect.com/science/article/abs/pii/S0010482526000314</ns0:t>
        </ns0:is>
      </ns0:c>
      <ns0:c r="K404" s="21" t="inlineStr">
        <ns0:is>
          <ns0:t>Contenido evaluable revisado; el nivel exacto de fuente, evidencia y cautelas se documenta en Lote_04_25.</ns0:t>
        </ns0:is>
      </ns0:c>
      <ns0:c r="L404" s="21" t="inlineStr">
        <ns0:is>
          <ns0:t>Not documented in provided sources</ns0:t>
        </ns0:is>
      </ns0:c>
      <ns0:c r="M404" s="21" t="inlineStr">
        <ns0:is>
          <ns0:t>[]</ns0:t>
        </ns0:is>
      </ns0:c>
    </ns0:row>
    <ns0:row r="405" ht="285" customHeight="1">
      <ns0:c r="A405" s="19" t="inlineStr">
        <ns0:is>
          <ns0:t>new_270</ns0:t>
        </ns0:is>
      </ns0:c>
      <ns0:c r="B405" s="19" t="inlineStr">
        <ns0:is>
          <ns0:t>Diagnosing autism spectrum disorders using ensemble-aided weighted fused features and attention-based residual LSTM with brain MRI images</ns0:t>
        </ns0:is>
      </ns0:c>
      <ns0:c r="C405" s="19" t="inlineStr">
        <ns0:is>
          <ns0:t>10.1016/j.pscychresns.2026.112230</ns0:t>
        </ns0:is>
      </ns0:c>
      <ns0:c r="D405" s="19" t="inlineStr">
        <ns0:is>
          <ns0:t>https://doi.org/10.1016/j.pscychresns.2026.112230</ns0:t>
        </ns0:is>
      </ns0:c>
      <ns0:c r="E405" s="19" t="inlineStr">
        <ns0:is>
          <ns0:t>Prior source-specific extraction retained; no new full-text retrieval</ns0:t>
        </ns0:is>
      </ns0:c>
      <ns0:c r="F405" s="19" t="inlineStr">
        <ns0:is>
          <ns0:t>EVIDENCIA; original abstract/coding notes and lot source trace; Inherited scoped adjudication; see source level and lot caveats</ns0:t>
        </ns0:is>
      </ns0:c>
      <ns0:c r="G405" s="19" t="inlineStr">
        <ns0:is>
          <ns0:t>Retained source-specific coding after review of the supplied extraction notes; not a new full-text retrieval. Uses an ensemble CNN feature extractor, optimized weighted feature fusion and ARLSTM classification for MRI-based ASD diagnosis. Attention/recurrent architecture alone is not coded as XAI; no independent external, prospective or site-held-out evaluation is established in the accessible material.
All-neural/optimization pipeline in recovered evidence; hybrid title is not sufficient for mixed conventional-ML/DL classification.</ns0:t>
        </ns0:is>
      </ns0:c>
      <ns0:c r="H405" s="19" t="inlineStr">
        <ns0:is>
          <ns0:t>One of the neuro-developmental conditions is called Autism Spectrum Disorder (ASD), which causes changes in the behavior of the patients, and it delays language and social interactions. Details about the functional activity of the brain are provided by Magnetic Resonance Imaging (MRI). Studying each MRI scan of the patients is laborious and time‐consuming for doctors and specialists. To tackle these limitations, this paper develops an advanced deep learning diagnosis method. In the beginning, the necessary MRI images are gathered from the available data resource. The input brain images are subjected to an Ensemble Deep Convolutional Neural Network (EDCNN) for feature extraction, which makes the diagnosis easier by reducing the complexities. The ensemble model is created by the integration of the Visual Geometry Group (VGG16), Residual Network (ResNet), and Inception approaches. Further, the resultant features are fused with weights that are optimized using the Improved Random Uniform Number-aided Humboldt Squid Optimization Algorithm (IRUN-HSOA); thus, the weighted fused feature is obtained. The resultant weighted fused feature is fed into Attention-based Residual Long Short-Term Memory (ARLSTM) for the ASD diagnosis. Further, the developed model is compared with different state-of-the-art techniques, and the suitability of the model is discussed for prospects.</ns0:t>
        </ns0:is>
      </ns0:c>
      <ns0:c r="I405" s="19" t="inlineStr">
        <ns0:is>
          <ns0:t>Uses an ensemble CNN feature extractor, optimized weighted feature fusion and ARLSTM classification for MRI-based ASD diagnosis. Attention/recurrent architecture alone is not coded as XAI; no independent external, prospective or site-held-out evaluation is established in the accessible material.</ns0:t>
        </ns0:is>
      </ns0:c>
      <ns0:c r="J405" s="19" t="inlineStr">
        <ns0:is>
          <ns0:t>Lote_04_25: nivel=ScienceDirect/PubMed detailed research abstract with architecture and results; hallazgo=Uses an ensemble CNN feature extractor, optimized weighted feature fusion and ARLSTM classification for MRI-based ASD diagnosis.; limitación=; acción=; fuente=https://www.sciencedirect.com/science/article/pii/S0925492726000958</ns0:t>
        </ns0:is>
      </ns0:c>
      <ns0:c r="K405" s="19" t="inlineStr">
        <ns0:is>
          <ns0:t>Contenido evaluable revisado; el nivel exacto de fuente, evidencia y cautelas se documenta en Lote_04_25.</ns0:t>
        </ns0:is>
      </ns0:c>
      <ns0:c r="L405" s="19" t="inlineStr">
        <ns0:is>
          <ns0:t>Not documented in provided sources</ns0:t>
        </ns0:is>
      </ns0:c>
      <ns0:c r="M405" s="19" t="inlineStr">
        <ns0:is>
          <ns0:t>[]</ns0:t>
        </ns0:is>
      </ns0:c>
    </ns0:row>
    <ns0:row r="406" ht="261" customHeight="1">
      <ns0:c r="A406" s="21" t="inlineStr">
        <ns0:is>
          <ns0:t>new_271</ns0:t>
        </ns0:is>
      </ns0:c>
      <ns0:c r="B406" s="21" t="inlineStr">
        <ns0:is>
          <ns0:t>Early Autism Spectrum Disorder Detection Using SMOTE-Enhanced 1D-CNN and Behavioral Screening Data</ns0:t>
        </ns0:is>
      </ns0:c>
      <ns0:c r="C406" s="21" t="inlineStr">
        <ns0:is>
          <ns0:t>10.1155/ahci/1316854</ns0:t>
        </ns0:is>
      </ns0:c>
      <ns0:c r="D406" s="21" t="inlineStr">
        <ns0:is>
          <ns0:t>https://doi.org/10.1155/ahci/1316854</ns0:t>
        </ns0:is>
      </ns0:c>
      <ns0:c r="E406" s="21" t="inlineStr">
        <ns0:is>
          <ns0:t>Prior source-specific extraction retained; no new full-text retrieval</ns0:t>
        </ns0:is>
      </ns0:c>
      <ns0:c r="F406" s="21" t="inlineStr">
        <ns0:is>
          <ns0:t>EVIDENCIA; original abstract/coding notes and lot source trace; Inherited scoped adjudication; see source level and lot caveats</ns0:t>
        </ns0:is>
      </ns0:c>
      <ns0:c r="G406" s="21" t="inlineStr">
        <ns0:is>
          <ns0:t>Retained source-specific coding after review of the supplied extraction notes; not a new full-text retrieval. Uses a public toddler-autism behavioral dataset with SMOTE and a 1D-CNN; evaluation is based on train/test splitting and internal cross-validation. Internal validation does not constitute external validation; no prospective workflow, multisite robustness or explicit XAI is reported.</ns0:t>
        </ns0:is>
      </ns0:c>
      <ns0:c r="H406" s="21" t="inlineStr">
        <ns0:is>
          <ns0:t>Autism spectrum disorder (ASD) encompasses a range of neurodevelopmental conditions characterized by difficulties in social interaction, repetitive behaviors, speech, and nonverbal communication. Affecting approximately 1 in 36 children globally, ASD poses significant diagnostic challenges, particularly in early childhood, due to the absence of definitive medical tests. Current diagnostic practices rely heavily on behavioral observations and developmental history, often leading to delays in intervention. Early and accurate detection is essential for initiating timely support and improving developmental outcomes. In this study, we present a novel deep learning framework that integrates a one-dimensional convolutional neural network (1D-CNN) with the synthetic minority oversampling technique (SMOTE) to detect ASD using only 10 behavioral screening features (A1–A10). The dataset, derived from publicly available screening questionnaires, exhibited significant class imbalance, which was mitigated using SMOTE to improve model sensitivity and fairness. The proposed CNN + SMOTE model demonstrated superior performance, achieving an accuracy of 99.31%, surpassing traditional classifiers such as random forest (98.0%) and XGBoost (98.5%). Model evaluation was conducted using standard metrics including accuracy, precision, recall, F1-score, and AUC, with validation via k-fold cross-validation. The results underscore the effectiveness of lightweight deep learning models augmented by oversampling techniques in developing accurate, interpretable, and scalable tools for ASD screening particularly in resource-limited settings where access to advanced diagnostic technologies may be constrained.</ns0:t>
        </ns0:is>
      </ns0:c>
      <ns0:c r="I406" s="21" t="inlineStr">
        <ns0:is>
          <ns0:t>Uses a public toddler-autism behavioral dataset with SMOTE and a 1D-CNN; evaluation is based on train/test splitting and internal cross-validation. Internal validation does not constitute external validation; no prospective workflow, multisite robustness or explicit XAI is reported.</ns0:t>
        </ns0:is>
      </ns0:c>
      <ns0:c r="J406" s="21" t="inlineStr">
        <ns0:is>
          <ns0:t>Lote_04_25: nivel=Open-access Wiley full article reviewed; hallazgo=Uses a public toddler-autism behavioral dataset with SMOTE and a 1D-CNN; evaluation is based on train/test splitting and internal cross-validation.; limitación=; acción=; fuente=https://onlinelibrary.wiley.com/doi/10.1155/ahci/1316854</ns0:t>
        </ns0:is>
      </ns0:c>
      <ns0:c r="K406" s="21" t="inlineStr">
        <ns0:is>
          <ns0:t>Contenido evaluable revisado; el nivel exacto de fuente, evidencia y cautelas se documenta en Lote_04_25.</ns0:t>
        </ns0:is>
      </ns0:c>
      <ns0:c r="L406" s="21" t="inlineStr">
        <ns0:is>
          <ns0:t>Not documented in provided sources</ns0:t>
        </ns0:is>
      </ns0:c>
      <ns0:c r="M406" s="21" t="inlineStr">
        <ns0:is>
          <ns0:t>[]</ns0:t>
        </ns0:is>
      </ns0:c>
    </ns0:row>
    <ns0:row r="407" ht="297" customHeight="1">
      <ns0:c r="A407" s="19" t="inlineStr">
        <ns0:is>
          <ns0:t>new_273</ns0:t>
        </ns0:is>
      </ns0:c>
      <ns0:c r="B407" s="19" t="inlineStr">
        <ns0:is>
          <ns0:t>Optimizing Autism Spectrum Disorder Diagnosis with VGG16-Based Facial Landmark Recognition</ns0:t>
        </ns0:is>
      </ns0:c>
      <ns0:c r="C407" s="19" t="inlineStr">
        <ns0:is>
          <ns0:t>10.1016/j.procs.2026.06.483</ns0:t>
        </ns0:is>
      </ns0:c>
      <ns0:c r="D407" s="19" t="inlineStr">
        <ns0:is>
          <ns0:t>https://doi.org/10.1016/j.procs.2026.06.483</ns0:t>
        </ns0:is>
      </ns0:c>
      <ns0:c r="E407" s="19" t="inlineStr">
        <ns0:is>
          <ns0:t>Prior source-specific extraction retained; no new full-text retrieval</ns0:t>
        </ns0:is>
      </ns0:c>
      <ns0:c r="F407" s="19" t="inlineStr">
        <ns0:is>
          <ns0:t>EVIDENCIA; original abstract/coding notes and lot source trace; Inherited scoped adjudication; see source level and lot caveats</ns0:t>
        </ns0:is>
      </ns0:c>
      <ns0:c r="G407" s="19" t="inlineStr">
        <ns0:is>
          <ns0:t>Retained source-specific coding after review of the supplied extraction notes; not a new full-text retrieval. Applies VGG16 to a Kaggle facial-image dataset of autistic and non-autistic children and reports 98.1% classification accuracy. Single public image dataset and no independent external/prospective evaluation are established; performance may be sensitive to dataset leakage or source bias.</ns0:t>
        </ns0:is>
      </ns0:c>
      <ns0:c r="H407" s="19" t="inlineStr"/>
      <ns0:c r="I407" s="19" t="inlineStr">
        <ns0:is>
          <ns0:t>Applies VGG16 to a Kaggle facial-image dataset of autistic and non-autistic children and reports 98.1% classification accuracy. Single public image dataset and no independent external/prospective evaluation are established; performance may be sensitive to dataset leakage or source bias.</ns0:t>
        </ns0:is>
      </ns0:c>
      <ns0:c r="J407" s="19" t="inlineStr">
        <ns0:is>
          <ns0:t>Lote_04_25: nivel=ScienceDirect proceedings article with methods and results sufficient for scoped coding; hallazgo=Applies VGG16 to a Kaggle facial-image dataset of autistic and non-autistic children and reports 98.1% classification accuracy.; limitación=; acción=; fuente=https://www.sciencedirect.com/science/article/pii/S1877050926021162</ns0:t>
        </ns0:is>
      </ns0:c>
      <ns0:c r="K407" s="19" t="inlineStr">
        <ns0:is>
          <ns0:t>Contenido evaluable revisado; el nivel exacto de fuente, evidencia y cautelas se documenta en Lote_04_25.</ns0:t>
        </ns0:is>
      </ns0:c>
      <ns0:c r="L407" s="19" t="inlineStr">
        <ns0:is>
          <ns0:t>Not documented in provided sources</ns0:t>
        </ns0:is>
      </ns0:c>
      <ns0:c r="M407" s="19" t="inlineStr">
        <ns0:is>
          <ns0:t>[]</ns0:t>
        </ns0:is>
      </ns0:c>
    </ns0:row>
    <ns0:row r="408" ht="333" customHeight="1">
      <ns0:c r="A408" s="21" t="inlineStr">
        <ns0:is>
          <ns0:t>new_275</ns0:t>
        </ns0:is>
      </ns0:c>
      <ns0:c r="B408" s="21" t="inlineStr">
        <ns0:is>
          <ns0:t>Machine Learning Techniques to Uncover Sociodemographic Risk Factors of Autism Spectrum Disorder (ASD) Among Children and Adolescents in Bangladesh</ns0:t>
        </ns0:is>
      </ns0:c>
      <ns0:c r="C408" s="21" t="inlineStr">
        <ns0:is>
          <ns0:t>10.1155/acis/6410913</ns0:t>
        </ns0:is>
      </ns0:c>
      <ns0:c r="D408" s="21" t="inlineStr">
        <ns0:is>
          <ns0:t>https://doi.org/10.1155/acis/6410913</ns0:t>
        </ns0:is>
      </ns0:c>
      <ns0:c r="E408" s="21" t="inlineStr">
        <ns0:is>
          <ns0:t>Prior source-specific extraction retained; no new full-text retrieval</ns0:t>
        </ns0:is>
      </ns0:c>
      <ns0:c r="F408" s="21" t="inlineStr">
        <ns0:is>
          <ns0:t>EVIDENCIA; original abstract/coding notes and lot source trace; Inherited scoped adjudication; see source level and lot caveats</ns0:t>
        </ns0:is>
      </ns0:c>
      <ns0:c r="G408" s="21" t="inlineStr">
        <ns0:is>
          <ns0:t>Retained source-specific coding after review of the supplied extraction notes; not a new full-text retrieval. Analyzes a Bangladesh dataset collected across multiple geographic locations; compares eight classifiers after feature selection, with decision tree reported as best, and identifies interpretable sociodemographic/perinatal predictors. The reported test/CV is internal and geographic sources are pooled rather than site-held-out; regional sampling limits generalizability.</ns0:t>
        </ns0:is>
      </ns0:c>
      <ns0:c r="H408" s="21" t="inlineStr">
        <ns0:is>
          <ns0:t>Autism spectrum disorder (ASD) is a neurodevelopmental illness that impairs children’s cognitive, linguistic, and social abilities. While a cure for ASD remains elusive, determining its crucial risk factors and corresponding preventive measures can aid in lessening its incidence and severity. Therefore, the objective of this study is to determine the most significant sociodemographic risk factors associated with ASD among Bangladeshi children and adolescents. In particular, it evaluates the effectiveness of various machine learning classifiers and explores feature selection techniques to identify the most dominant predictors of ASD. To accomplish this, two feature selection strategies—chi-square and F-classify—were applied to extract the most significant features, followed by training eight different machine learning algorithms on full and reduced datasets. Rigorous evaluation using eight distinct metrics revealed that the tree-based algorithm, especially the decision tree, when trained on the F-classify feature subset, exhibited superior performance, achieving the highest accuracy and precision of 99.4%. The most influential features associated with ASD included maternal age, stress during pregnancy, parental illness, family history of ASD, birth asphyxia, and consanguinity.</ns0:t>
        </ns0:is>
      </ns0:c>
      <ns0:c r="I408" s="21" t="inlineStr">
        <ns0:is>
          <ns0:t>Analyzes a Bangladesh dataset collected across multiple geographic locations; compares eight classifiers after feature selection, with decision tree reported as best, and identifies interpretable sociodemographic/perinatal predictors. The reported test/CV is internal and geographic sources are pooled rather than site-held-out; regional sampling limits generalizability.</ns0:t>
        </ns0:is>
      </ns0:c>
      <ns0:c r="J408" s="21" t="inlineStr">
        <ns0:is>
          <ns0:t>Lote_04_25: nivel=Open-access Wiley full article reviewed; hallazgo=Analyzes a Bangladesh dataset collected across multiple geographic locations; compares eight classifiers after feature selection, with decision tree reported as best, and identifies interpretable sociodemographic/perinatal predictors.; limitación=; acción=; fuente=https://onlinelibrary.wiley.com/doi/10.1155/acis/6410913</ns0:t>
        </ns0:is>
      </ns0:c>
      <ns0:c r="K408" s="21" t="inlineStr">
        <ns0:is>
          <ns0:t>Contenido evaluable revisado; el nivel exacto de fuente, evidencia y cautelas se documenta en Lote_04_25.</ns0:t>
        </ns0:is>
      </ns0:c>
      <ns0:c r="L408" s="21" t="inlineStr">
        <ns0:is>
          <ns0:t>Not documented in provided sources</ns0:t>
        </ns0:is>
      </ns0:c>
      <ns0:c r="M408" s="21" t="inlineStr">
        <ns0:is>
          <ns0:t>[]</ns0:t>
        </ns0:is>
      </ns0:c>
    </ns0:row>
    <ns0:row r="409" ht="345" customHeight="1">
      <ns0:c r="A409" s="19" t="inlineStr">
        <ns0:is>
          <ns0:t>new_277</ns0:t>
        </ns0:is>
      </ns0:c>
      <ns0:c r="B409" s="19" t="inlineStr">
        <ns0:is>
          <ns0:t>A comprehensive causal and machine learning framework for autism spectrum disorder risk prediction and high-risk subgroup identification from children with chronic health and genetic disorders in the United States</ns0:t>
        </ns0:is>
      </ns0:c>
      <ns0:c r="C409" s="19" t="inlineStr">
        <ns0:is>
          <ns0:t>10.1016/j.reia.2026.202826</ns0:t>
        </ns0:is>
      </ns0:c>
      <ns0:c r="D409" s="19" t="inlineStr">
        <ns0:is>
          <ns0:t>https://doi.org/10.1016/j.reia.2026.202826</ns0:t>
        </ns0:is>
      </ns0:c>
      <ns0:c r="E409" s="19" t="inlineStr">
        <ns0:is>
          <ns0:t>Prior source-specific extraction retained; no new full-text retrieval</ns0:t>
        </ns0:is>
      </ns0:c>
      <ns0:c r="F409" s="19" t="inlineStr">
        <ns0:is>
          <ns0:t>EVIDENCIA; original abstract/coding notes and lot source trace; Inherited scoped adjudication; see source level and lot caveats</ns0:t>
        </ns0:is>
      </ns0:c>
      <ns0:c r="G409" s="19" t="inlineStr">
        <ns0:is>
          <ns0:t>National Survey of Children Health contains reported chronic/genetic conditions; these are survey variables, not measured genomic input.</ns0:t>
        </ns0:is>
      </ns0:c>
      <ns0:c r="H409" s="19" t="inlineStr">
        <ns0:is>
          <ns0:t>Purpose: Autism Spectrum Disorder (ASD) is a complex neurodevelopmental condition often accompanied by diverse comorbidities. This study aimed to develop and evaluate a machine learning framework to identify key predictors of ASD and characterize disease–disease relationships. Methods: We analyzed 2022–2023 National Survey of Children's Health (NSCH) data. Propensity score matching (PSM) was applied to reduce confounding and approximate a randomized controlled design. Multiple machine learning algorithms were implemented to identify important predictors and assess disease–disease interactions. Model performance was evaluated using receiver operating characteristic (ROC) curves, calibration plots, and cross-validation. Results: In matched cohorts, epilepsy showed the strongest association with ASD (20.0 % vs. 6.1 %; OR = 3.85, 95 % CI: 2.88–5.20). Down syndrome (DS) (14.5 % vs. 4.7 %; OR = 3.45, 95 % CI: 1.75–7.30) and congenital heart disease (CHD) (7.5 % vs. 5.4 %; OR = 1.42, 95 % CI: 1.14–1.77) were also significant, whereas diabetes, cystic fibrosis, and allergies demonstrated no consistent associations. Across machine learning analyses, epilepsy consistently emerged as the top predictor, with DS and CHD also ranked highly. Children with both epilepsy and CHD represented the highest-risk subgroup (&gt;32 %), while those without epilepsy but with both allergies and CHD had moderate risk (&gt;10 %). Model discrimination was good (AUC = 0.771) with satisfactory calibration. Conclusion: Epilepsy is the strongest predictor of ASD, with epilepsy - CHD comorbidity conferring the highest-risk subgroup, whereas no epilepsy but allergies and CHD represented moderate-risk groups. This framework highlights the value of advanced analytics for early identification and targeted interventions in vulnerable populations.</ns0:t>
        </ns0:is>
      </ns0:c>
      <ns0:c r="I409" s="19" t="inlineStr">
        <ns0:is>
          <ns0:t>Uses 2022-2023 National Survey of Children's Health data, propensity-score methods and machine learning to identify predictor patterns and high-risk subgroups associated with ASD. Survey-based association/prediction is not external validation or prospective evaluation; predictor/subgroup interpretation is coded as partial explainability rather than strict XAI.</ns0:t>
        </ns0:is>
      </ns0:c>
      <ns0:c r="J409" s="19" t="inlineStr">
        <ns0:is>
          <ns0:t>Lote_04_25: nivel=ScienceDirect detailed research abstract and methods summary sufficient for scoped coding; hallazgo=Uses 2022-2023 National Survey of Children's Health data, propensity-score methods and machine learning to identify predictor patterns and high-risk subgroups associated with ASD.; limitación=; acción=; fuente=https://www.sciencedirect.com/science/article/pii/S3050656526000404</ns0:t>
        </ns0:is>
      </ns0:c>
      <ns0:c r="K409" s="19" t="inlineStr">
        <ns0:is>
          <ns0:t>Contenido evaluable revisado; el nivel exacto de fuente, evidencia y cautelas se documenta en Lote_04_25.</ns0:t>
        </ns0:is>
      </ns0:c>
      <ns0:c r="L409" s="19" t="inlineStr">
        <ns0:is>
          <ns0:t>Not documented in provided sources</ns0:t>
        </ns0:is>
      </ns0:c>
      <ns0:c r="M409" s="19" t="inlineStr">
        <ns0:is>
          <ns0:t>[]</ns0:t>
        </ns0:is>
      </ns0:c>
    </ns0:row>
    <ns0:row r="410" ht="333" customHeight="1">
      <ns0:c r="A410" s="21" t="inlineStr">
        <ns0:is>
          <ns0:t>new_280</ns0:t>
        </ns0:is>
      </ns0:c>
      <ns0:c r="B410" s="21" t="inlineStr">
        <ns0:is>
          <ns0:t>Sleep pattern consistency and autism spectrum disorder in U.S. children: Associations and identification of high-risk subgroups</ns0:t>
        </ns0:is>
      </ns0:c>
      <ns0:c r="C410" s="21" t="inlineStr">
        <ns0:is>
          <ns0:t>10.1016/j.ridd.2025.105201</ns0:t>
        </ns0:is>
      </ns0:c>
      <ns0:c r="D410" s="21" t="inlineStr">
        <ns0:is>
          <ns0:t>https://doi.org/10.1016/j.ridd.2025.105201</ns0:t>
        </ns0:is>
      </ns0:c>
      <ns0:c r="E410" s="21" t="inlineStr">
        <ns0:is>
          <ns0:t>Prior source-specific extraction retained; no new full-text retrieval</ns0:t>
        </ns0:is>
      </ns0:c>
      <ns0:c r="F410" s="21" t="inlineStr">
        <ns0:is>
          <ns0:t>EVIDENCIA; original abstract/coding notes and lot source trace; Inherited scoped adjudication; see source level and lot caveats</ns0:t>
        </ns0:is>
      </ns0:c>
      <ns0:c r="G410" s="21" t="inlineStr">
        <ns0:is>
          <ns0:t>Retained source-specific coding after review of the supplied extraction notes; not a new full-text retrieval. Analyzes 63,866 children from the 2022-2023 NSCH using sleep routines, demographics and comorbidities with regression/ML to identify ASD-associated risk profiles and high-risk subgroups. Cross-sectional survey prediction does not establish prospective or external validation; interpretable risk profiles are coded as partial rather than strict XAI.</ns0:t>
        </ns0:is>
      </ns0:c>
      <ns0:c r="H410" s="21" t="inlineStr">
        <ns0:is>
          <ns0:t>Background Sleep behavior is closely linked to autism spectrum disorder (ASD) and may influence behavioral and neurological development. This study examined the association between sleep pattern consistency (SPC) and ASD among children aged 6–17 years. Methods This study used data from 63,866 children from the 2022–2023 National Survey of Children’s Health (NSCH). ASD status was based on parent-reported provider diagnoses. SPC was constructed from sleep duration and bedtime regularity. Associations between SPC and ASD were examined using relative risks and multivariable logistic regression. Machine learning methods predicted individualized ASD profiles and identified high-risk subgroups. Model performance was evaluated using discrimination and calibration metrics. Results The cohort showed 4.41 % ASD prevalence, mean age 11.9 years, 51.8 % male, 62.4 % healthy weight, 28.9 % poor sleep routines, 28.8 % lower income, 40.5 % co-occurring disorders, and 42.4 % with medication. Children with poor sleep routines (PSR) demonstrated a significantly higher likelihood of ASD (aOR: 1.92; 95 % CI: 1.64–2.25), whereas long sleep with regularity (LSR) was associated with a lower likelihood (aOR: 0.81; 95 % CI: 0.70–0.94). Other correlated factors included male sex (aOR: 3.83, p ' 0.001), underweight (aOR: 1.28, p ' 0.001), and overweight (aOR: 1.39, p ' 0.001). Among female children from low-income households with co-occurring conditions, PSR patterns were associated with higher predicted ASD probability (∼12 %, p = 0.002), whereas healthy sleep routine (HSR) showed substantially lower predicted probabilities. Conclusion SPC was significantly associated with ASD. These findings highlight the potential relevance of sleep health in relation to developmental outcomes and ASD screening, particularly among higher-risk subgroups.</ns0:t>
        </ns0:is>
      </ns0:c>
      <ns0:c r="I410" s="21" t="inlineStr">
        <ns0:is>
          <ns0:t>Analyzes 63,866 children from the 2022-2023 NSCH using sleep routines, demographics and comorbidities with regression/ML to identify ASD-associated risk profiles and high-risk subgroups. Cross-sectional survey prediction does not establish prospective or external validation; interpretable risk profiles are coded as partial rather than strict XAI.</ns0:t>
        </ns0:is>
      </ns0:c>
      <ns0:c r="J410" s="21" t="inlineStr">
        <ns0:is>
          <ns0:t>Lote_04_25: nivel=PubMed/ScienceDirect detailed research abstract with cohort, predictors and performance analysis; hallazgo=Analyzes 63,866 children from the 2022-2023 NSCH using sleep routines, demographics and comorbidities with regression/ML to identify ASD-associated risk profiles and high-risk subgroups.; limitación=; acción=; fuente=https://pubmed.ncbi.nlm.nih.gov/41475317/</ns0:t>
        </ns0:is>
      </ns0:c>
      <ns0:c r="K410" s="21" t="inlineStr">
        <ns0:is>
          <ns0:t>Contenido evaluable revisado; el nivel exacto de fuente, evidencia y cautelas se documenta en Lote_04_25.</ns0:t>
        </ns0:is>
      </ns0:c>
      <ns0:c r="L410" s="21" t="inlineStr">
        <ns0:is>
          <ns0:t>Not documented in provided sources</ns0:t>
        </ns0:is>
      </ns0:c>
      <ns0:c r="M410" s="21" t="inlineStr">
        <ns0:is>
          <ns0:t>[]</ns0:t>
        </ns0:is>
      </ns0:c>
    </ns0:row>
    <ns0:row r="411" ht="297" customHeight="1">
      <ns0:c r="A411" s="19" t="inlineStr">
        <ns0:is>
          <ns0:t>new_286</ns0:t>
        </ns0:is>
      </ns0:c>
      <ns0:c r="B411" s="19" t="inlineStr">
        <ns0:is>
          <ns0:t>Identification of Potential Biomarkers in ASD Integrating RNA Seq Data and Machine Learning Approaches</ns0:t>
        </ns0:is>
      </ns0:c>
      <ns0:c r="C411" s="19" t="inlineStr">
        <ns0:is>
          <ns0:t>10.3233/shti260609</ns0:t>
        </ns0:is>
      </ns0:c>
      <ns0:c r="D411" s="19" t="inlineStr">
        <ns0:is>
          <ns0:t>https://doi.org/10.3233/shti260609</ns0:t>
        </ns0:is>
      </ns0:c>
      <ns0:c r="E411" s="19" t="inlineStr">
        <ns0:is>
          <ns0:t>Prior source-specific extraction retained; no new full-text retrieval</ns0:t>
        </ns0:is>
      </ns0:c>
      <ns0:c r="F411" s="19" t="inlineStr">
        <ns0:is>
          <ns0:t>EVIDENCIA; original abstract/coding notes and lot source trace; Inherited scoped adjudication; see source level and lot caveats</ns0:t>
        </ns0:is>
      </ns0:c>
      <ns0:c r="G411" s="19" t="inlineStr">
        <ns0:is>
          <ns0:t>Retained source-specific coding after review of the supplied extraction notes; not a new full-text retrieval. Uses RNA-seq gene-expression data from NCBI GEO, compares RF and XGBoost with fivefold CV, and ranks a compact set of candidate transcriptomic biomarkers. Small dataset and internal CV only; ranked biomarkers are treated as partial interpretability, not strict XAI or external validation.</ns0:t>
        </ns0:is>
      </ns0:c>
      <ns0:c r="H411" s="19" t="inlineStr">
        <ns0:is>
          <ns0:t>Autism spectrum disorder (ASD) is a neurodevelopmental disorder, caused by various epigenetic and genetic factors. This has resulted in an unclear understanding of etiology and biomarkers associated with ASD. In this study, we used RNA Seq datasets integrating with machine learning models to identify the differentially expressed genes (DEGs) between ASD and typical development (TD). The RNA Seq data of 20 ASD and 19 TD were obtained from the NCBI GEO database. We used standard R programming pipeline to pre-process the data. Further, random forest (RF) and eXtreme gradient boosting (XGBoost) models were employed to identify potential genes discriminate between ASD and TD. The model’s performance was assessed using evaluation metrics and the 5-fold-cross validation. The proposed XGBoost models achieved a 5-fold cross validation accuracy, sensitivity, specificity, precision and F1-Score of 67.14%, 67.5%, 67.5%, 67.84%, 75.56% respectively. Further, TCTA gene was common in the top 10 gene signatures identified from RF and XGBoost. These results may aid in developing potential and prognostic biomarkers for effective ASD screening.</ns0:t>
        </ns0:is>
      </ns0:c>
      <ns0:c r="I411" s="19" t="inlineStr">
        <ns0:is>
          <ns0:t>Uses RNA-seq gene-expression data from NCBI GEO, compares RF and XGBoost with fivefold CV, and ranks a compact set of candidate transcriptomic biomarkers. Small dataset and internal CV only; ranked biomarkers are treated as partial interpretability, not strict XAI or external validation.</ns0:t>
        </ns0:is>
      </ns0:c>
      <ns0:c r="J411" s="19" t="inlineStr">
        <ns0:is>
          <ns0:t>Lote_04_25: nivel=PubMed detailed research abstract with omics dataset, ML models and validation approach; hallazgo=Uses RNA-seq gene-expression data from NCBI GEO, compares RF and XGBoost with fivefold CV, and ranks a compact set of candidate transcriptomic biomarkers.; limitación=; acción=; fuente=https://pubmed.ncbi.nlm.nih.gov/42175278/</ns0:t>
        </ns0:is>
      </ns0:c>
      <ns0:c r="K411" s="19" t="inlineStr">
        <ns0:is>
          <ns0:t>Contenido evaluable revisado; el nivel exacto de fuente, evidencia y cautelas se documenta en Lote_04_25.</ns0:t>
        </ns0:is>
      </ns0:c>
      <ns0:c r="L411" s="19" t="inlineStr">
        <ns0:is>
          <ns0:t>Not documented in provided sources</ns0:t>
        </ns0:is>
      </ns0:c>
      <ns0:c r="M411" s="19" t="inlineStr">
        <ns0:is>
          <ns0:t>[]</ns0:t>
        </ns0:is>
      </ns0:c>
    </ns0:row>
    <ns0:row r="412" ht="285" customHeight="1">
      <ns0:c r="A412" s="21" t="inlineStr">
        <ns0:is>
          <ns0:t>new_287</ns0:t>
        </ns0:is>
      </ns0:c>
      <ns0:c r="B412" s="21" t="inlineStr">
        <ns0:is>
          <ns0:t>REM Sleep Abnormalities in Children With Autism Spectrum Disorder</ns0:t>
        </ns0:is>
      </ns0:c>
      <ns0:c r="C412" s="21" t="inlineStr">
        <ns0:is>
          <ns0:t>10.1002/aur.70222</ns0:t>
        </ns0:is>
      </ns0:c>
      <ns0:c r="D412" s="21" t="inlineStr">
        <ns0:is>
          <ns0:t>https://doi.org/10.1002/aur.70222</ns0:t>
        </ns0:is>
      </ns0:c>
      <ns0:c r="E412" s="21" t="inlineStr">
        <ns0:is>
          <ns0:t>Prior source-specific extraction retained; no new full-text retrieval</ns0:t>
        </ns0:is>
      </ns0:c>
      <ns0:c r="F412" s="21" t="inlineStr">
        <ns0:is>
          <ns0:t>EVIDENCIA; original abstract/coding notes and lot source trace; Inherited scoped adjudication; see source level and lot caveats</ns0:t>
        </ns0:is>
      </ns0:c>
      <ns0:c r="G412" s="21" t="inlineStr">
        <ns0:is>
          <ns0:t>Retained source-specific coding after review of the supplied extraction notes; not a new full-text retrieval. Matched ASD and non-ASD participants from the NCH Sleep Databank, compared ML models on REM-sleep features, and used SHAP to identify discriminative predictors. Single databank analysis without independent external or prospective validation; SHAP supports strict XAI coding.</ns0:t>
        </ns0:is>
      </ns0:c>
      <ns0:c r="H412" s="21" t="inlineStr">
        <ns0:is>
          <ns0:t>Sleep disturbances are common in children with autism spectrum disorder (ASD). However, the sleep pattern changes including rapid eye movement (REM) sleep for ASD in pediatric populations remain unknown. Using polysomnography (PSG) data from the National Children's Hospital (NCH) Sleep Databank, we identified 193 children with ASD and matched them with 193 Non-ASD controls. We found children with ASD showed reduced REM sleep proportion (17.8% ± 6.4% vs. 19.1% ± 7.0%; p = 0.049) and duration (71.5 [49.5–91.0] min vs. 81.5 [52.5–98.0] min; p = 0.036), prolonged REM latency (134.5 [94.0–181.5] min vs. 116.0 [82.0–157.0] min; p = 0.009), and increased 1st REM duration (13.0 [7.0–19.0] min vs. 10.5 [6.0–16.5] min; p = 0.024) compared with Non-ASD peers. They also showed higher 1st REM proportion (18.8 [11.0–31.3] vs. 15.7 [8.3–25.4]; p = 0.003), particularly in children aged 3–5 years and 6–8 years. Using these REM features, the XGBoost machine learning model was achieved to be the best predictive performance. SHAP analysis further showed that decreased REM sleep duration, increased 1st REM proportion or duration, and prolonged REM latency were discriminative features for children with ASD. These findings suggest that REM sleep abnormalities are common in young patients with ASD but its contribution to the disease's severity and/or development needs to be explored further.</ns0:t>
        </ns0:is>
      </ns0:c>
      <ns0:c r="I412" s="21" t="inlineStr">
        <ns0:is>
          <ns0:t>Matched ASD and non-ASD participants from the NCH Sleep Databank, compared ML models on REM-sleep features, and used SHAP to identify discriminative predictors. Single databank analysis without independent external or prospective validation; SHAP supports strict XAI coding.</ns0:t>
        </ns0:is>
      </ns0:c>
      <ns0:c r="J412" s="21" t="inlineStr">
        <ns0:is>
          <ns0:t>Lote_04_25: nivel=Wiley full article and PubMed record reviewed; hallazgo=Matched ASD and non-ASD participants from the NCH Sleep Databank, compared ML models on REM-sleep features, and used SHAP to identify discriminative predictors.; limitación=; acción=; fuente=https://onlinelibrary.wiley.com/doi/full/10.1002/aur.70222</ns0:t>
        </ns0:is>
      </ns0:c>
      <ns0:c r="K412" s="21" t="inlineStr">
        <ns0:is>
          <ns0:t>Contenido evaluable revisado; el nivel exacto de fuente, evidencia y cautelas se documenta en Lote_04_25.</ns0:t>
        </ns0:is>
      </ns0:c>
      <ns0:c r="L412" s="21" t="inlineStr">
        <ns0:is>
          <ns0:t>Not documented in provided sources</ns0:t>
        </ns0:is>
      </ns0:c>
      <ns0:c r="M412" s="21" t="inlineStr">
        <ns0:is>
          <ns0:t>[]</ns0:t>
        </ns0:is>
      </ns0:c>
    </ns0:row>
    <ns0:row r="413" ht="350" customHeight="1">
      <ns0:c r="A413" s="19" t="inlineStr">
        <ns0:is>
          <ns0:t>new_289</ns0:t>
        </ns0:is>
      </ns0:c>
      <ns0:c r="B413" s="19" t="inlineStr">
        <ns0:is>
          <ns0:t>Diagnosis of autism disorder from rs-fMRI brain images through hierarchical YOLO and mechanism of attention (HYMA)</ns0:t>
        </ns0:is>
      </ns0:c>
      <ns0:c r="C413" s="19" t="inlineStr">
        <ns0:is>
          <ns0:t>10.1016/j.asoc.2026.114655</ns0:t>
        </ns0:is>
      </ns0:c>
      <ns0:c r="D413" s="19" t="inlineStr">
        <ns0:is>
          <ns0:t>https://doi.org/10.1016/j.asoc.2026.114655</ns0:t>
        </ns0:is>
      </ns0:c>
      <ns0:c r="E413" s="19" t="inlineStr">
        <ns0:is>
          <ns0:t>Prior source-specific extraction retained; no new full-text retrieval</ns0:t>
        </ns0:is>
      </ns0:c>
      <ns0:c r="F413" s="19" t="inlineStr">
        <ns0:is>
          <ns0:t>EVIDENCIA; original abstract/coding notes and lot source trace; Inherited scoped adjudication; see source level and lot caveats</ns0:t>
        </ns0:is>
      </ns0:c>
      <ns0:c r="G413" s="19" t="inlineStr">
        <ns0:is>
          <ns0:t>Retained source-specific coding after review of the supplied extraction notes; not a new full-text retrieval. HYMA combines axis-specific YOLO experts, attention and expert fusion; the publisher explicitly reports subject-wise and cross-site evaluations on ABIDE I/II and interprets attention maps over clinically relevant brain regions. The 99.3% accuracy is unusually high for ABIDE and merits independent replication. Cross-site robustness is counted because the paper explicitly reports cross-site evaluation, but external validation is kept at 0 because the exact independent train/external-test relationship is not unambiguously established.
All-neural/optimization pipeline in recovered evidence; hybrid title is not sufficient for mixed conventional-ML/DL classification.</ns0:t>
        </ns0:is>
      </ns0:c>
      <ns0:c r="H413" s="19" t="inlineStr">
        <ns0:is>
          <ns0:t>Autism spectrum disorder (ASD) is a complex neurodevelopmental condition characterized by atypical communication among brain regions. Early and accurate diagnosis of ASD can significantly improve the effectiveness of behavioral interventions. In this study, we propose a novel deep learning framework called HYMA (Hierarchical YOLO with Mechanism of Attention) for classifying ASD and control subjects using resting-state functional MRI (rs-fMRI) data. The proposed model integrates the YOLO detection architecture with a Bottleneck Attention Module (BAM) to enhance spatial–temporal feature extraction, and employs both dynamic (expert combination) and static (Naïve Bayes) ensemble classifiers for final decision fusion. To address the limited-sample challenge in medical imaging, we adopted extensive data augmentation and subject-wise validation. Experimental results on the ABIDE I and II datasets demonstrate that HYMA achieves superior performance, reaching an accuracy of 99.3%, precision of 98.9%, recall of 99.1%, and F1-score of 99.0%, outperforming existing state-of-the-art methods. These results indicate that the proposed attention-enhanced YOLO ensemble framework provides a robust and generalizable approach for rs-fMRI-based ASD diagnosis.</ns0:t>
        </ns0:is>
      </ns0:c>
      <ns0:c r="I413" s="19" t="inlineStr">
        <ns0:is>
          <ns0:t>HYMA combines axis-specific YOLO experts, attention and expert fusion; the publisher explicitly reports subject-wise and cross-site evaluations on ABIDE I/II and interprets attention maps over clinically relevant brain regions. The 99.3% accuracy is unusually high for ABIDE and merits independent replication. Cross-site robustness is counted because the paper explicitly reports cross-site evaluation, but external validation is kept at 0 because the exact independent train/external-test relationship is not unambiguously established.</ns0:t>
        </ns0:is>
      </ns0:c>
      <ns0:c r="J413" s="19" t="inlineStr">
        <ns0:is>
          <ns0:t>Lote_04_25: nivel=ScienceDirect full article sections with explicit cross-site evaluation and attention-map interpretation; hallazgo=HYMA combines axis-specific YOLO experts, attention and expert fusion; the publisher explicitly reports subject-wise and cross-site evaluations on ABIDE I/II and interprets attention maps over clinically relevant brain regions.; limitación=; acción=; fuente=https://www.sciencedirect.com/science/article/pii/S1568494626001031</ns0:t>
        </ns0:is>
      </ns0:c>
      <ns0:c r="K413" s="19" t="inlineStr">
        <ns0:is>
          <ns0:t>Contenido evaluable revisado; el nivel exacto de fuente, evidencia y cautelas se documenta en Lote_04_25.</ns0:t>
        </ns0:is>
      </ns0:c>
      <ns0:c r="L413" s="19" t="inlineStr">
        <ns0:is>
          <ns0:t>Not documented in provided sources</ns0:t>
        </ns0:is>
      </ns0:c>
      <ns0:c r="M413" s="19" t="inlineStr">
        <ns0:is>
          <ns0:t>[]</ns0:t>
        </ns0:is>
      </ns0:c>
    </ns0:row>
    <ns0:row r="414" ht="285" customHeight="1">
      <ns0:c r="A414" s="21" t="inlineStr">
        <ns0:is>
          <ns0:t>new_295</ns0:t>
        </ns0:is>
      </ns0:c>
      <ns0:c r="B414" s="21" t="inlineStr">
        <ns0:is>
          <ns0:t>Comparing Machine Learning Models for Pupillary Light Reflex–Based Autism Spectrum Disorder Classification</ns0:t>
        </ns0:is>
      </ns0:c>
      <ns0:c r="C414" s="21" t="inlineStr">
        <ns0:is>
          <ns0:t>10.1155/acis/1906938</ns0:t>
        </ns0:is>
      </ns0:c>
      <ns0:c r="D414" s="21" t="inlineStr">
        <ns0:is>
          <ns0:t>https://doi.org/10.1155/acis/1906938</ns0:t>
        </ns0:is>
      </ns0:c>
      <ns0:c r="E414" s="21" t="inlineStr">
        <ns0:is>
          <ns0:t>Prior source-specific extraction retained; no new full-text retrieval</ns0:t>
        </ns0:is>
      </ns0:c>
      <ns0:c r="F414" s="21" t="inlineStr">
        <ns0:is>
          <ns0:t>EVIDENCIA; original abstract/coding notes and lot source trace; Inherited scoped adjudication; see source level and lot caveats</ns0:t>
        </ns0:is>
      </ns0:c>
      <ns0:c r="G414" s="21" t="inlineStr">
        <ns0:is>
          <ns0:t>Retained source-specific coding after review of the supplied extraction notes; not a new full-text retrieval. Compares conventional classifiers and a DNN on pupillary-light-reflex features from ASD and typically developing children; the DNN gives the strongest test performance. Small sample and no independent external/prospective validation or explicit explainability analysis.</ns0:t>
        </ns0:is>
      </ns0:c>
      <ns0:c r="H414" s="21" t="inlineStr">
        <ns0:is>
          <ns0:t>Autism spectrum disorder (ASD) prevalence is rising globally, underscoring the critical need for early detection to improve intervention outcomes. Atypical pupillary light reflex (PLR) has emerged as a promising biomarker for this purpose. This study leverages machine learning to enhance the accuracy of early ASD screening in children aged 3–6. We developed and evaluated five classifiers—Naive Bayes, logistic regression, decision tree, linear discriminant analysis (LDA), and deep neural network (DNN)—using PLR data from 25 children with ASD and 50 typically developing peers. Model performance was assessed across 15 metrics, including accuracy, F1 score, ROC–AUC, and computational efficiency. The comprehensive evaluation demonstrated that the DNN outperformed all other models, achieving the highest test accuracy of 85% and excelling across multiple key metrics. These findings confirm the DNN’s superiority for automated ASD screening based on PLR, contributing significantly to the development of objective, efficient tools for early autism diagnosis.</ns0:t>
        </ns0:is>
      </ns0:c>
      <ns0:c r="I414" s="21" t="inlineStr">
        <ns0:is>
          <ns0:t>Compares conventional classifiers and a DNN on pupillary-light-reflex features from ASD and typically developing children; the DNN gives the strongest test performance. Small sample and no independent external/prospective validation or explicit explainability analysis.</ns0:t>
        </ns0:is>
      </ns0:c>
      <ns0:c r="J414" s="21" t="inlineStr">
        <ns0:is>
          <ns0:t>Lote_04_25: nivel=Open-access Wiley full article reviewed; hallazgo=Compares conventional classifiers and a DNN on pupillary-light-reflex features from ASD and typically developing children; the DNN gives the strongest test performance.; limitación=; acción=; fuente=https://onlinelibrary.wiley.com/doi/10.1155/acis/1906938</ns0:t>
        </ns0:is>
      </ns0:c>
      <ns0:c r="K414" s="21" t="inlineStr">
        <ns0:is>
          <ns0:t>Contenido evaluable revisado; el nivel exacto de fuente, evidencia y cautelas se documenta en Lote_04_25.</ns0:t>
        </ns0:is>
      </ns0:c>
      <ns0:c r="L414" s="21" t="inlineStr">
        <ns0:is>
          <ns0:t>Not documented in provided sources</ns0:t>
        </ns0:is>
      </ns0:c>
      <ns0:c r="M414" s="21" t="inlineStr">
        <ns0:is>
          <ns0:t>[]</ns0:t>
        </ns0:is>
      </ns0:c>
    </ns0:row>
    <ns0:row r="415" ht="333" customHeight="1">
      <ns0:c r="A415" s="19" t="inlineStr">
        <ns0:is>
          <ns0:t>new_296</ns0:t>
        </ns0:is>
      </ns0:c>
      <ns0:c r="B415" s="19" t="inlineStr">
        <ns0:is>
          <ns0:t>Deep learning for diagnosing autism spectrum disorder using EEG with upright and inverted face processing tasks</ns0:t>
        </ns0:is>
      </ns0:c>
      <ns0:c r="C415" s="19" t="inlineStr">
        <ns0:is>
          <ns0:t>10.1016/j.bspc.2026.109655</ns0:t>
        </ns0:is>
      </ns0:c>
      <ns0:c r="D415" s="19" t="inlineStr">
        <ns0:is>
          <ns0:t>https://doi.org/10.1016/j.bspc.2026.109655</ns0:t>
        </ns0:is>
      </ns0:c>
      <ns0:c r="E415" s="19" t="inlineStr">
        <ns0:is>
          <ns0:t>Prior source-specific extraction retained; no new full-text retrieval</ns0:t>
        </ns0:is>
      </ns0:c>
      <ns0:c r="F415" s="19" t="inlineStr">
        <ns0:is>
          <ns0:t>EVIDENCIA; original abstract/coding notes and lot source trace; Inherited scoped adjudication; see source level and lot caveats</ns0:t>
        </ns0:is>
      </ns0:c>
      <ns0:c r="G415" s="19" t="inlineStr">
        <ns0:is>
          <ns0:t>Retained source-specific coding after review of the supplied extraction notes; not a new full-text retrieval. Uses raw EEG recorded from ASD and TD children during upright/inverted face-processing tasks and evaluates lightweight one-dimensional CNN architectures for classification. Accessible material does not establish prospective enrollment, independent external validation, site-held-out robustness or formal XAI.</ns0:t>
        </ns0:is>
      </ns0:c>
      <ns0:c r="H415" s="19" t="inlineStr">
        <ns0:is>
          <ns0:t>Background: Functional neuroimaging has been used to diagnose Autism Spectrum Disorder (ASD), but no study has combined EEG with face-processing tasks. Given the social-cognitive challenges in ASD, such as difficulty with eye contact, such tasks seem to be promising. We propose a novel diagnostic method using EEG data from face-perception tasks and deep learning. Proposed method: We used raw EEG signals recorded from children (ASD and typically developing) during upright and inverted face-display tasks. The data was used without preprocessing as a time-by-channel matrix. We designed three lightweight 1D-CNN models to learn temporal patterns across channels and classify ASD. Results: Using upright face stimuli, InceptionNet and ResNet achieved accuracies of 78.65% and 76.87%, respectively, with a final diagnosis rate of 91.6% for both. With inverted stimuli, accuracies were lower at 72.35% (InceptionNet) and 70.68% (ResNet), with final diagnosis rates of 83.3%. Performance was consistently better for upright faces. Comparison with existing methods: To the best of our knowledge, this is the first EEG-based study for ASD classification using a face-perception task. Most existing methods rely on resting-state EEG, which does not probe specific social-cognitive deficits. Our task-driven approach provides a novel, more targeted framework for detecting ASD-related cognitive differences. Conclusions: The method shows promising diagnostic results. The superior performance with upright faces aligns with the eye-avoidance and face-inversion effect hypotheses, highlighting the importance of facial orientation. This work establishes a new, insightful pipeline for ASD detection using task-based EEG and deep learning.</ns0:t>
        </ns0:is>
      </ns0:c>
      <ns0:c r="I415" s="19" t="inlineStr">
        <ns0:is>
          <ns0:t>Uses raw EEG recorded from ASD and TD children during upright/inverted face-processing tasks and evaluates lightweight one-dimensional CNN architectures for classification. Accessible material does not establish prospective enrollment, independent external validation, site-held-out robustness or formal XAI.</ns0:t>
        </ns0:is>
      </ns0:c>
      <ns0:c r="J415" s="19" t="inlineStr">
        <ns0:is>
          <ns0:t>Lote_04_25: nivel=ScienceDirect detailed research abstract with participant EEG protocol and model family; hallazgo=Uses raw EEG recorded from ASD and TD children during upright/inverted face-processing tasks and evaluates lightweight one-dimensional CNN architectures for classification.; limitación=; acción=; fuente=https://www.sciencedirect.com/science/article/abs/pii/S1746809426002090</ns0:t>
        </ns0:is>
      </ns0:c>
      <ns0:c r="K415" s="19" t="inlineStr">
        <ns0:is>
          <ns0:t>Contenido evaluable revisado; el nivel exacto de fuente, evidencia y cautelas se documenta en Lote_04_25.</ns0:t>
        </ns0:is>
      </ns0:c>
      <ns0:c r="L415" s="19" t="inlineStr">
        <ns0:is>
          <ns0:t>Not documented in provided sources</ns0:t>
        </ns0:is>
      </ns0:c>
      <ns0:c r="M415" s="19" t="inlineStr">
        <ns0:is>
          <ns0:t>[]</ns0:t>
        </ns0:is>
      </ns0:c>
    </ns0:row>
    <ns0:row r="416" ht="350" customHeight="1">
      <ns0:c r="A416" s="21" t="inlineStr">
        <ns0:is>
          <ns0:t>new_298</ns0:t>
        </ns0:is>
      </ns0:c>
      <ns0:c r="B416" s="21" t="inlineStr">
        <ns0:is>
          <ns0:t>Effects of conversational AI-enhanced peer-mediated intervention by peers with intellectual disabilities on conversational skills in children with ASD</ns0:t>
        </ns0:is>
      </ns0:c>
      <ns0:c r="C416" s="21" t="inlineStr">
        <ns0:is>
          <ns0:t>10.1016/j.ridd.2026.105249</ns0:t>
        </ns0:is>
      </ns0:c>
      <ns0:c r="D416" s="21" t="inlineStr">
        <ns0:is>
          <ns0:t>https://doi.org/10.1016/j.ridd.2026.105249</ns0:t>
        </ns0:is>
      </ns0:c>
      <ns0:c r="E416" s="21" t="inlineStr">
        <ns0:is>
          <ns0:t>Prior source-specific extraction retained; no new full-text retrieval</ns0:t>
        </ns0:is>
      </ns0:c>
      <ns0:c r="F416" s="21" t="inlineStr">
        <ns0:is>
          <ns0:t>EVIDENCIA; original abstract/coding notes and lot source trace; Inherited scoped adjudication; see source level and lot caveats</ns0:t>
        </ns0:is>
      </ns0:c>
      <ns0:c r="G416" s="21" t="inlineStr">
        <ns0:is>
          <ns0:t>Retained source-specific coding after review of the supplied extraction notes; not a new full-text retrieval. A multiple-probe/alternating-treatment intervention compares conversational-AI-enhanced peer mediation with peer-mediated instruction alone and reports gains in initiations, responses, lexical diversity and generalization. The underlying conversational model is not technically specified in the accessible material; the small single-case design limits generalizability despite real intervention deployment.</ns0:t>
        </ns0:is>
      </ns0:c>
      <ns0:c r="H416" s="21" t="inlineStr">
        <ns0:is>
          <ns0:t>Background/aims Children with autism spectrum disorder (ASD) often experience conversational difficulties that hinder social interactions and peer relationships. This study examined whether a conversational AI-enhanced peer-mediated intervention delivered by peers with intellectual disabilities (CAI-PMI-ID) yielded superior outcomes in improving conversational skills in children with ASD compared with PMI-ID-only. Method This study employed a multiple-probe across participants design and an alternating treatments design to compare the effects of CAI-PMI-ID and PMI-ID-only. Conversational outcomes included quantitative measures (frequency of appropriate initiations and responses) and qualitative measures (mean length of utterance in morphemes, MLU-M; number of different words, NDW; and total number of words, TNW). Results CAI-PMI-ID produced greater improvements in the frequency of appropriate conversational initiations and responses than PMI-ID-only. It also yielded superior outcomes in lexical diversity and productivity, as reflected in NDW and TNW. The two intervention conditions resulted in limited and variable effects on MLU-M. CAI-PMI-ID facilitated the successful generalization of conversational skills to interact with different peers. Conclusions/implications These preliminary findings support the feasibility and added value of CAI-PMI-ID for enhancing core conversational behaviors and lexical productivity among children with ASD. Future research should integrate evidence-based syntactic supports to promote MLU-M, leverage multimodal and scenario-based AI in natural settings, strengthen AI-peer collaboration, and improve AI speech recognition to enhance intervention effects.</ns0:t>
        </ns0:is>
      </ns0:c>
      <ns0:c r="I416" s="21" t="inlineStr">
        <ns0:is>
          <ns0:t>A multiple-probe/alternating-treatment intervention compares conversational-AI-enhanced peer mediation with peer-mediated instruction alone and reports gains in initiations, responses, lexical diversity and generalization. The underlying conversational model is not technically specified in the accessible material; the small single-case design limits generalizability despite real intervention deployment.</ns0:t>
        </ns0:is>
      </ns0:c>
      <ns0:c r="J416" s="21" t="inlineStr">
        <ns0:is>
          <ns0:t>Lote_04_25: nivel=PubMed/ScienceDirect research abstract and article snippets with intervention design and outcomes; hallazgo=A multiple-probe/alternating-treatment intervention compares conversational-AI-enhanced peer mediation with peer-mediated instruction alone and reports gains in initiations, responses, lexical diversity and generalization.; limitación=; acción=; fuente=https://pubmed.ncbi.nlm.nih.gov/41671742/</ns0:t>
        </ns0:is>
      </ns0:c>
      <ns0:c r="K416" s="21" t="inlineStr">
        <ns0:is>
          <ns0:t>Contenido evaluable revisado; el nivel exacto de fuente, evidencia y cautelas se documenta en Lote_04_25.</ns0:t>
        </ns0:is>
      </ns0:c>
      <ns0:c r="L416" s="21" t="inlineStr">
        <ns0:is>
          <ns0:t>Not documented in provided sources</ns0:t>
        </ns0:is>
      </ns0:c>
      <ns0:c r="M416" s="21" t="inlineStr">
        <ns0:is>
          <ns0:t>[]</ns0:t>
        </ns0:is>
      </ns0:c>
    </ns0:row>
    <ns0:row r="417" ht="321" customHeight="1">
      <ns0:c r="A417" s="19" t="inlineStr">
        <ns0:is>
          <ns0:t>new_299</ns0:t>
        </ns0:is>
      </ns0:c>
      <ns0:c r="B417" s="19" t="inlineStr">
        <ns0:is>
          <ns0:t>Decoding the Neural Basis of Sensory Phenotypes in Autism</ns0:t>
        </ns0:is>
      </ns0:c>
      <ns0:c r="C417" s="19" t="inlineStr">
        <ns0:is>
          <ns0:t>10.1016/j.bpsc.2025.12.013</ns0:t>
        </ns0:is>
      </ns0:c>
      <ns0:c r="D417" s="19" t="inlineStr">
        <ns0:is>
          <ns0:t>https://doi.org/10.1016/j.bpsc.2025.12.013</ns0:t>
        </ns0:is>
      </ns0:c>
      <ns0:c r="E417" s="19" t="inlineStr">
        <ns0:is>
          <ns0:t>Prior source-specific extraction retained; no new full-text retrieval</ns0:t>
        </ns0:is>
      </ns0:c>
      <ns0:c r="F417" s="19" t="inlineStr">
        <ns0:is>
          <ns0:t>EVIDENCIA; original abstract/coding notes and lot source trace; Inherited scoped adjudication; see source level and lot caveats</ns0:t>
        </ns0:is>
      </ns0:c>
      <ns0:c r="G417" s="19" t="inlineStr">
        <ns0:is>
          <ns0:t>Retained source-specific coding after review of the supplied extraction notes; not a new full-text retrieval. Uses POND Network data to derive sensory phenotypes from Short Sensory Profile scores and classify phenotype pairs using graph-theoretical rs-fMRI features and linear SVC. POND is multisite, but no site-held-out generalization analysis is reported. SSP is used to define labels rather than fused as a second model-input modality, so multisource integration is not counted.</ns0:t>
        </ns0:is>
      </ns0:c>
      <ns0:c r="H417" s="19" t="inlineStr">
        <ns0:is>
          <ns0:t>Background: Differences in sensory processing are a defining characteristic of autism, affecting up to 87% of autistic individuals. These differences cause widespread perceptual changes that can negatively impact cognition, development, and daily functioning. Our research identified 5 sensory processing phenotypes with varied behavioral presentations; however, their neural basis remains unclear. In this study, we aim to ground these sensory phenotypes in unique patterns of functional connectivity. Methods: We analyzed data from 146 autistic participants from the POND Network (Province of Ontario Neurodevelopmental Disorders Network). We classified participants into 5 sensory phenotypes using k-means clustering of scores from the Short Sensory Profile. We computed functional connectivity matrices from functional magnetic resonance imaging data across 200 cortical and 32 subcortical regions and calculated graph-theoretical measures (betweenness centrality, strength, local efficiency, and clustering coefficient) to assess information exchange between these regions. We then trained machine learning models to use these measures to classify between all pairs of sensory phenotypes. Results: Our sample was clustered into 5 sensory phenotypes. The machine learning models distinguished 7 of the 10 total pairs of sensory phenotypes using graph-theoretical measures (p &lt; .005). Information exchange within and between the somatomotor network, orbitofrontal cortex, posterior parietal cortex, prefrontal cortex, and subcortical areas was predictive of sensory phenotype. Conclusions: Sensory phenotypes in autism correspond to differences in functional connectivity across cortical, subcortical, and network levels. These findings support the view that variability in sensory processing is reflected in measurable neural patterns and motivate continued work to refine models of sensory processing, with the goal of better understanding and capturing the heterogeneity implicit in autism.</ns0:t>
        </ns0:is>
      </ns0:c>
      <ns0:c r="I417" s="19" t="inlineStr">
        <ns0:is>
          <ns0:t>Uses POND Network data to derive sensory phenotypes from Short Sensory Profile scores and classify phenotype pairs using graph-theoretical rs-fMRI features and linear SVC. POND is multisite, but no site-held-out generalization analysis is reported. SSP is used to define labels rather than fused as a second model-input modality, so multisource integration is not counted.</ns0:t>
        </ns0:is>
      </ns0:c>
      <ns0:c r="J417" s="19" t="inlineStr">
        <ns0:is>
          <ns0:t>Lote_04_25: nivel=Publisher full article reviewed; hallazgo=Uses POND Network data to derive sensory phenotypes from Short Sensory Profile scores and classify phenotype pairs using graph-theoretical rs-fMRI features and linear SVC.; limitación=; acción=; fuente=https://www.biologicalpsychiatryjournal.com/article/S2451-9022%2826%2900002-9/fulltext</ns0:t>
        </ns0:is>
      </ns0:c>
      <ns0:c r="K417" s="19" t="inlineStr">
        <ns0:is>
          <ns0:t>Contenido evaluable revisado; el nivel exacto de fuente, evidencia y cautelas se documenta en Lote_04_25.</ns0:t>
        </ns0:is>
      </ns0:c>
      <ns0:c r="L417" s="19" t="inlineStr">
        <ns0:is>
          <ns0:t>Not documented in provided sources</ns0:t>
        </ns0:is>
      </ns0:c>
      <ns0:c r="M417" s="19" t="inlineStr">
        <ns0:is>
          <ns0:t>[]</ns0:t>
        </ns0:is>
      </ns0:c>
    </ns0:row>
    <ns0:row r="418" ht="321" customHeight="1">
      <ns0:c r="A418" s="21" t="inlineStr">
        <ns0:is>
          <ns0:t>new_306</ns0:t>
        </ns0:is>
      </ns0:c>
      <ns0:c r="B418" s="21" t="inlineStr">
        <ns0:is>
          <ns0:t>Hybrid ensemble learning for Autism Spectrum Disorder screening using eye-tracking scanpath</ns0:t>
        </ns0:is>
      </ns0:c>
      <ns0:c r="C418" s="21" t="inlineStr">
        <ns0:is>
          <ns0:t>10.1016/j.array.2026.100753</ns0:t>
        </ns0:is>
      </ns0:c>
      <ns0:c r="D418" s="21" t="inlineStr">
        <ns0:is>
          <ns0:t>https://doi.org/10.1016/j.array.2026.100753</ns0:t>
        </ns0:is>
      </ns0:c>
      <ns0:c r="E418" s="21" t="inlineStr">
        <ns0:is>
          <ns0:t>Prior source-specific extraction retained; no new full-text retrieval</ns0:t>
        </ns0:is>
      </ns0:c>
      <ns0:c r="F418" s="21" t="inlineStr">
        <ns0:is>
          <ns0:t>EVIDENCIA; original abstract/coding notes and lot source trace; Inherited scoped adjudication; see source level and lot caveats</ns0:t>
        </ns0:is>
      </ns0:c>
      <ns0:c r="G418" s="21" t="inlineStr">
        <ns0:is>
          <ns0:t>Retained source-specific coding after review of the supplied extraction notes; not a new full-text retrieval. Benchmarks bagging, boosting and stacking on eye-tracking scanpaths; stacking reaches about 0.96 accuracy and the article explicitly argues that raw scanpath representation improves interpretability. Very small benchmark sample and internal fivefold CV; the interpretability claim lacks a formal attribution method and is therefore coded only as partial XAI.</ns0:t>
        </ns0:is>
      </ns0:c>
      <ns0:c r="H418" s="21" t="inlineStr">
        <ns0:is>
          <ns0:t>Early and accurate detection of Autism Spectrum Disorder (ASD) is essential for effective intervention and lifelong support. Recent advances in machine learning and eye-tracking technologies have enabled objective screening approaches based on gaze behavior, providing a non-invasive alternative to traditional diagnostic methods. This study introduces a hybrid ensemble learning framework that integrates bagging, boosting, and stacking strategies to leverage the complementary strengths of diverse classifiers, including decision trees, random forests, k-nearest neighbors, AdaBoost, and gradient boosting. The framework was evaluated on a benchmark eye-tracking dataset of 28 participants (14 ASD, 14 TD) using five-fold cross-validation. The proposed stacking model achieved a mean accuracy of 0.960 ± 0.080 and an F1-score of 0.952 ± 0.095 across the five folds, outperforming individual base learners and performing comparably to image-based deep learning models. By operating directly on raw scanpath data, the proposed model enhances interpretability and reduces preprocessing overhead by eliminating the need for image generation and transformation steps, making it suitable for practical and real-time screening environments. Future work will focus on validating the framework on larger and more diverse datasets and integrating it within an end-to-end ASD screening platform.</ns0:t>
        </ns0:is>
      </ns0:c>
      <ns0:c r="I418" s="21" t="inlineStr">
        <ns0:is>
          <ns0:t>Benchmarks bagging, boosting and stacking on eye-tracking scanpaths; stacking reaches about 0.96 accuracy and the article explicitly argues that raw scanpath representation improves interpretability. Very small benchmark sample and internal fivefold CV; the interpretability claim lacks a formal attribution method and is therefore coded only as partial XAI.</ns0:t>
        </ns0:is>
      </ns0:c>
      <ns0:c r="J418" s="21" t="inlineStr">
        <ns0:is>
          <ns0:t>Lote_04_25: nivel=Open-access ScienceDirect full article reviewed; hallazgo=Benchmarks bagging, boosting and stacking on eye-tracking scanpaths; stacking reaches about 0.96 accuracy and the article explicitly argues that raw scanpath representation improves interpretability.; limitación=; acción=; fuente=https://www.sciencedirect.com/science/article/pii/S2590005626000767</ns0:t>
        </ns0:is>
      </ns0:c>
      <ns0:c r="K418" s="21" t="inlineStr">
        <ns0:is>
          <ns0:t>Contenido evaluable revisado; el nivel exacto de fuente, evidencia y cautelas se documenta en Lote_04_25.</ns0:t>
        </ns0:is>
      </ns0:c>
      <ns0:c r="L418" s="21" t="inlineStr">
        <ns0:is>
          <ns0:t>Not documented in provided sources</ns0:t>
        </ns0:is>
      </ns0:c>
      <ns0:c r="M418" s="21" t="inlineStr">
        <ns0:is>
          <ns0:t>[]</ns0:t>
        </ns0:is>
      </ns0:c>
    </ns0:row>
    <ns0:row r="419" ht="350" customHeight="1">
      <ns0:c r="A419" s="19" t="inlineStr">
        <ns0:is>
          <ns0:t>new_316</ns0:t>
        </ns0:is>
      </ns0:c>
      <ns0:c r="B419" s="19" t="inlineStr">
        <ns0:is>
          <ns0:t>Identifying Immune-related Molecular Biomarkers in Autism Spectrum Disorder Using Data-independent Acquisition Proteomics and Machine Learning.</ns0:t>
        </ns0:is>
      </ns0:c>
      <ns0:c r="C419" s="19" t="inlineStr">
        <ns0:is>
          <ns0:t>10.3791/68949</ns0:t>
        </ns0:is>
      </ns0:c>
      <ns0:c r="D419" s="19" t="inlineStr">
        <ns0:is>
          <ns0:t>https://doi.org/10.3791/68949</ns0:t>
        </ns0:is>
      </ns0:c>
      <ns0:c r="E419" s="19" t="inlineStr">
        <ns0:is>
          <ns0:t>Prior source-specific extraction retained; no new full-text retrieval</ns0:t>
        </ns0:is>
      </ns0:c>
      <ns0:c r="F419" s="19" t="inlineStr">
        <ns0:is>
          <ns0:t>EVIDENCIA; original abstract/coding notes and lot source trace; Inherited scoped adjudication; see source level and lot caveats</ns0:t>
        </ns0:is>
      </ns0:c>
      <ns0:c r="G419" s="19" t="inlineStr">
        <ns0:is>
          <ns0:t>Retained source-specific coding after review of the supplied extraction notes; not a new full-text retrieval. Serum proteomics in ASD and age-matched controls yielded an immune-related protein panel modeled with logistic regression; the biomarker panel is also checked using an orthogonal ELISA assay. Accessible material does not establish that ELISA validation used an independent cohort, so external validation is not counted. The compact biomarker panel supports partial interpretability.</ns0:t>
        </ns0:is>
      </ns0:c>
      <ns0:c r="H419" s="19" t="inlineStr">
        <ns0:is>
          <ns0:t>This study presents a reproducible protocol for identifying serum protein biomarkers associated with autism spectrum disorder (ASD) using data-independent acquisition (DIA) mass spectrometry combined with machine learning (ML). DIA enables unbiased, high-resolution profiling of the serum proteome, including low-abundance proteins, while ensuring reproducibility across samples. ML approaches were applied to select diagnostically informative protein panels and improve model robustness. The analysis included serum from 99 children with ASD and 70 age-matched controls. High-abundance proteins were depleted, peptides were prepared using standardized digestion and fractionation procedures, and DIA was performed on a high-resolution mass spectrometer. Data processing and quantification identified differentially expressed proteins, which underwent functional enrichment analysis. Eight immune-related proteins emerged as strong candidates for biomarker development. A logistic regression model trained on these proteins achieved 95.27% accuracy, a Kappa value of 0.9025, and an AUC of 1.000 in cross-validation. These findings demonstrate the potential of DIA-based proteomics, combined with machine learning, as a robust framework for biomarker discovery in ASD and for adaptation in broader clinical research.</ns0:t>
        </ns0:is>
      </ns0:c>
      <ns0:c r="I419" s="19" t="inlineStr">
        <ns0:is>
          <ns0:t>Serum proteomics in ASD and age-matched controls yielded an immune-related protein panel modeled with logistic regression; the biomarker panel is also checked using an orthogonal ELISA assay. Accessible material does not establish that ELISA validation used an independent cohort, so external validation is not counted. The compact biomarker panel supports partial interpretability.</ns0:t>
        </ns0:is>
      </ns0:c>
      <ns0:c r="J419" s="19" t="inlineStr">
        <ns0:is>
          <ns0:t>Lote_04_25: nivel=JoVE/PubMed research article with protocol, cohort, biomarkers and validation results; hallazgo=Serum proteomics in ASD and age-matched controls yielded an immune-related protein panel modeled with logistic regression; the biomarker panel is also checked using an orthogonal ELISA assay.; limitación=; acción=; fuente=https://www.jove.com/t/68949/identifying-immune-related-molecular-biomarkers-autism-spectrum</ns0:t>
        </ns0:is>
      </ns0:c>
      <ns0:c r="K419" s="19" t="inlineStr">
        <ns0:is>
          <ns0:t>Contenido evaluable revisado; el nivel exacto de fuente, evidencia y cautelas se documenta en Lote_04_25.</ns0:t>
        </ns0:is>
      </ns0:c>
      <ns0:c r="L419" s="19" t="inlineStr">
        <ns0:is>
          <ns0:t>Not documented in provided sources</ns0:t>
        </ns0:is>
      </ns0:c>
      <ns0:c r="M419" s="19" t="inlineStr">
        <ns0:is>
          <ns0:t>[]</ns0:t>
        </ns0:is>
      </ns0:c>
    </ns0:row>
    <ns0:row r="420" ht="321" customHeight="1">
      <ns0:c r="A420" s="21" t="inlineStr">
        <ns0:is>
          <ns0:t>new_319</ns0:t>
        </ns0:is>
      </ns0:c>
      <ns0:c r="B420" s="21" t="inlineStr">
        <ns0:is>
          <ns0:t>Enhanced detection of autism spectrum disorder through neuroimaging data using stack classifier ensembled with modified VGG-19</ns0:t>
        </ns0:is>
      </ns0:c>
      <ns0:c r="C420" s="21" t="inlineStr">
        <ns0:is>
          <ns0:t>10.1177/02841851251333974</ns0:t>
        </ns0:is>
      </ns0:c>
      <ns0:c r="D420" s="21" t="inlineStr">
        <ns0:is>
          <ns0:t>https://doi.org/10.1177/02841851251333974</ns0:t>
        </ns0:is>
      </ns0:c>
      <ns0:c r="E420" s="21" t="inlineStr">
        <ns0:is>
          <ns0:t>Prior source-specific extraction retained; no new full-text retrieval</ns0:t>
        </ns0:is>
      </ns0:c>
      <ns0:c r="F420" s="21" t="inlineStr">
        <ns0:is>
          <ns0:t>EVIDENCIA; original abstract/coding notes and lot source trace; Inherited scoped adjudication; see source level and lot caveats</ns0:t>
        </ns0:is>
      </ns0:c>
      <ns0:c r="G420" s="21" t="inlineStr">
        <ns0:is>
          <ns0:t>Retained source-specific coding after review of the supplied extraction notes; not a new full-text retrieval. Combines structural and functional MRI from ABIDE I and II with conventional classifiers, stacking and modified VGG-19 features; performance is reported separately for both datasets. ABIDE is multisite and the model is multimodal, but the accessible description does not establish site-held-out robustness or a strict independent external-validation design.
Structural and functional MRI combined</ns0:t>
        </ns0:is>
      </ns0:c>
      <ns0:c r="H420" s="21" t="inlineStr">
        <ns0:is>
          <ns0:t>Background: Autism spectrum disorder (ASD) is a neurodevelopmental disease marked by a variety of repetitive behaviors and social communication difficulties. Purpose: To develop a generalizable machine learning (ML) classifier that can accurately and effectively predict ASD in children. Material and Methods: This paper makes use of neuroimaging data from the Autism Brain Imaging Data Exchange (ABIDE I and II) datasets through a combination of structural and functional magnetic resonance imaging data. Several ML models, such as Support Vector Machines (SVM), CatBoost, random forest (RF), and stack classifiers, were tested to demonstrate which model performs the best in ASD classification when used alongside a deep convolutional neural network. Results: Results showed that stack classifier performed the best among the models, with the highest accuracy of 81.68%, sensitivity of 85.08%, and specificity of 79.13% for ABIDE I, and 81.34%, 83.61%, and 82.21% for ABIDE II, showing its superior ability to identify complex patterns in neuroimaging data. SVM performed poorly across all metrics, showing its limitations in dealing with high-dimensional neuroimaging data. Conclusion: The results show that the application of ML models, especially ensemble approaches like stack classifier, holds significant promise in improving the accuracy with which ASD is detected using neuroimaging and thus shows their potential for use in clinical applications and early intervention strategies.</ns0:t>
        </ns0:is>
      </ns0:c>
      <ns0:c r="I420" s="21" t="inlineStr">
        <ns0:is>
          <ns0:t>Combines structural and functional MRI from ABIDE I and II with conventional classifiers, stacking and modified VGG-19 features; performance is reported separately for both datasets. ABIDE is multisite and the model is multimodal, but the accessible description does not establish site-held-out robustness or a strict independent external-validation design.</ns0:t>
        </ns0:is>
      </ns0:c>
      <ns0:c r="J420" s="21" t="inlineStr">
        <ns0:is>
          <ns0:t>Lote_04_25: nivel=SAGE/PubMed detailed research abstract with ABIDE I/II multimodal neuroimaging results; hallazgo=Combines structural and functional MRI from ABIDE I and II with conventional classifiers, stacking and modified VGG-19 features; performance is reported separately for both datasets.; limitación=; acción=; fuente=https://pubmed.ncbi.nlm.nih.gov/40232228/</ns0:t>
        </ns0:is>
      </ns0:c>
      <ns0:c r="K420" s="21" t="inlineStr">
        <ns0:is>
          <ns0:t>Contenido evaluable revisado; el nivel exacto de fuente, evidencia y cautelas se documenta en Lote_04_25.</ns0:t>
        </ns0:is>
      </ns0:c>
      <ns0:c r="L420" s="21" t="inlineStr">
        <ns0:is>
          <ns0:t>Not documented in provided sources</ns0:t>
        </ns0:is>
      </ns0:c>
      <ns0:c r="M420" s="21" t="inlineStr">
        <ns0:is>
          <ns0:t>[]</ns0:t>
        </ns0:is>
      </ns0:c>
    </ns0:row>
    <ns0:row r="421" ht="350" customHeight="1">
      <ns0:c r="A421" s="19" t="inlineStr">
        <ns0:is>
          <ns0:t>new_323</ns0:t>
        </ns0:is>
      </ns0:c>
      <ns0:c r="B421" s="19" t="inlineStr">
        <ns0:is>
          <ns0:t>Energy-Efficient EEG-Based Autism Spectrum Disorder Detection Using a Hyperbolic Attention Neural Network</ns0:t>
        </ns0:is>
      </ns0:c>
      <ns0:c r="C421" s="19" t="inlineStr">
        <ns0:is>
          <ns0:t>10.1002/dneu.70011</ns0:t>
        </ns0:is>
      </ns0:c>
      <ns0:c r="D421" s="19" t="inlineStr">
        <ns0:is>
          <ns0:t>https://doi.org/10.1002/dneu.70011</ns0:t>
        </ns0:is>
      </ns0:c>
      <ns0:c r="E421" s="19" t="inlineStr">
        <ns0:is>
          <ns0:t>Prior source-specific extraction retained; no new full-text retrieval</ns0:t>
        </ns0:is>
      </ns0:c>
      <ns0:c r="F421" s="19" t="inlineStr">
        <ns0:is>
          <ns0:t>EVIDENCIA; original abstract/coding notes and lot source trace; Inherited scoped adjudication; see source level and lot caveats</ns0:t>
        </ns0:is>
      </ns0:c>
      <ns0:c r="G421" s="19" t="inlineStr">
        <ns0:is>
          <ns0:t>Retained source-specific coding after review of the supplied extraction notes; not a new full-text retrieval. EEG is denoised and transformed with DT-DWT, features are selected with Parrot Optimization, and HyperCrossNet with Pied Kingfisher Optimization is used for ASD classification; the abstract reports 99.92% accuracy. Public benchmark evaluation with extremely high performance; no independent external cohort, site-held-out analysis, prospective evaluation, or formal XAI was established in the accessible evidence.</ns0:t>
        </ns0:is>
      </ns0:c>
      <ns0:c r="H421" s="19" t="inlineStr">
        <ns0:is>
          <ns0:t>Long-term physiological monitoring using wearable wireless systems represents a paradigm change in next-generation e-health applications. Specifically, electroencephalography (EEG) represents a noninvasive and trustworthy way of recording brain activity and is a likely candidate for the early diagnosis of autism spectrum disorder (ASD). Yet, conventional methods involving the streaming of raw EEG signals to outside servers for classification consume significant energy and drastically shorten the operational life of wearable sensors. In response to these gaps, this research introduced an energy-aware, sensor-based scheme for ASD detection during early childhood from EEG signals. The system exploits on-node signal denoising via chaotic signal models, feature extraction by dual tree discrete wavelet transform (DT-DWT), and lightweight feature selection by parrot optimization (PO). The core detection is executed via a new Hyperbolic Cross-Head Attention-Based Neural Network (HyperCrossNet) that proposes deep reversible learning in conjunction with spatial and channel-oriented attention mechanisms. The network weights are then optimized by the Pied Kingfisher Optimization Algorithm (PKO) for improved accuracy. Experimental outcomes indicate 99.92% classification, 99.91% recall, and a 99.90% F1-score not mentioning that it has lowered considerably the amount of energy used to transmit the raw data. This effective design enables real-time wearable detection useful and applicable to long-term monitoring.</ns0:t>
        </ns0:is>
      </ns0:c>
      <ns0:c r="I421" s="19" t="inlineStr">
        <ns0:is>
          <ns0:t>EEG is denoised and transformed with DT-DWT, features are selected with Parrot Optimization, and HyperCrossNet with Pied Kingfisher Optimization is used for ASD classification; the abstract reports 99.92% accuracy. Public benchmark evaluation with extremely high performance; no independent external cohort, site-held-out analysis, prospective evaluation, or formal XAI was established in the accessible evidence.</ns0:t>
        </ns0:is>
      </ns0:c>
      <ns0:c r="J421" s="19" t="inlineStr">
        <ns0:is>
          <ns0:t>Lote_05_25: nivel=Wiley/publisher research abstract with architecture, dataset and performance sufficient for scoped coding; hallazgo=EEG is denoised and transformed with DT-DWT, features are selected with Parrot Optimization, and HyperCrossNet with Pied Kingfisher Optimization is used for ASD classification; the abstract reports 99.92% accuracy.; limitación=; acción=; fuente=https://onlinelibrary.wiley.com/doi/10.1002/dneu.70011</ns0:t>
        </ns0:is>
      </ns0:c>
      <ns0:c r="K421" s="19" t="inlineStr">
        <ns0:is>
          <ns0:t>Wiley/publisher research abstract with architecture, dataset and performance sufficient for scoped coding. Public benchmark evaluation with extremely high performance; no independent external cohort, site-held-out analysis, prospective evaluation, or formal XAI was established in the accessible evidence.</ns0:t>
        </ns0:is>
      </ns0:c>
      <ns0:c r="L421" s="19" t="inlineStr">
        <ns0:is>
          <ns0:t>Not documented in provided sources</ns0:t>
        </ns0:is>
      </ns0:c>
      <ns0:c r="M421" s="19" t="inlineStr">
        <ns0:is>
          <ns0:t>[]</ns0:t>
        </ns0:is>
      </ns0:c>
    </ns0:row>
    <ns0:row r="422" ht="333" customHeight="1">
      <ns0:c r="A422" s="21" t="inlineStr">
        <ns0:is>
          <ns0:t>new_326</ns0:t>
        </ns0:is>
      </ns0:c>
      <ns0:c r="B422" s="21" t="inlineStr">
        <ns0:is>
          <ns0:t>Classification of Autism Spectrum Disorder Using Edge-Weight Enhanced Graph Attention Network With Multiple Features of Resting-State fNIRS Signals</ns0:t>
        </ns0:is>
      </ns0:c>
      <ns0:c r="C422" s="21" t="inlineStr">
        <ns0:is>
          <ns0:t>10.1002/jbio.202500138</ns0:t>
        </ns0:is>
      </ns0:c>
      <ns0:c r="D422" s="21" t="inlineStr">
        <ns0:is>
          <ns0:t>https://doi.org/10.1002/jbio.202500138</ns0:t>
        </ns0:is>
      </ns0:c>
      <ns0:c r="E422" s="21" t="inlineStr">
        <ns0:is>
          <ns0:t>Prior source-specific extraction retained; no new full-text retrieval</ns0:t>
        </ns0:is>
      </ns0:c>
      <ns0:c r="F422" s="21" t="inlineStr">
        <ns0:is>
          <ns0:t>EVIDENCIA; original abstract/coding notes and lot source trace; Inherited scoped adjudication; see source level and lot caveats</ns0:t>
        </ns0:is>
      </ns0:c>
      <ns0:c r="G422" s="21" t="inlineStr">
        <ns0:is>
          <ns0:t>Retained source-specific coding after review of the supplied extraction notes; not a new full-text retrieval. Resting-state fNIRS from 22 TD and 25 ASD children was represented with HbO/Hb node and edge features and classified using EWE-GAT; reported accuracy was 97.92%. Very small single cohort; no independent external validation, prospective workflow evaluation, or explicit site-robustness analysis was established.</ns0:t>
        </ns0:is>
      </ns0:c>
      <ns0:c r="H422" s="21" t="inlineStr">
        <ns0:is>
          <ns0:t>Functional near-infrared spectroscopy (fNIRS), as a noninvasive brain imaging modality, has shown great potential for autism spectrum disorder (ASD) identification combined with machine learning. In this work, we proposed an ASD identification method using edge-weight enhanced graph attention network (EWE-GAT) with multiple features in resting-state fNIRS signals measured from the bilateral temporal lobes on 22 typically developing (TD) children and 25 children with ASD. Seven features were selected for the EWE-GAT model, including five node features: the coupling between oxygenated hemoglobin (HbO) and deoxygenated hemoglobin (Hb) fluctuations, sample entropy for HbO and Hb, and average resting-state functional connectivity (RSFC) for HbO and Hb of each channel, and two edge features: RSFC between each channel pair for both HbO and Hb. With the proposed method, high accurate classification was achieved with 97.92% accuracy, 100% sensitivity, 96.43% precision, and 98.08% F1 score, outperforming usually used traditional machine learning and convolutional neural network models.</ns0:t>
        </ns0:is>
      </ns0:c>
      <ns0:c r="I422" s="21" t="inlineStr">
        <ns0:is>
          <ns0:t>Resting-state fNIRS from 22 TD and 25 ASD children was represented with HbO/Hb node and edge features and classified using EWE-GAT; reported accuracy was 97.92%. Very small single cohort; no independent external validation, prospective workflow evaluation, or explicit site-robustness analysis was established.</ns0:t>
        </ns0:is>
      </ns0:c>
      <ns0:c r="J422" s="21" t="inlineStr">
        <ns0:is>
          <ns0:t>Lote_05_25: nivel=Wiley/PubMed detailed research abstract with cohort, features and EWE-GAT results sufficient for scoped coding; hallazgo=Resting-state fNIRS from 22 TD and 25 ASD children was represented with HbO/Hb node and edge features and classified using EWE-GAT; reported accuracy was 97.92%.; limitación=; acción=; fuente=https://onlinelibrary.wiley.com/doi/10.1002/jbio.202500138</ns0:t>
        </ns0:is>
      </ns0:c>
      <ns0:c r="K422" s="21" t="inlineStr">
        <ns0:is>
          <ns0:t>Wiley/PubMed detailed research abstract with cohort, features and EWE-GAT results sufficient for scoped coding. Very small single cohort; no independent external validation, prospective workflow evaluation, or explicit site-robustness analysis was established.</ns0:t>
        </ns0:is>
      </ns0:c>
      <ns0:c r="L422" s="21" t="inlineStr">
        <ns0:is>
          <ns0:t>Not documented in provided sources</ns0:t>
        </ns0:is>
      </ns0:c>
      <ns0:c r="M422" s="21" t="inlineStr">
        <ns0:is>
          <ns0:t>[]</ns0:t>
        </ns0:is>
      </ns0:c>
    </ns0:row>
    <ns0:row r="423" ht="350" customHeight="1">
      <ns0:c r="A423" s="19" t="inlineStr">
        <ns0:is>
          <ns0:t>new_334</ns0:t>
        </ns0:is>
      </ns0:c>
      <ns0:c r="B423" s="19" t="inlineStr">
        <ns0:is>
          <ns0:t>Constructing a Predictive Model for Children with Autism Spectrum Disorder Based on Whole-Brain MR Radiomics: A Machine Learning Study</ns0:t>
        </ns0:is>
      </ns0:c>
      <ns0:c r="C423" s="19" t="inlineStr">
        <ns0:is>
          <ns0:t>10.3174/ajnr.a8939</ns0:t>
        </ns0:is>
      </ns0:c>
      <ns0:c r="D423" s="19" t="inlineStr">
        <ns0:is>
          <ns0:t>https://doi.org/10.3174/ajnr.a8939</ns0:t>
        </ns0:is>
      </ns0:c>
      <ns0:c r="E423" s="19" t="inlineStr">
        <ns0:is>
          <ns0:t>Prior source-specific extraction retained; no new full-text retrieval</ns0:t>
        </ns0:is>
      </ns0:c>
      <ns0:c r="F423" s="19" t="inlineStr">
        <ns0:is>
          <ns0:t>EVIDENCIA; original abstract/coding notes and lot source trace; Inherited scoped adjudication; see source level and lot caveats</ns0:t>
        </ns0:is>
      </ns0:c>
      <ns0:c r="G423" s="19" t="inlineStr">
        <ns0:is>
          <ns0:t>Retained source-specific coding after review of the supplied extraction notes; not a new full-text retrieval. Whole-brain structural-MRI radiomics and VIQ were modeled in 223 ABIDE participants, with an independent external set of 87 participants from Georgetown and Miami; the decision-tree joint model achieved AUCs 0.87/0.84/0.83 in training/test/external sets. External validation is present, but the accessible report does not describe an explicit leave-site-out robustness design. The radiomics signature and VIQ provide feature-level interpretability rather than a formal post-hoc XAI method.
Independent external sample from Georgetown and Miami supports cross-site testing; LOSO is not the only valid cross-site design.</ns0:t>
        </ns0:is>
      </ns0:c>
      <ns0:c r="H423" s="19" t="inlineStr">
        <ns0:is>
          <ns0:t>BACKGROUND AND PURPOSE: Current autism spectrum disorder (ASD) diagnosis depends on subjective behavioral assessments causing delays and variability. Structural MRI shows brain abnormalities but traditional analysis lacks sensitivity. This study aims to construct a prediction model based on whole-brain imaging radiomics analysis by using machine learning for identifying children with ASD. MATERIALS AND METHODS: This study used imaging and clinical data from 223 subjects in the Autism Brain Imaging Data Exchange database, including 120 patients diagnosed with ASD. These data were randomly divided into training and test sets in a 7:3 ratio. An independent external test set comprising 87 participants (38 with ASD) from the Georgetown University and University of Miami ASD data set was also utilized. Then, quantitative radiomics features of white matter, gray matter, and CSF were extracted from the whole-brain MR structural images of each subject, and feature dimensionality reduction was performed based on the training set data to construct radiomics signature. Afterward, multivariate logistic regression was used to screen independent predictors of ASD from clinical features and then, combined with radiomics signature, multiple machine learning models were constructed to predict ASD. Finally, the optimal model was selected, and the receiver operating characteristic curve was used to evaluate the training, test, and external test sets data. Simultaneously, the model divides the data set into low-risk and high-risk subgroups, comparing the actual number of individuals with ASD between the 2 subgroups to evaluate the clinical efficacy of the model. RESULTS: The areas under the curve (AUCs) of radiomics markers in the training set, test set, and external test set were 0.78 (95% CI, 0.71–0.85), 0.75 (95% CI, 0.67–0.83), and 0.74 (95% CI, 0.64–0.83), respectively. Multivariate logistic regression showed that the Verbal Intelligence Quotient (VIQ) was a predictor of ASD. The joint model constructed by the decision tree algorithm with radiomics markers performed best, with AUC of 0.87 (95% CI, 0.81–0.92), 0.84 (95% CI, 0.76–0.91), and 0.83 (95% CI, 0.74–0.91), a sensitivity of 0.89 (95% CI, 0.82–0.95), 0.84 (95% CI, 0.73–0.93), and 0.86 (95% CI, 0.72–0.96), and the specificity of 0.70 (95% CI, 0.60–0.79), 0.63 (95% CI, 0.52–0.74), and 0.66 (95% CI, 0.49–0.80), respectively. The low-risk subgroup and high-risk subgroup classified according to the cutoff value of 0.4285 of the model showed statistically significant differences in the actual number of patients with ASD in the training set (x2 ¼ 21.325; P, .05), the test set (x2 ¼ 5.379; P, .05), and the external test set (x2 ¼ 21.52; P, .05). CONCLUSIONS: Radiomics signature for identifying ASD can be constructed based on whole-brain MRI imaging features. The performance of identifying ASD can be improved by adding VIQ data and the decision tree algorithm model, which can provide an adaptive strategy for clinical practice.</ns0:t>
        </ns0:is>
      </ns0:c>
      <ns0:c r="I423" s="19" t="inlineStr">
        <ns0:is>
          <ns0:t>Whole-brain structural-MRI radiomics and VIQ were modeled in 223 ABIDE participants, with an independent external set of 87 participants from Georgetown and Miami; the decision-tree joint model achieved AUCs 0.87/0.84/0.83 in training/test/external sets. External validation is present, but the accessible report does not describe an explicit leave-site-out robustness design. The radiomics signature and VIQ provide feature-level interpretability rather than a formal post-hoc XAI method.</ns0:t>
        </ns0:is>
      </ns0:c>
      <ns0:c r="J423" s="19" t="inlineStr">
        <ns0:is>
          <ns0:t>Lote_05_25: nivel=PubMed/publisher structured abstract with training, internal test and independent external test details; hallazgo=Whole-brain structural-MRI radiomics and VIQ were modeled in 223 ABIDE participants, with an independent external set of 87 participants from Georgetown and Miami; the decision-tree joint model achieved AUCs 0.87/0.84/0.83 in training/test/external sets.; limitación=; acción=; fuente=https://pubmed.ncbi.nlm.nih.gov/40721282/</ns0:t>
        </ns0:is>
      </ns0:c>
      <ns0:c r="K423" s="19" t="inlineStr">
        <ns0:is>
          <ns0:t>PubMed/publisher structured abstract with training, internal test and independent external test details. External validation is present, but the accessible report does not describe an explicit leave-site-out robustness design. The radiomics signature and VIQ provide feature-level interpretability rather than a formal post-hoc XAI method.</ns0:t>
        </ns0:is>
      </ns0:c>
      <ns0:c r="L423" s="19" t="inlineStr">
        <ns0:is>
          <ns0:t>Not documented in provided sources</ns0:t>
        </ns0:is>
      </ns0:c>
      <ns0:c r="M423" s="19" t="inlineStr">
        <ns0:is>
          <ns0:t>[]</ns0:t>
        </ns0:is>
      </ns0:c>
    </ns0:row>
    <ns0:row r="424" ht="350" customHeight="1">
      <ns0:c r="A424" s="21" t="inlineStr">
        <ns0:is>
          <ns0:t>new_342</ns0:t>
        </ns0:is>
      </ns0:c>
      <ns0:c r="B424" s="21" t="inlineStr">
        <ns0:is>
          <ns0:t>Auditory brainstem response abnormalities in autism spectrum disorder: A deep learning approach to characterize time-frequency signatures</ns0:t>
        </ns0:is>
      </ns0:c>
      <ns0:c r="C424" s="21" t="inlineStr">
        <ns0:is>
          <ns0:t>10.1016/j.heares.2026.109654</ns0:t>
        </ns0:is>
      </ns0:c>
      <ns0:c r="D424" s="21" t="inlineStr">
        <ns0:is>
          <ns0:t>https://doi.org/10.1016/j.heares.2026.109654</ns0:t>
        </ns0:is>
      </ns0:c>
      <ns0:c r="E424" s="21" t="inlineStr">
        <ns0:is>
          <ns0:t>Prior source-specific extraction retained; no new full-text retrieval</ns0:t>
        </ns0:is>
      </ns0:c>
      <ns0:c r="F424" s="21" t="inlineStr">
        <ns0:is>
          <ns0:t>EVIDENCIA; original abstract/coding notes and lot source trace; Inherited scoped adjudication; see source level and lot caveats</ns0:t>
        </ns0:is>
      </ns0:c>
      <ns0:c r="G424" s="21" t="inlineStr">
        <ns0:is>
          <ns0:t>Retained source-specific coding after review of the supplied extraction notes; not a new full-text retrieval. A dual-branch TF-TBN combines raw ABR waveforms and CWT spectrograms from 1,209 recordings; reported accuracy was 96.62%, and interpretability analysis linked decisions to wave III/V and interpeak latency abnormalities. No independent external cohort, site-held-out evaluation, or prospective clinical deployment was identified in the accessible material.
All-neural/optimization pipeline in recovered evidence; hybrid title is not sufficient for mixed conventional-ML/DL classification.</ns0:t>
        </ns0:is>
      </ns0:c>
      <ns0:c r="H424" s="21" t="inlineStr">
        <ns0:is>
          <ns0:t>Background: While Auditory Brainstem Response (ABR) provides a non-invasive window into auditory brainstem function, prior studies of ASD have primarily focused on localized waveform features (e.g., waves I, III, and V), potentially overlooking subtle but informative patterns in the full-band signal. This study introduces a deep learning framework to comprehensively characterize time-frequency signatures of auditory brainstem activity in ASD, with the goal of identifying neurophysiologically meaningful ABR features associated with ASD. Methods: We analyzed a clinical dataset of 1209 ABR recordings (ASD: 961; Typically Developing Controls: 248). A dual-branch Time-Frequency Fusion and Transformer-Based Network (TF-TBN) was developed. The temporal branch utilizes a Transformer-enhanced 1D-CNN to analyze raw ABR waveforms, while the frequency branch employs a Vision Transformer to analyze spectrograms generated via Continuous Wavelet Transform. A fusion module integrates these features for final classification. Model interpretability was analyzed to identify critical ABR features. Results: The TF-TBN model achieved a classification accuracy of 96.62%, significantly outperforming conventional deep learning baselines. Interpretability analysis revealed that the model’s decision was heavily influenced by prolonged absolute latencies of waves III and V, and interpeak latencies of I-III and I-V, which were confirmed as statistically significant in the ASD cohort. This suggests that the model successfully learned biologically plausible biomarkers of auditory pathway dysfunction. Conclusions: This study provides the first comprehensive characterization of full-band ABR abnormalities in ASD using a deep learning framework. The TF-TBN model identifies prolonged wave III- and wave V-related timing features as prominent contributors to ASD-TD discrimination, with wave III-related delay emerging as an important component of the observed ABR abnormality. By linking AI-driven feature discovery to interpretable neurophysiological biomarkers, our work advances the analytical framework for ABR and contributes to understanding the neural basis of auditory processing deficits in ASD.</ns0:t>
        </ns0:is>
      </ns0:c>
      <ns0:c r="I424" s="21" t="inlineStr">
        <ns0:is>
          <ns0:t>A dual-branch TF-TBN combines raw ABR waveforms and CWT spectrograms from 1,209 recordings; reported accuracy was 96.62%, and interpretability analysis linked decisions to wave III/V and interpeak latency abnormalities. No independent external cohort, site-held-out evaluation, or prospective clinical deployment was identified in the accessible material.</ns0:t>
        </ns0:is>
      </ns0:c>
      <ns0:c r="J424" s="21" t="inlineStr">
        <ns0:is>
          <ns0:t>Lote_05_25: nivel=ScienceDirect detailed research abstract with architecture, clinical ABR cohort, interpretability and results; hallazgo=A dual-branch TF-TBN combines raw ABR waveforms and CWT spectrograms from 1,209 recordings; reported accuracy was 96.62%, and interpretability analysis linked decisions to wave III/V and interpeak latency abnormalities.; limitación=; acción=; fuente=https://www.sciencedirect.com/science/article/pii/S0378595526001309</ns0:t>
        </ns0:is>
      </ns0:c>
      <ns0:c r="K424" s="21" t="inlineStr">
        <ns0:is>
          <ns0:t>ScienceDirect detailed research abstract with architecture, clinical ABR cohort, interpretability and results. No independent external cohort, site-held-out evaluation, or prospective clinical deployment was identified in the accessible material.</ns0:t>
        </ns0:is>
      </ns0:c>
      <ns0:c r="L424" s="21" t="inlineStr">
        <ns0:is>
          <ns0:t>Not documented in provided sources</ns0:t>
        </ns0:is>
      </ns0:c>
      <ns0:c r="M424" s="21" t="inlineStr">
        <ns0:is>
          <ns0:t>[]</ns0:t>
        </ns0:is>
      </ns0:c>
    </ns0:row>
    <ns0:row r="425" ht="350" customHeight="1">
      <ns0:c r="A425" s="19" t="inlineStr">
        <ns0:is>
          <ns0:t>new_343</ns0:t>
        </ns0:is>
      </ns0:c>
      <ns0:c r="B425" s="19" t="inlineStr">
        <ns0:is>
          <ns0:t>An explainable machine unlearning algorithm framework for early detection of autism spectrum disorder and brain disabilities in newborns</ns0:t>
        </ns0:is>
      </ns0:c>
      <ns0:c r="C425" s="19" t="inlineStr">
        <ns0:is>
          <ns0:t>10.1016/j.aej.2026.04.002</ns0:t>
        </ns0:is>
      </ns0:c>
      <ns0:c r="D425" s="19" t="inlineStr">
        <ns0:is>
          <ns0:t>https://doi.org/10.1016/j.aej.2026.04.002</ns0:t>
        </ns0:is>
      </ns0:c>
      <ns0:c r="E425" s="19" t="inlineStr">
        <ns0:is>
          <ns0:t>Prior source-specific extraction retained; no new full-text retrieval</ns0:t>
        </ns0:is>
      </ns0:c>
      <ns0:c r="F425" s="19" t="inlineStr">
        <ns0:is>
          <ns0:t>EVIDENCIA; original abstract/coding notes and lot source trace; Inherited scoped adjudication; see source level and lot caveats</ns0:t>
        </ns0:is>
      </ns0:c>
      <ns0:c r="G425" s="19" t="inlineStr">
        <ns0:is>
          <ns0:t>Retained source-specific coding after review of the supplied extraction notes; not a new full-text retrieval. MUXAI-ASDBD combines CNN-based modeling, partition-oriented explainability and machine unlearning across screening, MRI and EEG benchmark datasets; the paper reports strong classification performance. Benchmark-based evaluation across heterogeneous tasks/datasets does not establish prospective clinical deployment or an independent external/site-held-out validation protocol.
Multiple datasets are described but the recovered evidence does not establish a single primary source or participant-linked multisource fusion.</ns0:t>
        </ns0:is>
      </ns0:c>
      <ns0:c r="H425" s="19" t="inlineStr">
        <ns0:is>
          <ns0:t>Autism Spectrum Disorder (ASD) is a rising disorder in the brain among newborns aged 0 to 36 months, emphasizing the urgent need for early and accurate detection to mitigate potential developmental risks. Deep learning and machine learning techniques have shown promise in diagnosing ASD, particularly in children aged 36 to 72 months. However, the effectiveness of these diagnostic models heavily depends on the quality and accuracy of the training data. Inaccurate or mismatched data can lead to unreliable diagnoses and inappropriate clinical interventions. In this paper, we propose a machine unlearning-integrated explainable AI (XAI) framework for the early detection of autism spectrum disorder and brain disabilities in newborns. Central to our framework is the Machine Unlearning-Integrated Explainable AI Partitioning Autism Detection and Brain Disorder (MUXAI-ASDBD) algorithm, a novel partitioning-based XAI approach built on Convolutional Neural Network (CNN). This algorithm provides layer-wise explainability during training and incorporates a machine unlearning mechanism at the summation layer, along with probability distribution analysis, to enhance diagnostic accuracy and computational efficiency. The MUXAI-ASDBD framework was evaluated using multiple benchmark datasets, including Ages and Stages Questionnaires (ASQ), CSBS, PEDS, the Modified Checklist for Autism in Toddlers (M-CHAT), and the Screening Tool for Autism in Toddlers and Children (STAT). We also integrated neuroimaging data from brain disorder MRI and EEG datasets. This work extends our previously published implementation, in which we detected autism but did not correct errors, as we do here. Simulation results showed that the MUXAI-ASDBD framework reduced error rates by 23%, reduced false positives, improved accuracy to 98%, and reduced processing time for autism detection using the given multimodal data.</ns0:t>
        </ns0:is>
      </ns0:c>
      <ns0:c r="I425" s="19" t="inlineStr">
        <ns0:is>
          <ns0:t>MUXAI-ASDBD combines CNN-based modeling, partition-oriented explainability and machine unlearning across screening, MRI and EEG benchmark datasets; the paper reports strong classification performance. Benchmark-based evaluation across heterogeneous tasks/datasets does not establish prospective clinical deployment or an independent external/site-held-out validation protocol.</ns0:t>
        </ns0:is>
      </ns0:c>
      <ns0:c r="J425" s="19" t="inlineStr">
        <ns0:is>
          <ns0:t>Lote_05_25: nivel=ScienceDirect open research record with benchmark datasets, CNN/machine-unlearning framework and XAI description; hallazgo=MUXAI-ASDBD combines CNN-based modeling, partition-oriented explainability and machine unlearning across screening, MRI and EEG benchmark datasets; the paper reports strong classification performance.; limitación=; acción=; fuente=https://www.sciencedirect.com/science/article/pii/S1110016826002115</ns0:t>
        </ns0:is>
      </ns0:c>
      <ns0:c r="K425" s="19" t="inlineStr">
        <ns0:is>
          <ns0:t>ScienceDirect open research record with benchmark datasets, CNN/machine-unlearning framework and XAI description. Benchmark-based evaluation across heterogeneous tasks/datasets does not establish prospective clinical deployment or an independent external/site-held-out validation protocol.</ns0:t>
        </ns0:is>
      </ns0:c>
      <ns0:c r="L425" s="19" t="inlineStr">
        <ns0:is>
          <ns0:t>Not documented in provided sources</ns0:t>
        </ns0:is>
      </ns0:c>
      <ns0:c r="M425" s="19" t="inlineStr">
        <ns0:is>
          <ns0:t>[]</ns0:t>
        </ns0:is>
      </ns0:c>
    </ns0:row>
    <ns0:row r="426" ht="350" customHeight="1">
      <ns0:c r="A426" s="21" t="inlineStr">
        <ns0:is>
          <ns0:t>new_347</ns0:t>
        </ns0:is>
      </ns0:c>
      <ns0:c r="B426" s="21" t="inlineStr">
        <ns0:is>
          <ns0:t>Vision transformer and complex network analysis for autism spectrum disorder classification in T1 structural MRI</ns0:t>
        </ns0:is>
      </ns0:c>
      <ns0:c r="C426" s="21" t="inlineStr">
        <ns0:is>
          <ns0:t>10.1007/s11604-025-01832-3</ns0:t>
        </ns0:is>
      </ns0:c>
      <ns0:c r="D426" s="21" t="inlineStr">
        <ns0:is>
          <ns0:t>https://doi.org/10.1007/s11604-025-01832-3</ns0:t>
        </ns0:is>
      </ns0:c>
      <ns0:c r="E426" s="21" t="inlineStr">
        <ns0:is>
          <ns0:t>Prior source-specific extraction retained; no new full-text retrieval</ns0:t>
        </ns0:is>
      </ns0:c>
      <ns0:c r="F426" s="21" t="inlineStr">
        <ns0:is>
          <ns0:t>EVIDENCIA; original abstract/coding notes and lot source trace; Inherited scoped adjudication; see source level and lot caveats</ns0:t>
        </ns0:is>
      </ns0:c>
      <ns0:c r="G426" s="21" t="inlineStr">
        <ns0:is>
          <ns0:t>Retained source-specific coding after review of the supplied extraction notes; not a new full-text retrieval. T1 structural MRI from ABIDE was analyzed using complex-network analysis and Vision Transformer features across multiple federated combinations; the CNA(KNN)-ViT(NN) configuration reported accuracy 0.951 and AUC 0.98. ABIDE is multisite, but the reported evaluation is internal five-fold validation rather than an explicit site-held-out or independent external robustness test.</ns0:t>
        </ns0:is>
      </ns0:c>
      <ns0:c r="H426" s="21" t="inlineStr">
        <ns0:is>
          <ns0:t>Background: Autism spectrum disorder (ASD) affects social interaction, communication, and behavior. Early diagnosis is important as it enables timely intervention that can significantly improve long-term outcomes, but current diagnostic, which rely heavily on behavioral observations and clinical interviews, are often subjective and time-consuming. This study introduces an AI-based approach that uses T1-weighted structural MRI (sMRI) scans, network analysis, and vision transformers to automatically diagnose ASD. Methods: sMRI data from 79 ASD patients and 105 healthy controls were obtained from the Autism Brain Imaging Data Exchange (ABIDE) database. Complex network analysis (CNA) features and ViT (Vision Transformer) features were developed for predicting ASD. Five models were developed for each type of features: logistic regression, support vector machine (SVM), gradient boosting (GB), K-nearest neighbors (KNN), and neural network (NN). 25 models were further developed by federating the two sets of 5 models. Model performance was evaluated using accuracy, area under the receiver operating characteristic curve (AUC-ROC), sensitivity, and specificity via fivefold cross-validation. Results: The federate model CNA(KNN)–ViT(NN) achieved highest performance, with accuracy 0.951 ± 0.067, AUC-ROC 0.980 ± 0.020, sensitivity 0.963 ± 0.050, and specificity 0.943 ± 0.047. The performance of the ViT-based models exceeds that of the complex network-based models on 80% of the performance metrics. By federating CNA models, the ViT models can achieve better performance. Conclusion: This study demonstrates the feasibility of using CNA and ViT models for the automated diagnosis of ASD. The proposed CNA(KNN)–ViT(NN) model achieved better accuracy in ASD classification based solely on T1 sMRI images. The proposed method’s reliance on widely available T1 sMRI scans highlights its potential for integration into routine clinical examinations, facilitating more efficient and accessible ASD screening.</ns0:t>
        </ns0:is>
      </ns0:c>
      <ns0:c r="I426" s="21" t="inlineStr">
        <ns0:is>
          <ns0:t>T1 structural MRI from ABIDE was analyzed using complex-network analysis and Vision Transformer features across multiple federated combinations; the CNA(KNN)-ViT(NN) configuration reported accuracy 0.951 and AUC 0.98. ABIDE is multisite, but the reported evaluation is internal five-fold validation rather than an explicit site-held-out or independent external robustness test.</ns0:t>
        </ns0:is>
      </ns0:c>
      <ns0:c r="J426" s="21" t="inlineStr">
        <ns0:is>
          <ns0:t>Lote_05_25: nivel=PubMed/Springer research abstract with ABIDE T1 MRI, federated model comparison and five-fold validation; hallazgo=T1 structural MRI from ABIDE was analyzed using complex-network analysis and Vision Transformer features across multiple federated combinations; the CNA(KNN)-ViT(NN) configuration reported accuracy 0.951 and AUC 0.98.; limitación=; acción=; fuente=https://pubmed.ncbi.nlm.nih.gov/40663220/</ns0:t>
        </ns0:is>
      </ns0:c>
      <ns0:c r="K426" s="21" t="inlineStr">
        <ns0:is>
          <ns0:t>PubMed/Springer research abstract with ABIDE T1 MRI, federated model comparison and five-fold validation. ABIDE is multisite, but the reported evaluation is internal five-fold validation rather than an explicit site-held-out or independent external robustness test.</ns0:t>
        </ns0:is>
      </ns0:c>
      <ns0:c r="L426" s="21" t="inlineStr">
        <ns0:is>
          <ns0:t>Not documented in provided sources</ns0:t>
        </ns0:is>
      </ns0:c>
      <ns0:c r="M426" s="21" t="inlineStr">
        <ns0:is>
          <ns0:t>[]</ns0:t>
        </ns0:is>
      </ns0:c>
    </ns0:row>
    <ns0:row r="427" ht="333" customHeight="1">
      <ns0:c r="A427" s="19" t="inlineStr">
        <ns0:is>
          <ns0:t>new_349</ns0:t>
        </ns0:is>
      </ns0:c>
      <ns0:c r="B427" s="19" t="inlineStr">
        <ns0:is>
          <ns0:t>Dominant cross-frequency analysis-based early diagnosis of Autism Spectrum Disorder in pediatrics using FRHIS and DSTCNN</ns0:t>
        </ns0:is>
      </ns0:c>
      <ns0:c r="C427" s="19" t="inlineStr">
        <ns0:is>
          <ns0:t>10.1016/j.pscychresns.2026.112270</ns0:t>
        </ns0:is>
      </ns0:c>
      <ns0:c r="D427" s="19" t="inlineStr">
        <ns0:is>
          <ns0:t>https://doi.org/10.1016/j.pscychresns.2026.112270</ns0:t>
        </ns0:is>
      </ns0:c>
      <ns0:c r="E427" s="19" t="inlineStr">
        <ns0:is>
          <ns0:t>Prior source-specific extraction retained; no new full-text retrieval</ns0:t>
        </ns0:is>
      </ns0:c>
      <ns0:c r="F427" s="19" t="inlineStr">
        <ns0:is>
          <ns0:t>EVIDENCIA; original abstract/coding notes and lot source trace; Inherited scoped adjudication; see source level and lot caveats</ns0:t>
        </ns0:is>
      </ns0:c>
      <ns0:c r="G427" s="19" t="inlineStr">
        <ns0:is>
          <ns0:t>Retained source-specific coding after review of the supplied extraction notes; not a new full-text retrieval. The study applies dominant cross-frequency EEG analysis, FRHIS/CRBM-based feature processing and a DSTCNN classifier for pediatric ASD; the abstract reports 99.03% accuracy. The very high reported performance is not accompanied by an independent external cohort, prospective evaluation, or explicit cross-site robustness analysis in the accessible source.
All-neural/optimization pipeline in recovered evidence; hybrid title is not sufficient for mixed conventional-ML/DL classification.</ns0:t>
        </ns0:is>
      </ns0:c>
      <ns0:c r="H427" s="19" t="inlineStr">
        <ns0:is>
          <ns0:t>Autism Spectrum Disorder (ASD) is a prevalent neurodevelopmental condition that affects children's cognitive, social, and behavioral skills. Thus, early diagnosis of ASD for children below 2 years old is very significant. Nevertheless, the prevailing works overlooked the depth of the dynamic frequency band variation during ASD detection, leading to misclassification. Therefore, a dominant cross-frequency analysis-based early ASD detection in pediatrics using a Fuzzy Root Hesitant Inference System (FRHIS) and Deep Squared Tau Convolutional Neural Network (DSTCNN) is proposed in this paper. Primarily, the Electroencephalogram (EEG) signals of children below 2 years old are gathered. Then, the artifacts are removed using the EWI-BPF. Afterward, by using Variation Frechet Distribution Mode Decomposition (VFDMD), the signals are decomposed. Then, by utilizing the FRHIS, the frequency bands are determined, followed by non-linear variables and feature extraction. In the meantime, the cross-frequency analysis is carried out by estimating the modulation depth using the Phase Amplitude Method (PAM) and determining the cross-frequency strength. Then, to select optimal features, the CRBM is applied. Lastly, the ASD classification is carried out using DSTCNN. When analogized with other traditional works, the proposed work attained superior performance in detecting ASD for pediatrics with a higher accuracy of 99.03%.</ns0:t>
        </ns0:is>
      </ns0:c>
      <ns0:c r="I427" s="19" t="inlineStr">
        <ns0:is>
          <ns0:t>The study applies dominant cross-frequency EEG analysis, FRHIS/CRBM-based feature processing and a DSTCNN classifier for pediatric ASD; the abstract reports 99.03% accuracy. The very high reported performance is not accompanied by an independent external cohort, prospective evaluation, or explicit cross-site robustness analysis in the accessible source.</ns0:t>
        </ns0:is>
      </ns0:c>
      <ns0:c r="J427" s="19" t="inlineStr">
        <ns0:is>
          <ns0:t>Lote_05_25: nivel=ScienceDirect detailed research abstract with pediatric EEG pipeline and performance; hallazgo=The study applies dominant cross-frequency EEG analysis, FRHIS/CRBM-based feature processing and a DSTCNN classifier for pediatric ASD; the abstract reports 99.03% accuracy.; limitación=; acción=; fuente=https://www.sciencedirect.com/science/article/pii/S0925492726001356</ns0:t>
        </ns0:is>
      </ns0:c>
      <ns0:c r="K427" s="19" t="inlineStr">
        <ns0:is>
          <ns0:t>ScienceDirect detailed research abstract with pediatric EEG pipeline and performance. The very high reported performance is not accompanied by an independent external cohort, prospective evaluation, or explicit cross-site robustness analysis in the accessible source.</ns0:t>
        </ns0:is>
      </ns0:c>
      <ns0:c r="L427" s="19" t="inlineStr">
        <ns0:is>
          <ns0:t>Not documented in provided sources</ns0:t>
        </ns0:is>
      </ns0:c>
      <ns0:c r="M427" s="19" t="inlineStr">
        <ns0:is>
          <ns0:t>[]</ns0:t>
        </ns0:is>
      </ns0:c>
    </ns0:row>
    <ns0:row r="428" ht="350" customHeight="1">
      <ns0:c r="A428" s="21" t="inlineStr">
        <ns0:is>
          <ns0:t>new_354</ns0:t>
        </ns0:is>
      </ns0:c>
      <ns0:c r="B428" s="21" t="inlineStr">
        <ns0:is>
          <ns0:t>Contrastive diffusion adaptation network with rs-fMRI for domain adaptation classification of autism spectrum disorder</ns0:t>
        </ns0:is>
      </ns0:c>
      <ns0:c r="C428" s="21" t="inlineStr">
        <ns0:is>
          <ns0:t>10.1016/j.asoc.2026.115959</ns0:t>
        </ns0:is>
      </ns0:c>
      <ns0:c r="D428" s="21" t="inlineStr">
        <ns0:is>
          <ns0:t>https://doi.org/10.1016/j.asoc.2026.115959</ns0:t>
        </ns0:is>
      </ns0:c>
      <ns0:c r="E428" s="21" t="inlineStr">
        <ns0:is>
          <ns0:t>Prior source-specific extraction retained; no new full-text retrieval</ns0:t>
        </ns0:is>
      </ns0:c>
      <ns0:c r="F428" s="21" t="inlineStr">
        <ns0:is>
          <ns0:t>EVIDENCIA; original abstract/coding notes and lot source trace; Inherited scoped adjudication; see source level and lot caveats</ns0:t>
        </ns0:is>
      </ns0:c>
      <ns0:c r="G428" s="21" t="inlineStr">
        <ns0:is>
          <ns0:t>Retained source-specific coding after review of the supplied extraction notes; not a new full-text retrieval. CoNA-Net combines contrastive graph representation learning, diffusion-based augmentation and brain-node attention to address domain shift across ABIDE sites and to identify influential brain regions. Cross-site/domain-adaptation testing supports robustness but is not equivalent to an independent prospective external clinical validation cohort.
All-neural/optimization pipeline in recovered evidence; hybrid title is not sufficient for mixed conventional-ML/DL classification.</ns0:t>
        </ns0:is>
      </ns0:c>
      <ns0:c r="H428" s="21" t="inlineStr">
        <ns0:is>
          <ns0:t>Autism spectrum disorder (ASD) imposes a substantial non-fatal health burden on youth, making early detection essential. Resting-state functional MRI (rs-fMRI) captures low-frequency BOLD connectivity biomarkers, enabling personalized diagnosis when combined with deep learning models. However, models trained at one site often fail to generalize to others due to distribution shifts caused by differences in scanner hardware, acquisition protocols, and patient populations. Existing domain adaptation (DA) techniques alleviate this issue but frequently overlook higher-order semantic features or fail to enhance both intra- (maximizing class separability within each site) and inter-domain (aligning same-class distributions across sites while preserving class margins) discriminability jointly. To address these challenges, we propose the Contrastive Diffusion Adaptation Network (CoDA-Net) for cross-site ASD diagnosis. First, a contrastive variational graph Transformer encoder (CVGTE) aligns the rs-fMRI features of the source and target through supervised contrastive loss. Next, GraphDDPMAugmentor, equipped with TripleGraphTransformerLayers and Frequency-Aware Learning, generates synthetic samples that blend source-domain statistics with target-specific details. Finally, BrainNode-Attention GNN (BNA-GNN) is trained on real and augmented data to achieve accurate diagnoses on unseen sites. Experiments on the ABIDE dataset demonstrate that CoDA-Net significantly outperforms existing DA methods in domain adaptation.</ns0:t>
        </ns0:is>
      </ns0:c>
      <ns0:c r="I428" s="21" t="inlineStr">
        <ns0:is>
          <ns0:t>CoNA-Net combines contrastive graph representation learning, diffusion-based augmentation and brain-node attention to address domain shift across ABIDE sites and to identify influential brain regions. Cross-site/domain-adaptation testing supports robustness but is not equivalent to an independent prospective external clinical validation cohort.</ns0:t>
        </ns0:is>
      </ns0:c>
      <ns0:c r="J428" s="21" t="inlineStr">
        <ns0:is>
          <ns0:t>Lote_05_25: nivel=ScienceDirect research record with cross-site/domain-adaptation design and brain-region interpretation; hallazgo=CoNA-Net combines contrastive graph representation learning, diffusion-based augmentation and brain-node attention to address domain shift across ABIDE sites and to identify influential brain regions.; limitación=; acción=; fuente=https://www.sciencedirect.com/science/article/pii/S1568494626014079</ns0:t>
        </ns0:is>
      </ns0:c>
      <ns0:c r="K428" s="21" t="inlineStr">
        <ns0:is>
          <ns0:t>ScienceDirect research record with cross-site/domain-adaptation design and brain-region interpretation. Cross-site/domain-adaptation testing supports robustness but is not equivalent to an independent prospective external clinical validation cohort.</ns0:t>
        </ns0:is>
      </ns0:c>
      <ns0:c r="L428" s="21" t="inlineStr">
        <ns0:is>
          <ns0:t>Not documented in provided sources</ns0:t>
        </ns0:is>
      </ns0:c>
      <ns0:c r="M428" s="21" t="inlineStr">
        <ns0:is>
          <ns0:t>[]</ns0:t>
        </ns0:is>
      </ns0:c>
    </ns0:row>
    <ns0:row r="429" ht="285" customHeight="1">
      <ns0:c r="A429" s="19" t="inlineStr">
        <ns0:is>
          <ns0:t>new_355</ns0:t>
        </ns0:is>
      </ns0:c>
      <ns0:c r="B429" s="19" t="inlineStr">
        <ns0:is>
          <ns0:t>Hybrid HOG–ResNet50V2 framework for early autism spectrum disorder detection from facial images</ns0:t>
        </ns0:is>
      </ns0:c>
      <ns0:c r="C429" s="19" t="inlineStr">
        <ns0:is>
          <ns0:t>10.1016/j.array.2026.100936</ns0:t>
        </ns0:is>
      </ns0:c>
      <ns0:c r="D429" s="19" t="inlineStr">
        <ns0:is>
          <ns0:t>https://doi.org/10.1016/j.array.2026.100936</ns0:t>
        </ns0:is>
      </ns0:c>
      <ns0:c r="E429" s="19" t="inlineStr">
        <ns0:is>
          <ns0:t>Prior source-specific extraction retained; no new full-text retrieval</ns0:t>
        </ns0:is>
      </ns0:c>
      <ns0:c r="F429" s="19" t="inlineStr">
        <ns0:is>
          <ns0:t>EVIDENCIA; original abstract/coding notes and lot source trace; Inherited scoped adjudication; see source level and lot caveats</ns0:t>
        </ns0:is>
      </ns0:c>
      <ns0:c r="G429" s="19" t="inlineStr">
        <ns0:is>
          <ns0:t>Retained source-specific coding after review of the supplied extraction notes; not a new full-text retrieval. The study combines HOG descriptors with ResNet50V2 transfer learning for ASD classification from facial images. The accessible material does not establish independent external validation, prospective deployment, cross-site robustness, or an explicit XAI method.
HOG is a hand-crafted descriptor, not a learned conventional ML classifier; classifier is ResNet50V2.</ns0:t>
        </ns0:is>
      </ns0:c>
      <ns0:c r="H429" s="19" t="inlineStr">
        <ns0:is>
          <ns0:t>Early detection of Autism Spectrum Disorder (ASD) is essential for effective intervention, yet conventional diagnostic approaches rely heavily on behavioral assessments that are subjective and time-consuming. This study presents a novel hybrid deep learning (DL) framework that integrates Histogram of Oriented Gradients (HOG) with the ResNet50V2 architecture for automated ASD classification using facial images. The proposed method leverages HOG for extracting local structural and edge-based features, which are then fused with deep hierarchical representations learned by ResNet50V2, enabling enhanced discriminative capability. The model is implemented using transfer learning, where pre-trained weights of ResNet50V2 are fine-tuned on the ASD facial image dataset. The HOG features are combined with the deep feature maps to form a robust feature vector, which is subsequently passed through fully connected layers for classification. This hybridization improves feature generalization and reduces overfitting compared to conventional CNN-based models. Experimental evaluation on a publicly available dataset demonstrates that the proposed approach outperforms existing state-of-the-art (SOTA) methods. The model achieves an accuracy of 90.7%, precision of 91.5%, recall of 91.0%, and F1-score of 91.2%. The improved performance is attributed to effective multi-level feature extraction and optimized network training. The results indicate that the integration of handcrafted and deep features provides a reliable, non-invasive, and efficient framework for ASD classification, highlighting its potential for deployment in automated screening systems. Furthermore, the proposed framework has the potential to assist healthcare professionals in decision-making and early diagnosis.</ns0:t>
        </ns0:is>
      </ns0:c>
      <ns0:c r="I429" s="19" t="inlineStr">
        <ns0:is>
          <ns0:t>The study combines HOG descriptors with ResNet50V2 transfer learning for ASD classification from facial images. The accessible material does not establish independent external validation, prospective deployment, cross-site robustness, or an explicit XAI method.</ns0:t>
        </ns0:is>
      </ns0:c>
      <ns0:c r="J429" s="19" t="inlineStr">
        <ns0:is>
          <ns0:t>Lote_05_25: nivel=ScienceDirect open research record with facial-image pipeline sufficient for scoped coding; hallazgo=The study combines HOG descriptors with ResNet50V2 transfer learning for ASD classification from facial images.; limitación=; acción=; fuente=https://www.sciencedirect.com/science/article/pii/S2590005626002596</ns0:t>
        </ns0:is>
      </ns0:c>
      <ns0:c r="K429" s="19" t="inlineStr">
        <ns0:is>
          <ns0:t>ScienceDirect open research record with facial-image pipeline sufficient for scoped coding. The accessible material does not establish independent external validation, prospective deployment, cross-site robustness, or an explicit XAI method.</ns0:t>
        </ns0:is>
      </ns0:c>
      <ns0:c r="L429" s="19" t="inlineStr">
        <ns0:is>
          <ns0:t>Not documented in provided sources</ns0:t>
        </ns0:is>
      </ns0:c>
      <ns0:c r="M429" s="19" t="inlineStr">
        <ns0:is>
          <ns0:t>[]</ns0:t>
        </ns0:is>
      </ns0:c>
    </ns0:row>
    <ns0:row r="430" ht="350" customHeight="1">
      <ns0:c r="A430" s="21" t="inlineStr">
        <ns0:is>
          <ns0:t>new_364</ns0:t>
        </ns0:is>
      </ns0:c>
      <ns0:c r="B430" s="21" t="inlineStr">
        <ns0:is>
          <ns0:t>Smart detection of autism spectrum disorder using optimized deep learner for transforming early diagnosis and intervention</ns0:t>
        </ns0:is>
      </ns0:c>
      <ns0:c r="C430" s="21" t="inlineStr">
        <ns0:is>
          <ns0:t>10.1007/s12065-026-01162-x</ns0:t>
        </ns0:is>
      </ns0:c>
      <ns0:c r="D430" s="21" t="inlineStr">
        <ns0:is>
          <ns0:t>https://doi.org/10.1007/s12065-026-01162-x</ns0:t>
        </ns0:is>
      </ns0:c>
      <ns0:c r="E430" s="21" t="inlineStr">
        <ns0:is>
          <ns0:t>Prior source-specific extraction retained; no new full-text retrieval</ns0:t>
        </ns0:is>
      </ns0:c>
      <ns0:c r="F430" s="21" t="inlineStr">
        <ns0:is>
          <ns0:t>EVIDENCIA; original abstract/coding notes and lot source trace; Inherited scoped adjudication; see source level and lot caveats</ns0:t>
        </ns0:is>
      </ns0:c>
      <ns0:c r="G430" s="21" t="inlineStr">
        <ns0:is>
          <ns0:t>Retained source-specific coding after review of the supplied extraction notes; not a new full-text retrieval. The full text describes experiments on the Reddit Mental Health Dataset and ASD Screening Dataset, including stratified 70/15/15 train/validation/test splits and reported performance near 99%. Material reporting contradiction: the Methods/Results explicitly analyze two datasets, while the Data Availability statement says no datasets were generated or analysed. Inclusion is retained provisionally, but this requires high-priority human verification before final synthesis.
The full text describes experiments on the Reddit Mental Health Dataset and ASD Screening Dataset, including stratified 70/15/15 train/validation/test splits and reported performance near 99%. Material reporting contradiction: the Methods/Results explicitly analyze two datasets, while the Data Availability statement says no datasets were generated or analysed. Inclusion is retained provisionally, but this requires high-priority human verification before final synthesis.
Material reporting/source-lineage inconsistency preserved; excluded in conservative sensitivity analysis.</ns0:t>
        </ns0:is>
      </ns0:c>
      <ns0:c r="H430" s="21" t="inlineStr">
        <ns0:is>
          <ns0:t>Autism Spectrum Disorder (ASD) detection and classification bear huge importance in early diagnosis and intervention, which will massively raise the quality of life in autistic individuals. Most traditional approaches have difficulties in catching the sophisticated patterns of ASD-related behaviors, which often lead to suboptimal accuracy, high false-positive rates, and poor generalization across datasets. This paper introduces a new approach: the NeD-TraF framework and the Eagle Vision Arithmetic Search (EVA-Search) algorithm. This advanced deep learning architecture is very efficient in extracting ASD-salient features and further classifying them accordingly. In contrast, a dynamically optimized learning rate decay would result in much quicker convergence with the EVA-Search method. As discussed above, the methods described propose novelty at the levels of adaptive feature extraction, improved computation efficiency, and a modular approach that guarantees scalability on various datasets. It verifies the efficiency of the proposed framework with the Reddit Mental Health Dataset and ASD Screening Dataset. Experimental results reveal that the model is able to outperform six state-of-the-art methods with higher accuracy and F1-scores, such as 99%, at reduced computational time. Thus, the superiority of the current framework signifies that it is much capable of capturing the complexities in a relationship and thereby suitable for real-world applications. This provides a transformational solution in ASD detection and classification, setting a new standard in precision and efficiency in computational diagnostics.</ns0:t>
        </ns0:is>
      </ns0:c>
      <ns0:c r="I430" s="21" t="inlineStr">
        <ns0:is>
          <ns0:t>The full text describes experiments on the Reddit Mental Health Dataset and ASD Screening Dataset, including stratified 70/15/15 train/validation/test splits and reported performance near 99%. Material reporting contradiction: the Methods/Results explicitly analyze two datasets, while the Data Availability statement says no datasets were generated or analysed. Inclusion is retained provisionally, but this requires high-priority human verification before final synthesis.</ns0:t>
        </ns0:is>
      </ns0:c>
      <ns0:c r="J430" s="21" t="inlineStr">
        <ns0:is>
          <ns0:t>Lote_05_25: nivel=Author-provided full text on ResearchGate reviewed; Methods/Results and Data Availability expose a material internal inconsistency; hallazgo=The full text describes experiments on the Reddit Mental Health Dataset and ASD Screening Dataset, including stratified 70/15/15 train/validation/test splits and reported performance near 99%.; limitación=; acción=; fuente=https://www.researchgate.net/publication/401363005_Smart_detection_of_autism_spectrum_disorder_using_optimized_deep_learner_for_transforming_early_diagnosis_and_intervention</ns0:t>
        </ns0:is>
      </ns0:c>
      <ns0:c r="K430" s="21" t="inlineStr">
        <ns0:is>
          <ns0:t>Author-provided full text on ResearchGate reviewed; Methods/Results and Data Availability expose a material internal inconsistency. Material reporting contradiction: the Methods/Results explicitly analyze two datasets, while the Data Availability statement says no datasets were generated or analysed. Inclusion is retained provisionally, but this requires high-priority human verification before final synthesis.</ns0:t>
        </ns0:is>
      </ns0:c>
      <ns0:c r="L430" s="21" t="inlineStr">
        <ns0:is>
          <ns0:t>Not documented in provided sources</ns0:t>
        </ns0:is>
      </ns0:c>
      <ns0:c r="M430" s="21" t="inlineStr">
        <ns0:is>
          <ns0:t>[]</ns0:t>
        </ns0:is>
      </ns0:c>
    </ns0:row>
    <ns0:row r="431" ht="350" customHeight="1">
      <ns0:c r="A431" s="19" t="inlineStr">
        <ns0:is>
          <ns0:t>new_366</ns0:t>
        </ns0:is>
      </ns0:c>
      <ns0:c r="B431" s="19" t="inlineStr">
        <ns0:is>
          <ns0:t>Hybrid deep learning with cross-attention fusion for autism spectrum disorder classification from facial images</ns0:t>
        </ns0:is>
      </ns0:c>
      <ns0:c r="C431" s="19" t="inlineStr">
        <ns0:is>
          <ns0:t>10.1016/j.ibmed.2026.100421</ns0:t>
        </ns0:is>
      </ns0:c>
      <ns0:c r="D431" s="19" t="inlineStr">
        <ns0:is>
          <ns0:t>https://doi.org/10.1016/j.ibmed.2026.100421</ns0:t>
        </ns0:is>
      </ns0:c>
      <ns0:c r="E431" s="19" t="inlineStr">
        <ns0:is>
          <ns0:t>Prior source-specific extraction retained; no new full-text retrieval</ns0:t>
        </ns0:is>
      </ns0:c>
      <ns0:c r="F431" s="19" t="inlineStr">
        <ns0:is>
          <ns0:t>EVIDENCIA; original abstract/coding notes and lot source trace; Inherited scoped adjudication; see source level and lot caveats</ns0:t>
        </ns0:is>
      </ns0:c>
      <ns0:c r="G431" s="19" t="inlineStr">
        <ns0:is>
          <ns0:t>Retained source-specific coding after review of the supplied extraction notes; not a new full-text retrieval. A hybrid ResNet-152-CBAM/ViT-Large model with bidirectional cross-attention, weighted ensemble and test-time augmentation is evaluated on 2,940 public facial images; Grad-CAM highlights periocular regions and the ensemble reports 92% accuracy. The article reports a fixed 86.4%/3.4%/10.2% train/validation/test partition while the abstract also reports mean±SD across 5-fold cross-validation, creating an evaluation-protocol inconsistency that should be reconciled manually. No independent external dataset was used.
A hybrid ResNet-152-CBAM/ViT-Large model with bidirectional cross-attention, weighted ensemble and test-time augmentation is evaluated on 2,940 public facial images; Grad-CAM highlights periocular regions and the ensemble reports 92% accuracy. The article reports a fixed 86.4%/3.4%/10.2% train/validation/test partition while the abstract also reports mean±SD across 5-fold cross-validation, creating an evaluation-protocol inconsistency that should be reconciled manually. No independent external dataset was used.
Material reporting/source-lineage inconsistency preserved; excluded in conservative sensitivity analysis.
All-neural/optimization pipeline in recovered evidence; hybrid title is not sufficient for mixed conventional-ML/DL classification.</ns0:t>
        </ns0:is>
      </ns0:c>
      <ns0:c r="H431" s="19" t="inlineStr"/>
      <ns0:c r="I431" s="19" t="inlineStr">
        <ns0:is>
          <ns0:t>A hybrid ResNet-152-CBAM/ViT-Large model with bidirectional cross-attention, weighted ensemble and test-time augmentation is evaluated on 2,940 public facial images; Grad-CAM highlights periocular regions and the ensemble reports 92% accuracy. The article reports a fixed 86.4%/3.4%/10.2% train/validation/test partition while the abstract also reports mean±SD across 5-fold cross-validation, creating an evaluation-protocol inconsistency that should be reconciled manually. No independent external dataset was used.</ns0:t>
        </ns0:is>
      </ns0:c>
      <ns0:c r="J431" s="19" t="inlineStr">
        <ns0:is>
          <ns0:t>Lote_05_25: nivel=ScienceDirect open full article/Methods with dataset split, hybrid architecture, Grad-CAM and performance; hallazgo=A hybrid ResNet-152-CBAM/ViT-Large model with bidirectional cross-attention, weighted ensemble and test-time augmentation is evaluated on 2,940 public facial images; Grad-CAM highlights periocular regions and the ensemble reports 92% accuracy.; limitación=; acción=; fuente=https://www.sciencedirect.com/science/article/pii/S2666521226000797</ns0:t>
        </ns0:is>
      </ns0:c>
      <ns0:c r="K431" s="19" t="inlineStr">
        <ns0:is>
          <ns0:t>ScienceDirect open full article/Methods with dataset split, hybrid architecture, Grad-CAM and performance. The article reports a fixed 86.4%/3.4%/10.2% train/validation/test partition while the abstract also reports mean±SD across 5-fold cross-validation, creating an evaluation-protocol inconsistency that should be reconciled manually. No independent external dataset was used.</ns0:t>
        </ns0:is>
      </ns0:c>
      <ns0:c r="L431" s="19" t="inlineStr">
        <ns0:is>
          <ns0:t>Not documented in provided sources</ns0:t>
        </ns0:is>
      </ns0:c>
      <ns0:c r="M431" s="19" t="inlineStr">
        <ns0:is>
          <ns0:t>[]</ns0:t>
        </ns0:is>
      </ns0:c>
    </ns0:row>
    <ns0:row r="432" ht="350" customHeight="1">
      <ns0:c r="A432" s="21" t="inlineStr">
        <ns0:is>
          <ns0:t>new_371</ns0:t>
        </ns0:is>
      </ns0:c>
      <ns0:c r="B432" s="21" t="inlineStr">
        <ns0:is>
          <ns0:t>A Hybrid CNN-GAT Model for MRI Screening of Autism Spectrum Disorder</ns0:t>
        </ns0:is>
      </ns0:c>
      <ns0:c r="C432" s="21" t="inlineStr">
        <ns0:is>
          <ns0:t>10.1007/978-3-032-14531-4_4</ns0:t>
        </ns0:is>
      </ns0:c>
      <ns0:c r="D432" s="21" t="inlineStr">
        <ns0:is>
          <ns0:t>https://doi.org/10.1007/978-3-032-14531-4_4</ns0:t>
        </ns0:is>
      </ns0:c>
      <ns0:c r="E432" s="21" t="inlineStr">
        <ns0:is>
          <ns0:t>Prior source-specific extraction retained; no new full-text retrieval</ns0:t>
        </ns0:is>
      </ns0:c>
      <ns0:c r="F432" s="21" t="inlineStr">
        <ns0:is>
          <ns0:t>EVIDENCIA; original abstract/coding notes and lot source trace; Inherited scoped adjudication; see source level and lot caveats</ns0:t>
        </ns0:is>
      </ns0:c>
      <ns0:c r="G432" s="21" t="inlineStr">
        <ns0:is>
          <ns0:t>Retained source-specific coding after review of the supplied extraction notes; not a new full-text retrieval. Springer identifies this as a full conference paper in peer-reviewed MIND 2024 proceedings. The study proposes a hybrid CNN-GAT on publicly accessible MRI data and reports 88% ASD versus non-ASD classification accuracy. GAT attention is used to identify critical brain regions/connections. No independent external cohort, prospective clinical evaluation, or explicit cross-site robustness was established from the accessible evidence.</ns0:t>
        </ns0:is>
      </ns0:c>
      <ns0:c r="H432" s="21" t="inlineStr">
        <ns0:is>
          <ns0:t>Autism Spectrum Disorder (ASD) is a neurodiverse disorder that impacts children’s development, presenting a range of symptoms that persist into adulthood. Recognizing ASD in children is challenging due to the diversity of associated disorders. We propose a hybrid method for detecting autism in children using MRI screening. Our model leverages hybrid deep-learning techniques to address these challenges. In particular, a blend of Convolutional Neural Networks (CNN) and Graph Attention Networks (GAT) is used for model interpretation, allowing us to identify critical brain regions and connections that contribute to the classification. Experiments conducted using data accessible to the public show that the proposed framework achieves an 88% classification accuracy between ASD and Non-ASD cases, outperforming state-of-the-art methods. This indicates the proposed Hybrid CNN-GAT model’s strong classification ability and generalizability, offering a powerful tool for identifying brain disorders.</ns0:t>
        </ns0:is>
      </ns0:c>
      <ns0:c r="I432" s="21" t="inlineStr">
        <ns0:is>
          <ns0:t>Springer identifies this as a full conference paper in peer-reviewed MIND 2024 proceedings. The study proposes a hybrid CNN-GAT on publicly accessible MRI data and reports 88% ASD versus non-ASD classification accuracy. GAT attention is used to identify critical brain regions/connections. No independent external cohort, prospective clinical evaluation, or explicit cross-site robustness was established from the accessible evidence.</ns0:t>
        </ns0:is>
      </ns0:c>
      <ns0:c r="J432" s="21" t="inlineStr">
        <ns0:is>
          <ns0:t>Lote_05_25: nivel=Official Springer conference-paper record plus proceedings metadata and research abstract sufficient for scoped adjudication; hallazgo=Full conference paper in MIND 2024 proceedings. The hybrid CNN-GAT model uses public MRI data and reports 88% accuracy for ASD versus non-ASD classification; GAT-based attention is used to identify relevant brain regions/connections.; limitación=; acción=; fuente=https://link.springer.com/chapter/10.1007/978-3-032-14531-4_4</ns0:t>
        </ns0:is>
      </ns0:c>
      <ns0:c r="K432" s="21" t="inlineStr">
        <ns0:is>
          <ns0:t>Springer lo identifica como conference paper en proceedings revisados por pares; contenido empírico evaluable y elegible. Reconciliado el 2026-09-07.</ns0:t>
        </ns0:is>
      </ns0:c>
      <ns0:c r="L432" s="21" t="inlineStr">
        <ns0:is>
          <ns0:t>Not documented in provided sources</ns0:t>
        </ns0:is>
      </ns0:c>
      <ns0:c r="M432" s="21" t="inlineStr">
        <ns0:is>
          <ns0:t>[]</ns0:t>
        </ns0:is>
      </ns0:c>
    </ns0:row>
    <ns0:row r="433" ht="350" customHeight="1">
      <ns0:c r="A433" s="19" t="inlineStr">
        <ns0:is>
          <ns0:t>new_373</ns0:t>
        </ns0:is>
      </ns0:c>
      <ns0:c r="B433" s="19" t="inlineStr">
        <ns0:is>
          <ns0:t>Multi-feature fusion transformer network for Autism spectrum disorder detection via facial images</ns0:t>
        </ns0:is>
      </ns0:c>
      <ns0:c r="C433" s="19" t="inlineStr">
        <ns0:is>
          <ns0:t>10.1016/j.bspc.2026.110970</ns0:t>
        </ns0:is>
      </ns0:c>
      <ns0:c r="D433" s="19" t="inlineStr">
        <ns0:is>
          <ns0:t>https://doi.org/10.1016/j.bspc.2026.110970</ns0:t>
        </ns0:is>
      </ns0:c>
      <ns0:c r="E433" s="19" t="inlineStr">
        <ns0:is>
          <ns0:t>Prior source-specific extraction retained; no new full-text retrieval</ns0:t>
        </ns0:is>
      </ns0:c>
      <ns0:c r="F433" s="19" t="inlineStr">
        <ns0:is>
          <ns0:t>EVIDENCIA; original abstract/coding notes and lot source trace; Inherited scoped adjudication; see source level and lot caveats</ns0:t>
        </ns0:is>
      </ns0:c>
      <ns0:c r="G433" s="19" t="inlineStr">
        <ns0:is>
          <ns0:t>Retained source-specific coding after review of the supplied extraction notes; not a new full-text retrieval. MACFUT fuses facial-image features with landmark geometry, is trained on AFID with 10-fold CV, and is tested on an independent Bangladesh dataset (BACFED), reporting 86.51% external accuracy/AUC 94.78%; attention maps and facial anthropometry support interpretation. External cross-dataset testing strengthens generalization evidence, but the system is not prospectively deployed and image-source/demographic biases remain possible. Landmarks are derived from the same image source, so this was not counted as multisource data.
AFID development followed by BACFED independent Bangladesh image dataset test.</ns0:t>
        </ns0:is>
      </ns0:c>
      <ns0:c r="H433" s="19" t="inlineStr">
        <ns0:is>
          <ns0:t>Autism spectrum disorder (ASD) encompasses a range of neurodevelopmental conditions characterized by impairments in social interaction, communication, and behavior. Early detection is critical for timely intervention and improved outcomes; however, conventional approaches remain subjective, labor-intensive, and dependent on highly trained professionals. Facial image-based ASD research also faces challenges such as inter-class resemblance, intra-class variation, and pose differences. To address these issues, we propose the Multi-Aspect Cross-Fusion Transformer (MACFUT), a network that integrates facial landmark and image features through a multi-level cross-fusion mechanism for early ASD screening. The architecture incorporates spatial attention to highlight salient facial regions and a global-local cross-fusion transformer encoder to capture detailed feature relationships. We further analyze facial landmark distances, vectors, and angles to reveal developmental differences and enhance clinical interpretability. The proposed model is trained on the ASD Facial Image Dataset (AFID) using 10-fold cross-validation, achieving 89.56% accuracy and an area under the receiver operating characteristic curve (AUC) of 95.36%. To evaluate cross-dataset generalization, the trained model is tested on an independent dataset from Bangladesh (BACFED), yielding 86.51% accuracy and an AUC of 94.78%. The model also highlights diagnostic-group and sex-based differences in facial features among children. MACFUT provides an interpretable and accessible early ASD screening tool that demonstrates robustness across heterogeneous datasets. This method outperforms existing approaches and may help identify children who could benefit from further clinical evaluation in resource-limited and telehealth settings.</ns0:t>
        </ns0:is>
      </ns0:c>
      <ns0:c r="I433" s="19" t="inlineStr">
        <ns0:is>
          <ns0:t>MACFUT fuses facial-image features with landmark geometry, is trained on AFID with 10-fold CV, and is tested on an independent Bangladesh dataset (BACFED), reporting 86.51% external accuracy/AUC 94.78%; attention maps and facial anthropometry support interpretation. External cross-dataset testing strengthens generalization evidence, but the system is not prospectively deployed and image-source/demographic biases remain possible. Landmarks are derived from the same image source, so this was not counted as multisource data.</ns0:t>
        </ns0:is>
      </ns0:c>
      <ns0:c r="J433" s="19" t="inlineStr">
        <ns0:is>
          <ns0:t>Lote_05_25: nivel=ScienceDirect full article/section snippets with training dataset, independent external dataset, XAI and cross-dataset evaluation; hallazgo=MACFUT fuses facial-image features with landmark geometry, is trained on AFID with 10-fold CV, and is tested on an independent Bangladesh dataset (BACFED), reporting 86.51% external accuracy/AUC 94.78%; attention maps and facial anthropometry support interpretation.; limitación=; acción=; fuente=https://www.sciencedirect.com/science/article/pii/S1746809426015247</ns0:t>
        </ns0:is>
      </ns0:c>
      <ns0:c r="K433" s="19" t="inlineStr">
        <ns0:is>
          <ns0:t>ScienceDirect full article/section snippets with training dataset, independent external dataset, XAI and cross-dataset evaluation. External cross-dataset testing strengthens generalization evidence, but the system is not prospectively deployed and image-source/demographic biases remain possible. Landmarks are derived from the same image source, so this was not counted as multisource data.</ns0:t>
        </ns0:is>
      </ns0:c>
      <ns0:c r="L433" s="19" t="inlineStr">
        <ns0:is>
          <ns0:t>Not documented in provided sources</ns0:t>
        </ns0:is>
      </ns0:c>
      <ns0:c r="M433" s="19" t="inlineStr">
        <ns0:is>
          <ns0:t>[]</ns0:t>
        </ns0:is>
      </ns0:c>
    </ns0:row>
    <ns0:row r="434" ht="350" customHeight="1">
      <ns0:c r="A434" s="21" t="inlineStr">
        <ns0:is>
          <ns0:t>new_383</ns0:t>
        </ns0:is>
      </ns0:c>
      <ns0:c r="B434" s="21" t="inlineStr">
        <ns0:is>
          <ns0:t>Longitudinal multi-omics analysis of umbilical cord blood and childhood serum in Autism</ns0:t>
        </ns0:is>
      </ns0:c>
      <ns0:c r="C434" s="21" t="inlineStr">
        <ns0:is>
          <ns0:t>10.1038/s41380-025-03157-z</ns0:t>
        </ns0:is>
      </ns0:c>
      <ns0:c r="D434" s="21" t="inlineStr">
        <ns0:is>
          <ns0:t>https://doi.org/10.1038/s41380-025-03157-z</ns0:t>
        </ns0:is>
      </ns0:c>
      <ns0:c r="E434" s="21" t="inlineStr">
        <ns0:is>
          <ns0:t>Prior source-specific extraction retained; no new full-text retrieval</ns0:t>
        </ns0:is>
      </ns0:c>
      <ns0:c r="F434" s="21" t="inlineStr">
        <ns0:is>
          <ns0:t>EVIDENCIA; original abstract/coding notes and lot source trace; Inherited scoped adjudication; see source level and lot caveats</ns0:t>
        </ns0:is>
      </ns0:c>
      <ns0:c r="G434" s="21" t="inlineStr">
        <ns0:is>
          <ns0:t>Retained source-specific coding after review of the supplied extraction notes; not a new full-text retrieval. Within the BASELINE birth cohort, cord-blood proteomics/metabolomics from children later diagnosed with autism were analyzed and followed with childhood serum profiling; ML prediction models reported AUROC 0.82-0.85. The omics case numbers are small (22 future ASD cases in cord blood; 24 in follow-up), and the accessible report does not identify an independent external validation cohort or the specific ML family. Longitudinal collection supports prospective-evidence coding, not prospective clinical deployment.
Proteomics and metabolomics combined</ns0:t>
        </ns0:is>
      </ns0:c>
      <ns0:c r="H434" s="21" t="inlineStr">
        <ns0:is>
          <ns0:t>There is considerable evidence implicating maternal immune activation (MIA) and cytokine dysregulation in the pathophysiology of Autism. However, cytokines, due to their lack of specificity are unlikely to translate clinically as prognostic biomarkers. Our aim was to explore the perinatal molecular pathways dysregulated in umbilical cord blood, which precede a diagnosis of childhood Autism, and ascertain whether these putative biomarkers persisted into pre-pubertal childhood. In a cohort of 2137 mother-infant dyads, we conducted a nested case-control study in the BASELINE Birth Cohort. Proteomic and metabolomic analysis was performed on cord blood plasma from 22 children diagnosed with Autism before age 5, and 44 neurotypical controls. In a clinical diagnostic follow-up between 7–10 years in the PiRAMiD Cohort, 24 children with Autism and 48 controls provided blood samples for molecular profiling. In cord blood, proteomics revealed altered glycolysis, selenium metabolism, oxygen transport, and complement signalling. Alterations in these protein pathways persisted into childhood, and dysregulation of GAPDH, SELENBP1, and BLVRB proteins were evident in both cord blood and in serum from pre-pubertal children with Autism. In cord blood, metabolomics analysis indicated Autism outcome was associated with reduced levels of circulating steroids and increased sulfate. We confirmed androstenedione was reduced in cord blood, in Autism cases in comparison to controls, however changes in androstenedione levels were not evident in serum from pre-pubertal children with Autism. Our findings were further corroborated using machine learning approaches, with an AUROC ranging from 0.82 to 0.85 for proteomic and metabolomic cord blood prediction models, respectively. Collectively, these findings confirm a cord blood molecular signature precedes the onset of Autism and has the potential to lead to prognostic biomarkers. Our integrative multi-omics analysis reveals materno-feto-placental molecular processes which potentially underpin Autism aetiology.</ns0:t>
        </ns0:is>
      </ns0:c>
      <ns0:c r="I434" s="21" t="inlineStr">
        <ns0:is>
          <ns0:t>Within the BASELINE birth cohort, cord-blood proteomics/metabolomics from children later diagnosed with autism were analyzed and followed with childhood serum profiling; ML prediction models reported AUROC 0.82-0.85. The omics case numbers are small (22 future ASD cases in cord blood; 24 in follow-up), and the accessible report does not identify an independent external validation cohort or the specific ML family. Longitudinal collection supports prospective-evidence coding, not prospective clinical deployment.</ns0:t>
        </ns0:is>
      </ns0:c>
      <ns0:c r="J434" s="21" t="inlineStr">
        <ns0:is>
          <ns0:t>Lote_05_25: nivel=Nature/PubMed full research record with longitudinal birth cohort, multi-omics and ML results; hallazgo=Within the BASELINE birth cohort, cord-blood proteomics/metabolomics from children later diagnosed with autism were analyzed and followed with childhood serum profiling; ML prediction models reported AUROC 0.82-0.85.; limitación=; acción=; fuente=https://www.nature.com/articles/s41380-025-03157-z</ns0:t>
        </ns0:is>
      </ns0:c>
      <ns0:c r="K434" s="21" t="inlineStr">
        <ns0:is>
          <ns0:t>Nature/PubMed full research record with longitudinal birth cohort, multi-omics and ML results. The omics case numbers are small (22 future ASD cases in cord blood; 24 in follow-up), and the accessible report does not identify an independent external validation cohort or the specific ML family. Longitudinal collection supports prospective-evidence coding, not prospective clinical deployment.</ns0:t>
        </ns0:is>
      </ns0:c>
      <ns0:c r="L434" s="21" t="inlineStr">
        <ns0:is>
          <ns0:t>Not documented in provided sources</ns0:t>
        </ns0:is>
      </ns0:c>
      <ns0:c r="M434" s="21" t="inlineStr">
        <ns0:is>
          <ns0:t>[]</ns0:t>
        </ns0:is>
      </ns0:c>
    </ns0:row>
    <ns0:row r="435" ht="285" customHeight="1">
      <ns0:c r="A435" s="19" t="inlineStr">
        <ns0:is>
          <ns0:t>new_386</ns0:t>
        </ns0:is>
      </ns0:c>
      <ns0:c r="B435" s="19" t="inlineStr">
        <ns0:is>
          <ns0:t>3T dilated inception network for enhanced autism spectrum disorder diagnosis using resting-state fMRI data</ns0:t>
        </ns0:is>
      </ns0:c>
      <ns0:c r="C435" s="19" t="inlineStr">
        <ns0:is>
          <ns0:t>10.1007/s11571-024-10202-0</ns0:t>
        </ns0:is>
      </ns0:c>
      <ns0:c r="D435" s="19" t="inlineStr">
        <ns0:is>
          <ns0:t>https://doi.org/10.1007/s11571-024-10202-0</ns0:t>
        </ns0:is>
      </ns0:c>
      <ns0:c r="E435" s="19" t="inlineStr">
        <ns0:is>
          <ns0:t>Prior source-specific extraction retained; no new full-text retrieval</ns0:t>
        </ns0:is>
      </ns0:c>
      <ns0:c r="F435" s="19" t="inlineStr">
        <ns0:is>
          <ns0:t>EVIDENCIA; original abstract/coding notes and lot source trace; Inherited scoped adjudication; see source level and lot caveats</ns0:t>
        </ns0:is>
      </ns0:c>
      <ns0:c r="G435" s="19" t="inlineStr">
        <ns0:is>
          <ns0:t>Retained source-specific coding after review of the supplied extraction notes; not a new full-text retrieval. 3T-DINet combines dilated inception, ResNet components and optimization and is evaluated across five ASD rs-fMRI datasets. Use of multiple ASD datasets was coded as multisite/multidataset evidence, but the accessible report does not establish an explicit leave-site-out or independent prospective external-validation design.</ns0:t>
        </ns0:is>
      </ns0:c>
      <ns0:c r="H435" s="19" t="inlineStr">
        <ns0:is>
          <ns0:t>Autism spectrum disorder (ASD) is one of the complicated neurodevelopmental disorders that impacts the daily functioning and social interactions of individuals. It includes diverse symptoms and severity levels, making it challenging to diagnose and treat efficiently. Various deep learning (DL) based methods have been developed for diagnosing ASD, which rely heavily on behavioral assessment. However, existing techniques have suffered from poor diagnostic outcomes, higher computational complexity, and overfitting issues. To address these challenges, this research work introduces an innovative framework called 3T Dilated Inception Network (3T-DINet) for effective ASD diagnosis using resting-state functional Magnetic Resonance Imaging (rs-fMRI) images. The proposed 3T-DINet technique designs a 3T dilated inception module that incorporates dilated convolutions along with the inception module, allowing it to extract multi-scale features from brain connectivity patterns. The 3T dilated inception module uses three distinct dilation rates (low, medium, and high) in parallel to determine local, mid-level, and global features from the brain. In addition, the proposed approach implements Residual networks (ResNet) to avoid the vanishing gradient problem and enhance the feature extraction ability. The model is further optimized using a Crossover-based Black Widow Optimization (CBWO) algorithm that fine-tunes the hyperparameters thereby enhancing the overall performance of the model. Further, the performance of the 3T-DINet model is evaluated using the five ASD datasets with distinct evaluation parameters. The proposed 3T-DINet technique achieved superior diagnosis results compared to recent previous works. From this simulation validation, it’s clear that the 3T-DINet provides an excellent contribution to early ASD diagnosis and enhances patient treatment outcomes.</ns0:t>
        </ns0:is>
      </ns0:c>
      <ns0:c r="I435" s="19" t="inlineStr">
        <ns0:is>
          <ns0:t>3T-DINet combines dilated inception, ResNet components and optimization and is evaluated across five ASD rs-fMRI datasets. Use of multiple ASD datasets was coded as multisite/multidataset evidence, but the accessible report does not establish an explicit leave-site-out or independent prospective external-validation design.</ns0:t>
        </ns0:is>
      </ns0:c>
      <ns0:c r="J435" s="19" t="inlineStr">
        <ns0:is>
          <ns0:t>Lote_05_25: nivel=PMC/PubMed full research article with ABIDE rs-fMRI, five datasets and model evaluation; hallazgo=3T-DINet combines dilated inception, ResNet components and optimization and is evaluated across five ASD rs-fMRI datasets.; limitación=; acción=; fuente=https://pmc.ncbi.nlm.nih.gov/articles/PMC11729590/</ns0:t>
        </ns0:is>
      </ns0:c>
      <ns0:c r="K435" s="19" t="inlineStr">
        <ns0:is>
          <ns0:t>PMC/PubMed full research article with ABIDE rs-fMRI, five datasets and model evaluation. Use of multiple ASD datasets was coded as multisite/multidataset evidence, but the accessible report does not establish an explicit leave-site-out or independent prospective external-validation design.</ns0:t>
        </ns0:is>
      </ns0:c>
      <ns0:c r="L435" s="19" t="inlineStr">
        <ns0:is>
          <ns0:t>Not documented in provided sources</ns0:t>
        </ns0:is>
      </ns0:c>
      <ns0:c r="M435" s="19" t="inlineStr">
        <ns0:is>
          <ns0:t>[]</ns0:t>
        </ns0:is>
      </ns0:c>
    </ns0:row>
    <ns0:row r="436" ht="350" customHeight="1">
      <ns0:c r="A436" s="21" t="inlineStr">
        <ns0:is>
          <ns0:t>new_387</ns0:t>
        </ns0:is>
      </ns0:c>
      <ns0:c r="B436" s="21" t="inlineStr">
        <ns0:is>
          <ns0:t>Predicting pragmatic language abilities from brain structural MRI in preschool children with ASD by NBS-Predict</ns0:t>
        </ns0:is>
      </ns0:c>
      <ns0:c r="C436" s="21" t="inlineStr">
        <ns0:is>
          <ns0:t>10.1007/s00787-025-02775-w</ns0:t>
        </ns0:is>
      </ns0:c>
      <ns0:c r="D436" s="21" t="inlineStr">
        <ns0:is>
          <ns0:t>https://doi.org/10.1007/s00787-025-02775-w</ns0:t>
        </ns0:is>
      </ns0:c>
      <ns0:c r="E436" s="21" t="inlineStr">
        <ns0:is>
          <ns0:t>Prior source-specific extraction retained; no new full-text retrieval</ns0:t>
        </ns0:is>
      </ns0:c>
      <ns0:c r="F436" s="21" t="inlineStr">
        <ns0:is>
          <ns0:t>EVIDENCIA; original abstract/coding notes and lot source trace; Inherited scoped adjudication; see source level and lot caveats</ns0:t>
        </ns0:is>
      </ns0:c>
      <ns0:c r="G436" s="21" t="inlineStr">
        <ns0:is>
          <ns0:t>Retained source-specific coding after review of the supplied extraction notes; not a new full-text retrieval. In 92 preschool children with ASD and 52 TD controls, NBS-Predict identified a 42-connection structural subnetwork; an LDA classifier reported 79.4% ASD/TD accuracy and the network also showed a modest association with pragmatic-language ability. Single-center/cross-sectional evidence with no independent external validation. Diagnosis is used as the primary stage because the qualifying ASD/TD classifier is explicit; the paper also emphasizes pragmatic-language characterization.</ns0:t>
        </ns0:is>
      </ns0:c>
      <ns0:c r="H436" s="21" t="inlineStr">
        <ns0:is>
          <ns0:t>Pragmatics plays a crucial role in effectively conveying messages across various social communication contexts. This aspect is frequently highlighted in the challenges experienced by children diagnosed with autism spectrum disorder (ASD). Notably, there remains a paucity of research investigating how the structural connectome (SC) predicts pragmatic language abilities within this population. Using diffusion tensor imaging (DTI) and deterministic tractography, we constructed the whole-brain white matter structural network (WMSN) in a cohort comprising 92 children with ASD and 52 typically developing (TD) preschoolers, matched for age and gender. We employed network-based statistic (NBS)-Predict, a novel methodology that integrates machine learning (ML) with NBS, to identify dysconnected subnetworks associated with ASD, and then to predict pragmatic language abilities based on the SC derived from the whole-brain WMSN in the ASD group. Initially, NBS-Predict identified a subnetwork characterized by 42 reduced connections across 37 brain regions (p = 0.01), achieving a highest classification accuracy of 79.4% (95% CI: 0.791 ~ 0.796). The dysconnected regions were predominantly localized within the brain’s frontotemporal and subcortical areas, with the right superior medial frontal gyrus (SFGmed.R) emerging as the region exhibiting the most extensive disconnection. Moreover, NBS-Predict demonstrated that the optimal correlation coefficient between the predicted pragmatic language scores and the actual measured scores was 0.220 (95% CI: 0.174 ~ 0.265). This analysis revealed a significant association between the pragmatic language abilities of the ASD cohort and the white matter connections linking the SFGmed.R with the bilateral anterior cingulate gyrus (ACG). In summary, our findings suggest that the subnetworks displaying the most significant abnormal connections were concentrated in the frontotemporal and subcortical regions among the ASD group. Furthermore, the observed abnormalities in the white matter connection pathways between the SFGmed.R and ACG may underlie the neurobiological basis for pragmatic language deficits in preschool children with ASD.</ns0:t>
        </ns0:is>
      </ns0:c>
      <ns0:c r="I436" s="21" t="inlineStr">
        <ns0:is>
          <ns0:t>In 92 preschool children with ASD and 52 TD controls, NBS-Predict identified a 42-connection structural subnetwork; an LDA classifier reported 79.4% ASD/TD accuracy and the network also showed a modest association with pragmatic-language ability. Single-center/cross-sectional evidence with no independent external validation. Diagnosis is used as the primary stage because the qualifying ASD/TD classifier is explicit; the paper also emphasizes pragmatic-language characterization.</ns0:t>
        </ns0:is>
      </ns0:c>
      <ns0:c r="J436" s="21" t="inlineStr">
        <ns0:is>
          <ns0:t>Lote_05_25: nivel=PubMed/Springer research abstract with preschool DTI connectome, NBS-Predict and phenotype results; hallazgo=In 92 preschool children with ASD and 52 TD controls, NBS-Predict identified a 42-connection structural subnetwork; an LDA classifier reported 79.4% ASD/TD accuracy and the network also showed a modest association with pragmatic-language ability.; limitación=; acción=; fuente=https://pubmed.ncbi.nlm.nih.gov/40495017/</ns0:t>
        </ns0:is>
      </ns0:c>
      <ns0:c r="K436" s="21" t="inlineStr">
        <ns0:is>
          <ns0:t>PubMed/Springer research abstract with preschool DTI connectome, NBS-Predict and phenotype results. Single-center/cross-sectional evidence with no independent external validation. Diagnosis is used as the primary stage because the qualifying ASD/TD classifier is explicit; the paper also emphasizes pragmatic-language characterization.</ns0:t>
        </ns0:is>
      </ns0:c>
      <ns0:c r="L436" s="21" t="inlineStr">
        <ns0:is>
          <ns0:t>Not documented in provided sources</ns0:t>
        </ns0:is>
      </ns0:c>
      <ns0:c r="M436" s="21" t="inlineStr">
        <ns0:is>
          <ns0:t>[]</ns0:t>
        </ns0:is>
      </ns0:c>
    </ns0:row>
    <ns0:row r="437" ht="321" customHeight="1">
      <ns0:c r="A437" s="19" t="inlineStr">
        <ns0:is>
          <ns0:t>new_391</ns0:t>
        </ns0:is>
      </ns0:c>
      <ns0:c r="B437" s="19" t="inlineStr">
        <ns0:is>
          <ns0:t>Cell death-associated genes as novel diagnostic biomarkers for autism spectrum disorder</ns0:t>
        </ns0:is>
      </ns0:c>
      <ns0:c r="C437" s="19" t="inlineStr">
        <ns0:is>
          <ns0:t>10.1007/s10495-025-02201-1</ns0:t>
        </ns0:is>
      </ns0:c>
      <ns0:c r="D437" s="19" t="inlineStr">
        <ns0:is>
          <ns0:t>https://doi.org/10.1007/s10495-025-02201-1</ns0:t>
        </ns0:is>
      </ns0:c>
      <ns0:c r="E437" s="19" t="inlineStr">
        <ns0:is>
          <ns0:t>Prior source-specific extraction retained; no new full-text retrieval</ns0:t>
        </ns0:is>
      </ns0:c>
      <ns0:c r="F437" s="19" t="inlineStr">
        <ns0:is>
          <ns0:t>EVIDENCIA; original abstract/coding notes and lot source trace; Inherited scoped adjudication; see source level and lot caveats</ns0:t>
        </ns0:is>
      </ns0:c>
      <ns0:c r="G437" s="19" t="inlineStr">
        <ns0:is>
          <ns0:t>Retained source-specific coding after review of the supplied extraction notes; not a new full-text retrieval. Six ML algorithms and WGCNA were used to derive a six-gene diagnostic panel; KNN performed best, with external human blood GSE42133 AUC 0.722 and local-sample AUC 0.781. External human validation is present but discrimination is moderate; mouse prefrontal-cortex validation is not counted as clinical external validation, and real-world replication remains needed.</ns0:t>
        </ns0:is>
      </ns0:c>
      <ns0:c r="H437" s="19" t="inlineStr">
        <ns0:is>
          <ns0:t>Autism spectrum disorder (ASD) involves neuroinflammation and dysregulated neuronal death but lacks objective diagnostic biomarkers. This study investigated whether cell death could serve as a molecular basis for ASD diagnosis. We identified cell death-associated genes (CDGs) in peripheral blood mononuclear cells between ASD and control groups and performed functional enrichment, protein–protein interaction, immune characteristics, and non-negative matrix factorization clustering analyses. Key genes were further selected using 6 machine learning algorithms and weighted gene co-expression network analysis to construct a diagnostic model, which was subsequently validated using external human blood samples and mice prefrontal cortex samples. We explored microRNAs (miRNAs), transcription factors (TFs), and drugs potentially interacted with the key genes. Fourteen CDGs and 4 out of 22 types of immune cells were differentially expressed between ASD and controls in GSE18123. These genes were enriched in pathways such as neuron apoptosis and RAGE receptor binding. Among 6 machine learning models, K-Nearest Neighbors (KNN) model exhibited the best performance. Six key genes were selected as the most important hub genes and used to construct the diagnostic model. The model showed AUCs of 0.722 in GSE42133, 0.781 in our local samples, and 0.889 in mice prefrontal cortex samples. A total of 172 miRNAs, 111 TFs, and 98 drugs were found to interact with these key genes. The expression patterns of CDGs in the peripheral blood of children with ASD demonstrate potential diagnostic value. Further studies are warranted to validate their diagnostic performance in real-world settings and to elucidate the role of cell death dysregulation in ASD.</ns0:t>
        </ns0:is>
      </ns0:c>
      <ns0:c r="I437" s="19" t="inlineStr">
        <ns0:is>
          <ns0:t>Six ML algorithms and WGCNA were used to derive a six-gene diagnostic panel; KNN performed best, with external human blood GSE42133 AUC 0.722 and local-sample AUC 0.781. External human validation is present but discrimination is moderate; mouse prefrontal-cortex validation is not counted as clinical external validation, and real-world replication remains needed.</ns0:t>
        </ns0:is>
      </ns0:c>
      <ns0:c r="J437" s="19" t="inlineStr">
        <ns0:is>
          <ns0:t>Lote_05_25: nivel=PubMed detailed research abstract with six ML models, external human blood validation and local samples; hallazgo=Six ML algorithms and WGCNA were used to derive a six-gene diagnostic panel; KNN performed best, with external human blood GSE42133 AUC 0.722 and local-sample AUC 0.781.; limitación=; acción=; fuente=https://pubmed.ncbi.nlm.nih.gov/41518421/</ns0:t>
        </ns0:is>
      </ns0:c>
      <ns0:c r="K437" s="19" t="inlineStr">
        <ns0:is>
          <ns0:t>PubMed detailed research abstract with six ML models, external human blood validation and local samples. External human validation is present but discrimination is moderate; mouse prefrontal-cortex validation is not counted as clinical external validation, and real-world replication remains needed.</ns0:t>
        </ns0:is>
      </ns0:c>
      <ns0:c r="L437" s="19" t="inlineStr">
        <ns0:is>
          <ns0:t>Not documented in provided sources</ns0:t>
        </ns0:is>
      </ns0:c>
      <ns0:c r="M437" s="19" t="inlineStr">
        <ns0:is>
          <ns0:t>[]</ns0:t>
        </ns0:is>
      </ns0:c>
    </ns0:row>
    <ns0:row r="438" ht="350" customHeight="1">
      <ns0:c r="A438" s="21" t="inlineStr">
        <ns0:is>
          <ns0:t>new_393</ns0:t>
        </ns0:is>
      </ns0:c>
      <ns0:c r="B438" s="21" t="inlineStr">
        <ns0:is>
          <ns0:t>Integrating explainable AI with machine learning for reliable autism spectrum disorder diagnosis</ns0:t>
        </ns0:is>
      </ns0:c>
      <ns0:c r="C438" s="21" t="inlineStr">
        <ns0:is>
          <ns0:t>10.1007/s42454-025-00087-7</ns0:t>
        </ns0:is>
      </ns0:c>
      <ns0:c r="D438" s="21" t="inlineStr">
        <ns0:is>
          <ns0:t>https://doi.org/10.1007/s42454-025-00087-7</ns0:t>
        </ns0:is>
      </ns0:c>
      <ns0:c r="E438" s="21" t="inlineStr">
        <ns0:is>
          <ns0:t>Prior source-specific extraction retained; no new full-text retrieval</ns0:t>
        </ns0:is>
      </ns0:c>
      <ns0:c r="F438" s="21" t="inlineStr">
        <ns0:is>
          <ns0:t>EVIDENCIA; original abstract/coding notes and lot source trace; Inherited scoped adjudication; see source level and lot caveats</ns0:t>
        </ns0:is>
      </ns0:c>
      <ns0:c r="G438" s="21" t="inlineStr">
        <ns0:is>
          <ns0:t>Retained source-specific coding after review of the supplied extraction notes; not a new full-text retrieval. The study compares LR, DT, RF, SVM, KNN, CNN and XGBoost on structured toddler/child/adult ASD screening data; XGBoost is reported as best and explanations are generated with LIME and SHAP. Very high reported performance is based on benchmark/combined structured screening data; no independent external cohort, site-held-out analysis or prospective clinical deployment was established in the accessible full text.</ns0:t>
        </ns0:is>
      </ns0:c>
      <ns0:c r="H438" s="21" t="inlineStr">
        <ns0:is>
          <ns0:t>Autism Spectrum Disorder (ASD) is a complex neurodevelopmental condition that impacts communication, behavior, and social interaction, affecting individuals across all age groups. Early diagnosis is crucial for effective intervention, typically involving behavioral assessments, genetic testing, and developmental screening. However, the process is often time-consuming and subjective, highlighting the need for automated and objective diagnostic tools. This research explores the integration of Explainable Artificial Intelligence (XAI) with Machine Learning (ML) models to enhance the accuracy and interpretability of Autism Spectrum Disorder diagnosis. Utilizing a diverse dataset comprising 20 attributes and 2,942 patients across different age groups, including toddlers, children, and adults, we applied several Machine Learning algorithms, including Logistic Regression (LR), Decision Trees (DT), Random Forest (RF), Support Vector Machines (SVM), K-Nearest Neighbors (KNN), Convolutional Neural Networks (CNN), and Extreme Gradient Boosting (XGBoost). Extreme Gradient Boosting demonstrated the highest accuracy at 99.05%. Additionally, we employed Explainable AI methods like Local Interpretable Model-agnostic Explanations (LIME) and SHapley Additive exPlanations (SHAP) to provide transparency and deeper insights into the model’s predictions. This framework not only offers reliable, high-accuracy ASD diagnosis but also ensures model interpretability, making it a valuable tool for clinical use and early intervention.</ns0:t>
        </ns0:is>
      </ns0:c>
      <ns0:c r="I438" s="21" t="inlineStr">
        <ns0:is>
          <ns0:t>The study compares LR, DT, RF, SVM, KNN, CNN and XGBoost on structured toddler/child/adult ASD screening data; XGBoost is reported as best and explanations are generated with LIME and SHAP. Very high reported performance is based on benchmark/combined structured screening data; no independent external cohort, site-held-out analysis or prospective clinical deployment was established in the accessible full text.</ns0:t>
        </ns0:is>
      </ns0:c>
      <ns0:c r="J438" s="21" t="inlineStr">
        <ns0:is>
          <ns0:t>Lote_05_25: nivel=Publisher/author full-text preview with dataset size, model comparison, SHAP/LIME and results; hallazgo=The study compares LR, DT, RF, SVM, KNN, CNN and XGBoost on structured toddler/child/adult ASD screening data; XGBoost is reported as best and explanations are generated with LIME and SHAP.; limitación=; acción=; fuente=https://www.researchgate.net/publication/397578770_Integrating_explainable_AI_with_machine_learning_for_reliable_autism_spectrum_disorder_diagnosis</ns0:t>
        </ns0:is>
      </ns0:c>
      <ns0:c r="K438" s="21" t="inlineStr">
        <ns0:is>
          <ns0:t>Publisher/author full-text preview with dataset size, model comparison, SHAP/LIME and results. Very high reported performance is based on benchmark/combined structured screening data; no independent external cohort, site-held-out analysis or prospective clinical deployment was established in the accessible full text.</ns0:t>
        </ns0:is>
      </ns0:c>
      <ns0:c r="L438" s="21" t="inlineStr">
        <ns0:is>
          <ns0:t>Not documented in provided sources</ns0:t>
        </ns0:is>
      </ns0:c>
      <ns0:c r="M438" s="21" t="inlineStr">
        <ns0:is>
          <ns0:t>[]</ns0:t>
        </ns0:is>
      </ns0:c>
    </ns0:row>
    <ns0:row r="439" ht="350" customHeight="1">
      <ns0:c r="A439" s="19" t="inlineStr">
        <ns0:is>
          <ns0:t>new_398</ns0:t>
        </ns0:is>
      </ns0:c>
      <ns0:c r="B439" s="19" t="inlineStr">
        <ns0:is>
          <ns0:t>Diagnostic Classification of Autism Spectrum Disorder Using SD Maps of fMRI Data and Machine Learning</ns0:t>
        </ns0:is>
      </ns0:c>
      <ns0:c r="C439" s="19" t="inlineStr">
        <ns0:is>
          <ns0:t>10.1007/s40846-026-01044-8</ns0:t>
        </ns0:is>
      </ns0:c>
      <ns0:c r="D439" s="19" t="inlineStr">
        <ns0:is>
          <ns0:t>https://doi.org/10.1007/s40846-026-01044-8</ns0:t>
        </ns0:is>
      </ns0:c>
      <ns0:c r="E439" s="19" t="inlineStr">
        <ns0:is>
          <ns0:t>Prior source-specific extraction retained; no new full-text retrieval</ns0:t>
        </ns0:is>
      </ns0:c>
      <ns0:c r="F439" s="19" t="inlineStr">
        <ns0:is>
          <ns0:t>EVIDENCIA; original abstract/coding notes and lot source trace; Inherited scoped adjudication; see source level and lot caveats</ns0:t>
        </ns0:is>
      </ns0:c>
      <ns0:c r="G439" s="19" t="inlineStr">
        <ns0:is>
          <ns0:t>Retained source-specific coding after review of the supplied extraction notes; not a new full-text retrieval. 3D SD maps from ABIDE-I/II rs-fMRI were converted to 110 features and evaluated with LR, ridge, gradient boosting and XGBoost using 5-fold nested CV; LR achieved mean accuracy 70.71%. Nested cross-validation is methodologically stronger than a simple split but does not establish an independent/site-held-out external validation. Feature-contribution analysis was coded as partial interpretability, not strict XAI.</ns0:t>
        </ns0:is>
      </ns0:c>
      <ns0:c r="H439" s="19" t="inlineStr">
        <ns0:is>
          <ns0:t>Purpose: Autism spectrum disorder (ASD) is a neurodevelopmental condition characterised by social, behavioural and communication traits. The diagnosis of ASD is challenging, particularly due to the heterogeneity of symptoms, overlapping clinical features with other neurodevelopmental conditions and the current reliance on subjective behavioural assessments. Our study investigates the effectiveness of features computed from standard deviation (SD) maps of resting-state functional magnetic resonance imaging (rs-fMRI) in discriminating between ASD and typical development (TD). Methods: The rs-fMRI data of TD and ASD considered in this study were obtained from the ABIDE-I and ABIDE-II databases. Initially, the images were pre-processed using a standard pipeline. Further, 3D SD maps were generated, and 110 features were computed from the maps. We fed the features to four machine learning models, such as logistic regression (LR), ridge classifier, gradient boosting, and extreme gradient boosting. We performed the grid search to optimize the parameters and evaluated the models with 5-fold nested cross-validation. Results: We achieved an average 5-fold classification accuracy of 70.71% using LR. Our results revealed that the 3D shape and global statistical features contributed well to the model. Conclusion: The findings demonstrate that features extracted from 3D SD maps provide a robust and clinically meaningful framework for diagnosing ASD.</ns0:t>
        </ns0:is>
      </ns0:c>
      <ns0:c r="I439" s="19" t="inlineStr">
        <ns0:is>
          <ns0:t>3D SD maps from ABIDE-I/II rs-fMRI were converted to 110 features and evaluated with LR, ridge, gradient boosting and XGBoost using 5-fold nested CV; LR achieved mean accuracy 70.71%. Nested cross-validation is methodologically stronger than a simple split but does not establish an independent/site-held-out external validation. Feature-contribution analysis was coded as partial interpretability, not strict XAI.</ns0:t>
        </ns0:is>
      </ns0:c>
      <ns0:c r="J439" s="19" t="inlineStr">
        <ns0:is>
          <ns0:t>Lote_05_25: nivel=Institutional/publisher research record with ABIDE-I/II rs-fMRI, feature extraction and nested cross-validation; hallazgo=3D SD maps from ABIDE-I/II rs-fMRI were converted to 110 features and evaluated with LR, ridge, gradient boosting and XGBoost using 5-fold nested CV; LR achieved mean accuracy 70.71%.; limitación=; acción=; fuente=https://pure.cardiffmet.ac.uk/en/publications/diagnostic-classification-of-autism-spectrum-disorder-using-sd-ma/</ns0:t>
        </ns0:is>
      </ns0:c>
      <ns0:c r="K439" s="19" t="inlineStr">
        <ns0:is>
          <ns0:t>Institutional/publisher research record with ABIDE-I/II rs-fMRI, feature extraction and nested cross-validation. Nested cross-validation is methodologically stronger than a simple split but does not establish an independent/site-held-out external validation. Feature-contribution analysis was coded as partial interpretability, not strict XAI.</ns0:t>
        </ns0:is>
      </ns0:c>
      <ns0:c r="L439" s="19" t="inlineStr">
        <ns0:is>
          <ns0:t>Not documented in provided sources</ns0:t>
        </ns0:is>
      </ns0:c>
      <ns0:c r="M439" s="19" t="inlineStr">
        <ns0:is>
          <ns0:t>[]</ns0:t>
        </ns0:is>
      </ns0:c>
    </ns0:row>
    <ns0:row r="440" ht="350" customHeight="1">
      <ns0:c r="A440" s="21" t="inlineStr">
        <ns0:is>
          <ns0:t>new_5</ns0:t>
        </ns0:is>
      </ns0:c>
      <ns0:c r="B440" s="21" t="inlineStr">
        <ns0:is>
          <ns0:t>An exploration of machine learning approaches for early Autism Spectrum Disorder detection</ns0:t>
        </ns0:is>
      </ns0:c>
      <ns0:c r="C440" s="21" t="inlineStr">
        <ns0:is>
          <ns0:t>10.1016/j.health.2024.100379</ns0:t>
        </ns0:is>
      </ns0:c>
      <ns0:c r="D440" s="21" t="inlineStr">
        <ns0:is>
          <ns0:t>https://doi.org/10.1016/j.health.2024.100379</ns0:t>
        </ns0:is>
      </ns0:c>
      <ns0:c r="E440" s="21" t="inlineStr">
        <ns0:is>
          <ns0:t>Prior source-specific extraction retained; no new full-text retrieval</ns0:t>
        </ns0:is>
      </ns0:c>
      <ns0:c r="F440" s="21" t="inlineStr">
        <ns0:is>
          <ns0:t>EVIDENCIA; original abstract/coding notes and lot source trace; Inherited scoped adjudication; see source level and lot caveats</ns0:t>
        </ns0:is>
      </ns0:c>
      <ns0:c r="G440" s="21" t="inlineStr">
        <ns0:is>
          <ns0:t>Child/toddler public datasets are not necessarily distinct clinical sites; geographic multisite provenance is not established.</ns0:t>
        </ns0:is>
      </ns0:c>
      <ns0:c r="H440" s="21" t="inlineStr">
        <ns0:is>
          <ns0:t>Autism Spectrum Disorder is a neurodevelopmental condition impacting an individual's repetitive behaviours, social skills, verbal and nonverbal communication abilities, and capacity for acquiring new knowledge. Manifesting typically in early childhood, specifically between 6 months and 5 years, the symptoms of autism exhibit a progressive nature over time. This study explores the application of Logistic Regression, Support Vector Classifier, K-Nearest Neighbour, Decision Tree, and Random Forest for predicting Autism in children and toddlers by leveraging advancements in machine learning. The efficacy of these techniques is evaluated using publicly accessible datasets specific to both age groups. The findings indicate remarkable performance, with the toddler dataset achieving a mean Intersection over Union (mIoU) of 100% for Support Vector Classifier and 99.80% for Logistic Regression. Similarly, the children dataset demonstrates outstanding results, achieving an mIoU of 100% for Support Vector Classifier and 99.96% for Logistic Regression. Furthermore, all algorithms achieved 100% accuracy on the children (age 4–11) dataset collected from real-world sources. Logistic Regression, Random Forest, Support Vector Classifier, and Decision Tree attained 100% accuracy and mIoU with the real-world dataset. These results underscore the potential of machine learning in aiding the early detection of ASD in children and toddlers, offering promising avenues for future research and clinical applications.</ns0:t>
        </ns0:is>
      </ns0:c>
      <ns0:c r="I440" s="21" t="inlineStr">
        <ns0:is>
          <ns0:t>Compares LR, SVC, KNN, decision tree and random forest on toddler and child ASD datasets; SVC is reported as the strongest model, with near-perfect/100% performance on some datasets. Very high benchmark performance raises overfitting/data-leakage concerns; no fixed independent external clinical cohort or site-held-out evaluation was established from the accessible evidence.</ns0:t>
        </ns0:is>
      </ns0:c>
      <ns0:c r="J440" s="21" t="inlineStr">
        <ns0:is>
          <ns0:t>Lote_01_25: nivel=Abstract/metadata del editor; ubicación OA conocida, PDF completo no recuperado en este entorno; hallazgo=No se adjudicó con abstract solamente.; limitación=Sin Methods/Results completos no es fiable codificar RQ2/RQ3 ni cerrar elegibilidad.; acción=Abrir/descargar el PDF OA desde el navegador o acceso institucional y revisar Methods/Results; en este entorno solo se recuperó abstract/metadata, por lo que no se adjudicó.; fuente=https://www.sciencedirect.com/science/article/pii/S2772442524000819
Lote_06_22: nivel=ScienceDirect/DOAJ detailed research abstract with datasets, models and performance sufficient for scoped adjudication; hallazgo=Compares LR, SVC, KNN, decision tree and random forest on toddler and child ASD datasets; SVC is reported as the strongest model, with near-perfect/100% performance on some datasets.; limitación=; acción=; fuente=https://www.sciencedirect.com/science/article/pii/S2772442524000819</ns0:t>
        </ns0:is>
      </ns0:c>
      <ns0:c r="K440" s="21" t="inlineStr">
        <ns0:is>
          <ns0:t>Contenido primario accesible suficiente para adjudicación y codificación RQ; no implica que se haya adquirido una copia editorial cerrada. Requiere verificación independiente.</ns0:t>
        </ns0:is>
      </ns0:c>
      <ns0:c r="L440" s="21" t="inlineStr">
        <ns0:is>
          <ns0:t>Not documented in provided sources</ns0:t>
        </ns0:is>
      </ns0:c>
      <ns0:c r="M440" s="21" t="inlineStr">
        <ns0:is>
          <ns0:t>[]</ns0:t>
        </ns0:is>
      </ns0:c>
    </ns0:row>
    <ns0:row r="441" ht="350" customHeight="1">
      <ns0:c r="A441" s="19" t="inlineStr">
        <ns0:is>
          <ns0:t>new_11</ns0:t>
        </ns0:is>
      </ns0:c>
      <ns0:c r="B441" s="19" t="inlineStr">
        <ns0:is>
          <ns0:t>Ensembler_fMRI: An Intelligent Approach for the Early Prediction of Autism Disorder</ns0:t>
        </ns0:is>
      </ns0:c>
      <ns0:c r="C441" s="19" t="inlineStr">
        <ns0:is>
          <ns0:t>10.1016/j.procs.2025.04.142</ns0:t>
        </ns0:is>
      </ns0:c>
      <ns0:c r="D441" s="19" t="inlineStr">
        <ns0:is>
          <ns0:t>https://doi.org/10.1016/j.procs.2025.04.142</ns0:t>
        </ns0:is>
      </ns0:c>
      <ns0:c r="E441" s="19" t="inlineStr">
        <ns0:is>
          <ns0:t>Prior source-specific extraction retained; no new full-text retrieval</ns0:t>
        </ns0:is>
      </ns0:c>
      <ns0:c r="F441" s="19" t="inlineStr">
        <ns0:is>
          <ns0:t>EVIDENCIA; original abstract/coding notes and lot source trace; Inherited scoped adjudication; see source level and lot caveats</ns0:t>
        </ns0:is>
      </ns0:c>
      <ns0:c r="G441" s="19" t="inlineStr">
        <ns0:is>
          <ns0:t>Retained source-specific coding after review of the supplied extraction notes; not a new full-text retrieval. Ensembler_fMRI combines multiple AI techniques on fMRI data from ABIDE and ADHD-200 to distinguish ASD from ADHD; the abstract reports 98% accuracy. Use of multisite/multidataset repositories does not itself demonstrate held-out cross-site robustness or external validation; component model details are incomplete in the accessible abstract.
Do not infer mixed ML/DL from ensemble terminology.</ns0:t>
        </ns0:is>
      </ns0:c>
      <ns0:c r="H441" s="19" t="inlineStr">
        <ns0:is>
          <ns0:t>Autism Disorder(AD) During) is a serious developmental abnormality that affects the behavior and communication of an individual. Under the category of Autism disorder, falls a group of complex and heterogenous disorders i.e., Autism spectrum disorder (ASD) and Attention Deficit Hyperactivity Disorder (ADHD). Due to their significant comorbidity and the mutually reinforcing nature of their symptoms, many disorders can be difficult to diagnose. Traditional diagnosis of AD follows a behavioral dependent approach and often fail to detect overlap or comorbidity between the two disorders, leading to misdiagnosis and an inappropriate treatment. In the existing literature, various automated models based on artificial intelligence(AI) techniques and quantitative measures such as fMRI, eye, and electroencephalography (EEG) have been developed for differentiating ASD from healthy or ADHD from healthy. Among these measures, fMRI has emerged as a potential tool to serve as a biomarker for AD. However, despite having significant overlap and misdiagnosis, very few research have attempted to distinguish ADHD from ASD. Keeping this essence, in this paper, an Ensembler_fMRI framework has been proposed that combines the multiple AI techniques to analyze fMRI data and extract relevant features that can distinguish ADHD from ASD. The proposed framework aims to leverage the available ASD and ADHD databases (ABIDE and ADHD-200) to improve the differential diagnosis between the disorders. The framework achieved an impressive accuracy of 98%, demonstrating its potential as a valuable tool in clinical practice.</ns0:t>
        </ns0:is>
      </ns0:c>
      <ns0:c r="I441" s="19" t="inlineStr">
        <ns0:is>
          <ns0:t>Ensembler_fMRI combines multiple AI techniques on fMRI data from ABIDE and ADHD-200 to distinguish ASD from ADHD; the abstract reports 98% accuracy. Use of multisite/multidataset repositories does not itself demonstrate held-out cross-site robustness or external validation; component model details are incomplete in the accessible abstract.</ns0:t>
        </ns0:is>
      </ns0:c>
      <ns0:c r="J441" s="19" t="inlineStr">
        <ns0:is>
          <ns0:t>Lote_01_25: nivel=Abstract/metadata del editor; ubicación OA conocida, PDF completo no recuperado en este entorno; hallazgo=No se adjudicó con abstract solamente.; limitación=Sin Methods/Results completos no es fiable codificar RQ2/RQ3 ni cerrar elegibilidad.; acción=Abrir/descargar el PDF OA desde el navegador o acceso institucional y revisar Methods/Results; en este entorno solo se recuperó abstract/metadata, por lo que no se adjudicó.; fuente=https://www.sciencedirect.com/science/article/pii/S187705092501244X
Lote_06_22: nivel=ScienceDirect Procedia research abstract with datasets, purpose and reported performance sufficient for scoped coding; hallazgo=Ensembler_fMRI combines multiple AI techniques on fMRI data from ABIDE and ADHD-200 to distinguish ASD from ADHD; the abstract reports 98% accuracy.; limitación=; acción=; fuente=https://www.sciencedirect.com/science/article/pii/S187705092501244X</ns0:t>
        </ns0:is>
      </ns0:c>
      <ns0:c r="K441" s="19" t="inlineStr">
        <ns0:is>
          <ns0:t>Contenido primario accesible suficiente para adjudicación y codificación RQ; no implica que se haya adquirido una copia editorial cerrada. Requiere verificación independiente.</ns0:t>
        </ns0:is>
      </ns0:c>
      <ns0:c r="L441" s="19" t="inlineStr">
        <ns0:is>
          <ns0:t>Not documented in provided sources</ns0:t>
        </ns0:is>
      </ns0:c>
      <ns0:c r="M441" s="19" t="inlineStr">
        <ns0:is>
          <ns0:t>[]</ns0:t>
        </ns0:is>
      </ns0:c>
    </ns0:row>
    <ns0:row r="442" ht="350" customHeight="1">
      <ns0:c r="A442" s="21" t="inlineStr">
        <ns0:is>
          <ns0:t>new_16</ns0:t>
        </ns0:is>
      </ns0:c>
      <ns0:c r="B442" s="21" t="inlineStr">
        <ns0:is>
          <ns0:t>Unraveling pathogenesis and potential biomarkers for autism spectrum disorder associated with HIF1A pathway based on machine learning and experiment validation</ns0:t>
        </ns0:is>
      </ns0:c>
      <ns0:c r="C442" s="21" t="inlineStr">
        <ns0:is>
          <ns0:t>10.1016/j.nbd.2024.106763</ns0:t>
        </ns0:is>
      </ns0:c>
      <ns0:c r="D442" s="21" t="inlineStr">
        <ns0:is>
          <ns0:t>https://doi.org/10.1016/j.nbd.2024.106763</ns0:t>
        </ns0:is>
      </ns0:c>
      <ns0:c r="E442" s="21" t="inlineStr">
        <ns0:is>
          <ns0:t>Prior source-specific extraction retained; no new full-text retrieval</ns0:t>
        </ns0:is>
      </ns0:c>
      <ns0:c r="F442" s="21" t="inlineStr">
        <ns0:is>
          <ns0:t>EVIDENCIA; original abstract/coding notes and lot source trace; Inherited scoped adjudication; see source level and lot caveats</ns0:t>
        </ns0:is>
      </ns0:c>
      <ns0:c r="G442" s="21" t="inlineStr">
        <ns0:is>
          <ns0:t>Retained source-specific coding after review of the supplied extraction notes; not a new full-text retrieval. Human GEO transcriptomic data are used to identify HIF1A-related hub genes with ML; single-cell analysis and MIA mouse/cell experiments support mechanistic interpretation. Human data therefore prevent an animal-only exclusion. Animal/cell validation is mechanistic, not independent clinical external validation; the accessible abstract does not identify a site-held-out human validation design or the exact ML family used for hub-gene selection.</ns0:t>
        </ns0:is>
      </ns0:c>
      <ns0:c r="H442" s="21" t="inlineStr">
        <ns0:is>
          <ns0:t>Background: Autism spectrum disorder (ASD) is a neurodevelopmental disorder with a high social burden and limited treatments. Hypoxic condition of the brain is considered an important pathological mechanism of ASD. HIF1A is a key participant in brain hypoxia, but its contribution to the pathophysiological landscape of ASD remains unclear. Methods: ASD-related datasets were obtained from GEO database, and HIF1A-related genes from GeneCards. Co-expression module analysis identified module genes, which were intersected with HIF1A-related genes to identify common genes. Machine learning identified hub genes from intersection genes and PPI networks were constructed to explore relationships among hub and HIF1A. Single-cell RNA sequencing analyzed hub gene distribution across cell clusters. ASD mouse model was created by inducing maternal immune activation (MIA) with poly(I:C) injections, verified through behavioral tests. Validation of HIF1A pathway and hub genes was confirmed through Western Blot, qPCR, and immunofluorescence in ASD mice and microglia BV-2 cells. Results: Using CEMiTool and GeneCards, 45 genes associated with ASD and HIF1A pathway were identified. Machine learning identified CDKN1A, ETS2, LYN, and SLC16A3 as potential ASD diagnostic markers. Single-cell sequencing pinpointed activated microglia as key immune cells. Behavioral tests showed MIA offspring mice exhibited typical ASD-like behaviors. Immunofluorescence confirmed the activation of microglia and HIF1A pathway in frontal cortex of ASD mice. Additionally, IL-6 contributed to ASD by activating JUN/HIF1A pathway, affecting CDKN1A, LYN, and SLC16A3 expression in microglia. Conclusions: HIF1A-related genes CDKN1A, ETS2, LYN, and SLC16A3 are strong diagnostic markers for ASD and the activation of IL-6/JUN/HIF1A pathway in microglia contributes to the pathogenesis of ASD.</ns0:t>
        </ns0:is>
      </ns0:c>
      <ns0:c r="I442" s="21" t="inlineStr">
        <ns0:is>
          <ns0:t>Human GEO transcriptomic data are used to identify HIF1A-related hub genes with ML; single-cell analysis and MIA mouse/cell experiments support mechanistic interpretation. Human data therefore prevent an animal-only exclusion. Animal/cell validation is mechanistic, not independent clinical external validation; the accessible abstract does not identify a site-held-out human validation design or the exact ML family used for hub-gene selection.</ns0:t>
        </ns0:is>
      </ns0:c>
      <ns0:c r="J442" s="21" t="inlineStr">
        <ns0:is>
          <ns0:t>Lote_01_25: nivel=Abstract/metadata del editor; ubicación OA conocida, PDF completo no recuperado en este entorno; hallazgo=No se adjudicó con abstract solamente.; limitación=Sin Methods/Results completos no es fiable codificar RQ2/RQ3 ni cerrar elegibilidad.; acción=Abrir/descargar el PDF OA desde el navegador o acceso institucional y revisar Methods/Results; en este entorno solo se recuperó abstract/metadata, por lo que no se adjudicó.; fuente=https://www.sciencedirect.com/science/article/pii/S0969996124003656
Lote_06_22: nivel=PubMed/publisher detailed abstract with GEO analyses, ML biomarker selection, single-cell analysis and experimental validation; hallazgo=Human GEO transcriptomic data are used to identify HIF1A-related hub genes with ML; single-cell analysis and MIA mouse/cell experiments support mechanistic interpretation. Human data therefore prevent an animal-only exclusion.; limitación=; acción=; fuente=https://pubmed.ncbi.nlm.nih.gov/?term=10.1016%2Fj.nbd.2024.106763</ns0:t>
        </ns0:is>
      </ns0:c>
      <ns0:c r="K442" s="21" t="inlineStr">
        <ns0:is>
          <ns0:t>Contenido primario accesible suficiente para adjudicación y codificación RQ; no implica que se haya adquirido una copia editorial cerrada. Requiere verificación independiente.</ns0:t>
        </ns0:is>
      </ns0:c>
      <ns0:c r="L442" s="21" t="inlineStr">
        <ns0:is>
          <ns0:t>Not documented in provided sources</ns0:t>
        </ns0:is>
      </ns0:c>
      <ns0:c r="M442" s="21" t="inlineStr">
        <ns0:is>
          <ns0:t>[]</ns0:t>
        </ns0:is>
      </ns0:c>
    </ns0:row>
    <ns0:row r="443" ht="350" customHeight="1">
      <ns0:c r="A443" s="19" t="inlineStr">
        <ns0:is>
          <ns0:t>new_27</ns0:t>
        </ns0:is>
      </ns0:c>
      <ns0:c r="B443" s="19" t="inlineStr">
        <ns0:is>
          <ns0:t>Developing a simplified measure to predict the risk of autism spectrum disorders: Abbreviating the M-CHAT-R using a machine learning approach in China</ns0:t>
        </ns0:is>
      </ns0:c>
      <ns0:c r="C443" s="19" t="inlineStr">
        <ns0:is>
          <ns0:t>10.1016/j.psychres.2025.116353</ns0:t>
        </ns0:is>
      </ns0:c>
      <ns0:c r="D443" s="19" t="inlineStr">
        <ns0:is>
          <ns0:t>https://doi.org/10.1016/j.psychres.2025.116353</ns0:t>
        </ns0:is>
      </ns0:c>
      <ns0:c r="E443" s="19" t="inlineStr">
        <ns0:is>
          <ns0:t>Prior source-specific extraction retained; no new full-text retrieval</ns0:t>
        </ns0:is>
      </ns0:c>
      <ns0:c r="F443" s="19" t="inlineStr">
        <ns0:is>
          <ns0:t>EVIDENCIA; original abstract/coding notes and lot source trace; Inherited scoped adjudication; see source level and lot caveats</ns0:t>
        </ns0:is>
      </ns0:c>
      <ns0:c r="G443" s="19" t="inlineStr">
        <ns0:is>
          <ns0:t>Retained source-specific coding after review of the supplied extraction notes; not a new full-text retrieval. Retrospective analysis of 6,049 Chinese toddlers combines M-CHAT-R items with 17 sociodemographic/environmental factors, uses multiple feature-selection methods and six ML models, and derives a shortened screening measure. Derived from an existing validation cohort and not independently externally validated; strong sensitivity/specificity can coexist with low PPV in low-prevalence screening, so clinical utility should not be inferred from discrimination alone.</ns0:t>
        </ns0:is>
      </ns0:c>
      <ns0:c r="H443" s="19" t="inlineStr">
        <ns0:is>
          <ns0:t>Background: Early screening for autism spectrum disorder (ASD) is crucial, yet current assessment tools in Chinese primary child care are limited in efficacy. Objective: This study aims to employ machine learning algorithms to identify key indicators from the 20-item Modified Checklist for Autism in Toddlers, revised (M-CHAT-R) combining with ASD-related sociodemographic and environmental factors, to distinguish ASD from typically developing children. Methods: Data from our prior validation study of the Chinese M-CHAT-R (August 2016–March 2017, n = 6,049 toddlers) were reviewed. We extracted the 20-item M-CHAT-R data and integrated 17 sociodemographic and environmental risk factors associated with ASD development to strengthen M-CHAT-R's machine learning screening. Five feature selection methods were used to extract subsets from the original set. Six machine learning algorithms were applied to identify the optimal subset distinguishing clinically diagnosed ASD toddlers from typically developing toddlers. Findings: Nine features were grouped into three subsets: subset 1 contained unanimously recommended items (A1 [Follows point], A3 [Pretend play], A9 [Brings objects to show], A10 [Response to name] and A16 [Gazing following]). Subset 2 added two items (A17 [Gaining parent's attention] and A18 [Understands what is said]), and subset 3 included two more items (A8 [Interest in other children] and child's age). The top-performing algorithm resulted in a seven-item classifier of subset 2 with 92.5 % sensitivity, 90.1 % specificity, and 10.0 % positive predictive value. Conclusions: Machine learning classifiers effectively differentiate ASD toddlers from typically developing toddlers using a reduced M-CHAT-R item set. Clinical implications: This highlights the clinical significance of machine learning-optimized models for ASD screening in primary health care centers and broader applications.</ns0:t>
        </ns0:is>
      </ns0:c>
      <ns0:c r="I443" s="19" t="inlineStr">
        <ns0:is>
          <ns0:t>Retrospective analysis of 6,049 Chinese toddlers combines M-CHAT-R items with 17 sociodemographic/environmental factors, uses multiple feature-selection methods and six ML models, and derives a shortened screening measure. Derived from an existing validation cohort and not independently externally validated; strong sensitivity/specificity can coexist with low PPV in low-prevalence screening, so clinical utility should not be inferred from discrimination alone.</ns0:t>
        </ns0:is>
      </ns0:c>
      <ns0:c r="J443" s="19" t="inlineStr">
        <ns0:is>
          <ns0:t>Lote_01_25: nivel=Abstract/metadata del editor; ubicación OA conocida, PDF completo no recuperado en este entorno; hallazgo=No se adjudicó con abstract solamente.; limitación=Sin Methods/Results completos no es fiable codificar RQ2/RQ3 ni cerrar elegibilidad.; acción=Abrir/descargar el PDF OA desde el navegador o acceso institucional y revisar Methods/Results; en este entorno solo se recuperó abstract/metadata, por lo que no se adjudicó.; fuente=https://www.sciencedirect.com/science/article/pii/S0165178125000022
Lote_06_22: nivel=PubMed/publisher structured abstract with cohort size, feature-selection strategy and screening-performance metrics; hallazgo=Retrospective analysis of 6,049 Chinese toddlers combines M-CHAT-R items with 17 sociodemographic/environmental factors, uses multiple feature-selection methods and six ML models, and derives a shortened screening measure.; limitación=; acción=; fuente=https://pubmed.ncbi.nlm.nih.gov/39793526/</ns0:t>
        </ns0:is>
      </ns0:c>
      <ns0:c r="K443" s="19" t="inlineStr">
        <ns0:is>
          <ns0:t>Contenido primario accesible suficiente para adjudicación y codificación RQ; no implica que se haya adquirido una copia editorial cerrada. Requiere verificación independiente.</ns0:t>
        </ns0:is>
      </ns0:c>
      <ns0:c r="L443" s="19" t="inlineStr">
        <ns0:is>
          <ns0:t>Not documented in provided sources</ns0:t>
        </ns0:is>
      </ns0:c>
      <ns0:c r="M443" s="19" t="inlineStr">
        <ns0:is>
          <ns0:t>[]</ns0:t>
        </ns0:is>
      </ns0:c>
    </ns0:row>
    <ns0:row r="444" ht="350" customHeight="1">
      <ns0:c r="A444" s="21" t="inlineStr">
        <ns0:is>
          <ns0:t>new_31</ns0:t>
        </ns0:is>
      </ns0:c>
      <ns0:c r="B444" s="21" t="inlineStr">
        <ns0:is>
          <ns0:t>Replication of rs10099100 Association with Autism Spectrum Disorder Risk in a Polish‐Origin Cohort</ns0:t>
        </ns0:is>
      </ns0:c>
      <ns0:c r="C444" s="21" t="inlineStr">
        <ns0:is>
          <ns0:t>10.1016/j.reia.2025.202542</ns0:t>
        </ns0:is>
      </ns0:c>
      <ns0:c r="D444" s="21" t="inlineStr">
        <ns0:is>
          <ns0:t>https://doi.org/10.1016/j.reia.2025.202542</ns0:t>
        </ns0:is>
      </ns0:c>
      <ns0:c r="E444" s="21" t="inlineStr">
        <ns0:is>
          <ns0:t>Prior source-specific extraction retained; no new full-text retrieval</ns0:t>
        </ns0:is>
      </ns0:c>
      <ns0:c r="F444" s="21" t="inlineStr">
        <ns0:is>
          <ns0:t>EVIDENCIA; original abstract/coding notes and lot source trace; Inherited scoped adjudication; see source level and lot caveats</ns0:t>
        </ns0:is>
      </ns0:c>
      <ns0:c r="G444" s="21" t="inlineStr">
        <ns0:is>
          <ns0:t>Retained source-specific coding after review of the supplied extraction notes; not a new full-text retrieval. A Polish-origin ASD/control cohort is analyzed with Boruta and Random Forest to prioritize genetic and phenotypic markers, including replication of rs10099100-related risk evidence. Single ancestry-specific cohort with no independent external validation; association/feature importance is not equivalent to prospective screening performance.</ns0:t>
        </ns0:is>
      </ns0:c>
      <ns0:c r="H444" s="21" t="inlineStr">
        <ns0:is>
          <ns0:t>Background: The genetic basis of autism spectrum disorders (ASD) remains unidentified and unclear. The aim of our study was to conduct replication analyses of previously described ten single nucleotide polymorphisms in a group of candidate susceptibility ASD-genes and loci – SOX7, BEND4, FHIT, ATP2B2, PRKG1, LINC02720, EEF1A2, LOC100422212 and LINC02301 in autistic Polish child population. Methods: The study population consisted of a group of 143 unrelated Polish-origin Caucasian patients with autism and 264 healthy subjects. The single nucleotide polymorphisms analysis was performed using the allelic discrimination technique. Boruta and random forest machine learning (ML) algorithms were used for identifying important genetic, and phenotypic markers in ASD patients. Results: Our results identify the existence of a strong risk factor of the SOX7 gene polymorphism, namely C risk allele rs10099100 (P = 6.67e-13, odds ratio of 2.92 (OR)) for the development of ASD in the group of studied patients. This variant proved to be a typical male risk factor for developing boys-ASD group as compared to healthy boys (63 % vs 31 %, P = 4. 77e-11, OR of 3.69). For the nine remaining polymorphisms analyzed in our cohort, which have been described in other populations in the available literature, we did not achieve replicability. Conclusions: Our results may be useful in screening and early diagnosis of children vulnerable to autism spectrum disorders. It will result in the immediate implementation of vital therapies, reasonable learning facilitations and social training, which brings about a greater chance to enjoy a better quality of life for people on the spectrum.</ns0:t>
        </ns0:is>
      </ns0:c>
      <ns0:c r="I444" s="21" t="inlineStr">
        <ns0:is>
          <ns0:t>A Polish-origin ASD/control cohort is analyzed with Boruta and Random Forest to prioritize genetic and phenotypic markers, including replication of rs10099100-related risk evidence. Single ancestry-specific cohort with no independent external validation; association/feature importance is not equivalent to prospective screening performance.</ns0:t>
        </ns0:is>
      </ns0:c>
      <ns0:c r="J444" s="21" t="inlineStr">
        <ns0:is>
          <ns0:t>Lote_01_25: nivel=Abstract/metadata; no se recuperó texto completo evaluable; hallazgo=No se adjudicó con abstract solamente.; limitación=Sin Methods/Results completos no es fiable codificar RQ2/RQ3 ni cerrar elegibilidad.; acción=Conseguir el texto mediante suscripción institucional, biblioteca o copia de autor; después revisar Methods/Results antes de adjudicar.; fuente=https://www.sciencedirect.com/science/article/pii/S3050656525000148
Lote_06_22: nivel=Publisher detailed abstract with Polish cohort, Boruta/Random Forest analysis and reported marker findings; hallazgo=A Polish-origin ASD/control cohort is analyzed with Boruta and Random Forest to prioritize genetic and phenotypic markers, including replication of rs10099100-related risk evidence.; limitación=; acción=; fuente=https://www.sciencedirect.com/science/article/pii/S3050656525000148</ns0:t>
        </ns0:is>
      </ns0:c>
      <ns0:c r="K444" s="21" t="inlineStr">
        <ns0:is>
          <ns0:t>Contenido primario accesible suficiente para adjudicación y codificación RQ; no implica que se haya adquirido una copia editorial cerrada. Requiere verificación independiente.</ns0:t>
        </ns0:is>
      </ns0:c>
      <ns0:c r="L444" s="21" t="inlineStr">
        <ns0:is>
          <ns0:t>Not documented in provided sources</ns0:t>
        </ns0:is>
      </ns0:c>
      <ns0:c r="M444" s="21" t="inlineStr">
        <ns0:is>
          <ns0:t>[]</ns0:t>
        </ns0:is>
      </ns0:c>
    </ns0:row>
    <ns0:row r="445" ht="350" customHeight="1">
      <ns0:c r="A445" s="19" t="inlineStr">
        <ns0:is>
          <ns0:t>new_42</ns0:t>
        </ns0:is>
      </ns0:c>
      <ns0:c r="B445" s="19" t="inlineStr">
        <ns0:is>
          <ns0:t>Enhancing Early Diagnosis of Autism Spectrum Disorder Using a Bayesian-Optimized Random Forest Algorithm</ns0:t>
        </ns0:is>
      </ns0:c>
      <ns0:c r="C445" s="19" t="inlineStr">
        <ns0:is>
          <ns0:t>10.1016/j.procs.2025.04.389</ns0:t>
        </ns0:is>
      </ns0:c>
      <ns0:c r="D445" s="19" t="inlineStr">
        <ns0:is>
          <ns0:t>https://doi.org/10.1016/j.procs.2025.04.389</ns0:t>
        </ns0:is>
      </ns0:c>
      <ns0:c r="E445" s="19" t="inlineStr">
        <ns0:is>
          <ns0:t>Prior source-specific extraction retained; no new full-text retrieval</ns0:t>
        </ns0:is>
      </ns0:c>
      <ns0:c r="F445" s="19" t="inlineStr">
        <ns0:is>
          <ns0:t>EVIDENCIA; original abstract/coding notes and lot source trace; Inherited scoped adjudication; see source level and lot caveats</ns0:t>
        </ns0:is>
      </ns0:c>
      <ns0:c r="G445" s="19" t="inlineStr">
        <ns0:is>
          <ns0:t>Retained source-specific coding after review of the supplied extraction notes; not a new full-text retrieval. Uses Bayesian optimization to tune a Random Forest on behavioral, cognitive and demographic ASD variables; the paper reports very high classification performance. No independent external cohort, prospective deployment, or explicit explanation method was established; near-ceiling performance on structured ASD datasets requires careful leakage/selection-bias checks.</ns0:t>
        </ns0:is>
      </ns0:c>
      <ns0:c r="H445" s="19" t="inlineStr">
        <ns0:is>
          <ns0:t>Autism Spectrum Disorder (ASD) is a complex neurodevelopmental condition marked by social communication difficulties, re- stricted interests, and repetitive behaviors. Early and accurate diagnosis is critical for timely intervention and improved outcomes. Traditional diagnostic methods, which rely on clinical observations and assessments, can be subjective and time-consuming. This study introduces a novel approach to predicting ASD using a machine learning technique, specifically a Bayesian-optimized Ran- dom Forest classification algorithm. The proposed method uses a comprehensive dataset containing various behavioral, cognitive, and demographic features associated with ASD. The Optimized Random Forest with Bayesian approach is used to categorize indi- viduals into two groups: those who have ASD and those who do not. To develop this ensemble learning technique, multiple decision trees are used, and to achieve higher performance as well as better capability to generalize, the hyperparameters are optimized with Bayesian optimization. Preliminary analysis and comparison with existing databases substantiated the findings and revealed the effectiveness of the proposed approach. The Bayesian-optimized Random Forest classifier achieved an accuracy value of 0.9890. Such performance is highly promising and could enable increased use of machine learning methods in timely and accurate diagno- sis of ASD. The proposed approach provides recommendations for a verified diagnostic technique when implemented and creates a strong foundation for future investigations into the use of machine learning for identifying and supporting children with ASD.</ns0:t>
        </ns0:is>
      </ns0:c>
      <ns0:c r="I445" s="19" t="inlineStr">
        <ns0:is>
          <ns0:t>Uses Bayesian optimization to tune a Random Forest on behavioral, cognitive and demographic ASD variables; the paper reports very high classification performance. No independent external cohort, prospective deployment, or explicit explanation method was established; near-ceiling performance on structured ASD datasets requires careful leakage/selection-bias checks.</ns0:t>
        </ns0:is>
      </ns0:c>
      <ns0:c r="J445" s="19" t="inlineStr">
        <ns0:is>
          <ns0:t>Lote_01_25: nivel=Abstract/metadata del editor; ubicación OA conocida, PDF completo no recuperado en este entorno; hallazgo=No se adjudicó con abstract solamente.; limitación=Sin Methods/Results completos no es fiable codificar RQ2/RQ3 ni cerrar elegibilidad.; acción=Abrir/descargar el PDF OA desde el navegador o acceso institucional y revisar Methods/Results; en este entorno solo se recuperó abstract/metadata, por lo que no se adjudicó.; fuente=https://www.sciencedirect.com/science/article/pii/S1877050925014929
Lote_06_22: nivel=Open Procedia research paper/abstract with model, input domains and performance sufficient for scoped coding; hallazgo=Uses Bayesian optimization to tune a Random Forest on behavioral, cognitive and demographic ASD variables; the paper reports very high classification performance.; limitación=; acción=; fuente=https://doi.org/10.1016/j.procs.2025.04.389</ns0:t>
        </ns0:is>
      </ns0:c>
      <ns0:c r="K445" s="19" t="inlineStr">
        <ns0:is>
          <ns0:t>Contenido primario accesible suficiente para adjudicación y codificación RQ; no implica que se haya adquirido una copia editorial cerrada. Requiere verificación independiente.</ns0:t>
        </ns0:is>
      </ns0:c>
      <ns0:c r="L445" s="19" t="inlineStr">
        <ns0:is>
          <ns0:t>Not documented in provided sources</ns0:t>
        </ns0:is>
      </ns0:c>
      <ns0:c r="M445" s="19" t="inlineStr">
        <ns0:is>
          <ns0:t>[]</ns0:t>
        </ns0:is>
      </ns0:c>
    </ns0:row>
    <ns0:row r="446" ht="350" customHeight="1">
      <ns0:c r="A446" s="21" t="inlineStr">
        <ns0:is>
          <ns0:t>new_45</ns0:t>
        </ns0:is>
      </ns0:c>
      <ns0:c r="B446" s="21" t="inlineStr">
        <ns0:is>
          <ns0:t>Autism Spectrum Disorder Detection using Attention-Based CNN and ML Classifiers</ns0:t>
        </ns0:is>
      </ns0:c>
      <ns0:c r="C446" s="21" t="inlineStr">
        <ns0:is>
          <ns0:t>10.1016/j.procs.2025.04.671</ns0:t>
        </ns0:is>
      </ns0:c>
      <ns0:c r="D446" s="21" t="inlineStr">
        <ns0:is>
          <ns0:t>https://doi.org/10.1016/j.procs.2025.04.671</ns0:t>
        </ns0:is>
      </ns0:c>
      <ns0:c r="E446" s="21" t="inlineStr">
        <ns0:is>
          <ns0:t>Prior source-specific extraction retained; no new full-text retrieval</ns0:t>
        </ns0:is>
      </ns0:c>
      <ns0:c r="F446" s="21" t="inlineStr">
        <ns0:is>
          <ns0:t>EVIDENCIA; original abstract/coding notes and lot source trace; Inherited scoped adjudication; see source level and lot caveats</ns0:t>
        </ns0:is>
      </ns0:c>
      <ns0:c r="G446" s="21" t="inlineStr">
        <ns0:is>
          <ns0:t>Retained source-specific coding after review of the supplied extraction notes; not a new full-text retrieval. An attention-based CNN/Squeeze-and-Excitation pipeline extracts fMRI features and feeds ML classifiers for ASD detection on ABIDE; very high accuracy is reported. ABIDE is multisite, but no explicit site-held-out or independent external evaluation was established. Architectural attention was not counted as XAI because no explanation analysis was demonstrated.</ns0:t>
        </ns0:is>
      </ns0:c>
      <ns0:c r="H446" s="21" t="inlineStr">
        <ns0:is>
          <ns0:t>Autism spectrum disorder (ASD) is a common condition affecting how children interact and communicate. ASD can manifest in various ways, such as difficulty in social interactions, repetitive behaviours, and verbal and non-verbal communication challenges. These difficulties can significantly impact a child's ability to form relationships, participate in everyday activities, and navigate social situations. Currently, diagnosing ASD relies a lot on understanding behaviours and developmental disorders, as there are no clear physical markers for diagnosis. This study explores how advanced computer techniques, like deep learning and machine learning, can help detect ASD. Utilizing functional magnetic resonance imaging (fMRI) data from the Autism Brain Imaging Data Exchange (ABIDE) dataset, we have developed a technique to distinguish between ASD accurately and typically developed (TD) individuals. We focus on building a program that can understand the patterns in brain scans using convolutional neural networks (CNNs). Additionally, we used methods like multihead attention and squeeze and excitation to extract more features in the data. We then used machine learning (ML) algorithms to classify the extracted features. The outcomes indicate that our proposed model can detect ASD with an accuracy of 98.59%.</ns0:t>
        </ns0:is>
      </ns0:c>
      <ns0:c r="I446" s="21" t="inlineStr">
        <ns0:is>
          <ns0:t>An attention-based CNN/Squeeze-and-Excitation pipeline extracts fMRI features and feeds ML classifiers for ASD detection on ABIDE; very high accuracy is reported. ABIDE is multisite, but no explicit site-held-out or independent external evaluation was established. Architectural attention was not counted as XAI because no explanation analysis was demonstrated.</ns0:t>
        </ns0:is>
      </ns0:c>
      <ns0:c r="J446" s="21" t="inlineStr">
        <ns0:is>
          <ns0:t>Lote_01_25: nivel=Abstract/metadata del editor; ubicación OA conocida, PDF completo no recuperado en este entorno; hallazgo=No se adjudicó con abstract solamente.; limitación=Sin Methods/Results completos no es fiable codificar RQ2/RQ3 ni cerrar elegibilidad.; acción=Abrir/descargar el PDF OA desde el navegador o acceso institucional y revisar Methods/Results; en este entorno solo se recuperó abstract/metadata, por lo que no se adjudicó.; fuente=https://www.sciencedirect.com/science/article/pii/S1877050925017752
Lote_06_22: nivel=Open Procedia research paper/abstract with ABIDE source, attention-CNN pipeline and reported performance; hallazgo=An attention-based CNN/Squeeze-and-Excitation pipeline extracts fMRI features and feeds ML classifiers for ASD detection on ABIDE; very high accuracy is reported.; limitación=; acción=; fuente=https://doi.org/10.1016/j.procs.2025.04.671</ns0:t>
        </ns0:is>
      </ns0:c>
      <ns0:c r="K446" s="21" t="inlineStr">
        <ns0:is>
          <ns0:t>Contenido primario accesible suficiente para adjudicación y codificación RQ; no implica que se haya adquirido una copia editorial cerrada. Requiere verificación independiente.</ns0:t>
        </ns0:is>
      </ns0:c>
      <ns0:c r="L446" s="21" t="inlineStr">
        <ns0:is>
          <ns0:t>Not documented in provided sources</ns0:t>
        </ns0:is>
      </ns0:c>
      <ns0:c r="M446" s="21" t="inlineStr">
        <ns0:is>
          <ns0:t>[]</ns0:t>
        </ns0:is>
      </ns0:c>
    </ns0:row>
    <ns0:row r="447" ht="350" customHeight="1">
      <ns0:c r="A447" s="19" t="inlineStr">
        <ns0:is>
          <ns0:t>new_56</ns0:t>
        </ns0:is>
      </ns0:c>
      <ns0:c r="B447" s="19" t="inlineStr">
        <ns0:is>
          <ns0:t>Effective AI Techniques for Analyzing Risk Factors in Autism Spectrum Disorder (ASD)</ns0:t>
        </ns0:is>
      </ns0:c>
      <ns0:c r="C447" s="19" t="inlineStr">
        <ns0:is>
          <ns0:t>10.1016/j.procs.2025.10.018</ns0:t>
        </ns0:is>
      </ns0:c>
      <ns0:c r="D447" s="19" t="inlineStr">
        <ns0:is>
          <ns0:t>https://doi.org/10.1016/j.procs.2025.10.018</ns0:t>
        </ns0:is>
      </ns0:c>
      <ns0:c r="E447" s="19" t="inlineStr">
        <ns0:is>
          <ns0:t>Prior source-specific extraction retained; no new full-text retrieval</ns0:t>
        </ns0:is>
      </ns0:c>
      <ns0:c r="F447" s="19" t="inlineStr">
        <ns0:is>
          <ns0:t>EVIDENCIA; original abstract/coding notes and lot source trace; Inherited scoped adjudication; see source level and lot caveats</ns0:t>
        </ns0:is>
      </ns0:c>
      <ns0:c r="G447" s="19" t="inlineStr">
        <ns0:is>
          <ns0:t>Risk-factor identification without a demonstrated temporal forecast; genetic/environmental sources reported but predictive fusion not established.</ns0:t>
        </ns0:is>
      </ns0:c>
      <ns0:c r="H447" s="19" t="inlineStr">
        <ns0:is>
          <ns0:t>Autism Spectrum Disorder (ASD) is a complex neurodevelopmental condition characterised by a wide range of behavioural and developmental symptoms. Understanding the risk factors that contribute to the onset and progression of ASD is essential for early diagnosis and intervention. In this paper, we explore advanced artificial intelligence (AI) approaches for analysing risk factors associated with ASD. Specifically, we apply machine learning techniques, including Random Forest, XGBoost, and SHAP (Shapley Additive Explanations) to determine the most influential features in ASD risk prediction. Random Forest and XGBoost models are utilised to assess feature importance, offering insights into the relative contribution of various clinical, genetic, and environmental variables. Additionally, SHAP values are employed to provide model interpretability and explain the influence of individual features in a transparent and human-understandable manner. Our findings indicate that these AI-driven methods can effectively identify key risk factors for ASD, providing insights that may support earlier detection, targeted prevention, and personalised treatment strategies. This paper underscores the potential of AI to transform autism research through scalable, interpretable, and data-driven methodologies.</ns0:t>
        </ns0:is>
      </ns0:c>
      <ns0:c r="I447" s="19" t="inlineStr">
        <ns0:is>
          <ns0:t>Applies Random Forest and XGBoost to clinical, genetic and environmental ASD risk variables and uses SHAP to identify influential factors. Risk-factor association and model explanation do not establish causal risk or clinical utility; no independent external or prospective validation was identified.</ns0:t>
        </ns0:is>
      </ns0:c>
      <ns0:c r="J447" s="19" t="inlineStr">
        <ns0:is>
          <ns0:t>Lote_01_25: nivel=Abstract/metadata del editor; ubicación OA conocida, PDF completo no recuperado en este entorno; hallazgo=No se adjudicó con abstract solamente.; limitación=Sin Methods/Results completos no es fiable codificar RQ2/RQ3 ni cerrar elegibilidad.; acción=Abrir/descargar el PDF OA desde el navegador o acceso institucional y revisar Methods/Results; en este entorno solo se recuperó abstract/metadata, por lo que no se adjudicó.; fuente=https://www.sciencedirect.com/science/article/pii/S1877050925033514
Lote_06_22: nivel=Open Procedia research abstract describes RF/XGBoost, SHAP and combined clinical/genetic/environmental variables; hallazgo=Applies Random Forest and XGBoost to clinical, genetic and environmental ASD risk variables and uses SHAP to identify influential factors.; limitación=; acción=; fuente=https://doi.org/10.1016/j.procs.2025.10.018</ns0:t>
        </ns0:is>
      </ns0:c>
      <ns0:c r="K447" s="19" t="inlineStr">
        <ns0:is>
          <ns0:t>Contenido primario accesible suficiente para adjudicación y codificación RQ; no implica que se haya adquirido una copia editorial cerrada. Requiere verificación independiente.</ns0:t>
        </ns0:is>
      </ns0:c>
      <ns0:c r="L447" s="19" t="inlineStr">
        <ns0:is>
          <ns0:t>Not documented in provided sources</ns0:t>
        </ns0:is>
      </ns0:c>
      <ns0:c r="M447" s="19" t="inlineStr">
        <ns0:is>
          <ns0:t>[]</ns0:t>
        </ns0:is>
      </ns0:c>
    </ns0:row>
    <ns0:row r="448" ht="350" customHeight="1">
      <ns0:c r="A448" s="21" t="inlineStr">
        <ns0:is>
          <ns0:t>new_92</ns0:t>
        </ns0:is>
      </ns0:c>
      <ns0:c r="B448" s="21" t="inlineStr">
        <ns0:is>
          <ns0:t>Data independent acquisition proteomics and machine learning reveals that proteins associated with immunity are potential molecular markers for early diagnosis of autism</ns0:t>
        </ns0:is>
      </ns0:c>
      <ns0:c r="C448" s="21" t="inlineStr">
        <ns0:is>
          <ns0:t>10.1016/j.cca.2025.120238</ns0:t>
        </ns0:is>
      </ns0:c>
      <ns0:c r="D448" s="21" t="inlineStr">
        <ns0:is>
          <ns0:t>https://doi.org/10.1016/j.cca.2025.120238</ns0:t>
        </ns0:is>
      </ns0:c>
      <ns0:c r="E448" s="21" t="inlineStr">
        <ns0:is>
          <ns0:t>Prior source-specific extraction retained; no new full-text retrieval</ns0:t>
        </ns0:is>
      </ns0:c>
      <ns0:c r="F448" s="21" t="inlineStr">
        <ns0:is>
          <ns0:t>EVIDENCIA; original abstract/coding notes and lot source trace; Inherited scoped adjudication; see source level and lot caveats</ns0:t>
        </ns0:is>
      </ns0:c>
      <ns0:c r="G448" s="21" t="inlineStr">
        <ns0:is>
          <ns0:t>Retained source-specific coding after review of the supplied extraction notes; not a new full-text retrieval. DIA serum proteomics in 99 ASD and 70 control children yields an eight-protein ML model after bidirectional feature screening; ELISA follow-up is reported for LYZ. Leave-one-out validation is internal; ELISA confirmation of selected proteins is not an independent external cohort test. The sample is geographically limited and biomarker selection can be optimistic without nested external replication.</ns0:t>
        </ns0:is>
      </ns0:c>
      <ns0:c r="H448" s="21" t="inlineStr">
        <ns0:is>
          <ns0:t>Background: Early diagnosis of autism is critical to its treatment, but so far, there is no clear molecular marker for early diagnosis in children. Methods: We used data independent acquisition (DIA) mass spectrometry to compare protein expression in serum from 99 Chinese children with autism spectrum disorders with 70 healthy children. Results: We identified 347 downregulated and 394 upregulated proteins. Based on bioinformatics analysis, differential proteins were enriched in the immune system, immune disease, cell motility, and focal adhesion. Machine learning revealed a model with eight proteins (IGH c1898_heavy_IGHV3-33_IGHD3-9_IGHJ4, LYZ, IGL c1860_light_IGLV8-61_IGLJ2, SERPINA10, IG c1421_light_IGKV1-27_IGKJ4, rheumatoid factor RF-ET1, IGL c600_light_IGKV4-1_IGKJ4, and SELL) that were mostly associated with immunity, and accurate for diagnosis of autism. The protein family was verified by a logic-regression leave-one cross-validation method with bidirectional feature screening. The accuracy of this model was 0.9527, and the kappa coefficient was 0.9025. Conclusions: Our study showed that immunity is closely related to the onset of autism and can be used for early screening of patients. A model with eight proteins (IGH c1898_heavy_IGHV3-33_IGHD3-9_IGHJ4, LYZ, IGL c1860_light_IGLV8-61_IGLJ2, SERPINA10, IG c1421_light_IGKV1-27_IGKJ4, rheumatoid factor RF-ET1, IGL c600_light_IGKV4-1_IGKJ4, and SELL), which are mostly associated with immunity, is accurate for diagnosis of autism.</ns0:t>
        </ns0:is>
      </ns0:c>
      <ns0:c r="I448" s="21" t="inlineStr">
        <ns0:is>
          <ns0:t>DIA serum proteomics in 99 ASD and 70 control children yields an eight-protein ML model after bidirectional feature screening; ELISA follow-up is reported for LYZ. Leave-one-out validation is internal; ELISA confirmation of selected proteins is not an independent external cohort test. The sample is geographically limited and biomarker selection can be optimistic without nested external replication.</ns0:t>
        </ns0:is>
      </ns0:c>
      <ns0:c r="J448" s="21" t="inlineStr">
        <ns0:is>
          <ns0:t>Lote_02_25: nivel=Structured abstract/highlights and metadata available; OA location known, but full Methods/Results text was not retrieved in this environment; hallazgo=DIA serum proteomics in 99 ASD and 70 controls identifies an eight-protein ML model; the abstract reports leave-one cross-validation accuracy 0.9527 and kappa 0.9025.; limitación=The abstract is detailed, but it is insufficient to adjudicate all RQ2/RQ3 variables, especially external validation, multisite design and explanation methods without full Methods/Results.; acción=Abrir/obtener el PDF o HTML completo y revisar Methods/Results antes de adjudicar; fuente=https://doi.org/10.1016/j.cca.2025.120238
Lote_06_22: nivel=PubMed detailed abstract with sample size, DIA proteomics, ML feature screening, leave-one-out validation and ELISA follow-up; hallazgo=DIA serum proteomics in 99 ASD and 70 control children yields an eight-protein ML model after bidirectional feature screening; ELISA follow-up is reported for LYZ.; limitación=; acción=; fuente=https://pubmed.ncbi.nlm.nih.gov/40185380/</ns0:t>
        </ns0:is>
      </ns0:c>
      <ns0:c r="K448" s="21" t="inlineStr">
        <ns0:is>
          <ns0:t>Contenido primario accesible suficiente para adjudicación y codificación RQ; no implica que se haya adquirido una copia editorial cerrada. Requiere verificación independiente.</ns0:t>
        </ns0:is>
      </ns0:c>
      <ns0:c r="L448" s="21" t="inlineStr">
        <ns0:is>
          <ns0:t>Not documented in provided sources</ns0:t>
        </ns0:is>
      </ns0:c>
      <ns0:c r="M448" s="21" t="inlineStr">
        <ns0:is>
          <ns0:t>[]</ns0:t>
        </ns0:is>
      </ns0:c>
    </ns0:row>
    <ns0:row r="449" ht="350" customHeight="1">
      <ns0:c r="A449" s="19" t="inlineStr">
        <ns0:is>
          <ns0:t>new_183</ns0:t>
        </ns0:is>
      </ns0:c>
      <ns0:c r="B449" s="19" t="inlineStr">
        <ns0:is>
          <ns0:t>Adaptive Multi-Scale Dynamic Graph Representation Learning With Overlapping Community-Awareness for ASD Classification</ns0:t>
        </ns0:is>
      </ns0:c>
      <ns0:c r="C449" s="19" t="inlineStr">
        <ns0:is>
          <ns0:t>10.1109/jbhi.2025.3622540</ns0:t>
        </ns0:is>
      </ns0:c>
      <ns0:c r="D449" s="19" t="inlineStr">
        <ns0:is>
          <ns0:t>https://doi.org/10.1109/jbhi.2025.3622540</ns0:t>
        </ns0:is>
      </ns0:c>
      <ns0:c r="E449" s="19" t="inlineStr">
        <ns0:is>
          <ns0:t>Prior source-specific extraction retained; no new full-text retrieval</ns0:t>
        </ns0:is>
      </ns0:c>
      <ns0:c r="F449" s="19" t="inlineStr">
        <ns0:is>
          <ns0:t>EVIDENCIA; original abstract/coding notes and lot source trace; Inherited scoped adjudication; see source level and lot caveats</ns0:t>
        </ns0:is>
      </ns0:c>
      <ns0:c r="G449" s="19" t="inlineStr">
        <ns0:is>
          <ns0:t>Retained source-specific coding after review of the supplied extraction notes; not a new full-text retrieval. Ada-MST learns adaptive multi-scale dynamic graph representations from ABIDE-I/II rs-fMRI and includes community-aware readout/visualization for ASD classification. ABIDE-I/II are multisite datasets, but no explicit held-out-site robustness design was established in the accessible report. Visualization was treated as partial interpretability, not strict XAI.</ns0:t>
        </ns0:is>
      </ns0:c>
      <ns0:c r="H449" s="19" t="inlineStr">
        <ns0:is>
          <ns0:t>In recent years, dynamic functional connectivity (dFC) has been widely employed for brain disease diagnosis. By leveraging the inherent topological characteristics of the brain, graph neural networks (GNNs) have emerged as prominent deep learning methods for utilizing dFC in this context. However, existing research has some limitations. Temporally, the conventional fixed-length sliding window approach often fails to capture the multi-scale temporal characteristics inherent in brain activity. Spatially, GNN-derived graph representations usually overlook the multi-network participation of brain regions. To address these limitations, we propose Ada-MST, an adaptive multi-scale spatio-temporal model utilizing multi-scale dFC for brain disease diagnosis. Our framework constructs personalized multi-scale dFC graphs that adapt to subject-specific temporal characteristics. Moreover, we introduce a novel overlapping community-aware readout module that incorporates the participation of brain regions in multiple functional networks, leading to more accurate graph-level representations. Experiments on ABIDE-I and ABIDE-II datasets demonstrate that our method outperforms state-of-the-art approaches. Visualization analysis further confirms the generalizability of the subject-adaptive graphs and their focus on disease-related brain activity. Furthermore, the fuzzy memberships revealed by our readout module indicate distinct patterns across diseases, suggesting the promise of considering functional community membership changes for exploring disease biomarkers.</ns0:t>
        </ns0:is>
      </ns0:c>
      <ns0:c r="I449" s="19" t="inlineStr">
        <ns0:is>
          <ns0:t>Ada-MST learns adaptive multi-scale dynamic graph representations from ABIDE-I/II rs-fMRI and includes community-aware readout/visualization for ASD classification. ABIDE-I/II are multisite datasets, but no explicit held-out-site robustness design was established in the accessible report. Visualization was treated as partial interpretability, not strict XAI.</ns0:t>
        </ns0:is>
      </ns0:c>
      <ns0:c r="J449" s="19" t="inlineStr">
        <ns0:is>
          <ns0:t>Lote_02_25: nivel=Peer-reviewed abstract/metadata available from PubMed/IEEE; full Methods/Results text not retrieved in a verifiable source; hallazgo=Ada-MST uses personalized multi-scale dynamic functional-connectivity graphs and an overlapping community-aware GNN readout on ABIDE-I/II; the abstract reports improved classification and biomarker-oriented visualizations.; limitación=Without full Methods/Results, it is not safe to adjudicate the validation split, external/cross-site robustness, or whether the visualization meets the review XAI criteria.; acción=Abrir/obtener el PDF o HTML completo y revisar Methods/Results antes de adjudicar; fuente=https://pubmed.ncbi.nlm.nih.gov/41359708/
Lote_06_22: nivel=PubMed/IEEE detailed abstract with ABIDE-I/II, dynamic graph architecture and visualization analysis; hallazgo=Ada-MST learns adaptive multi-scale dynamic graph representations from ABIDE-I/II rs-fMRI and includes community-aware readout/visualization for ASD classification.; limitación=; acción=; fuente=https://pubmed.ncbi.nlm.nih.gov/41359708/</ns0:t>
        </ns0:is>
      </ns0:c>
      <ns0:c r="K449" s="19" t="inlineStr">
        <ns0:is>
          <ns0:t>Contenido primario accesible suficiente para adjudicación y codificación RQ; no implica que se haya adquirido una copia editorial cerrada. Requiere verificación independiente.</ns0:t>
        </ns0:is>
      </ns0:c>
      <ns0:c r="L449" s="19" t="inlineStr">
        <ns0:is>
          <ns0:t>Not documented in provided sources</ns0:t>
        </ns0:is>
      </ns0:c>
      <ns0:c r="M449" s="19" t="inlineStr">
        <ns0:is>
          <ns0:t>[]</ns0:t>
        </ns0:is>
      </ns0:c>
    </ns0:row>
    <ns0:row r="450" ht="350" customHeight="1">
      <ns0:c r="A450" s="21" t="inlineStr">
        <ns0:is>
          <ns0:t>new_198</ns0:t>
        </ns0:is>
      </ns0:c>
      <ns0:c r="B450" s="21" t="inlineStr">
        <ns0:is>
          <ns0:t>A Multimodal AI Framework for Early Autism Identification Using CbRNN–Ensemble Modelling and Advanced NCIAPPF-Based Temporal Encoding</ns0:t>
        </ns0:is>
      </ns0:c>
      <ns0:c r="C450" s="21" t="inlineStr">
        <ns0:is>
          <ns0:t>10.1002/jdn.70117</ns0:t>
        </ns0:is>
      </ns0:c>
      <ns0:c r="D450" s="21" t="inlineStr">
        <ns0:is>
          <ns0:t>https://doi.org/10.1002/jdn.70117</ns0:t>
        </ns0:is>
      </ns0:c>
      <ns0:c r="E450" s="21" t="inlineStr">
        <ns0:is>
          <ns0:t>Prior source-specific extraction retained; no new full-text retrieval</ns0:t>
        </ns0:is>
      </ns0:c>
      <ns0:c r="F450" s="21" t="inlineStr">
        <ns0:is>
          <ns0:t>EVIDENCIA; original abstract/coding notes and lot source trace; Inherited scoped adjudication; see source level and lot caveats</ns0:t>
        </ns0:is>
      </ns0:c>
      <ns0:c r="G450" s="21" t="inlineStr">
        <ns0:is>
          <ns0:t>Retained source-specific coding after review of the supplied extraction notes; not a new full-text retrieval. AutiScan fuses facial-expression, eye-gaze, speech-prosody and behavioral cues using CbRNN-EM and NCIAPPF temporal processing for early ASD identification. High-priority reporting inconsistency: the article describes experimental multimodal analyses, while the publisher Data Availability Statement says that no datasets were generated or analyzed. Independent source/sample and validation verification is required.
AutiScan fuses facial-expression, eye-gaze, speech-prosody and behavioral cues using CbRNN-EM and NCIAPPF temporal processing for early ASD identification. High-priority reporting inconsistency: the article describes experimental multimodal analyses, while the publisher Data Availability Statement says that no datasets were generated or analyzed. Independent source/sample and validation verification is required.
Material reporting/source-lineage inconsistency preserved; excluded in conservative sensitivity analysis.</ns0:t>
        </ns0:is>
      </ns0:c>
      <ns0:c r="H450" s="21" t="inlineStr">
        <ns0:is>
          <ns0:t>To improve child developmental results and enable prompt interventions, early identification of autism spectrum disorder (ASD) is crucial. Conventional diagnostic instruments, while clinically standardized, remain constrained by subjectivity, limited scalability and dependence on expert evaluation. This study introduces AutiScan, an AI-driven framework that integrates a Convolution-based Recurrent Neural Network Ensemble Model (CbRNN-EM) with the neural context-integrated adaptive reprocessing and pattern filtering (NCIAPPF) technique for capturing temporal dynamics of neural encoding. The proposed system analyses multimodal data including facial expressions, eye-gaze patterns, speech prosody and behavioural cues to extract spatial, emotional and sequential features relevant to early ASD markers. NCIAPPF enhances preprocessing by adaptively filtering noise, normalizing multimodal signals and preserving fine-grained temporal dependencies essential for robust pattern recognition. The fused representations are classified using an ensemble layer, achieving superior accuracy compared with traditional deep learning and machine learning prototypes. The results of the experiments show that AutiScan offers a dependable, scalable and comprehensible early ASD screening tool, underscoring the opportunity for practical clinical and educational implementation.</ns0:t>
        </ns0:is>
      </ns0:c>
      <ns0:c r="I450" s="21" t="inlineStr">
        <ns0:is>
          <ns0:t>AutiScan fuses facial-expression, eye-gaze, speech-prosody and behavioral cues using CbRNN-EM and NCIAPPF temporal processing for early ASD identification. High-priority reporting inconsistency: the article describes experimental multimodal analyses, while the publisher Data Availability Statement says that no datasets were generated or analyzed. Independent source/sample and validation verification is required.</ns0:t>
        </ns0:is>
      </ns0:c>
      <ns0:c r="J450" s="21" t="inlineStr">
        <ns0:is>
          <ns0:t>Lote_03_25: nivel=Publisher abstract and bibliographic record only; internal reporting inconsistency prevents reliable full-text adjudication; hallazgo=The abstract describes multimodal facial, gaze, speech and behavioral fusion with CbRNN-EM/NCIAPPF and experimental screening results.; limitación=; acción=; fuente=https://onlinelibrary.wiley.com/doi/10.1002/jdn.70117
Lote_06_22: nivel=Wiley/PubMed publisher article page plus accessible full-text reproduction; enough methodological detail for scoped coding but with internal reporting inconsistency; hallazgo=AutiScan fuses facial-expression, eye-gaze, speech-prosody and behavioral cues using CbRNN-EM and NCIAPPF temporal processing for early ASD identification.; limitación=; acción=; fuente=https://onlinelibrary.wiley.com/doi/10.1002/jdn.70117</ns0:t>
        </ns0:is>
      </ns0:c>
      <ns0:c r="K450" s="21" t="inlineStr">
        <ns0:is>
          <ns0:t>Contenido primario accesible suficiente para adjudicación y codificación RQ; no implica que se haya adquirido una copia editorial cerrada. Requiere verificación independiente.</ns0:t>
        </ns0:is>
      </ns0:c>
      <ns0:c r="L450" s="21" t="inlineStr">
        <ns0:is>
          <ns0:t>Not documented in provided sources</ns0:t>
        </ns0:is>
      </ns0:c>
      <ns0:c r="M450" s="21" t="inlineStr">
        <ns0:is>
          <ns0:t>[]</ns0:t>
        </ns0:is>
      </ns0:c>
    </ns0:row>
    <ns0:row r="451" ht="350" customHeight="1">
      <ns0:c r="A451" s="19" t="inlineStr">
        <ns0:is>
          <ns0:t>new_239</ns0:t>
        </ns0:is>
      </ns0:c>
      <ns0:c r="B451" s="19" t="inlineStr">
        <ns0:is>
          <ns0:t>Real-Time Classification for EEG Data in Children With ASD Using Deep Learning Techniques</ns0:t>
        </ns0:is>
      </ns0:c>
      <ns0:c r="C451" s="19" t="inlineStr">
        <ns0:is>
          <ns0:t>10.1002/dneu.23009</ns0:t>
        </ns0:is>
      </ns0:c>
      <ns0:c r="D451" s="19" t="inlineStr">
        <ns0:is>
          <ns0:t>https://doi.org/10.1002/dneu.23009</ns0:t>
        </ns0:is>
      </ns0:c>
      <ns0:c r="E451" s="19" t="inlineStr">
        <ns0:is>
          <ns0:t>Prior source-specific extraction retained; no new full-text retrieval</ns0:t>
        </ns0:is>
      </ns0:c>
      <ns0:c r="F451" s="19" t="inlineStr">
        <ns0:is>
          <ns0:t>EVIDENCIA; original abstract/coding notes and lot source trace; Inherited scoped adjudication; see source level and lot caveats</ns0:t>
        </ns0:is>
      </ns0:c>
      <ns0:c r="G451" s="19" t="inlineStr">
        <ns0:is>
          <ns0:t>Retained source-specific coding after review of the supplied extraction notes; not a new full-text retrieval. EEG from 60 children (30 ASD/30 TD) is processed with STFT/ICA and classified using CNN-LSTM; the paper reports 87.5% accuracy, while a ResNet baseline reports 89.1%. High-priority internal inconsistency: the abstract states that a 60-child EEG dataset was analyzed, while the publisher Data Availability Statement says no datasets were generated or analyzed. No external cohort or real-time prospective deployment was established.
EEG from 60 children (30 ASD/30 TD) is processed with STFT/ICA and classified using CNN-LSTM; the paper reports 87.5% accuracy, while a ResNet baseline reports 89.1%. High-priority internal inconsistency: the abstract states that a 60-child EEG dataset was analyzed, while the publisher Data Availability Statement says no datasets were generated or analyzed. No external cohort or real-time prospective deployment was established.
Material reporting/source-lineage inconsistency preserved; excluded in conservative sensitivity analysis.
All-neural/optimization pipeline in recovered evidence; hybrid title is not sufficient for mixed conventional-ML/DL classification.</ns0:t>
        </ns0:is>
      </ns0:c>
      <ns0:c r="H451" s="19" t="inlineStr">
        <ns0:is>
          <ns0:t>Autism spectrum disorder (ASD) presents unique challenges in diagnosis and treatment, necessitating innovative approaches to understanding its underlying neurophysiological mechanisms. Real-time classification of electroencephalography (EEG) data in children with ASD faces significant challenges due to variability in EEG signals caused by individual differences in brain activity, age, and behavioral states, complicating robust algorithm development. This study develops and validates a deep learning–based framework for real-time EEG classification in children with ASD, aiming to enhance diagnostic accuracy and enable timely interventions. The dataset includes EEG recordings from 60 children (30 with ASD and 30 typically developing), representing diverse age groups and behavioral profiles to improve generalizability. Pre-processing removes noise and artifacts through segmentation, short-time Fourier transform (STFT), and independent component analysis (ICA). Grid search optimization (GSO) enhances model performance by systematically searching hyperparameter combinations to find the optimal configuration. A hybrid convolutional neural network (CNN)–long short-term memory (LSTM) framework is proposed, combining convolutional layers for spatial feature extraction with LSTM layers for temporal sequence modeling. This hybrid model is the primary proposed solution for real-time EEG classification due to its ability to capture both spatial and temporal features critical for interpreting sequential EEG data in children with ASD. The model achieves an accuracy of 87.5%, a precision of 85.0%, a recall of 90.0%, and an F1 score of 87.5% implemented using MATLAB software. In comparison, ResNet, a baseline deep CNN model, achieves slightly higher accuracy (89.1%) but lacks temporal modeling capabilities essential for sequential EEG interpretation. Despite ResNet's marginally higher accuracy, the hybrid CNN–LSTM is favored as the final model for its superior temporal modeling, critical in EEG analysis. Future work may include real-time feedback mechanisms, mobile application development, and longitudinal data expansion.</ns0:t>
        </ns0:is>
      </ns0:c>
      <ns0:c r="I451" s="19" t="inlineStr">
        <ns0:is>
          <ns0:t>EEG from 60 children (30 ASD/30 TD) is processed with STFT/ICA and classified using CNN-LSTM; the paper reports 87.5% accuracy, while a ResNet baseline reports 89.1%. High-priority internal inconsistency: the abstract states that a 60-child EEG dataset was analyzed, while the publisher Data Availability Statement says no datasets were generated or analyzed. No external cohort or real-time prospective deployment was established.</ns0:t>
        </ns0:is>
      </ns0:c>
      <ns0:c r="J451" s="19" t="inlineStr">
        <ns0:is>
          <ns0:t>Lote_03_25: nivel=Publisher record and direct-PDF index expose abstract and references, but no reliable full Methods/Results were recovered; hallazgo=The abstract reports EEG from 60 children, STFT/ICA preprocessing, grid search and a primary hybrid CNN-LSTM model with 87.5% accuracy.; limitación=; acción=; fuente=https://onlinelibrary.wiley.com/doi/10.1002/dneu.23009
Lote_06_22: nivel=Wiley/PubMed publisher article page with cohort, preprocessing, architecture and performance; internal data-availability inconsistency flagged; hallazgo=EEG from 60 children (30 ASD/30 TD) is processed with STFT/ICA and classified using CNN-LSTM; the paper reports 87.5% accuracy, while a ResNet baseline reports 89.1%.; limitación=; acción=; fuente=https://onlinelibrary.wiley.com/doi/10.1002/dneu.23009</ns0:t>
        </ns0:is>
      </ns0:c>
      <ns0:c r="K451" s="19" t="inlineStr">
        <ns0:is>
          <ns0:t>Contenido primario accesible suficiente para adjudicación y codificación RQ; no implica que se haya adquirido una copia editorial cerrada. Requiere verificación independiente.</ns0:t>
        </ns0:is>
      </ns0:c>
      <ns0:c r="L451" s="19" t="inlineStr">
        <ns0:is>
          <ns0:t>Not documented in provided sources</ns0:t>
        </ns0:is>
      </ns0:c>
      <ns0:c r="M451" s="19" t="inlineStr">
        <ns0:is>
          <ns0:t>[]</ns0:t>
        </ns0:is>
      </ns0:c>
    </ns0:row>
    <ns0:row r="452" ht="345" customHeight="1">
      <ns0:c r="A452" s="21" t="inlineStr">
        <ns0:is>
          <ns0:t>new_400</ns0:t>
        </ns0:is>
      </ns0:c>
      <ns0:c r="B452" s="21" t="inlineStr">
        <ns0:is>
          <ns0:t>Mitochondrial Gene Signature Reveals Novel Diagnostic Biomarkers for Autism Spectrum Disorder</ns0:t>
        </ns0:is>
      </ns0:c>
      <ns0:c r="C452" s="21" t="inlineStr">
        <ns0:is>
          <ns0:t>10.1007/s12035-026-05911-y</ns0:t>
        </ns0:is>
      </ns0:c>
      <ns0:c r="D452" s="21" t="inlineStr">
        <ns0:is>
          <ns0:t>https://doi.org/10.1007/s12035-026-05911-y</ns0:t>
        </ns0:is>
      </ns0:c>
      <ns0:c r="E452" s="21" t="inlineStr">
        <ns0:is>
          <ns0:t>Prior source-specific extraction retained; no new full-text retrieval</ns0:t>
        </ns0:is>
      </ns0:c>
      <ns0:c r="F452" s="21" t="inlineStr">
        <ns0:is>
          <ns0:t>EVIDENCIA; original abstract/coding notes and lot source trace; Inherited scoped adjudication; see source level and lot caveats</ns0:t>
        </ns0:is>
      </ns0:c>
      <ns0:c r="G452" s="21" t="inlineStr">
        <ns0:is>
          <ns0:t>Retained source-specific coding after review of the supplied extraction notes; not a new full-text retrieval. Mitochondrial-gene signatures are selected from GSE28521 using LASSO/RF/SVM-RFE and evaluated in GSE64018; ANN/linear/nomogram models are reported, with separate mouse qPCR support. External validation is dataset-level but remains retrospective transcriptomic validation; postmortem cortex limits direct clinical deployability, and mouse qPCR is not human clinical validation.</ns0:t>
        </ns0:is>
      </ns0:c>
      <ns0:c r="H452" s="21" t="inlineStr">
        <ns0:is>
          <ns0:t>Autism Spectrum Disorder (ASD) pathogenesis remains unclear, with mitochondrial dysfunction implicated as a key contributor. Reliable mitochondrial-related diagnostic biomarkers are lacking, hindering early detection and mechanistic studies. This study integrated transcriptomic data from postmortem ASD cortical tissues (GSE28521 for training; GSE64018 for validation) with mitochondrial-related genes (MRGs) from MitoCarta3.0. Mitochondrial pathways were investigated using gene set enrichment analysis (GSEA). Candidate ASD-mitochondria (ASD-MIT) genes were identified by combining differential expression analysis, weighted gene co-expression network analysis (WGCNA), and MRGs. Machine learning algorithms (LASSO, Random Forest, and SVM-RFE) were applied to screen hub genes. Diagnostic performance was evaluated using a linear predictive model, an artificial neural network (ANN), and a nomogram. Single-sample GSEA (ssGSEA) was used to assess associations between hub genes and mitochondrial pathway activity. Biological validation included qPCR in BTBR mice and protein localization analysis using the Human Protein Atlas (HPA). GSEA revealed significant downregulation of mitochondrial pathways in ASD. 22 candidate ASD-MIT genes were identified, from which three hub genes-IDH3A, MRPL2, and CHCHD4-were consistently selected by all three machine learning models. The three-gene panel demonstrated strong diagnostic ability (AUC = 0.910), confirmed by the ANN model (AUC = 0.903). The nomogram achieved excellent predictive accuracy (C-index = 0.964). Importantly, ssGSEA analysis showed that these genes were strongly associated with mitochondrial pathway activity, particularly mitochondrial calcium ion transport. qPCR validated significant downregulation of Idh3a and Mrpl2 in BTBR mice, and HPA confirmed mitochondrial localization and brain expression. This study identifies a mitochondrial gene signature associated with ASD and highlights IDH3A, MRPL2, and CHCHD4 as promising diagnostic biomarkers. These findings advance understanding of mitochondrial dysfunction in ASD pathogenesis and further suggest that disruption of mitochondrial Ca2⁺-energy coupling may represent a key mechanistic feature of the disease.</ns0:t>
        </ns0:is>
      </ns0:c>
      <ns0:c r="I452" s="21" t="inlineStr">
        <ns0:is>
          <ns0:t>Mitochondrial-gene signatures are selected from GSE28521 using LASSO/RF/SVM-RFE and evaluated in GSE64018; ANN/linear/nomogram models are reported, with separate mouse qPCR support. External validation is dataset-level but remains retrospective transcriptomic validation; postmortem cortex limits direct clinical deployability, and mouse qPCR is not human clinical validation.</ns0:t>
        </ns0:is>
      </ns0:c>
      <ns0:c r="J452" s="21" t="inlineStr">
        <ns0:is>
          <ns0:t>Lote_06_22: nivel=PubMed/publisher detailed abstract with discovery and independent GEO validation datasets plus predictive modeling; hallazgo=Mitochondrial-gene signatures are selected from GSE28521 using LASSO/RF/SVM-RFE and evaluated in GSE64018; ANN/linear/nomogram models are reported, with separate mouse qPCR support.; limitación=; acción=; fuente=https://pubmed.ncbi.nlm.nih.gov/42098401/</ns0:t>
        </ns0:is>
      </ns0:c>
      <ns0:c r="K452" s="21" t="inlineStr">
        <ns0:is>
          <ns0:t>Contenido primario accesible suficiente para adjudicación y codificación RQ; no implica que se haya adquirido una copia editorial cerrada. Requiere verificación independiente.</ns0:t>
        </ns0:is>
      </ns0:c>
      <ns0:c r="L452" s="21" t="inlineStr">
        <ns0:is>
          <ns0:t>Not documented in provided sources</ns0:t>
        </ns0:is>
      </ns0:c>
      <ns0:c r="M452" s="21" t="inlineStr">
        <ns0:is>
          <ns0:t>[]</ns0:t>
        </ns0:is>
      </ns0:c>
    </ns0:row>
    <ns0:row r="453" ht="309" customHeight="1">
      <ns0:c r="A453" s="19" t="inlineStr">
        <ns0:is>
          <ns0:t>new_411</ns0:t>
        </ns0:is>
      </ns0:c>
      <ns0:c r="B453" s="19" t="inlineStr">
        <ns0:is>
          <ns0:t>Blood-based DNA methylation markers for autism spectrum disorder identification using machine learning</ns0:t>
        </ns0:is>
      </ns0:c>
      <ns0:c r="C453" s="19" t="inlineStr">
        <ns0:is>
          <ns0:t>10.1080/17501911.2025.2557186</ns0:t>
        </ns0:is>
      </ns0:c>
      <ns0:c r="D453" s="19" t="inlineStr">
        <ns0:is>
          <ns0:t>https://doi.org/10.1080/17501911.2025.2557186</ns0:t>
        </ns0:is>
      </ns0:c>
      <ns0:c r="E453" s="19" t="inlineStr">
        <ns0:is>
          <ns0:t>Prior source-specific extraction retained; no new full-text retrieval</ns0:t>
        </ns0:is>
      </ns0:c>
      <ns0:c r="F453" s="19" t="inlineStr">
        <ns0:is>
          <ns0:t>EVIDENCIA; original abstract/coding notes and lot source trace; Inherited scoped adjudication; see source level and lot caveats</ns0:t>
        </ns0:is>
      </ns0:c>
      <ns0:c r="G453" s="19" t="inlineStr">
        <ns0:is>
          <ns0:t>Retained source-specific coding after review of the supplied extraction notes; not a new full-text retrieval. Whole-blood DNA methylation data (52 ASD, 48 TD) are reduced using SVM-RFECV and classified with RF/XGBoost/DT; RF and XGBoost are reported as best-performing. Small single public dataset with no independent external cohort; feature selection and model evaluation on the same source can inflate biomarker optimism without external replication.</ns0:t>
        </ns0:is>
      </ns0:c>
      <ns0:c r="H453" s="19" t="inlineStr">
        <ns0:is>
          <ns0:t>Background: Autism spectrum disorder (ASD) is a complex neurodevelopmental disorder lacking objective biomarkers for early diagnosis. DNA methylation is a promising epigenetic marker, and machine learning offers a data-driven classification approach. However, few studies have examined whole-blood, genome-wide DNA methylation profiles for ASD diagnosis in school-aged children. Methods: We analyzed genome-wide DNA methylation data from GEO dataset GSE113967, including 52 children with ASD and 48 typically developing (TD) controls. Differentially methylated positions (DMPs) were identified, and feature selection was performed using support vector machine-recursive feature elimination with cross-validation (SVM-RFECV). Classification models were developed using random forest (RF), extreme gradient boosting (XGBoost), and decision tree (DT) classifiers. A nomogram visualized feature contributions. Results: A total of 138 DMPs differentiated ASD from TD children. Eleven CpG sites selected by SVM-RFECV formed the basis for model construction. RF and XGBoost achieved the highest accuracy (75%), with DT reaching 70%. Functional annotation indicated enrichment in cell adhesion and immune-related pathways. Conclusions: This exploratory study demonstrates the feasibility of integrating peripheral blood DNA methylation data with machine learning to distinguish children with ASD. While limited by sample size and moderate accuracy, this study provides methodological insights into the feasibility of integrating epigenetic and computational approaches for ASD-related biomarker exploration.</ns0:t>
        </ns0:is>
      </ns0:c>
      <ns0:c r="I453" s="19" t="inlineStr">
        <ns0:is>
          <ns0:t>Whole-blood DNA methylation data (52 ASD, 48 TD) are reduced using SVM-RFECV and classified with RF/XGBoost/DT; RF and XGBoost are reported as best-performing. Small single public dataset with no independent external cohort; feature selection and model evaluation on the same source can inflate biomarker optimism without external replication.</ns0:t>
        </ns0:is>
      </ns0:c>
      <ns0:c r="J453" s="19" t="inlineStr">
        <ns0:is>
          <ns0:t>Lote_06_22: nivel=PubMed/publisher detailed abstract with GSE113967 sample size, SVM-RFECV and classifier comparisons; hallazgo=Whole-blood DNA methylation data (52 ASD, 48 TD) are reduced using SVM-RFECV and classified with RF/XGBoost/DT; RF and XGBoost are reported as best-performing.; limitación=; acción=; fuente=https://pubmed.ncbi.nlm.nih.gov/40923924/</ns0:t>
        </ns0:is>
      </ns0:c>
      <ns0:c r="K453" s="19" t="inlineStr">
        <ns0:is>
          <ns0:t>Contenido primario accesible suficiente para adjudicación y codificación RQ; no implica que se haya adquirido una copia editorial cerrada. Requiere verificación independiente.</ns0:t>
        </ns0:is>
      </ns0:c>
      <ns0:c r="L453" s="19" t="inlineStr">
        <ns0:is>
          <ns0:t>Not documented in provided sources</ns0:t>
        </ns0:is>
      </ns0:c>
      <ns0:c r="M453" s="19" t="inlineStr">
        <ns0:is>
          <ns0:t>[]</ns0:t>
        </ns0:is>
      </ns0:c>
    </ns0:row>
    <ns0:row r="454" ht="350" customHeight="1">
      <ns0:c r="A454" s="21" t="inlineStr">
        <ns0:is>
          <ns0:t>new_412</ns0:t>
        </ns0:is>
      </ns0:c>
      <ns0:c r="B454" s="21" t="inlineStr">
        <ns0:is>
          <ns0:t>Federated Transformer-Based Deep Learning Framework for Secure and Early Autism Diagnosis</ns0:t>
        </ns0:is>
      </ns0:c>
      <ns0:c r="C454" s="21" t="inlineStr">
        <ns0:is>
          <ns0:t>10.1007/s42979-026-04806-y</ns0:t>
        </ns0:is>
      </ns0:c>
      <ns0:c r="D454" s="21" t="inlineStr">
        <ns0:is>
          <ns0:t>https://doi.org/10.1007/s42979-026-04806-y</ns0:t>
        </ns0:is>
      </ns0:c>
      <ns0:c r="E454" s="21" t="inlineStr">
        <ns0:is>
          <ns0:t>Prior source-specific extraction retained; no new full-text retrieval</ns0:t>
        </ns0:is>
      </ns0:c>
      <ns0:c r="F454" s="21" t="inlineStr">
        <ns0:is>
          <ns0:t>EVIDENCIA; original abstract/coding notes and lot source trace; Inherited scoped adjudication; see source level and lot caveats</ns0:t>
        </ns0:is>
      </ns0:c>
      <ns0:c r="G454" s="21" t="inlineStr">
        <ns0:is>
          <ns0:t>Retained source-specific coding after review of the supplied extraction notes; not a new full-text retrieval. A federated Transformer framework is evaluated on ABIDE- and SPARK-derived data with secure aggregation and model compression, reporting very high classification accuracy. Federated/multisite training is not equivalent to a held-out-site robustness test. The accessible evidence does not establish independent external or prospective clinical validation, and near-ceiling accuracy requires leakage/partition checks.
Multiple datasets are described but the recovered evidence does not establish a single primary source or participant-linked multisource fusion.</ns0:t>
        </ns0:is>
      </ns0:c>
      <ns0:c r="H454" s="21" t="inlineStr">
        <ns0:is>
          <ns0:t>Autism Spectrum Disorder (ASD) diagnosis traditionally relies on centralized data aggregation of sensitive behavioural and physiological information, raising significant privacy and compliance challenges. To address these concerns, a novel Federated Transformer-Based Deep Learning Framework is designed for secure, decentralized, and early autism diagnosis using multimodal behavioural datasets. The system models intricate spatiotemporal connections in behavioural sequences collected from several clinical locations by using the self-attention mechanism of Transformer topologies, all without necessitating the exchange of raw data. Federated Learning (FL) and Transformer encoders are used in the proposed approach to jointly train a global model while protecting edge data privacy. The Autism Brain Imaging Data Exchange (ABIDE) dataset for neuroimaging-derived behavioural characteristics and the SPARK behavioural assessment dataset are two publicly accessible benchmark datasets used to examine this approach. Focused loss functions and federated weighted averaging were used to address the issues of class imbalance and data heterogeneity. The proposed federated Transformer model shows better diagnostic performance compared to baseline CNN models and RNN models in the federated settings, which is supported by experimental results. Evaluation on the ABIDE dataset showed that the model achieved an average accuracy of 99.4%, precision of 99.1%, recall of 98.6%, and an F1-score of 98.3%. Performance on the SPARK dataset resulted in an accuracy of 99.7%, precision of 98.8%, recall of 98.5% and an F1 - score of 98.6%. These results indicate strong generalization and efficient learning of long-range temporal dependencies that occur in behavioural data. In addition, communication efficiency was improved using model compression techniques, which led to a 40% reduction in bandwidth usage without significant reduction in performance. Privacy guarantees were enhanced by adding secure aggregation protocols in the federated training loop. This work is the first to apply Transformer architectures to federated autism diagnosis, and introduces a scalable, privacy-preserving solution for the early and accurate detection of ASD in compliance with data protection regulations.</ns0:t>
        </ns0:is>
      </ns0:c>
      <ns0:c r="I454" s="21" t="inlineStr">
        <ns0:is>
          <ns0:t>A federated Transformer framework is evaluated on ABIDE- and SPARK-derived data with secure aggregation and model compression, reporting very high classification accuracy. Federated/multisite training is not equivalent to a held-out-site robustness test. The accessible evidence does not establish independent external or prospective clinical validation, and near-ceiling accuracy requires leakage/partition checks.</ns0:t>
        </ns0:is>
      </ns0:c>
      <ns0:c r="J454" s="21" t="inlineStr">
        <ns0:is>
          <ns0:t>Lote_06_22: nivel=Springer detailed abstract/metadata describes federated Transformer, ABIDE/SPARK data and distributed clinical-location setting; hallazgo=A federated Transformer framework is evaluated on ABIDE- and SPARK-derived data with secure aggregation and model compression, reporting very high classification accuracy.; limitación=; acción=; fuente=https://doi.org/10.1007/S42979-026-04806-Y</ns0:t>
        </ns0:is>
      </ns0:c>
      <ns0:c r="K454" s="21" t="inlineStr">
        <ns0:is>
          <ns0:t>Contenido primario accesible suficiente para adjudicación y codificación RQ; no implica que se haya adquirido una copia editorial cerrada. Requiere verificación independiente.</ns0:t>
        </ns0:is>
      </ns0:c>
      <ns0:c r="L454" s="21" t="inlineStr">
        <ns0:is>
          <ns0:t>Not documented in provided sources</ns0:t>
        </ns0:is>
      </ns0:c>
      <ns0:c r="M454" s="21" t="inlineStr">
        <ns0:is>
          <ns0:t>[]</ns0:t>
        </ns0:is>
      </ns0:c>
    </ns0:row>
    <ns0:row r="455" ht="350" customHeight="1">
      <ns0:c r="A455" s="19" t="inlineStr">
        <ns0:is>
          <ns0:t>new_415</ns0:t>
        </ns0:is>
      </ns0:c>
      <ns0:c r="B455" s="19" t="inlineStr">
        <ns0:is>
          <ns0:t>Artificial intelligence-based diagnostic model for autism spectrum disorder using blood biomarkers</ns0:t>
        </ns0:is>
      </ns0:c>
      <ns0:c r="C455" s="19" t="inlineStr">
        <ns0:is>
          <ns0:t>10.1007/s00521-025-11553-3</ns0:t>
        </ns0:is>
      </ns0:c>
      <ns0:c r="D455" s="19" t="inlineStr">
        <ns0:is>
          <ns0:t>https://doi.org/10.1007/s00521-025-11553-3</ns0:t>
        </ns0:is>
      </ns0:c>
      <ns0:c r="E455" s="19" t="inlineStr">
        <ns0:is>
          <ns0:t>Prior source-specific extraction retained; no new full-text retrieval</ns0:t>
        </ns0:is>
      </ns0:c>
      <ns0:c r="F455" s="19" t="inlineStr">
        <ns0:is>
          <ns0:t>EVIDENCIA; original abstract/coding notes and lot source trace; Inherited scoped adjudication; see source level and lot caveats</ns0:t>
        </ns0:is>
      </ns0:c>
      <ns0:c r="G455" s="19" t="inlineStr">
        <ns0:is>
          <ns0:t>Retained source-specific coding after review of the supplied extraction notes; not a new full-text retrieval. The ASA framework combines information-gain/Genetic-Algorithm feature selection with an optimized DNN and reports approximately 99% accuracy. 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
The ASA framework combines information-gain/Genetic-Algorithm feature selection with an optimized DNN and reports approximately 99% accuracy. 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
Material reporting/source-lineage inconsistency preserved; excluded in conservative sensitivity analysis.</ns0:t>
        </ns0:is>
      </ns0:c>
      <ns0:c r="H455" s="19" t="inlineStr">
        <ns0:is>
          <ns0:t>Autistic spectrum disorder (ASD) is a neurological condition characterized by difficulties in social interaction, communication, and repetitive behaviors. Despite its largely hereditary nature, early detection is crucial, and a potential strategy for more efficient and quicker diagnosis is to employ artificial intelligence (AI). In this paper, a new system is introduced that is called automatic screening autism (ASA) system. ASA comprises three primary stages: data preparation (DP), feature selection (FS), and patient detection (PD). In the first stage, the used dataset is preprocessed through several steps: handling missing values and rejecting outliers. Then, these preprocessed features are fed to the FS stage to select the most important features using improved genetic algorithm (IGA). IGA composed of two stages; (i) pre-selection stage (PS2) using information gain (IG) and (ii) conclusive selection stage (CS2) using genetic algorithm (GA). Subsequently, these attributes are input into the proposed classification model using optimized deep neural network (ODNN). Actually, ODNN is based on optimized weights of traditional DNN using various optimization algorithms, and the final decision is derived from the best performance. ASA has been evaluated against contemporary methodologies. Results from experimental studies demonstrate that the proposed ASA outperforms its competitors regarding accuracy, precision, sensitivity, and F-measure, achieving values of approximately 99.10, 98.90, 98.70, and 98.80% in that order.</ns0:t>
        </ns0:is>
      </ns0:c>
      <ns0:c r="I455" s="19" t="inlineStr">
        <ns0:is>
          <ns0:t>The ASA framework combines information-gain/Genetic-Algorithm feature selection with an optimized DNN and reports approximately 99% accuracy. 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ns0:t>
        </ns0:is>
      </ns0:c>
      <ns0:c r="J455" s="19" t="inlineStr">
        <ns0:is>
          <ns0:t>Lote_06_22: nivel=Springer article page with ASA architecture/performance and data-availability links; sufficient to include but source lineage is ambiguous; hallazgo=The ASA framework combines information-gain/Genetic-Algorithm feature selection with an optimized DNN and reports approximately 99% accuracy.; limitación=; acción=; fuente=https://link.springer.com/article/10.1007/s00521-025-11553-3</ns0:t>
        </ns0:is>
      </ns0:c>
      <ns0:c r="K455" s="19" t="inlineStr">
        <ns0:is>
          <ns0:t>Contenido primario accesible suficiente para adjudicación y codificación RQ; no implica que se haya adquirido una copia editorial cerrada. Requiere verificación independiente.</ns0:t>
        </ns0:is>
      </ns0:c>
      <ns0:c r="L455" s="19" t="inlineStr">
        <ns0:is>
          <ns0:t>Not documented in provided sources</ns0:t>
        </ns0:is>
      </ns0:c>
      <ns0:c r="M455" s="19" t="inlineStr">
        <ns0:is>
          <ns0:t>[]</ns0:t>
        </ns0:is>
      </ns0:c>
    </ns0:row>
    <ns0:row r="456" ht="309" customHeight="1">
      <ns0:c r="A456" s="21" t="inlineStr">
        <ns0:is>
          <ns0:t>new_416</ns0:t>
        </ns0:is>
      </ns0:c>
      <ns0:c r="B456" s="21" t="inlineStr">
        <ns0:is>
          <ns0:t>An explainable deep learning framework for screening level autism severity using behavioural data</ns0:t>
        </ns0:is>
      </ns0:c>
      <ns0:c r="C456" s="21" t="inlineStr">
        <ns0:is>
          <ns0:t>10.1007/s42452-026-08352-3</ns0:t>
        </ns0:is>
      </ns0:c>
      <ns0:c r="D456" s="21" t="inlineStr">
        <ns0:is>
          <ns0:t>https://doi.org/10.1007/s42452-026-08352-3</ns0:t>
        </ns0:is>
      </ns0:c>
      <ns0:c r="E456" s="21" t="inlineStr">
        <ns0:is>
          <ns0:t>Prior source-specific extraction retained; no new full-text retrieval</ns0:t>
        </ns0:is>
      </ns0:c>
      <ns0:c r="F456" s="21" t="inlineStr">
        <ns0:is>
          <ns0:t>EVIDENCIA; original abstract/coding notes and lot source trace; Inherited scoped adjudication; see source level and lot caveats</ns0:t>
        </ns0:is>
      </ns0:c>
      <ns0:c r="G456" s="21" t="inlineStr">
        <ns0:is>
          <ns0:t>Retained source-specific coding after review of the supplied extraction notes; not a new full-text retrieval. BiLSTM-CGBO is trained on harmonized Kaggle/UCI behavioral screening data and uses SHAP for feature-level explanations of screening/severity outputs. The severity target is closely tied to deterministic behavioral scoring and is not an independently clinician-annotated diagnostic endpoint; no independent external clinical cohort is provided.
Harmonized Kaggle/UCI datasets do not establish distinct clinical sites; target tied to deterministic scoring.</ns0:t>
        </ns0:is>
      </ns0:c>
      <ns0:c r="H456" s="21" t="inlineStr">
        <ns0:is>
          <ns0:t>Autism Spectrum Disorder (ASD) is a complex neurodevelopmental condition characterized by heterogeneous behavioural manifestations that vary across age groups and severity strata. While questionnaire-based screening instruments enable large-scale ASD identification, reliable severity stratification remains challenging due to the absence of explicit clinician-annotated severity labels and the reliance of many existing approaches on fragmented or multi-stage pipelines. To address this gap, this study proposes a unified BiLSTM–CGBO framework for screening-level ASD identification and ordinal severity stratification under a controlled behavioural labeling paradigm. The proposed architecture integrates a Bidirectional Long Short-Term Memory (BiLSTM) network, employed as a high-capacity representation learner for modeling non-linear interactions among behavioural attributes, with a Chaotic Grey Ball Optimizer (CGBO) that adaptively modulates learning dynamics to enhance numerical stability and convergence. The framework is evaluated on harmonized ASD screening datasets from the Kaggle and UCI repositories, comprising 2154 participants across four developmental cohorts: toddlers, children, adolescents, and adults. Experimental results demonstrate consistently high classification accuracy and AUROC values across age groups, reflecting the model’s effectiveness in approximating a deterministic behavioural severity-scoring function rather than independent clinical diagnostic performance. Comparative analysis indicates that the proposed framework achieves stable improvements over classical machine learning and deep learning baselines, including SVM, CNN, and standard LSTM, under identical preprocessing and validation protocols. Model interpretability is examined using SHapley Additive Explanations (SHAP), which elucidate how behavioural attributes are utilized within the learned scoring structure without asserting causal or diagnostic attribution. Overall, the proposed BiLSTM–CGBO framework establishes a transparent, reproducible, and computationally efficient methodology for screening-level autism severity modeling, providing a robust foundation for future validation using independently clinician-annotated data and multimodal extensions.</ns0:t>
        </ns0:is>
      </ns0:c>
      <ns0:c r="I456" s="21" t="inlineStr">
        <ns0:is>
          <ns0:t>BiLSTM-CGBO is trained on harmonized Kaggle/UCI behavioral screening data and uses SHAP for feature-level explanations of screening/severity outputs. The severity target is closely tied to deterministic behavioral scoring and is not an independently clinician-annotated diagnostic endpoint; no independent external clinical cohort is provided.</ns0:t>
        </ns0:is>
      </ns0:c>
      <ns0:c r="J456" s="21" t="inlineStr">
        <ns0:is>
          <ns0:t>Lote_06_22: nivel=Open Springer full article with harmonized public datasets, BiLSTM-CGBO, SHAP and stated limitations; hallazgo=BiLSTM-CGBO is trained on harmonized Kaggle/UCI behavioral screening data and uses SHAP for feature-level explanations of screening/severity outputs.; limitación=; acción=; fuente=https://doi.org/10.1007/S42452-026-08352-3</ns0:t>
        </ns0:is>
      </ns0:c>
      <ns0:c r="K456" s="21" t="inlineStr">
        <ns0:is>
          <ns0:t>Contenido primario accesible suficiente para adjudicación y codificación RQ; no implica que se haya adquirido una copia editorial cerrada. Requiere verificación independiente.</ns0:t>
        </ns0:is>
      </ns0:c>
      <ns0:c r="L456" s="21" t="inlineStr">
        <ns0:is>
          <ns0:t>Not documented in provided sources</ns0:t>
        </ns0:is>
      </ns0:c>
      <ns0:c r="M456" s="21" t="inlineStr">
        <ns0:is>
          <ns0:t>[]</ns0:t>
        </ns0:is>
      </ns0:c>
    </ns0:row>
    <ns0:row r="457" ht="350" customHeight="1">
      <ns0:c r="A457" s="19" t="inlineStr">
        <ns0:is>
          <ns0:t>new_421</ns0:t>
        </ns0:is>
      </ns0:c>
      <ns0:c r="B457" s="19" t="inlineStr">
        <ns0:is>
          <ns0:t>Edge-Based Robot-Assisted Hand Gesture Recognition for Autism Intervention Using Hybrid Keyframe Selection and Contrastive Learning</ns0:t>
        </ns0:is>
      </ns0:c>
      <ns0:c r="C457" s="19" t="inlineStr">
        <ns0:is>
          <ns0:t>10.1109/tmrb.2026.3680976</ns0:t>
        </ns0:is>
      </ns0:c>
      <ns0:c r="D457" s="19" t="inlineStr">
        <ns0:is>
          <ns0:t>https://doi.org/10.1109/tmrb.2026.3680976</ns0:t>
        </ns0:is>
      </ns0:c>
      <ns0:c r="E457" s="19" t="inlineStr">
        <ns0:is>
          <ns0:t>Prior source-specific extraction retained; no new full-text retrieval</ns0:t>
        </ns0:is>
      </ns0:c>
      <ns0:c r="F457" s="19" t="inlineStr">
        <ns0:is>
          <ns0:t>EVIDENCIA; original abstract/coding notes and lot source trace; Inherited scoped adjudication; see source level and lot caveats</ns0:t>
        </ns0:is>
      </ns0:c>
      <ns0:c r="G457" s="19" t="inlineStr">
        <ns0:is>
          <ns0:t>Retained source-specific coding after review of the supplied extraction notes; not a new full-text retrieval. CARAT uses MediaPipe landmarks, hybrid keyframe selection, 1D convolution and contrastive learning for real-time gesture recognition/correction; data were collected with healthy and autistic children and ASD recognition accuracy is reported at 96.42%. The study validates gesture-recognition performance, not therapeutic efficacy or durable social-skill improvement. Therefore the system is intervention-oriented but not coded as confirmed clinical intervention effectiveness.
Real-time robot prototype tested with ASD participants; point-of-use technical evaluation, not established treatment efficacy.</ns0:t>
        </ns0:is>
      </ns0:c>
      <ns0:c r="H457" s="19" t="inlineStr">
        <ns0:is>
          <ns0:t>Children with Autism Spectrum Disorder (ASD) often face challenges in expressing and interpreting social gestures essential for social skill development. Traditional approaches depend on intrusive wearable sensors and manual supervision, with minimal adaptation to real-time, resource-constrained environments. To address these limitations, we present a real-time vision-based human-robot interaction (HRI) framework that autonomously supports gesture learning and correction without therapist intervention. The system employs MediaPipe-based skeletal landmark extraction with a novel hybrid keyframe selection strategy. This strategy integrates entropy-based filtering to retain semantically rich frames and a clustering-based mechanism to identify representative frames from similar gesture groups. Spatial features are modeled using one-dimensional convolutions across hand joints to capture intra-frame structural dependencies. The framework executes gesture classification and correctness evaluation simultaneously, with contrastive learning incorporated to enhance the separability of learned embeddings. An in-house assistive robot, named CARAT (Caregiver Autism Robot with AI-based Technology), has been developed to realize this framework. CARAT is equipped with a gesture-performing arm, deployed on a Jetson Orin Nano edge device, and provides real-time verbal feedback alongside physical gesture demonstrations. The dataset for evaluation was collected using CARAT, involving participants from both healthy children and children with ASD. The framework demonstrates strong recognition performance, achieving 98.85% accuracy with healthy participants, 96.42% with autistic participants, and 97.41% on the combined dataset of both groups. These results validate the effectiveness of the proposed approach for hand gesture recognition in edge-deployed assistive robots for autism intervention.</ns0:t>
        </ns0:is>
      </ns0:c>
      <ns0:c r="I457" s="19" t="inlineStr">
        <ns0:is>
          <ns0:t>CARAT uses MediaPipe landmarks, hybrid keyframe selection, 1D convolution and contrastive learning for real-time gesture recognition/correction; data were collected with healthy and autistic children and ASD recognition accuracy is reported at 96.42%. The study validates gesture-recognition performance, not therapeutic efficacy or durable social-skill improvement. Therefore the system is intervention-oriented but not coded as confirmed clinical intervention effectiveness.</ns0:t>
        </ns0:is>
      </ns0:c>
      <ns0:c r="J457" s="19" t="inlineStr">
        <ns0:is>
          <ns0:t>Lote_06_22: nivel=IEEE/author research abstract with CARAT system, participant groups, edge deployment and recognition results; hallazgo=CARAT uses MediaPipe landmarks, hybrid keyframe selection, 1D convolution and contrastive learning for real-time gesture recognition/correction; data were collected with healthy and autistic children and ASD recognition accuracy is reported at 96.42%.; limitación=; acción=; fuente=https://doi.org/10.1109/TMRB.2026.3680976</ns0:t>
        </ns0:is>
      </ns0:c>
      <ns0:c r="K457" s="19" t="inlineStr">
        <ns0:is>
          <ns0:t>Contenido primario accesible suficiente para adjudicación y codificación RQ; no implica que se haya adquirido una copia editorial cerrada. Requiere verificación independiente.</ns0:t>
        </ns0:is>
      </ns0:c>
      <ns0:c r="L457" s="19" t="inlineStr">
        <ns0:is>
          <ns0:t>Not documented in provided sources</ns0:t>
        </ns0:is>
      </ns0:c>
      <ns0:c r="M457" s="19" t="inlineStr">
        <ns0:is>
          <ns0:t>[]</ns0:t>
        </ns0:is>
      </ns0:c>
    </ns0:row>
    <ns0:row r="458" ht="350" customHeight="1">
      <ns0:c r="A458" s="21" t="inlineStr">
        <ns0:is>
          <ns0:t>new_423</ns0:t>
        </ns0:is>
      </ns0:c>
      <ns0:c r="B458" s="21" t="inlineStr">
        <ns0:is>
          <ns0:t>Toward a Smartwatch-Based System for Automated Social Interaction Monitoring in Autism</ns0:t>
        </ns0:is>
      </ns0:c>
      <ns0:c r="C458" s="21" t="inlineStr">
        <ns0:is>
          <ns0:t>10.1109/access.2026.3674057</ns0:t>
        </ns0:is>
      </ns0:c>
      <ns0:c r="D458" s="21" t="inlineStr">
        <ns0:is>
          <ns0:t>https://doi.org/10.1109/access.2026.3674057</ns0:t>
        </ns0:is>
      </ns0:c>
      <ns0:c r="E458" s="21" t="inlineStr">
        <ns0:is>
          <ns0:t>Prior source-specific extraction retained; no new full-text retrieval</ns0:t>
        </ns0:is>
      </ns0:c>
      <ns0:c r="F458" s="21" t="inlineStr">
        <ns0:is>
          <ns0:t>EVIDENCIA; original abstract/coding notes and lot source trace; Inherited scoped adjudication; see source level and lot caveats</ns0:t>
        </ns0:is>
      </ns0:c>
      <ns0:c r="G458" s="21" t="inlineStr">
        <ns0:is>
          <ns0:t>Retained source-specific coding after review of the supplied extraction notes; not a new full-text retrieval. A smartwatch/cloud system combines deep-learning speaker diarization with heart-rate data; it was tested with formally diagnosed ASD participants and in naturalistic social-interaction recordings, supporting an actual monitoring workflow. Sample sizes are small and staged, and the work evaluates measurement/diarization rather than downstream clinical outcomes. Generalization across acoustic contexts, ages, devices and sites remains unproven.</ns0:t>
        </ns0:is>
      </ns0:c>
      <ns0:c r="H458" s="21" t="inlineStr">
        <ns0:is>
          <ns0:t>Autism Spectrum Disorder (ASD) is a complex neurodevelopmental condition that affects social interactions and communication. Traditional assessment methods are often manual, subjective - lack ecological validity and scalability. This study presents a fully automated, machine learning-based system for continuous monitoring of social interactions in individuals with ASD using voice and physiological data collected in naturalistic environments. The system leverages speaker diarization to quantify the duration the ASD individual speaks during real-life conversations. An enhanced deep learning-based diarization method built on pyannote-audio is used to identify the target speaker, with each recording beginning with a short voice sample from the participant for identification purposes. Audio and heart rate data are simultaneously collected via a standalone smartwatch app, requiring no phone or network connectivity during data capture. Data are then processed through a cloud-based pipeline. The system was validated in both controlled and real-world settings, including testing with ASD individuals. Results show that the system can accurately and effectively capture speaking time, identify speaker turns, and track physiological signals during social interactions. This approach provides an objective, scalable framework for social behavior assessment in ASD, with strong potential for clinical application and long-term, real-world monitoring.</ns0:t>
        </ns0:is>
      </ns0:c>
      <ns0:c r="I458" s="21" t="inlineStr">
        <ns0:is>
          <ns0:t>A smartwatch/cloud system combines deep-learning speaker diarization with heart-rate data; it was tested with formally diagnosed ASD participants and in naturalistic social-interaction recordings, supporting an actual monitoring workflow. Sample sizes are small and staged, and the work evaluates measurement/diarization rather than downstream clinical outcomes. Generalization across acoustic contexts, ages, devices and sites remains unproven.</ns0:t>
        </ns0:is>
      </ns0:c>
      <ns0:c r="J458" s="21" t="inlineStr">
        <ns0:is>
          <ns0:t>Lote_06_22: nivel=Open IEEE Access full-text/accepted manuscript with system architecture, ASD participant testing and real-world monitoring phases; hallazgo=A smartwatch/cloud system combines deep-learning speaker diarization with heart-rate data; it was tested with formally diagnosed ASD participants and in naturalistic social-interaction recordings, supporting an actual monitoring workflow.; limitación=; acción=; fuente=https://doi.org/10.1109/ACCESS.2026.3674057</ns0:t>
        </ns0:is>
      </ns0:c>
      <ns0:c r="K458" s="21" t="inlineStr">
        <ns0:is>
          <ns0:t>Contenido primario accesible suficiente para adjudicación y codificación RQ; no implica que se haya adquirido una copia editorial cerrada. Requiere verificación independiente.</ns0:t>
        </ns0:is>
      </ns0:c>
      <ns0:c r="L458" s="21" t="inlineStr">
        <ns0:is>
          <ns0:t>Not documented in provided sources</ns0:t>
        </ns0:is>
      </ns0:c>
      <ns0:c r="M458" s="21" t="inlineStr">
        <ns0:is>
          <ns0:t>[]</ns0:t>
        </ns0:is>
      </ns0:c>
    </ns0:row>
  </ns0:sheetData>
  <ns0:autoFilter ref="A4:M458"/>
  <ns0:mergeCells count="2">
    <ns0:mergeCell ref="A2:M2"/>
    <ns0:mergeCell ref="A1:M1"/>
  </ns0:mergeCells>
  <ns0:hyperlinks>
    <ns0:hyperlink ref="D5" ns1:id="rId1"/>
    <ns0:hyperlink ref="D6" ns1:id="rId2"/>
    <ns0:hyperlink ref="D7" ns1:id="rId3"/>
    <ns0:hyperlink ref="D8" ns1:id="rId4"/>
    <ns0:hyperlink ref="D9" ns1:id="rId5"/>
    <ns0:hyperlink ref="D10" ns1:id="rId6"/>
    <ns0:hyperlink ref="D11" ns1:id="rId7"/>
    <ns0:hyperlink ref="D12" ns1:id="rId8"/>
    <ns0:hyperlink ref="D13" ns1:id="rId9"/>
    <ns0:hyperlink ref="D14" ns1:id="rId10"/>
    <ns0:hyperlink ref="D15" ns1:id="rId11"/>
    <ns0:hyperlink ref="D16" ns1:id="rId12"/>
    <ns0:hyperlink ref="D17" ns1:id="rId13"/>
    <ns0:hyperlink ref="D18" ns1:id="rId14"/>
    <ns0:hyperlink ref="D19" ns1:id="rId15"/>
    <ns0:hyperlink ref="D20" ns1:id="rId16"/>
    <ns0:hyperlink ref="D21" ns1:id="rId17"/>
    <ns0:hyperlink ref="D22" ns1:id="rId18"/>
    <ns0:hyperlink ref="D23" ns1:id="rId19"/>
    <ns0:hyperlink ref="D24" ns1:id="rId20"/>
    <ns0:hyperlink ref="D25" ns1:id="rId21"/>
    <ns0:hyperlink ref="D26" ns1:id="rId22"/>
    <ns0:hyperlink ref="D27" ns1:id="rId23"/>
    <ns0:hyperlink ref="D28" ns1:id="rId24"/>
    <ns0:hyperlink ref="D29" ns1:id="rId25"/>
    <ns0:hyperlink ref="D30" ns1:id="rId26"/>
    <ns0:hyperlink ref="D31" ns1:id="rId27"/>
    <ns0:hyperlink ref="D32" ns1:id="rId28"/>
    <ns0:hyperlink ref="D33" ns1:id="rId29"/>
    <ns0:hyperlink ref="D34" ns1:id="rId30"/>
    <ns0:hyperlink ref="D35" ns1:id="rId31"/>
    <ns0:hyperlink ref="D36" ns1:id="rId32"/>
    <ns0:hyperlink ref="D37" ns1:id="rId33"/>
    <ns0:hyperlink ref="D38" ns1:id="rId34"/>
    <ns0:hyperlink ref="D39" ns1:id="rId35"/>
    <ns0:hyperlink ref="D40" ns1:id="rId36"/>
    <ns0:hyperlink ref="D41" ns1:id="rId37"/>
    <ns0:hyperlink ref="D42" ns1:id="rId38"/>
    <ns0:hyperlink ref="D43" ns1:id="rId39"/>
    <ns0:hyperlink ref="D44" ns1:id="rId40"/>
    <ns0:hyperlink ref="D45" ns1:id="rId41"/>
    <ns0:hyperlink ref="D46" ns1:id="rId42"/>
    <ns0:hyperlink ref="D47" ns1:id="rId43"/>
    <ns0:hyperlink ref="D48" ns1:id="rId44"/>
    <ns0:hyperlink ref="D49" ns1:id="rId45"/>
    <ns0:hyperlink ref="D50" ns1:id="rId46"/>
    <ns0:hyperlink ref="D51" ns1:id="rId47"/>
    <ns0:hyperlink ref="D52" ns1:id="rId48"/>
    <ns0:hyperlink ref="D53" ns1:id="rId49"/>
    <ns0:hyperlink ref="D54" ns1:id="rId50"/>
    <ns0:hyperlink ref="D55" ns1:id="rId51"/>
    <ns0:hyperlink ref="D56" ns1:id="rId52"/>
    <ns0:hyperlink ref="D57" ns1:id="rId53"/>
    <ns0:hyperlink ref="D58" ns1:id="rId54"/>
    <ns0:hyperlink ref="D59" ns1:id="rId55"/>
    <ns0:hyperlink ref="D60" ns1:id="rId56"/>
    <ns0:hyperlink ref="D61" ns1:id="rId57"/>
    <ns0:hyperlink ref="D62" ns1:id="rId58"/>
    <ns0:hyperlink ref="D63" ns1:id="rId59"/>
    <ns0:hyperlink ref="D64" ns1:id="rId60"/>
    <ns0:hyperlink ref="D65" ns1:id="rId61"/>
    <ns0:hyperlink ref="D66" ns1:id="rId62"/>
    <ns0:hyperlink ref="D67" ns1:id="rId63"/>
    <ns0:hyperlink ref="D68" ns1:id="rId64"/>
    <ns0:hyperlink ref="D69" ns1:id="rId65"/>
    <ns0:hyperlink ref="D70" ns1:id="rId66"/>
    <ns0:hyperlink ref="D71" ns1:id="rId67"/>
    <ns0:hyperlink ref="D72" ns1:id="rId68"/>
    <ns0:hyperlink ref="D73" ns1:id="rId69"/>
    <ns0:hyperlink ref="D74" ns1:id="rId70"/>
    <ns0:hyperlink ref="D75" ns1:id="rId71"/>
    <ns0:hyperlink ref="D76" ns1:id="rId72"/>
    <ns0:hyperlink ref="D77" ns1:id="rId73"/>
    <ns0:hyperlink ref="D78" ns1:id="rId74"/>
    <ns0:hyperlink ref="D79" ns1:id="rId75"/>
    <ns0:hyperlink ref="D80" ns1:id="rId76"/>
    <ns0:hyperlink ref="D81" ns1:id="rId77"/>
    <ns0:hyperlink ref="D82" ns1:id="rId78"/>
    <ns0:hyperlink ref="D83" ns1:id="rId79"/>
    <ns0:hyperlink ref="D84" ns1:id="rId80"/>
    <ns0:hyperlink ref="D85" ns1:id="rId81"/>
    <ns0:hyperlink ref="D86" ns1:id="rId82"/>
    <ns0:hyperlink ref="D87" ns1:id="rId83"/>
    <ns0:hyperlink ref="D88" ns1:id="rId84"/>
    <ns0:hyperlink ref="D89" ns1:id="rId85"/>
    <ns0:hyperlink ref="D90" ns1:id="rId86"/>
    <ns0:hyperlink ref="D91" ns1:id="rId87"/>
    <ns0:hyperlink ref="D92" ns1:id="rId88"/>
    <ns0:hyperlink ref="D93" ns1:id="rId89"/>
    <ns0:hyperlink ref="D94" ns1:id="rId90"/>
    <ns0:hyperlink ref="D95" ns1:id="rId91"/>
    <ns0:hyperlink ref="D96" ns1:id="rId92"/>
    <ns0:hyperlink ref="D97" ns1:id="rId93"/>
    <ns0:hyperlink ref="D98" ns1:id="rId94"/>
    <ns0:hyperlink ref="D99" ns1:id="rId95"/>
    <ns0:hyperlink ref="D100" ns1:id="rId96"/>
    <ns0:hyperlink ref="D101" ns1:id="rId97"/>
    <ns0:hyperlink ref="D102" ns1:id="rId98"/>
    <ns0:hyperlink ref="D103" ns1:id="rId99"/>
    <ns0:hyperlink ref="D104" ns1:id="rId100"/>
    <ns0:hyperlink ref="D105" ns1:id="rId101"/>
    <ns0:hyperlink ref="D106" ns1:id="rId102"/>
    <ns0:hyperlink ref="D107" ns1:id="rId103"/>
    <ns0:hyperlink ref="D108" ns1:id="rId104"/>
    <ns0:hyperlink ref="D109" ns1:id="rId105"/>
    <ns0:hyperlink ref="D110" ns1:id="rId106"/>
    <ns0:hyperlink ref="D111" ns1:id="rId107"/>
    <ns0:hyperlink ref="D112" ns1:id="rId108"/>
    <ns0:hyperlink ref="D113" ns1:id="rId109"/>
    <ns0:hyperlink ref="D114" ns1:id="rId110"/>
    <ns0:hyperlink ref="D115" ns1:id="rId111"/>
    <ns0:hyperlink ref="D116" ns1:id="rId112"/>
    <ns0:hyperlink ref="D117" ns1:id="rId113"/>
    <ns0:hyperlink ref="D118" ns1:id="rId114"/>
    <ns0:hyperlink ref="D119" ns1:id="rId115"/>
    <ns0:hyperlink ref="D120" ns1:id="rId116"/>
    <ns0:hyperlink ref="D121" ns1:id="rId117"/>
    <ns0:hyperlink ref="D122" ns1:id="rId118"/>
    <ns0:hyperlink ref="D123" ns1:id="rId119"/>
    <ns0:hyperlink ref="D124" ns1:id="rId120"/>
    <ns0:hyperlink ref="D125" ns1:id="rId121"/>
    <ns0:hyperlink ref="D126" ns1:id="rId122"/>
    <ns0:hyperlink ref="D127" ns1:id="rId123"/>
    <ns0:hyperlink ref="D128" ns1:id="rId124"/>
    <ns0:hyperlink ref="D129" ns1:id="rId125"/>
    <ns0:hyperlink ref="D130" ns1:id="rId126"/>
    <ns0:hyperlink ref="D131" ns1:id="rId127"/>
    <ns0:hyperlink ref="D132" ns1:id="rId128"/>
    <ns0:hyperlink ref="D133" ns1:id="rId129"/>
    <ns0:hyperlink ref="D134" ns1:id="rId130"/>
    <ns0:hyperlink ref="D135" ns1:id="rId131"/>
    <ns0:hyperlink ref="D136" ns1:id="rId132"/>
    <ns0:hyperlink ref="D137" ns1:id="rId133"/>
    <ns0:hyperlink ref="D138" ns1:id="rId134"/>
    <ns0:hyperlink ref="D139" ns1:id="rId135"/>
    <ns0:hyperlink ref="D140" ns1:id="rId136"/>
    <ns0:hyperlink ref="D141" ns1:id="rId137"/>
    <ns0:hyperlink ref="D142" ns1:id="rId138"/>
    <ns0:hyperlink ref="D143" ns1:id="rId139"/>
    <ns0:hyperlink ref="D144" ns1:id="rId140"/>
    <ns0:hyperlink ref="D145" ns1:id="rId141"/>
    <ns0:hyperlink ref="D146" ns1:id="rId142"/>
    <ns0:hyperlink ref="D147" ns1:id="rId143"/>
    <ns0:hyperlink ref="D148" ns1:id="rId144"/>
    <ns0:hyperlink ref="D149" ns1:id="rId145"/>
    <ns0:hyperlink ref="D150" ns1:id="rId146"/>
    <ns0:hyperlink ref="D151" ns1:id="rId147"/>
    <ns0:hyperlink ref="D152" ns1:id="rId148"/>
    <ns0:hyperlink ref="D153" ns1:id="rId149"/>
    <ns0:hyperlink ref="D154" ns1:id="rId150"/>
    <ns0:hyperlink ref="D155" ns1:id="rId151"/>
    <ns0:hyperlink ref="D156" ns1:id="rId152"/>
    <ns0:hyperlink ref="D157" ns1:id="rId153"/>
    <ns0:hyperlink ref="D158" ns1:id="rId154"/>
    <ns0:hyperlink ref="D159" ns1:id="rId155"/>
    <ns0:hyperlink ref="D160" ns1:id="rId156"/>
    <ns0:hyperlink ref="D161" ns1:id="rId157"/>
    <ns0:hyperlink ref="D162" ns1:id="rId158"/>
    <ns0:hyperlink ref="D163" ns1:id="rId159"/>
    <ns0:hyperlink ref="D164" ns1:id="rId160"/>
    <ns0:hyperlink ref="D165" ns1:id="rId161"/>
    <ns0:hyperlink ref="D166" ns1:id="rId162"/>
    <ns0:hyperlink ref="D167" ns1:id="rId163"/>
    <ns0:hyperlink ref="D168" ns1:id="rId164"/>
    <ns0:hyperlink ref="D169" ns1:id="rId165"/>
    <ns0:hyperlink ref="D170" ns1:id="rId166"/>
    <ns0:hyperlink ref="D171" ns1:id="rId167"/>
    <ns0:hyperlink ref="D172" ns1:id="rId168"/>
    <ns0:hyperlink ref="D173" ns1:id="rId169"/>
    <ns0:hyperlink ref="D174" ns1:id="rId170"/>
    <ns0:hyperlink ref="D175" ns1:id="rId171"/>
    <ns0:hyperlink ref="D176" ns1:id="rId172"/>
    <ns0:hyperlink ref="D177" ns1:id="rId173"/>
    <ns0:hyperlink ref="D178" ns1:id="rId174"/>
    <ns0:hyperlink ref="D179" ns1:id="rId175"/>
    <ns0:hyperlink ref="D180" ns1:id="rId176"/>
    <ns0:hyperlink ref="D181" ns1:id="rId177"/>
    <ns0:hyperlink ref="D182" ns1:id="rId178"/>
    <ns0:hyperlink ref="D183" ns1:id="rId179"/>
    <ns0:hyperlink ref="D184" ns1:id="rId180"/>
    <ns0:hyperlink ref="D185" ns1:id="rId181"/>
    <ns0:hyperlink ref="D186" ns1:id="rId182"/>
    <ns0:hyperlink ref="D187" ns1:id="rId183"/>
    <ns0:hyperlink ref="D188" ns1:id="rId184"/>
    <ns0:hyperlink ref="D189" ns1:id="rId185"/>
    <ns0:hyperlink ref="D190" ns1:id="rId186"/>
    <ns0:hyperlink ref="D191" ns1:id="rId187"/>
    <ns0:hyperlink ref="D192" ns1:id="rId188"/>
    <ns0:hyperlink ref="D193" ns1:id="rId189"/>
    <ns0:hyperlink ref="D194" ns1:id="rId190"/>
    <ns0:hyperlink ref="D195" ns1:id="rId191"/>
    <ns0:hyperlink ref="D196" ns1:id="rId192"/>
    <ns0:hyperlink ref="D197" ns1:id="rId193"/>
    <ns0:hyperlink ref="D198" ns1:id="rId194"/>
    <ns0:hyperlink ref="D199" ns1:id="rId195"/>
    <ns0:hyperlink ref="D200" ns1:id="rId196"/>
    <ns0:hyperlink ref="D201" ns1:id="rId197"/>
    <ns0:hyperlink ref="D202" ns1:id="rId198"/>
    <ns0:hyperlink ref="D203" ns1:id="rId199"/>
    <ns0:hyperlink ref="D204" ns1:id="rId200"/>
    <ns0:hyperlink ref="D205" ns1:id="rId201"/>
    <ns0:hyperlink ref="D206" ns1:id="rId202"/>
    <ns0:hyperlink ref="D207" ns1:id="rId203"/>
    <ns0:hyperlink ref="D208" ns1:id="rId204"/>
    <ns0:hyperlink ref="D209" ns1:id="rId205"/>
    <ns0:hyperlink ref="D210" ns1:id="rId206"/>
    <ns0:hyperlink ref="D211" ns1:id="rId207"/>
    <ns0:hyperlink ref="D212" ns1:id="rId208"/>
    <ns0:hyperlink ref="D213" ns1:id="rId209"/>
    <ns0:hyperlink ref="D214" ns1:id="rId210"/>
    <ns0:hyperlink ref="D215" ns1:id="rId211"/>
    <ns0:hyperlink ref="D216" ns1:id="rId212"/>
    <ns0:hyperlink ref="D217" ns1:id="rId213"/>
    <ns0:hyperlink ref="D218" ns1:id="rId214"/>
    <ns0:hyperlink ref="D219" ns1:id="rId215"/>
    <ns0:hyperlink ref="D220" ns1:id="rId216"/>
    <ns0:hyperlink ref="D221" ns1:id="rId217"/>
    <ns0:hyperlink ref="D222" ns1:id="rId218"/>
    <ns0:hyperlink ref="D223" ns1:id="rId219"/>
    <ns0:hyperlink ref="D224" ns1:id="rId220"/>
    <ns0:hyperlink ref="D225" ns1:id="rId221"/>
    <ns0:hyperlink ref="D226" ns1:id="rId222"/>
    <ns0:hyperlink ref="D227" ns1:id="rId223"/>
    <ns0:hyperlink ref="D228" ns1:id="rId224"/>
    <ns0:hyperlink ref="D229" ns1:id="rId225"/>
    <ns0:hyperlink ref="D230" ns1:id="rId226"/>
    <ns0:hyperlink ref="D231" ns1:id="rId227"/>
    <ns0:hyperlink ref="D232" ns1:id="rId228"/>
    <ns0:hyperlink ref="D233" ns1:id="rId229"/>
    <ns0:hyperlink ref="D234" ns1:id="rId230"/>
    <ns0:hyperlink ref="D235" ns1:id="rId231"/>
    <ns0:hyperlink ref="D236" ns1:id="rId232"/>
    <ns0:hyperlink ref="D237" ns1:id="rId233"/>
    <ns0:hyperlink ref="D238" ns1:id="rId234"/>
    <ns0:hyperlink ref="D239" ns1:id="rId235"/>
    <ns0:hyperlink ref="D240" ns1:id="rId236"/>
    <ns0:hyperlink ref="D241" ns1:id="rId237"/>
    <ns0:hyperlink ref="D242" ns1:id="rId238"/>
    <ns0:hyperlink ref="D243" ns1:id="rId239"/>
    <ns0:hyperlink ref="D244" ns1:id="rId240"/>
    <ns0:hyperlink ref="D245" ns1:id="rId241"/>
    <ns0:hyperlink ref="D246" ns1:id="rId242"/>
    <ns0:hyperlink ref="D247" ns1:id="rId243"/>
    <ns0:hyperlink ref="D248" ns1:id="rId244"/>
    <ns0:hyperlink ref="D249" ns1:id="rId245"/>
    <ns0:hyperlink ref="D250" ns1:id="rId246"/>
    <ns0:hyperlink ref="D251" ns1:id="rId247"/>
    <ns0:hyperlink ref="D252" ns1:id="rId248"/>
    <ns0:hyperlink ref="D253" ns1:id="rId249"/>
    <ns0:hyperlink ref="D254" ns1:id="rId250"/>
    <ns0:hyperlink ref="D255" ns1:id="rId251"/>
    <ns0:hyperlink ref="D256" ns1:id="rId252"/>
    <ns0:hyperlink ref="D257" ns1:id="rId253"/>
    <ns0:hyperlink ref="D258" ns1:id="rId254"/>
    <ns0:hyperlink ref="D259" ns1:id="rId255"/>
    <ns0:hyperlink ref="D260" ns1:id="rId256"/>
    <ns0:hyperlink ref="D261" ns1:id="rId257"/>
    <ns0:hyperlink ref="D262" ns1:id="rId258"/>
    <ns0:hyperlink ref="D263" ns1:id="rId259"/>
    <ns0:hyperlink ref="D264" ns1:id="rId260"/>
    <ns0:hyperlink ref="D265" ns1:id="rId261"/>
    <ns0:hyperlink ref="D266" ns1:id="rId262"/>
    <ns0:hyperlink ref="D267" ns1:id="rId263"/>
    <ns0:hyperlink ref="D268" ns1:id="rId264"/>
    <ns0:hyperlink ref="D269" ns1:id="rId265"/>
    <ns0:hyperlink ref="D270" ns1:id="rId266"/>
    <ns0:hyperlink ref="D271" ns1:id="rId267"/>
    <ns0:hyperlink ref="D272" ns1:id="rId268"/>
    <ns0:hyperlink ref="D273" ns1:id="rId269"/>
    <ns0:hyperlink ref="D274" ns1:id="rId270"/>
    <ns0:hyperlink ref="D275" ns1:id="rId271"/>
    <ns0:hyperlink ref="D276" ns1:id="rId272"/>
    <ns0:hyperlink ref="D277" ns1:id="rId273"/>
    <ns0:hyperlink ref="D278" ns1:id="rId274"/>
    <ns0:hyperlink ref="D279" ns1:id="rId275"/>
    <ns0:hyperlink ref="D280" ns1:id="rId276"/>
    <ns0:hyperlink ref="D281" ns1:id="rId277"/>
    <ns0:hyperlink ref="D282" ns1:id="rId278"/>
    <ns0:hyperlink ref="D283" ns1:id="rId279"/>
    <ns0:hyperlink ref="D284" ns1:id="rId280"/>
    <ns0:hyperlink ref="D285" ns1:id="rId281"/>
    <ns0:hyperlink ref="D286" ns1:id="rId282"/>
    <ns0:hyperlink ref="D287" ns1:id="rId283"/>
    <ns0:hyperlink ref="D288" ns1:id="rId284"/>
    <ns0:hyperlink ref="D289" ns1:id="rId285"/>
    <ns0:hyperlink ref="D290" ns1:id="rId286"/>
    <ns0:hyperlink ref="D291" ns1:id="rId287"/>
    <ns0:hyperlink ref="D292" ns1:id="rId288"/>
    <ns0:hyperlink ref="D293" ns1:id="rId289"/>
    <ns0:hyperlink ref="D294" ns1:id="rId290"/>
    <ns0:hyperlink ref="D295" ns1:id="rId291"/>
    <ns0:hyperlink ref="D296" ns1:id="rId292"/>
    <ns0:hyperlink ref="D297" ns1:id="rId293"/>
    <ns0:hyperlink ref="D298" ns1:id="rId294"/>
    <ns0:hyperlink ref="D299" ns1:id="rId295"/>
    <ns0:hyperlink ref="D300" ns1:id="rId296"/>
    <ns0:hyperlink ref="D301" ns1:id="rId297"/>
    <ns0:hyperlink ref="D302" ns1:id="rId298"/>
    <ns0:hyperlink ref="D303" ns1:id="rId299"/>
    <ns0:hyperlink ref="D304" ns1:id="rId300"/>
    <ns0:hyperlink ref="D305" ns1:id="rId301"/>
    <ns0:hyperlink ref="D306" ns1:id="rId302"/>
    <ns0:hyperlink ref="D307" ns1:id="rId303"/>
    <ns0:hyperlink ref="D308" ns1:id="rId304"/>
    <ns0:hyperlink ref="D309" ns1:id="rId305"/>
    <ns0:hyperlink ref="D310" ns1:id="rId306"/>
    <ns0:hyperlink ref="D311" ns1:id="rId307"/>
    <ns0:hyperlink ref="D312" ns1:id="rId308"/>
    <ns0:hyperlink ref="D313" ns1:id="rId309"/>
    <ns0:hyperlink ref="D314" ns1:id="rId310"/>
    <ns0:hyperlink ref="D315" ns1:id="rId311"/>
    <ns0:hyperlink ref="D316" ns1:id="rId312"/>
    <ns0:hyperlink ref="D317" ns1:id="rId313"/>
    <ns0:hyperlink ref="D318" ns1:id="rId314"/>
    <ns0:hyperlink ref="D319" ns1:id="rId315"/>
    <ns0:hyperlink ref="D320" ns1:id="rId316"/>
    <ns0:hyperlink ref="D321" ns1:id="rId317"/>
    <ns0:hyperlink ref="D322" ns1:id="rId318"/>
    <ns0:hyperlink ref="D323" ns1:id="rId319"/>
    <ns0:hyperlink ref="D324" ns1:id="rId320"/>
    <ns0:hyperlink ref="D325" ns1:id="rId321"/>
    <ns0:hyperlink ref="D326" ns1:id="rId322"/>
    <ns0:hyperlink ref="D327" ns1:id="rId323"/>
    <ns0:hyperlink ref="D328" ns1:id="rId324"/>
    <ns0:hyperlink ref="D329" ns1:id="rId325"/>
    <ns0:hyperlink ref="D330" ns1:id="rId326"/>
    <ns0:hyperlink ref="D331" ns1:id="rId327"/>
    <ns0:hyperlink ref="D332" ns1:id="rId328"/>
    <ns0:hyperlink ref="D333" ns1:id="rId329"/>
    <ns0:hyperlink ref="D334" ns1:id="rId330"/>
    <ns0:hyperlink ref="D335" ns1:id="rId331"/>
    <ns0:hyperlink ref="D336" ns1:id="rId332"/>
    <ns0:hyperlink ref="D337" ns1:id="rId333"/>
    <ns0:hyperlink ref="D338" ns1:id="rId334"/>
    <ns0:hyperlink ref="D339" ns1:id="rId335"/>
    <ns0:hyperlink ref="D340" ns1:id="rId336"/>
    <ns0:hyperlink ref="D341" ns1:id="rId337"/>
    <ns0:hyperlink ref="D342" ns1:id="rId338"/>
    <ns0:hyperlink ref="D343" ns1:id="rId339"/>
    <ns0:hyperlink ref="D344" ns1:id="rId340"/>
    <ns0:hyperlink ref="D345" ns1:id="rId341"/>
    <ns0:hyperlink ref="D346" ns1:id="rId342"/>
    <ns0:hyperlink ref="D347" ns1:id="rId343"/>
    <ns0:hyperlink ref="D348" ns1:id="rId344"/>
    <ns0:hyperlink ref="D349" ns1:id="rId345"/>
    <ns0:hyperlink ref="D350" ns1:id="rId346"/>
    <ns0:hyperlink ref="D351" ns1:id="rId347"/>
    <ns0:hyperlink ref="D352" ns1:id="rId348"/>
    <ns0:hyperlink ref="D353" ns1:id="rId349"/>
    <ns0:hyperlink ref="D354" ns1:id="rId350"/>
    <ns0:hyperlink ref="D355" ns1:id="rId351"/>
    <ns0:hyperlink ref="D356" ns1:id="rId352"/>
    <ns0:hyperlink ref="D357" ns1:id="rId353"/>
    <ns0:hyperlink ref="D358" ns1:id="rId354"/>
    <ns0:hyperlink ref="D359" ns1:id="rId355"/>
    <ns0:hyperlink ref="D360" ns1:id="rId356"/>
    <ns0:hyperlink ref="D361" ns1:id="rId357"/>
    <ns0:hyperlink ref="D362" ns1:id="rId358"/>
    <ns0:hyperlink ref="D363" ns1:id="rId359"/>
    <ns0:hyperlink ref="D364" ns1:id="rId360"/>
    <ns0:hyperlink ref="D365" ns1:id="rId361"/>
    <ns0:hyperlink ref="D366" ns1:id="rId362"/>
    <ns0:hyperlink ref="D367" ns1:id="rId363"/>
    <ns0:hyperlink ref="D368" ns1:id="rId364"/>
    <ns0:hyperlink ref="D369" ns1:id="rId365"/>
    <ns0:hyperlink ref="D370" ns1:id="rId366"/>
    <ns0:hyperlink ref="D371" ns1:id="rId367"/>
    <ns0:hyperlink ref="D372" ns1:id="rId368"/>
    <ns0:hyperlink ref="D373" ns1:id="rId369"/>
    <ns0:hyperlink ref="D374" ns1:id="rId370"/>
    <ns0:hyperlink ref="D375" ns1:id="rId371"/>
    <ns0:hyperlink ref="D376" ns1:id="rId372"/>
    <ns0:hyperlink ref="D377" ns1:id="rId373"/>
    <ns0:hyperlink ref="D378" ns1:id="rId374"/>
    <ns0:hyperlink ref="D379" ns1:id="rId375"/>
    <ns0:hyperlink ref="D380" ns1:id="rId376"/>
    <ns0:hyperlink ref="D381" ns1:id="rId377"/>
    <ns0:hyperlink ref="D382" ns1:id="rId378"/>
    <ns0:hyperlink ref="D383" ns1:id="rId379"/>
    <ns0:hyperlink ref="D384" ns1:id="rId380"/>
    <ns0:hyperlink ref="D385" ns1:id="rId381"/>
    <ns0:hyperlink ref="D386" ns1:id="rId382"/>
    <ns0:hyperlink ref="D387" ns1:id="rId383"/>
    <ns0:hyperlink ref="D388" ns1:id="rId384"/>
    <ns0:hyperlink ref="D389" ns1:id="rId385"/>
    <ns0:hyperlink ref="D390" ns1:id="rId386"/>
    <ns0:hyperlink ref="D391" ns1:id="rId387"/>
    <ns0:hyperlink ref="D392" ns1:id="rId388"/>
    <ns0:hyperlink ref="D393" ns1:id="rId389"/>
    <ns0:hyperlink ref="D394" ns1:id="rId390"/>
    <ns0:hyperlink ref="D395" ns1:id="rId391"/>
    <ns0:hyperlink ref="D396" ns1:id="rId392"/>
    <ns0:hyperlink ref="D397" ns1:id="rId393"/>
    <ns0:hyperlink ref="D398" ns1:id="rId394"/>
    <ns0:hyperlink ref="D399" ns1:id="rId395"/>
    <ns0:hyperlink ref="D400" ns1:id="rId396"/>
    <ns0:hyperlink ref="D401" ns1:id="rId397"/>
    <ns0:hyperlink ref="D402" ns1:id="rId398"/>
    <ns0:hyperlink ref="D403" ns1:id="rId399"/>
    <ns0:hyperlink ref="D404" ns1:id="rId400"/>
    <ns0:hyperlink ref="D405" ns1:id="rId401"/>
    <ns0:hyperlink ref="D406" ns1:id="rId402"/>
    <ns0:hyperlink ref="D407" ns1:id="rId403"/>
    <ns0:hyperlink ref="D408" ns1:id="rId404"/>
    <ns0:hyperlink ref="D409" ns1:id="rId405"/>
    <ns0:hyperlink ref="D410" ns1:id="rId406"/>
    <ns0:hyperlink ref="D411" ns1:id="rId407"/>
    <ns0:hyperlink ref="D412" ns1:id="rId408"/>
    <ns0:hyperlink ref="D413" ns1:id="rId409"/>
    <ns0:hyperlink ref="D414" ns1:id="rId410"/>
    <ns0:hyperlink ref="D415" ns1:id="rId411"/>
    <ns0:hyperlink ref="D416" ns1:id="rId412"/>
    <ns0:hyperlink ref="D417" ns1:id="rId413"/>
    <ns0:hyperlink ref="D418" ns1:id="rId414"/>
    <ns0:hyperlink ref="D419" ns1:id="rId415"/>
    <ns0:hyperlink ref="D420" ns1:id="rId416"/>
    <ns0:hyperlink ref="D421" ns1:id="rId417"/>
    <ns0:hyperlink ref="D422" ns1:id="rId418"/>
    <ns0:hyperlink ref="D423" ns1:id="rId419"/>
    <ns0:hyperlink ref="D424" ns1:id="rId420"/>
    <ns0:hyperlink ref="D425" ns1:id="rId421"/>
    <ns0:hyperlink ref="D426" ns1:id="rId422"/>
    <ns0:hyperlink ref="D427" ns1:id="rId423"/>
    <ns0:hyperlink ref="D428" ns1:id="rId424"/>
    <ns0:hyperlink ref="D429" ns1:id="rId425"/>
    <ns0:hyperlink ref="D430" ns1:id="rId426"/>
    <ns0:hyperlink ref="D431" ns1:id="rId427"/>
    <ns0:hyperlink ref="D432" ns1:id="rId428"/>
    <ns0:hyperlink ref="D433" ns1:id="rId429"/>
    <ns0:hyperlink ref="D434" ns1:id="rId430"/>
    <ns0:hyperlink ref="D435" ns1:id="rId431"/>
    <ns0:hyperlink ref="D436" ns1:id="rId432"/>
    <ns0:hyperlink ref="D437" ns1:id="rId433"/>
    <ns0:hyperlink ref="D438" ns1:id="rId434"/>
    <ns0:hyperlink ref="D439" ns1:id="rId435"/>
    <ns0:hyperlink ref="D440" ns1:id="rId436"/>
    <ns0:hyperlink ref="D441" ns1:id="rId437"/>
    <ns0:hyperlink ref="D442" ns1:id="rId438"/>
    <ns0:hyperlink ref="D443" ns1:id="rId439"/>
    <ns0:hyperlink ref="D444" ns1:id="rId440"/>
    <ns0:hyperlink ref="D445" ns1:id="rId441"/>
    <ns0:hyperlink ref="D446" ns1:id="rId442"/>
    <ns0:hyperlink ref="D447" ns1:id="rId443"/>
    <ns0:hyperlink ref="D448" ns1:id="rId444"/>
    <ns0:hyperlink ref="D449" ns1:id="rId445"/>
    <ns0:hyperlink ref="D450" ns1:id="rId446"/>
    <ns0:hyperlink ref="D451" ns1:id="rId447"/>
    <ns0:hyperlink ref="D452" ns1:id="rId448"/>
    <ns0:hyperlink ref="D453" ns1:id="rId449"/>
    <ns0:hyperlink ref="D454" ns1:id="rId450"/>
    <ns0:hyperlink ref="D455" ns1:id="rId451"/>
    <ns0:hyperlink ref="D456" ns1:id="rId452"/>
    <ns0:hyperlink ref="D457" ns1:id="rId453"/>
    <ns0:hyperlink ref="D458" ns1:id="rId454"/>
  </ns0:hyperlinks>
  <ns0:printOptions horizontalCentered="1"/>
  <ns0:pageMargins left="0.75" right="0.75" top="1" bottom="1" header="0.5" footer="0.5"/>
  <ns0:pageSetup orientation="landscape" paperSize="8" fitToHeight="0" fitToWidth="1"/>
</ns0:worksheet>
</file>

<file path=xl/worksheets/sheet15.xml><?xml version="1.0" encoding="utf-8"?>
<ns0:worksheet xmlns:ns0="http://schemas.openxmlformats.org/spreadsheetml/2006/main" xmlns:ns1="http://schemas.openxmlformats.org/officeDocument/2006/relationships">
  <ns0:sheetPr>
    <ns0:tabColor rgb="00177E89"/>
    <ns0:outlinePr summaryBelow="1" summaryRight="0"/>
    <ns0:pageSetUpPr fitToPage="1"/>
  </ns0:sheetPr>
  <ns0:dimension ref="A1:G2453"/>
  <ns0:sheetViews>
    <ns0:sheetView showGridLines="0" workbookViewId="0">
      <ns0:pane xSplit="2" ySplit="4" topLeftCell="C5" activePane="bottomRight" state="frozen"/>
      <ns0:selection pane="topRight"/>
      <ns0:selection pane="bottomLeft"/>
      <ns0:selection pane="bottomRight" activeCell="A1" sqref="A1"/>
    </ns0:sheetView>
  </ns0:sheetViews>
  <ns0:sheetFormatPr baseColWidth="8" defaultRowHeight="15"/>
  <ns0:cols>
    <ns0:col width="13" customWidth="1" min="1" max="1"/>
    <ns0:col width="24" customWidth="1" min="2" max="2"/>
    <ns0:col width="49" customWidth="1" min="3" max="3"/>
    <ns0:col width="49" customWidth="1" min="4" max="4"/>
    <ns0:col width="100" customWidth="1" min="5" max="5"/>
    <ns0:col width="60" customWidth="1" min="6" max="6"/>
    <ns0:col width="24" customWidth="1" min="7" max="7"/>
  </ns0:cols>
  <ns0:sheetData>
    <ns0:row r="1" ht="36" customHeight="1">
      <ns0:c r="A1" s="16" t="inlineStr">
        <ns0:is>
          <ns0:t>Cambios campo por campo</ns0:t>
        </ns0:is>
      </ns0:c>
    </ns0:row>
    <ns0:row r="2" ht="32" customHeight="1">
      <ns0:c r="A2" s="17" t="inlineStr">
        <ns0:is>
          <ns0:t>Cada cambio conserva valor previo, valor de cierre, justificacion y enlace; normalizar terminologia no equivale a verificar el articulo.</ns0:t>
        </ns0:is>
      </ns0:c>
    </ns0:row>
    <ns0:row r="4" ht="34" customHeight="1">
      <ns0:c r="A4" s="18" t="inlineStr">
        <ns0:is>
          <ns0:t>study_id</ns0:t>
        </ns0:is>
      </ns0:c>
      <ns0:c r="B4" s="18" t="inlineStr">
        <ns0:is>
          <ns0:t>field</ns0:t>
        </ns0:is>
      </ns0:c>
      <ns0:c r="C4" s="18" t="inlineStr">
        <ns0:is>
          <ns0:t>previous</ns0:t>
        </ns0:is>
      </ns0:c>
      <ns0:c r="D4" s="18" t="inlineStr">
        <ns0:is>
          <ns0:t>recharted</ns0:t>
        </ns0:is>
      </ns0:c>
      <ns0:c r="E4" s="18" t="inlineStr">
        <ns0:is>
          <ns0:t>rationale</ns0:t>
        </ns0:is>
      </ns0:c>
      <ns0:c r="F4" s="18" t="inlineStr">
        <ns0:is>
          <ns0:t>evidence_url</ns0:t>
        </ns0:is>
      </ns0:c>
      <ns0:c r="G4" s="18" t="inlineStr">
        <ns0:is>
          <ns0:t>actor</ns0:t>
        </ns0:is>
      </ns0:c>
    </ns0:row>
    <ns0:row r="5" ht="42" customHeight="1">
      <ns0:c r="A5" s="19" t="inlineStr">
        <ns0:is>
          <ns0:t>1</ns0:t>
        </ns0:is>
      </ns0:c>
      <ns0:c r="B5" s="19" t="inlineStr">
        <ns0:is>
          <ns0:t>stage_primary</ns0:t>
        </ns0:is>
      </ns0:c>
      <ns0:c r="C5" s="19" t="inlineStr">
        <ns0:is>
          <ns0:t>Prescreening</ns0:t>
        </ns0:is>
      </ns0:c>
      <ns0:c r="D5" s="19" t="inlineStr">
        <ns0:is>
          <ns0:t>Screening</ns0:t>
        </ns0:is>
      </ns0:c>
      <ns0:c r="E5" s="19" t="inlineStr">
        <ns0:is>
          <ns0:t>Public age-specific screening datasets; five-fold CV and SHAP. Physician interpretation is proposed, not evaluated in a clinical workflow. Background mentions do not establish five clinical stages.</ns0:t>
        </ns0:is>
      </ns0:c>
      <ns0:c r="F5" s="19" t="inlineStr">
        <ns0:is>
          <ns0:t>https://doi.org/10.1109/access.2025.3586314</ns0:t>
        </ns0:is>
      </ns0:c>
      <ns0:c r="G5" s="19" t="inlineStr">
        <ns0:is>
          <ns0:t>ChatGPT-assisted evidence recharting, 2026-09-08</ns0:t>
        </ns0:is>
      </ns0:c>
    </ns0:row>
    <ns0:row r="6" ht="42" customHeight="1">
      <ns0:c r="A6" s="21" t="inlineStr">
        <ns0:is>
          <ns0:t>1</ns0:t>
        </ns0:is>
      </ns0:c>
      <ns0:c r="B6" s="21" t="inlineStr">
        <ns0:is>
          <ns0:t>data_source_primary</ns0:t>
        </ns0:is>
      </ns0:c>
      <ns0:c r="C6" s="21" t="inlineStr">
        <ns0:is>
          <ns0:t>Not specified</ns0:t>
        </ns0:is>
      </ns0:c>
      <ns0:c r="D6" s="21" t="inlineStr">
        <ns0:is>
          <ns0:t>Structured clinical/questionnaire data</ns0:t>
        </ns0:is>
      </ns0:c>
      <ns0:c r="E6" s="21" t="inlineStr">
        <ns0:is>
          <ns0:t>Public age-specific screening datasets; five-fold CV and SHAP. Physician interpretation is proposed, not evaluated in a clinical workflow. Background mentions do not establish five clinical stages.</ns0:t>
        </ns0:is>
      </ns0:c>
      <ns0:c r="F6" s="21" t="inlineStr">
        <ns0:is>
          <ns0:t>https://doi.org/10.1109/access.2025.3586314</ns0:t>
        </ns0:is>
      </ns0:c>
      <ns0:c r="G6" s="21" t="inlineStr">
        <ns0:is>
          <ns0:t>ChatGPT-assisted evidence recharting, 2026-09-08</ns0:t>
        </ns0:is>
      </ns0:c>
    </ns0:row>
    <ns0:row r="7" ht="42" customHeight="1">
      <ns0:c r="A7" s="19" t="inlineStr">
        <ns0:is>
          <ns0:t>1</ns0:t>
        </ns0:is>
      </ns0:c>
      <ns0:c r="B7" s="19" t="inlineStr">
        <ns0:is>
          <ns0:t>rq2_status</ns0:t>
        </ns0:is>
      </ns0:c>
      <ns0:c r="C7" s="19" t="inlineStr">
        <ns0:is>
          <ns0:t>Not adjudicated in master</ns0:t>
        </ns0:is>
      </ns0:c>
      <ns0:c r="D7" s="19" t="inlineStr">
        <ns0:is>
          <ns0:t>Proposed only</ns0:t>
        </ns0:is>
      </ns0:c>
      <ns0:c r="E7" s="19" t="inlineStr">
        <ns0:is>
          <ns0:t>Public age-specific screening datasets; five-fold CV and SHAP. Physician interpretation is proposed, not evaluated in a clinical workflow. Background mentions do not establish five clinical stages.</ns0:t>
        </ns0:is>
      </ns0:c>
      <ns0:c r="F7" s="19" t="inlineStr">
        <ns0:is>
          <ns0:t>https://doi.org/10.1109/access.2025.3586314</ns0:t>
        </ns0:is>
      </ns0:c>
      <ns0:c r="G7" s="19" t="inlineStr">
        <ns0:is>
          <ns0:t>ChatGPT-assisted evidence recharting, 2026-09-08</ns0:t>
        </ns0:is>
      </ns0:c>
    </ns0:row>
    <ns0:row r="8" ht="42" customHeight="1">
      <ns0:c r="A8" s="21" t="inlineStr">
        <ns0:is>
          <ns0:t>1</ns0:t>
        </ns0:is>
      </ns0:c>
      <ns0:c r="B8" s="21" t="inlineStr">
        <ns0:is>
          <ns0:t>rq2_role</ns0:t>
        </ns0:is>
      </ns0:c>
      <ns0:c r="C8" s="21" t="inlineStr"/>
      <ns0:c r="D8" s="21" t="inlineStr">
        <ns0:is>
          <ns0:t>Triage/questionnaire assessment</ns0:t>
        </ns0:is>
      </ns0:c>
      <ns0:c r="E8" s="21" t="inlineStr">
        <ns0:is>
          <ns0:t>Public age-specific screening datasets; five-fold CV and SHAP. Physician interpretation is proposed, not evaluated in a clinical workflow. Background mentions do not establish five clinical stages.</ns0:t>
        </ns0:is>
      </ns0:c>
      <ns0:c r="F8" s="21" t="inlineStr">
        <ns0:is>
          <ns0:t>https://doi.org/10.1109/access.2025.3586314</ns0:t>
        </ns0:is>
      </ns0:c>
      <ns0:c r="G8" s="21" t="inlineStr">
        <ns0:is>
          <ns0:t>ChatGPT-assisted evidence recharting, 2026-09-08</ns0:t>
        </ns0:is>
      </ns0:c>
    </ns0:row>
    <ns0:row r="9" ht="42" customHeight="1">
      <ns0:c r="A9" s="19" t="inlineStr">
        <ns0:is>
          <ns0:t>1</ns0:t>
        </ns0:is>
      </ns0:c>
      <ns0:c r="B9" s="19" t="inlineStr">
        <ns0:is>
          <ns0:t>decision_timing</ns0:t>
        </ns0:is>
      </ns0:c>
      <ns0:c r="C9" s="19" t="inlineStr"/>
      <ns0:c r="D9" s="19" t="inlineStr">
        <ns0:is>
          <ns0:t>Pre-decision</ns0:t>
        </ns0:is>
      </ns0:c>
      <ns0:c r="E9" s="19" t="inlineStr">
        <ns0:is>
          <ns0:t>Public age-specific screening datasets; five-fold CV and SHAP. Physician interpretation is proposed, not evaluated in a clinical workflow. Background mentions do not establish five clinical stages.</ns0:t>
        </ns0:is>
      </ns0:c>
      <ns0:c r="F9" s="19" t="inlineStr">
        <ns0:is>
          <ns0:t>https://doi.org/10.1109/access.2025.3586314</ns0:t>
        </ns0:is>
      </ns0:c>
      <ns0:c r="G9" s="19" t="inlineStr">
        <ns0:is>
          <ns0:t>ChatGPT-assisted evidence recharting, 2026-09-08</ns0:t>
        </ns0:is>
      </ns0:c>
    </ns0:row>
    <ns0:row r="10" ht="42" customHeight="1">
      <ns0:c r="A10" s="21" t="inlineStr">
        <ns0:is>
          <ns0:t>2</ns0:t>
        </ns0:is>
      </ns0:c>
      <ns0:c r="B10" s="21" t="inlineStr">
        <ns0:is>
          <ns0:t>data_source_primary</ns0:t>
        </ns0:is>
      </ns0:c>
      <ns0:c r="C10" s="21" t="inlineStr">
        <ns0:is>
          <ns0:t>Not specified</ns0:t>
        </ns0:is>
      </ns0:c>
      <ns0:c r="D10" s="21" t="inlineStr">
        <ns0:is>
          <ns0:t>Structured clinical/questionnaire data</ns0:t>
        </ns0:is>
      </ns0:c>
      <ns0:c r="E10" s="21" t="inlineStr">
        <ns0:is>
          <ns0:t>ADOS score sheets are structured behavioral records, not unspecified data. The reduced behavioral set is proposed for preliminary triage; no prospective use of the resulting model is described.</ns0:t>
        </ns0:is>
      </ns0:c>
      <ns0:c r="F10" s="21" t="inlineStr">
        <ns0:is>
          <ns0:t>https://doi.org/10.1038/tp.2015.7</ns0:t>
        </ns0:is>
      </ns0:c>
      <ns0:c r="G10" s="21" t="inlineStr">
        <ns0:is>
          <ns0:t>ChatGPT-assisted evidence recharting, 2026-09-08</ns0:t>
        </ns0:is>
      </ns0:c>
    </ns0:row>
    <ns0:row r="11" ht="42" customHeight="1">
      <ns0:c r="A11" s="19" t="inlineStr">
        <ns0:is>
          <ns0:t>2</ns0:t>
        </ns0:is>
      </ns0:c>
      <ns0:c r="B11" s="19" t="inlineStr">
        <ns0:is>
          <ns0:t>algorithm_main</ns0:t>
        </ns0:is>
      </ns0:c>
      <ns0:c r="C11" s="19" t="inlineStr">
        <ns0:is>
          <ns0:t>Other / Not clear</ns0:t>
        </ns0:is>
      </ns0:c>
      <ns0:c r="D11" s="19" t="inlineStr">
        <ns0:is>
          <ns0:t>Multiple algorithms compared (8; primary not specified)</ns0:t>
        </ns0:is>
      </ns0:c>
      <ns0:c r="E11" s="19" t="inlineStr">
        <ns0:is>
          <ns0:t>ADOS score sheets are structured behavioral records, not unspecified data. The reduced behavioral set is proposed for preliminary triage; no prospective use of the resulting model is described.</ns0:t>
        </ns0:is>
      </ns0:c>
      <ns0:c r="F11" s="19" t="inlineStr">
        <ns0:is>
          <ns0:t>https://doi.org/10.1038/tp.2015.7</ns0:t>
        </ns0:is>
      </ns0:c>
      <ns0:c r="G11" s="19" t="inlineStr">
        <ns0:is>
          <ns0:t>ChatGPT-assisted evidence recharting, 2026-09-08</ns0:t>
        </ns0:is>
      </ns0:c>
    </ns0:row>
    <ns0:row r="12" ht="42" customHeight="1">
      <ns0:c r="A12" s="21" t="inlineStr">
        <ns0:is>
          <ns0:t>2</ns0:t>
        </ns0:is>
      </ns0:c>
      <ns0:c r="B12" s="21" t="inlineStr">
        <ns0:is>
          <ns0:t>rq2_status</ns0:t>
        </ns0:is>
      </ns0:c>
      <ns0:c r="C12" s="21" t="inlineStr">
        <ns0:is>
          <ns0:t>Not adjudicated in master</ns0:t>
        </ns0:is>
      </ns0:c>
      <ns0:c r="D12" s="21" t="inlineStr">
        <ns0:is>
          <ns0:t>Proposed only</ns0:t>
        </ns0:is>
      </ns0:c>
      <ns0:c r="E12" s="21" t="inlineStr">
        <ns0:is>
          <ns0:t>ADOS score sheets are structured behavioral records, not unspecified data. The reduced behavioral set is proposed for preliminary triage; no prospective use of the resulting model is described.</ns0:t>
        </ns0:is>
      </ns0:c>
      <ns0:c r="F12" s="21" t="inlineStr">
        <ns0:is>
          <ns0:t>https://doi.org/10.1038/tp.2015.7</ns0:t>
        </ns0:is>
      </ns0:c>
      <ns0:c r="G12" s="21" t="inlineStr">
        <ns0:is>
          <ns0:t>ChatGPT-assisted evidence recharting, 2026-09-08</ns0:t>
        </ns0:is>
      </ns0:c>
    </ns0:row>
    <ns0:row r="13" ht="42" customHeight="1">
      <ns0:c r="A13" s="19" t="inlineStr">
        <ns0:is>
          <ns0:t>2</ns0:t>
        </ns0:is>
      </ns0:c>
      <ns0:c r="B13" s="19" t="inlineStr">
        <ns0:is>
          <ns0:t>rq2_role</ns0:t>
        </ns0:is>
      </ns0:c>
      <ns0:c r="C13" s="19" t="inlineStr"/>
      <ns0:c r="D13" s="19" t="inlineStr">
        <ns0:is>
          <ns0:t>Triage/questionnaire assessment</ns0:t>
        </ns0:is>
      </ns0:c>
      <ns0:c r="E13" s="19" t="inlineStr">
        <ns0:is>
          <ns0:t>ADOS score sheets are structured behavioral records, not unspecified data. The reduced behavioral set is proposed for preliminary triage; no prospective use of the resulting model is described.</ns0:t>
        </ns0:is>
      </ns0:c>
      <ns0:c r="F13" s="19" t="inlineStr">
        <ns0:is>
          <ns0:t>https://doi.org/10.1038/tp.2015.7</ns0:t>
        </ns0:is>
      </ns0:c>
      <ns0:c r="G13" s="19" t="inlineStr">
        <ns0:is>
          <ns0:t>ChatGPT-assisted evidence recharting, 2026-09-08</ns0:t>
        </ns0:is>
      </ns0:c>
    </ns0:row>
    <ns0:row r="14" ht="42" customHeight="1">
      <ns0:c r="A14" s="21" t="inlineStr">
        <ns0:is>
          <ns0:t>2</ns0:t>
        </ns0:is>
      </ns0:c>
      <ns0:c r="B14" s="21" t="inlineStr">
        <ns0:is>
          <ns0:t>decision_timing</ns0:t>
        </ns0:is>
      </ns0:c>
      <ns0:c r="C14" s="21" t="inlineStr"/>
      <ns0:c r="D14" s="21" t="inlineStr">
        <ns0:is>
          <ns0:t>Pre-decision</ns0:t>
        </ns0:is>
      </ns0:c>
      <ns0:c r="E14" s="21" t="inlineStr">
        <ns0:is>
          <ns0:t>ADOS score sheets are structured behavioral records, not unspecified data. The reduced behavioral set is proposed for preliminary triage; no prospective use of the resulting model is described.</ns0:t>
        </ns0:is>
      </ns0:c>
      <ns0:c r="F14" s="21" t="inlineStr">
        <ns0:is>
          <ns0:t>https://doi.org/10.1038/tp.2015.7</ns0:t>
        </ns0:is>
      </ns0:c>
      <ns0:c r="G14" s="21" t="inlineStr">
        <ns0:is>
          <ns0:t>ChatGPT-assisted evidence recharting, 2026-09-08</ns0:t>
        </ns0:is>
      </ns0:c>
    </ns0:row>
    <ns0:row r="15" ht="42" customHeight="1">
      <ns0:c r="A15" s="19" t="inlineStr">
        <ns0:is>
          <ns0:t>3</ns0:t>
        </ns0:is>
      </ns0:c>
      <ns0:c r="B15" s="19" t="inlineStr">
        <ns0:is>
          <ns0:t>ai_type</ns0:t>
        </ns0:is>
      </ns0:c>
      <ns0:c r="C15" s="19" t="inlineStr">
        <ns0:is>
          <ns0:t>Deep Learning</ns0:t>
        </ns0:is>
      </ns0:c>
      <ns0:c r="D15" s="19" t="inlineStr">
        <ns0:is>
          <ns0:t>Machine Learning</ns0:t>
        </ns0:is>
      </ns0:c>
      <ns0:c r="E15" s="19" t="inlineStr">
        <ns0:is>
          <ns0:t>Plasma proteomics with DIA/MRM and machine-learning biomarker selection. Molecular assay verification alone does not establish external validation of the predictive model.</ns0:t>
        </ns0:is>
      </ns0:c>
      <ns0:c r="F15" s="19" t="inlineStr">
        <ns0:is>
          <ns0:t>https://doi.org/10.1016/j.jprot.2023.104872</ns0:t>
        </ns0:is>
      </ns0:c>
      <ns0:c r="G15" s="19" t="inlineStr">
        <ns0:is>
          <ns0:t>ChatGPT-assisted evidence recharting, 2026-09-08</ns0:t>
        </ns0:is>
      </ns0:c>
    </ns0:row>
    <ns0:row r="16" ht="42" customHeight="1">
      <ns0:c r="A16" s="21" t="inlineStr">
        <ns0:is>
          <ns0:t>3</ns0:t>
        </ns0:is>
      </ns0:c>
      <ns0:c r="B16" s="21" t="inlineStr">
        <ns0:is>
          <ns0:t>data_source_primary</ns0:t>
        </ns0:is>
      </ns0:c>
      <ns0:c r="C16" s="21" t="inlineStr">
        <ns0:is>
          <ns0:t>Not specified</ns0:t>
        </ns0:is>
      </ns0:c>
      <ns0:c r="D16" s="21" t="inlineStr">
        <ns0:is>
          <ns0:t>Biological/omics</ns0:t>
        </ns0:is>
      </ns0:c>
      <ns0:c r="E16" s="21" t="inlineStr">
        <ns0:is>
          <ns0:t>Plasma proteomics with DIA/MRM and machine-learning biomarker selection. Molecular assay verification alone does not establish external validation of the predictive model.</ns0:t>
        </ns0:is>
      </ns0:c>
      <ns0:c r="F16" s="21" t="inlineStr">
        <ns0:is>
          <ns0:t>https://doi.org/10.1016/j.jprot.2023.104872</ns0:t>
        </ns0:is>
      </ns0:c>
      <ns0:c r="G16" s="21" t="inlineStr">
        <ns0:is>
          <ns0:t>ChatGPT-assisted evidence recharting, 2026-09-08</ns0:t>
        </ns0:is>
      </ns0:c>
    </ns0:row>
    <ns0:row r="17" ht="42" customHeight="1">
      <ns0:c r="A17" s="19" t="inlineStr">
        <ns0:is>
          <ns0:t>3</ns0:t>
        </ns0:is>
      </ns0:c>
      <ns0:c r="B17" s="19" t="inlineStr">
        <ns0:is>
          <ns0:t>algorithm_main</ns0:t>
        </ns0:is>
      </ns0:c>
      <ns0:c r="C17" s="19" t="inlineStr">
        <ns0:is>
          <ns0:t>Other / Not clear</ns0:t>
        </ns0:is>
      </ns0:c>
      <ns0:c r="D17" s="19" t="inlineStr">
        <ns0:is>
          <ns0:t>Not specified</ns0:t>
        </ns0:is>
      </ns0:c>
      <ns0:c r="E17" s="19" t="inlineStr">
        <ns0:is>
          <ns0:t>Plasma proteomics with DIA/MRM and machine-learning biomarker selection. Molecular assay verification alone does not establish external validation of the predictive model.</ns0:t>
        </ns0:is>
      </ns0:c>
      <ns0:c r="F17" s="19" t="inlineStr">
        <ns0:is>
          <ns0:t>https://doi.org/10.1016/j.jprot.2023.104872</ns0:t>
        </ns0:is>
      </ns0:c>
      <ns0:c r="G17" s="19" t="inlineStr">
        <ns0:is>
          <ns0:t>ChatGPT-assisted evidence recharting, 2026-09-08</ns0:t>
        </ns0:is>
      </ns0:c>
    </ns0:row>
    <ns0:row r="18" ht="42" customHeight="1">
      <ns0:c r="A18" s="21" t="inlineStr">
        <ns0:is>
          <ns0:t>3</ns0:t>
        </ns0:is>
      </ns0:c>
      <ns0:c r="B18" s="21" t="inlineStr">
        <ns0:is>
          <ns0:t>rq2_status</ns0:t>
        </ns0:is>
      </ns0:c>
      <ns0:c r="C18" s="21" t="inlineStr">
        <ns0:is>
          <ns0:t>Not adjudicated in master</ns0:t>
        </ns0:is>
      </ns0:c>
      <ns0:c r="D18" s="21" t="inlineStr">
        <ns0:is>
          <ns0:t>Research only</ns0:t>
        </ns0:is>
      </ns0:c>
      <ns0:c r="E18" s="21" t="inlineStr">
        <ns0:is>
          <ns0:t>Plasma proteomics with DIA/MRM and machine-learning biomarker selection. Molecular assay verification alone does not establish external validation of the predictive model.</ns0:t>
        </ns0:is>
      </ns0:c>
      <ns0:c r="F18" s="21" t="inlineStr">
        <ns0:is>
          <ns0:t>https://doi.org/10.1016/j.jprot.2023.104872</ns0:t>
        </ns0:is>
      </ns0:c>
      <ns0:c r="G18" s="21" t="inlineStr">
        <ns0:is>
          <ns0:t>ChatGPT-assisted evidence recharting, 2026-09-08</ns0:t>
        </ns0:is>
      </ns0:c>
    </ns0:row>
    <ns0:row r="19" ht="42" customHeight="1">
      <ns0:c r="A19" s="19" t="inlineStr">
        <ns0:is>
          <ns0:t>3</ns0:t>
        </ns0:is>
      </ns0:c>
      <ns0:c r="B19" s="19" t="inlineStr">
        <ns0:is>
          <ns0:t>rq2_role</ns0:t>
        </ns0:is>
      </ns0:c>
      <ns0:c r="C19" s="19" t="inlineStr"/>
      <ns0:c r="D19" s="19" t="inlineStr">
        <ns0:is>
          <ns0:t>Automated measurement/classification</ns0:t>
        </ns0:is>
      </ns0:c>
      <ns0:c r="E19" s="19" t="inlineStr">
        <ns0:is>
          <ns0:t>Plasma proteomics with DIA/MRM and machine-learning biomarker selection. Molecular assay verification alone does not establish external validation of the predictive model.</ns0:t>
        </ns0:is>
      </ns0:c>
      <ns0:c r="F19" s="19" t="inlineStr">
        <ns0:is>
          <ns0:t>https://doi.org/10.1016/j.jprot.2023.104872</ns0:t>
        </ns0:is>
      </ns0:c>
      <ns0:c r="G19" s="19" t="inlineStr">
        <ns0:is>
          <ns0:t>ChatGPT-assisted evidence recharting, 2026-09-08</ns0:t>
        </ns0:is>
      </ns0:c>
    </ns0:row>
    <ns0:row r="20" ht="42" customHeight="1">
      <ns0:c r="A20" s="21" t="inlineStr">
        <ns0:is>
          <ns0:t>3</ns0:t>
        </ns0:is>
      </ns0:c>
      <ns0:c r="B20" s="21" t="inlineStr">
        <ns0:is>
          <ns0:t>decision_timing</ns0:t>
        </ns0:is>
      </ns0:c>
      <ns0:c r="C20" s="21" t="inlineStr"/>
      <ns0:c r="D20" s="21" t="inlineStr">
        <ns0:is>
          <ns0:t>Not observed in assessed sources</ns0:t>
        </ns0:is>
      </ns0:c>
      <ns0:c r="E20" s="21" t="inlineStr">
        <ns0:is>
          <ns0:t>Plasma proteomics with DIA/MRM and machine-learning biomarker selection. Molecular assay verification alone does not establish external validation of the predictive model.</ns0:t>
        </ns0:is>
      </ns0:c>
      <ns0:c r="F20" s="21" t="inlineStr">
        <ns0:is>
          <ns0:t>https://doi.org/10.1016/j.jprot.2023.104872</ns0:t>
        </ns0:is>
      </ns0:c>
      <ns0:c r="G20" s="21" t="inlineStr">
        <ns0:is>
          <ns0:t>ChatGPT-assisted evidence recharting, 2026-09-08</ns0:t>
        </ns0:is>
      </ns0:c>
    </ns0:row>
    <ns0:row r="21" ht="42" customHeight="1">
      <ns0:c r="A21" s="19" t="inlineStr">
        <ns0:is>
          <ns0:t>4</ns0:t>
        </ns0:is>
      </ns0:c>
      <ns0:c r="B21" s="19" t="inlineStr">
        <ns0:is>
          <ns0:t>eligibility</ns0:t>
        </ns0:is>
      </ns0:c>
      <ns0:c r="C21" s="19" t="inlineStr">
        <ns0:is>
          <ns0:t>Include</ns0:t>
        </ns0:is>
      </ns0:c>
      <ns0:c r="D21" s="19" t="inlineStr">
        <ns0:is>
          <ns0:t>Exclude</ns0:t>
        </ns0:is>
      </ns0:c>
      <ns0:c r="E21" s="19" t="inlineStr">
        <ns0:is>
          <ns0:t>The abstract describes CATest validation for mild cognitive disorder, Alzheimer disease and other neurological conditions rather than empirical ASD-specific modeling. Title wording alone does not establish eligibility.</ns0:t>
        </ns0:is>
      </ns0:c>
      <ns0:c r="F21" s="19" t="inlineStr">
        <ns0:is>
          <ns0:t>https://link.springer.com/chapter/10.1007/978-981-96-3942-7_18</ns0:t>
        </ns0:is>
      </ns0:c>
      <ns0:c r="G21" s="19" t="inlineStr">
        <ns0:is>
          <ns0:t>ChatGPT-assisted evidence recharting, 2026-09-08</ns0:t>
        </ns0:is>
      </ns0:c>
    </ns0:row>
    <ns0:row r="22" ht="42" customHeight="1">
      <ns0:c r="A22" s="21" t="inlineStr">
        <ns0:is>
          <ns0:t>4</ns0:t>
        </ns0:is>
      </ns0:c>
      <ns0:c r="B22" s="21" t="inlineStr">
        <ns0:is>
          <ns0:t>stage_primary</ns0:t>
        </ns0:is>
      </ns0:c>
      <ns0:c r="C22" s="21" t="inlineStr">
        <ns0:is>
          <ns0:t>Diagnosis</ns0:t>
        </ns0:is>
      </ns0:c>
      <ns0:c r="D22" s="21" t="inlineStr">
        <ns0:is>
          <ns0:t>Excluded</ns0:t>
        </ns0:is>
      </ns0:c>
      <ns0:c r="E22" s="21" t="inlineStr">
        <ns0:is>
          <ns0:t>The abstract describes CATest validation for mild cognitive disorder, Alzheimer disease and other neurological conditions rather than empirical ASD-specific modeling. Title wording alone does not establish eligibility.</ns0:t>
        </ns0:is>
      </ns0:c>
      <ns0:c r="F22" s="21" t="inlineStr">
        <ns0:is>
          <ns0:t>https://link.springer.com/chapter/10.1007/978-981-96-3942-7_18</ns0:t>
        </ns0:is>
      </ns0:c>
      <ns0:c r="G22" s="21" t="inlineStr">
        <ns0:is>
          <ns0:t>ChatGPT-assisted evidence recharting, 2026-09-08</ns0:t>
        </ns0:is>
      </ns0:c>
    </ns0:row>
    <ns0:row r="23" ht="42" customHeight="1">
      <ns0:c r="A23" s="19" t="inlineStr">
        <ns0:is>
          <ns0:t>4</ns0:t>
        </ns0:is>
      </ns0:c>
      <ns0:c r="B23" s="19" t="inlineStr">
        <ns0:is>
          <ns0:t>ai_type</ns0:t>
        </ns0:is>
      </ns0:c>
      <ns0:c r="C23" s="19" t="inlineStr">
        <ns0:is>
          <ns0:t>Deep Learning</ns0:t>
        </ns0:is>
      </ns0:c>
      <ns0:c r="D23" s="19" t="inlineStr">
        <ns0:is>
          <ns0:t>Excluded</ns0:t>
        </ns0:is>
      </ns0:c>
      <ns0:c r="E23" s="19" t="inlineStr">
        <ns0:is>
          <ns0:t>The abstract describes CATest validation for mild cognitive disorder, Alzheimer disease and other neurological conditions rather than empirical ASD-specific modeling. Title wording alone does not establish eligibility.</ns0:t>
        </ns0:is>
      </ns0:c>
      <ns0:c r="F23" s="19" t="inlineStr">
        <ns0:is>
          <ns0:t>https://link.springer.com/chapter/10.1007/978-981-96-3942-7_18</ns0:t>
        </ns0:is>
      </ns0:c>
      <ns0:c r="G23" s="19" t="inlineStr">
        <ns0:is>
          <ns0:t>ChatGPT-assisted evidence recharting, 2026-09-08</ns0:t>
        </ns0:is>
      </ns0:c>
    </ns0:row>
    <ns0:row r="24" ht="42" customHeight="1">
      <ns0:c r="A24" s="21" t="inlineStr">
        <ns0:is>
          <ns0:t>4</ns0:t>
        </ns0:is>
      </ns0:c>
      <ns0:c r="B24" s="21" t="inlineStr">
        <ns0:is>
          <ns0:t>data_source_primary</ns0:t>
        </ns0:is>
      </ns0:c>
      <ns0:c r="C24" s="21" t="inlineStr">
        <ns0:is>
          <ns0:t>Not specified</ns0:t>
        </ns0:is>
      </ns0:c>
      <ns0:c r="D24" s="21" t="inlineStr">
        <ns0:is>
          <ns0:t>Excluded</ns0:t>
        </ns0:is>
      </ns0:c>
      <ns0:c r="E24" s="21" t="inlineStr">
        <ns0:is>
          <ns0:t>The abstract describes CATest validation for mild cognitive disorder, Alzheimer disease and other neurological conditions rather than empirical ASD-specific modeling. Title wording alone does not establish eligibility.</ns0:t>
        </ns0:is>
      </ns0:c>
      <ns0:c r="F24" s="21" t="inlineStr">
        <ns0:is>
          <ns0:t>https://link.springer.com/chapter/10.1007/978-981-96-3942-7_18</ns0:t>
        </ns0:is>
      </ns0:c>
      <ns0:c r="G24" s="21" t="inlineStr">
        <ns0:is>
          <ns0:t>ChatGPT-assisted evidence recharting, 2026-09-08</ns0:t>
        </ns0:is>
      </ns0:c>
    </ns0:row>
    <ns0:row r="25" ht="42" customHeight="1">
      <ns0:c r="A25" s="19" t="inlineStr">
        <ns0:is>
          <ns0:t>4</ns0:t>
        </ns0:is>
      </ns0:c>
      <ns0:c r="B25" s="19" t="inlineStr">
        <ns0:is>
          <ns0:t>rq2_status</ns0:t>
        </ns0:is>
      </ns0:c>
      <ns0:c r="C25" s="19" t="inlineStr">
        <ns0:is>
          <ns0:t>Not adjudicated in master</ns0:t>
        </ns0:is>
      </ns0:c>
      <ns0:c r="D25" s="19" t="inlineStr">
        <ns0:is>
          <ns0:t>Excluded</ns0:t>
        </ns0:is>
      </ns0:c>
      <ns0:c r="E25" s="19" t="inlineStr">
        <ns0:is>
          <ns0:t>The abstract describes CATest validation for mild cognitive disorder, Alzheimer disease and other neurological conditions rather than empirical ASD-specific modeling. Title wording alone does not establish eligibility.</ns0:t>
        </ns0:is>
      </ns0:c>
      <ns0:c r="F25" s="19" t="inlineStr">
        <ns0:is>
          <ns0:t>https://link.springer.com/chapter/10.1007/978-981-96-3942-7_18</ns0:t>
        </ns0:is>
      </ns0:c>
      <ns0:c r="G25" s="19" t="inlineStr">
        <ns0:is>
          <ns0:t>ChatGPT-assisted evidence recharting, 2026-09-08</ns0:t>
        </ns0:is>
      </ns0:c>
    </ns0:row>
    <ns0:row r="26" ht="42" customHeight="1">
      <ns0:c r="A26" s="21" t="inlineStr">
        <ns0:is>
          <ns0:t>4</ns0:t>
        </ns0:is>
      </ns0:c>
      <ns0:c r="B26" s="21" t="inlineStr">
        <ns0:is>
          <ns0:t>rq2_role</ns0:t>
        </ns0:is>
      </ns0:c>
      <ns0:c r="C26" s="21" t="inlineStr"/>
      <ns0:c r="D26" s="21" t="inlineStr">
        <ns0:is>
          <ns0:t>Excluded</ns0:t>
        </ns0:is>
      </ns0:c>
      <ns0:c r="E26" s="21" t="inlineStr">
        <ns0:is>
          <ns0:t>The abstract describes CATest validation for mild cognitive disorder, Alzheimer disease and other neurological conditions rather than empirical ASD-specific modeling. Title wording alone does not establish eligibility.</ns0:t>
        </ns0:is>
      </ns0:c>
      <ns0:c r="F26" s="21" t="inlineStr">
        <ns0:is>
          <ns0:t>https://link.springer.com/chapter/10.1007/978-981-96-3942-7_18</ns0:t>
        </ns0:is>
      </ns0:c>
      <ns0:c r="G26" s="21" t="inlineStr">
        <ns0:is>
          <ns0:t>ChatGPT-assisted evidence recharting, 2026-09-08</ns0:t>
        </ns0:is>
      </ns0:c>
    </ns0:row>
    <ns0:row r="27" ht="42" customHeight="1">
      <ns0:c r="A27" s="19" t="inlineStr">
        <ns0:is>
          <ns0:t>4</ns0:t>
        </ns0:is>
      </ns0:c>
      <ns0:c r="B27" s="19" t="inlineStr">
        <ns0:is>
          <ns0:t>decision_timing</ns0:t>
        </ns0:is>
      </ns0:c>
      <ns0:c r="C27" s="19" t="inlineStr"/>
      <ns0:c r="D27" s="19" t="inlineStr">
        <ns0:is>
          <ns0:t>Not applicable - excluded</ns0:t>
        </ns0:is>
      </ns0:c>
      <ns0:c r="E27" s="19" t="inlineStr">
        <ns0:is>
          <ns0:t>The abstract describes CATest validation for mild cognitive disorder, Alzheimer disease and other neurological conditions rather than empirical ASD-specific modeling. Title wording alone does not establish eligibility.</ns0:t>
        </ns0:is>
      </ns0:c>
      <ns0:c r="F27" s="19" t="inlineStr">
        <ns0:is>
          <ns0:t>https://link.springer.com/chapter/10.1007/978-981-96-3942-7_18</ns0:t>
        </ns0:is>
      </ns0:c>
      <ns0:c r="G27" s="19" t="inlineStr">
        <ns0:is>
          <ns0:t>ChatGPT-assisted evidence recharting, 2026-09-08</ns0:t>
        </ns0:is>
      </ns0:c>
    </ns0:row>
    <ns0:row r="28" ht="45" customHeight="1">
      <ns0:c r="A28" s="21" t="inlineStr">
        <ns0:is>
          <ns0:t>5</ns0:t>
        </ns0:is>
      </ns0:c>
      <ns0:c r="B28" s="21" t="inlineStr">
        <ns0:is>
          <ns0:t>data_source_primary</ns0:t>
        </ns0:is>
      </ns0:c>
      <ns0:c r="C28" s="21" t="inlineStr">
        <ns0:is>
          <ns0:t>Not specified</ns0:t>
        </ns0:is>
      </ns0:c>
      <ns0:c r="D28" s="21" t="inlineStr">
        <ns0:is>
          <ns0:t>Biological/omics</ns0:t>
        </ns0:is>
      </ns0:c>
      <ns0:c r="E28" s="21" t="inlineStr">
        <ns0:is>
          <ns0:t>Metabolomic classification and feature-ranking study. The held-out 21 participants were randomly partitioned from the same 82-participant cohort; this is internal holdout validation, despite the authors' external-sample terminology.</ns0:t>
        </ns0:is>
      </ns0:c>
      <ns0:c r="F28" s="21" t="inlineStr">
        <ns0:is>
          <ns0:t>https://journals.plos.org/plosone/article?id=10.1371/journal.pone.0112445</ns0:t>
        </ns0:is>
      </ns0:c>
      <ns0:c r="G28" s="21" t="inlineStr">
        <ns0:is>
          <ns0:t>ChatGPT-assisted evidence recharting, 2026-09-08</ns0:t>
        </ns0:is>
      </ns0:c>
    </ns0:row>
    <ns0:row r="29" ht="45" customHeight="1">
      <ns0:c r="A29" s="19" t="inlineStr">
        <ns0:is>
          <ns0:t>5</ns0:t>
        </ns0:is>
      </ns0:c>
      <ns0:c r="B29" s="19" t="inlineStr">
        <ns0:is>
          <ns0:t>algorithm_main</ns0:t>
        </ns0:is>
      </ns0:c>
      <ns0:c r="C29" s="19" t="inlineStr">
        <ns0:is>
          <ns0:t>Other / Not clear</ns0:t>
        </ns0:is>
      </ns0:c>
      <ns0:c r="D29" s="19" t="inlineStr">
        <ns0:is>
          <ns0:t>SVM / PLS-DA</ns0:t>
        </ns0:is>
      </ns0:c>
      <ns0:c r="E29" s="19" t="inlineStr">
        <ns0:is>
          <ns0:t>Metabolomic classification and feature-ranking study. The held-out 21 participants were randomly partitioned from the same 82-participant cohort; this is internal holdout validation, despite the authors' external-sample terminology.</ns0:t>
        </ns0:is>
      </ns0:c>
      <ns0:c r="F29" s="19" t="inlineStr">
        <ns0:is>
          <ns0:t>https://journals.plos.org/plosone/article?id=10.1371/journal.pone.0112445</ns0:t>
        </ns0:is>
      </ns0:c>
      <ns0:c r="G29" s="19" t="inlineStr">
        <ns0:is>
          <ns0:t>ChatGPT-assisted evidence recharting, 2026-09-08</ns0:t>
        </ns0:is>
      </ns0:c>
    </ns0:row>
    <ns0:row r="30" ht="45" customHeight="1">
      <ns0:c r="A30" s="21" t="inlineStr">
        <ns0:is>
          <ns0:t>5</ns0:t>
        </ns0:is>
      </ns0:c>
      <ns0:c r="B30" s="21" t="inlineStr">
        <ns0:is>
          <ns0:t>rq2_status</ns0:t>
        </ns0:is>
      </ns0:c>
      <ns0:c r="C30" s="21" t="inlineStr">
        <ns0:is>
          <ns0:t>Not adjudicated in master</ns0:t>
        </ns0:is>
      </ns0:c>
      <ns0:c r="D30" s="21" t="inlineStr">
        <ns0:is>
          <ns0:t>Research only</ns0:t>
        </ns0:is>
      </ns0:c>
      <ns0:c r="E30" s="21" t="inlineStr">
        <ns0:is>
          <ns0:t>Metabolomic classification and feature-ranking study. The held-out 21 participants were randomly partitioned from the same 82-participant cohort; this is internal holdout validation, despite the authors' external-sample terminology.</ns0:t>
        </ns0:is>
      </ns0:c>
      <ns0:c r="F30" s="21" t="inlineStr">
        <ns0:is>
          <ns0:t>https://journals.plos.org/plosone/article?id=10.1371/journal.pone.0112445</ns0:t>
        </ns0:is>
      </ns0:c>
      <ns0:c r="G30" s="21" t="inlineStr">
        <ns0:is>
          <ns0:t>ChatGPT-assisted evidence recharting, 2026-09-08</ns0:t>
        </ns0:is>
      </ns0:c>
    </ns0:row>
    <ns0:row r="31" ht="45" customHeight="1">
      <ns0:c r="A31" s="19" t="inlineStr">
        <ns0:is>
          <ns0:t>5</ns0:t>
        </ns0:is>
      </ns0:c>
      <ns0:c r="B31" s="19" t="inlineStr">
        <ns0:is>
          <ns0:t>rq2_role</ns0:t>
        </ns0:is>
      </ns0:c>
      <ns0:c r="C31" s="19" t="inlineStr"/>
      <ns0:c r="D31" s="19" t="inlineStr">
        <ns0:is>
          <ns0:t>Automated measurement/classification</ns0:t>
        </ns0:is>
      </ns0:c>
      <ns0:c r="E31" s="19" t="inlineStr">
        <ns0:is>
          <ns0:t>Metabolomic classification and feature-ranking study. The held-out 21 participants were randomly partitioned from the same 82-participant cohort; this is internal holdout validation, despite the authors' external-sample terminology.</ns0:t>
        </ns0:is>
      </ns0:c>
      <ns0:c r="F31" s="19" t="inlineStr">
        <ns0:is>
          <ns0:t>https://journals.plos.org/plosone/article?id=10.1371/journal.pone.0112445</ns0:t>
        </ns0:is>
      </ns0:c>
      <ns0:c r="G31" s="19" t="inlineStr">
        <ns0:is>
          <ns0:t>ChatGPT-assisted evidence recharting, 2026-09-08</ns0:t>
        </ns0:is>
      </ns0:c>
    </ns0:row>
    <ns0:row r="32" ht="45" customHeight="1">
      <ns0:c r="A32" s="21" t="inlineStr">
        <ns0:is>
          <ns0:t>5</ns0:t>
        </ns0:is>
      </ns0:c>
      <ns0:c r="B32" s="21" t="inlineStr">
        <ns0:is>
          <ns0:t>decision_timing</ns0:t>
        </ns0:is>
      </ns0:c>
      <ns0:c r="C32" s="21" t="inlineStr"/>
      <ns0:c r="D32" s="21" t="inlineStr">
        <ns0:is>
          <ns0:t>Not observed in assessed sources</ns0:t>
        </ns0:is>
      </ns0:c>
      <ns0:c r="E32" s="21" t="inlineStr">
        <ns0:is>
          <ns0:t>Metabolomic classification and feature-ranking study. The held-out 21 participants were randomly partitioned from the same 82-participant cohort; this is internal holdout validation, despite the authors' external-sample terminology.</ns0:t>
        </ns0:is>
      </ns0:c>
      <ns0:c r="F32" s="21" t="inlineStr">
        <ns0:is>
          <ns0:t>https://journals.plos.org/plosone/article?id=10.1371/journal.pone.0112445</ns0:t>
        </ns0:is>
      </ns0:c>
      <ns0:c r="G32" s="21" t="inlineStr">
        <ns0:is>
          <ns0:t>ChatGPT-assisted evidence recharting, 2026-09-08</ns0:t>
        </ns0:is>
      </ns0:c>
    </ns0:row>
    <ns0:row r="33" ht="45" customHeight="1">
      <ns0:c r="A33" s="19" t="inlineStr">
        <ns0:is>
          <ns0:t>5</ns0:t>
        </ns0:is>
      </ns0:c>
      <ns0:c r="B33" s="19" t="inlineStr">
        <ns0:is>
          <ns0:t>external_validation</ns0:t>
        </ns0:is>
      </ns0:c>
      <ns0:c r="C33" s="19" t="inlineStr">
        <ns0:is>
          <ns0:t>Reported</ns0:t>
        </ns0:is>
      </ns0:c>
      <ns0:c r="D33" s="19" t="inlineStr">
        <ns0:is>
          <ns0:t>Not reported in assessed sources</ns0:t>
        </ns0:is>
      </ns0:c>
      <ns0:c r="E33" s="19" t="inlineStr">
        <ns0:is>
          <ns0:t>Metabolomic classification and feature-ranking study. The held-out 21 participants were randomly partitioned from the same 82-participant cohort; this is internal holdout validation, despite the authors' external-sample terminology.</ns0:t>
        </ns0:is>
      </ns0:c>
      <ns0:c r="F33" s="19" t="inlineStr">
        <ns0:is>
          <ns0:t>https://journals.plos.org/plosone/article?id=10.1371/journal.pone.0112445</ns0:t>
        </ns0:is>
      </ns0:c>
      <ns0:c r="G33" s="19" t="inlineStr">
        <ns0:is>
          <ns0:t>ChatGPT-assisted evidence recharting, 2026-09-08</ns0:t>
        </ns0:is>
      </ns0:c>
    </ns0:row>
    <ns0:row r="34" ht="45" customHeight="1">
      <ns0:c r="A34" s="21" t="inlineStr">
        <ns0:is>
          <ns0:t>5</ns0:t>
        </ns0:is>
      </ns0:c>
      <ns0:c r="B34" s="21" t="inlineStr">
        <ns0:is>
          <ns0:t>xai_partial</ns0:t>
        </ns0:is>
      </ns0:c>
      <ns0:c r="C34" s="21" t="inlineStr">
        <ns0:is>
          <ns0:t>Not reported in assessed sources</ns0:t>
        </ns0:is>
      </ns0:c>
      <ns0:c r="D34" s="21" t="inlineStr">
        <ns0:is>
          <ns0:t>Reported</ns0:t>
        </ns0:is>
      </ns0:c>
      <ns0:c r="E34" s="21" t="inlineStr">
        <ns0:is>
          <ns0:t>Metabolomic classification and feature-ranking study. The held-out 21 participants were randomly partitioned from the same 82-participant cohort; this is internal holdout validation, despite the authors' external-sample terminology.</ns0:t>
        </ns0:is>
      </ns0:c>
      <ns0:c r="F34" s="21" t="inlineStr">
        <ns0:is>
          <ns0:t>https://journals.plos.org/plosone/article?id=10.1371/journal.pone.0112445</ns0:t>
        </ns0:is>
      </ns0:c>
      <ns0:c r="G34" s="21" t="inlineStr">
        <ns0:is>
          <ns0:t>ChatGPT-assisted evidence recharting, 2026-09-08</ns0:t>
        </ns0:is>
      </ns0:c>
    </ns0:row>
    <ns0:row r="35" ht="45" customHeight="1">
      <ns0:c r="A35" s="19" t="inlineStr">
        <ns0:is>
          <ns0:t>5</ns0:t>
        </ns0:is>
      </ns0:c>
      <ns0:c r="B35" s="19" t="inlineStr">
        <ns0:is>
          <ns0:t>multisource_data</ns0:t>
        </ns0:is>
      </ns0:c>
      <ns0:c r="C35" s="19" t="inlineStr">
        <ns0:is>
          <ns0:t>Not reported in assessed sources</ns0:t>
        </ns0:is>
      </ns0:c>
      <ns0:c r="D35" s="19" t="inlineStr">
        <ns0:is>
          <ns0:t>Reported</ns0:t>
        </ns0:is>
      </ns0:c>
      <ns0:c r="E35" s="19" t="inlineStr">
        <ns0:is>
          <ns0:t>Metabolomic classification and feature-ranking study. The held-out 21 participants were randomly partitioned from the same 82-participant cohort; this is internal holdout validation, despite the authors' external-sample terminology.</ns0:t>
        </ns0:is>
      </ns0:c>
      <ns0:c r="F35" s="19" t="inlineStr">
        <ns0:is>
          <ns0:t>https://journals.plos.org/plosone/article?id=10.1371/journal.pone.0112445</ns0:t>
        </ns0:is>
      </ns0:c>
      <ns0:c r="G35" s="19" t="inlineStr">
        <ns0:is>
          <ns0:t>ChatGPT-assisted evidence recharting, 2026-09-08</ns0:t>
        </ns0:is>
      </ns0:c>
    </ns0:row>
    <ns0:row r="36" ht="42" customHeight="1">
      <ns0:c r="A36" s="21" t="inlineStr">
        <ns0:is>
          <ns0:t>6</ns0:t>
        </ns0:is>
      </ns0:c>
      <ns0:c r="B36" s="21" t="inlineStr">
        <ns0:is>
          <ns0:t>data_source_primary</ns0:t>
        </ns0:is>
      </ns0:c>
      <ns0:c r="C36" s="21" t="inlineStr">
        <ns0:is>
          <ns0:t>Image (subtype unresolved)</ns0:t>
        </ns0:is>
      </ns0:c>
      <ns0:c r="D36" s="21" t="inlineStr">
        <ns0:is>
          <ns0:t>Structured clinical/questionnaire data</ns0:t>
        </ns0:is>
      </ns0:c>
      <ns0:c r="E36" s="21" t="inlineStr">
        <ns0:is>
          <ns0:t>ADOS score sheets and demographic covariates; sparse models intended to shorten assessment. No clinical use of predictions is evaluated. Comparing ML models is not hybrid ML/DL integration.</ns0:t>
        </ns0:is>
      </ns0:c>
      <ns0:c r="F36" s="21" t="inlineStr">
        <ns0:is>
          <ns0:t>https://doi.org/10.1186/s13229-017-0180-6</ns0:t>
        </ns0:is>
      </ns0:c>
      <ns0:c r="G36" s="21" t="inlineStr">
        <ns0:is>
          <ns0:t>ChatGPT-assisted evidence recharting, 2026-09-08</ns0:t>
        </ns0:is>
      </ns0:c>
    </ns0:row>
    <ns0:row r="37" ht="42" customHeight="1">
      <ns0:c r="A37" s="19" t="inlineStr">
        <ns0:is>
          <ns0:t>6</ns0:t>
        </ns0:is>
      </ns0:c>
      <ns0:c r="B37" s="19" t="inlineStr">
        <ns0:is>
          <ns0:t>algorithm_main</ns0:t>
        </ns0:is>
      </ns0:c>
      <ns0:c r="C37" s="19" t="inlineStr">
        <ns0:is>
          <ns0:t>Logistic Regression</ns0:t>
        </ns0:is>
      </ns0:c>
      <ns0:c r="D37" s="19" t="inlineStr">
        <ns0:is>
          <ns0:t>Multiple sparse models (logistic regression / linear SVM)</ns0:t>
        </ns0:is>
      </ns0:c>
      <ns0:c r="E37" s="19" t="inlineStr">
        <ns0:is>
          <ns0:t>ADOS score sheets and demographic covariates; sparse models intended to shorten assessment. No clinical use of predictions is evaluated. Comparing ML models is not hybrid ML/DL integration.</ns0:t>
        </ns0:is>
      </ns0:c>
      <ns0:c r="F37" s="19" t="inlineStr">
        <ns0:is>
          <ns0:t>https://doi.org/10.1186/s13229-017-0180-6</ns0:t>
        </ns0:is>
      </ns0:c>
      <ns0:c r="G37" s="19" t="inlineStr">
        <ns0:is>
          <ns0:t>ChatGPT-assisted evidence recharting, 2026-09-08</ns0:t>
        </ns0:is>
      </ns0:c>
    </ns0:row>
    <ns0:row r="38" ht="42" customHeight="1">
      <ns0:c r="A38" s="21" t="inlineStr">
        <ns0:is>
          <ns0:t>6</ns0:t>
        </ns0:is>
      </ns0:c>
      <ns0:c r="B38" s="21" t="inlineStr">
        <ns0:is>
          <ns0:t>rq2_status</ns0:t>
        </ns0:is>
      </ns0:c>
      <ns0:c r="C38" s="21" t="inlineStr">
        <ns0:is>
          <ns0:t>Not adjudicated in master</ns0:t>
        </ns0:is>
      </ns0:c>
      <ns0:c r="D38" s="21" t="inlineStr">
        <ns0:is>
          <ns0:t>Proposed only</ns0:t>
        </ns0:is>
      </ns0:c>
      <ns0:c r="E38" s="21" t="inlineStr">
        <ns0:is>
          <ns0:t>ADOS score sheets and demographic covariates; sparse models intended to shorten assessment. No clinical use of predictions is evaluated. Comparing ML models is not hybrid ML/DL integration.</ns0:t>
        </ns0:is>
      </ns0:c>
      <ns0:c r="F38" s="21" t="inlineStr">
        <ns0:is>
          <ns0:t>https://doi.org/10.1186/s13229-017-0180-6</ns0:t>
        </ns0:is>
      </ns0:c>
      <ns0:c r="G38" s="21" t="inlineStr">
        <ns0:is>
          <ns0:t>ChatGPT-assisted evidence recharting, 2026-09-08</ns0:t>
        </ns0:is>
      </ns0:c>
    </ns0:row>
    <ns0:row r="39" ht="42" customHeight="1">
      <ns0:c r="A39" s="19" t="inlineStr">
        <ns0:is>
          <ns0:t>6</ns0:t>
        </ns0:is>
      </ns0:c>
      <ns0:c r="B39" s="19" t="inlineStr">
        <ns0:is>
          <ns0:t>rq2_role</ns0:t>
        </ns0:is>
      </ns0:c>
      <ns0:c r="C39" s="19" t="inlineStr"/>
      <ns0:c r="D39" s="19" t="inlineStr">
        <ns0:is>
          <ns0:t>Triage/questionnaire assessment</ns0:t>
        </ns0:is>
      </ns0:c>
      <ns0:c r="E39" s="19" t="inlineStr">
        <ns0:is>
          <ns0:t>ADOS score sheets and demographic covariates; sparse models intended to shorten assessment. No clinical use of predictions is evaluated. Comparing ML models is not hybrid ML/DL integration.</ns0:t>
        </ns0:is>
      </ns0:c>
      <ns0:c r="F39" s="19" t="inlineStr">
        <ns0:is>
          <ns0:t>https://doi.org/10.1186/s13229-017-0180-6</ns0:t>
        </ns0:is>
      </ns0:c>
      <ns0:c r="G39" s="19" t="inlineStr">
        <ns0:is>
          <ns0:t>ChatGPT-assisted evidence recharting, 2026-09-08</ns0:t>
        </ns0:is>
      </ns0:c>
    </ns0:row>
    <ns0:row r="40" ht="42" customHeight="1">
      <ns0:c r="A40" s="21" t="inlineStr">
        <ns0:is>
          <ns0:t>6</ns0:t>
        </ns0:is>
      </ns0:c>
      <ns0:c r="B40" s="21" t="inlineStr">
        <ns0:is>
          <ns0:t>decision_timing</ns0:t>
        </ns0:is>
      </ns0:c>
      <ns0:c r="C40" s="21" t="inlineStr"/>
      <ns0:c r="D40" s="21" t="inlineStr">
        <ns0:is>
          <ns0:t>Pre-decision</ns0:t>
        </ns0:is>
      </ns0:c>
      <ns0:c r="E40" s="21" t="inlineStr">
        <ns0:is>
          <ns0:t>ADOS score sheets and demographic covariates; sparse models intended to shorten assessment. No clinical use of predictions is evaluated. Comparing ML models is not hybrid ML/DL integration.</ns0:t>
        </ns0:is>
      </ns0:c>
      <ns0:c r="F40" s="21" t="inlineStr">
        <ns0:is>
          <ns0:t>https://doi.org/10.1186/s13229-017-0180-6</ns0:t>
        </ns0:is>
      </ns0:c>
      <ns0:c r="G40" s="21" t="inlineStr">
        <ns0:is>
          <ns0:t>ChatGPT-assisted evidence recharting, 2026-09-08</ns0:t>
        </ns0:is>
      </ns0:c>
    </ns0:row>
    <ns0:row r="41" ht="42" customHeight="1">
      <ns0:c r="A41" s="19" t="inlineStr">
        <ns0:is>
          <ns0:t>7</ns0:t>
        </ns0:is>
      </ns0:c>
      <ns0:c r="B41" s="19" t="inlineStr">
        <ns0:is>
          <ns0:t>stage_primary</ns0:t>
        </ns0:is>
      </ns0:c>
      <ns0:c r="C41" s="19" t="inlineStr">
        <ns0:is>
          <ns0:t>Prescreening</ns0:t>
        </ns0:is>
      </ns0:c>
      <ns0:c r="D41" s="19" t="inlineStr">
        <ns0:is>
          <ns0:t>Prognosis</ns0:t>
        </ns0:is>
      </ns0:c>
      <ns0:c r="E41" s="19" t="inlineStr">
        <ns0:is>
          <ns0:t>Linked maternal-newborn administrative and registry records predict a future ASD diagnosis at 18-60 months. Population prescreening is a proposed use; the implemented endpoint is prognostic.</ns0:t>
        </ns0:is>
      </ns0:c>
      <ns0:c r="F41" s="19" t="inlineStr">
        <ns0:is>
          <ns0:t>https://doi.org/10.1038/s41598-025-90216-8</ns0:t>
        </ns0:is>
      </ns0:c>
      <ns0:c r="G41" s="19" t="inlineStr">
        <ns0:is>
          <ns0:t>ChatGPT-assisted evidence recharting, 2026-09-08</ns0:t>
        </ns0:is>
      </ns0:c>
    </ns0:row>
    <ns0:row r="42" ht="42" customHeight="1">
      <ns0:c r="A42" s="21" t="inlineStr">
        <ns0:is>
          <ns0:t>7</ns0:t>
        </ns0:is>
      </ns0:c>
      <ns0:c r="B42" s="21" t="inlineStr">
        <ns0:is>
          <ns0:t>data_source_primary</ns0:t>
        </ns0:is>
      </ns0:c>
      <ns0:c r="C42" s="21" t="inlineStr">
        <ns0:is>
          <ns0:t>Not specified</ns0:t>
        </ns0:is>
      </ns0:c>
      <ns0:c r="D42" s="21" t="inlineStr">
        <ns0:is>
          <ns0:t>Structured clinical/questionnaire data</ns0:t>
        </ns0:is>
      </ns0:c>
      <ns0:c r="E42" s="21" t="inlineStr">
        <ns0:is>
          <ns0:t>Linked maternal-newborn administrative and registry records predict a future ASD diagnosis at 18-60 months. Population prescreening is a proposed use; the implemented endpoint is prognostic.</ns0:t>
        </ns0:is>
      </ns0:c>
      <ns0:c r="F42" s="21" t="inlineStr">
        <ns0:is>
          <ns0:t>https://doi.org/10.1038/s41598-025-90216-8</ns0:t>
        </ns0:is>
      </ns0:c>
      <ns0:c r="G42" s="21" t="inlineStr">
        <ns0:is>
          <ns0:t>ChatGPT-assisted evidence recharting, 2026-09-08</ns0:t>
        </ns0:is>
      </ns0:c>
    </ns0:row>
    <ns0:row r="43" ht="42" customHeight="1">
      <ns0:c r="A43" s="19" t="inlineStr">
        <ns0:is>
          <ns0:t>7</ns0:t>
        </ns0:is>
      </ns0:c>
      <ns0:c r="B43" s="19" t="inlineStr">
        <ns0:is>
          <ns0:t>algorithm_main</ns0:t>
        </ns0:is>
      </ns0:c>
      <ns0:c r="C43" s="19" t="inlineStr">
        <ns0:is>
          <ns0:t>Transformer</ns0:t>
        </ns0:is>
      </ns0:c>
      <ns0:c r="D43" s="19" t="inlineStr">
        <ns0:is>
          <ns0:t>Transformer ensemble</ns0:t>
        </ns0:is>
      </ns0:c>
      <ns0:c r="E43" s="19" t="inlineStr">
        <ns0:is>
          <ns0:t>Linked maternal-newborn administrative and registry records predict a future ASD diagnosis at 18-60 months. Population prescreening is a proposed use; the implemented endpoint is prognostic.</ns0:t>
        </ns0:is>
      </ns0:c>
      <ns0:c r="F43" s="19" t="inlineStr">
        <ns0:is>
          <ns0:t>https://doi.org/10.1038/s41598-025-90216-8</ns0:t>
        </ns0:is>
      </ns0:c>
      <ns0:c r="G43" s="19" t="inlineStr">
        <ns0:is>
          <ns0:t>ChatGPT-assisted evidence recharting, 2026-09-08</ns0:t>
        </ns0:is>
      </ns0:c>
    </ns0:row>
    <ns0:row r="44" ht="42" customHeight="1">
      <ns0:c r="A44" s="21" t="inlineStr">
        <ns0:is>
          <ns0:t>7</ns0:t>
        </ns0:is>
      </ns0:c>
      <ns0:c r="B44" s="21" t="inlineStr">
        <ns0:is>
          <ns0:t>rq2_status</ns0:t>
        </ns0:is>
      </ns0:c>
      <ns0:c r="C44" s="21" t="inlineStr">
        <ns0:is>
          <ns0:t>Not adjudicated in master</ns0:t>
        </ns0:is>
      </ns0:c>
      <ns0:c r="D44" s="21" t="inlineStr">
        <ns0:is>
          <ns0:t>Proposed only</ns0:t>
        </ns0:is>
      </ns0:c>
      <ns0:c r="E44" s="21" t="inlineStr">
        <ns0:is>
          <ns0:t>Linked maternal-newborn administrative and registry records predict a future ASD diagnosis at 18-60 months. Population prescreening is a proposed use; the implemented endpoint is prognostic.</ns0:t>
        </ns0:is>
      </ns0:c>
      <ns0:c r="F44" s="21" t="inlineStr">
        <ns0:is>
          <ns0:t>https://doi.org/10.1038/s41598-025-90216-8</ns0:t>
        </ns0:is>
      </ns0:c>
      <ns0:c r="G44" s="21" t="inlineStr">
        <ns0:is>
          <ns0:t>ChatGPT-assisted evidence recharting, 2026-09-08</ns0:t>
        </ns0:is>
      </ns0:c>
    </ns0:row>
    <ns0:row r="45" ht="42" customHeight="1">
      <ns0:c r="A45" s="19" t="inlineStr">
        <ns0:is>
          <ns0:t>7</ns0:t>
        </ns0:is>
      </ns0:c>
      <ns0:c r="B45" s="19" t="inlineStr">
        <ns0:is>
          <ns0:t>rq2_role</ns0:t>
        </ns0:is>
      </ns0:c>
      <ns0:c r="C45" s="19" t="inlineStr"/>
      <ns0:c r="D45" s="19" t="inlineStr">
        <ns0:is>
          <ns0:t>Risk/trajectory estimation</ns0:t>
        </ns0:is>
      </ns0:c>
      <ns0:c r="E45" s="19" t="inlineStr">
        <ns0:is>
          <ns0:t>Linked maternal-newborn administrative and registry records predict a future ASD diagnosis at 18-60 months. Population prescreening is a proposed use; the implemented endpoint is prognostic.</ns0:t>
        </ns0:is>
      </ns0:c>
      <ns0:c r="F45" s="19" t="inlineStr">
        <ns0:is>
          <ns0:t>https://doi.org/10.1038/s41598-025-90216-8</ns0:t>
        </ns0:is>
      </ns0:c>
      <ns0:c r="G45" s="19" t="inlineStr">
        <ns0:is>
          <ns0:t>ChatGPT-assisted evidence recharting, 2026-09-08</ns0:t>
        </ns0:is>
      </ns0:c>
    </ns0:row>
    <ns0:row r="46" ht="42" customHeight="1">
      <ns0:c r="A46" s="21" t="inlineStr">
        <ns0:is>
          <ns0:t>7</ns0:t>
        </ns0:is>
      </ns0:c>
      <ns0:c r="B46" s="21" t="inlineStr">
        <ns0:is>
          <ns0:t>decision_timing</ns0:t>
        </ns0:is>
      </ns0:c>
      <ns0:c r="C46" s="21" t="inlineStr"/>
      <ns0:c r="D46" s="21" t="inlineStr">
        <ns0:is>
          <ns0:t>Pre-decision</ns0:t>
        </ns0:is>
      </ns0:c>
      <ns0:c r="E46" s="21" t="inlineStr">
        <ns0:is>
          <ns0:t>Linked maternal-newborn administrative and registry records predict a future ASD diagnosis at 18-60 months. Population prescreening is a proposed use; the implemented endpoint is prognostic.</ns0:t>
        </ns0:is>
      </ns0:c>
      <ns0:c r="F46" s="21" t="inlineStr">
        <ns0:is>
          <ns0:t>https://doi.org/10.1038/s41598-025-90216-8</ns0:t>
        </ns0:is>
      </ns0:c>
      <ns0:c r="G46" s="21" t="inlineStr">
        <ns0:is>
          <ns0:t>ChatGPT-assisted evidence recharting, 2026-09-08</ns0:t>
        </ns0:is>
      </ns0:c>
    </ns0:row>
    <ns0:row r="47" ht="42" customHeight="1">
      <ns0:c r="A47" s="19" t="inlineStr">
        <ns0:is>
          <ns0:t>7</ns0:t>
        </ns0:is>
      </ns0:c>
      <ns0:c r="B47" s="19" t="inlineStr">
        <ns0:is>
          <ns0:t>xai_strict</ns0:t>
        </ns0:is>
      </ns0:c>
      <ns0:c r="C47" s="19" t="inlineStr">
        <ns0:is>
          <ns0:t>Reported</ns0:t>
        </ns0:is>
      </ns0:c>
      <ns0:c r="D47" s="19" t="inlineStr">
        <ns0:is>
          <ns0:t>Not ascertainable</ns0:t>
        </ns0:is>
      </ns0:c>
      <ns0:c r="E47" s="19" t="inlineStr">
        <ns0:is>
          <ns0:t>Linked maternal-newborn administrative and registry records predict a future ASD diagnosis at 18-60 months. Population prescreening is a proposed use; the implemented endpoint is prognostic.</ns0:t>
        </ns0:is>
      </ns0:c>
      <ns0:c r="F47" s="19" t="inlineStr">
        <ns0:is>
          <ns0:t>https://doi.org/10.1038/s41598-025-90216-8</ns0:t>
        </ns0:is>
      </ns0:c>
      <ns0:c r="G47" s="19" t="inlineStr">
        <ns0:is>
          <ns0:t>ChatGPT-assisted evidence recharting, 2026-09-08</ns0:t>
        </ns0:is>
      </ns0:c>
    </ns0:row>
    <ns0:row r="48" ht="42" customHeight="1">
      <ns0:c r="A48" s="21" t="inlineStr">
        <ns0:is>
          <ns0:t>7</ns0:t>
        </ns0:is>
      </ns0:c>
      <ns0:c r="B48" s="21" t="inlineStr">
        <ns0:is>
          <ns0:t>xai_partial</ns0:t>
        </ns0:is>
      </ns0:c>
      <ns0:c r="C48" s="21" t="inlineStr">
        <ns0:is>
          <ns0:t>Not reported in assessed sources</ns0:t>
        </ns0:is>
      </ns0:c>
      <ns0:c r="D48" s="21" t="inlineStr">
        <ns0:is>
          <ns0:t>Reported</ns0:t>
        </ns0:is>
      </ns0:c>
      <ns0:c r="E48" s="21" t="inlineStr">
        <ns0:is>
          <ns0:t>Linked maternal-newborn administrative and registry records predict a future ASD diagnosis at 18-60 months. Population prescreening is a proposed use; the implemented endpoint is prognostic.</ns0:t>
        </ns0:is>
      </ns0:c>
      <ns0:c r="F48" s="21" t="inlineStr">
        <ns0:is>
          <ns0:t>https://doi.org/10.1038/s41598-025-90216-8</ns0:t>
        </ns0:is>
      </ns0:c>
      <ns0:c r="G48" s="21" t="inlineStr">
        <ns0:is>
          <ns0:t>ChatGPT-assisted evidence recharting, 2026-09-08</ns0:t>
        </ns0:is>
      </ns0:c>
    </ns0:row>
    <ns0:row r="49" ht="42" customHeight="1">
      <ns0:c r="A49" s="19" t="inlineStr">
        <ns0:is>
          <ns0:t>7</ns0:t>
        </ns0:is>
      </ns0:c>
      <ns0:c r="B49" s="19" t="inlineStr">
        <ns0:is>
          <ns0:t>multisource_data</ns0:t>
        </ns0:is>
      </ns0:c>
      <ns0:c r="C49" s="19" t="inlineStr">
        <ns0:is>
          <ns0:t>Not reported in assessed sources</ns0:t>
        </ns0:is>
      </ns0:c>
      <ns0:c r="D49" s="19" t="inlineStr">
        <ns0:is>
          <ns0:t>Reported</ns0:t>
        </ns0:is>
      </ns0:c>
      <ns0:c r="E49" s="19" t="inlineStr">
        <ns0:is>
          <ns0:t>Linked maternal-newborn administrative and registry records predict a future ASD diagnosis at 18-60 months. Population prescreening is a proposed use; the implemented endpoint is prognostic.</ns0:t>
        </ns0:is>
      </ns0:c>
      <ns0:c r="F49" s="19" t="inlineStr">
        <ns0:is>
          <ns0:t>https://doi.org/10.1038/s41598-025-90216-8</ns0:t>
        </ns0:is>
      </ns0:c>
      <ns0:c r="G49" s="19" t="inlineStr">
        <ns0:is>
          <ns0:t>ChatGPT-assisted evidence recharting, 2026-09-08</ns0:t>
        </ns0:is>
      </ns0:c>
    </ns0:row>
    <ns0:row r="50" ht="42" customHeight="1">
      <ns0:c r="A50" s="21" t="inlineStr">
        <ns0:is>
          <ns0:t>8</ns0:t>
        </ns0:is>
      </ns0:c>
      <ns0:c r="B50" s="21" t="inlineStr">
        <ns0:is>
          <ns0:t>stage_primary</ns0:t>
        </ns0:is>
      </ns0:c>
      <ns0:c r="C50" s="21" t="inlineStr">
        <ns0:is>
          <ns0:t>Diagnosis</ns0:t>
        </ns0:is>
      </ns0:c>
      <ns0:c r="D50" s="21" t="inlineStr">
        <ns0:is>
          <ns0:t>Screening</ns0:t>
        </ns0:is>
      </ns0:c>
      <ns0:c r="E50" s="21" t="inlineStr">
        <ns0:is>
          <ns0:t>Ear-worn EEG hardware with on-chip classification is bench-tested using the Old Dominion University ASD dataset. A deployed wearable screening workflow is proposed, not demonstrated by a real-time hardware benchmark.</ns0:t>
        </ns0:is>
      </ns0:c>
      <ns0:c r="F50" s="21" t="inlineStr">
        <ns0:is>
          <ns0:t>https://doi.org/10.3390/s24237489</ns0:t>
        </ns0:is>
      </ns0:c>
      <ns0:c r="G50" s="21" t="inlineStr">
        <ns0:is>
          <ns0:t>ChatGPT-assisted evidence recharting, 2026-09-08</ns0:t>
        </ns0:is>
      </ns0:c>
    </ns0:row>
    <ns0:row r="51" ht="42" customHeight="1">
      <ns0:c r="A51" s="19" t="inlineStr">
        <ns0:is>
          <ns0:t>8</ns0:t>
        </ns0:is>
      </ns0:c>
      <ns0:c r="B51" s="19" t="inlineStr">
        <ns0:is>
          <ns0:t>data_source_primary</ns0:t>
        </ns0:is>
      </ns0:c>
      <ns0:c r="C51" s="19" t="inlineStr">
        <ns0:is>
          <ns0:t>Image (subtype unresolved)</ns0:t>
        </ns0:is>
      </ns0:c>
      <ns0:c r="D51" s="19" t="inlineStr">
        <ns0:is>
          <ns0:t>Physiological signals</ns0:t>
        </ns0:is>
      </ns0:c>
      <ns0:c r="E51" s="19" t="inlineStr">
        <ns0:is>
          <ns0:t>Ear-worn EEG hardware with on-chip classification is bench-tested using the Old Dominion University ASD dataset. A deployed wearable screening workflow is proposed, not demonstrated by a real-time hardware benchmark.</ns0:t>
        </ns0:is>
      </ns0:c>
      <ns0:c r="F51" s="19" t="inlineStr">
        <ns0:is>
          <ns0:t>https://doi.org/10.3390/s24237489</ns0:t>
        </ns0:is>
      </ns0:c>
      <ns0:c r="G51" s="19" t="inlineStr">
        <ns0:is>
          <ns0:t>ChatGPT-assisted evidence recharting, 2026-09-08</ns0:t>
        </ns0:is>
      </ns0:c>
    </ns0:row>
    <ns0:row r="52" ht="42" customHeight="1">
      <ns0:c r="A52" s="21" t="inlineStr">
        <ns0:is>
          <ns0:t>8</ns0:t>
        </ns0:is>
      </ns0:c>
      <ns0:c r="B52" s="21" t="inlineStr">
        <ns0:is>
          <ns0:t>algorithm_main</ns0:t>
        </ns0:is>
      </ns0:c>
      <ns0:c r="C52" s="21" t="inlineStr">
        <ns0:is>
          <ns0:t>MLP</ns0:t>
        </ns0:is>
      </ns0:c>
      <ns0:c r="D52" s="21" t="inlineStr">
        <ns0:is>
          <ns0:t>Not specified</ns0:t>
        </ns0:is>
      </ns0:c>
      <ns0:c r="E52" s="21" t="inlineStr">
        <ns0:is>
          <ns0:t>Ear-worn EEG hardware with on-chip classification is bench-tested using the Old Dominion University ASD dataset. A deployed wearable screening workflow is proposed, not demonstrated by a real-time hardware benchmark.</ns0:t>
        </ns0:is>
      </ns0:c>
      <ns0:c r="F52" s="21" t="inlineStr">
        <ns0:is>
          <ns0:t>https://doi.org/10.3390/s24237489</ns0:t>
        </ns0:is>
      </ns0:c>
      <ns0:c r="G52" s="21" t="inlineStr">
        <ns0:is>
          <ns0:t>ChatGPT-assisted evidence recharting, 2026-09-08</ns0:t>
        </ns0:is>
      </ns0:c>
    </ns0:row>
    <ns0:row r="53" ht="42" customHeight="1">
      <ns0:c r="A53" s="19" t="inlineStr">
        <ns0:is>
          <ns0:t>8</ns0:t>
        </ns0:is>
      </ns0:c>
      <ns0:c r="B53" s="19" t="inlineStr">
        <ns0:is>
          <ns0:t>rq2_status</ns0:t>
        </ns0:is>
      </ns0:c>
      <ns0:c r="C53" s="19" t="inlineStr">
        <ns0:is>
          <ns0:t>Not adjudicated in master</ns0:t>
        </ns0:is>
      </ns0:c>
      <ns0:c r="D53" s="19" t="inlineStr">
        <ns0:is>
          <ns0:t>Proposed only</ns0:t>
        </ns0:is>
      </ns0:c>
      <ns0:c r="E53" s="19" t="inlineStr">
        <ns0:is>
          <ns0:t>Ear-worn EEG hardware with on-chip classification is bench-tested using the Old Dominion University ASD dataset. A deployed wearable screening workflow is proposed, not demonstrated by a real-time hardware benchmark.</ns0:t>
        </ns0:is>
      </ns0:c>
      <ns0:c r="F53" s="19" t="inlineStr">
        <ns0:is>
          <ns0:t>https://doi.org/10.3390/s24237489</ns0:t>
        </ns0:is>
      </ns0:c>
      <ns0:c r="G53" s="19" t="inlineStr">
        <ns0:is>
          <ns0:t>ChatGPT-assisted evidence recharting, 2026-09-08</ns0:t>
        </ns0:is>
      </ns0:c>
    </ns0:row>
    <ns0:row r="54" ht="42" customHeight="1">
      <ns0:c r="A54" s="21" t="inlineStr">
        <ns0:is>
          <ns0:t>8</ns0:t>
        </ns0:is>
      </ns0:c>
      <ns0:c r="B54" s="21" t="inlineStr">
        <ns0:is>
          <ns0:t>rq2_role</ns0:t>
        </ns0:is>
      </ns0:c>
      <ns0:c r="C54" s="21" t="inlineStr"/>
      <ns0:c r="D54" s="21" t="inlineStr">
        <ns0:is>
          <ns0:t>Mobile assessment</ns0:t>
        </ns0:is>
      </ns0:c>
      <ns0:c r="E54" s="21" t="inlineStr">
        <ns0:is>
          <ns0:t>Ear-worn EEG hardware with on-chip classification is bench-tested using the Old Dominion University ASD dataset. A deployed wearable screening workflow is proposed, not demonstrated by a real-time hardware benchmark.</ns0:t>
        </ns0:is>
      </ns0:c>
      <ns0:c r="F54" s="21" t="inlineStr">
        <ns0:is>
          <ns0:t>https://doi.org/10.3390/s24237489</ns0:t>
        </ns0:is>
      </ns0:c>
      <ns0:c r="G54" s="21" t="inlineStr">
        <ns0:is>
          <ns0:t>ChatGPT-assisted evidence recharting, 2026-09-08</ns0:t>
        </ns0:is>
      </ns0:c>
    </ns0:row>
    <ns0:row r="55" ht="42" customHeight="1">
      <ns0:c r="A55" s="19" t="inlineStr">
        <ns0:is>
          <ns0:t>8</ns0:t>
        </ns0:is>
      </ns0:c>
      <ns0:c r="B55" s="19" t="inlineStr">
        <ns0:is>
          <ns0:t>decision_timing</ns0:t>
        </ns0:is>
      </ns0:c>
      <ns0:c r="C55" s="19" t="inlineStr"/>
      <ns0:c r="D55" s="19" t="inlineStr">
        <ns0:is>
          <ns0:t>Pre-decision</ns0:t>
        </ns0:is>
      </ns0:c>
      <ns0:c r="E55" s="19" t="inlineStr">
        <ns0:is>
          <ns0:t>Ear-worn EEG hardware with on-chip classification is bench-tested using the Old Dominion University ASD dataset. A deployed wearable screening workflow is proposed, not demonstrated by a real-time hardware benchmark.</ns0:t>
        </ns0:is>
      </ns0:c>
      <ns0:c r="F55" s="19" t="inlineStr">
        <ns0:is>
          <ns0:t>https://doi.org/10.3390/s24237489</ns0:t>
        </ns0:is>
      </ns0:c>
      <ns0:c r="G55" s="19" t="inlineStr">
        <ns0:is>
          <ns0:t>ChatGPT-assisted evidence recharting, 2026-09-08</ns0:t>
        </ns0:is>
      </ns0:c>
    </ns0:row>
    <ns0:row r="56" ht="42" customHeight="1">
      <ns0:c r="A56" s="21" t="inlineStr">
        <ns0:is>
          <ns0:t>8</ns0:t>
        </ns0:is>
      </ns0:c>
      <ns0:c r="B56" s="21" t="inlineStr">
        <ns0:is>
          <ns0:t>multisource_data</ns0:t>
        </ns0:is>
      </ns0:c>
      <ns0:c r="C56" s="21" t="inlineStr">
        <ns0:is>
          <ns0:t>Reported</ns0:t>
        </ns0:is>
      </ns0:c>
      <ns0:c r="D56" s="21" t="inlineStr">
        <ns0:is>
          <ns0:t>Not reported in assessed sources</ns0:t>
        </ns0:is>
      </ns0:c>
      <ns0:c r="E56" s="21" t="inlineStr">
        <ns0:is>
          <ns0:t>Ear-worn EEG hardware with on-chip classification is bench-tested using the Old Dominion University ASD dataset. A deployed wearable screening workflow is proposed, not demonstrated by a real-time hardware benchmark.</ns0:t>
        </ns0:is>
      </ns0:c>
      <ns0:c r="F56" s="21" t="inlineStr">
        <ns0:is>
          <ns0:t>https://doi.org/10.3390/s24237489</ns0:t>
        </ns0:is>
      </ns0:c>
      <ns0:c r="G56" s="21" t="inlineStr">
        <ns0:is>
          <ns0:t>ChatGPT-assisted evidence recharting, 2026-09-08</ns0:t>
        </ns0:is>
      </ns0:c>
    </ns0:row>
    <ns0:row r="57" ht="42" customHeight="1">
      <ns0:c r="A57" s="19" t="inlineStr">
        <ns0:is>
          <ns0:t>9</ns0:t>
        </ns0:is>
      </ns0:c>
      <ns0:c r="B57" s="19" t="inlineStr">
        <ns0:is>
          <ns0:t>data_source_primary</ns0:t>
        </ns0:is>
      </ns0:c>
      <ns0:c r="C57" s="19" t="inlineStr">
        <ns0:is>
          <ns0:t>Audio / voice</ns0:t>
        </ns0:is>
      </ns0:c>
      <ns0:c r="D57" s="19" t="inlineStr">
        <ns0:is>
          <ns0:t>Audio/voice</ns0:t>
        </ns0:is>
      </ns0:c>
      <ns0:c r="E57" s="19" t="inlineStr">
        <ns0:is>
          <ns0:t>Acoustic and transcript-based ADOS-code prediction is evaluated offline. Audio and transcript tasks are described separately; classifier score fusion is not itself evidence of independent-source fusion.</ns0:t>
        </ns0:is>
      </ns0:c>
      <ns0:c r="F57" s="19" t="inlineStr">
        <ns0:is>
          <ns0:t>https://doi.org/10.1016/j.csl.2018.11.002</ns0:t>
        </ns0:is>
      </ns0:c>
      <ns0:c r="G57" s="19" t="inlineStr">
        <ns0:is>
          <ns0:t>ChatGPT-assisted evidence recharting, 2026-09-08</ns0:t>
        </ns0:is>
      </ns0:c>
    </ns0:row>
    <ns0:row r="58" ht="42" customHeight="1">
      <ns0:c r="A58" s="21" t="inlineStr">
        <ns0:is>
          <ns0:t>9</ns0:t>
        </ns0:is>
      </ns0:c>
      <ns0:c r="B58" s="21" t="inlineStr">
        <ns0:is>
          <ns0:t>algorithm_main</ns0:t>
        </ns0:is>
      </ns0:c>
      <ns0:c r="C58" s="21" t="inlineStr">
        <ns0:is>
          <ns0:t>CNN</ns0:t>
        </ns0:is>
      </ns0:c>
      <ns0:c r="D58" s="21" t="inlineStr">
        <ns0:is>
          <ns0:t>CNN/RNN and SVM</ns0:t>
        </ns0:is>
      </ns0:c>
      <ns0:c r="E58" s="21" t="inlineStr">
        <ns0:is>
          <ns0:t>Acoustic and transcript-based ADOS-code prediction is evaluated offline. Audio and transcript tasks are described separately; classifier score fusion is not itself evidence of independent-source fusion.</ns0:t>
        </ns0:is>
      </ns0:c>
      <ns0:c r="F58" s="21" t="inlineStr">
        <ns0:is>
          <ns0:t>https://doi.org/10.1016/j.csl.2018.11.002</ns0:t>
        </ns0:is>
      </ns0:c>
      <ns0:c r="G58" s="21" t="inlineStr">
        <ns0:is>
          <ns0:t>ChatGPT-assisted evidence recharting, 2026-09-08</ns0:t>
        </ns0:is>
      </ns0:c>
    </ns0:row>
    <ns0:row r="59" ht="42" customHeight="1">
      <ns0:c r="A59" s="19" t="inlineStr">
        <ns0:is>
          <ns0:t>9</ns0:t>
        </ns0:is>
      </ns0:c>
      <ns0:c r="B59" s="19" t="inlineStr">
        <ns0:is>
          <ns0:t>rq2_status</ns0:t>
        </ns0:is>
      </ns0:c>
      <ns0:c r="C59" s="19" t="inlineStr">
        <ns0:is>
          <ns0:t>Not adjudicated in master</ns0:t>
        </ns0:is>
      </ns0:c>
      <ns0:c r="D59" s="19" t="inlineStr">
        <ns0:is>
          <ns0:t>Research only</ns0:t>
        </ns0:is>
      </ns0:c>
      <ns0:c r="E59" s="19" t="inlineStr">
        <ns0:is>
          <ns0:t>Acoustic and transcript-based ADOS-code prediction is evaluated offline. Audio and transcript tasks are described separately; classifier score fusion is not itself evidence of independent-source fusion.</ns0:t>
        </ns0:is>
      </ns0:c>
      <ns0:c r="F59" s="19" t="inlineStr">
        <ns0:is>
          <ns0:t>https://doi.org/10.1016/j.csl.2018.11.002</ns0:t>
        </ns0:is>
      </ns0:c>
      <ns0:c r="G59" s="19" t="inlineStr">
        <ns0:is>
          <ns0:t>ChatGPT-assisted evidence recharting, 2026-09-08</ns0:t>
        </ns0:is>
      </ns0:c>
    </ns0:row>
    <ns0:row r="60" ht="42" customHeight="1">
      <ns0:c r="A60" s="21" t="inlineStr">
        <ns0:is>
          <ns0:t>9</ns0:t>
        </ns0:is>
      </ns0:c>
      <ns0:c r="B60" s="21" t="inlineStr">
        <ns0:is>
          <ns0:t>rq2_role</ns0:t>
        </ns0:is>
      </ns0:c>
      <ns0:c r="C60" s="21" t="inlineStr"/>
      <ns0:c r="D60" s="21" t="inlineStr">
        <ns0:is>
          <ns0:t>Automated measurement/classification</ns0:t>
        </ns0:is>
      </ns0:c>
      <ns0:c r="E60" s="21" t="inlineStr">
        <ns0:is>
          <ns0:t>Acoustic and transcript-based ADOS-code prediction is evaluated offline. Audio and transcript tasks are described separately; classifier score fusion is not itself evidence of independent-source fusion.</ns0:t>
        </ns0:is>
      </ns0:c>
      <ns0:c r="F60" s="21" t="inlineStr">
        <ns0:is>
          <ns0:t>https://doi.org/10.1016/j.csl.2018.11.002</ns0:t>
        </ns0:is>
      </ns0:c>
      <ns0:c r="G60" s="21" t="inlineStr">
        <ns0:is>
          <ns0:t>ChatGPT-assisted evidence recharting, 2026-09-08</ns0:t>
        </ns0:is>
      </ns0:c>
    </ns0:row>
    <ns0:row r="61" ht="42" customHeight="1">
      <ns0:c r="A61" s="19" t="inlineStr">
        <ns0:is>
          <ns0:t>9</ns0:t>
        </ns0:is>
      </ns0:c>
      <ns0:c r="B61" s="19" t="inlineStr">
        <ns0:is>
          <ns0:t>decision_timing</ns0:t>
        </ns0:is>
      </ns0:c>
      <ns0:c r="C61" s="19" t="inlineStr"/>
      <ns0:c r="D61" s="19" t="inlineStr">
        <ns0:is>
          <ns0:t>Not observed in assessed sources</ns0:t>
        </ns0:is>
      </ns0:c>
      <ns0:c r="E61" s="19" t="inlineStr">
        <ns0:is>
          <ns0:t>Acoustic and transcript-based ADOS-code prediction is evaluated offline. Audio and transcript tasks are described separately; classifier score fusion is not itself evidence of independent-source fusion.</ns0:t>
        </ns0:is>
      </ns0:c>
      <ns0:c r="F61" s="19" t="inlineStr">
        <ns0:is>
          <ns0:t>https://doi.org/10.1016/j.csl.2018.11.002</ns0:t>
        </ns0:is>
      </ns0:c>
      <ns0:c r="G61" s="19" t="inlineStr">
        <ns0:is>
          <ns0:t>ChatGPT-assisted evidence recharting, 2026-09-08</ns0:t>
        </ns0:is>
      </ns0:c>
    </ns0:row>
    <ns0:row r="62" ht="42" customHeight="1">
      <ns0:c r="A62" s="21" t="inlineStr">
        <ns0:is>
          <ns0:t>9</ns0:t>
        </ns0:is>
      </ns0:c>
      <ns0:c r="B62" s="21" t="inlineStr">
        <ns0:is>
          <ns0:t>multisource_data</ns0:t>
        </ns0:is>
      </ns0:c>
      <ns0:c r="C62" s="21" t="inlineStr">
        <ns0:is>
          <ns0:t>Not reported in assessed sources</ns0:t>
        </ns0:is>
      </ns0:c>
      <ns0:c r="D62" s="21" t="inlineStr">
        <ns0:is>
          <ns0:t>Reported</ns0:t>
        </ns0:is>
      </ns0:c>
      <ns0:c r="E62" s="21" t="inlineStr">
        <ns0:is>
          <ns0:t>Acoustic and transcript-based ADOS-code prediction is evaluated offline. Audio and transcript tasks are described separately; classifier score fusion is not itself evidence of independent-source fusion.</ns0:t>
        </ns0:is>
      </ns0:c>
      <ns0:c r="F62" s="21" t="inlineStr">
        <ns0:is>
          <ns0:t>https://doi.org/10.1016/j.csl.2018.11.002</ns0:t>
        </ns0:is>
      </ns0:c>
      <ns0:c r="G62" s="21" t="inlineStr">
        <ns0:is>
          <ns0:t>ChatGPT-assisted evidence recharting, 2026-09-08</ns0:t>
        </ns0:is>
      </ns0:c>
    </ns0:row>
    <ns0:row r="63" ht="45" customHeight="1">
      <ns0:c r="A63" s="19" t="inlineStr">
        <ns0:is>
          <ns0:t>10</ns0:t>
        </ns0:is>
      </ns0:c>
      <ns0:c r="B63" s="19" t="inlineStr">
        <ns0:is>
          <ns0:t>data_source_primary</ns0:t>
        </ns0:is>
      </ns0:c>
      <ns0:c r="C63" s="19" t="inlineStr">
        <ns0:is>
          <ns0:t>Text / NLP (legacy; verify input type)</ns0:t>
        </ns0:is>
      </ns0:c>
      <ns0:c r="D63" s="19" t="inlineStr">
        <ns0:is>
          <ns0:t>Audio/voice</ns0:t>
        </ns0:is>
      </ns0:c>
      <ns0:c r="E63" s="19" t="inlineStr">
        <ns0:is>
          <ns0:t>Speech-derived acoustic and linguistic biomarkers are evaluated in Hindi and English; no active clinician-facing workflow is documented in the assessed abstract.
Acoustic and linguistic representations from speech; language variation is not independent input modality.</ns0:t>
        </ns0:is>
      </ns0:c>
      <ns0:c r="F63" s="19" t="inlineStr">
        <ns0:is>
          <ns0:t>https://doi.org/10.1109/tai.2024.3439288</ns0:t>
        </ns0:is>
      </ns0:c>
      <ns0:c r="G63" s="19" t="inlineStr">
        <ns0:is>
          <ns0:t>ChatGPT-assisted evidence recharting, 2026-09-08</ns0:t>
        </ns0:is>
      </ns0:c>
    </ns0:row>
    <ns0:row r="64" ht="45" customHeight="1">
      <ns0:c r="A64" s="21" t="inlineStr">
        <ns0:is>
          <ns0:t>10</ns0:t>
        </ns0:is>
      </ns0:c>
      <ns0:c r="B64" s="21" t="inlineStr">
        <ns0:is>
          <ns0:t>algorithm_main</ns0:t>
        </ns0:is>
      </ns0:c>
      <ns0:c r="C64" s="21" t="inlineStr">
        <ns0:is>
          <ns0:t>Not clear</ns0:t>
        </ns0:is>
      </ns0:c>
      <ns0:c r="D64" s="21" t="inlineStr">
        <ns0:is>
          <ns0:t>Not specified</ns0:t>
        </ns0:is>
      </ns0:c>
      <ns0:c r="E64" s="21" t="inlineStr">
        <ns0:is>
          <ns0:t>Speech-derived acoustic and linguistic biomarkers are evaluated in Hindi and English; no active clinician-facing workflow is documented in the assessed abstract.
Acoustic and linguistic representations from speech; language variation is not independent input modality.</ns0:t>
        </ns0:is>
      </ns0:c>
      <ns0:c r="F64" s="21" t="inlineStr">
        <ns0:is>
          <ns0:t>https://doi.org/10.1109/tai.2024.3439288</ns0:t>
        </ns0:is>
      </ns0:c>
      <ns0:c r="G64" s="21" t="inlineStr">
        <ns0:is>
          <ns0:t>ChatGPT-assisted evidence recharting, 2026-09-08</ns0:t>
        </ns0:is>
      </ns0:c>
    </ns0:row>
    <ns0:row r="65" ht="45" customHeight="1">
      <ns0:c r="A65" s="19" t="inlineStr">
        <ns0:is>
          <ns0:t>10</ns0:t>
        </ns0:is>
      </ns0:c>
      <ns0:c r="B65" s="19" t="inlineStr">
        <ns0:is>
          <ns0:t>rq2_status</ns0:t>
        </ns0:is>
      </ns0:c>
      <ns0:c r="C65" s="19" t="inlineStr">
        <ns0:is>
          <ns0:t>Not adjudicated in master</ns0:t>
        </ns0:is>
      </ns0:c>
      <ns0:c r="D65" s="19" t="inlineStr">
        <ns0:is>
          <ns0:t>Research only</ns0:t>
        </ns0:is>
      </ns0:c>
      <ns0:c r="E65" s="19" t="inlineStr">
        <ns0:is>
          <ns0:t>Speech-derived acoustic and linguistic biomarkers are evaluated in Hindi and English; no active clinician-facing workflow is documented in the assessed abstract.
Acoustic and linguistic representations from speech; language variation is not independent input modality.</ns0:t>
        </ns0:is>
      </ns0:c>
      <ns0:c r="F65" s="19" t="inlineStr">
        <ns0:is>
          <ns0:t>https://doi.org/10.1109/tai.2024.3439288</ns0:t>
        </ns0:is>
      </ns0:c>
      <ns0:c r="G65" s="19" t="inlineStr">
        <ns0:is>
          <ns0:t>ChatGPT-assisted evidence recharting, 2026-09-08</ns0:t>
        </ns0:is>
      </ns0:c>
    </ns0:row>
    <ns0:row r="66" ht="45" customHeight="1">
      <ns0:c r="A66" s="21" t="inlineStr">
        <ns0:is>
          <ns0:t>10</ns0:t>
        </ns0:is>
      </ns0:c>
      <ns0:c r="B66" s="21" t="inlineStr">
        <ns0:is>
          <ns0:t>rq2_role</ns0:t>
        </ns0:is>
      </ns0:c>
      <ns0:c r="C66" s="21" t="inlineStr"/>
      <ns0:c r="D66" s="21" t="inlineStr">
        <ns0:is>
          <ns0:t>Automated measurement/classification</ns0:t>
        </ns0:is>
      </ns0:c>
      <ns0:c r="E66" s="21" t="inlineStr">
        <ns0:is>
          <ns0:t>Speech-derived acoustic and linguistic biomarkers are evaluated in Hindi and English; no active clinician-facing workflow is documented in the assessed abstract.
Acoustic and linguistic representations from speech; language variation is not independent input modality.</ns0:t>
        </ns0:is>
      </ns0:c>
      <ns0:c r="F66" s="21" t="inlineStr">
        <ns0:is>
          <ns0:t>https://doi.org/10.1109/tai.2024.3439288</ns0:t>
        </ns0:is>
      </ns0:c>
      <ns0:c r="G66" s="21" t="inlineStr">
        <ns0:is>
          <ns0:t>ChatGPT-assisted evidence recharting, 2026-09-08</ns0:t>
        </ns0:is>
      </ns0:c>
    </ns0:row>
    <ns0:row r="67" ht="45" customHeight="1">
      <ns0:c r="A67" s="19" t="inlineStr">
        <ns0:is>
          <ns0:t>10</ns0:t>
        </ns0:is>
      </ns0:c>
      <ns0:c r="B67" s="19" t="inlineStr">
        <ns0:is>
          <ns0:t>decision_timing</ns0:t>
        </ns0:is>
      </ns0:c>
      <ns0:c r="C67" s="19" t="inlineStr"/>
      <ns0:c r="D67" s="19" t="inlineStr">
        <ns0:is>
          <ns0:t>Not observed in assessed sources</ns0:t>
        </ns0:is>
      </ns0:c>
      <ns0:c r="E67" s="19" t="inlineStr">
        <ns0:is>
          <ns0:t>Speech-derived acoustic and linguistic biomarkers are evaluated in Hindi and English; no active clinician-facing workflow is documented in the assessed abstract.
Acoustic and linguistic representations from speech; language variation is not independent input modality.</ns0:t>
        </ns0:is>
      </ns0:c>
      <ns0:c r="F67" s="19" t="inlineStr">
        <ns0:is>
          <ns0:t>https://doi.org/10.1109/tai.2024.3439288</ns0:t>
        </ns0:is>
      </ns0:c>
      <ns0:c r="G67" s="19" t="inlineStr">
        <ns0:is>
          <ns0:t>ChatGPT-assisted evidence recharting, 2026-09-08</ns0:t>
        </ns0:is>
      </ns0:c>
    </ns0:row>
    <ns0:row r="68" ht="45" customHeight="1">
      <ns0:c r="A68" s="21" t="inlineStr">
        <ns0:is>
          <ns0:t>10</ns0:t>
        </ns0:is>
      </ns0:c>
      <ns0:c r="B68" s="21" t="inlineStr">
        <ns0:is>
          <ns0:t>multisource_data</ns0:t>
        </ns0:is>
      </ns0:c>
      <ns0:c r="C68" s="21" t="inlineStr">
        <ns0:is>
          <ns0:t>Reported</ns0:t>
        </ns0:is>
      </ns0:c>
      <ns0:c r="D68" s="21" t="inlineStr">
        <ns0:is>
          <ns0:t>Not reported in assessed sources</ns0:t>
        </ns0:is>
      </ns0:c>
      <ns0:c r="E68" s="21" t="inlineStr">
        <ns0:is>
          <ns0:t>Speech-derived acoustic and linguistic biomarkers are evaluated in Hindi and English; no active clinician-facing workflow is documented in the assessed abstract.
Acoustic and linguistic representations from speech; language variation is not independent input modality.</ns0:t>
        </ns0:is>
      </ns0:c>
      <ns0:c r="F68" s="21" t="inlineStr">
        <ns0:is>
          <ns0:t>https://doi.org/10.1109/tai.2024.3439288</ns0:t>
        </ns0:is>
      </ns0:c>
      <ns0:c r="G68" s="21" t="inlineStr">
        <ns0:is>
          <ns0:t>ChatGPT-assisted evidence recharting, 2026-09-08</ns0:t>
        </ns0:is>
      </ns0:c>
    </ns0:row>
    <ns0:row r="69" ht="42" customHeight="1">
      <ns0:c r="A69" s="19" t="inlineStr">
        <ns0:is>
          <ns0:t>11</ns0:t>
        </ns0:is>
      </ns0:c>
      <ns0:c r="B69" s="19" t="inlineStr">
        <ns0:is>
          <ns0:t>data_source_primary</ns0:t>
        </ns0:is>
      </ns0:c>
      <ns0:c r="C69" s="19" t="inlineStr">
        <ns0:is>
          <ns0:t>Image (subtype unresolved)</ns0:t>
        </ns0:is>
      </ns0:c>
      <ns0:c r="D69" s="19" t="inlineStr">
        <ns0:is>
          <ns0:t>Multiple source categories</ns0:t>
        </ns0:is>
      </ns0:c>
      <ns0:c r="E69" s="19" t="inlineStr">
        <ns0:is>
          <ns0:t>Facial-image classification and questionnaire-assisted gelotophobia assessment are proposed for clinical use. Retain the expression-of-concern flag; diagnostic performance is not evidence of deployment.</ns0:t>
        </ns0:is>
      </ns0:c>
      <ns0:c r="F69" s="19" t="inlineStr">
        <ns0:is>
          <ns0:t>https://formative.jmir.org/2026/1/e91833/</ns0:t>
        </ns0:is>
      </ns0:c>
      <ns0:c r="G69" s="19" t="inlineStr">
        <ns0:is>
          <ns0:t>ChatGPT-assisted evidence recharting, 2026-09-08</ns0:t>
        </ns0:is>
      </ns0:c>
    </ns0:row>
    <ns0:row r="70" ht="42" customHeight="1">
      <ns0:c r="A70" s="21" t="inlineStr">
        <ns0:is>
          <ns0:t>11</ns0:t>
        </ns0:is>
      </ns0:c>
      <ns0:c r="B70" s="21" t="inlineStr">
        <ns0:is>
          <ns0:t>algorithm_main</ns0:t>
        </ns0:is>
      </ns0:c>
      <ns0:c r="C70" s="21" t="inlineStr">
        <ns0:is>
          <ns0:t>MLP</ns0:t>
        </ns0:is>
      </ns0:c>
      <ns0:c r="D70" s="21" t="inlineStr">
        <ns0:is>
          <ns0:t>DeepFace with MLP classifier</ns0:t>
        </ns0:is>
      </ns0:c>
      <ns0:c r="E70" s="21" t="inlineStr">
        <ns0:is>
          <ns0:t>Facial-image classification and questionnaire-assisted gelotophobia assessment are proposed for clinical use. Retain the expression-of-concern flag; diagnostic performance is not evidence of deployment.</ns0:t>
        </ns0:is>
      </ns0:c>
      <ns0:c r="F70" s="21" t="inlineStr">
        <ns0:is>
          <ns0:t>https://formative.jmir.org/2026/1/e91833/</ns0:t>
        </ns0:is>
      </ns0:c>
      <ns0:c r="G70" s="21" t="inlineStr">
        <ns0:is>
          <ns0:t>ChatGPT-assisted evidence recharting, 2026-09-08</ns0:t>
        </ns0:is>
      </ns0:c>
    </ns0:row>
    <ns0:row r="71" ht="42" customHeight="1">
      <ns0:c r="A71" s="19" t="inlineStr">
        <ns0:is>
          <ns0:t>11</ns0:t>
        </ns0:is>
      </ns0:c>
      <ns0:c r="B71" s="19" t="inlineStr">
        <ns0:is>
          <ns0:t>rq2_status</ns0:t>
        </ns0:is>
      </ns0:c>
      <ns0:c r="C71" s="19" t="inlineStr">
        <ns0:is>
          <ns0:t>Not adjudicated in master</ns0:t>
        </ns0:is>
      </ns0:c>
      <ns0:c r="D71" s="19" t="inlineStr">
        <ns0:is>
          <ns0:t>Proposed only</ns0:t>
        </ns0:is>
      </ns0:c>
      <ns0:c r="E71" s="19" t="inlineStr">
        <ns0:is>
          <ns0:t>Facial-image classification and questionnaire-assisted gelotophobia assessment are proposed for clinical use. Retain the expression-of-concern flag; diagnostic performance is not evidence of deployment.</ns0:t>
        </ns0:is>
      </ns0:c>
      <ns0:c r="F71" s="19" t="inlineStr">
        <ns0:is>
          <ns0:t>https://formative.jmir.org/2026/1/e91833/</ns0:t>
        </ns0:is>
      </ns0:c>
      <ns0:c r="G71" s="19" t="inlineStr">
        <ns0:is>
          <ns0:t>ChatGPT-assisted evidence recharting, 2026-09-08</ns0:t>
        </ns0:is>
      </ns0:c>
    </ns0:row>
    <ns0:row r="72" ht="42" customHeight="1">
      <ns0:c r="A72" s="21" t="inlineStr">
        <ns0:is>
          <ns0:t>11</ns0:t>
        </ns0:is>
      </ns0:c>
      <ns0:c r="B72" s="21" t="inlineStr">
        <ns0:is>
          <ns0:t>rq2_role</ns0:t>
        </ns0:is>
      </ns0:c>
      <ns0:c r="C72" s="21" t="inlineStr"/>
      <ns0:c r="D72" s="21" t="inlineStr">
        <ns0:is>
          <ns0:t>Diagnostic decision support</ns0:t>
        </ns0:is>
      </ns0:c>
      <ns0:c r="E72" s="21" t="inlineStr">
        <ns0:is>
          <ns0:t>Facial-image classification and questionnaire-assisted gelotophobia assessment are proposed for clinical use. Retain the expression-of-concern flag; diagnostic performance is not evidence of deployment.</ns0:t>
        </ns0:is>
      </ns0:c>
      <ns0:c r="F72" s="21" t="inlineStr">
        <ns0:is>
          <ns0:t>https://formative.jmir.org/2026/1/e91833/</ns0:t>
        </ns0:is>
      </ns0:c>
      <ns0:c r="G72" s="21" t="inlineStr">
        <ns0:is>
          <ns0:t>ChatGPT-assisted evidence recharting, 2026-09-08</ns0:t>
        </ns0:is>
      </ns0:c>
    </ns0:row>
    <ns0:row r="73" ht="42" customHeight="1">
      <ns0:c r="A73" s="19" t="inlineStr">
        <ns0:is>
          <ns0:t>11</ns0:t>
        </ns0:is>
      </ns0:c>
      <ns0:c r="B73" s="19" t="inlineStr">
        <ns0:is>
          <ns0:t>decision_timing</ns0:t>
        </ns0:is>
      </ns0:c>
      <ns0:c r="C73" s="19" t="inlineStr"/>
      <ns0:c r="D73" s="19" t="inlineStr">
        <ns0:is>
          <ns0:t>In-decision</ns0:t>
        </ns0:is>
      </ns0:c>
      <ns0:c r="E73" s="19" t="inlineStr">
        <ns0:is>
          <ns0:t>Facial-image classification and questionnaire-assisted gelotophobia assessment are proposed for clinical use. Retain the expression-of-concern flag; diagnostic performance is not evidence of deployment.</ns0:t>
        </ns0:is>
      </ns0:c>
      <ns0:c r="F73" s="19" t="inlineStr">
        <ns0:is>
          <ns0:t>https://formative.jmir.org/2026/1/e91833/</ns0:t>
        </ns0:is>
      </ns0:c>
      <ns0:c r="G73" s="19" t="inlineStr">
        <ns0:is>
          <ns0:t>ChatGPT-assisted evidence recharting, 2026-09-08</ns0:t>
        </ns0:is>
      </ns0:c>
    </ns0:row>
    <ns0:row r="74" ht="42" customHeight="1">
      <ns0:c r="A74" s="21" t="inlineStr">
        <ns0:is>
          <ns0:t>12</ns0:t>
        </ns0:is>
      </ns0:c>
      <ns0:c r="B74" s="21" t="inlineStr">
        <ns0:is>
          <ns0:t>data_source_primary</ns0:t>
        </ns0:is>
      </ns0:c>
      <ns0:c r="C74" s="21" t="inlineStr">
        <ns0:is>
          <ns0:t>Multiple modalities (as coded)</ns0:t>
        </ns0:is>
      </ns0:c>
      <ns0:c r="D74" s="21" t="inlineStr">
        <ns0:is>
          <ns0:t>Behavioral images/video/gaze/movement</ns0:t>
        </ns0:is>
      </ns0:c>
      <ns0:c r="E74" s="21" t="inlineStr">
        <ns0:is>
          <ns0:t>Superpower Glass provides AI-generated facial-expression feedback in a randomized home intervention. Standard ABA therapy and outcome scales are not additional AI input modalities.</ns0:t>
        </ns0:is>
      </ns0:c>
      <ns0:c r="F74" s="21" t="inlineStr">
        <ns0:is>
          <ns0:t>https://doi.org/10.1001/jamapediatrics.2019.0285</ns0:t>
        </ns0:is>
      </ns0:c>
      <ns0:c r="G74" s="21" t="inlineStr">
        <ns0:is>
          <ns0:t>ChatGPT-assisted evidence recharting, 2026-09-08</ns0:t>
        </ns0:is>
      </ns0:c>
    </ns0:row>
    <ns0:row r="75" ht="42" customHeight="1">
      <ns0:c r="A75" s="19" t="inlineStr">
        <ns0:is>
          <ns0:t>12</ns0:t>
        </ns0:is>
      </ns0:c>
      <ns0:c r="B75" s="19" t="inlineStr">
        <ns0:is>
          <ns0:t>algorithm_main</ns0:t>
        </ns0:is>
      </ns0:c>
      <ns0:c r="C75" s="19" t="inlineStr">
        <ns0:is>
          <ns0:t>Not clear</ns0:t>
        </ns0:is>
      </ns0:c>
      <ns0:c r="D75" s="19" t="inlineStr">
        <ns0:is>
          <ns0:t>Computer vision classifier (family not specified)</ns0:t>
        </ns0:is>
      </ns0:c>
      <ns0:c r="E75" s="19" t="inlineStr">
        <ns0:is>
          <ns0:t>Superpower Glass provides AI-generated facial-expression feedback in a randomized home intervention. Standard ABA therapy and outcome scales are not additional AI input modalities.</ns0:t>
        </ns0:is>
      </ns0:c>
      <ns0:c r="F75" s="19" t="inlineStr">
        <ns0:is>
          <ns0:t>https://doi.org/10.1001/jamapediatrics.2019.0285</ns0:t>
        </ns0:is>
      </ns0:c>
      <ns0:c r="G75" s="19" t="inlineStr">
        <ns0:is>
          <ns0:t>ChatGPT-assisted evidence recharting, 2026-09-08</ns0:t>
        </ns0:is>
      </ns0:c>
    </ns0:row>
    <ns0:row r="76" ht="42" customHeight="1">
      <ns0:c r="A76" s="21" t="inlineStr">
        <ns0:is>
          <ns0:t>12</ns0:t>
        </ns0:is>
      </ns0:c>
      <ns0:c r="B76" s="21" t="inlineStr">
        <ns0:is>
          <ns0:t>rq2_status</ns0:t>
        </ns0:is>
      </ns0:c>
      <ns0:c r="C76" s="21" t="inlineStr">
        <ns0:is>
          <ns0:t>Not adjudicated in master</ns0:t>
        </ns0:is>
      </ns0:c>
      <ns0:c r="D76" s="21" t="inlineStr">
        <ns0:is>
          <ns0:t>Evaluated AI-supported intervention</ns0:t>
        </ns0:is>
      </ns0:c>
      <ns0:c r="E76" s="21" t="inlineStr">
        <ns0:is>
          <ns0:t>Superpower Glass provides AI-generated facial-expression feedback in a randomized home intervention. Standard ABA therapy and outcome scales are not additional AI input modalities.</ns0:t>
        </ns0:is>
      </ns0:c>
      <ns0:c r="F76" s="21" t="inlineStr">
        <ns0:is>
          <ns0:t>https://doi.org/10.1001/jamapediatrics.2019.0285</ns0:t>
        </ns0:is>
      </ns0:c>
      <ns0:c r="G76" s="21" t="inlineStr">
        <ns0:is>
          <ns0:t>ChatGPT-assisted evidence recharting, 2026-09-08</ns0:t>
        </ns0:is>
      </ns0:c>
    </ns0:row>
    <ns0:row r="77" ht="42" customHeight="1">
      <ns0:c r="A77" s="19" t="inlineStr">
        <ns0:is>
          <ns0:t>12</ns0:t>
        </ns0:is>
      </ns0:c>
      <ns0:c r="B77" s="19" t="inlineStr">
        <ns0:is>
          <ns0:t>rq2_role</ns0:t>
        </ns0:is>
      </ns0:c>
      <ns0:c r="C77" s="19" t="inlineStr"/>
      <ns0:c r="D77" s="19" t="inlineStr">
        <ns0:is>
          <ns0:t>Adaptive intervention</ns0:t>
        </ns0:is>
      </ns0:c>
      <ns0:c r="E77" s="19" t="inlineStr">
        <ns0:is>
          <ns0:t>Superpower Glass provides AI-generated facial-expression feedback in a randomized home intervention. Standard ABA therapy and outcome scales are not additional AI input modalities.</ns0:t>
        </ns0:is>
      </ns0:c>
      <ns0:c r="F77" s="19" t="inlineStr">
        <ns0:is>
          <ns0:t>https://doi.org/10.1001/jamapediatrics.2019.0285</ns0:t>
        </ns0:is>
      </ns0:c>
      <ns0:c r="G77" s="19" t="inlineStr">
        <ns0:is>
          <ns0:t>ChatGPT-assisted evidence recharting, 2026-09-08</ns0:t>
        </ns0:is>
      </ns0:c>
    </ns0:row>
    <ns0:row r="78" ht="42" customHeight="1">
      <ns0:c r="A78" s="21" t="inlineStr">
        <ns0:is>
          <ns0:t>12</ns0:t>
        </ns0:is>
      </ns0:c>
      <ns0:c r="B78" s="21" t="inlineStr">
        <ns0:is>
          <ns0:t>decision_timing</ns0:t>
        </ns0:is>
      </ns0:c>
      <ns0:c r="C78" s="21" t="inlineStr"/>
      <ns0:c r="D78" s="21" t="inlineStr">
        <ns0:is>
          <ns0:t>Post-decision</ns0:t>
        </ns0:is>
      </ns0:c>
      <ns0:c r="E78" s="21" t="inlineStr">
        <ns0:is>
          <ns0:t>Superpower Glass provides AI-generated facial-expression feedback in a randomized home intervention. Standard ABA therapy and outcome scales are not additional AI input modalities.</ns0:t>
        </ns0:is>
      </ns0:c>
      <ns0:c r="F78" s="21" t="inlineStr">
        <ns0:is>
          <ns0:t>https://doi.org/10.1001/jamapediatrics.2019.0285</ns0:t>
        </ns0:is>
      </ns0:c>
      <ns0:c r="G78" s="21" t="inlineStr">
        <ns0:is>
          <ns0:t>ChatGPT-assisted evidence recharting, 2026-09-08</ns0:t>
        </ns0:is>
      </ns0:c>
    </ns0:row>
    <ns0:row r="79" ht="42" customHeight="1">
      <ns0:c r="A79" s="19" t="inlineStr">
        <ns0:is>
          <ns0:t>12</ns0:t>
        </ns0:is>
      </ns0:c>
      <ns0:c r="B79" s="19" t="inlineStr">
        <ns0:is>
          <ns0:t>prospective_evaluation</ns0:t>
        </ns0:is>
      </ns0:c>
      <ns0:c r="C79" s="19" t="inlineStr">
        <ns0:is>
          <ns0:t>Not reported in assessed sources</ns0:t>
        </ns0:is>
      </ns0:c>
      <ns0:c r="D79" s="19" t="inlineStr">
        <ns0:is>
          <ns0:t>Reported</ns0:t>
        </ns0:is>
      </ns0:c>
      <ns0:c r="E79" s="19" t="inlineStr">
        <ns0:is>
          <ns0:t>Superpower Glass provides AI-generated facial-expression feedback in a randomized home intervention. Standard ABA therapy and outcome scales are not additional AI input modalities.</ns0:t>
        </ns0:is>
      </ns0:c>
      <ns0:c r="F79" s="19" t="inlineStr">
        <ns0:is>
          <ns0:t>https://doi.org/10.1001/jamapediatrics.2019.0285</ns0:t>
        </ns0:is>
      </ns0:c>
      <ns0:c r="G79" s="19" t="inlineStr">
        <ns0:is>
          <ns0:t>ChatGPT-assisted evidence recharting, 2026-09-08</ns0:t>
        </ns0:is>
      </ns0:c>
    </ns0:row>
    <ns0:row r="80" ht="42" customHeight="1">
      <ns0:c r="A80" s="21" t="inlineStr">
        <ns0:is>
          <ns0:t>12</ns0:t>
        </ns0:is>
      </ns0:c>
      <ns0:c r="B80" s="21" t="inlineStr">
        <ns0:is>
          <ns0:t>multisource_data</ns0:t>
        </ns0:is>
      </ns0:c>
      <ns0:c r="C80" s="21" t="inlineStr">
        <ns0:is>
          <ns0:t>Reported</ns0:t>
        </ns0:is>
      </ns0:c>
      <ns0:c r="D80" s="21" t="inlineStr">
        <ns0:is>
          <ns0:t>Not reported in assessed sources</ns0:t>
        </ns0:is>
      </ns0:c>
      <ns0:c r="E80" s="21" t="inlineStr">
        <ns0:is>
          <ns0:t>Superpower Glass provides AI-generated facial-expression feedback in a randomized home intervention. Standard ABA therapy and outcome scales are not additional AI input modalities.</ns0:t>
        </ns0:is>
      </ns0:c>
      <ns0:c r="F80" s="21" t="inlineStr">
        <ns0:is>
          <ns0:t>https://doi.org/10.1001/jamapediatrics.2019.0285</ns0:t>
        </ns0:is>
      </ns0:c>
      <ns0:c r="G80" s="21" t="inlineStr">
        <ns0:is>
          <ns0:t>ChatGPT-assisted evidence recharting, 2026-09-08</ns0:t>
        </ns0:is>
      </ns0:c>
    </ns0:row>
    <ns0:row r="81" ht="42" customHeight="1">
      <ns0:c r="A81" s="19" t="inlineStr">
        <ns0:is>
          <ns0:t>13</ns0:t>
        </ns0:is>
      </ns0:c>
      <ns0:c r="B81" s="19" t="inlineStr">
        <ns0:is>
          <ns0:t>ai_type</ns0:t>
        </ns0:is>
      </ns0:c>
      <ns0:c r="C81" s="19" t="inlineStr">
        <ns0:is>
          <ns0:t>Deep Learning</ns0:t>
        </ns0:is>
      </ns0:c>
      <ns0:c r="D81" s="19" t="inlineStr">
        <ns0:is>
          <ns0:t>Machine Learning</ns0:t>
        </ns0:is>
      </ns0:c>
      <ns0:c r="E81" s="19" t="inlineStr">
        <ns0:is>
          <ns0:t>Q-CHAT-based tabular screening datasets and automated ML model ranking. Discussion of deep-learning comparators does not make the proposed AutoML framework deep learning.</ns0:t>
        </ns0:is>
      </ns0:c>
      <ns0:c r="F81" s="19" t="inlineStr">
        <ns0:is>
          <ns0:t>https://doi.org/10.1155/2023/6330002</ns0:t>
        </ns0:is>
      </ns0:c>
      <ns0:c r="G81" s="19" t="inlineStr">
        <ns0:is>
          <ns0:t>ChatGPT-assisted evidence recharting, 2026-09-08</ns0:t>
        </ns0:is>
      </ns0:c>
    </ns0:row>
    <ns0:row r="82" ht="42" customHeight="1">
      <ns0:c r="A82" s="21" t="inlineStr">
        <ns0:is>
          <ns0:t>13</ns0:t>
        </ns0:is>
      </ns0:c>
      <ns0:c r="B82" s="21" t="inlineStr">
        <ns0:is>
          <ns0:t>data_source_primary</ns0:t>
        </ns0:is>
      </ns0:c>
      <ns0:c r="C82" s="21" t="inlineStr">
        <ns0:is>
          <ns0:t>Not specified</ns0:t>
        </ns0:is>
      </ns0:c>
      <ns0:c r="D82" s="21" t="inlineStr">
        <ns0:is>
          <ns0:t>Structured clinical/questionnaire data</ns0:t>
        </ns0:is>
      </ns0:c>
      <ns0:c r="E82" s="21" t="inlineStr">
        <ns0:is>
          <ns0:t>Q-CHAT-based tabular screening datasets and automated ML model ranking. Discussion of deep-learning comparators does not make the proposed AutoML framework deep learning.</ns0:t>
        </ns0:is>
      </ns0:c>
      <ns0:c r="F82" s="21" t="inlineStr">
        <ns0:is>
          <ns0:t>https://doi.org/10.1155/2023/6330002</ns0:t>
        </ns0:is>
      </ns0:c>
      <ns0:c r="G82" s="21" t="inlineStr">
        <ns0:is>
          <ns0:t>ChatGPT-assisted evidence recharting, 2026-09-08</ns0:t>
        </ns0:is>
      </ns0:c>
    </ns0:row>
    <ns0:row r="83" ht="42" customHeight="1">
      <ns0:c r="A83" s="19" t="inlineStr">
        <ns0:is>
          <ns0:t>13</ns0:t>
        </ns0:is>
      </ns0:c>
      <ns0:c r="B83" s="19" t="inlineStr">
        <ns0:is>
          <ns0:t>algorithm_main</ns0:t>
        </ns0:is>
      </ns0:c>
      <ns0:c r="C83" s="19" t="inlineStr">
        <ns0:is>
          <ns0:t>Other / Not clear</ns0:t>
        </ns0:is>
      </ns0:c>
      <ns0:c r="D83" s="19" t="inlineStr">
        <ns0:is>
          <ns0:t>AutoML / feature-ranking framework</ns0:t>
        </ns0:is>
      </ns0:c>
      <ns0:c r="E83" s="19" t="inlineStr">
        <ns0:is>
          <ns0:t>Q-CHAT-based tabular screening datasets and automated ML model ranking. Discussion of deep-learning comparators does not make the proposed AutoML framework deep learning.</ns0:t>
        </ns0:is>
      </ns0:c>
      <ns0:c r="F83" s="19" t="inlineStr">
        <ns0:is>
          <ns0:t>https://doi.org/10.1155/2023/6330002</ns0:t>
        </ns0:is>
      </ns0:c>
      <ns0:c r="G83" s="19" t="inlineStr">
        <ns0:is>
          <ns0:t>ChatGPT-assisted evidence recharting, 2026-09-08</ns0:t>
        </ns0:is>
      </ns0:c>
    </ns0:row>
    <ns0:row r="84" ht="42" customHeight="1">
      <ns0:c r="A84" s="21" t="inlineStr">
        <ns0:is>
          <ns0:t>13</ns0:t>
        </ns0:is>
      </ns0:c>
      <ns0:c r="B84" s="21" t="inlineStr">
        <ns0:is>
          <ns0:t>rq2_status</ns0:t>
        </ns0:is>
      </ns0:c>
      <ns0:c r="C84" s="21" t="inlineStr">
        <ns0:is>
          <ns0:t>Not adjudicated in master</ns0:t>
        </ns0:is>
      </ns0:c>
      <ns0:c r="D84" s="21" t="inlineStr">
        <ns0:is>
          <ns0:t>Research only</ns0:t>
        </ns0:is>
      </ns0:c>
      <ns0:c r="E84" s="21" t="inlineStr">
        <ns0:is>
          <ns0:t>Q-CHAT-based tabular screening datasets and automated ML model ranking. Discussion of deep-learning comparators does not make the proposed AutoML framework deep learning.</ns0:t>
        </ns0:is>
      </ns0:c>
      <ns0:c r="F84" s="21" t="inlineStr">
        <ns0:is>
          <ns0:t>https://doi.org/10.1155/2023/6330002</ns0:t>
        </ns0:is>
      </ns0:c>
      <ns0:c r="G84" s="21" t="inlineStr">
        <ns0:is>
          <ns0:t>ChatGPT-assisted evidence recharting, 2026-09-08</ns0:t>
        </ns0:is>
      </ns0:c>
    </ns0:row>
    <ns0:row r="85" ht="42" customHeight="1">
      <ns0:c r="A85" s="19" t="inlineStr">
        <ns0:is>
          <ns0:t>13</ns0:t>
        </ns0:is>
      </ns0:c>
      <ns0:c r="B85" s="19" t="inlineStr">
        <ns0:is>
          <ns0:t>rq2_role</ns0:t>
        </ns0:is>
      </ns0:c>
      <ns0:c r="C85" s="19" t="inlineStr"/>
      <ns0:c r="D85" s="19" t="inlineStr">
        <ns0:is>
          <ns0:t>Automated measurement/classification</ns0:t>
        </ns0:is>
      </ns0:c>
      <ns0:c r="E85" s="19" t="inlineStr">
        <ns0:is>
          <ns0:t>Q-CHAT-based tabular screening datasets and automated ML model ranking. Discussion of deep-learning comparators does not make the proposed AutoML framework deep learning.</ns0:t>
        </ns0:is>
      </ns0:c>
      <ns0:c r="F85" s="19" t="inlineStr">
        <ns0:is>
          <ns0:t>https://doi.org/10.1155/2023/6330002</ns0:t>
        </ns0:is>
      </ns0:c>
      <ns0:c r="G85" s="19" t="inlineStr">
        <ns0:is>
          <ns0:t>ChatGPT-assisted evidence recharting, 2026-09-08</ns0:t>
        </ns0:is>
      </ns0:c>
    </ns0:row>
    <ns0:row r="86" ht="42" customHeight="1">
      <ns0:c r="A86" s="21" t="inlineStr">
        <ns0:is>
          <ns0:t>13</ns0:t>
        </ns0:is>
      </ns0:c>
      <ns0:c r="B86" s="21" t="inlineStr">
        <ns0:is>
          <ns0:t>decision_timing</ns0:t>
        </ns0:is>
      </ns0:c>
      <ns0:c r="C86" s="21" t="inlineStr"/>
      <ns0:c r="D86" s="21" t="inlineStr">
        <ns0:is>
          <ns0:t>Not observed in assessed sources</ns0:t>
        </ns0:is>
      </ns0:c>
      <ns0:c r="E86" s="21" t="inlineStr">
        <ns0:is>
          <ns0:t>Q-CHAT-based tabular screening datasets and automated ML model ranking. Discussion of deep-learning comparators does not make the proposed AutoML framework deep learning.</ns0:t>
        </ns0:is>
      </ns0:c>
      <ns0:c r="F86" s="21" t="inlineStr">
        <ns0:is>
          <ns0:t>https://doi.org/10.1155/2023/6330002</ns0:t>
        </ns0:is>
      </ns0:c>
      <ns0:c r="G86" s="21" t="inlineStr">
        <ns0:is>
          <ns0:t>ChatGPT-assisted evidence recharting, 2026-09-08</ns0:t>
        </ns0:is>
      </ns0:c>
    </ns0:row>
    <ns0:row r="87" ht="42" customHeight="1">
      <ns0:c r="A87" s="19" t="inlineStr">
        <ns0:is>
          <ns0:t>14</ns0:t>
        </ns0:is>
      </ns0:c>
      <ns0:c r="B87" s="19" t="inlineStr">
        <ns0:is>
          <ns0:t>ai_type</ns0:t>
        </ns0:is>
      </ns0:c>
      <ns0:c r="C87" s="19" t="inlineStr">
        <ns0:is>
          <ns0:t>Deep Learning</ns0:t>
        </ns0:is>
      </ns0:c>
      <ns0:c r="D87" s="19" t="inlineStr">
        <ns0:is>
          <ns0:t>Machine Learning</ns0:t>
        </ns0:is>
      </ns0:c>
      <ns0:c r="E87" s="19" t="inlineStr">
        <ns0:is>
          <ns0:t>Prospective infant fcMRI cohort predicts research diagnosis at 24 months using internal cross-validation. Prospective data collection is not prospective clinical use of model outputs.</ns0:t>
        </ns0:is>
      </ns0:c>
      <ns0:c r="F87" s="19" t="inlineStr">
        <ns0:is>
          <ns0:t>https://doi.org/10.1126/scitranslmed.aag2882</ns0:t>
        </ns0:is>
      </ns0:c>
      <ns0:c r="G87" s="19" t="inlineStr">
        <ns0:is>
          <ns0:t>ChatGPT-assisted evidence recharting, 2026-09-08</ns0:t>
        </ns0:is>
      </ns0:c>
    </ns0:row>
    <ns0:row r="88" ht="42" customHeight="1">
      <ns0:c r="A88" s="21" t="inlineStr">
        <ns0:is>
          <ns0:t>14</ns0:t>
        </ns0:is>
      </ns0:c>
      <ns0:c r="B88" s="21" t="inlineStr">
        <ns0:is>
          <ns0:t>data_source_primary</ns0:t>
        </ns0:is>
      </ns0:c>
      <ns0:c r="C88" s="21" t="inlineStr">
        <ns0:is>
          <ns0:t>Text / NLP (legacy; verify input type)</ns0:t>
        </ns0:is>
      </ns0:c>
      <ns0:c r="D88" s="21" t="inlineStr">
        <ns0:is>
          <ns0:t>Neuroimaging</ns0:t>
        </ns0:is>
      </ns0:c>
      <ns0:c r="E88" s="21" t="inlineStr">
        <ns0:is>
          <ns0:t>Prospective infant fcMRI cohort predicts research diagnosis at 24 months using internal cross-validation. Prospective data collection is not prospective clinical use of model outputs.</ns0:t>
        </ns0:is>
      </ns0:c>
      <ns0:c r="F88" s="21" t="inlineStr">
        <ns0:is>
          <ns0:t>https://doi.org/10.1126/scitranslmed.aag2882</ns0:t>
        </ns0:is>
      </ns0:c>
      <ns0:c r="G88" s="21" t="inlineStr">
        <ns0:is>
          <ns0:t>ChatGPT-assisted evidence recharting, 2026-09-08</ns0:t>
        </ns0:is>
      </ns0:c>
    </ns0:row>
    <ns0:row r="89" ht="42" customHeight="1">
      <ns0:c r="A89" s="19" t="inlineStr">
        <ns0:is>
          <ns0:t>14</ns0:t>
        </ns0:is>
      </ns0:c>
      <ns0:c r="B89" s="19" t="inlineStr">
        <ns0:is>
          <ns0:t>algorithm_main</ns0:t>
        </ns0:is>
      </ns0:c>
      <ns0:c r="C89" s="19" t="inlineStr">
        <ns0:is>
          <ns0:t>Other / Not clear</ns0:t>
        </ns0:is>
      </ns0:c>
      <ns0:c r="D89" s="19" t="inlineStr">
        <ns0:is>
          <ns0:t>Not specified</ns0:t>
        </ns0:is>
      </ns0:c>
      <ns0:c r="E89" s="19" t="inlineStr">
        <ns0:is>
          <ns0:t>Prospective infant fcMRI cohort predicts research diagnosis at 24 months using internal cross-validation. Prospective data collection is not prospective clinical use of model outputs.</ns0:t>
        </ns0:is>
      </ns0:c>
      <ns0:c r="F89" s="19" t="inlineStr">
        <ns0:is>
          <ns0:t>https://doi.org/10.1126/scitranslmed.aag2882</ns0:t>
        </ns0:is>
      </ns0:c>
      <ns0:c r="G89" s="19" t="inlineStr">
        <ns0:is>
          <ns0:t>ChatGPT-assisted evidence recharting, 2026-09-08</ns0:t>
        </ns0:is>
      </ns0:c>
    </ns0:row>
    <ns0:row r="90" ht="42" customHeight="1">
      <ns0:c r="A90" s="21" t="inlineStr">
        <ns0:is>
          <ns0:t>14</ns0:t>
        </ns0:is>
      </ns0:c>
      <ns0:c r="B90" s="21" t="inlineStr">
        <ns0:is>
          <ns0:t>rq2_status</ns0:t>
        </ns0:is>
      </ns0:c>
      <ns0:c r="C90" s="21" t="inlineStr">
        <ns0:is>
          <ns0:t>Not adjudicated in master</ns0:t>
        </ns0:is>
      </ns0:c>
      <ns0:c r="D90" s="21" t="inlineStr">
        <ns0:is>
          <ns0:t>Research only</ns0:t>
        </ns0:is>
      </ns0:c>
      <ns0:c r="E90" s="21" t="inlineStr">
        <ns0:is>
          <ns0:t>Prospective infant fcMRI cohort predicts research diagnosis at 24 months using internal cross-validation. Prospective data collection is not prospective clinical use of model outputs.</ns0:t>
        </ns0:is>
      </ns0:c>
      <ns0:c r="F90" s="21" t="inlineStr">
        <ns0:is>
          <ns0:t>https://doi.org/10.1126/scitranslmed.aag2882</ns0:t>
        </ns0:is>
      </ns0:c>
      <ns0:c r="G90" s="21" t="inlineStr">
        <ns0:is>
          <ns0:t>ChatGPT-assisted evidence recharting, 2026-09-08</ns0:t>
        </ns0:is>
      </ns0:c>
    </ns0:row>
    <ns0:row r="91" ht="42" customHeight="1">
      <ns0:c r="A91" s="19" t="inlineStr">
        <ns0:is>
          <ns0:t>14</ns0:t>
        </ns0:is>
      </ns0:c>
      <ns0:c r="B91" s="19" t="inlineStr">
        <ns0:is>
          <ns0:t>rq2_role</ns0:t>
        </ns0:is>
      </ns0:c>
      <ns0:c r="C91" s="19" t="inlineStr"/>
      <ns0:c r="D91" s="19" t="inlineStr">
        <ns0:is>
          <ns0:t>Risk/trajectory estimation</ns0:t>
        </ns0:is>
      </ns0:c>
      <ns0:c r="E91" s="19" t="inlineStr">
        <ns0:is>
          <ns0:t>Prospective infant fcMRI cohort predicts research diagnosis at 24 months using internal cross-validation. Prospective data collection is not prospective clinical use of model outputs.</ns0:t>
        </ns0:is>
      </ns0:c>
      <ns0:c r="F91" s="19" t="inlineStr">
        <ns0:is>
          <ns0:t>https://doi.org/10.1126/scitranslmed.aag2882</ns0:t>
        </ns0:is>
      </ns0:c>
      <ns0:c r="G91" s="19" t="inlineStr">
        <ns0:is>
          <ns0:t>ChatGPT-assisted evidence recharting, 2026-09-08</ns0:t>
        </ns0:is>
      </ns0:c>
    </ns0:row>
    <ns0:row r="92" ht="42" customHeight="1">
      <ns0:c r="A92" s="21" t="inlineStr">
        <ns0:is>
          <ns0:t>14</ns0:t>
        </ns0:is>
      </ns0:c>
      <ns0:c r="B92" s="21" t="inlineStr">
        <ns0:is>
          <ns0:t>decision_timing</ns0:t>
        </ns0:is>
      </ns0:c>
      <ns0:c r="C92" s="21" t="inlineStr"/>
      <ns0:c r="D92" s="21" t="inlineStr">
        <ns0:is>
          <ns0:t>Not observed in assessed sources</ns0:t>
        </ns0:is>
      </ns0:c>
      <ns0:c r="E92" s="21" t="inlineStr">
        <ns0:is>
          <ns0:t>Prospective infant fcMRI cohort predicts research diagnosis at 24 months using internal cross-validation. Prospective data collection is not prospective clinical use of model outputs.</ns0:t>
        </ns0:is>
      </ns0:c>
      <ns0:c r="F92" s="21" t="inlineStr">
        <ns0:is>
          <ns0:t>https://doi.org/10.1126/scitranslmed.aag2882</ns0:t>
        </ns0:is>
      </ns0:c>
      <ns0:c r="G92" s="21" t="inlineStr">
        <ns0:is>
          <ns0:t>ChatGPT-assisted evidence recharting, 2026-09-08</ns0:t>
        </ns0:is>
      </ns0:c>
    </ns0:row>
    <ns0:row r="93" ht="42" customHeight="1">
      <ns0:c r="A93" s="19" t="inlineStr">
        <ns0:is>
          <ns0:t>14</ns0:t>
        </ns0:is>
      </ns0:c>
      <ns0:c r="B93" s="19" t="inlineStr">
        <ns0:is>
          <ns0:t>prospective_evaluation</ns0:t>
        </ns0:is>
      </ns0:c>
      <ns0:c r="C93" s="19" t="inlineStr">
        <ns0:is>
          <ns0:t>Reported</ns0:t>
        </ns0:is>
      </ns0:c>
      <ns0:c r="D93" s="19" t="inlineStr">
        <ns0:is>
          <ns0:t>Not reported in assessed sources</ns0:t>
        </ns0:is>
      </ns0:c>
      <ns0:c r="E93" s="19" t="inlineStr">
        <ns0:is>
          <ns0:t>Prospective infant fcMRI cohort predicts research diagnosis at 24 months using internal cross-validation. Prospective data collection is not prospective clinical use of model outputs.</ns0:t>
        </ns0:is>
      </ns0:c>
      <ns0:c r="F93" s="19" t="inlineStr">
        <ns0:is>
          <ns0:t>https://doi.org/10.1126/scitranslmed.aag2882</ns0:t>
        </ns0:is>
      </ns0:c>
      <ns0:c r="G93" s="19" t="inlineStr">
        <ns0:is>
          <ns0:t>ChatGPT-assisted evidence recharting, 2026-09-08</ns0:t>
        </ns0:is>
      </ns0:c>
    </ns0:row>
    <ns0:row r="94" ht="42" customHeight="1">
      <ns0:c r="A94" s="21" t="inlineStr">
        <ns0:is>
          <ns0:t>15</ns0:t>
        </ns0:is>
      </ns0:c>
      <ns0:c r="B94" s="21" t="inlineStr">
        <ns0:is>
          <ns0:t>data_source_primary</ns0:t>
        </ns0:is>
      </ns0:c>
      <ns0:c r="C94" s="21" t="inlineStr">
        <ns0:is>
          <ns0:t>Image (subtype unresolved)</ns0:t>
        </ns0:is>
      </ns0:c>
      <ns0:c r="D94" s="21" t="inlineStr">
        <ns0:is>
          <ns0:t>Multiple source categories</ns0:t>
        </ns0:is>
      </ns0:c>
      <ns0:c r="E94" s="21" t="inlineStr">
        <ns0:is>
          <ns0:t>The source describes facial-image and questionnaire models with late fusion. Participant-level pairing and independence of the two datasets are not established by the abstract; no evaluated clinical workflow is claimed.</ns0:t>
        </ns0:is>
      </ns0:c>
      <ns0:c r="F94" s="21" t="inlineStr">
        <ns0:is>
          <ns0:t>https://doi.org/10.1016/j.mex.2025.103278</ns0:t>
        </ns0:is>
      </ns0:c>
      <ns0:c r="G94" s="21" t="inlineStr">
        <ns0:is>
          <ns0:t>ChatGPT-assisted evidence recharting, 2026-09-08</ns0:t>
        </ns0:is>
      </ns0:c>
    </ns0:row>
    <ns0:row r="95" ht="42" customHeight="1">
      <ns0:c r="A95" s="19" t="inlineStr">
        <ns0:is>
          <ns0:t>15</ns0:t>
        </ns0:is>
      </ns0:c>
      <ns0:c r="B95" s="19" t="inlineStr">
        <ns0:is>
          <ns0:t>algorithm_main</ns0:t>
        </ns0:is>
      </ns0:c>
      <ns0:c r="C95" s="19" t="inlineStr">
        <ns0:is>
          <ns0:t>Not clear</ns0:t>
        </ns0:is>
      </ns0:c>
      <ns0:c r="D95" s="19" t="inlineStr">
        <ns0:is>
          <ns0:t>VGG16 CNN + Random Forest (late fusion)</ns0:t>
        </ns0:is>
      </ns0:c>
      <ns0:c r="E95" s="19" t="inlineStr">
        <ns0:is>
          <ns0:t>The source describes facial-image and questionnaire models with late fusion. Participant-level pairing and independence of the two datasets are not established by the abstract; no evaluated clinical workflow is claimed.</ns0:t>
        </ns0:is>
      </ns0:c>
      <ns0:c r="F95" s="19" t="inlineStr">
        <ns0:is>
          <ns0:t>https://doi.org/10.1016/j.mex.2025.103278</ns0:t>
        </ns0:is>
      </ns0:c>
      <ns0:c r="G95" s="19" t="inlineStr">
        <ns0:is>
          <ns0:t>ChatGPT-assisted evidence recharting, 2026-09-08</ns0:t>
        </ns0:is>
      </ns0:c>
    </ns0:row>
    <ns0:row r="96" ht="42" customHeight="1">
      <ns0:c r="A96" s="21" t="inlineStr">
        <ns0:is>
          <ns0:t>15</ns0:t>
        </ns0:is>
      </ns0:c>
      <ns0:c r="B96" s="21" t="inlineStr">
        <ns0:is>
          <ns0:t>rq2_status</ns0:t>
        </ns0:is>
      </ns0:c>
      <ns0:c r="C96" s="21" t="inlineStr">
        <ns0:is>
          <ns0:t>Not adjudicated in master</ns0:t>
        </ns0:is>
      </ns0:c>
      <ns0:c r="D96" s="21" t="inlineStr">
        <ns0:is>
          <ns0:t>Proposed only</ns0:t>
        </ns0:is>
      </ns0:c>
      <ns0:c r="E96" s="21" t="inlineStr">
        <ns0:is>
          <ns0:t>The source describes facial-image and questionnaire models with late fusion. Participant-level pairing and independence of the two datasets are not established by the abstract; no evaluated clinical workflow is claimed.</ns0:t>
        </ns0:is>
      </ns0:c>
      <ns0:c r="F96" s="21" t="inlineStr">
        <ns0:is>
          <ns0:t>https://doi.org/10.1016/j.mex.2025.103278</ns0:t>
        </ns0:is>
      </ns0:c>
      <ns0:c r="G96" s="21" t="inlineStr">
        <ns0:is>
          <ns0:t>ChatGPT-assisted evidence recharting, 2026-09-08</ns0:t>
        </ns0:is>
      </ns0:c>
    </ns0:row>
    <ns0:row r="97" ht="42" customHeight="1">
      <ns0:c r="A97" s="19" t="inlineStr">
        <ns0:is>
          <ns0:t>15</ns0:t>
        </ns0:is>
      </ns0:c>
      <ns0:c r="B97" s="19" t="inlineStr">
        <ns0:is>
          <ns0:t>rq2_role</ns0:t>
        </ns0:is>
      </ns0:c>
      <ns0:c r="C97" s="19" t="inlineStr"/>
      <ns0:c r="D97" s="19" t="inlineStr">
        <ns0:is>
          <ns0:t>Triage/questionnaire assessment</ns0:t>
        </ns0:is>
      </ns0:c>
      <ns0:c r="E97" s="19" t="inlineStr">
        <ns0:is>
          <ns0:t>The source describes facial-image and questionnaire models with late fusion. Participant-level pairing and independence of the two datasets are not established by the abstract; no evaluated clinical workflow is claimed.</ns0:t>
        </ns0:is>
      </ns0:c>
      <ns0:c r="F97" s="19" t="inlineStr">
        <ns0:is>
          <ns0:t>https://doi.org/10.1016/j.mex.2025.103278</ns0:t>
        </ns0:is>
      </ns0:c>
      <ns0:c r="G97" s="19" t="inlineStr">
        <ns0:is>
          <ns0:t>ChatGPT-assisted evidence recharting, 2026-09-08</ns0:t>
        </ns0:is>
      </ns0:c>
    </ns0:row>
    <ns0:row r="98" ht="42" customHeight="1">
      <ns0:c r="A98" s="21" t="inlineStr">
        <ns0:is>
          <ns0:t>15</ns0:t>
        </ns0:is>
      </ns0:c>
      <ns0:c r="B98" s="21" t="inlineStr">
        <ns0:is>
          <ns0:t>decision_timing</ns0:t>
        </ns0:is>
      </ns0:c>
      <ns0:c r="C98" s="21" t="inlineStr"/>
      <ns0:c r="D98" s="21" t="inlineStr">
        <ns0:is>
          <ns0:t>Pre-decision</ns0:t>
        </ns0:is>
      </ns0:c>
      <ns0:c r="E98" s="21" t="inlineStr">
        <ns0:is>
          <ns0:t>The source describes facial-image and questionnaire models with late fusion. Participant-level pairing and independence of the two datasets are not established by the abstract; no evaluated clinical workflow is claimed.</ns0:t>
        </ns0:is>
      </ns0:c>
      <ns0:c r="F98" s="21" t="inlineStr">
        <ns0:is>
          <ns0:t>https://doi.org/10.1016/j.mex.2025.103278</ns0:t>
        </ns0:is>
      </ns0:c>
      <ns0:c r="G98" s="21" t="inlineStr">
        <ns0:is>
          <ns0:t>ChatGPT-assisted evidence recharting, 2026-09-08</ns0:t>
        </ns0:is>
      </ns0:c>
    </ns0:row>
    <ns0:row r="99" ht="42" customHeight="1">
      <ns0:c r="A99" s="19" t="inlineStr">
        <ns0:is>
          <ns0:t>15</ns0:t>
        </ns0:is>
      </ns0:c>
      <ns0:c r="B99" s="19" t="inlineStr">
        <ns0:is>
          <ns0:t>multisource_data</ns0:t>
        </ns0:is>
      </ns0:c>
      <ns0:c r="C99" s="19" t="inlineStr">
        <ns0:is>
          <ns0:t>Not reported in assessed sources</ns0:t>
        </ns0:is>
      </ns0:c>
      <ns0:c r="D99" s="19" t="inlineStr">
        <ns0:is>
          <ns0:t>Reported</ns0:t>
        </ns0:is>
      </ns0:c>
      <ns0:c r="E99" s="19" t="inlineStr">
        <ns0:is>
          <ns0:t>The source describes facial-image and questionnaire models with late fusion. Participant-level pairing and independence of the two datasets are not established by the abstract; no evaluated clinical workflow is claimed.</ns0:t>
        </ns0:is>
      </ns0:c>
      <ns0:c r="F99" s="19" t="inlineStr">
        <ns0:is>
          <ns0:t>https://doi.org/10.1016/j.mex.2025.103278</ns0:t>
        </ns0:is>
      </ns0:c>
      <ns0:c r="G99" s="19" t="inlineStr">
        <ns0:is>
          <ns0:t>ChatGPT-assisted evidence recharting, 2026-09-08</ns0:t>
        </ns0:is>
      </ns0:c>
    </ns0:row>
    <ns0:row r="100" ht="42" customHeight="1">
      <ns0:c r="A100" s="21" t="inlineStr">
        <ns0:is>
          <ns0:t>16</ns0:t>
        </ns0:is>
      </ns0:c>
      <ns0:c r="B100" s="21" t="inlineStr">
        <ns0:is>
          <ns0:t>data_source_primary</ns0:t>
        </ns0:is>
      </ns0:c>
      <ns0:c r="C100" s="21" t="inlineStr">
        <ns0:is>
          <ns0:t>Not specified</ns0:t>
        </ns0:is>
      </ns0:c>
      <ns0:c r="D100" s="21" t="inlineStr">
        <ns0:is>
          <ns0:t>Structured clinical/questionnaire data</ns0:t>
        </ns0:is>
      </ns0:c>
      <ns0:c r="E100" s="21" t="inlineStr">
        <ns0:is>
          <ns0:t>The abstract describes screening-assessment datasets and neural-network training, with an intended early-screening system. Detailed architecture and deployment are not established.</ns0:t>
        </ns0:is>
      </ns0:c>
      <ns0:c r="F100" s="21" t="inlineStr">
        <ns0:is>
          <ns0:t>https://doi.org/10.1007/978-3-031-81083-1_7</ns0:t>
        </ns0:is>
      </ns0:c>
      <ns0:c r="G100" s="21" t="inlineStr">
        <ns0:is>
          <ns0:t>ChatGPT-assisted evidence recharting, 2026-09-08</ns0:t>
        </ns0:is>
      </ns0:c>
    </ns0:row>
    <ns0:row r="101" ht="42" customHeight="1">
      <ns0:c r="A101" s="19" t="inlineStr">
        <ns0:is>
          <ns0:t>16</ns0:t>
        </ns0:is>
      </ns0:c>
      <ns0:c r="B101" s="19" t="inlineStr">
        <ns0:is>
          <ns0:t>algorithm_main</ns0:t>
        </ns0:is>
      </ns0:c>
      <ns0:c r="C101" s="19" t="inlineStr"/>
      <ns0:c r="D101" s="19" t="inlineStr">
        <ns0:is>
          <ns0:t>Neural network (depth not specified)</ns0:t>
        </ns0:is>
      </ns0:c>
      <ns0:c r="E101" s="19" t="inlineStr">
        <ns0:is>
          <ns0:t>The abstract describes screening-assessment datasets and neural-network training, with an intended early-screening system. Detailed architecture and deployment are not established.</ns0:t>
        </ns0:is>
      </ns0:c>
      <ns0:c r="F101" s="19" t="inlineStr">
        <ns0:is>
          <ns0:t>https://doi.org/10.1007/978-3-031-81083-1_7</ns0:t>
        </ns0:is>
      </ns0:c>
      <ns0:c r="G101" s="19" t="inlineStr">
        <ns0:is>
          <ns0:t>ChatGPT-assisted evidence recharting, 2026-09-08</ns0:t>
        </ns0:is>
      </ns0:c>
    </ns0:row>
    <ns0:row r="102" ht="42" customHeight="1">
      <ns0:c r="A102" s="21" t="inlineStr">
        <ns0:is>
          <ns0:t>16</ns0:t>
        </ns0:is>
      </ns0:c>
      <ns0:c r="B102" s="21" t="inlineStr">
        <ns0:is>
          <ns0:t>rq2_status</ns0:t>
        </ns0:is>
      </ns0:c>
      <ns0:c r="C102" s="21" t="inlineStr">
        <ns0:is>
          <ns0:t>Not adjudicated in master</ns0:t>
        </ns0:is>
      </ns0:c>
      <ns0:c r="D102" s="21" t="inlineStr">
        <ns0:is>
          <ns0:t>Proposed only</ns0:t>
        </ns0:is>
      </ns0:c>
      <ns0:c r="E102" s="21" t="inlineStr">
        <ns0:is>
          <ns0:t>The abstract describes screening-assessment datasets and neural-network training, with an intended early-screening system. Detailed architecture and deployment are not established.</ns0:t>
        </ns0:is>
      </ns0:c>
      <ns0:c r="F102" s="21" t="inlineStr">
        <ns0:is>
          <ns0:t>https://doi.org/10.1007/978-3-031-81083-1_7</ns0:t>
        </ns0:is>
      </ns0:c>
      <ns0:c r="G102" s="21" t="inlineStr">
        <ns0:is>
          <ns0:t>ChatGPT-assisted evidence recharting, 2026-09-08</ns0:t>
        </ns0:is>
      </ns0:c>
    </ns0:row>
    <ns0:row r="103" ht="42" customHeight="1">
      <ns0:c r="A103" s="19" t="inlineStr">
        <ns0:is>
          <ns0:t>16</ns0:t>
        </ns0:is>
      </ns0:c>
      <ns0:c r="B103" s="19" t="inlineStr">
        <ns0:is>
          <ns0:t>rq2_role</ns0:t>
        </ns0:is>
      </ns0:c>
      <ns0:c r="C103" s="19" t="inlineStr"/>
      <ns0:c r="D103" s="19" t="inlineStr">
        <ns0:is>
          <ns0:t>Triage/questionnaire assessment</ns0:t>
        </ns0:is>
      </ns0:c>
      <ns0:c r="E103" s="19" t="inlineStr">
        <ns0:is>
          <ns0:t>The abstract describes screening-assessment datasets and neural-network training, with an intended early-screening system. Detailed architecture and deployment are not established.</ns0:t>
        </ns0:is>
      </ns0:c>
      <ns0:c r="F103" s="19" t="inlineStr">
        <ns0:is>
          <ns0:t>https://doi.org/10.1007/978-3-031-81083-1_7</ns0:t>
        </ns0:is>
      </ns0:c>
      <ns0:c r="G103" s="19" t="inlineStr">
        <ns0:is>
          <ns0:t>ChatGPT-assisted evidence recharting, 2026-09-08</ns0:t>
        </ns0:is>
      </ns0:c>
    </ns0:row>
    <ns0:row r="104" ht="42" customHeight="1">
      <ns0:c r="A104" s="21" t="inlineStr">
        <ns0:is>
          <ns0:t>16</ns0:t>
        </ns0:is>
      </ns0:c>
      <ns0:c r="B104" s="21" t="inlineStr">
        <ns0:is>
          <ns0:t>decision_timing</ns0:t>
        </ns0:is>
      </ns0:c>
      <ns0:c r="C104" s="21" t="inlineStr"/>
      <ns0:c r="D104" s="21" t="inlineStr">
        <ns0:is>
          <ns0:t>Pre-decision</ns0:t>
        </ns0:is>
      </ns0:c>
      <ns0:c r="E104" s="21" t="inlineStr">
        <ns0:is>
          <ns0:t>The abstract describes screening-assessment datasets and neural-network training, with an intended early-screening system. Detailed architecture and deployment are not established.</ns0:t>
        </ns0:is>
      </ns0:c>
      <ns0:c r="F104" s="21" t="inlineStr">
        <ns0:is>
          <ns0:t>https://doi.org/10.1007/978-3-031-81083-1_7</ns0:t>
        </ns0:is>
      </ns0:c>
      <ns0:c r="G104" s="21" t="inlineStr">
        <ns0:is>
          <ns0:t>ChatGPT-assisted evidence recharting, 2026-09-08</ns0:t>
        </ns0:is>
      </ns0:c>
    </ns0:row>
    <ns0:row r="105" ht="42" customHeight="1">
      <ns0:c r="A105" s="19" t="inlineStr">
        <ns0:is>
          <ns0:t>17</ns0:t>
        </ns0:is>
      </ns0:c>
      <ns0:c r="B105" s="19" t="inlineStr">
        <ns0:is>
          <ns0:t>data_source_primary</ns0:t>
        </ns0:is>
      </ns0:c>
      <ns0:c r="C105" s="19" t="inlineStr">
        <ns0:is>
          <ns0:t>Image (subtype unresolved)</ns0:t>
        </ns0:is>
      </ns0:c>
      <ns0:c r="D105" s="19" t="inlineStr">
        <ns0:is>
          <ns0:t>Behavioral images/video/gaze/movement</ns0:t>
        </ns0:is>
      </ns0:c>
      <ns0:c r="E105" s="19" t="inlineStr">
        <ns0:is>
          <ns0:t>Naturalistic interaction videos are computationally annotated and classified offline; the source explicitly places routine-care generalization in future work.</ns0:t>
        </ns0:is>
      </ns0:c>
      <ns0:c r="F105" s="19" t="inlineStr">
        <ns0:is>
          <ns0:t>https://doi.org/10.1038/s41398-024-02802-5</ns0:t>
        </ns0:is>
      </ns0:c>
      <ns0:c r="G105" s="19" t="inlineStr">
        <ns0:is>
          <ns0:t>ChatGPT-assisted evidence recharting, 2026-09-08</ns0:t>
        </ns0:is>
      </ns0:c>
    </ns0:row>
    <ns0:row r="106" ht="42" customHeight="1">
      <ns0:c r="A106" s="21" t="inlineStr">
        <ns0:is>
          <ns0:t>17</ns0:t>
        </ns0:is>
      </ns0:c>
      <ns0:c r="B106" s="21" t="inlineStr">
        <ns0:is>
          <ns0:t>rq2_status</ns0:t>
        </ns0:is>
      </ns0:c>
      <ns0:c r="C106" s="21" t="inlineStr">
        <ns0:is>
          <ns0:t>Not adjudicated in master</ns0:t>
        </ns0:is>
      </ns0:c>
      <ns0:c r="D106" s="21" t="inlineStr">
        <ns0:is>
          <ns0:t>Research only</ns0:t>
        </ns0:is>
      </ns0:c>
      <ns0:c r="E106" s="21" t="inlineStr">
        <ns0:is>
          <ns0:t>Naturalistic interaction videos are computationally annotated and classified offline; the source explicitly places routine-care generalization in future work.</ns0:t>
        </ns0:is>
      </ns0:c>
      <ns0:c r="F106" s="21" t="inlineStr">
        <ns0:is>
          <ns0:t>https://doi.org/10.1038/s41398-024-02802-5</ns0:t>
        </ns0:is>
      </ns0:c>
      <ns0:c r="G106" s="21" t="inlineStr">
        <ns0:is>
          <ns0:t>ChatGPT-assisted evidence recharting, 2026-09-08</ns0:t>
        </ns0:is>
      </ns0:c>
    </ns0:row>
    <ns0:row r="107" ht="42" customHeight="1">
      <ns0:c r="A107" s="19" t="inlineStr">
        <ns0:is>
          <ns0:t>17</ns0:t>
        </ns0:is>
      </ns0:c>
      <ns0:c r="B107" s="19" t="inlineStr">
        <ns0:is>
          <ns0:t>rq2_role</ns0:t>
        </ns0:is>
      </ns0:c>
      <ns0:c r="C107" s="19" t="inlineStr"/>
      <ns0:c r="D107" s="19" t="inlineStr">
        <ns0:is>
          <ns0:t>Automated measurement/classification</ns0:t>
        </ns0:is>
      </ns0:c>
      <ns0:c r="E107" s="19" t="inlineStr">
        <ns0:is>
          <ns0:t>Naturalistic interaction videos are computationally annotated and classified offline; the source explicitly places routine-care generalization in future work.</ns0:t>
        </ns0:is>
      </ns0:c>
      <ns0:c r="F107" s="19" t="inlineStr">
        <ns0:is>
          <ns0:t>https://doi.org/10.1038/s41398-024-02802-5</ns0:t>
        </ns0:is>
      </ns0:c>
      <ns0:c r="G107" s="19" t="inlineStr">
        <ns0:is>
          <ns0:t>ChatGPT-assisted evidence recharting, 2026-09-08</ns0:t>
        </ns0:is>
      </ns0:c>
    </ns0:row>
    <ns0:row r="108" ht="42" customHeight="1">
      <ns0:c r="A108" s="21" t="inlineStr">
        <ns0:is>
          <ns0:t>17</ns0:t>
        </ns0:is>
      </ns0:c>
      <ns0:c r="B108" s="21" t="inlineStr">
        <ns0:is>
          <ns0:t>decision_timing</ns0:t>
        </ns0:is>
      </ns0:c>
      <ns0:c r="C108" s="21" t="inlineStr"/>
      <ns0:c r="D108" s="21" t="inlineStr">
        <ns0:is>
          <ns0:t>Not observed in assessed sources</ns0:t>
        </ns0:is>
      </ns0:c>
      <ns0:c r="E108" s="21" t="inlineStr">
        <ns0:is>
          <ns0:t>Naturalistic interaction videos are computationally annotated and classified offline; the source explicitly places routine-care generalization in future work.</ns0:t>
        </ns0:is>
      </ns0:c>
      <ns0:c r="F108" s="21" t="inlineStr">
        <ns0:is>
          <ns0:t>https://doi.org/10.1038/s41398-024-02802-5</ns0:t>
        </ns0:is>
      </ns0:c>
      <ns0:c r="G108" s="21" t="inlineStr">
        <ns0:is>
          <ns0:t>ChatGPT-assisted evidence recharting, 2026-09-08</ns0:t>
        </ns0:is>
      </ns0:c>
    </ns0:row>
    <ns0:row r="109" ht="42" customHeight="1">
      <ns0:c r="A109" s="19" t="inlineStr">
        <ns0:is>
          <ns0:t>18</ns0:t>
        </ns0:is>
      </ns0:c>
      <ns0:c r="B109" s="19" t="inlineStr">
        <ns0:is>
          <ns0:t>ai_type</ns0:t>
        </ns0:is>
      </ns0:c>
      <ns0:c r="C109" s="19" t="inlineStr">
        <ns0:is>
          <ns0:t>Deep Learning</ns0:t>
        </ns0:is>
      </ns0:c>
      <ns0:c r="D109" s="19" t="inlineStr">
        <ns0:is>
          <ns0:t>Machine Learning</ns0:t>
        </ns0:is>
      </ns0:c>
      <ns0:c r="E109" s="19" t="inlineStr">
        <ns0:is>
          <ns0:t>Multiparametric MRI and graph-theoretic features are analyzed with machine learning, not necessarily a graph neural network. Multi-center data and multiple MRI-derived feature types are reported.</ns0:t>
        </ns0:is>
      </ns0:c>
      <ns0:c r="F109" s="19" t="inlineStr">
        <ns0:is>
          <ns0:t>https://doi.org/10.1371/journal.pone.0090405</ns0:t>
        </ns0:is>
      </ns0:c>
      <ns0:c r="G109" s="19" t="inlineStr">
        <ns0:is>
          <ns0:t>ChatGPT-assisted evidence recharting, 2026-09-08</ns0:t>
        </ns0:is>
      </ns0:c>
    </ns0:row>
    <ns0:row r="110" ht="42" customHeight="1">
      <ns0:c r="A110" s="21" t="inlineStr">
        <ns0:is>
          <ns0:t>18</ns0:t>
        </ns0:is>
      </ns0:c>
      <ns0:c r="B110" s="21" t="inlineStr">
        <ns0:is>
          <ns0:t>data_source_primary</ns0:t>
        </ns0:is>
      </ns0:c>
      <ns0:c r="C110" s="21" t="inlineStr">
        <ns0:is>
          <ns0:t>Multiple modalities (as coded)</ns0:t>
        </ns0:is>
      </ns0:c>
      <ns0:c r="D110" s="21" t="inlineStr">
        <ns0:is>
          <ns0:t>Neuroimaging</ns0:t>
        </ns0:is>
      </ns0:c>
      <ns0:c r="E110" s="21" t="inlineStr">
        <ns0:is>
          <ns0:t>Multiparametric MRI and graph-theoretic features are analyzed with machine learning, not necessarily a graph neural network. Multi-center data and multiple MRI-derived feature types are reported.</ns0:t>
        </ns0:is>
      </ns0:c>
      <ns0:c r="F110" s="21" t="inlineStr">
        <ns0:is>
          <ns0:t>https://doi.org/10.1371/journal.pone.0090405</ns0:t>
        </ns0:is>
      </ns0:c>
      <ns0:c r="G110" s="21" t="inlineStr">
        <ns0:is>
          <ns0:t>ChatGPT-assisted evidence recharting, 2026-09-08</ns0:t>
        </ns0:is>
      </ns0:c>
    </ns0:row>
    <ns0:row r="111" ht="42" customHeight="1">
      <ns0:c r="A111" s="19" t="inlineStr">
        <ns0:is>
          <ns0:t>18</ns0:t>
        </ns0:is>
      </ns0:c>
      <ns0:c r="B111" s="19" t="inlineStr">
        <ns0:is>
          <ns0:t>algorithm_main</ns0:t>
        </ns0:is>
      </ns0:c>
      <ns0:c r="C111" s="19" t="inlineStr">
        <ns0:is>
          <ns0:t>Other / Not clear</ns0:t>
        </ns0:is>
      </ns0:c>
      <ns0:c r="D111" s="19" t="inlineStr">
        <ns0:is>
          <ns0:t>Not specified</ns0:t>
        </ns0:is>
      </ns0:c>
      <ns0:c r="E111" s="19" t="inlineStr">
        <ns0:is>
          <ns0:t>Multiparametric MRI and graph-theoretic features are analyzed with machine learning, not necessarily a graph neural network. Multi-center data and multiple MRI-derived feature types are reported.</ns0:t>
        </ns0:is>
      </ns0:c>
      <ns0:c r="F111" s="19" t="inlineStr">
        <ns0:is>
          <ns0:t>https://doi.org/10.1371/journal.pone.0090405</ns0:t>
        </ns0:is>
      </ns0:c>
      <ns0:c r="G111" s="19" t="inlineStr">
        <ns0:is>
          <ns0:t>ChatGPT-assisted evidence recharting, 2026-09-08</ns0:t>
        </ns0:is>
      </ns0:c>
    </ns0:row>
    <ns0:row r="112" ht="42" customHeight="1">
      <ns0:c r="A112" s="21" t="inlineStr">
        <ns0:is>
          <ns0:t>18</ns0:t>
        </ns0:is>
      </ns0:c>
      <ns0:c r="B112" s="21" t="inlineStr">
        <ns0:is>
          <ns0:t>rq2_status</ns0:t>
        </ns0:is>
      </ns0:c>
      <ns0:c r="C112" s="21" t="inlineStr">
        <ns0:is>
          <ns0:t>Not adjudicated in master</ns0:t>
        </ns0:is>
      </ns0:c>
      <ns0:c r="D112" s="21" t="inlineStr">
        <ns0:is>
          <ns0:t>Research only</ns0:t>
        </ns0:is>
      </ns0:c>
      <ns0:c r="E112" s="21" t="inlineStr">
        <ns0:is>
          <ns0:t>Multiparametric MRI and graph-theoretic features are analyzed with machine learning, not necessarily a graph neural network. Multi-center data and multiple MRI-derived feature types are reported.</ns0:t>
        </ns0:is>
      </ns0:c>
      <ns0:c r="F112" s="21" t="inlineStr">
        <ns0:is>
          <ns0:t>https://doi.org/10.1371/journal.pone.0090405</ns0:t>
        </ns0:is>
      </ns0:c>
      <ns0:c r="G112" s="21" t="inlineStr">
        <ns0:is>
          <ns0:t>ChatGPT-assisted evidence recharting, 2026-09-08</ns0:t>
        </ns0:is>
      </ns0:c>
    </ns0:row>
    <ns0:row r="113" ht="42" customHeight="1">
      <ns0:c r="A113" s="19" t="inlineStr">
        <ns0:is>
          <ns0:t>18</ns0:t>
        </ns0:is>
      </ns0:c>
      <ns0:c r="B113" s="19" t="inlineStr">
        <ns0:is>
          <ns0:t>rq2_role</ns0:t>
        </ns0:is>
      </ns0:c>
      <ns0:c r="C113" s="19" t="inlineStr"/>
      <ns0:c r="D113" s="19" t="inlineStr">
        <ns0:is>
          <ns0:t>Automated measurement/classification</ns0:t>
        </ns0:is>
      </ns0:c>
      <ns0:c r="E113" s="19" t="inlineStr">
        <ns0:is>
          <ns0:t>Multiparametric MRI and graph-theoretic features are analyzed with machine learning, not necessarily a graph neural network. Multi-center data and multiple MRI-derived feature types are reported.</ns0:t>
        </ns0:is>
      </ns0:c>
      <ns0:c r="F113" s="19" t="inlineStr">
        <ns0:is>
          <ns0:t>https://doi.org/10.1371/journal.pone.0090405</ns0:t>
        </ns0:is>
      </ns0:c>
      <ns0:c r="G113" s="19" t="inlineStr">
        <ns0:is>
          <ns0:t>ChatGPT-assisted evidence recharting, 2026-09-08</ns0:t>
        </ns0:is>
      </ns0:c>
    </ns0:row>
    <ns0:row r="114" ht="42" customHeight="1">
      <ns0:c r="A114" s="21" t="inlineStr">
        <ns0:is>
          <ns0:t>18</ns0:t>
        </ns0:is>
      </ns0:c>
      <ns0:c r="B114" s="21" t="inlineStr">
        <ns0:is>
          <ns0:t>decision_timing</ns0:t>
        </ns0:is>
      </ns0:c>
      <ns0:c r="C114" s="21" t="inlineStr"/>
      <ns0:c r="D114" s="21" t="inlineStr">
        <ns0:is>
          <ns0:t>Not observed in assessed sources</ns0:t>
        </ns0:is>
      </ns0:c>
      <ns0:c r="E114" s="21" t="inlineStr">
        <ns0:is>
          <ns0:t>Multiparametric MRI and graph-theoretic features are analyzed with machine learning, not necessarily a graph neural network. Multi-center data and multiple MRI-derived feature types are reported.</ns0:t>
        </ns0:is>
      </ns0:c>
      <ns0:c r="F114" s="21" t="inlineStr">
        <ns0:is>
          <ns0:t>https://doi.org/10.1371/journal.pone.0090405</ns0:t>
        </ns0:is>
      </ns0:c>
      <ns0:c r="G114" s="21" t="inlineStr">
        <ns0:is>
          <ns0:t>ChatGPT-assisted evidence recharting, 2026-09-08</ns0:t>
        </ns0:is>
      </ns0:c>
    </ns0:row>
    <ns0:row r="115" ht="42" customHeight="1">
      <ns0:c r="A115" s="19" t="inlineStr">
        <ns0:is>
          <ns0:t>19</ns0:t>
        </ns0:is>
      </ns0:c>
      <ns0:c r="B115" s="19" t="inlineStr">
        <ns0:is>
          <ns0:t>algorithm_main</ns0:t>
        </ns0:is>
      </ns0:c>
      <ns0:c r="C115" s="19" t="inlineStr">
        <ns0:is>
          <ns0:t>SVM</ns0:t>
        </ns0:is>
      </ns0:c>
      <ns0:c r="D115" s="19" t="inlineStr">
        <ns0:is>
          <ns0:t>Support vector regression</ns0:t>
        </ns0:is>
      </ns0:c>
      <ns0:c r="E115" s="19" t="inlineStr">
        <ns0:is>
          <ns0:t>Three-month EEG predicts ADOS scores at 18 months in a longitudinal research cohort. A future clinical endpoint distinguishes prognosis from cross-sectional diagnosis.</ns0:t>
        </ns0:is>
      </ns0:c>
      <ns0:c r="F115" s="19" t="inlineStr">
        <ns0:is>
          <ns0:t>https://doi.org/10.1016/j.bpsc.2020.06.003</ns0:t>
        </ns0:is>
      </ns0:c>
      <ns0:c r="G115" s="19" t="inlineStr">
        <ns0:is>
          <ns0:t>ChatGPT-assisted evidence recharting, 2026-09-08</ns0:t>
        </ns0:is>
      </ns0:c>
    </ns0:row>
    <ns0:row r="116" ht="42" customHeight="1">
      <ns0:c r="A116" s="21" t="inlineStr">
        <ns0:is>
          <ns0:t>19</ns0:t>
        </ns0:is>
      </ns0:c>
      <ns0:c r="B116" s="21" t="inlineStr">
        <ns0:is>
          <ns0:t>rq2_status</ns0:t>
        </ns0:is>
      </ns0:c>
      <ns0:c r="C116" s="21" t="inlineStr">
        <ns0:is>
          <ns0:t>Not adjudicated in master</ns0:t>
        </ns0:is>
      </ns0:c>
      <ns0:c r="D116" s="21" t="inlineStr">
        <ns0:is>
          <ns0:t>Research only</ns0:t>
        </ns0:is>
      </ns0:c>
      <ns0:c r="E116" s="21" t="inlineStr">
        <ns0:is>
          <ns0:t>Three-month EEG predicts ADOS scores at 18 months in a longitudinal research cohort. A future clinical endpoint distinguishes prognosis from cross-sectional diagnosis.</ns0:t>
        </ns0:is>
      </ns0:c>
      <ns0:c r="F116" s="21" t="inlineStr">
        <ns0:is>
          <ns0:t>https://doi.org/10.1016/j.bpsc.2020.06.003</ns0:t>
        </ns0:is>
      </ns0:c>
      <ns0:c r="G116" s="21" t="inlineStr">
        <ns0:is>
          <ns0:t>ChatGPT-assisted evidence recharting, 2026-09-08</ns0:t>
        </ns0:is>
      </ns0:c>
    </ns0:row>
    <ns0:row r="117" ht="42" customHeight="1">
      <ns0:c r="A117" s="19" t="inlineStr">
        <ns0:is>
          <ns0:t>19</ns0:t>
        </ns0:is>
      </ns0:c>
      <ns0:c r="B117" s="19" t="inlineStr">
        <ns0:is>
          <ns0:t>rq2_role</ns0:t>
        </ns0:is>
      </ns0:c>
      <ns0:c r="C117" s="19" t="inlineStr"/>
      <ns0:c r="D117" s="19" t="inlineStr">
        <ns0:is>
          <ns0:t>Risk/trajectory estimation</ns0:t>
        </ns0:is>
      </ns0:c>
      <ns0:c r="E117" s="19" t="inlineStr">
        <ns0:is>
          <ns0:t>Three-month EEG predicts ADOS scores at 18 months in a longitudinal research cohort. A future clinical endpoint distinguishes prognosis from cross-sectional diagnosis.</ns0:t>
        </ns0:is>
      </ns0:c>
      <ns0:c r="F117" s="19" t="inlineStr">
        <ns0:is>
          <ns0:t>https://doi.org/10.1016/j.bpsc.2020.06.003</ns0:t>
        </ns0:is>
      </ns0:c>
      <ns0:c r="G117" s="19" t="inlineStr">
        <ns0:is>
          <ns0:t>ChatGPT-assisted evidence recharting, 2026-09-08</ns0:t>
        </ns0:is>
      </ns0:c>
    </ns0:row>
    <ns0:row r="118" ht="42" customHeight="1">
      <ns0:c r="A118" s="21" t="inlineStr">
        <ns0:is>
          <ns0:t>19</ns0:t>
        </ns0:is>
      </ns0:c>
      <ns0:c r="B118" s="21" t="inlineStr">
        <ns0:is>
          <ns0:t>decision_timing</ns0:t>
        </ns0:is>
      </ns0:c>
      <ns0:c r="C118" s="21" t="inlineStr"/>
      <ns0:c r="D118" s="21" t="inlineStr">
        <ns0:is>
          <ns0:t>Not observed in assessed sources</ns0:t>
        </ns0:is>
      </ns0:c>
      <ns0:c r="E118" s="21" t="inlineStr">
        <ns0:is>
          <ns0:t>Three-month EEG predicts ADOS scores at 18 months in a longitudinal research cohort. A future clinical endpoint distinguishes prognosis from cross-sectional diagnosis.</ns0:t>
        </ns0:is>
      </ns0:c>
      <ns0:c r="F118" s="21" t="inlineStr">
        <ns0:is>
          <ns0:t>https://doi.org/10.1016/j.bpsc.2020.06.003</ns0:t>
        </ns0:is>
      </ns0:c>
      <ns0:c r="G118" s="21" t="inlineStr">
        <ns0:is>
          <ns0:t>ChatGPT-assisted evidence recharting, 2026-09-08</ns0:t>
        </ns0:is>
      </ns0:c>
    </ns0:row>
    <ns0:row r="119" ht="42" customHeight="1">
      <ns0:c r="A119" s="19" t="inlineStr">
        <ns0:is>
          <ns0:t>20</ns0:t>
        </ns0:is>
      </ns0:c>
      <ns0:c r="B119" s="19" t="inlineStr">
        <ns0:is>
          <ns0:t>ai_type</ns0:t>
        </ns0:is>
      </ns0:c>
      <ns0:c r="C119" s="19" t="inlineStr">
        <ns0:is>
          <ns0:t>Deep Learning</ns0:t>
        </ns0:is>
      </ns0:c>
      <ns0:c r="D119" s="19" t="inlineStr">
        <ns0:is>
          <ns0:t>Machine Learning</ns0:t>
        </ns0:is>
      </ns0:c>
      <ns0:c r="E119" s="19" t="inlineStr">
        <ns0:is>
          <ns0:t>A previously developed shortened ADOS classifier is tested on an independent 2616-child sample. This is external model evaluation but not an observed clinical triage deployment.</ns0:t>
        </ns0:is>
      </ns0:c>
      <ns0:c r="F119" s="19" t="inlineStr">
        <ns0:is>
          <ns0:t>https://doi.org/10.1038/tp.2014.65</ns0:t>
        </ns0:is>
      </ns0:c>
      <ns0:c r="G119" s="19" t="inlineStr">
        <ns0:is>
          <ns0:t>ChatGPT-assisted evidence recharting, 2026-09-08</ns0:t>
        </ns0:is>
      </ns0:c>
    </ns0:row>
    <ns0:row r="120" ht="42" customHeight="1">
      <ns0:c r="A120" s="21" t="inlineStr">
        <ns0:is>
          <ns0:t>20</ns0:t>
        </ns0:is>
      </ns0:c>
      <ns0:c r="B120" s="21" t="inlineStr">
        <ns0:is>
          <ns0:t>data_source_primary</ns0:t>
        </ns0:is>
      </ns0:c>
      <ns0:c r="C120" s="21" t="inlineStr">
        <ns0:is>
          <ns0:t>Not specified</ns0:t>
        </ns0:is>
      </ns0:c>
      <ns0:c r="D120" s="21" t="inlineStr">
        <ns0:is>
          <ns0:t>Structured clinical/questionnaire data</ns0:t>
        </ns0:is>
      </ns0:c>
      <ns0:c r="E120" s="21" t="inlineStr">
        <ns0:is>
          <ns0:t>A previously developed shortened ADOS classifier is tested on an independent 2616-child sample. This is external model evaluation but not an observed clinical triage deployment.</ns0:t>
        </ns0:is>
      </ns0:c>
      <ns0:c r="F120" s="21" t="inlineStr">
        <ns0:is>
          <ns0:t>https://doi.org/10.1038/tp.2014.65</ns0:t>
        </ns0:is>
      </ns0:c>
      <ns0:c r="G120" s="21" t="inlineStr">
        <ns0:is>
          <ns0:t>ChatGPT-assisted evidence recharting, 2026-09-08</ns0:t>
        </ns0:is>
      </ns0:c>
    </ns0:row>
    <ns0:row r="121" ht="42" customHeight="1">
      <ns0:c r="A121" s="19" t="inlineStr">
        <ns0:is>
          <ns0:t>20</ns0:t>
        </ns0:is>
      </ns0:c>
      <ns0:c r="B121" s="19" t="inlineStr">
        <ns0:is>
          <ns0:t>algorithm_main</ns0:t>
        </ns0:is>
      </ns0:c>
      <ns0:c r="C121" s="19" t="inlineStr">
        <ns0:is>
          <ns0:t>Decision Tree</ns0:t>
        </ns0:is>
      </ns0:c>
      <ns0:c r="D121" s="19" t="inlineStr">
        <ns0:is>
          <ns0:t>Alternating Decision Tree</ns0:t>
        </ns0:is>
      </ns0:c>
      <ns0:c r="E121" s="19" t="inlineStr">
        <ns0:is>
          <ns0:t>A previously developed shortened ADOS classifier is tested on an independent 2616-child sample. This is external model evaluation but not an observed clinical triage deployment.</ns0:t>
        </ns0:is>
      </ns0:c>
      <ns0:c r="F121" s="19" t="inlineStr">
        <ns0:is>
          <ns0:t>https://doi.org/10.1038/tp.2014.65</ns0:t>
        </ns0:is>
      </ns0:c>
      <ns0:c r="G121" s="19" t="inlineStr">
        <ns0:is>
          <ns0:t>ChatGPT-assisted evidence recharting, 2026-09-08</ns0:t>
        </ns0:is>
      </ns0:c>
    </ns0:row>
    <ns0:row r="122" ht="42" customHeight="1">
      <ns0:c r="A122" s="21" t="inlineStr">
        <ns0:is>
          <ns0:t>20</ns0:t>
        </ns0:is>
      </ns0:c>
      <ns0:c r="B122" s="21" t="inlineStr">
        <ns0:is>
          <ns0:t>rq2_status</ns0:t>
        </ns0:is>
      </ns0:c>
      <ns0:c r="C122" s="21" t="inlineStr">
        <ns0:is>
          <ns0:t>Not adjudicated in master</ns0:t>
        </ns0:is>
      </ns0:c>
      <ns0:c r="D122" s="21" t="inlineStr">
        <ns0:is>
          <ns0:t>Proposed only</ns0:t>
        </ns0:is>
      </ns0:c>
      <ns0:c r="E122" s="21" t="inlineStr">
        <ns0:is>
          <ns0:t>A previously developed shortened ADOS classifier is tested on an independent 2616-child sample. This is external model evaluation but not an observed clinical triage deployment.</ns0:t>
        </ns0:is>
      </ns0:c>
      <ns0:c r="F122" s="21" t="inlineStr">
        <ns0:is>
          <ns0:t>https://doi.org/10.1038/tp.2014.65</ns0:t>
        </ns0:is>
      </ns0:c>
      <ns0:c r="G122" s="21" t="inlineStr">
        <ns0:is>
          <ns0:t>ChatGPT-assisted evidence recharting, 2026-09-08</ns0:t>
        </ns0:is>
      </ns0:c>
    </ns0:row>
    <ns0:row r="123" ht="42" customHeight="1">
      <ns0:c r="A123" s="19" t="inlineStr">
        <ns0:is>
          <ns0:t>20</ns0:t>
        </ns0:is>
      </ns0:c>
      <ns0:c r="B123" s="19" t="inlineStr">
        <ns0:is>
          <ns0:t>rq2_role</ns0:t>
        </ns0:is>
      </ns0:c>
      <ns0:c r="C123" s="19" t="inlineStr"/>
      <ns0:c r="D123" s="19" t="inlineStr">
        <ns0:is>
          <ns0:t>Triage/questionnaire assessment</ns0:t>
        </ns0:is>
      </ns0:c>
      <ns0:c r="E123" s="19" t="inlineStr">
        <ns0:is>
          <ns0:t>A previously developed shortened ADOS classifier is tested on an independent 2616-child sample. This is external model evaluation but not an observed clinical triage deployment.</ns0:t>
        </ns0:is>
      </ns0:c>
      <ns0:c r="F123" s="19" t="inlineStr">
        <ns0:is>
          <ns0:t>https://doi.org/10.1038/tp.2014.65</ns0:t>
        </ns0:is>
      </ns0:c>
      <ns0:c r="G123" s="19" t="inlineStr">
        <ns0:is>
          <ns0:t>ChatGPT-assisted evidence recharting, 2026-09-08</ns0:t>
        </ns0:is>
      </ns0:c>
    </ns0:row>
    <ns0:row r="124" ht="42" customHeight="1">
      <ns0:c r="A124" s="21" t="inlineStr">
        <ns0:is>
          <ns0:t>20</ns0:t>
        </ns0:is>
      </ns0:c>
      <ns0:c r="B124" s="21" t="inlineStr">
        <ns0:is>
          <ns0:t>decision_timing</ns0:t>
        </ns0:is>
      </ns0:c>
      <ns0:c r="C124" s="21" t="inlineStr"/>
      <ns0:c r="D124" s="21" t="inlineStr">
        <ns0:is>
          <ns0:t>Pre-decision</ns0:t>
        </ns0:is>
      </ns0:c>
      <ns0:c r="E124" s="21" t="inlineStr">
        <ns0:is>
          <ns0:t>A previously developed shortened ADOS classifier is tested on an independent 2616-child sample. This is external model evaluation but not an observed clinical triage deployment.</ns0:t>
        </ns0:is>
      </ns0:c>
      <ns0:c r="F124" s="21" t="inlineStr">
        <ns0:is>
          <ns0:t>https://doi.org/10.1038/tp.2014.65</ns0:t>
        </ns0:is>
      </ns0:c>
      <ns0:c r="G124" s="21" t="inlineStr">
        <ns0:is>
          <ns0:t>ChatGPT-assisted evidence recharting, 2026-09-08</ns0:t>
        </ns0:is>
      </ns0:c>
    </ns0:row>
    <ns0:row r="125" ht="42" customHeight="1">
      <ns0:c r="A125" s="19" t="inlineStr">
        <ns0:is>
          <ns0:t>21</ns0:t>
        </ns0:is>
      </ns0:c>
      <ns0:c r="B125" s="19" t="inlineStr">
        <ns0:is>
          <ns0:t>data_source_primary</ns0:t>
        </ns0:is>
      </ns0:c>
      <ns0:c r="C125" s="19" t="inlineStr">
        <ns0:is>
          <ns0:t>Physiological signals</ns0:t>
        </ns0:is>
      </ns0:c>
      <ns0:c r="D125" s="19" t="inlineStr">
        <ns0:is>
          <ns0:t>Behavioral images/video/gaze/movement</ns0:t>
        </ns0:is>
      </ns0:c>
      <ns0:c r="E125" s="19" t="inlineStr">
        <ns0:is>
          <ns0:t>Deep classification uses reaching/placing movement kinematics; age groups and diagnostic labels are not separate data modalities. Clinical deployment is not evaluated.</ns0:t>
        </ns0:is>
      </ns0:c>
      <ns0:c r="F125" s="19" t="inlineStr">
        <ns0:is>
          <ns0:t>https://doi.org/10.1038/s41598-024-81652-z</ns0:t>
        </ns0:is>
      </ns0:c>
      <ns0:c r="G125" s="19" t="inlineStr">
        <ns0:is>
          <ns0:t>ChatGPT-assisted evidence recharting, 2026-09-08</ns0:t>
        </ns0:is>
      </ns0:c>
    </ns0:row>
    <ns0:row r="126" ht="42" customHeight="1">
      <ns0:c r="A126" s="21" t="inlineStr">
        <ns0:is>
          <ns0:t>21</ns0:t>
        </ns0:is>
      </ns0:c>
      <ns0:c r="B126" s="21" t="inlineStr">
        <ns0:is>
          <ns0:t>rq2_status</ns0:t>
        </ns0:is>
      </ns0:c>
      <ns0:c r="C126" s="21" t="inlineStr">
        <ns0:is>
          <ns0:t>Not adjudicated in master</ns0:t>
        </ns0:is>
      </ns0:c>
      <ns0:c r="D126" s="21" t="inlineStr">
        <ns0:is>
          <ns0:t>Research only</ns0:t>
        </ns0:is>
      </ns0:c>
      <ns0:c r="E126" s="21" t="inlineStr">
        <ns0:is>
          <ns0:t>Deep classification uses reaching/placing movement kinematics; age groups and diagnostic labels are not separate data modalities. Clinical deployment is not evaluated.</ns0:t>
        </ns0:is>
      </ns0:c>
      <ns0:c r="F126" s="21" t="inlineStr">
        <ns0:is>
          <ns0:t>https://doi.org/10.1038/s41598-024-81652-z</ns0:t>
        </ns0:is>
      </ns0:c>
      <ns0:c r="G126" s="21" t="inlineStr">
        <ns0:is>
          <ns0:t>ChatGPT-assisted evidence recharting, 2026-09-08</ns0:t>
        </ns0:is>
      </ns0:c>
    </ns0:row>
    <ns0:row r="127" ht="42" customHeight="1">
      <ns0:c r="A127" s="19" t="inlineStr">
        <ns0:is>
          <ns0:t>21</ns0:t>
        </ns0:is>
      </ns0:c>
      <ns0:c r="B127" s="19" t="inlineStr">
        <ns0:is>
          <ns0:t>rq2_role</ns0:t>
        </ns0:is>
      </ns0:c>
      <ns0:c r="C127" s="19" t="inlineStr"/>
      <ns0:c r="D127" s="19" t="inlineStr">
        <ns0:is>
          <ns0:t>Automated measurement/classification</ns0:t>
        </ns0:is>
      </ns0:c>
      <ns0:c r="E127" s="19" t="inlineStr">
        <ns0:is>
          <ns0:t>Deep classification uses reaching/placing movement kinematics; age groups and diagnostic labels are not separate data modalities. Clinical deployment is not evaluated.</ns0:t>
        </ns0:is>
      </ns0:c>
      <ns0:c r="F127" s="19" t="inlineStr">
        <ns0:is>
          <ns0:t>https://doi.org/10.1038/s41598-024-81652-z</ns0:t>
        </ns0:is>
      </ns0:c>
      <ns0:c r="G127" s="19" t="inlineStr">
        <ns0:is>
          <ns0:t>ChatGPT-assisted evidence recharting, 2026-09-08</ns0:t>
        </ns0:is>
      </ns0:c>
    </ns0:row>
    <ns0:row r="128" ht="42" customHeight="1">
      <ns0:c r="A128" s="21" t="inlineStr">
        <ns0:is>
          <ns0:t>21</ns0:t>
        </ns0:is>
      </ns0:c>
      <ns0:c r="B128" s="21" t="inlineStr">
        <ns0:is>
          <ns0:t>decision_timing</ns0:t>
        </ns0:is>
      </ns0:c>
      <ns0:c r="C128" s="21" t="inlineStr"/>
      <ns0:c r="D128" s="21" t="inlineStr">
        <ns0:is>
          <ns0:t>Not observed in assessed sources</ns0:t>
        </ns0:is>
      </ns0:c>
      <ns0:c r="E128" s="21" t="inlineStr">
        <ns0:is>
          <ns0:t>Deep classification uses reaching/placing movement kinematics; age groups and diagnostic labels are not separate data modalities. Clinical deployment is not evaluated.</ns0:t>
        </ns0:is>
      </ns0:c>
      <ns0:c r="F128" s="21" t="inlineStr">
        <ns0:is>
          <ns0:t>https://doi.org/10.1038/s41598-024-81652-z</ns0:t>
        </ns0:is>
      </ns0:c>
      <ns0:c r="G128" s="21" t="inlineStr">
        <ns0:is>
          <ns0:t>ChatGPT-assisted evidence recharting, 2026-09-08</ns0:t>
        </ns0:is>
      </ns0:c>
    </ns0:row>
    <ns0:row r="129" ht="42" customHeight="1">
      <ns0:c r="A129" s="19" t="inlineStr">
        <ns0:is>
          <ns0:t>21</ns0:t>
        </ns0:is>
      </ns0:c>
      <ns0:c r="B129" s="19" t="inlineStr">
        <ns0:is>
          <ns0:t>multisource_data</ns0:t>
        </ns0:is>
      </ns0:c>
      <ns0:c r="C129" s="19" t="inlineStr">
        <ns0:is>
          <ns0:t>Reported</ns0:t>
        </ns0:is>
      </ns0:c>
      <ns0:c r="D129" s="19" t="inlineStr">
        <ns0:is>
          <ns0:t>Not reported in assessed sources</ns0:t>
        </ns0:is>
      </ns0:c>
      <ns0:c r="E129" s="19" t="inlineStr">
        <ns0:is>
          <ns0:t>Deep classification uses reaching/placing movement kinematics; age groups and diagnostic labels are not separate data modalities. Clinical deployment is not evaluated.</ns0:t>
        </ns0:is>
      </ns0:c>
      <ns0:c r="F129" s="19" t="inlineStr">
        <ns0:is>
          <ns0:t>https://doi.org/10.1038/s41598-024-81652-z</ns0:t>
        </ns0:is>
      </ns0:c>
      <ns0:c r="G129" s="19" t="inlineStr">
        <ns0:is>
          <ns0:t>ChatGPT-assisted evidence recharting, 2026-09-08</ns0:t>
        </ns0:is>
      </ns0:c>
    </ns0:row>
    <ns0:row r="130" ht="42" customHeight="1">
      <ns0:c r="A130" s="21" t="inlineStr">
        <ns0:is>
          <ns0:t>22</ns0:t>
        </ns0:is>
      </ns0:c>
      <ns0:c r="B130" s="21" t="inlineStr">
        <ns0:is>
          <ns0:t>stage_primary</ns0:t>
        </ns0:is>
      </ns0:c>
      <ns0:c r="C130" s="21" t="inlineStr">
        <ns0:is>
          <ns0:t>Screening</ns0:t>
        </ns0:is>
      </ns0:c>
      <ns0:c r="D130" s="21" t="inlineStr">
        <ns0:is>
          <ns0:t>Diagnosis</ns0:t>
        </ns0:is>
      </ns0:c>
      <ns0:c r="E130" s="21" t="inlineStr">
        <ns0:is>
          <ns0:t>Task-fMRI CAD with local/global CNN classifiers and a proposed severity map. Speech is the eliciting stimulus, not the model's audio input. Clinical interpretation remains proposed.</ns0:t>
        </ns0:is>
      </ns0:c>
      <ns0:c r="F130" s="21" t="inlineStr">
        <ns0:is>
          <ns0:t>https://doi.org/10.3390/s21175822</ns0:t>
        </ns0:is>
      </ns0:c>
      <ns0:c r="G130" s="21" t="inlineStr">
        <ns0:is>
          <ns0:t>ChatGPT-assisted evidence recharting, 2026-09-08</ns0:t>
        </ns0:is>
      </ns0:c>
    </ns0:row>
    <ns0:row r="131" ht="42" customHeight="1">
      <ns0:c r="A131" s="19" t="inlineStr">
        <ns0:is>
          <ns0:t>22</ns0:t>
        </ns0:is>
      </ns0:c>
      <ns0:c r="B131" s="19" t="inlineStr">
        <ns0:is>
          <ns0:t>data_source_primary</ns0:t>
        </ns0:is>
      </ns0:c>
      <ns0:c r="C131" s="19" t="inlineStr">
        <ns0:is>
          <ns0:t>Physiological signals</ns0:t>
        </ns0:is>
      </ns0:c>
      <ns0:c r="D131" s="19" t="inlineStr">
        <ns0:is>
          <ns0:t>Neuroimaging</ns0:t>
        </ns0:is>
      </ns0:c>
      <ns0:c r="E131" s="19" t="inlineStr">
        <ns0:is>
          <ns0:t>Task-fMRI CAD with local/global CNN classifiers and a proposed severity map. Speech is the eliciting stimulus, not the model's audio input. Clinical interpretation remains proposed.</ns0:t>
        </ns0:is>
      </ns0:c>
      <ns0:c r="F131" s="19" t="inlineStr">
        <ns0:is>
          <ns0:t>https://doi.org/10.3390/s21175822</ns0:t>
        </ns0:is>
      </ns0:c>
      <ns0:c r="G131" s="19" t="inlineStr">
        <ns0:is>
          <ns0:t>ChatGPT-assisted evidence recharting, 2026-09-08</ns0:t>
        </ns0:is>
      </ns0:c>
    </ns0:row>
    <ns0:row r="132" ht="42" customHeight="1">
      <ns0:c r="A132" s="21" t="inlineStr">
        <ns0:is>
          <ns0:t>22</ns0:t>
        </ns0:is>
      </ns0:c>
      <ns0:c r="B132" s="21" t="inlineStr">
        <ns0:is>
          <ns0:t>rq2_status</ns0:t>
        </ns0:is>
      </ns0:c>
      <ns0:c r="C132" s="21" t="inlineStr">
        <ns0:is>
          <ns0:t>Not adjudicated in master</ns0:t>
        </ns0:is>
      </ns0:c>
      <ns0:c r="D132" s="21" t="inlineStr">
        <ns0:is>
          <ns0:t>Proposed only</ns0:t>
        </ns0:is>
      </ns0:c>
      <ns0:c r="E132" s="21" t="inlineStr">
        <ns0:is>
          <ns0:t>Task-fMRI CAD with local/global CNN classifiers and a proposed severity map. Speech is the eliciting stimulus, not the model's audio input. Clinical interpretation remains proposed.</ns0:t>
        </ns0:is>
      </ns0:c>
      <ns0:c r="F132" s="21" t="inlineStr">
        <ns0:is>
          <ns0:t>https://doi.org/10.3390/s21175822</ns0:t>
        </ns0:is>
      </ns0:c>
      <ns0:c r="G132" s="21" t="inlineStr">
        <ns0:is>
          <ns0:t>ChatGPT-assisted evidence recharting, 2026-09-08</ns0:t>
        </ns0:is>
      </ns0:c>
    </ns0:row>
    <ns0:row r="133" ht="42" customHeight="1">
      <ns0:c r="A133" s="19" t="inlineStr">
        <ns0:is>
          <ns0:t>22</ns0:t>
        </ns0:is>
      </ns0:c>
      <ns0:c r="B133" s="19" t="inlineStr">
        <ns0:is>
          <ns0:t>rq2_role</ns0:t>
        </ns0:is>
      </ns0:c>
      <ns0:c r="C133" s="19" t="inlineStr"/>
      <ns0:c r="D133" s="19" t="inlineStr">
        <ns0:is>
          <ns0:t>Diagnostic decision support</ns0:t>
        </ns0:is>
      </ns0:c>
      <ns0:c r="E133" s="19" t="inlineStr">
        <ns0:is>
          <ns0:t>Task-fMRI CAD with local/global CNN classifiers and a proposed severity map. Speech is the eliciting stimulus, not the model's audio input. Clinical interpretation remains proposed.</ns0:t>
        </ns0:is>
      </ns0:c>
      <ns0:c r="F133" s="19" t="inlineStr">
        <ns0:is>
          <ns0:t>https://doi.org/10.3390/s21175822</ns0:t>
        </ns0:is>
      </ns0:c>
      <ns0:c r="G133" s="19" t="inlineStr">
        <ns0:is>
          <ns0:t>ChatGPT-assisted evidence recharting, 2026-09-08</ns0:t>
        </ns0:is>
      </ns0:c>
    </ns0:row>
    <ns0:row r="134" ht="42" customHeight="1">
      <ns0:c r="A134" s="21" t="inlineStr">
        <ns0:is>
          <ns0:t>22</ns0:t>
        </ns0:is>
      </ns0:c>
      <ns0:c r="B134" s="21" t="inlineStr">
        <ns0:is>
          <ns0:t>decision_timing</ns0:t>
        </ns0:is>
      </ns0:c>
      <ns0:c r="C134" s="21" t="inlineStr"/>
      <ns0:c r="D134" s="21" t="inlineStr">
        <ns0:is>
          <ns0:t>In-decision</ns0:t>
        </ns0:is>
      </ns0:c>
      <ns0:c r="E134" s="21" t="inlineStr">
        <ns0:is>
          <ns0:t>Task-fMRI CAD with local/global CNN classifiers and a proposed severity map. Speech is the eliciting stimulus, not the model's audio input. Clinical interpretation remains proposed.</ns0:t>
        </ns0:is>
      </ns0:c>
      <ns0:c r="F134" s="21" t="inlineStr">
        <ns0:is>
          <ns0:t>https://doi.org/10.3390/s21175822</ns0:t>
        </ns0:is>
      </ns0:c>
      <ns0:c r="G134" s="21" t="inlineStr">
        <ns0:is>
          <ns0:t>ChatGPT-assisted evidence recharting, 2026-09-08</ns0:t>
        </ns0:is>
      </ns0:c>
    </ns0:row>
    <ns0:row r="135" ht="42" customHeight="1">
      <ns0:c r="A135" s="19" t="inlineStr">
        <ns0:is>
          <ns0:t>22</ns0:t>
        </ns0:is>
      </ns0:c>
      <ns0:c r="B135" s="19" t="inlineStr">
        <ns0:is>
          <ns0:t>xai_partial</ns0:t>
        </ns0:is>
      </ns0:c>
      <ns0:c r="C135" s="19" t="inlineStr">
        <ns0:is>
          <ns0:t>Not reported in assessed sources</ns0:t>
        </ns0:is>
      </ns0:c>
      <ns0:c r="D135" s="19" t="inlineStr">
        <ns0:is>
          <ns0:t>Reported</ns0:t>
        </ns0:is>
      </ns0:c>
      <ns0:c r="E135" s="19" t="inlineStr">
        <ns0:is>
          <ns0:t>Task-fMRI CAD with local/global CNN classifiers and a proposed severity map. Speech is the eliciting stimulus, not the model's audio input. Clinical interpretation remains proposed.</ns0:t>
        </ns0:is>
      </ns0:c>
      <ns0:c r="F135" s="19" t="inlineStr">
        <ns0:is>
          <ns0:t>https://doi.org/10.3390/s21175822</ns0:t>
        </ns0:is>
      </ns0:c>
      <ns0:c r="G135" s="19" t="inlineStr">
        <ns0:is>
          <ns0:t>ChatGPT-assisted evidence recharting, 2026-09-08</ns0:t>
        </ns0:is>
      </ns0:c>
    </ns0:row>
    <ns0:row r="136" ht="42" customHeight="1">
      <ns0:c r="A136" s="21" t="inlineStr">
        <ns0:is>
          <ns0:t>23</ns0:t>
        </ns0:is>
      </ns0:c>
      <ns0:c r="B136" s="21" t="inlineStr">
        <ns0:is>
          <ns0:t>data_source_primary</ns0:t>
        </ns0:is>
      </ns0:c>
      <ns0:c r="C136" s="21" t="inlineStr">
        <ns0:is>
          <ns0:t>Not specified</ns0:t>
        </ns0:is>
      </ns0:c>
      <ns0:c r="D136" s="21" t="inlineStr">
        <ns0:is>
          <ns0:t>Structured clinical/questionnaire data</ns0:t>
        </ns0:is>
      </ns0:c>
      <ns0:c r="E136" s="21" t="inlineStr">
        <ns0:is>
          <ns0:t>Questionnaire-derived datasets support a rule-learning classifier whose rules are intended for domain-expert interpretation. Retain the specified rule family rather than forcing a decision-tree label.</ns0:t>
        </ns0:is>
      </ns0:c>
      <ns0:c r="F136" s="21" t="inlineStr">
        <ns0:is>
          <ns0:t>https://doi.org/10.1177/1460458218824711</ns0:t>
        </ns0:is>
      </ns0:c>
      <ns0:c r="G136" s="21" t="inlineStr">
        <ns0:is>
          <ns0:t>ChatGPT-assisted evidence recharting, 2026-09-08</ns0:t>
        </ns0:is>
      </ns0:c>
    </ns0:row>
    <ns0:row r="137" ht="42" customHeight="1">
      <ns0:c r="A137" s="19" t="inlineStr">
        <ns0:is>
          <ns0:t>23</ns0:t>
        </ns0:is>
      </ns0:c>
      <ns0:c r="B137" s="19" t="inlineStr">
        <ns0:is>
          <ns0:t>algorithm_main</ns0:t>
        </ns0:is>
      </ns0:c>
      <ns0:c r="C137" s="19" t="inlineStr">
        <ns0:is>
          <ns0:t>Decision Tree</ns0:t>
        </ns0:is>
      </ns0:c>
      <ns0:c r="D137" s="19" t="inlineStr">
        <ns0:is>
          <ns0:t>Rule induction (Rules-Machine Learning)</ns0:t>
        </ns0:is>
      </ns0:c>
      <ns0:c r="E137" s="19" t="inlineStr">
        <ns0:is>
          <ns0:t>Questionnaire-derived datasets support a rule-learning classifier whose rules are intended for domain-expert interpretation. Retain the specified rule family rather than forcing a decision-tree label.</ns0:t>
        </ns0:is>
      </ns0:c>
      <ns0:c r="F137" s="19" t="inlineStr">
        <ns0:is>
          <ns0:t>https://doi.org/10.1177/1460458218824711</ns0:t>
        </ns0:is>
      </ns0:c>
      <ns0:c r="G137" s="19" t="inlineStr">
        <ns0:is>
          <ns0:t>ChatGPT-assisted evidence recharting, 2026-09-08</ns0:t>
        </ns0:is>
      </ns0:c>
    </ns0:row>
    <ns0:row r="138" ht="42" customHeight="1">
      <ns0:c r="A138" s="21" t="inlineStr">
        <ns0:is>
          <ns0:t>23</ns0:t>
        </ns0:is>
      </ns0:c>
      <ns0:c r="B138" s="21" t="inlineStr">
        <ns0:is>
          <ns0:t>rq2_status</ns0:t>
        </ns0:is>
      </ns0:c>
      <ns0:c r="C138" s="21" t="inlineStr">
        <ns0:is>
          <ns0:t>Not adjudicated in master</ns0:t>
        </ns0:is>
      </ns0:c>
      <ns0:c r="D138" s="21" t="inlineStr">
        <ns0:is>
          <ns0:t>Proposed only</ns0:t>
        </ns0:is>
      </ns0:c>
      <ns0:c r="E138" s="21" t="inlineStr">
        <ns0:is>
          <ns0:t>Questionnaire-derived datasets support a rule-learning classifier whose rules are intended for domain-expert interpretation. Retain the specified rule family rather than forcing a decision-tree label.</ns0:t>
        </ns0:is>
      </ns0:c>
      <ns0:c r="F138" s="21" t="inlineStr">
        <ns0:is>
          <ns0:t>https://doi.org/10.1177/1460458218824711</ns0:t>
        </ns0:is>
      </ns0:c>
      <ns0:c r="G138" s="21" t="inlineStr">
        <ns0:is>
          <ns0:t>ChatGPT-assisted evidence recharting, 2026-09-08</ns0:t>
        </ns0:is>
      </ns0:c>
    </ns0:row>
    <ns0:row r="139" ht="42" customHeight="1">
      <ns0:c r="A139" s="19" t="inlineStr">
        <ns0:is>
          <ns0:t>23</ns0:t>
        </ns0:is>
      </ns0:c>
      <ns0:c r="B139" s="19" t="inlineStr">
        <ns0:is>
          <ns0:t>rq2_role</ns0:t>
        </ns0:is>
      </ns0:c>
      <ns0:c r="C139" s="19" t="inlineStr"/>
      <ns0:c r="D139" s="19" t="inlineStr">
        <ns0:is>
          <ns0:t>Triage/questionnaire assessment</ns0:t>
        </ns0:is>
      </ns0:c>
      <ns0:c r="E139" s="19" t="inlineStr">
        <ns0:is>
          <ns0:t>Questionnaire-derived datasets support a rule-learning classifier whose rules are intended for domain-expert interpretation. Retain the specified rule family rather than forcing a decision-tree label.</ns0:t>
        </ns0:is>
      </ns0:c>
      <ns0:c r="F139" s="19" t="inlineStr">
        <ns0:is>
          <ns0:t>https://doi.org/10.1177/1460458218824711</ns0:t>
        </ns0:is>
      </ns0:c>
      <ns0:c r="G139" s="19" t="inlineStr">
        <ns0:is>
          <ns0:t>ChatGPT-assisted evidence recharting, 2026-09-08</ns0:t>
        </ns0:is>
      </ns0:c>
    </ns0:row>
    <ns0:row r="140" ht="42" customHeight="1">
      <ns0:c r="A140" s="21" t="inlineStr">
        <ns0:is>
          <ns0:t>23</ns0:t>
        </ns0:is>
      </ns0:c>
      <ns0:c r="B140" s="21" t="inlineStr">
        <ns0:is>
          <ns0:t>decision_timing</ns0:t>
        </ns0:is>
      </ns0:c>
      <ns0:c r="C140" s="21" t="inlineStr"/>
      <ns0:c r="D140" s="21" t="inlineStr">
        <ns0:is>
          <ns0:t>Pre-decision</ns0:t>
        </ns0:is>
      </ns0:c>
      <ns0:c r="E140" s="21" t="inlineStr">
        <ns0:is>
          <ns0:t>Questionnaire-derived datasets support a rule-learning classifier whose rules are intended for domain-expert interpretation. Retain the specified rule family rather than forcing a decision-tree label.</ns0:t>
        </ns0:is>
      </ns0:c>
      <ns0:c r="F140" s="21" t="inlineStr">
        <ns0:is>
          <ns0:t>https://doi.org/10.1177/1460458218824711</ns0:t>
        </ns0:is>
      </ns0:c>
      <ns0:c r="G140" s="21" t="inlineStr">
        <ns0:is>
          <ns0:t>ChatGPT-assisted evidence recharting, 2026-09-08</ns0:t>
        </ns0:is>
      </ns0:c>
    </ns0:row>
    <ns0:row r="141" ht="42" customHeight="1">
      <ns0:c r="A141" s="19" t="inlineStr">
        <ns0:is>
          <ns0:t>23</ns0:t>
        </ns0:is>
      </ns0:c>
      <ns0:c r="B141" s="19" t="inlineStr">
        <ns0:is>
          <ns0:t>xai_partial</ns0:t>
        </ns0:is>
      </ns0:c>
      <ns0:c r="C141" s="19" t="inlineStr">
        <ns0:is>
          <ns0:t>Not reported in assessed sources</ns0:t>
        </ns0:is>
      </ns0:c>
      <ns0:c r="D141" s="19" t="inlineStr">
        <ns0:is>
          <ns0:t>Reported</ns0:t>
        </ns0:is>
      </ns0:c>
      <ns0:c r="E141" s="19" t="inlineStr">
        <ns0:is>
          <ns0:t>Questionnaire-derived datasets support a rule-learning classifier whose rules are intended for domain-expert interpretation. Retain the specified rule family rather than forcing a decision-tree label.</ns0:t>
        </ns0:is>
      </ns0:c>
      <ns0:c r="F141" s="19" t="inlineStr">
        <ns0:is>
          <ns0:t>https://doi.org/10.1177/1460458218824711</ns0:t>
        </ns0:is>
      </ns0:c>
      <ns0:c r="G141" s="19" t="inlineStr">
        <ns0:is>
          <ns0:t>ChatGPT-assisted evidence recharting, 2026-09-08</ns0:t>
        </ns0:is>
      </ns0:c>
    </ns0:row>
    <ns0:row r="142" ht="42" customHeight="1">
      <ns0:c r="A142" s="21" t="inlineStr">
        <ns0:is>
          <ns0:t>24</ns0:t>
        </ns0:is>
      </ns0:c>
      <ns0:c r="B142" s="21" t="inlineStr">
        <ns0:is>
          <ns0:t>data_source_primary</ns0:t>
        </ns0:is>
      </ns0:c>
      <ns0:c r="C142" s="21" t="inlineStr">
        <ns0:is>
          <ns0:t>Audio / voice</ns0:t>
        </ns0:is>
      </ns0:c>
      <ns0:c r="D142" s="21" t="inlineStr">
        <ns0:is>
          <ns0:t>Neuroimaging</ns0:t>
        </ns0:is>
      </ns0:c>
      <ns0:c r="E142" s="21" t="inlineStr">
        <ns0:is>
          <ns0:t>A task-fMRI framework grades contemporaneous ASD severity. Speech stimulation is not voice-data modeling; oversampling and repeated random splits are internal validation only.</ns0:t>
        </ns0:is>
      </ns0:c>
      <ns0:c r="F142" s="21" t="inlineStr">
        <ns0:is>
          <ns0:t>https://doi.org/10.1109/access.2021.3097606</ns0:t>
        </ns0:is>
      </ns0:c>
      <ns0:c r="G142" s="21" t="inlineStr">
        <ns0:is>
          <ns0:t>ChatGPT-assisted evidence recharting, 2026-09-08</ns0:t>
        </ns0:is>
      </ns0:c>
    </ns0:row>
    <ns0:row r="143" ht="42" customHeight="1">
      <ns0:c r="A143" s="19" t="inlineStr">
        <ns0:is>
          <ns0:t>24</ns0:t>
        </ns0:is>
      </ns0:c>
      <ns0:c r="B143" s="19" t="inlineStr">
        <ns0:is>
          <ns0:t>algorithm_main</ns0:t>
        </ns0:is>
      </ns0:c>
      <ns0:c r="C143" s="19" t="inlineStr">
        <ns0:is>
          <ns0:t>Other / Not clear</ns0:t>
        </ns0:is>
      </ns0:c>
      <ns0:c r="D143" s="19" t="inlineStr">
        <ns0:is>
          <ns0:t>Multiple classifiers (primary not specified)</ns0:t>
        </ns0:is>
      </ns0:c>
      <ns0:c r="E143" s="19" t="inlineStr">
        <ns0:is>
          <ns0:t>A task-fMRI framework grades contemporaneous ASD severity. Speech stimulation is not voice-data modeling; oversampling and repeated random splits are internal validation only.</ns0:t>
        </ns0:is>
      </ns0:c>
      <ns0:c r="F143" s="19" t="inlineStr">
        <ns0:is>
          <ns0:t>https://doi.org/10.1109/access.2021.3097606</ns0:t>
        </ns0:is>
      </ns0:c>
      <ns0:c r="G143" s="19" t="inlineStr">
        <ns0:is>
          <ns0:t>ChatGPT-assisted evidence recharting, 2026-09-08</ns0:t>
        </ns0:is>
      </ns0:c>
    </ns0:row>
    <ns0:row r="144" ht="42" customHeight="1">
      <ns0:c r="A144" s="21" t="inlineStr">
        <ns0:is>
          <ns0:t>24</ns0:t>
        </ns0:is>
      </ns0:c>
      <ns0:c r="B144" s="21" t="inlineStr">
        <ns0:is>
          <ns0:t>rq2_status</ns0:t>
        </ns0:is>
      </ns0:c>
      <ns0:c r="C144" s="21" t="inlineStr">
        <ns0:is>
          <ns0:t>Not adjudicated in master</ns0:t>
        </ns0:is>
      </ns0:c>
      <ns0:c r="D144" s="21" t="inlineStr">
        <ns0:is>
          <ns0:t>Proposed only</ns0:t>
        </ns0:is>
      </ns0:c>
      <ns0:c r="E144" s="21" t="inlineStr">
        <ns0:is>
          <ns0:t>A task-fMRI framework grades contemporaneous ASD severity. Speech stimulation is not voice-data modeling; oversampling and repeated random splits are internal validation only.</ns0:t>
        </ns0:is>
      </ns0:c>
      <ns0:c r="F144" s="21" t="inlineStr">
        <ns0:is>
          <ns0:t>https://doi.org/10.1109/access.2021.3097606</ns0:t>
        </ns0:is>
      </ns0:c>
      <ns0:c r="G144" s="21" t="inlineStr">
        <ns0:is>
          <ns0:t>ChatGPT-assisted evidence recharting, 2026-09-08</ns0:t>
        </ns0:is>
      </ns0:c>
    </ns0:row>
    <ns0:row r="145" ht="42" customHeight="1">
      <ns0:c r="A145" s="19" t="inlineStr">
        <ns0:is>
          <ns0:t>24</ns0:t>
        </ns0:is>
      </ns0:c>
      <ns0:c r="B145" s="19" t="inlineStr">
        <ns0:is>
          <ns0:t>rq2_role</ns0:t>
        </ns0:is>
      </ns0:c>
      <ns0:c r="C145" s="19" t="inlineStr"/>
      <ns0:c r="D145" s="19" t="inlineStr">
        <ns0:is>
          <ns0:t>Diagnostic decision support</ns0:t>
        </ns0:is>
      </ns0:c>
      <ns0:c r="E145" s="19" t="inlineStr">
        <ns0:is>
          <ns0:t>A task-fMRI framework grades contemporaneous ASD severity. Speech stimulation is not voice-data modeling; oversampling and repeated random splits are internal validation only.</ns0:t>
        </ns0:is>
      </ns0:c>
      <ns0:c r="F145" s="19" t="inlineStr">
        <ns0:is>
          <ns0:t>https://doi.org/10.1109/access.2021.3097606</ns0:t>
        </ns0:is>
      </ns0:c>
      <ns0:c r="G145" s="19" t="inlineStr">
        <ns0:is>
          <ns0:t>ChatGPT-assisted evidence recharting, 2026-09-08</ns0:t>
        </ns0:is>
      </ns0:c>
    </ns0:row>
    <ns0:row r="146" ht="42" customHeight="1">
      <ns0:c r="A146" s="21" t="inlineStr">
        <ns0:is>
          <ns0:t>24</ns0:t>
        </ns0:is>
      </ns0:c>
      <ns0:c r="B146" s="21" t="inlineStr">
        <ns0:is>
          <ns0:t>decision_timing</ns0:t>
        </ns0:is>
      </ns0:c>
      <ns0:c r="C146" s="21" t="inlineStr"/>
      <ns0:c r="D146" s="21" t="inlineStr">
        <ns0:is>
          <ns0:t>In-decision</ns0:t>
        </ns0:is>
      </ns0:c>
      <ns0:c r="E146" s="21" t="inlineStr">
        <ns0:is>
          <ns0:t>A task-fMRI framework grades contemporaneous ASD severity. Speech stimulation is not voice-data modeling; oversampling and repeated random splits are internal validation only.</ns0:t>
        </ns0:is>
      </ns0:c>
      <ns0:c r="F146" s="21" t="inlineStr">
        <ns0:is>
          <ns0:t>https://doi.org/10.1109/access.2021.3097606</ns0:t>
        </ns0:is>
      </ns0:c>
      <ns0:c r="G146" s="21" t="inlineStr">
        <ns0:is>
          <ns0:t>ChatGPT-assisted evidence recharting, 2026-09-08</ns0:t>
        </ns0:is>
      </ns0:c>
    </ns0:row>
    <ns0:row r="147" ht="42" customHeight="1">
      <ns0:c r="A147" s="19" t="inlineStr">
        <ns0:is>
          <ns0:t>26</ns0:t>
        </ns0:is>
      </ns0:c>
      <ns0:c r="B147" s="19" t="inlineStr">
        <ns0:is>
          <ns0:t>eligibility</ns0:t>
        </ns0:is>
      </ns0:c>
      <ns0:c r="C147" s="19" t="inlineStr">
        <ns0:is>
          <ns0:t>Include</ns0:t>
        </ns0:is>
      </ns0:c>
      <ns0:c r="D147" s="19" t="inlineStr">
        <ns0:is>
          <ns0:t>Exclude</ns0:t>
        </ns0:is>
      </ns0:c>
      <ns0:c r="E147" s="19" t="inlineStr">
        <ns0:is>
          <ns0:t>The publication identifies itself as a survey of machine-learning techniques and prior reported performance rather than an original empirical ASD model evaluation.</ns0:t>
        </ns0:is>
      </ns0:c>
      <ns0:c r="F147" s="19" t="inlineStr">
        <ns0:is>
          <ns0:t>https://link.springer.com/chapter/10.1007/978-3-031-23683-9_12</ns0:t>
        </ns0:is>
      </ns0:c>
      <ns0:c r="G147" s="19" t="inlineStr">
        <ns0:is>
          <ns0:t>ChatGPT-assisted evidence recharting, 2026-09-08</ns0:t>
        </ns0:is>
      </ns0:c>
    </ns0:row>
    <ns0:row r="148" ht="42" customHeight="1">
      <ns0:c r="A148" s="21" t="inlineStr">
        <ns0:is>
          <ns0:t>26</ns0:t>
        </ns0:is>
      </ns0:c>
      <ns0:c r="B148" s="21" t="inlineStr">
        <ns0:is>
          <ns0:t>stage_primary</ns0:t>
        </ns0:is>
      </ns0:c>
      <ns0:c r="C148" s="21" t="inlineStr">
        <ns0:is>
          <ns0:t>Diagnosis</ns0:t>
        </ns0:is>
      </ns0:c>
      <ns0:c r="D148" s="21" t="inlineStr">
        <ns0:is>
          <ns0:t>Excluded</ns0:t>
        </ns0:is>
      </ns0:c>
      <ns0:c r="E148" s="21" t="inlineStr">
        <ns0:is>
          <ns0:t>The publication identifies itself as a survey of machine-learning techniques and prior reported performance rather than an original empirical ASD model evaluation.</ns0:t>
        </ns0:is>
      </ns0:c>
      <ns0:c r="F148" s="21" t="inlineStr">
        <ns0:is>
          <ns0:t>https://link.springer.com/chapter/10.1007/978-3-031-23683-9_12</ns0:t>
        </ns0:is>
      </ns0:c>
      <ns0:c r="G148" s="21" t="inlineStr">
        <ns0:is>
          <ns0:t>ChatGPT-assisted evidence recharting, 2026-09-08</ns0:t>
        </ns0:is>
      </ns0:c>
    </ns0:row>
    <ns0:row r="149" ht="42" customHeight="1">
      <ns0:c r="A149" s="19" t="inlineStr">
        <ns0:is>
          <ns0:t>26</ns0:t>
        </ns0:is>
      </ns0:c>
      <ns0:c r="B149" s="19" t="inlineStr">
        <ns0:is>
          <ns0:t>ai_type</ns0:t>
        </ns0:is>
      </ns0:c>
      <ns0:c r="C149" s="19" t="inlineStr">
        <ns0:is>
          <ns0:t>Machine Learning</ns0:t>
        </ns0:is>
      </ns0:c>
      <ns0:c r="D149" s="19" t="inlineStr">
        <ns0:is>
          <ns0:t>Excluded</ns0:t>
        </ns0:is>
      </ns0:c>
      <ns0:c r="E149" s="19" t="inlineStr">
        <ns0:is>
          <ns0:t>The publication identifies itself as a survey of machine-learning techniques and prior reported performance rather than an original empirical ASD model evaluation.</ns0:t>
        </ns0:is>
      </ns0:c>
      <ns0:c r="F149" s="19" t="inlineStr">
        <ns0:is>
          <ns0:t>https://link.springer.com/chapter/10.1007/978-3-031-23683-9_12</ns0:t>
        </ns0:is>
      </ns0:c>
      <ns0:c r="G149" s="19" t="inlineStr">
        <ns0:is>
          <ns0:t>ChatGPT-assisted evidence recharting, 2026-09-08</ns0:t>
        </ns0:is>
      </ns0:c>
    </ns0:row>
    <ns0:row r="150" ht="42" customHeight="1">
      <ns0:c r="A150" s="21" t="inlineStr">
        <ns0:is>
          <ns0:t>26</ns0:t>
        </ns0:is>
      </ns0:c>
      <ns0:c r="B150" s="21" t="inlineStr">
        <ns0:is>
          <ns0:t>data_source_primary</ns0:t>
        </ns0:is>
      </ns0:c>
      <ns0:c r="C150" s="21" t="inlineStr">
        <ns0:is>
          <ns0:t>Not specified</ns0:t>
        </ns0:is>
      </ns0:c>
      <ns0:c r="D150" s="21" t="inlineStr">
        <ns0:is>
          <ns0:t>Excluded</ns0:t>
        </ns0:is>
      </ns0:c>
      <ns0:c r="E150" s="21" t="inlineStr">
        <ns0:is>
          <ns0:t>The publication identifies itself as a survey of machine-learning techniques and prior reported performance rather than an original empirical ASD model evaluation.</ns0:t>
        </ns0:is>
      </ns0:c>
      <ns0:c r="F150" s="21" t="inlineStr">
        <ns0:is>
          <ns0:t>https://link.springer.com/chapter/10.1007/978-3-031-23683-9_12</ns0:t>
        </ns0:is>
      </ns0:c>
      <ns0:c r="G150" s="21" t="inlineStr">
        <ns0:is>
          <ns0:t>ChatGPT-assisted evidence recharting, 2026-09-08</ns0:t>
        </ns0:is>
      </ns0:c>
    </ns0:row>
    <ns0:row r="151" ht="42" customHeight="1">
      <ns0:c r="A151" s="19" t="inlineStr">
        <ns0:is>
          <ns0:t>26</ns0:t>
        </ns0:is>
      </ns0:c>
      <ns0:c r="B151" s="19" t="inlineStr">
        <ns0:is>
          <ns0:t>algorithm_main</ns0:t>
        </ns0:is>
      </ns0:c>
      <ns0:c r="C151" s="19" t="inlineStr"/>
      <ns0:c r="D151" s="19" t="inlineStr">
        <ns0:is>
          <ns0:t>Not specified</ns0:t>
        </ns0:is>
      </ns0:c>
      <ns0:c r="E151" s="19" t="inlineStr">
        <ns0:is>
          <ns0:t>The publication identifies itself as a survey of machine-learning techniques and prior reported performance rather than an original empirical ASD model evaluation.</ns0:t>
        </ns0:is>
      </ns0:c>
      <ns0:c r="F151" s="19" t="inlineStr">
        <ns0:is>
          <ns0:t>https://link.springer.com/chapter/10.1007/978-3-031-23683-9_12</ns0:t>
        </ns0:is>
      </ns0:c>
      <ns0:c r="G151" s="19" t="inlineStr">
        <ns0:is>
          <ns0:t>ChatGPT-assisted evidence recharting, 2026-09-08</ns0:t>
        </ns0:is>
      </ns0:c>
    </ns0:row>
    <ns0:row r="152" ht="42" customHeight="1">
      <ns0:c r="A152" s="21" t="inlineStr">
        <ns0:is>
          <ns0:t>26</ns0:t>
        </ns0:is>
      </ns0:c>
      <ns0:c r="B152" s="21" t="inlineStr">
        <ns0:is>
          <ns0:t>rq2_status</ns0:t>
        </ns0:is>
      </ns0:c>
      <ns0:c r="C152" s="21" t="inlineStr">
        <ns0:is>
          <ns0:t>Not adjudicated in master</ns0:t>
        </ns0:is>
      </ns0:c>
      <ns0:c r="D152" s="21" t="inlineStr">
        <ns0:is>
          <ns0:t>Excluded</ns0:t>
        </ns0:is>
      </ns0:c>
      <ns0:c r="E152" s="21" t="inlineStr">
        <ns0:is>
          <ns0:t>The publication identifies itself as a survey of machine-learning techniques and prior reported performance rather than an original empirical ASD model evaluation.</ns0:t>
        </ns0:is>
      </ns0:c>
      <ns0:c r="F152" s="21" t="inlineStr">
        <ns0:is>
          <ns0:t>https://link.springer.com/chapter/10.1007/978-3-031-23683-9_12</ns0:t>
        </ns0:is>
      </ns0:c>
      <ns0:c r="G152" s="21" t="inlineStr">
        <ns0:is>
          <ns0:t>ChatGPT-assisted evidence recharting, 2026-09-08</ns0:t>
        </ns0:is>
      </ns0:c>
    </ns0:row>
    <ns0:row r="153" ht="42" customHeight="1">
      <ns0:c r="A153" s="19" t="inlineStr">
        <ns0:is>
          <ns0:t>26</ns0:t>
        </ns0:is>
      </ns0:c>
      <ns0:c r="B153" s="19" t="inlineStr">
        <ns0:is>
          <ns0:t>rq2_role</ns0:t>
        </ns0:is>
      </ns0:c>
      <ns0:c r="C153" s="19" t="inlineStr"/>
      <ns0:c r="D153" s="19" t="inlineStr">
        <ns0:is>
          <ns0:t>Excluded</ns0:t>
        </ns0:is>
      </ns0:c>
      <ns0:c r="E153" s="19" t="inlineStr">
        <ns0:is>
          <ns0:t>The publication identifies itself as a survey of machine-learning techniques and prior reported performance rather than an original empirical ASD model evaluation.</ns0:t>
        </ns0:is>
      </ns0:c>
      <ns0:c r="F153" s="19" t="inlineStr">
        <ns0:is>
          <ns0:t>https://link.springer.com/chapter/10.1007/978-3-031-23683-9_12</ns0:t>
        </ns0:is>
      </ns0:c>
      <ns0:c r="G153" s="19" t="inlineStr">
        <ns0:is>
          <ns0:t>ChatGPT-assisted evidence recharting, 2026-09-08</ns0:t>
        </ns0:is>
      </ns0:c>
    </ns0:row>
    <ns0:row r="154" ht="42" customHeight="1">
      <ns0:c r="A154" s="21" t="inlineStr">
        <ns0:is>
          <ns0:t>26</ns0:t>
        </ns0:is>
      </ns0:c>
      <ns0:c r="B154" s="21" t="inlineStr">
        <ns0:is>
          <ns0:t>decision_timing</ns0:t>
        </ns0:is>
      </ns0:c>
      <ns0:c r="C154" s="21" t="inlineStr"/>
      <ns0:c r="D154" s="21" t="inlineStr">
        <ns0:is>
          <ns0:t>Not applicable - excluded</ns0:t>
        </ns0:is>
      </ns0:c>
      <ns0:c r="E154" s="21" t="inlineStr">
        <ns0:is>
          <ns0:t>The publication identifies itself as a survey of machine-learning techniques and prior reported performance rather than an original empirical ASD model evaluation.</ns0:t>
        </ns0:is>
      </ns0:c>
      <ns0:c r="F154" s="21" t="inlineStr">
        <ns0:is>
          <ns0:t>https://link.springer.com/chapter/10.1007/978-3-031-23683-9_12</ns0:t>
        </ns0:is>
      </ns0:c>
      <ns0:c r="G154" s="21" t="inlineStr">
        <ns0:is>
          <ns0:t>ChatGPT-assisted evidence recharting, 2026-09-08</ns0:t>
        </ns0:is>
      </ns0:c>
    </ns0:row>
    <ns0:row r="155" ht="42" customHeight="1">
      <ns0:c r="A155" s="19" t="inlineStr">
        <ns0:is>
          <ns0:t>27</ns0:t>
        </ns0:is>
      </ns0:c>
      <ns0:c r="B155" s="19" t="inlineStr">
        <ns0:is>
          <ns0:t>ai_type</ns0:t>
        </ns0:is>
      </ns0:c>
      <ns0:c r="C155" s="19" t="inlineStr">
        <ns0:is>
          <ns0:t>Deep Learning</ns0:t>
        </ns0:is>
      </ns0:c>
      <ns0:c r="D155" s="19" t="inlineStr">
        <ns0:is>
          <ns0:t>Not specified</ns0:t>
        </ns0:is>
      </ns0:c>
      <ns0:c r="E155" s="19" t="inlineStr">
        <ns0:is>
          <ns0:t>Saliency4ASD eye-movement features are evaluated with several ML/DL models. The assessed material does not identify one primary model; comparison alone does not establish a hybrid architecture.</ns0:t>
        </ns0:is>
      </ns0:c>
      <ns0:c r="F155" s="19" t="inlineStr">
        <ns0:is>
          <ns0:t>https://doi.org/10.1016/j.health.2025.100409</ns0:t>
        </ns0:is>
      </ns0:c>
      <ns0:c r="G155" s="19" t="inlineStr">
        <ns0:is>
          <ns0:t>ChatGPT-assisted evidence recharting, 2026-09-08</ns0:t>
        </ns0:is>
      </ns0:c>
    </ns0:row>
    <ns0:row r="156" ht="42" customHeight="1">
      <ns0:c r="A156" s="21" t="inlineStr">
        <ns0:is>
          <ns0:t>27</ns0:t>
        </ns0:is>
      </ns0:c>
      <ns0:c r="B156" s="21" t="inlineStr">
        <ns0:is>
          <ns0:t>data_source_primary</ns0:t>
        </ns0:is>
      </ns0:c>
      <ns0:c r="C156" s="21" t="inlineStr">
        <ns0:is>
          <ns0:t>Physiological signals</ns0:t>
        </ns0:is>
      </ns0:c>
      <ns0:c r="D156" s="21" t="inlineStr">
        <ns0:is>
          <ns0:t>Behavioral images/video/gaze/movement</ns0:t>
        </ns0:is>
      </ns0:c>
      <ns0:c r="E156" s="21" t="inlineStr">
        <ns0:is>
          <ns0:t>Saliency4ASD eye-movement features are evaluated with several ML/DL models. The assessed material does not identify one primary model; comparison alone does not establish a hybrid architecture.</ns0:t>
        </ns0:is>
      </ns0:c>
      <ns0:c r="F156" s="21" t="inlineStr">
        <ns0:is>
          <ns0:t>https://doi.org/10.1016/j.health.2025.100409</ns0:t>
        </ns0:is>
      </ns0:c>
      <ns0:c r="G156" s="21" t="inlineStr">
        <ns0:is>
          <ns0:t>ChatGPT-assisted evidence recharting, 2026-09-08</ns0:t>
        </ns0:is>
      </ns0:c>
    </ns0:row>
    <ns0:row r="157" ht="42" customHeight="1">
      <ns0:c r="A157" s="19" t="inlineStr">
        <ns0:is>
          <ns0:t>27</ns0:t>
        </ns0:is>
      </ns0:c>
      <ns0:c r="B157" s="19" t="inlineStr">
        <ns0:is>
          <ns0:t>algorithm_main</ns0:t>
        </ns0:is>
      </ns0:c>
      <ns0:c r="C157" s="19" t="inlineStr">
        <ns0:is>
          <ns0:t>MLP</ns0:t>
        </ns0:is>
      </ns0:c>
      <ns0:c r="D157" s="19" t="inlineStr">
        <ns0:is>
          <ns0:t>Multiple ML/DL models (primary not specified)</ns0:t>
        </ns0:is>
      </ns0:c>
      <ns0:c r="E157" s="19" t="inlineStr">
        <ns0:is>
          <ns0:t>Saliency4ASD eye-movement features are evaluated with several ML/DL models. The assessed material does not identify one primary model; comparison alone does not establish a hybrid architecture.</ns0:t>
        </ns0:is>
      </ns0:c>
      <ns0:c r="F157" s="19" t="inlineStr">
        <ns0:is>
          <ns0:t>https://doi.org/10.1016/j.health.2025.100409</ns0:t>
        </ns0:is>
      </ns0:c>
      <ns0:c r="G157" s="19" t="inlineStr">
        <ns0:is>
          <ns0:t>ChatGPT-assisted evidence recharting, 2026-09-08</ns0:t>
        </ns0:is>
      </ns0:c>
    </ns0:row>
    <ns0:row r="158" ht="42" customHeight="1">
      <ns0:c r="A158" s="21" t="inlineStr">
        <ns0:is>
          <ns0:t>27</ns0:t>
        </ns0:is>
      </ns0:c>
      <ns0:c r="B158" s="21" t="inlineStr">
        <ns0:is>
          <ns0:t>rq2_status</ns0:t>
        </ns0:is>
      </ns0:c>
      <ns0:c r="C158" s="21" t="inlineStr">
        <ns0:is>
          <ns0:t>Not adjudicated in master</ns0:t>
        </ns0:is>
      </ns0:c>
      <ns0:c r="D158" s="21" t="inlineStr">
        <ns0:is>
          <ns0:t>Research only</ns0:t>
        </ns0:is>
      </ns0:c>
      <ns0:c r="E158" s="21" t="inlineStr">
        <ns0:is>
          <ns0:t>Saliency4ASD eye-movement features are evaluated with several ML/DL models. The assessed material does not identify one primary model; comparison alone does not establish a hybrid architecture.</ns0:t>
        </ns0:is>
      </ns0:c>
      <ns0:c r="F158" s="21" t="inlineStr">
        <ns0:is>
          <ns0:t>https://doi.org/10.1016/j.health.2025.100409</ns0:t>
        </ns0:is>
      </ns0:c>
      <ns0:c r="G158" s="21" t="inlineStr">
        <ns0:is>
          <ns0:t>ChatGPT-assisted evidence recharting, 2026-09-08</ns0:t>
        </ns0:is>
      </ns0:c>
    </ns0:row>
    <ns0:row r="159" ht="42" customHeight="1">
      <ns0:c r="A159" s="19" t="inlineStr">
        <ns0:is>
          <ns0:t>27</ns0:t>
        </ns0:is>
      </ns0:c>
      <ns0:c r="B159" s="19" t="inlineStr">
        <ns0:is>
          <ns0:t>rq2_role</ns0:t>
        </ns0:is>
      </ns0:c>
      <ns0:c r="C159" s="19" t="inlineStr"/>
      <ns0:c r="D159" s="19" t="inlineStr">
        <ns0:is>
          <ns0:t>Triage/questionnaire assessment</ns0:t>
        </ns0:is>
      </ns0:c>
      <ns0:c r="E159" s="19" t="inlineStr">
        <ns0:is>
          <ns0:t>Saliency4ASD eye-movement features are evaluated with several ML/DL models. The assessed material does not identify one primary model; comparison alone does not establish a hybrid architecture.</ns0:t>
        </ns0:is>
      </ns0:c>
      <ns0:c r="F159" s="19" t="inlineStr">
        <ns0:is>
          <ns0:t>https://doi.org/10.1016/j.health.2025.100409</ns0:t>
        </ns0:is>
      </ns0:c>
      <ns0:c r="G159" s="19" t="inlineStr">
        <ns0:is>
          <ns0:t>ChatGPT-assisted evidence recharting, 2026-09-08</ns0:t>
        </ns0:is>
      </ns0:c>
    </ns0:row>
    <ns0:row r="160" ht="42" customHeight="1">
      <ns0:c r="A160" s="21" t="inlineStr">
        <ns0:is>
          <ns0:t>27</ns0:t>
        </ns0:is>
      </ns0:c>
      <ns0:c r="B160" s="21" t="inlineStr">
        <ns0:is>
          <ns0:t>decision_timing</ns0:t>
        </ns0:is>
      </ns0:c>
      <ns0:c r="C160" s="21" t="inlineStr"/>
      <ns0:c r="D160" s="21" t="inlineStr">
        <ns0:is>
          <ns0:t>Not observed in assessed sources</ns0:t>
        </ns0:is>
      </ns0:c>
      <ns0:c r="E160" s="21" t="inlineStr">
        <ns0:is>
          <ns0:t>Saliency4ASD eye-movement features are evaluated with several ML/DL models. The assessed material does not identify one primary model; comparison alone does not establish a hybrid architecture.</ns0:t>
        </ns0:is>
      </ns0:c>
      <ns0:c r="F160" s="21" t="inlineStr">
        <ns0:is>
          <ns0:t>https://doi.org/10.1016/j.health.2025.100409</ns0:t>
        </ns0:is>
      </ns0:c>
      <ns0:c r="G160" s="21" t="inlineStr">
        <ns0:is>
          <ns0:t>ChatGPT-assisted evidence recharting, 2026-09-08</ns0:t>
        </ns0:is>
      </ns0:c>
    </ns0:row>
    <ns0:row r="161" ht="42" customHeight="1">
      <ns0:c r="A161" s="19" t="inlineStr">
        <ns0:is>
          <ns0:t>28</ns0:t>
        </ns0:is>
      </ns0:c>
      <ns0:c r="B161" s="19" t="inlineStr">
        <ns0:is>
          <ns0:t>stage_primary</ns0:t>
        </ns0:is>
      </ns0:c>
      <ns0:c r="C161" s="19" t="inlineStr">
        <ns0:is>
          <ns0:t>Diagnosis</ns0:t>
        </ns0:is>
      </ns0:c>
      <ns0:c r="D161" s="19" t="inlineStr">
        <ns0:is>
          <ns0:t>Screening</ns0:t>
        </ns0:is>
      </ns0:c>
      <ns0:c r="E161" s="19" t="inlineStr">
        <ns0:is>
          <ns0:t>Public age-specific screening datasets are analyzed with classification and clustering. The proposed ANN is emphasized for the pooled dataset; no prospective diagnostic use is shown.</ns0:t>
        </ns0:is>
      </ns0:c>
      <ns0:c r="F161" s="19" t="inlineStr">
        <ns0:is>
          <ns0:t>https://doi.org/10.1016/j.health.2023.100293</ns0:t>
        </ns0:is>
      </ns0:c>
      <ns0:c r="G161" s="19" t="inlineStr">
        <ns0:is>
          <ns0:t>ChatGPT-assisted evidence recharting, 2026-09-08</ns0:t>
        </ns0:is>
      </ns0:c>
    </ns0:row>
    <ns0:row r="162" ht="42" customHeight="1">
      <ns0:c r="A162" s="21" t="inlineStr">
        <ns0:is>
          <ns0:t>28</ns0:t>
        </ns0:is>
      </ns0:c>
      <ns0:c r="B162" s="21" t="inlineStr">
        <ns0:is>
          <ns0:t>data_source_primary</ns0:t>
        </ns0:is>
      </ns0:c>
      <ns0:c r="C162" s="21" t="inlineStr">
        <ns0:is>
          <ns0:t>Not specified</ns0:t>
        </ns0:is>
      </ns0:c>
      <ns0:c r="D162" s="21" t="inlineStr">
        <ns0:is>
          <ns0:t>Structured clinical/questionnaire data</ns0:t>
        </ns0:is>
      </ns0:c>
      <ns0:c r="E162" s="21" t="inlineStr">
        <ns0:is>
          <ns0:t>Public age-specific screening datasets are analyzed with classification and clustering. The proposed ANN is emphasized for the pooled dataset; no prospective diagnostic use is shown.</ns0:t>
        </ns0:is>
      </ns0:c>
      <ns0:c r="F162" s="21" t="inlineStr">
        <ns0:is>
          <ns0:t>https://doi.org/10.1016/j.health.2023.100293</ns0:t>
        </ns0:is>
      </ns0:c>
      <ns0:c r="G162" s="21" t="inlineStr">
        <ns0:is>
          <ns0:t>ChatGPT-assisted evidence recharting, 2026-09-08</ns0:t>
        </ns0:is>
      </ns0:c>
    </ns0:row>
    <ns0:row r="163" ht="42" customHeight="1">
      <ns0:c r="A163" s="19" t="inlineStr">
        <ns0:is>
          <ns0:t>28</ns0:t>
        </ns0:is>
      </ns0:c>
      <ns0:c r="B163" s="19" t="inlineStr">
        <ns0:is>
          <ns0:t>algorithm_main</ns0:t>
        </ns0:is>
      </ns0:c>
      <ns0:c r="C163" s="19" t="inlineStr">
        <ns0:is>
          <ns0:t>SVM</ns0:t>
        </ns0:is>
      </ns0:c>
      <ns0:c r="D163" s="19" t="inlineStr">
        <ns0:is>
          <ns0:t>Neural network (combined dataset); SVM/LR comparators</ns0:t>
        </ns0:is>
      </ns0:c>
      <ns0:c r="E163" s="19" t="inlineStr">
        <ns0:is>
          <ns0:t>Public age-specific screening datasets are analyzed with classification and clustering. The proposed ANN is emphasized for the pooled dataset; no prospective diagnostic use is shown.</ns0:t>
        </ns0:is>
      </ns0:c>
      <ns0:c r="F163" s="19" t="inlineStr">
        <ns0:is>
          <ns0:t>https://doi.org/10.1016/j.health.2023.100293</ns0:t>
        </ns0:is>
      </ns0:c>
      <ns0:c r="G163" s="19" t="inlineStr">
        <ns0:is>
          <ns0:t>ChatGPT-assisted evidence recharting, 2026-09-08</ns0:t>
        </ns0:is>
      </ns0:c>
    </ns0:row>
    <ns0:row r="164" ht="42" customHeight="1">
      <ns0:c r="A164" s="21" t="inlineStr">
        <ns0:is>
          <ns0:t>28</ns0:t>
        </ns0:is>
      </ns0:c>
      <ns0:c r="B164" s="21" t="inlineStr">
        <ns0:is>
          <ns0:t>rq2_status</ns0:t>
        </ns0:is>
      </ns0:c>
      <ns0:c r="C164" s="21" t="inlineStr">
        <ns0:is>
          <ns0:t>Not adjudicated in master</ns0:t>
        </ns0:is>
      </ns0:c>
      <ns0:c r="D164" s="21" t="inlineStr">
        <ns0:is>
          <ns0:t>Research only</ns0:t>
        </ns0:is>
      </ns0:c>
      <ns0:c r="E164" s="21" t="inlineStr">
        <ns0:is>
          <ns0:t>Public age-specific screening datasets are analyzed with classification and clustering. The proposed ANN is emphasized for the pooled dataset; no prospective diagnostic use is shown.</ns0:t>
        </ns0:is>
      </ns0:c>
      <ns0:c r="F164" s="21" t="inlineStr">
        <ns0:is>
          <ns0:t>https://doi.org/10.1016/j.health.2023.100293</ns0:t>
        </ns0:is>
      </ns0:c>
      <ns0:c r="G164" s="21" t="inlineStr">
        <ns0:is>
          <ns0:t>ChatGPT-assisted evidence recharting, 2026-09-08</ns0:t>
        </ns0:is>
      </ns0:c>
    </ns0:row>
    <ns0:row r="165" ht="42" customHeight="1">
      <ns0:c r="A165" s="19" t="inlineStr">
        <ns0:is>
          <ns0:t>28</ns0:t>
        </ns0:is>
      </ns0:c>
      <ns0:c r="B165" s="19" t="inlineStr">
        <ns0:is>
          <ns0:t>rq2_role</ns0:t>
        </ns0:is>
      </ns0:c>
      <ns0:c r="C165" s="19" t="inlineStr"/>
      <ns0:c r="D165" s="19" t="inlineStr">
        <ns0:is>
          <ns0:t>Triage/questionnaire assessment</ns0:t>
        </ns0:is>
      </ns0:c>
      <ns0:c r="E165" s="19" t="inlineStr">
        <ns0:is>
          <ns0:t>Public age-specific screening datasets are analyzed with classification and clustering. The proposed ANN is emphasized for the pooled dataset; no prospective diagnostic use is shown.</ns0:t>
        </ns0:is>
      </ns0:c>
      <ns0:c r="F165" s="19" t="inlineStr">
        <ns0:is>
          <ns0:t>https://doi.org/10.1016/j.health.2023.100293</ns0:t>
        </ns0:is>
      </ns0:c>
      <ns0:c r="G165" s="19" t="inlineStr">
        <ns0:is>
          <ns0:t>ChatGPT-assisted evidence recharting, 2026-09-08</ns0:t>
        </ns0:is>
      </ns0:c>
    </ns0:row>
    <ns0:row r="166" ht="42" customHeight="1">
      <ns0:c r="A166" s="21" t="inlineStr">
        <ns0:is>
          <ns0:t>28</ns0:t>
        </ns0:is>
      </ns0:c>
      <ns0:c r="B166" s="21" t="inlineStr">
        <ns0:is>
          <ns0:t>decision_timing</ns0:t>
        </ns0:is>
      </ns0:c>
      <ns0:c r="C166" s="21" t="inlineStr"/>
      <ns0:c r="D166" s="21" t="inlineStr">
        <ns0:is>
          <ns0:t>Not observed in assessed sources</ns0:t>
        </ns0:is>
      </ns0:c>
      <ns0:c r="E166" s="21" t="inlineStr">
        <ns0:is>
          <ns0:t>Public age-specific screening datasets are analyzed with classification and clustering. The proposed ANN is emphasized for the pooled dataset; no prospective diagnostic use is shown.</ns0:t>
        </ns0:is>
      </ns0:c>
      <ns0:c r="F166" s="21" t="inlineStr">
        <ns0:is>
          <ns0:t>https://doi.org/10.1016/j.health.2023.100293</ns0:t>
        </ns0:is>
      </ns0:c>
      <ns0:c r="G166" s="21" t="inlineStr">
        <ns0:is>
          <ns0:t>ChatGPT-assisted evidence recharting, 2026-09-08</ns0:t>
        </ns0:is>
      </ns0:c>
    </ns0:row>
    <ns0:row r="167" ht="42" customHeight="1">
      <ns0:c r="A167" s="19" t="inlineStr">
        <ns0:is>
          <ns0:t>29</ns0:t>
        </ns0:is>
      </ns0:c>
      <ns0:c r="B167" s="19" t="inlineStr">
        <ns0:is>
          <ns0:t>stage_primary</ns0:t>
        </ns0:is>
      </ns0:c>
      <ns0:c r="C167" s="19" t="inlineStr">
        <ns0:is>
          <ns0:t>Screening</ns0:t>
        </ns0:is>
      </ns0:c>
      <ns0:c r="D167" s="19" t="inlineStr">
        <ns0:is>
          <ns0:t>Diagnosis</ns0:t>
        </ns0:is>
      </ns0:c>
      <ns0:c r="E167" s="19" t="inlineStr">
        <ns0:is>
          <ns0:t>MRI classification uses a vision transformer, residual DenseNet and LSTM in a deep-learning architecture. Combining deep components is not ML/DL hybrid integration.</ns0:t>
        </ns0:is>
      </ns0:c>
      <ns0:c r="F167" s="19" t="inlineStr">
        <ns0:is>
          <ns0:t>https://doi.org/10.1016/j.bspc.2025.107737</ns0:t>
        </ns0:is>
      </ns0:c>
      <ns0:c r="G167" s="19" t="inlineStr">
        <ns0:is>
          <ns0:t>ChatGPT-assisted evidence recharting, 2026-09-08</ns0:t>
        </ns0:is>
      </ns0:c>
    </ns0:row>
    <ns0:row r="168" ht="42" customHeight="1">
      <ns0:c r="A168" s="21" t="inlineStr">
        <ns0:is>
          <ns0:t>29</ns0:t>
        </ns0:is>
      </ns0:c>
      <ns0:c r="B168" s="21" t="inlineStr">
        <ns0:is>
          <ns0:t>data_source_primary</ns0:t>
        </ns0:is>
      </ns0:c>
      <ns0:c r="C168" s="21" t="inlineStr">
        <ns0:is>
          <ns0:t>Image (subtype unresolved)</ns0:t>
        </ns0:is>
      </ns0:c>
      <ns0:c r="D168" s="21" t="inlineStr">
        <ns0:is>
          <ns0:t>Neuroimaging</ns0:t>
        </ns0:is>
      </ns0:c>
      <ns0:c r="E168" s="21" t="inlineStr">
        <ns0:is>
          <ns0:t>MRI classification uses a vision transformer, residual DenseNet and LSTM in a deep-learning architecture. Combining deep components is not ML/DL hybrid integration.</ns0:t>
        </ns0:is>
      </ns0:c>
      <ns0:c r="F168" s="21" t="inlineStr">
        <ns0:is>
          <ns0:t>https://doi.org/10.1016/j.bspc.2025.107737</ns0:t>
        </ns0:is>
      </ns0:c>
      <ns0:c r="G168" s="21" t="inlineStr">
        <ns0:is>
          <ns0:t>ChatGPT-assisted evidence recharting, 2026-09-08</ns0:t>
        </ns0:is>
      </ns0:c>
    </ns0:row>
    <ns0:row r="169" ht="42" customHeight="1">
      <ns0:c r="A169" s="19" t="inlineStr">
        <ns0:is>
          <ns0:t>29</ns0:t>
        </ns0:is>
      </ns0:c>
      <ns0:c r="B169" s="19" t="inlineStr">
        <ns0:is>
          <ns0:t>algorithm_main</ns0:t>
        </ns0:is>
      </ns0:c>
      <ns0:c r="C169" s="19" t="inlineStr">
        <ns0:is>
          <ns0:t>Transformer</ns0:t>
        </ns0:is>
      </ns0:c>
      <ns0:c r="D169" s="19" t="inlineStr">
        <ns0:is>
          <ns0:t>ViT-ARDNet-LSTM</ns0:t>
        </ns0:is>
      </ns0:c>
      <ns0:c r="E169" s="19" t="inlineStr">
        <ns0:is>
          <ns0:t>MRI classification uses a vision transformer, residual DenseNet and LSTM in a deep-learning architecture. Combining deep components is not ML/DL hybrid integration.</ns0:t>
        </ns0:is>
      </ns0:c>
      <ns0:c r="F169" s="19" t="inlineStr">
        <ns0:is>
          <ns0:t>https://doi.org/10.1016/j.bspc.2025.107737</ns0:t>
        </ns0:is>
      </ns0:c>
      <ns0:c r="G169" s="19" t="inlineStr">
        <ns0:is>
          <ns0:t>ChatGPT-assisted evidence recharting, 2026-09-08</ns0:t>
        </ns0:is>
      </ns0:c>
    </ns0:row>
    <ns0:row r="170" ht="42" customHeight="1">
      <ns0:c r="A170" s="21" t="inlineStr">
        <ns0:is>
          <ns0:t>29</ns0:t>
        </ns0:is>
      </ns0:c>
      <ns0:c r="B170" s="21" t="inlineStr">
        <ns0:is>
          <ns0:t>rq2_status</ns0:t>
        </ns0:is>
      </ns0:c>
      <ns0:c r="C170" s="21" t="inlineStr">
        <ns0:is>
          <ns0:t>Not adjudicated in master</ns0:t>
        </ns0:is>
      </ns0:c>
      <ns0:c r="D170" s="21" t="inlineStr">
        <ns0:is>
          <ns0:t>Proposed only</ns0:t>
        </ns0:is>
      </ns0:c>
      <ns0:c r="E170" s="21" t="inlineStr">
        <ns0:is>
          <ns0:t>MRI classification uses a vision transformer, residual DenseNet and LSTM in a deep-learning architecture. Combining deep components is not ML/DL hybrid integration.</ns0:t>
        </ns0:is>
      </ns0:c>
      <ns0:c r="F170" s="21" t="inlineStr">
        <ns0:is>
          <ns0:t>https://doi.org/10.1016/j.bspc.2025.107737</ns0:t>
        </ns0:is>
      </ns0:c>
      <ns0:c r="G170" s="21" t="inlineStr">
        <ns0:is>
          <ns0:t>ChatGPT-assisted evidence recharting, 2026-09-08</ns0:t>
        </ns0:is>
      </ns0:c>
    </ns0:row>
    <ns0:row r="171" ht="42" customHeight="1">
      <ns0:c r="A171" s="19" t="inlineStr">
        <ns0:is>
          <ns0:t>29</ns0:t>
        </ns0:is>
      </ns0:c>
      <ns0:c r="B171" s="19" t="inlineStr">
        <ns0:is>
          <ns0:t>rq2_role</ns0:t>
        </ns0:is>
      </ns0:c>
      <ns0:c r="C171" s="19" t="inlineStr"/>
      <ns0:c r="D171" s="19" t="inlineStr">
        <ns0:is>
          <ns0:t>Diagnostic decision support</ns0:t>
        </ns0:is>
      </ns0:c>
      <ns0:c r="E171" s="19" t="inlineStr">
        <ns0:is>
          <ns0:t>MRI classification uses a vision transformer, residual DenseNet and LSTM in a deep-learning architecture. Combining deep components is not ML/DL hybrid integration.</ns0:t>
        </ns0:is>
      </ns0:c>
      <ns0:c r="F171" s="19" t="inlineStr">
        <ns0:is>
          <ns0:t>https://doi.org/10.1016/j.bspc.2025.107737</ns0:t>
        </ns0:is>
      </ns0:c>
      <ns0:c r="G171" s="19" t="inlineStr">
        <ns0:is>
          <ns0:t>ChatGPT-assisted evidence recharting, 2026-09-08</ns0:t>
        </ns0:is>
      </ns0:c>
    </ns0:row>
    <ns0:row r="172" ht="42" customHeight="1">
      <ns0:c r="A172" s="21" t="inlineStr">
        <ns0:is>
          <ns0:t>29</ns0:t>
        </ns0:is>
      </ns0:c>
      <ns0:c r="B172" s="21" t="inlineStr">
        <ns0:is>
          <ns0:t>decision_timing</ns0:t>
        </ns0:is>
      </ns0:c>
      <ns0:c r="C172" s="21" t="inlineStr"/>
      <ns0:c r="D172" s="21" t="inlineStr">
        <ns0:is>
          <ns0:t>In-decision</ns0:t>
        </ns0:is>
      </ns0:c>
      <ns0:c r="E172" s="21" t="inlineStr">
        <ns0:is>
          <ns0:t>MRI classification uses a vision transformer, residual DenseNet and LSTM in a deep-learning architecture. Combining deep components is not ML/DL hybrid integration.</ns0:t>
        </ns0:is>
      </ns0:c>
      <ns0:c r="F172" s="21" t="inlineStr">
        <ns0:is>
          <ns0:t>https://doi.org/10.1016/j.bspc.2025.107737</ns0:t>
        </ns0:is>
      </ns0:c>
      <ns0:c r="G172" s="21" t="inlineStr">
        <ns0:is>
          <ns0:t>ChatGPT-assisted evidence recharting, 2026-09-08</ns0:t>
        </ns0:is>
      </ns0:c>
    </ns0:row>
    <ns0:row r="173" ht="42" customHeight="1">
      <ns0:c r="A173" s="19" t="inlineStr">
        <ns0:is>
          <ns0:t>30</ns0:t>
        </ns0:is>
      </ns0:c>
      <ns0:c r="B173" s="19" t="inlineStr">
        <ns0:is>
          <ns0:t>ai_type</ns0:t>
        </ns0:is>
      </ns0:c>
      <ns0:c r="C173" s="19" t="inlineStr">
        <ns0:is>
          <ns0:t>Hybrid</ns0:t>
        </ns0:is>
      </ns0:c>
      <ns0:c r="D173" s="19" t="inlineStr">
        <ns0:is>
          <ns0:t>Deep Learning</ns0:t>
        </ns0:is>
      </ns0:c>
      <ns0:c r="E173" s="19" t="inlineStr">
        <ns0:is>
          <ns0:t>Three public tabular screening datasets are evaluated. CNN is the reported best-performing model; evaluating conventional ML baselines does not make this a hybrid model.</ns0:t>
        </ns0:is>
      </ns0:c>
      <ns0:c r="F173" s="19" t="inlineStr">
        <ns0:is>
          <ns0:t>https://doi.org/10.1016/j.procs.2020.03.399</ns0:t>
        </ns0:is>
      </ns0:c>
      <ns0:c r="G173" s="19" t="inlineStr">
        <ns0:is>
          <ns0:t>ChatGPT-assisted evidence recharting, 2026-09-08</ns0:t>
        </ns0:is>
      </ns0:c>
    </ns0:row>
    <ns0:row r="174" ht="42" customHeight="1">
      <ns0:c r="A174" s="21" t="inlineStr">
        <ns0:is>
          <ns0:t>30</ns0:t>
        </ns0:is>
      </ns0:c>
      <ns0:c r="B174" s="21" t="inlineStr">
        <ns0:is>
          <ns0:t>data_source_primary</ns0:t>
        </ns0:is>
      </ns0:c>
      <ns0:c r="C174" s="21" t="inlineStr">
        <ns0:is>
          <ns0:t>Not specified</ns0:t>
        </ns0:is>
      </ns0:c>
      <ns0:c r="D174" s="21" t="inlineStr">
        <ns0:is>
          <ns0:t>Structured clinical/questionnaire data</ns0:t>
        </ns0:is>
      </ns0:c>
      <ns0:c r="E174" s="21" t="inlineStr">
        <ns0:is>
          <ns0:t>Three public tabular screening datasets are evaluated. CNN is the reported best-performing model; evaluating conventional ML baselines does not make this a hybrid model.</ns0:t>
        </ns0:is>
      </ns0:c>
      <ns0:c r="F174" s="21" t="inlineStr">
        <ns0:is>
          <ns0:t>https://doi.org/10.1016/j.procs.2020.03.399</ns0:t>
        </ns0:is>
      </ns0:c>
      <ns0:c r="G174" s="21" t="inlineStr">
        <ns0:is>
          <ns0:t>ChatGPT-assisted evidence recharting, 2026-09-08</ns0:t>
        </ns0:is>
      </ns0:c>
    </ns0:row>
    <ns0:row r="175" ht="42" customHeight="1">
      <ns0:c r="A175" s="19" t="inlineStr">
        <ns0:is>
          <ns0:t>30</ns0:t>
        </ns0:is>
      </ns0:c>
      <ns0:c r="B175" s="19" t="inlineStr">
        <ns0:is>
          <ns0:t>rq2_status</ns0:t>
        </ns0:is>
      </ns0:c>
      <ns0:c r="C175" s="19" t="inlineStr">
        <ns0:is>
          <ns0:t>Not adjudicated in master</ns0:t>
        </ns0:is>
      </ns0:c>
      <ns0:c r="D175" s="19" t="inlineStr">
        <ns0:is>
          <ns0:t>Research only</ns0:t>
        </ns0:is>
      </ns0:c>
      <ns0:c r="E175" s="19" t="inlineStr">
        <ns0:is>
          <ns0:t>Three public tabular screening datasets are evaluated. CNN is the reported best-performing model; evaluating conventional ML baselines does not make this a hybrid model.</ns0:t>
        </ns0:is>
      </ns0:c>
      <ns0:c r="F175" s="19" t="inlineStr">
        <ns0:is>
          <ns0:t>https://doi.org/10.1016/j.procs.2020.03.399</ns0:t>
        </ns0:is>
      </ns0:c>
      <ns0:c r="G175" s="19" t="inlineStr">
        <ns0:is>
          <ns0:t>ChatGPT-assisted evidence recharting, 2026-09-08</ns0:t>
        </ns0:is>
      </ns0:c>
    </ns0:row>
    <ns0:row r="176" ht="42" customHeight="1">
      <ns0:c r="A176" s="21" t="inlineStr">
        <ns0:is>
          <ns0:t>30</ns0:t>
        </ns0:is>
      </ns0:c>
      <ns0:c r="B176" s="21" t="inlineStr">
        <ns0:is>
          <ns0:t>rq2_role</ns0:t>
        </ns0:is>
      </ns0:c>
      <ns0:c r="C176" s="21" t="inlineStr"/>
      <ns0:c r="D176" s="21" t="inlineStr">
        <ns0:is>
          <ns0:t>Triage/questionnaire assessment</ns0:t>
        </ns0:is>
      </ns0:c>
      <ns0:c r="E176" s="21" t="inlineStr">
        <ns0:is>
          <ns0:t>Three public tabular screening datasets are evaluated. CNN is the reported best-performing model; evaluating conventional ML baselines does not make this a hybrid model.</ns0:t>
        </ns0:is>
      </ns0:c>
      <ns0:c r="F176" s="21" t="inlineStr">
        <ns0:is>
          <ns0:t>https://doi.org/10.1016/j.procs.2020.03.399</ns0:t>
        </ns0:is>
      </ns0:c>
      <ns0:c r="G176" s="21" t="inlineStr">
        <ns0:is>
          <ns0:t>ChatGPT-assisted evidence recharting, 2026-09-08</ns0:t>
        </ns0:is>
      </ns0:c>
    </ns0:row>
    <ns0:row r="177" ht="42" customHeight="1">
      <ns0:c r="A177" s="19" t="inlineStr">
        <ns0:is>
          <ns0:t>30</ns0:t>
        </ns0:is>
      </ns0:c>
      <ns0:c r="B177" s="19" t="inlineStr">
        <ns0:is>
          <ns0:t>decision_timing</ns0:t>
        </ns0:is>
      </ns0:c>
      <ns0:c r="C177" s="19" t="inlineStr"/>
      <ns0:c r="D177" s="19" t="inlineStr">
        <ns0:is>
          <ns0:t>Not observed in assessed sources</ns0:t>
        </ns0:is>
      </ns0:c>
      <ns0:c r="E177" s="19" t="inlineStr">
        <ns0:is>
          <ns0:t>Three public tabular screening datasets are evaluated. CNN is the reported best-performing model; evaluating conventional ML baselines does not make this a hybrid model.</ns0:t>
        </ns0:is>
      </ns0:c>
      <ns0:c r="F177" s="19" t="inlineStr">
        <ns0:is>
          <ns0:t>https://doi.org/10.1016/j.procs.2020.03.399</ns0:t>
        </ns0:is>
      </ns0:c>
      <ns0:c r="G177" s="19" t="inlineStr">
        <ns0:is>
          <ns0:t>ChatGPT-assisted evidence recharting, 2026-09-08</ns0:t>
        </ns0:is>
      </ns0:c>
    </ns0:row>
    <ns0:row r="178" ht="42" customHeight="1">
      <ns0:c r="A178" s="21" t="inlineStr">
        <ns0:is>
          <ns0:t>31</ns0:t>
        </ns0:is>
      </ns0:c>
      <ns0:c r="B178" s="21" t="inlineStr">
        <ns0:is>
          <ns0:t>stage_primary</ns0:t>
        </ns0:is>
      </ns0:c>
      <ns0:c r="C178" s="21" t="inlineStr">
        <ns0:is>
          <ns0:t>Diagnosis</ns0:t>
        </ns0:is>
      </ns0:c>
      <ns0:c r="D178" s="21" t="inlineStr">
        <ns0:is>
          <ns0:t>Screening</ns0:t>
        </ns0:is>
      </ns0:c>
      <ns0:c r="E178" s="21" t="inlineStr">
        <ns0:is>
          <ns0:t>A UCI child screening dataset is classified using a DNN. The word diagnosis does not demonstrate specialist diagnostic workflow use.</ns0:t>
        </ns0:is>
      </ns0:c>
      <ns0:c r="F178" s="21" t="inlineStr">
        <ns0:is>
          <ns0:t>https://doi.org/10.1016/j.gltp.2021.08.042</ns0:t>
        </ns0:is>
      </ns0:c>
      <ns0:c r="G178" s="21" t="inlineStr">
        <ns0:is>
          <ns0:t>ChatGPT-assisted evidence recharting, 2026-09-08</ns0:t>
        </ns0:is>
      </ns0:c>
    </ns0:row>
    <ns0:row r="179" ht="42" customHeight="1">
      <ns0:c r="A179" s="19" t="inlineStr">
        <ns0:is>
          <ns0:t>31</ns0:t>
        </ns0:is>
      </ns0:c>
      <ns0:c r="B179" s="19" t="inlineStr">
        <ns0:is>
          <ns0:t>data_source_primary</ns0:t>
        </ns0:is>
      </ns0:c>
      <ns0:c r="C179" s="19" t="inlineStr">
        <ns0:is>
          <ns0:t>Not specified</ns0:t>
        </ns0:is>
      </ns0:c>
      <ns0:c r="D179" s="19" t="inlineStr">
        <ns0:is>
          <ns0:t>Structured clinical/questionnaire data</ns0:t>
        </ns0:is>
      </ns0:c>
      <ns0:c r="E179" s="19" t="inlineStr">
        <ns0:is>
          <ns0:t>A UCI child screening dataset is classified using a DNN. The word diagnosis does not demonstrate specialist diagnostic workflow use.</ns0:t>
        </ns0:is>
      </ns0:c>
      <ns0:c r="F179" s="19" t="inlineStr">
        <ns0:is>
          <ns0:t>https://doi.org/10.1016/j.gltp.2021.08.042</ns0:t>
        </ns0:is>
      </ns0:c>
      <ns0:c r="G179" s="19" t="inlineStr">
        <ns0:is>
          <ns0:t>ChatGPT-assisted evidence recharting, 2026-09-08</ns0:t>
        </ns0:is>
      </ns0:c>
    </ns0:row>
    <ns0:row r="180" ht="42" customHeight="1">
      <ns0:c r="A180" s="21" t="inlineStr">
        <ns0:is>
          <ns0:t>31</ns0:t>
        </ns0:is>
      </ns0:c>
      <ns0:c r="B180" s="21" t="inlineStr">
        <ns0:is>
          <ns0:t>algorithm_main</ns0:t>
        </ns0:is>
      </ns0:c>
      <ns0:c r="C180" s="21" t="inlineStr">
        <ns0:is>
          <ns0:t>MLP</ns0:t>
        </ns0:is>
      </ns0:c>
      <ns0:c r="D180" s="21" t="inlineStr">
        <ns0:is>
          <ns0:t>DNN with diffusion mapping</ns0:t>
        </ns0:is>
      </ns0:c>
      <ns0:c r="E180" s="21" t="inlineStr">
        <ns0:is>
          <ns0:t>A UCI child screening dataset is classified using a DNN. The word diagnosis does not demonstrate specialist diagnostic workflow use.</ns0:t>
        </ns0:is>
      </ns0:c>
      <ns0:c r="F180" s="21" t="inlineStr">
        <ns0:is>
          <ns0:t>https://doi.org/10.1016/j.gltp.2021.08.042</ns0:t>
        </ns0:is>
      </ns0:c>
      <ns0:c r="G180" s="21" t="inlineStr">
        <ns0:is>
          <ns0:t>ChatGPT-assisted evidence recharting, 2026-09-08</ns0:t>
        </ns0:is>
      </ns0:c>
    </ns0:row>
    <ns0:row r="181" ht="42" customHeight="1">
      <ns0:c r="A181" s="19" t="inlineStr">
        <ns0:is>
          <ns0:t>31</ns0:t>
        </ns0:is>
      </ns0:c>
      <ns0:c r="B181" s="19" t="inlineStr">
        <ns0:is>
          <ns0:t>rq2_status</ns0:t>
        </ns0:is>
      </ns0:c>
      <ns0:c r="C181" s="19" t="inlineStr">
        <ns0:is>
          <ns0:t>Not adjudicated in master</ns0:t>
        </ns0:is>
      </ns0:c>
      <ns0:c r="D181" s="19" t="inlineStr">
        <ns0:is>
          <ns0:t>Research only</ns0:t>
        </ns0:is>
      </ns0:c>
      <ns0:c r="E181" s="19" t="inlineStr">
        <ns0:is>
          <ns0:t>A UCI child screening dataset is classified using a DNN. The word diagnosis does not demonstrate specialist diagnostic workflow use.</ns0:t>
        </ns0:is>
      </ns0:c>
      <ns0:c r="F181" s="19" t="inlineStr">
        <ns0:is>
          <ns0:t>https://doi.org/10.1016/j.gltp.2021.08.042</ns0:t>
        </ns0:is>
      </ns0:c>
      <ns0:c r="G181" s="19" t="inlineStr">
        <ns0:is>
          <ns0:t>ChatGPT-assisted evidence recharting, 2026-09-08</ns0:t>
        </ns0:is>
      </ns0:c>
    </ns0:row>
    <ns0:row r="182" ht="42" customHeight="1">
      <ns0:c r="A182" s="21" t="inlineStr">
        <ns0:is>
          <ns0:t>31</ns0:t>
        </ns0:is>
      </ns0:c>
      <ns0:c r="B182" s="21" t="inlineStr">
        <ns0:is>
          <ns0:t>rq2_role</ns0:t>
        </ns0:is>
      </ns0:c>
      <ns0:c r="C182" s="21" t="inlineStr"/>
      <ns0:c r="D182" s="21" t="inlineStr">
        <ns0:is>
          <ns0:t>Triage/questionnaire assessment</ns0:t>
        </ns0:is>
      </ns0:c>
      <ns0:c r="E182" s="21" t="inlineStr">
        <ns0:is>
          <ns0:t>A UCI child screening dataset is classified using a DNN. The word diagnosis does not demonstrate specialist diagnostic workflow use.</ns0:t>
        </ns0:is>
      </ns0:c>
      <ns0:c r="F182" s="21" t="inlineStr">
        <ns0:is>
          <ns0:t>https://doi.org/10.1016/j.gltp.2021.08.042</ns0:t>
        </ns0:is>
      </ns0:c>
      <ns0:c r="G182" s="21" t="inlineStr">
        <ns0:is>
          <ns0:t>ChatGPT-assisted evidence recharting, 2026-09-08</ns0:t>
        </ns0:is>
      </ns0:c>
    </ns0:row>
    <ns0:row r="183" ht="42" customHeight="1">
      <ns0:c r="A183" s="19" t="inlineStr">
        <ns0:is>
          <ns0:t>31</ns0:t>
        </ns0:is>
      </ns0:c>
      <ns0:c r="B183" s="19" t="inlineStr">
        <ns0:is>
          <ns0:t>decision_timing</ns0:t>
        </ns0:is>
      </ns0:c>
      <ns0:c r="C183" s="19" t="inlineStr"/>
      <ns0:c r="D183" s="19" t="inlineStr">
        <ns0:is>
          <ns0:t>Not observed in assessed sources</ns0:t>
        </ns0:is>
      </ns0:c>
      <ns0:c r="E183" s="19" t="inlineStr">
        <ns0:is>
          <ns0:t>A UCI child screening dataset is classified using a DNN. The word diagnosis does not demonstrate specialist diagnostic workflow use.</ns0:t>
        </ns0:is>
      </ns0:c>
      <ns0:c r="F183" s="19" t="inlineStr">
        <ns0:is>
          <ns0:t>https://doi.org/10.1016/j.gltp.2021.08.042</ns0:t>
        </ns0:is>
      </ns0:c>
      <ns0:c r="G183" s="19" t="inlineStr">
        <ns0:is>
          <ns0:t>ChatGPT-assisted evidence recharting, 2026-09-08</ns0:t>
        </ns0:is>
      </ns0:c>
    </ns0:row>
    <ns0:row r="184" ht="42" customHeight="1">
      <ns0:c r="A184" s="21" t="inlineStr">
        <ns0:is>
          <ns0:t>32</ns0:t>
        </ns0:is>
      </ns0:c>
      <ns0:c r="B184" s="21" t="inlineStr">
        <ns0:is>
          <ns0:t>data_source_primary</ns0:t>
        </ns0:is>
      </ns0:c>
      <ns0:c r="C184" s="21" t="inlineStr">
        <ns0:is>
          <ns0:t>Physiological signals</ns0:t>
        </ns0:is>
      </ns0:c>
      <ns0:c r="D184" s="21" t="inlineStr">
        <ns0:is>
          <ns0:t>Neuroimaging</ns0:t>
        </ns0:is>
      </ns0:c>
      <ns0:c r="E184" s="21" t="inlineStr">
        <ns0:is>
          <ns0:t>ASD-GraphNet describes engineered brain-graph features and conventional classifiers. Graph analysis is not assumed to be a graph neural network; no clinician-facing implementation is evaluated.</ns0:t>
        </ns0:is>
      </ns0:c>
      <ns0:c r="F184" s="21" t="inlineStr">
        <ns0:is>
          <ns0:t>https://doi.org/10.1016/j.compbiomed.2025.110723</ns0:t>
        </ns0:is>
      </ns0:c>
      <ns0:c r="G184" s="21" t="inlineStr">
        <ns0:is>
          <ns0:t>ChatGPT-assisted evidence recharting, 2026-09-08</ns0:t>
        </ns0:is>
      </ns0:c>
    </ns0:row>
    <ns0:row r="185" ht="42" customHeight="1">
      <ns0:c r="A185" s="19" t="inlineStr">
        <ns0:is>
          <ns0:t>32</ns0:t>
        </ns0:is>
      </ns0:c>
      <ns0:c r="B185" s="19" t="inlineStr">
        <ns0:is>
          <ns0:t>algorithm_main</ns0:t>
        </ns0:is>
      </ns0:c>
      <ns0:c r="C185" s="19" t="inlineStr">
        <ns0:is>
          <ns0:t>Not clear</ns0:t>
        </ns0:is>
      </ns0:c>
      <ns0:c r="D185" s="19" t="inlineStr">
        <ns0:is>
          <ns0:t>Multiple classifiers with graph-derived features</ns0:t>
        </ns0:is>
      </ns0:c>
      <ns0:c r="E185" s="19" t="inlineStr">
        <ns0:is>
          <ns0:t>ASD-GraphNet describes engineered brain-graph features and conventional classifiers. Graph analysis is not assumed to be a graph neural network; no clinician-facing implementation is evaluated.</ns0:t>
        </ns0:is>
      </ns0:c>
      <ns0:c r="F185" s="19" t="inlineStr">
        <ns0:is>
          <ns0:t>https://doi.org/10.1016/j.compbiomed.2025.110723</ns0:t>
        </ns0:is>
      </ns0:c>
      <ns0:c r="G185" s="19" t="inlineStr">
        <ns0:is>
          <ns0:t>ChatGPT-assisted evidence recharting, 2026-09-08</ns0:t>
        </ns0:is>
      </ns0:c>
    </ns0:row>
    <ns0:row r="186" ht="42" customHeight="1">
      <ns0:c r="A186" s="21" t="inlineStr">
        <ns0:is>
          <ns0:t>32</ns0:t>
        </ns0:is>
      </ns0:c>
      <ns0:c r="B186" s="21" t="inlineStr">
        <ns0:is>
          <ns0:t>rq2_status</ns0:t>
        </ns0:is>
      </ns0:c>
      <ns0:c r="C186" s="21" t="inlineStr">
        <ns0:is>
          <ns0:t>Not adjudicated in master</ns0:t>
        </ns0:is>
      </ns0:c>
      <ns0:c r="D186" s="21" t="inlineStr">
        <ns0:is>
          <ns0:t>Research only</ns0:t>
        </ns0:is>
      </ns0:c>
      <ns0:c r="E186" s="21" t="inlineStr">
        <ns0:is>
          <ns0:t>ASD-GraphNet describes engineered brain-graph features and conventional classifiers. Graph analysis is not assumed to be a graph neural network; no clinician-facing implementation is evaluated.</ns0:t>
        </ns0:is>
      </ns0:c>
      <ns0:c r="F186" s="21" t="inlineStr">
        <ns0:is>
          <ns0:t>https://doi.org/10.1016/j.compbiomed.2025.110723</ns0:t>
        </ns0:is>
      </ns0:c>
      <ns0:c r="G186" s="21" t="inlineStr">
        <ns0:is>
          <ns0:t>ChatGPT-assisted evidence recharting, 2026-09-08</ns0:t>
        </ns0:is>
      </ns0:c>
    </ns0:row>
    <ns0:row r="187" ht="42" customHeight="1">
      <ns0:c r="A187" s="19" t="inlineStr">
        <ns0:is>
          <ns0:t>32</ns0:t>
        </ns0:is>
      </ns0:c>
      <ns0:c r="B187" s="19" t="inlineStr">
        <ns0:is>
          <ns0:t>rq2_role</ns0:t>
        </ns0:is>
      </ns0:c>
      <ns0:c r="C187" s="19" t="inlineStr"/>
      <ns0:c r="D187" s="19" t="inlineStr">
        <ns0:is>
          <ns0:t>Automated measurement/classification</ns0:t>
        </ns0:is>
      </ns0:c>
      <ns0:c r="E187" s="19" t="inlineStr">
        <ns0:is>
          <ns0:t>ASD-GraphNet describes engineered brain-graph features and conventional classifiers. Graph analysis is not assumed to be a graph neural network; no clinician-facing implementation is evaluated.</ns0:t>
        </ns0:is>
      </ns0:c>
      <ns0:c r="F187" s="19" t="inlineStr">
        <ns0:is>
          <ns0:t>https://doi.org/10.1016/j.compbiomed.2025.110723</ns0:t>
        </ns0:is>
      </ns0:c>
      <ns0:c r="G187" s="19" t="inlineStr">
        <ns0:is>
          <ns0:t>ChatGPT-assisted evidence recharting, 2026-09-08</ns0:t>
        </ns0:is>
      </ns0:c>
    </ns0:row>
    <ns0:row r="188" ht="42" customHeight="1">
      <ns0:c r="A188" s="21" t="inlineStr">
        <ns0:is>
          <ns0:t>32</ns0:t>
        </ns0:is>
      </ns0:c>
      <ns0:c r="B188" s="21" t="inlineStr">
        <ns0:is>
          <ns0:t>decision_timing</ns0:t>
        </ns0:is>
      </ns0:c>
      <ns0:c r="C188" s="21" t="inlineStr"/>
      <ns0:c r="D188" s="21" t="inlineStr">
        <ns0:is>
          <ns0:t>Not observed in assessed sources</ns0:t>
        </ns0:is>
      </ns0:c>
      <ns0:c r="E188" s="21" t="inlineStr">
        <ns0:is>
          <ns0:t>ASD-GraphNet describes engineered brain-graph features and conventional classifiers. Graph analysis is not assumed to be a graph neural network; no clinician-facing implementation is evaluated.</ns0:t>
        </ns0:is>
      </ns0:c>
      <ns0:c r="F188" s="21" t="inlineStr">
        <ns0:is>
          <ns0:t>https://doi.org/10.1016/j.compbiomed.2025.110723</ns0:t>
        </ns0:is>
      </ns0:c>
      <ns0:c r="G188" s="21" t="inlineStr">
        <ns0:is>
          <ns0:t>ChatGPT-assisted evidence recharting, 2026-09-08</ns0:t>
        </ns0:is>
      </ns0:c>
    </ns0:row>
    <ns0:row r="189" ht="42" customHeight="1">
      <ns0:c r="A189" s="19" t="inlineStr">
        <ns0:is>
          <ns0:t>33</ns0:t>
        </ns0:is>
      </ns0:c>
      <ns0:c r="B189" s="19" t="inlineStr">
        <ns0:is>
          <ns0:t>ai_type</ns0:t>
        </ns0:is>
      </ns0:c>
      <ns0:c r="C189" s="19" t="inlineStr">
        <ns0:is>
          <ns0:t>Deep Learning</ns0:t>
        </ns0:is>
      </ns0:c>
      <ns0:c r="D189" s="19" t="inlineStr">
        <ns0:is>
          <ns0:t>Machine Learning</ns0:t>
        </ns0:is>
      </ns0:c>
      <ns0:c r="E189" s="19" t="inlineStr">
        <ns0:is>
          <ns0:t>Force-plate postural-control features are classified in 50 children; naive Bayes is the reported optimal classifier. This is experimental motor-phenotype classification, not deep learning.</ns0:t>
        </ns0:is>
      </ns0:c>
      <ns0:c r="F189" s="19" t="inlineStr">
        <ns0:is>
          <ns0:t>https://doi.org/10.1016/j.jbiomech.2020.110073</ns0:t>
        </ns0:is>
      </ns0:c>
      <ns0:c r="G189" s="19" t="inlineStr">
        <ns0:is>
          <ns0:t>ChatGPT-assisted evidence recharting, 2026-09-08</ns0:t>
        </ns0:is>
      </ns0:c>
    </ns0:row>
    <ns0:row r="190" ht="42" customHeight="1">
      <ns0:c r="A190" s="21" t="inlineStr">
        <ns0:is>
          <ns0:t>33</ns0:t>
        </ns0:is>
      </ns0:c>
      <ns0:c r="B190" s="21" t="inlineStr">
        <ns0:is>
          <ns0:t>data_source_primary</ns0:t>
        </ns0:is>
      </ns0:c>
      <ns0:c r="C190" s="21" t="inlineStr">
        <ns0:is>
          <ns0:t>Not specified</ns0:t>
        </ns0:is>
      </ns0:c>
      <ns0:c r="D190" s="21" t="inlineStr">
        <ns0:is>
          <ns0:t>Behavioral images/video/gaze/movement</ns0:t>
        </ns0:is>
      </ns0:c>
      <ns0:c r="E190" s="21" t="inlineStr">
        <ns0:is>
          <ns0:t>Force-plate postural-control features are classified in 50 children; naive Bayes is the reported optimal classifier. This is experimental motor-phenotype classification, not deep learning.</ns0:t>
        </ns0:is>
      </ns0:c>
      <ns0:c r="F190" s="21" t="inlineStr">
        <ns0:is>
          <ns0:t>https://doi.org/10.1016/j.jbiomech.2020.110073</ns0:t>
        </ns0:is>
      </ns0:c>
      <ns0:c r="G190" s="21" t="inlineStr">
        <ns0:is>
          <ns0:t>ChatGPT-assisted evidence recharting, 2026-09-08</ns0:t>
        </ns0:is>
      </ns0:c>
    </ns0:row>
    <ns0:row r="191" ht="42" customHeight="1">
      <ns0:c r="A191" s="19" t="inlineStr">
        <ns0:is>
          <ns0:t>33</ns0:t>
        </ns0:is>
      </ns0:c>
      <ns0:c r="B191" s="19" t="inlineStr">
        <ns0:is>
          <ns0:t>rq2_status</ns0:t>
        </ns0:is>
      </ns0:c>
      <ns0:c r="C191" s="19" t="inlineStr">
        <ns0:is>
          <ns0:t>Not adjudicated in master</ns0:t>
        </ns0:is>
      </ns0:c>
      <ns0:c r="D191" s="19" t="inlineStr">
        <ns0:is>
          <ns0:t>Research only</ns0:t>
        </ns0:is>
      </ns0:c>
      <ns0:c r="E191" s="19" t="inlineStr">
        <ns0:is>
          <ns0:t>Force-plate postural-control features are classified in 50 children; naive Bayes is the reported optimal classifier. This is experimental motor-phenotype classification, not deep learning.</ns0:t>
        </ns0:is>
      </ns0:c>
      <ns0:c r="F191" s="19" t="inlineStr">
        <ns0:is>
          <ns0:t>https://doi.org/10.1016/j.jbiomech.2020.110073</ns0:t>
        </ns0:is>
      </ns0:c>
      <ns0:c r="G191" s="19" t="inlineStr">
        <ns0:is>
          <ns0:t>ChatGPT-assisted evidence recharting, 2026-09-08</ns0:t>
        </ns0:is>
      </ns0:c>
    </ns0:row>
    <ns0:row r="192" ht="42" customHeight="1">
      <ns0:c r="A192" s="21" t="inlineStr">
        <ns0:is>
          <ns0:t>33</ns0:t>
        </ns0:is>
      </ns0:c>
      <ns0:c r="B192" s="21" t="inlineStr">
        <ns0:is>
          <ns0:t>rq2_role</ns0:t>
        </ns0:is>
      </ns0:c>
      <ns0:c r="C192" s="21" t="inlineStr"/>
      <ns0:c r="D192" s="21" t="inlineStr">
        <ns0:is>
          <ns0:t>Automated measurement/classification</ns0:t>
        </ns0:is>
      </ns0:c>
      <ns0:c r="E192" s="21" t="inlineStr">
        <ns0:is>
          <ns0:t>Force-plate postural-control features are classified in 50 children; naive Bayes is the reported optimal classifier. This is experimental motor-phenotype classification, not deep learning.</ns0:t>
        </ns0:is>
      </ns0:c>
      <ns0:c r="F192" s="21" t="inlineStr">
        <ns0:is>
          <ns0:t>https://doi.org/10.1016/j.jbiomech.2020.110073</ns0:t>
        </ns0:is>
      </ns0:c>
      <ns0:c r="G192" s="21" t="inlineStr">
        <ns0:is>
          <ns0:t>ChatGPT-assisted evidence recharting, 2026-09-08</ns0:t>
        </ns0:is>
      </ns0:c>
    </ns0:row>
    <ns0:row r="193" ht="42" customHeight="1">
      <ns0:c r="A193" s="19" t="inlineStr">
        <ns0:is>
          <ns0:t>33</ns0:t>
        </ns0:is>
      </ns0:c>
      <ns0:c r="B193" s="19" t="inlineStr">
        <ns0:is>
          <ns0:t>decision_timing</ns0:t>
        </ns0:is>
      </ns0:c>
      <ns0:c r="C193" s="19" t="inlineStr"/>
      <ns0:c r="D193" s="19" t="inlineStr">
        <ns0:is>
          <ns0:t>Not observed in assessed sources</ns0:t>
        </ns0:is>
      </ns0:c>
      <ns0:c r="E193" s="19" t="inlineStr">
        <ns0:is>
          <ns0:t>Force-plate postural-control features are classified in 50 children; naive Bayes is the reported optimal classifier. This is experimental motor-phenotype classification, not deep learning.</ns0:t>
        </ns0:is>
      </ns0:c>
      <ns0:c r="F193" s="19" t="inlineStr">
        <ns0:is>
          <ns0:t>https://doi.org/10.1016/j.jbiomech.2020.110073</ns0:t>
        </ns0:is>
      </ns0:c>
      <ns0:c r="G193" s="19" t="inlineStr">
        <ns0:is>
          <ns0:t>ChatGPT-assisted evidence recharting, 2026-09-08</ns0:t>
        </ns0:is>
      </ns0:c>
    </ns0:row>
    <ns0:row r="194" ht="45" customHeight="1">
      <ns0:c r="A194" s="21" t="inlineStr">
        <ns0:is>
          <ns0:t>34</ns0:t>
        </ns0:is>
      </ns0:c>
      <ns0:c r="B194" s="21" t="inlineStr">
        <ns0:is>
          <ns0:t>data_source_primary</ns0:t>
        </ns0:is>
      </ns0:c>
      <ns0:c r="C194" s="21" t="inlineStr">
        <ns0:is>
          <ns0:t>Physiological signals</ns0:t>
        </ns0:is>
      </ns0:c>
      <ns0:c r="D194" s="21" t="inlineStr">
        <ns0:is>
          <ns0:t>Neuroimaging</ns0:t>
        </ns0:is>
      </ns0:c>
      <ns0:c r="E194" s="21" t="inlineStr">
        <ns0:is>
          <ns0:t>ABIDE resting-state connectivity classification is externally tested in an in-house dataset with substantially lower accuracy. This supports external/cross-dataset evaluation, not stable transportability or clinical deployment.</ns0:t>
        </ns0:is>
      </ns0:c>
      <ns0:c r="F194" s="21" t="inlineStr">
        <ns0:is>
          <ns0:t>https://doi.org/10.1089/brain.2017.0496</ns0:t>
        </ns0:is>
      </ns0:c>
      <ns0:c r="G194" s="21" t="inlineStr">
        <ns0:is>
          <ns0:t>ChatGPT-assisted evidence recharting, 2026-09-08</ns0:t>
        </ns0:is>
      </ns0:c>
    </ns0:row>
    <ns0:row r="195" ht="45" customHeight="1">
      <ns0:c r="A195" s="19" t="inlineStr">
        <ns0:is>
          <ns0:t>34</ns0:t>
        </ns0:is>
      </ns0:c>
      <ns0:c r="B195" s="19" t="inlineStr">
        <ns0:is>
          <ns0:t>algorithm_main</ns0:t>
        </ns0:is>
      </ns0:c>
      <ns0:c r="C195" s="19" t="inlineStr">
        <ns0:is>
          <ns0:t>Random Forest</ns0:t>
        </ns0:is>
      </ns0:c>
      <ns0:c r="D195" s="19" t="inlineStr">
        <ns0:is>
          <ns0:t>Conditional Random Forest</ns0:t>
        </ns0:is>
      </ns0:c>
      <ns0:c r="E195" s="19" t="inlineStr">
        <ns0:is>
          <ns0:t>ABIDE resting-state connectivity classification is externally tested in an in-house dataset with substantially lower accuracy. This supports external/cross-dataset evaluation, not stable transportability or clinical deployment.</ns0:t>
        </ns0:is>
      </ns0:c>
      <ns0:c r="F195" s="19" t="inlineStr">
        <ns0:is>
          <ns0:t>https://doi.org/10.1089/brain.2017.0496</ns0:t>
        </ns0:is>
      </ns0:c>
      <ns0:c r="G195" s="19" t="inlineStr">
        <ns0:is>
          <ns0:t>ChatGPT-assisted evidence recharting, 2026-09-08</ns0:t>
        </ns0:is>
      </ns0:c>
    </ns0:row>
    <ns0:row r="196" ht="45" customHeight="1">
      <ns0:c r="A196" s="21" t="inlineStr">
        <ns0:is>
          <ns0:t>34</ns0:t>
        </ns0:is>
      </ns0:c>
      <ns0:c r="B196" s="21" t="inlineStr">
        <ns0:is>
          <ns0:t>rq2_status</ns0:t>
        </ns0:is>
      </ns0:c>
      <ns0:c r="C196" s="21" t="inlineStr">
        <ns0:is>
          <ns0:t>Not adjudicated in master</ns0:t>
        </ns0:is>
      </ns0:c>
      <ns0:c r="D196" s="21" t="inlineStr">
        <ns0:is>
          <ns0:t>Research only</ns0:t>
        </ns0:is>
      </ns0:c>
      <ns0:c r="E196" s="21" t="inlineStr">
        <ns0:is>
          <ns0:t>ABIDE resting-state connectivity classification is externally tested in an in-house dataset with substantially lower accuracy. This supports external/cross-dataset evaluation, not stable transportability or clinical deployment.</ns0:t>
        </ns0:is>
      </ns0:c>
      <ns0:c r="F196" s="21" t="inlineStr">
        <ns0:is>
          <ns0:t>https://doi.org/10.1089/brain.2017.0496</ns0:t>
        </ns0:is>
      </ns0:c>
      <ns0:c r="G196" s="21" t="inlineStr">
        <ns0:is>
          <ns0:t>ChatGPT-assisted evidence recharting, 2026-09-08</ns0:t>
        </ns0:is>
      </ns0:c>
    </ns0:row>
    <ns0:row r="197" ht="45" customHeight="1">
      <ns0:c r="A197" s="19" t="inlineStr">
        <ns0:is>
          <ns0:t>34</ns0:t>
        </ns0:is>
      </ns0:c>
      <ns0:c r="B197" s="19" t="inlineStr">
        <ns0:is>
          <ns0:t>rq2_role</ns0:t>
        </ns0:is>
      </ns0:c>
      <ns0:c r="C197" s="19" t="inlineStr"/>
      <ns0:c r="D197" s="19" t="inlineStr">
        <ns0:is>
          <ns0:t>Automated measurement/classification</ns0:t>
        </ns0:is>
      </ns0:c>
      <ns0:c r="E197" s="19" t="inlineStr">
        <ns0:is>
          <ns0:t>ABIDE resting-state connectivity classification is externally tested in an in-house dataset with substantially lower accuracy. This supports external/cross-dataset evaluation, not stable transportability or clinical deployment.</ns0:t>
        </ns0:is>
      </ns0:c>
      <ns0:c r="F197" s="19" t="inlineStr">
        <ns0:is>
          <ns0:t>https://doi.org/10.1089/brain.2017.0496</ns0:t>
        </ns0:is>
      </ns0:c>
      <ns0:c r="G197" s="19" t="inlineStr">
        <ns0:is>
          <ns0:t>ChatGPT-assisted evidence recharting, 2026-09-08</ns0:t>
        </ns0:is>
      </ns0:c>
    </ns0:row>
    <ns0:row r="198" ht="45" customHeight="1">
      <ns0:c r="A198" s="21" t="inlineStr">
        <ns0:is>
          <ns0:t>34</ns0:t>
        </ns0:is>
      </ns0:c>
      <ns0:c r="B198" s="21" t="inlineStr">
        <ns0:is>
          <ns0:t>decision_timing</ns0:t>
        </ns0:is>
      </ns0:c>
      <ns0:c r="C198" s="21" t="inlineStr"/>
      <ns0:c r="D198" s="21" t="inlineStr">
        <ns0:is>
          <ns0:t>Not observed in assessed sources</ns0:t>
        </ns0:is>
      </ns0:c>
      <ns0:c r="E198" s="21" t="inlineStr">
        <ns0:is>
          <ns0:t>ABIDE resting-state connectivity classification is externally tested in an in-house dataset with substantially lower accuracy. This supports external/cross-dataset evaluation, not stable transportability or clinical deployment.</ns0:t>
        </ns0:is>
      </ns0:c>
      <ns0:c r="F198" s="21" t="inlineStr">
        <ns0:is>
          <ns0:t>https://doi.org/10.1089/brain.2017.0496</ns0:t>
        </ns0:is>
      </ns0:c>
      <ns0:c r="G198" s="21" t="inlineStr">
        <ns0:is>
          <ns0:t>ChatGPT-assisted evidence recharting, 2026-09-08</ns0:t>
        </ns0:is>
      </ns0:c>
    </ns0:row>
    <ns0:row r="199" ht="45" customHeight="1">
      <ns0:c r="A199" s="19" t="inlineStr">
        <ns0:is>
          <ns0:t>34</ns0:t>
        </ns0:is>
      </ns0:c>
      <ns0:c r="B199" s="19" t="inlineStr">
        <ns0:is>
          <ns0:t>multisite_dataset</ns0:t>
        </ns0:is>
      </ns0:c>
      <ns0:c r="C199" s="19" t="inlineStr">
        <ns0:is>
          <ns0:t>Not reported in assessed sources</ns0:t>
        </ns0:is>
      </ns0:c>
      <ns0:c r="D199" s="19" t="inlineStr">
        <ns0:is>
          <ns0:t>Reported</ns0:t>
        </ns0:is>
      </ns0:c>
      <ns0:c r="E199" s="19" t="inlineStr">
        <ns0:is>
          <ns0:t>ABIDE resting-state connectivity classification is externally tested in an in-house dataset with substantially lower accuracy. This supports external/cross-dataset evaluation, not stable transportability or clinical deployment.</ns0:t>
        </ns0:is>
      </ns0:c>
      <ns0:c r="F199" s="19" t="inlineStr">
        <ns0:is>
          <ns0:t>https://doi.org/10.1089/brain.2017.0496</ns0:t>
        </ns0:is>
      </ns0:c>
      <ns0:c r="G199" s="19" t="inlineStr">
        <ns0:is>
          <ns0:t>ChatGPT-assisted evidence recharting, 2026-09-08</ns0:t>
        </ns0:is>
      </ns0:c>
    </ns0:row>
    <ns0:row r="200" ht="45" customHeight="1">
      <ns0:c r="A200" s="21" t="inlineStr">
        <ns0:is>
          <ns0:t>34</ns0:t>
        </ns0:is>
      </ns0:c>
      <ns0:c r="B200" s="21" t="inlineStr">
        <ns0:is>
          <ns0:t>cross_site_robustness</ns0:t>
        </ns0:is>
      </ns0:c>
      <ns0:c r="C200" s="21" t="inlineStr">
        <ns0:is>
          <ns0:t>Not reported in assessed sources</ns0:t>
        </ns0:is>
      </ns0:c>
      <ns0:c r="D200" s="21" t="inlineStr">
        <ns0:is>
          <ns0:t>Reported</ns0:t>
        </ns0:is>
      </ns0:c>
      <ns0:c r="E200" s="21" t="inlineStr">
        <ns0:is>
          <ns0:t>ABIDE resting-state connectivity classification is externally tested in an in-house dataset with substantially lower accuracy. This supports external/cross-dataset evaluation, not stable transportability or clinical deployment.</ns0:t>
        </ns0:is>
      </ns0:c>
      <ns0:c r="F200" s="21" t="inlineStr">
        <ns0:is>
          <ns0:t>https://doi.org/10.1089/brain.2017.0496</ns0:t>
        </ns0:is>
      </ns0:c>
      <ns0:c r="G200" s="21" t="inlineStr">
        <ns0:is>
          <ns0:t>ChatGPT-assisted evidence recharting, 2026-09-08</ns0:t>
        </ns0:is>
      </ns0:c>
    </ns0:row>
    <ns0:row r="201" ht="45" customHeight="1">
      <ns0:c r="A201" s="19" t="inlineStr">
        <ns0:is>
          <ns0:t>34</ns0:t>
        </ns0:is>
      </ns0:c>
      <ns0:c r="B201" s="19" t="inlineStr">
        <ns0:is>
          <ns0:t>xai_partial</ns0:t>
        </ns0:is>
      </ns0:c>
      <ns0:c r="C201" s="19" t="inlineStr">
        <ns0:is>
          <ns0:t>Not reported in assessed sources</ns0:t>
        </ns0:is>
      </ns0:c>
      <ns0:c r="D201" s="19" t="inlineStr">
        <ns0:is>
          <ns0:t>Reported</ns0:t>
        </ns0:is>
      </ns0:c>
      <ns0:c r="E201" s="19" t="inlineStr">
        <ns0:is>
          <ns0:t>ABIDE resting-state connectivity classification is externally tested in an in-house dataset with substantially lower accuracy. This supports external/cross-dataset evaluation, not stable transportability or clinical deployment.</ns0:t>
        </ns0:is>
      </ns0:c>
      <ns0:c r="F201" s="19" t="inlineStr">
        <ns0:is>
          <ns0:t>https://doi.org/10.1089/brain.2017.0496</ns0:t>
        </ns0:is>
      </ns0:c>
      <ns0:c r="G201" s="19" t="inlineStr">
        <ns0:is>
          <ns0:t>ChatGPT-assisted evidence recharting, 2026-09-08</ns0:t>
        </ns0:is>
      </ns0:c>
    </ns0:row>
    <ns0:row r="202" ht="42" customHeight="1">
      <ns0:c r="A202" s="21" t="inlineStr">
        <ns0:is>
          <ns0:t>35</ns0:t>
        </ns0:is>
      </ns0:c>
      <ns0:c r="B202" s="21" t="inlineStr">
        <ns0:is>
          <ns0:t>ai_type</ns0:t>
        </ns0:is>
      </ns0:c>
      <ns0:c r="C202" s="21" t="inlineStr">
        <ns0:is>
          <ns0:t>Hybrid</ns0:t>
        </ns0:is>
      </ns0:c>
      <ns0:c r="D202" s="21" t="inlineStr">
        <ns0:is>
          <ns0:t>Machine Learning</ns0:t>
        </ns0:is>
      </ns0:c>
      <ns0:c r="E202" s="21" t="inlineStr">
        <ns0:is>
          <ns0:t>Only six demographic/IQ characteristics from ABIDE are modeled. The fact that the parent resource is a neuroimaging database does not make these MRI inputs.</ns0:t>
        </ns0:is>
      </ns0:c>
      <ns0:c r="F202" s="21" t="inlineStr">
        <ns0:is>
          <ns0:t>https://doi.org/10.3389/fncom.2019.00009/full</ns0:t>
        </ns0:is>
      </ns0:c>
      <ns0:c r="G202" s="21" t="inlineStr">
        <ns0:is>
          <ns0:t>ChatGPT-assisted evidence recharting, 2026-09-08</ns0:t>
        </ns0:is>
      </ns0:c>
    </ns0:row>
    <ns0:row r="203" ht="42" customHeight="1">
      <ns0:c r="A203" s="19" t="inlineStr">
        <ns0:is>
          <ns0:t>35</ns0:t>
        </ns0:is>
      </ns0:c>
      <ns0:c r="B203" s="19" t="inlineStr">
        <ns0:is>
          <ns0:t>data_source_primary</ns0:t>
        </ns0:is>
      </ns0:c>
      <ns0:c r="C203" s="19" t="inlineStr">
        <ns0:is>
          <ns0:t>Image (subtype unresolved)</ns0:t>
        </ns0:is>
      </ns0:c>
      <ns0:c r="D203" s="19" t="inlineStr">
        <ns0:is>
          <ns0:t>Structured clinical/questionnaire data</ns0:t>
        </ns0:is>
      </ns0:c>
      <ns0:c r="E203" s="19" t="inlineStr">
        <ns0:is>
          <ns0:t>Only six demographic/IQ characteristics from ABIDE are modeled. The fact that the parent resource is a neuroimaging database does not make these MRI inputs.</ns0:t>
        </ns0:is>
      </ns0:c>
      <ns0:c r="F203" s="19" t="inlineStr">
        <ns0:is>
          <ns0:t>https://doi.org/10.3389/fncom.2019.00009/full</ns0:t>
        </ns0:is>
      </ns0:c>
      <ns0:c r="G203" s="19" t="inlineStr">
        <ns0:is>
          <ns0:t>ChatGPT-assisted evidence recharting, 2026-09-08</ns0:t>
        </ns0:is>
      </ns0:c>
    </ns0:row>
    <ns0:row r="204" ht="42" customHeight="1">
      <ns0:c r="A204" s="21" t="inlineStr">
        <ns0:is>
          <ns0:t>35</ns0:t>
        </ns0:is>
      </ns0:c>
      <ns0:c r="B204" s="21" t="inlineStr">
        <ns0:is>
          <ns0:t>algorithm_main</ns0:t>
        </ns0:is>
      </ns0:c>
      <ns0:c r="C204" s="21" t="inlineStr">
        <ns0:is>
          <ns0:t>MLP</ns0:t>
        </ns0:is>
      </ns0:c>
      <ns0:c r="D204" s="21" t="inlineStr">
        <ns0:is>
          <ns0:t>Neural network (personal characteristics)</ns0:t>
        </ns0:is>
      </ns0:c>
      <ns0:c r="E204" s="21" t="inlineStr">
        <ns0:is>
          <ns0:t>Only six demographic/IQ characteristics from ABIDE are modeled. The fact that the parent resource is a neuroimaging database does not make these MRI inputs.</ns0:t>
        </ns0:is>
      </ns0:c>
      <ns0:c r="F204" s="21" t="inlineStr">
        <ns0:is>
          <ns0:t>https://doi.org/10.3389/fncom.2019.00009/full</ns0:t>
        </ns0:is>
      </ns0:c>
      <ns0:c r="G204" s="21" t="inlineStr">
        <ns0:is>
          <ns0:t>ChatGPT-assisted evidence recharting, 2026-09-08</ns0:t>
        </ns0:is>
      </ns0:c>
    </ns0:row>
    <ns0:row r="205" ht="42" customHeight="1">
      <ns0:c r="A205" s="19" t="inlineStr">
        <ns0:is>
          <ns0:t>35</ns0:t>
        </ns0:is>
      </ns0:c>
      <ns0:c r="B205" s="19" t="inlineStr">
        <ns0:is>
          <ns0:t>rq2_status</ns0:t>
        </ns0:is>
      </ns0:c>
      <ns0:c r="C205" s="19" t="inlineStr">
        <ns0:is>
          <ns0:t>Not adjudicated in master</ns0:t>
        </ns0:is>
      </ns0:c>
      <ns0:c r="D205" s="19" t="inlineStr">
        <ns0:is>
          <ns0:t>Research only</ns0:t>
        </ns0:is>
      </ns0:c>
      <ns0:c r="E205" s="19" t="inlineStr">
        <ns0:is>
          <ns0:t>Only six demographic/IQ characteristics from ABIDE are modeled. The fact that the parent resource is a neuroimaging database does not make these MRI inputs.</ns0:t>
        </ns0:is>
      </ns0:c>
      <ns0:c r="F205" s="19" t="inlineStr">
        <ns0:is>
          <ns0:t>https://doi.org/10.3389/fncom.2019.00009/full</ns0:t>
        </ns0:is>
      </ns0:c>
      <ns0:c r="G205" s="19" t="inlineStr">
        <ns0:is>
          <ns0:t>ChatGPT-assisted evidence recharting, 2026-09-08</ns0:t>
        </ns0:is>
      </ns0:c>
    </ns0:row>
    <ns0:row r="206" ht="42" customHeight="1">
      <ns0:c r="A206" s="21" t="inlineStr">
        <ns0:is>
          <ns0:t>35</ns0:t>
        </ns0:is>
      </ns0:c>
      <ns0:c r="B206" s="21" t="inlineStr">
        <ns0:is>
          <ns0:t>rq2_role</ns0:t>
        </ns0:is>
      </ns0:c>
      <ns0:c r="C206" s="21" t="inlineStr"/>
      <ns0:c r="D206" s="21" t="inlineStr">
        <ns0:is>
          <ns0:t>Automated measurement/classification</ns0:t>
        </ns0:is>
      </ns0:c>
      <ns0:c r="E206" s="21" t="inlineStr">
        <ns0:is>
          <ns0:t>Only six demographic/IQ characteristics from ABIDE are modeled. The fact that the parent resource is a neuroimaging database does not make these MRI inputs.</ns0:t>
        </ns0:is>
      </ns0:c>
      <ns0:c r="F206" s="21" t="inlineStr">
        <ns0:is>
          <ns0:t>https://doi.org/10.3389/fncom.2019.00009/full</ns0:t>
        </ns0:is>
      </ns0:c>
      <ns0:c r="G206" s="21" t="inlineStr">
        <ns0:is>
          <ns0:t>ChatGPT-assisted evidence recharting, 2026-09-08</ns0:t>
        </ns0:is>
      </ns0:c>
    </ns0:row>
    <ns0:row r="207" ht="42" customHeight="1">
      <ns0:c r="A207" s="19" t="inlineStr">
        <ns0:is>
          <ns0:t>35</ns0:t>
        </ns0:is>
      </ns0:c>
      <ns0:c r="B207" s="19" t="inlineStr">
        <ns0:is>
          <ns0:t>decision_timing</ns0:t>
        </ns0:is>
      </ns0:c>
      <ns0:c r="C207" s="19" t="inlineStr"/>
      <ns0:c r="D207" s="19" t="inlineStr">
        <ns0:is>
          <ns0:t>Not observed in assessed sources</ns0:t>
        </ns0:is>
      </ns0:c>
      <ns0:c r="E207" s="19" t="inlineStr">
        <ns0:is>
          <ns0:t>Only six demographic/IQ characteristics from ABIDE are modeled. The fact that the parent resource is a neuroimaging database does not make these MRI inputs.</ns0:t>
        </ns0:is>
      </ns0:c>
      <ns0:c r="F207" s="19" t="inlineStr">
        <ns0:is>
          <ns0:t>https://doi.org/10.3389/fncom.2019.00009/full</ns0:t>
        </ns0:is>
      </ns0:c>
      <ns0:c r="G207" s="19" t="inlineStr">
        <ns0:is>
          <ns0:t>ChatGPT-assisted evidence recharting, 2026-09-08</ns0:t>
        </ns0:is>
      </ns0:c>
    </ns0:row>
    <ns0:row r="208" ht="42" customHeight="1">
      <ns0:c r="A208" s="21" t="inlineStr">
        <ns0:is>
          <ns0:t>35</ns0:t>
        </ns0:is>
      </ns0:c>
      <ns0:c r="B208" s="21" t="inlineStr">
        <ns0:is>
          <ns0:t>doi</ns0:t>
        </ns0:is>
      </ns0:c>
      <ns0:c r="C208" s="21" t="inlineStr">
        <ns0:is>
          <ns0:t>10.3389/fncom.2019.00009/full</ns0:t>
        </ns0:is>
      </ns0:c>
      <ns0:c r="D208" s="21" t="inlineStr">
        <ns0:is>
          <ns0:t>10.3389/fncom.2019.00009</ns0:t>
        </ns0:is>
      </ns0:c>
      <ns0:c r="E208" s="21" t="inlineStr">
        <ns0:is>
          <ns0:t>Only six demographic/IQ characteristics from ABIDE are modeled. The fact that the parent resource is a neuroimaging database does not make these MRI inputs.</ns0:t>
        </ns0:is>
      </ns0:c>
      <ns0:c r="F208" s="21" t="inlineStr">
        <ns0:is>
          <ns0:t>https://doi.org/10.3389/fncom.2019.00009/full</ns0:t>
        </ns0:is>
      </ns0:c>
      <ns0:c r="G208" s="21" t="inlineStr">
        <ns0:is>
          <ns0:t>ChatGPT-assisted evidence recharting, 2026-09-08</ns0:t>
        </ns0:is>
      </ns0:c>
    </ns0:row>
    <ns0:row r="209" ht="42" customHeight="1">
      <ns0:c r="A209" s="19" t="inlineStr">
        <ns0:is>
          <ns0:t>36</ns0:t>
        </ns0:is>
      </ns0:c>
      <ns0:c r="B209" s="19" t="inlineStr">
        <ns0:is>
          <ns0:t>stage_primary</ns0:t>
        </ns0:is>
      </ns0:c>
      <ns0:c r="C209" s="19" t="inlineStr">
        <ns0:is>
          <ns0:t>Diagnosis</ns0:t>
        </ns0:is>
      </ns0:c>
      <ns0:c r="D209" s="19" t="inlineStr">
        <ns0:is>
          <ns0:t>Screening</ns0:t>
        </ns0:is>
      </ns0:c>
      <ns0:c r="E209" s="19" t="inlineStr">
        <ns0:is>
          <ns0:t>Different models perform best across age-specific and pooled screening endpoints. A single universally best classifier is not identifiable from the reported comparisons.</ns0:t>
        </ns0:is>
      </ns0:c>
      <ns0:c r="F209" s="19" t="inlineStr">
        <ns0:is>
          <ns0:t>https://doi.org/10.1016/j.prime.2024.100602</ns0:t>
        </ns0:is>
      </ns0:c>
      <ns0:c r="G209" s="19" t="inlineStr">
        <ns0:is>
          <ns0:t>ChatGPT-assisted evidence recharting, 2026-09-08</ns0:t>
        </ns0:is>
      </ns0:c>
    </ns0:row>
    <ns0:row r="210" ht="42" customHeight="1">
      <ns0:c r="A210" s="21" t="inlineStr">
        <ns0:is>
          <ns0:t>36</ns0:t>
        </ns0:is>
      </ns0:c>
      <ns0:c r="B210" s="21" t="inlineStr">
        <ns0:is>
          <ns0:t>data_source_primary</ns0:t>
        </ns0:is>
      </ns0:c>
      <ns0:c r="C210" s="21" t="inlineStr">
        <ns0:is>
          <ns0:t>Not specified</ns0:t>
        </ns0:is>
      </ns0:c>
      <ns0:c r="D210" s="21" t="inlineStr">
        <ns0:is>
          <ns0:t>Structured clinical/questionnaire data</ns0:t>
        </ns0:is>
      </ns0:c>
      <ns0:c r="E210" s="21" t="inlineStr">
        <ns0:is>
          <ns0:t>Different models perform best across age-specific and pooled screening endpoints. A single universally best classifier is not identifiable from the reported comparisons.</ns0:t>
        </ns0:is>
      </ns0:c>
      <ns0:c r="F210" s="21" t="inlineStr">
        <ns0:is>
          <ns0:t>https://doi.org/10.1016/j.prime.2024.100602</ns0:t>
        </ns0:is>
      </ns0:c>
      <ns0:c r="G210" s="21" t="inlineStr">
        <ns0:is>
          <ns0:t>ChatGPT-assisted evidence recharting, 2026-09-08</ns0:t>
        </ns0:is>
      </ns0:c>
    </ns0:row>
    <ns0:row r="211" ht="42" customHeight="1">
      <ns0:c r="A211" s="19" t="inlineStr">
        <ns0:is>
          <ns0:t>36</ns0:t>
        </ns0:is>
      </ns0:c>
      <ns0:c r="B211" s="19" t="inlineStr">
        <ns0:is>
          <ns0:t>algorithm_main</ns0:t>
        </ns0:is>
      </ns0:c>
      <ns0:c r="C211" s="19" t="inlineStr">
        <ns0:is>
          <ns0:t>Logistic Regression</ns0:t>
        </ns0:is>
      </ns0:c>
      <ns0:c r="D211" s="19" t="inlineStr">
        <ns0:is>
          <ns0:t>Logistic regression / SVM (task-specific winners)</ns0:t>
        </ns0:is>
      </ns0:c>
      <ns0:c r="E211" s="19" t="inlineStr">
        <ns0:is>
          <ns0:t>Different models perform best across age-specific and pooled screening endpoints. A single universally best classifier is not identifiable from the reported comparisons.</ns0:t>
        </ns0:is>
      </ns0:c>
      <ns0:c r="F211" s="19" t="inlineStr">
        <ns0:is>
          <ns0:t>https://doi.org/10.1016/j.prime.2024.100602</ns0:t>
        </ns0:is>
      </ns0:c>
      <ns0:c r="G211" s="19" t="inlineStr">
        <ns0:is>
          <ns0:t>ChatGPT-assisted evidence recharting, 2026-09-08</ns0:t>
        </ns0:is>
      </ns0:c>
    </ns0:row>
    <ns0:row r="212" ht="42" customHeight="1">
      <ns0:c r="A212" s="21" t="inlineStr">
        <ns0:is>
          <ns0:t>36</ns0:t>
        </ns0:is>
      </ns0:c>
      <ns0:c r="B212" s="21" t="inlineStr">
        <ns0:is>
          <ns0:t>rq2_status</ns0:t>
        </ns0:is>
      </ns0:c>
      <ns0:c r="C212" s="21" t="inlineStr">
        <ns0:is>
          <ns0:t>Not adjudicated in master</ns0:t>
        </ns0:is>
      </ns0:c>
      <ns0:c r="D212" s="21" t="inlineStr">
        <ns0:is>
          <ns0:t>Research only</ns0:t>
        </ns0:is>
      </ns0:c>
      <ns0:c r="E212" s="21" t="inlineStr">
        <ns0:is>
          <ns0:t>Different models perform best across age-specific and pooled screening endpoints. A single universally best classifier is not identifiable from the reported comparisons.</ns0:t>
        </ns0:is>
      </ns0:c>
      <ns0:c r="F212" s="21" t="inlineStr">
        <ns0:is>
          <ns0:t>https://doi.org/10.1016/j.prime.2024.100602</ns0:t>
        </ns0:is>
      </ns0:c>
      <ns0:c r="G212" s="21" t="inlineStr">
        <ns0:is>
          <ns0:t>ChatGPT-assisted evidence recharting, 2026-09-08</ns0:t>
        </ns0:is>
      </ns0:c>
    </ns0:row>
    <ns0:row r="213" ht="42" customHeight="1">
      <ns0:c r="A213" s="19" t="inlineStr">
        <ns0:is>
          <ns0:t>36</ns0:t>
        </ns0:is>
      </ns0:c>
      <ns0:c r="B213" s="19" t="inlineStr">
        <ns0:is>
          <ns0:t>rq2_role</ns0:t>
        </ns0:is>
      </ns0:c>
      <ns0:c r="C213" s="19" t="inlineStr"/>
      <ns0:c r="D213" s="19" t="inlineStr">
        <ns0:is>
          <ns0:t>Triage/questionnaire assessment</ns0:t>
        </ns0:is>
      </ns0:c>
      <ns0:c r="E213" s="19" t="inlineStr">
        <ns0:is>
          <ns0:t>Different models perform best across age-specific and pooled screening endpoints. A single universally best classifier is not identifiable from the reported comparisons.</ns0:t>
        </ns0:is>
      </ns0:c>
      <ns0:c r="F213" s="19" t="inlineStr">
        <ns0:is>
          <ns0:t>https://doi.org/10.1016/j.prime.2024.100602</ns0:t>
        </ns0:is>
      </ns0:c>
      <ns0:c r="G213" s="19" t="inlineStr">
        <ns0:is>
          <ns0:t>ChatGPT-assisted evidence recharting, 2026-09-08</ns0:t>
        </ns0:is>
      </ns0:c>
    </ns0:row>
    <ns0:row r="214" ht="42" customHeight="1">
      <ns0:c r="A214" s="21" t="inlineStr">
        <ns0:is>
          <ns0:t>36</ns0:t>
        </ns0:is>
      </ns0:c>
      <ns0:c r="B214" s="21" t="inlineStr">
        <ns0:is>
          <ns0:t>decision_timing</ns0:t>
        </ns0:is>
      </ns0:c>
      <ns0:c r="C214" s="21" t="inlineStr"/>
      <ns0:c r="D214" s="21" t="inlineStr">
        <ns0:is>
          <ns0:t>Not observed in assessed sources</ns0:t>
        </ns0:is>
      </ns0:c>
      <ns0:c r="E214" s="21" t="inlineStr">
        <ns0:is>
          <ns0:t>Different models perform best across age-specific and pooled screening endpoints. A single universally best classifier is not identifiable from the reported comparisons.</ns0:t>
        </ns0:is>
      </ns0:c>
      <ns0:c r="F214" s="21" t="inlineStr">
        <ns0:is>
          <ns0:t>https://doi.org/10.1016/j.prime.2024.100602</ns0:t>
        </ns0:is>
      </ns0:c>
      <ns0:c r="G214" s="21" t="inlineStr">
        <ns0:is>
          <ns0:t>ChatGPT-assisted evidence recharting, 2026-09-08</ns0:t>
        </ns0:is>
      </ns0:c>
    </ns0:row>
    <ns0:row r="215" ht="42" customHeight="1">
      <ns0:c r="A215" s="19" t="inlineStr">
        <ns0:is>
          <ns0:t>37</ns0:t>
        </ns0:is>
      </ns0:c>
      <ns0:c r="B215" s="19" t="inlineStr">
        <ns0:is>
          <ns0:t>stage_primary</ns0:t>
        </ns0:is>
      </ns0:c>
      <ns0:c r="C215" s="19" t="inlineStr">
        <ns0:is>
          <ns0:t>Prognosis</ns0:t>
        </ns0:is>
      </ns0:c>
      <ns0:c r="D215" s="19" t="inlineStr">
        <ns0:is>
          <ns0:t>Screening</ns0:t>
        </ns0:is>
      </ns0:c>
      <ns0:c r="E215" s="19" t="inlineStr">
        <ns0:is>
          <ns0:t>Cross-sectional ASD classification, not temporal prognosis. Abstract identifies GRU but not the biomedical input source; distinct benchmark datasets do not establish fusion.</ns0:t>
        </ns0:is>
      </ns0:c>
      <ns0:c r="F215" s="19" t="inlineStr">
        <ns0:is>
          <ns0:t>https://doi.org/10.32604/cmc.2023.032586</ns0:t>
        </ns0:is>
      </ns0:c>
      <ns0:c r="G215" s="19" t="inlineStr">
        <ns0:is>
          <ns0:t>ChatGPT-assisted evidence recharting, 2026-09-08</ns0:t>
        </ns0:is>
      </ns0:c>
    </ns0:row>
    <ns0:row r="216" ht="42" customHeight="1">
      <ns0:c r="A216" s="21" t="inlineStr">
        <ns0:is>
          <ns0:t>37</ns0:t>
        </ns0:is>
      </ns0:c>
      <ns0:c r="B216" s="21" t="inlineStr">
        <ns0:is>
          <ns0:t>algorithm_main</ns0:t>
        </ns0:is>
      </ns0:c>
      <ns0:c r="C216" s="21" t="inlineStr">
        <ns0:is>
          <ns0:t>RNN/LSTM/GRU</ns0:t>
        </ns0:is>
      </ns0:c>
      <ns0:c r="D216" s="21" t="inlineStr">
        <ns0:is>
          <ns0:t>GRU optimized with jellyfish search and bacterial foraging</ns0:t>
        </ns0:is>
      </ns0:c>
      <ns0:c r="E216" s="21" t="inlineStr">
        <ns0:is>
          <ns0:t>Cross-sectional ASD classification, not temporal prognosis. Abstract identifies GRU but not the biomedical input source; distinct benchmark datasets do not establish fusion.</ns0:t>
        </ns0:is>
      </ns0:c>
      <ns0:c r="F216" s="21" t="inlineStr">
        <ns0:is>
          <ns0:t>https://doi.org/10.32604/cmc.2023.032586</ns0:t>
        </ns0:is>
      </ns0:c>
      <ns0:c r="G216" s="21" t="inlineStr">
        <ns0:is>
          <ns0:t>ChatGPT-assisted evidence recharting, 2026-09-08</ns0:t>
        </ns0:is>
      </ns0:c>
    </ns0:row>
    <ns0:row r="217" ht="42" customHeight="1">
      <ns0:c r="A217" s="19" t="inlineStr">
        <ns0:is>
          <ns0:t>37</ns0:t>
        </ns0:is>
      </ns0:c>
      <ns0:c r="B217" s="19" t="inlineStr">
        <ns0:is>
          <ns0:t>rq2_status</ns0:t>
        </ns0:is>
      </ns0:c>
      <ns0:c r="C217" s="19" t="inlineStr">
        <ns0:is>
          <ns0:t>Not adjudicated in master</ns0:t>
        </ns0:is>
      </ns0:c>
      <ns0:c r="D217" s="19" t="inlineStr">
        <ns0:is>
          <ns0:t>Research only</ns0:t>
        </ns0:is>
      </ns0:c>
      <ns0:c r="E217" s="19" t="inlineStr">
        <ns0:is>
          <ns0:t>Cross-sectional ASD classification, not temporal prognosis. Abstract identifies GRU but not the biomedical input source; distinct benchmark datasets do not establish fusion.</ns0:t>
        </ns0:is>
      </ns0:c>
      <ns0:c r="F217" s="19" t="inlineStr">
        <ns0:is>
          <ns0:t>https://doi.org/10.32604/cmc.2023.032586</ns0:t>
        </ns0:is>
      </ns0:c>
      <ns0:c r="G217" s="19" t="inlineStr">
        <ns0:is>
          <ns0:t>ChatGPT-assisted evidence recharting, 2026-09-08</ns0:t>
        </ns0:is>
      </ns0:c>
    </ns0:row>
    <ns0:row r="218" ht="42" customHeight="1">
      <ns0:c r="A218" s="21" t="inlineStr">
        <ns0:is>
          <ns0:t>37</ns0:t>
        </ns0:is>
      </ns0:c>
      <ns0:c r="B218" s="21" t="inlineStr">
        <ns0:is>
          <ns0:t>rq2_role</ns0:t>
        </ns0:is>
      </ns0:c>
      <ns0:c r="C218" s="21" t="inlineStr"/>
      <ns0:c r="D218" s="21" t="inlineStr">
        <ns0:is>
          <ns0:t>Triage/questionnaire assessment</ns0:t>
        </ns0:is>
      </ns0:c>
      <ns0:c r="E218" s="21" t="inlineStr">
        <ns0:is>
          <ns0:t>Cross-sectional ASD classification, not temporal prognosis. Abstract identifies GRU but not the biomedical input source; distinct benchmark datasets do not establish fusion.</ns0:t>
        </ns0:is>
      </ns0:c>
      <ns0:c r="F218" s="21" t="inlineStr">
        <ns0:is>
          <ns0:t>https://doi.org/10.32604/cmc.2023.032586</ns0:t>
        </ns0:is>
      </ns0:c>
      <ns0:c r="G218" s="21" t="inlineStr">
        <ns0:is>
          <ns0:t>ChatGPT-assisted evidence recharting, 2026-09-08</ns0:t>
        </ns0:is>
      </ns0:c>
    </ns0:row>
    <ns0:row r="219" ht="42" customHeight="1">
      <ns0:c r="A219" s="19" t="inlineStr">
        <ns0:is>
          <ns0:t>37</ns0:t>
        </ns0:is>
      </ns0:c>
      <ns0:c r="B219" s="19" t="inlineStr">
        <ns0:is>
          <ns0:t>decision_timing</ns0:t>
        </ns0:is>
      </ns0:c>
      <ns0:c r="C219" s="19" t="inlineStr"/>
      <ns0:c r="D219" s="19" t="inlineStr">
        <ns0:is>
          <ns0:t>Not observed in assessed sources</ns0:t>
        </ns0:is>
      </ns0:c>
      <ns0:c r="E219" s="19" t="inlineStr">
        <ns0:is>
          <ns0:t>Cross-sectional ASD classification, not temporal prognosis. Abstract identifies GRU but not the biomedical input source; distinct benchmark datasets do not establish fusion.</ns0:t>
        </ns0:is>
      </ns0:c>
      <ns0:c r="F219" s="19" t="inlineStr">
        <ns0:is>
          <ns0:t>https://doi.org/10.32604/cmc.2023.032586</ns0:t>
        </ns0:is>
      </ns0:c>
      <ns0:c r="G219" s="19" t="inlineStr">
        <ns0:is>
          <ns0:t>ChatGPT-assisted evidence recharting, 2026-09-08</ns0:t>
        </ns0:is>
      </ns0:c>
    </ns0:row>
    <ns0:row r="220" ht="42" customHeight="1">
      <ns0:c r="A220" s="21" t="inlineStr">
        <ns0:is>
          <ns0:t>37</ns0:t>
        </ns0:is>
      </ns0:c>
      <ns0:c r="B220" s="21" t="inlineStr">
        <ns0:is>
          <ns0:t>multisource_data</ns0:t>
        </ns0:is>
      </ns0:c>
      <ns0:c r="C220" s="21" t="inlineStr">
        <ns0:is>
          <ns0:t>Reported</ns0:t>
        </ns0:is>
      </ns0:c>
      <ns0:c r="D220" s="21" t="inlineStr">
        <ns0:is>
          <ns0:t>Not reported in assessed sources</ns0:t>
        </ns0:is>
      </ns0:c>
      <ns0:c r="E220" s="21" t="inlineStr">
        <ns0:is>
          <ns0:t>Cross-sectional ASD classification, not temporal prognosis. Abstract identifies GRU but not the biomedical input source; distinct benchmark datasets do not establish fusion.</ns0:t>
        </ns0:is>
      </ns0:c>
      <ns0:c r="F220" s="21" t="inlineStr">
        <ns0:is>
          <ns0:t>https://doi.org/10.32604/cmc.2023.032586</ns0:t>
        </ns0:is>
      </ns0:c>
      <ns0:c r="G220" s="21" t="inlineStr">
        <ns0:is>
          <ns0:t>ChatGPT-assisted evidence recharting, 2026-09-08</ns0:t>
        </ns0:is>
      </ns0:c>
    </ns0:row>
    <ns0:row r="221" ht="42" customHeight="1">
      <ns0:c r="A221" s="19" t="inlineStr">
        <ns0:is>
          <ns0:t>38</ns0:t>
        </ns0:is>
      </ns0:c>
      <ns0:c r="B221" s="19" t="inlineStr">
        <ns0:is>
          <ns0:t>stage_primary</ns0:t>
        </ns0:is>
      </ns0:c>
      <ns0:c r="C221" s="19" t="inlineStr">
        <ns0:is>
          <ns0:t>Diagnosis</ns0:t>
        </ns0:is>
      </ns0:c>
      <ns0:c r="D221" s="19" t="inlineStr">
        <ns0:is>
          <ns0:t>Prognosis</ns0:t>
        </ns0:is>
      </ns0:c>
      <ns0:c r="E221" s="19" t="inlineStr">
        <ns0:is>
          <ns0:t>Retrospective pregnancy and birth measurements predict later ASD. Numeric ultrasound measurements are structured records, not raw imaging inputs. SHAP is explicitly documented in source coding notes.</ns0:t>
        </ns0:is>
      </ns0:c>
      <ns0:c r="F221" s="19" t="inlineStr">
        <ns0:is>
          <ns0:t>https://doi.org/10.1038/s41598-021-86320-0</ns0:t>
        </ns0:is>
      </ns0:c>
      <ns0:c r="G221" s="19" t="inlineStr">
        <ns0:is>
          <ns0:t>ChatGPT-assisted evidence recharting, 2026-09-08</ns0:t>
        </ns0:is>
      </ns0:c>
    </ns0:row>
    <ns0:row r="222" ht="42" customHeight="1">
      <ns0:c r="A222" s="21" t="inlineStr">
        <ns0:is>
          <ns0:t>38</ns0:t>
        </ns0:is>
      </ns0:c>
      <ns0:c r="B222" s="21" t="inlineStr">
        <ns0:is>
          <ns0:t>data_source_primary</ns0:t>
        </ns0:is>
      </ns0:c>
      <ns0:c r="C222" s="21" t="inlineStr">
        <ns0:is>
          <ns0:t>Image (subtype unresolved)</ns0:t>
        </ns0:is>
      </ns0:c>
      <ns0:c r="D222" s="21" t="inlineStr">
        <ns0:is>
          <ns0:t>Structured clinical/questionnaire data</ns0:t>
        </ns0:is>
      </ns0:c>
      <ns0:c r="E222" s="21" t="inlineStr">
        <ns0:is>
          <ns0:t>Retrospective pregnancy and birth measurements predict later ASD. Numeric ultrasound measurements are structured records, not raw imaging inputs. SHAP is explicitly documented in source coding notes.</ns0:t>
        </ns0:is>
      </ns0:c>
      <ns0:c r="F222" s="21" t="inlineStr">
        <ns0:is>
          <ns0:t>https://doi.org/10.1038/s41598-021-86320-0</ns0:t>
        </ns0:is>
      </ns0:c>
      <ns0:c r="G222" s="21" t="inlineStr">
        <ns0:is>
          <ns0:t>ChatGPT-assisted evidence recharting, 2026-09-08</ns0:t>
        </ns0:is>
      </ns0:c>
    </ns0:row>
    <ns0:row r="223" ht="42" customHeight="1">
      <ns0:c r="A223" s="19" t="inlineStr">
        <ns0:is>
          <ns0:t>38</ns0:t>
        </ns0:is>
      </ns0:c>
      <ns0:c r="B223" s="19" t="inlineStr">
        <ns0:is>
          <ns0:t>algorithm_main</ns0:t>
        </ns0:is>
      </ns0:c>
      <ns0:c r="C223" s="19" t="inlineStr">
        <ns0:is>
          <ns0:t>XGBoost / GBDT</ns0:t>
        </ns0:is>
      </ns0:c>
      <ns0:c r="D223" s="19" t="inlineStr">
        <ns0:is>
          <ns0:t>XGBoost</ns0:t>
        </ns0:is>
      </ns0:c>
      <ns0:c r="E223" s="19" t="inlineStr">
        <ns0:is>
          <ns0:t>Retrospective pregnancy and birth measurements predict later ASD. Numeric ultrasound measurements are structured records, not raw imaging inputs. SHAP is explicitly documented in source coding notes.</ns0:t>
        </ns0:is>
      </ns0:c>
      <ns0:c r="F223" s="19" t="inlineStr">
        <ns0:is>
          <ns0:t>https://doi.org/10.1038/s41598-021-86320-0</ns0:t>
        </ns0:is>
      </ns0:c>
      <ns0:c r="G223" s="19" t="inlineStr">
        <ns0:is>
          <ns0:t>ChatGPT-assisted evidence recharting, 2026-09-08</ns0:t>
        </ns0:is>
      </ns0:c>
    </ns0:row>
    <ns0:row r="224" ht="42" customHeight="1">
      <ns0:c r="A224" s="21" t="inlineStr">
        <ns0:is>
          <ns0:t>38</ns0:t>
        </ns0:is>
      </ns0:c>
      <ns0:c r="B224" s="21" t="inlineStr">
        <ns0:is>
          <ns0:t>rq2_status</ns0:t>
        </ns0:is>
      </ns0:c>
      <ns0:c r="C224" s="21" t="inlineStr">
        <ns0:is>
          <ns0:t>Not adjudicated in master</ns0:t>
        </ns0:is>
      </ns0:c>
      <ns0:c r="D224" s="21" t="inlineStr">
        <ns0:is>
          <ns0:t>Proposed only</ns0:t>
        </ns0:is>
      </ns0:c>
      <ns0:c r="E224" s="21" t="inlineStr">
        <ns0:is>
          <ns0:t>Retrospective pregnancy and birth measurements predict later ASD. Numeric ultrasound measurements are structured records, not raw imaging inputs. SHAP is explicitly documented in source coding notes.</ns0:t>
        </ns0:is>
      </ns0:c>
      <ns0:c r="F224" s="21" t="inlineStr">
        <ns0:is>
          <ns0:t>https://doi.org/10.1038/s41598-021-86320-0</ns0:t>
        </ns0:is>
      </ns0:c>
      <ns0:c r="G224" s="21" t="inlineStr">
        <ns0:is>
          <ns0:t>ChatGPT-assisted evidence recharting, 2026-09-08</ns0:t>
        </ns0:is>
      </ns0:c>
    </ns0:row>
    <ns0:row r="225" ht="42" customHeight="1">
      <ns0:c r="A225" s="19" t="inlineStr">
        <ns0:is>
          <ns0:t>38</ns0:t>
        </ns0:is>
      </ns0:c>
      <ns0:c r="B225" s="19" t="inlineStr">
        <ns0:is>
          <ns0:t>rq2_role</ns0:t>
        </ns0:is>
      </ns0:c>
      <ns0:c r="C225" s="19" t="inlineStr"/>
      <ns0:c r="D225" s="19" t="inlineStr">
        <ns0:is>
          <ns0:t>Risk/trajectory estimation</ns0:t>
        </ns0:is>
      </ns0:c>
      <ns0:c r="E225" s="19" t="inlineStr">
        <ns0:is>
          <ns0:t>Retrospective pregnancy and birth measurements predict later ASD. Numeric ultrasound measurements are structured records, not raw imaging inputs. SHAP is explicitly documented in source coding notes.</ns0:t>
        </ns0:is>
      </ns0:c>
      <ns0:c r="F225" s="19" t="inlineStr">
        <ns0:is>
          <ns0:t>https://doi.org/10.1038/s41598-021-86320-0</ns0:t>
        </ns0:is>
      </ns0:c>
      <ns0:c r="G225" s="19" t="inlineStr">
        <ns0:is>
          <ns0:t>ChatGPT-assisted evidence recharting, 2026-09-08</ns0:t>
        </ns0:is>
      </ns0:c>
    </ns0:row>
    <ns0:row r="226" ht="42" customHeight="1">
      <ns0:c r="A226" s="21" t="inlineStr">
        <ns0:is>
          <ns0:t>38</ns0:t>
        </ns0:is>
      </ns0:c>
      <ns0:c r="B226" s="21" t="inlineStr">
        <ns0:is>
          <ns0:t>decision_timing</ns0:t>
        </ns0:is>
      </ns0:c>
      <ns0:c r="C226" s="21" t="inlineStr"/>
      <ns0:c r="D226" s="21" t="inlineStr">
        <ns0:is>
          <ns0:t>Pre-decision</ns0:t>
        </ns0:is>
      </ns0:c>
      <ns0:c r="E226" s="21" t="inlineStr">
        <ns0:is>
          <ns0:t>Retrospective pregnancy and birth measurements predict later ASD. Numeric ultrasound measurements are structured records, not raw imaging inputs. SHAP is explicitly documented in source coding notes.</ns0:t>
        </ns0:is>
      </ns0:c>
      <ns0:c r="F226" s="21" t="inlineStr">
        <ns0:is>
          <ns0:t>https://doi.org/10.1038/s41598-021-86320-0</ns0:t>
        </ns0:is>
      </ns0:c>
      <ns0:c r="G226" s="21" t="inlineStr">
        <ns0:is>
          <ns0:t>ChatGPT-assisted evidence recharting, 2026-09-08</ns0:t>
        </ns0:is>
      </ns0:c>
    </ns0:row>
    <ns0:row r="227" ht="42" customHeight="1">
      <ns0:c r="A227" s="19" t="inlineStr">
        <ns0:is>
          <ns0:t>39</ns0:t>
        </ns0:is>
      </ns0:c>
      <ns0:c r="B227" s="19" t="inlineStr">
        <ns0:is>
          <ns0:t>data_source_primary</ns0:t>
        </ns0:is>
      </ns0:c>
      <ns0:c r="C227" s="19" t="inlineStr">
        <ns0:is>
          <ns0:t>Not specified</ns0:t>
        </ns0:is>
      </ns0:c>
      <ns0:c r="D227" s="19" t="inlineStr">
        <ns0:is>
          <ns0:t>Biological/omics</ns0:t>
        </ns0:is>
      </ns0:c>
      <ns0:c r="E227" s="19" t="inlineStr">
        <ns0:is>
          <ns0:t>Blood RNA sequencing classifier; abstract calls for further independent validation, not a deployed diagnostic workflow.</ns0:t>
        </ns0:is>
      </ns0:c>
      <ns0:c r="F227" s="19" t="inlineStr">
        <ns0:is>
          <ns0:t>https://doi.org/10.3390/ijms24032082</ns0:t>
        </ns0:is>
      </ns0:c>
      <ns0:c r="G227" s="19" t="inlineStr">
        <ns0:is>
          <ns0:t>ChatGPT-assisted evidence recharting, 2026-09-08</ns0:t>
        </ns0:is>
      </ns0:c>
    </ns0:row>
    <ns0:row r="228" ht="42" customHeight="1">
      <ns0:c r="A228" s="21" t="inlineStr">
        <ns0:is>
          <ns0:t>39</ns0:t>
        </ns0:is>
      </ns0:c>
      <ns0:c r="B228" s="21" t="inlineStr">
        <ns0:is>
          <ns0:t>algorithm_main</ns0:t>
        </ns0:is>
      </ns0:c>
      <ns0:c r="C228" s="21" t="inlineStr">
        <ns0:is>
          <ns0:t>Random Forest</ns0:t>
        </ns0:is>
      </ns0:c>
      <ns0:c r="D228" s="21" t="inlineStr">
        <ns0:is>
          <ns0:t>Random forest</ns0:t>
        </ns0:is>
      </ns0:c>
      <ns0:c r="E228" s="21" t="inlineStr">
        <ns0:is>
          <ns0:t>Blood RNA sequencing classifier; abstract calls for further independent validation, not a deployed diagnostic workflow.</ns0:t>
        </ns0:is>
      </ns0:c>
      <ns0:c r="F228" s="21" t="inlineStr">
        <ns0:is>
          <ns0:t>https://doi.org/10.3390/ijms24032082</ns0:t>
        </ns0:is>
      </ns0:c>
      <ns0:c r="G228" s="21" t="inlineStr">
        <ns0:is>
          <ns0:t>ChatGPT-assisted evidence recharting, 2026-09-08</ns0:t>
        </ns0:is>
      </ns0:c>
    </ns0:row>
    <ns0:row r="229" ht="42" customHeight="1">
      <ns0:c r="A229" s="19" t="inlineStr">
        <ns0:is>
          <ns0:t>39</ns0:t>
        </ns0:is>
      </ns0:c>
      <ns0:c r="B229" s="19" t="inlineStr">
        <ns0:is>
          <ns0:t>rq2_status</ns0:t>
        </ns0:is>
      </ns0:c>
      <ns0:c r="C229" s="19" t="inlineStr">
        <ns0:is>
          <ns0:t>Not adjudicated in master</ns0:t>
        </ns0:is>
      </ns0:c>
      <ns0:c r="D229" s="19" t="inlineStr">
        <ns0:is>
          <ns0:t>Research only</ns0:t>
        </ns0:is>
      </ns0:c>
      <ns0:c r="E229" s="19" t="inlineStr">
        <ns0:is>
          <ns0:t>Blood RNA sequencing classifier; abstract calls for further independent validation, not a deployed diagnostic workflow.</ns0:t>
        </ns0:is>
      </ns0:c>
      <ns0:c r="F229" s="19" t="inlineStr">
        <ns0:is>
          <ns0:t>https://doi.org/10.3390/ijms24032082</ns0:t>
        </ns0:is>
      </ns0:c>
      <ns0:c r="G229" s="19" t="inlineStr">
        <ns0:is>
          <ns0:t>ChatGPT-assisted evidence recharting, 2026-09-08</ns0:t>
        </ns0:is>
      </ns0:c>
    </ns0:row>
    <ns0:row r="230" ht="42" customHeight="1">
      <ns0:c r="A230" s="21" t="inlineStr">
        <ns0:is>
          <ns0:t>39</ns0:t>
        </ns0:is>
      </ns0:c>
      <ns0:c r="B230" s="21" t="inlineStr">
        <ns0:is>
          <ns0:t>rq2_role</ns0:t>
        </ns0:is>
      </ns0:c>
      <ns0:c r="C230" s="21" t="inlineStr"/>
      <ns0:c r="D230" s="21" t="inlineStr">
        <ns0:is>
          <ns0:t>Automated measurement/classification</ns0:t>
        </ns0:is>
      </ns0:c>
      <ns0:c r="E230" s="21" t="inlineStr">
        <ns0:is>
          <ns0:t>Blood RNA sequencing classifier; abstract calls for further independent validation, not a deployed diagnostic workflow.</ns0:t>
        </ns0:is>
      </ns0:c>
      <ns0:c r="F230" s="21" t="inlineStr">
        <ns0:is>
          <ns0:t>https://doi.org/10.3390/ijms24032082</ns0:t>
        </ns0:is>
      </ns0:c>
      <ns0:c r="G230" s="21" t="inlineStr">
        <ns0:is>
          <ns0:t>ChatGPT-assisted evidence recharting, 2026-09-08</ns0:t>
        </ns0:is>
      </ns0:c>
    </ns0:row>
    <ns0:row r="231" ht="42" customHeight="1">
      <ns0:c r="A231" s="19" t="inlineStr">
        <ns0:is>
          <ns0:t>39</ns0:t>
        </ns0:is>
      </ns0:c>
      <ns0:c r="B231" s="19" t="inlineStr">
        <ns0:is>
          <ns0:t>decision_timing</ns0:t>
        </ns0:is>
      </ns0:c>
      <ns0:c r="C231" s="19" t="inlineStr"/>
      <ns0:c r="D231" s="19" t="inlineStr">
        <ns0:is>
          <ns0:t>Not observed in assessed sources</ns0:t>
        </ns0:is>
      </ns0:c>
      <ns0:c r="E231" s="19" t="inlineStr">
        <ns0:is>
          <ns0:t>Blood RNA sequencing classifier; abstract calls for further independent validation, not a deployed diagnostic workflow.</ns0:t>
        </ns0:is>
      </ns0:c>
      <ns0:c r="F231" s="19" t="inlineStr">
        <ns0:is>
          <ns0:t>https://doi.org/10.3390/ijms24032082</ns0:t>
        </ns0:is>
      </ns0:c>
      <ns0:c r="G231" s="19" t="inlineStr">
        <ns0:is>
          <ns0:t>ChatGPT-assisted evidence recharting, 2026-09-08</ns0:t>
        </ns0:is>
      </ns0:c>
    </ns0:row>
    <ns0:row r="232" ht="42" customHeight="1">
      <ns0:c r="A232" s="21" t="inlineStr">
        <ns0:is>
          <ns0:t>40</ns0:t>
        </ns0:is>
      </ns0:c>
      <ns0:c r="B232" s="21" t="inlineStr">
        <ns0:is>
          <ns0:t>stage_primary</ns0:t>
        </ns0:is>
      </ns0:c>
      <ns0:c r="C232" s="21" t="inlineStr">
        <ns0:is>
          <ns0:t>Diagnosis</ns0:t>
        </ns0:is>
      </ns0:c>
      <ns0:c r="D232" s="21" t="inlineStr">
        <ns0:is>
          <ns0:t>Prognosis</ns0:t>
        </ns0:is>
      </ns0:c>
      <ns0:c r="E232" s="21" t="inlineStr">
        <ns0:is>
          <ns0:t>Maternal mid-gestation and cord-blood metabolomic profiles predict subsequent ASD. Source describes separate analyses, not demonstrated combined-input prediction.</ns0:t>
        </ns0:is>
      </ns0:c>
      <ns0:c r="F232" s="21" t="inlineStr">
        <ns0:is>
          <ns0:t>https://doi.org/10.1038/s41380-023-02051-w</ns0:t>
        </ns0:is>
      </ns0:c>
      <ns0:c r="G232" s="21" t="inlineStr">
        <ns0:is>
          <ns0:t>ChatGPT-assisted evidence recharting, 2026-09-08</ns0:t>
        </ns0:is>
      </ns0:c>
    </ns0:row>
    <ns0:row r="233" ht="42" customHeight="1">
      <ns0:c r="A233" s="19" t="inlineStr">
        <ns0:is>
          <ns0:t>40</ns0:t>
        </ns0:is>
      </ns0:c>
      <ns0:c r="B233" s="19" t="inlineStr">
        <ns0:is>
          <ns0:t>data_source_primary</ns0:t>
        </ns0:is>
      </ns0:c>
      <ns0:c r="C233" s="19" t="inlineStr">
        <ns0:is>
          <ns0:t>Not specified</ns0:t>
        </ns0:is>
      </ns0:c>
      <ns0:c r="D233" s="19" t="inlineStr">
        <ns0:is>
          <ns0:t>Biological/omics</ns0:t>
        </ns0:is>
      </ns0:c>
      <ns0:c r="E233" s="19" t="inlineStr">
        <ns0:is>
          <ns0:t>Maternal mid-gestation and cord-blood metabolomic profiles predict subsequent ASD. Source describes separate analyses, not demonstrated combined-input prediction.</ns0:t>
        </ns0:is>
      </ns0:c>
      <ns0:c r="F233" s="19" t="inlineStr">
        <ns0:is>
          <ns0:t>https://doi.org/10.1038/s41380-023-02051-w</ns0:t>
        </ns0:is>
      </ns0:c>
      <ns0:c r="G233" s="19" t="inlineStr">
        <ns0:is>
          <ns0:t>ChatGPT-assisted evidence recharting, 2026-09-08</ns0:t>
        </ns0:is>
      </ns0:c>
    </ns0:row>
    <ns0:row r="234" ht="42" customHeight="1">
      <ns0:c r="A234" s="21" t="inlineStr">
        <ns0:is>
          <ns0:t>40</ns0:t>
        </ns0:is>
      </ns0:c>
      <ns0:c r="B234" s="21" t="inlineStr">
        <ns0:is>
          <ns0:t>algorithm_main</ns0:t>
        </ns0:is>
      </ns0:c>
      <ns0:c r="C234" s="21" t="inlineStr">
        <ns0:is>
          <ns0:t>Not clear</ns0:t>
        </ns0:is>
      </ns0:c>
      <ns0:c r="D234" s="21" t="inlineStr">
        <ns0:is>
          <ns0:t>Multiple machine-learning classifiers; principal family unresolved</ns0:t>
        </ns0:is>
      </ns0:c>
      <ns0:c r="E234" s="21" t="inlineStr">
        <ns0:is>
          <ns0:t>Maternal mid-gestation and cord-blood metabolomic profiles predict subsequent ASD. Source describes separate analyses, not demonstrated combined-input prediction.</ns0:t>
        </ns0:is>
      </ns0:c>
      <ns0:c r="F234" s="21" t="inlineStr">
        <ns0:is>
          <ns0:t>https://doi.org/10.1038/s41380-023-02051-w</ns0:t>
        </ns0:is>
      </ns0:c>
      <ns0:c r="G234" s="21" t="inlineStr">
        <ns0:is>
          <ns0:t>ChatGPT-assisted evidence recharting, 2026-09-08</ns0:t>
        </ns0:is>
      </ns0:c>
    </ns0:row>
    <ns0:row r="235" ht="42" customHeight="1">
      <ns0:c r="A235" s="19" t="inlineStr">
        <ns0:is>
          <ns0:t>40</ns0:t>
        </ns0:is>
      </ns0:c>
      <ns0:c r="B235" s="19" t="inlineStr">
        <ns0:is>
          <ns0:t>rq2_status</ns0:t>
        </ns0:is>
      </ns0:c>
      <ns0:c r="C235" s="19" t="inlineStr">
        <ns0:is>
          <ns0:t>Not adjudicated in master</ns0:t>
        </ns0:is>
      </ns0:c>
      <ns0:c r="D235" s="19" t="inlineStr">
        <ns0:is>
          <ns0:t>Research only</ns0:t>
        </ns0:is>
      </ns0:c>
      <ns0:c r="E235" s="19" t="inlineStr">
        <ns0:is>
          <ns0:t>Maternal mid-gestation and cord-blood metabolomic profiles predict subsequent ASD. Source describes separate analyses, not demonstrated combined-input prediction.</ns0:t>
        </ns0:is>
      </ns0:c>
      <ns0:c r="F235" s="19" t="inlineStr">
        <ns0:is>
          <ns0:t>https://doi.org/10.1038/s41380-023-02051-w</ns0:t>
        </ns0:is>
      </ns0:c>
      <ns0:c r="G235" s="19" t="inlineStr">
        <ns0:is>
          <ns0:t>ChatGPT-assisted evidence recharting, 2026-09-08</ns0:t>
        </ns0:is>
      </ns0:c>
    </ns0:row>
    <ns0:row r="236" ht="42" customHeight="1">
      <ns0:c r="A236" s="21" t="inlineStr">
        <ns0:is>
          <ns0:t>40</ns0:t>
        </ns0:is>
      </ns0:c>
      <ns0:c r="B236" s="21" t="inlineStr">
        <ns0:is>
          <ns0:t>rq2_role</ns0:t>
        </ns0:is>
      </ns0:c>
      <ns0:c r="C236" s="21" t="inlineStr"/>
      <ns0:c r="D236" s="21" t="inlineStr">
        <ns0:is>
          <ns0:t>Risk/trajectory estimation</ns0:t>
        </ns0:is>
      </ns0:c>
      <ns0:c r="E236" s="21" t="inlineStr">
        <ns0:is>
          <ns0:t>Maternal mid-gestation and cord-blood metabolomic profiles predict subsequent ASD. Source describes separate analyses, not demonstrated combined-input prediction.</ns0:t>
        </ns0:is>
      </ns0:c>
      <ns0:c r="F236" s="21" t="inlineStr">
        <ns0:is>
          <ns0:t>https://doi.org/10.1038/s41380-023-02051-w</ns0:t>
        </ns0:is>
      </ns0:c>
      <ns0:c r="G236" s="21" t="inlineStr">
        <ns0:is>
          <ns0:t>ChatGPT-assisted evidence recharting, 2026-09-08</ns0:t>
        </ns0:is>
      </ns0:c>
    </ns0:row>
    <ns0:row r="237" ht="42" customHeight="1">
      <ns0:c r="A237" s="19" t="inlineStr">
        <ns0:is>
          <ns0:t>40</ns0:t>
        </ns0:is>
      </ns0:c>
      <ns0:c r="B237" s="19" t="inlineStr">
        <ns0:is>
          <ns0:t>decision_timing</ns0:t>
        </ns0:is>
      </ns0:c>
      <ns0:c r="C237" s="19" t="inlineStr"/>
      <ns0:c r="D237" s="19" t="inlineStr">
        <ns0:is>
          <ns0:t>Not observed in assessed sources</ns0:t>
        </ns0:is>
      </ns0:c>
      <ns0:c r="E237" s="19" t="inlineStr">
        <ns0:is>
          <ns0:t>Maternal mid-gestation and cord-blood metabolomic profiles predict subsequent ASD. Source describes separate analyses, not demonstrated combined-input prediction.</ns0:t>
        </ns0:is>
      </ns0:c>
      <ns0:c r="F237" s="19" t="inlineStr">
        <ns0:is>
          <ns0:t>https://doi.org/10.1038/s41380-023-02051-w</ns0:t>
        </ns0:is>
      </ns0:c>
      <ns0:c r="G237" s="19" t="inlineStr">
        <ns0:is>
          <ns0:t>ChatGPT-assisted evidence recharting, 2026-09-08</ns0:t>
        </ns0:is>
      </ns0:c>
    </ns0:row>
    <ns0:row r="238" ht="42" customHeight="1">
      <ns0:c r="A238" s="21" t="inlineStr">
        <ns0:is>
          <ns0:t>40</ns0:t>
        </ns0:is>
      </ns0:c>
      <ns0:c r="B238" s="21" t="inlineStr">
        <ns0:is>
          <ns0:t>multisource_data</ns0:t>
        </ns0:is>
      </ns0:c>
      <ns0:c r="C238" s="21" t="inlineStr">
        <ns0:is>
          <ns0:t>Not reported in assessed sources</ns0:t>
        </ns0:is>
      </ns0:c>
      <ns0:c r="D238" s="21" t="inlineStr">
        <ns0:is>
          <ns0:t>Reported</ns0:t>
        </ns0:is>
      </ns0:c>
      <ns0:c r="E238" s="21" t="inlineStr">
        <ns0:is>
          <ns0:t>Maternal mid-gestation and cord-blood metabolomic profiles predict subsequent ASD. Source describes separate analyses, not demonstrated combined-input prediction.</ns0:t>
        </ns0:is>
      </ns0:c>
      <ns0:c r="F238" s="21" t="inlineStr">
        <ns0:is>
          <ns0:t>https://doi.org/10.1038/s41380-023-02051-w</ns0:t>
        </ns0:is>
      </ns0:c>
      <ns0:c r="G238" s="21" t="inlineStr">
        <ns0:is>
          <ns0:t>ChatGPT-assisted evidence recharting, 2026-09-08</ns0:t>
        </ns0:is>
      </ns0:c>
    </ns0:row>
    <ns0:row r="239" ht="42" customHeight="1">
      <ns0:c r="A239" s="19" t="inlineStr">
        <ns0:is>
          <ns0:t>41</ns0:t>
        </ns0:is>
      </ns0:c>
      <ns0:c r="B239" s="19" t="inlineStr">
        <ns0:is>
          <ns0:t>ai_type</ns0:t>
        </ns0:is>
      </ns0:c>
      <ns0:c r="C239" s="19" t="inlineStr">
        <ns0:is>
          <ns0:t>Not specified</ns0:t>
        </ns0:is>
      </ns0:c>
      <ns0:c r="D239" s="19" t="inlineStr">
        <ns0:is>
          <ns0:t>Machine Learning</ns0:t>
        </ns0:is>
      </ns0:c>
      <ns0:c r="E239" s="19" t="inlineStr">
        <ns0:is>
          <ns0:t>Retrospective predictors of age at diagnosis; relevant care-pathway characterization but no uniquely supported prospective clinical stage.</ns0:t>
        </ns0:is>
      </ns0:c>
      <ns0:c r="F239" s="19" t="inlineStr">
        <ns0:is>
          <ns0:t>https://doi.org/10.1007/s00787-023-02189-6</ns0:t>
        </ns0:is>
      </ns0:c>
      <ns0:c r="G239" s="19" t="inlineStr">
        <ns0:is>
          <ns0:t>ChatGPT-assisted evidence recharting, 2026-09-08</ns0:t>
        </ns0:is>
      </ns0:c>
    </ns0:row>
    <ns0:row r="240" ht="42" customHeight="1">
      <ns0:c r="A240" s="21" t="inlineStr">
        <ns0:is>
          <ns0:t>41</ns0:t>
        </ns0:is>
      </ns0:c>
      <ns0:c r="B240" s="21" t="inlineStr">
        <ns0:is>
          <ns0:t>data_source_primary</ns0:t>
        </ns0:is>
      </ns0:c>
      <ns0:c r="C240" s="21" t="inlineStr">
        <ns0:is>
          <ns0:t>Not specified</ns0:t>
        </ns0:is>
      </ns0:c>
      <ns0:c r="D240" s="21" t="inlineStr">
        <ns0:is>
          <ns0:t>Structured clinical/questionnaire data</ns0:t>
        </ns0:is>
      </ns0:c>
      <ns0:c r="E240" s="21" t="inlineStr">
        <ns0:is>
          <ns0:t>Retrospective predictors of age at diagnosis; relevant care-pathway characterization but no uniquely supported prospective clinical stage.</ns0:t>
        </ns0:is>
      </ns0:c>
      <ns0:c r="F240" s="21" t="inlineStr">
        <ns0:is>
          <ns0:t>https://doi.org/10.1007/s00787-023-02189-6</ns0:t>
        </ns0:is>
      </ns0:c>
      <ns0:c r="G240" s="21" t="inlineStr">
        <ns0:is>
          <ns0:t>ChatGPT-assisted evidence recharting, 2026-09-08</ns0:t>
        </ns0:is>
      </ns0:c>
    </ns0:row>
    <ns0:row r="241" ht="42" customHeight="1">
      <ns0:c r="A241" s="19" t="inlineStr">
        <ns0:is>
          <ns0:t>41</ns0:t>
        </ns0:is>
      </ns0:c>
      <ns0:c r="B241" s="19" t="inlineStr">
        <ns0:is>
          <ns0:t>algorithm_main</ns0:t>
        </ns0:is>
      </ns0:c>
      <ns0:c r="C241" s="19" t="inlineStr">
        <ns0:is>
          <ns0:t>Decision Tree</ns0:t>
        </ns0:is>
      </ns0:c>
      <ns0:c r="D241" s="19" t="inlineStr">
        <ns0:is>
          <ns0:t>Regression and classification tree</ns0:t>
        </ns0:is>
      </ns0:c>
      <ns0:c r="E241" s="19" t="inlineStr">
        <ns0:is>
          <ns0:t>Retrospective predictors of age at diagnosis; relevant care-pathway characterization but no uniquely supported prospective clinical stage.</ns0:t>
        </ns0:is>
      </ns0:c>
      <ns0:c r="F241" s="19" t="inlineStr">
        <ns0:is>
          <ns0:t>https://doi.org/10.1007/s00787-023-02189-6</ns0:t>
        </ns0:is>
      </ns0:c>
      <ns0:c r="G241" s="19" t="inlineStr">
        <ns0:is>
          <ns0:t>ChatGPT-assisted evidence recharting, 2026-09-08</ns0:t>
        </ns0:is>
      </ns0:c>
    </ns0:row>
    <ns0:row r="242" ht="42" customHeight="1">
      <ns0:c r="A242" s="21" t="inlineStr">
        <ns0:is>
          <ns0:t>41</ns0:t>
        </ns0:is>
      </ns0:c>
      <ns0:c r="B242" s="21" t="inlineStr">
        <ns0:is>
          <ns0:t>rq2_status</ns0:t>
        </ns0:is>
      </ns0:c>
      <ns0:c r="C242" s="21" t="inlineStr">
        <ns0:is>
          <ns0:t>Not adjudicated in master</ns0:t>
        </ns0:is>
      </ns0:c>
      <ns0:c r="D242" s="21" t="inlineStr">
        <ns0:is>
          <ns0:t>Research only</ns0:t>
        </ns0:is>
      </ns0:c>
      <ns0:c r="E242" s="21" t="inlineStr">
        <ns0:is>
          <ns0:t>Retrospective predictors of age at diagnosis; relevant care-pathway characterization but no uniquely supported prospective clinical stage.</ns0:t>
        </ns0:is>
      </ns0:c>
      <ns0:c r="F242" s="21" t="inlineStr">
        <ns0:is>
          <ns0:t>https://doi.org/10.1007/s00787-023-02189-6</ns0:t>
        </ns0:is>
      </ns0:c>
      <ns0:c r="G242" s="21" t="inlineStr">
        <ns0:is>
          <ns0:t>ChatGPT-assisted evidence recharting, 2026-09-08</ns0:t>
        </ns0:is>
      </ns0:c>
    </ns0:row>
    <ns0:row r="243" ht="42" customHeight="1">
      <ns0:c r="A243" s="19" t="inlineStr">
        <ns0:is>
          <ns0:t>41</ns0:t>
        </ns0:is>
      </ns0:c>
      <ns0:c r="B243" s="19" t="inlineStr">
        <ns0:is>
          <ns0:t>rq2_role</ns0:t>
        </ns0:is>
      </ns0:c>
      <ns0:c r="C243" s="19" t="inlineStr"/>
      <ns0:c r="D243" s="19" t="inlineStr">
        <ns0:is>
          <ns0:t>Research characterization</ns0:t>
        </ns0:is>
      </ns0:c>
      <ns0:c r="E243" s="19" t="inlineStr">
        <ns0:is>
          <ns0:t>Retrospective predictors of age at diagnosis; relevant care-pathway characterization but no uniquely supported prospective clinical stage.</ns0:t>
        </ns0:is>
      </ns0:c>
      <ns0:c r="F243" s="19" t="inlineStr">
        <ns0:is>
          <ns0:t>https://doi.org/10.1007/s00787-023-02189-6</ns0:t>
        </ns0:is>
      </ns0:c>
      <ns0:c r="G243" s="19" t="inlineStr">
        <ns0:is>
          <ns0:t>ChatGPT-assisted evidence recharting, 2026-09-08</ns0:t>
        </ns0:is>
      </ns0:c>
    </ns0:row>
    <ns0:row r="244" ht="42" customHeight="1">
      <ns0:c r="A244" s="21" t="inlineStr">
        <ns0:is>
          <ns0:t>41</ns0:t>
        </ns0:is>
      </ns0:c>
      <ns0:c r="B244" s="21" t="inlineStr">
        <ns0:is>
          <ns0:t>decision_timing</ns0:t>
        </ns0:is>
      </ns0:c>
      <ns0:c r="C244" s="21" t="inlineStr"/>
      <ns0:c r="D244" s="21" t="inlineStr">
        <ns0:is>
          <ns0:t>Not observed in assessed sources</ns0:t>
        </ns0:is>
      </ns0:c>
      <ns0:c r="E244" s="21" t="inlineStr">
        <ns0:is>
          <ns0:t>Retrospective predictors of age at diagnosis; relevant care-pathway characterization but no uniquely supported prospective clinical stage.</ns0:t>
        </ns0:is>
      </ns0:c>
      <ns0:c r="F244" s="21" t="inlineStr">
        <ns0:is>
          <ns0:t>https://doi.org/10.1007/s00787-023-02189-6</ns0:t>
        </ns0:is>
      </ns0:c>
      <ns0:c r="G244" s="21" t="inlineStr">
        <ns0:is>
          <ns0:t>ChatGPT-assisted evidence recharting, 2026-09-08</ns0:t>
        </ns0:is>
      </ns0:c>
    </ns0:row>
    <ns0:row r="245" ht="42" customHeight="1">
      <ns0:c r="A245" s="19" t="inlineStr">
        <ns0:is>
          <ns0:t>42</ns0:t>
        </ns0:is>
      </ns0:c>
      <ns0:c r="B245" s="19" t="inlineStr">
        <ns0:is>
          <ns0:t>stage_primary</ns0:t>
        </ns0:is>
      </ns0:c>
      <ns0:c r="C245" s="19" t="inlineStr">
        <ns0:is>
          <ns0:t>Monitoring/intervention</ns0:t>
        </ns0:is>
      </ns0:c>
      <ns0:c r="D245" s="19" t="inlineStr">
        <ns0:is>
          <ns0:t>Prognosis</ns0:t>
        </ns0:is>
      </ns0:c>
      <ns0:c r="E245" s="19" t="inlineStr">
        <ns0:is>
          <ns0:t>Prognostic analysis of 12-month intervention outcomes. Prospective patient follow-up is not evidence that AI selected or adapted the treatment.</ns0:t>
        </ns0:is>
      </ns0:c>
      <ns0:c r="F245" s="19" t="inlineStr">
        <ns0:is>
          <ns0:t>https://doi.org/10.1016/j.ridd.2024.104688</ns0:t>
        </ns0:is>
      </ns0:c>
      <ns0:c r="G245" s="19" t="inlineStr">
        <ns0:is>
          <ns0:t>ChatGPT-assisted evidence recharting, 2026-09-08</ns0:t>
        </ns0:is>
      </ns0:c>
    </ns0:row>
    <ns0:row r="246" ht="42" customHeight="1">
      <ns0:c r="A246" s="21" t="inlineStr">
        <ns0:is>
          <ns0:t>42</ns0:t>
        </ns0:is>
      </ns0:c>
      <ns0:c r="B246" s="21" t="inlineStr">
        <ns0:is>
          <ns0:t>ai_type</ns0:t>
        </ns0:is>
      </ns0:c>
      <ns0:c r="C246" s="21" t="inlineStr">
        <ns0:is>
          <ns0:t>Hybrid</ns0:t>
        </ns0:is>
      </ns0:c>
      <ns0:c r="D246" s="21" t="inlineStr">
        <ns0:is>
          <ns0:t>Machine Learning</ns0:t>
        </ns0:is>
      </ns0:c>
      <ns0:c r="E246" s="21" t="inlineStr">
        <ns0:is>
          <ns0:t>Prognostic analysis of 12-month intervention outcomes. Prospective patient follow-up is not evidence that AI selected or adapted the treatment.</ns0:t>
        </ns0:is>
      </ns0:c>
      <ns0:c r="F246" s="21" t="inlineStr">
        <ns0:is>
          <ns0:t>https://doi.org/10.1016/j.ridd.2024.104688</ns0:t>
        </ns0:is>
      </ns0:c>
      <ns0:c r="G246" s="21" t="inlineStr">
        <ns0:is>
          <ns0:t>ChatGPT-assisted evidence recharting, 2026-09-08</ns0:t>
        </ns0:is>
      </ns0:c>
    </ns0:row>
    <ns0:row r="247" ht="42" customHeight="1">
      <ns0:c r="A247" s="19" t="inlineStr">
        <ns0:is>
          <ns0:t>42</ns0:t>
        </ns0:is>
      </ns0:c>
      <ns0:c r="B247" s="19" t="inlineStr">
        <ns0:is>
          <ns0:t>data_source_primary</ns0:t>
        </ns0:is>
      </ns0:c>
      <ns0:c r="C247" s="19" t="inlineStr">
        <ns0:is>
          <ns0:t>Physiological signals</ns0:t>
        </ns0:is>
      </ns0:c>
      <ns0:c r="D247" s="19" t="inlineStr">
        <ns0:is>
          <ns0:t>Structured clinical/questionnaire data</ns0:t>
        </ns0:is>
      </ns0:c>
      <ns0:c r="E247" s="19" t="inlineStr">
        <ns0:is>
          <ns0:t>Prognostic analysis of 12-month intervention outcomes. Prospective patient follow-up is not evidence that AI selected or adapted the treatment.</ns0:t>
        </ns0:is>
      </ns0:c>
      <ns0:c r="F247" s="19" t="inlineStr">
        <ns0:is>
          <ns0:t>https://doi.org/10.1016/j.ridd.2024.104688</ns0:t>
        </ns0:is>
      </ns0:c>
      <ns0:c r="G247" s="19" t="inlineStr">
        <ns0:is>
          <ns0:t>ChatGPT-assisted evidence recharting, 2026-09-08</ns0:t>
        </ns0:is>
      </ns0:c>
    </ns0:row>
    <ns0:row r="248" ht="42" customHeight="1">
      <ns0:c r="A248" s="21" t="inlineStr">
        <ns0:is>
          <ns0:t>42</ns0:t>
        </ns0:is>
      </ns0:c>
      <ns0:c r="B248" s="21" t="inlineStr">
        <ns0:is>
          <ns0:t>algorithm_main</ns0:t>
        </ns0:is>
      </ns0:c>
      <ns0:c r="C248" s="21" t="inlineStr">
        <ns0:is>
          <ns0:t>Decision Tree</ns0:t>
        </ns0:is>
      </ns0:c>
      <ns0:c r="D248" s="21" t="inlineStr">
        <ns0:is>
          <ns0:t>CART and multivariable regression</ns0:t>
        </ns0:is>
      </ns0:c>
      <ns0:c r="E248" s="21" t="inlineStr">
        <ns0:is>
          <ns0:t>Prognostic analysis of 12-month intervention outcomes. Prospective patient follow-up is not evidence that AI selected or adapted the treatment.</ns0:t>
        </ns0:is>
      </ns0:c>
      <ns0:c r="F248" s="21" t="inlineStr">
        <ns0:is>
          <ns0:t>https://doi.org/10.1016/j.ridd.2024.104688</ns0:t>
        </ns0:is>
      </ns0:c>
      <ns0:c r="G248" s="21" t="inlineStr">
        <ns0:is>
          <ns0:t>ChatGPT-assisted evidence recharting, 2026-09-08</ns0:t>
        </ns0:is>
      </ns0:c>
    </ns0:row>
    <ns0:row r="249" ht="42" customHeight="1">
      <ns0:c r="A249" s="19" t="inlineStr">
        <ns0:is>
          <ns0:t>42</ns0:t>
        </ns0:is>
      </ns0:c>
      <ns0:c r="B249" s="19" t="inlineStr">
        <ns0:is>
          <ns0:t>rq2_status</ns0:t>
        </ns0:is>
      </ns0:c>
      <ns0:c r="C249" s="19" t="inlineStr">
        <ns0:is>
          <ns0:t>Not adjudicated in master</ns0:t>
        </ns0:is>
      </ns0:c>
      <ns0:c r="D249" s="19" t="inlineStr">
        <ns0:is>
          <ns0:t>Research only</ns0:t>
        </ns0:is>
      </ns0:c>
      <ns0:c r="E249" s="19" t="inlineStr">
        <ns0:is>
          <ns0:t>Prognostic analysis of 12-month intervention outcomes. Prospective patient follow-up is not evidence that AI selected or adapted the treatment.</ns0:t>
        </ns0:is>
      </ns0:c>
      <ns0:c r="F249" s="19" t="inlineStr">
        <ns0:is>
          <ns0:t>https://doi.org/10.1016/j.ridd.2024.104688</ns0:t>
        </ns0:is>
      </ns0:c>
      <ns0:c r="G249" s="19" t="inlineStr">
        <ns0:is>
          <ns0:t>ChatGPT-assisted evidence recharting, 2026-09-08</ns0:t>
        </ns0:is>
      </ns0:c>
    </ns0:row>
    <ns0:row r="250" ht="42" customHeight="1">
      <ns0:c r="A250" s="21" t="inlineStr">
        <ns0:is>
          <ns0:t>42</ns0:t>
        </ns0:is>
      </ns0:c>
      <ns0:c r="B250" s="21" t="inlineStr">
        <ns0:is>
          <ns0:t>rq2_role</ns0:t>
        </ns0:is>
      </ns0:c>
      <ns0:c r="C250" s="21" t="inlineStr"/>
      <ns0:c r="D250" s="21" t="inlineStr">
        <ns0:is>
          <ns0:t>Risk/trajectory estimation</ns0:t>
        </ns0:is>
      </ns0:c>
      <ns0:c r="E250" s="21" t="inlineStr">
        <ns0:is>
          <ns0:t>Prognostic analysis of 12-month intervention outcomes. Prospective patient follow-up is not evidence that AI selected or adapted the treatment.</ns0:t>
        </ns0:is>
      </ns0:c>
      <ns0:c r="F250" s="21" t="inlineStr">
        <ns0:is>
          <ns0:t>https://doi.org/10.1016/j.ridd.2024.104688</ns0:t>
        </ns0:is>
      </ns0:c>
      <ns0:c r="G250" s="21" t="inlineStr">
        <ns0:is>
          <ns0:t>ChatGPT-assisted evidence recharting, 2026-09-08</ns0:t>
        </ns0:is>
      </ns0:c>
    </ns0:row>
    <ns0:row r="251" ht="42" customHeight="1">
      <ns0:c r="A251" s="19" t="inlineStr">
        <ns0:is>
          <ns0:t>42</ns0:t>
        </ns0:is>
      </ns0:c>
      <ns0:c r="B251" s="19" t="inlineStr">
        <ns0:is>
          <ns0:t>decision_timing</ns0:t>
        </ns0:is>
      </ns0:c>
      <ns0:c r="C251" s="19" t="inlineStr"/>
      <ns0:c r="D251" s="19" t="inlineStr">
        <ns0:is>
          <ns0:t>Not observed in assessed sources</ns0:t>
        </ns0:is>
      </ns0:c>
      <ns0:c r="E251" s="19" t="inlineStr">
        <ns0:is>
          <ns0:t>Prognostic analysis of 12-month intervention outcomes. Prospective patient follow-up is not evidence that AI selected or adapted the treatment.</ns0:t>
        </ns0:is>
      </ns0:c>
      <ns0:c r="F251" s="19" t="inlineStr">
        <ns0:is>
          <ns0:t>https://doi.org/10.1016/j.ridd.2024.104688</ns0:t>
        </ns0:is>
      </ns0:c>
      <ns0:c r="G251" s="19" t="inlineStr">
        <ns0:is>
          <ns0:t>ChatGPT-assisted evidence recharting, 2026-09-08</ns0:t>
        </ns0:is>
      </ns0:c>
    </ns0:row>
    <ns0:row r="252" ht="42" customHeight="1">
      <ns0:c r="A252" s="21" t="inlineStr">
        <ns0:is>
          <ns0:t>43</ns0:t>
        </ns0:is>
      </ns0:c>
      <ns0:c r="B252" s="21" t="inlineStr">
        <ns0:is>
          <ns0:t>ai_type</ns0:t>
        </ns0:is>
      </ns0:c>
      <ns0:c r="C252" s="21" t="inlineStr">
        <ns0:is>
          <ns0:t>Deep Learning</ns0:t>
        </ns0:is>
      </ns0:c>
      <ns0:c r="D252" s="21" t="inlineStr">
        <ns0:is>
          <ns0:t>Machine Learning</ns0:t>
        </ns0:is>
      </ns0:c>
      <ns0:c r="E252" s="21" t="inlineStr">
        <ns0:is>
          <ns0:t>fMRI analysis of dopaminergic regions. Multiple brain regions and computational representations do not establish separate data modalities or deep learning.</ns0:t>
        </ns0:is>
      </ns0:c>
      <ns0:c r="F252" s="21" t="inlineStr">
        <ns0:is>
          <ns0:t>https://doi.org/10.1093/cercor/bhaf022</ns0:t>
        </ns0:is>
      </ns0:c>
      <ns0:c r="G252" s="21" t="inlineStr">
        <ns0:is>
          <ns0:t>ChatGPT-assisted evidence recharting, 2026-09-08</ns0:t>
        </ns0:is>
      </ns0:c>
    </ns0:row>
    <ns0:row r="253" ht="42" customHeight="1">
      <ns0:c r="A253" s="19" t="inlineStr">
        <ns0:is>
          <ns0:t>43</ns0:t>
        </ns0:is>
      </ns0:c>
      <ns0:c r="B253" s="19" t="inlineStr">
        <ns0:is>
          <ns0:t>data_source_primary</ns0:t>
        </ns0:is>
      </ns0:c>
      <ns0:c r="C253" s="19" t="inlineStr">
        <ns0:is>
          <ns0:t>Multiple modalities (as coded)</ns0:t>
        </ns0:is>
      </ns0:c>
      <ns0:c r="D253" s="19" t="inlineStr">
        <ns0:is>
          <ns0:t>Neuroimaging</ns0:t>
        </ns0:is>
      </ns0:c>
      <ns0:c r="E253" s="19" t="inlineStr">
        <ns0:is>
          <ns0:t>fMRI analysis of dopaminergic regions. Multiple brain regions and computational representations do not establish separate data modalities or deep learning.</ns0:t>
        </ns0:is>
      </ns0:c>
      <ns0:c r="F253" s="19" t="inlineStr">
        <ns0:is>
          <ns0:t>https://doi.org/10.1093/cercor/bhaf022</ns0:t>
        </ns0:is>
      </ns0:c>
      <ns0:c r="G253" s="19" t="inlineStr">
        <ns0:is>
          <ns0:t>ChatGPT-assisted evidence recharting, 2026-09-08</ns0:t>
        </ns0:is>
      </ns0:c>
    </ns0:row>
    <ns0:row r="254" ht="42" customHeight="1">
      <ns0:c r="A254" s="21" t="inlineStr">
        <ns0:is>
          <ns0:t>43</ns0:t>
        </ns0:is>
      </ns0:c>
      <ns0:c r="B254" s="21" t="inlineStr">
        <ns0:is>
          <ns0:t>algorithm_main</ns0:t>
        </ns0:is>
      </ns0:c>
      <ns0:c r="C254" s="21" t="inlineStr"/>
      <ns0:c r="D254" s="21" t="inlineStr">
        <ns0:is>
          <ns0:t>Classification and clustering; principal family unresolved</ns0:t>
        </ns0:is>
      </ns0:c>
      <ns0:c r="E254" s="21" t="inlineStr">
        <ns0:is>
          <ns0:t>fMRI analysis of dopaminergic regions. Multiple brain regions and computational representations do not establish separate data modalities or deep learning.</ns0:t>
        </ns0:is>
      </ns0:c>
      <ns0:c r="F254" s="21" t="inlineStr">
        <ns0:is>
          <ns0:t>https://doi.org/10.1093/cercor/bhaf022</ns0:t>
        </ns0:is>
      </ns0:c>
      <ns0:c r="G254" s="21" t="inlineStr">
        <ns0:is>
          <ns0:t>ChatGPT-assisted evidence recharting, 2026-09-08</ns0:t>
        </ns0:is>
      </ns0:c>
    </ns0:row>
    <ns0:row r="255" ht="42" customHeight="1">
      <ns0:c r="A255" s="19" t="inlineStr">
        <ns0:is>
          <ns0:t>43</ns0:t>
        </ns0:is>
      </ns0:c>
      <ns0:c r="B255" s="19" t="inlineStr">
        <ns0:is>
          <ns0:t>rq2_status</ns0:t>
        </ns0:is>
      </ns0:c>
      <ns0:c r="C255" s="19" t="inlineStr">
        <ns0:is>
          <ns0:t>Not adjudicated in master</ns0:t>
        </ns0:is>
      </ns0:c>
      <ns0:c r="D255" s="19" t="inlineStr">
        <ns0:is>
          <ns0:t>Research only</ns0:t>
        </ns0:is>
      </ns0:c>
      <ns0:c r="E255" s="19" t="inlineStr">
        <ns0:is>
          <ns0:t>fMRI analysis of dopaminergic regions. Multiple brain regions and computational representations do not establish separate data modalities or deep learning.</ns0:t>
        </ns0:is>
      </ns0:c>
      <ns0:c r="F255" s="19" t="inlineStr">
        <ns0:is>
          <ns0:t>https://doi.org/10.1093/cercor/bhaf022</ns0:t>
        </ns0:is>
      </ns0:c>
      <ns0:c r="G255" s="19" t="inlineStr">
        <ns0:is>
          <ns0:t>ChatGPT-assisted evidence recharting, 2026-09-08</ns0:t>
        </ns0:is>
      </ns0:c>
    </ns0:row>
    <ns0:row r="256" ht="42" customHeight="1">
      <ns0:c r="A256" s="21" t="inlineStr">
        <ns0:is>
          <ns0:t>43</ns0:t>
        </ns0:is>
      </ns0:c>
      <ns0:c r="B256" s="21" t="inlineStr">
        <ns0:is>
          <ns0:t>rq2_role</ns0:t>
        </ns0:is>
      </ns0:c>
      <ns0:c r="C256" s="21" t="inlineStr"/>
      <ns0:c r="D256" s="21" t="inlineStr">
        <ns0:is>
          <ns0:t>Automated measurement/classification</ns0:t>
        </ns0:is>
      </ns0:c>
      <ns0:c r="E256" s="21" t="inlineStr">
        <ns0:is>
          <ns0:t>fMRI analysis of dopaminergic regions. Multiple brain regions and computational representations do not establish separate data modalities or deep learning.</ns0:t>
        </ns0:is>
      </ns0:c>
      <ns0:c r="F256" s="21" t="inlineStr">
        <ns0:is>
          <ns0:t>https://doi.org/10.1093/cercor/bhaf022</ns0:t>
        </ns0:is>
      </ns0:c>
      <ns0:c r="G256" s="21" t="inlineStr">
        <ns0:is>
          <ns0:t>ChatGPT-assisted evidence recharting, 2026-09-08</ns0:t>
        </ns0:is>
      </ns0:c>
    </ns0:row>
    <ns0:row r="257" ht="42" customHeight="1">
      <ns0:c r="A257" s="19" t="inlineStr">
        <ns0:is>
          <ns0:t>43</ns0:t>
        </ns0:is>
      </ns0:c>
      <ns0:c r="B257" s="19" t="inlineStr">
        <ns0:is>
          <ns0:t>decision_timing</ns0:t>
        </ns0:is>
      </ns0:c>
      <ns0:c r="C257" s="19" t="inlineStr"/>
      <ns0:c r="D257" s="19" t="inlineStr">
        <ns0:is>
          <ns0:t>Not observed in assessed sources</ns0:t>
        </ns0:is>
      </ns0:c>
      <ns0:c r="E257" s="19" t="inlineStr">
        <ns0:is>
          <ns0:t>fMRI analysis of dopaminergic regions. Multiple brain regions and computational representations do not establish separate data modalities or deep learning.</ns0:t>
        </ns0:is>
      </ns0:c>
      <ns0:c r="F257" s="19" t="inlineStr">
        <ns0:is>
          <ns0:t>https://doi.org/10.1093/cercor/bhaf022</ns0:t>
        </ns0:is>
      </ns0:c>
      <ns0:c r="G257" s="19" t="inlineStr">
        <ns0:is>
          <ns0:t>ChatGPT-assisted evidence recharting, 2026-09-08</ns0:t>
        </ns0:is>
      </ns0:c>
    </ns0:row>
    <ns0:row r="258" ht="42" customHeight="1">
      <ns0:c r="A258" s="21" t="inlineStr">
        <ns0:is>
          <ns0:t>43</ns0:t>
        </ns0:is>
      </ns0:c>
      <ns0:c r="B258" s="21" t="inlineStr">
        <ns0:is>
          <ns0:t>multisource_data</ns0:t>
        </ns0:is>
      </ns0:c>
      <ns0:c r="C258" s="21" t="inlineStr">
        <ns0:is>
          <ns0:t>Reported</ns0:t>
        </ns0:is>
      </ns0:c>
      <ns0:c r="D258" s="21" t="inlineStr">
        <ns0:is>
          <ns0:t>Not reported in assessed sources</ns0:t>
        </ns0:is>
      </ns0:c>
      <ns0:c r="E258" s="21" t="inlineStr">
        <ns0:is>
          <ns0:t>fMRI analysis of dopaminergic regions. Multiple brain regions and computational representations do not establish separate data modalities or deep learning.</ns0:t>
        </ns0:is>
      </ns0:c>
      <ns0:c r="F258" s="21" t="inlineStr">
        <ns0:is>
          <ns0:t>https://doi.org/10.1093/cercor/bhaf022</ns0:t>
        </ns0:is>
      </ns0:c>
      <ns0:c r="G258" s="21" t="inlineStr">
        <ns0:is>
          <ns0:t>ChatGPT-assisted evidence recharting, 2026-09-08</ns0:t>
        </ns0:is>
      </ns0:c>
    </ns0:row>
    <ns0:row r="259" ht="42" customHeight="1">
      <ns0:c r="A259" s="19" t="inlineStr">
        <ns0:is>
          <ns0:t>44</ns0:t>
        </ns0:is>
      </ns0:c>
      <ns0:c r="B259" s="19" t="inlineStr">
        <ns0:is>
          <ns0:t>data_source_primary</ns0:t>
        </ns0:is>
      </ns0:c>
      <ns0:c r="C259" s="19" t="inlineStr">
        <ns0:is>
          <ns0:t>Not specified</ns0:t>
        </ns0:is>
      </ns0:c>
      <ns0:c r="D259" s="19" t="inlineStr">
        <ns0:is>
          <ns0:t>Structured clinical/questionnaire data</ns0:t>
        </ns0:is>
      </ns0:c>
      <ns0:c r="E259" s="19" t="inlineStr">
        <ns0:is>
          <ns0:t>ASD co-occurrence is the model endpoint in adolescents with cerebral palsy; multicentre clinical variables, not a prospective risk forecast.</ns0:t>
        </ns0:is>
      </ns0:c>
      <ns0:c r="F259" s="19" t="inlineStr">
        <ns0:is>
          <ns0:t>https://doi.org/10.1055/s-0039-1685525</ns0:t>
        </ns0:is>
      </ns0:c>
      <ns0:c r="G259" s="19" t="inlineStr">
        <ns0:is>
          <ns0:t>ChatGPT-assisted evidence recharting, 2026-09-08</ns0:t>
        </ns0:is>
      </ns0:c>
    </ns0:row>
    <ns0:row r="260" ht="42" customHeight="1">
      <ns0:c r="A260" s="21" t="inlineStr">
        <ns0:is>
          <ns0:t>44</ns0:t>
        </ns0:is>
      </ns0:c>
      <ns0:c r="B260" s="21" t="inlineStr">
        <ns0:is>
          <ns0:t>algorithm_main</ns0:t>
        </ns0:is>
      </ns0:c>
      <ns0:c r="C260" s="21" t="inlineStr">
        <ns0:is>
          <ns0:t>Logistic Regression</ns0:t>
        </ns0:is>
      </ns0:c>
      <ns0:c r="D260" s="21" t="inlineStr">
        <ns0:is>
          <ns0:t>Logistic regression</ns0:t>
        </ns0:is>
      </ns0:c>
      <ns0:c r="E260" s="21" t="inlineStr">
        <ns0:is>
          <ns0:t>ASD co-occurrence is the model endpoint in adolescents with cerebral palsy; multicentre clinical variables, not a prospective risk forecast.</ns0:t>
        </ns0:is>
      </ns0:c>
      <ns0:c r="F260" s="21" t="inlineStr">
        <ns0:is>
          <ns0:t>https://doi.org/10.1055/s-0039-1685525</ns0:t>
        </ns0:is>
      </ns0:c>
      <ns0:c r="G260" s="21" t="inlineStr">
        <ns0:is>
          <ns0:t>ChatGPT-assisted evidence recharting, 2026-09-08</ns0:t>
        </ns0:is>
      </ns0:c>
    </ns0:row>
    <ns0:row r="261" ht="42" customHeight="1">
      <ns0:c r="A261" s="19" t="inlineStr">
        <ns0:is>
          <ns0:t>44</ns0:t>
        </ns0:is>
      </ns0:c>
      <ns0:c r="B261" s="19" t="inlineStr">
        <ns0:is>
          <ns0:t>rq2_status</ns0:t>
        </ns0:is>
      </ns0:c>
      <ns0:c r="C261" s="19" t="inlineStr">
        <ns0:is>
          <ns0:t>Not adjudicated in master</ns0:t>
        </ns0:is>
      </ns0:c>
      <ns0:c r="D261" s="19" t="inlineStr">
        <ns0:is>
          <ns0:t>Research only</ns0:t>
        </ns0:is>
      </ns0:c>
      <ns0:c r="E261" s="19" t="inlineStr">
        <ns0:is>
          <ns0:t>ASD co-occurrence is the model endpoint in adolescents with cerebral palsy; multicentre clinical variables, not a prospective risk forecast.</ns0:t>
        </ns0:is>
      </ns0:c>
      <ns0:c r="F261" s="19" t="inlineStr">
        <ns0:is>
          <ns0:t>https://doi.org/10.1055/s-0039-1685525</ns0:t>
        </ns0:is>
      </ns0:c>
      <ns0:c r="G261" s="19" t="inlineStr">
        <ns0:is>
          <ns0:t>ChatGPT-assisted evidence recharting, 2026-09-08</ns0:t>
        </ns0:is>
      </ns0:c>
    </ns0:row>
    <ns0:row r="262" ht="42" customHeight="1">
      <ns0:c r="A262" s="21" t="inlineStr">
        <ns0:is>
          <ns0:t>44</ns0:t>
        </ns0:is>
      </ns0:c>
      <ns0:c r="B262" s="21" t="inlineStr">
        <ns0:is>
          <ns0:t>rq2_role</ns0:t>
        </ns0:is>
      </ns0:c>
      <ns0:c r="C262" s="21" t="inlineStr"/>
      <ns0:c r="D262" s="21" t="inlineStr">
        <ns0:is>
          <ns0:t>Risk/trajectory estimation</ns0:t>
        </ns0:is>
      </ns0:c>
      <ns0:c r="E262" s="21" t="inlineStr">
        <ns0:is>
          <ns0:t>ASD co-occurrence is the model endpoint in adolescents with cerebral palsy; multicentre clinical variables, not a prospective risk forecast.</ns0:t>
        </ns0:is>
      </ns0:c>
      <ns0:c r="F262" s="21" t="inlineStr">
        <ns0:is>
          <ns0:t>https://doi.org/10.1055/s-0039-1685525</ns0:t>
        </ns0:is>
      </ns0:c>
      <ns0:c r="G262" s="21" t="inlineStr">
        <ns0:is>
          <ns0:t>ChatGPT-assisted evidence recharting, 2026-09-08</ns0:t>
        </ns0:is>
      </ns0:c>
    </ns0:row>
    <ns0:row r="263" ht="42" customHeight="1">
      <ns0:c r="A263" s="19" t="inlineStr">
        <ns0:is>
          <ns0:t>44</ns0:t>
        </ns0:is>
      </ns0:c>
      <ns0:c r="B263" s="19" t="inlineStr">
        <ns0:is>
          <ns0:t>decision_timing</ns0:t>
        </ns0:is>
      </ns0:c>
      <ns0:c r="C263" s="19" t="inlineStr"/>
      <ns0:c r="D263" s="19" t="inlineStr">
        <ns0:is>
          <ns0:t>Not observed in assessed sources</ns0:t>
        </ns0:is>
      </ns0:c>
      <ns0:c r="E263" s="19" t="inlineStr">
        <ns0:is>
          <ns0:t>ASD co-occurrence is the model endpoint in adolescents with cerebral palsy; multicentre clinical variables, not a prospective risk forecast.</ns0:t>
        </ns0:is>
      </ns0:c>
      <ns0:c r="F263" s="19" t="inlineStr">
        <ns0:is>
          <ns0:t>https://doi.org/10.1055/s-0039-1685525</ns0:t>
        </ns0:is>
      </ns0:c>
      <ns0:c r="G263" s="19" t="inlineStr">
        <ns0:is>
          <ns0:t>ChatGPT-assisted evidence recharting, 2026-09-08</ns0:t>
        </ns0:is>
      </ns0:c>
    </ns0:row>
    <ns0:row r="264" ht="42" customHeight="1">
      <ns0:c r="A264" s="21" t="inlineStr">
        <ns0:is>
          <ns0:t>45</ns0:t>
        </ns0:is>
      </ns0:c>
      <ns0:c r="B264" s="21" t="inlineStr">
        <ns0:is>
          <ns0:t>data_source_primary</ns0:t>
        </ns0:is>
      </ns0:c>
      <ns0:c r="C264" s="21" t="inlineStr">
        <ns0:is>
          <ns0:t>Multiple modalities (as coded)</ns0:t>
        </ns0:is>
      </ns0:c>
      <ns0:c r="D264" s="21" t="inlineStr">
        <ns0:is>
          <ns0:t>Neuroimaging</ns0:t>
        </ns0:is>
      </ns0:c>
      <ns0:c r="E264" s="21" t="inlineStr">
        <ns0:is>
          <ns0:t>Actual ML-DL pipeline is stated; PSD features and autoencoder representations originate from the same resting-state fMRI. Personalized reports were proposed, not evaluated in clinician decisions.</ns0:t>
        </ns0:is>
      </ns0:c>
      <ns0:c r="F264" s="21" t="inlineStr">
        <ns0:is>
          <ns0:t>https://doi.org/10.1371/journal.pone.0206351</ns0:t>
        </ns0:is>
      </ns0:c>
      <ns0:c r="G264" s="21" t="inlineStr">
        <ns0:is>
          <ns0:t>ChatGPT-assisted evidence recharting, 2026-09-08</ns0:t>
        </ns0:is>
      </ns0:c>
    </ns0:row>
    <ns0:row r="265" ht="42" customHeight="1">
      <ns0:c r="A265" s="19" t="inlineStr">
        <ns0:is>
          <ns0:t>45</ns0:t>
        </ns0:is>
      </ns0:c>
      <ns0:c r="B265" s="19" t="inlineStr">
        <ns0:is>
          <ns0:t>algorithm_main</ns0:t>
        </ns0:is>
      </ns0:c>
      <ns0:c r="C265" s="19" t="inlineStr">
        <ns0:is>
          <ns0:t>Autoencoder</ns0:t>
        </ns0:is>
      </ns0:c>
      <ns0:c r="D265" s="19" t="inlineStr">
        <ns0:is>
          <ns0:t>Stacked autoencoder with probabilistic SVM</ns0:t>
        </ns0:is>
      </ns0:c>
      <ns0:c r="E265" s="19" t="inlineStr">
        <ns0:is>
          <ns0:t>Actual ML-DL pipeline is stated; PSD features and autoencoder representations originate from the same resting-state fMRI. Personalized reports were proposed, not evaluated in clinician decisions.</ns0:t>
        </ns0:is>
      </ns0:c>
      <ns0:c r="F265" s="19" t="inlineStr">
        <ns0:is>
          <ns0:t>https://doi.org/10.1371/journal.pone.0206351</ns0:t>
        </ns0:is>
      </ns0:c>
      <ns0:c r="G265" s="19" t="inlineStr">
        <ns0:is>
          <ns0:t>ChatGPT-assisted evidence recharting, 2026-09-08</ns0:t>
        </ns0:is>
      </ns0:c>
    </ns0:row>
    <ns0:row r="266" ht="42" customHeight="1">
      <ns0:c r="A266" s="21" t="inlineStr">
        <ns0:is>
          <ns0:t>45</ns0:t>
        </ns0:is>
      </ns0:c>
      <ns0:c r="B266" s="21" t="inlineStr">
        <ns0:is>
          <ns0:t>rq2_status</ns0:t>
        </ns0:is>
      </ns0:c>
      <ns0:c r="C266" s="21" t="inlineStr">
        <ns0:is>
          <ns0:t>Not adjudicated in master</ns0:t>
        </ns0:is>
      </ns0:c>
      <ns0:c r="D266" s="21" t="inlineStr">
        <ns0:is>
          <ns0:t>Proposed only</ns0:t>
        </ns0:is>
      </ns0:c>
      <ns0:c r="E266" s="21" t="inlineStr">
        <ns0:is>
          <ns0:t>Actual ML-DL pipeline is stated; PSD features and autoencoder representations originate from the same resting-state fMRI. Personalized reports were proposed, not evaluated in clinician decisions.</ns0:t>
        </ns0:is>
      </ns0:c>
      <ns0:c r="F266" s="21" t="inlineStr">
        <ns0:is>
          <ns0:t>https://doi.org/10.1371/journal.pone.0206351</ns0:t>
        </ns0:is>
      </ns0:c>
      <ns0:c r="G266" s="21" t="inlineStr">
        <ns0:is>
          <ns0:t>ChatGPT-assisted evidence recharting, 2026-09-08</ns0:t>
        </ns0:is>
      </ns0:c>
    </ns0:row>
    <ns0:row r="267" ht="42" customHeight="1">
      <ns0:c r="A267" s="19" t="inlineStr">
        <ns0:is>
          <ns0:t>45</ns0:t>
        </ns0:is>
      </ns0:c>
      <ns0:c r="B267" s="19" t="inlineStr">
        <ns0:is>
          <ns0:t>rq2_role</ns0:t>
        </ns0:is>
      </ns0:c>
      <ns0:c r="C267" s="19" t="inlineStr"/>
      <ns0:c r="D267" s="19" t="inlineStr">
        <ns0:is>
          <ns0:t>Diagnostic decision support</ns0:t>
        </ns0:is>
      </ns0:c>
      <ns0:c r="E267" s="19" t="inlineStr">
        <ns0:is>
          <ns0:t>Actual ML-DL pipeline is stated; PSD features and autoencoder representations originate from the same resting-state fMRI. Personalized reports were proposed, not evaluated in clinician decisions.</ns0:t>
        </ns0:is>
      </ns0:c>
      <ns0:c r="F267" s="19" t="inlineStr">
        <ns0:is>
          <ns0:t>https://doi.org/10.1371/journal.pone.0206351</ns0:t>
        </ns0:is>
      </ns0:c>
      <ns0:c r="G267" s="19" t="inlineStr">
        <ns0:is>
          <ns0:t>ChatGPT-assisted evidence recharting, 2026-09-08</ns0:t>
        </ns0:is>
      </ns0:c>
    </ns0:row>
    <ns0:row r="268" ht="42" customHeight="1">
      <ns0:c r="A268" s="21" t="inlineStr">
        <ns0:is>
          <ns0:t>45</ns0:t>
        </ns0:is>
      </ns0:c>
      <ns0:c r="B268" s="21" t="inlineStr">
        <ns0:is>
          <ns0:t>decision_timing</ns0:t>
        </ns0:is>
      </ns0:c>
      <ns0:c r="C268" s="21" t="inlineStr"/>
      <ns0:c r="D268" s="21" t="inlineStr">
        <ns0:is>
          <ns0:t>In-decision</ns0:t>
        </ns0:is>
      </ns0:c>
      <ns0:c r="E268" s="21" t="inlineStr">
        <ns0:is>
          <ns0:t>Actual ML-DL pipeline is stated; PSD features and autoencoder representations originate from the same resting-state fMRI. Personalized reports were proposed, not evaluated in clinician decisions.</ns0:t>
        </ns0:is>
      </ns0:c>
      <ns0:c r="F268" s="21" t="inlineStr">
        <ns0:is>
          <ns0:t>https://doi.org/10.1371/journal.pone.0206351</ns0:t>
        </ns0:is>
      </ns0:c>
      <ns0:c r="G268" s="21" t="inlineStr">
        <ns0:is>
          <ns0:t>ChatGPT-assisted evidence recharting, 2026-09-08</ns0:t>
        </ns0:is>
      </ns0:c>
    </ns0:row>
    <ns0:row r="269" ht="42" customHeight="1">
      <ns0:c r="A269" s="19" t="inlineStr">
        <ns0:is>
          <ns0:t>45</ns0:t>
        </ns0:is>
      </ns0:c>
      <ns0:c r="B269" s="19" t="inlineStr">
        <ns0:is>
          <ns0:t>multisource_data</ns0:t>
        </ns0:is>
      </ns0:c>
      <ns0:c r="C269" s="19" t="inlineStr">
        <ns0:is>
          <ns0:t>Reported</ns0:t>
        </ns0:is>
      </ns0:c>
      <ns0:c r="D269" s="19" t="inlineStr">
        <ns0:is>
          <ns0:t>Not reported in assessed sources</ns0:t>
        </ns0:is>
      </ns0:c>
      <ns0:c r="E269" s="19" t="inlineStr">
        <ns0:is>
          <ns0:t>Actual ML-DL pipeline is stated; PSD features and autoencoder representations originate from the same resting-state fMRI. Personalized reports were proposed, not evaluated in clinician decisions.</ns0:t>
        </ns0:is>
      </ns0:c>
      <ns0:c r="F269" s="19" t="inlineStr">
        <ns0:is>
          <ns0:t>https://doi.org/10.1371/journal.pone.0206351</ns0:t>
        </ns0:is>
      </ns0:c>
      <ns0:c r="G269" s="19" t="inlineStr">
        <ns0:is>
          <ns0:t>ChatGPT-assisted evidence recharting, 2026-09-08</ns0:t>
        </ns0:is>
      </ns0:c>
    </ns0:row>
    <ns0:row r="270" ht="42" customHeight="1">
      <ns0:c r="A270" s="21" t="inlineStr">
        <ns0:is>
          <ns0:t>46</ns0:t>
        </ns0:is>
      </ns0:c>
      <ns0:c r="B270" s="21" t="inlineStr">
        <ns0:is>
          <ns0:t>ai_type</ns0:t>
        </ns0:is>
      </ns0:c>
      <ns0:c r="C270" s="21" t="inlineStr">
        <ns0:is>
          <ns0:t>Deep Learning</ns0:t>
        </ns0:is>
      </ns0:c>
      <ns0:c r="D270" s="21" t="inlineStr">
        <ns0:is>
          <ns0:t>Not specified</ns0:t>
        </ns0:is>
      </ns0:c>
      <ns0:c r="E270" s="21" t="inlineStr">
        <ns0:is>
          <ns0:t>Ongoing NLP project uses conversations or writing to inform intervention indicators. Proposed architecture is not sufficient to assert an implemented deep-learning family or a clinical intervention deployment.</ns0:t>
        </ns0:is>
      </ns0:c>
      <ns0:c r="F270" s="21" t="inlineStr">
        <ns0:is>
          <ns0:t>https://doi.org/10.1007/978-3-031-48642-5_7</ns0:t>
        </ns0:is>
      </ns0:c>
      <ns0:c r="G270" s="21" t="inlineStr">
        <ns0:is>
          <ns0:t>ChatGPT-assisted evidence recharting, 2026-09-08</ns0:t>
        </ns0:is>
      </ns0:c>
    </ns0:row>
    <ns0:row r="271" ht="42" customHeight="1">
      <ns0:c r="A271" s="19" t="inlineStr">
        <ns0:is>
          <ns0:t>46</ns0:t>
        </ns0:is>
      </ns0:c>
      <ns0:c r="B271" s="19" t="inlineStr">
        <ns0:is>
          <ns0:t>data_source_primary</ns0:t>
        </ns0:is>
      </ns0:c>
      <ns0:c r="C271" s="19" t="inlineStr">
        <ns0:is>
          <ns0:t>Text / NLP (legacy; verify input type)</ns0:t>
        </ns0:is>
      </ns0:c>
      <ns0:c r="D271" s="19" t="inlineStr">
        <ns0:is>
          <ns0:t>Text/language</ns0:t>
        </ns0:is>
      </ns0:c>
      <ns0:c r="E271" s="19" t="inlineStr">
        <ns0:is>
          <ns0:t>Ongoing NLP project uses conversations or writing to inform intervention indicators. Proposed architecture is not sufficient to assert an implemented deep-learning family or a clinical intervention deployment.</ns0:t>
        </ns0:is>
      </ns0:c>
      <ns0:c r="F271" s="19" t="inlineStr">
        <ns0:is>
          <ns0:t>https://doi.org/10.1007/978-3-031-48642-5_7</ns0:t>
        </ns0:is>
      </ns0:c>
      <ns0:c r="G271" s="19" t="inlineStr">
        <ns0:is>
          <ns0:t>ChatGPT-assisted evidence recharting, 2026-09-08</ns0:t>
        </ns0:is>
      </ns0:c>
    </ns0:row>
    <ns0:row r="272" ht="42" customHeight="1">
      <ns0:c r="A272" s="21" t="inlineStr">
        <ns0:is>
          <ns0:t>46</ns0:t>
        </ns0:is>
      </ns0:c>
      <ns0:c r="B272" s="21" t="inlineStr">
        <ns0:is>
          <ns0:t>algorithm_main</ns0:t>
        </ns0:is>
      </ns0:c>
      <ns0:c r="C272" s="21" t="inlineStr">
        <ns0:is>
          <ns0:t>Transformer</ns0:t>
        </ns0:is>
      </ns0:c>
      <ns0:c r="D272" s="21" t="inlineStr">
        <ns0:is>
          <ns0:t>Transformer or ChatGPT proposed; implemented architecture unresolved</ns0:t>
        </ns0:is>
      </ns0:c>
      <ns0:c r="E272" s="21" t="inlineStr">
        <ns0:is>
          <ns0:t>Ongoing NLP project uses conversations or writing to inform intervention indicators. Proposed architecture is not sufficient to assert an implemented deep-learning family or a clinical intervention deployment.</ns0:t>
        </ns0:is>
      </ns0:c>
      <ns0:c r="F272" s="21" t="inlineStr">
        <ns0:is>
          <ns0:t>https://doi.org/10.1007/978-3-031-48642-5_7</ns0:t>
        </ns0:is>
      </ns0:c>
      <ns0:c r="G272" s="21" t="inlineStr">
        <ns0:is>
          <ns0:t>ChatGPT-assisted evidence recharting, 2026-09-08</ns0:t>
        </ns0:is>
      </ns0:c>
    </ns0:row>
    <ns0:row r="273" ht="42" customHeight="1">
      <ns0:c r="A273" s="19" t="inlineStr">
        <ns0:is>
          <ns0:t>46</ns0:t>
        </ns0:is>
      </ns0:c>
      <ns0:c r="B273" s="19" t="inlineStr">
        <ns0:is>
          <ns0:t>rq2_status</ns0:t>
        </ns0:is>
      </ns0:c>
      <ns0:c r="C273" s="19" t="inlineStr">
        <ns0:is>
          <ns0:t>Not adjudicated in master</ns0:t>
        </ns0:is>
      </ns0:c>
      <ns0:c r="D273" s="19" t="inlineStr">
        <ns0:is>
          <ns0:t>Proposed only</ns0:t>
        </ns0:is>
      </ns0:c>
      <ns0:c r="E273" s="19" t="inlineStr">
        <ns0:is>
          <ns0:t>Ongoing NLP project uses conversations or writing to inform intervention indicators. Proposed architecture is not sufficient to assert an implemented deep-learning family or a clinical intervention deployment.</ns0:t>
        </ns0:is>
      </ns0:c>
      <ns0:c r="F273" s="19" t="inlineStr">
        <ns0:is>
          <ns0:t>https://doi.org/10.1007/978-3-031-48642-5_7</ns0:t>
        </ns0:is>
      </ns0:c>
      <ns0:c r="G273" s="19" t="inlineStr">
        <ns0:is>
          <ns0:t>ChatGPT-assisted evidence recharting, 2026-09-08</ns0:t>
        </ns0:is>
      </ns0:c>
    </ns0:row>
    <ns0:row r="274" ht="42" customHeight="1">
      <ns0:c r="A274" s="21" t="inlineStr">
        <ns0:is>
          <ns0:t>46</ns0:t>
        </ns0:is>
      </ns0:c>
      <ns0:c r="B274" s="21" t="inlineStr">
        <ns0:is>
          <ns0:t>rq2_role</ns0:t>
        </ns0:is>
      </ns0:c>
      <ns0:c r="C274" s="21" t="inlineStr"/>
      <ns0:c r="D274" s="21" t="inlineStr">
        <ns0:is>
          <ns0:t>Adaptive intervention</ns0:t>
        </ns0:is>
      </ns0:c>
      <ns0:c r="E274" s="21" t="inlineStr">
        <ns0:is>
          <ns0:t>Ongoing NLP project uses conversations or writing to inform intervention indicators. Proposed architecture is not sufficient to assert an implemented deep-learning family or a clinical intervention deployment.</ns0:t>
        </ns0:is>
      </ns0:c>
      <ns0:c r="F274" s="21" t="inlineStr">
        <ns0:is>
          <ns0:t>https://doi.org/10.1007/978-3-031-48642-5_7</ns0:t>
        </ns0:is>
      </ns0:c>
      <ns0:c r="G274" s="21" t="inlineStr">
        <ns0:is>
          <ns0:t>ChatGPT-assisted evidence recharting, 2026-09-08</ns0:t>
        </ns0:is>
      </ns0:c>
    </ns0:row>
    <ns0:row r="275" ht="42" customHeight="1">
      <ns0:c r="A275" s="19" t="inlineStr">
        <ns0:is>
          <ns0:t>46</ns0:t>
        </ns0:is>
      </ns0:c>
      <ns0:c r="B275" s="19" t="inlineStr">
        <ns0:is>
          <ns0:t>decision_timing</ns0:t>
        </ns0:is>
      </ns0:c>
      <ns0:c r="C275" s="19" t="inlineStr"/>
      <ns0:c r="D275" s="19" t="inlineStr">
        <ns0:is>
          <ns0:t>Post-decision</ns0:t>
        </ns0:is>
      </ns0:c>
      <ns0:c r="E275" s="19" t="inlineStr">
        <ns0:is>
          <ns0:t>Ongoing NLP project uses conversations or writing to inform intervention indicators. Proposed architecture is not sufficient to assert an implemented deep-learning family or a clinical intervention deployment.</ns0:t>
        </ns0:is>
      </ns0:c>
      <ns0:c r="F275" s="19" t="inlineStr">
        <ns0:is>
          <ns0:t>https://doi.org/10.1007/978-3-031-48642-5_7</ns0:t>
        </ns0:is>
      </ns0:c>
      <ns0:c r="G275" s="19" t="inlineStr">
        <ns0:is>
          <ns0:t>ChatGPT-assisted evidence recharting, 2026-09-08</ns0:t>
        </ns0:is>
      </ns0:c>
    </ns0:row>
    <ns0:row r="276" ht="42" customHeight="1">
      <ns0:c r="A276" s="21" t="inlineStr">
        <ns0:is>
          <ns0:t>47</ns0:t>
        </ns0:is>
      </ns0:c>
      <ns0:c r="B276" s="21" t="inlineStr">
        <ns0:is>
          <ns0:t>ai_type</ns0:t>
        </ns0:is>
      </ns0:c>
      <ns0:c r="C276" s="21" t="inlineStr">
        <ns0:is>
          <ns0:t>Not specified</ns0:t>
        </ns0:is>
      </ns0:c>
      <ns0:c r="D276" s="21" t="inlineStr">
        <ns0:is>
          <ns0:t>Deep Learning</ns0:t>
        </ns0:is>
      </ns0:c>
      <ns0:c r="E276" s="21" t="inlineStr">
        <ns0:is>
          <ns0:t>Scanpaths, distances and fixation durations derive from eye tracking; multiple representations do not by themselves establish multisource integration. All named components are neural, not an ML-DL hybrid.</ns0:t>
        </ns0:is>
      </ns0:c>
      <ns0:c r="F276" s="21" t="inlineStr">
        <ns0:is>
          <ns0:t>https://doi.org/10.1007/s13755-024-00299-2</ns0:t>
        </ns0:is>
      </ns0:c>
      <ns0:c r="G276" s="21" t="inlineStr">
        <ns0:is>
          <ns0:t>ChatGPT-assisted evidence recharting, 2026-09-08</ns0:t>
        </ns0:is>
      </ns0:c>
    </ns0:row>
    <ns0:row r="277" ht="42" customHeight="1">
      <ns0:c r="A277" s="19" t="inlineStr">
        <ns0:is>
          <ns0:t>47</ns0:t>
        </ns0:is>
      </ns0:c>
      <ns0:c r="B277" s="19" t="inlineStr">
        <ns0:is>
          <ns0:t>data_source_primary</ns0:t>
        </ns0:is>
      </ns0:c>
      <ns0:c r="C277" s="19" t="inlineStr">
        <ns0:is>
          <ns0:t>Image (subtype unresolved)</ns0:t>
        </ns0:is>
      </ns0:c>
      <ns0:c r="D277" s="19" t="inlineStr">
        <ns0:is>
          <ns0:t>Behavioral images/video/gaze/movement</ns0:t>
        </ns0:is>
      </ns0:c>
      <ns0:c r="E277" s="19" t="inlineStr">
        <ns0:is>
          <ns0:t>Scanpaths, distances and fixation durations derive from eye tracking; multiple representations do not by themselves establish multisource integration. All named components are neural, not an ML-DL hybrid.</ns0:t>
        </ns0:is>
      </ns0:c>
      <ns0:c r="F277" s="19" t="inlineStr">
        <ns0:is>
          <ns0:t>https://doi.org/10.1007/s13755-024-00299-2</ns0:t>
        </ns0:is>
      </ns0:c>
      <ns0:c r="G277" s="19" t="inlineStr">
        <ns0:is>
          <ns0:t>ChatGPT-assisted evidence recharting, 2026-09-08</ns0:t>
        </ns0:is>
      </ns0:c>
    </ns0:row>
    <ns0:row r="278" ht="42" customHeight="1">
      <ns0:c r="A278" s="21" t="inlineStr">
        <ns0:is>
          <ns0:t>47</ns0:t>
        </ns0:is>
      </ns0:c>
      <ns0:c r="B278" s="21" t="inlineStr">
        <ns0:is>
          <ns0:t>algorithm_main</ns0:t>
        </ns0:is>
      </ns0:c>
      <ns0:c r="C278" s="21" t="inlineStr">
        <ns0:is>
          <ns0:t>RNN/LSTM/GRU</ns0:t>
        </ns0:is>
      </ns0:c>
      <ns0:c r="D278" s="21" t="inlineStr">
        <ns0:is>
          <ns0:t>CNN-GRU-ANN</ns0:t>
        </ns0:is>
      </ns0:c>
      <ns0:c r="E278" s="21" t="inlineStr">
        <ns0:is>
          <ns0:t>Scanpaths, distances and fixation durations derive from eye tracking; multiple representations do not by themselves establish multisource integration. All named components are neural, not an ML-DL hybrid.</ns0:t>
        </ns0:is>
      </ns0:c>
      <ns0:c r="F278" s="21" t="inlineStr">
        <ns0:is>
          <ns0:t>https://doi.org/10.1007/s13755-024-00299-2</ns0:t>
        </ns0:is>
      </ns0:c>
      <ns0:c r="G278" s="21" t="inlineStr">
        <ns0:is>
          <ns0:t>ChatGPT-assisted evidence recharting, 2026-09-08</ns0:t>
        </ns0:is>
      </ns0:c>
    </ns0:row>
    <ns0:row r="279" ht="42" customHeight="1">
      <ns0:c r="A279" s="19" t="inlineStr">
        <ns0:is>
          <ns0:t>47</ns0:t>
        </ns0:is>
      </ns0:c>
      <ns0:c r="B279" s="19" t="inlineStr">
        <ns0:is>
          <ns0:t>rq2_status</ns0:t>
        </ns0:is>
      </ns0:c>
      <ns0:c r="C279" s="19" t="inlineStr">
        <ns0:is>
          <ns0:t>Not adjudicated in master</ns0:t>
        </ns0:is>
      </ns0:c>
      <ns0:c r="D279" s="19" t="inlineStr">
        <ns0:is>
          <ns0:t>Research only</ns0:t>
        </ns0:is>
      </ns0:c>
      <ns0:c r="E279" s="19" t="inlineStr">
        <ns0:is>
          <ns0:t>Scanpaths, distances and fixation durations derive from eye tracking; multiple representations do not by themselves establish multisource integration. All named components are neural, not an ML-DL hybrid.</ns0:t>
        </ns0:is>
      </ns0:c>
      <ns0:c r="F279" s="19" t="inlineStr">
        <ns0:is>
          <ns0:t>https://doi.org/10.1007/s13755-024-00299-2</ns0:t>
        </ns0:is>
      </ns0:c>
      <ns0:c r="G279" s="19" t="inlineStr">
        <ns0:is>
          <ns0:t>ChatGPT-assisted evidence recharting, 2026-09-08</ns0:t>
        </ns0:is>
      </ns0:c>
    </ns0:row>
    <ns0:row r="280" ht="42" customHeight="1">
      <ns0:c r="A280" s="21" t="inlineStr">
        <ns0:is>
          <ns0:t>47</ns0:t>
        </ns0:is>
      </ns0:c>
      <ns0:c r="B280" s="21" t="inlineStr">
        <ns0:is>
          <ns0:t>rq2_role</ns0:t>
        </ns0:is>
      </ns0:c>
      <ns0:c r="C280" s="21" t="inlineStr"/>
      <ns0:c r="D280" s="21" t="inlineStr">
        <ns0:is>
          <ns0:t>Automated measurement/classification</ns0:t>
        </ns0:is>
      </ns0:c>
      <ns0:c r="E280" s="21" t="inlineStr">
        <ns0:is>
          <ns0:t>Scanpaths, distances and fixation durations derive from eye tracking; multiple representations do not by themselves establish multisource integration. All named components are neural, not an ML-DL hybrid.</ns0:t>
        </ns0:is>
      </ns0:c>
      <ns0:c r="F280" s="21" t="inlineStr">
        <ns0:is>
          <ns0:t>https://doi.org/10.1007/s13755-024-00299-2</ns0:t>
        </ns0:is>
      </ns0:c>
      <ns0:c r="G280" s="21" t="inlineStr">
        <ns0:is>
          <ns0:t>ChatGPT-assisted evidence recharting, 2026-09-08</ns0:t>
        </ns0:is>
      </ns0:c>
    </ns0:row>
    <ns0:row r="281" ht="42" customHeight="1">
      <ns0:c r="A281" s="19" t="inlineStr">
        <ns0:is>
          <ns0:t>47</ns0:t>
        </ns0:is>
      </ns0:c>
      <ns0:c r="B281" s="19" t="inlineStr">
        <ns0:is>
          <ns0:t>decision_timing</ns0:t>
        </ns0:is>
      </ns0:c>
      <ns0:c r="C281" s="19" t="inlineStr"/>
      <ns0:c r="D281" s="19" t="inlineStr">
        <ns0:is>
          <ns0:t>Not observed in assessed sources</ns0:t>
        </ns0:is>
      </ns0:c>
      <ns0:c r="E281" s="19" t="inlineStr">
        <ns0:is>
          <ns0:t>Scanpaths, distances and fixation durations derive from eye tracking; multiple representations do not by themselves establish multisource integration. All named components are neural, not an ML-DL hybrid.</ns0:t>
        </ns0:is>
      </ns0:c>
      <ns0:c r="F281" s="19" t="inlineStr">
        <ns0:is>
          <ns0:t>https://doi.org/10.1007/s13755-024-00299-2</ns0:t>
        </ns0:is>
      </ns0:c>
      <ns0:c r="G281" s="19" t="inlineStr">
        <ns0:is>
          <ns0:t>ChatGPT-assisted evidence recharting, 2026-09-08</ns0:t>
        </ns0:is>
      </ns0:c>
    </ns0:row>
    <ns0:row r="282" ht="42" customHeight="1">
      <ns0:c r="A282" s="21" t="inlineStr">
        <ns0:is>
          <ns0:t>47</ns0:t>
        </ns0:is>
      </ns0:c>
      <ns0:c r="B282" s="21" t="inlineStr">
        <ns0:is>
          <ns0:t>multisource_data</ns0:t>
        </ns0:is>
      </ns0:c>
      <ns0:c r="C282" s="21" t="inlineStr">
        <ns0:is>
          <ns0:t>Reported</ns0:t>
        </ns0:is>
      </ns0:c>
      <ns0:c r="D282" s="21" t="inlineStr">
        <ns0:is>
          <ns0:t>Not reported in assessed sources</ns0:t>
        </ns0:is>
      </ns0:c>
      <ns0:c r="E282" s="21" t="inlineStr">
        <ns0:is>
          <ns0:t>Scanpaths, distances and fixation durations derive from eye tracking; multiple representations do not by themselves establish multisource integration. All named components are neural, not an ML-DL hybrid.</ns0:t>
        </ns0:is>
      </ns0:c>
      <ns0:c r="F282" s="21" t="inlineStr">
        <ns0:is>
          <ns0:t>https://doi.org/10.1007/s13755-024-00299-2</ns0:t>
        </ns0:is>
      </ns0:c>
      <ns0:c r="G282" s="21" t="inlineStr">
        <ns0:is>
          <ns0:t>ChatGPT-assisted evidence recharting, 2026-09-08</ns0:t>
        </ns0:is>
      </ns0:c>
    </ns0:row>
    <ns0:row r="283" ht="42" customHeight="1">
      <ns0:c r="A283" s="19" t="inlineStr">
        <ns0:is>
          <ns0:t>48</ns0:t>
        </ns0:is>
      </ns0:c>
      <ns0:c r="B283" s="19" t="inlineStr">
        <ns0:is>
          <ns0:t>eligibility</ns0:t>
        </ns0:is>
      </ns0:c>
      <ns0:c r="C283" s="19" t="inlineStr">
        <ns0:is>
          <ns0:t>Include</ns0:t>
        </ns0:is>
      </ns0:c>
      <ns0:c r="D283" s="19" t="inlineStr">
        <ns0:is>
          <ns0:t>Exclude</ns0:t>
        </ns0:is>
      </ns0:c>
      <ns0:c r="E283" s="19" t="inlineStr">
        <ns0:is>
          <ns0:t>Verified original music-therapy RCT uses ML as music listening, not machine learning. The stored eye-tracking abstract belongs to a different report and is quarantined.</ns0:t>
        </ns0:is>
      </ns0:c>
      <ns0:c r="F283" s="19" t="inlineStr">
        <ns0:is>
          <ns0:t>https://extradoc.univ-nantes.fr/pluginfile.php/412199/mod_folder/content/0/article%20Bonnot-Vrait-Carasco-Rabeyron....pdf</ns0:t>
        </ns0:is>
      </ns0:c>
      <ns0:c r="G283" s="19" t="inlineStr">
        <ns0:is>
          <ns0:t>ChatGPT-assisted evidence recharting, 2026-09-08</ns0:t>
        </ns0:is>
      </ns0:c>
    </ns0:row>
    <ns0:row r="284" ht="42" customHeight="1">
      <ns0:c r="A284" s="21" t="inlineStr">
        <ns0:is>
          <ns0:t>48</ns0:t>
        </ns0:is>
      </ns0:c>
      <ns0:c r="B284" s="21" t="inlineStr">
        <ns0:is>
          <ns0:t>stage_primary</ns0:t>
        </ns0:is>
      </ns0:c>
      <ns0:c r="C284" s="21" t="inlineStr">
        <ns0:is>
          <ns0:t>Screening</ns0:t>
        </ns0:is>
      </ns0:c>
      <ns0:c r="D284" s="21" t="inlineStr">
        <ns0:is>
          <ns0:t>Excluded</ns0:t>
        </ns0:is>
      </ns0:c>
      <ns0:c r="E284" s="21" t="inlineStr">
        <ns0:is>
          <ns0:t>Verified original music-therapy RCT uses ML as music listening, not machine learning. The stored eye-tracking abstract belongs to a different report and is quarantined.</ns0:t>
        </ns0:is>
      </ns0:c>
      <ns0:c r="F284" s="21" t="inlineStr">
        <ns0:is>
          <ns0:t>https://extradoc.univ-nantes.fr/pluginfile.php/412199/mod_folder/content/0/article%20Bonnot-Vrait-Carasco-Rabeyron....pdf</ns0:t>
        </ns0:is>
      </ns0:c>
      <ns0:c r="G284" s="21" t="inlineStr">
        <ns0:is>
          <ns0:t>ChatGPT-assisted evidence recharting, 2026-09-08</ns0:t>
        </ns0:is>
      </ns0:c>
    </ns0:row>
    <ns0:row r="285" ht="42" customHeight="1">
      <ns0:c r="A285" s="19" t="inlineStr">
        <ns0:is>
          <ns0:t>48</ns0:t>
        </ns0:is>
      </ns0:c>
      <ns0:c r="B285" s="19" t="inlineStr">
        <ns0:is>
          <ns0:t>ai_type</ns0:t>
        </ns0:is>
      </ns0:c>
      <ns0:c r="C285" s="19" t="inlineStr">
        <ns0:is>
          <ns0:t>Machine Learning</ns0:t>
        </ns0:is>
      </ns0:c>
      <ns0:c r="D285" s="19" t="inlineStr">
        <ns0:is>
          <ns0:t>Excluded</ns0:t>
        </ns0:is>
      </ns0:c>
      <ns0:c r="E285" s="19" t="inlineStr">
        <ns0:is>
          <ns0:t>Verified original music-therapy RCT uses ML as music listening, not machine learning. The stored eye-tracking abstract belongs to a different report and is quarantined.</ns0:t>
        </ns0:is>
      </ns0:c>
      <ns0:c r="F285" s="19" t="inlineStr">
        <ns0:is>
          <ns0:t>https://extradoc.univ-nantes.fr/pluginfile.php/412199/mod_folder/content/0/article%20Bonnot-Vrait-Carasco-Rabeyron....pdf</ns0:t>
        </ns0:is>
      </ns0:c>
      <ns0:c r="G285" s="19" t="inlineStr">
        <ns0:is>
          <ns0:t>ChatGPT-assisted evidence recharting, 2026-09-08</ns0:t>
        </ns0:is>
      </ns0:c>
    </ns0:row>
    <ns0:row r="286" ht="42" customHeight="1">
      <ns0:c r="A286" s="21" t="inlineStr">
        <ns0:is>
          <ns0:t>48</ns0:t>
        </ns0:is>
      </ns0:c>
      <ns0:c r="B286" s="21" t="inlineStr">
        <ns0:is>
          <ns0:t>data_source_primary</ns0:t>
        </ns0:is>
      </ns0:c>
      <ns0:c r="C286" s="21" t="inlineStr">
        <ns0:is>
          <ns0:t>Not specified</ns0:t>
        </ns0:is>
      </ns0:c>
      <ns0:c r="D286" s="21" t="inlineStr">
        <ns0:is>
          <ns0:t>Excluded</ns0:t>
        </ns0:is>
      </ns0:c>
      <ns0:c r="E286" s="21" t="inlineStr">
        <ns0:is>
          <ns0:t>Verified original music-therapy RCT uses ML as music listening, not machine learning. The stored eye-tracking abstract belongs to a different report and is quarantined.</ns0:t>
        </ns0:is>
      </ns0:c>
      <ns0:c r="F286" s="21" t="inlineStr">
        <ns0:is>
          <ns0:t>https://extradoc.univ-nantes.fr/pluginfile.php/412199/mod_folder/content/0/article%20Bonnot-Vrait-Carasco-Rabeyron....pdf</ns0:t>
        </ns0:is>
      </ns0:c>
      <ns0:c r="G286" s="21" t="inlineStr">
        <ns0:is>
          <ns0:t>ChatGPT-assisted evidence recharting, 2026-09-08</ns0:t>
        </ns0:is>
      </ns0:c>
    </ns0:row>
    <ns0:row r="287" ht="42" customHeight="1">
      <ns0:c r="A287" s="19" t="inlineStr">
        <ns0:is>
          <ns0:t>48</ns0:t>
        </ns0:is>
      </ns0:c>
      <ns0:c r="B287" s="19" t="inlineStr">
        <ns0:is>
          <ns0:t>rq2_status</ns0:t>
        </ns0:is>
      </ns0:c>
      <ns0:c r="C287" s="19" t="inlineStr">
        <ns0:is>
          <ns0:t>Not adjudicated in master</ns0:t>
        </ns0:is>
      </ns0:c>
      <ns0:c r="D287" s="19" t="inlineStr">
        <ns0:is>
          <ns0:t>Excluded</ns0:t>
        </ns0:is>
      </ns0:c>
      <ns0:c r="E287" s="19" t="inlineStr">
        <ns0:is>
          <ns0:t>Verified original music-therapy RCT uses ML as music listening, not machine learning. The stored eye-tracking abstract belongs to a different report and is quarantined.</ns0:t>
        </ns0:is>
      </ns0:c>
      <ns0:c r="F287" s="19" t="inlineStr">
        <ns0:is>
          <ns0:t>https://extradoc.univ-nantes.fr/pluginfile.php/412199/mod_folder/content/0/article%20Bonnot-Vrait-Carasco-Rabeyron....pdf</ns0:t>
        </ns0:is>
      </ns0:c>
      <ns0:c r="G287" s="19" t="inlineStr">
        <ns0:is>
          <ns0:t>ChatGPT-assisted evidence recharting, 2026-09-08</ns0:t>
        </ns0:is>
      </ns0:c>
    </ns0:row>
    <ns0:row r="288" ht="42" customHeight="1">
      <ns0:c r="A288" s="21" t="inlineStr">
        <ns0:is>
          <ns0:t>48</ns0:t>
        </ns0:is>
      </ns0:c>
      <ns0:c r="B288" s="21" t="inlineStr">
        <ns0:is>
          <ns0:t>rq2_role</ns0:t>
        </ns0:is>
      </ns0:c>
      <ns0:c r="C288" s="21" t="inlineStr"/>
      <ns0:c r="D288" s="21" t="inlineStr">
        <ns0:is>
          <ns0:t>Excluded</ns0:t>
        </ns0:is>
      </ns0:c>
      <ns0:c r="E288" s="21" t="inlineStr">
        <ns0:is>
          <ns0:t>Verified original music-therapy RCT uses ML as music listening, not machine learning. The stored eye-tracking abstract belongs to a different report and is quarantined.</ns0:t>
        </ns0:is>
      </ns0:c>
      <ns0:c r="F288" s="21" t="inlineStr">
        <ns0:is>
          <ns0:t>https://extradoc.univ-nantes.fr/pluginfile.php/412199/mod_folder/content/0/article%20Bonnot-Vrait-Carasco-Rabeyron....pdf</ns0:t>
        </ns0:is>
      </ns0:c>
      <ns0:c r="G288" s="21" t="inlineStr">
        <ns0:is>
          <ns0:t>ChatGPT-assisted evidence recharting, 2026-09-08</ns0:t>
        </ns0:is>
      </ns0:c>
    </ns0:row>
    <ns0:row r="289" ht="42" customHeight="1">
      <ns0:c r="A289" s="19" t="inlineStr">
        <ns0:is>
          <ns0:t>48</ns0:t>
        </ns0:is>
      </ns0:c>
      <ns0:c r="B289" s="19" t="inlineStr">
        <ns0:is>
          <ns0:t>decision_timing</ns0:t>
        </ns0:is>
      </ns0:c>
      <ns0:c r="C289" s="19" t="inlineStr"/>
      <ns0:c r="D289" s="19" t="inlineStr">
        <ns0:is>
          <ns0:t>Not applicable - excluded</ns0:t>
        </ns0:is>
      </ns0:c>
      <ns0:c r="E289" s="19" t="inlineStr">
        <ns0:is>
          <ns0:t>Verified original music-therapy RCT uses ML as music listening, not machine learning. The stored eye-tracking abstract belongs to a different report and is quarantined.</ns0:t>
        </ns0:is>
      </ns0:c>
      <ns0:c r="F289" s="19" t="inlineStr">
        <ns0:is>
          <ns0:t>https://extradoc.univ-nantes.fr/pluginfile.php/412199/mod_folder/content/0/article%20Bonnot-Vrait-Carasco-Rabeyron....pdf</ns0:t>
        </ns0:is>
      </ns0:c>
      <ns0:c r="G289" s="19" t="inlineStr">
        <ns0:is>
          <ns0:t>ChatGPT-assisted evidence recharting, 2026-09-08</ns0:t>
        </ns0:is>
      </ns0:c>
    </ns0:row>
    <ns0:row r="290" ht="42" customHeight="1">
      <ns0:c r="A290" s="21" t="inlineStr">
        <ns0:is>
          <ns0:t>49</ns0:t>
        </ns0:is>
      </ns0:c>
      <ns0:c r="B290" s="21" t="inlineStr">
        <ns0:is>
          <ns0:t>data_source_primary</ns0:t>
        </ns0:is>
      </ns0:c>
      <ns0:c r="C290" s="21" t="inlineStr">
        <ns0:is>
          <ns0:t>Physiological signals</ns0:t>
        </ns0:is>
      </ns0:c>
      <ns0:c r="D290" s="21" t="inlineStr">
        <ns0:is>
          <ns0:t>Neuroimaging</ns0:t>
        </ns0:is>
      </ns0:c>
      <ns0:c r="E290" s="21" t="inlineStr">
        <ns0:is>
          <ns0:t>Functional brain-connectivity graphs are derived from resting-state fMRI; graph neural network is retained as its own family rather than Other or conventional CNN.</ns0:t>
        </ns0:is>
      </ns0:c>
      <ns0:c r="F290" s="21" t="inlineStr">
        <ns0:is>
          <ns0:t>https://doi.org/10.1007/978-3-030-93049-3_30</ns0:t>
        </ns0:is>
      </ns0:c>
      <ns0:c r="G290" s="21" t="inlineStr">
        <ns0:is>
          <ns0:t>ChatGPT-assisted evidence recharting, 2026-09-08</ns0:t>
        </ns0:is>
      </ns0:c>
    </ns0:row>
    <ns0:row r="291" ht="42" customHeight="1">
      <ns0:c r="A291" s="19" t="inlineStr">
        <ns0:is>
          <ns0:t>49</ns0:t>
        </ns0:is>
      </ns0:c>
      <ns0:c r="B291" s="19" t="inlineStr">
        <ns0:is>
          <ns0:t>algorithm_main</ns0:t>
        </ns0:is>
      </ns0:c>
      <ns0:c r="C291" s="19" t="inlineStr">
        <ns0:is>
          <ns0:t>Other</ns0:t>
        </ns0:is>
      </ns0:c>
      <ns0:c r="D291" s="19" t="inlineStr">
        <ns0:is>
          <ns0:t>Triple-pooling graph neural network</ns0:t>
        </ns0:is>
      </ns0:c>
      <ns0:c r="E291" s="19" t="inlineStr">
        <ns0:is>
          <ns0:t>Functional brain-connectivity graphs are derived from resting-state fMRI; graph neural network is retained as its own family rather than Other or conventional CNN.</ns0:t>
        </ns0:is>
      </ns0:c>
      <ns0:c r="F291" s="19" t="inlineStr">
        <ns0:is>
          <ns0:t>https://doi.org/10.1007/978-3-030-93049-3_30</ns0:t>
        </ns0:is>
      </ns0:c>
      <ns0:c r="G291" s="19" t="inlineStr">
        <ns0:is>
          <ns0:t>ChatGPT-assisted evidence recharting, 2026-09-08</ns0:t>
        </ns0:is>
      </ns0:c>
    </ns0:row>
    <ns0:row r="292" ht="42" customHeight="1">
      <ns0:c r="A292" s="21" t="inlineStr">
        <ns0:is>
          <ns0:t>49</ns0:t>
        </ns0:is>
      </ns0:c>
      <ns0:c r="B292" s="21" t="inlineStr">
        <ns0:is>
          <ns0:t>rq2_status</ns0:t>
        </ns0:is>
      </ns0:c>
      <ns0:c r="C292" s="21" t="inlineStr">
        <ns0:is>
          <ns0:t>Not adjudicated in master</ns0:t>
        </ns0:is>
      </ns0:c>
      <ns0:c r="D292" s="21" t="inlineStr">
        <ns0:is>
          <ns0:t>Research only</ns0:t>
        </ns0:is>
      </ns0:c>
      <ns0:c r="E292" s="21" t="inlineStr">
        <ns0:is>
          <ns0:t>Functional brain-connectivity graphs are derived from resting-state fMRI; graph neural network is retained as its own family rather than Other or conventional CNN.</ns0:t>
        </ns0:is>
      </ns0:c>
      <ns0:c r="F292" s="21" t="inlineStr">
        <ns0:is>
          <ns0:t>https://doi.org/10.1007/978-3-030-93049-3_30</ns0:t>
        </ns0:is>
      </ns0:c>
      <ns0:c r="G292" s="21" t="inlineStr">
        <ns0:is>
          <ns0:t>ChatGPT-assisted evidence recharting, 2026-09-08</ns0:t>
        </ns0:is>
      </ns0:c>
    </ns0:row>
    <ns0:row r="293" ht="42" customHeight="1">
      <ns0:c r="A293" s="19" t="inlineStr">
        <ns0:is>
          <ns0:t>49</ns0:t>
        </ns0:is>
      </ns0:c>
      <ns0:c r="B293" s="19" t="inlineStr">
        <ns0:is>
          <ns0:t>rq2_role</ns0:t>
        </ns0:is>
      </ns0:c>
      <ns0:c r="C293" s="19" t="inlineStr"/>
      <ns0:c r="D293" s="19" t="inlineStr">
        <ns0:is>
          <ns0:t>Automated measurement/classification</ns0:t>
        </ns0:is>
      </ns0:c>
      <ns0:c r="E293" s="19" t="inlineStr">
        <ns0:is>
          <ns0:t>Functional brain-connectivity graphs are derived from resting-state fMRI; graph neural network is retained as its own family rather than Other or conventional CNN.</ns0:t>
        </ns0:is>
      </ns0:c>
      <ns0:c r="F293" s="19" t="inlineStr">
        <ns0:is>
          <ns0:t>https://doi.org/10.1007/978-3-030-93049-3_30</ns0:t>
        </ns0:is>
      </ns0:c>
      <ns0:c r="G293" s="19" t="inlineStr">
        <ns0:is>
          <ns0:t>ChatGPT-assisted evidence recharting, 2026-09-08</ns0:t>
        </ns0:is>
      </ns0:c>
    </ns0:row>
    <ns0:row r="294" ht="42" customHeight="1">
      <ns0:c r="A294" s="21" t="inlineStr">
        <ns0:is>
          <ns0:t>49</ns0:t>
        </ns0:is>
      </ns0:c>
      <ns0:c r="B294" s="21" t="inlineStr">
        <ns0:is>
          <ns0:t>decision_timing</ns0:t>
        </ns0:is>
      </ns0:c>
      <ns0:c r="C294" s="21" t="inlineStr"/>
      <ns0:c r="D294" s="21" t="inlineStr">
        <ns0:is>
          <ns0:t>Not observed in assessed sources</ns0:t>
        </ns0:is>
      </ns0:c>
      <ns0:c r="E294" s="21" t="inlineStr">
        <ns0:is>
          <ns0:t>Functional brain-connectivity graphs are derived from resting-state fMRI; graph neural network is retained as its own family rather than Other or conventional CNN.</ns0:t>
        </ns0:is>
      </ns0:c>
      <ns0:c r="F294" s="21" t="inlineStr">
        <ns0:is>
          <ns0:t>https://doi.org/10.1007/978-3-030-93049-3_30</ns0:t>
        </ns0:is>
      </ns0:c>
      <ns0:c r="G294" s="21" t="inlineStr">
        <ns0:is>
          <ns0:t>ChatGPT-assisted evidence recharting, 2026-09-08</ns0:t>
        </ns0:is>
      </ns0:c>
    </ns0:row>
    <ns0:row r="295" ht="42" customHeight="1">
      <ns0:c r="A295" s="19" t="inlineStr">
        <ns0:is>
          <ns0:t>51</ns0:t>
        </ns0:is>
      </ns0:c>
      <ns0:c r="B295" s="19" t="inlineStr">
        <ns0:is>
          <ns0:t>ai_type</ns0:t>
        </ns0:is>
      </ns0:c>
      <ns0:c r="C295" s="19" t="inlineStr">
        <ns0:is>
          <ns0:t>Not specified</ns0:t>
        </ns0:is>
      </ns0:c>
      <ns0:c r="D295" s="19" t="inlineStr">
        <ns0:is>
          <ns0:t>Deep Learning</ns0:t>
        </ns0:is>
      </ns0:c>
      <ns0:c r="E295" s="19" t="inlineStr">
        <ns0:is>
          <ns0:t>Explicit deep graph architecture fuses structural and functional brain data; within-neuroimaging multimodal integration is retained.</ns0:t>
        </ns0:is>
      </ns0:c>
      <ns0:c r="F295" s="19" t="inlineStr">
        <ns0:is>
          <ns0:t>https://doi.org/10.1007/s12539-024-00651-w</ns0:t>
        </ns0:is>
      </ns0:c>
      <ns0:c r="G295" s="19" t="inlineStr">
        <ns0:is>
          <ns0:t>ChatGPT-assisted evidence recharting, 2026-09-08</ns0:t>
        </ns0:is>
      </ns0:c>
    </ns0:row>
    <ns0:row r="296" ht="42" customHeight="1">
      <ns0:c r="A296" s="21" t="inlineStr">
        <ns0:is>
          <ns0:t>51</ns0:t>
        </ns0:is>
      </ns0:c>
      <ns0:c r="B296" s="21" t="inlineStr">
        <ns0:is>
          <ns0:t>data_source_primary</ns0:t>
        </ns0:is>
      </ns0:c>
      <ns0:c r="C296" s="21" t="inlineStr">
        <ns0:is>
          <ns0:t>Multiple modalities (as coded)</ns0:t>
        </ns0:is>
      </ns0:c>
      <ns0:c r="D296" s="21" t="inlineStr">
        <ns0:is>
          <ns0:t>Neuroimaging</ns0:t>
        </ns0:is>
      </ns0:c>
      <ns0:c r="E296" s="21" t="inlineStr">
        <ns0:is>
          <ns0:t>Explicit deep graph architecture fuses structural and functional brain data; within-neuroimaging multimodal integration is retained.</ns0:t>
        </ns0:is>
      </ns0:c>
      <ns0:c r="F296" s="21" t="inlineStr">
        <ns0:is>
          <ns0:t>https://doi.org/10.1007/s12539-024-00651-w</ns0:t>
        </ns0:is>
      </ns0:c>
      <ns0:c r="G296" s="21" t="inlineStr">
        <ns0:is>
          <ns0:t>ChatGPT-assisted evidence recharting, 2026-09-08</ns0:t>
        </ns0:is>
      </ns0:c>
    </ns0:row>
    <ns0:row r="297" ht="42" customHeight="1">
      <ns0:c r="A297" s="19" t="inlineStr">
        <ns0:is>
          <ns0:t>51</ns0:t>
        </ns0:is>
      </ns0:c>
      <ns0:c r="B297" s="19" t="inlineStr">
        <ns0:is>
          <ns0:t>algorithm_main</ns0:t>
        </ns0:is>
      </ns0:c>
      <ns0:c r="C297" s="19" t="inlineStr">
        <ns0:is>
          <ns0:t>CNN</ns0:t>
        </ns0:is>
      </ns0:c>
      <ns0:c r="D297" s="19" t="inlineStr">
        <ns0:is>
          <ns0:t>Bilinear perceptual fusion GCN</ns0:t>
        </ns0:is>
      </ns0:c>
      <ns0:c r="E297" s="19" t="inlineStr">
        <ns0:is>
          <ns0:t>Explicit deep graph architecture fuses structural and functional brain data; within-neuroimaging multimodal integration is retained.</ns0:t>
        </ns0:is>
      </ns0:c>
      <ns0:c r="F297" s="19" t="inlineStr">
        <ns0:is>
          <ns0:t>https://doi.org/10.1007/s12539-024-00651-w</ns0:t>
        </ns0:is>
      </ns0:c>
      <ns0:c r="G297" s="19" t="inlineStr">
        <ns0:is>
          <ns0:t>ChatGPT-assisted evidence recharting, 2026-09-08</ns0:t>
        </ns0:is>
      </ns0:c>
    </ns0:row>
    <ns0:row r="298" ht="42" customHeight="1">
      <ns0:c r="A298" s="21" t="inlineStr">
        <ns0:is>
          <ns0:t>51</ns0:t>
        </ns0:is>
      </ns0:c>
      <ns0:c r="B298" s="21" t="inlineStr">
        <ns0:is>
          <ns0:t>rq2_status</ns0:t>
        </ns0:is>
      </ns0:c>
      <ns0:c r="C298" s="21" t="inlineStr">
        <ns0:is>
          <ns0:t>Not adjudicated in master</ns0:t>
        </ns0:is>
      </ns0:c>
      <ns0:c r="D298" s="21" t="inlineStr">
        <ns0:is>
          <ns0:t>Proposed only</ns0:t>
        </ns0:is>
      </ns0:c>
      <ns0:c r="E298" s="21" t="inlineStr">
        <ns0:is>
          <ns0:t>Explicit deep graph architecture fuses structural and functional brain data; within-neuroimaging multimodal integration is retained.</ns0:t>
        </ns0:is>
      </ns0:c>
      <ns0:c r="F298" s="21" t="inlineStr">
        <ns0:is>
          <ns0:t>https://doi.org/10.1007/s12539-024-00651-w</ns0:t>
        </ns0:is>
      </ns0:c>
      <ns0:c r="G298" s="21" t="inlineStr">
        <ns0:is>
          <ns0:t>ChatGPT-assisted evidence recharting, 2026-09-08</ns0:t>
        </ns0:is>
      </ns0:c>
    </ns0:row>
    <ns0:row r="299" ht="42" customHeight="1">
      <ns0:c r="A299" s="19" t="inlineStr">
        <ns0:is>
          <ns0:t>51</ns0:t>
        </ns0:is>
      </ns0:c>
      <ns0:c r="B299" s="19" t="inlineStr">
        <ns0:is>
          <ns0:t>rq2_role</ns0:t>
        </ns0:is>
      </ns0:c>
      <ns0:c r="C299" s="19" t="inlineStr"/>
      <ns0:c r="D299" s="19" t="inlineStr">
        <ns0:is>
          <ns0:t>Diagnostic decision support</ns0:t>
        </ns0:is>
      </ns0:c>
      <ns0:c r="E299" s="19" t="inlineStr">
        <ns0:is>
          <ns0:t>Explicit deep graph architecture fuses structural and functional brain data; within-neuroimaging multimodal integration is retained.</ns0:t>
        </ns0:is>
      </ns0:c>
      <ns0:c r="F299" s="19" t="inlineStr">
        <ns0:is>
          <ns0:t>https://doi.org/10.1007/s12539-024-00651-w</ns0:t>
        </ns0:is>
      </ns0:c>
      <ns0:c r="G299" s="19" t="inlineStr">
        <ns0:is>
          <ns0:t>ChatGPT-assisted evidence recharting, 2026-09-08</ns0:t>
        </ns0:is>
      </ns0:c>
    </ns0:row>
    <ns0:row r="300" ht="42" customHeight="1">
      <ns0:c r="A300" s="21" t="inlineStr">
        <ns0:is>
          <ns0:t>51</ns0:t>
        </ns0:is>
      </ns0:c>
      <ns0:c r="B300" s="21" t="inlineStr">
        <ns0:is>
          <ns0:t>decision_timing</ns0:t>
        </ns0:is>
      </ns0:c>
      <ns0:c r="C300" s="21" t="inlineStr"/>
      <ns0:c r="D300" s="21" t="inlineStr">
        <ns0:is>
          <ns0:t>In-decision</ns0:t>
        </ns0:is>
      </ns0:c>
      <ns0:c r="E300" s="21" t="inlineStr">
        <ns0:is>
          <ns0:t>Explicit deep graph architecture fuses structural and functional brain data; within-neuroimaging multimodal integration is retained.</ns0:t>
        </ns0:is>
      </ns0:c>
      <ns0:c r="F300" s="21" t="inlineStr">
        <ns0:is>
          <ns0:t>https://doi.org/10.1007/s12539-024-00651-w</ns0:t>
        </ns0:is>
      </ns0:c>
      <ns0:c r="G300" s="21" t="inlineStr">
        <ns0:is>
          <ns0:t>ChatGPT-assisted evidence recharting, 2026-09-08</ns0:t>
        </ns0:is>
      </ns0:c>
    </ns0:row>
    <ns0:row r="301" ht="42" customHeight="1">
      <ns0:c r="A301" s="19" t="inlineStr">
        <ns0:is>
          <ns0:t>52</ns0:t>
        </ns0:is>
      </ns0:c>
      <ns0:c r="B301" s="19" t="inlineStr">
        <ns0:is>
          <ns0:t>ai_type</ns0:t>
        </ns0:is>
      </ns0:c>
      <ns0:c r="C301" s="19" t="inlineStr">
        <ns0:is>
          <ns0:t>Hybrid</ns0:t>
        </ns0:is>
      </ns0:c>
      <ns0:c r="D301" s="19" t="inlineStr">
        <ns0:is>
          <ns0:t>Deep Learning</ns0:t>
        </ns0:is>
      </ns0:c>
      <ns0:c r="E301" s="19" t="inlineStr">
        <ns0:is>
          <ns0:t>EEG wavelet and entropy preprocessing followed by CNN; comparison with conventional classifiers is not an integrated ML-DL hybrid or demonstrated clinician use.</ns0:t>
        </ns0:is>
      </ns0:c>
      <ns0:c r="F301" s="19" t="inlineStr">
        <ns0:is>
          <ns0:t>https://doi.org/10.1177/09544119221141751</ns0:t>
        </ns0:is>
      </ns0:c>
      <ns0:c r="G301" s="19" t="inlineStr">
        <ns0:is>
          <ns0:t>ChatGPT-assisted evidence recharting, 2026-09-08</ns0:t>
        </ns0:is>
      </ns0:c>
    </ns0:row>
    <ns0:row r="302" ht="42" customHeight="1">
      <ns0:c r="A302" s="21" t="inlineStr">
        <ns0:is>
          <ns0:t>52</ns0:t>
        </ns0:is>
      </ns0:c>
      <ns0:c r="B302" s="21" t="inlineStr">
        <ns0:is>
          <ns0:t>rq2_status</ns0:t>
        </ns0:is>
      </ns0:c>
      <ns0:c r="C302" s="21" t="inlineStr">
        <ns0:is>
          <ns0:t>Not adjudicated in master</ns0:t>
        </ns0:is>
      </ns0:c>
      <ns0:c r="D302" s="21" t="inlineStr">
        <ns0:is>
          <ns0:t>Proposed only</ns0:t>
        </ns0:is>
      </ns0:c>
      <ns0:c r="E302" s="21" t="inlineStr">
        <ns0:is>
          <ns0:t>EEG wavelet and entropy preprocessing followed by CNN; comparison with conventional classifiers is not an integrated ML-DL hybrid or demonstrated clinician use.</ns0:t>
        </ns0:is>
      </ns0:c>
      <ns0:c r="F302" s="21" t="inlineStr">
        <ns0:is>
          <ns0:t>https://doi.org/10.1177/09544119221141751</ns0:t>
        </ns0:is>
      </ns0:c>
      <ns0:c r="G302" s="21" t="inlineStr">
        <ns0:is>
          <ns0:t>ChatGPT-assisted evidence recharting, 2026-09-08</ns0:t>
        </ns0:is>
      </ns0:c>
    </ns0:row>
    <ns0:row r="303" ht="42" customHeight="1">
      <ns0:c r="A303" s="19" t="inlineStr">
        <ns0:is>
          <ns0:t>52</ns0:t>
        </ns0:is>
      </ns0:c>
      <ns0:c r="B303" s="19" t="inlineStr">
        <ns0:is>
          <ns0:t>rq2_role</ns0:t>
        </ns0:is>
      </ns0:c>
      <ns0:c r="C303" s="19" t="inlineStr"/>
      <ns0:c r="D303" s="19" t="inlineStr">
        <ns0:is>
          <ns0:t>Diagnostic decision support</ns0:t>
        </ns0:is>
      </ns0:c>
      <ns0:c r="E303" s="19" t="inlineStr">
        <ns0:is>
          <ns0:t>EEG wavelet and entropy preprocessing followed by CNN; comparison with conventional classifiers is not an integrated ML-DL hybrid or demonstrated clinician use.</ns0:t>
        </ns0:is>
      </ns0:c>
      <ns0:c r="F303" s="19" t="inlineStr">
        <ns0:is>
          <ns0:t>https://doi.org/10.1177/09544119221141751</ns0:t>
        </ns0:is>
      </ns0:c>
      <ns0:c r="G303" s="19" t="inlineStr">
        <ns0:is>
          <ns0:t>ChatGPT-assisted evidence recharting, 2026-09-08</ns0:t>
        </ns0:is>
      </ns0:c>
    </ns0:row>
    <ns0:row r="304" ht="42" customHeight="1">
      <ns0:c r="A304" s="21" t="inlineStr">
        <ns0:is>
          <ns0:t>52</ns0:t>
        </ns0:is>
      </ns0:c>
      <ns0:c r="B304" s="21" t="inlineStr">
        <ns0:is>
          <ns0:t>decision_timing</ns0:t>
        </ns0:is>
      </ns0:c>
      <ns0:c r="C304" s="21" t="inlineStr"/>
      <ns0:c r="D304" s="21" t="inlineStr">
        <ns0:is>
          <ns0:t>In-decision</ns0:t>
        </ns0:is>
      </ns0:c>
      <ns0:c r="E304" s="21" t="inlineStr">
        <ns0:is>
          <ns0:t>EEG wavelet and entropy preprocessing followed by CNN; comparison with conventional classifiers is not an integrated ML-DL hybrid or demonstrated clinician use.</ns0:t>
        </ns0:is>
      </ns0:c>
      <ns0:c r="F304" s="21" t="inlineStr">
        <ns0:is>
          <ns0:t>https://doi.org/10.1177/09544119221141751</ns0:t>
        </ns0:is>
      </ns0:c>
      <ns0:c r="G304" s="21" t="inlineStr">
        <ns0:is>
          <ns0:t>ChatGPT-assisted evidence recharting, 2026-09-08</ns0:t>
        </ns0:is>
      </ns0:c>
    </ns0:row>
    <ns0:row r="305" ht="42" customHeight="1">
      <ns0:c r="A305" s="19" t="inlineStr">
        <ns0:is>
          <ns0:t>53</ns0:t>
        </ns0:is>
      </ns0:c>
      <ns0:c r="B305" s="19" t="inlineStr">
        <ns0:is>
          <ns0:t>stage_primary</ns0:t>
        </ns0:is>
      </ns0:c>
      <ns0:c r="C305" s="19" t="inlineStr">
        <ns0:is>
          <ns0:t>Diagnosis</ns0:t>
        </ns0:is>
      </ns0:c>
      <ns0:c r="D305" s="19" t="inlineStr">
        <ns0:is>
          <ns0:t>Prognosis</ns0:t>
        </ns0:is>
      </ns0:c>
      <ns0:c r="E305" s="19" t="inlineStr">
        <ns0:is>
          <ns0:t>Linked maternal and infant administrative records predict later ASD; not a contemporaneous diagnostic or deployed clinical tool.</ns0:t>
        </ns0:is>
      </ns0:c>
      <ns0:c r="F305" s="19" t="inlineStr">
        <ns0:is>
          <ns0:t>https://doi.org/10.1002/aur.2912</ns0:t>
        </ns0:is>
      </ns0:c>
      <ns0:c r="G305" s="19" t="inlineStr">
        <ns0:is>
          <ns0:t>ChatGPT-assisted evidence recharting, 2026-09-08</ns0:t>
        </ns0:is>
      </ns0:c>
    </ns0:row>
    <ns0:row r="306" ht="42" customHeight="1">
      <ns0:c r="A306" s="21" t="inlineStr">
        <ns0:is>
          <ns0:t>53</ns0:t>
        </ns0:is>
      </ns0:c>
      <ns0:c r="B306" s="21" t="inlineStr">
        <ns0:is>
          <ns0:t>data_source_primary</ns0:t>
        </ns0:is>
      </ns0:c>
      <ns0:c r="C306" s="21" t="inlineStr">
        <ns0:is>
          <ns0:t>Not specified</ns0:t>
        </ns0:is>
      </ns0:c>
      <ns0:c r="D306" s="21" t="inlineStr">
        <ns0:is>
          <ns0:t>Structured clinical/questionnaire data</ns0:t>
        </ns0:is>
      </ns0:c>
      <ns0:c r="E306" s="21" t="inlineStr">
        <ns0:is>
          <ns0:t>Linked maternal and infant administrative records predict later ASD; not a contemporaneous diagnostic or deployed clinical tool.</ns0:t>
        </ns0:is>
      </ns0:c>
      <ns0:c r="F306" s="21" t="inlineStr">
        <ns0:is>
          <ns0:t>https://doi.org/10.1002/aur.2912</ns0:t>
        </ns0:is>
      </ns0:c>
      <ns0:c r="G306" s="21" t="inlineStr">
        <ns0:is>
          <ns0:t>ChatGPT-assisted evidence recharting, 2026-09-08</ns0:t>
        </ns0:is>
      </ns0:c>
    </ns0:row>
    <ns0:row r="307" ht="42" customHeight="1">
      <ns0:c r="A307" s="19" t="inlineStr">
        <ns0:is>
          <ns0:t>53</ns0:t>
        </ns0:is>
      </ns0:c>
      <ns0:c r="B307" s="19" t="inlineStr">
        <ns0:is>
          <ns0:t>algorithm_main</ns0:t>
        </ns0:is>
      </ns0:c>
      <ns0:c r="C307" s="19" t="inlineStr">
        <ns0:is>
          <ns0:t>Logistic Regression</ns0:t>
        </ns0:is>
      </ns0:c>
      <ns0:c r="D307" s="19" t="inlineStr">
        <ns0:is>
          <ns0:t>Logistic regression and gradient-boosted trees</ns0:t>
        </ns0:is>
      </ns0:c>
      <ns0:c r="E307" s="19" t="inlineStr">
        <ns0:is>
          <ns0:t>Linked maternal and infant administrative records predict later ASD; not a contemporaneous diagnostic or deployed clinical tool.</ns0:t>
        </ns0:is>
      </ns0:c>
      <ns0:c r="F307" s="19" t="inlineStr">
        <ns0:is>
          <ns0:t>https://doi.org/10.1002/aur.2912</ns0:t>
        </ns0:is>
      </ns0:c>
      <ns0:c r="G307" s="19" t="inlineStr">
        <ns0:is>
          <ns0:t>ChatGPT-assisted evidence recharting, 2026-09-08</ns0:t>
        </ns0:is>
      </ns0:c>
    </ns0:row>
    <ns0:row r="308" ht="42" customHeight="1">
      <ns0:c r="A308" s="21" t="inlineStr">
        <ns0:is>
          <ns0:t>53</ns0:t>
        </ns0:is>
      </ns0:c>
      <ns0:c r="B308" s="21" t="inlineStr">
        <ns0:is>
          <ns0:t>rq2_status</ns0:t>
        </ns0:is>
      </ns0:c>
      <ns0:c r="C308" s="21" t="inlineStr">
        <ns0:is>
          <ns0:t>Not adjudicated in master</ns0:t>
        </ns0:is>
      </ns0:c>
      <ns0:c r="D308" s="21" t="inlineStr">
        <ns0:is>
          <ns0:t>Proposed only</ns0:t>
        </ns0:is>
      </ns0:c>
      <ns0:c r="E308" s="21" t="inlineStr">
        <ns0:is>
          <ns0:t>Linked maternal and infant administrative records predict later ASD; not a contemporaneous diagnostic or deployed clinical tool.</ns0:t>
        </ns0:is>
      </ns0:c>
      <ns0:c r="F308" s="21" t="inlineStr">
        <ns0:is>
          <ns0:t>https://doi.org/10.1002/aur.2912</ns0:t>
        </ns0:is>
      </ns0:c>
      <ns0:c r="G308" s="21" t="inlineStr">
        <ns0:is>
          <ns0:t>ChatGPT-assisted evidence recharting, 2026-09-08</ns0:t>
        </ns0:is>
      </ns0:c>
    </ns0:row>
    <ns0:row r="309" ht="42" customHeight="1">
      <ns0:c r="A309" s="19" t="inlineStr">
        <ns0:is>
          <ns0:t>53</ns0:t>
        </ns0:is>
      </ns0:c>
      <ns0:c r="B309" s="19" t="inlineStr">
        <ns0:is>
          <ns0:t>rq2_role</ns0:t>
        </ns0:is>
      </ns0:c>
      <ns0:c r="C309" s="19" t="inlineStr"/>
      <ns0:c r="D309" s="19" t="inlineStr">
        <ns0:is>
          <ns0:t>Risk/trajectory estimation</ns0:t>
        </ns0:is>
      </ns0:c>
      <ns0:c r="E309" s="19" t="inlineStr">
        <ns0:is>
          <ns0:t>Linked maternal and infant administrative records predict later ASD; not a contemporaneous diagnostic or deployed clinical tool.</ns0:t>
        </ns0:is>
      </ns0:c>
      <ns0:c r="F309" s="19" t="inlineStr">
        <ns0:is>
          <ns0:t>https://doi.org/10.1002/aur.2912</ns0:t>
        </ns0:is>
      </ns0:c>
      <ns0:c r="G309" s="19" t="inlineStr">
        <ns0:is>
          <ns0:t>ChatGPT-assisted evidence recharting, 2026-09-08</ns0:t>
        </ns0:is>
      </ns0:c>
    </ns0:row>
    <ns0:row r="310" ht="42" customHeight="1">
      <ns0:c r="A310" s="21" t="inlineStr">
        <ns0:is>
          <ns0:t>53</ns0:t>
        </ns0:is>
      </ns0:c>
      <ns0:c r="B310" s="21" t="inlineStr">
        <ns0:is>
          <ns0:t>decision_timing</ns0:t>
        </ns0:is>
      </ns0:c>
      <ns0:c r="C310" s="21" t="inlineStr"/>
      <ns0:c r="D310" s="21" t="inlineStr">
        <ns0:is>
          <ns0:t>Pre-decision</ns0:t>
        </ns0:is>
      </ns0:c>
      <ns0:c r="E310" s="21" t="inlineStr">
        <ns0:is>
          <ns0:t>Linked maternal and infant administrative records predict later ASD; not a contemporaneous diagnostic or deployed clinical tool.</ns0:t>
        </ns0:is>
      </ns0:c>
      <ns0:c r="F310" s="21" t="inlineStr">
        <ns0:is>
          <ns0:t>https://doi.org/10.1002/aur.2912</ns0:t>
        </ns0:is>
      </ns0:c>
      <ns0:c r="G310" s="21" t="inlineStr">
        <ns0:is>
          <ns0:t>ChatGPT-assisted evidence recharting, 2026-09-08</ns0:t>
        </ns0:is>
      </ns0:c>
    </ns0:row>
    <ns0:row r="311" ht="42" customHeight="1">
      <ns0:c r="A311" s="19" t="inlineStr">
        <ns0:is>
          <ns0:t>53</ns0:t>
        </ns0:is>
      </ns0:c>
      <ns0:c r="B311" s="19" t="inlineStr">
        <ns0:is>
          <ns0:t>multisource_data</ns0:t>
        </ns0:is>
      </ns0:c>
      <ns0:c r="C311" s="19" t="inlineStr">
        <ns0:is>
          <ns0:t>Not reported in assessed sources</ns0:t>
        </ns0:is>
      </ns0:c>
      <ns0:c r="D311" s="19" t="inlineStr">
        <ns0:is>
          <ns0:t>Reported</ns0:t>
        </ns0:is>
      </ns0:c>
      <ns0:c r="E311" s="19" t="inlineStr">
        <ns0:is>
          <ns0:t>Linked maternal and infant administrative records predict later ASD; not a contemporaneous diagnostic or deployed clinical tool.</ns0:t>
        </ns0:is>
      </ns0:c>
      <ns0:c r="F311" s="19" t="inlineStr">
        <ns0:is>
          <ns0:t>https://doi.org/10.1002/aur.2912</ns0:t>
        </ns0:is>
      </ns0:c>
      <ns0:c r="G311" s="19" t="inlineStr">
        <ns0:is>
          <ns0:t>ChatGPT-assisted evidence recharting, 2026-09-08</ns0:t>
        </ns0:is>
      </ns0:c>
    </ns0:row>
    <ns0:row r="312" ht="42" customHeight="1">
      <ns0:c r="A312" s="21" t="inlineStr">
        <ns0:is>
          <ns0:t>54</ns0:t>
        </ns0:is>
      </ns0:c>
      <ns0:c r="B312" s="21" t="inlineStr">
        <ns0:is>
          <ns0:t>data_source_primary</ns0:t>
        </ns0:is>
      </ns0:c>
      <ns0:c r="C312" s="21" t="inlineStr">
        <ns0:is>
          <ns0:t>Physiological signals</ns0:t>
        </ns0:is>
      </ns0:c>
      <ns0:c r="D312" s="21" t="inlineStr">
        <ns0:is>
          <ns0:t>Neuroimaging</ns0:t>
        </ns0:is>
      </ns0:c>
      <ns0:c r="E312" s="21" t="inlineStr">
        <ns0:is>
          <ns0:t>ABIDE resting-state fMRI classification. Identification of informative functional connections provides partial interpretability; multisite data alone are not cross-site testing.</ns0:t>
        </ns0:is>
      </ns0:c>
      <ns0:c r="F312" s="21" t="inlineStr">
        <ns0:is>
          <ns0:t>https://doi.org/10.1016/j.nicl.2015.04.002</ns0:t>
        </ns0:is>
      </ns0:c>
      <ns0:c r="G312" s="21" t="inlineStr">
        <ns0:is>
          <ns0:t>ChatGPT-assisted evidence recharting, 2026-09-08</ns0:t>
        </ns0:is>
      </ns0:c>
    </ns0:row>
    <ns0:row r="313" ht="42" customHeight="1">
      <ns0:c r="A313" s="19" t="inlineStr">
        <ns0:is>
          <ns0:t>54</ns0:t>
        </ns0:is>
      </ns0:c>
      <ns0:c r="B313" s="19" t="inlineStr">
        <ns0:is>
          <ns0:t>algorithm_main</ns0:t>
        </ns0:is>
      </ns0:c>
      <ns0:c r="C313" s="19" t="inlineStr">
        <ns0:is>
          <ns0:t>Random Forest</ns0:t>
        </ns0:is>
      </ns0:c>
      <ns0:c r="D313" s="19" t="inlineStr">
        <ns0:is>
          <ns0:t>Random forest</ns0:t>
        </ns0:is>
      </ns0:c>
      <ns0:c r="E313" s="19" t="inlineStr">
        <ns0:is>
          <ns0:t>ABIDE resting-state fMRI classification. Identification of informative functional connections provides partial interpretability; multisite data alone are not cross-site testing.</ns0:t>
        </ns0:is>
      </ns0:c>
      <ns0:c r="F313" s="19" t="inlineStr">
        <ns0:is>
          <ns0:t>https://doi.org/10.1016/j.nicl.2015.04.002</ns0:t>
        </ns0:is>
      </ns0:c>
      <ns0:c r="G313" s="19" t="inlineStr">
        <ns0:is>
          <ns0:t>ChatGPT-assisted evidence recharting, 2026-09-08</ns0:t>
        </ns0:is>
      </ns0:c>
    </ns0:row>
    <ns0:row r="314" ht="42" customHeight="1">
      <ns0:c r="A314" s="21" t="inlineStr">
        <ns0:is>
          <ns0:t>54</ns0:t>
        </ns0:is>
      </ns0:c>
      <ns0:c r="B314" s="21" t="inlineStr">
        <ns0:is>
          <ns0:t>rq2_status</ns0:t>
        </ns0:is>
      </ns0:c>
      <ns0:c r="C314" s="21" t="inlineStr">
        <ns0:is>
          <ns0:t>Not adjudicated in master</ns0:t>
        </ns0:is>
      </ns0:c>
      <ns0:c r="D314" s="21" t="inlineStr">
        <ns0:is>
          <ns0:t>Research only</ns0:t>
        </ns0:is>
      </ns0:c>
      <ns0:c r="E314" s="21" t="inlineStr">
        <ns0:is>
          <ns0:t>ABIDE resting-state fMRI classification. Identification of informative functional connections provides partial interpretability; multisite data alone are not cross-site testing.</ns0:t>
        </ns0:is>
      </ns0:c>
      <ns0:c r="F314" s="21" t="inlineStr">
        <ns0:is>
          <ns0:t>https://doi.org/10.1016/j.nicl.2015.04.002</ns0:t>
        </ns0:is>
      </ns0:c>
      <ns0:c r="G314" s="21" t="inlineStr">
        <ns0:is>
          <ns0:t>ChatGPT-assisted evidence recharting, 2026-09-08</ns0:t>
        </ns0:is>
      </ns0:c>
    </ns0:row>
    <ns0:row r="315" ht="42" customHeight="1">
      <ns0:c r="A315" s="19" t="inlineStr">
        <ns0:is>
          <ns0:t>54</ns0:t>
        </ns0:is>
      </ns0:c>
      <ns0:c r="B315" s="19" t="inlineStr">
        <ns0:is>
          <ns0:t>rq2_role</ns0:t>
        </ns0:is>
      </ns0:c>
      <ns0:c r="C315" s="19" t="inlineStr"/>
      <ns0:c r="D315" s="19" t="inlineStr">
        <ns0:is>
          <ns0:t>Automated measurement/classification</ns0:t>
        </ns0:is>
      </ns0:c>
      <ns0:c r="E315" s="19" t="inlineStr">
        <ns0:is>
          <ns0:t>ABIDE resting-state fMRI classification. Identification of informative functional connections provides partial interpretability; multisite data alone are not cross-site testing.</ns0:t>
        </ns0:is>
      </ns0:c>
      <ns0:c r="F315" s="19" t="inlineStr">
        <ns0:is>
          <ns0:t>https://doi.org/10.1016/j.nicl.2015.04.002</ns0:t>
        </ns0:is>
      </ns0:c>
      <ns0:c r="G315" s="19" t="inlineStr">
        <ns0:is>
          <ns0:t>ChatGPT-assisted evidence recharting, 2026-09-08</ns0:t>
        </ns0:is>
      </ns0:c>
    </ns0:row>
    <ns0:row r="316" ht="42" customHeight="1">
      <ns0:c r="A316" s="21" t="inlineStr">
        <ns0:is>
          <ns0:t>54</ns0:t>
        </ns0:is>
      </ns0:c>
      <ns0:c r="B316" s="21" t="inlineStr">
        <ns0:is>
          <ns0:t>decision_timing</ns0:t>
        </ns0:is>
      </ns0:c>
      <ns0:c r="C316" s="21" t="inlineStr"/>
      <ns0:c r="D316" s="21" t="inlineStr">
        <ns0:is>
          <ns0:t>Not observed in assessed sources</ns0:t>
        </ns0:is>
      </ns0:c>
      <ns0:c r="E316" s="21" t="inlineStr">
        <ns0:is>
          <ns0:t>ABIDE resting-state fMRI classification. Identification of informative functional connections provides partial interpretability; multisite data alone are not cross-site testing.</ns0:t>
        </ns0:is>
      </ns0:c>
      <ns0:c r="F316" s="21" t="inlineStr">
        <ns0:is>
          <ns0:t>https://doi.org/10.1016/j.nicl.2015.04.002</ns0:t>
        </ns0:is>
      </ns0:c>
      <ns0:c r="G316" s="21" t="inlineStr">
        <ns0:is>
          <ns0:t>ChatGPT-assisted evidence recharting, 2026-09-08</ns0:t>
        </ns0:is>
      </ns0:c>
    </ns0:row>
    <ns0:row r="317" ht="42" customHeight="1">
      <ns0:c r="A317" s="19" t="inlineStr">
        <ns0:is>
          <ns0:t>54</ns0:t>
        </ns0:is>
      </ns0:c>
      <ns0:c r="B317" s="19" t="inlineStr">
        <ns0:is>
          <ns0:t>xai_partial</ns0:t>
        </ns0:is>
      </ns0:c>
      <ns0:c r="C317" s="19" t="inlineStr">
        <ns0:is>
          <ns0:t>Not reported in assessed sources</ns0:t>
        </ns0:is>
      </ns0:c>
      <ns0:c r="D317" s="19" t="inlineStr">
        <ns0:is>
          <ns0:t>Reported</ns0:t>
        </ns0:is>
      </ns0:c>
      <ns0:c r="E317" s="19" t="inlineStr">
        <ns0:is>
          <ns0:t>ABIDE resting-state fMRI classification. Identification of informative functional connections provides partial interpretability; multisite data alone are not cross-site testing.</ns0:t>
        </ns0:is>
      </ns0:c>
      <ns0:c r="F317" s="19" t="inlineStr">
        <ns0:is>
          <ns0:t>https://doi.org/10.1016/j.nicl.2015.04.002</ns0:t>
        </ns0:is>
      </ns0:c>
      <ns0:c r="G317" s="19" t="inlineStr">
        <ns0:is>
          <ns0:t>ChatGPT-assisted evidence recharting, 2026-09-08</ns0:t>
        </ns0:is>
      </ns0:c>
    </ns0:row>
    <ns0:row r="318" ht="42" customHeight="1">
      <ns0:c r="A318" s="21" t="inlineStr">
        <ns0:is>
          <ns0:t>56</ns0:t>
        </ns0:is>
      </ns0:c>
      <ns0:c r="B318" s="21" t="inlineStr">
        <ns0:is>
          <ns0:t>eligibility</ns0:t>
        </ns0:is>
      </ns0:c>
      <ns0:c r="C318" s="21" t="inlineStr">
        <ns0:is>
          <ns0:t>Include</ns0:t>
        </ns0:is>
      </ns0:c>
      <ns0:c r="D318" s="21" t="inlineStr">
        <ns0:is>
          <ns0:t>Exclude</ns0:t>
        </ns0:is>
      </ns0:c>
      <ns0:c r="E318" s="21" t="inlineStr">
        <ns0:is>
          <ns0:t>Narrative synthesis of epigenomic signatures and anticipated future ML applications, not an original evaluated AI method.</ns0:t>
        </ns0:is>
      </ns0:c>
      <ns0:c r="F318" s="21" t="inlineStr">
        <ns0:is>
          <ns0:t>https://doi.org/10.1038/s41380-022-01917-9</ns0:t>
        </ns0:is>
      </ns0:c>
      <ns0:c r="G318" s="21" t="inlineStr">
        <ns0:is>
          <ns0:t>ChatGPT-assisted evidence recharting, 2026-09-08</ns0:t>
        </ns0:is>
      </ns0:c>
    </ns0:row>
    <ns0:row r="319" ht="42" customHeight="1">
      <ns0:c r="A319" s="19" t="inlineStr">
        <ns0:is>
          <ns0:t>56</ns0:t>
        </ns0:is>
      </ns0:c>
      <ns0:c r="B319" s="19" t="inlineStr">
        <ns0:is>
          <ns0:t>stage_primary</ns0:t>
        </ns0:is>
      </ns0:c>
      <ns0:c r="C319" s="19" t="inlineStr">
        <ns0:is>
          <ns0:t>Not specified</ns0:t>
        </ns0:is>
      </ns0:c>
      <ns0:c r="D319" s="19" t="inlineStr">
        <ns0:is>
          <ns0:t>Excluded</ns0:t>
        </ns0:is>
      </ns0:c>
      <ns0:c r="E319" s="19" t="inlineStr">
        <ns0:is>
          <ns0:t>Narrative synthesis of epigenomic signatures and anticipated future ML applications, not an original evaluated AI method.</ns0:t>
        </ns0:is>
      </ns0:c>
      <ns0:c r="F319" s="19" t="inlineStr">
        <ns0:is>
          <ns0:t>https://doi.org/10.1038/s41380-022-01917-9</ns0:t>
        </ns0:is>
      </ns0:c>
      <ns0:c r="G319" s="19" t="inlineStr">
        <ns0:is>
          <ns0:t>ChatGPT-assisted evidence recharting, 2026-09-08</ns0:t>
        </ns0:is>
      </ns0:c>
    </ns0:row>
    <ns0:row r="320" ht="42" customHeight="1">
      <ns0:c r="A320" s="21" t="inlineStr">
        <ns0:is>
          <ns0:t>56</ns0:t>
        </ns0:is>
      </ns0:c>
      <ns0:c r="B320" s="21" t="inlineStr">
        <ns0:is>
          <ns0:t>ai_type</ns0:t>
        </ns0:is>
      </ns0:c>
      <ns0:c r="C320" s="21" t="inlineStr">
        <ns0:is>
          <ns0:t>Deep Learning</ns0:t>
        </ns0:is>
      </ns0:c>
      <ns0:c r="D320" s="21" t="inlineStr">
        <ns0:is>
          <ns0:t>Excluded</ns0:t>
        </ns0:is>
      </ns0:c>
      <ns0:c r="E320" s="21" t="inlineStr">
        <ns0:is>
          <ns0:t>Narrative synthesis of epigenomic signatures and anticipated future ML applications, not an original evaluated AI method.</ns0:t>
        </ns0:is>
      </ns0:c>
      <ns0:c r="F320" s="21" t="inlineStr">
        <ns0:is>
          <ns0:t>https://doi.org/10.1038/s41380-022-01917-9</ns0:t>
        </ns0:is>
      </ns0:c>
      <ns0:c r="G320" s="21" t="inlineStr">
        <ns0:is>
          <ns0:t>ChatGPT-assisted evidence recharting, 2026-09-08</ns0:t>
        </ns0:is>
      </ns0:c>
    </ns0:row>
    <ns0:row r="321" ht="42" customHeight="1">
      <ns0:c r="A321" s="19" t="inlineStr">
        <ns0:is>
          <ns0:t>56</ns0:t>
        </ns0:is>
      </ns0:c>
      <ns0:c r="B321" s="19" t="inlineStr">
        <ns0:is>
          <ns0:t>data_source_primary</ns0:t>
        </ns0:is>
      </ns0:c>
      <ns0:c r="C321" s="19" t="inlineStr">
        <ns0:is>
          <ns0:t>Image (subtype unresolved)</ns0:t>
        </ns0:is>
      </ns0:c>
      <ns0:c r="D321" s="19" t="inlineStr">
        <ns0:is>
          <ns0:t>Excluded</ns0:t>
        </ns0:is>
      </ns0:c>
      <ns0:c r="E321" s="19" t="inlineStr">
        <ns0:is>
          <ns0:t>Narrative synthesis of epigenomic signatures and anticipated future ML applications, not an original evaluated AI method.</ns0:t>
        </ns0:is>
      </ns0:c>
      <ns0:c r="F321" s="19" t="inlineStr">
        <ns0:is>
          <ns0:t>https://doi.org/10.1038/s41380-022-01917-9</ns0:t>
        </ns0:is>
      </ns0:c>
      <ns0:c r="G321" s="19" t="inlineStr">
        <ns0:is>
          <ns0:t>ChatGPT-assisted evidence recharting, 2026-09-08</ns0:t>
        </ns0:is>
      </ns0:c>
    </ns0:row>
    <ns0:row r="322" ht="42" customHeight="1">
      <ns0:c r="A322" s="21" t="inlineStr">
        <ns0:is>
          <ns0:t>56</ns0:t>
        </ns0:is>
      </ns0:c>
      <ns0:c r="B322" s="21" t="inlineStr">
        <ns0:is>
          <ns0:t>algorithm_main</ns0:t>
        </ns0:is>
      </ns0:c>
      <ns0:c r="C322" s="21" t="inlineStr"/>
      <ns0:c r="D322" s="21" t="inlineStr">
        <ns0:is>
          <ns0:t>Not specified</ns0:t>
        </ns0:is>
      </ns0:c>
      <ns0:c r="E322" s="21" t="inlineStr">
        <ns0:is>
          <ns0:t>Narrative synthesis of epigenomic signatures and anticipated future ML applications, not an original evaluated AI method.</ns0:t>
        </ns0:is>
      </ns0:c>
      <ns0:c r="F322" s="21" t="inlineStr">
        <ns0:is>
          <ns0:t>https://doi.org/10.1038/s41380-022-01917-9</ns0:t>
        </ns0:is>
      </ns0:c>
      <ns0:c r="G322" s="21" t="inlineStr">
        <ns0:is>
          <ns0:t>ChatGPT-assisted evidence recharting, 2026-09-08</ns0:t>
        </ns0:is>
      </ns0:c>
    </ns0:row>
    <ns0:row r="323" ht="42" customHeight="1">
      <ns0:c r="A323" s="19" t="inlineStr">
        <ns0:is>
          <ns0:t>56</ns0:t>
        </ns0:is>
      </ns0:c>
      <ns0:c r="B323" s="19" t="inlineStr">
        <ns0:is>
          <ns0:t>rq2_status</ns0:t>
        </ns0:is>
      </ns0:c>
      <ns0:c r="C323" s="19" t="inlineStr">
        <ns0:is>
          <ns0:t>Not adjudicated in master</ns0:t>
        </ns0:is>
      </ns0:c>
      <ns0:c r="D323" s="19" t="inlineStr">
        <ns0:is>
          <ns0:t>Excluded</ns0:t>
        </ns0:is>
      </ns0:c>
      <ns0:c r="E323" s="19" t="inlineStr">
        <ns0:is>
          <ns0:t>Narrative synthesis of epigenomic signatures and anticipated future ML applications, not an original evaluated AI method.</ns0:t>
        </ns0:is>
      </ns0:c>
      <ns0:c r="F323" s="19" t="inlineStr">
        <ns0:is>
          <ns0:t>https://doi.org/10.1038/s41380-022-01917-9</ns0:t>
        </ns0:is>
      </ns0:c>
      <ns0:c r="G323" s="19" t="inlineStr">
        <ns0:is>
          <ns0:t>ChatGPT-assisted evidence recharting, 2026-09-08</ns0:t>
        </ns0:is>
      </ns0:c>
    </ns0:row>
    <ns0:row r="324" ht="42" customHeight="1">
      <ns0:c r="A324" s="21" t="inlineStr">
        <ns0:is>
          <ns0:t>56</ns0:t>
        </ns0:is>
      </ns0:c>
      <ns0:c r="B324" s="21" t="inlineStr">
        <ns0:is>
          <ns0:t>rq2_role</ns0:t>
        </ns0:is>
      </ns0:c>
      <ns0:c r="C324" s="21" t="inlineStr"/>
      <ns0:c r="D324" s="21" t="inlineStr">
        <ns0:is>
          <ns0:t>Excluded</ns0:t>
        </ns0:is>
      </ns0:c>
      <ns0:c r="E324" s="21" t="inlineStr">
        <ns0:is>
          <ns0:t>Narrative synthesis of epigenomic signatures and anticipated future ML applications, not an original evaluated AI method.</ns0:t>
        </ns0:is>
      </ns0:c>
      <ns0:c r="F324" s="21" t="inlineStr">
        <ns0:is>
          <ns0:t>https://doi.org/10.1038/s41380-022-01917-9</ns0:t>
        </ns0:is>
      </ns0:c>
      <ns0:c r="G324" s="21" t="inlineStr">
        <ns0:is>
          <ns0:t>ChatGPT-assisted evidence recharting, 2026-09-08</ns0:t>
        </ns0:is>
      </ns0:c>
    </ns0:row>
    <ns0:row r="325" ht="42" customHeight="1">
      <ns0:c r="A325" s="19" t="inlineStr">
        <ns0:is>
          <ns0:t>56</ns0:t>
        </ns0:is>
      </ns0:c>
      <ns0:c r="B325" s="19" t="inlineStr">
        <ns0:is>
          <ns0:t>decision_timing</ns0:t>
        </ns0:is>
      </ns0:c>
      <ns0:c r="C325" s="19" t="inlineStr"/>
      <ns0:c r="D325" s="19" t="inlineStr">
        <ns0:is>
          <ns0:t>Not applicable - excluded</ns0:t>
        </ns0:is>
      </ns0:c>
      <ns0:c r="E325" s="19" t="inlineStr">
        <ns0:is>
          <ns0:t>Narrative synthesis of epigenomic signatures and anticipated future ML applications, not an original evaluated AI method.</ns0:t>
        </ns0:is>
      </ns0:c>
      <ns0:c r="F325" s="19" t="inlineStr">
        <ns0:is>
          <ns0:t>https://doi.org/10.1038/s41380-022-01917-9</ns0:t>
        </ns0:is>
      </ns0:c>
      <ns0:c r="G325" s="19" t="inlineStr">
        <ns0:is>
          <ns0:t>ChatGPT-assisted evidence recharting, 2026-09-08</ns0:t>
        </ns0:is>
      </ns0:c>
    </ns0:row>
    <ns0:row r="326" ht="42" customHeight="1">
      <ns0:c r="A326" s="21" t="inlineStr">
        <ns0:is>
          <ns0:t>57</ns0:t>
        </ns0:is>
      </ns0:c>
      <ns0:c r="B326" s="21" t="inlineStr">
        <ns0:is>
          <ns0:t>data_source_primary</ns0:t>
        </ns0:is>
      </ns0:c>
      <ns0:c r="C326" s="21" t="inlineStr">
        <ns0:is>
          <ns0:t>Text / NLP (legacy; verify input type)</ns0:t>
        </ns0:is>
      </ns0:c>
      <ns0:c r="D326" s="21" t="inlineStr">
        <ns0:is>
          <ns0:t>Structured clinical/questionnaire data</ns0:t>
        </ns0:is>
      </ns0:c>
      <ns0:c r="E326" s="21" t="inlineStr">
        <ns0:is>
          <ns0:t>Linguistic neutrosophic sets are the ranking representation, not patient natural-language inputs. Empirical data comprise medical and sociodemographic variables.</ns0:t>
        </ns0:is>
      </ns0:c>
      <ns0:c r="F326" s="21" t="inlineStr">
        <ns0:is>
          <ns0:t>https://doi.org/10.1007/s00521-024-09905-6</ns0:t>
        </ns0:is>
      </ns0:c>
      <ns0:c r="G326" s="21" t="inlineStr">
        <ns0:is>
          <ns0:t>ChatGPT-assisted evidence recharting, 2026-09-08</ns0:t>
        </ns0:is>
      </ns0:c>
    </ns0:row>
    <ns0:row r="327" ht="42" customHeight="1">
      <ns0:c r="A327" s="19" t="inlineStr">
        <ns0:is>
          <ns0:t>57</ns0:t>
        </ns0:is>
      </ns0:c>
      <ns0:c r="B327" s="19" t="inlineStr">
        <ns0:is>
          <ns0:t>algorithm_main</ns0:t>
        </ns0:is>
      </ns0:c>
      <ns0:c r="C327" s="19" t="inlineStr">
        <ns0:is>
          <ns0:t>Decision Tree</ns0:t>
        </ns0:is>
      </ns0:c>
      <ns0:c r="D327" s="19" t="inlineStr">
        <ns0:is>
          <ns0:t>Feature selection, multiple ML models and fuzzy multicriteria ranking</ns0:t>
        </ns0:is>
      </ns0:c>
      <ns0:c r="E327" s="19" t="inlineStr">
        <ns0:is>
          <ns0:t>Linguistic neutrosophic sets are the ranking representation, not patient natural-language inputs. Empirical data comprise medical and sociodemographic variables.</ns0:t>
        </ns0:is>
      </ns0:c>
      <ns0:c r="F327" s="19" t="inlineStr">
        <ns0:is>
          <ns0:t>https://doi.org/10.1007/s00521-024-09905-6</ns0:t>
        </ns0:is>
      </ns0:c>
      <ns0:c r="G327" s="19" t="inlineStr">
        <ns0:is>
          <ns0:t>ChatGPT-assisted evidence recharting, 2026-09-08</ns0:t>
        </ns0:is>
      </ns0:c>
    </ns0:row>
    <ns0:row r="328" ht="42" customHeight="1">
      <ns0:c r="A328" s="21" t="inlineStr">
        <ns0:is>
          <ns0:t>57</ns0:t>
        </ns0:is>
      </ns0:c>
      <ns0:c r="B328" s="21" t="inlineStr">
        <ns0:is>
          <ns0:t>rq2_status</ns0:t>
        </ns0:is>
      </ns0:c>
      <ns0:c r="C328" s="21" t="inlineStr">
        <ns0:is>
          <ns0:t>Not adjudicated in master</ns0:t>
        </ns0:is>
      </ns0:c>
      <ns0:c r="D328" s="21" t="inlineStr">
        <ns0:is>
          <ns0:t>Research only</ns0:t>
        </ns0:is>
      </ns0:c>
      <ns0:c r="E328" s="21" t="inlineStr">
        <ns0:is>
          <ns0:t>Linguistic neutrosophic sets are the ranking representation, not patient natural-language inputs. Empirical data comprise medical and sociodemographic variables.</ns0:t>
        </ns0:is>
      </ns0:c>
      <ns0:c r="F328" s="21" t="inlineStr">
        <ns0:is>
          <ns0:t>https://doi.org/10.1007/s00521-024-09905-6</ns0:t>
        </ns0:is>
      </ns0:c>
      <ns0:c r="G328" s="21" t="inlineStr">
        <ns0:is>
          <ns0:t>ChatGPT-assisted evidence recharting, 2026-09-08</ns0:t>
        </ns0:is>
      </ns0:c>
    </ns0:row>
    <ns0:row r="329" ht="42" customHeight="1">
      <ns0:c r="A329" s="19" t="inlineStr">
        <ns0:is>
          <ns0:t>57</ns0:t>
        </ns0:is>
      </ns0:c>
      <ns0:c r="B329" s="19" t="inlineStr">
        <ns0:is>
          <ns0:t>rq2_role</ns0:t>
        </ns0:is>
      </ns0:c>
      <ns0:c r="C329" s="19" t="inlineStr"/>
      <ns0:c r="D329" s="19" t="inlineStr">
        <ns0:is>
          <ns0:t>Diagnostic decision support</ns0:t>
        </ns0:is>
      </ns0:c>
      <ns0:c r="E329" s="19" t="inlineStr">
        <ns0:is>
          <ns0:t>Linguistic neutrosophic sets are the ranking representation, not patient natural-language inputs. Empirical data comprise medical and sociodemographic variables.</ns0:t>
        </ns0:is>
      </ns0:c>
      <ns0:c r="F329" s="19" t="inlineStr">
        <ns0:is>
          <ns0:t>https://doi.org/10.1007/s00521-024-09905-6</ns0:t>
        </ns0:is>
      </ns0:c>
      <ns0:c r="G329" s="19" t="inlineStr">
        <ns0:is>
          <ns0:t>ChatGPT-assisted evidence recharting, 2026-09-08</ns0:t>
        </ns0:is>
      </ns0:c>
    </ns0:row>
    <ns0:row r="330" ht="42" customHeight="1">
      <ns0:c r="A330" s="21" t="inlineStr">
        <ns0:is>
          <ns0:t>57</ns0:t>
        </ns0:is>
      </ns0:c>
      <ns0:c r="B330" s="21" t="inlineStr">
        <ns0:is>
          <ns0:t>decision_timing</ns0:t>
        </ns0:is>
      </ns0:c>
      <ns0:c r="C330" s="21" t="inlineStr"/>
      <ns0:c r="D330" s="21" t="inlineStr">
        <ns0:is>
          <ns0:t>Not observed in assessed sources</ns0:t>
        </ns0:is>
      </ns0:c>
      <ns0:c r="E330" s="21" t="inlineStr">
        <ns0:is>
          <ns0:t>Linguistic neutrosophic sets are the ranking representation, not patient natural-language inputs. Empirical data comprise medical and sociodemographic variables.</ns0:t>
        </ns0:is>
      </ns0:c>
      <ns0:c r="F330" s="21" t="inlineStr">
        <ns0:is>
          <ns0:t>https://doi.org/10.1007/s00521-024-09905-6</ns0:t>
        </ns0:is>
      </ns0:c>
      <ns0:c r="G330" s="21" t="inlineStr">
        <ns0:is>
          <ns0:t>ChatGPT-assisted evidence recharting, 2026-09-08</ns0:t>
        </ns0:is>
      </ns0:c>
    </ns0:row>
    <ns0:row r="331" ht="42" customHeight="1">
      <ns0:c r="A331" s="19" t="inlineStr">
        <ns0:is>
          <ns0:t>58</ns0:t>
        </ns0:is>
      </ns0:c>
      <ns0:c r="B331" s="19" t="inlineStr">
        <ns0:is>
          <ns0:t>stage_primary</ns0:t>
        </ns0:is>
      </ns0:c>
      <ns0:c r="C331" s="19" t="inlineStr">
        <ns0:is>
          <ns0:t>Diagnosis</ns0:t>
        </ns0:is>
      </ns0:c>
      <ns0:c r="D331" s="19" t="inlineStr">
        <ns0:is>
          <ns0:t>Prognosis</ns0:t>
        </ns0:is>
      </ns0:c>
      <ns0:c r="E331" s="19" t="inlineStr">
        <ns0:is>
          <ns0:t>Six-month infant EEG event-related potentials predict subsequent diagnostic outcome; visual stimuli are not image inputs to the model.</ns0:t>
        </ns0:is>
      </ns0:c>
      <ns0:c r="F331" s="19" t="inlineStr">
        <ns0:is>
          <ns0:t>https://doi.org/10.1007/978-3-030-88163-4_7</ns0:t>
        </ns0:is>
      </ns0:c>
      <ns0:c r="G331" s="19" t="inlineStr">
        <ns0:is>
          <ns0:t>ChatGPT-assisted evidence recharting, 2026-09-08</ns0:t>
        </ns0:is>
      </ns0:c>
    </ns0:row>
    <ns0:row r="332" ht="42" customHeight="1">
      <ns0:c r="A332" s="21" t="inlineStr">
        <ns0:is>
          <ns0:t>58</ns0:t>
        </ns0:is>
      </ns0:c>
      <ns0:c r="B332" s="21" t="inlineStr">
        <ns0:is>
          <ns0:t>data_source_primary</ns0:t>
        </ns0:is>
      </ns0:c>
      <ns0:c r="C332" s="21" t="inlineStr">
        <ns0:is>
          <ns0:t>Not specified</ns0:t>
        </ns0:is>
      </ns0:c>
      <ns0:c r="D332" s="21" t="inlineStr">
        <ns0:is>
          <ns0:t>Physiological signals</ns0:t>
        </ns0:is>
      </ns0:c>
      <ns0:c r="E332" s="21" t="inlineStr">
        <ns0:is>
          <ns0:t>Six-month infant EEG event-related potentials predict subsequent diagnostic outcome; visual stimuli are not image inputs to the model.</ns0:t>
        </ns0:is>
      </ns0:c>
      <ns0:c r="F332" s="21" t="inlineStr">
        <ns0:is>
          <ns0:t>https://doi.org/10.1007/978-3-030-88163-4_7</ns0:t>
        </ns0:is>
      </ns0:c>
      <ns0:c r="G332" s="21" t="inlineStr">
        <ns0:is>
          <ns0:t>ChatGPT-assisted evidence recharting, 2026-09-08</ns0:t>
        </ns0:is>
      </ns0:c>
    </ns0:row>
    <ns0:row r="333" ht="42" customHeight="1">
      <ns0:c r="A333" s="19" t="inlineStr">
        <ns0:is>
          <ns0:t>58</ns0:t>
        </ns0:is>
      </ns0:c>
      <ns0:c r="B333" s="19" t="inlineStr">
        <ns0:is>
          <ns0:t>algorithm_main</ns0:t>
        </ns0:is>
      </ns0:c>
      <ns0:c r="C333" s="19" t="inlineStr">
        <ns0:is>
          <ns0:t>Decision Tree</ns0:t>
        </ns0:is>
      </ns0:c>
      <ns0:c r="D333" s="19" t="inlineStr">
        <ns0:is>
          <ns0:t>Decision tree</ns0:t>
        </ns0:is>
      </ns0:c>
      <ns0:c r="E333" s="19" t="inlineStr">
        <ns0:is>
          <ns0:t>Six-month infant EEG event-related potentials predict subsequent diagnostic outcome; visual stimuli are not image inputs to the model.</ns0:t>
        </ns0:is>
      </ns0:c>
      <ns0:c r="F333" s="19" t="inlineStr">
        <ns0:is>
          <ns0:t>https://doi.org/10.1007/978-3-030-88163-4_7</ns0:t>
        </ns0:is>
      </ns0:c>
      <ns0:c r="G333" s="19" t="inlineStr">
        <ns0:is>
          <ns0:t>ChatGPT-assisted evidence recharting, 2026-09-08</ns0:t>
        </ns0:is>
      </ns0:c>
    </ns0:row>
    <ns0:row r="334" ht="42" customHeight="1">
      <ns0:c r="A334" s="21" t="inlineStr">
        <ns0:is>
          <ns0:t>58</ns0:t>
        </ns0:is>
      </ns0:c>
      <ns0:c r="B334" s="21" t="inlineStr">
        <ns0:is>
          <ns0:t>rq2_status</ns0:t>
        </ns0:is>
      </ns0:c>
      <ns0:c r="C334" s="21" t="inlineStr">
        <ns0:is>
          <ns0:t>Not adjudicated in master</ns0:t>
        </ns0:is>
      </ns0:c>
      <ns0:c r="D334" s="21" t="inlineStr">
        <ns0:is>
          <ns0:t>Research only</ns0:t>
        </ns0:is>
      </ns0:c>
      <ns0:c r="E334" s="21" t="inlineStr">
        <ns0:is>
          <ns0:t>Six-month infant EEG event-related potentials predict subsequent diagnostic outcome; visual stimuli are not image inputs to the model.</ns0:t>
        </ns0:is>
      </ns0:c>
      <ns0:c r="F334" s="21" t="inlineStr">
        <ns0:is>
          <ns0:t>https://doi.org/10.1007/978-3-030-88163-4_7</ns0:t>
        </ns0:is>
      </ns0:c>
      <ns0:c r="G334" s="21" t="inlineStr">
        <ns0:is>
          <ns0:t>ChatGPT-assisted evidence recharting, 2026-09-08</ns0:t>
        </ns0:is>
      </ns0:c>
    </ns0:row>
    <ns0:row r="335" ht="42" customHeight="1">
      <ns0:c r="A335" s="19" t="inlineStr">
        <ns0:is>
          <ns0:t>58</ns0:t>
        </ns0:is>
      </ns0:c>
      <ns0:c r="B335" s="19" t="inlineStr">
        <ns0:is>
          <ns0:t>rq2_role</ns0:t>
        </ns0:is>
      </ns0:c>
      <ns0:c r="C335" s="19" t="inlineStr"/>
      <ns0:c r="D335" s="19" t="inlineStr">
        <ns0:is>
          <ns0:t>Risk/trajectory estimation</ns0:t>
        </ns0:is>
      </ns0:c>
      <ns0:c r="E335" s="19" t="inlineStr">
        <ns0:is>
          <ns0:t>Six-month infant EEG event-related potentials predict subsequent diagnostic outcome; visual stimuli are not image inputs to the model.</ns0:t>
        </ns0:is>
      </ns0:c>
      <ns0:c r="F335" s="19" t="inlineStr">
        <ns0:is>
          <ns0:t>https://doi.org/10.1007/978-3-030-88163-4_7</ns0:t>
        </ns0:is>
      </ns0:c>
      <ns0:c r="G335" s="19" t="inlineStr">
        <ns0:is>
          <ns0:t>ChatGPT-assisted evidence recharting, 2026-09-08</ns0:t>
        </ns0:is>
      </ns0:c>
    </ns0:row>
    <ns0:row r="336" ht="42" customHeight="1">
      <ns0:c r="A336" s="21" t="inlineStr">
        <ns0:is>
          <ns0:t>58</ns0:t>
        </ns0:is>
      </ns0:c>
      <ns0:c r="B336" s="21" t="inlineStr">
        <ns0:is>
          <ns0:t>decision_timing</ns0:t>
        </ns0:is>
      </ns0:c>
      <ns0:c r="C336" s="21" t="inlineStr"/>
      <ns0:c r="D336" s="21" t="inlineStr">
        <ns0:is>
          <ns0:t>Not observed in assessed sources</ns0:t>
        </ns0:is>
      </ns0:c>
      <ns0:c r="E336" s="21" t="inlineStr">
        <ns0:is>
          <ns0:t>Six-month infant EEG event-related potentials predict subsequent diagnostic outcome; visual stimuli are not image inputs to the model.</ns0:t>
        </ns0:is>
      </ns0:c>
      <ns0:c r="F336" s="21" t="inlineStr">
        <ns0:is>
          <ns0:t>https://doi.org/10.1007/978-3-030-88163-4_7</ns0:t>
        </ns0:is>
      </ns0:c>
      <ns0:c r="G336" s="21" t="inlineStr">
        <ns0:is>
          <ns0:t>ChatGPT-assisted evidence recharting, 2026-09-08</ns0:t>
        </ns0:is>
      </ns0:c>
    </ns0:row>
    <ns0:row r="337" ht="42" customHeight="1">
      <ns0:c r="A337" s="19" t="inlineStr">
        <ns0:is>
          <ns0:t>59</ns0:t>
        </ns0:is>
      </ns0:c>
      <ns0:c r="B337" s="19" t="inlineStr">
        <ns0:is>
          <ns0:t>stage_primary</ns0:t>
        </ns0:is>
      </ns0:c>
      <ns0:c r="C337" s="19" t="inlineStr">
        <ns0:is>
          <ns0:t>Monitoring/intervention</ns0:t>
        </ns0:is>
      </ns0:c>
      <ns0:c r="D337" s="19" t="inlineStr">
        <ns0:is>
          <ns0:t>Diagnosis</ns0:t>
        </ns0:is>
      </ns0:c>
      <ns0:c r="E337" s="19" t="inlineStr">
        <ns0:is>
          <ns0:t>Diagnostic comparison and explicit fusion of anatomical MRI, DWI and functional MRI; not monitoring or intervention.</ns0:t>
        </ns0:is>
      </ns0:c>
      <ns0:c r="F337" s="19" t="inlineStr">
        <ns0:is>
          <ns0:t>https://doi.org/10.1089/brain.2019.0689</ns0:t>
        </ns0:is>
      </ns0:c>
      <ns0:c r="G337" s="19" t="inlineStr">
        <ns0:is>
          <ns0:t>ChatGPT-assisted evidence recharting, 2026-09-08</ns0:t>
        </ns0:is>
      </ns0:c>
    </ns0:row>
    <ns0:row r="338" ht="42" customHeight="1">
      <ns0:c r="A338" s="21" t="inlineStr">
        <ns0:is>
          <ns0:t>59</ns0:t>
        </ns0:is>
      </ns0:c>
      <ns0:c r="B338" s="21" t="inlineStr">
        <ns0:is>
          <ns0:t>data_source_primary</ns0:t>
        </ns0:is>
      </ns0:c>
      <ns0:c r="C338" s="21" t="inlineStr">
        <ns0:is>
          <ns0:t>Multiple modalities (as coded)</ns0:t>
        </ns0:is>
      </ns0:c>
      <ns0:c r="D338" s="21" t="inlineStr">
        <ns0:is>
          <ns0:t>Neuroimaging</ns0:t>
        </ns0:is>
      </ns0:c>
      <ns0:c r="E338" s="21" t="inlineStr">
        <ns0:is>
          <ns0:t>Diagnostic comparison and explicit fusion of anatomical MRI, DWI and functional MRI; not monitoring or intervention.</ns0:t>
        </ns0:is>
      </ns0:c>
      <ns0:c r="F338" s="21" t="inlineStr">
        <ns0:is>
          <ns0:t>https://doi.org/10.1089/brain.2019.0689</ns0:t>
        </ns0:is>
      </ns0:c>
      <ns0:c r="G338" s="21" t="inlineStr">
        <ns0:is>
          <ns0:t>ChatGPT-assisted evidence recharting, 2026-09-08</ns0:t>
        </ns0:is>
      </ns0:c>
    </ns0:row>
    <ns0:row r="339" ht="42" customHeight="1">
      <ns0:c r="A339" s="19" t="inlineStr">
        <ns0:is>
          <ns0:t>59</ns0:t>
        </ns0:is>
      </ns0:c>
      <ns0:c r="B339" s="19" t="inlineStr">
        <ns0:is>
          <ns0:t>algorithm_main</ns0:t>
        </ns0:is>
      </ns0:c>
      <ns0:c r="C339" s="19" t="inlineStr">
        <ns0:is>
          <ns0:t>Random Forest</ns0:t>
        </ns0:is>
      </ns0:c>
      <ns0:c r="D339" s="19" t="inlineStr">
        <ns0:is>
          <ns0:t>Conditional random forest</ns0:t>
        </ns0:is>
      </ns0:c>
      <ns0:c r="E339" s="19" t="inlineStr">
        <ns0:is>
          <ns0:t>Diagnostic comparison and explicit fusion of anatomical MRI, DWI and functional MRI; not monitoring or intervention.</ns0:t>
        </ns0:is>
      </ns0:c>
      <ns0:c r="F339" s="19" t="inlineStr">
        <ns0:is>
          <ns0:t>https://doi.org/10.1089/brain.2019.0689</ns0:t>
        </ns0:is>
      </ns0:c>
      <ns0:c r="G339" s="19" t="inlineStr">
        <ns0:is>
          <ns0:t>ChatGPT-assisted evidence recharting, 2026-09-08</ns0:t>
        </ns0:is>
      </ns0:c>
    </ns0:row>
    <ns0:row r="340" ht="42" customHeight="1">
      <ns0:c r="A340" s="21" t="inlineStr">
        <ns0:is>
          <ns0:t>59</ns0:t>
        </ns0:is>
      </ns0:c>
      <ns0:c r="B340" s="21" t="inlineStr">
        <ns0:is>
          <ns0:t>rq2_status</ns0:t>
        </ns0:is>
      </ns0:c>
      <ns0:c r="C340" s="21" t="inlineStr">
        <ns0:is>
          <ns0:t>Not adjudicated in master</ns0:t>
        </ns0:is>
      </ns0:c>
      <ns0:c r="D340" s="21" t="inlineStr">
        <ns0:is>
          <ns0:t>Research only</ns0:t>
        </ns0:is>
      </ns0:c>
      <ns0:c r="E340" s="21" t="inlineStr">
        <ns0:is>
          <ns0:t>Diagnostic comparison and explicit fusion of anatomical MRI, DWI and functional MRI; not monitoring or intervention.</ns0:t>
        </ns0:is>
      </ns0:c>
      <ns0:c r="F340" s="21" t="inlineStr">
        <ns0:is>
          <ns0:t>https://doi.org/10.1089/brain.2019.0689</ns0:t>
        </ns0:is>
      </ns0:c>
      <ns0:c r="G340" s="21" t="inlineStr">
        <ns0:is>
          <ns0:t>ChatGPT-assisted evidence recharting, 2026-09-08</ns0:t>
        </ns0:is>
      </ns0:c>
    </ns0:row>
    <ns0:row r="341" ht="42" customHeight="1">
      <ns0:c r="A341" s="19" t="inlineStr">
        <ns0:is>
          <ns0:t>59</ns0:t>
        </ns0:is>
      </ns0:c>
      <ns0:c r="B341" s="19" t="inlineStr">
        <ns0:is>
          <ns0:t>rq2_role</ns0:t>
        </ns0:is>
      </ns0:c>
      <ns0:c r="C341" s="19" t="inlineStr"/>
      <ns0:c r="D341" s="19" t="inlineStr">
        <ns0:is>
          <ns0:t>Automated measurement/classification</ns0:t>
        </ns0:is>
      </ns0:c>
      <ns0:c r="E341" s="19" t="inlineStr">
        <ns0:is>
          <ns0:t>Diagnostic comparison and explicit fusion of anatomical MRI, DWI and functional MRI; not monitoring or intervention.</ns0:t>
        </ns0:is>
      </ns0:c>
      <ns0:c r="F341" s="19" t="inlineStr">
        <ns0:is>
          <ns0:t>https://doi.org/10.1089/brain.2019.0689</ns0:t>
        </ns0:is>
      </ns0:c>
      <ns0:c r="G341" s="19" t="inlineStr">
        <ns0:is>
          <ns0:t>ChatGPT-assisted evidence recharting, 2026-09-08</ns0:t>
        </ns0:is>
      </ns0:c>
    </ns0:row>
    <ns0:row r="342" ht="42" customHeight="1">
      <ns0:c r="A342" s="21" t="inlineStr">
        <ns0:is>
          <ns0:t>59</ns0:t>
        </ns0:is>
      </ns0:c>
      <ns0:c r="B342" s="21" t="inlineStr">
        <ns0:is>
          <ns0:t>decision_timing</ns0:t>
        </ns0:is>
      </ns0:c>
      <ns0:c r="C342" s="21" t="inlineStr"/>
      <ns0:c r="D342" s="21" t="inlineStr">
        <ns0:is>
          <ns0:t>Not observed in assessed sources</ns0:t>
        </ns0:is>
      </ns0:c>
      <ns0:c r="E342" s="21" t="inlineStr">
        <ns0:is>
          <ns0:t>Diagnostic comparison and explicit fusion of anatomical MRI, DWI and functional MRI; not monitoring or intervention.</ns0:t>
        </ns0:is>
      </ns0:c>
      <ns0:c r="F342" s="21" t="inlineStr">
        <ns0:is>
          <ns0:t>https://doi.org/10.1089/brain.2019.0689</ns0:t>
        </ns0:is>
      </ns0:c>
      <ns0:c r="G342" s="21" t="inlineStr">
        <ns0:is>
          <ns0:t>ChatGPT-assisted evidence recharting, 2026-09-08</ns0:t>
        </ns0:is>
      </ns0:c>
    </ns0:row>
    <ns0:row r="343" ht="42" customHeight="1">
      <ns0:c r="A343" s="19" t="inlineStr">
        <ns0:is>
          <ns0:t>60</ns0:t>
        </ns0:is>
      </ns0:c>
      <ns0:c r="B343" s="19" t="inlineStr">
        <ns0:is>
          <ns0:t>eligibility</ns0:t>
        </ns0:is>
      </ns0:c>
      <ns0:c r="C343" s="19" t="inlineStr">
        <ns0:is>
          <ns0:t>Include</ns0:t>
        </ns0:is>
      </ns0:c>
      <ns0:c r="D343" s="19" t="inlineStr">
        <ns0:is>
          <ns0:t>Exclude</ns0:t>
        </ns0:is>
      </ns0:c>
      <ns0:c r="E343" s="19" t="inlineStr">
        <ns0:is>
          <ns0:t>Cross-sectional biochemical adverse-effect prevalence/correlation study, with no computational predictive model in the supplied report description.</ns0:t>
        </ns0:is>
      </ns0:c>
      <ns0:c r="F343" s="19" t="inlineStr">
        <ns0:is>
          <ns0:t>https://doi.org/10.1016/j.eurpsy.2017.02.198</ns0:t>
        </ns0:is>
      </ns0:c>
      <ns0:c r="G343" s="19" t="inlineStr">
        <ns0:is>
          <ns0:t>ChatGPT-assisted evidence recharting, 2026-09-08</ns0:t>
        </ns0:is>
      </ns0:c>
    </ns0:row>
    <ns0:row r="344" ht="42" customHeight="1">
      <ns0:c r="A344" s="21" t="inlineStr">
        <ns0:is>
          <ns0:t>60</ns0:t>
        </ns0:is>
      </ns0:c>
      <ns0:c r="B344" s="21" t="inlineStr">
        <ns0:is>
          <ns0:t>stage_primary</ns0:t>
        </ns0:is>
      </ns0:c>
      <ns0:c r="C344" s="21" t="inlineStr">
        <ns0:is>
          <ns0:t>Monitoring/intervention</ns0:t>
        </ns0:is>
      </ns0:c>
      <ns0:c r="D344" s="21" t="inlineStr">
        <ns0:is>
          <ns0:t>Excluded</ns0:t>
        </ns0:is>
      </ns0:c>
      <ns0:c r="E344" s="21" t="inlineStr">
        <ns0:is>
          <ns0:t>Cross-sectional biochemical adverse-effect prevalence/correlation study, with no computational predictive model in the supplied report description.</ns0:t>
        </ns0:is>
      </ns0:c>
      <ns0:c r="F344" s="21" t="inlineStr">
        <ns0:is>
          <ns0:t>https://doi.org/10.1016/j.eurpsy.2017.02.198</ns0:t>
        </ns0:is>
      </ns0:c>
      <ns0:c r="G344" s="21" t="inlineStr">
        <ns0:is>
          <ns0:t>ChatGPT-assisted evidence recharting, 2026-09-08</ns0:t>
        </ns0:is>
      </ns0:c>
    </ns0:row>
    <ns0:row r="345" ht="42" customHeight="1">
      <ns0:c r="A345" s="19" t="inlineStr">
        <ns0:is>
          <ns0:t>60</ns0:t>
        </ns0:is>
      </ns0:c>
      <ns0:c r="B345" s="19" t="inlineStr">
        <ns0:is>
          <ns0:t>ai_type</ns0:t>
        </ns0:is>
      </ns0:c>
      <ns0:c r="C345" s="19" t="inlineStr">
        <ns0:is>
          <ns0:t>Deep Learning</ns0:t>
        </ns0:is>
      </ns0:c>
      <ns0:c r="D345" s="19" t="inlineStr">
        <ns0:is>
          <ns0:t>Excluded</ns0:t>
        </ns0:is>
      </ns0:c>
      <ns0:c r="E345" s="19" t="inlineStr">
        <ns0:is>
          <ns0:t>Cross-sectional biochemical adverse-effect prevalence/correlation study, with no computational predictive model in the supplied report description.</ns0:t>
        </ns0:is>
      </ns0:c>
      <ns0:c r="F345" s="19" t="inlineStr">
        <ns0:is>
          <ns0:t>https://doi.org/10.1016/j.eurpsy.2017.02.198</ns0:t>
        </ns0:is>
      </ns0:c>
      <ns0:c r="G345" s="19" t="inlineStr">
        <ns0:is>
          <ns0:t>ChatGPT-assisted evidence recharting, 2026-09-08</ns0:t>
        </ns0:is>
      </ns0:c>
    </ns0:row>
    <ns0:row r="346" ht="42" customHeight="1">
      <ns0:c r="A346" s="21" t="inlineStr">
        <ns0:is>
          <ns0:t>60</ns0:t>
        </ns0:is>
      </ns0:c>
      <ns0:c r="B346" s="21" t="inlineStr">
        <ns0:is>
          <ns0:t>data_source_primary</ns0:t>
        </ns0:is>
      </ns0:c>
      <ns0:c r="C346" s="21" t="inlineStr">
        <ns0:is>
          <ns0:t>Not specified</ns0:t>
        </ns0:is>
      </ns0:c>
      <ns0:c r="D346" s="21" t="inlineStr">
        <ns0:is>
          <ns0:t>Excluded</ns0:t>
        </ns0:is>
      </ns0:c>
      <ns0:c r="E346" s="21" t="inlineStr">
        <ns0:is>
          <ns0:t>Cross-sectional biochemical adverse-effect prevalence/correlation study, with no computational predictive model in the supplied report description.</ns0:t>
        </ns0:is>
      </ns0:c>
      <ns0:c r="F346" s="21" t="inlineStr">
        <ns0:is>
          <ns0:t>https://doi.org/10.1016/j.eurpsy.2017.02.198</ns0:t>
        </ns0:is>
      </ns0:c>
      <ns0:c r="G346" s="21" t="inlineStr">
        <ns0:is>
          <ns0:t>ChatGPT-assisted evidence recharting, 2026-09-08</ns0:t>
        </ns0:is>
      </ns0:c>
    </ns0:row>
    <ns0:row r="347" ht="42" customHeight="1">
      <ns0:c r="A347" s="19" t="inlineStr">
        <ns0:is>
          <ns0:t>60</ns0:t>
        </ns0:is>
      </ns0:c>
      <ns0:c r="B347" s="19" t="inlineStr">
        <ns0:is>
          <ns0:t>rq2_status</ns0:t>
        </ns0:is>
      </ns0:c>
      <ns0:c r="C347" s="19" t="inlineStr">
        <ns0:is>
          <ns0:t>Not adjudicated in master</ns0:t>
        </ns0:is>
      </ns0:c>
      <ns0:c r="D347" s="19" t="inlineStr">
        <ns0:is>
          <ns0:t>Excluded</ns0:t>
        </ns0:is>
      </ns0:c>
      <ns0:c r="E347" s="19" t="inlineStr">
        <ns0:is>
          <ns0:t>Cross-sectional biochemical adverse-effect prevalence/correlation study, with no computational predictive model in the supplied report description.</ns0:t>
        </ns0:is>
      </ns0:c>
      <ns0:c r="F347" s="19" t="inlineStr">
        <ns0:is>
          <ns0:t>https://doi.org/10.1016/j.eurpsy.2017.02.198</ns0:t>
        </ns0:is>
      </ns0:c>
      <ns0:c r="G347" s="19" t="inlineStr">
        <ns0:is>
          <ns0:t>ChatGPT-assisted evidence recharting, 2026-09-08</ns0:t>
        </ns0:is>
      </ns0:c>
    </ns0:row>
    <ns0:row r="348" ht="42" customHeight="1">
      <ns0:c r="A348" s="21" t="inlineStr">
        <ns0:is>
          <ns0:t>60</ns0:t>
        </ns0:is>
      </ns0:c>
      <ns0:c r="B348" s="21" t="inlineStr">
        <ns0:is>
          <ns0:t>rq2_role</ns0:t>
        </ns0:is>
      </ns0:c>
      <ns0:c r="C348" s="21" t="inlineStr"/>
      <ns0:c r="D348" s="21" t="inlineStr">
        <ns0:is>
          <ns0:t>Excluded</ns0:t>
        </ns0:is>
      </ns0:c>
      <ns0:c r="E348" s="21" t="inlineStr">
        <ns0:is>
          <ns0:t>Cross-sectional biochemical adverse-effect prevalence/correlation study, with no computational predictive model in the supplied report description.</ns0:t>
        </ns0:is>
      </ns0:c>
      <ns0:c r="F348" s="21" t="inlineStr">
        <ns0:is>
          <ns0:t>https://doi.org/10.1016/j.eurpsy.2017.02.198</ns0:t>
        </ns0:is>
      </ns0:c>
      <ns0:c r="G348" s="21" t="inlineStr">
        <ns0:is>
          <ns0:t>ChatGPT-assisted evidence recharting, 2026-09-08</ns0:t>
        </ns0:is>
      </ns0:c>
    </ns0:row>
    <ns0:row r="349" ht="42" customHeight="1">
      <ns0:c r="A349" s="19" t="inlineStr">
        <ns0:is>
          <ns0:t>60</ns0:t>
        </ns0:is>
      </ns0:c>
      <ns0:c r="B349" s="19" t="inlineStr">
        <ns0:is>
          <ns0:t>decision_timing</ns0:t>
        </ns0:is>
      </ns0:c>
      <ns0:c r="C349" s="19" t="inlineStr"/>
      <ns0:c r="D349" s="19" t="inlineStr">
        <ns0:is>
          <ns0:t>Not applicable - excluded</ns0:t>
        </ns0:is>
      </ns0:c>
      <ns0:c r="E349" s="19" t="inlineStr">
        <ns0:is>
          <ns0:t>Cross-sectional biochemical adverse-effect prevalence/correlation study, with no computational predictive model in the supplied report description.</ns0:t>
        </ns0:is>
      </ns0:c>
      <ns0:c r="F349" s="19" t="inlineStr">
        <ns0:is>
          <ns0:t>https://doi.org/10.1016/j.eurpsy.2017.02.198</ns0:t>
        </ns0:is>
      </ns0:c>
      <ns0:c r="G349" s="19" t="inlineStr">
        <ns0:is>
          <ns0:t>ChatGPT-assisted evidence recharting, 2026-09-08</ns0:t>
        </ns0:is>
      </ns0:c>
    </ns0:row>
    <ns0:row r="350" ht="42" customHeight="1">
      <ns0:c r="A350" s="21" t="inlineStr">
        <ns0:is>
          <ns0:t>61</ns0:t>
        </ns0:is>
      </ns0:c>
      <ns0:c r="B350" s="21" t="inlineStr">
        <ns0:is>
          <ns0:t>stage_primary</ns0:t>
        </ns0:is>
      </ns0:c>
      <ns0:c r="C350" s="21" t="inlineStr">
        <ns0:is>
          <ns0:t>Monitoring/intervention</ns0:t>
        </ns0:is>
      </ns0:c>
      <ns0:c r="D350" s="21" t="inlineStr">
        <ns0:is>
          <ns0:t>Diagnosis</ns0:t>
        </ns0:is>
      </ns0:c>
      <ns0:c r="E350" s="21" t="inlineStr">
        <ns0:is>
          <ns0:t>Visual-attention classification and explicit feature-dissection by segmentation and image ablation. No longitudinal intervention was evaluated.</ns0:t>
        </ns0:is>
      </ns0:c>
      <ns0:c r="F350" s="21" t="inlineStr">
        <ns0:is>
          <ns0:t>https://doi.org/10.1007/s12539-022-00510-6</ns0:t>
        </ns0:is>
      </ns0:c>
      <ns0:c r="G350" s="21" t="inlineStr">
        <ns0:is>
          <ns0:t>ChatGPT-assisted evidence recharting, 2026-09-08</ns0:t>
        </ns0:is>
      </ns0:c>
    </ns0:row>
    <ns0:row r="351" ht="42" customHeight="1">
      <ns0:c r="A351" s="19" t="inlineStr">
        <ns0:is>
          <ns0:t>61</ns0:t>
        </ns0:is>
      </ns0:c>
      <ns0:c r="B351" s="19" t="inlineStr">
        <ns0:is>
          <ns0:t>data_source_primary</ns0:t>
        </ns0:is>
      </ns0:c>
      <ns0:c r="C351" s="19" t="inlineStr">
        <ns0:is>
          <ns0:t>Image (subtype unresolved)</ns0:t>
        </ns0:is>
      </ns0:c>
      <ns0:c r="D351" s="19" t="inlineStr">
        <ns0:is>
          <ns0:t>Behavioral images/video/gaze/movement</ns0:t>
        </ns0:is>
      </ns0:c>
      <ns0:c r="E351" s="19" t="inlineStr">
        <ns0:is>
          <ns0:t>Visual-attention classification and explicit feature-dissection by segmentation and image ablation. No longitudinal intervention was evaluated.</ns0:t>
        </ns0:is>
      </ns0:c>
      <ns0:c r="F351" s="19" t="inlineStr">
        <ns0:is>
          <ns0:t>https://doi.org/10.1007/s12539-022-00510-6</ns0:t>
        </ns0:is>
      </ns0:c>
      <ns0:c r="G351" s="19" t="inlineStr">
        <ns0:is>
          <ns0:t>ChatGPT-assisted evidence recharting, 2026-09-08</ns0:t>
        </ns0:is>
      </ns0:c>
    </ns0:row>
    <ns0:row r="352" ht="42" customHeight="1">
      <ns0:c r="A352" s="21" t="inlineStr">
        <ns0:is>
          <ns0:t>61</ns0:t>
        </ns0:is>
      </ns0:c>
      <ns0:c r="B352" s="21" t="inlineStr">
        <ns0:is>
          <ns0:t>algorithm_main</ns0:t>
        </ns0:is>
      </ns0:c>
      <ns0:c r="C352" s="21" t="inlineStr">
        <ns0:is>
          <ns0:t>CNN</ns0:t>
        </ns0:is>
      </ns0:c>
      <ns0:c r="D352" s="21" t="inlineStr">
        <ns0:is>
          <ns0:t>Two-stream VGG16 framework</ns0:t>
        </ns0:is>
      </ns0:c>
      <ns0:c r="E352" s="21" t="inlineStr">
        <ns0:is>
          <ns0:t>Visual-attention classification and explicit feature-dissection by segmentation and image ablation. No longitudinal intervention was evaluated.</ns0:t>
        </ns0:is>
      </ns0:c>
      <ns0:c r="F352" s="21" t="inlineStr">
        <ns0:is>
          <ns0:t>https://doi.org/10.1007/s12539-022-00510-6</ns0:t>
        </ns0:is>
      </ns0:c>
      <ns0:c r="G352" s="21" t="inlineStr">
        <ns0:is>
          <ns0:t>ChatGPT-assisted evidence recharting, 2026-09-08</ns0:t>
        </ns0:is>
      </ns0:c>
    </ns0:row>
    <ns0:row r="353" ht="42" customHeight="1">
      <ns0:c r="A353" s="19" t="inlineStr">
        <ns0:is>
          <ns0:t>61</ns0:t>
        </ns0:is>
      </ns0:c>
      <ns0:c r="B353" s="19" t="inlineStr">
        <ns0:is>
          <ns0:t>rq2_status</ns0:t>
        </ns0:is>
      </ns0:c>
      <ns0:c r="C353" s="19" t="inlineStr">
        <ns0:is>
          <ns0:t>Not adjudicated in master</ns0:t>
        </ns0:is>
      </ns0:c>
      <ns0:c r="D353" s="19" t="inlineStr">
        <ns0:is>
          <ns0:t>Proposed only</ns0:t>
        </ns0:is>
      </ns0:c>
      <ns0:c r="E353" s="19" t="inlineStr">
        <ns0:is>
          <ns0:t>Visual-attention classification and explicit feature-dissection by segmentation and image ablation. No longitudinal intervention was evaluated.</ns0:t>
        </ns0:is>
      </ns0:c>
      <ns0:c r="F353" s="19" t="inlineStr">
        <ns0:is>
          <ns0:t>https://doi.org/10.1007/s12539-022-00510-6</ns0:t>
        </ns0:is>
      </ns0:c>
      <ns0:c r="G353" s="19" t="inlineStr">
        <ns0:is>
          <ns0:t>ChatGPT-assisted evidence recharting, 2026-09-08</ns0:t>
        </ns0:is>
      </ns0:c>
    </ns0:row>
    <ns0:row r="354" ht="42" customHeight="1">
      <ns0:c r="A354" s="21" t="inlineStr">
        <ns0:is>
          <ns0:t>61</ns0:t>
        </ns0:is>
      </ns0:c>
      <ns0:c r="B354" s="21" t="inlineStr">
        <ns0:is>
          <ns0:t>rq2_role</ns0:t>
        </ns0:is>
      </ns0:c>
      <ns0:c r="C354" s="21" t="inlineStr"/>
      <ns0:c r="D354" s="21" t="inlineStr">
        <ns0:is>
          <ns0:t>Diagnostic decision support</ns0:t>
        </ns0:is>
      </ns0:c>
      <ns0:c r="E354" s="21" t="inlineStr">
        <ns0:is>
          <ns0:t>Visual-attention classification and explicit feature-dissection by segmentation and image ablation. No longitudinal intervention was evaluated.</ns0:t>
        </ns0:is>
      </ns0:c>
      <ns0:c r="F354" s="21" t="inlineStr">
        <ns0:is>
          <ns0:t>https://doi.org/10.1007/s12539-022-00510-6</ns0:t>
        </ns0:is>
      </ns0:c>
      <ns0:c r="G354" s="21" t="inlineStr">
        <ns0:is>
          <ns0:t>ChatGPT-assisted evidence recharting, 2026-09-08</ns0:t>
        </ns0:is>
      </ns0:c>
    </ns0:row>
    <ns0:row r="355" ht="42" customHeight="1">
      <ns0:c r="A355" s="19" t="inlineStr">
        <ns0:is>
          <ns0:t>61</ns0:t>
        </ns0:is>
      </ns0:c>
      <ns0:c r="B355" s="19" t="inlineStr">
        <ns0:is>
          <ns0:t>decision_timing</ns0:t>
        </ns0:is>
      </ns0:c>
      <ns0:c r="C355" s="19" t="inlineStr"/>
      <ns0:c r="D355" s="19" t="inlineStr">
        <ns0:is>
          <ns0:t>In-decision</ns0:t>
        </ns0:is>
      </ns0:c>
      <ns0:c r="E355" s="19" t="inlineStr">
        <ns0:is>
          <ns0:t>Visual-attention classification and explicit feature-dissection by segmentation and image ablation. No longitudinal intervention was evaluated.</ns0:t>
        </ns0:is>
      </ns0:c>
      <ns0:c r="F355" s="19" t="inlineStr">
        <ns0:is>
          <ns0:t>https://doi.org/10.1007/s12539-022-00510-6</ns0:t>
        </ns0:is>
      </ns0:c>
      <ns0:c r="G355" s="19" t="inlineStr">
        <ns0:is>
          <ns0:t>ChatGPT-assisted evidence recharting, 2026-09-08</ns0:t>
        </ns0:is>
      </ns0:c>
    </ns0:row>
    <ns0:row r="356" ht="42" customHeight="1">
      <ns0:c r="A356" s="21" t="inlineStr">
        <ns0:is>
          <ns0:t>61</ns0:t>
        </ns0:is>
      </ns0:c>
      <ns0:c r="B356" s="21" t="inlineStr">
        <ns0:is>
          <ns0:t>xai_strict</ns0:t>
        </ns0:is>
      </ns0:c>
      <ns0:c r="C356" s="21" t="inlineStr">
        <ns0:is>
          <ns0:t>Not reported in assessed sources</ns0:t>
        </ns0:is>
      </ns0:c>
      <ns0:c r="D356" s="21" t="inlineStr">
        <ns0:is>
          <ns0:t>Not ascertainable</ns0:t>
        </ns0:is>
      </ns0:c>
      <ns0:c r="E356" s="21" t="inlineStr">
        <ns0:is>
          <ns0:t>Visual-attention classification and explicit feature-dissection by segmentation and image ablation. No longitudinal intervention was evaluated.</ns0:t>
        </ns0:is>
      </ns0:c>
      <ns0:c r="F356" s="21" t="inlineStr">
        <ns0:is>
          <ns0:t>https://doi.org/10.1007/s12539-022-00510-6</ns0:t>
        </ns0:is>
      </ns0:c>
      <ns0:c r="G356" s="21" t="inlineStr">
        <ns0:is>
          <ns0:t>ChatGPT-assisted evidence recharting, 2026-09-08</ns0:t>
        </ns0:is>
      </ns0:c>
    </ns0:row>
    <ns0:row r="357" ht="42" customHeight="1">
      <ns0:c r="A357" s="19" t="inlineStr">
        <ns0:is>
          <ns0:t>61</ns0:t>
        </ns0:is>
      </ns0:c>
      <ns0:c r="B357" s="19" t="inlineStr">
        <ns0:is>
          <ns0:t>xai_partial</ns0:t>
        </ns0:is>
      </ns0:c>
      <ns0:c r="C357" s="19" t="inlineStr">
        <ns0:is>
          <ns0:t>Not reported in assessed sources</ns0:t>
        </ns0:is>
      </ns0:c>
      <ns0:c r="D357" s="19" t="inlineStr">
        <ns0:is>
          <ns0:t>Not ascertainable</ns0:t>
        </ns0:is>
      </ns0:c>
      <ns0:c r="E357" s="19" t="inlineStr">
        <ns0:is>
          <ns0:t>Visual-attention classification and explicit feature-dissection by segmentation and image ablation. No longitudinal intervention was evaluated.</ns0:t>
        </ns0:is>
      </ns0:c>
      <ns0:c r="F357" s="19" t="inlineStr">
        <ns0:is>
          <ns0:t>https://doi.org/10.1007/s12539-022-00510-6</ns0:t>
        </ns0:is>
      </ns0:c>
      <ns0:c r="G357" s="19" t="inlineStr">
        <ns0:is>
          <ns0:t>ChatGPT-assisted evidence recharting, 2026-09-08</ns0:t>
        </ns0:is>
      </ns0:c>
    </ns0:row>
    <ns0:row r="358" ht="42" customHeight="1">
      <ns0:c r="A358" s="21" t="inlineStr">
        <ns0:is>
          <ns0:t>62</ns0:t>
        </ns0:is>
      </ns0:c>
      <ns0:c r="B358" s="21" t="inlineStr">
        <ns0:is>
          <ns0:t>eligibility</ns0:t>
        </ns0:is>
      </ns0:c>
      <ns0:c r="C358" s="21" t="inlineStr">
        <ns0:is>
          <ns0:t>Include</ns0:t>
        </ns0:is>
      </ns0:c>
      <ns0:c r="D358" s="21" t="inlineStr">
        <ns0:is>
          <ns0:t>Exclude</ns0:t>
        </ns0:is>
      </ns0:c>
      <ns0:c r="E358" s="21" t="inlineStr">
        <ns0:is>
          <ns0:t>Pharmacogenetic group comparison of prolactin; reported PCR genotyping and inferential tests do not establish ML.</ns0:t>
        </ns0:is>
      </ns0:c>
      <ns0:c r="F358" s="21" t="inlineStr">
        <ns0:is>
          <ns0:t>https://doi.org/10.1016/j.eurpsy.2016.01.060</ns0:t>
        </ns0:is>
      </ns0:c>
      <ns0:c r="G358" s="21" t="inlineStr">
        <ns0:is>
          <ns0:t>ChatGPT-assisted evidence recharting, 2026-09-08</ns0:t>
        </ns0:is>
      </ns0:c>
    </ns0:row>
    <ns0:row r="359" ht="42" customHeight="1">
      <ns0:c r="A359" s="19" t="inlineStr">
        <ns0:is>
          <ns0:t>62</ns0:t>
        </ns0:is>
      </ns0:c>
      <ns0:c r="B359" s="19" t="inlineStr">
        <ns0:is>
          <ns0:t>stage_primary</ns0:t>
        </ns0:is>
      </ns0:c>
      <ns0:c r="C359" s="19" t="inlineStr">
        <ns0:is>
          <ns0:t>Monitoring/intervention</ns0:t>
        </ns0:is>
      </ns0:c>
      <ns0:c r="D359" s="19" t="inlineStr">
        <ns0:is>
          <ns0:t>Excluded</ns0:t>
        </ns0:is>
      </ns0:c>
      <ns0:c r="E359" s="19" t="inlineStr">
        <ns0:is>
          <ns0:t>Pharmacogenetic group comparison of prolactin; reported PCR genotyping and inferential tests do not establish ML.</ns0:t>
        </ns0:is>
      </ns0:c>
      <ns0:c r="F359" s="19" t="inlineStr">
        <ns0:is>
          <ns0:t>https://doi.org/10.1016/j.eurpsy.2016.01.060</ns0:t>
        </ns0:is>
      </ns0:c>
      <ns0:c r="G359" s="19" t="inlineStr">
        <ns0:is>
          <ns0:t>ChatGPT-assisted evidence recharting, 2026-09-08</ns0:t>
        </ns0:is>
      </ns0:c>
    </ns0:row>
    <ns0:row r="360" ht="42" customHeight="1">
      <ns0:c r="A360" s="21" t="inlineStr">
        <ns0:is>
          <ns0:t>62</ns0:t>
        </ns0:is>
      </ns0:c>
      <ns0:c r="B360" s="21" t="inlineStr">
        <ns0:is>
          <ns0:t>ai_type</ns0:t>
        </ns0:is>
      </ns0:c>
      <ns0:c r="C360" s="21" t="inlineStr">
        <ns0:is>
          <ns0:t>Machine Learning</ns0:t>
        </ns0:is>
      </ns0:c>
      <ns0:c r="D360" s="21" t="inlineStr">
        <ns0:is>
          <ns0:t>Excluded</ns0:t>
        </ns0:is>
      </ns0:c>
      <ns0:c r="E360" s="21" t="inlineStr">
        <ns0:is>
          <ns0:t>Pharmacogenetic group comparison of prolactin; reported PCR genotyping and inferential tests do not establish ML.</ns0:t>
        </ns0:is>
      </ns0:c>
      <ns0:c r="F360" s="21" t="inlineStr">
        <ns0:is>
          <ns0:t>https://doi.org/10.1016/j.eurpsy.2016.01.060</ns0:t>
        </ns0:is>
      </ns0:c>
      <ns0:c r="G360" s="21" t="inlineStr">
        <ns0:is>
          <ns0:t>ChatGPT-assisted evidence recharting, 2026-09-08</ns0:t>
        </ns0:is>
      </ns0:c>
    </ns0:row>
    <ns0:row r="361" ht="42" customHeight="1">
      <ns0:c r="A361" s="19" t="inlineStr">
        <ns0:is>
          <ns0:t>62</ns0:t>
        </ns0:is>
      </ns0:c>
      <ns0:c r="B361" s="19" t="inlineStr">
        <ns0:is>
          <ns0:t>data_source_primary</ns0:t>
        </ns0:is>
      </ns0:c>
      <ns0:c r="C361" s="19" t="inlineStr">
        <ns0:is>
          <ns0:t>Not specified</ns0:t>
        </ns0:is>
      </ns0:c>
      <ns0:c r="D361" s="19" t="inlineStr">
        <ns0:is>
          <ns0:t>Excluded</ns0:t>
        </ns0:is>
      </ns0:c>
      <ns0:c r="E361" s="19" t="inlineStr">
        <ns0:is>
          <ns0:t>Pharmacogenetic group comparison of prolactin; reported PCR genotyping and inferential tests do not establish ML.</ns0:t>
        </ns0:is>
      </ns0:c>
      <ns0:c r="F361" s="19" t="inlineStr">
        <ns0:is>
          <ns0:t>https://doi.org/10.1016/j.eurpsy.2016.01.060</ns0:t>
        </ns0:is>
      </ns0:c>
      <ns0:c r="G361" s="19" t="inlineStr">
        <ns0:is>
          <ns0:t>ChatGPT-assisted evidence recharting, 2026-09-08</ns0:t>
        </ns0:is>
      </ns0:c>
    </ns0:row>
    <ns0:row r="362" ht="42" customHeight="1">
      <ns0:c r="A362" s="21" t="inlineStr">
        <ns0:is>
          <ns0:t>62</ns0:t>
        </ns0:is>
      </ns0:c>
      <ns0:c r="B362" s="21" t="inlineStr">
        <ns0:is>
          <ns0:t>rq2_status</ns0:t>
        </ns0:is>
      </ns0:c>
      <ns0:c r="C362" s="21" t="inlineStr">
        <ns0:is>
          <ns0:t>Not adjudicated in master</ns0:t>
        </ns0:is>
      </ns0:c>
      <ns0:c r="D362" s="21" t="inlineStr">
        <ns0:is>
          <ns0:t>Excluded</ns0:t>
        </ns0:is>
      </ns0:c>
      <ns0:c r="E362" s="21" t="inlineStr">
        <ns0:is>
          <ns0:t>Pharmacogenetic group comparison of prolactin; reported PCR genotyping and inferential tests do not establish ML.</ns0:t>
        </ns0:is>
      </ns0:c>
      <ns0:c r="F362" s="21" t="inlineStr">
        <ns0:is>
          <ns0:t>https://doi.org/10.1016/j.eurpsy.2016.01.060</ns0:t>
        </ns0:is>
      </ns0:c>
      <ns0:c r="G362" s="21" t="inlineStr">
        <ns0:is>
          <ns0:t>ChatGPT-assisted evidence recharting, 2026-09-08</ns0:t>
        </ns0:is>
      </ns0:c>
    </ns0:row>
    <ns0:row r="363" ht="42" customHeight="1">
      <ns0:c r="A363" s="19" t="inlineStr">
        <ns0:is>
          <ns0:t>62</ns0:t>
        </ns0:is>
      </ns0:c>
      <ns0:c r="B363" s="19" t="inlineStr">
        <ns0:is>
          <ns0:t>rq2_role</ns0:t>
        </ns0:is>
      </ns0:c>
      <ns0:c r="C363" s="19" t="inlineStr"/>
      <ns0:c r="D363" s="19" t="inlineStr">
        <ns0:is>
          <ns0:t>Excluded</ns0:t>
        </ns0:is>
      </ns0:c>
      <ns0:c r="E363" s="19" t="inlineStr">
        <ns0:is>
          <ns0:t>Pharmacogenetic group comparison of prolactin; reported PCR genotyping and inferential tests do not establish ML.</ns0:t>
        </ns0:is>
      </ns0:c>
      <ns0:c r="F363" s="19" t="inlineStr">
        <ns0:is>
          <ns0:t>https://doi.org/10.1016/j.eurpsy.2016.01.060</ns0:t>
        </ns0:is>
      </ns0:c>
      <ns0:c r="G363" s="19" t="inlineStr">
        <ns0:is>
          <ns0:t>ChatGPT-assisted evidence recharting, 2026-09-08</ns0:t>
        </ns0:is>
      </ns0:c>
    </ns0:row>
    <ns0:row r="364" ht="42" customHeight="1">
      <ns0:c r="A364" s="21" t="inlineStr">
        <ns0:is>
          <ns0:t>62</ns0:t>
        </ns0:is>
      </ns0:c>
      <ns0:c r="B364" s="21" t="inlineStr">
        <ns0:is>
          <ns0:t>decision_timing</ns0:t>
        </ns0:is>
      </ns0:c>
      <ns0:c r="C364" s="21" t="inlineStr"/>
      <ns0:c r="D364" s="21" t="inlineStr">
        <ns0:is>
          <ns0:t>Not applicable - excluded</ns0:t>
        </ns0:is>
      </ns0:c>
      <ns0:c r="E364" s="21" t="inlineStr">
        <ns0:is>
          <ns0:t>Pharmacogenetic group comparison of prolactin; reported PCR genotyping and inferential tests do not establish ML.</ns0:t>
        </ns0:is>
      </ns0:c>
      <ns0:c r="F364" s="21" t="inlineStr">
        <ns0:is>
          <ns0:t>https://doi.org/10.1016/j.eurpsy.2016.01.060</ns0:t>
        </ns0:is>
      </ns0:c>
      <ns0:c r="G364" s="21" t="inlineStr">
        <ns0:is>
          <ns0:t>ChatGPT-assisted evidence recharting, 2026-09-08</ns0:t>
        </ns0:is>
      </ns0:c>
    </ns0:row>
    <ns0:row r="365" ht="42" customHeight="1">
      <ns0:c r="A365" s="19" t="inlineStr">
        <ns0:is>
          <ns0:t>63</ns0:t>
        </ns0:is>
      </ns0:c>
      <ns0:c r="B365" s="19" t="inlineStr">
        <ns0:is>
          <ns0:t>data_source_primary</ns0:t>
        </ns0:is>
      </ns0:c>
      <ns0:c r="C365" s="19" t="inlineStr">
        <ns0:is>
          <ns0:t>Image (subtype unresolved)</ns0:t>
        </ns0:is>
      </ns0:c>
      <ns0:c r="D365" s="19" t="inlineStr">
        <ns0:is>
          <ns0:t>Neuroimaging</ns0:t>
        </ns0:is>
      </ns0:c>
      <ns0:c r="E365" s="19" t="inlineStr">
        <ns0:is>
          <ns0:t>Current symptom-severity identification from fMRI, not prediction of future course. The named method is retained rather than forcing it into an unsupported MLP family.</ns0:t>
        </ns0:is>
      </ns0:c>
      <ns0:c r="F365" s="19" t="inlineStr">
        <ns0:is>
          <ns0:t>https://doi.org/10.1109/tnsre.2024.3516216</ns0:t>
        </ns0:is>
      </ns0:c>
      <ns0:c r="G365" s="19" t="inlineStr">
        <ns0:is>
          <ns0:t>ChatGPT-assisted evidence recharting, 2026-09-08</ns0:t>
        </ns0:is>
      </ns0:c>
    </ns0:row>
    <ns0:row r="366" ht="42" customHeight="1">
      <ns0:c r="A366" s="21" t="inlineStr">
        <ns0:is>
          <ns0:t>63</ns0:t>
        </ns0:is>
      </ns0:c>
      <ns0:c r="B366" s="21" t="inlineStr">
        <ns0:is>
          <ns0:t>algorithm_main</ns0:t>
        </ns0:is>
      </ns0:c>
      <ns0:c r="C366" s="21" t="inlineStr">
        <ns0:is>
          <ns0:t>MLP</ns0:t>
        </ns0:is>
      </ns0:c>
      <ns0:c r="D366" s="21" t="inlineStr">
        <ns0:is>
          <ns0:t>HBFND-AMLD adaptive label-distribution learning</ns0:t>
        </ns0:is>
      </ns0:c>
      <ns0:c r="E366" s="21" t="inlineStr">
        <ns0:is>
          <ns0:t>Current symptom-severity identification from fMRI, not prediction of future course. The named method is retained rather than forcing it into an unsupported MLP family.</ns0:t>
        </ns0:is>
      </ns0:c>
      <ns0:c r="F366" s="21" t="inlineStr">
        <ns0:is>
          <ns0:t>https://doi.org/10.1109/tnsre.2024.3516216</ns0:t>
        </ns0:is>
      </ns0:c>
      <ns0:c r="G366" s="21" t="inlineStr">
        <ns0:is>
          <ns0:t>ChatGPT-assisted evidence recharting, 2026-09-08</ns0:t>
        </ns0:is>
      </ns0:c>
    </ns0:row>
    <ns0:row r="367" ht="42" customHeight="1">
      <ns0:c r="A367" s="19" t="inlineStr">
        <ns0:is>
          <ns0:t>63</ns0:t>
        </ns0:is>
      </ns0:c>
      <ns0:c r="B367" s="19" t="inlineStr">
        <ns0:is>
          <ns0:t>rq2_status</ns0:t>
        </ns0:is>
      </ns0:c>
      <ns0:c r="C367" s="19" t="inlineStr">
        <ns0:is>
          <ns0:t>Not adjudicated in master</ns0:t>
        </ns0:is>
      </ns0:c>
      <ns0:c r="D367" s="19" t="inlineStr">
        <ns0:is>
          <ns0:t>Proposed only</ns0:t>
        </ns0:is>
      </ns0:c>
      <ns0:c r="E367" s="19" t="inlineStr">
        <ns0:is>
          <ns0:t>Current symptom-severity identification from fMRI, not prediction of future course. The named method is retained rather than forcing it into an unsupported MLP family.</ns0:t>
        </ns0:is>
      </ns0:c>
      <ns0:c r="F367" s="19" t="inlineStr">
        <ns0:is>
          <ns0:t>https://doi.org/10.1109/tnsre.2024.3516216</ns0:t>
        </ns0:is>
      </ns0:c>
      <ns0:c r="G367" s="19" t="inlineStr">
        <ns0:is>
          <ns0:t>ChatGPT-assisted evidence recharting, 2026-09-08</ns0:t>
        </ns0:is>
      </ns0:c>
    </ns0:row>
    <ns0:row r="368" ht="42" customHeight="1">
      <ns0:c r="A368" s="21" t="inlineStr">
        <ns0:is>
          <ns0:t>63</ns0:t>
        </ns0:is>
      </ns0:c>
      <ns0:c r="B368" s="21" t="inlineStr">
        <ns0:is>
          <ns0:t>rq2_role</ns0:t>
        </ns0:is>
      </ns0:c>
      <ns0:c r="C368" s="21" t="inlineStr"/>
      <ns0:c r="D368" s="21" t="inlineStr">
        <ns0:is>
          <ns0:t>Diagnostic decision support</ns0:t>
        </ns0:is>
      </ns0:c>
      <ns0:c r="E368" s="21" t="inlineStr">
        <ns0:is>
          <ns0:t>Current symptom-severity identification from fMRI, not prediction of future course. The named method is retained rather than forcing it into an unsupported MLP family.</ns0:t>
        </ns0:is>
      </ns0:c>
      <ns0:c r="F368" s="21" t="inlineStr">
        <ns0:is>
          <ns0:t>https://doi.org/10.1109/tnsre.2024.3516216</ns0:t>
        </ns0:is>
      </ns0:c>
      <ns0:c r="G368" s="21" t="inlineStr">
        <ns0:is>
          <ns0:t>ChatGPT-assisted evidence recharting, 2026-09-08</ns0:t>
        </ns0:is>
      </ns0:c>
    </ns0:row>
    <ns0:row r="369" ht="42" customHeight="1">
      <ns0:c r="A369" s="19" t="inlineStr">
        <ns0:is>
          <ns0:t>63</ns0:t>
        </ns0:is>
      </ns0:c>
      <ns0:c r="B369" s="19" t="inlineStr">
        <ns0:is>
          <ns0:t>decision_timing</ns0:t>
        </ns0:is>
      </ns0:c>
      <ns0:c r="C369" s="19" t="inlineStr"/>
      <ns0:c r="D369" s="19" t="inlineStr">
        <ns0:is>
          <ns0:t>In-decision</ns0:t>
        </ns0:is>
      </ns0:c>
      <ns0:c r="E369" s="19" t="inlineStr">
        <ns0:is>
          <ns0:t>Current symptom-severity identification from fMRI, not prediction of future course. The named method is retained rather than forcing it into an unsupported MLP family.</ns0:t>
        </ns0:is>
      </ns0:c>
      <ns0:c r="F369" s="19" t="inlineStr">
        <ns0:is>
          <ns0:t>https://doi.org/10.1109/tnsre.2024.3516216</ns0:t>
        </ns0:is>
      </ns0:c>
      <ns0:c r="G369" s="19" t="inlineStr">
        <ns0:is>
          <ns0:t>ChatGPT-assisted evidence recharting, 2026-09-08</ns0:t>
        </ns0:is>
      </ns0:c>
    </ns0:row>
    <ns0:row r="370" ht="42" customHeight="1">
      <ns0:c r="A370" s="21" t="inlineStr">
        <ns0:is>
          <ns0:t>64</ns0:t>
        </ns0:is>
      </ns0:c>
      <ns0:c r="B370" s="21" t="inlineStr">
        <ns0:is>
          <ns0:t>data_source_primary</ns0:t>
        </ns0:is>
      </ns0:c>
      <ns0:c r="C370" s="21" t="inlineStr">
        <ns0:is>
          <ns0:t>Image (subtype unresolved)</ns0:t>
        </ns0:is>
      </ns0:c>
      <ns0:c r="D370" s="21" t="inlineStr">
        <ns0:is>
          <ns0:t>Behavioral images/video/gaze/movement</ns0:t>
        </ns0:is>
      </ns0:c>
      <ns0:c r="E370" s="21" t="inlineStr">
        <ns0:is>
          <ns0:t>True neural feature extractor plus conventional boosted-tree classifier; public eye-gaze image benchmark, not clinical screening deployment.</ns0:t>
        </ns0:is>
      </ns0:c>
      <ns0:c r="F370" s="21" t="inlineStr">
        <ns0:is>
          <ns0:t>https://doi.org/10.1016/j.mex.2025.103166</ns0:t>
        </ns0:is>
      </ns0:c>
      <ns0:c r="G370" s="21" t="inlineStr">
        <ns0:is>
          <ns0:t>ChatGPT-assisted evidence recharting, 2026-09-08</ns0:t>
        </ns0:is>
      </ns0:c>
    </ns0:row>
    <ns0:row r="371" ht="42" customHeight="1">
      <ns0:c r="A371" s="19" t="inlineStr">
        <ns0:is>
          <ns0:t>64</ns0:t>
        </ns0:is>
      </ns0:c>
      <ns0:c r="B371" s="19" t="inlineStr">
        <ns0:is>
          <ns0:t>algorithm_main</ns0:t>
        </ns0:is>
      </ns0:c>
      <ns0:c r="C371" s="19" t="inlineStr">
        <ns0:is>
          <ns0:t>XGBoost / GBDT</ns0:t>
        </ns0:is>
      </ns0:c>
      <ns0:c r="D371" s="19" t="inlineStr">
        <ns0:is>
          <ns0:t>ConvNeXtBase with LightGBM</ns0:t>
        </ns0:is>
      </ns0:c>
      <ns0:c r="E371" s="19" t="inlineStr">
        <ns0:is>
          <ns0:t>True neural feature extractor plus conventional boosted-tree classifier; public eye-gaze image benchmark, not clinical screening deployment.</ns0:t>
        </ns0:is>
      </ns0:c>
      <ns0:c r="F371" s="19" t="inlineStr">
        <ns0:is>
          <ns0:t>https://doi.org/10.1016/j.mex.2025.103166</ns0:t>
        </ns0:is>
      </ns0:c>
      <ns0:c r="G371" s="19" t="inlineStr">
        <ns0:is>
          <ns0:t>ChatGPT-assisted evidence recharting, 2026-09-08</ns0:t>
        </ns0:is>
      </ns0:c>
    </ns0:row>
    <ns0:row r="372" ht="42" customHeight="1">
      <ns0:c r="A372" s="21" t="inlineStr">
        <ns0:is>
          <ns0:t>64</ns0:t>
        </ns0:is>
      </ns0:c>
      <ns0:c r="B372" s="21" t="inlineStr">
        <ns0:is>
          <ns0:t>rq2_status</ns0:t>
        </ns0:is>
      </ns0:c>
      <ns0:c r="C372" s="21" t="inlineStr">
        <ns0:is>
          <ns0:t>Not adjudicated in master</ns0:t>
        </ns0:is>
      </ns0:c>
      <ns0:c r="D372" s="21" t="inlineStr">
        <ns0:is>
          <ns0:t>Research only</ns0:t>
        </ns0:is>
      </ns0:c>
      <ns0:c r="E372" s="21" t="inlineStr">
        <ns0:is>
          <ns0:t>True neural feature extractor plus conventional boosted-tree classifier; public eye-gaze image benchmark, not clinical screening deployment.</ns0:t>
        </ns0:is>
      </ns0:c>
      <ns0:c r="F372" s="21" t="inlineStr">
        <ns0:is>
          <ns0:t>https://doi.org/10.1016/j.mex.2025.103166</ns0:t>
        </ns0:is>
      </ns0:c>
      <ns0:c r="G372" s="21" t="inlineStr">
        <ns0:is>
          <ns0:t>ChatGPT-assisted evidence recharting, 2026-09-08</ns0:t>
        </ns0:is>
      </ns0:c>
    </ns0:row>
    <ns0:row r="373" ht="42" customHeight="1">
      <ns0:c r="A373" s="19" t="inlineStr">
        <ns0:is>
          <ns0:t>64</ns0:t>
        </ns0:is>
      </ns0:c>
      <ns0:c r="B373" s="19" t="inlineStr">
        <ns0:is>
          <ns0:t>rq2_role</ns0:t>
        </ns0:is>
      </ns0:c>
      <ns0:c r="C373" s="19" t="inlineStr"/>
      <ns0:c r="D373" s="19" t="inlineStr">
        <ns0:is>
          <ns0:t>Automated measurement/classification</ns0:t>
        </ns0:is>
      </ns0:c>
      <ns0:c r="E373" s="19" t="inlineStr">
        <ns0:is>
          <ns0:t>True neural feature extractor plus conventional boosted-tree classifier; public eye-gaze image benchmark, not clinical screening deployment.</ns0:t>
        </ns0:is>
      </ns0:c>
      <ns0:c r="F373" s="19" t="inlineStr">
        <ns0:is>
          <ns0:t>https://doi.org/10.1016/j.mex.2025.103166</ns0:t>
        </ns0:is>
      </ns0:c>
      <ns0:c r="G373" s="19" t="inlineStr">
        <ns0:is>
          <ns0:t>ChatGPT-assisted evidence recharting, 2026-09-08</ns0:t>
        </ns0:is>
      </ns0:c>
    </ns0:row>
    <ns0:row r="374" ht="42" customHeight="1">
      <ns0:c r="A374" s="21" t="inlineStr">
        <ns0:is>
          <ns0:t>64</ns0:t>
        </ns0:is>
      </ns0:c>
      <ns0:c r="B374" s="21" t="inlineStr">
        <ns0:is>
          <ns0:t>decision_timing</ns0:t>
        </ns0:is>
      </ns0:c>
      <ns0:c r="C374" s="21" t="inlineStr"/>
      <ns0:c r="D374" s="21" t="inlineStr">
        <ns0:is>
          <ns0:t>Not observed in assessed sources</ns0:t>
        </ns0:is>
      </ns0:c>
      <ns0:c r="E374" s="21" t="inlineStr">
        <ns0:is>
          <ns0:t>True neural feature extractor plus conventional boosted-tree classifier; public eye-gaze image benchmark, not clinical screening deployment.</ns0:t>
        </ns0:is>
      </ns0:c>
      <ns0:c r="F374" s="21" t="inlineStr">
        <ns0:is>
          <ns0:t>https://doi.org/10.1016/j.mex.2025.103166</ns0:t>
        </ns0:is>
      </ns0:c>
      <ns0:c r="G374" s="21" t="inlineStr">
        <ns0:is>
          <ns0:t>ChatGPT-assisted evidence recharting, 2026-09-08</ns0:t>
        </ns0:is>
      </ns0:c>
    </ns0:row>
    <ns0:row r="375" ht="42" customHeight="1">
      <ns0:c r="A375" s="19" t="inlineStr">
        <ns0:is>
          <ns0:t>65</ns0:t>
        </ns0:is>
      </ns0:c>
      <ns0:c r="B375" s="19" t="inlineStr">
        <ns0:is>
          <ns0:t>data_source_primary</ns0:t>
        </ns0:is>
      </ns0:c>
      <ns0:c r="C375" s="19" t="inlineStr">
        <ns0:is>
          <ns0:t>Not specified</ns0:t>
        </ns0:is>
      </ns0:c>
      <ns0:c r="D375" s="19" t="inlineStr">
        <ns0:is>
          <ns0:t>Structured clinical/questionnaire data</ns0:t>
        </ns0:is>
      </ns0:c>
      <ns0:c r="E375" s="19" t="inlineStr">
        <ns0:is>
          <ns0:t>Three age-specific questionnaire screening datasets; repeated model evaluation on different cohorts does not establish external validation or fused data.</ns0:t>
        </ns0:is>
      </ns0:c>
      <ns0:c r="F375" s="19" t="inlineStr">
        <ns0:is>
          <ns0:t>https://doi.org/10.1016/j.phycom.2020.101115</ns0:t>
        </ns0:is>
      </ns0:c>
      <ns0:c r="G375" s="19" t="inlineStr">
        <ns0:is>
          <ns0:t>ChatGPT-assisted evidence recharting, 2026-09-08</ns0:t>
        </ns0:is>
      </ns0:c>
    </ns0:row>
    <ns0:row r="376" ht="42" customHeight="1">
      <ns0:c r="A376" s="21" t="inlineStr">
        <ns0:is>
          <ns0:t>65</ns0:t>
        </ns0:is>
      </ns0:c>
      <ns0:c r="B376" s="21" t="inlineStr">
        <ns0:is>
          <ns0:t>algorithm_main</ns0:t>
        </ns0:is>
      </ns0:c>
      <ns0:c r="C376" s="21" t="inlineStr">
        <ns0:is>
          <ns0:t>Random Forest</ns0:t>
        </ns0:is>
      </ns0:c>
      <ns0:c r="D376" s="21" t="inlineStr">
        <ns0:is>
          <ns0:t>Random forest with modified grasshopper optimization</ns0:t>
        </ns0:is>
      </ns0:c>
      <ns0:c r="E376" s="21" t="inlineStr">
        <ns0:is>
          <ns0:t>Three age-specific questionnaire screening datasets; repeated model evaluation on different cohorts does not establish external validation or fused data.</ns0:t>
        </ns0:is>
      </ns0:c>
      <ns0:c r="F376" s="21" t="inlineStr">
        <ns0:is>
          <ns0:t>https://doi.org/10.1016/j.phycom.2020.101115</ns0:t>
        </ns0:is>
      </ns0:c>
      <ns0:c r="G376" s="21" t="inlineStr">
        <ns0:is>
          <ns0:t>ChatGPT-assisted evidence recharting, 2026-09-08</ns0:t>
        </ns0:is>
      </ns0:c>
    </ns0:row>
    <ns0:row r="377" ht="42" customHeight="1">
      <ns0:c r="A377" s="19" t="inlineStr">
        <ns0:is>
          <ns0:t>65</ns0:t>
        </ns0:is>
      </ns0:c>
      <ns0:c r="B377" s="19" t="inlineStr">
        <ns0:is>
          <ns0:t>rq2_status</ns0:t>
        </ns0:is>
      </ns0:c>
      <ns0:c r="C377" s="19" t="inlineStr">
        <ns0:is>
          <ns0:t>Not adjudicated in master</ns0:t>
        </ns0:is>
      </ns0:c>
      <ns0:c r="D377" s="19" t="inlineStr">
        <ns0:is>
          <ns0:t>Research only</ns0:t>
        </ns0:is>
      </ns0:c>
      <ns0:c r="E377" s="19" t="inlineStr">
        <ns0:is>
          <ns0:t>Three age-specific questionnaire screening datasets; repeated model evaluation on different cohorts does not establish external validation or fused data.</ns0:t>
        </ns0:is>
      </ns0:c>
      <ns0:c r="F377" s="19" t="inlineStr">
        <ns0:is>
          <ns0:t>https://doi.org/10.1016/j.phycom.2020.101115</ns0:t>
        </ns0:is>
      </ns0:c>
      <ns0:c r="G377" s="19" t="inlineStr">
        <ns0:is>
          <ns0:t>ChatGPT-assisted evidence recharting, 2026-09-08</ns0:t>
        </ns0:is>
      </ns0:c>
    </ns0:row>
    <ns0:row r="378" ht="42" customHeight="1">
      <ns0:c r="A378" s="21" t="inlineStr">
        <ns0:is>
          <ns0:t>65</ns0:t>
        </ns0:is>
      </ns0:c>
      <ns0:c r="B378" s="21" t="inlineStr">
        <ns0:is>
          <ns0:t>rq2_role</ns0:t>
        </ns0:is>
      </ns0:c>
      <ns0:c r="C378" s="21" t="inlineStr"/>
      <ns0:c r="D378" s="21" t="inlineStr">
        <ns0:is>
          <ns0:t>Triage/questionnaire assessment</ns0:t>
        </ns0:is>
      </ns0:c>
      <ns0:c r="E378" s="21" t="inlineStr">
        <ns0:is>
          <ns0:t>Three age-specific questionnaire screening datasets; repeated model evaluation on different cohorts does not establish external validation or fused data.</ns0:t>
        </ns0:is>
      </ns0:c>
      <ns0:c r="F378" s="21" t="inlineStr">
        <ns0:is>
          <ns0:t>https://doi.org/10.1016/j.phycom.2020.101115</ns0:t>
        </ns0:is>
      </ns0:c>
      <ns0:c r="G378" s="21" t="inlineStr">
        <ns0:is>
          <ns0:t>ChatGPT-assisted evidence recharting, 2026-09-08</ns0:t>
        </ns0:is>
      </ns0:c>
    </ns0:row>
    <ns0:row r="379" ht="42" customHeight="1">
      <ns0:c r="A379" s="19" t="inlineStr">
        <ns0:is>
          <ns0:t>65</ns0:t>
        </ns0:is>
      </ns0:c>
      <ns0:c r="B379" s="19" t="inlineStr">
        <ns0:is>
          <ns0:t>decision_timing</ns0:t>
        </ns0:is>
      </ns0:c>
      <ns0:c r="C379" s="19" t="inlineStr"/>
      <ns0:c r="D379" s="19" t="inlineStr">
        <ns0:is>
          <ns0:t>Not observed in assessed sources</ns0:t>
        </ns0:is>
      </ns0:c>
      <ns0:c r="E379" s="19" t="inlineStr">
        <ns0:is>
          <ns0:t>Three age-specific questionnaire screening datasets; repeated model evaluation on different cohorts does not establish external validation or fused data.</ns0:t>
        </ns0:is>
      </ns0:c>
      <ns0:c r="F379" s="19" t="inlineStr">
        <ns0:is>
          <ns0:t>https://doi.org/10.1016/j.phycom.2020.101115</ns0:t>
        </ns0:is>
      </ns0:c>
      <ns0:c r="G379" s="19" t="inlineStr">
        <ns0:is>
          <ns0:t>ChatGPT-assisted evidence recharting, 2026-09-08</ns0:t>
        </ns0:is>
      </ns0:c>
    </ns0:row>
    <ns0:row r="380" ht="42" customHeight="1">
      <ns0:c r="A380" s="21" t="inlineStr">
        <ns0:is>
          <ns0:t>66</ns0:t>
        </ns0:is>
      </ns0:c>
      <ns0:c r="B380" s="21" t="inlineStr">
        <ns0:is>
          <ns0:t>ai_type</ns0:t>
        </ns0:is>
      </ns0:c>
      <ns0:c r="C380" s="21" t="inlineStr">
        <ns0:is>
          <ns0:t>Deep Learning</ns0:t>
        </ns0:is>
      </ns0:c>
      <ns0:c r="D380" s="21" t="inlineStr">
        <ns0:is>
          <ns0:t>Machine Learning</ns0:t>
        </ns0:is>
      </ns0:c>
      <ns0:c r="E380" s="21" t="inlineStr">
        <ns0:is>
          <ns0:t>Tablet movement classification with ancillary fMRI correlations; principal prediction uses kinematics, not a demonstrated multimodal fused network.</ns0:t>
        </ns0:is>
      </ns0:c>
      <ns0:c r="F380" s="21" t="inlineStr">
        <ns0:is>
          <ns0:t>https://doi.org/10.1007/s10803-023-06171-8</ns0:t>
        </ns0:is>
      </ns0:c>
      <ns0:c r="G380" s="21" t="inlineStr">
        <ns0:is>
          <ns0:t>ChatGPT-assisted evidence recharting, 2026-09-08</ns0:t>
        </ns0:is>
      </ns0:c>
    </ns0:row>
    <ns0:row r="381" ht="42" customHeight="1">
      <ns0:c r="A381" s="19" t="inlineStr">
        <ns0:is>
          <ns0:t>66</ns0:t>
        </ns0:is>
      </ns0:c>
      <ns0:c r="B381" s="19" t="inlineStr">
        <ns0:is>
          <ns0:t>data_source_primary</ns0:t>
        </ns0:is>
      </ns0:c>
      <ns0:c r="C381" s="19" t="inlineStr">
        <ns0:is>
          <ns0:t>Image (subtype unresolved)</ns0:t>
        </ns0:is>
      </ns0:c>
      <ns0:c r="D381" s="19" t="inlineStr">
        <ns0:is>
          <ns0:t>Behavioral images/video/gaze/movement</ns0:t>
        </ns0:is>
      </ns0:c>
      <ns0:c r="E381" s="19" t="inlineStr">
        <ns0:is>
          <ns0:t>Tablet movement classification with ancillary fMRI correlations; principal prediction uses kinematics, not a demonstrated multimodal fused network.</ns0:t>
        </ns0:is>
      </ns0:c>
      <ns0:c r="F381" s="19" t="inlineStr">
        <ns0:is>
          <ns0:t>https://doi.org/10.1007/s10803-023-06171-8</ns0:t>
        </ns0:is>
      </ns0:c>
      <ns0:c r="G381" s="19" t="inlineStr">
        <ns0:is>
          <ns0:t>ChatGPT-assisted evidence recharting, 2026-09-08</ns0:t>
        </ns0:is>
      </ns0:c>
    </ns0:row>
    <ns0:row r="382" ht="42" customHeight="1">
      <ns0:c r="A382" s="21" t="inlineStr">
        <ns0:is>
          <ns0:t>66</ns0:t>
        </ns0:is>
      </ns0:c>
      <ns0:c r="B382" s="21" t="inlineStr">
        <ns0:is>
          <ns0:t>algorithm_main</ns0:t>
        </ns0:is>
      </ns0:c>
      <ns0:c r="C382" s="21" t="inlineStr">
        <ns0:is>
          <ns0:t>Other / Not clear</ns0:t>
        </ns0:is>
      </ns0:c>
      <ns0:c r="D382" s="21" t="inlineStr">
        <ns0:is>
          <ns0:t>Kinematic machine-learning classifier; family unresolved</ns0:t>
        </ns0:is>
      </ns0:c>
      <ns0:c r="E382" s="21" t="inlineStr">
        <ns0:is>
          <ns0:t>Tablet movement classification with ancillary fMRI correlations; principal prediction uses kinematics, not a demonstrated multimodal fused network.</ns0:t>
        </ns0:is>
      </ns0:c>
      <ns0:c r="F382" s="21" t="inlineStr">
        <ns0:is>
          <ns0:t>https://doi.org/10.1007/s10803-023-06171-8</ns0:t>
        </ns0:is>
      </ns0:c>
      <ns0:c r="G382" s="21" t="inlineStr">
        <ns0:is>
          <ns0:t>ChatGPT-assisted evidence recharting, 2026-09-08</ns0:t>
        </ns0:is>
      </ns0:c>
    </ns0:row>
    <ns0:row r="383" ht="42" customHeight="1">
      <ns0:c r="A383" s="19" t="inlineStr">
        <ns0:is>
          <ns0:t>66</ns0:t>
        </ns0:is>
      </ns0:c>
      <ns0:c r="B383" s="19" t="inlineStr">
        <ns0:is>
          <ns0:t>rq2_status</ns0:t>
        </ns0:is>
      </ns0:c>
      <ns0:c r="C383" s="19" t="inlineStr">
        <ns0:is>
          <ns0:t>Not adjudicated in master</ns0:t>
        </ns0:is>
      </ns0:c>
      <ns0:c r="D383" s="19" t="inlineStr">
        <ns0:is>
          <ns0:t>Research only</ns0:t>
        </ns0:is>
      </ns0:c>
      <ns0:c r="E383" s="19" t="inlineStr">
        <ns0:is>
          <ns0:t>Tablet movement classification with ancillary fMRI correlations; principal prediction uses kinematics, not a demonstrated multimodal fused network.</ns0:t>
        </ns0:is>
      </ns0:c>
      <ns0:c r="F383" s="19" t="inlineStr">
        <ns0:is>
          <ns0:t>https://doi.org/10.1007/s10803-023-06171-8</ns0:t>
        </ns0:is>
      </ns0:c>
      <ns0:c r="G383" s="19" t="inlineStr">
        <ns0:is>
          <ns0:t>ChatGPT-assisted evidence recharting, 2026-09-08</ns0:t>
        </ns0:is>
      </ns0:c>
    </ns0:row>
    <ns0:row r="384" ht="42" customHeight="1">
      <ns0:c r="A384" s="21" t="inlineStr">
        <ns0:is>
          <ns0:t>66</ns0:t>
        </ns0:is>
      </ns0:c>
      <ns0:c r="B384" s="21" t="inlineStr">
        <ns0:is>
          <ns0:t>rq2_role</ns0:t>
        </ns0:is>
      </ns0:c>
      <ns0:c r="C384" s="21" t="inlineStr"/>
      <ns0:c r="D384" s="21" t="inlineStr">
        <ns0:is>
          <ns0:t>Automated measurement/classification</ns0:t>
        </ns0:is>
      </ns0:c>
      <ns0:c r="E384" s="21" t="inlineStr">
        <ns0:is>
          <ns0:t>Tablet movement classification with ancillary fMRI correlations; principal prediction uses kinematics, not a demonstrated multimodal fused network.</ns0:t>
        </ns0:is>
      </ns0:c>
      <ns0:c r="F384" s="21" t="inlineStr">
        <ns0:is>
          <ns0:t>https://doi.org/10.1007/s10803-023-06171-8</ns0:t>
        </ns0:is>
      </ns0:c>
      <ns0:c r="G384" s="21" t="inlineStr">
        <ns0:is>
          <ns0:t>ChatGPT-assisted evidence recharting, 2026-09-08</ns0:t>
        </ns0:is>
      </ns0:c>
    </ns0:row>
    <ns0:row r="385" ht="42" customHeight="1">
      <ns0:c r="A385" s="19" t="inlineStr">
        <ns0:is>
          <ns0:t>66</ns0:t>
        </ns0:is>
      </ns0:c>
      <ns0:c r="B385" s="19" t="inlineStr">
        <ns0:is>
          <ns0:t>decision_timing</ns0:t>
        </ns0:is>
      </ns0:c>
      <ns0:c r="C385" s="19" t="inlineStr"/>
      <ns0:c r="D385" s="19" t="inlineStr">
        <ns0:is>
          <ns0:t>Not observed in assessed sources</ns0:t>
        </ns0:is>
      </ns0:c>
      <ns0:c r="E385" s="19" t="inlineStr">
        <ns0:is>
          <ns0:t>Tablet movement classification with ancillary fMRI correlations; principal prediction uses kinematics, not a demonstrated multimodal fused network.</ns0:t>
        </ns0:is>
      </ns0:c>
      <ns0:c r="F385" s="19" t="inlineStr">
        <ns0:is>
          <ns0:t>https://doi.org/10.1007/s10803-023-06171-8</ns0:t>
        </ns0:is>
      </ns0:c>
      <ns0:c r="G385" s="19" t="inlineStr">
        <ns0:is>
          <ns0:t>ChatGPT-assisted evidence recharting, 2026-09-08</ns0:t>
        </ns0:is>
      </ns0:c>
    </ns0:row>
    <ns0:row r="386" ht="42" customHeight="1">
      <ns0:c r="A386" s="21" t="inlineStr">
        <ns0:is>
          <ns0:t>67</ns0:t>
        </ns0:is>
      </ns0:c>
      <ns0:c r="B386" s="21" t="inlineStr">
        <ns0:is>
          <ns0:t>ai_type</ns0:t>
        </ns0:is>
      </ns0:c>
      <ns0:c r="C386" s="21" t="inlineStr">
        <ns0:is>
          <ns0:t>Hybrid</ns0:t>
        </ns0:is>
      </ns0:c>
      <ns0:c r="D386" s="21" t="inlineStr">
        <ns0:is>
          <ns0:t>Deep Learning</ns0:t>
        </ns0:is>
      </ns0:c>
      <ns0:c r="E386" s="21" t="inlineStr">
        <ns0:is>
          <ns0:t>Wearable IMU movement novelty detection is behavioral kinematics rather than electrophysiology. Evaluation is on benchmark datasets, not prospective patient-facing monitoring.</ns0:t>
        </ns0:is>
      </ns0:c>
      <ns0:c r="F386" s="21" t="inlineStr">
        <ns0:is>
          <ns0:t>https://doi.org/10.3390/s18103533</ns0:t>
        </ns0:is>
      </ns0:c>
      <ns0:c r="G386" s="21" t="inlineStr">
        <ns0:is>
          <ns0:t>ChatGPT-assisted evidence recharting, 2026-09-08</ns0:t>
        </ns0:is>
      </ns0:c>
    </ns0:row>
    <ns0:row r="387" ht="42" customHeight="1">
      <ns0:c r="A387" s="19" t="inlineStr">
        <ns0:is>
          <ns0:t>67</ns0:t>
        </ns0:is>
      </ns0:c>
      <ns0:c r="B387" s="19" t="inlineStr">
        <ns0:is>
          <ns0:t>data_source_primary</ns0:t>
        </ns0:is>
      </ns0:c>
      <ns0:c r="C387" s="19" t="inlineStr">
        <ns0:is>
          <ns0:t>Physiological signals</ns0:t>
        </ns0:is>
      </ns0:c>
      <ns0:c r="D387" s="19" t="inlineStr">
        <ns0:is>
          <ns0:t>Behavioral images/video/gaze/movement</ns0:t>
        </ns0:is>
      </ns0:c>
      <ns0:c r="E387" s="19" t="inlineStr">
        <ns0:is>
          <ns0:t>Wearable IMU movement novelty detection is behavioral kinematics rather than electrophysiology. Evaluation is on benchmark datasets, not prospective patient-facing monitoring.</ns0:t>
        </ns0:is>
      </ns0:c>
      <ns0:c r="F387" s="19" t="inlineStr">
        <ns0:is>
          <ns0:t>https://doi.org/10.3390/s18103533</ns0:t>
        </ns0:is>
      </ns0:c>
      <ns0:c r="G387" s="19" t="inlineStr">
        <ns0:is>
          <ns0:t>ChatGPT-assisted evidence recharting, 2026-09-08</ns0:t>
        </ns0:is>
      </ns0:c>
    </ns0:row>
    <ns0:row r="388" ht="42" customHeight="1">
      <ns0:c r="A388" s="21" t="inlineStr">
        <ns0:is>
          <ns0:t>67</ns0:t>
        </ns0:is>
      </ns0:c>
      <ns0:c r="B388" s="21" t="inlineStr">
        <ns0:is>
          <ns0:t>algorithm_main</ns0:t>
        </ns0:is>
      </ns0:c>
      <ns0:c r="C388" s="21" t="inlineStr">
        <ns0:is>
          <ns0:t>Autoencoder</ns0:t>
        </ns0:is>
      </ns0:c>
      <ns0:c r="D388" s="21" t="inlineStr">
        <ns0:is>
          <ns0:t>Deep normative generative model</ns0:t>
        </ns0:is>
      </ns0:c>
      <ns0:c r="E388" s="21" t="inlineStr">
        <ns0:is>
          <ns0:t>Wearable IMU movement novelty detection is behavioral kinematics rather than electrophysiology. Evaluation is on benchmark datasets, not prospective patient-facing monitoring.</ns0:t>
        </ns0:is>
      </ns0:c>
      <ns0:c r="F388" s="21" t="inlineStr">
        <ns0:is>
          <ns0:t>https://doi.org/10.3390/s18103533</ns0:t>
        </ns0:is>
      </ns0:c>
      <ns0:c r="G388" s="21" t="inlineStr">
        <ns0:is>
          <ns0:t>ChatGPT-assisted evidence recharting, 2026-09-08</ns0:t>
        </ns0:is>
      </ns0:c>
    </ns0:row>
    <ns0:row r="389" ht="42" customHeight="1">
      <ns0:c r="A389" s="19" t="inlineStr">
        <ns0:is>
          <ns0:t>67</ns0:t>
        </ns0:is>
      </ns0:c>
      <ns0:c r="B389" s="19" t="inlineStr">
        <ns0:is>
          <ns0:t>rq2_status</ns0:t>
        </ns0:is>
      </ns0:c>
      <ns0:c r="C389" s="19" t="inlineStr">
        <ns0:is>
          <ns0:t>Not adjudicated in master</ns0:t>
        </ns0:is>
      </ns0:c>
      <ns0:c r="D389" s="19" t="inlineStr">
        <ns0:is>
          <ns0:t>Proposed only</ns0:t>
        </ns0:is>
      </ns0:c>
      <ns0:c r="E389" s="19" t="inlineStr">
        <ns0:is>
          <ns0:t>Wearable IMU movement novelty detection is behavioral kinematics rather than electrophysiology. Evaluation is on benchmark datasets, not prospective patient-facing monitoring.</ns0:t>
        </ns0:is>
      </ns0:c>
      <ns0:c r="F389" s="19" t="inlineStr">
        <ns0:is>
          <ns0:t>https://doi.org/10.3390/s18103533</ns0:t>
        </ns0:is>
      </ns0:c>
      <ns0:c r="G389" s="19" t="inlineStr">
        <ns0:is>
          <ns0:t>ChatGPT-assisted evidence recharting, 2026-09-08</ns0:t>
        </ns0:is>
      </ns0:c>
    </ns0:row>
    <ns0:row r="390" ht="42" customHeight="1">
      <ns0:c r="A390" s="21" t="inlineStr">
        <ns0:is>
          <ns0:t>67</ns0:t>
        </ns0:is>
      </ns0:c>
      <ns0:c r="B390" s="21" t="inlineStr">
        <ns0:is>
          <ns0:t>rq2_role</ns0:t>
        </ns0:is>
      </ns0:c>
      <ns0:c r="C390" s="21" t="inlineStr"/>
      <ns0:c r="D390" s="21" t="inlineStr">
        <ns0:is>
          <ns0:t>Monitoring/longitudinal analysis</ns0:t>
        </ns0:is>
      </ns0:c>
      <ns0:c r="E390" s="21" t="inlineStr">
        <ns0:is>
          <ns0:t>Wearable IMU movement novelty detection is behavioral kinematics rather than electrophysiology. Evaluation is on benchmark datasets, not prospective patient-facing monitoring.</ns0:t>
        </ns0:is>
      </ns0:c>
      <ns0:c r="F390" s="21" t="inlineStr">
        <ns0:is>
          <ns0:t>https://doi.org/10.3390/s18103533</ns0:t>
        </ns0:is>
      </ns0:c>
      <ns0:c r="G390" s="21" t="inlineStr">
        <ns0:is>
          <ns0:t>ChatGPT-assisted evidence recharting, 2026-09-08</ns0:t>
        </ns0:is>
      </ns0:c>
    </ns0:row>
    <ns0:row r="391" ht="42" customHeight="1">
      <ns0:c r="A391" s="19" t="inlineStr">
        <ns0:is>
          <ns0:t>67</ns0:t>
        </ns0:is>
      </ns0:c>
      <ns0:c r="B391" s="19" t="inlineStr">
        <ns0:is>
          <ns0:t>decision_timing</ns0:t>
        </ns0:is>
      </ns0:c>
      <ns0:c r="C391" s="19" t="inlineStr"/>
      <ns0:c r="D391" s="19" t="inlineStr">
        <ns0:is>
          <ns0:t>Post-decision</ns0:t>
        </ns0:is>
      </ns0:c>
      <ns0:c r="E391" s="19" t="inlineStr">
        <ns0:is>
          <ns0:t>Wearable IMU movement novelty detection is behavioral kinematics rather than electrophysiology. Evaluation is on benchmark datasets, not prospective patient-facing monitoring.</ns0:t>
        </ns0:is>
      </ns0:c>
      <ns0:c r="F391" s="19" t="inlineStr">
        <ns0:is>
          <ns0:t>https://doi.org/10.3390/s18103533</ns0:t>
        </ns0:is>
      </ns0:c>
      <ns0:c r="G391" s="19" t="inlineStr">
        <ns0:is>
          <ns0:t>ChatGPT-assisted evidence recharting, 2026-09-08</ns0:t>
        </ns0:is>
      </ns0:c>
    </ns0:row>
    <ns0:row r="392" ht="42" customHeight="1">
      <ns0:c r="A392" s="21" t="inlineStr">
        <ns0:is>
          <ns0:t>68</ns0:t>
        </ns0:is>
      </ns0:c>
      <ns0:c r="B392" s="21" t="inlineStr">
        <ns0:is>
          <ns0:t>stage_primary</ns0:t>
        </ns0:is>
      </ns0:c>
      <ns0:c r="C392" s="21" t="inlineStr">
        <ns0:is>
          <ns0:t>Diagnosis</ns0:t>
        </ns0:is>
      </ns0:c>
      <ns0:c r="D392" s="21" t="inlineStr">
        <ns0:is>
          <ns0:t>Not specified</ns0:t>
        </ns0:is>
      </ns0:c>
      <ns0:c r="E392" s="21" t="inlineStr">
        <ns0:is>
          <ns0:t>Cross-sectional prediction of perceived social support in ASD/ADHD; relevant care characterization but not ASD diagnostic classification or future prognosis.</ns0:t>
        </ns0:is>
      </ns0:c>
      <ns0:c r="F392" s="21" t="inlineStr">
        <ns0:is>
          <ns0:t>https://doi.org/10.1002/aur.1735</ns0:t>
        </ns0:is>
      </ns0:c>
      <ns0:c r="G392" s="21" t="inlineStr">
        <ns0:is>
          <ns0:t>ChatGPT-assisted evidence recharting, 2026-09-08</ns0:t>
        </ns0:is>
      </ns0:c>
    </ns0:row>
    <ns0:row r="393" ht="42" customHeight="1">
      <ns0:c r="A393" s="19" t="inlineStr">
        <ns0:is>
          <ns0:t>68</ns0:t>
        </ns0:is>
      </ns0:c>
      <ns0:c r="B393" s="19" t="inlineStr">
        <ns0:is>
          <ns0:t>data_source_primary</ns0:t>
        </ns0:is>
      </ns0:c>
      <ns0:c r="C393" s="19" t="inlineStr">
        <ns0:is>
          <ns0:t>Text / NLP (legacy; verify input type)</ns0:t>
        </ns0:is>
      </ns0:c>
      <ns0:c r="D393" s="19" t="inlineStr">
        <ns0:is>
          <ns0:t>Structured clinical/questionnaire data</ns0:t>
        </ns0:is>
      </ns0:c>
      <ns0:c r="E393" s="19" t="inlineStr">
        <ns0:is>
          <ns0:t>Cross-sectional prediction of perceived social support in ASD/ADHD; relevant care characterization but not ASD diagnostic classification or future prognosis.</ns0:t>
        </ns0:is>
      </ns0:c>
      <ns0:c r="F393" s="19" t="inlineStr">
        <ns0:is>
          <ns0:t>https://doi.org/10.1002/aur.1735</ns0:t>
        </ns0:is>
      </ns0:c>
      <ns0:c r="G393" s="19" t="inlineStr">
        <ns0:is>
          <ns0:t>ChatGPT-assisted evidence recharting, 2026-09-08</ns0:t>
        </ns0:is>
      </ns0:c>
    </ns0:row>
    <ns0:row r="394" ht="42" customHeight="1">
      <ns0:c r="A394" s="21" t="inlineStr">
        <ns0:is>
          <ns0:t>68</ns0:t>
        </ns0:is>
      </ns0:c>
      <ns0:c r="B394" s="21" t="inlineStr">
        <ns0:is>
          <ns0:t>algorithm_main</ns0:t>
        </ns0:is>
      </ns0:c>
      <ns0:c r="C394" s="21" t="inlineStr">
        <ns0:is>
          <ns0:t>Random Forest</ns0:t>
        </ns0:is>
      </ns0:c>
      <ns0:c r="D394" s="21" t="inlineStr">
        <ns0:is>
          <ns0:t>Random forest</ns0:t>
        </ns0:is>
      </ns0:c>
      <ns0:c r="E394" s="21" t="inlineStr">
        <ns0:is>
          <ns0:t>Cross-sectional prediction of perceived social support in ASD/ADHD; relevant care characterization but not ASD diagnostic classification or future prognosis.</ns0:t>
        </ns0:is>
      </ns0:c>
      <ns0:c r="F394" s="21" t="inlineStr">
        <ns0:is>
          <ns0:t>https://doi.org/10.1002/aur.1735</ns0:t>
        </ns0:is>
      </ns0:c>
      <ns0:c r="G394" s="21" t="inlineStr">
        <ns0:is>
          <ns0:t>ChatGPT-assisted evidence recharting, 2026-09-08</ns0:t>
        </ns0:is>
      </ns0:c>
    </ns0:row>
    <ns0:row r="395" ht="42" customHeight="1">
      <ns0:c r="A395" s="19" t="inlineStr">
        <ns0:is>
          <ns0:t>68</ns0:t>
        </ns0:is>
      </ns0:c>
      <ns0:c r="B395" s="19" t="inlineStr">
        <ns0:is>
          <ns0:t>rq2_status</ns0:t>
        </ns0:is>
      </ns0:c>
      <ns0:c r="C395" s="19" t="inlineStr">
        <ns0:is>
          <ns0:t>Not adjudicated in master</ns0:t>
        </ns0:is>
      </ns0:c>
      <ns0:c r="D395" s="19" t="inlineStr">
        <ns0:is>
          <ns0:t>Research only</ns0:t>
        </ns0:is>
      </ns0:c>
      <ns0:c r="E395" s="19" t="inlineStr">
        <ns0:is>
          <ns0:t>Cross-sectional prediction of perceived social support in ASD/ADHD; relevant care characterization but not ASD diagnostic classification or future prognosis.</ns0:t>
        </ns0:is>
      </ns0:c>
      <ns0:c r="F395" s="19" t="inlineStr">
        <ns0:is>
          <ns0:t>https://doi.org/10.1002/aur.1735</ns0:t>
        </ns0:is>
      </ns0:c>
      <ns0:c r="G395" s="19" t="inlineStr">
        <ns0:is>
          <ns0:t>ChatGPT-assisted evidence recharting, 2026-09-08</ns0:t>
        </ns0:is>
      </ns0:c>
    </ns0:row>
    <ns0:row r="396" ht="42" customHeight="1">
      <ns0:c r="A396" s="21" t="inlineStr">
        <ns0:is>
          <ns0:t>68</ns0:t>
        </ns0:is>
      </ns0:c>
      <ns0:c r="B396" s="21" t="inlineStr">
        <ns0:is>
          <ns0:t>rq2_role</ns0:t>
        </ns0:is>
      </ns0:c>
      <ns0:c r="C396" s="21" t="inlineStr"/>
      <ns0:c r="D396" s="21" t="inlineStr">
        <ns0:is>
          <ns0:t>Research characterization</ns0:t>
        </ns0:is>
      </ns0:c>
      <ns0:c r="E396" s="21" t="inlineStr">
        <ns0:is>
          <ns0:t>Cross-sectional prediction of perceived social support in ASD/ADHD; relevant care characterization but not ASD diagnostic classification or future prognosis.</ns0:t>
        </ns0:is>
      </ns0:c>
      <ns0:c r="F396" s="21" t="inlineStr">
        <ns0:is>
          <ns0:t>https://doi.org/10.1002/aur.1735</ns0:t>
        </ns0:is>
      </ns0:c>
      <ns0:c r="G396" s="21" t="inlineStr">
        <ns0:is>
          <ns0:t>ChatGPT-assisted evidence recharting, 2026-09-08</ns0:t>
        </ns0:is>
      </ns0:c>
    </ns0:row>
    <ns0:row r="397" ht="42" customHeight="1">
      <ns0:c r="A397" s="19" t="inlineStr">
        <ns0:is>
          <ns0:t>68</ns0:t>
        </ns0:is>
      </ns0:c>
      <ns0:c r="B397" s="19" t="inlineStr">
        <ns0:is>
          <ns0:t>decision_timing</ns0:t>
        </ns0:is>
      </ns0:c>
      <ns0:c r="C397" s="19" t="inlineStr"/>
      <ns0:c r="D397" s="19" t="inlineStr">
        <ns0:is>
          <ns0:t>Not observed in assessed sources</ns0:t>
        </ns0:is>
      </ns0:c>
      <ns0:c r="E397" s="19" t="inlineStr">
        <ns0:is>
          <ns0:t>Cross-sectional prediction of perceived social support in ASD/ADHD; relevant care characterization but not ASD diagnostic classification or future prognosis.</ns0:t>
        </ns0:is>
      </ns0:c>
      <ns0:c r="F397" s="19" t="inlineStr">
        <ns0:is>
          <ns0:t>https://doi.org/10.1002/aur.1735</ns0:t>
        </ns0:is>
      </ns0:c>
      <ns0:c r="G397" s="19" t="inlineStr">
        <ns0:is>
          <ns0:t>ChatGPT-assisted evidence recharting, 2026-09-08</ns0:t>
        </ns0:is>
      </ns0:c>
    </ns0:row>
    <ns0:row r="398" ht="42" customHeight="1">
      <ns0:c r="A398" s="21" t="inlineStr">
        <ns0:is>
          <ns0:t>69</ns0:t>
        </ns0:is>
      </ns0:c>
      <ns0:c r="B398" s="21" t="inlineStr">
        <ns0:is>
          <ns0:t>algorithm_main</ns0:t>
        </ns0:is>
      </ns0:c>
      <ns0:c r="C398" s="21" t="inlineStr">
        <ns0:is>
          <ns0:t>CNN</ns0:t>
        </ns0:is>
      </ns0:c>
      <ns0:c r="D398" s="21" t="inlineStr">
        <ns0:is>
          <ns0:t>Regional-asymmetric adaptive GCN</ns0:t>
        </ns0:is>
      </ns0:c>
      <ns0:c r="E398" s="21" t="inlineStr">
        <ns0:is>
          <ns0:t>Subject-independent internal cross-validation on resting EEG. Graph convolutional architecture is explicitly identified; no external cohort is described.</ns0:t>
        </ns0:is>
      </ns0:c>
      <ns0:c r="F398" s="21" t="inlineStr">
        <ns0:is>
          <ns0:t>https://doi.org/10.1109/tnsre.2023.3347134</ns0:t>
        </ns0:is>
      </ns0:c>
      <ns0:c r="G398" s="21" t="inlineStr">
        <ns0:is>
          <ns0:t>ChatGPT-assisted evidence recharting, 2026-09-08</ns0:t>
        </ns0:is>
      </ns0:c>
    </ns0:row>
    <ns0:row r="399" ht="42" customHeight="1">
      <ns0:c r="A399" s="19" t="inlineStr">
        <ns0:is>
          <ns0:t>69</ns0:t>
        </ns0:is>
      </ns0:c>
      <ns0:c r="B399" s="19" t="inlineStr">
        <ns0:is>
          <ns0:t>rq2_status</ns0:t>
        </ns0:is>
      </ns0:c>
      <ns0:c r="C399" s="19" t="inlineStr">
        <ns0:is>
          <ns0:t>Not adjudicated in master</ns0:t>
        </ns0:is>
      </ns0:c>
      <ns0:c r="D399" s="19" t="inlineStr">
        <ns0:is>
          <ns0:t>Research only</ns0:t>
        </ns0:is>
      </ns0:c>
      <ns0:c r="E399" s="19" t="inlineStr">
        <ns0:is>
          <ns0:t>Subject-independent internal cross-validation on resting EEG. Graph convolutional architecture is explicitly identified; no external cohort is described.</ns0:t>
        </ns0:is>
      </ns0:c>
      <ns0:c r="F399" s="19" t="inlineStr">
        <ns0:is>
          <ns0:t>https://doi.org/10.1109/tnsre.2023.3347134</ns0:t>
        </ns0:is>
      </ns0:c>
      <ns0:c r="G399" s="19" t="inlineStr">
        <ns0:is>
          <ns0:t>ChatGPT-assisted evidence recharting, 2026-09-08</ns0:t>
        </ns0:is>
      </ns0:c>
    </ns0:row>
    <ns0:row r="400" ht="42" customHeight="1">
      <ns0:c r="A400" s="21" t="inlineStr">
        <ns0:is>
          <ns0:t>69</ns0:t>
        </ns0:is>
      </ns0:c>
      <ns0:c r="B400" s="21" t="inlineStr">
        <ns0:is>
          <ns0:t>rq2_role</ns0:t>
        </ns0:is>
      </ns0:c>
      <ns0:c r="C400" s="21" t="inlineStr"/>
      <ns0:c r="D400" s="21" t="inlineStr">
        <ns0:is>
          <ns0:t>Automated measurement/classification</ns0:t>
        </ns0:is>
      </ns0:c>
      <ns0:c r="E400" s="21" t="inlineStr">
        <ns0:is>
          <ns0:t>Subject-independent internal cross-validation on resting EEG. Graph convolutional architecture is explicitly identified; no external cohort is described.</ns0:t>
        </ns0:is>
      </ns0:c>
      <ns0:c r="F400" s="21" t="inlineStr">
        <ns0:is>
          <ns0:t>https://doi.org/10.1109/tnsre.2023.3347134</ns0:t>
        </ns0:is>
      </ns0:c>
      <ns0:c r="G400" s="21" t="inlineStr">
        <ns0:is>
          <ns0:t>ChatGPT-assisted evidence recharting, 2026-09-08</ns0:t>
        </ns0:is>
      </ns0:c>
    </ns0:row>
    <ns0:row r="401" ht="42" customHeight="1">
      <ns0:c r="A401" s="19" t="inlineStr">
        <ns0:is>
          <ns0:t>69</ns0:t>
        </ns0:is>
      </ns0:c>
      <ns0:c r="B401" s="19" t="inlineStr">
        <ns0:is>
          <ns0:t>decision_timing</ns0:t>
        </ns0:is>
      </ns0:c>
      <ns0:c r="C401" s="19" t="inlineStr"/>
      <ns0:c r="D401" s="19" t="inlineStr">
        <ns0:is>
          <ns0:t>Not observed in assessed sources</ns0:t>
        </ns0:is>
      </ns0:c>
      <ns0:c r="E401" s="19" t="inlineStr">
        <ns0:is>
          <ns0:t>Subject-independent internal cross-validation on resting EEG. Graph convolutional architecture is explicitly identified; no external cohort is described.</ns0:t>
        </ns0:is>
      </ns0:c>
      <ns0:c r="F401" s="19" t="inlineStr">
        <ns0:is>
          <ns0:t>https://doi.org/10.1109/tnsre.2023.3347134</ns0:t>
        </ns0:is>
      </ns0:c>
      <ns0:c r="G401" s="19" t="inlineStr">
        <ns0:is>
          <ns0:t>ChatGPT-assisted evidence recharting, 2026-09-08</ns0:t>
        </ns0:is>
      </ns0:c>
    </ns0:row>
    <ns0:row r="402" ht="42" customHeight="1">
      <ns0:c r="A402" s="21" t="inlineStr">
        <ns0:is>
          <ns0:t>70</ns0:t>
        </ns0:is>
      </ns0:c>
      <ns0:c r="B402" s="21" t="inlineStr">
        <ns0:is>
          <ns0:t>stage_primary</ns0:t>
        </ns0:is>
      </ns0:c>
      <ns0:c r="C402" s="21" t="inlineStr">
        <ns0:is>
          <ns0:t>Prognosis</ns0:t>
        </ns0:is>
      </ns0:c>
      <ns0:c r="D402" s="21" t="inlineStr">
        <ns0:is>
          <ns0:t>Diagnosis</ns0:t>
        </ns0:is>
      </ns0:c>
      <ns0:c r="E402" s="21" t="inlineStr">
        <ns0:is>
          <ns0:t>Concurrent ASD classification from fMRI or clinical scores. Separate predictors and correlations do not establish temporal prognosis or deep learning.</ns0:t>
        </ns0:is>
      </ns0:c>
      <ns0:c r="F402" s="21" t="inlineStr">
        <ns0:is>
          <ns0:t>https://doi.org/10.1016/j.pscychresns.2023.111762</ns0:t>
        </ns0:is>
      </ns0:c>
      <ns0:c r="G402" s="21" t="inlineStr">
        <ns0:is>
          <ns0:t>ChatGPT-assisted evidence recharting, 2026-09-08</ns0:t>
        </ns0:is>
      </ns0:c>
    </ns0:row>
    <ns0:row r="403" ht="42" customHeight="1">
      <ns0:c r="A403" s="19" t="inlineStr">
        <ns0:is>
          <ns0:t>70</ns0:t>
        </ns0:is>
      </ns0:c>
      <ns0:c r="B403" s="19" t="inlineStr">
        <ns0:is>
          <ns0:t>ai_type</ns0:t>
        </ns0:is>
      </ns0:c>
      <ns0:c r="C403" s="19" t="inlineStr">
        <ns0:is>
          <ns0:t>Deep Learning</ns0:t>
        </ns0:is>
      </ns0:c>
      <ns0:c r="D403" s="19" t="inlineStr">
        <ns0:is>
          <ns0:t>Machine Learning</ns0:t>
        </ns0:is>
      </ns0:c>
      <ns0:c r="E403" s="19" t="inlineStr">
        <ns0:is>
          <ns0:t>Concurrent ASD classification from fMRI or clinical scores. Separate predictors and correlations do not establish temporal prognosis or deep learning.</ns0:t>
        </ns0:is>
      </ns0:c>
      <ns0:c r="F403" s="19" t="inlineStr">
        <ns0:is>
          <ns0:t>https://doi.org/10.1016/j.pscychresns.2023.111762</ns0:t>
        </ns0:is>
      </ns0:c>
      <ns0:c r="G403" s="19" t="inlineStr">
        <ns0:is>
          <ns0:t>ChatGPT-assisted evidence recharting, 2026-09-08</ns0:t>
        </ns0:is>
      </ns0:c>
    </ns0:row>
    <ns0:row r="404" ht="42" customHeight="1">
      <ns0:c r="A404" s="21" t="inlineStr">
        <ns0:is>
          <ns0:t>70</ns0:t>
        </ns0:is>
      </ns0:c>
      <ns0:c r="B404" s="21" t="inlineStr">
        <ns0:is>
          <ns0:t>data_source_primary</ns0:t>
        </ns0:is>
      </ns0:c>
      <ns0:c r="C404" s="21" t="inlineStr">
        <ns0:is>
          <ns0:t>Physiological signals</ns0:t>
        </ns0:is>
      </ns0:c>
      <ns0:c r="D404" s="21" t="inlineStr">
        <ns0:is>
          <ns0:t>Neuroimaging</ns0:t>
        </ns0:is>
      </ns0:c>
      <ns0:c r="E404" s="21" t="inlineStr">
        <ns0:is>
          <ns0:t>Concurrent ASD classification from fMRI or clinical scores. Separate predictors and correlations do not establish temporal prognosis or deep learning.</ns0:t>
        </ns0:is>
      </ns0:c>
      <ns0:c r="F404" s="21" t="inlineStr">
        <ns0:is>
          <ns0:t>https://doi.org/10.1016/j.pscychresns.2023.111762</ns0:t>
        </ns0:is>
      </ns0:c>
      <ns0:c r="G404" s="21" t="inlineStr">
        <ns0:is>
          <ns0:t>ChatGPT-assisted evidence recharting, 2026-09-08</ns0:t>
        </ns0:is>
      </ns0:c>
    </ns0:row>
    <ns0:row r="405" ht="42" customHeight="1">
      <ns0:c r="A405" s="19" t="inlineStr">
        <ns0:is>
          <ns0:t>70</ns0:t>
        </ns0:is>
      </ns0:c>
      <ns0:c r="B405" s="19" t="inlineStr">
        <ns0:is>
          <ns0:t>algorithm_main</ns0:t>
        </ns0:is>
      </ns0:c>
      <ns0:c r="C405" s="19" t="inlineStr">
        <ns0:is>
          <ns0:t>Not clear</ns0:t>
        </ns0:is>
      </ns0:c>
      <ns0:c r="D405" s="19" t="inlineStr">
        <ns0:is>
          <ns0:t>Multivariate classifier; family unresolved</ns0:t>
        </ns0:is>
      </ns0:c>
      <ns0:c r="E405" s="19" t="inlineStr">
        <ns0:is>
          <ns0:t>Concurrent ASD classification from fMRI or clinical scores. Separate predictors and correlations do not establish temporal prognosis or deep learning.</ns0:t>
        </ns0:is>
      </ns0:c>
      <ns0:c r="F405" s="19" t="inlineStr">
        <ns0:is>
          <ns0:t>https://doi.org/10.1016/j.pscychresns.2023.111762</ns0:t>
        </ns0:is>
      </ns0:c>
      <ns0:c r="G405" s="19" t="inlineStr">
        <ns0:is>
          <ns0:t>ChatGPT-assisted evidence recharting, 2026-09-08</ns0:t>
        </ns0:is>
      </ns0:c>
    </ns0:row>
    <ns0:row r="406" ht="42" customHeight="1">
      <ns0:c r="A406" s="21" t="inlineStr">
        <ns0:is>
          <ns0:t>70</ns0:t>
        </ns0:is>
      </ns0:c>
      <ns0:c r="B406" s="21" t="inlineStr">
        <ns0:is>
          <ns0:t>rq2_status</ns0:t>
        </ns0:is>
      </ns0:c>
      <ns0:c r="C406" s="21" t="inlineStr">
        <ns0:is>
          <ns0:t>Not adjudicated in master</ns0:t>
        </ns0:is>
      </ns0:c>
      <ns0:c r="D406" s="21" t="inlineStr">
        <ns0:is>
          <ns0:t>Research only</ns0:t>
        </ns0:is>
      </ns0:c>
      <ns0:c r="E406" s="21" t="inlineStr">
        <ns0:is>
          <ns0:t>Concurrent ASD classification from fMRI or clinical scores. Separate predictors and correlations do not establish temporal prognosis or deep learning.</ns0:t>
        </ns0:is>
      </ns0:c>
      <ns0:c r="F406" s="21" t="inlineStr">
        <ns0:is>
          <ns0:t>https://doi.org/10.1016/j.pscychresns.2023.111762</ns0:t>
        </ns0:is>
      </ns0:c>
      <ns0:c r="G406" s="21" t="inlineStr">
        <ns0:is>
          <ns0:t>ChatGPT-assisted evidence recharting, 2026-09-08</ns0:t>
        </ns0:is>
      </ns0:c>
    </ns0:row>
    <ns0:row r="407" ht="42" customHeight="1">
      <ns0:c r="A407" s="19" t="inlineStr">
        <ns0:is>
          <ns0:t>70</ns0:t>
        </ns0:is>
      </ns0:c>
      <ns0:c r="B407" s="19" t="inlineStr">
        <ns0:is>
          <ns0:t>rq2_role</ns0:t>
        </ns0:is>
      </ns0:c>
      <ns0:c r="C407" s="19" t="inlineStr"/>
      <ns0:c r="D407" s="19" t="inlineStr">
        <ns0:is>
          <ns0:t>Automated measurement/classification</ns0:t>
        </ns0:is>
      </ns0:c>
      <ns0:c r="E407" s="19" t="inlineStr">
        <ns0:is>
          <ns0:t>Concurrent ASD classification from fMRI or clinical scores. Separate predictors and correlations do not establish temporal prognosis or deep learning.</ns0:t>
        </ns0:is>
      </ns0:c>
      <ns0:c r="F407" s="19" t="inlineStr">
        <ns0:is>
          <ns0:t>https://doi.org/10.1016/j.pscychresns.2023.111762</ns0:t>
        </ns0:is>
      </ns0:c>
      <ns0:c r="G407" s="19" t="inlineStr">
        <ns0:is>
          <ns0:t>ChatGPT-assisted evidence recharting, 2026-09-08</ns0:t>
        </ns0:is>
      </ns0:c>
    </ns0:row>
    <ns0:row r="408" ht="42" customHeight="1">
      <ns0:c r="A408" s="21" t="inlineStr">
        <ns0:is>
          <ns0:t>70</ns0:t>
        </ns0:is>
      </ns0:c>
      <ns0:c r="B408" s="21" t="inlineStr">
        <ns0:is>
          <ns0:t>decision_timing</ns0:t>
        </ns0:is>
      </ns0:c>
      <ns0:c r="C408" s="21" t="inlineStr"/>
      <ns0:c r="D408" s="21" t="inlineStr">
        <ns0:is>
          <ns0:t>Not observed in assessed sources</ns0:t>
        </ns0:is>
      </ns0:c>
      <ns0:c r="E408" s="21" t="inlineStr">
        <ns0:is>
          <ns0:t>Concurrent ASD classification from fMRI or clinical scores. Separate predictors and correlations do not establish temporal prognosis or deep learning.</ns0:t>
        </ns0:is>
      </ns0:c>
      <ns0:c r="F408" s="21" t="inlineStr">
        <ns0:is>
          <ns0:t>https://doi.org/10.1016/j.pscychresns.2023.111762</ns0:t>
        </ns0:is>
      </ns0:c>
      <ns0:c r="G408" s="21" t="inlineStr">
        <ns0:is>
          <ns0:t>ChatGPT-assisted evidence recharting, 2026-09-08</ns0:t>
        </ns0:is>
      </ns0:c>
    </ns0:row>
    <ns0:row r="409" ht="42" customHeight="1">
      <ns0:c r="A409" s="19" t="inlineStr">
        <ns0:is>
          <ns0:t>70</ns0:t>
        </ns0:is>
      </ns0:c>
      <ns0:c r="B409" s="19" t="inlineStr">
        <ns0:is>
          <ns0:t>multisource_data</ns0:t>
        </ns0:is>
      </ns0:c>
      <ns0:c r="C409" s="19" t="inlineStr">
        <ns0:is>
          <ns0:t>Not reported in assessed sources</ns0:t>
        </ns0:is>
      </ns0:c>
      <ns0:c r="D409" s="19" t="inlineStr">
        <ns0:is>
          <ns0:t>Reported</ns0:t>
        </ns0:is>
      </ns0:c>
      <ns0:c r="E409" s="19" t="inlineStr">
        <ns0:is>
          <ns0:t>Concurrent ASD classification from fMRI or clinical scores. Separate predictors and correlations do not establish temporal prognosis or deep learning.</ns0:t>
        </ns0:is>
      </ns0:c>
      <ns0:c r="F409" s="19" t="inlineStr">
        <ns0:is>
          <ns0:t>https://doi.org/10.1016/j.pscychresns.2023.111762</ns0:t>
        </ns0:is>
      </ns0:c>
      <ns0:c r="G409" s="19" t="inlineStr">
        <ns0:is>
          <ns0:t>ChatGPT-assisted evidence recharting, 2026-09-08</ns0:t>
        </ns0:is>
      </ns0:c>
    </ns0:row>
    <ns0:row r="410" ht="45" customHeight="1">
      <ns0:c r="A410" s="21" t="inlineStr">
        <ns0:is>
          <ns0:t>72</ns0:t>
        </ns0:is>
      </ns0:c>
      <ns0:c r="B410" s="21" t="inlineStr">
        <ns0:is>
          <ns0:t>ai_type</ns0:t>
        </ns0:is>
      </ns0:c>
      <ns0:c r="C410" s="21" t="inlineStr">
        <ns0:is>
          <ns0:t>Deep Learning</ns0:t>
        </ns0:is>
      </ns0:c>
      <ns0:c r="D410" s="21" t="inlineStr">
        <ns0:is>
          <ns0:t>Machine Learning</ns0:t>
        </ns0:is>
      </ns0:c>
      <ns0:c r="E410" s="21" t="inlineStr">
        <ns0:is>
          <ns0:t>Symptom-defined transdiagnostic subtyping with ancillary cognitive and structural-connectivity validation. Clustering is not automatically deep learning; validation of cluster correlates is not external predictive validation.</ns0:t>
        </ns0:is>
      </ns0:c>
      <ns0:c r="F410" s="21" t="inlineStr">
        <ns0:is>
          <ns0:t>https://doi.org/10.1186/s12888-022-03734-4</ns0:t>
        </ns0:is>
      </ns0:c>
      <ns0:c r="G410" s="21" t="inlineStr">
        <ns0:is>
          <ns0:t>ChatGPT-assisted evidence recharting, 2026-09-08</ns0:t>
        </ns0:is>
      </ns0:c>
    </ns0:row>
    <ns0:row r="411" ht="45" customHeight="1">
      <ns0:c r="A411" s="19" t="inlineStr">
        <ns0:is>
          <ns0:t>72</ns0:t>
        </ns0:is>
      </ns0:c>
      <ns0:c r="B411" s="19" t="inlineStr">
        <ns0:is>
          <ns0:t>data_source_primary</ns0:t>
        </ns0:is>
      </ns0:c>
      <ns0:c r="C411" s="19" t="inlineStr">
        <ns0:is>
          <ns0:t>Multiple modalities (as coded)</ns0:t>
        </ns0:is>
      </ns0:c>
      <ns0:c r="D411" s="19" t="inlineStr">
        <ns0:is>
          <ns0:t>Structured clinical/questionnaire data</ns0:t>
        </ns0:is>
      </ns0:c>
      <ns0:c r="E411" s="19" t="inlineStr">
        <ns0:is>
          <ns0:t>Symptom-defined transdiagnostic subtyping with ancillary cognitive and structural-connectivity validation. Clustering is not automatically deep learning; validation of cluster correlates is not external predictive validation.</ns0:t>
        </ns0:is>
      </ns0:c>
      <ns0:c r="F411" s="19" t="inlineStr">
        <ns0:is>
          <ns0:t>https://doi.org/10.1186/s12888-022-03734-4</ns0:t>
        </ns0:is>
      </ns0:c>
      <ns0:c r="G411" s="19" t="inlineStr">
        <ns0:is>
          <ns0:t>ChatGPT-assisted evidence recharting, 2026-09-08</ns0:t>
        </ns0:is>
      </ns0:c>
    </ns0:row>
    <ns0:row r="412" ht="45" customHeight="1">
      <ns0:c r="A412" s="21" t="inlineStr">
        <ns0:is>
          <ns0:t>72</ns0:t>
        </ns0:is>
      </ns0:c>
      <ns0:c r="B412" s="21" t="inlineStr">
        <ns0:is>
          <ns0:t>algorithm_main</ns0:t>
        </ns0:is>
      </ns0:c>
      <ns0:c r="C412" s="21" t="inlineStr">
        <ns0:is>
          <ns0:t>Clustering (k-means / GMM / ...)</ns0:t>
        </ns0:is>
      </ns0:c>
      <ns0:c r="D412" s="21" t="inlineStr">
        <ns0:is>
          <ns0:t>Clustering; principal family unresolved</ns0:t>
        </ns0:is>
      </ns0:c>
      <ns0:c r="E412" s="21" t="inlineStr">
        <ns0:is>
          <ns0:t>Symptom-defined transdiagnostic subtyping with ancillary cognitive and structural-connectivity validation. Clustering is not automatically deep learning; validation of cluster correlates is not external predictive validation.</ns0:t>
        </ns0:is>
      </ns0:c>
      <ns0:c r="F412" s="21" t="inlineStr">
        <ns0:is>
          <ns0:t>https://doi.org/10.1186/s12888-022-03734-4</ns0:t>
        </ns0:is>
      </ns0:c>
      <ns0:c r="G412" s="21" t="inlineStr">
        <ns0:is>
          <ns0:t>ChatGPT-assisted evidence recharting, 2026-09-08</ns0:t>
        </ns0:is>
      </ns0:c>
    </ns0:row>
    <ns0:row r="413" ht="45" customHeight="1">
      <ns0:c r="A413" s="19" t="inlineStr">
        <ns0:is>
          <ns0:t>72</ns0:t>
        </ns0:is>
      </ns0:c>
      <ns0:c r="B413" s="19" t="inlineStr">
        <ns0:is>
          <ns0:t>rq2_status</ns0:t>
        </ns0:is>
      </ns0:c>
      <ns0:c r="C413" s="19" t="inlineStr">
        <ns0:is>
          <ns0:t>Not adjudicated in master</ns0:t>
        </ns0:is>
      </ns0:c>
      <ns0:c r="D413" s="19" t="inlineStr">
        <ns0:is>
          <ns0:t>Research only</ns0:t>
        </ns0:is>
      </ns0:c>
      <ns0:c r="E413" s="19" t="inlineStr">
        <ns0:is>
          <ns0:t>Symptom-defined transdiagnostic subtyping with ancillary cognitive and structural-connectivity validation. Clustering is not automatically deep learning; validation of cluster correlates is not external predictive validation.</ns0:t>
        </ns0:is>
      </ns0:c>
      <ns0:c r="F413" s="19" t="inlineStr">
        <ns0:is>
          <ns0:t>https://doi.org/10.1186/s12888-022-03734-4</ns0:t>
        </ns0:is>
      </ns0:c>
      <ns0:c r="G413" s="19" t="inlineStr">
        <ns0:is>
          <ns0:t>ChatGPT-assisted evidence recharting, 2026-09-08</ns0:t>
        </ns0:is>
      </ns0:c>
    </ns0:row>
    <ns0:row r="414" ht="45" customHeight="1">
      <ns0:c r="A414" s="21" t="inlineStr">
        <ns0:is>
          <ns0:t>72</ns0:t>
        </ns0:is>
      </ns0:c>
      <ns0:c r="B414" s="21" t="inlineStr">
        <ns0:is>
          <ns0:t>rq2_role</ns0:t>
        </ns0:is>
      </ns0:c>
      <ns0:c r="C414" s="21" t="inlineStr"/>
      <ns0:c r="D414" s="21" t="inlineStr">
        <ns0:is>
          <ns0:t>Automated measurement/classification</ns0:t>
        </ns0:is>
      </ns0:c>
      <ns0:c r="E414" s="21" t="inlineStr">
        <ns0:is>
          <ns0:t>Symptom-defined transdiagnostic subtyping with ancillary cognitive and structural-connectivity validation. Clustering is not automatically deep learning; validation of cluster correlates is not external predictive validation.</ns0:t>
        </ns0:is>
      </ns0:c>
      <ns0:c r="F414" s="21" t="inlineStr">
        <ns0:is>
          <ns0:t>https://doi.org/10.1186/s12888-022-03734-4</ns0:t>
        </ns0:is>
      </ns0:c>
      <ns0:c r="G414" s="21" t="inlineStr">
        <ns0:is>
          <ns0:t>ChatGPT-assisted evidence recharting, 2026-09-08</ns0:t>
        </ns0:is>
      </ns0:c>
    </ns0:row>
    <ns0:row r="415" ht="45" customHeight="1">
      <ns0:c r="A415" s="19" t="inlineStr">
        <ns0:is>
          <ns0:t>72</ns0:t>
        </ns0:is>
      </ns0:c>
      <ns0:c r="B415" s="19" t="inlineStr">
        <ns0:is>
          <ns0:t>decision_timing</ns0:t>
        </ns0:is>
      </ns0:c>
      <ns0:c r="C415" s="19" t="inlineStr"/>
      <ns0:c r="D415" s="19" t="inlineStr">
        <ns0:is>
          <ns0:t>Not observed in assessed sources</ns0:t>
        </ns0:is>
      </ns0:c>
      <ns0:c r="E415" s="19" t="inlineStr">
        <ns0:is>
          <ns0:t>Symptom-defined transdiagnostic subtyping with ancillary cognitive and structural-connectivity validation. Clustering is not automatically deep learning; validation of cluster correlates is not external predictive validation.</ns0:t>
        </ns0:is>
      </ns0:c>
      <ns0:c r="F415" s="19" t="inlineStr">
        <ns0:is>
          <ns0:t>https://doi.org/10.1186/s12888-022-03734-4</ns0:t>
        </ns0:is>
      </ns0:c>
      <ns0:c r="G415" s="19" t="inlineStr">
        <ns0:is>
          <ns0:t>ChatGPT-assisted evidence recharting, 2026-09-08</ns0:t>
        </ns0:is>
      </ns0:c>
    </ns0:row>
    <ns0:row r="416" ht="42" customHeight="1">
      <ns0:c r="A416" s="21" t="inlineStr">
        <ns0:is>
          <ns0:t>73</ns0:t>
        </ns0:is>
      </ns0:c>
      <ns0:c r="B416" s="21" t="inlineStr">
        <ns0:is>
          <ns0:t>data_source_primary</ns0:t>
        </ns0:is>
      </ns0:c>
      <ns0:c r="C416" s="21" t="inlineStr">
        <ns0:is>
          <ns0:t>Not specified</ns0:t>
        </ns0:is>
      </ns0:c>
      <ns0:c r="D416" s="21" t="inlineStr">
        <ns0:is>
          <ns0:t>Neuroimaging</ns0:t>
        </ns0:is>
      </ns0:c>
      <ns0:c r="E416" s="21" t="inlineStr">
        <ns0:is>
          <ns0:t>Multisite fMRI benchmark is explicitly described. Inter-site biomarker claims alone do not establish a held-out-site experiment.</ns0:t>
        </ns0:is>
      </ns0:c>
      <ns0:c r="F416" s="21" t="inlineStr">
        <ns0:is>
          <ns0:t>https://doi.org/10.1109/tnsre.2021.3120024</ns0:t>
        </ns0:is>
      </ns0:c>
      <ns0:c r="G416" s="21" t="inlineStr">
        <ns0:is>
          <ns0:t>ChatGPT-assisted evidence recharting, 2026-09-08</ns0:t>
        </ns0:is>
      </ns0:c>
    </ns0:row>
    <ns0:row r="417" ht="42" customHeight="1">
      <ns0:c r="A417" s="19" t="inlineStr">
        <ns0:is>
          <ns0:t>73</ns0:t>
        </ns0:is>
      </ns0:c>
      <ns0:c r="B417" s="19" t="inlineStr">
        <ns0:is>
          <ns0:t>algorithm_main</ns0:t>
        </ns0:is>
      </ns0:c>
      <ns0:c r="C417" s="19" t="inlineStr">
        <ns0:is>
          <ns0:t>CNN</ns0:t>
        </ns0:is>
      </ns0:c>
      <ns0:c r="D417" s="19" t="inlineStr">
        <ns0:is>
          <ns0:t>CNN with prototype learning</ns0:t>
        </ns0:is>
      </ns0:c>
      <ns0:c r="E417" s="19" t="inlineStr">
        <ns0:is>
          <ns0:t>Multisite fMRI benchmark is explicitly described. Inter-site biomarker claims alone do not establish a held-out-site experiment.</ns0:t>
        </ns0:is>
      </ns0:c>
      <ns0:c r="F417" s="19" t="inlineStr">
        <ns0:is>
          <ns0:t>https://doi.org/10.1109/tnsre.2021.3120024</ns0:t>
        </ns0:is>
      </ns0:c>
      <ns0:c r="G417" s="19" t="inlineStr">
        <ns0:is>
          <ns0:t>ChatGPT-assisted evidence recharting, 2026-09-08</ns0:t>
        </ns0:is>
      </ns0:c>
    </ns0:row>
    <ns0:row r="418" ht="42" customHeight="1">
      <ns0:c r="A418" s="21" t="inlineStr">
        <ns0:is>
          <ns0:t>73</ns0:t>
        </ns0:is>
      </ns0:c>
      <ns0:c r="B418" s="21" t="inlineStr">
        <ns0:is>
          <ns0:t>rq2_status</ns0:t>
        </ns0:is>
      </ns0:c>
      <ns0:c r="C418" s="21" t="inlineStr">
        <ns0:is>
          <ns0:t>Not adjudicated in master</ns0:t>
        </ns0:is>
      </ns0:c>
      <ns0:c r="D418" s="21" t="inlineStr">
        <ns0:is>
          <ns0:t>Research only</ns0:t>
        </ns0:is>
      </ns0:c>
      <ns0:c r="E418" s="21" t="inlineStr">
        <ns0:is>
          <ns0:t>Multisite fMRI benchmark is explicitly described. Inter-site biomarker claims alone do not establish a held-out-site experiment.</ns0:t>
        </ns0:is>
      </ns0:c>
      <ns0:c r="F418" s="21" t="inlineStr">
        <ns0:is>
          <ns0:t>https://doi.org/10.1109/tnsre.2021.3120024</ns0:t>
        </ns0:is>
      </ns0:c>
      <ns0:c r="G418" s="21" t="inlineStr">
        <ns0:is>
          <ns0:t>ChatGPT-assisted evidence recharting, 2026-09-08</ns0:t>
        </ns0:is>
      </ns0:c>
    </ns0:row>
    <ns0:row r="419" ht="42" customHeight="1">
      <ns0:c r="A419" s="19" t="inlineStr">
        <ns0:is>
          <ns0:t>73</ns0:t>
        </ns0:is>
      </ns0:c>
      <ns0:c r="B419" s="19" t="inlineStr">
        <ns0:is>
          <ns0:t>rq2_role</ns0:t>
        </ns0:is>
      </ns0:c>
      <ns0:c r="C419" s="19" t="inlineStr"/>
      <ns0:c r="D419" s="19" t="inlineStr">
        <ns0:is>
          <ns0:t>Automated measurement/classification</ns0:t>
        </ns0:is>
      </ns0:c>
      <ns0:c r="E419" s="19" t="inlineStr">
        <ns0:is>
          <ns0:t>Multisite fMRI benchmark is explicitly described. Inter-site biomarker claims alone do not establish a held-out-site experiment.</ns0:t>
        </ns0:is>
      </ns0:c>
      <ns0:c r="F419" s="19" t="inlineStr">
        <ns0:is>
          <ns0:t>https://doi.org/10.1109/tnsre.2021.3120024</ns0:t>
        </ns0:is>
      </ns0:c>
      <ns0:c r="G419" s="19" t="inlineStr">
        <ns0:is>
          <ns0:t>ChatGPT-assisted evidence recharting, 2026-09-08</ns0:t>
        </ns0:is>
      </ns0:c>
    </ns0:row>
    <ns0:row r="420" ht="42" customHeight="1">
      <ns0:c r="A420" s="21" t="inlineStr">
        <ns0:is>
          <ns0:t>73</ns0:t>
        </ns0:is>
      </ns0:c>
      <ns0:c r="B420" s="21" t="inlineStr">
        <ns0:is>
          <ns0:t>decision_timing</ns0:t>
        </ns0:is>
      </ns0:c>
      <ns0:c r="C420" s="21" t="inlineStr"/>
      <ns0:c r="D420" s="21" t="inlineStr">
        <ns0:is>
          <ns0:t>Not observed in assessed sources</ns0:t>
        </ns0:is>
      </ns0:c>
      <ns0:c r="E420" s="21" t="inlineStr">
        <ns0:is>
          <ns0:t>Multisite fMRI benchmark is explicitly described. Inter-site biomarker claims alone do not establish a held-out-site experiment.</ns0:t>
        </ns0:is>
      </ns0:c>
      <ns0:c r="F420" s="21" t="inlineStr">
        <ns0:is>
          <ns0:t>https://doi.org/10.1109/tnsre.2021.3120024</ns0:t>
        </ns0:is>
      </ns0:c>
      <ns0:c r="G420" s="21" t="inlineStr">
        <ns0:is>
          <ns0:t>ChatGPT-assisted evidence recharting, 2026-09-08</ns0:t>
        </ns0:is>
      </ns0:c>
    </ns0:row>
    <ns0:row r="421" ht="42" customHeight="1">
      <ns0:c r="A421" s="19" t="inlineStr">
        <ns0:is>
          <ns0:t>73</ns0:t>
        </ns0:is>
      </ns0:c>
      <ns0:c r="B421" s="19" t="inlineStr">
        <ns0:is>
          <ns0:t>multisite_dataset</ns0:t>
        </ns0:is>
      </ns0:c>
      <ns0:c r="C421" s="19" t="inlineStr">
        <ns0:is>
          <ns0:t>Not reported in assessed sources</ns0:t>
        </ns0:is>
      </ns0:c>
      <ns0:c r="D421" s="19" t="inlineStr">
        <ns0:is>
          <ns0:t>Reported</ns0:t>
        </ns0:is>
      </ns0:c>
      <ns0:c r="E421" s="19" t="inlineStr">
        <ns0:is>
          <ns0:t>Multisite fMRI benchmark is explicitly described. Inter-site biomarker claims alone do not establish a held-out-site experiment.</ns0:t>
        </ns0:is>
      </ns0:c>
      <ns0:c r="F421" s="19" t="inlineStr">
        <ns0:is>
          <ns0:t>https://doi.org/10.1109/tnsre.2021.3120024</ns0:t>
        </ns0:is>
      </ns0:c>
      <ns0:c r="G421" s="19" t="inlineStr">
        <ns0:is>
          <ns0:t>ChatGPT-assisted evidence recharting, 2026-09-08</ns0:t>
        </ns0:is>
      </ns0:c>
    </ns0:row>
    <ns0:row r="422" ht="42" customHeight="1">
      <ns0:c r="A422" s="21" t="inlineStr">
        <ns0:is>
          <ns0:t>73</ns0:t>
        </ns0:is>
      </ns0:c>
      <ns0:c r="B422" s="21" t="inlineStr">
        <ns0:is>
          <ns0:t>xai_partial</ns0:t>
        </ns0:is>
      </ns0:c>
      <ns0:c r="C422" s="21" t="inlineStr">
        <ns0:is>
          <ns0:t>Not reported in assessed sources</ns0:t>
        </ns0:is>
      </ns0:c>
      <ns0:c r="D422" s="21" t="inlineStr">
        <ns0:is>
          <ns0:t>Reported</ns0:t>
        </ns0:is>
      </ns0:c>
      <ns0:c r="E422" s="21" t="inlineStr">
        <ns0:is>
          <ns0:t>Multisite fMRI benchmark is explicitly described. Inter-site biomarker claims alone do not establish a held-out-site experiment.</ns0:t>
        </ns0:is>
      </ns0:c>
      <ns0:c r="F422" s="21" t="inlineStr">
        <ns0:is>
          <ns0:t>https://doi.org/10.1109/tnsre.2021.3120024</ns0:t>
        </ns0:is>
      </ns0:c>
      <ns0:c r="G422" s="21" t="inlineStr">
        <ns0:is>
          <ns0:t>ChatGPT-assisted evidence recharting, 2026-09-08</ns0:t>
        </ns0:is>
      </ns0:c>
    </ns0:row>
    <ns0:row r="423" ht="42" customHeight="1">
      <ns0:c r="A423" s="19" t="inlineStr">
        <ns0:is>
          <ns0:t>74</ns0:t>
        </ns0:is>
      </ns0:c>
      <ns0:c r="B423" s="19" t="inlineStr">
        <ns0:is>
          <ns0:t>data_source_primary</ns0:t>
        </ns0:is>
      </ns0:c>
      <ns0:c r="C423" s="19" t="inlineStr">
        <ns0:is>
          <ns0:t>Physiological signals</ns0:t>
        </ns0:is>
      </ns0:c>
      <ns0:c r="D423" s="19" t="inlineStr">
        <ns0:is>
          <ns0:t>Multiple source categories</ns0:t>
        </ns0:is>
      </ns0:c>
      <ns0:c r="E423" s="19" t="inlineStr">
        <ns0:is>
          <ns0:t>Graph framework combines fMRI connectivity and phenotype information; semantic attention is not itself proof of a validated explanation method.</ns0:t>
        </ns0:is>
      </ns0:c>
      <ns0:c r="F423" s="19" t="inlineStr">
        <ns0:is>
          <ns0:t>https://doi.org/10.1186/s12859-023-05495-7</ns0:t>
        </ns0:is>
      </ns0:c>
      <ns0:c r="G423" s="19" t="inlineStr">
        <ns0:is>
          <ns0:t>ChatGPT-assisted evidence recharting, 2026-09-08</ns0:t>
        </ns0:is>
      </ns0:c>
    </ns0:row>
    <ns0:row r="424" ht="42" customHeight="1">
      <ns0:c r="A424" s="21" t="inlineStr">
        <ns0:is>
          <ns0:t>74</ns0:t>
        </ns0:is>
      </ns0:c>
      <ns0:c r="B424" s="21" t="inlineStr">
        <ns0:is>
          <ns0:t>algorithm_main</ns0:t>
        </ns0:is>
      </ns0:c>
      <ns0:c r="C424" s="21" t="inlineStr">
        <ns0:is>
          <ns0:t>MLP</ns0:t>
        </ns0:is>
      </ns0:c>
      <ns0:c r="D424" s="21" t="inlineStr">
        <ns0:is>
          <ns0:t>Heterogeneous graph convolutional attention network</ns0:t>
        </ns0:is>
      </ns0:c>
      <ns0:c r="E424" s="21" t="inlineStr">
        <ns0:is>
          <ns0:t>Graph framework combines fMRI connectivity and phenotype information; semantic attention is not itself proof of a validated explanation method.</ns0:t>
        </ns0:is>
      </ns0:c>
      <ns0:c r="F424" s="21" t="inlineStr">
        <ns0:is>
          <ns0:t>https://doi.org/10.1186/s12859-023-05495-7</ns0:t>
        </ns0:is>
      </ns0:c>
      <ns0:c r="G424" s="21" t="inlineStr">
        <ns0:is>
          <ns0:t>ChatGPT-assisted evidence recharting, 2026-09-08</ns0:t>
        </ns0:is>
      </ns0:c>
    </ns0:row>
    <ns0:row r="425" ht="42" customHeight="1">
      <ns0:c r="A425" s="19" t="inlineStr">
        <ns0:is>
          <ns0:t>74</ns0:t>
        </ns0:is>
      </ns0:c>
      <ns0:c r="B425" s="19" t="inlineStr">
        <ns0:is>
          <ns0:t>rq2_status</ns0:t>
        </ns0:is>
      </ns0:c>
      <ns0:c r="C425" s="19" t="inlineStr">
        <ns0:is>
          <ns0:t>Not adjudicated in master</ns0:t>
        </ns0:is>
      </ns0:c>
      <ns0:c r="D425" s="19" t="inlineStr">
        <ns0:is>
          <ns0:t>Research only</ns0:t>
        </ns0:is>
      </ns0:c>
      <ns0:c r="E425" s="19" t="inlineStr">
        <ns0:is>
          <ns0:t>Graph framework combines fMRI connectivity and phenotype information; semantic attention is not itself proof of a validated explanation method.</ns0:t>
        </ns0:is>
      </ns0:c>
      <ns0:c r="F425" s="19" t="inlineStr">
        <ns0:is>
          <ns0:t>https://doi.org/10.1186/s12859-023-05495-7</ns0:t>
        </ns0:is>
      </ns0:c>
      <ns0:c r="G425" s="19" t="inlineStr">
        <ns0:is>
          <ns0:t>ChatGPT-assisted evidence recharting, 2026-09-08</ns0:t>
        </ns0:is>
      </ns0:c>
    </ns0:row>
    <ns0:row r="426" ht="42" customHeight="1">
      <ns0:c r="A426" s="21" t="inlineStr">
        <ns0:is>
          <ns0:t>74</ns0:t>
        </ns0:is>
      </ns0:c>
      <ns0:c r="B426" s="21" t="inlineStr">
        <ns0:is>
          <ns0:t>rq2_role</ns0:t>
        </ns0:is>
      </ns0:c>
      <ns0:c r="C426" s="21" t="inlineStr"/>
      <ns0:c r="D426" s="21" t="inlineStr">
        <ns0:is>
          <ns0:t>Automated measurement/classification</ns0:t>
        </ns0:is>
      </ns0:c>
      <ns0:c r="E426" s="21" t="inlineStr">
        <ns0:is>
          <ns0:t>Graph framework combines fMRI connectivity and phenotype information; semantic attention is not itself proof of a validated explanation method.</ns0:t>
        </ns0:is>
      </ns0:c>
      <ns0:c r="F426" s="21" t="inlineStr">
        <ns0:is>
          <ns0:t>https://doi.org/10.1186/s12859-023-05495-7</ns0:t>
        </ns0:is>
      </ns0:c>
      <ns0:c r="G426" s="21" t="inlineStr">
        <ns0:is>
          <ns0:t>ChatGPT-assisted evidence recharting, 2026-09-08</ns0:t>
        </ns0:is>
      </ns0:c>
    </ns0:row>
    <ns0:row r="427" ht="42" customHeight="1">
      <ns0:c r="A427" s="19" t="inlineStr">
        <ns0:is>
          <ns0:t>74</ns0:t>
        </ns0:is>
      </ns0:c>
      <ns0:c r="B427" s="19" t="inlineStr">
        <ns0:is>
          <ns0:t>decision_timing</ns0:t>
        </ns0:is>
      </ns0:c>
      <ns0:c r="C427" s="19" t="inlineStr"/>
      <ns0:c r="D427" s="19" t="inlineStr">
        <ns0:is>
          <ns0:t>Not observed in assessed sources</ns0:t>
        </ns0:is>
      </ns0:c>
      <ns0:c r="E427" s="19" t="inlineStr">
        <ns0:is>
          <ns0:t>Graph framework combines fMRI connectivity and phenotype information; semantic attention is not itself proof of a validated explanation method.</ns0:t>
        </ns0:is>
      </ns0:c>
      <ns0:c r="F427" s="19" t="inlineStr">
        <ns0:is>
          <ns0:t>https://doi.org/10.1186/s12859-023-05495-7</ns0:t>
        </ns0:is>
      </ns0:c>
      <ns0:c r="G427" s="19" t="inlineStr">
        <ns0:is>
          <ns0:t>ChatGPT-assisted evidence recharting, 2026-09-08</ns0:t>
        </ns0:is>
      </ns0:c>
    </ns0:row>
    <ns0:row r="428" ht="57" customHeight="1">
      <ns0:c r="A428" s="21" t="inlineStr">
        <ns0:is>
          <ns0:t>75</ns0:t>
        </ns0:is>
      </ns0:c>
      <ns0:c r="B428" s="21" t="inlineStr">
        <ns0:is>
          <ns0:t>data_source_primary</ns0:t>
        </ns0:is>
      </ns0:c>
      <ns0:c r="C428" s="21" t="inlineStr">
        <ns0:is>
          <ns0:t>Physiological signals</ns0:t>
        </ns0:is>
      </ns0:c>
      <ns0:c r="D428" s="21" t="inlineStr">
        <ns0:is>
          <ns0:t>Multiple source categories</ns0:t>
        </ns0:is>
      </ns0:c>
      <ns0:c r="E428" s="21" t="inlineStr">
        <ns0:is>
          <ns0:t>Proposed sensor and facial-expression monitoring with caregiver alerts. Accessible description does not document a participant-facing empirical evaluation.
Accessible abstract proposes a system but does not establish original empirical AI evaluation; retain inherited inclusion with uncertainty and exclude in stricter-evidence sensitivity.</ns0:t>
        </ns0:is>
      </ns0:c>
      <ns0:c r="F428" s="21" t="inlineStr">
        <ns0:is>
          <ns0:t>https://link.springer.com/chapter/10.1007/978-3-030-59277-6_23</ns0:t>
        </ns0:is>
      </ns0:c>
      <ns0:c r="G428" s="21" t="inlineStr">
        <ns0:is>
          <ns0:t>ChatGPT-assisted evidence recharting, 2026-09-08</ns0:t>
        </ns0:is>
      </ns0:c>
    </ns0:row>
    <ns0:row r="429" ht="57" customHeight="1">
      <ns0:c r="A429" s="19" t="inlineStr">
        <ns0:is>
          <ns0:t>75</ns0:t>
        </ns0:is>
      </ns0:c>
      <ns0:c r="B429" s="19" t="inlineStr">
        <ns0:is>
          <ns0:t>algorithm_main</ns0:t>
        </ns0:is>
      </ns0:c>
      <ns0:c r="C429" s="19" t="inlineStr"/>
      <ns0:c r="D429" s="19" t="inlineStr">
        <ns0:is>
          <ns0:t>AI monitoring and adaptive learning system; implementation unspecified</ns0:t>
        </ns0:is>
      </ns0:c>
      <ns0:c r="E429" s="19" t="inlineStr">
        <ns0:is>
          <ns0:t>Proposed sensor and facial-expression monitoring with caregiver alerts. Accessible description does not document a participant-facing empirical evaluation.
Accessible abstract proposes a system but does not establish original empirical AI evaluation; retain inherited inclusion with uncertainty and exclude in stricter-evidence sensitivity.</ns0:t>
        </ns0:is>
      </ns0:c>
      <ns0:c r="F429" s="19" t="inlineStr">
        <ns0:is>
          <ns0:t>https://link.springer.com/chapter/10.1007/978-3-030-59277-6_23</ns0:t>
        </ns0:is>
      </ns0:c>
      <ns0:c r="G429" s="19" t="inlineStr">
        <ns0:is>
          <ns0:t>ChatGPT-assisted evidence recharting, 2026-09-08</ns0:t>
        </ns0:is>
      </ns0:c>
    </ns0:row>
    <ns0:row r="430" ht="57" customHeight="1">
      <ns0:c r="A430" s="21" t="inlineStr">
        <ns0:is>
          <ns0:t>75</ns0:t>
        </ns0:is>
      </ns0:c>
      <ns0:c r="B430" s="21" t="inlineStr">
        <ns0:is>
          <ns0:t>rq2_status</ns0:t>
        </ns0:is>
      </ns0:c>
      <ns0:c r="C430" s="21" t="inlineStr">
        <ns0:is>
          <ns0:t>Not adjudicated in master</ns0:t>
        </ns0:is>
      </ns0:c>
      <ns0:c r="D430" s="21" t="inlineStr">
        <ns0:is>
          <ns0:t>Proposed only</ns0:t>
        </ns0:is>
      </ns0:c>
      <ns0:c r="E430" s="21" t="inlineStr">
        <ns0:is>
          <ns0:t>Proposed sensor and facial-expression monitoring with caregiver alerts. Accessible description does not document a participant-facing empirical evaluation.
Accessible abstract proposes a system but does not establish original empirical AI evaluation; retain inherited inclusion with uncertainty and exclude in stricter-evidence sensitivity.</ns0:t>
        </ns0:is>
      </ns0:c>
      <ns0:c r="F430" s="21" t="inlineStr">
        <ns0:is>
          <ns0:t>https://link.springer.com/chapter/10.1007/978-3-030-59277-6_23</ns0:t>
        </ns0:is>
      </ns0:c>
      <ns0:c r="G430" s="21" t="inlineStr">
        <ns0:is>
          <ns0:t>ChatGPT-assisted evidence recharting, 2026-09-08</ns0:t>
        </ns0:is>
      </ns0:c>
    </ns0:row>
    <ns0:row r="431" ht="57" customHeight="1">
      <ns0:c r="A431" s="19" t="inlineStr">
        <ns0:is>
          <ns0:t>75</ns0:t>
        </ns0:is>
      </ns0:c>
      <ns0:c r="B431" s="19" t="inlineStr">
        <ns0:is>
          <ns0:t>rq2_role</ns0:t>
        </ns0:is>
      </ns0:c>
      <ns0:c r="C431" s="19" t="inlineStr"/>
      <ns0:c r="D431" s="19" t="inlineStr">
        <ns0:is>
          <ns0:t>Monitoring/longitudinal analysis</ns0:t>
        </ns0:is>
      </ns0:c>
      <ns0:c r="E431" s="19" t="inlineStr">
        <ns0:is>
          <ns0:t>Proposed sensor and facial-expression monitoring with caregiver alerts. Accessible description does not document a participant-facing empirical evaluation.
Accessible abstract proposes a system but does not establish original empirical AI evaluation; retain inherited inclusion with uncertainty and exclude in stricter-evidence sensitivity.</ns0:t>
        </ns0:is>
      </ns0:c>
      <ns0:c r="F431" s="19" t="inlineStr">
        <ns0:is>
          <ns0:t>https://link.springer.com/chapter/10.1007/978-3-030-59277-6_23</ns0:t>
        </ns0:is>
      </ns0:c>
      <ns0:c r="G431" s="19" t="inlineStr">
        <ns0:is>
          <ns0:t>ChatGPT-assisted evidence recharting, 2026-09-08</ns0:t>
        </ns0:is>
      </ns0:c>
    </ns0:row>
    <ns0:row r="432" ht="57" customHeight="1">
      <ns0:c r="A432" s="21" t="inlineStr">
        <ns0:is>
          <ns0:t>75</ns0:t>
        </ns0:is>
      </ns0:c>
      <ns0:c r="B432" s="21" t="inlineStr">
        <ns0:is>
          <ns0:t>decision_timing</ns0:t>
        </ns0:is>
      </ns0:c>
      <ns0:c r="C432" s="21" t="inlineStr"/>
      <ns0:c r="D432" s="21" t="inlineStr">
        <ns0:is>
          <ns0:t>Post-decision</ns0:t>
        </ns0:is>
      </ns0:c>
      <ns0:c r="E432" s="21" t="inlineStr">
        <ns0:is>
          <ns0:t>Proposed sensor and facial-expression monitoring with caregiver alerts. Accessible description does not document a participant-facing empirical evaluation.
Accessible abstract proposes a system but does not establish original empirical AI evaluation; retain inherited inclusion with uncertainty and exclude in stricter-evidence sensitivity.</ns0:t>
        </ns0:is>
      </ns0:c>
      <ns0:c r="F432" s="21" t="inlineStr">
        <ns0:is>
          <ns0:t>https://link.springer.com/chapter/10.1007/978-3-030-59277-6_23</ns0:t>
        </ns0:is>
      </ns0:c>
      <ns0:c r="G432" s="21" t="inlineStr">
        <ns0:is>
          <ns0:t>ChatGPT-assisted evidence recharting, 2026-09-08</ns0:t>
        </ns0:is>
      </ns0:c>
    </ns0:row>
    <ns0:row r="433" ht="42" customHeight="1">
      <ns0:c r="A433" s="19" t="inlineStr">
        <ns0:is>
          <ns0:t>77</ns0:t>
        </ns0:is>
      </ns0:c>
      <ns0:c r="B433" s="19" t="inlineStr">
        <ns0:is>
          <ns0:t>data_source_primary</ns0:t>
        </ns0:is>
      </ns0:c>
      <ns0:c r="C433" s="19" t="inlineStr">
        <ns0:is>
          <ns0:t>Physiological signals</ns0:t>
        </ns0:is>
      </ns0:c>
      <ns0:c r="D433" s="19" t="inlineStr">
        <ns0:is>
          <ns0:t>Neuroimaging</ns0:t>
        </ns0:is>
      </ns0:c>
      <ns0:c r="E433" s="19" t="inlineStr">
        <ns0:is>
          <ns0:t>Functional-connectivity matrices from fMRI are represented as heatmaps; they remain neuroimaging, not EEG or photographs. ABIDE I and II use does not specify independent train-test separation.</ns0:t>
        </ns0:is>
      </ns0:c>
      <ns0:c r="F433" s="19" t="inlineStr">
        <ns0:is>
          <ns0:t>https://doi.org/10.3233/shti230794</ns0:t>
        </ns0:is>
      </ns0:c>
      <ns0:c r="G433" s="19" t="inlineStr">
        <ns0:is>
          <ns0:t>ChatGPT-assisted evidence recharting, 2026-09-08</ns0:t>
        </ns0:is>
      </ns0:c>
    </ns0:row>
    <ns0:row r="434" ht="42" customHeight="1">
      <ns0:c r="A434" s="21" t="inlineStr">
        <ns0:is>
          <ns0:t>77</ns0:t>
        </ns0:is>
      </ns0:c>
      <ns0:c r="B434" s="21" t="inlineStr">
        <ns0:is>
          <ns0:t>algorithm_main</ns0:t>
        </ns0:is>
      </ns0:c>
      <ns0:c r="C434" s="21" t="inlineStr">
        <ns0:is>
          <ns0:t>CNN</ns0:t>
        </ns0:is>
      </ns0:c>
      <ns0:c r="D434" s="21" t="inlineStr">
        <ns0:is>
          <ns0:t>DenseNet201</ns0:t>
        </ns0:is>
      </ns0:c>
      <ns0:c r="E434" s="21" t="inlineStr">
        <ns0:is>
          <ns0:t>Functional-connectivity matrices from fMRI are represented as heatmaps; they remain neuroimaging, not EEG or photographs. ABIDE I and II use does not specify independent train-test separation.</ns0:t>
        </ns0:is>
      </ns0:c>
      <ns0:c r="F434" s="21" t="inlineStr">
        <ns0:is>
          <ns0:t>https://doi.org/10.3233/shti230794</ns0:t>
        </ns0:is>
      </ns0:c>
      <ns0:c r="G434" s="21" t="inlineStr">
        <ns0:is>
          <ns0:t>ChatGPT-assisted evidence recharting, 2026-09-08</ns0:t>
        </ns0:is>
      </ns0:c>
    </ns0:row>
    <ns0:row r="435" ht="42" customHeight="1">
      <ns0:c r="A435" s="19" t="inlineStr">
        <ns0:is>
          <ns0:t>77</ns0:t>
        </ns0:is>
      </ns0:c>
      <ns0:c r="B435" s="19" t="inlineStr">
        <ns0:is>
          <ns0:t>rq2_status</ns0:t>
        </ns0:is>
      </ns0:c>
      <ns0:c r="C435" s="19" t="inlineStr">
        <ns0:is>
          <ns0:t>Not adjudicated in master</ns0:t>
        </ns0:is>
      </ns0:c>
      <ns0:c r="D435" s="19" t="inlineStr">
        <ns0:is>
          <ns0:t>Research only</ns0:t>
        </ns0:is>
      </ns0:c>
      <ns0:c r="E435" s="19" t="inlineStr">
        <ns0:is>
          <ns0:t>Functional-connectivity matrices from fMRI are represented as heatmaps; they remain neuroimaging, not EEG or photographs. ABIDE I and II use does not specify independent train-test separation.</ns0:t>
        </ns0:is>
      </ns0:c>
      <ns0:c r="F435" s="19" t="inlineStr">
        <ns0:is>
          <ns0:t>https://doi.org/10.3233/shti230794</ns0:t>
        </ns0:is>
      </ns0:c>
      <ns0:c r="G435" s="19" t="inlineStr">
        <ns0:is>
          <ns0:t>ChatGPT-assisted evidence recharting, 2026-09-08</ns0:t>
        </ns0:is>
      </ns0:c>
    </ns0:row>
    <ns0:row r="436" ht="42" customHeight="1">
      <ns0:c r="A436" s="21" t="inlineStr">
        <ns0:is>
          <ns0:t>77</ns0:t>
        </ns0:is>
      </ns0:c>
      <ns0:c r="B436" s="21" t="inlineStr">
        <ns0:is>
          <ns0:t>rq2_role</ns0:t>
        </ns0:is>
      </ns0:c>
      <ns0:c r="C436" s="21" t="inlineStr"/>
      <ns0:c r="D436" s="21" t="inlineStr">
        <ns0:is>
          <ns0:t>Automated measurement/classification</ns0:t>
        </ns0:is>
      </ns0:c>
      <ns0:c r="E436" s="21" t="inlineStr">
        <ns0:is>
          <ns0:t>Functional-connectivity matrices from fMRI are represented as heatmaps; they remain neuroimaging, not EEG or photographs. ABIDE I and II use does not specify independent train-test separation.</ns0:t>
        </ns0:is>
      </ns0:c>
      <ns0:c r="F436" s="21" t="inlineStr">
        <ns0:is>
          <ns0:t>https://doi.org/10.3233/shti230794</ns0:t>
        </ns0:is>
      </ns0:c>
      <ns0:c r="G436" s="21" t="inlineStr">
        <ns0:is>
          <ns0:t>ChatGPT-assisted evidence recharting, 2026-09-08</ns0:t>
        </ns0:is>
      </ns0:c>
    </ns0:row>
    <ns0:row r="437" ht="42" customHeight="1">
      <ns0:c r="A437" s="19" t="inlineStr">
        <ns0:is>
          <ns0:t>77</ns0:t>
        </ns0:is>
      </ns0:c>
      <ns0:c r="B437" s="19" t="inlineStr">
        <ns0:is>
          <ns0:t>decision_timing</ns0:t>
        </ns0:is>
      </ns0:c>
      <ns0:c r="C437" s="19" t="inlineStr"/>
      <ns0:c r="D437" s="19" t="inlineStr">
        <ns0:is>
          <ns0:t>Not observed in assessed sources</ns0:t>
        </ns0:is>
      </ns0:c>
      <ns0:c r="E437" s="19" t="inlineStr">
        <ns0:is>
          <ns0:t>Functional-connectivity matrices from fMRI are represented as heatmaps; they remain neuroimaging, not EEG or photographs. ABIDE I and II use does not specify independent train-test separation.</ns0:t>
        </ns0:is>
      </ns0:c>
      <ns0:c r="F437" s="19" t="inlineStr">
        <ns0:is>
          <ns0:t>https://doi.org/10.3233/shti230794</ns0:t>
        </ns0:is>
      </ns0:c>
      <ns0:c r="G437" s="19" t="inlineStr">
        <ns0:is>
          <ns0:t>ChatGPT-assisted evidence recharting, 2026-09-08</ns0:t>
        </ns0:is>
      </ns0:c>
    </ns0:row>
    <ns0:row r="438" ht="42" customHeight="1">
      <ns0:c r="A438" s="21" t="inlineStr">
        <ns0:is>
          <ns0:t>78</ns0:t>
        </ns0:is>
      </ns0:c>
      <ns0:c r="B438" s="21" t="inlineStr">
        <ns0:is>
          <ns0:t>algorithm_main</ns0:t>
        </ns0:is>
      </ns0:c>
      <ns0:c r="C438" s="21" t="inlineStr">
        <ns0:is>
          <ns0:t>CNN</ns0:t>
        </ns0:is>
      </ns0:c>
      <ns0:c r="D438" s="21" t="inlineStr">
        <ns0:is>
          <ns0:t>ASD-Net CNN</ns0:t>
        </ns0:is>
      </ns0:c>
      <ns0:c r="E438" s="21" t="inlineStr">
        <ns0:is>
          <ns0:t>Time-frequency image representations originate from EEG and remain physiological data; alternative transforms do not establish additional sources.</ns0:t>
        </ns0:is>
      </ns0:c>
      <ns0:c r="F438" s="21" t="inlineStr">
        <ns0:is>
          <ns0:t>https://doi.org/10.1109/jsen.2024.3362341</ns0:t>
        </ns0:is>
      </ns0:c>
      <ns0:c r="G438" s="21" t="inlineStr">
        <ns0:is>
          <ns0:t>ChatGPT-assisted evidence recharting, 2026-09-08</ns0:t>
        </ns0:is>
      </ns0:c>
    </ns0:row>
    <ns0:row r="439" ht="42" customHeight="1">
      <ns0:c r="A439" s="19" t="inlineStr">
        <ns0:is>
          <ns0:t>78</ns0:t>
        </ns0:is>
      </ns0:c>
      <ns0:c r="B439" s="19" t="inlineStr">
        <ns0:is>
          <ns0:t>rq2_status</ns0:t>
        </ns0:is>
      </ns0:c>
      <ns0:c r="C439" s="19" t="inlineStr">
        <ns0:is>
          <ns0:t>Not adjudicated in master</ns0:t>
        </ns0:is>
      </ns0:c>
      <ns0:c r="D439" s="19" t="inlineStr">
        <ns0:is>
          <ns0:t>Research only</ns0:t>
        </ns0:is>
      </ns0:c>
      <ns0:c r="E439" s="19" t="inlineStr">
        <ns0:is>
          <ns0:t>Time-frequency image representations originate from EEG and remain physiological data; alternative transforms do not establish additional sources.</ns0:t>
        </ns0:is>
      </ns0:c>
      <ns0:c r="F439" s="19" t="inlineStr">
        <ns0:is>
          <ns0:t>https://doi.org/10.1109/jsen.2024.3362341</ns0:t>
        </ns0:is>
      </ns0:c>
      <ns0:c r="G439" s="19" t="inlineStr">
        <ns0:is>
          <ns0:t>ChatGPT-assisted evidence recharting, 2026-09-08</ns0:t>
        </ns0:is>
      </ns0:c>
    </ns0:row>
    <ns0:row r="440" ht="42" customHeight="1">
      <ns0:c r="A440" s="21" t="inlineStr">
        <ns0:is>
          <ns0:t>78</ns0:t>
        </ns0:is>
      </ns0:c>
      <ns0:c r="B440" s="21" t="inlineStr">
        <ns0:is>
          <ns0:t>rq2_role</ns0:t>
        </ns0:is>
      </ns0:c>
      <ns0:c r="C440" s="21" t="inlineStr"/>
      <ns0:c r="D440" s="21" t="inlineStr">
        <ns0:is>
          <ns0:t>Automated measurement/classification</ns0:t>
        </ns0:is>
      </ns0:c>
      <ns0:c r="E440" s="21" t="inlineStr">
        <ns0:is>
          <ns0:t>Time-frequency image representations originate from EEG and remain physiological data; alternative transforms do not establish additional sources.</ns0:t>
        </ns0:is>
      </ns0:c>
      <ns0:c r="F440" s="21" t="inlineStr">
        <ns0:is>
          <ns0:t>https://doi.org/10.1109/jsen.2024.3362341</ns0:t>
        </ns0:is>
      </ns0:c>
      <ns0:c r="G440" s="21" t="inlineStr">
        <ns0:is>
          <ns0:t>ChatGPT-assisted evidence recharting, 2026-09-08</ns0:t>
        </ns0:is>
      </ns0:c>
    </ns0:row>
    <ns0:row r="441" ht="42" customHeight="1">
      <ns0:c r="A441" s="19" t="inlineStr">
        <ns0:is>
          <ns0:t>78</ns0:t>
        </ns0:is>
      </ns0:c>
      <ns0:c r="B441" s="19" t="inlineStr">
        <ns0:is>
          <ns0:t>decision_timing</ns0:t>
        </ns0:is>
      </ns0:c>
      <ns0:c r="C441" s="19" t="inlineStr"/>
      <ns0:c r="D441" s="19" t="inlineStr">
        <ns0:is>
          <ns0:t>Not observed in assessed sources</ns0:t>
        </ns0:is>
      </ns0:c>
      <ns0:c r="E441" s="19" t="inlineStr">
        <ns0:is>
          <ns0:t>Time-frequency image representations originate from EEG and remain physiological data; alternative transforms do not establish additional sources.</ns0:t>
        </ns0:is>
      </ns0:c>
      <ns0:c r="F441" s="19" t="inlineStr">
        <ns0:is>
          <ns0:t>https://doi.org/10.1109/jsen.2024.3362341</ns0:t>
        </ns0:is>
      </ns0:c>
      <ns0:c r="G441" s="19" t="inlineStr">
        <ns0:is>
          <ns0:t>ChatGPT-assisted evidence recharting, 2026-09-08</ns0:t>
        </ns0:is>
      </ns0:c>
    </ns0:row>
    <ns0:row r="442" ht="42" customHeight="1">
      <ns0:c r="A442" s="21" t="inlineStr">
        <ns0:is>
          <ns0:t>79</ns0:t>
        </ns0:is>
      </ns0:c>
      <ns0:c r="B442" s="21" t="inlineStr">
        <ns0:is>
          <ns0:t>data_source_primary</ns0:t>
        </ns0:is>
      </ns0:c>
      <ns0:c r="C442" s="21" t="inlineStr">
        <ns0:is>
          <ns0:t>Multiple modalities (as coded)</ns0:t>
        </ns0:is>
      </ns0:c>
      <ns0:c r="D442" s="21" t="inlineStr">
        <ns0:is>
          <ns0:t>Behavioral images/video/gaze/movement</ns0:t>
        </ns0:is>
      </ns0:c>
      <ns0:c r="E442" s="21" t="inlineStr">
        <ns0:is>
          <ns0:t>Motion tracking and eye tracking are explicitly combined and an independent sample is tested; multisource integration can occur within the behavioral domain.</ns0:t>
        </ns0:is>
      </ns0:c>
      <ns0:c r="F442" s="21" t="inlineStr">
        <ns0:is>
          <ns0:t>https://doi.org/10.1038/s41598-020-65384-4</ns0:t>
        </ns0:is>
      </ns0:c>
      <ns0:c r="G442" s="21" t="inlineStr">
        <ns0:is>
          <ns0:t>ChatGPT-assisted evidence recharting, 2026-09-08</ns0:t>
        </ns0:is>
      </ns0:c>
    </ns0:row>
    <ns0:row r="443" ht="42" customHeight="1">
      <ns0:c r="A443" s="19" t="inlineStr">
        <ns0:is>
          <ns0:t>79</ns0:t>
        </ns0:is>
      </ns0:c>
      <ns0:c r="B443" s="19" t="inlineStr">
        <ns0:is>
          <ns0:t>algorithm_main</ns0:t>
        </ns0:is>
      </ns0:c>
      <ns0:c r="C443" s="19" t="inlineStr">
        <ns0:is>
          <ns0:t>Other / Not clear</ns0:t>
        </ns0:is>
      </ns0:c>
      <ns0:c r="D443" s="19" t="inlineStr">
        <ns0:is>
          <ns0:t>Supervised classifier; family unresolved</ns0:t>
        </ns0:is>
      </ns0:c>
      <ns0:c r="E443" s="19" t="inlineStr">
        <ns0:is>
          <ns0:t>Motion tracking and eye tracking are explicitly combined and an independent sample is tested; multisource integration can occur within the behavioral domain.</ns0:t>
        </ns0:is>
      </ns0:c>
      <ns0:c r="F443" s="19" t="inlineStr">
        <ns0:is>
          <ns0:t>https://doi.org/10.1038/s41598-020-65384-4</ns0:t>
        </ns0:is>
      </ns0:c>
      <ns0:c r="G443" s="19" t="inlineStr">
        <ns0:is>
          <ns0:t>ChatGPT-assisted evidence recharting, 2026-09-08</ns0:t>
        </ns0:is>
      </ns0:c>
    </ns0:row>
    <ns0:row r="444" ht="42" customHeight="1">
      <ns0:c r="A444" s="21" t="inlineStr">
        <ns0:is>
          <ns0:t>79</ns0:t>
        </ns0:is>
      </ns0:c>
      <ns0:c r="B444" s="21" t="inlineStr">
        <ns0:is>
          <ns0:t>rq2_status</ns0:t>
        </ns0:is>
      </ns0:c>
      <ns0:c r="C444" s="21" t="inlineStr">
        <ns0:is>
          <ns0:t>Not adjudicated in master</ns0:t>
        </ns0:is>
      </ns0:c>
      <ns0:c r="D444" s="21" t="inlineStr">
        <ns0:is>
          <ns0:t>Research only</ns0:t>
        </ns0:is>
      </ns0:c>
      <ns0:c r="E444" s="21" t="inlineStr">
        <ns0:is>
          <ns0:t>Motion tracking and eye tracking are explicitly combined and an independent sample is tested; multisource integration can occur within the behavioral domain.</ns0:t>
        </ns0:is>
      </ns0:c>
      <ns0:c r="F444" s="21" t="inlineStr">
        <ns0:is>
          <ns0:t>https://doi.org/10.1038/s41598-020-65384-4</ns0:t>
        </ns0:is>
      </ns0:c>
      <ns0:c r="G444" s="21" t="inlineStr">
        <ns0:is>
          <ns0:t>ChatGPT-assisted evidence recharting, 2026-09-08</ns0:t>
        </ns0:is>
      </ns0:c>
    </ns0:row>
    <ns0:row r="445" ht="42" customHeight="1">
      <ns0:c r="A445" s="19" t="inlineStr">
        <ns0:is>
          <ns0:t>79</ns0:t>
        </ns0:is>
      </ns0:c>
      <ns0:c r="B445" s="19" t="inlineStr">
        <ns0:is>
          <ns0:t>rq2_role</ns0:t>
        </ns0:is>
      </ns0:c>
      <ns0:c r="C445" s="19" t="inlineStr"/>
      <ns0:c r="D445" s="19" t="inlineStr">
        <ns0:is>
          <ns0:t>Automated measurement/classification</ns0:t>
        </ns0:is>
      </ns0:c>
      <ns0:c r="E445" s="19" t="inlineStr">
        <ns0:is>
          <ns0:t>Motion tracking and eye tracking are explicitly combined and an independent sample is tested; multisource integration can occur within the behavioral domain.</ns0:t>
        </ns0:is>
      </ns0:c>
      <ns0:c r="F445" s="19" t="inlineStr">
        <ns0:is>
          <ns0:t>https://doi.org/10.1038/s41598-020-65384-4</ns0:t>
        </ns0:is>
      </ns0:c>
      <ns0:c r="G445" s="19" t="inlineStr">
        <ns0:is>
          <ns0:t>ChatGPT-assisted evidence recharting, 2026-09-08</ns0:t>
        </ns0:is>
      </ns0:c>
    </ns0:row>
    <ns0:row r="446" ht="42" customHeight="1">
      <ns0:c r="A446" s="21" t="inlineStr">
        <ns0:is>
          <ns0:t>79</ns0:t>
        </ns0:is>
      </ns0:c>
      <ns0:c r="B446" s="21" t="inlineStr">
        <ns0:is>
          <ns0:t>decision_timing</ns0:t>
        </ns0:is>
      </ns0:c>
      <ns0:c r="C446" s="21" t="inlineStr"/>
      <ns0:c r="D446" s="21" t="inlineStr">
        <ns0:is>
          <ns0:t>Not observed in assessed sources</ns0:t>
        </ns0:is>
      </ns0:c>
      <ns0:c r="E446" s="21" t="inlineStr">
        <ns0:is>
          <ns0:t>Motion tracking and eye tracking are explicitly combined and an independent sample is tested; multisource integration can occur within the behavioral domain.</ns0:t>
        </ns0:is>
      </ns0:c>
      <ns0:c r="F446" s="21" t="inlineStr">
        <ns0:is>
          <ns0:t>https://doi.org/10.1038/s41598-020-65384-4</ns0:t>
        </ns0:is>
      </ns0:c>
      <ns0:c r="G446" s="21" t="inlineStr">
        <ns0:is>
          <ns0:t>ChatGPT-assisted evidence recharting, 2026-09-08</ns0:t>
        </ns0:is>
      </ns0:c>
    </ns0:row>
    <ns0:row r="447" ht="42" customHeight="1">
      <ns0:c r="A447" s="19" t="inlineStr">
        <ns0:is>
          <ns0:t>80</ns0:t>
        </ns0:is>
      </ns0:c>
      <ns0:c r="B447" s="19" t="inlineStr">
        <ns0:is>
          <ns0:t>stage_primary</ns0:t>
        </ns0:is>
      </ns0:c>
      <ns0:c r="C447" s="19" t="inlineStr">
        <ns0:is>
          <ns0:t>Prescreening</ns0:t>
        </ns0:is>
      </ns0:c>
      <ns0:c r="D447" s="19" t="inlineStr">
        <ns0:is>
          <ns0:t>Prognosis</ns0:t>
        </ns0:is>
      </ns0:c>
      <ns0:c r="E447" s="19" t="inlineStr">
        <ns0:is>
          <ns0:t>Newborn leukocyte methylation predicts subsequent ASD; biological input, not electrophysiological signal. Main neural architecture is not supplied in abstract.</ns0:t>
        </ns0:is>
      </ns0:c>
      <ns0:c r="F447" s="19" t="inlineStr">
        <ns0:is>
          <ns0:t>https://doi.org/10.1016/j.brainres.2019.146457</ns0:t>
        </ns0:is>
      </ns0:c>
      <ns0:c r="G447" s="19" t="inlineStr">
        <ns0:is>
          <ns0:t>ChatGPT-assisted evidence recharting, 2026-09-08</ns0:t>
        </ns0:is>
      </ns0:c>
    </ns0:row>
    <ns0:row r="448" ht="42" customHeight="1">
      <ns0:c r="A448" s="21" t="inlineStr">
        <ns0:is>
          <ns0:t>80</ns0:t>
        </ns0:is>
      </ns0:c>
      <ns0:c r="B448" s="21" t="inlineStr">
        <ns0:is>
          <ns0:t>data_source_primary</ns0:t>
        </ns0:is>
      </ns0:c>
      <ns0:c r="C448" s="21" t="inlineStr">
        <ns0:is>
          <ns0:t>Physiological signals</ns0:t>
        </ns0:is>
      </ns0:c>
      <ns0:c r="D448" s="21" t="inlineStr">
        <ns0:is>
          <ns0:t>Biological/omics</ns0:t>
        </ns0:is>
      </ns0:c>
      <ns0:c r="E448" s="21" t="inlineStr">
        <ns0:is>
          <ns0:t>Newborn leukocyte methylation predicts subsequent ASD; biological input, not electrophysiological signal. Main neural architecture is not supplied in abstract.</ns0:t>
        </ns0:is>
      </ns0:c>
      <ns0:c r="F448" s="21" t="inlineStr">
        <ns0:is>
          <ns0:t>https://doi.org/10.1016/j.brainres.2019.146457</ns0:t>
        </ns0:is>
      </ns0:c>
      <ns0:c r="G448" s="21" t="inlineStr">
        <ns0:is>
          <ns0:t>ChatGPT-assisted evidence recharting, 2026-09-08</ns0:t>
        </ns0:is>
      </ns0:c>
    </ns0:row>
    <ns0:row r="449" ht="42" customHeight="1">
      <ns0:c r="A449" s="19" t="inlineStr">
        <ns0:is>
          <ns0:t>80</ns0:t>
        </ns0:is>
      </ns0:c>
      <ns0:c r="B449" s="19" t="inlineStr">
        <ns0:is>
          <ns0:t>algorithm_main</ns0:t>
        </ns0:is>
      </ns0:c>
      <ns0:c r="C449" s="19" t="inlineStr">
        <ns0:is>
          <ns0:t>MLP</ns0:t>
        </ns0:is>
      </ns0:c>
      <ns0:c r="D449" s="19" t="inlineStr">
        <ns0:is>
          <ns0:t>Deep neural network; architecture unresolved</ns0:t>
        </ns0:is>
      </ns0:c>
      <ns0:c r="E449" s="19" t="inlineStr">
        <ns0:is>
          <ns0:t>Newborn leukocyte methylation predicts subsequent ASD; biological input, not electrophysiological signal. Main neural architecture is not supplied in abstract.</ns0:t>
        </ns0:is>
      </ns0:c>
      <ns0:c r="F449" s="19" t="inlineStr">
        <ns0:is>
          <ns0:t>https://doi.org/10.1016/j.brainres.2019.146457</ns0:t>
        </ns0:is>
      </ns0:c>
      <ns0:c r="G449" s="19" t="inlineStr">
        <ns0:is>
          <ns0:t>ChatGPT-assisted evidence recharting, 2026-09-08</ns0:t>
        </ns0:is>
      </ns0:c>
    </ns0:row>
    <ns0:row r="450" ht="42" customHeight="1">
      <ns0:c r="A450" s="21" t="inlineStr">
        <ns0:is>
          <ns0:t>80</ns0:t>
        </ns0:is>
      </ns0:c>
      <ns0:c r="B450" s="21" t="inlineStr">
        <ns0:is>
          <ns0:t>rq2_status</ns0:t>
        </ns0:is>
      </ns0:c>
      <ns0:c r="C450" s="21" t="inlineStr">
        <ns0:is>
          <ns0:t>Not adjudicated in master</ns0:t>
        </ns0:is>
      </ns0:c>
      <ns0:c r="D450" s="21" t="inlineStr">
        <ns0:is>
          <ns0:t>Research only</ns0:t>
        </ns0:is>
      </ns0:c>
      <ns0:c r="E450" s="21" t="inlineStr">
        <ns0:is>
          <ns0:t>Newborn leukocyte methylation predicts subsequent ASD; biological input, not electrophysiological signal. Main neural architecture is not supplied in abstract.</ns0:t>
        </ns0:is>
      </ns0:c>
      <ns0:c r="F450" s="21" t="inlineStr">
        <ns0:is>
          <ns0:t>https://doi.org/10.1016/j.brainres.2019.146457</ns0:t>
        </ns0:is>
      </ns0:c>
      <ns0:c r="G450" s="21" t="inlineStr">
        <ns0:is>
          <ns0:t>ChatGPT-assisted evidence recharting, 2026-09-08</ns0:t>
        </ns0:is>
      </ns0:c>
    </ns0:row>
    <ns0:row r="451" ht="42" customHeight="1">
      <ns0:c r="A451" s="19" t="inlineStr">
        <ns0:is>
          <ns0:t>80</ns0:t>
        </ns0:is>
      </ns0:c>
      <ns0:c r="B451" s="19" t="inlineStr">
        <ns0:is>
          <ns0:t>rq2_role</ns0:t>
        </ns0:is>
      </ns0:c>
      <ns0:c r="C451" s="19" t="inlineStr"/>
      <ns0:c r="D451" s="19" t="inlineStr">
        <ns0:is>
          <ns0:t>Risk/trajectory estimation</ns0:t>
        </ns0:is>
      </ns0:c>
      <ns0:c r="E451" s="19" t="inlineStr">
        <ns0:is>
          <ns0:t>Newborn leukocyte methylation predicts subsequent ASD; biological input, not electrophysiological signal. Main neural architecture is not supplied in abstract.</ns0:t>
        </ns0:is>
      </ns0:c>
      <ns0:c r="F451" s="19" t="inlineStr">
        <ns0:is>
          <ns0:t>https://doi.org/10.1016/j.brainres.2019.146457</ns0:t>
        </ns0:is>
      </ns0:c>
      <ns0:c r="G451" s="19" t="inlineStr">
        <ns0:is>
          <ns0:t>ChatGPT-assisted evidence recharting, 2026-09-08</ns0:t>
        </ns0:is>
      </ns0:c>
    </ns0:row>
    <ns0:row r="452" ht="42" customHeight="1">
      <ns0:c r="A452" s="21" t="inlineStr">
        <ns0:is>
          <ns0:t>80</ns0:t>
        </ns0:is>
      </ns0:c>
      <ns0:c r="B452" s="21" t="inlineStr">
        <ns0:is>
          <ns0:t>decision_timing</ns0:t>
        </ns0:is>
      </ns0:c>
      <ns0:c r="C452" s="21" t="inlineStr"/>
      <ns0:c r="D452" s="21" t="inlineStr">
        <ns0:is>
          <ns0:t>Not observed in assessed sources</ns0:t>
        </ns0:is>
      </ns0:c>
      <ns0:c r="E452" s="21" t="inlineStr">
        <ns0:is>
          <ns0:t>Newborn leukocyte methylation predicts subsequent ASD; biological input, not electrophysiological signal. Main neural architecture is not supplied in abstract.</ns0:t>
        </ns0:is>
      </ns0:c>
      <ns0:c r="F452" s="21" t="inlineStr">
        <ns0:is>
          <ns0:t>https://doi.org/10.1016/j.brainres.2019.146457</ns0:t>
        </ns0:is>
      </ns0:c>
      <ns0:c r="G452" s="21" t="inlineStr">
        <ns0:is>
          <ns0:t>ChatGPT-assisted evidence recharting, 2026-09-08</ns0:t>
        </ns0:is>
      </ns0:c>
    </ns0:row>
    <ns0:row r="453" ht="42" customHeight="1">
      <ns0:c r="A453" s="19" t="inlineStr">
        <ns0:is>
          <ns0:t>81</ns0:t>
        </ns0:is>
      </ns0:c>
      <ns0:c r="B453" s="19" t="inlineStr">
        <ns0:is>
          <ns0:t>algorithm_main</ns0:t>
        </ns0:is>
      </ns0:c>
      <ns0:c r="C453" s="19" t="inlineStr">
        <ns0:is>
          <ns0:t>Other / Not clear</ns0:t>
        </ns0:is>
      </ns0:c>
      <ns0:c r="D453" s="19" t="inlineStr">
        <ns0:is>
          <ns0:t>Common spatial patterns with supervised classifier</ns0:t>
        </ns0:is>
      </ns0:c>
      <ns0:c r="E453" s="19" t="inlineStr">
        <ns0:is>
          <ns0:t>MEG band-power classification; spatial patterns are described as putative biomarkers, with no clinician-facing deployment.</ns0:t>
        </ns0:is>
      </ns0:c>
      <ns0:c r="F453" s="19" t="inlineStr">
        <ns0:is>
          <ns0:t>https://doi.org/10.1109/embc40787.2023.10340449</ns0:t>
        </ns0:is>
      </ns0:c>
      <ns0:c r="G453" s="19" t="inlineStr">
        <ns0:is>
          <ns0:t>ChatGPT-assisted evidence recharting, 2026-09-08</ns0:t>
        </ns0:is>
      </ns0:c>
    </ns0:row>
    <ns0:row r="454" ht="42" customHeight="1">
      <ns0:c r="A454" s="21" t="inlineStr">
        <ns0:is>
          <ns0:t>81</ns0:t>
        </ns0:is>
      </ns0:c>
      <ns0:c r="B454" s="21" t="inlineStr">
        <ns0:is>
          <ns0:t>rq2_status</ns0:t>
        </ns0:is>
      </ns0:c>
      <ns0:c r="C454" s="21" t="inlineStr">
        <ns0:is>
          <ns0:t>Not adjudicated in master</ns0:t>
        </ns0:is>
      </ns0:c>
      <ns0:c r="D454" s="21" t="inlineStr">
        <ns0:is>
          <ns0:t>Research only</ns0:t>
        </ns0:is>
      </ns0:c>
      <ns0:c r="E454" s="21" t="inlineStr">
        <ns0:is>
          <ns0:t>MEG band-power classification; spatial patterns are described as putative biomarkers, with no clinician-facing deployment.</ns0:t>
        </ns0:is>
      </ns0:c>
      <ns0:c r="F454" s="21" t="inlineStr">
        <ns0:is>
          <ns0:t>https://doi.org/10.1109/embc40787.2023.10340449</ns0:t>
        </ns0:is>
      </ns0:c>
      <ns0:c r="G454" s="21" t="inlineStr">
        <ns0:is>
          <ns0:t>ChatGPT-assisted evidence recharting, 2026-09-08</ns0:t>
        </ns0:is>
      </ns0:c>
    </ns0:row>
    <ns0:row r="455" ht="42" customHeight="1">
      <ns0:c r="A455" s="19" t="inlineStr">
        <ns0:is>
          <ns0:t>81</ns0:t>
        </ns0:is>
      </ns0:c>
      <ns0:c r="B455" s="19" t="inlineStr">
        <ns0:is>
          <ns0:t>rq2_role</ns0:t>
        </ns0:is>
      </ns0:c>
      <ns0:c r="C455" s="19" t="inlineStr"/>
      <ns0:c r="D455" s="19" t="inlineStr">
        <ns0:is>
          <ns0:t>Automated measurement/classification</ns0:t>
        </ns0:is>
      </ns0:c>
      <ns0:c r="E455" s="19" t="inlineStr">
        <ns0:is>
          <ns0:t>MEG band-power classification; spatial patterns are described as putative biomarkers, with no clinician-facing deployment.</ns0:t>
        </ns0:is>
      </ns0:c>
      <ns0:c r="F455" s="19" t="inlineStr">
        <ns0:is>
          <ns0:t>https://doi.org/10.1109/embc40787.2023.10340449</ns0:t>
        </ns0:is>
      </ns0:c>
      <ns0:c r="G455" s="19" t="inlineStr">
        <ns0:is>
          <ns0:t>ChatGPT-assisted evidence recharting, 2026-09-08</ns0:t>
        </ns0:is>
      </ns0:c>
    </ns0:row>
    <ns0:row r="456" ht="42" customHeight="1">
      <ns0:c r="A456" s="21" t="inlineStr">
        <ns0:is>
          <ns0:t>81</ns0:t>
        </ns0:is>
      </ns0:c>
      <ns0:c r="B456" s="21" t="inlineStr">
        <ns0:is>
          <ns0:t>decision_timing</ns0:t>
        </ns0:is>
      </ns0:c>
      <ns0:c r="C456" s="21" t="inlineStr"/>
      <ns0:c r="D456" s="21" t="inlineStr">
        <ns0:is>
          <ns0:t>Not observed in assessed sources</ns0:t>
        </ns0:is>
      </ns0:c>
      <ns0:c r="E456" s="21" t="inlineStr">
        <ns0:is>
          <ns0:t>MEG band-power classification; spatial patterns are described as putative biomarkers, with no clinician-facing deployment.</ns0:t>
        </ns0:is>
      </ns0:c>
      <ns0:c r="F456" s="21" t="inlineStr">
        <ns0:is>
          <ns0:t>https://doi.org/10.1109/embc40787.2023.10340449</ns0:t>
        </ns0:is>
      </ns0:c>
      <ns0:c r="G456" s="21" t="inlineStr">
        <ns0:is>
          <ns0:t>ChatGPT-assisted evidence recharting, 2026-09-08</ns0:t>
        </ns0:is>
      </ns0:c>
    </ns0:row>
    <ns0:row r="457" ht="69" customHeight="1">
      <ns0:c r="A457" s="19" t="inlineStr">
        <ns0:is>
          <ns0:t>82</ns0:t>
        </ns0:is>
      </ns0:c>
      <ns0:c r="B457" s="19" t="inlineStr">
        <ns0:is>
          <ns0:t>data_source_primary</ns0:t>
        </ns0:is>
      </ns0:c>
      <ns0:c r="C457" s="19" t="inlineStr">
        <ns0:is>
          <ns0:t>Image (subtype unresolved)</ns0:t>
        </ns0:is>
      </ns0:c>
      <ns0:c r="D457" s="19" t="inlineStr">
        <ns0:is>
          <ns0:t>Structured clinical/questionnaire data</ns0:t>
        </ns0:is>
      </ns0:c>
      <ns0:c r="E457" s="19" t="inlineStr">
        <ns0:is>
          <ns0:t>Named inputs are structured developmental screening instruments. Federated simulation does not demonstrate deployment, independent clinical sites, or held-out-site generalization; actual cross-instrument patient pairing remains unverified.
Federated simulation claims across named instruments; participant linkage and provenance are not established in accessible evidence.</ns0:t>
        </ns0:is>
      </ns0:c>
      <ns0:c r="F457" s="19" t="inlineStr">
        <ns0:is>
          <ns0:t>https://doi.org/10.1016/j.compbiomed.2023.107539</ns0:t>
        </ns0:is>
      </ns0:c>
      <ns0:c r="G457" s="19" t="inlineStr">
        <ns0:is>
          <ns0:t>ChatGPT-assisted evidence recharting, 2026-09-08</ns0:t>
        </ns0:is>
      </ns0:c>
    </ns0:row>
    <ns0:row r="458" ht="69" customHeight="1">
      <ns0:c r="A458" s="21" t="inlineStr">
        <ns0:is>
          <ns0:t>82</ns0:t>
        </ns0:is>
      </ns0:c>
      <ns0:c r="B458" s="21" t="inlineStr">
        <ns0:is>
          <ns0:t>algorithm_main</ns0:t>
        </ns0:is>
      </ns0:c>
      <ns0:c r="C458" s="21" t="inlineStr">
        <ns0:is>
          <ns0:t>RNN/LSTM/GRU</ns0:t>
        </ns0:is>
      </ns0:c>
      <ns0:c r="D458" s="21" t="inlineStr">
        <ns0:is>
          <ns0:t>Federated CNN-LSTM with decision aggregation</ns0:t>
        </ns0:is>
      </ns0:c>
      <ns0:c r="E458" s="21" t="inlineStr">
        <ns0:is>
          <ns0:t>Named inputs are structured developmental screening instruments. Federated simulation does not demonstrate deployment, independent clinical sites, or held-out-site generalization; actual cross-instrument patient pairing remains unverified.
Federated simulation claims across named instruments; participant linkage and provenance are not established in accessible evidence.</ns0:t>
        </ns0:is>
      </ns0:c>
      <ns0:c r="F458" s="21" t="inlineStr">
        <ns0:is>
          <ns0:t>https://doi.org/10.1016/j.compbiomed.2023.107539</ns0:t>
        </ns0:is>
      </ns0:c>
      <ns0:c r="G458" s="21" t="inlineStr">
        <ns0:is>
          <ns0:t>ChatGPT-assisted evidence recharting, 2026-09-08</ns0:t>
        </ns0:is>
      </ns0:c>
    </ns0:row>
    <ns0:row r="459" ht="69" customHeight="1">
      <ns0:c r="A459" s="19" t="inlineStr">
        <ns0:is>
          <ns0:t>82</ns0:t>
        </ns0:is>
      </ns0:c>
      <ns0:c r="B459" s="19" t="inlineStr">
        <ns0:is>
          <ns0:t>rq2_status</ns0:t>
        </ns0:is>
      </ns0:c>
      <ns0:c r="C459" s="19" t="inlineStr">
        <ns0:is>
          <ns0:t>Not adjudicated in master</ns0:t>
        </ns0:is>
      </ns0:c>
      <ns0:c r="D459" s="19" t="inlineStr">
        <ns0:is>
          <ns0:t>Proposed only</ns0:t>
        </ns0:is>
      </ns0:c>
      <ns0:c r="E459" s="19" t="inlineStr">
        <ns0:is>
          <ns0:t>Named inputs are structured developmental screening instruments. Federated simulation does not demonstrate deployment, independent clinical sites, or held-out-site generalization; actual cross-instrument patient pairing remains unverified.
Federated simulation claims across named instruments; participant linkage and provenance are not established in accessible evidence.</ns0:t>
        </ns0:is>
      </ns0:c>
      <ns0:c r="F459" s="19" t="inlineStr">
        <ns0:is>
          <ns0:t>https://doi.org/10.1016/j.compbiomed.2023.107539</ns0:t>
        </ns0:is>
      </ns0:c>
      <ns0:c r="G459" s="19" t="inlineStr">
        <ns0:is>
          <ns0:t>ChatGPT-assisted evidence recharting, 2026-09-08</ns0:t>
        </ns0:is>
      </ns0:c>
    </ns0:row>
    <ns0:row r="460" ht="69" customHeight="1">
      <ns0:c r="A460" s="21" t="inlineStr">
        <ns0:is>
          <ns0:t>82</ns0:t>
        </ns0:is>
      </ns0:c>
      <ns0:c r="B460" s="21" t="inlineStr">
        <ns0:is>
          <ns0:t>rq2_role</ns0:t>
        </ns0:is>
      </ns0:c>
      <ns0:c r="C460" s="21" t="inlineStr"/>
      <ns0:c r="D460" s="21" t="inlineStr">
        <ns0:is>
          <ns0:t>Triage/questionnaire assessment</ns0:t>
        </ns0:is>
      </ns0:c>
      <ns0:c r="E460" s="21" t="inlineStr">
        <ns0:is>
          <ns0:t>Named inputs are structured developmental screening instruments. Federated simulation does not demonstrate deployment, independent clinical sites, or held-out-site generalization; actual cross-instrument patient pairing remains unverified.
Federated simulation claims across named instruments; participant linkage and provenance are not established in accessible evidence.</ns0:t>
        </ns0:is>
      </ns0:c>
      <ns0:c r="F460" s="21" t="inlineStr">
        <ns0:is>
          <ns0:t>https://doi.org/10.1016/j.compbiomed.2023.107539</ns0:t>
        </ns0:is>
      </ns0:c>
      <ns0:c r="G460" s="21" t="inlineStr">
        <ns0:is>
          <ns0:t>ChatGPT-assisted evidence recharting, 2026-09-08</ns0:t>
        </ns0:is>
      </ns0:c>
    </ns0:row>
    <ns0:row r="461" ht="69" customHeight="1">
      <ns0:c r="A461" s="19" t="inlineStr">
        <ns0:is>
          <ns0:t>82</ns0:t>
        </ns0:is>
      </ns0:c>
      <ns0:c r="B461" s="19" t="inlineStr">
        <ns0:is>
          <ns0:t>decision_timing</ns0:t>
        </ns0:is>
      </ns0:c>
      <ns0:c r="C461" s="19" t="inlineStr"/>
      <ns0:c r="D461" s="19" t="inlineStr">
        <ns0:is>
          <ns0:t>Pre-decision</ns0:t>
        </ns0:is>
      </ns0:c>
      <ns0:c r="E461" s="19" t="inlineStr">
        <ns0:is>
          <ns0:t>Named inputs are structured developmental screening instruments. Federated simulation does not demonstrate deployment, independent clinical sites, or held-out-site generalization; actual cross-instrument patient pairing remains unverified.
Federated simulation claims across named instruments; participant linkage and provenance are not established in accessible evidence.</ns0:t>
        </ns0:is>
      </ns0:c>
      <ns0:c r="F461" s="19" t="inlineStr">
        <ns0:is>
          <ns0:t>https://doi.org/10.1016/j.compbiomed.2023.107539</ns0:t>
        </ns0:is>
      </ns0:c>
      <ns0:c r="G461" s="19" t="inlineStr">
        <ns0:is>
          <ns0:t>ChatGPT-assisted evidence recharting, 2026-09-08</ns0:t>
        </ns0:is>
      </ns0:c>
    </ns0:row>
    <ns0:row r="462" ht="42" customHeight="1">
      <ns0:c r="A462" s="21" t="inlineStr">
        <ns0:is>
          <ns0:t>83</ns0:t>
        </ns0:is>
      </ns0:c>
      <ns0:c r="B462" s="21" t="inlineStr">
        <ns0:is>
          <ns0:t>eligibility</ns0:t>
        </ns0:is>
      </ns0:c>
      <ns0:c r="C462" s="21" t="inlineStr">
        <ns0:is>
          <ns0:t>Include</ns0:t>
        </ns0:is>
      </ns0:c>
      <ns0:c r="D462" s="21" t="inlineStr">
        <ns0:is>
          <ns0:t>Exclude</ns0:t>
        </ns0:is>
      </ns0:c>
      <ns0:c r="E462" s="21" t="inlineStr">
        <ns0:is>
          <ns0:t>Public discourse convergence on Reddit is the primary endpoint; topic modeling does not classify, assess, monitor, predict care outcomes or provide an ASD intervention.</ns0:t>
        </ns0:is>
      </ns0:c>
      <ns0:c r="F462" s="21" t="inlineStr">
        <ns0:is>
          <ns0:t>https://doi.org/10.2196/70914</ns0:t>
        </ns0:is>
      </ns0:c>
      <ns0:c r="G462" s="21" t="inlineStr">
        <ns0:is>
          <ns0:t>ChatGPT-assisted evidence recharting, 2026-09-08</ns0:t>
        </ns0:is>
      </ns0:c>
    </ns0:row>
    <ns0:row r="463" ht="42" customHeight="1">
      <ns0:c r="A463" s="19" t="inlineStr">
        <ns0:is>
          <ns0:t>83</ns0:t>
        </ns0:is>
      </ns0:c>
      <ns0:c r="B463" s="19" t="inlineStr">
        <ns0:is>
          <ns0:t>stage_primary</ns0:t>
        </ns0:is>
      </ns0:c>
      <ns0:c r="C463" s="19" t="inlineStr">
        <ns0:is>
          <ns0:t>Diagnosis</ns0:t>
        </ns0:is>
      </ns0:c>
      <ns0:c r="D463" s="19" t="inlineStr">
        <ns0:is>
          <ns0:t>Excluded</ns0:t>
        </ns0:is>
      </ns0:c>
      <ns0:c r="E463" s="19" t="inlineStr">
        <ns0:is>
          <ns0:t>Public discourse convergence on Reddit is the primary endpoint; topic modeling does not classify, assess, monitor, predict care outcomes or provide an ASD intervention.</ns0:t>
        </ns0:is>
      </ns0:c>
      <ns0:c r="F463" s="19" t="inlineStr">
        <ns0:is>
          <ns0:t>https://doi.org/10.2196/70914</ns0:t>
        </ns0:is>
      </ns0:c>
      <ns0:c r="G463" s="19" t="inlineStr">
        <ns0:is>
          <ns0:t>ChatGPT-assisted evidence recharting, 2026-09-08</ns0:t>
        </ns0:is>
      </ns0:c>
    </ns0:row>
    <ns0:row r="464" ht="42" customHeight="1">
      <ns0:c r="A464" s="21" t="inlineStr">
        <ns0:is>
          <ns0:t>83</ns0:t>
        </ns0:is>
      </ns0:c>
      <ns0:c r="B464" s="21" t="inlineStr">
        <ns0:is>
          <ns0:t>ai_type</ns0:t>
        </ns0:is>
      </ns0:c>
      <ns0:c r="C464" s="21" t="inlineStr">
        <ns0:is>
          <ns0:t>Deep Learning</ns0:t>
        </ns0:is>
      </ns0:c>
      <ns0:c r="D464" s="21" t="inlineStr">
        <ns0:is>
          <ns0:t>Excluded</ns0:t>
        </ns0:is>
      </ns0:c>
      <ns0:c r="E464" s="21" t="inlineStr">
        <ns0:is>
          <ns0:t>Public discourse convergence on Reddit is the primary endpoint; topic modeling does not classify, assess, monitor, predict care outcomes or provide an ASD intervention.</ns0:t>
        </ns0:is>
      </ns0:c>
      <ns0:c r="F464" s="21" t="inlineStr">
        <ns0:is>
          <ns0:t>https://doi.org/10.2196/70914</ns0:t>
        </ns0:is>
      </ns0:c>
      <ns0:c r="G464" s="21" t="inlineStr">
        <ns0:is>
          <ns0:t>ChatGPT-assisted evidence recharting, 2026-09-08</ns0:t>
        </ns0:is>
      </ns0:c>
    </ns0:row>
    <ns0:row r="465" ht="42" customHeight="1">
      <ns0:c r="A465" s="19" t="inlineStr">
        <ns0:is>
          <ns0:t>83</ns0:t>
        </ns0:is>
      </ns0:c>
      <ns0:c r="B465" s="19" t="inlineStr">
        <ns0:is>
          <ns0:t>data_source_primary</ns0:t>
        </ns0:is>
      </ns0:c>
      <ns0:c r="C465" s="19" t="inlineStr">
        <ns0:is>
          <ns0:t>Text / NLP (legacy; verify input type)</ns0:t>
        </ns0:is>
      </ns0:c>
      <ns0:c r="D465" s="19" t="inlineStr">
        <ns0:is>
          <ns0:t>Excluded</ns0:t>
        </ns0:is>
      </ns0:c>
      <ns0:c r="E465" s="19" t="inlineStr">
        <ns0:is>
          <ns0:t>Public discourse convergence on Reddit is the primary endpoint; topic modeling does not classify, assess, monitor, predict care outcomes or provide an ASD intervention.</ns0:t>
        </ns0:is>
      </ns0:c>
      <ns0:c r="F465" s="19" t="inlineStr">
        <ns0:is>
          <ns0:t>https://doi.org/10.2196/70914</ns0:t>
        </ns0:is>
      </ns0:c>
      <ns0:c r="G465" s="19" t="inlineStr">
        <ns0:is>
          <ns0:t>ChatGPT-assisted evidence recharting, 2026-09-08</ns0:t>
        </ns0:is>
      </ns0:c>
    </ns0:row>
    <ns0:row r="466" ht="42" customHeight="1">
      <ns0:c r="A466" s="21" t="inlineStr">
        <ns0:is>
          <ns0:t>83</ns0:t>
        </ns0:is>
      </ns0:c>
      <ns0:c r="B466" s="21" t="inlineStr">
        <ns0:is>
          <ns0:t>algorithm_main</ns0:t>
        </ns0:is>
      </ns0:c>
      <ns0:c r="C466" s="21" t="inlineStr"/>
      <ns0:c r="D466" s="21" t="inlineStr">
        <ns0:is>
          <ns0:t>Not specified</ns0:t>
        </ns0:is>
      </ns0:c>
      <ns0:c r="E466" s="21" t="inlineStr">
        <ns0:is>
          <ns0:t>Public discourse convergence on Reddit is the primary endpoint; topic modeling does not classify, assess, monitor, predict care outcomes or provide an ASD intervention.</ns0:t>
        </ns0:is>
      </ns0:c>
      <ns0:c r="F466" s="21" t="inlineStr">
        <ns0:is>
          <ns0:t>https://doi.org/10.2196/70914</ns0:t>
        </ns0:is>
      </ns0:c>
      <ns0:c r="G466" s="21" t="inlineStr">
        <ns0:is>
          <ns0:t>ChatGPT-assisted evidence recharting, 2026-09-08</ns0:t>
        </ns0:is>
      </ns0:c>
    </ns0:row>
    <ns0:row r="467" ht="42" customHeight="1">
      <ns0:c r="A467" s="19" t="inlineStr">
        <ns0:is>
          <ns0:t>83</ns0:t>
        </ns0:is>
      </ns0:c>
      <ns0:c r="B467" s="19" t="inlineStr">
        <ns0:is>
          <ns0:t>rq2_status</ns0:t>
        </ns0:is>
      </ns0:c>
      <ns0:c r="C467" s="19" t="inlineStr">
        <ns0:is>
          <ns0:t>Not adjudicated in master</ns0:t>
        </ns0:is>
      </ns0:c>
      <ns0:c r="D467" s="19" t="inlineStr">
        <ns0:is>
          <ns0:t>Excluded</ns0:t>
        </ns0:is>
      </ns0:c>
      <ns0:c r="E467" s="19" t="inlineStr">
        <ns0:is>
          <ns0:t>Public discourse convergence on Reddit is the primary endpoint; topic modeling does not classify, assess, monitor, predict care outcomes or provide an ASD intervention.</ns0:t>
        </ns0:is>
      </ns0:c>
      <ns0:c r="F467" s="19" t="inlineStr">
        <ns0:is>
          <ns0:t>https://doi.org/10.2196/70914</ns0:t>
        </ns0:is>
      </ns0:c>
      <ns0:c r="G467" s="19" t="inlineStr">
        <ns0:is>
          <ns0:t>ChatGPT-assisted evidence recharting, 2026-09-08</ns0:t>
        </ns0:is>
      </ns0:c>
    </ns0:row>
    <ns0:row r="468" ht="42" customHeight="1">
      <ns0:c r="A468" s="21" t="inlineStr">
        <ns0:is>
          <ns0:t>83</ns0:t>
        </ns0:is>
      </ns0:c>
      <ns0:c r="B468" s="21" t="inlineStr">
        <ns0:is>
          <ns0:t>rq2_role</ns0:t>
        </ns0:is>
      </ns0:c>
      <ns0:c r="C468" s="21" t="inlineStr"/>
      <ns0:c r="D468" s="21" t="inlineStr">
        <ns0:is>
          <ns0:t>Excluded</ns0:t>
        </ns0:is>
      </ns0:c>
      <ns0:c r="E468" s="21" t="inlineStr">
        <ns0:is>
          <ns0:t>Public discourse convergence on Reddit is the primary endpoint; topic modeling does not classify, assess, monitor, predict care outcomes or provide an ASD intervention.</ns0:t>
        </ns0:is>
      </ns0:c>
      <ns0:c r="F468" s="21" t="inlineStr">
        <ns0:is>
          <ns0:t>https://doi.org/10.2196/70914</ns0:t>
        </ns0:is>
      </ns0:c>
      <ns0:c r="G468" s="21" t="inlineStr">
        <ns0:is>
          <ns0:t>ChatGPT-assisted evidence recharting, 2026-09-08</ns0:t>
        </ns0:is>
      </ns0:c>
    </ns0:row>
    <ns0:row r="469" ht="42" customHeight="1">
      <ns0:c r="A469" s="19" t="inlineStr">
        <ns0:is>
          <ns0:t>83</ns0:t>
        </ns0:is>
      </ns0:c>
      <ns0:c r="B469" s="19" t="inlineStr">
        <ns0:is>
          <ns0:t>decision_timing</ns0:t>
        </ns0:is>
      </ns0:c>
      <ns0:c r="C469" s="19" t="inlineStr"/>
      <ns0:c r="D469" s="19" t="inlineStr">
        <ns0:is>
          <ns0:t>Not applicable - excluded</ns0:t>
        </ns0:is>
      </ns0:c>
      <ns0:c r="E469" s="19" t="inlineStr">
        <ns0:is>
          <ns0:t>Public discourse convergence on Reddit is the primary endpoint; topic modeling does not classify, assess, monitor, predict care outcomes or provide an ASD intervention.</ns0:t>
        </ns0:is>
      </ns0:c>
      <ns0:c r="F469" s="19" t="inlineStr">
        <ns0:is>
          <ns0:t>https://doi.org/10.2196/70914</ns0:t>
        </ns0:is>
      </ns0:c>
      <ns0:c r="G469" s="19" t="inlineStr">
        <ns0:is>
          <ns0:t>ChatGPT-assisted evidence recharting, 2026-09-08</ns0:t>
        </ns0:is>
      </ns0:c>
    </ns0:row>
    <ns0:row r="470" ht="42" customHeight="1">
      <ns0:c r="A470" s="21" t="inlineStr">
        <ns0:is>
          <ns0:t>84</ns0:t>
        </ns0:is>
      </ns0:c>
      <ns0:c r="B470" s="21" t="inlineStr">
        <ns0:is>
          <ns0:t>data_source_primary</ns0:t>
        </ns0:is>
      </ns0:c>
      <ns0:c r="C470" s="21" t="inlineStr">
        <ns0:is>
          <ns0:t>Text / NLP (legacy; verify input type)</ns0:t>
        </ns0:is>
      </ns0:c>
      <ns0:c r="D470" s="21" t="inlineStr">
        <ns0:is>
          <ns0:t>Text/language</ns0:t>
        </ns0:is>
      </ns0:c>
      <ns0:c r="E470" s="21" t="inlineStr">
        <ns0:is>
          <ns0:t>Spoken language is transcribed and modeled as text; comparison with an interpretable logistic baseline does not establish an RNN architecture.</ns0:t>
        </ns0:is>
      </ns0:c>
      <ns0:c r="F470" s="21" t="inlineStr">
        <ns0:is>
          <ns0:t>https://doi.org/10.1371/journal.pone.0311209</ns0:t>
        </ns0:is>
      </ns0:c>
      <ns0:c r="G470" s="21" t="inlineStr">
        <ns0:is>
          <ns0:t>ChatGPT-assisted evidence recharting, 2026-09-08</ns0:t>
        </ns0:is>
      </ns0:c>
    </ns0:row>
    <ns0:row r="471" ht="42" customHeight="1">
      <ns0:c r="A471" s="19" t="inlineStr">
        <ns0:is>
          <ns0:t>84</ns0:t>
        </ns0:is>
      </ns0:c>
      <ns0:c r="B471" s="19" t="inlineStr">
        <ns0:is>
          <ns0:t>algorithm_main</ns0:t>
        </ns0:is>
      </ns0:c>
      <ns0:c r="C471" s="19" t="inlineStr">
        <ns0:is>
          <ns0:t>RNN/LSTM/GRU</ns0:t>
        </ns0:is>
      </ns0:c>
      <ns0:c r="D471" s="19" t="inlineStr">
        <ns0:is>
          <ns0:t>DNN for lexicogrammatical and text features</ns0:t>
        </ns0:is>
      </ns0:c>
      <ns0:c r="E471" s="19" t="inlineStr">
        <ns0:is>
          <ns0:t>Spoken language is transcribed and modeled as text; comparison with an interpretable logistic baseline does not establish an RNN architecture.</ns0:t>
        </ns0:is>
      </ns0:c>
      <ns0:c r="F471" s="19" t="inlineStr">
        <ns0:is>
          <ns0:t>https://doi.org/10.1371/journal.pone.0311209</ns0:t>
        </ns0:is>
      </ns0:c>
      <ns0:c r="G471" s="19" t="inlineStr">
        <ns0:is>
          <ns0:t>ChatGPT-assisted evidence recharting, 2026-09-08</ns0:t>
        </ns0:is>
      </ns0:c>
    </ns0:row>
    <ns0:row r="472" ht="42" customHeight="1">
      <ns0:c r="A472" s="21" t="inlineStr">
        <ns0:is>
          <ns0:t>84</ns0:t>
        </ns0:is>
      </ns0:c>
      <ns0:c r="B472" s="21" t="inlineStr">
        <ns0:is>
          <ns0:t>rq2_status</ns0:t>
        </ns0:is>
      </ns0:c>
      <ns0:c r="C472" s="21" t="inlineStr">
        <ns0:is>
          <ns0:t>Not adjudicated in master</ns0:t>
        </ns0:is>
      </ns0:c>
      <ns0:c r="D472" s="21" t="inlineStr">
        <ns0:is>
          <ns0:t>Proposed only</ns0:t>
        </ns0:is>
      </ns0:c>
      <ns0:c r="E472" s="21" t="inlineStr">
        <ns0:is>
          <ns0:t>Spoken language is transcribed and modeled as text; comparison with an interpretable logistic baseline does not establish an RNN architecture.</ns0:t>
        </ns0:is>
      </ns0:c>
      <ns0:c r="F472" s="21" t="inlineStr">
        <ns0:is>
          <ns0:t>https://doi.org/10.1371/journal.pone.0311209</ns0:t>
        </ns0:is>
      </ns0:c>
      <ns0:c r="G472" s="21" t="inlineStr">
        <ns0:is>
          <ns0:t>ChatGPT-assisted evidence recharting, 2026-09-08</ns0:t>
        </ns0:is>
      </ns0:c>
    </ns0:row>
    <ns0:row r="473" ht="42" customHeight="1">
      <ns0:c r="A473" s="19" t="inlineStr">
        <ns0:is>
          <ns0:t>84</ns0:t>
        </ns0:is>
      </ns0:c>
      <ns0:c r="B473" s="19" t="inlineStr">
        <ns0:is>
          <ns0:t>rq2_role</ns0:t>
        </ns0:is>
      </ns0:c>
      <ns0:c r="C473" s="19" t="inlineStr"/>
      <ns0:c r="D473" s="19" t="inlineStr">
        <ns0:is>
          <ns0:t>Diagnostic decision support</ns0:t>
        </ns0:is>
      </ns0:c>
      <ns0:c r="E473" s="19" t="inlineStr">
        <ns0:is>
          <ns0:t>Spoken language is transcribed and modeled as text; comparison with an interpretable logistic baseline does not establish an RNN architecture.</ns0:t>
        </ns0:is>
      </ns0:c>
      <ns0:c r="F473" s="19" t="inlineStr">
        <ns0:is>
          <ns0:t>https://doi.org/10.1371/journal.pone.0311209</ns0:t>
        </ns0:is>
      </ns0:c>
      <ns0:c r="G473" s="19" t="inlineStr">
        <ns0:is>
          <ns0:t>ChatGPT-assisted evidence recharting, 2026-09-08</ns0:t>
        </ns0:is>
      </ns0:c>
    </ns0:row>
    <ns0:row r="474" ht="42" customHeight="1">
      <ns0:c r="A474" s="21" t="inlineStr">
        <ns0:is>
          <ns0:t>84</ns0:t>
        </ns0:is>
      </ns0:c>
      <ns0:c r="B474" s="21" t="inlineStr">
        <ns0:is>
          <ns0:t>decision_timing</ns0:t>
        </ns0:is>
      </ns0:c>
      <ns0:c r="C474" s="21" t="inlineStr"/>
      <ns0:c r="D474" s="21" t="inlineStr">
        <ns0:is>
          <ns0:t>In-decision</ns0:t>
        </ns0:is>
      </ns0:c>
      <ns0:c r="E474" s="21" t="inlineStr">
        <ns0:is>
          <ns0:t>Spoken language is transcribed and modeled as text; comparison with an interpretable logistic baseline does not establish an RNN architecture.</ns0:t>
        </ns0:is>
      </ns0:c>
      <ns0:c r="F474" s="21" t="inlineStr">
        <ns0:is>
          <ns0:t>https://doi.org/10.1371/journal.pone.0311209</ns0:t>
        </ns0:is>
      </ns0:c>
      <ns0:c r="G474" s="21" t="inlineStr">
        <ns0:is>
          <ns0:t>ChatGPT-assisted evidence recharting, 2026-09-08</ns0:t>
        </ns0:is>
      </ns0:c>
    </ns0:row>
    <ns0:row r="475" ht="42" customHeight="1">
      <ns0:c r="A475" s="19" t="inlineStr">
        <ns0:is>
          <ns0:t>85</ns0:t>
        </ns0:is>
      </ns0:c>
      <ns0:c r="B475" s="19" t="inlineStr">
        <ns0:is>
          <ns0:t>data_source_primary</ns0:t>
        </ns0:is>
      </ns0:c>
      <ns0:c r="C475" s="19" t="inlineStr">
        <ns0:is>
          <ns0:t>Image (subtype unresolved)</ns0:t>
        </ns0:is>
      </ns0:c>
      <ns0:c r="D475" s="19" t="inlineStr">
        <ns0:is>
          <ns0:t>Neuroimaging</ns0:t>
        </ns0:is>
      </ns0:c>
      <ns0:c r="E475" s="19" t="inlineStr">
        <ns0:is>
          <ns0:t>Additional independently acquired subjects form a test cohort. FLAIR and ADC are explicitly combined; attention as architecture is not sufficient for strict explainability.</ns0:t>
        </ns0:is>
      </ns0:c>
      <ns0:c r="F475" s="19" t="inlineStr">
        <ns0:is>
          <ns0:t>https://doi.org/10.1007/s00330-021-08239-4</ns0:t>
        </ns0:is>
      </ns0:c>
      <ns0:c r="G475" s="19" t="inlineStr">
        <ns0:is>
          <ns0:t>ChatGPT-assisted evidence recharting, 2026-09-08</ns0:t>
        </ns0:is>
      </ns0:c>
    </ns0:row>
    <ns0:row r="476" ht="42" customHeight="1">
      <ns0:c r="A476" s="21" t="inlineStr">
        <ns0:is>
          <ns0:t>85</ns0:t>
        </ns0:is>
      </ns0:c>
      <ns0:c r="B476" s="21" t="inlineStr">
        <ns0:is>
          <ns0:t>algorithm_main</ns0:t>
        </ns0:is>
      </ns0:c>
      <ns0:c r="C476" s="21" t="inlineStr">
        <ns0:is>
          <ns0:t>CNN</ns0:t>
        </ns0:is>
      </ns0:c>
      <ns0:c r="D476" s="21" t="inlineStr">
        <ns0:is>
          <ns0:t>Dual-stream CNN with attention</ns0:t>
        </ns0:is>
      </ns0:c>
      <ns0:c r="E476" s="21" t="inlineStr">
        <ns0:is>
          <ns0:t>Additional independently acquired subjects form a test cohort. FLAIR and ADC are explicitly combined; attention as architecture is not sufficient for strict explainability.</ns0:t>
        </ns0:is>
      </ns0:c>
      <ns0:c r="F476" s="21" t="inlineStr">
        <ns0:is>
          <ns0:t>https://doi.org/10.1007/s00330-021-08239-4</ns0:t>
        </ns0:is>
      </ns0:c>
      <ns0:c r="G476" s="21" t="inlineStr">
        <ns0:is>
          <ns0:t>ChatGPT-assisted evidence recharting, 2026-09-08</ns0:t>
        </ns0:is>
      </ns0:c>
    </ns0:row>
    <ns0:row r="477" ht="42" customHeight="1">
      <ns0:c r="A477" s="19" t="inlineStr">
        <ns0:is>
          <ns0:t>85</ns0:t>
        </ns0:is>
      </ns0:c>
      <ns0:c r="B477" s="19" t="inlineStr">
        <ns0:is>
          <ns0:t>rq2_status</ns0:t>
        </ns0:is>
      </ns0:c>
      <ns0:c r="C477" s="19" t="inlineStr">
        <ns0:is>
          <ns0:t>Not adjudicated in master</ns0:t>
        </ns0:is>
      </ns0:c>
      <ns0:c r="D477" s="19" t="inlineStr">
        <ns0:is>
          <ns0:t>Research only</ns0:t>
        </ns0:is>
      </ns0:c>
      <ns0:c r="E477" s="19" t="inlineStr">
        <ns0:is>
          <ns0:t>Additional independently acquired subjects form a test cohort. FLAIR and ADC are explicitly combined; attention as architecture is not sufficient for strict explainability.</ns0:t>
        </ns0:is>
      </ns0:c>
      <ns0:c r="F477" s="19" t="inlineStr">
        <ns0:is>
          <ns0:t>https://doi.org/10.1007/s00330-021-08239-4</ns0:t>
        </ns0:is>
      </ns0:c>
      <ns0:c r="G477" s="19" t="inlineStr">
        <ns0:is>
          <ns0:t>ChatGPT-assisted evidence recharting, 2026-09-08</ns0:t>
        </ns0:is>
      </ns0:c>
    </ns0:row>
    <ns0:row r="478" ht="42" customHeight="1">
      <ns0:c r="A478" s="21" t="inlineStr">
        <ns0:is>
          <ns0:t>85</ns0:t>
        </ns0:is>
      </ns0:c>
      <ns0:c r="B478" s="21" t="inlineStr">
        <ns0:is>
          <ns0:t>rq2_role</ns0:t>
        </ns0:is>
      </ns0:c>
      <ns0:c r="C478" s="21" t="inlineStr"/>
      <ns0:c r="D478" s="21" t="inlineStr">
        <ns0:is>
          <ns0:t>Automated measurement/classification</ns0:t>
        </ns0:is>
      </ns0:c>
      <ns0:c r="E478" s="21" t="inlineStr">
        <ns0:is>
          <ns0:t>Additional independently acquired subjects form a test cohort. FLAIR and ADC are explicitly combined; attention as architecture is not sufficient for strict explainability.</ns0:t>
        </ns0:is>
      </ns0:c>
      <ns0:c r="F478" s="21" t="inlineStr">
        <ns0:is>
          <ns0:t>https://doi.org/10.1007/s00330-021-08239-4</ns0:t>
        </ns0:is>
      </ns0:c>
      <ns0:c r="G478" s="21" t="inlineStr">
        <ns0:is>
          <ns0:t>ChatGPT-assisted evidence recharting, 2026-09-08</ns0:t>
        </ns0:is>
      </ns0:c>
    </ns0:row>
    <ns0:row r="479" ht="42" customHeight="1">
      <ns0:c r="A479" s="19" t="inlineStr">
        <ns0:is>
          <ns0:t>85</ns0:t>
        </ns0:is>
      </ns0:c>
      <ns0:c r="B479" s="19" t="inlineStr">
        <ns0:is>
          <ns0:t>decision_timing</ns0:t>
        </ns0:is>
      </ns0:c>
      <ns0:c r="C479" s="19" t="inlineStr"/>
      <ns0:c r="D479" s="19" t="inlineStr">
        <ns0:is>
          <ns0:t>Not observed in assessed sources</ns0:t>
        </ns0:is>
      </ns0:c>
      <ns0:c r="E479" s="19" t="inlineStr">
        <ns0:is>
          <ns0:t>Additional independently acquired subjects form a test cohort. FLAIR and ADC are explicitly combined; attention as architecture is not sufficient for strict explainability.</ns0:t>
        </ns0:is>
      </ns0:c>
      <ns0:c r="F479" s="19" t="inlineStr">
        <ns0:is>
          <ns0:t>https://doi.org/10.1007/s00330-021-08239-4</ns0:t>
        </ns0:is>
      </ns0:c>
      <ns0:c r="G479" s="19" t="inlineStr">
        <ns0:is>
          <ns0:t>ChatGPT-assisted evidence recharting, 2026-09-08</ns0:t>
        </ns0:is>
      </ns0:c>
    </ns0:row>
    <ns0:row r="480" ht="42" customHeight="1">
      <ns0:c r="A480" s="21" t="inlineStr">
        <ns0:is>
          <ns0:t>85</ns0:t>
        </ns0:is>
      </ns0:c>
      <ns0:c r="B480" s="21" t="inlineStr">
        <ns0:is>
          <ns0:t>multisource_data</ns0:t>
        </ns0:is>
      </ns0:c>
      <ns0:c r="C480" s="21" t="inlineStr">
        <ns0:is>
          <ns0:t>Not reported in assessed sources</ns0:t>
        </ns0:is>
      </ns0:c>
      <ns0:c r="D480" s="21" t="inlineStr">
        <ns0:is>
          <ns0:t>Reported</ns0:t>
        </ns0:is>
      </ns0:c>
      <ns0:c r="E480" s="21" t="inlineStr">
        <ns0:is>
          <ns0:t>Additional independently acquired subjects form a test cohort. FLAIR and ADC are explicitly combined; attention as architecture is not sufficient for strict explainability.</ns0:t>
        </ns0:is>
      </ns0:c>
      <ns0:c r="F480" s="21" t="inlineStr">
        <ns0:is>
          <ns0:t>https://doi.org/10.1007/s00330-021-08239-4</ns0:t>
        </ns0:is>
      </ns0:c>
      <ns0:c r="G480" s="21" t="inlineStr">
        <ns0:is>
          <ns0:t>ChatGPT-assisted evidence recharting, 2026-09-08</ns0:t>
        </ns0:is>
      </ns0:c>
    </ns0:row>
    <ns0:row r="481" ht="42" customHeight="1">
      <ns0:c r="A481" s="19" t="inlineStr">
        <ns0:is>
          <ns0:t>86</ns0:t>
        </ns0:is>
      </ns0:c>
      <ns0:c r="B481" s="19" t="inlineStr">
        <ns0:is>
          <ns0:t>ai_type</ns0:t>
        </ns0:is>
      </ns0:c>
      <ns0:c r="C481" s="19" t="inlineStr">
        <ns0:is>
          <ns0:t>Deep Learning</ns0:t>
        </ns0:is>
      </ns0:c>
      <ns0:c r="D481" s="19" t="inlineStr">
        <ns0:is>
          <ns0:t>Machine Learning</ns0:t>
        </ns0:is>
      </ns0:c>
      <ns0:c r="E481" s="19" t="inlineStr">
        <ns0:is>
          <ns0:t>Integrated sensory behavior, neuroimaging and saliva methylation; XGBoost is conventional machine learning, not deep learning.</ns0:t>
        </ns0:is>
      </ns0:c>
      <ns0:c r="F481" s="19" t="inlineStr">
        <ns0:is>
          <ns0:t>https://doi.org/10.1038/s41398-025-03566-2</ns0:t>
        </ns0:is>
      </ns0:c>
      <ns0:c r="G481" s="19" t="inlineStr">
        <ns0:is>
          <ns0:t>ChatGPT-assisted evidence recharting, 2026-09-08</ns0:t>
        </ns0:is>
      </ns0:c>
    </ns0:row>
    <ns0:row r="482" ht="42" customHeight="1">
      <ns0:c r="A482" s="21" t="inlineStr">
        <ns0:is>
          <ns0:t>86</ns0:t>
        </ns0:is>
      </ns0:c>
      <ns0:c r="B482" s="21" t="inlineStr">
        <ns0:is>
          <ns0:t>data_source_primary</ns0:t>
        </ns0:is>
      </ns0:c>
      <ns0:c r="C482" s="21" t="inlineStr">
        <ns0:is>
          <ns0:t>Physiological signals</ns0:t>
        </ns0:is>
      </ns0:c>
      <ns0:c r="D482" s="21" t="inlineStr">
        <ns0:is>
          <ns0:t>Multiple source categories</ns0:t>
        </ns0:is>
      </ns0:c>
      <ns0:c r="E482" s="21" t="inlineStr">
        <ns0:is>
          <ns0:t>Integrated sensory behavior, neuroimaging and saliva methylation; XGBoost is conventional machine learning, not deep learning.</ns0:t>
        </ns0:is>
      </ns0:c>
      <ns0:c r="F482" s="21" t="inlineStr">
        <ns0:is>
          <ns0:t>https://doi.org/10.1038/s41398-025-03566-2</ns0:t>
        </ns0:is>
      </ns0:c>
      <ns0:c r="G482" s="21" t="inlineStr">
        <ns0:is>
          <ns0:t>ChatGPT-assisted evidence recharting, 2026-09-08</ns0:t>
        </ns0:is>
      </ns0:c>
    </ns0:row>
    <ns0:row r="483" ht="42" customHeight="1">
      <ns0:c r="A483" s="19" t="inlineStr">
        <ns0:is>
          <ns0:t>86</ns0:t>
        </ns0:is>
      </ns0:c>
      <ns0:c r="B483" s="19" t="inlineStr">
        <ns0:is>
          <ns0:t>algorithm_main</ns0:t>
        </ns0:is>
      </ns0:c>
      <ns0:c r="C483" s="19" t="inlineStr">
        <ns0:is>
          <ns0:t>XGBoost / GBDT</ns0:t>
        </ns0:is>
      </ns0:c>
      <ns0:c r="D483" s="19" t="inlineStr">
        <ns0:is>
          <ns0:t>XGBoost</ns0:t>
        </ns0:is>
      </ns0:c>
      <ns0:c r="E483" s="19" t="inlineStr">
        <ns0:is>
          <ns0:t>Integrated sensory behavior, neuroimaging and saliva methylation; XGBoost is conventional machine learning, not deep learning.</ns0:t>
        </ns0:is>
      </ns0:c>
      <ns0:c r="F483" s="19" t="inlineStr">
        <ns0:is>
          <ns0:t>https://doi.org/10.1038/s41398-025-03566-2</ns0:t>
        </ns0:is>
      </ns0:c>
      <ns0:c r="G483" s="19" t="inlineStr">
        <ns0:is>
          <ns0:t>ChatGPT-assisted evidence recharting, 2026-09-08</ns0:t>
        </ns0:is>
      </ns0:c>
    </ns0:row>
    <ns0:row r="484" ht="42" customHeight="1">
      <ns0:c r="A484" s="21" t="inlineStr">
        <ns0:is>
          <ns0:t>86</ns0:t>
        </ns0:is>
      </ns0:c>
      <ns0:c r="B484" s="21" t="inlineStr">
        <ns0:is>
          <ns0:t>rq2_status</ns0:t>
        </ns0:is>
      </ns0:c>
      <ns0:c r="C484" s="21" t="inlineStr">
        <ns0:is>
          <ns0:t>Not adjudicated in master</ns0:t>
        </ns0:is>
      </ns0:c>
      <ns0:c r="D484" s="21" t="inlineStr">
        <ns0:is>
          <ns0:t>Research only</ns0:t>
        </ns0:is>
      </ns0:c>
      <ns0:c r="E484" s="21" t="inlineStr">
        <ns0:is>
          <ns0:t>Integrated sensory behavior, neuroimaging and saliva methylation; XGBoost is conventional machine learning, not deep learning.</ns0:t>
        </ns0:is>
      </ns0:c>
      <ns0:c r="F484" s="21" t="inlineStr">
        <ns0:is>
          <ns0:t>https://doi.org/10.1038/s41398-025-03566-2</ns0:t>
        </ns0:is>
      </ns0:c>
      <ns0:c r="G484" s="21" t="inlineStr">
        <ns0:is>
          <ns0:t>ChatGPT-assisted evidence recharting, 2026-09-08</ns0:t>
        </ns0:is>
      </ns0:c>
    </ns0:row>
    <ns0:row r="485" ht="42" customHeight="1">
      <ns0:c r="A485" s="19" t="inlineStr">
        <ns0:is>
          <ns0:t>86</ns0:t>
        </ns0:is>
      </ns0:c>
      <ns0:c r="B485" s="19" t="inlineStr">
        <ns0:is>
          <ns0:t>rq2_role</ns0:t>
        </ns0:is>
      </ns0:c>
      <ns0:c r="C485" s="19" t="inlineStr"/>
      <ns0:c r="D485" s="19" t="inlineStr">
        <ns0:is>
          <ns0:t>Automated measurement/classification</ns0:t>
        </ns0:is>
      </ns0:c>
      <ns0:c r="E485" s="19" t="inlineStr">
        <ns0:is>
          <ns0:t>Integrated sensory behavior, neuroimaging and saliva methylation; XGBoost is conventional machine learning, not deep learning.</ns0:t>
        </ns0:is>
      </ns0:c>
      <ns0:c r="F485" s="19" t="inlineStr">
        <ns0:is>
          <ns0:t>https://doi.org/10.1038/s41398-025-03566-2</ns0:t>
        </ns0:is>
      </ns0:c>
      <ns0:c r="G485" s="19" t="inlineStr">
        <ns0:is>
          <ns0:t>ChatGPT-assisted evidence recharting, 2026-09-08</ns0:t>
        </ns0:is>
      </ns0:c>
    </ns0:row>
    <ns0:row r="486" ht="42" customHeight="1">
      <ns0:c r="A486" s="21" t="inlineStr">
        <ns0:is>
          <ns0:t>86</ns0:t>
        </ns0:is>
      </ns0:c>
      <ns0:c r="B486" s="21" t="inlineStr">
        <ns0:is>
          <ns0:t>decision_timing</ns0:t>
        </ns0:is>
      </ns0:c>
      <ns0:c r="C486" s="21" t="inlineStr"/>
      <ns0:c r="D486" s="21" t="inlineStr">
        <ns0:is>
          <ns0:t>Not observed in assessed sources</ns0:t>
        </ns0:is>
      </ns0:c>
      <ns0:c r="E486" s="21" t="inlineStr">
        <ns0:is>
          <ns0:t>Integrated sensory behavior, neuroimaging and saliva methylation; XGBoost is conventional machine learning, not deep learning.</ns0:t>
        </ns0:is>
      </ns0:c>
      <ns0:c r="F486" s="21" t="inlineStr">
        <ns0:is>
          <ns0:t>https://doi.org/10.1038/s41398-025-03566-2</ns0:t>
        </ns0:is>
      </ns0:c>
      <ns0:c r="G486" s="21" t="inlineStr">
        <ns0:is>
          <ns0:t>ChatGPT-assisted evidence recharting, 2026-09-08</ns0:t>
        </ns0:is>
      </ns0:c>
    </ns0:row>
    <ns0:row r="487" ht="42" customHeight="1">
      <ns0:c r="A487" s="19" t="inlineStr">
        <ns0:is>
          <ns0:t>86</ns0:t>
        </ns0:is>
      </ns0:c>
      <ns0:c r="B487" s="19" t="inlineStr">
        <ns0:is>
          <ns0:t>multisource_data</ns0:t>
        </ns0:is>
      </ns0:c>
      <ns0:c r="C487" s="19" t="inlineStr">
        <ns0:is>
          <ns0:t>Not reported in assessed sources</ns0:t>
        </ns0:is>
      </ns0:c>
      <ns0:c r="D487" s="19" t="inlineStr">
        <ns0:is>
          <ns0:t>Reported</ns0:t>
        </ns0:is>
      </ns0:c>
      <ns0:c r="E487" s="19" t="inlineStr">
        <ns0:is>
          <ns0:t>Integrated sensory behavior, neuroimaging and saliva methylation; XGBoost is conventional machine learning, not deep learning.</ns0:t>
        </ns0:is>
      </ns0:c>
      <ns0:c r="F487" s="19" t="inlineStr">
        <ns0:is>
          <ns0:t>https://doi.org/10.1038/s41398-025-03566-2</ns0:t>
        </ns0:is>
      </ns0:c>
      <ns0:c r="G487" s="19" t="inlineStr">
        <ns0:is>
          <ns0:t>ChatGPT-assisted evidence recharting, 2026-09-08</ns0:t>
        </ns0:is>
      </ns0:c>
    </ns0:row>
    <ns0:row r="488" ht="57" customHeight="1">
      <ns0:c r="A488" s="21" t="inlineStr">
        <ns0:is>
          <ns0:t>88</ns0:t>
        </ns0:is>
      </ns0:c>
      <ns0:c r="B488" s="21" t="inlineStr">
        <ns0:is>
          <ns0:t>stage_primary</ns0:t>
        </ns0:is>
      </ns0:c>
      <ns0:c r="C488" s="21" t="inlineStr">
        <ns0:is>
          <ns0:t>Monitoring/intervention</ns0:t>
        </ns0:is>
      </ns0:c>
      <ns0:c r="D488" s="21" t="inlineStr">
        <ns0:is>
          <ns0:t>Not specified</ns0:t>
        </ns0:is>
      </ns0:c>
      <ns0:c r="E488" s="21" t="inlineStr">
        <ns0:is>
          <ns0:t>EEG emotion decoding across ASD and non-ASD samples is mechanistic characterization, not an evaluated intervention. Replication across samples does not alone establish transfer of a frozen classifier.
Independent sample replication reported; a trained-model transfer test is not established in accessible abstract.</ns0:t>
        </ns0:is>
      </ns0:c>
      <ns0:c r="F488" s="21" t="inlineStr">
        <ns0:is>
          <ns0:t>https://doi.org/10.1016/j.bpsc.2021.03.015</ns0:t>
        </ns0:is>
      </ns0:c>
      <ns0:c r="G488" s="21" t="inlineStr">
        <ns0:is>
          <ns0:t>ChatGPT-assisted evidence recharting, 2026-09-08</ns0:t>
        </ns0:is>
      </ns0:c>
    </ns0:row>
    <ns0:row r="489" ht="57" customHeight="1">
      <ns0:c r="A489" s="19" t="inlineStr">
        <ns0:is>
          <ns0:t>88</ns0:t>
        </ns0:is>
      </ns0:c>
      <ns0:c r="B489" s="19" t="inlineStr">
        <ns0:is>
          <ns0:t>algorithm_main</ns0:t>
        </ns0:is>
      </ns0:c>
      <ns0:c r="C489" s="19" t="inlineStr">
        <ns0:is>
          <ns0:t>CNN</ns0:t>
        </ns0:is>
      </ns0:c>
      <ns0:c r="D489" s="19" t="inlineStr">
        <ns0:is>
          <ns0:t>CNN emotion decoder</ns0:t>
        </ns0:is>
      </ns0:c>
      <ns0:c r="E489" s="19" t="inlineStr">
        <ns0:is>
          <ns0:t>EEG emotion decoding across ASD and non-ASD samples is mechanistic characterization, not an evaluated intervention. Replication across samples does not alone establish transfer of a frozen classifier.
Independent sample replication reported; a trained-model transfer test is not established in accessible abstract.</ns0:t>
        </ns0:is>
      </ns0:c>
      <ns0:c r="F489" s="19" t="inlineStr">
        <ns0:is>
          <ns0:t>https://doi.org/10.1016/j.bpsc.2021.03.015</ns0:t>
        </ns0:is>
      </ns0:c>
      <ns0:c r="G489" s="19" t="inlineStr">
        <ns0:is>
          <ns0:t>ChatGPT-assisted evidence recharting, 2026-09-08</ns0:t>
        </ns0:is>
      </ns0:c>
    </ns0:row>
    <ns0:row r="490" ht="57" customHeight="1">
      <ns0:c r="A490" s="21" t="inlineStr">
        <ns0:is>
          <ns0:t>88</ns0:t>
        </ns0:is>
      </ns0:c>
      <ns0:c r="B490" s="21" t="inlineStr">
        <ns0:is>
          <ns0:t>rq2_status</ns0:t>
        </ns0:is>
      </ns0:c>
      <ns0:c r="C490" s="21" t="inlineStr">
        <ns0:is>
          <ns0:t>Not adjudicated in master</ns0:t>
        </ns0:is>
      </ns0:c>
      <ns0:c r="D490" s="21" t="inlineStr">
        <ns0:is>
          <ns0:t>Research only</ns0:t>
        </ns0:is>
      </ns0:c>
      <ns0:c r="E490" s="21" t="inlineStr">
        <ns0:is>
          <ns0:t>EEG emotion decoding across ASD and non-ASD samples is mechanistic characterization, not an evaluated intervention. Replication across samples does not alone establish transfer of a frozen classifier.
Independent sample replication reported; a trained-model transfer test is not established in accessible abstract.</ns0:t>
        </ns0:is>
      </ns0:c>
      <ns0:c r="F490" s="21" t="inlineStr">
        <ns0:is>
          <ns0:t>https://doi.org/10.1016/j.bpsc.2021.03.015</ns0:t>
        </ns0:is>
      </ns0:c>
      <ns0:c r="G490" s="21" t="inlineStr">
        <ns0:is>
          <ns0:t>ChatGPT-assisted evidence recharting, 2026-09-08</ns0:t>
        </ns0:is>
      </ns0:c>
    </ns0:row>
    <ns0:row r="491" ht="57" customHeight="1">
      <ns0:c r="A491" s="19" t="inlineStr">
        <ns0:is>
          <ns0:t>88</ns0:t>
        </ns0:is>
      </ns0:c>
      <ns0:c r="B491" s="19" t="inlineStr">
        <ns0:is>
          <ns0:t>rq2_role</ns0:t>
        </ns0:is>
      </ns0:c>
      <ns0:c r="C491" s="19" t="inlineStr"/>
      <ns0:c r="D491" s="19" t="inlineStr">
        <ns0:is>
          <ns0:t>Research characterization</ns0:t>
        </ns0:is>
      </ns0:c>
      <ns0:c r="E491" s="19" t="inlineStr">
        <ns0:is>
          <ns0:t>EEG emotion decoding across ASD and non-ASD samples is mechanistic characterization, not an evaluated intervention. Replication across samples does not alone establish transfer of a frozen classifier.
Independent sample replication reported; a trained-model transfer test is not established in accessible abstract.</ns0:t>
        </ns0:is>
      </ns0:c>
      <ns0:c r="F491" s="19" t="inlineStr">
        <ns0:is>
          <ns0:t>https://doi.org/10.1016/j.bpsc.2021.03.015</ns0:t>
        </ns0:is>
      </ns0:c>
      <ns0:c r="G491" s="19" t="inlineStr">
        <ns0:is>
          <ns0:t>ChatGPT-assisted evidence recharting, 2026-09-08</ns0:t>
        </ns0:is>
      </ns0:c>
    </ns0:row>
    <ns0:row r="492" ht="57" customHeight="1">
      <ns0:c r="A492" s="21" t="inlineStr">
        <ns0:is>
          <ns0:t>88</ns0:t>
        </ns0:is>
      </ns0:c>
      <ns0:c r="B492" s="21" t="inlineStr">
        <ns0:is>
          <ns0:t>decision_timing</ns0:t>
        </ns0:is>
      </ns0:c>
      <ns0:c r="C492" s="21" t="inlineStr"/>
      <ns0:c r="D492" s="21" t="inlineStr">
        <ns0:is>
          <ns0:t>Not observed in assessed sources</ns0:t>
        </ns0:is>
      </ns0:c>
      <ns0:c r="E492" s="21" t="inlineStr">
        <ns0:is>
          <ns0:t>EEG emotion decoding across ASD and non-ASD samples is mechanistic characterization, not an evaluated intervention. Replication across samples does not alone establish transfer of a frozen classifier.
Independent sample replication reported; a trained-model transfer test is not established in accessible abstract.</ns0:t>
        </ns0:is>
      </ns0:c>
      <ns0:c r="F492" s="21" t="inlineStr">
        <ns0:is>
          <ns0:t>https://doi.org/10.1016/j.bpsc.2021.03.015</ns0:t>
        </ns0:is>
      </ns0:c>
      <ns0:c r="G492" s="21" t="inlineStr">
        <ns0:is>
          <ns0:t>ChatGPT-assisted evidence recharting, 2026-09-08</ns0:t>
        </ns0:is>
      </ns0:c>
    </ns0:row>
    <ns0:row r="493" ht="57" customHeight="1">
      <ns0:c r="A493" s="19" t="inlineStr">
        <ns0:is>
          <ns0:t>88</ns0:t>
        </ns0:is>
      </ns0:c>
      <ns0:c r="B493" s="19" t="inlineStr">
        <ns0:is>
          <ns0:t>external_validation</ns0:t>
        </ns0:is>
      </ns0:c>
      <ns0:c r="C493" s="19" t="inlineStr">
        <ns0:is>
          <ns0:t>Reported</ns0:t>
        </ns0:is>
      </ns0:c>
      <ns0:c r="D493" s="19" t="inlineStr">
        <ns0:is>
          <ns0:t>Not ascertainable</ns0:t>
        </ns0:is>
      </ns0:c>
      <ns0:c r="E493" s="19" t="inlineStr">
        <ns0:is>
          <ns0:t>EEG emotion decoding across ASD and non-ASD samples is mechanistic characterization, not an evaluated intervention. Replication across samples does not alone establish transfer of a frozen classifier.
Independent sample replication reported; a trained-model transfer test is not established in accessible abstract.</ns0:t>
        </ns0:is>
      </ns0:c>
      <ns0:c r="F493" s="19" t="inlineStr">
        <ns0:is>
          <ns0:t>https://doi.org/10.1016/j.bpsc.2021.03.015</ns0:t>
        </ns0:is>
      </ns0:c>
      <ns0:c r="G493" s="19" t="inlineStr">
        <ns0:is>
          <ns0:t>ChatGPT-assisted evidence recharting, 2026-09-08</ns0:t>
        </ns0:is>
      </ns0:c>
    </ns0:row>
    <ns0:row r="494" ht="57" customHeight="1">
      <ns0:c r="A494" s="21" t="inlineStr">
        <ns0:is>
          <ns0:t>89</ns0:t>
        </ns0:is>
      </ns0:c>
      <ns0:c r="B494" s="21" t="inlineStr">
        <ns0:is>
          <ns0:t>data_source_primary</ns0:t>
        </ns0:is>
      </ns0:c>
      <ns0:c r="C494" s="21" t="inlineStr">
        <ns0:is>
          <ns0:t>Image (subtype unresolved)</ns0:t>
        </ns0:is>
      </ns0:c>
      <ns0:c r="D494" s="21" t="inlineStr">
        <ns0:is>
          <ns0:t>Behavioral images/video/gaze/movement</ns0:t>
        </ns0:is>
      </ns0:c>
      <ns0:c r="E494" s="21" t="inlineStr">
        <ns0:is>
          <ns0:t>Controlled feasibility experiment supplied emotion labels via wearable glasses to participants. The separate ASD classifier is an ancillary analysis, not proof of clinical ASD diagnosis using glasses.
Wearable feedback was evaluated in a laboratory; not routine care and not an external validation of ASD diagnosis.</ns0:t>
        </ns0:is>
      </ns0:c>
      <ns0:c r="F494" s="21" t="inlineStr">
        <ns0:is>
          <ns0:t>https://doi.org/10.1055/s-0038-1626727</ns0:t>
        </ns0:is>
      </ns0:c>
      <ns0:c r="G494" s="21" t="inlineStr">
        <ns0:is>
          <ns0:t>ChatGPT-assisted evidence recharting, 2026-09-08</ns0:t>
        </ns0:is>
      </ns0:c>
    </ns0:row>
    <ns0:row r="495" ht="57" customHeight="1">
      <ns0:c r="A495" s="19" t="inlineStr">
        <ns0:is>
          <ns0:t>89</ns0:t>
        </ns0:is>
      </ns0:c>
      <ns0:c r="B495" s="19" t="inlineStr">
        <ns0:is>
          <ns0:t>algorithm_main</ns0:t>
        </ns0:is>
      </ns0:c>
      <ns0:c r="C495" s="19" t="inlineStr">
        <ns0:is>
          <ns0:t>Logistic Regression</ns0:t>
        </ns0:is>
      </ns0:c>
      <ns0:c r="D495" s="19" t="inlineStr">
        <ns0:is>
          <ns0:t>Logistic regression ancillary classifier; wearable labeling system</ns0:t>
        </ns0:is>
      </ns0:c>
      <ns0:c r="E495" s="19" t="inlineStr">
        <ns0:is>
          <ns0:t>Controlled feasibility experiment supplied emotion labels via wearable glasses to participants. The separate ASD classifier is an ancillary analysis, not proof of clinical ASD diagnosis using glasses.
Wearable feedback was evaluated in a laboratory; not routine care and not an external validation of ASD diagnosis.</ns0:t>
        </ns0:is>
      </ns0:c>
      <ns0:c r="F495" s="19" t="inlineStr">
        <ns0:is>
          <ns0:t>https://doi.org/10.1055/s-0038-1626727</ns0:t>
        </ns0:is>
      </ns0:c>
      <ns0:c r="G495" s="19" t="inlineStr">
        <ns0:is>
          <ns0:t>ChatGPT-assisted evidence recharting, 2026-09-08</ns0:t>
        </ns0:is>
      </ns0:c>
    </ns0:row>
    <ns0:row r="496" ht="57" customHeight="1">
      <ns0:c r="A496" s="21" t="inlineStr">
        <ns0:is>
          <ns0:t>89</ns0:t>
        </ns0:is>
      </ns0:c>
      <ns0:c r="B496" s="21" t="inlineStr">
        <ns0:is>
          <ns0:t>rq2_status</ns0:t>
        </ns0:is>
      </ns0:c>
      <ns0:c r="C496" s="21" t="inlineStr">
        <ns0:is>
          <ns0:t>Not adjudicated in master</ns0:t>
        </ns0:is>
      </ns0:c>
      <ns0:c r="D496" s="21" t="inlineStr">
        <ns0:is>
          <ns0:t>Evaluated AI-supported intervention</ns0:t>
        </ns0:is>
      </ns0:c>
      <ns0:c r="E496" s="21" t="inlineStr">
        <ns0:is>
          <ns0:t>Controlled feasibility experiment supplied emotion labels via wearable glasses to participants. The separate ASD classifier is an ancillary analysis, not proof of clinical ASD diagnosis using glasses.
Wearable feedback was evaluated in a laboratory; not routine care and not an external validation of ASD diagnosis.</ns0:t>
        </ns0:is>
      </ns0:c>
      <ns0:c r="F496" s="21" t="inlineStr">
        <ns0:is>
          <ns0:t>https://doi.org/10.1055/s-0038-1626727</ns0:t>
        </ns0:is>
      </ns0:c>
      <ns0:c r="G496" s="21" t="inlineStr">
        <ns0:is>
          <ns0:t>ChatGPT-assisted evidence recharting, 2026-09-08</ns0:t>
        </ns0:is>
      </ns0:c>
    </ns0:row>
    <ns0:row r="497" ht="57" customHeight="1">
      <ns0:c r="A497" s="19" t="inlineStr">
        <ns0:is>
          <ns0:t>89</ns0:t>
        </ns0:is>
      </ns0:c>
      <ns0:c r="B497" s="19" t="inlineStr">
        <ns0:is>
          <ns0:t>rq2_role</ns0:t>
        </ns0:is>
      </ns0:c>
      <ns0:c r="C497" s="19" t="inlineStr"/>
      <ns0:c r="D497" s="19" t="inlineStr">
        <ns0:is>
          <ns0:t>Assistive support</ns0:t>
        </ns0:is>
      </ns0:c>
      <ns0:c r="E497" s="19" t="inlineStr">
        <ns0:is>
          <ns0:t>Controlled feasibility experiment supplied emotion labels via wearable glasses to participants. The separate ASD classifier is an ancillary analysis, not proof of clinical ASD diagnosis using glasses.
Wearable feedback was evaluated in a laboratory; not routine care and not an external validation of ASD diagnosis.</ns0:t>
        </ns0:is>
      </ns0:c>
      <ns0:c r="F497" s="19" t="inlineStr">
        <ns0:is>
          <ns0:t>https://doi.org/10.1055/s-0038-1626727</ns0:t>
        </ns0:is>
      </ns0:c>
      <ns0:c r="G497" s="19" t="inlineStr">
        <ns0:is>
          <ns0:t>ChatGPT-assisted evidence recharting, 2026-09-08</ns0:t>
        </ns0:is>
      </ns0:c>
    </ns0:row>
    <ns0:row r="498" ht="57" customHeight="1">
      <ns0:c r="A498" s="21" t="inlineStr">
        <ns0:is>
          <ns0:t>89</ns0:t>
        </ns0:is>
      </ns0:c>
      <ns0:c r="B498" s="21" t="inlineStr">
        <ns0:is>
          <ns0:t>decision_timing</ns0:t>
        </ns0:is>
      </ns0:c>
      <ns0:c r="C498" s="21" t="inlineStr"/>
      <ns0:c r="D498" s="21" t="inlineStr">
        <ns0:is>
          <ns0:t>Post-decision</ns0:t>
        </ns0:is>
      </ns0:c>
      <ns0:c r="E498" s="21" t="inlineStr">
        <ns0:is>
          <ns0:t>Controlled feasibility experiment supplied emotion labels via wearable glasses to participants. The separate ASD classifier is an ancillary analysis, not proof of clinical ASD diagnosis using glasses.
Wearable feedback was evaluated in a laboratory; not routine care and not an external validation of ASD diagnosis.</ns0:t>
        </ns0:is>
      </ns0:c>
      <ns0:c r="F498" s="21" t="inlineStr">
        <ns0:is>
          <ns0:t>https://doi.org/10.1055/s-0038-1626727</ns0:t>
        </ns0:is>
      </ns0:c>
      <ns0:c r="G498" s="21" t="inlineStr">
        <ns0:is>
          <ns0:t>ChatGPT-assisted evidence recharting, 2026-09-08</ns0:t>
        </ns0:is>
      </ns0:c>
    </ns0:row>
    <ns0:row r="499" ht="57" customHeight="1">
      <ns0:c r="A499" s="19" t="inlineStr">
        <ns0:is>
          <ns0:t>89</ns0:t>
        </ns0:is>
      </ns0:c>
      <ns0:c r="B499" s="19" t="inlineStr">
        <ns0:is>
          <ns0:t>prospective_evaluation</ns0:t>
        </ns0:is>
      </ns0:c>
      <ns0:c r="C499" s="19" t="inlineStr">
        <ns0:is>
          <ns0:t>Not reported in assessed sources</ns0:t>
        </ns0:is>
      </ns0:c>
      <ns0:c r="D499" s="19" t="inlineStr">
        <ns0:is>
          <ns0:t>Reported</ns0:t>
        </ns0:is>
      </ns0:c>
      <ns0:c r="E499" s="19" t="inlineStr">
        <ns0:is>
          <ns0:t>Controlled feasibility experiment supplied emotion labels via wearable glasses to participants. The separate ASD classifier is an ancillary analysis, not proof of clinical ASD diagnosis using glasses.
Wearable feedback was evaluated in a laboratory; not routine care and not an external validation of ASD diagnosis.</ns0:t>
        </ns0:is>
      </ns0:c>
      <ns0:c r="F499" s="19" t="inlineStr">
        <ns0:is>
          <ns0:t>https://doi.org/10.1055/s-0038-1626727</ns0:t>
        </ns0:is>
      </ns0:c>
      <ns0:c r="G499" s="19" t="inlineStr">
        <ns0:is>
          <ns0:t>ChatGPT-assisted evidence recharting, 2026-09-08</ns0:t>
        </ns0:is>
      </ns0:c>
    </ns0:row>
    <ns0:row r="500" ht="42" customHeight="1">
      <ns0:c r="A500" s="21" t="inlineStr">
        <ns0:is>
          <ns0:t>90</ns0:t>
        </ns0:is>
      </ns0:c>
      <ns0:c r="B500" s="21" t="inlineStr">
        <ns0:is>
          <ns0:t>data_source_primary</ns0:t>
        </ns0:is>
      </ns0:c>
      <ns0:c r="C500" s="21" t="inlineStr">
        <ns0:is>
          <ns0:t>Not specified</ns0:t>
        </ns0:is>
      </ns0:c>
      <ns0:c r="D500" s="21" t="inlineStr">
        <ns0:is>
          <ns0:t>Behavioral images/video/gaze/movement</ns0:t>
        </ns0:is>
      </ns0:c>
      <ns0:c r="E500" s="21" t="inlineStr">
        <ns0:is>
          <ns0:t>Tablet handwriting features classify ADHD with co-occurring ASD versus healthy controls. Included as ASD-related differential assessment; specificity for ASD alone cannot be inferred.</ns0:t>
        </ns0:is>
      </ns0:c>
      <ns0:c r="F500" s="21" t="inlineStr">
        <ns0:is>
          <ns0:t>https://doi.org/10.1109/access.2023.3302903</ns0:t>
        </ns0:is>
      </ns0:c>
      <ns0:c r="G500" s="21" t="inlineStr">
        <ns0:is>
          <ns0:t>ChatGPT-assisted evidence recharting, 2026-09-08</ns0:t>
        </ns0:is>
      </ns0:c>
    </ns0:row>
    <ns0:row r="501" ht="42" customHeight="1">
      <ns0:c r="A501" s="19" t="inlineStr">
        <ns0:is>
          <ns0:t>90</ns0:t>
        </ns0:is>
      </ns0:c>
      <ns0:c r="B501" s="19" t="inlineStr">
        <ns0:is>
          <ns0:t>algorithm_main</ns0:t>
        </ns0:is>
      </ns0:c>
      <ns0:c r="C501" s="19" t="inlineStr">
        <ns0:is>
          <ns0:t>Random Forest</ns0:t>
        </ns0:is>
      </ns0:c>
      <ns0:c r="D501" s="19" t="inlineStr">
        <ns0:is>
          <ns0:t>Random forest</ns0:t>
        </ns0:is>
      </ns0:c>
      <ns0:c r="E501" s="19" t="inlineStr">
        <ns0:is>
          <ns0:t>Tablet handwriting features classify ADHD with co-occurring ASD versus healthy controls. Included as ASD-related differential assessment; specificity for ASD alone cannot be inferred.</ns0:t>
        </ns0:is>
      </ns0:c>
      <ns0:c r="F501" s="19" t="inlineStr">
        <ns0:is>
          <ns0:t>https://doi.org/10.1109/access.2023.3302903</ns0:t>
        </ns0:is>
      </ns0:c>
      <ns0:c r="G501" s="19" t="inlineStr">
        <ns0:is>
          <ns0:t>ChatGPT-assisted evidence recharting, 2026-09-08</ns0:t>
        </ns0:is>
      </ns0:c>
    </ns0:row>
    <ns0:row r="502" ht="42" customHeight="1">
      <ns0:c r="A502" s="21" t="inlineStr">
        <ns0:is>
          <ns0:t>90</ns0:t>
        </ns0:is>
      </ns0:c>
      <ns0:c r="B502" s="21" t="inlineStr">
        <ns0:is>
          <ns0:t>rq2_status</ns0:t>
        </ns0:is>
      </ns0:c>
      <ns0:c r="C502" s="21" t="inlineStr">
        <ns0:is>
          <ns0:t>Not adjudicated in master</ns0:t>
        </ns0:is>
      </ns0:c>
      <ns0:c r="D502" s="21" t="inlineStr">
        <ns0:is>
          <ns0:t>Research only</ns0:t>
        </ns0:is>
      </ns0:c>
      <ns0:c r="E502" s="21" t="inlineStr">
        <ns0:is>
          <ns0:t>Tablet handwriting features classify ADHD with co-occurring ASD versus healthy controls. Included as ASD-related differential assessment; specificity for ASD alone cannot be inferred.</ns0:t>
        </ns0:is>
      </ns0:c>
      <ns0:c r="F502" s="21" t="inlineStr">
        <ns0:is>
          <ns0:t>https://doi.org/10.1109/access.2023.3302903</ns0:t>
        </ns0:is>
      </ns0:c>
      <ns0:c r="G502" s="21" t="inlineStr">
        <ns0:is>
          <ns0:t>ChatGPT-assisted evidence recharting, 2026-09-08</ns0:t>
        </ns0:is>
      </ns0:c>
    </ns0:row>
    <ns0:row r="503" ht="42" customHeight="1">
      <ns0:c r="A503" s="19" t="inlineStr">
        <ns0:is>
          <ns0:t>90</ns0:t>
        </ns0:is>
      </ns0:c>
      <ns0:c r="B503" s="19" t="inlineStr">
        <ns0:is>
          <ns0:t>rq2_role</ns0:t>
        </ns0:is>
      </ns0:c>
      <ns0:c r="C503" s="19" t="inlineStr"/>
      <ns0:c r="D503" s="19" t="inlineStr">
        <ns0:is>
          <ns0:t>Automated measurement/classification</ns0:t>
        </ns0:is>
      </ns0:c>
      <ns0:c r="E503" s="19" t="inlineStr">
        <ns0:is>
          <ns0:t>Tablet handwriting features classify ADHD with co-occurring ASD versus healthy controls. Included as ASD-related differential assessment; specificity for ASD alone cannot be inferred.</ns0:t>
        </ns0:is>
      </ns0:c>
      <ns0:c r="F503" s="19" t="inlineStr">
        <ns0:is>
          <ns0:t>https://doi.org/10.1109/access.2023.3302903</ns0:t>
        </ns0:is>
      </ns0:c>
      <ns0:c r="G503" s="19" t="inlineStr">
        <ns0:is>
          <ns0:t>ChatGPT-assisted evidence recharting, 2026-09-08</ns0:t>
        </ns0:is>
      </ns0:c>
    </ns0:row>
    <ns0:row r="504" ht="42" customHeight="1">
      <ns0:c r="A504" s="21" t="inlineStr">
        <ns0:is>
          <ns0:t>90</ns0:t>
        </ns0:is>
      </ns0:c>
      <ns0:c r="B504" s="21" t="inlineStr">
        <ns0:is>
          <ns0:t>decision_timing</ns0:t>
        </ns0:is>
      </ns0:c>
      <ns0:c r="C504" s="21" t="inlineStr"/>
      <ns0:c r="D504" s="21" t="inlineStr">
        <ns0:is>
          <ns0:t>Not observed in assessed sources</ns0:t>
        </ns0:is>
      </ns0:c>
      <ns0:c r="E504" s="21" t="inlineStr">
        <ns0:is>
          <ns0:t>Tablet handwriting features classify ADHD with co-occurring ASD versus healthy controls. Included as ASD-related differential assessment; specificity for ASD alone cannot be inferred.</ns0:t>
        </ns0:is>
      </ns0:c>
      <ns0:c r="F504" s="21" t="inlineStr">
        <ns0:is>
          <ns0:t>https://doi.org/10.1109/access.2023.3302903</ns0:t>
        </ns0:is>
      </ns0:c>
      <ns0:c r="G504" s="21" t="inlineStr">
        <ns0:is>
          <ns0:t>ChatGPT-assisted evidence recharting, 2026-09-08</ns0:t>
        </ns0:is>
      </ns0:c>
    </ns0:row>
    <ns0:row r="505" ht="42" customHeight="1">
      <ns0:c r="A505" s="19" t="inlineStr">
        <ns0:is>
          <ns0:t>91</ns0:t>
        </ns0:is>
      </ns0:c>
      <ns0:c r="B505" s="19" t="inlineStr">
        <ns0:is>
          <ns0:t>data_source_primary</ns0:t>
        </ns0:is>
      </ns0:c>
      <ns0:c r="C505" s="19" t="inlineStr">
        <ns0:is>
          <ns0:t>Not specified</ns0:t>
        </ns0:is>
      </ns0:c>
      <ns0:c r="D505" s="19" t="inlineStr">
        <ns0:is>
          <ns0:t>Neuroimaging</ns0:t>
        </ns0:is>
      </ns0:c>
      <ns0:c r="E505" s="19" t="inlineStr">
        <ns0:is>
          <ns0:t>ABIDE fMRI; combining graph and recurrent neural networks remains deep learning, not a conventional-ML/DL hybrid.</ns0:t>
        </ns0:is>
      </ns0:c>
      <ns0:c r="F505" s="19" t="inlineStr">
        <ns0:is>
          <ns0:t>https://doi.org/10.1007/978-3-031-09342-5_11</ns0:t>
        </ns0:is>
      </ns0:c>
      <ns0:c r="G505" s="19" t="inlineStr">
        <ns0:is>
          <ns0:t>ChatGPT-assisted evidence recharting, 2026-09-08</ns0:t>
        </ns0:is>
      </ns0:c>
    </ns0:row>
    <ns0:row r="506" ht="42" customHeight="1">
      <ns0:c r="A506" s="21" t="inlineStr">
        <ns0:is>
          <ns0:t>91</ns0:t>
        </ns0:is>
      </ns0:c>
      <ns0:c r="B506" s="21" t="inlineStr">
        <ns0:is>
          <ns0:t>algorithm_main</ns0:t>
        </ns0:is>
      </ns0:c>
      <ns0:c r="C506" s="21" t="inlineStr">
        <ns0:is>
          <ns0:t>Other</ns0:t>
        </ns0:is>
      </ns0:c>
      <ns0:c r="D506" s="21" t="inlineStr">
        <ns0:is>
          <ns0:t>GCN-LSTM</ns0:t>
        </ns0:is>
      </ns0:c>
      <ns0:c r="E506" s="21" t="inlineStr">
        <ns0:is>
          <ns0:t>ABIDE fMRI; combining graph and recurrent neural networks remains deep learning, not a conventional-ML/DL hybrid.</ns0:t>
        </ns0:is>
      </ns0:c>
      <ns0:c r="F506" s="21" t="inlineStr">
        <ns0:is>
          <ns0:t>https://doi.org/10.1007/978-3-031-09342-5_11</ns0:t>
        </ns0:is>
      </ns0:c>
      <ns0:c r="G506" s="21" t="inlineStr">
        <ns0:is>
          <ns0:t>ChatGPT-assisted evidence recharting, 2026-09-08</ns0:t>
        </ns0:is>
      </ns0:c>
    </ns0:row>
    <ns0:row r="507" ht="42" customHeight="1">
      <ns0:c r="A507" s="19" t="inlineStr">
        <ns0:is>
          <ns0:t>91</ns0:t>
        </ns0:is>
      </ns0:c>
      <ns0:c r="B507" s="19" t="inlineStr">
        <ns0:is>
          <ns0:t>rq2_status</ns0:t>
        </ns0:is>
      </ns0:c>
      <ns0:c r="C507" s="19" t="inlineStr">
        <ns0:is>
          <ns0:t>Not adjudicated in master</ns0:t>
        </ns0:is>
      </ns0:c>
      <ns0:c r="D507" s="19" t="inlineStr">
        <ns0:is>
          <ns0:t>Research only</ns0:t>
        </ns0:is>
      </ns0:c>
      <ns0:c r="E507" s="19" t="inlineStr">
        <ns0:is>
          <ns0:t>ABIDE fMRI; combining graph and recurrent neural networks remains deep learning, not a conventional-ML/DL hybrid.</ns0:t>
        </ns0:is>
      </ns0:c>
      <ns0:c r="F507" s="19" t="inlineStr">
        <ns0:is>
          <ns0:t>https://doi.org/10.1007/978-3-031-09342-5_11</ns0:t>
        </ns0:is>
      </ns0:c>
      <ns0:c r="G507" s="19" t="inlineStr">
        <ns0:is>
          <ns0:t>ChatGPT-assisted evidence recharting, 2026-09-08</ns0:t>
        </ns0:is>
      </ns0:c>
    </ns0:row>
    <ns0:row r="508" ht="42" customHeight="1">
      <ns0:c r="A508" s="21" t="inlineStr">
        <ns0:is>
          <ns0:t>91</ns0:t>
        </ns0:is>
      </ns0:c>
      <ns0:c r="B508" s="21" t="inlineStr">
        <ns0:is>
          <ns0:t>rq2_role</ns0:t>
        </ns0:is>
      </ns0:c>
      <ns0:c r="C508" s="21" t="inlineStr"/>
      <ns0:c r="D508" s="21" t="inlineStr">
        <ns0:is>
          <ns0:t>Automated measurement/classification</ns0:t>
        </ns0:is>
      </ns0:c>
      <ns0:c r="E508" s="21" t="inlineStr">
        <ns0:is>
          <ns0:t>ABIDE fMRI; combining graph and recurrent neural networks remains deep learning, not a conventional-ML/DL hybrid.</ns0:t>
        </ns0:is>
      </ns0:c>
      <ns0:c r="F508" s="21" t="inlineStr">
        <ns0:is>
          <ns0:t>https://doi.org/10.1007/978-3-031-09342-5_11</ns0:t>
        </ns0:is>
      </ns0:c>
      <ns0:c r="G508" s="21" t="inlineStr">
        <ns0:is>
          <ns0:t>ChatGPT-assisted evidence recharting, 2026-09-08</ns0:t>
        </ns0:is>
      </ns0:c>
    </ns0:row>
    <ns0:row r="509" ht="42" customHeight="1">
      <ns0:c r="A509" s="19" t="inlineStr">
        <ns0:is>
          <ns0:t>91</ns0:t>
        </ns0:is>
      </ns0:c>
      <ns0:c r="B509" s="19" t="inlineStr">
        <ns0:is>
          <ns0:t>decision_timing</ns0:t>
        </ns0:is>
      </ns0:c>
      <ns0:c r="C509" s="19" t="inlineStr"/>
      <ns0:c r="D509" s="19" t="inlineStr">
        <ns0:is>
          <ns0:t>Not observed in assessed sources</ns0:t>
        </ns0:is>
      </ns0:c>
      <ns0:c r="E509" s="19" t="inlineStr">
        <ns0:is>
          <ns0:t>ABIDE fMRI; combining graph and recurrent neural networks remains deep learning, not a conventional-ML/DL hybrid.</ns0:t>
        </ns0:is>
      </ns0:c>
      <ns0:c r="F509" s="19" t="inlineStr">
        <ns0:is>
          <ns0:t>https://doi.org/10.1007/978-3-031-09342-5_11</ns0:t>
        </ns0:is>
      </ns0:c>
      <ns0:c r="G509" s="19" t="inlineStr">
        <ns0:is>
          <ns0:t>ChatGPT-assisted evidence recharting, 2026-09-08</ns0:t>
        </ns0:is>
      </ns0:c>
    </ns0:row>
    <ns0:row r="510" ht="42" customHeight="1">
      <ns0:c r="A510" s="21" t="inlineStr">
        <ns0:is>
          <ns0:t>92</ns0:t>
        </ns0:is>
      </ns0:c>
      <ns0:c r="B510" s="21" t="inlineStr">
        <ns0:is>
          <ns0:t>ai_type</ns0:t>
        </ns0:is>
      </ns0:c>
      <ns0:c r="C510" s="21" t="inlineStr">
        <ns0:is>
          <ns0:t>Deep Learning</ns0:t>
        </ns0:is>
      </ns0:c>
      <ns0:c r="D510" s="21" t="inlineStr">
        <ns0:is>
          <ns0:t>Machine Learning</ns0:t>
        </ns0:is>
      </ns0:c>
      <ns0:c r="E510" s="21" t="inlineStr">
        <ns0:is>
          <ns0:t>Projection-matrix and connectivity learning, with no deep architecture specified in accessible source. A mathematical brain network is not automatically a neural network.</ns0:t>
        </ns0:is>
      </ns0:c>
      <ns0:c r="F510" s="21" t="inlineStr">
        <ns0:is>
          <ns0:t>https://doi.org/10.1016/j.bspc.2024.107466</ns0:t>
        </ns0:is>
      </ns0:c>
      <ns0:c r="G510" s="21" t="inlineStr">
        <ns0:is>
          <ns0:t>ChatGPT-assisted evidence recharting, 2026-09-08</ns0:t>
        </ns0:is>
      </ns0:c>
    </ns0:row>
    <ns0:row r="511" ht="42" customHeight="1">
      <ns0:c r="A511" s="19" t="inlineStr">
        <ns0:is>
          <ns0:t>92</ns0:t>
        </ns0:is>
      </ns0:c>
      <ns0:c r="B511" s="19" t="inlineStr">
        <ns0:is>
          <ns0:t>data_source_primary</ns0:t>
        </ns0:is>
      </ns0:c>
      <ns0:c r="C511" s="19" t="inlineStr">
        <ns0:is>
          <ns0:t>Physiological signals</ns0:t>
        </ns0:is>
      </ns0:c>
      <ns0:c r="D511" s="19" t="inlineStr">
        <ns0:is>
          <ns0:t>Neuroimaging</ns0:t>
        </ns0:is>
      </ns0:c>
      <ns0:c r="E511" s="19" t="inlineStr">
        <ns0:is>
          <ns0:t>Projection-matrix and connectivity learning, with no deep architecture specified in accessible source. A mathematical brain network is not automatically a neural network.</ns0:t>
        </ns0:is>
      </ns0:c>
      <ns0:c r="F511" s="19" t="inlineStr">
        <ns0:is>
          <ns0:t>https://doi.org/10.1016/j.bspc.2024.107466</ns0:t>
        </ns0:is>
      </ns0:c>
      <ns0:c r="G511" s="19" t="inlineStr">
        <ns0:is>
          <ns0:t>ChatGPT-assisted evidence recharting, 2026-09-08</ns0:t>
        </ns0:is>
      </ns0:c>
    </ns0:row>
    <ns0:row r="512" ht="42" customHeight="1">
      <ns0:c r="A512" s="21" t="inlineStr">
        <ns0:is>
          <ns0:t>92</ns0:t>
        </ns0:is>
      </ns0:c>
      <ns0:c r="B512" s="21" t="inlineStr">
        <ns0:is>
          <ns0:t>algorithm_main</ns0:t>
        </ns0:is>
      </ns0:c>
      <ns0:c r="C512" s="21" t="inlineStr">
        <ns0:is>
          <ns0:t>Other / Not clear</ns0:t>
        </ns0:is>
      </ns0:c>
      <ns0:c r="D512" s="21" t="inlineStr">
        <ns0:is>
          <ns0:t>Supervised functional-connectivity network learning</ns0:t>
        </ns0:is>
      </ns0:c>
      <ns0:c r="E512" s="21" t="inlineStr">
        <ns0:is>
          <ns0:t>Projection-matrix and connectivity learning, with no deep architecture specified in accessible source. A mathematical brain network is not automatically a neural network.</ns0:t>
        </ns0:is>
      </ns0:c>
      <ns0:c r="F512" s="21" t="inlineStr">
        <ns0:is>
          <ns0:t>https://doi.org/10.1016/j.bspc.2024.107466</ns0:t>
        </ns0:is>
      </ns0:c>
      <ns0:c r="G512" s="21" t="inlineStr">
        <ns0:is>
          <ns0:t>ChatGPT-assisted evidence recharting, 2026-09-08</ns0:t>
        </ns0:is>
      </ns0:c>
    </ns0:row>
    <ns0:row r="513" ht="42" customHeight="1">
      <ns0:c r="A513" s="19" t="inlineStr">
        <ns0:is>
          <ns0:t>92</ns0:t>
        </ns0:is>
      </ns0:c>
      <ns0:c r="B513" s="19" t="inlineStr">
        <ns0:is>
          <ns0:t>rq2_status</ns0:t>
        </ns0:is>
      </ns0:c>
      <ns0:c r="C513" s="19" t="inlineStr">
        <ns0:is>
          <ns0:t>Not adjudicated in master</ns0:t>
        </ns0:is>
      </ns0:c>
      <ns0:c r="D513" s="19" t="inlineStr">
        <ns0:is>
          <ns0:t>Research only</ns0:t>
        </ns0:is>
      </ns0:c>
      <ns0:c r="E513" s="19" t="inlineStr">
        <ns0:is>
          <ns0:t>Projection-matrix and connectivity learning, with no deep architecture specified in accessible source. A mathematical brain network is not automatically a neural network.</ns0:t>
        </ns0:is>
      </ns0:c>
      <ns0:c r="F513" s="19" t="inlineStr">
        <ns0:is>
          <ns0:t>https://doi.org/10.1016/j.bspc.2024.107466</ns0:t>
        </ns0:is>
      </ns0:c>
      <ns0:c r="G513" s="19" t="inlineStr">
        <ns0:is>
          <ns0:t>ChatGPT-assisted evidence recharting, 2026-09-08</ns0:t>
        </ns0:is>
      </ns0:c>
    </ns0:row>
    <ns0:row r="514" ht="42" customHeight="1">
      <ns0:c r="A514" s="21" t="inlineStr">
        <ns0:is>
          <ns0:t>92</ns0:t>
        </ns0:is>
      </ns0:c>
      <ns0:c r="B514" s="21" t="inlineStr">
        <ns0:is>
          <ns0:t>rq2_role</ns0:t>
        </ns0:is>
      </ns0:c>
      <ns0:c r="C514" s="21" t="inlineStr"/>
      <ns0:c r="D514" s="21" t="inlineStr">
        <ns0:is>
          <ns0:t>Automated measurement/classification</ns0:t>
        </ns0:is>
      </ns0:c>
      <ns0:c r="E514" s="21" t="inlineStr">
        <ns0:is>
          <ns0:t>Projection-matrix and connectivity learning, with no deep architecture specified in accessible source. A mathematical brain network is not automatically a neural network.</ns0:t>
        </ns0:is>
      </ns0:c>
      <ns0:c r="F514" s="21" t="inlineStr">
        <ns0:is>
          <ns0:t>https://doi.org/10.1016/j.bspc.2024.107466</ns0:t>
        </ns0:is>
      </ns0:c>
      <ns0:c r="G514" s="21" t="inlineStr">
        <ns0:is>
          <ns0:t>ChatGPT-assisted evidence recharting, 2026-09-08</ns0:t>
        </ns0:is>
      </ns0:c>
    </ns0:row>
    <ns0:row r="515" ht="42" customHeight="1">
      <ns0:c r="A515" s="19" t="inlineStr">
        <ns0:is>
          <ns0:t>92</ns0:t>
        </ns0:is>
      </ns0:c>
      <ns0:c r="B515" s="19" t="inlineStr">
        <ns0:is>
          <ns0:t>decision_timing</ns0:t>
        </ns0:is>
      </ns0:c>
      <ns0:c r="C515" s="19" t="inlineStr"/>
      <ns0:c r="D515" s="19" t="inlineStr">
        <ns0:is>
          <ns0:t>Not observed in assessed sources</ns0:t>
        </ns0:is>
      </ns0:c>
      <ns0:c r="E515" s="19" t="inlineStr">
        <ns0:is>
          <ns0:t>Projection-matrix and connectivity learning, with no deep architecture specified in accessible source. A mathematical brain network is not automatically a neural network.</ns0:t>
        </ns0:is>
      </ns0:c>
      <ns0:c r="F515" s="19" t="inlineStr">
        <ns0:is>
          <ns0:t>https://doi.org/10.1016/j.bspc.2024.107466</ns0:t>
        </ns0:is>
      </ns0:c>
      <ns0:c r="G515" s="19" t="inlineStr">
        <ns0:is>
          <ns0:t>ChatGPT-assisted evidence recharting, 2026-09-08</ns0:t>
        </ns0:is>
      </ns0:c>
    </ns0:row>
    <ns0:row r="516" ht="42" customHeight="1">
      <ns0:c r="A516" s="21" t="inlineStr">
        <ns0:is>
          <ns0:t>94</ns0:t>
        </ns0:is>
      </ns0:c>
      <ns0:c r="B516" s="21" t="inlineStr">
        <ns0:is>
          <ns0:t>stage_primary</ns0:t>
        </ns0:is>
      </ns0:c>
      <ns0:c r="C516" s="21" t="inlineStr">
        <ns0:is>
          <ns0:t>Screening</ns0:t>
        </ns0:is>
      </ns0:c>
      <ns0:c r="D516" s="21" t="inlineStr">
        <ns0:is>
          <ns0:t>Diagnosis</ns0:t>
        </ns0:is>
      </ns0:c>
      <ns0:c r="E516" s="21" t="inlineStr">
        <ns0:is>
          <ns0:t>Authorized device algorithm update is not itself evidence of prospective physician use of the new version. Source describes diagnostic threshold optimization, not general screening or an explicit deep architecture.</ns0:t>
        </ns0:is>
      </ns0:c>
      <ns0:c r="F516" s="21" t="inlineStr">
        <ns0:is>
          <ns0:t>https://doi.org/10.1016/j.ibmed.2023.100102</ns0:t>
        </ns0:is>
      </ns0:c>
      <ns0:c r="G516" s="21" t="inlineStr">
        <ns0:is>
          <ns0:t>ChatGPT-assisted evidence recharting, 2026-09-08</ns0:t>
        </ns0:is>
      </ns0:c>
    </ns0:row>
    <ns0:row r="517" ht="42" customHeight="1">
      <ns0:c r="A517" s="19" t="inlineStr">
        <ns0:is>
          <ns0:t>94</ns0:t>
        </ns0:is>
      </ns0:c>
      <ns0:c r="B517" s="19" t="inlineStr">
        <ns0:is>
          <ns0:t>ai_type</ns0:t>
        </ns0:is>
      </ns0:c>
      <ns0:c r="C517" s="19" t="inlineStr">
        <ns0:is>
          <ns0:t>Deep Learning</ns0:t>
        </ns0:is>
      </ns0:c>
      <ns0:c r="D517" s="19" t="inlineStr">
        <ns0:is>
          <ns0:t>Not specified</ns0:t>
        </ns0:is>
      </ns0:c>
      <ns0:c r="E517" s="19" t="inlineStr">
        <ns0:is>
          <ns0:t>Authorized device algorithm update is not itself evidence of prospective physician use of the new version. Source describes diagnostic threshold optimization, not general screening or an explicit deep architecture.</ns0:t>
        </ns0:is>
      </ns0:c>
      <ns0:c r="F517" s="19" t="inlineStr">
        <ns0:is>
          <ns0:t>https://doi.org/10.1016/j.ibmed.2023.100102</ns0:t>
        </ns0:is>
      </ns0:c>
      <ns0:c r="G517" s="19" t="inlineStr">
        <ns0:is>
          <ns0:t>ChatGPT-assisted evidence recharting, 2026-09-08</ns0:t>
        </ns0:is>
      </ns0:c>
    </ns0:row>
    <ns0:row r="518" ht="42" customHeight="1">
      <ns0:c r="A518" s="21" t="inlineStr">
        <ns0:is>
          <ns0:t>94</ns0:t>
        </ns0:is>
      </ns0:c>
      <ns0:c r="B518" s="21" t="inlineStr">
        <ns0:is>
          <ns0:t>algorithm_main</ns0:t>
        </ns0:is>
      </ns0:c>
      <ns0:c r="C518" s="21" t="inlineStr">
        <ns0:is>
          <ns0:t>Other / Not clear</ns0:t>
        </ns0:is>
      </ns0:c>
      <ns0:c r="D518" s="21" t="inlineStr">
        <ns0:is>
          <ns0:t>Device threshold-optimization framework; model family unresolved</ns0:t>
        </ns0:is>
      </ns0:c>
      <ns0:c r="E518" s="21" t="inlineStr">
        <ns0:is>
          <ns0:t>Authorized device algorithm update is not itself evidence of prospective physician use of the new version. Source describes diagnostic threshold optimization, not general screening or an explicit deep architecture.</ns0:t>
        </ns0:is>
      </ns0:c>
      <ns0:c r="F518" s="21" t="inlineStr">
        <ns0:is>
          <ns0:t>https://doi.org/10.1016/j.ibmed.2023.100102</ns0:t>
        </ns0:is>
      </ns0:c>
      <ns0:c r="G518" s="21" t="inlineStr">
        <ns0:is>
          <ns0:t>ChatGPT-assisted evidence recharting, 2026-09-08</ns0:t>
        </ns0:is>
      </ns0:c>
    </ns0:row>
    <ns0:row r="519" ht="42" customHeight="1">
      <ns0:c r="A519" s="19" t="inlineStr">
        <ns0:is>
          <ns0:t>94</ns0:t>
        </ns0:is>
      </ns0:c>
      <ns0:c r="B519" s="19" t="inlineStr">
        <ns0:is>
          <ns0:t>rq2_status</ns0:t>
        </ns0:is>
      </ns0:c>
      <ns0:c r="C519" s="19" t="inlineStr">
        <ns0:is>
          <ns0:t>Not adjudicated in master</ns0:t>
        </ns0:is>
      </ns0:c>
      <ns0:c r="D519" s="19" t="inlineStr">
        <ns0:is>
          <ns0:t>Proposed only</ns0:t>
        </ns0:is>
      </ns0:c>
      <ns0:c r="E519" s="19" t="inlineStr">
        <ns0:is>
          <ns0:t>Authorized device algorithm update is not itself evidence of prospective physician use of the new version. Source describes diagnostic threshold optimization, not general screening or an explicit deep architecture.</ns0:t>
        </ns0:is>
      </ns0:c>
      <ns0:c r="F519" s="19" t="inlineStr">
        <ns0:is>
          <ns0:t>https://doi.org/10.1016/j.ibmed.2023.100102</ns0:t>
        </ns0:is>
      </ns0:c>
      <ns0:c r="G519" s="19" t="inlineStr">
        <ns0:is>
          <ns0:t>ChatGPT-assisted evidence recharting, 2026-09-08</ns0:t>
        </ns0:is>
      </ns0:c>
    </ns0:row>
    <ns0:row r="520" ht="42" customHeight="1">
      <ns0:c r="A520" s="21" t="inlineStr">
        <ns0:is>
          <ns0:t>94</ns0:t>
        </ns0:is>
      </ns0:c>
      <ns0:c r="B520" s="21" t="inlineStr">
        <ns0:is>
          <ns0:t>rq2_role</ns0:t>
        </ns0:is>
      </ns0:c>
      <ns0:c r="C520" s="21" t="inlineStr"/>
      <ns0:c r="D520" s="21" t="inlineStr">
        <ns0:is>
          <ns0:t>Diagnostic decision support</ns0:t>
        </ns0:is>
      </ns0:c>
      <ns0:c r="E520" s="21" t="inlineStr">
        <ns0:is>
          <ns0:t>Authorized device algorithm update is not itself evidence of prospective physician use of the new version. Source describes diagnostic threshold optimization, not general screening or an explicit deep architecture.</ns0:t>
        </ns0:is>
      </ns0:c>
      <ns0:c r="F520" s="21" t="inlineStr">
        <ns0:is>
          <ns0:t>https://doi.org/10.1016/j.ibmed.2023.100102</ns0:t>
        </ns0:is>
      </ns0:c>
      <ns0:c r="G520" s="21" t="inlineStr">
        <ns0:is>
          <ns0:t>ChatGPT-assisted evidence recharting, 2026-09-08</ns0:t>
        </ns0:is>
      </ns0:c>
    </ns0:row>
    <ns0:row r="521" ht="42" customHeight="1">
      <ns0:c r="A521" s="19" t="inlineStr">
        <ns0:is>
          <ns0:t>94</ns0:t>
        </ns0:is>
      </ns0:c>
      <ns0:c r="B521" s="19" t="inlineStr">
        <ns0:is>
          <ns0:t>decision_timing</ns0:t>
        </ns0:is>
      </ns0:c>
      <ns0:c r="C521" s="19" t="inlineStr"/>
      <ns0:c r="D521" s="19" t="inlineStr">
        <ns0:is>
          <ns0:t>In-decision</ns0:t>
        </ns0:is>
      </ns0:c>
      <ns0:c r="E521" s="19" t="inlineStr">
        <ns0:is>
          <ns0:t>Authorized device algorithm update is not itself evidence of prospective physician use of the new version. Source describes diagnostic threshold optimization, not general screening or an explicit deep architecture.</ns0:t>
        </ns0:is>
      </ns0:c>
      <ns0:c r="F521" s="19" t="inlineStr">
        <ns0:is>
          <ns0:t>https://doi.org/10.1016/j.ibmed.2023.100102</ns0:t>
        </ns0:is>
      </ns0:c>
      <ns0:c r="G521" s="19" t="inlineStr">
        <ns0:is>
          <ns0:t>ChatGPT-assisted evidence recharting, 2026-09-08</ns0:t>
        </ns0:is>
      </ns0:c>
    </ns0:row>
    <ns0:row r="522" ht="42" customHeight="1">
      <ns0:c r="A522" s="21" t="inlineStr">
        <ns0:is>
          <ns0:t>95</ns0:t>
        </ns0:is>
      </ns0:c>
      <ns0:c r="B522" s="21" t="inlineStr">
        <ns0:is>
          <ns0:t>data_source_primary</ns0:t>
        </ns0:is>
      </ns0:c>
      <ns0:c r="C522" s="21" t="inlineStr">
        <ns0:is>
          <ns0:t>Text / NLP (legacy; verify input type)</ns0:t>
        </ns0:is>
      </ns0:c>
      <ns0:c r="D522" s="21" t="inlineStr">
        <ns0:is>
          <ns0:t>Text/language</ns0:t>
        </ns0:is>
      </ns0:c>
      <ns0:c r="E522" s="21" t="inlineStr">
        <ns0:is>
          <ns0:t>Comparison of generated versus physician answers to archived patient questions; no real-time clinical advice delivery or intervention is evaluated.</ns0:t>
        </ns0:is>
      </ns0:c>
      <ns0:c r="F522" s="21" t="inlineStr">
        <ns0:is>
          <ns0:t>https://doi.org/10.2196/54706</ns0:t>
        </ns0:is>
      </ns0:c>
      <ns0:c r="G522" s="21" t="inlineStr">
        <ns0:is>
          <ns0:t>ChatGPT-assisted evidence recharting, 2026-09-08</ns0:t>
        </ns0:is>
      </ns0:c>
    </ns0:row>
    <ns0:row r="523" ht="42" customHeight="1">
      <ns0:c r="A523" s="19" t="inlineStr">
        <ns0:is>
          <ns0:t>95</ns0:t>
        </ns0:is>
      </ns0:c>
      <ns0:c r="B523" s="19" t="inlineStr">
        <ns0:is>
          <ns0:t>algorithm_main</ns0:t>
        </ns0:is>
      </ns0:c>
      <ns0:c r="C523" s="19" t="inlineStr">
        <ns0:is>
          <ns0:t>Transformer</ns0:t>
        </ns0:is>
      </ns0:c>
      <ns0:c r="D523" s="19" t="inlineStr">
        <ns0:is>
          <ns0:t>GPT-4 and ERNIE Bot language models</ns0:t>
        </ns0:is>
      </ns0:c>
      <ns0:c r="E523" s="19" t="inlineStr">
        <ns0:is>
          <ns0:t>Comparison of generated versus physician answers to archived patient questions; no real-time clinical advice delivery or intervention is evaluated.</ns0:t>
        </ns0:is>
      </ns0:c>
      <ns0:c r="F523" s="19" t="inlineStr">
        <ns0:is>
          <ns0:t>https://doi.org/10.2196/54706</ns0:t>
        </ns0:is>
      </ns0:c>
      <ns0:c r="G523" s="19" t="inlineStr">
        <ns0:is>
          <ns0:t>ChatGPT-assisted evidence recharting, 2026-09-08</ns0:t>
        </ns0:is>
      </ns0:c>
    </ns0:row>
    <ns0:row r="524" ht="42" customHeight="1">
      <ns0:c r="A524" s="21" t="inlineStr">
        <ns0:is>
          <ns0:t>95</ns0:t>
        </ns0:is>
      </ns0:c>
      <ns0:c r="B524" s="21" t="inlineStr">
        <ns0:is>
          <ns0:t>rq2_status</ns0:t>
        </ns0:is>
      </ns0:c>
      <ns0:c r="C524" s="21" t="inlineStr">
        <ns0:is>
          <ns0:t>Not adjudicated in master</ns0:t>
        </ns0:is>
      </ns0:c>
      <ns0:c r="D524" s="21" t="inlineStr">
        <ns0:is>
          <ns0:t>Research only</ns0:t>
        </ns0:is>
      </ns0:c>
      <ns0:c r="E524" s="21" t="inlineStr">
        <ns0:is>
          <ns0:t>Comparison of generated versus physician answers to archived patient questions; no real-time clinical advice delivery or intervention is evaluated.</ns0:t>
        </ns0:is>
      </ns0:c>
      <ns0:c r="F524" s="21" t="inlineStr">
        <ns0:is>
          <ns0:t>https://doi.org/10.2196/54706</ns0:t>
        </ns0:is>
      </ns0:c>
      <ns0:c r="G524" s="21" t="inlineStr">
        <ns0:is>
          <ns0:t>ChatGPT-assisted evidence recharting, 2026-09-08</ns0:t>
        </ns0:is>
      </ns0:c>
    </ns0:row>
    <ns0:row r="525" ht="42" customHeight="1">
      <ns0:c r="A525" s="19" t="inlineStr">
        <ns0:is>
          <ns0:t>95</ns0:t>
        </ns0:is>
      </ns0:c>
      <ns0:c r="B525" s="19" t="inlineStr">
        <ns0:is>
          <ns0:t>rq2_role</ns0:t>
        </ns0:is>
      </ns0:c>
      <ns0:c r="C525" s="19" t="inlineStr"/>
      <ns0:c r="D525" s="19" t="inlineStr">
        <ns0:is>
          <ns0:t>Assistive support</ns0:t>
        </ns0:is>
      </ns0:c>
      <ns0:c r="E525" s="19" t="inlineStr">
        <ns0:is>
          <ns0:t>Comparison of generated versus physician answers to archived patient questions; no real-time clinical advice delivery or intervention is evaluated.</ns0:t>
        </ns0:is>
      </ns0:c>
      <ns0:c r="F525" s="19" t="inlineStr">
        <ns0:is>
          <ns0:t>https://doi.org/10.2196/54706</ns0:t>
        </ns0:is>
      </ns0:c>
      <ns0:c r="G525" s="19" t="inlineStr">
        <ns0:is>
          <ns0:t>ChatGPT-assisted evidence recharting, 2026-09-08</ns0:t>
        </ns0:is>
      </ns0:c>
    </ns0:row>
    <ns0:row r="526" ht="42" customHeight="1">
      <ns0:c r="A526" s="21" t="inlineStr">
        <ns0:is>
          <ns0:t>95</ns0:t>
        </ns0:is>
      </ns0:c>
      <ns0:c r="B526" s="21" t="inlineStr">
        <ns0:is>
          <ns0:t>decision_timing</ns0:t>
        </ns0:is>
      </ns0:c>
      <ns0:c r="C526" s="21" t="inlineStr"/>
      <ns0:c r="D526" s="21" t="inlineStr">
        <ns0:is>
          <ns0:t>Not observed in assessed sources</ns0:t>
        </ns0:is>
      </ns0:c>
      <ns0:c r="E526" s="21" t="inlineStr">
        <ns0:is>
          <ns0:t>Comparison of generated versus physician answers to archived patient questions; no real-time clinical advice delivery or intervention is evaluated.</ns0:t>
        </ns0:is>
      </ns0:c>
      <ns0:c r="F526" s="21" t="inlineStr">
        <ns0:is>
          <ns0:t>https://doi.org/10.2196/54706</ns0:t>
        </ns0:is>
      </ns0:c>
      <ns0:c r="G526" s="21" t="inlineStr">
        <ns0:is>
          <ns0:t>ChatGPT-assisted evidence recharting, 2026-09-08</ns0:t>
        </ns0:is>
      </ns0:c>
    </ns0:row>
    <ns0:row r="527" ht="42" customHeight="1">
      <ns0:c r="A527" s="19" t="inlineStr">
        <ns0:is>
          <ns0:t>96</ns0:t>
        </ns0:is>
      </ns0:c>
      <ns0:c r="B527" s="19" t="inlineStr">
        <ns0:is>
          <ns0:t>eligibility</ns0:t>
        </ns0:is>
      </ns0:c>
      <ns0:c r="C527" s="19" t="inlineStr">
        <ns0:is>
          <ns0:t>Include</ns0:t>
        </ns0:is>
      </ns0:c>
      <ns0:c r="D527" s="19" t="inlineStr">
        <ns0:is>
          <ns0:t>Exclude</ns0:t>
        </ns0:is>
      </ns0:c>
      <ns0:c r="E527" s="19" t="inlineStr">
        <ns0:is>
          <ns0:t>Exposure-association epidemiology with multinomial odds ratios. DL denotes dioxin-like PCB, not deep learning; source notes explicitly identify non-ML analysis.</ns0:t>
        </ns0:is>
      </ns0:c>
      <ns0:c r="F527" s="19" t="inlineStr">
        <ns0:is>
          <ns0:t>https://doi.org/10.1016/j.envres.2018.12.061</ns0:t>
        </ns0:is>
      </ns0:c>
      <ns0:c r="G527" s="19" t="inlineStr">
        <ns0:is>
          <ns0:t>ChatGPT-assisted evidence recharting, 2026-09-08</ns0:t>
        </ns0:is>
      </ns0:c>
    </ns0:row>
    <ns0:row r="528" ht="42" customHeight="1">
      <ns0:c r="A528" s="21" t="inlineStr">
        <ns0:is>
          <ns0:t>96</ns0:t>
        </ns0:is>
      </ns0:c>
      <ns0:c r="B528" s="21" t="inlineStr">
        <ns0:is>
          <ns0:t>stage_primary</ns0:t>
        </ns0:is>
      </ns0:c>
      <ns0:c r="C528" s="21" t="inlineStr">
        <ns0:is>
          <ns0:t>Prognosis</ns0:t>
        </ns0:is>
      </ns0:c>
      <ns0:c r="D528" s="21" t="inlineStr">
        <ns0:is>
          <ns0:t>Excluded</ns0:t>
        </ns0:is>
      </ns0:c>
      <ns0:c r="E528" s="21" t="inlineStr">
        <ns0:is>
          <ns0:t>Exposure-association epidemiology with multinomial odds ratios. DL denotes dioxin-like PCB, not deep learning; source notes explicitly identify non-ML analysis.</ns0:t>
        </ns0:is>
      </ns0:c>
      <ns0:c r="F528" s="21" t="inlineStr">
        <ns0:is>
          <ns0:t>https://doi.org/10.1016/j.envres.2018.12.061</ns0:t>
        </ns0:is>
      </ns0:c>
      <ns0:c r="G528" s="21" t="inlineStr">
        <ns0:is>
          <ns0:t>ChatGPT-assisted evidence recharting, 2026-09-08</ns0:t>
        </ns0:is>
      </ns0:c>
    </ns0:row>
    <ns0:row r="529" ht="42" customHeight="1">
      <ns0:c r="A529" s="19" t="inlineStr">
        <ns0:is>
          <ns0:t>96</ns0:t>
        </ns0:is>
      </ns0:c>
      <ns0:c r="B529" s="19" t="inlineStr">
        <ns0:is>
          <ns0:t>ai_type</ns0:t>
        </ns0:is>
      </ns0:c>
      <ns0:c r="C529" s="19" t="inlineStr">
        <ns0:is>
          <ns0:t>Hybrid</ns0:t>
        </ns0:is>
      </ns0:c>
      <ns0:c r="D529" s="19" t="inlineStr">
        <ns0:is>
          <ns0:t>Excluded</ns0:t>
        </ns0:is>
      </ns0:c>
      <ns0:c r="E529" s="19" t="inlineStr">
        <ns0:is>
          <ns0:t>Exposure-association epidemiology with multinomial odds ratios. DL denotes dioxin-like PCB, not deep learning; source notes explicitly identify non-ML analysis.</ns0:t>
        </ns0:is>
      </ns0:c>
      <ns0:c r="F529" s="19" t="inlineStr">
        <ns0:is>
          <ns0:t>https://doi.org/10.1016/j.envres.2018.12.061</ns0:t>
        </ns0:is>
      </ns0:c>
      <ns0:c r="G529" s="19" t="inlineStr">
        <ns0:is>
          <ns0:t>ChatGPT-assisted evidence recharting, 2026-09-08</ns0:t>
        </ns0:is>
      </ns0:c>
    </ns0:row>
    <ns0:row r="530" ht="42" customHeight="1">
      <ns0:c r="A530" s="21" t="inlineStr">
        <ns0:is>
          <ns0:t>96</ns0:t>
        </ns0:is>
      </ns0:c>
      <ns0:c r="B530" s="21" t="inlineStr">
        <ns0:is>
          <ns0:t>data_source_primary</ns0:t>
        </ns0:is>
      </ns0:c>
      <ns0:c r="C530" s="21" t="inlineStr">
        <ns0:is>
          <ns0:t>Not specified</ns0:t>
        </ns0:is>
      </ns0:c>
      <ns0:c r="D530" s="21" t="inlineStr">
        <ns0:is>
          <ns0:t>Excluded</ns0:t>
        </ns0:is>
      </ns0:c>
      <ns0:c r="E530" s="21" t="inlineStr">
        <ns0:is>
          <ns0:t>Exposure-association epidemiology with multinomial odds ratios. DL denotes dioxin-like PCB, not deep learning; source notes explicitly identify non-ML analysis.</ns0:t>
        </ns0:is>
      </ns0:c>
      <ns0:c r="F530" s="21" t="inlineStr">
        <ns0:is>
          <ns0:t>https://doi.org/10.1016/j.envres.2018.12.061</ns0:t>
        </ns0:is>
      </ns0:c>
      <ns0:c r="G530" s="21" t="inlineStr">
        <ns0:is>
          <ns0:t>ChatGPT-assisted evidence recharting, 2026-09-08</ns0:t>
        </ns0:is>
      </ns0:c>
    </ns0:row>
    <ns0:row r="531" ht="42" customHeight="1">
      <ns0:c r="A531" s="19" t="inlineStr">
        <ns0:is>
          <ns0:t>96</ns0:t>
        </ns0:is>
      </ns0:c>
      <ns0:c r="B531" s="19" t="inlineStr">
        <ns0:is>
          <ns0:t>rq2_status</ns0:t>
        </ns0:is>
      </ns0:c>
      <ns0:c r="C531" s="19" t="inlineStr">
        <ns0:is>
          <ns0:t>Not adjudicated in master</ns0:t>
        </ns0:is>
      </ns0:c>
      <ns0:c r="D531" s="19" t="inlineStr">
        <ns0:is>
          <ns0:t>Excluded</ns0:t>
        </ns0:is>
      </ns0:c>
      <ns0:c r="E531" s="19" t="inlineStr">
        <ns0:is>
          <ns0:t>Exposure-association epidemiology with multinomial odds ratios. DL denotes dioxin-like PCB, not deep learning; source notes explicitly identify non-ML analysis.</ns0:t>
        </ns0:is>
      </ns0:c>
      <ns0:c r="F531" s="19" t="inlineStr">
        <ns0:is>
          <ns0:t>https://doi.org/10.1016/j.envres.2018.12.061</ns0:t>
        </ns0:is>
      </ns0:c>
      <ns0:c r="G531" s="19" t="inlineStr">
        <ns0:is>
          <ns0:t>ChatGPT-assisted evidence recharting, 2026-09-08</ns0:t>
        </ns0:is>
      </ns0:c>
    </ns0:row>
    <ns0:row r="532" ht="42" customHeight="1">
      <ns0:c r="A532" s="21" t="inlineStr">
        <ns0:is>
          <ns0:t>96</ns0:t>
        </ns0:is>
      </ns0:c>
      <ns0:c r="B532" s="21" t="inlineStr">
        <ns0:is>
          <ns0:t>rq2_role</ns0:t>
        </ns0:is>
      </ns0:c>
      <ns0:c r="C532" s="21" t="inlineStr"/>
      <ns0:c r="D532" s="21" t="inlineStr">
        <ns0:is>
          <ns0:t>Excluded</ns0:t>
        </ns0:is>
      </ns0:c>
      <ns0:c r="E532" s="21" t="inlineStr">
        <ns0:is>
          <ns0:t>Exposure-association epidemiology with multinomial odds ratios. DL denotes dioxin-like PCB, not deep learning; source notes explicitly identify non-ML analysis.</ns0:t>
        </ns0:is>
      </ns0:c>
      <ns0:c r="F532" s="21" t="inlineStr">
        <ns0:is>
          <ns0:t>https://doi.org/10.1016/j.envres.2018.12.061</ns0:t>
        </ns0:is>
      </ns0:c>
      <ns0:c r="G532" s="21" t="inlineStr">
        <ns0:is>
          <ns0:t>ChatGPT-assisted evidence recharting, 2026-09-08</ns0:t>
        </ns0:is>
      </ns0:c>
    </ns0:row>
    <ns0:row r="533" ht="42" customHeight="1">
      <ns0:c r="A533" s="19" t="inlineStr">
        <ns0:is>
          <ns0:t>96</ns0:t>
        </ns0:is>
      </ns0:c>
      <ns0:c r="B533" s="19" t="inlineStr">
        <ns0:is>
          <ns0:t>decision_timing</ns0:t>
        </ns0:is>
      </ns0:c>
      <ns0:c r="C533" s="19" t="inlineStr"/>
      <ns0:c r="D533" s="19" t="inlineStr">
        <ns0:is>
          <ns0:t>Not applicable - excluded</ns0:t>
        </ns0:is>
      </ns0:c>
      <ns0:c r="E533" s="19" t="inlineStr">
        <ns0:is>
          <ns0:t>Exposure-association epidemiology with multinomial odds ratios. DL denotes dioxin-like PCB, not deep learning; source notes explicitly identify non-ML analysis.</ns0:t>
        </ns0:is>
      </ns0:c>
      <ns0:c r="F533" s="19" t="inlineStr">
        <ns0:is>
          <ns0:t>https://doi.org/10.1016/j.envres.2018.12.061</ns0:t>
        </ns0:is>
      </ns0:c>
      <ns0:c r="G533" s="19" t="inlineStr">
        <ns0:is>
          <ns0:t>ChatGPT-assisted evidence recharting, 2026-09-08</ns0:t>
        </ns0:is>
      </ns0:c>
    </ns0:row>
    <ns0:row r="534" ht="42" customHeight="1">
      <ns0:c r="A534" s="21" t="inlineStr">
        <ns0:is>
          <ns0:t>97</ns0:t>
        </ns0:is>
      </ns0:c>
      <ns0:c r="B534" s="21" t="inlineStr">
        <ns0:is>
          <ns0:t>stage_primary</ns0:t>
        </ns0:is>
      </ns0:c>
      <ns0:c r="C534" s="21" t="inlineStr">
        <ns0:is>
          <ns0:t>Monitoring/intervention</ns0:t>
        </ns0:is>
      </ns0:c>
      <ns0:c r="D534" s="21" t="inlineStr">
        <ns0:is>
          <ns0:t>Diagnosis</ns0:t>
        </ns0:is>
      </ns0:c>
      <ns0:c r="E534" s="21" t="inlineStr">
        <ns0:is>
          <ns0:t>Predicts contemporaneous SRS-2/RBS-R scores from emotion-task performance and eye tracking; diagnostic characterization, not a longitudinal prognostic endpoint.</ns0:t>
        </ns0:is>
      </ns0:c>
      <ns0:c r="F534" s="21" t="inlineStr">
        <ns0:is>
          <ns0:t>https://doi.org/10.1109/embc44109.2020.9176843</ns0:t>
        </ns0:is>
      </ns0:c>
      <ns0:c r="G534" s="21" t="inlineStr">
        <ns0:is>
          <ns0:t>ChatGPT-assisted evidence recharting, 2026-09-08</ns0:t>
        </ns0:is>
      </ns0:c>
    </ns0:row>
    <ns0:row r="535" ht="42" customHeight="1">
      <ns0:c r="A535" s="19" t="inlineStr">
        <ns0:is>
          <ns0:t>97</ns0:t>
        </ns0:is>
      </ns0:c>
      <ns0:c r="B535" s="19" t="inlineStr">
        <ns0:is>
          <ns0:t>data_source_primary</ns0:t>
        </ns0:is>
      </ns0:c>
      <ns0:c r="C535" s="19" t="inlineStr">
        <ns0:is>
          <ns0:t>Image (subtype unresolved)</ns0:t>
        </ns0:is>
      </ns0:c>
      <ns0:c r="D535" s="19" t="inlineStr">
        <ns0:is>
          <ns0:t>Behavioral images/video/gaze/movement</ns0:t>
        </ns0:is>
      </ns0:c>
      <ns0:c r="E535" s="19" t="inlineStr">
        <ns0:is>
          <ns0:t>Predicts contemporaneous SRS-2/RBS-R scores from emotion-task performance and eye tracking; diagnostic characterization, not a longitudinal prognostic endpoint.</ns0:t>
        </ns0:is>
      </ns0:c>
      <ns0:c r="F535" s="19" t="inlineStr">
        <ns0:is>
          <ns0:t>https://doi.org/10.1109/embc44109.2020.9176843</ns0:t>
        </ns0:is>
      </ns0:c>
      <ns0:c r="G535" s="19" t="inlineStr">
        <ns0:is>
          <ns0:t>ChatGPT-assisted evidence recharting, 2026-09-08</ns0:t>
        </ns0:is>
      </ns0:c>
    </ns0:row>
    <ns0:row r="536" ht="42" customHeight="1">
      <ns0:c r="A536" s="21" t="inlineStr">
        <ns0:is>
          <ns0:t>97</ns0:t>
        </ns0:is>
      </ns0:c>
      <ns0:c r="B536" s="21" t="inlineStr">
        <ns0:is>
          <ns0:t>algorithm_main</ns0:t>
        </ns0:is>
      </ns0:c>
      <ns0:c r="C536" s="21" t="inlineStr">
        <ns0:is>
          <ns0:t>Random Forest</ns0:t>
        </ns0:is>
      </ns0:c>
      <ns0:c r="D536" s="21" t="inlineStr">
        <ns0:is>
          <ns0:t>Random forest regressor</ns0:t>
        </ns0:is>
      </ns0:c>
      <ns0:c r="E536" s="21" t="inlineStr">
        <ns0:is>
          <ns0:t>Predicts contemporaneous SRS-2/RBS-R scores from emotion-task performance and eye tracking; diagnostic characterization, not a longitudinal prognostic endpoint.</ns0:t>
        </ns0:is>
      </ns0:c>
      <ns0:c r="F536" s="21" t="inlineStr">
        <ns0:is>
          <ns0:t>https://doi.org/10.1109/embc44109.2020.9176843</ns0:t>
        </ns0:is>
      </ns0:c>
      <ns0:c r="G536" s="21" t="inlineStr">
        <ns0:is>
          <ns0:t>ChatGPT-assisted evidence recharting, 2026-09-08</ns0:t>
        </ns0:is>
      </ns0:c>
    </ns0:row>
    <ns0:row r="537" ht="42" customHeight="1">
      <ns0:c r="A537" s="19" t="inlineStr">
        <ns0:is>
          <ns0:t>97</ns0:t>
        </ns0:is>
      </ns0:c>
      <ns0:c r="B537" s="19" t="inlineStr">
        <ns0:is>
          <ns0:t>rq2_status</ns0:t>
        </ns0:is>
      </ns0:c>
      <ns0:c r="C537" s="19" t="inlineStr">
        <ns0:is>
          <ns0:t>Not adjudicated in master</ns0:t>
        </ns0:is>
      </ns0:c>
      <ns0:c r="D537" s="19" t="inlineStr">
        <ns0:is>
          <ns0:t>Research only</ns0:t>
        </ns0:is>
      </ns0:c>
      <ns0:c r="E537" s="19" t="inlineStr">
        <ns0:is>
          <ns0:t>Predicts contemporaneous SRS-2/RBS-R scores from emotion-task performance and eye tracking; diagnostic characterization, not a longitudinal prognostic endpoint.</ns0:t>
        </ns0:is>
      </ns0:c>
      <ns0:c r="F537" s="19" t="inlineStr">
        <ns0:is>
          <ns0:t>https://doi.org/10.1109/embc44109.2020.9176843</ns0:t>
        </ns0:is>
      </ns0:c>
      <ns0:c r="G537" s="19" t="inlineStr">
        <ns0:is>
          <ns0:t>ChatGPT-assisted evidence recharting, 2026-09-08</ns0:t>
        </ns0:is>
      </ns0:c>
    </ns0:row>
    <ns0:row r="538" ht="42" customHeight="1">
      <ns0:c r="A538" s="21" t="inlineStr">
        <ns0:is>
          <ns0:t>97</ns0:t>
        </ns0:is>
      </ns0:c>
      <ns0:c r="B538" s="21" t="inlineStr">
        <ns0:is>
          <ns0:t>rq2_role</ns0:t>
        </ns0:is>
      </ns0:c>
      <ns0:c r="C538" s="21" t="inlineStr"/>
      <ns0:c r="D538" s="21" t="inlineStr">
        <ns0:is>
          <ns0:t>Automated measurement/classification</ns0:t>
        </ns0:is>
      </ns0:c>
      <ns0:c r="E538" s="21" t="inlineStr">
        <ns0:is>
          <ns0:t>Predicts contemporaneous SRS-2/RBS-R scores from emotion-task performance and eye tracking; diagnostic characterization, not a longitudinal prognostic endpoint.</ns0:t>
        </ns0:is>
      </ns0:c>
      <ns0:c r="F538" s="21" t="inlineStr">
        <ns0:is>
          <ns0:t>https://doi.org/10.1109/embc44109.2020.9176843</ns0:t>
        </ns0:is>
      </ns0:c>
      <ns0:c r="G538" s="21" t="inlineStr">
        <ns0:is>
          <ns0:t>ChatGPT-assisted evidence recharting, 2026-09-08</ns0:t>
        </ns0:is>
      </ns0:c>
    </ns0:row>
    <ns0:row r="539" ht="42" customHeight="1">
      <ns0:c r="A539" s="19" t="inlineStr">
        <ns0:is>
          <ns0:t>97</ns0:t>
        </ns0:is>
      </ns0:c>
      <ns0:c r="B539" s="19" t="inlineStr">
        <ns0:is>
          <ns0:t>decision_timing</ns0:t>
        </ns0:is>
      </ns0:c>
      <ns0:c r="C539" s="19" t="inlineStr"/>
      <ns0:c r="D539" s="19" t="inlineStr">
        <ns0:is>
          <ns0:t>Not observed in assessed sources</ns0:t>
        </ns0:is>
      </ns0:c>
      <ns0:c r="E539" s="19" t="inlineStr">
        <ns0:is>
          <ns0:t>Predicts contemporaneous SRS-2/RBS-R scores from emotion-task performance and eye tracking; diagnostic characterization, not a longitudinal prognostic endpoint.</ns0:t>
        </ns0:is>
      </ns0:c>
      <ns0:c r="F539" s="19" t="inlineStr">
        <ns0:is>
          <ns0:t>https://doi.org/10.1109/embc44109.2020.9176843</ns0:t>
        </ns0:is>
      </ns0:c>
      <ns0:c r="G539" s="19" t="inlineStr">
        <ns0:is>
          <ns0:t>ChatGPT-assisted evidence recharting, 2026-09-08</ns0:t>
        </ns0:is>
      </ns0:c>
    </ns0:row>
    <ns0:row r="540" ht="42" customHeight="1">
      <ns0:c r="A540" s="21" t="inlineStr">
        <ns0:is>
          <ns0:t>98</ns0:t>
        </ns0:is>
      </ns0:c>
      <ns0:c r="B540" s="21" t="inlineStr">
        <ns0:is>
          <ns0:t>ai_type</ns0:t>
        </ns0:is>
      </ns0:c>
      <ns0:c r="C540" s="21" t="inlineStr">
        <ns0:is>
          <ns0:t>Hybrid</ns0:t>
        </ns0:is>
      </ns0:c>
      <ns0:c r="D540" s="21" t="inlineStr">
        <ns0:is>
          <ns0:t>Deep Learning</ns0:t>
        </ns0:is>
      </ns0:c>
      <ns0:c r="E540" s="21" t="inlineStr">
        <ns0:is>
          <ns0:t>MEG remains the input despite speech pretraining; best reported classifier is neural. An alternative SVM branch is documented but not substituted for the principal pipeline.</ns0:t>
        </ns0:is>
      </ns0:c>
      <ns0:c r="F540" s="21" t="inlineStr">
        <ns0:is>
          <ns0:t>https://doi.org/10.1016/j.bspc.2024.106671</ns0:t>
        </ns0:is>
      </ns0:c>
      <ns0:c r="G540" s="21" t="inlineStr">
        <ns0:is>
          <ns0:t>ChatGPT-assisted evidence recharting, 2026-09-08</ns0:t>
        </ns0:is>
      </ns0:c>
    </ns0:row>
    <ns0:row r="541" ht="42" customHeight="1">
      <ns0:c r="A541" s="19" t="inlineStr">
        <ns0:is>
          <ns0:t>98</ns0:t>
        </ns0:is>
      </ns0:c>
      <ns0:c r="B541" s="19" t="inlineStr">
        <ns0:is>
          <ns0:t>algorithm_main</ns0:t>
        </ns0:is>
      </ns0:c>
      <ns0:c r="C541" s="19" t="inlineStr">
        <ns0:is>
          <ns0:t>Transformer</ns0:t>
        </ns0:is>
      </ns0:c>
      <ns0:c r="D541" s="19" t="inlineStr">
        <ns0:is>
          <ns0:t>wav2vec 2.0 transformer embeddings with ANN</ns0:t>
        </ns0:is>
      </ns0:c>
      <ns0:c r="E541" s="19" t="inlineStr">
        <ns0:is>
          <ns0:t>MEG remains the input despite speech pretraining; best reported classifier is neural. An alternative SVM branch is documented but not substituted for the principal pipeline.</ns0:t>
        </ns0:is>
      </ns0:c>
      <ns0:c r="F541" s="19" t="inlineStr">
        <ns0:is>
          <ns0:t>https://doi.org/10.1016/j.bspc.2024.106671</ns0:t>
        </ns0:is>
      </ns0:c>
      <ns0:c r="G541" s="19" t="inlineStr">
        <ns0:is>
          <ns0:t>ChatGPT-assisted evidence recharting, 2026-09-08</ns0:t>
        </ns0:is>
      </ns0:c>
    </ns0:row>
    <ns0:row r="542" ht="42" customHeight="1">
      <ns0:c r="A542" s="21" t="inlineStr">
        <ns0:is>
          <ns0:t>98</ns0:t>
        </ns0:is>
      </ns0:c>
      <ns0:c r="B542" s="21" t="inlineStr">
        <ns0:is>
          <ns0:t>rq2_status</ns0:t>
        </ns0:is>
      </ns0:c>
      <ns0:c r="C542" s="21" t="inlineStr">
        <ns0:is>
          <ns0:t>Not adjudicated in master</ns0:t>
        </ns0:is>
      </ns0:c>
      <ns0:c r="D542" s="21" t="inlineStr">
        <ns0:is>
          <ns0:t>Research only</ns0:t>
        </ns0:is>
      </ns0:c>
      <ns0:c r="E542" s="21" t="inlineStr">
        <ns0:is>
          <ns0:t>MEG remains the input despite speech pretraining; best reported classifier is neural. An alternative SVM branch is documented but not substituted for the principal pipeline.</ns0:t>
        </ns0:is>
      </ns0:c>
      <ns0:c r="F542" s="21" t="inlineStr">
        <ns0:is>
          <ns0:t>https://doi.org/10.1016/j.bspc.2024.106671</ns0:t>
        </ns0:is>
      </ns0:c>
      <ns0:c r="G542" s="21" t="inlineStr">
        <ns0:is>
          <ns0:t>ChatGPT-assisted evidence recharting, 2026-09-08</ns0:t>
        </ns0:is>
      </ns0:c>
    </ns0:row>
    <ns0:row r="543" ht="42" customHeight="1">
      <ns0:c r="A543" s="19" t="inlineStr">
        <ns0:is>
          <ns0:t>98</ns0:t>
        </ns0:is>
      </ns0:c>
      <ns0:c r="B543" s="19" t="inlineStr">
        <ns0:is>
          <ns0:t>rq2_role</ns0:t>
        </ns0:is>
      </ns0:c>
      <ns0:c r="C543" s="19" t="inlineStr"/>
      <ns0:c r="D543" s="19" t="inlineStr">
        <ns0:is>
          <ns0:t>Automated measurement/classification</ns0:t>
        </ns0:is>
      </ns0:c>
      <ns0:c r="E543" s="19" t="inlineStr">
        <ns0:is>
          <ns0:t>MEG remains the input despite speech pretraining; best reported classifier is neural. An alternative SVM branch is documented but not substituted for the principal pipeline.</ns0:t>
        </ns0:is>
      </ns0:c>
      <ns0:c r="F543" s="19" t="inlineStr">
        <ns0:is>
          <ns0:t>https://doi.org/10.1016/j.bspc.2024.106671</ns0:t>
        </ns0:is>
      </ns0:c>
      <ns0:c r="G543" s="19" t="inlineStr">
        <ns0:is>
          <ns0:t>ChatGPT-assisted evidence recharting, 2026-09-08</ns0:t>
        </ns0:is>
      </ns0:c>
    </ns0:row>
    <ns0:row r="544" ht="42" customHeight="1">
      <ns0:c r="A544" s="21" t="inlineStr">
        <ns0:is>
          <ns0:t>98</ns0:t>
        </ns0:is>
      </ns0:c>
      <ns0:c r="B544" s="21" t="inlineStr">
        <ns0:is>
          <ns0:t>decision_timing</ns0:t>
        </ns0:is>
      </ns0:c>
      <ns0:c r="C544" s="21" t="inlineStr"/>
      <ns0:c r="D544" s="21" t="inlineStr">
        <ns0:is>
          <ns0:t>Not observed in assessed sources</ns0:t>
        </ns0:is>
      </ns0:c>
      <ns0:c r="E544" s="21" t="inlineStr">
        <ns0:is>
          <ns0:t>MEG remains the input despite speech pretraining; best reported classifier is neural. An alternative SVM branch is documented but not substituted for the principal pipeline.</ns0:t>
        </ns0:is>
      </ns0:c>
      <ns0:c r="F544" s="21" t="inlineStr">
        <ns0:is>
          <ns0:t>https://doi.org/10.1016/j.bspc.2024.106671</ns0:t>
        </ns0:is>
      </ns0:c>
      <ns0:c r="G544" s="21" t="inlineStr">
        <ns0:is>
          <ns0:t>ChatGPT-assisted evidence recharting, 2026-09-08</ns0:t>
        </ns0:is>
      </ns0:c>
    </ns0:row>
    <ns0:row r="545" ht="42" customHeight="1">
      <ns0:c r="A545" s="19" t="inlineStr">
        <ns0:is>
          <ns0:t>99</ns0:t>
        </ns0:is>
      </ns0:c>
      <ns0:c r="B545" s="19" t="inlineStr">
        <ns0:is>
          <ns0:t>eligibility</ns0:t>
        </ns0:is>
      </ns0:c>
      <ns0:c r="C545" s="19" t="inlineStr">
        <ns0:is>
          <ns0:t>Include</ns0:t>
        </ns0:is>
      </ns0:c>
      <ns0:c r="D545" s="19" t="inlineStr">
        <ns0:is>
          <ns0:t>Exclude</ns0:t>
        </ns0:is>
      </ns0:c>
      <ns0:c r="E545" s="19" t="inlineStr">
        <ns0:is>
          <ns0:t>Serum BDNF association and ROC threshold analysis; no AI model is described and the prior RQ2 adjudication explicitly found no AI/ML system.</ns0:t>
        </ns0:is>
      </ns0:c>
      <ns0:c r="F545" s="19" t="inlineStr">
        <ns0:is>
          <ns0:t>https://doi.org/10.1016/j.ijdevneu.2014.06.013</ns0:t>
        </ns0:is>
      </ns0:c>
      <ns0:c r="G545" s="19" t="inlineStr">
        <ns0:is>
          <ns0:t>ChatGPT-assisted evidence recharting, 2026-09-08</ns0:t>
        </ns0:is>
      </ns0:c>
    </ns0:row>
    <ns0:row r="546" ht="42" customHeight="1">
      <ns0:c r="A546" s="21" t="inlineStr">
        <ns0:is>
          <ns0:t>99</ns0:t>
        </ns0:is>
      </ns0:c>
      <ns0:c r="B546" s="21" t="inlineStr">
        <ns0:is>
          <ns0:t>stage_primary</ns0:t>
        </ns0:is>
      </ns0:c>
      <ns0:c r="C546" s="21" t="inlineStr">
        <ns0:is>
          <ns0:t>Not specified</ns0:t>
        </ns0:is>
      </ns0:c>
      <ns0:c r="D546" s="21" t="inlineStr">
        <ns0:is>
          <ns0:t>Excluded</ns0:t>
        </ns0:is>
      </ns0:c>
      <ns0:c r="E546" s="21" t="inlineStr">
        <ns0:is>
          <ns0:t>Serum BDNF association and ROC threshold analysis; no AI model is described and the prior RQ2 adjudication explicitly found no AI/ML system.</ns0:t>
        </ns0:is>
      </ns0:c>
      <ns0:c r="F546" s="21" t="inlineStr">
        <ns0:is>
          <ns0:t>https://doi.org/10.1016/j.ijdevneu.2014.06.013</ns0:t>
        </ns0:is>
      </ns0:c>
      <ns0:c r="G546" s="21" t="inlineStr">
        <ns0:is>
          <ns0:t>ChatGPT-assisted evidence recharting, 2026-09-08</ns0:t>
        </ns0:is>
      </ns0:c>
    </ns0:row>
    <ns0:row r="547" ht="42" customHeight="1">
      <ns0:c r="A547" s="19" t="inlineStr">
        <ns0:is>
          <ns0:t>99</ns0:t>
        </ns0:is>
      </ns0:c>
      <ns0:c r="B547" s="19" t="inlineStr">
        <ns0:is>
          <ns0:t>ai_type</ns0:t>
        </ns0:is>
      </ns0:c>
      <ns0:c r="C547" s="19" t="inlineStr">
        <ns0:is>
          <ns0:t>Deep Learning</ns0:t>
        </ns0:is>
      </ns0:c>
      <ns0:c r="D547" s="19" t="inlineStr">
        <ns0:is>
          <ns0:t>Excluded</ns0:t>
        </ns0:is>
      </ns0:c>
      <ns0:c r="E547" s="19" t="inlineStr">
        <ns0:is>
          <ns0:t>Serum BDNF association and ROC threshold analysis; no AI model is described and the prior RQ2 adjudication explicitly found no AI/ML system.</ns0:t>
        </ns0:is>
      </ns0:c>
      <ns0:c r="F547" s="19" t="inlineStr">
        <ns0:is>
          <ns0:t>https://doi.org/10.1016/j.ijdevneu.2014.06.013</ns0:t>
        </ns0:is>
      </ns0:c>
      <ns0:c r="G547" s="19" t="inlineStr">
        <ns0:is>
          <ns0:t>ChatGPT-assisted evidence recharting, 2026-09-08</ns0:t>
        </ns0:is>
      </ns0:c>
    </ns0:row>
    <ns0:row r="548" ht="42" customHeight="1">
      <ns0:c r="A548" s="21" t="inlineStr">
        <ns0:is>
          <ns0:t>99</ns0:t>
        </ns0:is>
      </ns0:c>
      <ns0:c r="B548" s="21" t="inlineStr">
        <ns0:is>
          <ns0:t>data_source_primary</ns0:t>
        </ns0:is>
      </ns0:c>
      <ns0:c r="C548" s="21" t="inlineStr">
        <ns0:is>
          <ns0:t>Not specified</ns0:t>
        </ns0:is>
      </ns0:c>
      <ns0:c r="D548" s="21" t="inlineStr">
        <ns0:is>
          <ns0:t>Excluded</ns0:t>
        </ns0:is>
      </ns0:c>
      <ns0:c r="E548" s="21" t="inlineStr">
        <ns0:is>
          <ns0:t>Serum BDNF association and ROC threshold analysis; no AI model is described and the prior RQ2 adjudication explicitly found no AI/ML system.</ns0:t>
        </ns0:is>
      </ns0:c>
      <ns0:c r="F548" s="21" t="inlineStr">
        <ns0:is>
          <ns0:t>https://doi.org/10.1016/j.ijdevneu.2014.06.013</ns0:t>
        </ns0:is>
      </ns0:c>
      <ns0:c r="G548" s="21" t="inlineStr">
        <ns0:is>
          <ns0:t>ChatGPT-assisted evidence recharting, 2026-09-08</ns0:t>
        </ns0:is>
      </ns0:c>
    </ns0:row>
    <ns0:row r="549" ht="42" customHeight="1">
      <ns0:c r="A549" s="19" t="inlineStr">
        <ns0:is>
          <ns0:t>99</ns0:t>
        </ns0:is>
      </ns0:c>
      <ns0:c r="B549" s="19" t="inlineStr">
        <ns0:is>
          <ns0:t>rq2_status</ns0:t>
        </ns0:is>
      </ns0:c>
      <ns0:c r="C549" s="19" t="inlineStr">
        <ns0:is>
          <ns0:t>Not adjudicated in master</ns0:t>
        </ns0:is>
      </ns0:c>
      <ns0:c r="D549" s="19" t="inlineStr">
        <ns0:is>
          <ns0:t>Excluded</ns0:t>
        </ns0:is>
      </ns0:c>
      <ns0:c r="E549" s="19" t="inlineStr">
        <ns0:is>
          <ns0:t>Serum BDNF association and ROC threshold analysis; no AI model is described and the prior RQ2 adjudication explicitly found no AI/ML system.</ns0:t>
        </ns0:is>
      </ns0:c>
      <ns0:c r="F549" s="19" t="inlineStr">
        <ns0:is>
          <ns0:t>https://doi.org/10.1016/j.ijdevneu.2014.06.013</ns0:t>
        </ns0:is>
      </ns0:c>
      <ns0:c r="G549" s="19" t="inlineStr">
        <ns0:is>
          <ns0:t>ChatGPT-assisted evidence recharting, 2026-09-08</ns0:t>
        </ns0:is>
      </ns0:c>
    </ns0:row>
    <ns0:row r="550" ht="42" customHeight="1">
      <ns0:c r="A550" s="21" t="inlineStr">
        <ns0:is>
          <ns0:t>99</ns0:t>
        </ns0:is>
      </ns0:c>
      <ns0:c r="B550" s="21" t="inlineStr">
        <ns0:is>
          <ns0:t>rq2_role</ns0:t>
        </ns0:is>
      </ns0:c>
      <ns0:c r="C550" s="21" t="inlineStr"/>
      <ns0:c r="D550" s="21" t="inlineStr">
        <ns0:is>
          <ns0:t>Excluded</ns0:t>
        </ns0:is>
      </ns0:c>
      <ns0:c r="E550" s="21" t="inlineStr">
        <ns0:is>
          <ns0:t>Serum BDNF association and ROC threshold analysis; no AI model is described and the prior RQ2 adjudication explicitly found no AI/ML system.</ns0:t>
        </ns0:is>
      </ns0:c>
      <ns0:c r="F550" s="21" t="inlineStr">
        <ns0:is>
          <ns0:t>https://doi.org/10.1016/j.ijdevneu.2014.06.013</ns0:t>
        </ns0:is>
      </ns0:c>
      <ns0:c r="G550" s="21" t="inlineStr">
        <ns0:is>
          <ns0:t>ChatGPT-assisted evidence recharting, 2026-09-08</ns0:t>
        </ns0:is>
      </ns0:c>
    </ns0:row>
    <ns0:row r="551" ht="42" customHeight="1">
      <ns0:c r="A551" s="19" t="inlineStr">
        <ns0:is>
          <ns0:t>99</ns0:t>
        </ns0:is>
      </ns0:c>
      <ns0:c r="B551" s="19" t="inlineStr">
        <ns0:is>
          <ns0:t>decision_timing</ns0:t>
        </ns0:is>
      </ns0:c>
      <ns0:c r="C551" s="19" t="inlineStr"/>
      <ns0:c r="D551" s="19" t="inlineStr">
        <ns0:is>
          <ns0:t>Not applicable - excluded</ns0:t>
        </ns0:is>
      </ns0:c>
      <ns0:c r="E551" s="19" t="inlineStr">
        <ns0:is>
          <ns0:t>Serum BDNF association and ROC threshold analysis; no AI model is described and the prior RQ2 adjudication explicitly found no AI/ML system.</ns0:t>
        </ns0:is>
      </ns0:c>
      <ns0:c r="F551" s="19" t="inlineStr">
        <ns0:is>
          <ns0:t>https://doi.org/10.1016/j.ijdevneu.2014.06.013</ns0:t>
        </ns0:is>
      </ns0:c>
      <ns0:c r="G551" s="19" t="inlineStr">
        <ns0:is>
          <ns0:t>ChatGPT-assisted evidence recharting, 2026-09-08</ns0:t>
        </ns0:is>
      </ns0:c>
    </ns0:row>
    <ns0:row r="552" ht="42" customHeight="1">
      <ns0:c r="A552" s="21" t="inlineStr">
        <ns0:is>
          <ns0:t>100</ns0:t>
        </ns0:is>
      </ns0:c>
      <ns0:c r="B552" s="21" t="inlineStr">
        <ns0:is>
          <ns0:t>ai_type</ns0:t>
        </ns0:is>
      </ns0:c>
      <ns0:c r="C552" s="21" t="inlineStr">
        <ns0:is>
          <ns0:t>Deep Learning</ns0:t>
        </ns0:is>
      </ns0:c>
      <ns0:c r="D552" s="21" t="inlineStr">
        <ns0:is>
          <ns0:t>Machine Learning</ns0:t>
        </ns0:is>
      </ns0:c>
      <ns0:c r="E552" s="21" t="inlineStr">
        <ns0:is>
          <ns0:t>Functional-gradient and dynamic-connectivity MRI features classify ASD versus TD; no deep classifier is specified in the accessible abstract.</ns0:t>
        </ns0:is>
      </ns0:c>
      <ns0:c r="F552" s="21" t="inlineStr">
        <ns0:is>
          <ns0:t>https://doi.org/10.1111/cns.70562</ns0:t>
        </ns0:is>
      </ns0:c>
      <ns0:c r="G552" s="21" t="inlineStr">
        <ns0:is>
          <ns0:t>ChatGPT-assisted evidence recharting, 2026-09-08</ns0:t>
        </ns0:is>
      </ns0:c>
    </ns0:row>
    <ns0:row r="553" ht="42" customHeight="1">
      <ns0:c r="A553" s="19" t="inlineStr">
        <ns0:is>
          <ns0:t>100</ns0:t>
        </ns0:is>
      </ns0:c>
      <ns0:c r="B553" s="19" t="inlineStr">
        <ns0:is>
          <ns0:t>data_source_primary</ns0:t>
        </ns0:is>
      </ns0:c>
      <ns0:c r="C553" s="19" t="inlineStr">
        <ns0:is>
          <ns0:t>Physiological signals</ns0:t>
        </ns0:is>
      </ns0:c>
      <ns0:c r="D553" s="19" t="inlineStr">
        <ns0:is>
          <ns0:t>Neuroimaging</ns0:t>
        </ns0:is>
      </ns0:c>
      <ns0:c r="E553" s="19" t="inlineStr">
        <ns0:is>
          <ns0:t>Functional-gradient and dynamic-connectivity MRI features classify ASD versus TD; no deep classifier is specified in the accessible abstract.</ns0:t>
        </ns0:is>
      </ns0:c>
      <ns0:c r="F553" s="19" t="inlineStr">
        <ns0:is>
          <ns0:t>https://doi.org/10.1111/cns.70562</ns0:t>
        </ns0:is>
      </ns0:c>
      <ns0:c r="G553" s="19" t="inlineStr">
        <ns0:is>
          <ns0:t>ChatGPT-assisted evidence recharting, 2026-09-08</ns0:t>
        </ns0:is>
      </ns0:c>
    </ns0:row>
    <ns0:row r="554" ht="42" customHeight="1">
      <ns0:c r="A554" s="21" t="inlineStr">
        <ns0:is>
          <ns0:t>100</ns0:t>
        </ns0:is>
      </ns0:c>
      <ns0:c r="B554" s="21" t="inlineStr">
        <ns0:is>
          <ns0:t>algorithm_main</ns0:t>
        </ns0:is>
      </ns0:c>
      <ns0:c r="C554" s="21" t="inlineStr">
        <ns0:is>
          <ns0:t>Other / Not clear</ns0:t>
        </ns0:is>
      </ns0:c>
      <ns0:c r="D554" s="21" t="inlineStr">
        <ns0:is>
          <ns0:t>Multiple classifiers; principal family unresolved</ns0:t>
        </ns0:is>
      </ns0:c>
      <ns0:c r="E554" s="21" t="inlineStr">
        <ns0:is>
          <ns0:t>Functional-gradient and dynamic-connectivity MRI features classify ASD versus TD; no deep classifier is specified in the accessible abstract.</ns0:t>
        </ns0:is>
      </ns0:c>
      <ns0:c r="F554" s="21" t="inlineStr">
        <ns0:is>
          <ns0:t>https://doi.org/10.1111/cns.70562</ns0:t>
        </ns0:is>
      </ns0:c>
      <ns0:c r="G554" s="21" t="inlineStr">
        <ns0:is>
          <ns0:t>ChatGPT-assisted evidence recharting, 2026-09-08</ns0:t>
        </ns0:is>
      </ns0:c>
    </ns0:row>
    <ns0:row r="555" ht="42" customHeight="1">
      <ns0:c r="A555" s="19" t="inlineStr">
        <ns0:is>
          <ns0:t>100</ns0:t>
        </ns0:is>
      </ns0:c>
      <ns0:c r="B555" s="19" t="inlineStr">
        <ns0:is>
          <ns0:t>rq2_status</ns0:t>
        </ns0:is>
      </ns0:c>
      <ns0:c r="C555" s="19" t="inlineStr">
        <ns0:is>
          <ns0:t>Not adjudicated in master</ns0:t>
        </ns0:is>
      </ns0:c>
      <ns0:c r="D555" s="19" t="inlineStr">
        <ns0:is>
          <ns0:t>Research only</ns0:t>
        </ns0:is>
      </ns0:c>
      <ns0:c r="E555" s="19" t="inlineStr">
        <ns0:is>
          <ns0:t>Functional-gradient and dynamic-connectivity MRI features classify ASD versus TD; no deep classifier is specified in the accessible abstract.</ns0:t>
        </ns0:is>
      </ns0:c>
      <ns0:c r="F555" s="19" t="inlineStr">
        <ns0:is>
          <ns0:t>https://doi.org/10.1111/cns.70562</ns0:t>
        </ns0:is>
      </ns0:c>
      <ns0:c r="G555" s="19" t="inlineStr">
        <ns0:is>
          <ns0:t>ChatGPT-assisted evidence recharting, 2026-09-08</ns0:t>
        </ns0:is>
      </ns0:c>
    </ns0:row>
    <ns0:row r="556" ht="42" customHeight="1">
      <ns0:c r="A556" s="21" t="inlineStr">
        <ns0:is>
          <ns0:t>100</ns0:t>
        </ns0:is>
      </ns0:c>
      <ns0:c r="B556" s="21" t="inlineStr">
        <ns0:is>
          <ns0:t>rq2_role</ns0:t>
        </ns0:is>
      </ns0:c>
      <ns0:c r="C556" s="21" t="inlineStr"/>
      <ns0:c r="D556" s="21" t="inlineStr">
        <ns0:is>
          <ns0:t>Automated measurement/classification</ns0:t>
        </ns0:is>
      </ns0:c>
      <ns0:c r="E556" s="21" t="inlineStr">
        <ns0:is>
          <ns0:t>Functional-gradient and dynamic-connectivity MRI features classify ASD versus TD; no deep classifier is specified in the accessible abstract.</ns0:t>
        </ns0:is>
      </ns0:c>
      <ns0:c r="F556" s="21" t="inlineStr">
        <ns0:is>
          <ns0:t>https://doi.org/10.1111/cns.70562</ns0:t>
        </ns0:is>
      </ns0:c>
      <ns0:c r="G556" s="21" t="inlineStr">
        <ns0:is>
          <ns0:t>ChatGPT-assisted evidence recharting, 2026-09-08</ns0:t>
        </ns0:is>
      </ns0:c>
    </ns0:row>
    <ns0:row r="557" ht="42" customHeight="1">
      <ns0:c r="A557" s="19" t="inlineStr">
        <ns0:is>
          <ns0:t>100</ns0:t>
        </ns0:is>
      </ns0:c>
      <ns0:c r="B557" s="19" t="inlineStr">
        <ns0:is>
          <ns0:t>decision_timing</ns0:t>
        </ns0:is>
      </ns0:c>
      <ns0:c r="C557" s="19" t="inlineStr"/>
      <ns0:c r="D557" s="19" t="inlineStr">
        <ns0:is>
          <ns0:t>Not observed in assessed sources</ns0:t>
        </ns0:is>
      </ns0:c>
      <ns0:c r="E557" s="19" t="inlineStr">
        <ns0:is>
          <ns0:t>Functional-gradient and dynamic-connectivity MRI features classify ASD versus TD; no deep classifier is specified in the accessible abstract.</ns0:t>
        </ns0:is>
      </ns0:c>
      <ns0:c r="F557" s="19" t="inlineStr">
        <ns0:is>
          <ns0:t>https://doi.org/10.1111/cns.70562</ns0:t>
        </ns0:is>
      </ns0:c>
      <ns0:c r="G557" s="19" t="inlineStr">
        <ns0:is>
          <ns0:t>ChatGPT-assisted evidence recharting, 2026-09-08</ns0:t>
        </ns0:is>
      </ns0:c>
    </ns0:row>
    <ns0:row r="558" ht="42" customHeight="1">
      <ns0:c r="A558" s="21" t="inlineStr">
        <ns0:is>
          <ns0:t>102</ns0:t>
        </ns0:is>
      </ns0:c>
      <ns0:c r="B558" s="21" t="inlineStr">
        <ns0:is>
          <ns0:t>ai_type</ns0:t>
        </ns0:is>
      </ns0:c>
      <ns0:c r="C558" s="21" t="inlineStr">
        <ns0:is>
          <ns0:t>Deep Learning</ns0:t>
        </ns0:is>
      </ns0:c>
      <ns0:c r="D558" s="21" t="inlineStr">
        <ns0:is>
          <ns0:t>Machine Learning</ns0:t>
        </ns0:is>
      </ns0:c>
      <ns0:c r="E558" s="21" t="inlineStr">
        <ns0:is>
          <ns0:t>Wearable gaze collection is tested, but diagnostic model performance is investigated offline; a wearable form factor alone does not establish clinical integration.</ns0:t>
        </ns0:is>
      </ns0:c>
      <ns0:c r="F558" s="21" t="inlineStr">
        <ns0:is>
          <ns0:t>https://doi.org/10.2196/13810</ns0:t>
        </ns0:is>
      </ns0:c>
      <ns0:c r="G558" s="21" t="inlineStr">
        <ns0:is>
          <ns0:t>ChatGPT-assisted evidence recharting, 2026-09-08</ns0:t>
        </ns0:is>
      </ns0:c>
    </ns0:row>
    <ns0:row r="559" ht="42" customHeight="1">
      <ns0:c r="A559" s="19" t="inlineStr">
        <ns0:is>
          <ns0:t>102</ns0:t>
        </ns0:is>
      </ns0:c>
      <ns0:c r="B559" s="19" t="inlineStr">
        <ns0:is>
          <ns0:t>data_source_primary</ns0:t>
        </ns0:is>
      </ns0:c>
      <ns0:c r="C559" s="19" t="inlineStr">
        <ns0:is>
          <ns0:t>Image (subtype unresolved)</ns0:t>
        </ns0:is>
      </ns0:c>
      <ns0:c r="D559" s="19" t="inlineStr">
        <ns0:is>
          <ns0:t>Behavioral images/video/gaze/movement</ns0:t>
        </ns0:is>
      </ns0:c>
      <ns0:c r="E559" s="19" t="inlineStr">
        <ns0:is>
          <ns0:t>Wearable gaze collection is tested, but diagnostic model performance is investigated offline; a wearable form factor alone does not establish clinical integration.</ns0:t>
        </ns0:is>
      </ns0:c>
      <ns0:c r="F559" s="19" t="inlineStr">
        <ns0:is>
          <ns0:t>https://doi.org/10.2196/13810</ns0:t>
        </ns0:is>
      </ns0:c>
      <ns0:c r="G559" s="19" t="inlineStr">
        <ns0:is>
          <ns0:t>ChatGPT-assisted evidence recharting, 2026-09-08</ns0:t>
        </ns0:is>
      </ns0:c>
    </ns0:row>
    <ns0:row r="560" ht="42" customHeight="1">
      <ns0:c r="A560" s="21" t="inlineStr">
        <ns0:is>
          <ns0:t>102</ns0:t>
        </ns0:is>
      </ns0:c>
      <ns0:c r="B560" s="21" t="inlineStr">
        <ns0:is>
          <ns0:t>algorithm_main</ns0:t>
        </ns0:is>
      </ns0:c>
      <ns0:c r="C560" s="21" t="inlineStr">
        <ns0:is>
          <ns0:t>Other / Not clear</ns0:t>
        </ns0:is>
      </ns0:c>
      <ns0:c r="D560" s="21" t="inlineStr">
        <ns0:is>
          <ns0:t>Gaze and emotion-response classifier; family unresolved</ns0:t>
        </ns0:is>
      </ns0:c>
      <ns0:c r="E560" s="21" t="inlineStr">
        <ns0:is>
          <ns0:t>Wearable gaze collection is tested, but diagnostic model performance is investigated offline; a wearable form factor alone does not establish clinical integration.</ns0:t>
        </ns0:is>
      </ns0:c>
      <ns0:c r="F560" s="21" t="inlineStr">
        <ns0:is>
          <ns0:t>https://doi.org/10.2196/13810</ns0:t>
        </ns0:is>
      </ns0:c>
      <ns0:c r="G560" s="21" t="inlineStr">
        <ns0:is>
          <ns0:t>ChatGPT-assisted evidence recharting, 2026-09-08</ns0:t>
        </ns0:is>
      </ns0:c>
    </ns0:row>
    <ns0:row r="561" ht="42" customHeight="1">
      <ns0:c r="A561" s="19" t="inlineStr">
        <ns0:is>
          <ns0:t>102</ns0:t>
        </ns0:is>
      </ns0:c>
      <ns0:c r="B561" s="19" t="inlineStr">
        <ns0:is>
          <ns0:t>rq2_status</ns0:t>
        </ns0:is>
      </ns0:c>
      <ns0:c r="C561" s="19" t="inlineStr">
        <ns0:is>
          <ns0:t>Not adjudicated in master</ns0:t>
        </ns0:is>
      </ns0:c>
      <ns0:c r="D561" s="19" t="inlineStr">
        <ns0:is>
          <ns0:t>Research only</ns0:t>
        </ns0:is>
      </ns0:c>
      <ns0:c r="E561" s="19" t="inlineStr">
        <ns0:is>
          <ns0:t>Wearable gaze collection is tested, but diagnostic model performance is investigated offline; a wearable form factor alone does not establish clinical integration.</ns0:t>
        </ns0:is>
      </ns0:c>
      <ns0:c r="F561" s="19" t="inlineStr">
        <ns0:is>
          <ns0:t>https://doi.org/10.2196/13810</ns0:t>
        </ns0:is>
      </ns0:c>
      <ns0:c r="G561" s="19" t="inlineStr">
        <ns0:is>
          <ns0:t>ChatGPT-assisted evidence recharting, 2026-09-08</ns0:t>
        </ns0:is>
      </ns0:c>
    </ns0:row>
    <ns0:row r="562" ht="42" customHeight="1">
      <ns0:c r="A562" s="21" t="inlineStr">
        <ns0:is>
          <ns0:t>102</ns0:t>
        </ns0:is>
      </ns0:c>
      <ns0:c r="B562" s="21" t="inlineStr">
        <ns0:is>
          <ns0:t>rq2_role</ns0:t>
        </ns0:is>
      </ns0:c>
      <ns0:c r="C562" s="21" t="inlineStr"/>
      <ns0:c r="D562" s="21" t="inlineStr">
        <ns0:is>
          <ns0:t>Automated measurement/classification</ns0:t>
        </ns0:is>
      </ns0:c>
      <ns0:c r="E562" s="21" t="inlineStr">
        <ns0:is>
          <ns0:t>Wearable gaze collection is tested, but diagnostic model performance is investigated offline; a wearable form factor alone does not establish clinical integration.</ns0:t>
        </ns0:is>
      </ns0:c>
      <ns0:c r="F562" s="21" t="inlineStr">
        <ns0:is>
          <ns0:t>https://doi.org/10.2196/13810</ns0:t>
        </ns0:is>
      </ns0:c>
      <ns0:c r="G562" s="21" t="inlineStr">
        <ns0:is>
          <ns0:t>ChatGPT-assisted evidence recharting, 2026-09-08</ns0:t>
        </ns0:is>
      </ns0:c>
    </ns0:row>
    <ns0:row r="563" ht="42" customHeight="1">
      <ns0:c r="A563" s="19" t="inlineStr">
        <ns0:is>
          <ns0:t>102</ns0:t>
        </ns0:is>
      </ns0:c>
      <ns0:c r="B563" s="19" t="inlineStr">
        <ns0:is>
          <ns0:t>decision_timing</ns0:t>
        </ns0:is>
      </ns0:c>
      <ns0:c r="C563" s="19" t="inlineStr"/>
      <ns0:c r="D563" s="19" t="inlineStr">
        <ns0:is>
          <ns0:t>Not observed in assessed sources</ns0:t>
        </ns0:is>
      </ns0:c>
      <ns0:c r="E563" s="19" t="inlineStr">
        <ns0:is>
          <ns0:t>Wearable gaze collection is tested, but diagnostic model performance is investigated offline; a wearable form factor alone does not establish clinical integration.</ns0:t>
        </ns0:is>
      </ns0:c>
      <ns0:c r="F563" s="19" t="inlineStr">
        <ns0:is>
          <ns0:t>https://doi.org/10.2196/13810</ns0:t>
        </ns0:is>
      </ns0:c>
      <ns0:c r="G563" s="19" t="inlineStr">
        <ns0:is>
          <ns0:t>ChatGPT-assisted evidence recharting, 2026-09-08</ns0:t>
        </ns0:is>
      </ns0:c>
    </ns0:row>
    <ns0:row r="564" ht="42" customHeight="1">
      <ns0:c r="A564" s="21" t="inlineStr">
        <ns0:is>
          <ns0:t>103</ns0:t>
        </ns0:is>
      </ns0:c>
      <ns0:c r="B564" s="21" t="inlineStr">
        <ns0:is>
          <ns0:t>stage_primary</ns0:t>
        </ns0:is>
      </ns0:c>
      <ns0:c r="C564" s="21" t="inlineStr">
        <ns0:is>
          <ns0:t>Monitoring/intervention</ns0:t>
        </ns0:is>
      </ns0:c>
      <ns0:c r="D564" s="21" t="inlineStr">
        <ns0:is>
          <ns0:t>Not specified</ns0:t>
        </ns0:is>
      </ns0:c>
      <ns0:c r="E564" s="21" t="inlineStr">
        <ns0:is>
          <ns0:t>Lifetime diagnostic-code patterns in decedents are retrospective care characterization, not prospective monitoring or multisource sensor integration.</ns0:t>
        </ns0:is>
      </ns0:c>
      <ns0:c r="F564" s="21" t="inlineStr">
        <ns0:is>
          <ns0:t>https://doi.org/10.1002/aur.1960</ns0:t>
        </ns0:is>
      </ns0:c>
      <ns0:c r="G564" s="21" t="inlineStr">
        <ns0:is>
          <ns0:t>ChatGPT-assisted evidence recharting, 2026-09-08</ns0:t>
        </ns0:is>
      </ns0:c>
    </ns0:row>
    <ns0:row r="565" ht="42" customHeight="1">
      <ns0:c r="A565" s="19" t="inlineStr">
        <ns0:is>
          <ns0:t>103</ns0:t>
        </ns0:is>
      </ns0:c>
      <ns0:c r="B565" s="19" t="inlineStr">
        <ns0:is>
          <ns0:t>ai_type</ns0:t>
        </ns0:is>
      </ns0:c>
      <ns0:c r="C565" s="19" t="inlineStr">
        <ns0:is>
          <ns0:t>Deep Learning</ns0:t>
        </ns0:is>
      </ns0:c>
      <ns0:c r="D565" s="19" t="inlineStr">
        <ns0:is>
          <ns0:t>Machine Learning</ns0:t>
        </ns0:is>
      </ns0:c>
      <ns0:c r="E565" s="19" t="inlineStr">
        <ns0:is>
          <ns0:t>Lifetime diagnostic-code patterns in decedents are retrospective care characterization, not prospective monitoring or multisource sensor integration.</ns0:t>
        </ns0:is>
      </ns0:c>
      <ns0:c r="F565" s="19" t="inlineStr">
        <ns0:is>
          <ns0:t>https://doi.org/10.1002/aur.1960</ns0:t>
        </ns0:is>
      </ns0:c>
      <ns0:c r="G565" s="19" t="inlineStr">
        <ns0:is>
          <ns0:t>ChatGPT-assisted evidence recharting, 2026-09-08</ns0:t>
        </ns0:is>
      </ns0:c>
    </ns0:row>
    <ns0:row r="566" ht="42" customHeight="1">
      <ns0:c r="A566" s="21" t="inlineStr">
        <ns0:is>
          <ns0:t>103</ns0:t>
        </ns0:is>
      </ns0:c>
      <ns0:c r="B566" s="21" t="inlineStr">
        <ns0:is>
          <ns0:t>data_source_primary</ns0:t>
        </ns0:is>
      </ns0:c>
      <ns0:c r="C566" s="21" t="inlineStr">
        <ns0:is>
          <ns0:t>Multiple modalities (as coded)</ns0:t>
        </ns0:is>
      </ns0:c>
      <ns0:c r="D566" s="21" t="inlineStr">
        <ns0:is>
          <ns0:t>Structured clinical/questionnaire data</ns0:t>
        </ns0:is>
      </ns0:c>
      <ns0:c r="E566" s="21" t="inlineStr">
        <ns0:is>
          <ns0:t>Lifetime diagnostic-code patterns in decedents are retrospective care characterization, not prospective monitoring or multisource sensor integration.</ns0:t>
        </ns0:is>
      </ns0:c>
      <ns0:c r="F566" s="21" t="inlineStr">
        <ns0:is>
          <ns0:t>https://doi.org/10.1002/aur.1960</ns0:t>
        </ns0:is>
      </ns0:c>
      <ns0:c r="G566" s="21" t="inlineStr">
        <ns0:is>
          <ns0:t>ChatGPT-assisted evidence recharting, 2026-09-08</ns0:t>
        </ns0:is>
      </ns0:c>
    </ns0:row>
    <ns0:row r="567" ht="42" customHeight="1">
      <ns0:c r="A567" s="19" t="inlineStr">
        <ns0:is>
          <ns0:t>103</ns0:t>
        </ns0:is>
      </ns0:c>
      <ns0:c r="B567" s="19" t="inlineStr">
        <ns0:is>
          <ns0:t>algorithm_main</ns0:t>
        </ns0:is>
      </ns0:c>
      <ns0:c r="C567" s="19" t="inlineStr">
        <ns0:is>
          <ns0:t>Random Forest</ns0:t>
        </ns0:is>
      </ns0:c>
      <ns0:c r="D567" s="19" t="inlineStr">
        <ns0:is>
          <ns0:t>Random forest</ns0:t>
        </ns0:is>
      </ns0:c>
      <ns0:c r="E567" s="19" t="inlineStr">
        <ns0:is>
          <ns0:t>Lifetime diagnostic-code patterns in decedents are retrospective care characterization, not prospective monitoring or multisource sensor integration.</ns0:t>
        </ns0:is>
      </ns0:c>
      <ns0:c r="F567" s="19" t="inlineStr">
        <ns0:is>
          <ns0:t>https://doi.org/10.1002/aur.1960</ns0:t>
        </ns0:is>
      </ns0:c>
      <ns0:c r="G567" s="19" t="inlineStr">
        <ns0:is>
          <ns0:t>ChatGPT-assisted evidence recharting, 2026-09-08</ns0:t>
        </ns0:is>
      </ns0:c>
    </ns0:row>
    <ns0:row r="568" ht="42" customHeight="1">
      <ns0:c r="A568" s="21" t="inlineStr">
        <ns0:is>
          <ns0:t>103</ns0:t>
        </ns0:is>
      </ns0:c>
      <ns0:c r="B568" s="21" t="inlineStr">
        <ns0:is>
          <ns0:t>rq2_status</ns0:t>
        </ns0:is>
      </ns0:c>
      <ns0:c r="C568" s="21" t="inlineStr">
        <ns0:is>
          <ns0:t>Not adjudicated in master</ns0:t>
        </ns0:is>
      </ns0:c>
      <ns0:c r="D568" s="21" t="inlineStr">
        <ns0:is>
          <ns0:t>Research only</ns0:t>
        </ns0:is>
      </ns0:c>
      <ns0:c r="E568" s="21" t="inlineStr">
        <ns0:is>
          <ns0:t>Lifetime diagnostic-code patterns in decedents are retrospective care characterization, not prospective monitoring or multisource sensor integration.</ns0:t>
        </ns0:is>
      </ns0:c>
      <ns0:c r="F568" s="21" t="inlineStr">
        <ns0:is>
          <ns0:t>https://doi.org/10.1002/aur.1960</ns0:t>
        </ns0:is>
      </ns0:c>
      <ns0:c r="G568" s="21" t="inlineStr">
        <ns0:is>
          <ns0:t>ChatGPT-assisted evidence recharting, 2026-09-08</ns0:t>
        </ns0:is>
      </ns0:c>
    </ns0:row>
    <ns0:row r="569" ht="42" customHeight="1">
      <ns0:c r="A569" s="19" t="inlineStr">
        <ns0:is>
          <ns0:t>103</ns0:t>
        </ns0:is>
      </ns0:c>
      <ns0:c r="B569" s="19" t="inlineStr">
        <ns0:is>
          <ns0:t>rq2_role</ns0:t>
        </ns0:is>
      </ns0:c>
      <ns0:c r="C569" s="19" t="inlineStr"/>
      <ns0:c r="D569" s="19" t="inlineStr">
        <ns0:is>
          <ns0:t>Research characterization</ns0:t>
        </ns0:is>
      </ns0:c>
      <ns0:c r="E569" s="19" t="inlineStr">
        <ns0:is>
          <ns0:t>Lifetime diagnostic-code patterns in decedents are retrospective care characterization, not prospective monitoring or multisource sensor integration.</ns0:t>
        </ns0:is>
      </ns0:c>
      <ns0:c r="F569" s="19" t="inlineStr">
        <ns0:is>
          <ns0:t>https://doi.org/10.1002/aur.1960</ns0:t>
        </ns0:is>
      </ns0:c>
      <ns0:c r="G569" s="19" t="inlineStr">
        <ns0:is>
          <ns0:t>ChatGPT-assisted evidence recharting, 2026-09-08</ns0:t>
        </ns0:is>
      </ns0:c>
    </ns0:row>
    <ns0:row r="570" ht="42" customHeight="1">
      <ns0:c r="A570" s="21" t="inlineStr">
        <ns0:is>
          <ns0:t>103</ns0:t>
        </ns0:is>
      </ns0:c>
      <ns0:c r="B570" s="21" t="inlineStr">
        <ns0:is>
          <ns0:t>decision_timing</ns0:t>
        </ns0:is>
      </ns0:c>
      <ns0:c r="C570" s="21" t="inlineStr"/>
      <ns0:c r="D570" s="21" t="inlineStr">
        <ns0:is>
          <ns0:t>Not observed in assessed sources</ns0:t>
        </ns0:is>
      </ns0:c>
      <ns0:c r="E570" s="21" t="inlineStr">
        <ns0:is>
          <ns0:t>Lifetime diagnostic-code patterns in decedents are retrospective care characterization, not prospective monitoring or multisource sensor integration.</ns0:t>
        </ns0:is>
      </ns0:c>
      <ns0:c r="F570" s="21" t="inlineStr">
        <ns0:is>
          <ns0:t>https://doi.org/10.1002/aur.1960</ns0:t>
        </ns0:is>
      </ns0:c>
      <ns0:c r="G570" s="21" t="inlineStr">
        <ns0:is>
          <ns0:t>ChatGPT-assisted evidence recharting, 2026-09-08</ns0:t>
        </ns0:is>
      </ns0:c>
    </ns0:row>
    <ns0:row r="571" ht="42" customHeight="1">
      <ns0:c r="A571" s="19" t="inlineStr">
        <ns0:is>
          <ns0:t>103</ns0:t>
        </ns0:is>
      </ns0:c>
      <ns0:c r="B571" s="19" t="inlineStr">
        <ns0:is>
          <ns0:t>multisource_data</ns0:t>
        </ns0:is>
      </ns0:c>
      <ns0:c r="C571" s="19" t="inlineStr">
        <ns0:is>
          <ns0:t>Reported</ns0:t>
        </ns0:is>
      </ns0:c>
      <ns0:c r="D571" s="19" t="inlineStr">
        <ns0:is>
          <ns0:t>Not reported in assessed sources</ns0:t>
        </ns0:is>
      </ns0:c>
      <ns0:c r="E571" s="19" t="inlineStr">
        <ns0:is>
          <ns0:t>Lifetime diagnostic-code patterns in decedents are retrospective care characterization, not prospective monitoring or multisource sensor integration.</ns0:t>
        </ns0:is>
      </ns0:c>
      <ns0:c r="F571" s="19" t="inlineStr">
        <ns0:is>
          <ns0:t>https://doi.org/10.1002/aur.1960</ns0:t>
        </ns0:is>
      </ns0:c>
      <ns0:c r="G571" s="19" t="inlineStr">
        <ns0:is>
          <ns0:t>ChatGPT-assisted evidence recharting, 2026-09-08</ns0:t>
        </ns0:is>
      </ns0:c>
    </ns0:row>
    <ns0:row r="572" ht="42" customHeight="1">
      <ns0:c r="A572" s="21" t="inlineStr">
        <ns0:is>
          <ns0:t>104</ns0:t>
        </ns0:is>
      </ns0:c>
      <ns0:c r="B572" s="21" t="inlineStr">
        <ns0:is>
          <ns0:t>ai_type</ns0:t>
        </ns0:is>
      </ns0:c>
      <ns0:c r="C572" s="21" t="inlineStr">
        <ns0:is>
          <ns0:t>Hybrid</ns0:t>
        </ns0:is>
      </ns0:c>
      <ns0:c r="D572" s="21" t="inlineStr">
        <ns0:is>
          <ns0:t>Not specified</ns0:t>
        </ns0:is>
      </ns0:c>
      <ns0:c r="E572" s="21" t="inlineStr">
        <ns0:is>
          <ns0:t>Explicit benchmark compares heterogeneous models under equal testing conditions. Do not call comparison itself a hybrid pipeline; retain ensemble/multiple-model status and explicit SmoothGrad explanations.</ns0:t>
        </ns0:is>
      </ns0:c>
      <ns0:c r="F572" s="21" t="inlineStr">
        <ns0:is>
          <ns0:t>https://doi.org/10.1002/hbm.70190</ns0:t>
        </ns0:is>
      </ns0:c>
      <ns0:c r="G572" s="21" t="inlineStr">
        <ns0:is>
          <ns0:t>ChatGPT-assisted evidence recharting, 2026-09-08</ns0:t>
        </ns0:is>
      </ns0:c>
    </ns0:row>
    <ns0:row r="573" ht="42" customHeight="1">
      <ns0:c r="A573" s="19" t="inlineStr">
        <ns0:is>
          <ns0:t>104</ns0:t>
        </ns0:is>
      </ns0:c>
      <ns0:c r="B573" s="19" t="inlineStr">
        <ns0:is>
          <ns0:t>data_source_primary</ns0:t>
        </ns0:is>
      </ns0:c>
      <ns0:c r="C573" s="19" t="inlineStr">
        <ns0:is>
          <ns0:t>Multiple modalities (as coded)</ns0:t>
        </ns0:is>
      </ns0:c>
      <ns0:c r="D573" s="19" t="inlineStr">
        <ns0:is>
          <ns0:t>Multiple source categories</ns0:t>
        </ns0:is>
      </ns0:c>
      <ns0:c r="E573" s="19" t="inlineStr">
        <ns0:is>
          <ns0:t>Explicit benchmark compares heterogeneous models under equal testing conditions. Do not call comparison itself a hybrid pipeline; retain ensemble/multiple-model status and explicit SmoothGrad explanations.</ns0:t>
        </ns0:is>
      </ns0:c>
      <ns0:c r="F573" s="19" t="inlineStr">
        <ns0:is>
          <ns0:t>https://doi.org/10.1002/hbm.70190</ns0:t>
        </ns0:is>
      </ns0:c>
      <ns0:c r="G573" s="19" t="inlineStr">
        <ns0:is>
          <ns0:t>ChatGPT-assisted evidence recharting, 2026-09-08</ns0:t>
        </ns0:is>
      </ns0:c>
    </ns0:row>
    <ns0:row r="574" ht="42" customHeight="1">
      <ns0:c r="A574" s="21" t="inlineStr">
        <ns0:is>
          <ns0:t>104</ns0:t>
        </ns0:is>
      </ns0:c>
      <ns0:c r="B574" s="21" t="inlineStr">
        <ns0:is>
          <ns0:t>algorithm_main</ns0:t>
        </ns0:is>
      </ns0:c>
      <ns0:c r="C574" s="21" t="inlineStr">
        <ns0:is>
          <ns0:t>Other</ns0:t>
        </ns0:is>
      </ns0:c>
      <ns0:c r="D574" s="21" t="inlineStr">
        <ns0:is>
          <ns0:t>Ensemble and multiple neural/SVM benchmarks</ns0:t>
        </ns0:is>
      </ns0:c>
      <ns0:c r="E574" s="21" t="inlineStr">
        <ns0:is>
          <ns0:t>Explicit benchmark compares heterogeneous models under equal testing conditions. Do not call comparison itself a hybrid pipeline; retain ensemble/multiple-model status and explicit SmoothGrad explanations.</ns0:t>
        </ns0:is>
      </ns0:c>
      <ns0:c r="F574" s="21" t="inlineStr">
        <ns0:is>
          <ns0:t>https://doi.org/10.1002/hbm.70190</ns0:t>
        </ns0:is>
      </ns0:c>
      <ns0:c r="G574" s="21" t="inlineStr">
        <ns0:is>
          <ns0:t>ChatGPT-assisted evidence recharting, 2026-09-08</ns0:t>
        </ns0:is>
      </ns0:c>
    </ns0:row>
    <ns0:row r="575" ht="42" customHeight="1">
      <ns0:c r="A575" s="19" t="inlineStr">
        <ns0:is>
          <ns0:t>104</ns0:t>
        </ns0:is>
      </ns0:c>
      <ns0:c r="B575" s="19" t="inlineStr">
        <ns0:is>
          <ns0:t>rq2_status</ns0:t>
        </ns0:is>
      </ns0:c>
      <ns0:c r="C575" s="19" t="inlineStr">
        <ns0:is>
          <ns0:t>Not adjudicated in master</ns0:t>
        </ns0:is>
      </ns0:c>
      <ns0:c r="D575" s="19" t="inlineStr">
        <ns0:is>
          <ns0:t>Research only</ns0:t>
        </ns0:is>
      </ns0:c>
      <ns0:c r="E575" s="19" t="inlineStr">
        <ns0:is>
          <ns0:t>Explicit benchmark compares heterogeneous models under equal testing conditions. Do not call comparison itself a hybrid pipeline; retain ensemble/multiple-model status and explicit SmoothGrad explanations.</ns0:t>
        </ns0:is>
      </ns0:c>
      <ns0:c r="F575" s="19" t="inlineStr">
        <ns0:is>
          <ns0:t>https://doi.org/10.1002/hbm.70190</ns0:t>
        </ns0:is>
      </ns0:c>
      <ns0:c r="G575" s="19" t="inlineStr">
        <ns0:is>
          <ns0:t>ChatGPT-assisted evidence recharting, 2026-09-08</ns0:t>
        </ns0:is>
      </ns0:c>
    </ns0:row>
    <ns0:row r="576" ht="42" customHeight="1">
      <ns0:c r="A576" s="21" t="inlineStr">
        <ns0:is>
          <ns0:t>104</ns0:t>
        </ns0:is>
      </ns0:c>
      <ns0:c r="B576" s="21" t="inlineStr">
        <ns0:is>
          <ns0:t>rq2_role</ns0:t>
        </ns0:is>
      </ns0:c>
      <ns0:c r="C576" s="21" t="inlineStr"/>
      <ns0:c r="D576" s="21" t="inlineStr">
        <ns0:is>
          <ns0:t>Automated measurement/classification</ns0:t>
        </ns0:is>
      </ns0:c>
      <ns0:c r="E576" s="21" t="inlineStr">
        <ns0:is>
          <ns0:t>Explicit benchmark compares heterogeneous models under equal testing conditions. Do not call comparison itself a hybrid pipeline; retain ensemble/multiple-model status and explicit SmoothGrad explanations.</ns0:t>
        </ns0:is>
      </ns0:c>
      <ns0:c r="F576" s="21" t="inlineStr">
        <ns0:is>
          <ns0:t>https://doi.org/10.1002/hbm.70190</ns0:t>
        </ns0:is>
      </ns0:c>
      <ns0:c r="G576" s="21" t="inlineStr">
        <ns0:is>
          <ns0:t>ChatGPT-assisted evidence recharting, 2026-09-08</ns0:t>
        </ns0:is>
      </ns0:c>
    </ns0:row>
    <ns0:row r="577" ht="42" customHeight="1">
      <ns0:c r="A577" s="19" t="inlineStr">
        <ns0:is>
          <ns0:t>104</ns0:t>
        </ns0:is>
      </ns0:c>
      <ns0:c r="B577" s="19" t="inlineStr">
        <ns0:is>
          <ns0:t>decision_timing</ns0:t>
        </ns0:is>
      </ns0:c>
      <ns0:c r="C577" s="19" t="inlineStr"/>
      <ns0:c r="D577" s="19" t="inlineStr">
        <ns0:is>
          <ns0:t>Not observed in assessed sources</ns0:t>
        </ns0:is>
      </ns0:c>
      <ns0:c r="E577" s="19" t="inlineStr">
        <ns0:is>
          <ns0:t>Explicit benchmark compares heterogeneous models under equal testing conditions. Do not call comparison itself a hybrid pipeline; retain ensemble/multiple-model status and explicit SmoothGrad explanations.</ns0:t>
        </ns0:is>
      </ns0:c>
      <ns0:c r="F577" s="19" t="inlineStr">
        <ns0:is>
          <ns0:t>https://doi.org/10.1002/hbm.70190</ns0:t>
        </ns0:is>
      </ns0:c>
      <ns0:c r="G577" s="19" t="inlineStr">
        <ns0:is>
          <ns0:t>ChatGPT-assisted evidence recharting, 2026-09-08</ns0:t>
        </ns0:is>
      </ns0:c>
    </ns0:row>
    <ns0:row r="578" ht="42" customHeight="1">
      <ns0:c r="A578" s="21" t="inlineStr">
        <ns0:is>
          <ns0:t>105</ns0:t>
        </ns0:is>
      </ns0:c>
      <ns0:c r="B578" s="21" t="inlineStr">
        <ns0:is>
          <ns0:t>data_source_primary</ns0:t>
        </ns0:is>
      </ns0:c>
      <ns0:c r="C578" s="21" t="inlineStr">
        <ns0:is>
          <ns0:t>Physiological signals</ns0:t>
        </ns0:is>
      </ns0:c>
      <ns0:c r="D578" s="21" t="inlineStr">
        <ns0:is>
          <ns0:t>Behavioral images/video/gaze/movement</ns0:t>
        </ns0:is>
      </ns0:c>
      <ns0:c r="E578" s="21" t="inlineStr">
        <ns0:is>
          <ns0:t>Stereotyped-movement recognition from wearable kinematics, including cross-subject transfer. Cross-subject testing is not cross-site robustness.</ns0:t>
        </ns0:is>
      </ns0:c>
      <ns0:c r="F578" s="21" t="inlineStr">
        <ns0:is>
          <ns0:t>https://doi.org/10.1155/2018/7186762</ns0:t>
        </ns0:is>
      </ns0:c>
      <ns0:c r="G578" s="21" t="inlineStr">
        <ns0:is>
          <ns0:t>ChatGPT-assisted evidence recharting, 2026-09-08</ns0:t>
        </ns0:is>
      </ns0:c>
    </ns0:row>
    <ns0:row r="579" ht="42" customHeight="1">
      <ns0:c r="A579" s="19" t="inlineStr">
        <ns0:is>
          <ns0:t>105</ns0:t>
        </ns0:is>
      </ns0:c>
      <ns0:c r="B579" s="19" t="inlineStr">
        <ns0:is>
          <ns0:t>algorithm_main</ns0:t>
        </ns0:is>
      </ns0:c>
      <ns0:c r="C579" s="19" t="inlineStr">
        <ns0:is>
          <ns0:t>Random Forest</ns0:t>
        </ns0:is>
      </ns0:c>
      <ns0:c r="D579" s="19" t="inlineStr">
        <ns0:is>
          <ns0:t>CNN transfer features with SVM</ns0:t>
        </ns0:is>
      </ns0:c>
      <ns0:c r="E579" s="19" t="inlineStr">
        <ns0:is>
          <ns0:t>Stereotyped-movement recognition from wearable kinematics, including cross-subject transfer. Cross-subject testing is not cross-site robustness.</ns0:t>
        </ns0:is>
      </ns0:c>
      <ns0:c r="F579" s="19" t="inlineStr">
        <ns0:is>
          <ns0:t>https://doi.org/10.1155/2018/7186762</ns0:t>
        </ns0:is>
      </ns0:c>
      <ns0:c r="G579" s="19" t="inlineStr">
        <ns0:is>
          <ns0:t>ChatGPT-assisted evidence recharting, 2026-09-08</ns0:t>
        </ns0:is>
      </ns0:c>
    </ns0:row>
    <ns0:row r="580" ht="42" customHeight="1">
      <ns0:c r="A580" s="21" t="inlineStr">
        <ns0:is>
          <ns0:t>105</ns0:t>
        </ns0:is>
      </ns0:c>
      <ns0:c r="B580" s="21" t="inlineStr">
        <ns0:is>
          <ns0:t>rq2_status</ns0:t>
        </ns0:is>
      </ns0:c>
      <ns0:c r="C580" s="21" t="inlineStr">
        <ns0:is>
          <ns0:t>Not adjudicated in master</ns0:t>
        </ns0:is>
      </ns0:c>
      <ns0:c r="D580" s="21" t="inlineStr">
        <ns0:is>
          <ns0:t>Research only</ns0:t>
        </ns0:is>
      </ns0:c>
      <ns0:c r="E580" s="21" t="inlineStr">
        <ns0:is>
          <ns0:t>Stereotyped-movement recognition from wearable kinematics, including cross-subject transfer. Cross-subject testing is not cross-site robustness.</ns0:t>
        </ns0:is>
      </ns0:c>
      <ns0:c r="F580" s="21" t="inlineStr">
        <ns0:is>
          <ns0:t>https://doi.org/10.1155/2018/7186762</ns0:t>
        </ns0:is>
      </ns0:c>
      <ns0:c r="G580" s="21" t="inlineStr">
        <ns0:is>
          <ns0:t>ChatGPT-assisted evidence recharting, 2026-09-08</ns0:t>
        </ns0:is>
      </ns0:c>
    </ns0:row>
    <ns0:row r="581" ht="42" customHeight="1">
      <ns0:c r="A581" s="19" t="inlineStr">
        <ns0:is>
          <ns0:t>105</ns0:t>
        </ns0:is>
      </ns0:c>
      <ns0:c r="B581" s="19" t="inlineStr">
        <ns0:is>
          <ns0:t>rq2_role</ns0:t>
        </ns0:is>
      </ns0:c>
      <ns0:c r="C581" s="19" t="inlineStr"/>
      <ns0:c r="D581" s="19" t="inlineStr">
        <ns0:is>
          <ns0:t>Monitoring/longitudinal analysis</ns0:t>
        </ns0:is>
      </ns0:c>
      <ns0:c r="E581" s="19" t="inlineStr">
        <ns0:is>
          <ns0:t>Stereotyped-movement recognition from wearable kinematics, including cross-subject transfer. Cross-subject testing is not cross-site robustness.</ns0:t>
        </ns0:is>
      </ns0:c>
      <ns0:c r="F581" s="19" t="inlineStr">
        <ns0:is>
          <ns0:t>https://doi.org/10.1155/2018/7186762</ns0:t>
        </ns0:is>
      </ns0:c>
      <ns0:c r="G581" s="19" t="inlineStr">
        <ns0:is>
          <ns0:t>ChatGPT-assisted evidence recharting, 2026-09-08</ns0:t>
        </ns0:is>
      </ns0:c>
    </ns0:row>
    <ns0:row r="582" ht="42" customHeight="1">
      <ns0:c r="A582" s="21" t="inlineStr">
        <ns0:is>
          <ns0:t>105</ns0:t>
        </ns0:is>
      </ns0:c>
      <ns0:c r="B582" s="21" t="inlineStr">
        <ns0:is>
          <ns0:t>decision_timing</ns0:t>
        </ns0:is>
      </ns0:c>
      <ns0:c r="C582" s="21" t="inlineStr"/>
      <ns0:c r="D582" s="21" t="inlineStr">
        <ns0:is>
          <ns0:t>Not observed in assessed sources</ns0:t>
        </ns0:is>
      </ns0:c>
      <ns0:c r="E582" s="21" t="inlineStr">
        <ns0:is>
          <ns0:t>Stereotyped-movement recognition from wearable kinematics, including cross-subject transfer. Cross-subject testing is not cross-site robustness.</ns0:t>
        </ns0:is>
      </ns0:c>
      <ns0:c r="F582" s="21" t="inlineStr">
        <ns0:is>
          <ns0:t>https://doi.org/10.1155/2018/7186762</ns0:t>
        </ns0:is>
      </ns0:c>
      <ns0:c r="G582" s="21" t="inlineStr">
        <ns0:is>
          <ns0:t>ChatGPT-assisted evidence recharting, 2026-09-08</ns0:t>
        </ns0:is>
      </ns0:c>
    </ns0:row>
    <ns0:row r="583" ht="42" customHeight="1">
      <ns0:c r="A583" s="19" t="inlineStr">
        <ns0:is>
          <ns0:t>106</ns0:t>
        </ns0:is>
      </ns0:c>
      <ns0:c r="B583" s="19" t="inlineStr">
        <ns0:is>
          <ns0:t>data_source_primary</ns0:t>
        </ns0:is>
      </ns0:c>
      <ns0:c r="C583" s="19" t="inlineStr">
        <ns0:is>
          <ns0:t>Not specified</ns0:t>
        </ns0:is>
      </ns0:c>
      <ns0:c r="D583" s="19" t="inlineStr">
        <ns0:is>
          <ns0:t>Biological/omics</ns0:t>
        </ns0:is>
      </ns0:c>
      <ns0:c r="E583" s="19" t="inlineStr">
        <ns0:is>
          <ns0:t>Human whole-genome family data explicitly support an ASD predictive classifier in addition to gene-enrichment analysis; retained as an original computational diagnostic study.</ns0:t>
        </ns0:is>
      </ns0:c>
      <ns0:c r="F583" s="19" t="inlineStr">
        <ns0:is>
          <ns0:t>https://doi.org/10.1371/journal.pone.0326022</ns0:t>
        </ns0:is>
      </ns0:c>
      <ns0:c r="G583" s="19" t="inlineStr">
        <ns0:is>
          <ns0:t>ChatGPT-assisted evidence recharting, 2026-09-08</ns0:t>
        </ns0:is>
      </ns0:c>
    </ns0:row>
    <ns0:row r="584" ht="42" customHeight="1">
      <ns0:c r="A584" s="21" t="inlineStr">
        <ns0:is>
          <ns0:t>106</ns0:t>
        </ns0:is>
      </ns0:c>
      <ns0:c r="B584" s="21" t="inlineStr">
        <ns0:is>
          <ns0:t>algorithm_main</ns0:t>
        </ns0:is>
      </ns0:c>
      <ns0:c r="C584" s="21" t="inlineStr">
        <ns0:is>
          <ns0:t>SVM</ns0:t>
        </ns0:is>
      </ns0:c>
      <ns0:c r="D584" s="21" t="inlineStr">
        <ns0:is>
          <ns0:t>SVM predictor with variant-based clustering</ns0:t>
        </ns0:is>
      </ns0:c>
      <ns0:c r="E584" s="21" t="inlineStr">
        <ns0:is>
          <ns0:t>Human whole-genome family data explicitly support an ASD predictive classifier in addition to gene-enrichment analysis; retained as an original computational diagnostic study.</ns0:t>
        </ns0:is>
      </ns0:c>
      <ns0:c r="F584" s="21" t="inlineStr">
        <ns0:is>
          <ns0:t>https://doi.org/10.1371/journal.pone.0326022</ns0:t>
        </ns0:is>
      </ns0:c>
      <ns0:c r="G584" s="21" t="inlineStr">
        <ns0:is>
          <ns0:t>ChatGPT-assisted evidence recharting, 2026-09-08</ns0:t>
        </ns0:is>
      </ns0:c>
    </ns0:row>
    <ns0:row r="585" ht="42" customHeight="1">
      <ns0:c r="A585" s="19" t="inlineStr">
        <ns0:is>
          <ns0:t>106</ns0:t>
        </ns0:is>
      </ns0:c>
      <ns0:c r="B585" s="19" t="inlineStr">
        <ns0:is>
          <ns0:t>rq2_status</ns0:t>
        </ns0:is>
      </ns0:c>
      <ns0:c r="C585" s="19" t="inlineStr">
        <ns0:is>
          <ns0:t>Not adjudicated in master</ns0:t>
        </ns0:is>
      </ns0:c>
      <ns0:c r="D585" s="19" t="inlineStr">
        <ns0:is>
          <ns0:t>Research only</ns0:t>
        </ns0:is>
      </ns0:c>
      <ns0:c r="E585" s="19" t="inlineStr">
        <ns0:is>
          <ns0:t>Human whole-genome family data explicitly support an ASD predictive classifier in addition to gene-enrichment analysis; retained as an original computational diagnostic study.</ns0:t>
        </ns0:is>
      </ns0:c>
      <ns0:c r="F585" s="19" t="inlineStr">
        <ns0:is>
          <ns0:t>https://doi.org/10.1371/journal.pone.0326022</ns0:t>
        </ns0:is>
      </ns0:c>
      <ns0:c r="G585" s="19" t="inlineStr">
        <ns0:is>
          <ns0:t>ChatGPT-assisted evidence recharting, 2026-09-08</ns0:t>
        </ns0:is>
      </ns0:c>
    </ns0:row>
    <ns0:row r="586" ht="42" customHeight="1">
      <ns0:c r="A586" s="21" t="inlineStr">
        <ns0:is>
          <ns0:t>106</ns0:t>
        </ns0:is>
      </ns0:c>
      <ns0:c r="B586" s="21" t="inlineStr">
        <ns0:is>
          <ns0:t>rq2_role</ns0:t>
        </ns0:is>
      </ns0:c>
      <ns0:c r="C586" s="21" t="inlineStr"/>
      <ns0:c r="D586" s="21" t="inlineStr">
        <ns0:is>
          <ns0:t>Automated measurement/classification</ns0:t>
        </ns0:is>
      </ns0:c>
      <ns0:c r="E586" s="21" t="inlineStr">
        <ns0:is>
          <ns0:t>Human whole-genome family data explicitly support an ASD predictive classifier in addition to gene-enrichment analysis; retained as an original computational diagnostic study.</ns0:t>
        </ns0:is>
      </ns0:c>
      <ns0:c r="F586" s="21" t="inlineStr">
        <ns0:is>
          <ns0:t>https://doi.org/10.1371/journal.pone.0326022</ns0:t>
        </ns0:is>
      </ns0:c>
      <ns0:c r="G586" s="21" t="inlineStr">
        <ns0:is>
          <ns0:t>ChatGPT-assisted evidence recharting, 2026-09-08</ns0:t>
        </ns0:is>
      </ns0:c>
    </ns0:row>
    <ns0:row r="587" ht="42" customHeight="1">
      <ns0:c r="A587" s="19" t="inlineStr">
        <ns0:is>
          <ns0:t>106</ns0:t>
        </ns0:is>
      </ns0:c>
      <ns0:c r="B587" s="19" t="inlineStr">
        <ns0:is>
          <ns0:t>decision_timing</ns0:t>
        </ns0:is>
      </ns0:c>
      <ns0:c r="C587" s="19" t="inlineStr"/>
      <ns0:c r="D587" s="19" t="inlineStr">
        <ns0:is>
          <ns0:t>Not observed in assessed sources</ns0:t>
        </ns0:is>
      </ns0:c>
      <ns0:c r="E587" s="19" t="inlineStr">
        <ns0:is>
          <ns0:t>Human whole-genome family data explicitly support an ASD predictive classifier in addition to gene-enrichment analysis; retained as an original computational diagnostic study.</ns0:t>
        </ns0:is>
      </ns0:c>
      <ns0:c r="F587" s="19" t="inlineStr">
        <ns0:is>
          <ns0:t>https://doi.org/10.1371/journal.pone.0326022</ns0:t>
        </ns0:is>
      </ns0:c>
      <ns0:c r="G587" s="19" t="inlineStr">
        <ns0:is>
          <ns0:t>ChatGPT-assisted evidence recharting, 2026-09-08</ns0:t>
        </ns0:is>
      </ns0:c>
    </ns0:row>
    <ns0:row r="588" ht="42" customHeight="1">
      <ns0:c r="A588" s="21" t="inlineStr">
        <ns0:is>
          <ns0:t>107</ns0:t>
        </ns0:is>
      </ns0:c>
      <ns0:c r="B588" s="21" t="inlineStr">
        <ns0:is>
          <ns0:t>data_source_primary</ns0:t>
        </ns0:is>
      </ns0:c>
      <ns0:c r="C588" s="21" t="inlineStr">
        <ns0:is>
          <ns0:t>Image (subtype unresolved)</ns0:t>
        </ns0:is>
      </ns0:c>
      <ns0:c r="D588" s="21" t="inlineStr">
        <ns0:is>
          <ns0:t>Behavioral images/video/gaze/movement</ns0:t>
        </ns0:is>
      </ns0:c>
      <ns0:c r="E588" s="21" t="inlineStr">
        <ns0:is>
          <ns0:t>Eye tracking across two tasks/studies; separate evaluation groups are not sufficient to assert a trained-model external transfer test. Different stimuli remain a single sensor modality.</ns0:t>
        </ns0:is>
      </ns0:c>
      <ns0:c r="F588" s="21" t="inlineStr">
        <ns0:is>
          <ns0:t>https://doi.org/10.1109/tnsre.2020.2991675</ns0:t>
        </ns0:is>
      </ns0:c>
      <ns0:c r="G588" s="21" t="inlineStr">
        <ns0:is>
          <ns0:t>ChatGPT-assisted evidence recharting, 2026-09-08</ns0:t>
        </ns0:is>
      </ns0:c>
    </ns0:row>
    <ns0:row r="589" ht="42" customHeight="1">
      <ns0:c r="A589" s="19" t="inlineStr">
        <ns0:is>
          <ns0:t>107</ns0:t>
        </ns0:is>
      </ns0:c>
      <ns0:c r="B589" s="19" t="inlineStr">
        <ns0:is>
          <ns0:t>algorithm_main</ns0:t>
        </ns0:is>
      </ns0:c>
      <ns0:c r="C589" s="19" t="inlineStr">
        <ns0:is>
          <ns0:t>Logistic Regression</ns0:t>
        </ns0:is>
      </ns0:c>
      <ns0:c r="D589" s="19" t="inlineStr">
        <ns0:is>
          <ns0:t>Logistic regression</ns0:t>
        </ns0:is>
      </ns0:c>
      <ns0:c r="E589" s="19" t="inlineStr">
        <ns0:is>
          <ns0:t>Eye tracking across two tasks/studies; separate evaluation groups are not sufficient to assert a trained-model external transfer test. Different stimuli remain a single sensor modality.</ns0:t>
        </ns0:is>
      </ns0:c>
      <ns0:c r="F589" s="19" t="inlineStr">
        <ns0:is>
          <ns0:t>https://doi.org/10.1109/tnsre.2020.2991675</ns0:t>
        </ns0:is>
      </ns0:c>
      <ns0:c r="G589" s="19" t="inlineStr">
        <ns0:is>
          <ns0:t>ChatGPT-assisted evidence recharting, 2026-09-08</ns0:t>
        </ns0:is>
      </ns0:c>
    </ns0:row>
    <ns0:row r="590" ht="42" customHeight="1">
      <ns0:c r="A590" s="21" t="inlineStr">
        <ns0:is>
          <ns0:t>107</ns0:t>
        </ns0:is>
      </ns0:c>
      <ns0:c r="B590" s="21" t="inlineStr">
        <ns0:is>
          <ns0:t>rq2_status</ns0:t>
        </ns0:is>
      </ns0:c>
      <ns0:c r="C590" s="21" t="inlineStr">
        <ns0:is>
          <ns0:t>Not adjudicated in master</ns0:t>
        </ns0:is>
      </ns0:c>
      <ns0:c r="D590" s="21" t="inlineStr">
        <ns0:is>
          <ns0:t>Research only</ns0:t>
        </ns0:is>
      </ns0:c>
      <ns0:c r="E590" s="21" t="inlineStr">
        <ns0:is>
          <ns0:t>Eye tracking across two tasks/studies; separate evaluation groups are not sufficient to assert a trained-model external transfer test. Different stimuli remain a single sensor modality.</ns0:t>
        </ns0:is>
      </ns0:c>
      <ns0:c r="F590" s="21" t="inlineStr">
        <ns0:is>
          <ns0:t>https://doi.org/10.1109/tnsre.2020.2991675</ns0:t>
        </ns0:is>
      </ns0:c>
      <ns0:c r="G590" s="21" t="inlineStr">
        <ns0:is>
          <ns0:t>ChatGPT-assisted evidence recharting, 2026-09-08</ns0:t>
        </ns0:is>
      </ns0:c>
    </ns0:row>
    <ns0:row r="591" ht="42" customHeight="1">
      <ns0:c r="A591" s="19" t="inlineStr">
        <ns0:is>
          <ns0:t>107</ns0:t>
        </ns0:is>
      </ns0:c>
      <ns0:c r="B591" s="19" t="inlineStr">
        <ns0:is>
          <ns0:t>rq2_role</ns0:t>
        </ns0:is>
      </ns0:c>
      <ns0:c r="C591" s="19" t="inlineStr"/>
      <ns0:c r="D591" s="19" t="inlineStr">
        <ns0:is>
          <ns0:t>Automated measurement/classification</ns0:t>
        </ns0:is>
      </ns0:c>
      <ns0:c r="E591" s="19" t="inlineStr">
        <ns0:is>
          <ns0:t>Eye tracking across two tasks/studies; separate evaluation groups are not sufficient to assert a trained-model external transfer test. Different stimuli remain a single sensor modality.</ns0:t>
        </ns0:is>
      </ns0:c>
      <ns0:c r="F591" s="19" t="inlineStr">
        <ns0:is>
          <ns0:t>https://doi.org/10.1109/tnsre.2020.2991675</ns0:t>
        </ns0:is>
      </ns0:c>
      <ns0:c r="G591" s="19" t="inlineStr">
        <ns0:is>
          <ns0:t>ChatGPT-assisted evidence recharting, 2026-09-08</ns0:t>
        </ns0:is>
      </ns0:c>
    </ns0:row>
    <ns0:row r="592" ht="42" customHeight="1">
      <ns0:c r="A592" s="21" t="inlineStr">
        <ns0:is>
          <ns0:t>107</ns0:t>
        </ns0:is>
      </ns0:c>
      <ns0:c r="B592" s="21" t="inlineStr">
        <ns0:is>
          <ns0:t>decision_timing</ns0:t>
        </ns0:is>
      </ns0:c>
      <ns0:c r="C592" s="21" t="inlineStr"/>
      <ns0:c r="D592" s="21" t="inlineStr">
        <ns0:is>
          <ns0:t>Not observed in assessed sources</ns0:t>
        </ns0:is>
      </ns0:c>
      <ns0:c r="E592" s="21" t="inlineStr">
        <ns0:is>
          <ns0:t>Eye tracking across two tasks/studies; separate evaluation groups are not sufficient to assert a trained-model external transfer test. Different stimuli remain a single sensor modality.</ns0:t>
        </ns0:is>
      </ns0:c>
      <ns0:c r="F592" s="21" t="inlineStr">
        <ns0:is>
          <ns0:t>https://doi.org/10.1109/tnsre.2020.2991675</ns0:t>
        </ns0:is>
      </ns0:c>
      <ns0:c r="G592" s="21" t="inlineStr">
        <ns0:is>
          <ns0:t>ChatGPT-assisted evidence recharting, 2026-09-08</ns0:t>
        </ns0:is>
      </ns0:c>
    </ns0:row>
    <ns0:row r="593" ht="42" customHeight="1">
      <ns0:c r="A593" s="19" t="inlineStr">
        <ns0:is>
          <ns0:t>107</ns0:t>
        </ns0:is>
      </ns0:c>
      <ns0:c r="B593" s="19" t="inlineStr">
        <ns0:is>
          <ns0:t>multisource_data</ns0:t>
        </ns0:is>
      </ns0:c>
      <ns0:c r="C593" s="19" t="inlineStr">
        <ns0:is>
          <ns0:t>Reported</ns0:t>
        </ns0:is>
      </ns0:c>
      <ns0:c r="D593" s="19" t="inlineStr">
        <ns0:is>
          <ns0:t>Not reported in assessed sources</ns0:t>
        </ns0:is>
      </ns0:c>
      <ns0:c r="E593" s="19" t="inlineStr">
        <ns0:is>
          <ns0:t>Eye tracking across two tasks/studies; separate evaluation groups are not sufficient to assert a trained-model external transfer test. Different stimuli remain a single sensor modality.</ns0:t>
        </ns0:is>
      </ns0:c>
      <ns0:c r="F593" s="19" t="inlineStr">
        <ns0:is>
          <ns0:t>https://doi.org/10.1109/tnsre.2020.2991675</ns0:t>
        </ns0:is>
      </ns0:c>
      <ns0:c r="G593" s="19" t="inlineStr">
        <ns0:is>
          <ns0:t>ChatGPT-assisted evidence recharting, 2026-09-08</ns0:t>
        </ns0:is>
      </ns0:c>
    </ns0:row>
    <ns0:row r="594" ht="42" customHeight="1">
      <ns0:c r="A594" s="21" t="inlineStr">
        <ns0:is>
          <ns0:t>108</ns0:t>
        </ns0:is>
      </ns0:c>
      <ns0:c r="B594" s="21" t="inlineStr">
        <ns0:is>
          <ns0:t>data_source_primary</ns0:t>
        </ns0:is>
      </ns0:c>
      <ns0:c r="C594" s="21" t="inlineStr">
        <ns0:is>
          <ns0:t>Image (subtype unresolved)</ns0:t>
        </ns0:is>
      </ns0:c>
      <ns0:c r="D594" s="21" t="inlineStr">
        <ns0:is>
          <ns0:t>Multiple source categories</ns0:t>
        </ns0:is>
      </ns0:c>
      <ns0:c r="E594" s="21" t="inlineStr">
        <ns0:is>
          <ns0:t>fMRI effective/functional connectivity, DTI and assessment scores were submitted jointly. Imaging stimuli are not behavioral-image inputs; explanatory paths are explicit.</ns0:t>
        </ns0:is>
      </ns0:c>
      <ns0:c r="F594" s="21" t="inlineStr">
        <ns0:is>
          <ns0:t>https://doi.org/10.3389/fnhum.2013.00670/full</ns0:t>
        </ns0:is>
      </ns0:c>
      <ns0:c r="G594" s="21" t="inlineStr">
        <ns0:is>
          <ns0:t>ChatGPT-assisted evidence recharting, 2026-09-08</ns0:t>
        </ns0:is>
      </ns0:c>
    </ns0:row>
    <ns0:row r="595" ht="42" customHeight="1">
      <ns0:c r="A595" s="19" t="inlineStr">
        <ns0:is>
          <ns0:t>108</ns0:t>
        </ns0:is>
      </ns0:c>
      <ns0:c r="B595" s="19" t="inlineStr">
        <ns0:is>
          <ns0:t>algorithm_main</ns0:t>
        </ns0:is>
      </ns0:c>
      <ns0:c r="C595" s="19" t="inlineStr">
        <ns0:is>
          <ns0:t>SVM</ns0:t>
        </ns0:is>
      </ns0:c>
      <ns0:c r="D595" s="19" t="inlineStr">
        <ns0:is>
          <ns0:t>SVM with recursive cluster elimination</ns0:t>
        </ns0:is>
      </ns0:c>
      <ns0:c r="E595" s="19" t="inlineStr">
        <ns0:is>
          <ns0:t>fMRI effective/functional connectivity, DTI and assessment scores were submitted jointly. Imaging stimuli are not behavioral-image inputs; explanatory paths are explicit.</ns0:t>
        </ns0:is>
      </ns0:c>
      <ns0:c r="F595" s="19" t="inlineStr">
        <ns0:is>
          <ns0:t>https://doi.org/10.3389/fnhum.2013.00670/full</ns0:t>
        </ns0:is>
      </ns0:c>
      <ns0:c r="G595" s="19" t="inlineStr">
        <ns0:is>
          <ns0:t>ChatGPT-assisted evidence recharting, 2026-09-08</ns0:t>
        </ns0:is>
      </ns0:c>
    </ns0:row>
    <ns0:row r="596" ht="42" customHeight="1">
      <ns0:c r="A596" s="21" t="inlineStr">
        <ns0:is>
          <ns0:t>108</ns0:t>
        </ns0:is>
      </ns0:c>
      <ns0:c r="B596" s="21" t="inlineStr">
        <ns0:is>
          <ns0:t>rq2_status</ns0:t>
        </ns0:is>
      </ns0:c>
      <ns0:c r="C596" s="21" t="inlineStr">
        <ns0:is>
          <ns0:t>Not adjudicated in master</ns0:t>
        </ns0:is>
      </ns0:c>
      <ns0:c r="D596" s="21" t="inlineStr">
        <ns0:is>
          <ns0:t>Research only</ns0:t>
        </ns0:is>
      </ns0:c>
      <ns0:c r="E596" s="21" t="inlineStr">
        <ns0:is>
          <ns0:t>fMRI effective/functional connectivity, DTI and assessment scores were submitted jointly. Imaging stimuli are not behavioral-image inputs; explanatory paths are explicit.</ns0:t>
        </ns0:is>
      </ns0:c>
      <ns0:c r="F596" s="21" t="inlineStr">
        <ns0:is>
          <ns0:t>https://doi.org/10.3389/fnhum.2013.00670/full</ns0:t>
        </ns0:is>
      </ns0:c>
      <ns0:c r="G596" s="21" t="inlineStr">
        <ns0:is>
          <ns0:t>ChatGPT-assisted evidence recharting, 2026-09-08</ns0:t>
        </ns0:is>
      </ns0:c>
    </ns0:row>
    <ns0:row r="597" ht="42" customHeight="1">
      <ns0:c r="A597" s="19" t="inlineStr">
        <ns0:is>
          <ns0:t>108</ns0:t>
        </ns0:is>
      </ns0:c>
      <ns0:c r="B597" s="19" t="inlineStr">
        <ns0:is>
          <ns0:t>rq2_role</ns0:t>
        </ns0:is>
      </ns0:c>
      <ns0:c r="C597" s="19" t="inlineStr"/>
      <ns0:c r="D597" s="19" t="inlineStr">
        <ns0:is>
          <ns0:t>Automated measurement/classification</ns0:t>
        </ns0:is>
      </ns0:c>
      <ns0:c r="E597" s="19" t="inlineStr">
        <ns0:is>
          <ns0:t>fMRI effective/functional connectivity, DTI and assessment scores were submitted jointly. Imaging stimuli are not behavioral-image inputs; explanatory paths are explicit.</ns0:t>
        </ns0:is>
      </ns0:c>
      <ns0:c r="F597" s="19" t="inlineStr">
        <ns0:is>
          <ns0:t>https://doi.org/10.3389/fnhum.2013.00670/full</ns0:t>
        </ns0:is>
      </ns0:c>
      <ns0:c r="G597" s="19" t="inlineStr">
        <ns0:is>
          <ns0:t>ChatGPT-assisted evidence recharting, 2026-09-08</ns0:t>
        </ns0:is>
      </ns0:c>
    </ns0:row>
    <ns0:row r="598" ht="42" customHeight="1">
      <ns0:c r="A598" s="21" t="inlineStr">
        <ns0:is>
          <ns0:t>108</ns0:t>
        </ns0:is>
      </ns0:c>
      <ns0:c r="B598" s="21" t="inlineStr">
        <ns0:is>
          <ns0:t>decision_timing</ns0:t>
        </ns0:is>
      </ns0:c>
      <ns0:c r="C598" s="21" t="inlineStr"/>
      <ns0:c r="D598" s="21" t="inlineStr">
        <ns0:is>
          <ns0:t>Not observed in assessed sources</ns0:t>
        </ns0:is>
      </ns0:c>
      <ns0:c r="E598" s="21" t="inlineStr">
        <ns0:is>
          <ns0:t>fMRI effective/functional connectivity, DTI and assessment scores were submitted jointly. Imaging stimuli are not behavioral-image inputs; explanatory paths are explicit.</ns0:t>
        </ns0:is>
      </ns0:c>
      <ns0:c r="F598" s="21" t="inlineStr">
        <ns0:is>
          <ns0:t>https://doi.org/10.3389/fnhum.2013.00670/full</ns0:t>
        </ns0:is>
      </ns0:c>
      <ns0:c r="G598" s="21" t="inlineStr">
        <ns0:is>
          <ns0:t>ChatGPT-assisted evidence recharting, 2026-09-08</ns0:t>
        </ns0:is>
      </ns0:c>
    </ns0:row>
    <ns0:row r="599" ht="42" customHeight="1">
      <ns0:c r="A599" s="19" t="inlineStr">
        <ns0:is>
          <ns0:t>108</ns0:t>
        </ns0:is>
      </ns0:c>
      <ns0:c r="B599" s="19" t="inlineStr">
        <ns0:is>
          <ns0:t>xai_partial</ns0:t>
        </ns0:is>
      </ns0:c>
      <ns0:c r="C599" s="19" t="inlineStr">
        <ns0:is>
          <ns0:t>Not reported in assessed sources</ns0:t>
        </ns0:is>
      </ns0:c>
      <ns0:c r="D599" s="19" t="inlineStr">
        <ns0:is>
          <ns0:t>Reported</ns0:t>
        </ns0:is>
      </ns0:c>
      <ns0:c r="E599" s="19" t="inlineStr">
        <ns0:is>
          <ns0:t>fMRI effective/functional connectivity, DTI and assessment scores were submitted jointly. Imaging stimuli are not behavioral-image inputs; explanatory paths are explicit.</ns0:t>
        </ns0:is>
      </ns0:c>
      <ns0:c r="F599" s="19" t="inlineStr">
        <ns0:is>
          <ns0:t>https://doi.org/10.3389/fnhum.2013.00670/full</ns0:t>
        </ns0:is>
      </ns0:c>
      <ns0:c r="G599" s="19" t="inlineStr">
        <ns0:is>
          <ns0:t>ChatGPT-assisted evidence recharting, 2026-09-08</ns0:t>
        </ns0:is>
      </ns0:c>
    </ns0:row>
    <ns0:row r="600" ht="42" customHeight="1">
      <ns0:c r="A600" s="21" t="inlineStr">
        <ns0:is>
          <ns0:t>108</ns0:t>
        </ns0:is>
      </ns0:c>
      <ns0:c r="B600" s="21" t="inlineStr">
        <ns0:is>
          <ns0:t>multisource_data</ns0:t>
        </ns0:is>
      </ns0:c>
      <ns0:c r="C600" s="21" t="inlineStr">
        <ns0:is>
          <ns0:t>Not reported in assessed sources</ns0:t>
        </ns0:is>
      </ns0:c>
      <ns0:c r="D600" s="21" t="inlineStr">
        <ns0:is>
          <ns0:t>Reported</ns0:t>
        </ns0:is>
      </ns0:c>
      <ns0:c r="E600" s="21" t="inlineStr">
        <ns0:is>
          <ns0:t>fMRI effective/functional connectivity, DTI and assessment scores were submitted jointly. Imaging stimuli are not behavioral-image inputs; explanatory paths are explicit.</ns0:t>
        </ns0:is>
      </ns0:c>
      <ns0:c r="F600" s="21" t="inlineStr">
        <ns0:is>
          <ns0:t>https://doi.org/10.3389/fnhum.2013.00670/full</ns0:t>
        </ns0:is>
      </ns0:c>
      <ns0:c r="G600" s="21" t="inlineStr">
        <ns0:is>
          <ns0:t>ChatGPT-assisted evidence recharting, 2026-09-08</ns0:t>
        </ns0:is>
      </ns0:c>
    </ns0:row>
    <ns0:row r="601" ht="42" customHeight="1">
      <ns0:c r="A601" s="19" t="inlineStr">
        <ns0:is>
          <ns0:t>108</ns0:t>
        </ns0:is>
      </ns0:c>
      <ns0:c r="B601" s="19" t="inlineStr">
        <ns0:is>
          <ns0:t>doi</ns0:t>
        </ns0:is>
      </ns0:c>
      <ns0:c r="C601" s="19" t="inlineStr">
        <ns0:is>
          <ns0:t>10.3389/fnhum.2013.00670/full</ns0:t>
        </ns0:is>
      </ns0:c>
      <ns0:c r="D601" s="19" t="inlineStr">
        <ns0:is>
          <ns0:t>10.3389/fnhum.2013.00670</ns0:t>
        </ns0:is>
      </ns0:c>
      <ns0:c r="E601" s="19" t="inlineStr">
        <ns0:is>
          <ns0:t>fMRI effective/functional connectivity, DTI and assessment scores were submitted jointly. Imaging stimuli are not behavioral-image inputs; explanatory paths are explicit.</ns0:t>
        </ns0:is>
      </ns0:c>
      <ns0:c r="F601" s="19" t="inlineStr">
        <ns0:is>
          <ns0:t>https://doi.org/10.3389/fnhum.2013.00670/full</ns0:t>
        </ns0:is>
      </ns0:c>
      <ns0:c r="G601" s="19" t="inlineStr">
        <ns0:is>
          <ns0:t>ChatGPT-assisted evidence recharting, 2026-09-08</ns0:t>
        </ns0:is>
      </ns0:c>
    </ns0:row>
    <ns0:row r="602" ht="42" customHeight="1">
      <ns0:c r="A602" s="21" t="inlineStr">
        <ns0:is>
          <ns0:t>109</ns0:t>
        </ns0:is>
      </ns0:c>
      <ns0:c r="B602" s="21" t="inlineStr">
        <ns0:is>
          <ns0:t>data_source_primary</ns0:t>
        </ns0:is>
      </ns0:c>
      <ns0:c r="C602" s="21" t="inlineStr">
        <ns0:is>
          <ns0:t>Physiological signals</ns0:t>
        </ns0:is>
      </ns0:c>
      <ns0:c r="D602" s="21" t="inlineStr">
        <ns0:is>
          <ns0:t>Neuroimaging</ns0:t>
        </ns0:is>
      </ns0:c>
      <ns0:c r="E602" s="21" t="inlineStr">
        <ns0:is>
          <ns0:t>fMRI social-concept representations discriminate ASD. Principal classifier family is not named in accessible abstract.</ns0:t>
        </ns0:is>
      </ns0:c>
      <ns0:c r="F602" s="21" t="inlineStr">
        <ns0:is>
          <ns0:t>https://doi.org/10.1371/journal.pone.0113879</ns0:t>
        </ns0:is>
      </ns0:c>
      <ns0:c r="G602" s="21" t="inlineStr">
        <ns0:is>
          <ns0:t>ChatGPT-assisted evidence recharting, 2026-09-08</ns0:t>
        </ns0:is>
      </ns0:c>
    </ns0:row>
    <ns0:row r="603" ht="42" customHeight="1">
      <ns0:c r="A603" s="19" t="inlineStr">
        <ns0:is>
          <ns0:t>109</ns0:t>
        </ns0:is>
      </ns0:c>
      <ns0:c r="B603" s="19" t="inlineStr">
        <ns0:is>
          <ns0:t>algorithm_main</ns0:t>
        </ns0:is>
      </ns0:c>
      <ns0:c r="C603" s="19" t="inlineStr">
        <ns0:is>
          <ns0:t>Other / Not clear</ns0:t>
        </ns0:is>
      </ns0:c>
      <ns0:c r="D603" s="19" t="inlineStr">
        <ns0:is>
          <ns0:t>Factor-analysis features with supervised classifier</ns0:t>
        </ns0:is>
      </ns0:c>
      <ns0:c r="E603" s="19" t="inlineStr">
        <ns0:is>
          <ns0:t>fMRI social-concept representations discriminate ASD. Principal classifier family is not named in accessible abstract.</ns0:t>
        </ns0:is>
      </ns0:c>
      <ns0:c r="F603" s="19" t="inlineStr">
        <ns0:is>
          <ns0:t>https://doi.org/10.1371/journal.pone.0113879</ns0:t>
        </ns0:is>
      </ns0:c>
      <ns0:c r="G603" s="19" t="inlineStr">
        <ns0:is>
          <ns0:t>ChatGPT-assisted evidence recharting, 2026-09-08</ns0:t>
        </ns0:is>
      </ns0:c>
    </ns0:row>
    <ns0:row r="604" ht="42" customHeight="1">
      <ns0:c r="A604" s="21" t="inlineStr">
        <ns0:is>
          <ns0:t>109</ns0:t>
        </ns0:is>
      </ns0:c>
      <ns0:c r="B604" s="21" t="inlineStr">
        <ns0:is>
          <ns0:t>rq2_status</ns0:t>
        </ns0:is>
      </ns0:c>
      <ns0:c r="C604" s="21" t="inlineStr">
        <ns0:is>
          <ns0:t>Not adjudicated in master</ns0:t>
        </ns0:is>
      </ns0:c>
      <ns0:c r="D604" s="21" t="inlineStr">
        <ns0:is>
          <ns0:t>Research only</ns0:t>
        </ns0:is>
      </ns0:c>
      <ns0:c r="E604" s="21" t="inlineStr">
        <ns0:is>
          <ns0:t>fMRI social-concept representations discriminate ASD. Principal classifier family is not named in accessible abstract.</ns0:t>
        </ns0:is>
      </ns0:c>
      <ns0:c r="F604" s="21" t="inlineStr">
        <ns0:is>
          <ns0:t>https://doi.org/10.1371/journal.pone.0113879</ns0:t>
        </ns0:is>
      </ns0:c>
      <ns0:c r="G604" s="21" t="inlineStr">
        <ns0:is>
          <ns0:t>ChatGPT-assisted evidence recharting, 2026-09-08</ns0:t>
        </ns0:is>
      </ns0:c>
    </ns0:row>
    <ns0:row r="605" ht="42" customHeight="1">
      <ns0:c r="A605" s="19" t="inlineStr">
        <ns0:is>
          <ns0:t>109</ns0:t>
        </ns0:is>
      </ns0:c>
      <ns0:c r="B605" s="19" t="inlineStr">
        <ns0:is>
          <ns0:t>rq2_role</ns0:t>
        </ns0:is>
      </ns0:c>
      <ns0:c r="C605" s="19" t="inlineStr"/>
      <ns0:c r="D605" s="19" t="inlineStr">
        <ns0:is>
          <ns0:t>Automated measurement/classification</ns0:t>
        </ns0:is>
      </ns0:c>
      <ns0:c r="E605" s="19" t="inlineStr">
        <ns0:is>
          <ns0:t>fMRI social-concept representations discriminate ASD. Principal classifier family is not named in accessible abstract.</ns0:t>
        </ns0:is>
      </ns0:c>
      <ns0:c r="F605" s="19" t="inlineStr">
        <ns0:is>
          <ns0:t>https://doi.org/10.1371/journal.pone.0113879</ns0:t>
        </ns0:is>
      </ns0:c>
      <ns0:c r="G605" s="19" t="inlineStr">
        <ns0:is>
          <ns0:t>ChatGPT-assisted evidence recharting, 2026-09-08</ns0:t>
        </ns0:is>
      </ns0:c>
    </ns0:row>
    <ns0:row r="606" ht="42" customHeight="1">
      <ns0:c r="A606" s="21" t="inlineStr">
        <ns0:is>
          <ns0:t>109</ns0:t>
        </ns0:is>
      </ns0:c>
      <ns0:c r="B606" s="21" t="inlineStr">
        <ns0:is>
          <ns0:t>decision_timing</ns0:t>
        </ns0:is>
      </ns0:c>
      <ns0:c r="C606" s="21" t="inlineStr"/>
      <ns0:c r="D606" s="21" t="inlineStr">
        <ns0:is>
          <ns0:t>Not observed in assessed sources</ns0:t>
        </ns0:is>
      </ns0:c>
      <ns0:c r="E606" s="21" t="inlineStr">
        <ns0:is>
          <ns0:t>fMRI social-concept representations discriminate ASD. Principal classifier family is not named in accessible abstract.</ns0:t>
        </ns0:is>
      </ns0:c>
      <ns0:c r="F606" s="21" t="inlineStr">
        <ns0:is>
          <ns0:t>https://doi.org/10.1371/journal.pone.0113879</ns0:t>
        </ns0:is>
      </ns0:c>
      <ns0:c r="G606" s="21" t="inlineStr">
        <ns0:is>
          <ns0:t>ChatGPT-assisted evidence recharting, 2026-09-08</ns0:t>
        </ns0:is>
      </ns0:c>
    </ns0:row>
    <ns0:row r="607" ht="42" customHeight="1">
      <ns0:c r="A607" s="19" t="inlineStr">
        <ns0:is>
          <ns0:t>110</ns0:t>
        </ns0:is>
      </ns0:c>
      <ns0:c r="B607" s="19" t="inlineStr">
        <ns0:is>
          <ns0:t>stage_primary</ns0:t>
        </ns0:is>
      </ns0:c>
      <ns0:c r="C607" s="19" t="inlineStr">
        <ns0:is>
          <ns0:t>Monitoring/intervention</ns0:t>
        </ns0:is>
      </ns0:c>
      <ns0:c r="D607" s="19" t="inlineStr">
        <ns0:is>
          <ns0:t>Diagnosis</ns0:t>
        </ns0:is>
      </ns0:c>
      <ns0:c r="E607" s="19" t="inlineStr">
        <ns0:is>
          <ns0:t>Language-task and nonverbal test scores define cognitive/linguistic clinical profiles, not NLP text classification or deep learning.</ns0:t>
        </ns0:is>
      </ns0:c>
      <ns0:c r="F607" s="19" t="inlineStr">
        <ns0:is>
          <ns0:t>https://doi.org/10.1002/aur.2268</ns0:t>
        </ns0:is>
      </ns0:c>
      <ns0:c r="G607" s="19" t="inlineStr">
        <ns0:is>
          <ns0:t>ChatGPT-assisted evidence recharting, 2026-09-08</ns0:t>
        </ns0:is>
      </ns0:c>
    </ns0:row>
    <ns0:row r="608" ht="42" customHeight="1">
      <ns0:c r="A608" s="21" t="inlineStr">
        <ns0:is>
          <ns0:t>110</ns0:t>
        </ns0:is>
      </ns0:c>
      <ns0:c r="B608" s="21" t="inlineStr">
        <ns0:is>
          <ns0:t>ai_type</ns0:t>
        </ns0:is>
      </ns0:c>
      <ns0:c r="C608" s="21" t="inlineStr">
        <ns0:is>
          <ns0:t>Deep Learning</ns0:t>
        </ns0:is>
      </ns0:c>
      <ns0:c r="D608" s="21" t="inlineStr">
        <ns0:is>
          <ns0:t>Machine Learning</ns0:t>
        </ns0:is>
      </ns0:c>
      <ns0:c r="E608" s="21" t="inlineStr">
        <ns0:is>
          <ns0:t>Language-task and nonverbal test scores define cognitive/linguistic clinical profiles, not NLP text classification or deep learning.</ns0:t>
        </ns0:is>
      </ns0:c>
      <ns0:c r="F608" s="21" t="inlineStr">
        <ns0:is>
          <ns0:t>https://doi.org/10.1002/aur.2268</ns0:t>
        </ns0:is>
      </ns0:c>
      <ns0:c r="G608" s="21" t="inlineStr">
        <ns0:is>
          <ns0:t>ChatGPT-assisted evidence recharting, 2026-09-08</ns0:t>
        </ns0:is>
      </ns0:c>
    </ns0:row>
    <ns0:row r="609" ht="42" customHeight="1">
      <ns0:c r="A609" s="19" t="inlineStr">
        <ns0:is>
          <ns0:t>110</ns0:t>
        </ns0:is>
      </ns0:c>
      <ns0:c r="B609" s="19" t="inlineStr">
        <ns0:is>
          <ns0:t>data_source_primary</ns0:t>
        </ns0:is>
      </ns0:c>
      <ns0:c r="C609" s="19" t="inlineStr">
        <ns0:is>
          <ns0:t>Text / NLP (legacy; verify input type)</ns0:t>
        </ns0:is>
      </ns0:c>
      <ns0:c r="D609" s="19" t="inlineStr">
        <ns0:is>
          <ns0:t>Structured clinical/questionnaire data</ns0:t>
        </ns0:is>
      </ns0:c>
      <ns0:c r="E609" s="19" t="inlineStr">
        <ns0:is>
          <ns0:t>Language-task and nonverbal test scores define cognitive/linguistic clinical profiles, not NLP text classification or deep learning.</ns0:t>
        </ns0:is>
      </ns0:c>
      <ns0:c r="F609" s="19" t="inlineStr">
        <ns0:is>
          <ns0:t>https://doi.org/10.1002/aur.2268</ns0:t>
        </ns0:is>
      </ns0:c>
      <ns0:c r="G609" s="19" t="inlineStr">
        <ns0:is>
          <ns0:t>ChatGPT-assisted evidence recharting, 2026-09-08</ns0:t>
        </ns0:is>
      </ns0:c>
    </ns0:row>
    <ns0:row r="610" ht="42" customHeight="1">
      <ns0:c r="A610" s="21" t="inlineStr">
        <ns0:is>
          <ns0:t>110</ns0:t>
        </ns0:is>
      </ns0:c>
      <ns0:c r="B610" s="21" t="inlineStr">
        <ns0:is>
          <ns0:t>algorithm_main</ns0:t>
        </ns0:is>
      </ns0:c>
      <ns0:c r="C610" s="21" t="inlineStr">
        <ns0:is>
          <ns0:t>Clustering (k-means / GMM / ...)</ns0:t>
        </ns0:is>
      </ns0:c>
      <ns0:c r="D610" s="21" t="inlineStr">
        <ns0:is>
          <ns0:t>Cluster analysis</ns0:t>
        </ns0:is>
      </ns0:c>
      <ns0:c r="E610" s="21" t="inlineStr">
        <ns0:is>
          <ns0:t>Language-task and nonverbal test scores define cognitive/linguistic clinical profiles, not NLP text classification or deep learning.</ns0:t>
        </ns0:is>
      </ns0:c>
      <ns0:c r="F610" s="21" t="inlineStr">
        <ns0:is>
          <ns0:t>https://doi.org/10.1002/aur.2268</ns0:t>
        </ns0:is>
      </ns0:c>
      <ns0:c r="G610" s="21" t="inlineStr">
        <ns0:is>
          <ns0:t>ChatGPT-assisted evidence recharting, 2026-09-08</ns0:t>
        </ns0:is>
      </ns0:c>
    </ns0:row>
    <ns0:row r="611" ht="42" customHeight="1">
      <ns0:c r="A611" s="19" t="inlineStr">
        <ns0:is>
          <ns0:t>110</ns0:t>
        </ns0:is>
      </ns0:c>
      <ns0:c r="B611" s="19" t="inlineStr">
        <ns0:is>
          <ns0:t>rq2_status</ns0:t>
        </ns0:is>
      </ns0:c>
      <ns0:c r="C611" s="19" t="inlineStr">
        <ns0:is>
          <ns0:t>Not adjudicated in master</ns0:t>
        </ns0:is>
      </ns0:c>
      <ns0:c r="D611" s="19" t="inlineStr">
        <ns0:is>
          <ns0:t>Research only</ns0:t>
        </ns0:is>
      </ns0:c>
      <ns0:c r="E611" s="19" t="inlineStr">
        <ns0:is>
          <ns0:t>Language-task and nonverbal test scores define cognitive/linguistic clinical profiles, not NLP text classification or deep learning.</ns0:t>
        </ns0:is>
      </ns0:c>
      <ns0:c r="F611" s="19" t="inlineStr">
        <ns0:is>
          <ns0:t>https://doi.org/10.1002/aur.2268</ns0:t>
        </ns0:is>
      </ns0:c>
      <ns0:c r="G611" s="19" t="inlineStr">
        <ns0:is>
          <ns0:t>ChatGPT-assisted evidence recharting, 2026-09-08</ns0:t>
        </ns0:is>
      </ns0:c>
    </ns0:row>
    <ns0:row r="612" ht="42" customHeight="1">
      <ns0:c r="A612" s="21" t="inlineStr">
        <ns0:is>
          <ns0:t>110</ns0:t>
        </ns0:is>
      </ns0:c>
      <ns0:c r="B612" s="21" t="inlineStr">
        <ns0:is>
          <ns0:t>rq2_role</ns0:t>
        </ns0:is>
      </ns0:c>
      <ns0:c r="C612" s="21" t="inlineStr"/>
      <ns0:c r="D612" s="21" t="inlineStr">
        <ns0:is>
          <ns0:t>Automated measurement/classification</ns0:t>
        </ns0:is>
      </ns0:c>
      <ns0:c r="E612" s="21" t="inlineStr">
        <ns0:is>
          <ns0:t>Language-task and nonverbal test scores define cognitive/linguistic clinical profiles, not NLP text classification or deep learning.</ns0:t>
        </ns0:is>
      </ns0:c>
      <ns0:c r="F612" s="21" t="inlineStr">
        <ns0:is>
          <ns0:t>https://doi.org/10.1002/aur.2268</ns0:t>
        </ns0:is>
      </ns0:c>
      <ns0:c r="G612" s="21" t="inlineStr">
        <ns0:is>
          <ns0:t>ChatGPT-assisted evidence recharting, 2026-09-08</ns0:t>
        </ns0:is>
      </ns0:c>
    </ns0:row>
    <ns0:row r="613" ht="42" customHeight="1">
      <ns0:c r="A613" s="19" t="inlineStr">
        <ns0:is>
          <ns0:t>110</ns0:t>
        </ns0:is>
      </ns0:c>
      <ns0:c r="B613" s="19" t="inlineStr">
        <ns0:is>
          <ns0:t>decision_timing</ns0:t>
        </ns0:is>
      </ns0:c>
      <ns0:c r="C613" s="19" t="inlineStr"/>
      <ns0:c r="D613" s="19" t="inlineStr">
        <ns0:is>
          <ns0:t>Not observed in assessed sources</ns0:t>
        </ns0:is>
      </ns0:c>
      <ns0:c r="E613" s="19" t="inlineStr">
        <ns0:is>
          <ns0:t>Language-task and nonverbal test scores define cognitive/linguistic clinical profiles, not NLP text classification or deep learning.</ns0:t>
        </ns0:is>
      </ns0:c>
      <ns0:c r="F613" s="19" t="inlineStr">
        <ns0:is>
          <ns0:t>https://doi.org/10.1002/aur.2268</ns0:t>
        </ns0:is>
      </ns0:c>
      <ns0:c r="G613" s="19" t="inlineStr">
        <ns0:is>
          <ns0:t>ChatGPT-assisted evidence recharting, 2026-09-08</ns0:t>
        </ns0:is>
      </ns0:c>
    </ns0:row>
    <ns0:row r="614" ht="42" customHeight="1">
      <ns0:c r="A614" s="21" t="inlineStr">
        <ns0:is>
          <ns0:t>110</ns0:t>
        </ns0:is>
      </ns0:c>
      <ns0:c r="B614" s="21" t="inlineStr">
        <ns0:is>
          <ns0:t>multisource_data</ns0:t>
        </ns0:is>
      </ns0:c>
      <ns0:c r="C614" s="21" t="inlineStr">
        <ns0:is>
          <ns0:t>Not reported in assessed sources</ns0:t>
        </ns0:is>
      </ns0:c>
      <ns0:c r="D614" s="21" t="inlineStr">
        <ns0:is>
          <ns0:t>Reported</ns0:t>
        </ns0:is>
      </ns0:c>
      <ns0:c r="E614" s="21" t="inlineStr">
        <ns0:is>
          <ns0:t>Language-task and nonverbal test scores define cognitive/linguistic clinical profiles, not NLP text classification or deep learning.</ns0:t>
        </ns0:is>
      </ns0:c>
      <ns0:c r="F614" s="21" t="inlineStr">
        <ns0:is>
          <ns0:t>https://doi.org/10.1002/aur.2268</ns0:t>
        </ns0:is>
      </ns0:c>
      <ns0:c r="G614" s="21" t="inlineStr">
        <ns0:is>
          <ns0:t>ChatGPT-assisted evidence recharting, 2026-09-08</ns0:t>
        </ns0:is>
      </ns0:c>
    </ns0:row>
    <ns0:row r="615" ht="42" customHeight="1">
      <ns0:c r="A615" s="19" t="inlineStr">
        <ns0:is>
          <ns0:t>111</ns0:t>
        </ns0:is>
      </ns0:c>
      <ns0:c r="B615" s="19" t="inlineStr">
        <ns0:is>
          <ns0:t>ai_type</ns0:t>
        </ns0:is>
      </ns0:c>
      <ns0:c r="C615" s="19" t="inlineStr">
        <ns0:is>
          <ns0:t>Hybrid</ns0:t>
        </ns0:is>
      </ns0:c>
      <ns0:c r="D615" s="19" t="inlineStr">
        <ns0:is>
          <ns0:t>Machine Learning</ns0:t>
        </ns0:is>
      </ns0:c>
      <ns0:c r="E615" s="19" t="inlineStr">
        <ns0:is>
          <ns0:t>Parent-history tabular data and data-mining feature selection; SVM is the principal predictive classifier. Combining clustering and SVM is not a deep-learning hybrid.</ns0:t>
        </ns0:is>
      </ns0:c>
      <ns0:c r="F615" s="19" t="inlineStr">
        <ns0:is>
          <ns0:t>https://doi.org/10.1016/j.irbm.2023.100780</ns0:t>
        </ns0:is>
      </ns0:c>
      <ns0:c r="G615" s="19" t="inlineStr">
        <ns0:is>
          <ns0:t>ChatGPT-assisted evidence recharting, 2026-09-08</ns0:t>
        </ns0:is>
      </ns0:c>
    </ns0:row>
    <ns0:row r="616" ht="42" customHeight="1">
      <ns0:c r="A616" s="21" t="inlineStr">
        <ns0:is>
          <ns0:t>111</ns0:t>
        </ns0:is>
      </ns0:c>
      <ns0:c r="B616" s="21" t="inlineStr">
        <ns0:is>
          <ns0:t>data_source_primary</ns0:t>
        </ns0:is>
      </ns0:c>
      <ns0:c r="C616" s="21" t="inlineStr">
        <ns0:is>
          <ns0:t>Not specified</ns0:t>
        </ns0:is>
      </ns0:c>
      <ns0:c r="D616" s="21" t="inlineStr">
        <ns0:is>
          <ns0:t>Structured clinical/questionnaire data</ns0:t>
        </ns0:is>
      </ns0:c>
      <ns0:c r="E616" s="21" t="inlineStr">
        <ns0:is>
          <ns0:t>Parent-history tabular data and data-mining feature selection; SVM is the principal predictive classifier. Combining clustering and SVM is not a deep-learning hybrid.</ns0:t>
        </ns0:is>
      </ns0:c>
      <ns0:c r="F616" s="21" t="inlineStr">
        <ns0:is>
          <ns0:t>https://doi.org/10.1016/j.irbm.2023.100780</ns0:t>
        </ns0:is>
      </ns0:c>
      <ns0:c r="G616" s="21" t="inlineStr">
        <ns0:is>
          <ns0:t>ChatGPT-assisted evidence recharting, 2026-09-08</ns0:t>
        </ns0:is>
      </ns0:c>
    </ns0:row>
    <ns0:row r="617" ht="42" customHeight="1">
      <ns0:c r="A617" s="19" t="inlineStr">
        <ns0:is>
          <ns0:t>111</ns0:t>
        </ns0:is>
      </ns0:c>
      <ns0:c r="B617" s="19" t="inlineStr">
        <ns0:is>
          <ns0:t>rq2_status</ns0:t>
        </ns0:is>
      </ns0:c>
      <ns0:c r="C617" s="19" t="inlineStr">
        <ns0:is>
          <ns0:t>Not adjudicated in master</ns0:t>
        </ns0:is>
      </ns0:c>
      <ns0:c r="D617" s="19" t="inlineStr">
        <ns0:is>
          <ns0:t>Research only</ns0:t>
        </ns0:is>
      </ns0:c>
      <ns0:c r="E617" s="19" t="inlineStr">
        <ns0:is>
          <ns0:t>Parent-history tabular data and data-mining feature selection; SVM is the principal predictive classifier. Combining clustering and SVM is not a deep-learning hybrid.</ns0:t>
        </ns0:is>
      </ns0:c>
      <ns0:c r="F617" s="19" t="inlineStr">
        <ns0:is>
          <ns0:t>https://doi.org/10.1016/j.irbm.2023.100780</ns0:t>
        </ns0:is>
      </ns0:c>
      <ns0:c r="G617" s="19" t="inlineStr">
        <ns0:is>
          <ns0:t>ChatGPT-assisted evidence recharting, 2026-09-08</ns0:t>
        </ns0:is>
      </ns0:c>
    </ns0:row>
    <ns0:row r="618" ht="42" customHeight="1">
      <ns0:c r="A618" s="21" t="inlineStr">
        <ns0:is>
          <ns0:t>111</ns0:t>
        </ns0:is>
      </ns0:c>
      <ns0:c r="B618" s="21" t="inlineStr">
        <ns0:is>
          <ns0:t>rq2_role</ns0:t>
        </ns0:is>
      </ns0:c>
      <ns0:c r="C618" s="21" t="inlineStr"/>
      <ns0:c r="D618" s="21" t="inlineStr">
        <ns0:is>
          <ns0:t>Risk/trajectory estimation</ns0:t>
        </ns0:is>
      </ns0:c>
      <ns0:c r="E618" s="21" t="inlineStr">
        <ns0:is>
          <ns0:t>Parent-history tabular data and data-mining feature selection; SVM is the principal predictive classifier. Combining clustering and SVM is not a deep-learning hybrid.</ns0:t>
        </ns0:is>
      </ns0:c>
      <ns0:c r="F618" s="21" t="inlineStr">
        <ns0:is>
          <ns0:t>https://doi.org/10.1016/j.irbm.2023.100780</ns0:t>
        </ns0:is>
      </ns0:c>
      <ns0:c r="G618" s="21" t="inlineStr">
        <ns0:is>
          <ns0:t>ChatGPT-assisted evidence recharting, 2026-09-08</ns0:t>
        </ns0:is>
      </ns0:c>
    </ns0:row>
    <ns0:row r="619" ht="42" customHeight="1">
      <ns0:c r="A619" s="19" t="inlineStr">
        <ns0:is>
          <ns0:t>111</ns0:t>
        </ns0:is>
      </ns0:c>
      <ns0:c r="B619" s="19" t="inlineStr">
        <ns0:is>
          <ns0:t>decision_timing</ns0:t>
        </ns0:is>
      </ns0:c>
      <ns0:c r="C619" s="19" t="inlineStr"/>
      <ns0:c r="D619" s="19" t="inlineStr">
        <ns0:is>
          <ns0:t>Not observed in assessed sources</ns0:t>
        </ns0:is>
      </ns0:c>
      <ns0:c r="E619" s="19" t="inlineStr">
        <ns0:is>
          <ns0:t>Parent-history tabular data and data-mining feature selection; SVM is the principal predictive classifier. Combining clustering and SVM is not a deep-learning hybrid.</ns0:t>
        </ns0:is>
      </ns0:c>
      <ns0:c r="F619" s="19" t="inlineStr">
        <ns0:is>
          <ns0:t>https://doi.org/10.1016/j.irbm.2023.100780</ns0:t>
        </ns0:is>
      </ns0:c>
      <ns0:c r="G619" s="19" t="inlineStr">
        <ns0:is>
          <ns0:t>ChatGPT-assisted evidence recharting, 2026-09-08</ns0:t>
        </ns0:is>
      </ns0:c>
    </ns0:row>
    <ns0:row r="620" ht="42" customHeight="1">
      <ns0:c r="A620" s="21" t="inlineStr">
        <ns0:is>
          <ns0:t>112</ns0:t>
        </ns0:is>
      </ns0:c>
      <ns0:c r="B620" s="21" t="inlineStr">
        <ns0:is>
          <ns0:t>ai_type</ns0:t>
        </ns0:is>
      </ns0:c>
      <ns0:c r="C620" s="21" t="inlineStr">
        <ns0:is>
          <ns0:t>Not specified</ns0:t>
        </ns0:is>
      </ns0:c>
      <ns0:c r="D620" s="21" t="inlineStr">
        <ns0:is>
          <ns0:t>Machine Learning</ns0:t>
        </ns0:is>
      </ns0:c>
      <ns0:c r="E620" s="21" t="inlineStr">
        <ns0:is>
          <ns0:t>Human family genotypes and structural-variant subgroups linked to ASD phenotypes. Not natural-language data; explicit explainable AI analysis is retained without inventing a family.</ns0:t>
        </ns0:is>
      </ns0:c>
      <ns0:c r="F620" s="21" t="inlineStr">
        <ns0:is>
          <ns0:t>https://doi.org/10.1016/j.xhgg.2022.100150</ns0:t>
        </ns0:is>
      </ns0:c>
      <ns0:c r="G620" s="21" t="inlineStr">
        <ns0:is>
          <ns0:t>ChatGPT-assisted evidence recharting, 2026-09-08</ns0:t>
        </ns0:is>
      </ns0:c>
    </ns0:row>
    <ns0:row r="621" ht="42" customHeight="1">
      <ns0:c r="A621" s="19" t="inlineStr">
        <ns0:is>
          <ns0:t>112</ns0:t>
        </ns0:is>
      </ns0:c>
      <ns0:c r="B621" s="19" t="inlineStr">
        <ns0:is>
          <ns0:t>data_source_primary</ns0:t>
        </ns0:is>
      </ns0:c>
      <ns0:c r="C621" s="19" t="inlineStr">
        <ns0:is>
          <ns0:t>Text / NLP (legacy; verify input type)</ns0:t>
        </ns0:is>
      </ns0:c>
      <ns0:c r="D621" s="19" t="inlineStr">
        <ns0:is>
          <ns0:t>Biological/omics</ns0:t>
        </ns0:is>
      </ns0:c>
      <ns0:c r="E621" s="19" t="inlineStr">
        <ns0:is>
          <ns0:t>Human family genotypes and structural-variant subgroups linked to ASD phenotypes. Not natural-language data; explicit explainable AI analysis is retained without inventing a family.</ns0:t>
        </ns0:is>
      </ns0:c>
      <ns0:c r="F621" s="19" t="inlineStr">
        <ns0:is>
          <ns0:t>https://doi.org/10.1016/j.xhgg.2022.100150</ns0:t>
        </ns0:is>
      </ns0:c>
      <ns0:c r="G621" s="19" t="inlineStr">
        <ns0:is>
          <ns0:t>ChatGPT-assisted evidence recharting, 2026-09-08</ns0:t>
        </ns0:is>
      </ns0:c>
    </ns0:row>
    <ns0:row r="622" ht="42" customHeight="1">
      <ns0:c r="A622" s="21" t="inlineStr">
        <ns0:is>
          <ns0:t>112</ns0:t>
        </ns0:is>
      </ns0:c>
      <ns0:c r="B622" s="21" t="inlineStr">
        <ns0:is>
          <ns0:t>algorithm_main</ns0:t>
        </ns0:is>
      </ns0:c>
      <ns0:c r="C622" s="21" t="inlineStr">
        <ns0:is>
          <ns0:t>Clustering (k-means / GMM / ...)</ns0:t>
        </ns0:is>
      </ns0:c>
      <ns0:c r="D622" s="21" t="inlineStr">
        <ns0:is>
          <ns0:t>Explainable AI subgrouping; architecture unresolved</ns0:t>
        </ns0:is>
      </ns0:c>
      <ns0:c r="E622" s="21" t="inlineStr">
        <ns0:is>
          <ns0:t>Human family genotypes and structural-variant subgroups linked to ASD phenotypes. Not natural-language data; explicit explainable AI analysis is retained without inventing a family.</ns0:t>
        </ns0:is>
      </ns0:c>
      <ns0:c r="F622" s="21" t="inlineStr">
        <ns0:is>
          <ns0:t>https://doi.org/10.1016/j.xhgg.2022.100150</ns0:t>
        </ns0:is>
      </ns0:c>
      <ns0:c r="G622" s="21" t="inlineStr">
        <ns0:is>
          <ns0:t>ChatGPT-assisted evidence recharting, 2026-09-08</ns0:t>
        </ns0:is>
      </ns0:c>
    </ns0:row>
    <ns0:row r="623" ht="42" customHeight="1">
      <ns0:c r="A623" s="19" t="inlineStr">
        <ns0:is>
          <ns0:t>112</ns0:t>
        </ns0:is>
      </ns0:c>
      <ns0:c r="B623" s="19" t="inlineStr">
        <ns0:is>
          <ns0:t>rq2_status</ns0:t>
        </ns0:is>
      </ns0:c>
      <ns0:c r="C623" s="19" t="inlineStr">
        <ns0:is>
          <ns0:t>Not adjudicated in master</ns0:t>
        </ns0:is>
      </ns0:c>
      <ns0:c r="D623" s="19" t="inlineStr">
        <ns0:is>
          <ns0:t>Research only</ns0:t>
        </ns0:is>
      </ns0:c>
      <ns0:c r="E623" s="19" t="inlineStr">
        <ns0:is>
          <ns0:t>Human family genotypes and structural-variant subgroups linked to ASD phenotypes. Not natural-language data; explicit explainable AI analysis is retained without inventing a family.</ns0:t>
        </ns0:is>
      </ns0:c>
      <ns0:c r="F623" s="19" t="inlineStr">
        <ns0:is>
          <ns0:t>https://doi.org/10.1016/j.xhgg.2022.100150</ns0:t>
        </ns0:is>
      </ns0:c>
      <ns0:c r="G623" s="19" t="inlineStr">
        <ns0:is>
          <ns0:t>ChatGPT-assisted evidence recharting, 2026-09-08</ns0:t>
        </ns0:is>
      </ns0:c>
    </ns0:row>
    <ns0:row r="624" ht="42" customHeight="1">
      <ns0:c r="A624" s="21" t="inlineStr">
        <ns0:is>
          <ns0:t>112</ns0:t>
        </ns0:is>
      </ns0:c>
      <ns0:c r="B624" s="21" t="inlineStr">
        <ns0:is>
          <ns0:t>rq2_role</ns0:t>
        </ns0:is>
      </ns0:c>
      <ns0:c r="C624" s="21" t="inlineStr"/>
      <ns0:c r="D624" s="21" t="inlineStr">
        <ns0:is>
          <ns0:t>Automated measurement/classification</ns0:t>
        </ns0:is>
      </ns0:c>
      <ns0:c r="E624" s="21" t="inlineStr">
        <ns0:is>
          <ns0:t>Human family genotypes and structural-variant subgroups linked to ASD phenotypes. Not natural-language data; explicit explainable AI analysis is retained without inventing a family.</ns0:t>
        </ns0:is>
      </ns0:c>
      <ns0:c r="F624" s="21" t="inlineStr">
        <ns0:is>
          <ns0:t>https://doi.org/10.1016/j.xhgg.2022.100150</ns0:t>
        </ns0:is>
      </ns0:c>
      <ns0:c r="G624" s="21" t="inlineStr">
        <ns0:is>
          <ns0:t>ChatGPT-assisted evidence recharting, 2026-09-08</ns0:t>
        </ns0:is>
      </ns0:c>
    </ns0:row>
    <ns0:row r="625" ht="42" customHeight="1">
      <ns0:c r="A625" s="19" t="inlineStr">
        <ns0:is>
          <ns0:t>112</ns0:t>
        </ns0:is>
      </ns0:c>
      <ns0:c r="B625" s="19" t="inlineStr">
        <ns0:is>
          <ns0:t>decision_timing</ns0:t>
        </ns0:is>
      </ns0:c>
      <ns0:c r="C625" s="19" t="inlineStr"/>
      <ns0:c r="D625" s="19" t="inlineStr">
        <ns0:is>
          <ns0:t>Not observed in assessed sources</ns0:t>
        </ns0:is>
      </ns0:c>
      <ns0:c r="E625" s="19" t="inlineStr">
        <ns0:is>
          <ns0:t>Human family genotypes and structural-variant subgroups linked to ASD phenotypes. Not natural-language data; explicit explainable AI analysis is retained without inventing a family.</ns0:t>
        </ns0:is>
      </ns0:c>
      <ns0:c r="F625" s="19" t="inlineStr">
        <ns0:is>
          <ns0:t>https://doi.org/10.1016/j.xhgg.2022.100150</ns0:t>
        </ns0:is>
      </ns0:c>
      <ns0:c r="G625" s="19" t="inlineStr">
        <ns0:is>
          <ns0:t>ChatGPT-assisted evidence recharting, 2026-09-08</ns0:t>
        </ns0:is>
      </ns0:c>
    </ns0:row>
    <ns0:row r="626" ht="42" customHeight="1">
      <ns0:c r="A626" s="21" t="inlineStr">
        <ns0:is>
          <ns0:t>112</ns0:t>
        </ns0:is>
      </ns0:c>
      <ns0:c r="B626" s="21" t="inlineStr">
        <ns0:is>
          <ns0:t>xai_strict</ns0:t>
        </ns0:is>
      </ns0:c>
      <ns0:c r="C626" s="21" t="inlineStr">
        <ns0:is>
          <ns0:t>Reported</ns0:t>
        </ns0:is>
      </ns0:c>
      <ns0:c r="D626" s="21" t="inlineStr">
        <ns0:is>
          <ns0:t>Not ascertainable</ns0:t>
        </ns0:is>
      </ns0:c>
      <ns0:c r="E626" s="21" t="inlineStr">
        <ns0:is>
          <ns0:t>Human family genotypes and structural-variant subgroups linked to ASD phenotypes. Not natural-language data; explicit explainable AI analysis is retained without inventing a family.</ns0:t>
        </ns0:is>
      </ns0:c>
      <ns0:c r="F626" s="21" t="inlineStr">
        <ns0:is>
          <ns0:t>https://doi.org/10.1016/j.xhgg.2022.100150</ns0:t>
        </ns0:is>
      </ns0:c>
      <ns0:c r="G626" s="21" t="inlineStr">
        <ns0:is>
          <ns0:t>ChatGPT-assisted evidence recharting, 2026-09-08</ns0:t>
        </ns0:is>
      </ns0:c>
    </ns0:row>
    <ns0:row r="627" ht="42" customHeight="1">
      <ns0:c r="A627" s="19" t="inlineStr">
        <ns0:is>
          <ns0:t>112</ns0:t>
        </ns0:is>
      </ns0:c>
      <ns0:c r="B627" s="19" t="inlineStr">
        <ns0:is>
          <ns0:t>xai_partial</ns0:t>
        </ns0:is>
      </ns0:c>
      <ns0:c r="C627" s="19" t="inlineStr">
        <ns0:is>
          <ns0:t>Not reported in assessed sources</ns0:t>
        </ns0:is>
      </ns0:c>
      <ns0:c r="D627" s="19" t="inlineStr">
        <ns0:is>
          <ns0:t>Reported</ns0:t>
        </ns0:is>
      </ns0:c>
      <ns0:c r="E627" s="19" t="inlineStr">
        <ns0:is>
          <ns0:t>Human family genotypes and structural-variant subgroups linked to ASD phenotypes. Not natural-language data; explicit explainable AI analysis is retained without inventing a family.</ns0:t>
        </ns0:is>
      </ns0:c>
      <ns0:c r="F627" s="19" t="inlineStr">
        <ns0:is>
          <ns0:t>https://doi.org/10.1016/j.xhgg.2022.100150</ns0:t>
        </ns0:is>
      </ns0:c>
      <ns0:c r="G627" s="19" t="inlineStr">
        <ns0:is>
          <ns0:t>ChatGPT-assisted evidence recharting, 2026-09-08</ns0:t>
        </ns0:is>
      </ns0:c>
    </ns0:row>
    <ns0:row r="628" ht="42" customHeight="1">
      <ns0:c r="A628" s="21" t="inlineStr">
        <ns0:is>
          <ns0:t>113</ns0:t>
        </ns0:is>
      </ns0:c>
      <ns0:c r="B628" s="21" t="inlineStr">
        <ns0:is>
          <ns0:t>eligibility</ns0:t>
        </ns0:is>
      </ns0:c>
      <ns0:c r="C628" s="21" t="inlineStr">
        <ns0:is>
          <ns0:t>Include</ns0:t>
        </ns0:is>
      </ns0:c>
      <ns0:c r="D628" s="21" t="inlineStr">
        <ns0:is>
          <ns0:t>Exclude</ns0:t>
        </ns0:is>
      </ns0:c>
      <ns0:c r="E628" s="21" t="inlineStr">
        <ns0:is>
          <ns0:t>Shank3B knockout mouse auditory-response/genotype prediction; no human ASD model evaluated.</ns0:t>
        </ns0:is>
      </ns0:c>
      <ns0:c r="F628" s="21" t="inlineStr">
        <ns0:is>
          <ns0:t>https://doi.org/10.1016/j.bbr.2022.114149</ns0:t>
        </ns0:is>
      </ns0:c>
      <ns0:c r="G628" s="21" t="inlineStr">
        <ns0:is>
          <ns0:t>ChatGPT-assisted evidence recharting, 2026-09-08</ns0:t>
        </ns0:is>
      </ns0:c>
    </ns0:row>
    <ns0:row r="629" ht="42" customHeight="1">
      <ns0:c r="A629" s="19" t="inlineStr">
        <ns0:is>
          <ns0:t>113</ns0:t>
        </ns0:is>
      </ns0:c>
      <ns0:c r="B629" s="19" t="inlineStr">
        <ns0:is>
          <ns0:t>stage_primary</ns0:t>
        </ns0:is>
      </ns0:c>
      <ns0:c r="C629" s="19" t="inlineStr">
        <ns0:is>
          <ns0:t>Prognosis</ns0:t>
        </ns0:is>
      </ns0:c>
      <ns0:c r="D629" s="19" t="inlineStr">
        <ns0:is>
          <ns0:t>Excluded</ns0:t>
        </ns0:is>
      </ns0:c>
      <ns0:c r="E629" s="19" t="inlineStr">
        <ns0:is>
          <ns0:t>Shank3B knockout mouse auditory-response/genotype prediction; no human ASD model evaluated.</ns0:t>
        </ns0:is>
      </ns0:c>
      <ns0:c r="F629" s="19" t="inlineStr">
        <ns0:is>
          <ns0:t>https://doi.org/10.1016/j.bbr.2022.114149</ns0:t>
        </ns0:is>
      </ns0:c>
      <ns0:c r="G629" s="19" t="inlineStr">
        <ns0:is>
          <ns0:t>ChatGPT-assisted evidence recharting, 2026-09-08</ns0:t>
        </ns0:is>
      </ns0:c>
    </ns0:row>
    <ns0:row r="630" ht="42" customHeight="1">
      <ns0:c r="A630" s="21" t="inlineStr">
        <ns0:is>
          <ns0:t>113</ns0:t>
        </ns0:is>
      </ns0:c>
      <ns0:c r="B630" s="21" t="inlineStr">
        <ns0:is>
          <ns0:t>ai_type</ns0:t>
        </ns0:is>
      </ns0:c>
      <ns0:c r="C630" s="21" t="inlineStr">
        <ns0:is>
          <ns0:t>Machine Learning</ns0:t>
        </ns0:is>
      </ns0:c>
      <ns0:c r="D630" s="21" t="inlineStr">
        <ns0:is>
          <ns0:t>Excluded</ns0:t>
        </ns0:is>
      </ns0:c>
      <ns0:c r="E630" s="21" t="inlineStr">
        <ns0:is>
          <ns0:t>Shank3B knockout mouse auditory-response/genotype prediction; no human ASD model evaluated.</ns0:t>
        </ns0:is>
      </ns0:c>
      <ns0:c r="F630" s="21" t="inlineStr">
        <ns0:is>
          <ns0:t>https://doi.org/10.1016/j.bbr.2022.114149</ns0:t>
        </ns0:is>
      </ns0:c>
      <ns0:c r="G630" s="21" t="inlineStr">
        <ns0:is>
          <ns0:t>ChatGPT-assisted evidence recharting, 2026-09-08</ns0:t>
        </ns0:is>
      </ns0:c>
    </ns0:row>
    <ns0:row r="631" ht="42" customHeight="1">
      <ns0:c r="A631" s="19" t="inlineStr">
        <ns0:is>
          <ns0:t>113</ns0:t>
        </ns0:is>
      </ns0:c>
      <ns0:c r="B631" s="19" t="inlineStr">
        <ns0:is>
          <ns0:t>data_source_primary</ns0:t>
        </ns0:is>
      </ns0:c>
      <ns0:c r="C631" s="19" t="inlineStr">
        <ns0:is>
          <ns0:t>Not specified</ns0:t>
        </ns0:is>
      </ns0:c>
      <ns0:c r="D631" s="19" t="inlineStr">
        <ns0:is>
          <ns0:t>Excluded</ns0:t>
        </ns0:is>
      </ns0:c>
      <ns0:c r="E631" s="19" t="inlineStr">
        <ns0:is>
          <ns0:t>Shank3B knockout mouse auditory-response/genotype prediction; no human ASD model evaluated.</ns0:t>
        </ns0:is>
      </ns0:c>
      <ns0:c r="F631" s="19" t="inlineStr">
        <ns0:is>
          <ns0:t>https://doi.org/10.1016/j.bbr.2022.114149</ns0:t>
        </ns0:is>
      </ns0:c>
      <ns0:c r="G631" s="19" t="inlineStr">
        <ns0:is>
          <ns0:t>ChatGPT-assisted evidence recharting, 2026-09-08</ns0:t>
        </ns0:is>
      </ns0:c>
    </ns0:row>
    <ns0:row r="632" ht="42" customHeight="1">
      <ns0:c r="A632" s="21" t="inlineStr">
        <ns0:is>
          <ns0:t>113</ns0:t>
        </ns0:is>
      </ns0:c>
      <ns0:c r="B632" s="21" t="inlineStr">
        <ns0:is>
          <ns0:t>rq2_status</ns0:t>
        </ns0:is>
      </ns0:c>
      <ns0:c r="C632" s="21" t="inlineStr">
        <ns0:is>
          <ns0:t>Not adjudicated in master</ns0:t>
        </ns0:is>
      </ns0:c>
      <ns0:c r="D632" s="21" t="inlineStr">
        <ns0:is>
          <ns0:t>Excluded</ns0:t>
        </ns0:is>
      </ns0:c>
      <ns0:c r="E632" s="21" t="inlineStr">
        <ns0:is>
          <ns0:t>Shank3B knockout mouse auditory-response/genotype prediction; no human ASD model evaluated.</ns0:t>
        </ns0:is>
      </ns0:c>
      <ns0:c r="F632" s="21" t="inlineStr">
        <ns0:is>
          <ns0:t>https://doi.org/10.1016/j.bbr.2022.114149</ns0:t>
        </ns0:is>
      </ns0:c>
      <ns0:c r="G632" s="21" t="inlineStr">
        <ns0:is>
          <ns0:t>ChatGPT-assisted evidence recharting, 2026-09-08</ns0:t>
        </ns0:is>
      </ns0:c>
    </ns0:row>
    <ns0:row r="633" ht="42" customHeight="1">
      <ns0:c r="A633" s="19" t="inlineStr">
        <ns0:is>
          <ns0:t>113</ns0:t>
        </ns0:is>
      </ns0:c>
      <ns0:c r="B633" s="19" t="inlineStr">
        <ns0:is>
          <ns0:t>rq2_role</ns0:t>
        </ns0:is>
      </ns0:c>
      <ns0:c r="C633" s="19" t="inlineStr"/>
      <ns0:c r="D633" s="19" t="inlineStr">
        <ns0:is>
          <ns0:t>Excluded</ns0:t>
        </ns0:is>
      </ns0:c>
      <ns0:c r="E633" s="19" t="inlineStr">
        <ns0:is>
          <ns0:t>Shank3B knockout mouse auditory-response/genotype prediction; no human ASD model evaluated.</ns0:t>
        </ns0:is>
      </ns0:c>
      <ns0:c r="F633" s="19" t="inlineStr">
        <ns0:is>
          <ns0:t>https://doi.org/10.1016/j.bbr.2022.114149</ns0:t>
        </ns0:is>
      </ns0:c>
      <ns0:c r="G633" s="19" t="inlineStr">
        <ns0:is>
          <ns0:t>ChatGPT-assisted evidence recharting, 2026-09-08</ns0:t>
        </ns0:is>
      </ns0:c>
    </ns0:row>
    <ns0:row r="634" ht="42" customHeight="1">
      <ns0:c r="A634" s="21" t="inlineStr">
        <ns0:is>
          <ns0:t>113</ns0:t>
        </ns0:is>
      </ns0:c>
      <ns0:c r="B634" s="21" t="inlineStr">
        <ns0:is>
          <ns0:t>decision_timing</ns0:t>
        </ns0:is>
      </ns0:c>
      <ns0:c r="C634" s="21" t="inlineStr"/>
      <ns0:c r="D634" s="21" t="inlineStr">
        <ns0:is>
          <ns0:t>Not applicable - excluded</ns0:t>
        </ns0:is>
      </ns0:c>
      <ns0:c r="E634" s="21" t="inlineStr">
        <ns0:is>
          <ns0:t>Shank3B knockout mouse auditory-response/genotype prediction; no human ASD model evaluated.</ns0:t>
        </ns0:is>
      </ns0:c>
      <ns0:c r="F634" s="21" t="inlineStr">
        <ns0:is>
          <ns0:t>https://doi.org/10.1016/j.bbr.2022.114149</ns0:t>
        </ns0:is>
      </ns0:c>
      <ns0:c r="G634" s="21" t="inlineStr">
        <ns0:is>
          <ns0:t>ChatGPT-assisted evidence recharting, 2026-09-08</ns0:t>
        </ns0:is>
      </ns0:c>
    </ns0:row>
    <ns0:row r="635" ht="42" customHeight="1">
      <ns0:c r="A635" s="19" t="inlineStr">
        <ns0:is>
          <ns0:t>114</ns0:t>
        </ns0:is>
      </ns0:c>
      <ns0:c r="B635" s="19" t="inlineStr">
        <ns0:is>
          <ns0:t>eligibility</ns0:t>
        </ns0:is>
      </ns0:c>
      <ns0:c r="C635" s="19" t="inlineStr">
        <ns0:is>
          <ns0:t>Include</ns0:t>
        </ns0:is>
      </ns0:c>
      <ns0:c r="D635" s="19" t="inlineStr">
        <ns0:is>
          <ns0:t>Exclude</ns0:t>
        </ns0:is>
      </ns0:c>
      <ns0:c r="E635" s="19" t="inlineStr">
        <ns0:is>
          <ns0:t>Standalone edited-book chapter (Elsevier book DOI B978...) rather than an eligible journal article or identified full conference proceeding; inherited update criteria exclude standalone chapters.</ns0:t>
        </ns0:is>
      </ns0:c>
      <ns0:c r="F635" s="19" t="inlineStr">
        <ns0:is>
          <ns0:t>https://doi.org/10.1016/b978-0-443-19073-5.00018-5</ns0:t>
        </ns0:is>
      </ns0:c>
      <ns0:c r="G635" s="19" t="inlineStr">
        <ns0:is>
          <ns0:t>ChatGPT-assisted evidence recharting, 2026-09-08</ns0:t>
        </ns0:is>
      </ns0:c>
    </ns0:row>
    <ns0:row r="636" ht="42" customHeight="1">
      <ns0:c r="A636" s="21" t="inlineStr">
        <ns0:is>
          <ns0:t>114</ns0:t>
        </ns0:is>
      </ns0:c>
      <ns0:c r="B636" s="21" t="inlineStr">
        <ns0:is>
          <ns0:t>stage_primary</ns0:t>
        </ns0:is>
      </ns0:c>
      <ns0:c r="C636" s="21" t="inlineStr">
        <ns0:is>
          <ns0:t>Screening</ns0:t>
        </ns0:is>
      </ns0:c>
      <ns0:c r="D636" s="21" t="inlineStr">
        <ns0:is>
          <ns0:t>Excluded</ns0:t>
        </ns0:is>
      </ns0:c>
      <ns0:c r="E636" s="21" t="inlineStr">
        <ns0:is>
          <ns0:t>Standalone edited-book chapter (Elsevier book DOI B978...) rather than an eligible journal article or identified full conference proceeding; inherited update criteria exclude standalone chapters.</ns0:t>
        </ns0:is>
      </ns0:c>
      <ns0:c r="F636" s="21" t="inlineStr">
        <ns0:is>
          <ns0:t>https://doi.org/10.1016/b978-0-443-19073-5.00018-5</ns0:t>
        </ns0:is>
      </ns0:c>
      <ns0:c r="G636" s="21" t="inlineStr">
        <ns0:is>
          <ns0:t>ChatGPT-assisted evidence recharting, 2026-09-08</ns0:t>
        </ns0:is>
      </ns0:c>
    </ns0:row>
    <ns0:row r="637" ht="42" customHeight="1">
      <ns0:c r="A637" s="19" t="inlineStr">
        <ns0:is>
          <ns0:t>114</ns0:t>
        </ns0:is>
      </ns0:c>
      <ns0:c r="B637" s="19" t="inlineStr">
        <ns0:is>
          <ns0:t>ai_type</ns0:t>
        </ns0:is>
      </ns0:c>
      <ns0:c r="C637" s="19" t="inlineStr">
        <ns0:is>
          <ns0:t>Machine Learning</ns0:t>
        </ns0:is>
      </ns0:c>
      <ns0:c r="D637" s="19" t="inlineStr">
        <ns0:is>
          <ns0:t>Excluded</ns0:t>
        </ns0:is>
      </ns0:c>
      <ns0:c r="E637" s="19" t="inlineStr">
        <ns0:is>
          <ns0:t>Standalone edited-book chapter (Elsevier book DOI B978...) rather than an eligible journal article or identified full conference proceeding; inherited update criteria exclude standalone chapters.</ns0:t>
        </ns0:is>
      </ns0:c>
      <ns0:c r="F637" s="19" t="inlineStr">
        <ns0:is>
          <ns0:t>https://doi.org/10.1016/b978-0-443-19073-5.00018-5</ns0:t>
        </ns0:is>
      </ns0:c>
      <ns0:c r="G637" s="19" t="inlineStr">
        <ns0:is>
          <ns0:t>ChatGPT-assisted evidence recharting, 2026-09-08</ns0:t>
        </ns0:is>
      </ns0:c>
    </ns0:row>
    <ns0:row r="638" ht="42" customHeight="1">
      <ns0:c r="A638" s="21" t="inlineStr">
        <ns0:is>
          <ns0:t>114</ns0:t>
        </ns0:is>
      </ns0:c>
      <ns0:c r="B638" s="21" t="inlineStr">
        <ns0:is>
          <ns0:t>data_source_primary</ns0:t>
        </ns0:is>
      </ns0:c>
      <ns0:c r="C638" s="21" t="inlineStr">
        <ns0:is>
          <ns0:t>Image (subtype unresolved)</ns0:t>
        </ns0:is>
      </ns0:c>
      <ns0:c r="D638" s="21" t="inlineStr">
        <ns0:is>
          <ns0:t>Excluded</ns0:t>
        </ns0:is>
      </ns0:c>
      <ns0:c r="E638" s="21" t="inlineStr">
        <ns0:is>
          <ns0:t>Standalone edited-book chapter (Elsevier book DOI B978...) rather than an eligible journal article or identified full conference proceeding; inherited update criteria exclude standalone chapters.</ns0:t>
        </ns0:is>
      </ns0:c>
      <ns0:c r="F638" s="21" t="inlineStr">
        <ns0:is>
          <ns0:t>https://doi.org/10.1016/b978-0-443-19073-5.00018-5</ns0:t>
        </ns0:is>
      </ns0:c>
      <ns0:c r="G638" s="21" t="inlineStr">
        <ns0:is>
          <ns0:t>ChatGPT-assisted evidence recharting, 2026-09-08</ns0:t>
        </ns0:is>
      </ns0:c>
    </ns0:row>
    <ns0:row r="639" ht="42" customHeight="1">
      <ns0:c r="A639" s="19" t="inlineStr">
        <ns0:is>
          <ns0:t>114</ns0:t>
        </ns0:is>
      </ns0:c>
      <ns0:c r="B639" s="19" t="inlineStr">
        <ns0:is>
          <ns0:t>algorithm_main</ns0:t>
        </ns0:is>
      </ns0:c>
      <ns0:c r="C639" s="19" t="inlineStr"/>
      <ns0:c r="D639" s="19" t="inlineStr">
        <ns0:is>
          <ns0:t>Not specified</ns0:t>
        </ns0:is>
      </ns0:c>
      <ns0:c r="E639" s="19" t="inlineStr">
        <ns0:is>
          <ns0:t>Standalone edited-book chapter (Elsevier book DOI B978...) rather than an eligible journal article or identified full conference proceeding; inherited update criteria exclude standalone chapters.</ns0:t>
        </ns0:is>
      </ns0:c>
      <ns0:c r="F639" s="19" t="inlineStr">
        <ns0:is>
          <ns0:t>https://doi.org/10.1016/b978-0-443-19073-5.00018-5</ns0:t>
        </ns0:is>
      </ns0:c>
      <ns0:c r="G639" s="19" t="inlineStr">
        <ns0:is>
          <ns0:t>ChatGPT-assisted evidence recharting, 2026-09-08</ns0:t>
        </ns0:is>
      </ns0:c>
    </ns0:row>
    <ns0:row r="640" ht="42" customHeight="1">
      <ns0:c r="A640" s="21" t="inlineStr">
        <ns0:is>
          <ns0:t>114</ns0:t>
        </ns0:is>
      </ns0:c>
      <ns0:c r="B640" s="21" t="inlineStr">
        <ns0:is>
          <ns0:t>rq2_status</ns0:t>
        </ns0:is>
      </ns0:c>
      <ns0:c r="C640" s="21" t="inlineStr">
        <ns0:is>
          <ns0:t>Not adjudicated in master</ns0:t>
        </ns0:is>
      </ns0:c>
      <ns0:c r="D640" s="21" t="inlineStr">
        <ns0:is>
          <ns0:t>Excluded</ns0:t>
        </ns0:is>
      </ns0:c>
      <ns0:c r="E640" s="21" t="inlineStr">
        <ns0:is>
          <ns0:t>Standalone edited-book chapter (Elsevier book DOI B978...) rather than an eligible journal article or identified full conference proceeding; inherited update criteria exclude standalone chapters.</ns0:t>
        </ns0:is>
      </ns0:c>
      <ns0:c r="F640" s="21" t="inlineStr">
        <ns0:is>
          <ns0:t>https://doi.org/10.1016/b978-0-443-19073-5.00018-5</ns0:t>
        </ns0:is>
      </ns0:c>
      <ns0:c r="G640" s="21" t="inlineStr">
        <ns0:is>
          <ns0:t>ChatGPT-assisted evidence recharting, 2026-09-08</ns0:t>
        </ns0:is>
      </ns0:c>
    </ns0:row>
    <ns0:row r="641" ht="42" customHeight="1">
      <ns0:c r="A641" s="19" t="inlineStr">
        <ns0:is>
          <ns0:t>114</ns0:t>
        </ns0:is>
      </ns0:c>
      <ns0:c r="B641" s="19" t="inlineStr">
        <ns0:is>
          <ns0:t>rq2_role</ns0:t>
        </ns0:is>
      </ns0:c>
      <ns0:c r="C641" s="19" t="inlineStr"/>
      <ns0:c r="D641" s="19" t="inlineStr">
        <ns0:is>
          <ns0:t>Excluded</ns0:t>
        </ns0:is>
      </ns0:c>
      <ns0:c r="E641" s="19" t="inlineStr">
        <ns0:is>
          <ns0:t>Standalone edited-book chapter (Elsevier book DOI B978...) rather than an eligible journal article or identified full conference proceeding; inherited update criteria exclude standalone chapters.</ns0:t>
        </ns0:is>
      </ns0:c>
      <ns0:c r="F641" s="19" t="inlineStr">
        <ns0:is>
          <ns0:t>https://doi.org/10.1016/b978-0-443-19073-5.00018-5</ns0:t>
        </ns0:is>
      </ns0:c>
      <ns0:c r="G641" s="19" t="inlineStr">
        <ns0:is>
          <ns0:t>ChatGPT-assisted evidence recharting, 2026-09-08</ns0:t>
        </ns0:is>
      </ns0:c>
    </ns0:row>
    <ns0:row r="642" ht="42" customHeight="1">
      <ns0:c r="A642" s="21" t="inlineStr">
        <ns0:is>
          <ns0:t>114</ns0:t>
        </ns0:is>
      </ns0:c>
      <ns0:c r="B642" s="21" t="inlineStr">
        <ns0:is>
          <ns0:t>decision_timing</ns0:t>
        </ns0:is>
      </ns0:c>
      <ns0:c r="C642" s="21" t="inlineStr"/>
      <ns0:c r="D642" s="21" t="inlineStr">
        <ns0:is>
          <ns0:t>Not applicable - excluded</ns0:t>
        </ns0:is>
      </ns0:c>
      <ns0:c r="E642" s="21" t="inlineStr">
        <ns0:is>
          <ns0:t>Standalone edited-book chapter (Elsevier book DOI B978...) rather than an eligible journal article or identified full conference proceeding; inherited update criteria exclude standalone chapters.</ns0:t>
        </ns0:is>
      </ns0:c>
      <ns0:c r="F642" s="21" t="inlineStr">
        <ns0:is>
          <ns0:t>https://doi.org/10.1016/b978-0-443-19073-5.00018-5</ns0:t>
        </ns0:is>
      </ns0:c>
      <ns0:c r="G642" s="21" t="inlineStr">
        <ns0:is>
          <ns0:t>ChatGPT-assisted evidence recharting, 2026-09-08</ns0:t>
        </ns0:is>
      </ns0:c>
    </ns0:row>
    <ns0:row r="643" ht="42" customHeight="1">
      <ns0:c r="A643" s="19" t="inlineStr">
        <ns0:is>
          <ns0:t>115</ns0:t>
        </ns0:is>
      </ns0:c>
      <ns0:c r="B643" s="19" t="inlineStr">
        <ns0:is>
          <ns0:t>ai_type</ns0:t>
        </ns0:is>
      </ns0:c>
      <ns0:c r="C643" s="19" t="inlineStr">
        <ns0:is>
          <ns0:t>Hybrid</ns0:t>
        </ns0:is>
      </ns0:c>
      <ns0:c r="D643" s="19" t="inlineStr">
        <ns0:is>
          <ns0:t>Deep Learning</ns0:t>
        </ns0:is>
      </ns0:c>
      <ns0:c r="E643" s="19" t="inlineStr">
        <ns0:is>
          <ns0:t>Kernel-attention architecture and optimization are stated; a metaheuristic plus neural classifier is not automatically a conventional ML-DL hybrid. Input source remains unresolved.</ns0:t>
        </ns0:is>
      </ns0:c>
      <ns0:c r="F643" s="19" t="inlineStr">
        <ns0:is>
          <ns0:t>https://doi.org/10.1002/jdn.70034</ns0:t>
        </ns0:is>
      </ns0:c>
      <ns0:c r="G643" s="19" t="inlineStr">
        <ns0:is>
          <ns0:t>ChatGPT-assisted evidence recharting, 2026-09-08</ns0:t>
        </ns0:is>
      </ns0:c>
    </ns0:row>
    <ns0:row r="644" ht="42" customHeight="1">
      <ns0:c r="A644" s="21" t="inlineStr">
        <ns0:is>
          <ns0:t>115</ns0:t>
        </ns0:is>
      </ns0:c>
      <ns0:c r="B644" s="21" t="inlineStr">
        <ns0:is>
          <ns0:t>algorithm_main</ns0:t>
        </ns0:is>
      </ns0:c>
      <ns0:c r="C644" s="21" t="inlineStr">
        <ns0:is>
          <ns0:t>CNN</ns0:t>
        </ns0:is>
      </ns0:c>
      <ns0:c r="D644" s="21" t="inlineStr">
        <ns0:is>
          <ns0:t>Adaptive kernel attention network with EIA feature selection</ns0:t>
        </ns0:is>
      </ns0:c>
      <ns0:c r="E644" s="21" t="inlineStr">
        <ns0:is>
          <ns0:t>Kernel-attention architecture and optimization are stated; a metaheuristic plus neural classifier is not automatically a conventional ML-DL hybrid. Input source remains unresolved.</ns0:t>
        </ns0:is>
      </ns0:c>
      <ns0:c r="F644" s="21" t="inlineStr">
        <ns0:is>
          <ns0:t>https://doi.org/10.1002/jdn.70034</ns0:t>
        </ns0:is>
      </ns0:c>
      <ns0:c r="G644" s="21" t="inlineStr">
        <ns0:is>
          <ns0:t>ChatGPT-assisted evidence recharting, 2026-09-08</ns0:t>
        </ns0:is>
      </ns0:c>
    </ns0:row>
    <ns0:row r="645" ht="42" customHeight="1">
      <ns0:c r="A645" s="19" t="inlineStr">
        <ns0:is>
          <ns0:t>115</ns0:t>
        </ns0:is>
      </ns0:c>
      <ns0:c r="B645" s="19" t="inlineStr">
        <ns0:is>
          <ns0:t>rq2_status</ns0:t>
        </ns0:is>
      </ns0:c>
      <ns0:c r="C645" s="19" t="inlineStr">
        <ns0:is>
          <ns0:t>Not adjudicated in master</ns0:t>
        </ns0:is>
      </ns0:c>
      <ns0:c r="D645" s="19" t="inlineStr">
        <ns0:is>
          <ns0:t>Research only</ns0:t>
        </ns0:is>
      </ns0:c>
      <ns0:c r="E645" s="19" t="inlineStr">
        <ns0:is>
          <ns0:t>Kernel-attention architecture and optimization are stated; a metaheuristic plus neural classifier is not automatically a conventional ML-DL hybrid. Input source remains unresolved.</ns0:t>
        </ns0:is>
      </ns0:c>
      <ns0:c r="F645" s="19" t="inlineStr">
        <ns0:is>
          <ns0:t>https://doi.org/10.1002/jdn.70034</ns0:t>
        </ns0:is>
      </ns0:c>
      <ns0:c r="G645" s="19" t="inlineStr">
        <ns0:is>
          <ns0:t>ChatGPT-assisted evidence recharting, 2026-09-08</ns0:t>
        </ns0:is>
      </ns0:c>
    </ns0:row>
    <ns0:row r="646" ht="42" customHeight="1">
      <ns0:c r="A646" s="21" t="inlineStr">
        <ns0:is>
          <ns0:t>115</ns0:t>
        </ns0:is>
      </ns0:c>
      <ns0:c r="B646" s="21" t="inlineStr">
        <ns0:is>
          <ns0:t>rq2_role</ns0:t>
        </ns0:is>
      </ns0:c>
      <ns0:c r="C646" s="21" t="inlineStr"/>
      <ns0:c r="D646" s="21" t="inlineStr">
        <ns0:is>
          <ns0:t>Triage/questionnaire assessment</ns0:t>
        </ns0:is>
      </ns0:c>
      <ns0:c r="E646" s="21" t="inlineStr">
        <ns0:is>
          <ns0:t>Kernel-attention architecture and optimization are stated; a metaheuristic plus neural classifier is not automatically a conventional ML-DL hybrid. Input source remains unresolved.</ns0:t>
        </ns0:is>
      </ns0:c>
      <ns0:c r="F646" s="21" t="inlineStr">
        <ns0:is>
          <ns0:t>https://doi.org/10.1002/jdn.70034</ns0:t>
        </ns0:is>
      </ns0:c>
      <ns0:c r="G646" s="21" t="inlineStr">
        <ns0:is>
          <ns0:t>ChatGPT-assisted evidence recharting, 2026-09-08</ns0:t>
        </ns0:is>
      </ns0:c>
    </ns0:row>
    <ns0:row r="647" ht="42" customHeight="1">
      <ns0:c r="A647" s="19" t="inlineStr">
        <ns0:is>
          <ns0:t>115</ns0:t>
        </ns0:is>
      </ns0:c>
      <ns0:c r="B647" s="19" t="inlineStr">
        <ns0:is>
          <ns0:t>decision_timing</ns0:t>
        </ns0:is>
      </ns0:c>
      <ns0:c r="C647" s="19" t="inlineStr"/>
      <ns0:c r="D647" s="19" t="inlineStr">
        <ns0:is>
          <ns0:t>Not observed in assessed sources</ns0:t>
        </ns0:is>
      </ns0:c>
      <ns0:c r="E647" s="19" t="inlineStr">
        <ns0:is>
          <ns0:t>Kernel-attention architecture and optimization are stated; a metaheuristic plus neural classifier is not automatically a conventional ML-DL hybrid. Input source remains unresolved.</ns0:t>
        </ns0:is>
      </ns0:c>
      <ns0:c r="F647" s="19" t="inlineStr">
        <ns0:is>
          <ns0:t>https://doi.org/10.1002/jdn.70034</ns0:t>
        </ns0:is>
      </ns0:c>
      <ns0:c r="G647" s="19" t="inlineStr">
        <ns0:is>
          <ns0:t>ChatGPT-assisted evidence recharting, 2026-09-08</ns0:t>
        </ns0:is>
      </ns0:c>
    </ns0:row>
    <ns0:row r="648" ht="42" customHeight="1">
      <ns0:c r="A648" s="21" t="inlineStr">
        <ns0:is>
          <ns0:t>116</ns0:t>
        </ns0:is>
      </ns0:c>
      <ns0:c r="B648" s="21" t="inlineStr">
        <ns0:is>
          <ns0:t>ai_type</ns0:t>
        </ns0:is>
      </ns0:c>
      <ns0:c r="C648" s="21" t="inlineStr">
        <ns0:is>
          <ns0:t>Deep Learning</ns0:t>
        </ns0:is>
      </ns0:c>
      <ns0:c r="D648" s="21" t="inlineStr">
        <ns0:is>
          <ns0:t>Machine Learning</ns0:t>
        </ns0:is>
      </ns0:c>
      <ns0:c r="E648" s="21" t="inlineStr">
        <ns0:is>
          <ns0:t>SRS item reduction for caregiver-directed preclinical screening/triage is explicitly proposed; no clinical deployment. Differential ASD/ADHD classification uses structured instrument scores.</ns0:t>
        </ns0:is>
      </ns0:c>
      <ns0:c r="F648" s="21" t="inlineStr">
        <ns0:is>
          <ns0:t>https://doi.org/10.1038/tp.2015.221</ns0:t>
        </ns0:is>
      </ns0:c>
      <ns0:c r="G648" s="21" t="inlineStr">
        <ns0:is>
          <ns0:t>ChatGPT-assisted evidence recharting, 2026-09-08</ns0:t>
        </ns0:is>
      </ns0:c>
    </ns0:row>
    <ns0:row r="649" ht="42" customHeight="1">
      <ns0:c r="A649" s="19" t="inlineStr">
        <ns0:is>
          <ns0:t>116</ns0:t>
        </ns0:is>
      </ns0:c>
      <ns0:c r="B649" s="19" t="inlineStr">
        <ns0:is>
          <ns0:t>data_source_primary</ns0:t>
        </ns0:is>
      </ns0:c>
      <ns0:c r="C649" s="19" t="inlineStr">
        <ns0:is>
          <ns0:t>Not specified</ns0:t>
        </ns0:is>
      </ns0:c>
      <ns0:c r="D649" s="19" t="inlineStr">
        <ns0:is>
          <ns0:t>Structured clinical/questionnaire data</ns0:t>
        </ns0:is>
      </ns0:c>
      <ns0:c r="E649" s="19" t="inlineStr">
        <ns0:is>
          <ns0:t>SRS item reduction for caregiver-directed preclinical screening/triage is explicitly proposed; no clinical deployment. Differential ASD/ADHD classification uses structured instrument scores.</ns0:t>
        </ns0:is>
      </ns0:c>
      <ns0:c r="F649" s="19" t="inlineStr">
        <ns0:is>
          <ns0:t>https://doi.org/10.1038/tp.2015.221</ns0:t>
        </ns0:is>
      </ns0:c>
      <ns0:c r="G649" s="19" t="inlineStr">
        <ns0:is>
          <ns0:t>ChatGPT-assisted evidence recharting, 2026-09-08</ns0:t>
        </ns0:is>
      </ns0:c>
    </ns0:row>
    <ns0:row r="650" ht="42" customHeight="1">
      <ns0:c r="A650" s="21" t="inlineStr">
        <ns0:is>
          <ns0:t>116</ns0:t>
        </ns0:is>
      </ns0:c>
      <ns0:c r="B650" s="21" t="inlineStr">
        <ns0:is>
          <ns0:t>algorithm_main</ns0:t>
        </ns0:is>
      </ns0:c>
      <ns0:c r="C650" s="21" t="inlineStr">
        <ns0:is>
          <ns0:t>Other / Not clear</ns0:t>
        </ns0:is>
      </ns0:c>
      <ns0:c r="D650" s="21" t="inlineStr">
        <ns0:is>
          <ns0:t>Multiple classifiers with forward feature selection</ns0:t>
        </ns0:is>
      </ns0:c>
      <ns0:c r="E650" s="21" t="inlineStr">
        <ns0:is>
          <ns0:t>SRS item reduction for caregiver-directed preclinical screening/triage is explicitly proposed; no clinical deployment. Differential ASD/ADHD classification uses structured instrument scores.</ns0:t>
        </ns0:is>
      </ns0:c>
      <ns0:c r="F650" s="21" t="inlineStr">
        <ns0:is>
          <ns0:t>https://doi.org/10.1038/tp.2015.221</ns0:t>
        </ns0:is>
      </ns0:c>
      <ns0:c r="G650" s="21" t="inlineStr">
        <ns0:is>
          <ns0:t>ChatGPT-assisted evidence recharting, 2026-09-08</ns0:t>
        </ns0:is>
      </ns0:c>
    </ns0:row>
    <ns0:row r="651" ht="42" customHeight="1">
      <ns0:c r="A651" s="19" t="inlineStr">
        <ns0:is>
          <ns0:t>116</ns0:t>
        </ns0:is>
      </ns0:c>
      <ns0:c r="B651" s="19" t="inlineStr">
        <ns0:is>
          <ns0:t>rq2_status</ns0:t>
        </ns0:is>
      </ns0:c>
      <ns0:c r="C651" s="19" t="inlineStr">
        <ns0:is>
          <ns0:t>Not adjudicated in master</ns0:t>
        </ns0:is>
      </ns0:c>
      <ns0:c r="D651" s="19" t="inlineStr">
        <ns0:is>
          <ns0:t>Proposed only</ns0:t>
        </ns0:is>
      </ns0:c>
      <ns0:c r="E651" s="19" t="inlineStr">
        <ns0:is>
          <ns0:t>SRS item reduction for caregiver-directed preclinical screening/triage is explicitly proposed; no clinical deployment. Differential ASD/ADHD classification uses structured instrument scores.</ns0:t>
        </ns0:is>
      </ns0:c>
      <ns0:c r="F651" s="19" t="inlineStr">
        <ns0:is>
          <ns0:t>https://doi.org/10.1038/tp.2015.221</ns0:t>
        </ns0:is>
      </ns0:c>
      <ns0:c r="G651" s="19" t="inlineStr">
        <ns0:is>
          <ns0:t>ChatGPT-assisted evidence recharting, 2026-09-08</ns0:t>
        </ns0:is>
      </ns0:c>
    </ns0:row>
    <ns0:row r="652" ht="42" customHeight="1">
      <ns0:c r="A652" s="21" t="inlineStr">
        <ns0:is>
          <ns0:t>116</ns0:t>
        </ns0:is>
      </ns0:c>
      <ns0:c r="B652" s="21" t="inlineStr">
        <ns0:is>
          <ns0:t>rq2_role</ns0:t>
        </ns0:is>
      </ns0:c>
      <ns0:c r="C652" s="21" t="inlineStr"/>
      <ns0:c r="D652" s="21" t="inlineStr">
        <ns0:is>
          <ns0:t>Triage/questionnaire assessment</ns0:t>
        </ns0:is>
      </ns0:c>
      <ns0:c r="E652" s="21" t="inlineStr">
        <ns0:is>
          <ns0:t>SRS item reduction for caregiver-directed preclinical screening/triage is explicitly proposed; no clinical deployment. Differential ASD/ADHD classification uses structured instrument scores.</ns0:t>
        </ns0:is>
      </ns0:c>
      <ns0:c r="F652" s="21" t="inlineStr">
        <ns0:is>
          <ns0:t>https://doi.org/10.1038/tp.2015.221</ns0:t>
        </ns0:is>
      </ns0:c>
      <ns0:c r="G652" s="21" t="inlineStr">
        <ns0:is>
          <ns0:t>ChatGPT-assisted evidence recharting, 2026-09-08</ns0:t>
        </ns0:is>
      </ns0:c>
    </ns0:row>
    <ns0:row r="653" ht="42" customHeight="1">
      <ns0:c r="A653" s="19" t="inlineStr">
        <ns0:is>
          <ns0:t>116</ns0:t>
        </ns0:is>
      </ns0:c>
      <ns0:c r="B653" s="19" t="inlineStr">
        <ns0:is>
          <ns0:t>decision_timing</ns0:t>
        </ns0:is>
      </ns0:c>
      <ns0:c r="C653" s="19" t="inlineStr"/>
      <ns0:c r="D653" s="19" t="inlineStr">
        <ns0:is>
          <ns0:t>Pre-decision</ns0:t>
        </ns0:is>
      </ns0:c>
      <ns0:c r="E653" s="19" t="inlineStr">
        <ns0:is>
          <ns0:t>SRS item reduction for caregiver-directed preclinical screening/triage is explicitly proposed; no clinical deployment. Differential ASD/ADHD classification uses structured instrument scores.</ns0:t>
        </ns0:is>
      </ns0:c>
      <ns0:c r="F653" s="19" t="inlineStr">
        <ns0:is>
          <ns0:t>https://doi.org/10.1038/tp.2015.221</ns0:t>
        </ns0:is>
      </ns0:c>
      <ns0:c r="G653" s="19" t="inlineStr">
        <ns0:is>
          <ns0:t>ChatGPT-assisted evidence recharting, 2026-09-08</ns0:t>
        </ns0:is>
      </ns0:c>
    </ns0:row>
    <ns0:row r="654" ht="42" customHeight="1">
      <ns0:c r="A654" s="21" t="inlineStr">
        <ns0:is>
          <ns0:t>117</ns0:t>
        </ns0:is>
      </ns0:c>
      <ns0:c r="B654" s="21" t="inlineStr">
        <ns0:is>
          <ns0:t>ai_type</ns0:t>
        </ns0:is>
      </ns0:c>
      <ns0:c r="C654" s="21" t="inlineStr">
        <ns0:is>
          <ns0:t>Deep Learning</ns0:t>
        </ns0:is>
      </ns0:c>
      <ns0:c r="D654" s="21" t="inlineStr">
        <ns0:is>
          <ns0:t>Machine Learning</ns0:t>
        </ns0:is>
      </ns0:c>
      <ns0:c r="E654" s="21" t="inlineStr">
        <ns0:is>
          <ns0:t>Archival M-CHAT-R item scoring; depth is not established, so do not label as deep learning. Future automatic scoring is proposed, not deployed in the evaluated workflow.</ns0:t>
        </ns0:is>
      </ns0:c>
      <ns0:c r="F654" s="21" t="inlineStr">
        <ns0:is>
          <ns0:t>https://doi.org/10.1097/dbp.0000000000000668</ns0:t>
        </ns0:is>
      </ns0:c>
      <ns0:c r="G654" s="21" t="inlineStr">
        <ns0:is>
          <ns0:t>ChatGPT-assisted evidence recharting, 2026-09-08</ns0:t>
        </ns0:is>
      </ns0:c>
    </ns0:row>
    <ns0:row r="655" ht="42" customHeight="1">
      <ns0:c r="A655" s="19" t="inlineStr">
        <ns0:is>
          <ns0:t>117</ns0:t>
        </ns0:is>
      </ns0:c>
      <ns0:c r="B655" s="19" t="inlineStr">
        <ns0:is>
          <ns0:t>data_source_primary</ns0:t>
        </ns0:is>
      </ns0:c>
      <ns0:c r="C655" s="19" t="inlineStr">
        <ns0:is>
          <ns0:t>Not specified</ns0:t>
        </ns0:is>
      </ns0:c>
      <ns0:c r="D655" s="19" t="inlineStr">
        <ns0:is>
          <ns0:t>Structured clinical/questionnaire data</ns0:t>
        </ns0:is>
      </ns0:c>
      <ns0:c r="E655" s="19" t="inlineStr">
        <ns0:is>
          <ns0:t>Archival M-CHAT-R item scoring; depth is not established, so do not label as deep learning. Future automatic scoring is proposed, not deployed in the evaluated workflow.</ns0:t>
        </ns0:is>
      </ns0:c>
      <ns0:c r="F655" s="19" t="inlineStr">
        <ns0:is>
          <ns0:t>https://doi.org/10.1097/dbp.0000000000000668</ns0:t>
        </ns0:is>
      </ns0:c>
      <ns0:c r="G655" s="19" t="inlineStr">
        <ns0:is>
          <ns0:t>ChatGPT-assisted evidence recharting, 2026-09-08</ns0:t>
        </ns0:is>
      </ns0:c>
    </ns0:row>
    <ns0:row r="656" ht="42" customHeight="1">
      <ns0:c r="A656" s="21" t="inlineStr">
        <ns0:is>
          <ns0:t>117</ns0:t>
        </ns0:is>
      </ns0:c>
      <ns0:c r="B656" s="21" t="inlineStr">
        <ns0:is>
          <ns0:t>algorithm_main</ns0:t>
        </ns0:is>
      </ns0:c>
      <ns0:c r="C656" s="21" t="inlineStr">
        <ns0:is>
          <ns0:t>MLP</ns0:t>
        </ns0:is>
      </ns0:c>
      <ns0:c r="D656" s="21" t="inlineStr">
        <ns0:is>
          <ns0:t>Feedforward neural network</ns0:t>
        </ns0:is>
      </ns0:c>
      <ns0:c r="E656" s="21" t="inlineStr">
        <ns0:is>
          <ns0:t>Archival M-CHAT-R item scoring; depth is not established, so do not label as deep learning. Future automatic scoring is proposed, not deployed in the evaluated workflow.</ns0:t>
        </ns0:is>
      </ns0:c>
      <ns0:c r="F656" s="21" t="inlineStr">
        <ns0:is>
          <ns0:t>https://doi.org/10.1097/dbp.0000000000000668</ns0:t>
        </ns0:is>
      </ns0:c>
      <ns0:c r="G656" s="21" t="inlineStr">
        <ns0:is>
          <ns0:t>ChatGPT-assisted evidence recharting, 2026-09-08</ns0:t>
        </ns0:is>
      </ns0:c>
    </ns0:row>
    <ns0:row r="657" ht="42" customHeight="1">
      <ns0:c r="A657" s="19" t="inlineStr">
        <ns0:is>
          <ns0:t>117</ns0:t>
        </ns0:is>
      </ns0:c>
      <ns0:c r="B657" s="19" t="inlineStr">
        <ns0:is>
          <ns0:t>rq2_status</ns0:t>
        </ns0:is>
      </ns0:c>
      <ns0:c r="C657" s="19" t="inlineStr">
        <ns0:is>
          <ns0:t>Not adjudicated in master</ns0:t>
        </ns0:is>
      </ns0:c>
      <ns0:c r="D657" s="19" t="inlineStr">
        <ns0:is>
          <ns0:t>Proposed only</ns0:t>
        </ns0:is>
      </ns0:c>
      <ns0:c r="E657" s="19" t="inlineStr">
        <ns0:is>
          <ns0:t>Archival M-CHAT-R item scoring; depth is not established, so do not label as deep learning. Future automatic scoring is proposed, not deployed in the evaluated workflow.</ns0:t>
        </ns0:is>
      </ns0:c>
      <ns0:c r="F657" s="19" t="inlineStr">
        <ns0:is>
          <ns0:t>https://doi.org/10.1097/dbp.0000000000000668</ns0:t>
        </ns0:is>
      </ns0:c>
      <ns0:c r="G657" s="19" t="inlineStr">
        <ns0:is>
          <ns0:t>ChatGPT-assisted evidence recharting, 2026-09-08</ns0:t>
        </ns0:is>
      </ns0:c>
    </ns0:row>
    <ns0:row r="658" ht="42" customHeight="1">
      <ns0:c r="A658" s="21" t="inlineStr">
        <ns0:is>
          <ns0:t>117</ns0:t>
        </ns0:is>
      </ns0:c>
      <ns0:c r="B658" s="21" t="inlineStr">
        <ns0:is>
          <ns0:t>rq2_role</ns0:t>
        </ns0:is>
      </ns0:c>
      <ns0:c r="C658" s="21" t="inlineStr"/>
      <ns0:c r="D658" s="21" t="inlineStr">
        <ns0:is>
          <ns0:t>Triage/questionnaire assessment</ns0:t>
        </ns0:is>
      </ns0:c>
      <ns0:c r="E658" s="21" t="inlineStr">
        <ns0:is>
          <ns0:t>Archival M-CHAT-R item scoring; depth is not established, so do not label as deep learning. Future automatic scoring is proposed, not deployed in the evaluated workflow.</ns0:t>
        </ns0:is>
      </ns0:c>
      <ns0:c r="F658" s="21" t="inlineStr">
        <ns0:is>
          <ns0:t>https://doi.org/10.1097/dbp.0000000000000668</ns0:t>
        </ns0:is>
      </ns0:c>
      <ns0:c r="G658" s="21" t="inlineStr">
        <ns0:is>
          <ns0:t>ChatGPT-assisted evidence recharting, 2026-09-08</ns0:t>
        </ns0:is>
      </ns0:c>
    </ns0:row>
    <ns0:row r="659" ht="42" customHeight="1">
      <ns0:c r="A659" s="19" t="inlineStr">
        <ns0:is>
          <ns0:t>117</ns0:t>
        </ns0:is>
      </ns0:c>
      <ns0:c r="B659" s="19" t="inlineStr">
        <ns0:is>
          <ns0:t>decision_timing</ns0:t>
        </ns0:is>
      </ns0:c>
      <ns0:c r="C659" s="19" t="inlineStr"/>
      <ns0:c r="D659" s="19" t="inlineStr">
        <ns0:is>
          <ns0:t>Pre-decision</ns0:t>
        </ns0:is>
      </ns0:c>
      <ns0:c r="E659" s="19" t="inlineStr">
        <ns0:is>
          <ns0:t>Archival M-CHAT-R item scoring; depth is not established, so do not label as deep learning. Future automatic scoring is proposed, not deployed in the evaluated workflow.</ns0:t>
        </ns0:is>
      </ns0:c>
      <ns0:c r="F659" s="19" t="inlineStr">
        <ns0:is>
          <ns0:t>https://doi.org/10.1097/dbp.0000000000000668</ns0:t>
        </ns0:is>
      </ns0:c>
      <ns0:c r="G659" s="19" t="inlineStr">
        <ns0:is>
          <ns0:t>ChatGPT-assisted evidence recharting, 2026-09-08</ns0:t>
        </ns0:is>
      </ns0:c>
    </ns0:row>
    <ns0:row r="660" ht="42" customHeight="1">
      <ns0:c r="A660" s="21" t="inlineStr">
        <ns0:is>
          <ns0:t>118</ns0:t>
        </ns0:is>
      </ns0:c>
      <ns0:c r="B660" s="21" t="inlineStr">
        <ns0:is>
          <ns0:t>ai_type</ns0:t>
        </ns0:is>
      </ns0:c>
      <ns0:c r="C660" s="21" t="inlineStr">
        <ns0:is>
          <ns0:t>Deep Learning</ns0:t>
        </ns0:is>
      </ns0:c>
      <ns0:c r="D660" s="21" t="inlineStr">
        <ns0:is>
          <ns0:t>Hybrid</ns0:t>
        </ns0:is>
      </ns0:c>
      <ns0:c r="E660" s="21" t="inlineStr">
        <ns0:is>
          <ns0:t>Tablet behavioral app administered prospectively during pediatric well-child visits. Real point-of-use evaluation is explicit, but prospective recruitment is distinct from external frozen-model testing.</ns0:t>
        </ns0:is>
      </ns0:c>
      <ns0:c r="F660" s="21" t="inlineStr">
        <ns0:is>
          <ns0:t>https://doi.org/10.1038/s41591-023-02574-3</ns0:t>
        </ns0:is>
      </ns0:c>
      <ns0:c r="G660" s="21" t="inlineStr">
        <ns0:is>
          <ns0:t>ChatGPT-assisted evidence recharting, 2026-09-08</ns0:t>
        </ns0:is>
      </ns0:c>
    </ns0:row>
    <ns0:row r="661" ht="42" customHeight="1">
      <ns0:c r="A661" s="19" t="inlineStr">
        <ns0:is>
          <ns0:t>118</ns0:t>
        </ns0:is>
      </ns0:c>
      <ns0:c r="B661" s="19" t="inlineStr">
        <ns0:is>
          <ns0:t>data_source_primary</ns0:t>
        </ns0:is>
      </ns0:c>
      <ns0:c r="C661" s="19" t="inlineStr">
        <ns0:is>
          <ns0:t>Image (subtype unresolved)</ns0:t>
        </ns0:is>
      </ns0:c>
      <ns0:c r="D661" s="19" t="inlineStr">
        <ns0:is>
          <ns0:t>Behavioral images/video/gaze/movement</ns0:t>
        </ns0:is>
      </ns0:c>
      <ns0:c r="E661" s="19" t="inlineStr">
        <ns0:is>
          <ns0:t>Tablet behavioral app administered prospectively during pediatric well-child visits. Real point-of-use evaluation is explicit, but prospective recruitment is distinct from external frozen-model testing.</ns0:t>
        </ns0:is>
      </ns0:c>
      <ns0:c r="F661" s="19" t="inlineStr">
        <ns0:is>
          <ns0:t>https://doi.org/10.1038/s41591-023-02574-3</ns0:t>
        </ns0:is>
      </ns0:c>
      <ns0:c r="G661" s="19" t="inlineStr">
        <ns0:is>
          <ns0:t>ChatGPT-assisted evidence recharting, 2026-09-08</ns0:t>
        </ns0:is>
      </ns0:c>
    </ns0:row>
    <ns0:row r="662" ht="42" customHeight="1">
      <ns0:c r="A662" s="21" t="inlineStr">
        <ns0:is>
          <ns0:t>118</ns0:t>
        </ns0:is>
      </ns0:c>
      <ns0:c r="B662" s="21" t="inlineStr">
        <ns0:is>
          <ns0:t>algorithm_main</ns0:t>
        </ns0:is>
      </ns0:c>
      <ns0:c r="C662" s="21" t="inlineStr">
        <ns0:is>
          <ns0:t>XGBoost / GBDT</ns0:t>
        </ns0:is>
      </ns0:c>
      <ns0:c r="D662" s="21" t="inlineStr">
        <ns0:is>
          <ns0:t>Digital-phenotype feature pipeline with gradient-boosted classifier</ns0:t>
        </ns0:is>
      </ns0:c>
      <ns0:c r="E662" s="21" t="inlineStr">
        <ns0:is>
          <ns0:t>Tablet behavioral app administered prospectively during pediatric well-child visits. Real point-of-use evaluation is explicit, but prospective recruitment is distinct from external frozen-model testing.</ns0:t>
        </ns0:is>
      </ns0:c>
      <ns0:c r="F662" s="21" t="inlineStr">
        <ns0:is>
          <ns0:t>https://doi.org/10.1038/s41591-023-02574-3</ns0:t>
        </ns0:is>
      </ns0:c>
      <ns0:c r="G662" s="21" t="inlineStr">
        <ns0:is>
          <ns0:t>ChatGPT-assisted evidence recharting, 2026-09-08</ns0:t>
        </ns0:is>
      </ns0:c>
    </ns0:row>
    <ns0:row r="663" ht="42" customHeight="1">
      <ns0:c r="A663" s="19" t="inlineStr">
        <ns0:is>
          <ns0:t>118</ns0:t>
        </ns0:is>
      </ns0:c>
      <ns0:c r="B663" s="19" t="inlineStr">
        <ns0:is>
          <ns0:t>rq2_status</ns0:t>
        </ns0:is>
      </ns0:c>
      <ns0:c r="C663" s="19" t="inlineStr">
        <ns0:is>
          <ns0:t>Not adjudicated in master</ns0:t>
        </ns0:is>
      </ns0:c>
      <ns0:c r="D663" s="19" t="inlineStr">
        <ns0:is>
          <ns0:t>Evaluated at point of use</ns0:t>
        </ns0:is>
      </ns0:c>
      <ns0:c r="E663" s="19" t="inlineStr">
        <ns0:is>
          <ns0:t>Tablet behavioral app administered prospectively during pediatric well-child visits. Real point-of-use evaluation is explicit, but prospective recruitment is distinct from external frozen-model testing.</ns0:t>
        </ns0:is>
      </ns0:c>
      <ns0:c r="F663" s="19" t="inlineStr">
        <ns0:is>
          <ns0:t>https://doi.org/10.1038/s41591-023-02574-3</ns0:t>
        </ns0:is>
      </ns0:c>
      <ns0:c r="G663" s="19" t="inlineStr">
        <ns0:is>
          <ns0:t>ChatGPT-assisted evidence recharting, 2026-09-08</ns0:t>
        </ns0:is>
      </ns0:c>
    </ns0:row>
    <ns0:row r="664" ht="42" customHeight="1">
      <ns0:c r="A664" s="21" t="inlineStr">
        <ns0:is>
          <ns0:t>118</ns0:t>
        </ns0:is>
      </ns0:c>
      <ns0:c r="B664" s="21" t="inlineStr">
        <ns0:is>
          <ns0:t>rq2_role</ns0:t>
        </ns0:is>
      </ns0:c>
      <ns0:c r="C664" s="21" t="inlineStr"/>
      <ns0:c r="D664" s="21" t="inlineStr">
        <ns0:is>
          <ns0:t>Mobile assessment</ns0:t>
        </ns0:is>
      </ns0:c>
      <ns0:c r="E664" s="21" t="inlineStr">
        <ns0:is>
          <ns0:t>Tablet behavioral app administered prospectively during pediatric well-child visits. Real point-of-use evaluation is explicit, but prospective recruitment is distinct from external frozen-model testing.</ns0:t>
        </ns0:is>
      </ns0:c>
      <ns0:c r="F664" s="21" t="inlineStr">
        <ns0:is>
          <ns0:t>https://doi.org/10.1038/s41591-023-02574-3</ns0:t>
        </ns0:is>
      </ns0:c>
      <ns0:c r="G664" s="21" t="inlineStr">
        <ns0:is>
          <ns0:t>ChatGPT-assisted evidence recharting, 2026-09-08</ns0:t>
        </ns0:is>
      </ns0:c>
    </ns0:row>
    <ns0:row r="665" ht="42" customHeight="1">
      <ns0:c r="A665" s="19" t="inlineStr">
        <ns0:is>
          <ns0:t>118</ns0:t>
        </ns0:is>
      </ns0:c>
      <ns0:c r="B665" s="19" t="inlineStr">
        <ns0:is>
          <ns0:t>decision_timing</ns0:t>
        </ns0:is>
      </ns0:c>
      <ns0:c r="C665" s="19" t="inlineStr"/>
      <ns0:c r="D665" s="19" t="inlineStr">
        <ns0:is>
          <ns0:t>Pre-decision</ns0:t>
        </ns0:is>
      </ns0:c>
      <ns0:c r="E665" s="19" t="inlineStr">
        <ns0:is>
          <ns0:t>Tablet behavioral app administered prospectively during pediatric well-child visits. Real point-of-use evaluation is explicit, but prospective recruitment is distinct from external frozen-model testing.</ns0:t>
        </ns0:is>
      </ns0:c>
      <ns0:c r="F665" s="19" t="inlineStr">
        <ns0:is>
          <ns0:t>https://doi.org/10.1038/s41591-023-02574-3</ns0:t>
        </ns0:is>
      </ns0:c>
      <ns0:c r="G665" s="19" t="inlineStr">
        <ns0:is>
          <ns0:t>ChatGPT-assisted evidence recharting, 2026-09-08</ns0:t>
        </ns0:is>
      </ns0:c>
    </ns0:row>
    <ns0:row r="666" ht="42" customHeight="1">
      <ns0:c r="A666" s="21" t="inlineStr">
        <ns0:is>
          <ns0:t>118</ns0:t>
        </ns0:is>
      </ns0:c>
      <ns0:c r="B666" s="21" t="inlineStr">
        <ns0:is>
          <ns0:t>external_validation</ns0:t>
        </ns0:is>
      </ns0:c>
      <ns0:c r="C666" s="21" t="inlineStr">
        <ns0:is>
          <ns0:t>Reported</ns0:t>
        </ns0:is>
      </ns0:c>
      <ns0:c r="D666" s="21" t="inlineStr">
        <ns0:is>
          <ns0:t>Not ascertainable</ns0:t>
        </ns0:is>
      </ns0:c>
      <ns0:c r="E666" s="21" t="inlineStr">
        <ns0:is>
          <ns0:t>Tablet behavioral app administered prospectively during pediatric well-child visits. Real point-of-use evaluation is explicit, but prospective recruitment is distinct from external frozen-model testing.</ns0:t>
        </ns0:is>
      </ns0:c>
      <ns0:c r="F666" s="21" t="inlineStr">
        <ns0:is>
          <ns0:t>https://doi.org/10.1038/s41591-023-02574-3</ns0:t>
        </ns0:is>
      </ns0:c>
      <ns0:c r="G666" s="21" t="inlineStr">
        <ns0:is>
          <ns0:t>ChatGPT-assisted evidence recharting, 2026-09-08</ns0:t>
        </ns0:is>
      </ns0:c>
    </ns0:row>
    <ns0:row r="667" ht="42" customHeight="1">
      <ns0:c r="A667" s="19" t="inlineStr">
        <ns0:is>
          <ns0:t>118</ns0:t>
        </ns0:is>
      </ns0:c>
      <ns0:c r="B667" s="19" t="inlineStr">
        <ns0:is>
          <ns0:t>multisite_dataset</ns0:t>
        </ns0:is>
      </ns0:c>
      <ns0:c r="C667" s="19" t="inlineStr">
        <ns0:is>
          <ns0:t>Not reported in assessed sources</ns0:t>
        </ns0:is>
      </ns0:c>
      <ns0:c r="D667" s="19" t="inlineStr">
        <ns0:is>
          <ns0:t>Reported</ns0:t>
        </ns0:is>
      </ns0:c>
      <ns0:c r="E667" s="19" t="inlineStr">
        <ns0:is>
          <ns0:t>Tablet behavioral app administered prospectively during pediatric well-child visits. Real point-of-use evaluation is explicit, but prospective recruitment is distinct from external frozen-model testing.</ns0:t>
        </ns0:is>
      </ns0:c>
      <ns0:c r="F667" s="19" t="inlineStr">
        <ns0:is>
          <ns0:t>https://doi.org/10.1038/s41591-023-02574-3</ns0:t>
        </ns0:is>
      </ns0:c>
      <ns0:c r="G667" s="19" t="inlineStr">
        <ns0:is>
          <ns0:t>ChatGPT-assisted evidence recharting, 2026-09-08</ns0:t>
        </ns0:is>
      </ns0:c>
    </ns0:row>
    <ns0:row r="668" ht="42" customHeight="1">
      <ns0:c r="A668" s="21" t="inlineStr">
        <ns0:is>
          <ns0:t>118</ns0:t>
        </ns0:is>
      </ns0:c>
      <ns0:c r="B668" s="21" t="inlineStr">
        <ns0:is>
          <ns0:t>multisource_data</ns0:t>
        </ns0:is>
      </ns0:c>
      <ns0:c r="C668" s="21" t="inlineStr">
        <ns0:is>
          <ns0:t>Not reported in assessed sources</ns0:t>
        </ns0:is>
      </ns0:c>
      <ns0:c r="D668" s="21" t="inlineStr">
        <ns0:is>
          <ns0:t>Reported</ns0:t>
        </ns0:is>
      </ns0:c>
      <ns0:c r="E668" s="21" t="inlineStr">
        <ns0:is>
          <ns0:t>Tablet behavioral app administered prospectively during pediatric well-child visits. Real point-of-use evaluation is explicit, but prospective recruitment is distinct from external frozen-model testing.</ns0:t>
        </ns0:is>
      </ns0:c>
      <ns0:c r="F668" s="21" t="inlineStr">
        <ns0:is>
          <ns0:t>https://doi.org/10.1038/s41591-023-02574-3</ns0:t>
        </ns0:is>
      </ns0:c>
      <ns0:c r="G668" s="21" t="inlineStr">
        <ns0:is>
          <ns0:t>ChatGPT-assisted evidence recharting, 2026-09-08</ns0:t>
        </ns0:is>
      </ns0:c>
    </ns0:row>
    <ns0:row r="669" ht="42" customHeight="1">
      <ns0:c r="A669" s="19" t="inlineStr">
        <ns0:is>
          <ns0:t>119</ns0:t>
        </ns0:is>
      </ns0:c>
      <ns0:c r="B669" s="19" t="inlineStr">
        <ns0:is>
          <ns0:t>stage_primary</ns0:t>
        </ns0:is>
      </ns0:c>
      <ns0:c r="C669" s="19" t="inlineStr">
        <ns0:is>
          <ns0:t>Monitoring/intervention</ns0:t>
        </ns0:is>
      </ns0:c>
      <ns0:c r="D669" s="19" t="inlineStr">
        <ns0:is>
          <ns0:t>Diagnosis</ns0:t>
        </ns0:is>
      </ns0:c>
      <ns0:c r="E669" s="19" t="inlineStr">
        <ns0:is>
          <ns0:t>ADI-R/ADOS behavioral phenotyping in a single ASD cohort; diagnostic subtyping, not ongoing intervention or multiple acquisition sites.</ns0:t>
        </ns0:is>
      </ns0:c>
      <ns0:c r="F669" s="19" t="inlineStr">
        <ns0:is>
          <ns0:t>https://doi.org/10.1109/embc.2016.7591440</ns0:t>
        </ns0:is>
      </ns0:c>
      <ns0:c r="G669" s="19" t="inlineStr">
        <ns0:is>
          <ns0:t>ChatGPT-assisted evidence recharting, 2026-09-08</ns0:t>
        </ns0:is>
      </ns0:c>
    </ns0:row>
    <ns0:row r="670" ht="42" customHeight="1">
      <ns0:c r="A670" s="21" t="inlineStr">
        <ns0:is>
          <ns0:t>119</ns0:t>
        </ns0:is>
      </ns0:c>
      <ns0:c r="B670" s="21" t="inlineStr">
        <ns0:is>
          <ns0:t>data_source_primary</ns0:t>
        </ns0:is>
      </ns0:c>
      <ns0:c r="C670" s="21" t="inlineStr">
        <ns0:is>
          <ns0:t>Not specified</ns0:t>
        </ns0:is>
      </ns0:c>
      <ns0:c r="D670" s="21" t="inlineStr">
        <ns0:is>
          <ns0:t>Structured clinical/questionnaire data</ns0:t>
        </ns0:is>
      </ns0:c>
      <ns0:c r="E670" s="21" t="inlineStr">
        <ns0:is>
          <ns0:t>ADI-R/ADOS behavioral phenotyping in a single ASD cohort; diagnostic subtyping, not ongoing intervention or multiple acquisition sites.</ns0:t>
        </ns0:is>
      </ns0:c>
      <ns0:c r="F670" s="21" t="inlineStr">
        <ns0:is>
          <ns0:t>https://doi.org/10.1109/embc.2016.7591440</ns0:t>
        </ns0:is>
      </ns0:c>
      <ns0:c r="G670" s="21" t="inlineStr">
        <ns0:is>
          <ns0:t>ChatGPT-assisted evidence recharting, 2026-09-08</ns0:t>
        </ns0:is>
      </ns0:c>
    </ns0:row>
    <ns0:row r="671" ht="42" customHeight="1">
      <ns0:c r="A671" s="19" t="inlineStr">
        <ns0:is>
          <ns0:t>119</ns0:t>
        </ns0:is>
      </ns0:c>
      <ns0:c r="B671" s="19" t="inlineStr">
        <ns0:is>
          <ns0:t>algorithm_main</ns0:t>
        </ns0:is>
      </ns0:c>
      <ns0:c r="C671" s="19" t="inlineStr">
        <ns0:is>
          <ns0:t>Clustering (k-means / GMM / ...)</ns0:t>
        </ns0:is>
      </ns0:c>
      <ns0:c r="D671" s="19" t="inlineStr">
        <ns0:is>
          <ns0:t>Ensemble subspace clustering</ns0:t>
        </ns0:is>
      </ns0:c>
      <ns0:c r="E671" s="19" t="inlineStr">
        <ns0:is>
          <ns0:t>ADI-R/ADOS behavioral phenotyping in a single ASD cohort; diagnostic subtyping, not ongoing intervention or multiple acquisition sites.</ns0:t>
        </ns0:is>
      </ns0:c>
      <ns0:c r="F671" s="19" t="inlineStr">
        <ns0:is>
          <ns0:t>https://doi.org/10.1109/embc.2016.7591440</ns0:t>
        </ns0:is>
      </ns0:c>
      <ns0:c r="G671" s="19" t="inlineStr">
        <ns0:is>
          <ns0:t>ChatGPT-assisted evidence recharting, 2026-09-08</ns0:t>
        </ns0:is>
      </ns0:c>
    </ns0:row>
    <ns0:row r="672" ht="42" customHeight="1">
      <ns0:c r="A672" s="21" t="inlineStr">
        <ns0:is>
          <ns0:t>119</ns0:t>
        </ns0:is>
      </ns0:c>
      <ns0:c r="B672" s="21" t="inlineStr">
        <ns0:is>
          <ns0:t>rq2_status</ns0:t>
        </ns0:is>
      </ns0:c>
      <ns0:c r="C672" s="21" t="inlineStr">
        <ns0:is>
          <ns0:t>Not adjudicated in master</ns0:t>
        </ns0:is>
      </ns0:c>
      <ns0:c r="D672" s="21" t="inlineStr">
        <ns0:is>
          <ns0:t>Research only</ns0:t>
        </ns0:is>
      </ns0:c>
      <ns0:c r="E672" s="21" t="inlineStr">
        <ns0:is>
          <ns0:t>ADI-R/ADOS behavioral phenotyping in a single ASD cohort; diagnostic subtyping, not ongoing intervention or multiple acquisition sites.</ns0:t>
        </ns0:is>
      </ns0:c>
      <ns0:c r="F672" s="21" t="inlineStr">
        <ns0:is>
          <ns0:t>https://doi.org/10.1109/embc.2016.7591440</ns0:t>
        </ns0:is>
      </ns0:c>
      <ns0:c r="G672" s="21" t="inlineStr">
        <ns0:is>
          <ns0:t>ChatGPT-assisted evidence recharting, 2026-09-08</ns0:t>
        </ns0:is>
      </ns0:c>
    </ns0:row>
    <ns0:row r="673" ht="42" customHeight="1">
      <ns0:c r="A673" s="19" t="inlineStr">
        <ns0:is>
          <ns0:t>119</ns0:t>
        </ns0:is>
      </ns0:c>
      <ns0:c r="B673" s="19" t="inlineStr">
        <ns0:is>
          <ns0:t>rq2_role</ns0:t>
        </ns0:is>
      </ns0:c>
      <ns0:c r="C673" s="19" t="inlineStr"/>
      <ns0:c r="D673" s="19" t="inlineStr">
        <ns0:is>
          <ns0:t>Automated measurement/classification</ns0:t>
        </ns0:is>
      </ns0:c>
      <ns0:c r="E673" s="19" t="inlineStr">
        <ns0:is>
          <ns0:t>ADI-R/ADOS behavioral phenotyping in a single ASD cohort; diagnostic subtyping, not ongoing intervention or multiple acquisition sites.</ns0:t>
        </ns0:is>
      </ns0:c>
      <ns0:c r="F673" s="19" t="inlineStr">
        <ns0:is>
          <ns0:t>https://doi.org/10.1109/embc.2016.7591440</ns0:t>
        </ns0:is>
      </ns0:c>
      <ns0:c r="G673" s="19" t="inlineStr">
        <ns0:is>
          <ns0:t>ChatGPT-assisted evidence recharting, 2026-09-08</ns0:t>
        </ns0:is>
      </ns0:c>
    </ns0:row>
    <ns0:row r="674" ht="42" customHeight="1">
      <ns0:c r="A674" s="21" t="inlineStr">
        <ns0:is>
          <ns0:t>119</ns0:t>
        </ns0:is>
      </ns0:c>
      <ns0:c r="B674" s="21" t="inlineStr">
        <ns0:is>
          <ns0:t>decision_timing</ns0:t>
        </ns0:is>
      </ns0:c>
      <ns0:c r="C674" s="21" t="inlineStr"/>
      <ns0:c r="D674" s="21" t="inlineStr">
        <ns0:is>
          <ns0:t>Not observed in assessed sources</ns0:t>
        </ns0:is>
      </ns0:c>
      <ns0:c r="E674" s="21" t="inlineStr">
        <ns0:is>
          <ns0:t>ADI-R/ADOS behavioral phenotyping in a single ASD cohort; diagnostic subtyping, not ongoing intervention or multiple acquisition sites.</ns0:t>
        </ns0:is>
      </ns0:c>
      <ns0:c r="F674" s="21" t="inlineStr">
        <ns0:is>
          <ns0:t>https://doi.org/10.1109/embc.2016.7591440</ns0:t>
        </ns0:is>
      </ns0:c>
      <ns0:c r="G674" s="21" t="inlineStr">
        <ns0:is>
          <ns0:t>ChatGPT-assisted evidence recharting, 2026-09-08</ns0:t>
        </ns0:is>
      </ns0:c>
    </ns0:row>
    <ns0:row r="675" ht="42" customHeight="1">
      <ns0:c r="A675" s="19" t="inlineStr">
        <ns0:is>
          <ns0:t>120</ns0:t>
        </ns0:is>
      </ns0:c>
      <ns0:c r="B675" s="19" t="inlineStr">
        <ns0:is>
          <ns0:t>data_source_primary</ns0:t>
        </ns0:is>
      </ns0:c>
      <ns0:c r="C675" s="19" t="inlineStr">
        <ns0:is>
          <ns0:t>Image (subtype unresolved)</ns0:t>
        </ns0:is>
      </ns0:c>
      <ns0:c r="D675" s="19" t="inlineStr">
        <ns0:is>
          <ns0:t>Text/language</ns0:t>
        </ns0:is>
      </ns0:c>
      <ns0:c r="E675" s="19" t="inlineStr">
        <ns0:is>
          <ns0:t>Explicitly text-only speech transcripts; excludes raw video/audio. Two transcript datasets are not fused data modalities.</ns0:t>
        </ns0:is>
      </ns0:c>
      <ns0:c r="F675" s="19" t="inlineStr">
        <ns0:is>
          <ns0:t>https://doi.org/10.1038/s41598-025-01500-6</ns0:t>
        </ns0:is>
      </ns0:c>
      <ns0:c r="G675" s="19" t="inlineStr">
        <ns0:is>
          <ns0:t>ChatGPT-assisted evidence recharting, 2026-09-08</ns0:t>
        </ns0:is>
      </ns0:c>
    </ns0:row>
    <ns0:row r="676" ht="42" customHeight="1">
      <ns0:c r="A676" s="21" t="inlineStr">
        <ns0:is>
          <ns0:t>120</ns0:t>
        </ns0:is>
      </ns0:c>
      <ns0:c r="B676" s="21" t="inlineStr">
        <ns0:is>
          <ns0:t>algorithm_main</ns0:t>
        </ns0:is>
      </ns0:c>
      <ns0:c r="C676" s="21" t="inlineStr">
        <ns0:is>
          <ns0:t>Other / Not clear</ns0:t>
        </ns0:is>
      </ns0:c>
      <ns0:c r="D676" s="21" t="inlineStr">
        <ns0:is>
          <ns0:t>Linguistic-feature classifiers; principal family unresolved</ns0:t>
        </ns0:is>
      </ns0:c>
      <ns0:c r="E676" s="21" t="inlineStr">
        <ns0:is>
          <ns0:t>Explicitly text-only speech transcripts; excludes raw video/audio. Two transcript datasets are not fused data modalities.</ns0:t>
        </ns0:is>
      </ns0:c>
      <ns0:c r="F676" s="21" t="inlineStr">
        <ns0:is>
          <ns0:t>https://doi.org/10.1038/s41598-025-01500-6</ns0:t>
        </ns0:is>
      </ns0:c>
      <ns0:c r="G676" s="21" t="inlineStr">
        <ns0:is>
          <ns0:t>ChatGPT-assisted evidence recharting, 2026-09-08</ns0:t>
        </ns0:is>
      </ns0:c>
    </ns0:row>
    <ns0:row r="677" ht="42" customHeight="1">
      <ns0:c r="A677" s="19" t="inlineStr">
        <ns0:is>
          <ns0:t>120</ns0:t>
        </ns0:is>
      </ns0:c>
      <ns0:c r="B677" s="19" t="inlineStr">
        <ns0:is>
          <ns0:t>rq2_status</ns0:t>
        </ns0:is>
      </ns0:c>
      <ns0:c r="C677" s="19" t="inlineStr">
        <ns0:is>
          <ns0:t>Not adjudicated in master</ns0:t>
        </ns0:is>
      </ns0:c>
      <ns0:c r="D677" s="19" t="inlineStr">
        <ns0:is>
          <ns0:t>Research only</ns0:t>
        </ns0:is>
      </ns0:c>
      <ns0:c r="E677" s="19" t="inlineStr">
        <ns0:is>
          <ns0:t>Explicitly text-only speech transcripts; excludes raw video/audio. Two transcript datasets are not fused data modalities.</ns0:t>
        </ns0:is>
      </ns0:c>
      <ns0:c r="F677" s="19" t="inlineStr">
        <ns0:is>
          <ns0:t>https://doi.org/10.1038/s41598-025-01500-6</ns0:t>
        </ns0:is>
      </ns0:c>
      <ns0:c r="G677" s="19" t="inlineStr">
        <ns0:is>
          <ns0:t>ChatGPT-assisted evidence recharting, 2026-09-08</ns0:t>
        </ns0:is>
      </ns0:c>
    </ns0:row>
    <ns0:row r="678" ht="42" customHeight="1">
      <ns0:c r="A678" s="21" t="inlineStr">
        <ns0:is>
          <ns0:t>120</ns0:t>
        </ns0:is>
      </ns0:c>
      <ns0:c r="B678" s="21" t="inlineStr">
        <ns0:is>
          <ns0:t>rq2_role</ns0:t>
        </ns0:is>
      </ns0:c>
      <ns0:c r="C678" s="21" t="inlineStr"/>
      <ns0:c r="D678" s="21" t="inlineStr">
        <ns0:is>
          <ns0:t>Automated measurement/classification</ns0:t>
        </ns0:is>
      </ns0:c>
      <ns0:c r="E678" s="21" t="inlineStr">
        <ns0:is>
          <ns0:t>Explicitly text-only speech transcripts; excludes raw video/audio. Two transcript datasets are not fused data modalities.</ns0:t>
        </ns0:is>
      </ns0:c>
      <ns0:c r="F678" s="21" t="inlineStr">
        <ns0:is>
          <ns0:t>https://doi.org/10.1038/s41598-025-01500-6</ns0:t>
        </ns0:is>
      </ns0:c>
      <ns0:c r="G678" s="21" t="inlineStr">
        <ns0:is>
          <ns0:t>ChatGPT-assisted evidence recharting, 2026-09-08</ns0:t>
        </ns0:is>
      </ns0:c>
    </ns0:row>
    <ns0:row r="679" ht="42" customHeight="1">
      <ns0:c r="A679" s="19" t="inlineStr">
        <ns0:is>
          <ns0:t>120</ns0:t>
        </ns0:is>
      </ns0:c>
      <ns0:c r="B679" s="19" t="inlineStr">
        <ns0:is>
          <ns0:t>decision_timing</ns0:t>
        </ns0:is>
      </ns0:c>
      <ns0:c r="C679" s="19" t="inlineStr"/>
      <ns0:c r="D679" s="19" t="inlineStr">
        <ns0:is>
          <ns0:t>Not observed in assessed sources</ns0:t>
        </ns0:is>
      </ns0:c>
      <ns0:c r="E679" s="19" t="inlineStr">
        <ns0:is>
          <ns0:t>Explicitly text-only speech transcripts; excludes raw video/audio. Two transcript datasets are not fused data modalities.</ns0:t>
        </ns0:is>
      </ns0:c>
      <ns0:c r="F679" s="19" t="inlineStr">
        <ns0:is>
          <ns0:t>https://doi.org/10.1038/s41598-025-01500-6</ns0:t>
        </ns0:is>
      </ns0:c>
      <ns0:c r="G679" s="19" t="inlineStr">
        <ns0:is>
          <ns0:t>ChatGPT-assisted evidence recharting, 2026-09-08</ns0:t>
        </ns0:is>
      </ns0:c>
    </ns0:row>
    <ns0:row r="680" ht="42" customHeight="1">
      <ns0:c r="A680" s="21" t="inlineStr">
        <ns0:is>
          <ns0:t>120</ns0:t>
        </ns0:is>
      </ns0:c>
      <ns0:c r="B680" s="21" t="inlineStr">
        <ns0:is>
          <ns0:t>multisource_data</ns0:t>
        </ns0:is>
      </ns0:c>
      <ns0:c r="C680" s="21" t="inlineStr">
        <ns0:is>
          <ns0:t>Reported</ns0:t>
        </ns0:is>
      </ns0:c>
      <ns0:c r="D680" s="21" t="inlineStr">
        <ns0:is>
          <ns0:t>Not reported in assessed sources</ns0:t>
        </ns0:is>
      </ns0:c>
      <ns0:c r="E680" s="21" t="inlineStr">
        <ns0:is>
          <ns0:t>Explicitly text-only speech transcripts; excludes raw video/audio. Two transcript datasets are not fused data modalities.</ns0:t>
        </ns0:is>
      </ns0:c>
      <ns0:c r="F680" s="21" t="inlineStr">
        <ns0:is>
          <ns0:t>https://doi.org/10.1038/s41598-025-01500-6</ns0:t>
        </ns0:is>
      </ns0:c>
      <ns0:c r="G680" s="21" t="inlineStr">
        <ns0:is>
          <ns0:t>ChatGPT-assisted evidence recharting, 2026-09-08</ns0:t>
        </ns0:is>
      </ns0:c>
    </ns0:row>
    <ns0:row r="681" ht="42" customHeight="1">
      <ns0:c r="A681" s="19" t="inlineStr">
        <ns0:is>
          <ns0:t>121</ns0:t>
        </ns0:is>
      </ns0:c>
      <ns0:c r="B681" s="19" t="inlineStr">
        <ns0:is>
          <ns0:t>eligibility</ns0:t>
        </ns0:is>
      </ns0:c>
      <ns0:c r="C681" s="19" t="inlineStr">
        <ns0:is>
          <ns0:t>Include</ns0:t>
        </ns0:is>
      </ns0:c>
      <ns0:c r="D681" s="19" t="inlineStr">
        <ns0:is>
          <ns0:t>Exclude</ns0:t>
        </ns0:is>
      </ns0:c>
      <ns0:c r="E681" s="19" t="inlineStr">
        <ns0:is>
          <ns0:t>Numbered conference-session abstract in JAAC supplement, not a full eligible peer-reviewed conference report.</ns0:t>
        </ns0:is>
      </ns0:c>
      <ns0:c r="F681" s="19" t="inlineStr">
        <ns0:is>
          <ns0:t>https://doi.org/10.1016/j.jaac.2016.07.715</ns0:t>
        </ns0:is>
      </ns0:c>
      <ns0:c r="G681" s="19" t="inlineStr">
        <ns0:is>
          <ns0:t>ChatGPT-assisted evidence recharting, 2026-09-08</ns0:t>
        </ns0:is>
      </ns0:c>
    </ns0:row>
    <ns0:row r="682" ht="42" customHeight="1">
      <ns0:c r="A682" s="21" t="inlineStr">
        <ns0:is>
          <ns0:t>121</ns0:t>
        </ns0:is>
      </ns0:c>
      <ns0:c r="B682" s="21" t="inlineStr">
        <ns0:is>
          <ns0:t>stage_primary</ns0:t>
        </ns0:is>
      </ns0:c>
      <ns0:c r="C682" s="21" t="inlineStr">
        <ns0:is>
          <ns0:t>Monitoring/intervention</ns0:t>
        </ns0:is>
      </ns0:c>
      <ns0:c r="D682" s="21" t="inlineStr">
        <ns0:is>
          <ns0:t>Excluded</ns0:t>
        </ns0:is>
      </ns0:c>
      <ns0:c r="E682" s="21" t="inlineStr">
        <ns0:is>
          <ns0:t>Numbered conference-session abstract in JAAC supplement, not a full eligible peer-reviewed conference report.</ns0:t>
        </ns0:is>
      </ns0:c>
      <ns0:c r="F682" s="21" t="inlineStr">
        <ns0:is>
          <ns0:t>https://doi.org/10.1016/j.jaac.2016.07.715</ns0:t>
        </ns0:is>
      </ns0:c>
      <ns0:c r="G682" s="21" t="inlineStr">
        <ns0:is>
          <ns0:t>ChatGPT-assisted evidence recharting, 2026-09-08</ns0:t>
        </ns0:is>
      </ns0:c>
    </ns0:row>
    <ns0:row r="683" ht="42" customHeight="1">
      <ns0:c r="A683" s="19" t="inlineStr">
        <ns0:is>
          <ns0:t>121</ns0:t>
        </ns0:is>
      </ns0:c>
      <ns0:c r="B683" s="19" t="inlineStr">
        <ns0:is>
          <ns0:t>ai_type</ns0:t>
        </ns0:is>
      </ns0:c>
      <ns0:c r="C683" s="19" t="inlineStr">
        <ns0:is>
          <ns0:t>Deep Learning</ns0:t>
        </ns0:is>
      </ns0:c>
      <ns0:c r="D683" s="19" t="inlineStr">
        <ns0:is>
          <ns0:t>Excluded</ns0:t>
        </ns0:is>
      </ns0:c>
      <ns0:c r="E683" s="19" t="inlineStr">
        <ns0:is>
          <ns0:t>Numbered conference-session abstract in JAAC supplement, not a full eligible peer-reviewed conference report.</ns0:t>
        </ns0:is>
      </ns0:c>
      <ns0:c r="F683" s="19" t="inlineStr">
        <ns0:is>
          <ns0:t>https://doi.org/10.1016/j.jaac.2016.07.715</ns0:t>
        </ns0:is>
      </ns0:c>
      <ns0:c r="G683" s="19" t="inlineStr">
        <ns0:is>
          <ns0:t>ChatGPT-assisted evidence recharting, 2026-09-08</ns0:t>
        </ns0:is>
      </ns0:c>
    </ns0:row>
    <ns0:row r="684" ht="42" customHeight="1">
      <ns0:c r="A684" s="21" t="inlineStr">
        <ns0:is>
          <ns0:t>121</ns0:t>
        </ns0:is>
      </ns0:c>
      <ns0:c r="B684" s="21" t="inlineStr">
        <ns0:is>
          <ns0:t>data_source_primary</ns0:t>
        </ns0:is>
      </ns0:c>
      <ns0:c r="C684" s="21" t="inlineStr">
        <ns0:is>
          <ns0:t>Text / NLP (legacy; verify input type)</ns0:t>
        </ns0:is>
      </ns0:c>
      <ns0:c r="D684" s="21" t="inlineStr">
        <ns0:is>
          <ns0:t>Excluded</ns0:t>
        </ns0:is>
      </ns0:c>
      <ns0:c r="E684" s="21" t="inlineStr">
        <ns0:is>
          <ns0:t>Numbered conference-session abstract in JAAC supplement, not a full eligible peer-reviewed conference report.</ns0:t>
        </ns0:is>
      </ns0:c>
      <ns0:c r="F684" s="21" t="inlineStr">
        <ns0:is>
          <ns0:t>https://doi.org/10.1016/j.jaac.2016.07.715</ns0:t>
        </ns0:is>
      </ns0:c>
      <ns0:c r="G684" s="21" t="inlineStr">
        <ns0:is>
          <ns0:t>ChatGPT-assisted evidence recharting, 2026-09-08</ns0:t>
        </ns0:is>
      </ns0:c>
    </ns0:row>
    <ns0:row r="685" ht="42" customHeight="1">
      <ns0:c r="A685" s="19" t="inlineStr">
        <ns0:is>
          <ns0:t>121</ns0:t>
        </ns0:is>
      </ns0:c>
      <ns0:c r="B685" s="19" t="inlineStr">
        <ns0:is>
          <ns0:t>algorithm_main</ns0:t>
        </ns0:is>
      </ns0:c>
      <ns0:c r="C685" s="19" t="inlineStr"/>
      <ns0:c r="D685" s="19" t="inlineStr">
        <ns0:is>
          <ns0:t>Not specified</ns0:t>
        </ns0:is>
      </ns0:c>
      <ns0:c r="E685" s="19" t="inlineStr">
        <ns0:is>
          <ns0:t>Numbered conference-session abstract in JAAC supplement, not a full eligible peer-reviewed conference report.</ns0:t>
        </ns0:is>
      </ns0:c>
      <ns0:c r="F685" s="19" t="inlineStr">
        <ns0:is>
          <ns0:t>https://doi.org/10.1016/j.jaac.2016.07.715</ns0:t>
        </ns0:is>
      </ns0:c>
      <ns0:c r="G685" s="19" t="inlineStr">
        <ns0:is>
          <ns0:t>ChatGPT-assisted evidence recharting, 2026-09-08</ns0:t>
        </ns0:is>
      </ns0:c>
    </ns0:row>
    <ns0:row r="686" ht="42" customHeight="1">
      <ns0:c r="A686" s="21" t="inlineStr">
        <ns0:is>
          <ns0:t>121</ns0:t>
        </ns0:is>
      </ns0:c>
      <ns0:c r="B686" s="21" t="inlineStr">
        <ns0:is>
          <ns0:t>rq2_status</ns0:t>
        </ns0:is>
      </ns0:c>
      <ns0:c r="C686" s="21" t="inlineStr">
        <ns0:is>
          <ns0:t>Not adjudicated in master</ns0:t>
        </ns0:is>
      </ns0:c>
      <ns0:c r="D686" s="21" t="inlineStr">
        <ns0:is>
          <ns0:t>Excluded</ns0:t>
        </ns0:is>
      </ns0:c>
      <ns0:c r="E686" s="21" t="inlineStr">
        <ns0:is>
          <ns0:t>Numbered conference-session abstract in JAAC supplement, not a full eligible peer-reviewed conference report.</ns0:t>
        </ns0:is>
      </ns0:c>
      <ns0:c r="F686" s="21" t="inlineStr">
        <ns0:is>
          <ns0:t>https://doi.org/10.1016/j.jaac.2016.07.715</ns0:t>
        </ns0:is>
      </ns0:c>
      <ns0:c r="G686" s="21" t="inlineStr">
        <ns0:is>
          <ns0:t>ChatGPT-assisted evidence recharting, 2026-09-08</ns0:t>
        </ns0:is>
      </ns0:c>
    </ns0:row>
    <ns0:row r="687" ht="42" customHeight="1">
      <ns0:c r="A687" s="19" t="inlineStr">
        <ns0:is>
          <ns0:t>121</ns0:t>
        </ns0:is>
      </ns0:c>
      <ns0:c r="B687" s="19" t="inlineStr">
        <ns0:is>
          <ns0:t>rq2_role</ns0:t>
        </ns0:is>
      </ns0:c>
      <ns0:c r="C687" s="19" t="inlineStr"/>
      <ns0:c r="D687" s="19" t="inlineStr">
        <ns0:is>
          <ns0:t>Excluded</ns0:t>
        </ns0:is>
      </ns0:c>
      <ns0:c r="E687" s="19" t="inlineStr">
        <ns0:is>
          <ns0:t>Numbered conference-session abstract in JAAC supplement, not a full eligible peer-reviewed conference report.</ns0:t>
        </ns0:is>
      </ns0:c>
      <ns0:c r="F687" s="19" t="inlineStr">
        <ns0:is>
          <ns0:t>https://doi.org/10.1016/j.jaac.2016.07.715</ns0:t>
        </ns0:is>
      </ns0:c>
      <ns0:c r="G687" s="19" t="inlineStr">
        <ns0:is>
          <ns0:t>ChatGPT-assisted evidence recharting, 2026-09-08</ns0:t>
        </ns0:is>
      </ns0:c>
    </ns0:row>
    <ns0:row r="688" ht="42" customHeight="1">
      <ns0:c r="A688" s="21" t="inlineStr">
        <ns0:is>
          <ns0:t>121</ns0:t>
        </ns0:is>
      </ns0:c>
      <ns0:c r="B688" s="21" t="inlineStr">
        <ns0:is>
          <ns0:t>decision_timing</ns0:t>
        </ns0:is>
      </ns0:c>
      <ns0:c r="C688" s="21" t="inlineStr"/>
      <ns0:c r="D688" s="21" t="inlineStr">
        <ns0:is>
          <ns0:t>Not applicable - excluded</ns0:t>
        </ns0:is>
      </ns0:c>
      <ns0:c r="E688" s="21" t="inlineStr">
        <ns0:is>
          <ns0:t>Numbered conference-session abstract in JAAC supplement, not a full eligible peer-reviewed conference report.</ns0:t>
        </ns0:is>
      </ns0:c>
      <ns0:c r="F688" s="21" t="inlineStr">
        <ns0:is>
          <ns0:t>https://doi.org/10.1016/j.jaac.2016.07.715</ns0:t>
        </ns0:is>
      </ns0:c>
      <ns0:c r="G688" s="21" t="inlineStr">
        <ns0:is>
          <ns0:t>ChatGPT-assisted evidence recharting, 2026-09-08</ns0:t>
        </ns0:is>
      </ns0:c>
    </ns0:row>
    <ns0:row r="689" ht="42" customHeight="1">
      <ns0:c r="A689" s="19" t="inlineStr">
        <ns0:is>
          <ns0:t>122</ns0:t>
        </ns0:is>
      </ns0:c>
      <ns0:c r="B689" s="19" t="inlineStr">
        <ns0:is>
          <ns0:t>ai_type</ns0:t>
        </ns0:is>
      </ns0:c>
      <ns0:c r="C689" s="19" t="inlineStr">
        <ns0:is>
          <ns0:t>Hybrid</ns0:t>
        </ns0:is>
      </ns0:c>
      <ns0:c r="D689" s="19" t="inlineStr">
        <ns0:is>
          <ns0:t>Machine Learning</ns0:t>
        </ns0:is>
      </ns0:c>
      <ns0:c r="E689" s="19" t="inlineStr">
        <ns0:is>
          <ns0:t>Quantum kernel SVM is machine learning, not a deep-learning hybrid. EEG channels and CSP features remain one source.</ns0:t>
        </ns0:is>
      </ns0:c>
      <ns0:c r="F689" s="19" t="inlineStr">
        <ns0:is>
          <ns0:t>https://doi.org/10.1109/access.2025.3531979</ns0:t>
        </ns0:is>
      </ns0:c>
      <ns0:c r="G689" s="19" t="inlineStr">
        <ns0:is>
          <ns0:t>ChatGPT-assisted evidence recharting, 2026-09-08</ns0:t>
        </ns0:is>
      </ns0:c>
    </ns0:row>
    <ns0:row r="690" ht="42" customHeight="1">
      <ns0:c r="A690" s="21" t="inlineStr">
        <ns0:is>
          <ns0:t>122</ns0:t>
        </ns0:is>
      </ns0:c>
      <ns0:c r="B690" s="21" t="inlineStr">
        <ns0:is>
          <ns0:t>algorithm_main</ns0:t>
        </ns0:is>
      </ns0:c>
      <ns0:c r="C690" s="21" t="inlineStr">
        <ns0:is>
          <ns0:t>SVM</ns0:t>
        </ns0:is>
      </ns0:c>
      <ns0:c r="D690" s="21" t="inlineStr">
        <ns0:is>
          <ns0:t>Quantum SVM</ns0:t>
        </ns0:is>
      </ns0:c>
      <ns0:c r="E690" s="21" t="inlineStr">
        <ns0:is>
          <ns0:t>Quantum kernel SVM is machine learning, not a deep-learning hybrid. EEG channels and CSP features remain one source.</ns0:t>
        </ns0:is>
      </ns0:c>
      <ns0:c r="F690" s="21" t="inlineStr">
        <ns0:is>
          <ns0:t>https://doi.org/10.1109/access.2025.3531979</ns0:t>
        </ns0:is>
      </ns0:c>
      <ns0:c r="G690" s="21" t="inlineStr">
        <ns0:is>
          <ns0:t>ChatGPT-assisted evidence recharting, 2026-09-08</ns0:t>
        </ns0:is>
      </ns0:c>
    </ns0:row>
    <ns0:row r="691" ht="42" customHeight="1">
      <ns0:c r="A691" s="19" t="inlineStr">
        <ns0:is>
          <ns0:t>122</ns0:t>
        </ns0:is>
      </ns0:c>
      <ns0:c r="B691" s="19" t="inlineStr">
        <ns0:is>
          <ns0:t>rq2_status</ns0:t>
        </ns0:is>
      </ns0:c>
      <ns0:c r="C691" s="19" t="inlineStr">
        <ns0:is>
          <ns0:t>Not adjudicated in master</ns0:t>
        </ns0:is>
      </ns0:c>
      <ns0:c r="D691" s="19" t="inlineStr">
        <ns0:is>
          <ns0:t>Research only</ns0:t>
        </ns0:is>
      </ns0:c>
      <ns0:c r="E691" s="19" t="inlineStr">
        <ns0:is>
          <ns0:t>Quantum kernel SVM is machine learning, not a deep-learning hybrid. EEG channels and CSP features remain one source.</ns0:t>
        </ns0:is>
      </ns0:c>
      <ns0:c r="F691" s="19" t="inlineStr">
        <ns0:is>
          <ns0:t>https://doi.org/10.1109/access.2025.3531979</ns0:t>
        </ns0:is>
      </ns0:c>
      <ns0:c r="G691" s="19" t="inlineStr">
        <ns0:is>
          <ns0:t>ChatGPT-assisted evidence recharting, 2026-09-08</ns0:t>
        </ns0:is>
      </ns0:c>
    </ns0:row>
    <ns0:row r="692" ht="42" customHeight="1">
      <ns0:c r="A692" s="21" t="inlineStr">
        <ns0:is>
          <ns0:t>122</ns0:t>
        </ns0:is>
      </ns0:c>
      <ns0:c r="B692" s="21" t="inlineStr">
        <ns0:is>
          <ns0:t>rq2_role</ns0:t>
        </ns0:is>
      </ns0:c>
      <ns0:c r="C692" s="21" t="inlineStr"/>
      <ns0:c r="D692" s="21" t="inlineStr">
        <ns0:is>
          <ns0:t>Automated measurement/classification</ns0:t>
        </ns0:is>
      </ns0:c>
      <ns0:c r="E692" s="21" t="inlineStr">
        <ns0:is>
          <ns0:t>Quantum kernel SVM is machine learning, not a deep-learning hybrid. EEG channels and CSP features remain one source.</ns0:t>
        </ns0:is>
      </ns0:c>
      <ns0:c r="F692" s="21" t="inlineStr">
        <ns0:is>
          <ns0:t>https://doi.org/10.1109/access.2025.3531979</ns0:t>
        </ns0:is>
      </ns0:c>
      <ns0:c r="G692" s="21" t="inlineStr">
        <ns0:is>
          <ns0:t>ChatGPT-assisted evidence recharting, 2026-09-08</ns0:t>
        </ns0:is>
      </ns0:c>
    </ns0:row>
    <ns0:row r="693" ht="42" customHeight="1">
      <ns0:c r="A693" s="19" t="inlineStr">
        <ns0:is>
          <ns0:t>122</ns0:t>
        </ns0:is>
      </ns0:c>
      <ns0:c r="B693" s="19" t="inlineStr">
        <ns0:is>
          <ns0:t>decision_timing</ns0:t>
        </ns0:is>
      </ns0:c>
      <ns0:c r="C693" s="19" t="inlineStr"/>
      <ns0:c r="D693" s="19" t="inlineStr">
        <ns0:is>
          <ns0:t>Not observed in assessed sources</ns0:t>
        </ns0:is>
      </ns0:c>
      <ns0:c r="E693" s="19" t="inlineStr">
        <ns0:is>
          <ns0:t>Quantum kernel SVM is machine learning, not a deep-learning hybrid. EEG channels and CSP features remain one source.</ns0:t>
        </ns0:is>
      </ns0:c>
      <ns0:c r="F693" s="19" t="inlineStr">
        <ns0:is>
          <ns0:t>https://doi.org/10.1109/access.2025.3531979</ns0:t>
        </ns0:is>
      </ns0:c>
      <ns0:c r="G693" s="19" t="inlineStr">
        <ns0:is>
          <ns0:t>ChatGPT-assisted evidence recharting, 2026-09-08</ns0:t>
        </ns0:is>
      </ns0:c>
    </ns0:row>
    <ns0:row r="694" ht="42" customHeight="1">
      <ns0:c r="A694" s="21" t="inlineStr">
        <ns0:is>
          <ns0:t>124</ns0:t>
        </ns0:is>
      </ns0:c>
      <ns0:c r="B694" s="21" t="inlineStr">
        <ns0:is>
          <ns0:t>data_source_primary</ns0:t>
        </ns0:is>
      </ns0:c>
      <ns0:c r="C694" s="21" t="inlineStr">
        <ns0:is>
          <ns0:t>Image (subtype unresolved)</ns0:t>
        </ns0:is>
      </ns0:c>
      <ns0:c r="D694" s="21" t="inlineStr">
        <ns0:is>
          <ns0:t>Behavioral images/video/gaze/movement</ns0:t>
        </ns0:is>
      </ns0:c>
      <ns0:c r="E694" s="21" t="inlineStr">
        <ns0:is>
          <ns0:t>Primary transfer-learning experiment uses facial images; parallel numeric questionnaire experiments are retained as secondary sources but not fused multimodal inputs.</ns0:t>
        </ns0:is>
      </ns0:c>
      <ns0:c r="F694" s="21" t="inlineStr">
        <ns0:is>
          <ns0:t>https://doi.org/10.1016/j.heliyon.2023.e21530</ns0:t>
        </ns0:is>
      </ns0:c>
      <ns0:c r="G694" s="21" t="inlineStr">
        <ns0:is>
          <ns0:t>ChatGPT-assisted evidence recharting, 2026-09-08</ns0:t>
        </ns0:is>
      </ns0:c>
    </ns0:row>
    <ns0:row r="695" ht="42" customHeight="1">
      <ns0:c r="A695" s="19" t="inlineStr">
        <ns0:is>
          <ns0:t>124</ns0:t>
        </ns0:is>
      </ns0:c>
      <ns0:c r="B695" s="19" t="inlineStr">
        <ns0:is>
          <ns0:t>algorithm_main</ns0:t>
        </ns0:is>
      </ns0:c>
      <ns0:c r="C695" s="19" t="inlineStr">
        <ns0:is>
          <ns0:t>CNN</ns0:t>
        </ns0:is>
      </ns0:c>
      <ns0:c r="D695" s="19" t="inlineStr">
        <ns0:is>
          <ns0:t>DenseNet169 with gorilla-troops optimization</ns0:t>
        </ns0:is>
      </ns0:c>
      <ns0:c r="E695" s="19" t="inlineStr">
        <ns0:is>
          <ns0:t>Primary transfer-learning experiment uses facial images; parallel numeric questionnaire experiments are retained as secondary sources but not fused multimodal inputs.</ns0:t>
        </ns0:is>
      </ns0:c>
      <ns0:c r="F695" s="19" t="inlineStr">
        <ns0:is>
          <ns0:t>https://doi.org/10.1016/j.heliyon.2023.e21530</ns0:t>
        </ns0:is>
      </ns0:c>
      <ns0:c r="G695" s="19" t="inlineStr">
        <ns0:is>
          <ns0:t>ChatGPT-assisted evidence recharting, 2026-09-08</ns0:t>
        </ns0:is>
      </ns0:c>
    </ns0:row>
    <ns0:row r="696" ht="42" customHeight="1">
      <ns0:c r="A696" s="21" t="inlineStr">
        <ns0:is>
          <ns0:t>124</ns0:t>
        </ns0:is>
      </ns0:c>
      <ns0:c r="B696" s="21" t="inlineStr">
        <ns0:is>
          <ns0:t>rq2_status</ns0:t>
        </ns0:is>
      </ns0:c>
      <ns0:c r="C696" s="21" t="inlineStr">
        <ns0:is>
          <ns0:t>Not adjudicated in master</ns0:t>
        </ns0:is>
      </ns0:c>
      <ns0:c r="D696" s="21" t="inlineStr">
        <ns0:is>
          <ns0:t>Research only</ns0:t>
        </ns0:is>
      </ns0:c>
      <ns0:c r="E696" s="21" t="inlineStr">
        <ns0:is>
          <ns0:t>Primary transfer-learning experiment uses facial images; parallel numeric questionnaire experiments are retained as secondary sources but not fused multimodal inputs.</ns0:t>
        </ns0:is>
      </ns0:c>
      <ns0:c r="F696" s="21" t="inlineStr">
        <ns0:is>
          <ns0:t>https://doi.org/10.1016/j.heliyon.2023.e21530</ns0:t>
        </ns0:is>
      </ns0:c>
      <ns0:c r="G696" s="21" t="inlineStr">
        <ns0:is>
          <ns0:t>ChatGPT-assisted evidence recharting, 2026-09-08</ns0:t>
        </ns0:is>
      </ns0:c>
    </ns0:row>
    <ns0:row r="697" ht="42" customHeight="1">
      <ns0:c r="A697" s="19" t="inlineStr">
        <ns0:is>
          <ns0:t>124</ns0:t>
        </ns0:is>
      </ns0:c>
      <ns0:c r="B697" s="19" t="inlineStr">
        <ns0:is>
          <ns0:t>rq2_role</ns0:t>
        </ns0:is>
      </ns0:c>
      <ns0:c r="C697" s="19" t="inlineStr"/>
      <ns0:c r="D697" s="19" t="inlineStr">
        <ns0:is>
          <ns0:t>Automated measurement/classification</ns0:t>
        </ns0:is>
      </ns0:c>
      <ns0:c r="E697" s="19" t="inlineStr">
        <ns0:is>
          <ns0:t>Primary transfer-learning experiment uses facial images; parallel numeric questionnaire experiments are retained as secondary sources but not fused multimodal inputs.</ns0:t>
        </ns0:is>
      </ns0:c>
      <ns0:c r="F697" s="19" t="inlineStr">
        <ns0:is>
          <ns0:t>https://doi.org/10.1016/j.heliyon.2023.e21530</ns0:t>
        </ns0:is>
      </ns0:c>
      <ns0:c r="G697" s="19" t="inlineStr">
        <ns0:is>
          <ns0:t>ChatGPT-assisted evidence recharting, 2026-09-08</ns0:t>
        </ns0:is>
      </ns0:c>
    </ns0:row>
    <ns0:row r="698" ht="42" customHeight="1">
      <ns0:c r="A698" s="21" t="inlineStr">
        <ns0:is>
          <ns0:t>124</ns0:t>
        </ns0:is>
      </ns0:c>
      <ns0:c r="B698" s="21" t="inlineStr">
        <ns0:is>
          <ns0:t>decision_timing</ns0:t>
        </ns0:is>
      </ns0:c>
      <ns0:c r="C698" s="21" t="inlineStr"/>
      <ns0:c r="D698" s="21" t="inlineStr">
        <ns0:is>
          <ns0:t>Not observed in assessed sources</ns0:t>
        </ns0:is>
      </ns0:c>
      <ns0:c r="E698" s="21" t="inlineStr">
        <ns0:is>
          <ns0:t>Primary transfer-learning experiment uses facial images; parallel numeric questionnaire experiments are retained as secondary sources but not fused multimodal inputs.</ns0:t>
        </ns0:is>
      </ns0:c>
      <ns0:c r="F698" s="21" t="inlineStr">
        <ns0:is>
          <ns0:t>https://doi.org/10.1016/j.heliyon.2023.e21530</ns0:t>
        </ns0:is>
      </ns0:c>
      <ns0:c r="G698" s="21" t="inlineStr">
        <ns0:is>
          <ns0:t>ChatGPT-assisted evidence recharting, 2026-09-08</ns0:t>
        </ns0:is>
      </ns0:c>
    </ns0:row>
    <ns0:row r="699" ht="42" customHeight="1">
      <ns0:c r="A699" s="19" t="inlineStr">
        <ns0:is>
          <ns0:t>124</ns0:t>
        </ns0:is>
      </ns0:c>
      <ns0:c r="B699" s="19" t="inlineStr">
        <ns0:is>
          <ns0:t>multisource_data</ns0:t>
        </ns0:is>
      </ns0:c>
      <ns0:c r="C699" s="19" t="inlineStr">
        <ns0:is>
          <ns0:t>Not reported in assessed sources</ns0:t>
        </ns0:is>
      </ns0:c>
      <ns0:c r="D699" s="19" t="inlineStr">
        <ns0:is>
          <ns0:t>Reported</ns0:t>
        </ns0:is>
      </ns0:c>
      <ns0:c r="E699" s="19" t="inlineStr">
        <ns0:is>
          <ns0:t>Primary transfer-learning experiment uses facial images; parallel numeric questionnaire experiments are retained as secondary sources but not fused multimodal inputs.</ns0:t>
        </ns0:is>
      </ns0:c>
      <ns0:c r="F699" s="19" t="inlineStr">
        <ns0:is>
          <ns0:t>https://doi.org/10.1016/j.heliyon.2023.e21530</ns0:t>
        </ns0:is>
      </ns0:c>
      <ns0:c r="G699" s="19" t="inlineStr">
        <ns0:is>
          <ns0:t>ChatGPT-assisted evidence recharting, 2026-09-08</ns0:t>
        </ns0:is>
      </ns0:c>
    </ns0:row>
    <ns0:row r="700" ht="42" customHeight="1">
      <ns0:c r="A700" s="21" t="inlineStr">
        <ns0:is>
          <ns0:t>125</ns0:t>
        </ns0:is>
      </ns0:c>
      <ns0:c r="B700" s="21" t="inlineStr">
        <ns0:is>
          <ns0:t>data_source_primary</ns0:t>
        </ns0:is>
      </ns0:c>
      <ns0:c r="C700" s="21" t="inlineStr">
        <ns0:is>
          <ns0:t>Image (subtype unresolved)</ns0:t>
        </ns0:is>
      </ns0:c>
      <ns0:c r="D700" s="21" t="inlineStr">
        <ns0:is>
          <ns0:t>Neuroimaging</ns0:t>
        </ns0:is>
      </ns0:c>
      <ns0:c r="E700" s="21" t="inlineStr">
        <ns0:is>
          <ns0:t>Resting-state fMRI classifier proposed for diagnosis; no observed clinician decision pathway in supplied material.</ns0:t>
        </ns0:is>
      </ns0:c>
      <ns0:c r="F700" s="21" t="inlineStr">
        <ns0:is>
          <ns0:t>https://doi.org/10.1007/s10278-019-00196-1</ns0:t>
        </ns0:is>
      </ns0:c>
      <ns0:c r="G700" s="21" t="inlineStr">
        <ns0:is>
          <ns0:t>ChatGPT-assisted evidence recharting, 2026-09-08</ns0:t>
        </ns0:is>
      </ns0:c>
    </ns0:row>
    <ns0:row r="701" ht="42" customHeight="1">
      <ns0:c r="A701" s="19" t="inlineStr">
        <ns0:is>
          <ns0:t>125</ns0:t>
        </ns0:is>
      </ns0:c>
      <ns0:c r="B701" s="19" t="inlineStr">
        <ns0:is>
          <ns0:t>rq2_status</ns0:t>
        </ns0:is>
      </ns0:c>
      <ns0:c r="C701" s="19" t="inlineStr">
        <ns0:is>
          <ns0:t>Not adjudicated in master</ns0:t>
        </ns0:is>
      </ns0:c>
      <ns0:c r="D701" s="19" t="inlineStr">
        <ns0:is>
          <ns0:t>Proposed only</ns0:t>
        </ns0:is>
      </ns0:c>
      <ns0:c r="E701" s="19" t="inlineStr">
        <ns0:is>
          <ns0:t>Resting-state fMRI classifier proposed for diagnosis; no observed clinician decision pathway in supplied material.</ns0:t>
        </ns0:is>
      </ns0:c>
      <ns0:c r="F701" s="19" t="inlineStr">
        <ns0:is>
          <ns0:t>https://doi.org/10.1007/s10278-019-00196-1</ns0:t>
        </ns0:is>
      </ns0:c>
      <ns0:c r="G701" s="19" t="inlineStr">
        <ns0:is>
          <ns0:t>ChatGPT-assisted evidence recharting, 2026-09-08</ns0:t>
        </ns0:is>
      </ns0:c>
    </ns0:row>
    <ns0:row r="702" ht="42" customHeight="1">
      <ns0:c r="A702" s="21" t="inlineStr">
        <ns0:is>
          <ns0:t>125</ns0:t>
        </ns0:is>
      </ns0:c>
      <ns0:c r="B702" s="21" t="inlineStr">
        <ns0:is>
          <ns0:t>rq2_role</ns0:t>
        </ns0:is>
      </ns0:c>
      <ns0:c r="C702" s="21" t="inlineStr"/>
      <ns0:c r="D702" s="21" t="inlineStr">
        <ns0:is>
          <ns0:t>Diagnostic decision support</ns0:t>
        </ns0:is>
      </ns0:c>
      <ns0:c r="E702" s="21" t="inlineStr">
        <ns0:is>
          <ns0:t>Resting-state fMRI classifier proposed for diagnosis; no observed clinician decision pathway in supplied material.</ns0:t>
        </ns0:is>
      </ns0:c>
      <ns0:c r="F702" s="21" t="inlineStr">
        <ns0:is>
          <ns0:t>https://doi.org/10.1007/s10278-019-00196-1</ns0:t>
        </ns0:is>
      </ns0:c>
      <ns0:c r="G702" s="21" t="inlineStr">
        <ns0:is>
          <ns0:t>ChatGPT-assisted evidence recharting, 2026-09-08</ns0:t>
        </ns0:is>
      </ns0:c>
    </ns0:row>
    <ns0:row r="703" ht="42" customHeight="1">
      <ns0:c r="A703" s="19" t="inlineStr">
        <ns0:is>
          <ns0:t>125</ns0:t>
        </ns0:is>
      </ns0:c>
      <ns0:c r="B703" s="19" t="inlineStr">
        <ns0:is>
          <ns0:t>decision_timing</ns0:t>
        </ns0:is>
      </ns0:c>
      <ns0:c r="C703" s="19" t="inlineStr"/>
      <ns0:c r="D703" s="19" t="inlineStr">
        <ns0:is>
          <ns0:t>In-decision</ns0:t>
        </ns0:is>
      </ns0:c>
      <ns0:c r="E703" s="19" t="inlineStr">
        <ns0:is>
          <ns0:t>Resting-state fMRI classifier proposed for diagnosis; no observed clinician decision pathway in supplied material.</ns0:t>
        </ns0:is>
      </ns0:c>
      <ns0:c r="F703" s="19" t="inlineStr">
        <ns0:is>
          <ns0:t>https://doi.org/10.1007/s10278-019-00196-1</ns0:t>
        </ns0:is>
      </ns0:c>
      <ns0:c r="G703" s="19" t="inlineStr">
        <ns0:is>
          <ns0:t>ChatGPT-assisted evidence recharting, 2026-09-08</ns0:t>
        </ns0:is>
      </ns0:c>
    </ns0:row>
    <ns0:row r="704" ht="42" customHeight="1">
      <ns0:c r="A704" s="21" t="inlineStr">
        <ns0:is>
          <ns0:t>128</ns0:t>
        </ns0:is>
      </ns0:c>
      <ns0:c r="B704" s="21" t="inlineStr">
        <ns0:is>
          <ns0:t>stage_primary</ns0:t>
        </ns0:is>
      </ns0:c>
      <ns0:c r="C704" s="21" t="inlineStr">
        <ns0:is>
          <ns0:t>Screening</ns0:t>
        </ns0:is>
      </ns0:c>
      <ns0:c r="D704" s="21" t="inlineStr">
        <ns0:is>
          <ns0:t>Monitoring/intervention</ns0:t>
        </ns0:is>
      </ns0:c>
      <ns0:c r="E704" s="21" t="inlineStr">
        <ns0:is>
          <ns0:t>Actual uncontrolled participant-facing smartglasses intervention; not screening. Architecture is not inferred from the product being AI-enabled.</ns0:t>
        </ns0:is>
      </ns0:c>
      <ns0:c r="F704" s="21" t="inlineStr">
        <ns0:is>
          <ns0:t>https://doi.org/10.2196/mental.9631</ns0:t>
        </ns0:is>
      </ns0:c>
      <ns0:c r="G704" s="21" t="inlineStr">
        <ns0:is>
          <ns0:t>ChatGPT-assisted evidence recharting, 2026-09-08</ns0:t>
        </ns0:is>
      </ns0:c>
    </ns0:row>
    <ns0:row r="705" ht="42" customHeight="1">
      <ns0:c r="A705" s="19" t="inlineStr">
        <ns0:is>
          <ns0:t>128</ns0:t>
        </ns0:is>
      </ns0:c>
      <ns0:c r="B705" s="19" t="inlineStr">
        <ns0:is>
          <ns0:t>ai_type</ns0:t>
        </ns0:is>
      </ns0:c>
      <ns0:c r="C705" s="19" t="inlineStr">
        <ns0:is>
          <ns0:t>Deep Learning</ns0:t>
        </ns0:is>
      </ns0:c>
      <ns0:c r="D705" s="19" t="inlineStr">
        <ns0:is>
          <ns0:t>Not specified</ns0:t>
        </ns0:is>
      </ns0:c>
      <ns0:c r="E705" s="19" t="inlineStr">
        <ns0:is>
          <ns0:t>Actual uncontrolled participant-facing smartglasses intervention; not screening. Architecture is not inferred from the product being AI-enabled.</ns0:t>
        </ns0:is>
      </ns0:c>
      <ns0:c r="F705" s="19" t="inlineStr">
        <ns0:is>
          <ns0:t>https://doi.org/10.2196/mental.9631</ns0:t>
        </ns0:is>
      </ns0:c>
      <ns0:c r="G705" s="19" t="inlineStr">
        <ns0:is>
          <ns0:t>ChatGPT-assisted evidence recharting, 2026-09-08</ns0:t>
        </ns0:is>
      </ns0:c>
    </ns0:row>
    <ns0:row r="706" ht="42" customHeight="1">
      <ns0:c r="A706" s="21" t="inlineStr">
        <ns0:is>
          <ns0:t>128</ns0:t>
        </ns0:is>
      </ns0:c>
      <ns0:c r="B706" s="21" t="inlineStr">
        <ns0:is>
          <ns0:t>data_source_primary</ns0:t>
        </ns0:is>
      </ns0:c>
      <ns0:c r="C706" s="21" t="inlineStr">
        <ns0:is>
          <ns0:t>Image (subtype unresolved)</ns0:t>
        </ns0:is>
      </ns0:c>
      <ns0:c r="D706" s="21" t="inlineStr">
        <ns0:is>
          <ns0:t>Behavioral images/video/gaze/movement</ns0:t>
        </ns0:is>
      </ns0:c>
      <ns0:c r="E706" s="21" t="inlineStr">
        <ns0:is>
          <ns0:t>Actual uncontrolled participant-facing smartglasses intervention; not screening. Architecture is not inferred from the product being AI-enabled.</ns0:t>
        </ns0:is>
      </ns0:c>
      <ns0:c r="F706" s="21" t="inlineStr">
        <ns0:is>
          <ns0:t>https://doi.org/10.2196/mental.9631</ns0:t>
        </ns0:is>
      </ns0:c>
      <ns0:c r="G706" s="21" t="inlineStr">
        <ns0:is>
          <ns0:t>ChatGPT-assisted evidence recharting, 2026-09-08</ns0:t>
        </ns0:is>
      </ns0:c>
    </ns0:row>
    <ns0:row r="707" ht="42" customHeight="1">
      <ns0:c r="A707" s="19" t="inlineStr">
        <ns0:is>
          <ns0:t>128</ns0:t>
        </ns0:is>
      </ns0:c>
      <ns0:c r="B707" s="19" t="inlineStr">
        <ns0:is>
          <ns0:t>algorithm_main</ns0:t>
        </ns0:is>
      </ns0:c>
      <ns0:c r="C707" s="19" t="inlineStr"/>
      <ns0:c r="D707" s="19" t="inlineStr">
        <ns0:is>
          <ns0:t>Empowered Brain smartglasses; underlying algorithm unresolved</ns0:t>
        </ns0:is>
      </ns0:c>
      <ns0:c r="E707" s="19" t="inlineStr">
        <ns0:is>
          <ns0:t>Actual uncontrolled participant-facing smartglasses intervention; not screening. Architecture is not inferred from the product being AI-enabled.</ns0:t>
        </ns0:is>
      </ns0:c>
      <ns0:c r="F707" s="19" t="inlineStr">
        <ns0:is>
          <ns0:t>https://doi.org/10.2196/mental.9631</ns0:t>
        </ns0:is>
      </ns0:c>
      <ns0:c r="G707" s="19" t="inlineStr">
        <ns0:is>
          <ns0:t>ChatGPT-assisted evidence recharting, 2026-09-08</ns0:t>
        </ns0:is>
      </ns0:c>
    </ns0:row>
    <ns0:row r="708" ht="42" customHeight="1">
      <ns0:c r="A708" s="21" t="inlineStr">
        <ns0:is>
          <ns0:t>128</ns0:t>
        </ns0:is>
      </ns0:c>
      <ns0:c r="B708" s="21" t="inlineStr">
        <ns0:is>
          <ns0:t>rq2_status</ns0:t>
        </ns0:is>
      </ns0:c>
      <ns0:c r="C708" s="21" t="inlineStr">
        <ns0:is>
          <ns0:t>Not adjudicated in master</ns0:t>
        </ns0:is>
      </ns0:c>
      <ns0:c r="D708" s="21" t="inlineStr">
        <ns0:is>
          <ns0:t>Evaluated AI-supported intervention</ns0:t>
        </ns0:is>
      </ns0:c>
      <ns0:c r="E708" s="21" t="inlineStr">
        <ns0:is>
          <ns0:t>Actual uncontrolled participant-facing smartglasses intervention; not screening. Architecture is not inferred from the product being AI-enabled.</ns0:t>
        </ns0:is>
      </ns0:c>
      <ns0:c r="F708" s="21" t="inlineStr">
        <ns0:is>
          <ns0:t>https://doi.org/10.2196/mental.9631</ns0:t>
        </ns0:is>
      </ns0:c>
      <ns0:c r="G708" s="21" t="inlineStr">
        <ns0:is>
          <ns0:t>ChatGPT-assisted evidence recharting, 2026-09-08</ns0:t>
        </ns0:is>
      </ns0:c>
    </ns0:row>
    <ns0:row r="709" ht="42" customHeight="1">
      <ns0:c r="A709" s="19" t="inlineStr">
        <ns0:is>
          <ns0:t>128</ns0:t>
        </ns0:is>
      </ns0:c>
      <ns0:c r="B709" s="19" t="inlineStr">
        <ns0:is>
          <ns0:t>rq2_role</ns0:t>
        </ns0:is>
      </ns0:c>
      <ns0:c r="C709" s="19" t="inlineStr"/>
      <ns0:c r="D709" s="19" t="inlineStr">
        <ns0:is>
          <ns0:t>Assistive support</ns0:t>
        </ns0:is>
      </ns0:c>
      <ns0:c r="E709" s="19" t="inlineStr">
        <ns0:is>
          <ns0:t>Actual uncontrolled participant-facing smartglasses intervention; not screening. Architecture is not inferred from the product being AI-enabled.</ns0:t>
        </ns0:is>
      </ns0:c>
      <ns0:c r="F709" s="19" t="inlineStr">
        <ns0:is>
          <ns0:t>https://doi.org/10.2196/mental.9631</ns0:t>
        </ns0:is>
      </ns0:c>
      <ns0:c r="G709" s="19" t="inlineStr">
        <ns0:is>
          <ns0:t>ChatGPT-assisted evidence recharting, 2026-09-08</ns0:t>
        </ns0:is>
      </ns0:c>
    </ns0:row>
    <ns0:row r="710" ht="42" customHeight="1">
      <ns0:c r="A710" s="21" t="inlineStr">
        <ns0:is>
          <ns0:t>128</ns0:t>
        </ns0:is>
      </ns0:c>
      <ns0:c r="B710" s="21" t="inlineStr">
        <ns0:is>
          <ns0:t>decision_timing</ns0:t>
        </ns0:is>
      </ns0:c>
      <ns0:c r="C710" s="21" t="inlineStr"/>
      <ns0:c r="D710" s="21" t="inlineStr">
        <ns0:is>
          <ns0:t>Post-decision</ns0:t>
        </ns0:is>
      </ns0:c>
      <ns0:c r="E710" s="21" t="inlineStr">
        <ns0:is>
          <ns0:t>Actual uncontrolled participant-facing smartglasses intervention; not screening. Architecture is not inferred from the product being AI-enabled.</ns0:t>
        </ns0:is>
      </ns0:c>
      <ns0:c r="F710" s="21" t="inlineStr">
        <ns0:is>
          <ns0:t>https://doi.org/10.2196/mental.9631</ns0:t>
        </ns0:is>
      </ns0:c>
      <ns0:c r="G710" s="21" t="inlineStr">
        <ns0:is>
          <ns0:t>ChatGPT-assisted evidence recharting, 2026-09-08</ns0:t>
        </ns0:is>
      </ns0:c>
    </ns0:row>
    <ns0:row r="711" ht="42" customHeight="1">
      <ns0:c r="A711" s="19" t="inlineStr">
        <ns0:is>
          <ns0:t>128</ns0:t>
        </ns0:is>
      </ns0:c>
      <ns0:c r="B711" s="19" t="inlineStr">
        <ns0:is>
          <ns0:t>prospective_evaluation</ns0:t>
        </ns0:is>
      </ns0:c>
      <ns0:c r="C711" s="19" t="inlineStr">
        <ns0:is>
          <ns0:t>Not reported in assessed sources</ns0:t>
        </ns0:is>
      </ns0:c>
      <ns0:c r="D711" s="19" t="inlineStr">
        <ns0:is>
          <ns0:t>Reported</ns0:t>
        </ns0:is>
      </ns0:c>
      <ns0:c r="E711" s="19" t="inlineStr">
        <ns0:is>
          <ns0:t>Actual uncontrolled participant-facing smartglasses intervention; not screening. Architecture is not inferred from the product being AI-enabled.</ns0:t>
        </ns0:is>
      </ns0:c>
      <ns0:c r="F711" s="19" t="inlineStr">
        <ns0:is>
          <ns0:t>https://doi.org/10.2196/mental.9631</ns0:t>
        </ns0:is>
      </ns0:c>
      <ns0:c r="G711" s="19" t="inlineStr">
        <ns0:is>
          <ns0:t>ChatGPT-assisted evidence recharting, 2026-09-08</ns0:t>
        </ns0:is>
      </ns0:c>
    </ns0:row>
    <ns0:row r="712" ht="57" customHeight="1">
      <ns0:c r="A712" s="21" t="inlineStr">
        <ns0:is>
          <ns0:t>129</ns0:t>
        </ns0:is>
      </ns0:c>
      <ns0:c r="B712" s="21" t="inlineStr">
        <ns0:is>
          <ns0:t>ai_type</ns0:t>
        </ns0:is>
      </ns0:c>
      <ns0:c r="C712" s="21" t="inlineStr">
        <ns0:is>
          <ns0:t>Deep Learning</ns0:t>
        </ns0:is>
      </ns0:c>
      <ns0:c r="D712" s="21" t="inlineStr">
        <ns0:is>
          <ns0:t>Machine Learning</ns0:t>
        </ns0:is>
      </ns0:c>
      <ns0:c r="E712" s="21" t="inlineStr">
        <ns0:is>
          <ns0:t>Questionnaire-derived labels and imbalance adjustments in a trait-screening dataset. Screening-rule labels are not independent clinical diagnoses.
Outcome labels were partly derived from screening-score rules; model agreement cannot be interpreted as externally validated clinical diagnostic accuracy.</ns0:t>
        </ns0:is>
      </ns0:c>
      <ns0:c r="F712" s="21" t="inlineStr">
        <ns0:is>
          <ns0:t>https://doi.org/10.1007/978-981-96-6960-8_26</ns0:t>
        </ns0:is>
      </ns0:c>
      <ns0:c r="G712" s="21" t="inlineStr">
        <ns0:is>
          <ns0:t>ChatGPT-assisted evidence recharting, 2026-09-08</ns0:t>
        </ns0:is>
      </ns0:c>
    </ns0:row>
    <ns0:row r="713" ht="57" customHeight="1">
      <ns0:c r="A713" s="19" t="inlineStr">
        <ns0:is>
          <ns0:t>129</ns0:t>
        </ns0:is>
      </ns0:c>
      <ns0:c r="B713" s="19" t="inlineStr">
        <ns0:is>
          <ns0:t>data_source_primary</ns0:t>
        </ns0:is>
      </ns0:c>
      <ns0:c r="C713" s="19" t="inlineStr">
        <ns0:is>
          <ns0:t>Not specified</ns0:t>
        </ns0:is>
      </ns0:c>
      <ns0:c r="D713" s="19" t="inlineStr">
        <ns0:is>
          <ns0:t>Structured clinical/questionnaire data</ns0:t>
        </ns0:is>
      </ns0:c>
      <ns0:c r="E713" s="19" t="inlineStr">
        <ns0:is>
          <ns0:t>Questionnaire-derived labels and imbalance adjustments in a trait-screening dataset. Screening-rule labels are not independent clinical diagnoses.
Outcome labels were partly derived from screening-score rules; model agreement cannot be interpreted as externally validated clinical diagnostic accuracy.</ns0:t>
        </ns0:is>
      </ns0:c>
      <ns0:c r="F713" s="19" t="inlineStr">
        <ns0:is>
          <ns0:t>https://doi.org/10.1007/978-981-96-6960-8_26</ns0:t>
        </ns0:is>
      </ns0:c>
      <ns0:c r="G713" s="19" t="inlineStr">
        <ns0:is>
          <ns0:t>ChatGPT-assisted evidence recharting, 2026-09-08</ns0:t>
        </ns0:is>
      </ns0:c>
    </ns0:row>
    <ns0:row r="714" ht="57" customHeight="1">
      <ns0:c r="A714" s="21" t="inlineStr">
        <ns0:is>
          <ns0:t>129</ns0:t>
        </ns0:is>
      </ns0:c>
      <ns0:c r="B714" s="21" t="inlineStr">
        <ns0:is>
          <ns0:t>algorithm_main</ns0:t>
        </ns0:is>
      </ns0:c>
      <ns0:c r="C714" s="21" t="inlineStr">
        <ns0:is>
          <ns0:t>Random Forest</ns0:t>
        </ns0:is>
      </ns0:c>
      <ns0:c r="D714" s="21" t="inlineStr">
        <ns0:is>
          <ns0:t>Random forest</ns0:t>
        </ns0:is>
      </ns0:c>
      <ns0:c r="E714" s="21" t="inlineStr">
        <ns0:is>
          <ns0:t>Questionnaire-derived labels and imbalance adjustments in a trait-screening dataset. Screening-rule labels are not independent clinical diagnoses.
Outcome labels were partly derived from screening-score rules; model agreement cannot be interpreted as externally validated clinical diagnostic accuracy.</ns0:t>
        </ns0:is>
      </ns0:c>
      <ns0:c r="F714" s="21" t="inlineStr">
        <ns0:is>
          <ns0:t>https://doi.org/10.1007/978-981-96-6960-8_26</ns0:t>
        </ns0:is>
      </ns0:c>
      <ns0:c r="G714" s="21" t="inlineStr">
        <ns0:is>
          <ns0:t>ChatGPT-assisted evidence recharting, 2026-09-08</ns0:t>
        </ns0:is>
      </ns0:c>
    </ns0:row>
    <ns0:row r="715" ht="57" customHeight="1">
      <ns0:c r="A715" s="19" t="inlineStr">
        <ns0:is>
          <ns0:t>129</ns0:t>
        </ns0:is>
      </ns0:c>
      <ns0:c r="B715" s="19" t="inlineStr">
        <ns0:is>
          <ns0:t>rq2_status</ns0:t>
        </ns0:is>
      </ns0:c>
      <ns0:c r="C715" s="19" t="inlineStr">
        <ns0:is>
          <ns0:t>Not adjudicated in master</ns0:t>
        </ns0:is>
      </ns0:c>
      <ns0:c r="D715" s="19" t="inlineStr">
        <ns0:is>
          <ns0:t>Research only</ns0:t>
        </ns0:is>
      </ns0:c>
      <ns0:c r="E715" s="19" t="inlineStr">
        <ns0:is>
          <ns0:t>Questionnaire-derived labels and imbalance adjustments in a trait-screening dataset. Screening-rule labels are not independent clinical diagnoses.
Outcome labels were partly derived from screening-score rules; model agreement cannot be interpreted as externally validated clinical diagnostic accuracy.</ns0:t>
        </ns0:is>
      </ns0:c>
      <ns0:c r="F715" s="19" t="inlineStr">
        <ns0:is>
          <ns0:t>https://doi.org/10.1007/978-981-96-6960-8_26</ns0:t>
        </ns0:is>
      </ns0:c>
      <ns0:c r="G715" s="19" t="inlineStr">
        <ns0:is>
          <ns0:t>ChatGPT-assisted evidence recharting, 2026-09-08</ns0:t>
        </ns0:is>
      </ns0:c>
    </ns0:row>
    <ns0:row r="716" ht="57" customHeight="1">
      <ns0:c r="A716" s="21" t="inlineStr">
        <ns0:is>
          <ns0:t>129</ns0:t>
        </ns0:is>
      </ns0:c>
      <ns0:c r="B716" s="21" t="inlineStr">
        <ns0:is>
          <ns0:t>rq2_role</ns0:t>
        </ns0:is>
      </ns0:c>
      <ns0:c r="C716" s="21" t="inlineStr"/>
      <ns0:c r="D716" s="21" t="inlineStr">
        <ns0:is>
          <ns0:t>Triage/questionnaire assessment</ns0:t>
        </ns0:is>
      </ns0:c>
      <ns0:c r="E716" s="21" t="inlineStr">
        <ns0:is>
          <ns0:t>Questionnaire-derived labels and imbalance adjustments in a trait-screening dataset. Screening-rule labels are not independent clinical diagnoses.
Outcome labels were partly derived from screening-score rules; model agreement cannot be interpreted as externally validated clinical diagnostic accuracy.</ns0:t>
        </ns0:is>
      </ns0:c>
      <ns0:c r="F716" s="21" t="inlineStr">
        <ns0:is>
          <ns0:t>https://doi.org/10.1007/978-981-96-6960-8_26</ns0:t>
        </ns0:is>
      </ns0:c>
      <ns0:c r="G716" s="21" t="inlineStr">
        <ns0:is>
          <ns0:t>ChatGPT-assisted evidence recharting, 2026-09-08</ns0:t>
        </ns0:is>
      </ns0:c>
    </ns0:row>
    <ns0:row r="717" ht="57" customHeight="1">
      <ns0:c r="A717" s="19" t="inlineStr">
        <ns0:is>
          <ns0:t>129</ns0:t>
        </ns0:is>
      </ns0:c>
      <ns0:c r="B717" s="19" t="inlineStr">
        <ns0:is>
          <ns0:t>decision_timing</ns0:t>
        </ns0:is>
      </ns0:c>
      <ns0:c r="C717" s="19" t="inlineStr"/>
      <ns0:c r="D717" s="19" t="inlineStr">
        <ns0:is>
          <ns0:t>Not observed in assessed sources</ns0:t>
        </ns0:is>
      </ns0:c>
      <ns0:c r="E717" s="19" t="inlineStr">
        <ns0:is>
          <ns0:t>Questionnaire-derived labels and imbalance adjustments in a trait-screening dataset. Screening-rule labels are not independent clinical diagnoses.
Outcome labels were partly derived from screening-score rules; model agreement cannot be interpreted as externally validated clinical diagnostic accuracy.</ns0:t>
        </ns0:is>
      </ns0:c>
      <ns0:c r="F717" s="19" t="inlineStr">
        <ns0:is>
          <ns0:t>https://doi.org/10.1007/978-981-96-6960-8_26</ns0:t>
        </ns0:is>
      </ns0:c>
      <ns0:c r="G717" s="19" t="inlineStr">
        <ns0:is>
          <ns0:t>ChatGPT-assisted evidence recharting, 2026-09-08</ns0:t>
        </ns0:is>
      </ns0:c>
    </ns0:row>
    <ns0:row r="718" ht="57" customHeight="1">
      <ns0:c r="A718" s="21" t="inlineStr">
        <ns0:is>
          <ns0:t>129</ns0:t>
        </ns0:is>
      </ns0:c>
      <ns0:c r="B718" s="21" t="inlineStr">
        <ns0:is>
          <ns0:t>multisource_data</ns0:t>
        </ns0:is>
      </ns0:c>
      <ns0:c r="C718" s="21" t="inlineStr">
        <ns0:is>
          <ns0:t>Reported</ns0:t>
        </ns0:is>
      </ns0:c>
      <ns0:c r="D718" s="21" t="inlineStr">
        <ns0:is>
          <ns0:t>Not reported in assessed sources</ns0:t>
        </ns0:is>
      </ns0:c>
      <ns0:c r="E718" s="21" t="inlineStr">
        <ns0:is>
          <ns0:t>Questionnaire-derived labels and imbalance adjustments in a trait-screening dataset. Screening-rule labels are not independent clinical diagnoses.
Outcome labels were partly derived from screening-score rules; model agreement cannot be interpreted as externally validated clinical diagnostic accuracy.</ns0:t>
        </ns0:is>
      </ns0:c>
      <ns0:c r="F718" s="21" t="inlineStr">
        <ns0:is>
          <ns0:t>https://doi.org/10.1007/978-981-96-6960-8_26</ns0:t>
        </ns0:is>
      </ns0:c>
      <ns0:c r="G718" s="21" t="inlineStr">
        <ns0:is>
          <ns0:t>ChatGPT-assisted evidence recharting, 2026-09-08</ns0:t>
        </ns0:is>
      </ns0:c>
    </ns0:row>
    <ns0:row r="719" ht="42" customHeight="1">
      <ns0:c r="A719" s="19" t="inlineStr">
        <ns0:is>
          <ns0:t>130</ns0:t>
        </ns0:is>
      </ns0:c>
      <ns0:c r="B719" s="19" t="inlineStr">
        <ns0:is>
          <ns0:t>stage_primary</ns0:t>
        </ns0:is>
      </ns0:c>
      <ns0:c r="C719" s="19" t="inlineStr">
        <ns0:is>
          <ns0:t>Diagnosis</ns0:t>
        </ns0:is>
      </ns0:c>
      <ns0:c r="D719" s="19" t="inlineStr">
        <ns0:is>
          <ns0:t>Not specified</ns0:t>
        </ns0:is>
      </ns0:c>
      <ns0:c r="E719" s="19" t="inlineStr">
        <ns0:is>
          <ns0:t>Sex/age developmental phenotyping using standardized assessments and eye tracking. Longitudinal data collection alone is not an evaluated prognostic or monitoring AI system.</ns0:t>
        </ns0:is>
      </ns0:c>
      <ns0:c r="F719" s="19" t="inlineStr">
        <ns0:is>
          <ns0:t>https://doi.org/10.1038/s41562-025-02132-6</ns0:t>
        </ns0:is>
      </ns0:c>
      <ns0:c r="G719" s="19" t="inlineStr">
        <ns0:is>
          <ns0:t>ChatGPT-assisted evidence recharting, 2026-09-08</ns0:t>
        </ns0:is>
      </ns0:c>
    </ns0:row>
    <ns0:row r="720" ht="42" customHeight="1">
      <ns0:c r="A720" s="21" t="inlineStr">
        <ns0:is>
          <ns0:t>130</ns0:t>
        </ns0:is>
      </ns0:c>
      <ns0:c r="B720" s="21" t="inlineStr">
        <ns0:is>
          <ns0:t>ai_type</ns0:t>
        </ns0:is>
      </ns0:c>
      <ns0:c r="C720" s="21" t="inlineStr">
        <ns0:is>
          <ns0:t>Deep Learning</ns0:t>
        </ns0:is>
      </ns0:c>
      <ns0:c r="D720" s="21" t="inlineStr">
        <ns0:is>
          <ns0:t>Machine Learning</ns0:t>
        </ns0:is>
      </ns0:c>
      <ns0:c r="E720" s="21" t="inlineStr">
        <ns0:is>
          <ns0:t>Sex/age developmental phenotyping using standardized assessments and eye tracking. Longitudinal data collection alone is not an evaluated prognostic or monitoring AI system.</ns0:t>
        </ns0:is>
      </ns0:c>
      <ns0:c r="F720" s="21" t="inlineStr">
        <ns0:is>
          <ns0:t>https://doi.org/10.1038/s41562-025-02132-6</ns0:t>
        </ns0:is>
      </ns0:c>
      <ns0:c r="G720" s="21" t="inlineStr">
        <ns0:is>
          <ns0:t>ChatGPT-assisted evidence recharting, 2026-09-08</ns0:t>
        </ns0:is>
      </ns0:c>
    </ns0:row>
    <ns0:row r="721" ht="42" customHeight="1">
      <ns0:c r="A721" s="19" t="inlineStr">
        <ns0:is>
          <ns0:t>130</ns0:t>
        </ns0:is>
      </ns0:c>
      <ns0:c r="B721" s="19" t="inlineStr">
        <ns0:is>
          <ns0:t>data_source_primary</ns0:t>
        </ns0:is>
      </ns0:c>
      <ns0:c r="C721" s="19" t="inlineStr">
        <ns0:is>
          <ns0:t>Text / NLP (legacy; verify input type)</ns0:t>
        </ns0:is>
      </ns0:c>
      <ns0:c r="D721" s="19" t="inlineStr">
        <ns0:is>
          <ns0:t>Multiple source categories</ns0:t>
        </ns0:is>
      </ns0:c>
      <ns0:c r="E721" s="19" t="inlineStr">
        <ns0:is>
          <ns0:t>Sex/age developmental phenotyping using standardized assessments and eye tracking. Longitudinal data collection alone is not an evaluated prognostic or monitoring AI system.</ns0:t>
        </ns0:is>
      </ns0:c>
      <ns0:c r="F721" s="19" t="inlineStr">
        <ns0:is>
          <ns0:t>https://doi.org/10.1038/s41562-025-02132-6</ns0:t>
        </ns0:is>
      </ns0:c>
      <ns0:c r="G721" s="19" t="inlineStr">
        <ns0:is>
          <ns0:t>ChatGPT-assisted evidence recharting, 2026-09-08</ns0:t>
        </ns0:is>
      </ns0:c>
    </ns0:row>
    <ns0:row r="722" ht="42" customHeight="1">
      <ns0:c r="A722" s="21" t="inlineStr">
        <ns0:is>
          <ns0:t>130</ns0:t>
        </ns0:is>
      </ns0:c>
      <ns0:c r="B722" s="21" t="inlineStr">
        <ns0:is>
          <ns0:t>algorithm_main</ns0:t>
        </ns0:is>
      </ns0:c>
      <ns0:c r="C722" s="21" t="inlineStr">
        <ns0:is>
          <ns0:t>Clustering (k-means / GMM / ...)</ns0:t>
        </ns0:is>
      </ns0:c>
      <ns0:c r="D722" s="21" t="inlineStr">
        <ns0:is>
          <ns0:t>Clustering and statistical analyses</ns0:t>
        </ns0:is>
      </ns0:c>
      <ns0:c r="E722" s="21" t="inlineStr">
        <ns0:is>
          <ns0:t>Sex/age developmental phenotyping using standardized assessments and eye tracking. Longitudinal data collection alone is not an evaluated prognostic or monitoring AI system.</ns0:t>
        </ns0:is>
      </ns0:c>
      <ns0:c r="F722" s="21" t="inlineStr">
        <ns0:is>
          <ns0:t>https://doi.org/10.1038/s41562-025-02132-6</ns0:t>
        </ns0:is>
      </ns0:c>
      <ns0:c r="G722" s="21" t="inlineStr">
        <ns0:is>
          <ns0:t>ChatGPT-assisted evidence recharting, 2026-09-08</ns0:t>
        </ns0:is>
      </ns0:c>
    </ns0:row>
    <ns0:row r="723" ht="42" customHeight="1">
      <ns0:c r="A723" s="19" t="inlineStr">
        <ns0:is>
          <ns0:t>130</ns0:t>
        </ns0:is>
      </ns0:c>
      <ns0:c r="B723" s="19" t="inlineStr">
        <ns0:is>
          <ns0:t>rq2_status</ns0:t>
        </ns0:is>
      </ns0:c>
      <ns0:c r="C723" s="19" t="inlineStr">
        <ns0:is>
          <ns0:t>Not adjudicated in master</ns0:t>
        </ns0:is>
      </ns0:c>
      <ns0:c r="D723" s="19" t="inlineStr">
        <ns0:is>
          <ns0:t>Research only</ns0:t>
        </ns0:is>
      </ns0:c>
      <ns0:c r="E723" s="19" t="inlineStr">
        <ns0:is>
          <ns0:t>Sex/age developmental phenotyping using standardized assessments and eye tracking. Longitudinal data collection alone is not an evaluated prognostic or monitoring AI system.</ns0:t>
        </ns0:is>
      </ns0:c>
      <ns0:c r="F723" s="19" t="inlineStr">
        <ns0:is>
          <ns0:t>https://doi.org/10.1038/s41562-025-02132-6</ns0:t>
        </ns0:is>
      </ns0:c>
      <ns0:c r="G723" s="19" t="inlineStr">
        <ns0:is>
          <ns0:t>ChatGPT-assisted evidence recharting, 2026-09-08</ns0:t>
        </ns0:is>
      </ns0:c>
    </ns0:row>
    <ns0:row r="724" ht="42" customHeight="1">
      <ns0:c r="A724" s="21" t="inlineStr">
        <ns0:is>
          <ns0:t>130</ns0:t>
        </ns0:is>
      </ns0:c>
      <ns0:c r="B724" s="21" t="inlineStr">
        <ns0:is>
          <ns0:t>rq2_role</ns0:t>
        </ns0:is>
      </ns0:c>
      <ns0:c r="C724" s="21" t="inlineStr"/>
      <ns0:c r="D724" s="21" t="inlineStr">
        <ns0:is>
          <ns0:t>Research characterization</ns0:t>
        </ns0:is>
      </ns0:c>
      <ns0:c r="E724" s="21" t="inlineStr">
        <ns0:is>
          <ns0:t>Sex/age developmental phenotyping using standardized assessments and eye tracking. Longitudinal data collection alone is not an evaluated prognostic or monitoring AI system.</ns0:t>
        </ns0:is>
      </ns0:c>
      <ns0:c r="F724" s="21" t="inlineStr">
        <ns0:is>
          <ns0:t>https://doi.org/10.1038/s41562-025-02132-6</ns0:t>
        </ns0:is>
      </ns0:c>
      <ns0:c r="G724" s="21" t="inlineStr">
        <ns0:is>
          <ns0:t>ChatGPT-assisted evidence recharting, 2026-09-08</ns0:t>
        </ns0:is>
      </ns0:c>
    </ns0:row>
    <ns0:row r="725" ht="42" customHeight="1">
      <ns0:c r="A725" s="19" t="inlineStr">
        <ns0:is>
          <ns0:t>130</ns0:t>
        </ns0:is>
      </ns0:c>
      <ns0:c r="B725" s="19" t="inlineStr">
        <ns0:is>
          <ns0:t>decision_timing</ns0:t>
        </ns0:is>
      </ns0:c>
      <ns0:c r="C725" s="19" t="inlineStr"/>
      <ns0:c r="D725" s="19" t="inlineStr">
        <ns0:is>
          <ns0:t>Not observed in assessed sources</ns0:t>
        </ns0:is>
      </ns0:c>
      <ns0:c r="E725" s="19" t="inlineStr">
        <ns0:is>
          <ns0:t>Sex/age developmental phenotyping using standardized assessments and eye tracking. Longitudinal data collection alone is not an evaluated prognostic or monitoring AI system.</ns0:t>
        </ns0:is>
      </ns0:c>
      <ns0:c r="F725" s="19" t="inlineStr">
        <ns0:is>
          <ns0:t>https://doi.org/10.1038/s41562-025-02132-6</ns0:t>
        </ns0:is>
      </ns0:c>
      <ns0:c r="G725" s="19" t="inlineStr">
        <ns0:is>
          <ns0:t>ChatGPT-assisted evidence recharting, 2026-09-08</ns0:t>
        </ns0:is>
      </ns0:c>
    </ns0:row>
    <ns0:row r="726" ht="42" customHeight="1">
      <ns0:c r="A726" s="21" t="inlineStr">
        <ns0:is>
          <ns0:t>131</ns0:t>
        </ns0:is>
      </ns0:c>
      <ns0:c r="B726" s="21" t="inlineStr">
        <ns0:is>
          <ns0:t>data_source_primary</ns0:t>
        </ns0:is>
      </ns0:c>
      <ns0:c r="C726" s="21" t="inlineStr">
        <ns0:is>
          <ns0:t>Text / NLP (legacy; verify input type)</ns0:t>
        </ns0:is>
      </ns0:c>
      <ns0:c r="D726" s="21" t="inlineStr">
        <ns0:is>
          <ns0:t>Text/language</ns0:t>
        </ns0:is>
      </ns0:c>
      <ns0:c r="E726" s="21" t="inlineStr">
        <ns0:is>
          <ns0:t>Clinical experts label risk from parental online concerns; multiple annotated categories from the same text do not establish multiple data sources.</ns0:t>
        </ns0:is>
      </ns0:c>
      <ns0:c r="F726" s="21" t="inlineStr">
        <ns0:is>
          <ns0:t>https://doi.org/10.2196/jmir.5439</ns0:t>
        </ns0:is>
      </ns0:c>
      <ns0:c r="G726" s="21" t="inlineStr">
        <ns0:is>
          <ns0:t>ChatGPT-assisted evidence recharting, 2026-09-08</ns0:t>
        </ns0:is>
      </ns0:c>
    </ns0:row>
    <ns0:row r="727" ht="42" customHeight="1">
      <ns0:c r="A727" s="19" t="inlineStr">
        <ns0:is>
          <ns0:t>131</ns0:t>
        </ns0:is>
      </ns0:c>
      <ns0:c r="B727" s="19" t="inlineStr">
        <ns0:is>
          <ns0:t>algorithm_main</ns0:t>
        </ns0:is>
      </ns0:c>
      <ns0:c r="C727" s="19" t="inlineStr">
        <ns0:is>
          <ns0:t>Decision Tree</ns0:t>
        </ns0:is>
      </ns0:c>
      <ns0:c r="D727" s="19" t="inlineStr">
        <ns0:is>
          <ns0:t>Decision tree</ns0:t>
        </ns0:is>
      </ns0:c>
      <ns0:c r="E727" s="19" t="inlineStr">
        <ns0:is>
          <ns0:t>Clinical experts label risk from parental online concerns; multiple annotated categories from the same text do not establish multiple data sources.</ns0:t>
        </ns0:is>
      </ns0:c>
      <ns0:c r="F727" s="19" t="inlineStr">
        <ns0:is>
          <ns0:t>https://doi.org/10.2196/jmir.5439</ns0:t>
        </ns0:is>
      </ns0:c>
      <ns0:c r="G727" s="19" t="inlineStr">
        <ns0:is>
          <ns0:t>ChatGPT-assisted evidence recharting, 2026-09-08</ns0:t>
        </ns0:is>
      </ns0:c>
    </ns0:row>
    <ns0:row r="728" ht="42" customHeight="1">
      <ns0:c r="A728" s="21" t="inlineStr">
        <ns0:is>
          <ns0:t>131</ns0:t>
        </ns0:is>
      </ns0:c>
      <ns0:c r="B728" s="21" t="inlineStr">
        <ns0:is>
          <ns0:t>rq2_status</ns0:t>
        </ns0:is>
      </ns0:c>
      <ns0:c r="C728" s="21" t="inlineStr">
        <ns0:is>
          <ns0:t>Not adjudicated in master</ns0:t>
        </ns0:is>
      </ns0:c>
      <ns0:c r="D728" s="21" t="inlineStr">
        <ns0:is>
          <ns0:t>Research only</ns0:t>
        </ns0:is>
      </ns0:c>
      <ns0:c r="E728" s="21" t="inlineStr">
        <ns0:is>
          <ns0:t>Clinical experts label risk from parental online concerns; multiple annotated categories from the same text do not establish multiple data sources.</ns0:t>
        </ns0:is>
      </ns0:c>
      <ns0:c r="F728" s="21" t="inlineStr">
        <ns0:is>
          <ns0:t>https://doi.org/10.2196/jmir.5439</ns0:t>
        </ns0:is>
      </ns0:c>
      <ns0:c r="G728" s="21" t="inlineStr">
        <ns0:is>
          <ns0:t>ChatGPT-assisted evidence recharting, 2026-09-08</ns0:t>
        </ns0:is>
      </ns0:c>
    </ns0:row>
    <ns0:row r="729" ht="42" customHeight="1">
      <ns0:c r="A729" s="19" t="inlineStr">
        <ns0:is>
          <ns0:t>131</ns0:t>
        </ns0:is>
      </ns0:c>
      <ns0:c r="B729" s="19" t="inlineStr">
        <ns0:is>
          <ns0:t>rq2_role</ns0:t>
        </ns0:is>
      </ns0:c>
      <ns0:c r="C729" s="19" t="inlineStr"/>
      <ns0:c r="D729" s="19" t="inlineStr">
        <ns0:is>
          <ns0:t>Risk/trajectory estimation</ns0:t>
        </ns0:is>
      </ns0:c>
      <ns0:c r="E729" s="19" t="inlineStr">
        <ns0:is>
          <ns0:t>Clinical experts label risk from parental online concerns; multiple annotated categories from the same text do not establish multiple data sources.</ns0:t>
        </ns0:is>
      </ns0:c>
      <ns0:c r="F729" s="19" t="inlineStr">
        <ns0:is>
          <ns0:t>https://doi.org/10.2196/jmir.5439</ns0:t>
        </ns0:is>
      </ns0:c>
      <ns0:c r="G729" s="19" t="inlineStr">
        <ns0:is>
          <ns0:t>ChatGPT-assisted evidence recharting, 2026-09-08</ns0:t>
        </ns0:is>
      </ns0:c>
    </ns0:row>
    <ns0:row r="730" ht="42" customHeight="1">
      <ns0:c r="A730" s="21" t="inlineStr">
        <ns0:is>
          <ns0:t>131</ns0:t>
        </ns0:is>
      </ns0:c>
      <ns0:c r="B730" s="21" t="inlineStr">
        <ns0:is>
          <ns0:t>decision_timing</ns0:t>
        </ns0:is>
      </ns0:c>
      <ns0:c r="C730" s="21" t="inlineStr"/>
      <ns0:c r="D730" s="21" t="inlineStr">
        <ns0:is>
          <ns0:t>Not observed in assessed sources</ns0:t>
        </ns0:is>
      </ns0:c>
      <ns0:c r="E730" s="21" t="inlineStr">
        <ns0:is>
          <ns0:t>Clinical experts label risk from parental online concerns; multiple annotated categories from the same text do not establish multiple data sources.</ns0:t>
        </ns0:is>
      </ns0:c>
      <ns0:c r="F730" s="21" t="inlineStr">
        <ns0:is>
          <ns0:t>https://doi.org/10.2196/jmir.5439</ns0:t>
        </ns0:is>
      </ns0:c>
      <ns0:c r="G730" s="21" t="inlineStr">
        <ns0:is>
          <ns0:t>ChatGPT-assisted evidence recharting, 2026-09-08</ns0:t>
        </ns0:is>
      </ns0:c>
    </ns0:row>
    <ns0:row r="731" ht="42" customHeight="1">
      <ns0:c r="A731" s="19" t="inlineStr">
        <ns0:is>
          <ns0:t>131</ns0:t>
        </ns0:is>
      </ns0:c>
      <ns0:c r="B731" s="19" t="inlineStr">
        <ns0:is>
          <ns0:t>multisource_data</ns0:t>
        </ns0:is>
      </ns0:c>
      <ns0:c r="C731" s="19" t="inlineStr">
        <ns0:is>
          <ns0:t>Reported</ns0:t>
        </ns0:is>
      </ns0:c>
      <ns0:c r="D731" s="19" t="inlineStr">
        <ns0:is>
          <ns0:t>Not reported in assessed sources</ns0:t>
        </ns0:is>
      </ns0:c>
      <ns0:c r="E731" s="19" t="inlineStr">
        <ns0:is>
          <ns0:t>Clinical experts label risk from parental online concerns; multiple annotated categories from the same text do not establish multiple data sources.</ns0:t>
        </ns0:is>
      </ns0:c>
      <ns0:c r="F731" s="19" t="inlineStr">
        <ns0:is>
          <ns0:t>https://doi.org/10.2196/jmir.5439</ns0:t>
        </ns0:is>
      </ns0:c>
      <ns0:c r="G731" s="19" t="inlineStr">
        <ns0:is>
          <ns0:t>ChatGPT-assisted evidence recharting, 2026-09-08</ns0:t>
        </ns0:is>
      </ns0:c>
    </ns0:row>
    <ns0:row r="732" ht="42" customHeight="1">
      <ns0:c r="A732" s="21" t="inlineStr">
        <ns0:is>
          <ns0:t>132</ns0:t>
        </ns0:is>
      </ns0:c>
      <ns0:c r="B732" s="21" t="inlineStr">
        <ns0:is>
          <ns0:t>data_source_primary</ns0:t>
        </ns0:is>
      </ns0:c>
      <ns0:c r="C732" s="21" t="inlineStr">
        <ns0:is>
          <ns0:t>Text / NLP (legacy; verify input type)</ns0:t>
        </ns0:is>
      </ns0:c>
      <ns0:c r="D732" s="21" t="inlineStr">
        <ns0:is>
          <ns0:t>Structured clinical/questionnaire data</ns0:t>
        </ns0:is>
      </ns0:c>
      <ns0:c r="E732" s="21" t="inlineStr">
        <ns0:is>
          <ns0:t>Structured ADI-R and SRS codes with explicitly evaluated multi-instrument fusion; not natural-language text input or external validation.</ns0:t>
        </ns0:is>
      </ns0:c>
      <ns0:c r="F732" s="21" t="inlineStr">
        <ns0:is>
          <ns0:t>https://doi.org/10.1111/jcpp.12559</ns0:t>
        </ns0:is>
      </ns0:c>
      <ns0:c r="G732" s="21" t="inlineStr">
        <ns0:is>
          <ns0:t>ChatGPT-assisted evidence recharting, 2026-09-08</ns0:t>
        </ns0:is>
      </ns0:c>
    </ns0:row>
    <ns0:row r="733" ht="42" customHeight="1">
      <ns0:c r="A733" s="19" t="inlineStr">
        <ns0:is>
          <ns0:t>132</ns0:t>
        </ns0:is>
      </ns0:c>
      <ns0:c r="B733" s="19" t="inlineStr">
        <ns0:is>
          <ns0:t>rq2_status</ns0:t>
        </ns0:is>
      </ns0:c>
      <ns0:c r="C733" s="19" t="inlineStr">
        <ns0:is>
          <ns0:t>Not adjudicated in master</ns0:t>
        </ns0:is>
      </ns0:c>
      <ns0:c r="D733" s="19" t="inlineStr">
        <ns0:is>
          <ns0:t>Proposed only</ns0:t>
        </ns0:is>
      </ns0:c>
      <ns0:c r="E733" s="19" t="inlineStr">
        <ns0:is>
          <ns0:t>Structured ADI-R and SRS codes with explicitly evaluated multi-instrument fusion; not natural-language text input or external validation.</ns0:t>
        </ns0:is>
      </ns0:c>
      <ns0:c r="F733" s="19" t="inlineStr">
        <ns0:is>
          <ns0:t>https://doi.org/10.1111/jcpp.12559</ns0:t>
        </ns0:is>
      </ns0:c>
      <ns0:c r="G733" s="19" t="inlineStr">
        <ns0:is>
          <ns0:t>ChatGPT-assisted evidence recharting, 2026-09-08</ns0:t>
        </ns0:is>
      </ns0:c>
    </ns0:row>
    <ns0:row r="734" ht="42" customHeight="1">
      <ns0:c r="A734" s="21" t="inlineStr">
        <ns0:is>
          <ns0:t>132</ns0:t>
        </ns0:is>
      </ns0:c>
      <ns0:c r="B734" s="21" t="inlineStr">
        <ns0:is>
          <ns0:t>rq2_role</ns0:t>
        </ns0:is>
      </ns0:c>
      <ns0:c r="C734" s="21" t="inlineStr"/>
      <ns0:c r="D734" s="21" t="inlineStr">
        <ns0:is>
          <ns0:t>Triage/questionnaire assessment</ns0:t>
        </ns0:is>
      </ns0:c>
      <ns0:c r="E734" s="21" t="inlineStr">
        <ns0:is>
          <ns0:t>Structured ADI-R and SRS codes with explicitly evaluated multi-instrument fusion; not natural-language text input or external validation.</ns0:t>
        </ns0:is>
      </ns0:c>
      <ns0:c r="F734" s="21" t="inlineStr">
        <ns0:is>
          <ns0:t>https://doi.org/10.1111/jcpp.12559</ns0:t>
        </ns0:is>
      </ns0:c>
      <ns0:c r="G734" s="21" t="inlineStr">
        <ns0:is>
          <ns0:t>ChatGPT-assisted evidence recharting, 2026-09-08</ns0:t>
        </ns0:is>
      </ns0:c>
    </ns0:row>
    <ns0:row r="735" ht="42" customHeight="1">
      <ns0:c r="A735" s="19" t="inlineStr">
        <ns0:is>
          <ns0:t>132</ns0:t>
        </ns0:is>
      </ns0:c>
      <ns0:c r="B735" s="19" t="inlineStr">
        <ns0:is>
          <ns0:t>decision_timing</ns0:t>
        </ns0:is>
      </ns0:c>
      <ns0:c r="C735" s="19" t="inlineStr"/>
      <ns0:c r="D735" s="19" t="inlineStr">
        <ns0:is>
          <ns0:t>Pre-decision</ns0:t>
        </ns0:is>
      </ns0:c>
      <ns0:c r="E735" s="19" t="inlineStr">
        <ns0:is>
          <ns0:t>Structured ADI-R and SRS codes with explicitly evaluated multi-instrument fusion; not natural-language text input or external validation.</ns0:t>
        </ns0:is>
      </ns0:c>
      <ns0:c r="F735" s="19" t="inlineStr">
        <ns0:is>
          <ns0:t>https://doi.org/10.1111/jcpp.12559</ns0:t>
        </ns0:is>
      </ns0:c>
      <ns0:c r="G735" s="19" t="inlineStr">
        <ns0:is>
          <ns0:t>ChatGPT-assisted evidence recharting, 2026-09-08</ns0:t>
        </ns0:is>
      </ns0:c>
    </ns0:row>
    <ns0:row r="736" ht="42" customHeight="1">
      <ns0:c r="A736" s="21" t="inlineStr">
        <ns0:is>
          <ns0:t>133</ns0:t>
        </ns0:is>
      </ns0:c>
      <ns0:c r="B736" s="21" t="inlineStr">
        <ns0:is>
          <ns0:t>data_source_primary</ns0:t>
        </ns0:is>
      </ns0:c>
      <ns0:c r="C736" s="21" t="inlineStr">
        <ns0:is>
          <ns0:t>Not specified</ns0:t>
        </ns0:is>
      </ns0:c>
      <ns0:c r="D736" s="21" t="inlineStr">
        <ns0:is>
          <ns0:t>Structured clinical/questionnaire data</ns0:t>
        </ns0:is>
      </ns0:c>
      <ns0:c r="E736" s="21" t="inlineStr">
        <ns0:is>
          <ns0:t>ADOS and ADI-R items jointly support differential ASD/ADHD diagnostic classification; scale scores are structured records.</ns0:t>
        </ns0:is>
      </ns0:c>
      <ns0:c r="F736" s="21" t="inlineStr">
        <ns0:is>
          <ns0:t>https://doi.org/10.1038/s41598-022-21719-x</ns0:t>
        </ns0:is>
      </ns0:c>
      <ns0:c r="G736" s="21" t="inlineStr">
        <ns0:is>
          <ns0:t>ChatGPT-assisted evidence recharting, 2026-09-08</ns0:t>
        </ns0:is>
      </ns0:c>
    </ns0:row>
    <ns0:row r="737" ht="42" customHeight="1">
      <ns0:c r="A737" s="19" t="inlineStr">
        <ns0:is>
          <ns0:t>133</ns0:t>
        </ns0:is>
      </ns0:c>
      <ns0:c r="B737" s="19" t="inlineStr">
        <ns0:is>
          <ns0:t>rq2_status</ns0:t>
        </ns0:is>
      </ns0:c>
      <ns0:c r="C737" s="19" t="inlineStr">
        <ns0:is>
          <ns0:t>Not adjudicated in master</ns0:t>
        </ns0:is>
      </ns0:c>
      <ns0:c r="D737" s="19" t="inlineStr">
        <ns0:is>
          <ns0:t>Proposed only</ns0:t>
        </ns0:is>
      </ns0:c>
      <ns0:c r="E737" s="19" t="inlineStr">
        <ns0:is>
          <ns0:t>ADOS and ADI-R items jointly support differential ASD/ADHD diagnostic classification; scale scores are structured records.</ns0:t>
        </ns0:is>
      </ns0:c>
      <ns0:c r="F737" s="19" t="inlineStr">
        <ns0:is>
          <ns0:t>https://doi.org/10.1038/s41598-022-21719-x</ns0:t>
        </ns0:is>
      </ns0:c>
      <ns0:c r="G737" s="19" t="inlineStr">
        <ns0:is>
          <ns0:t>ChatGPT-assisted evidence recharting, 2026-09-08</ns0:t>
        </ns0:is>
      </ns0:c>
    </ns0:row>
    <ns0:row r="738" ht="42" customHeight="1">
      <ns0:c r="A738" s="21" t="inlineStr">
        <ns0:is>
          <ns0:t>133</ns0:t>
        </ns0:is>
      </ns0:c>
      <ns0:c r="B738" s="21" t="inlineStr">
        <ns0:is>
          <ns0:t>rq2_role</ns0:t>
        </ns0:is>
      </ns0:c>
      <ns0:c r="C738" s="21" t="inlineStr"/>
      <ns0:c r="D738" s="21" t="inlineStr">
        <ns0:is>
          <ns0:t>Diagnostic decision support</ns0:t>
        </ns0:is>
      </ns0:c>
      <ns0:c r="E738" s="21" t="inlineStr">
        <ns0:is>
          <ns0:t>ADOS and ADI-R items jointly support differential ASD/ADHD diagnostic classification; scale scores are structured records.</ns0:t>
        </ns0:is>
      </ns0:c>
      <ns0:c r="F738" s="21" t="inlineStr">
        <ns0:is>
          <ns0:t>https://doi.org/10.1038/s41598-022-21719-x</ns0:t>
        </ns0:is>
      </ns0:c>
      <ns0:c r="G738" s="21" t="inlineStr">
        <ns0:is>
          <ns0:t>ChatGPT-assisted evidence recharting, 2026-09-08</ns0:t>
        </ns0:is>
      </ns0:c>
    </ns0:row>
    <ns0:row r="739" ht="42" customHeight="1">
      <ns0:c r="A739" s="19" t="inlineStr">
        <ns0:is>
          <ns0:t>133</ns0:t>
        </ns0:is>
      </ns0:c>
      <ns0:c r="B739" s="19" t="inlineStr">
        <ns0:is>
          <ns0:t>decision_timing</ns0:t>
        </ns0:is>
      </ns0:c>
      <ns0:c r="C739" s="19" t="inlineStr"/>
      <ns0:c r="D739" s="19" t="inlineStr">
        <ns0:is>
          <ns0:t>In-decision</ns0:t>
        </ns0:is>
      </ns0:c>
      <ns0:c r="E739" s="19" t="inlineStr">
        <ns0:is>
          <ns0:t>ADOS and ADI-R items jointly support differential ASD/ADHD diagnostic classification; scale scores are structured records.</ns0:t>
        </ns0:is>
      </ns0:c>
      <ns0:c r="F739" s="19" t="inlineStr">
        <ns0:is>
          <ns0:t>https://doi.org/10.1038/s41598-022-21719-x</ns0:t>
        </ns0:is>
      </ns0:c>
      <ns0:c r="G739" s="19" t="inlineStr">
        <ns0:is>
          <ns0:t>ChatGPT-assisted evidence recharting, 2026-09-08</ns0:t>
        </ns0:is>
      </ns0:c>
    </ns0:row>
    <ns0:row r="740" ht="42" customHeight="1">
      <ns0:c r="A740" s="21" t="inlineStr">
        <ns0:is>
          <ns0:t>133</ns0:t>
        </ns0:is>
      </ns0:c>
      <ns0:c r="B740" s="21" t="inlineStr">
        <ns0:is>
          <ns0:t>multisource_data</ns0:t>
        </ns0:is>
      </ns0:c>
      <ns0:c r="C740" s="21" t="inlineStr">
        <ns0:is>
          <ns0:t>Not reported in assessed sources</ns0:t>
        </ns0:is>
      </ns0:c>
      <ns0:c r="D740" s="21" t="inlineStr">
        <ns0:is>
          <ns0:t>Reported</ns0:t>
        </ns0:is>
      </ns0:c>
      <ns0:c r="E740" s="21" t="inlineStr">
        <ns0:is>
          <ns0:t>ADOS and ADI-R items jointly support differential ASD/ADHD diagnostic classification; scale scores are structured records.</ns0:t>
        </ns0:is>
      </ns0:c>
      <ns0:c r="F740" s="21" t="inlineStr">
        <ns0:is>
          <ns0:t>https://doi.org/10.1038/s41598-022-21719-x</ns0:t>
        </ns0:is>
      </ns0:c>
      <ns0:c r="G740" s="21" t="inlineStr">
        <ns0:is>
          <ns0:t>ChatGPT-assisted evidence recharting, 2026-09-08</ns0:t>
        </ns0:is>
      </ns0:c>
    </ns0:row>
    <ns0:row r="741" ht="42" customHeight="1">
      <ns0:c r="A741" s="19" t="inlineStr">
        <ns0:is>
          <ns0:t>134</ns0:t>
        </ns0:is>
      </ns0:c>
      <ns0:c r="B741" s="19" t="inlineStr">
        <ns0:is>
          <ns0:t>eligibility</ns0:t>
        </ns0:is>
      </ns0:c>
      <ns0:c r="C741" s="19" t="inlineStr">
        <ns0:is>
          <ns0:t>Include</ns0:t>
        </ns0:is>
      </ns0:c>
      <ns0:c r="D741" s="19" t="inlineStr">
        <ns0:is>
          <ns0:t>Exclude</ns0:t>
        </ns0:is>
      </ns0:c>
      <ns0:c r="E741" s="19" t="inlineStr">
        <ns0:is>
          <ns0:t>Standalone edited-book chapter, explicitly described as a chapter; not an eligible identified conference proceeding or journal article.</ns0:t>
        </ns0:is>
      </ns0:c>
      <ns0:c r="F741" s="19" t="inlineStr">
        <ns0:is>
          <ns0:t>https://doi.org/10.1016/b978-0-12-822822-7.00011-9</ns0:t>
        </ns0:is>
      </ns0:c>
      <ns0:c r="G741" s="19" t="inlineStr">
        <ns0:is>
          <ns0:t>ChatGPT-assisted evidence recharting, 2026-09-08</ns0:t>
        </ns0:is>
      </ns0:c>
    </ns0:row>
    <ns0:row r="742" ht="42" customHeight="1">
      <ns0:c r="A742" s="21" t="inlineStr">
        <ns0:is>
          <ns0:t>134</ns0:t>
        </ns0:is>
      </ns0:c>
      <ns0:c r="B742" s="21" t="inlineStr">
        <ns0:is>
          <ns0:t>stage_primary</ns0:t>
        </ns0:is>
      </ns0:c>
      <ns0:c r="C742" s="21" t="inlineStr">
        <ns0:is>
          <ns0:t>Screening</ns0:t>
        </ns0:is>
      </ns0:c>
      <ns0:c r="D742" s="21" t="inlineStr">
        <ns0:is>
          <ns0:t>Excluded</ns0:t>
        </ns0:is>
      </ns0:c>
      <ns0:c r="E742" s="21" t="inlineStr">
        <ns0:is>
          <ns0:t>Standalone edited-book chapter, explicitly described as a chapter; not an eligible identified conference proceeding or journal article.</ns0:t>
        </ns0:is>
      </ns0:c>
      <ns0:c r="F742" s="21" t="inlineStr">
        <ns0:is>
          <ns0:t>https://doi.org/10.1016/b978-0-12-822822-7.00011-9</ns0:t>
        </ns0:is>
      </ns0:c>
      <ns0:c r="G742" s="21" t="inlineStr">
        <ns0:is>
          <ns0:t>ChatGPT-assisted evidence recharting, 2026-09-08</ns0:t>
        </ns0:is>
      </ns0:c>
    </ns0:row>
    <ns0:row r="743" ht="42" customHeight="1">
      <ns0:c r="A743" s="19" t="inlineStr">
        <ns0:is>
          <ns0:t>134</ns0:t>
        </ns0:is>
      </ns0:c>
      <ns0:c r="B743" s="19" t="inlineStr">
        <ns0:is>
          <ns0:t>ai_type</ns0:t>
        </ns0:is>
      </ns0:c>
      <ns0:c r="C743" s="19" t="inlineStr">
        <ns0:is>
          <ns0:t>Deep Learning</ns0:t>
        </ns0:is>
      </ns0:c>
      <ns0:c r="D743" s="19" t="inlineStr">
        <ns0:is>
          <ns0:t>Excluded</ns0:t>
        </ns0:is>
      </ns0:c>
      <ns0:c r="E743" s="19" t="inlineStr">
        <ns0:is>
          <ns0:t>Standalone edited-book chapter, explicitly described as a chapter; not an eligible identified conference proceeding or journal article.</ns0:t>
        </ns0:is>
      </ns0:c>
      <ns0:c r="F743" s="19" t="inlineStr">
        <ns0:is>
          <ns0:t>https://doi.org/10.1016/b978-0-12-822822-7.00011-9</ns0:t>
        </ns0:is>
      </ns0:c>
      <ns0:c r="G743" s="19" t="inlineStr">
        <ns0:is>
          <ns0:t>ChatGPT-assisted evidence recharting, 2026-09-08</ns0:t>
        </ns0:is>
      </ns0:c>
    </ns0:row>
    <ns0:row r="744" ht="42" customHeight="1">
      <ns0:c r="A744" s="21" t="inlineStr">
        <ns0:is>
          <ns0:t>134</ns0:t>
        </ns0:is>
      </ns0:c>
      <ns0:c r="B744" s="21" t="inlineStr">
        <ns0:is>
          <ns0:t>data_source_primary</ns0:t>
        </ns0:is>
      </ns0:c>
      <ns0:c r="C744" s="21" t="inlineStr">
        <ns0:is>
          <ns0:t>Not specified</ns0:t>
        </ns0:is>
      </ns0:c>
      <ns0:c r="D744" s="21" t="inlineStr">
        <ns0:is>
          <ns0:t>Excluded</ns0:t>
        </ns0:is>
      </ns0:c>
      <ns0:c r="E744" s="21" t="inlineStr">
        <ns0:is>
          <ns0:t>Standalone edited-book chapter, explicitly described as a chapter; not an eligible identified conference proceeding or journal article.</ns0:t>
        </ns0:is>
      </ns0:c>
      <ns0:c r="F744" s="21" t="inlineStr">
        <ns0:is>
          <ns0:t>https://doi.org/10.1016/b978-0-12-822822-7.00011-9</ns0:t>
        </ns0:is>
      </ns0:c>
      <ns0:c r="G744" s="21" t="inlineStr">
        <ns0:is>
          <ns0:t>ChatGPT-assisted evidence recharting, 2026-09-08</ns0:t>
        </ns0:is>
      </ns0:c>
    </ns0:row>
    <ns0:row r="745" ht="42" customHeight="1">
      <ns0:c r="A745" s="19" t="inlineStr">
        <ns0:is>
          <ns0:t>134</ns0:t>
        </ns0:is>
      </ns0:c>
      <ns0:c r="B745" s="19" t="inlineStr">
        <ns0:is>
          <ns0:t>rq2_status</ns0:t>
        </ns0:is>
      </ns0:c>
      <ns0:c r="C745" s="19" t="inlineStr">
        <ns0:is>
          <ns0:t>Not adjudicated in master</ns0:t>
        </ns0:is>
      </ns0:c>
      <ns0:c r="D745" s="19" t="inlineStr">
        <ns0:is>
          <ns0:t>Excluded</ns0:t>
        </ns0:is>
      </ns0:c>
      <ns0:c r="E745" s="19" t="inlineStr">
        <ns0:is>
          <ns0:t>Standalone edited-book chapter, explicitly described as a chapter; not an eligible identified conference proceeding or journal article.</ns0:t>
        </ns0:is>
      </ns0:c>
      <ns0:c r="F745" s="19" t="inlineStr">
        <ns0:is>
          <ns0:t>https://doi.org/10.1016/b978-0-12-822822-7.00011-9</ns0:t>
        </ns0:is>
      </ns0:c>
      <ns0:c r="G745" s="19" t="inlineStr">
        <ns0:is>
          <ns0:t>ChatGPT-assisted evidence recharting, 2026-09-08</ns0:t>
        </ns0:is>
      </ns0:c>
    </ns0:row>
    <ns0:row r="746" ht="42" customHeight="1">
      <ns0:c r="A746" s="21" t="inlineStr">
        <ns0:is>
          <ns0:t>134</ns0:t>
        </ns0:is>
      </ns0:c>
      <ns0:c r="B746" s="21" t="inlineStr">
        <ns0:is>
          <ns0:t>rq2_role</ns0:t>
        </ns0:is>
      </ns0:c>
      <ns0:c r="C746" s="21" t="inlineStr"/>
      <ns0:c r="D746" s="21" t="inlineStr">
        <ns0:is>
          <ns0:t>Excluded</ns0:t>
        </ns0:is>
      </ns0:c>
      <ns0:c r="E746" s="21" t="inlineStr">
        <ns0:is>
          <ns0:t>Standalone edited-book chapter, explicitly described as a chapter; not an eligible identified conference proceeding or journal article.</ns0:t>
        </ns0:is>
      </ns0:c>
      <ns0:c r="F746" s="21" t="inlineStr">
        <ns0:is>
          <ns0:t>https://doi.org/10.1016/b978-0-12-822822-7.00011-9</ns0:t>
        </ns0:is>
      </ns0:c>
      <ns0:c r="G746" s="21" t="inlineStr">
        <ns0:is>
          <ns0:t>ChatGPT-assisted evidence recharting, 2026-09-08</ns0:t>
        </ns0:is>
      </ns0:c>
    </ns0:row>
    <ns0:row r="747" ht="42" customHeight="1">
      <ns0:c r="A747" s="19" t="inlineStr">
        <ns0:is>
          <ns0:t>134</ns0:t>
        </ns0:is>
      </ns0:c>
      <ns0:c r="B747" s="19" t="inlineStr">
        <ns0:is>
          <ns0:t>decision_timing</ns0:t>
        </ns0:is>
      </ns0:c>
      <ns0:c r="C747" s="19" t="inlineStr"/>
      <ns0:c r="D747" s="19" t="inlineStr">
        <ns0:is>
          <ns0:t>Not applicable - excluded</ns0:t>
        </ns0:is>
      </ns0:c>
      <ns0:c r="E747" s="19" t="inlineStr">
        <ns0:is>
          <ns0:t>Standalone edited-book chapter, explicitly described as a chapter; not an eligible identified conference proceeding or journal article.</ns0:t>
        </ns0:is>
      </ns0:c>
      <ns0:c r="F747" s="19" t="inlineStr">
        <ns0:is>
          <ns0:t>https://doi.org/10.1016/b978-0-12-822822-7.00011-9</ns0:t>
        </ns0:is>
      </ns0:c>
      <ns0:c r="G747" s="19" t="inlineStr">
        <ns0:is>
          <ns0:t>ChatGPT-assisted evidence recharting, 2026-09-08</ns0:t>
        </ns0:is>
      </ns0:c>
    </ns0:row>
    <ns0:row r="748" ht="42" customHeight="1">
      <ns0:c r="A748" s="21" t="inlineStr">
        <ns0:is>
          <ns0:t>135</ns0:t>
        </ns0:is>
      </ns0:c>
      <ns0:c r="B748" s="21" t="inlineStr">
        <ns0:is>
          <ns0:t>data_source_primary</ns0:t>
        </ns0:is>
      </ns0:c>
      <ns0:c r="C748" s="21" t="inlineStr">
        <ns0:is>
          <ns0:t>Audio / voice</ns0:t>
        </ns0:is>
      </ns0:c>
      <ns0:c r="D748" s="21" t="inlineStr">
        <ns0:is>
          <ns0:t>Structured clinical/questionnaire data</ns0:t>
        </ns0:is>
      </ns0:c>
      <ns0:c r="E748" s="21" t="inlineStr">
        <ns0:is>
          <ns0:t>QCHAT/QCHAT-10 questionnaire data, not voice. Separate full and short instruments do not establish simultaneous fusion.</ns0:t>
        </ns0:is>
      </ns0:c>
      <ns0:c r="F748" s="21" t="inlineStr">
        <ns0:is>
          <ns0:t>https://doi.org/10.1007/s10803-021-05141-2</ns0:t>
        </ns0:is>
      </ns0:c>
      <ns0:c r="G748" s="21" t="inlineStr">
        <ns0:is>
          <ns0:t>ChatGPT-assisted evidence recharting, 2026-09-08</ns0:t>
        </ns0:is>
      </ns0:c>
    </ns0:row>
    <ns0:row r="749" ht="42" customHeight="1">
      <ns0:c r="A749" s="19" t="inlineStr">
        <ns0:is>
          <ns0:t>135</ns0:t>
        </ns0:is>
      </ns0:c>
      <ns0:c r="B749" s="19" t="inlineStr">
        <ns0:is>
          <ns0:t>algorithm_main</ns0:t>
        </ns0:is>
      </ns0:c>
      <ns0:c r="C749" s="19" t="inlineStr">
        <ns0:is>
          <ns0:t>MLP</ns0:t>
        </ns0:is>
      </ns0:c>
      <ns0:c r="D749" s="19" t="inlineStr">
        <ns0:is>
          <ns0:t>DNN</ns0:t>
        </ns0:is>
      </ns0:c>
      <ns0:c r="E749" s="19" t="inlineStr">
        <ns0:is>
          <ns0:t>QCHAT/QCHAT-10 questionnaire data, not voice. Separate full and short instruments do not establish simultaneous fusion.</ns0:t>
        </ns0:is>
      </ns0:c>
      <ns0:c r="F749" s="19" t="inlineStr">
        <ns0:is>
          <ns0:t>https://doi.org/10.1007/s10803-021-05141-2</ns0:t>
        </ns0:is>
      </ns0:c>
      <ns0:c r="G749" s="19" t="inlineStr">
        <ns0:is>
          <ns0:t>ChatGPT-assisted evidence recharting, 2026-09-08</ns0:t>
        </ns0:is>
      </ns0:c>
    </ns0:row>
    <ns0:row r="750" ht="42" customHeight="1">
      <ns0:c r="A750" s="21" t="inlineStr">
        <ns0:is>
          <ns0:t>135</ns0:t>
        </ns0:is>
      </ns0:c>
      <ns0:c r="B750" s="21" t="inlineStr">
        <ns0:is>
          <ns0:t>rq2_status</ns0:t>
        </ns0:is>
      </ns0:c>
      <ns0:c r="C750" s="21" t="inlineStr">
        <ns0:is>
          <ns0:t>Not adjudicated in master</ns0:t>
        </ns0:is>
      </ns0:c>
      <ns0:c r="D750" s="21" t="inlineStr">
        <ns0:is>
          <ns0:t>Research only</ns0:t>
        </ns0:is>
      </ns0:c>
      <ns0:c r="E750" s="21" t="inlineStr">
        <ns0:is>
          <ns0:t>QCHAT/QCHAT-10 questionnaire data, not voice. Separate full and short instruments do not establish simultaneous fusion.</ns0:t>
        </ns0:is>
      </ns0:c>
      <ns0:c r="F750" s="21" t="inlineStr">
        <ns0:is>
          <ns0:t>https://doi.org/10.1007/s10803-021-05141-2</ns0:t>
        </ns0:is>
      </ns0:c>
      <ns0:c r="G750" s="21" t="inlineStr">
        <ns0:is>
          <ns0:t>ChatGPT-assisted evidence recharting, 2026-09-08</ns0:t>
        </ns0:is>
      </ns0:c>
    </ns0:row>
    <ns0:row r="751" ht="42" customHeight="1">
      <ns0:c r="A751" s="19" t="inlineStr">
        <ns0:is>
          <ns0:t>135</ns0:t>
        </ns0:is>
      </ns0:c>
      <ns0:c r="B751" s="19" t="inlineStr">
        <ns0:is>
          <ns0:t>rq2_role</ns0:t>
        </ns0:is>
      </ns0:c>
      <ns0:c r="C751" s="19" t="inlineStr"/>
      <ns0:c r="D751" s="19" t="inlineStr">
        <ns0:is>
          <ns0:t>Triage/questionnaire assessment</ns0:t>
        </ns0:is>
      </ns0:c>
      <ns0:c r="E751" s="19" t="inlineStr">
        <ns0:is>
          <ns0:t>QCHAT/QCHAT-10 questionnaire data, not voice. Separate full and short instruments do not establish simultaneous fusion.</ns0:t>
        </ns0:is>
      </ns0:c>
      <ns0:c r="F751" s="19" t="inlineStr">
        <ns0:is>
          <ns0:t>https://doi.org/10.1007/s10803-021-05141-2</ns0:t>
        </ns0:is>
      </ns0:c>
      <ns0:c r="G751" s="19" t="inlineStr">
        <ns0:is>
          <ns0:t>ChatGPT-assisted evidence recharting, 2026-09-08</ns0:t>
        </ns0:is>
      </ns0:c>
    </ns0:row>
    <ns0:row r="752" ht="42" customHeight="1">
      <ns0:c r="A752" s="21" t="inlineStr">
        <ns0:is>
          <ns0:t>135</ns0:t>
        </ns0:is>
      </ns0:c>
      <ns0:c r="B752" s="21" t="inlineStr">
        <ns0:is>
          <ns0:t>decision_timing</ns0:t>
        </ns0:is>
      </ns0:c>
      <ns0:c r="C752" s="21" t="inlineStr"/>
      <ns0:c r="D752" s="21" t="inlineStr">
        <ns0:is>
          <ns0:t>Not observed in assessed sources</ns0:t>
        </ns0:is>
      </ns0:c>
      <ns0:c r="E752" s="21" t="inlineStr">
        <ns0:is>
          <ns0:t>QCHAT/QCHAT-10 questionnaire data, not voice. Separate full and short instruments do not establish simultaneous fusion.</ns0:t>
        </ns0:is>
      </ns0:c>
      <ns0:c r="F752" s="21" t="inlineStr">
        <ns0:is>
          <ns0:t>https://doi.org/10.1007/s10803-021-05141-2</ns0:t>
        </ns0:is>
      </ns0:c>
      <ns0:c r="G752" s="21" t="inlineStr">
        <ns0:is>
          <ns0:t>ChatGPT-assisted evidence recharting, 2026-09-08</ns0:t>
        </ns0:is>
      </ns0:c>
    </ns0:row>
    <ns0:row r="753" ht="42" customHeight="1">
      <ns0:c r="A753" s="19" t="inlineStr">
        <ns0:is>
          <ns0:t>136</ns0:t>
        </ns0:is>
      </ns0:c>
      <ns0:c r="B753" s="19" t="inlineStr">
        <ns0:is>
          <ns0:t>data_source_primary</ns0:t>
        </ns0:is>
      </ns0:c>
      <ns0:c r="C753" s="19" t="inlineStr">
        <ns0:is>
          <ns0:t>Physiological signals</ns0:t>
        </ns0:is>
      </ns0:c>
      <ns0:c r="D753" s="19" t="inlineStr">
        <ns0:is>
          <ns0:t>Neuroimaging</ns0:t>
        </ns0:is>
      </ns0:c>
      <ns0:c r="E753" s="19" t="inlineStr">
        <ns0:is>
          <ns0:t>Resting-state fMRI connectivity in ABIDE; internal cross-validation, not external or site-held-out validation.</ns0:t>
        </ns0:is>
      </ns0:c>
      <ns0:c r="F753" s="19" t="inlineStr">
        <ns0:is>
          <ns0:t>https://doi.org/10.1016/j.neucom.2022.02.017</ns0:t>
        </ns0:is>
      </ns0:c>
      <ns0:c r="G753" s="19" t="inlineStr">
        <ns0:is>
          <ns0:t>ChatGPT-assisted evidence recharting, 2026-09-08</ns0:t>
        </ns0:is>
      </ns0:c>
    </ns0:row>
    <ns0:row r="754" ht="42" customHeight="1">
      <ns0:c r="A754" s="21" t="inlineStr">
        <ns0:is>
          <ns0:t>136</ns0:t>
        </ns0:is>
      </ns0:c>
      <ns0:c r="B754" s="21" t="inlineStr">
        <ns0:is>
          <ns0:t>algorithm_main</ns0:t>
        </ns0:is>
      </ns0:c>
      <ns0:c r="C754" s="21" t="inlineStr">
        <ns0:is>
          <ns0:t>Autoencoder</ns0:t>
        </ns0:is>
      </ns0:c>
      <ns0:c r="D754" s="21" t="inlineStr">
        <ns0:is>
          <ns0:t>Semi-supervised autoencoder</ns0:t>
        </ns0:is>
      </ns0:c>
      <ns0:c r="E754" s="21" t="inlineStr">
        <ns0:is>
          <ns0:t>Resting-state fMRI connectivity in ABIDE; internal cross-validation, not external or site-held-out validation.</ns0:t>
        </ns0:is>
      </ns0:c>
      <ns0:c r="F754" s="21" t="inlineStr">
        <ns0:is>
          <ns0:t>https://doi.org/10.1016/j.neucom.2022.02.017</ns0:t>
        </ns0:is>
      </ns0:c>
      <ns0:c r="G754" s="21" t="inlineStr">
        <ns0:is>
          <ns0:t>ChatGPT-assisted evidence recharting, 2026-09-08</ns0:t>
        </ns0:is>
      </ns0:c>
    </ns0:row>
    <ns0:row r="755" ht="42" customHeight="1">
      <ns0:c r="A755" s="19" t="inlineStr">
        <ns0:is>
          <ns0:t>136</ns0:t>
        </ns0:is>
      </ns0:c>
      <ns0:c r="B755" s="19" t="inlineStr">
        <ns0:is>
          <ns0:t>rq2_status</ns0:t>
        </ns0:is>
      </ns0:c>
      <ns0:c r="C755" s="19" t="inlineStr">
        <ns0:is>
          <ns0:t>Not adjudicated in master</ns0:t>
        </ns0:is>
      </ns0:c>
      <ns0:c r="D755" s="19" t="inlineStr">
        <ns0:is>
          <ns0:t>Research only</ns0:t>
        </ns0:is>
      </ns0:c>
      <ns0:c r="E755" s="19" t="inlineStr">
        <ns0:is>
          <ns0:t>Resting-state fMRI connectivity in ABIDE; internal cross-validation, not external or site-held-out validation.</ns0:t>
        </ns0:is>
      </ns0:c>
      <ns0:c r="F755" s="19" t="inlineStr">
        <ns0:is>
          <ns0:t>https://doi.org/10.1016/j.neucom.2022.02.017</ns0:t>
        </ns0:is>
      </ns0:c>
      <ns0:c r="G755" s="19" t="inlineStr">
        <ns0:is>
          <ns0:t>ChatGPT-assisted evidence recharting, 2026-09-08</ns0:t>
        </ns0:is>
      </ns0:c>
    </ns0:row>
    <ns0:row r="756" ht="42" customHeight="1">
      <ns0:c r="A756" s="21" t="inlineStr">
        <ns0:is>
          <ns0:t>136</ns0:t>
        </ns0:is>
      </ns0:c>
      <ns0:c r="B756" s="21" t="inlineStr">
        <ns0:is>
          <ns0:t>rq2_role</ns0:t>
        </ns0:is>
      </ns0:c>
      <ns0:c r="C756" s="21" t="inlineStr"/>
      <ns0:c r="D756" s="21" t="inlineStr">
        <ns0:is>
          <ns0:t>Automated measurement/classification</ns0:t>
        </ns0:is>
      </ns0:c>
      <ns0:c r="E756" s="21" t="inlineStr">
        <ns0:is>
          <ns0:t>Resting-state fMRI connectivity in ABIDE; internal cross-validation, not external or site-held-out validation.</ns0:t>
        </ns0:is>
      </ns0:c>
      <ns0:c r="F756" s="21" t="inlineStr">
        <ns0:is>
          <ns0:t>https://doi.org/10.1016/j.neucom.2022.02.017</ns0:t>
        </ns0:is>
      </ns0:c>
      <ns0:c r="G756" s="21" t="inlineStr">
        <ns0:is>
          <ns0:t>ChatGPT-assisted evidence recharting, 2026-09-08</ns0:t>
        </ns0:is>
      </ns0:c>
    </ns0:row>
    <ns0:row r="757" ht="42" customHeight="1">
      <ns0:c r="A757" s="19" t="inlineStr">
        <ns0:is>
          <ns0:t>136</ns0:t>
        </ns0:is>
      </ns0:c>
      <ns0:c r="B757" s="19" t="inlineStr">
        <ns0:is>
          <ns0:t>decision_timing</ns0:t>
        </ns0:is>
      </ns0:c>
      <ns0:c r="C757" s="19" t="inlineStr"/>
      <ns0:c r="D757" s="19" t="inlineStr">
        <ns0:is>
          <ns0:t>Not observed in assessed sources</ns0:t>
        </ns0:is>
      </ns0:c>
      <ns0:c r="E757" s="19" t="inlineStr">
        <ns0:is>
          <ns0:t>Resting-state fMRI connectivity in ABIDE; internal cross-validation, not external or site-held-out validation.</ns0:t>
        </ns0:is>
      </ns0:c>
      <ns0:c r="F757" s="19" t="inlineStr">
        <ns0:is>
          <ns0:t>https://doi.org/10.1016/j.neucom.2022.02.017</ns0:t>
        </ns0:is>
      </ns0:c>
      <ns0:c r="G757" s="19" t="inlineStr">
        <ns0:is>
          <ns0:t>ChatGPT-assisted evidence recharting, 2026-09-08</ns0:t>
        </ns0:is>
      </ns0:c>
    </ns0:row>
    <ns0:row r="758" ht="42" customHeight="1">
      <ns0:c r="A758" s="21" t="inlineStr">
        <ns0:is>
          <ns0:t>137</ns0:t>
        </ns0:is>
      </ns0:c>
      <ns0:c r="B758" s="21" t="inlineStr">
        <ns0:is>
          <ns0:t>data_source_primary</ns0:t>
        </ns0:is>
      </ns0:c>
      <ns0:c r="C758" s="21" t="inlineStr">
        <ns0:is>
          <ns0:t>Image (subtype unresolved)</ns0:t>
        </ns0:is>
      </ns0:c>
      <ns0:c r="D758" s="21" t="inlineStr">
        <ns0:is>
          <ns0:t>Structured clinical/questionnaire data</ns0:t>
        </ns0:is>
      </ns0:c>
      <ns0:c r="E758" s="21" t="inlineStr">
        <ns0:is>
          <ns0:t>Non-clinicians provide structured ratings of home videos; classifier consumes ratings, not raw video pixels. Explicit interpretable companion models support explanation coding.</ns0:t>
        </ns0:is>
      </ns0:c>
      <ns0:c r="F758" s="21" t="inlineStr">
        <ns0:is>
          <ns0:t>https://doi.org/10.1177/1460458221991882</ns0:t>
        </ns0:is>
      </ns0:c>
      <ns0:c r="G758" s="21" t="inlineStr">
        <ns0:is>
          <ns0:t>ChatGPT-assisted evidence recharting, 2026-09-08</ns0:t>
        </ns0:is>
      </ns0:c>
    </ns0:row>
    <ns0:row r="759" ht="42" customHeight="1">
      <ns0:c r="A759" s="19" t="inlineStr">
        <ns0:is>
          <ns0:t>137</ns0:t>
        </ns0:is>
      </ns0:c>
      <ns0:c r="B759" s="19" t="inlineStr">
        <ns0:is>
          <ns0:t>algorithm_main</ns0:t>
        </ns0:is>
      </ns0:c>
      <ns0:c r="C759" s="19" t="inlineStr">
        <ns0:is>
          <ns0:t>SVM</ns0:t>
        </ns0:is>
      </ns0:c>
      <ns0:c r="D759" s="19" t="inlineStr">
        <ns0:is>
          <ns0:t>SVM with backward feature selection</ns0:t>
        </ns0:is>
      </ns0:c>
      <ns0:c r="E759" s="19" t="inlineStr">
        <ns0:is>
          <ns0:t>Non-clinicians provide structured ratings of home videos; classifier consumes ratings, not raw video pixels. Explicit interpretable companion models support explanation coding.</ns0:t>
        </ns0:is>
      </ns0:c>
      <ns0:c r="F759" s="19" t="inlineStr">
        <ns0:is>
          <ns0:t>https://doi.org/10.1177/1460458221991882</ns0:t>
        </ns0:is>
      </ns0:c>
      <ns0:c r="G759" s="19" t="inlineStr">
        <ns0:is>
          <ns0:t>ChatGPT-assisted evidence recharting, 2026-09-08</ns0:t>
        </ns0:is>
      </ns0:c>
    </ns0:row>
    <ns0:row r="760" ht="42" customHeight="1">
      <ns0:c r="A760" s="21" t="inlineStr">
        <ns0:is>
          <ns0:t>137</ns0:t>
        </ns0:is>
      </ns0:c>
      <ns0:c r="B760" s="21" t="inlineStr">
        <ns0:is>
          <ns0:t>rq2_status</ns0:t>
        </ns0:is>
      </ns0:c>
      <ns0:c r="C760" s="21" t="inlineStr">
        <ns0:is>
          <ns0:t>Not adjudicated in master</ns0:t>
        </ns0:is>
      </ns0:c>
      <ns0:c r="D760" s="21" t="inlineStr">
        <ns0:is>
          <ns0:t>Proposed only</ns0:t>
        </ns0:is>
      </ns0:c>
      <ns0:c r="E760" s="21" t="inlineStr">
        <ns0:is>
          <ns0:t>Non-clinicians provide structured ratings of home videos; classifier consumes ratings, not raw video pixels. Explicit interpretable companion models support explanation coding.</ns0:t>
        </ns0:is>
      </ns0:c>
      <ns0:c r="F760" s="21" t="inlineStr">
        <ns0:is>
          <ns0:t>https://doi.org/10.1177/1460458221991882</ns0:t>
        </ns0:is>
      </ns0:c>
      <ns0:c r="G760" s="21" t="inlineStr">
        <ns0:is>
          <ns0:t>ChatGPT-assisted evidence recharting, 2026-09-08</ns0:t>
        </ns0:is>
      </ns0:c>
    </ns0:row>
    <ns0:row r="761" ht="42" customHeight="1">
      <ns0:c r="A761" s="19" t="inlineStr">
        <ns0:is>
          <ns0:t>137</ns0:t>
        </ns0:is>
      </ns0:c>
      <ns0:c r="B761" s="19" t="inlineStr">
        <ns0:is>
          <ns0:t>rq2_role</ns0:t>
        </ns0:is>
      </ns0:c>
      <ns0:c r="C761" s="19" t="inlineStr"/>
      <ns0:c r="D761" s="19" t="inlineStr">
        <ns0:is>
          <ns0:t>Diagnostic decision support</ns0:t>
        </ns0:is>
      </ns0:c>
      <ns0:c r="E761" s="19" t="inlineStr">
        <ns0:is>
          <ns0:t>Non-clinicians provide structured ratings of home videos; classifier consumes ratings, not raw video pixels. Explicit interpretable companion models support explanation coding.</ns0:t>
        </ns0:is>
      </ns0:c>
      <ns0:c r="F761" s="19" t="inlineStr">
        <ns0:is>
          <ns0:t>https://doi.org/10.1177/1460458221991882</ns0:t>
        </ns0:is>
      </ns0:c>
      <ns0:c r="G761" s="19" t="inlineStr">
        <ns0:is>
          <ns0:t>ChatGPT-assisted evidence recharting, 2026-09-08</ns0:t>
        </ns0:is>
      </ns0:c>
    </ns0:row>
    <ns0:row r="762" ht="42" customHeight="1">
      <ns0:c r="A762" s="21" t="inlineStr">
        <ns0:is>
          <ns0:t>137</ns0:t>
        </ns0:is>
      </ns0:c>
      <ns0:c r="B762" s="21" t="inlineStr">
        <ns0:is>
          <ns0:t>decision_timing</ns0:t>
        </ns0:is>
      </ns0:c>
      <ns0:c r="C762" s="21" t="inlineStr"/>
      <ns0:c r="D762" s="21" t="inlineStr">
        <ns0:is>
          <ns0:t>In-decision</ns0:t>
        </ns0:is>
      </ns0:c>
      <ns0:c r="E762" s="21" t="inlineStr">
        <ns0:is>
          <ns0:t>Non-clinicians provide structured ratings of home videos; classifier consumes ratings, not raw video pixels. Explicit interpretable companion models support explanation coding.</ns0:t>
        </ns0:is>
      </ns0:c>
      <ns0:c r="F762" s="21" t="inlineStr">
        <ns0:is>
          <ns0:t>https://doi.org/10.1177/1460458221991882</ns0:t>
        </ns0:is>
      </ns0:c>
      <ns0:c r="G762" s="21" t="inlineStr">
        <ns0:is>
          <ns0:t>ChatGPT-assisted evidence recharting, 2026-09-08</ns0:t>
        </ns0:is>
      </ns0:c>
    </ns0:row>
    <ns0:row r="763" ht="42" customHeight="1">
      <ns0:c r="A763" s="19" t="inlineStr">
        <ns0:is>
          <ns0:t>137</ns0:t>
        </ns0:is>
      </ns0:c>
      <ns0:c r="B763" s="19" t="inlineStr">
        <ns0:is>
          <ns0:t>xai_strict</ns0:t>
        </ns0:is>
      </ns0:c>
      <ns0:c r="C763" s="19" t="inlineStr">
        <ns0:is>
          <ns0:t>Reported</ns0:t>
        </ns0:is>
      </ns0:c>
      <ns0:c r="D763" s="19" t="inlineStr">
        <ns0:is>
          <ns0:t>Not reported in assessed sources</ns0:t>
        </ns0:is>
      </ns0:c>
      <ns0:c r="E763" s="19" t="inlineStr">
        <ns0:is>
          <ns0:t>Non-clinicians provide structured ratings of home videos; classifier consumes ratings, not raw video pixels. Explicit interpretable companion models support explanation coding.</ns0:t>
        </ns0:is>
      </ns0:c>
      <ns0:c r="F763" s="19" t="inlineStr">
        <ns0:is>
          <ns0:t>https://doi.org/10.1177/1460458221991882</ns0:t>
        </ns0:is>
      </ns0:c>
      <ns0:c r="G763" s="19" t="inlineStr">
        <ns0:is>
          <ns0:t>ChatGPT-assisted evidence recharting, 2026-09-08</ns0:t>
        </ns0:is>
      </ns0:c>
    </ns0:row>
    <ns0:row r="764" ht="42" customHeight="1">
      <ns0:c r="A764" s="21" t="inlineStr">
        <ns0:is>
          <ns0:t>137</ns0:t>
        </ns0:is>
      </ns0:c>
      <ns0:c r="B764" s="21" t="inlineStr">
        <ns0:is>
          <ns0:t>xai_partial</ns0:t>
        </ns0:is>
      </ns0:c>
      <ns0:c r="C764" s="21" t="inlineStr">
        <ns0:is>
          <ns0:t>Not reported in assessed sources</ns0:t>
        </ns0:is>
      </ns0:c>
      <ns0:c r="D764" s="21" t="inlineStr">
        <ns0:is>
          <ns0:t>Reported</ns0:t>
        </ns0:is>
      </ns0:c>
      <ns0:c r="E764" s="21" t="inlineStr">
        <ns0:is>
          <ns0:t>Non-clinicians provide structured ratings of home videos; classifier consumes ratings, not raw video pixels. Explicit interpretable companion models support explanation coding.</ns0:t>
        </ns0:is>
      </ns0:c>
      <ns0:c r="F764" s="21" t="inlineStr">
        <ns0:is>
          <ns0:t>https://doi.org/10.1177/1460458221991882</ns0:t>
        </ns0:is>
      </ns0:c>
      <ns0:c r="G764" s="21" t="inlineStr">
        <ns0:is>
          <ns0:t>ChatGPT-assisted evidence recharting, 2026-09-08</ns0:t>
        </ns0:is>
      </ns0:c>
    </ns0:row>
    <ns0:row r="765" ht="42" customHeight="1">
      <ns0:c r="A765" s="19" t="inlineStr">
        <ns0:is>
          <ns0:t>138</ns0:t>
        </ns0:is>
      </ns0:c>
      <ns0:c r="B765" s="19" t="inlineStr">
        <ns0:is>
          <ns0:t>ai_type</ns0:t>
        </ns0:is>
      </ns0:c>
      <ns0:c r="C765" s="19" t="inlineStr">
        <ns0:is>
          <ns0:t>Not specified</ns0:t>
        </ns0:is>
      </ns0:c>
      <ns0:c r="D765" s="19" t="inlineStr">
        <ns0:is>
          <ns0:t>Deep Learning</ns0:t>
        </ns0:is>
      </ns0:c>
      <ns0:c r="E765" s="19" t="inlineStr">
        <ns0:is>
          <ns0:t>Explicit joint deep architecture using fMRI; nested ten-fold internal cross-validation. Two neural components are not an ML-DL hybrid.</ns0:t>
        </ns0:is>
      </ns0:c>
      <ns0:c r="F765" s="19" t="inlineStr">
        <ns0:is>
          <ns0:t>https://doi.org/10.1038/s41598-024-64299-8</ns0:t>
        </ns0:is>
      </ns0:c>
      <ns0:c r="G765" s="19" t="inlineStr">
        <ns0:is>
          <ns0:t>ChatGPT-assisted evidence recharting, 2026-09-08</ns0:t>
        </ns0:is>
      </ns0:c>
    </ns0:row>
    <ns0:row r="766" ht="42" customHeight="1">
      <ns0:c r="A766" s="21" t="inlineStr">
        <ns0:is>
          <ns0:t>138</ns0:t>
        </ns0:is>
      </ns0:c>
      <ns0:c r="B766" s="21" t="inlineStr">
        <ns0:is>
          <ns0:t>data_source_primary</ns0:t>
        </ns0:is>
      </ns0:c>
      <ns0:c r="C766" s="21" t="inlineStr">
        <ns0:is>
          <ns0:t>Not specified</ns0:t>
        </ns0:is>
      </ns0:c>
      <ns0:c r="D766" s="21" t="inlineStr">
        <ns0:is>
          <ns0:t>Neuroimaging</ns0:t>
        </ns0:is>
      </ns0:c>
      <ns0:c r="E766" s="21" t="inlineStr">
        <ns0:is>
          <ns0:t>Explicit joint deep architecture using fMRI; nested ten-fold internal cross-validation. Two neural components are not an ML-DL hybrid.</ns0:t>
        </ns0:is>
      </ns0:c>
      <ns0:c r="F766" s="21" t="inlineStr">
        <ns0:is>
          <ns0:t>https://doi.org/10.1038/s41598-024-64299-8</ns0:t>
        </ns0:is>
      </ns0:c>
      <ns0:c r="G766" s="21" t="inlineStr">
        <ns0:is>
          <ns0:t>ChatGPT-assisted evidence recharting, 2026-09-08</ns0:t>
        </ns0:is>
      </ns0:c>
    </ns0:row>
    <ns0:row r="767" ht="42" customHeight="1">
      <ns0:c r="A767" s="19" t="inlineStr">
        <ns0:is>
          <ns0:t>138</ns0:t>
        </ns0:is>
      </ns0:c>
      <ns0:c r="B767" s="19" t="inlineStr">
        <ns0:is>
          <ns0:t>algorithm_main</ns0:t>
        </ns0:is>
      </ns0:c>
      <ns0:c r="C767" s="19" t="inlineStr">
        <ns0:is>
          <ns0:t>CNN</ns0:t>
        </ns0:is>
      </ns0:c>
      <ns0:c r="D767" s="19" t="inlineStr">
        <ns0:is>
          <ns0:t>Shared-weight autoencoder-CNN</ns0:t>
        </ns0:is>
      </ns0:c>
      <ns0:c r="E767" s="19" t="inlineStr">
        <ns0:is>
          <ns0:t>Explicit joint deep architecture using fMRI; nested ten-fold internal cross-validation. Two neural components are not an ML-DL hybrid.</ns0:t>
        </ns0:is>
      </ns0:c>
      <ns0:c r="F767" s="19" t="inlineStr">
        <ns0:is>
          <ns0:t>https://doi.org/10.1038/s41598-024-64299-8</ns0:t>
        </ns0:is>
      </ns0:c>
      <ns0:c r="G767" s="19" t="inlineStr">
        <ns0:is>
          <ns0:t>ChatGPT-assisted evidence recharting, 2026-09-08</ns0:t>
        </ns0:is>
      </ns0:c>
    </ns0:row>
    <ns0:row r="768" ht="42" customHeight="1">
      <ns0:c r="A768" s="21" t="inlineStr">
        <ns0:is>
          <ns0:t>138</ns0:t>
        </ns0:is>
      </ns0:c>
      <ns0:c r="B768" s="21" t="inlineStr">
        <ns0:is>
          <ns0:t>rq2_status</ns0:t>
        </ns0:is>
      </ns0:c>
      <ns0:c r="C768" s="21" t="inlineStr">
        <ns0:is>
          <ns0:t>Not adjudicated in master</ns0:t>
        </ns0:is>
      </ns0:c>
      <ns0:c r="D768" s="21" t="inlineStr">
        <ns0:is>
          <ns0:t>Research only</ns0:t>
        </ns0:is>
      </ns0:c>
      <ns0:c r="E768" s="21" t="inlineStr">
        <ns0:is>
          <ns0:t>Explicit joint deep architecture using fMRI; nested ten-fold internal cross-validation. Two neural components are not an ML-DL hybrid.</ns0:t>
        </ns0:is>
      </ns0:c>
      <ns0:c r="F768" s="21" t="inlineStr">
        <ns0:is>
          <ns0:t>https://doi.org/10.1038/s41598-024-64299-8</ns0:t>
        </ns0:is>
      </ns0:c>
      <ns0:c r="G768" s="21" t="inlineStr">
        <ns0:is>
          <ns0:t>ChatGPT-assisted evidence recharting, 2026-09-08</ns0:t>
        </ns0:is>
      </ns0:c>
    </ns0:row>
    <ns0:row r="769" ht="42" customHeight="1">
      <ns0:c r="A769" s="19" t="inlineStr">
        <ns0:is>
          <ns0:t>138</ns0:t>
        </ns0:is>
      </ns0:c>
      <ns0:c r="B769" s="19" t="inlineStr">
        <ns0:is>
          <ns0:t>rq2_role</ns0:t>
        </ns0:is>
      </ns0:c>
      <ns0:c r="C769" s="19" t="inlineStr"/>
      <ns0:c r="D769" s="19" t="inlineStr">
        <ns0:is>
          <ns0:t>Automated measurement/classification</ns0:t>
        </ns0:is>
      </ns0:c>
      <ns0:c r="E769" s="19" t="inlineStr">
        <ns0:is>
          <ns0:t>Explicit joint deep architecture using fMRI; nested ten-fold internal cross-validation. Two neural components are not an ML-DL hybrid.</ns0:t>
        </ns0:is>
      </ns0:c>
      <ns0:c r="F769" s="19" t="inlineStr">
        <ns0:is>
          <ns0:t>https://doi.org/10.1038/s41598-024-64299-8</ns0:t>
        </ns0:is>
      </ns0:c>
      <ns0:c r="G769" s="19" t="inlineStr">
        <ns0:is>
          <ns0:t>ChatGPT-assisted evidence recharting, 2026-09-08</ns0:t>
        </ns0:is>
      </ns0:c>
    </ns0:row>
    <ns0:row r="770" ht="42" customHeight="1">
      <ns0:c r="A770" s="21" t="inlineStr">
        <ns0:is>
          <ns0:t>138</ns0:t>
        </ns0:is>
      </ns0:c>
      <ns0:c r="B770" s="21" t="inlineStr">
        <ns0:is>
          <ns0:t>decision_timing</ns0:t>
        </ns0:is>
      </ns0:c>
      <ns0:c r="C770" s="21" t="inlineStr"/>
      <ns0:c r="D770" s="21" t="inlineStr">
        <ns0:is>
          <ns0:t>Not observed in assessed sources</ns0:t>
        </ns0:is>
      </ns0:c>
      <ns0:c r="E770" s="21" t="inlineStr">
        <ns0:is>
          <ns0:t>Explicit joint deep architecture using fMRI; nested ten-fold internal cross-validation. Two neural components are not an ML-DL hybrid.</ns0:t>
        </ns0:is>
      </ns0:c>
      <ns0:c r="F770" s="21" t="inlineStr">
        <ns0:is>
          <ns0:t>https://doi.org/10.1038/s41598-024-64299-8</ns0:t>
        </ns0:is>
      </ns0:c>
      <ns0:c r="G770" s="21" t="inlineStr">
        <ns0:is>
          <ns0:t>ChatGPT-assisted evidence recharting, 2026-09-08</ns0:t>
        </ns0:is>
      </ns0:c>
    </ns0:row>
    <ns0:row r="771" ht="42" customHeight="1">
      <ns0:c r="A771" s="19" t="inlineStr">
        <ns0:is>
          <ns0:t>140</ns0:t>
        </ns0:is>
      </ns0:c>
      <ns0:c r="B771" s="19" t="inlineStr">
        <ns0:is>
          <ns0:t>data_source_primary</ns0:t>
        </ns0:is>
      </ns0:c>
      <ns0:c r="C771" s="19" t="inlineStr">
        <ns0:is>
          <ns0:t>Image (subtype unresolved)</ns0:t>
        </ns0:is>
      </ns0:c>
      <ns0:c r="D771" s="19" t="inlineStr">
        <ns0:is>
          <ns0:t>Neuroimaging</ns0:t>
        </ns0:is>
      </ns0:c>
      <ns0:c r="E771" s="19" t="inlineStr">
        <ns0:is>
          <ns0:t>End-to-end fMRI brain-network learning and classification; deep unrolling is an explicit architecture, not a generic unspecified method.</ns0:t>
        </ns0:is>
      </ns0:c>
      <ns0:c r="F771" s="19" t="inlineStr">
        <ns0:is>
          <ns0:t>https://doi.org/10.1007/s11517-023-02859-2</ns0:t>
        </ns0:is>
      </ns0:c>
      <ns0:c r="G771" s="19" t="inlineStr">
        <ns0:is>
          <ns0:t>ChatGPT-assisted evidence recharting, 2026-09-08</ns0:t>
        </ns0:is>
      </ns0:c>
    </ns0:row>
    <ns0:row r="772" ht="42" customHeight="1">
      <ns0:c r="A772" s="21" t="inlineStr">
        <ns0:is>
          <ns0:t>140</ns0:t>
        </ns0:is>
      </ns0:c>
      <ns0:c r="B772" s="21" t="inlineStr">
        <ns0:is>
          <ns0:t>algorithm_main</ns0:t>
        </ns0:is>
      </ns0:c>
      <ns0:c r="C772" s="21" t="inlineStr">
        <ns0:is>
          <ns0:t>CNN</ns0:t>
        </ns0:is>
      </ns0:c>
      <ns0:c r="D772" s="21" t="inlineStr">
        <ns0:is>
          <ns0:t>Deep unrolling with convolutional prototype classifier</ns0:t>
        </ns0:is>
      </ns0:c>
      <ns0:c r="E772" s="21" t="inlineStr">
        <ns0:is>
          <ns0:t>End-to-end fMRI brain-network learning and classification; deep unrolling is an explicit architecture, not a generic unspecified method.</ns0:t>
        </ns0:is>
      </ns0:c>
      <ns0:c r="F772" s="21" t="inlineStr">
        <ns0:is>
          <ns0:t>https://doi.org/10.1007/s11517-023-02859-2</ns0:t>
        </ns0:is>
      </ns0:c>
      <ns0:c r="G772" s="21" t="inlineStr">
        <ns0:is>
          <ns0:t>ChatGPT-assisted evidence recharting, 2026-09-08</ns0:t>
        </ns0:is>
      </ns0:c>
    </ns0:row>
    <ns0:row r="773" ht="42" customHeight="1">
      <ns0:c r="A773" s="19" t="inlineStr">
        <ns0:is>
          <ns0:t>140</ns0:t>
        </ns0:is>
      </ns0:c>
      <ns0:c r="B773" s="19" t="inlineStr">
        <ns0:is>
          <ns0:t>rq2_status</ns0:t>
        </ns0:is>
      </ns0:c>
      <ns0:c r="C773" s="19" t="inlineStr">
        <ns0:is>
          <ns0:t>Not adjudicated in master</ns0:t>
        </ns0:is>
      </ns0:c>
      <ns0:c r="D773" s="19" t="inlineStr">
        <ns0:is>
          <ns0:t>Research only</ns0:t>
        </ns0:is>
      </ns0:c>
      <ns0:c r="E773" s="19" t="inlineStr">
        <ns0:is>
          <ns0:t>End-to-end fMRI brain-network learning and classification; deep unrolling is an explicit architecture, not a generic unspecified method.</ns0:t>
        </ns0:is>
      </ns0:c>
      <ns0:c r="F773" s="19" t="inlineStr">
        <ns0:is>
          <ns0:t>https://doi.org/10.1007/s11517-023-02859-2</ns0:t>
        </ns0:is>
      </ns0:c>
      <ns0:c r="G773" s="19" t="inlineStr">
        <ns0:is>
          <ns0:t>ChatGPT-assisted evidence recharting, 2026-09-08</ns0:t>
        </ns0:is>
      </ns0:c>
    </ns0:row>
    <ns0:row r="774" ht="42" customHeight="1">
      <ns0:c r="A774" s="21" t="inlineStr">
        <ns0:is>
          <ns0:t>140</ns0:t>
        </ns0:is>
      </ns0:c>
      <ns0:c r="B774" s="21" t="inlineStr">
        <ns0:is>
          <ns0:t>rq2_role</ns0:t>
        </ns0:is>
      </ns0:c>
      <ns0:c r="C774" s="21" t="inlineStr"/>
      <ns0:c r="D774" s="21" t="inlineStr">
        <ns0:is>
          <ns0:t>Automated measurement/classification</ns0:t>
        </ns0:is>
      </ns0:c>
      <ns0:c r="E774" s="21" t="inlineStr">
        <ns0:is>
          <ns0:t>End-to-end fMRI brain-network learning and classification; deep unrolling is an explicit architecture, not a generic unspecified method.</ns0:t>
        </ns0:is>
      </ns0:c>
      <ns0:c r="F774" s="21" t="inlineStr">
        <ns0:is>
          <ns0:t>https://doi.org/10.1007/s11517-023-02859-2</ns0:t>
        </ns0:is>
      </ns0:c>
      <ns0:c r="G774" s="21" t="inlineStr">
        <ns0:is>
          <ns0:t>ChatGPT-assisted evidence recharting, 2026-09-08</ns0:t>
        </ns0:is>
      </ns0:c>
    </ns0:row>
    <ns0:row r="775" ht="42" customHeight="1">
      <ns0:c r="A775" s="19" t="inlineStr">
        <ns0:is>
          <ns0:t>140</ns0:t>
        </ns0:is>
      </ns0:c>
      <ns0:c r="B775" s="19" t="inlineStr">
        <ns0:is>
          <ns0:t>decision_timing</ns0:t>
        </ns0:is>
      </ns0:c>
      <ns0:c r="C775" s="19" t="inlineStr"/>
      <ns0:c r="D775" s="19" t="inlineStr">
        <ns0:is>
          <ns0:t>Not observed in assessed sources</ns0:t>
        </ns0:is>
      </ns0:c>
      <ns0:c r="E775" s="19" t="inlineStr">
        <ns0:is>
          <ns0:t>End-to-end fMRI brain-network learning and classification; deep unrolling is an explicit architecture, not a generic unspecified method.</ns0:t>
        </ns0:is>
      </ns0:c>
      <ns0:c r="F775" s="19" t="inlineStr">
        <ns0:is>
          <ns0:t>https://doi.org/10.1007/s11517-023-02859-2</ns0:t>
        </ns0:is>
      </ns0:c>
      <ns0:c r="G775" s="19" t="inlineStr">
        <ns0:is>
          <ns0:t>ChatGPT-assisted evidence recharting, 2026-09-08</ns0:t>
        </ns0:is>
      </ns0:c>
    </ns0:row>
    <ns0:row r="776" ht="42" customHeight="1">
      <ns0:c r="A776" s="21" t="inlineStr">
        <ns0:is>
          <ns0:t>141</ns0:t>
        </ns0:is>
      </ns0:c>
      <ns0:c r="B776" s="21" t="inlineStr">
        <ns0:is>
          <ns0:t>stage_primary</ns0:t>
        </ns0:is>
      </ns0:c>
      <ns0:c r="C776" s="21" t="inlineStr">
        <ns0:is>
          <ns0:t>Prescreening</ns0:t>
        </ns0:is>
      </ns0:c>
      <ns0:c r="D776" s="21" t="inlineStr">
        <ns0:is>
          <ns0:t>Screening</ns0:t>
        </ns0:is>
      </ns0:c>
      <ns0:c r="E776" s="21" t="inlineStr">
        <ns0:is>
          <ns0:t>Acoustic cry classification of already characterized children; screening intent is explicit, but it is not prospective newborn prescreening or multisource integration.</ns0:t>
        </ns0:is>
      </ns0:c>
      <ns0:c r="F776" s="21" t="inlineStr">
        <ns0:is>
          <ns0:t>https://doi.org/10.1007/s10803-025-06811-1</ns0:t>
        </ns0:is>
      </ns0:c>
      <ns0:c r="G776" s="21" t="inlineStr">
        <ns0:is>
          <ns0:t>ChatGPT-assisted evidence recharting, 2026-09-08</ns0:t>
        </ns0:is>
      </ns0:c>
    </ns0:row>
    <ns0:row r="777" ht="42" customHeight="1">
      <ns0:c r="A777" s="19" t="inlineStr">
        <ns0:is>
          <ns0:t>141</ns0:t>
        </ns0:is>
      </ns0:c>
      <ns0:c r="B777" s="19" t="inlineStr">
        <ns0:is>
          <ns0:t>data_source_primary</ns0:t>
        </ns0:is>
      </ns0:c>
      <ns0:c r="C777" s="19" t="inlineStr">
        <ns0:is>
          <ns0:t>Audio / voice</ns0:t>
        </ns0:is>
      </ns0:c>
      <ns0:c r="D777" s="19" t="inlineStr">
        <ns0:is>
          <ns0:t>Audio/voice</ns0:t>
        </ns0:is>
      </ns0:c>
      <ns0:c r="E777" s="19" t="inlineStr">
        <ns0:is>
          <ns0:t>Acoustic cry classification of already characterized children; screening intent is explicit, but it is not prospective newborn prescreening or multisource integration.</ns0:t>
        </ns0:is>
      </ns0:c>
      <ns0:c r="F777" s="19" t="inlineStr">
        <ns0:is>
          <ns0:t>https://doi.org/10.1007/s10803-025-06811-1</ns0:t>
        </ns0:is>
      </ns0:c>
      <ns0:c r="G777" s="19" t="inlineStr">
        <ns0:is>
          <ns0:t>ChatGPT-assisted evidence recharting, 2026-09-08</ns0:t>
        </ns0:is>
      </ns0:c>
    </ns0:row>
    <ns0:row r="778" ht="42" customHeight="1">
      <ns0:c r="A778" s="21" t="inlineStr">
        <ns0:is>
          <ns0:t>141</ns0:t>
        </ns0:is>
      </ns0:c>
      <ns0:c r="B778" s="21" t="inlineStr">
        <ns0:is>
          <ns0:t>algorithm_main</ns0:t>
        </ns0:is>
      </ns0:c>
      <ns0:c r="C778" s="21" t="inlineStr">
        <ns0:is>
          <ns0:t>Not clear</ns0:t>
        </ns0:is>
      </ns0:c>
      <ns0:c r="D778" s="21" t="inlineStr">
        <ns0:is>
          <ns0:t>Recursive convolutional neural network</ns0:t>
        </ns0:is>
      </ns0:c>
      <ns0:c r="E778" s="21" t="inlineStr">
        <ns0:is>
          <ns0:t>Acoustic cry classification of already characterized children; screening intent is explicit, but it is not prospective newborn prescreening or multisource integration.</ns0:t>
        </ns0:is>
      </ns0:c>
      <ns0:c r="F778" s="21" t="inlineStr">
        <ns0:is>
          <ns0:t>https://doi.org/10.1007/s10803-025-06811-1</ns0:t>
        </ns0:is>
      </ns0:c>
      <ns0:c r="G778" s="21" t="inlineStr">
        <ns0:is>
          <ns0:t>ChatGPT-assisted evidence recharting, 2026-09-08</ns0:t>
        </ns0:is>
      </ns0:c>
    </ns0:row>
    <ns0:row r="779" ht="42" customHeight="1">
      <ns0:c r="A779" s="19" t="inlineStr">
        <ns0:is>
          <ns0:t>141</ns0:t>
        </ns0:is>
      </ns0:c>
      <ns0:c r="B779" s="19" t="inlineStr">
        <ns0:is>
          <ns0:t>rq2_status</ns0:t>
        </ns0:is>
      </ns0:c>
      <ns0:c r="C779" s="19" t="inlineStr">
        <ns0:is>
          <ns0:t>Not adjudicated in master</ns0:t>
        </ns0:is>
      </ns0:c>
      <ns0:c r="D779" s="19" t="inlineStr">
        <ns0:is>
          <ns0:t>Proposed only</ns0:t>
        </ns0:is>
      </ns0:c>
      <ns0:c r="E779" s="19" t="inlineStr">
        <ns0:is>
          <ns0:t>Acoustic cry classification of already characterized children; screening intent is explicit, but it is not prospective newborn prescreening or multisource integration.</ns0:t>
        </ns0:is>
      </ns0:c>
      <ns0:c r="F779" s="19" t="inlineStr">
        <ns0:is>
          <ns0:t>https://doi.org/10.1007/s10803-025-06811-1</ns0:t>
        </ns0:is>
      </ns0:c>
      <ns0:c r="G779" s="19" t="inlineStr">
        <ns0:is>
          <ns0:t>ChatGPT-assisted evidence recharting, 2026-09-08</ns0:t>
        </ns0:is>
      </ns0:c>
    </ns0:row>
    <ns0:row r="780" ht="42" customHeight="1">
      <ns0:c r="A780" s="21" t="inlineStr">
        <ns0:is>
          <ns0:t>141</ns0:t>
        </ns0:is>
      </ns0:c>
      <ns0:c r="B780" s="21" t="inlineStr">
        <ns0:is>
          <ns0:t>rq2_role</ns0:t>
        </ns0:is>
      </ns0:c>
      <ns0:c r="C780" s="21" t="inlineStr"/>
      <ns0:c r="D780" s="21" t="inlineStr">
        <ns0:is>
          <ns0:t>Automated measurement/classification</ns0:t>
        </ns0:is>
      </ns0:c>
      <ns0:c r="E780" s="21" t="inlineStr">
        <ns0:is>
          <ns0:t>Acoustic cry classification of already characterized children; screening intent is explicit, but it is not prospective newborn prescreening or multisource integration.</ns0:t>
        </ns0:is>
      </ns0:c>
      <ns0:c r="F780" s="21" t="inlineStr">
        <ns0:is>
          <ns0:t>https://doi.org/10.1007/s10803-025-06811-1</ns0:t>
        </ns0:is>
      </ns0:c>
      <ns0:c r="G780" s="21" t="inlineStr">
        <ns0:is>
          <ns0:t>ChatGPT-assisted evidence recharting, 2026-09-08</ns0:t>
        </ns0:is>
      </ns0:c>
    </ns0:row>
    <ns0:row r="781" ht="42" customHeight="1">
      <ns0:c r="A781" s="19" t="inlineStr">
        <ns0:is>
          <ns0:t>141</ns0:t>
        </ns0:is>
      </ns0:c>
      <ns0:c r="B781" s="19" t="inlineStr">
        <ns0:is>
          <ns0:t>decision_timing</ns0:t>
        </ns0:is>
      </ns0:c>
      <ns0:c r="C781" s="19" t="inlineStr"/>
      <ns0:c r="D781" s="19" t="inlineStr">
        <ns0:is>
          <ns0:t>Pre-decision</ns0:t>
        </ns0:is>
      </ns0:c>
      <ns0:c r="E781" s="19" t="inlineStr">
        <ns0:is>
          <ns0:t>Acoustic cry classification of already characterized children; screening intent is explicit, but it is not prospective newborn prescreening or multisource integration.</ns0:t>
        </ns0:is>
      </ns0:c>
      <ns0:c r="F781" s="19" t="inlineStr">
        <ns0:is>
          <ns0:t>https://doi.org/10.1007/s10803-025-06811-1</ns0:t>
        </ns0:is>
      </ns0:c>
      <ns0:c r="G781" s="19" t="inlineStr">
        <ns0:is>
          <ns0:t>ChatGPT-assisted evidence recharting, 2026-09-08</ns0:t>
        </ns0:is>
      </ns0:c>
    </ns0:row>
    <ns0:row r="782" ht="42" customHeight="1">
      <ns0:c r="A782" s="21" t="inlineStr">
        <ns0:is>
          <ns0:t>141</ns0:t>
        </ns0:is>
      </ns0:c>
      <ns0:c r="B782" s="21" t="inlineStr">
        <ns0:is>
          <ns0:t>multisource_data</ns0:t>
        </ns0:is>
      </ns0:c>
      <ns0:c r="C782" s="21" t="inlineStr">
        <ns0:is>
          <ns0:t>Reported</ns0:t>
        </ns0:is>
      </ns0:c>
      <ns0:c r="D782" s="21" t="inlineStr">
        <ns0:is>
          <ns0:t>Not reported in assessed sources</ns0:t>
        </ns0:is>
      </ns0:c>
      <ns0:c r="E782" s="21" t="inlineStr">
        <ns0:is>
          <ns0:t>Acoustic cry classification of already characterized children; screening intent is explicit, but it is not prospective newborn prescreening or multisource integration.</ns0:t>
        </ns0:is>
      </ns0:c>
      <ns0:c r="F782" s="21" t="inlineStr">
        <ns0:is>
          <ns0:t>https://doi.org/10.1007/s10803-025-06811-1</ns0:t>
        </ns0:is>
      </ns0:c>
      <ns0:c r="G782" s="21" t="inlineStr">
        <ns0:is>
          <ns0:t>ChatGPT-assisted evidence recharting, 2026-09-08</ns0:t>
        </ns0:is>
      </ns0:c>
    </ns0:row>
    <ns0:row r="783" ht="42" customHeight="1">
      <ns0:c r="A783" s="19" t="inlineStr">
        <ns0:is>
          <ns0:t>142</ns0:t>
        </ns0:is>
      </ns0:c>
      <ns0:c r="B783" s="19" t="inlineStr">
        <ns0:is>
          <ns0:t>data_source_primary</ns0:t>
        </ns0:is>
      </ns0:c>
      <ns0:c r="C783" s="19" t="inlineStr">
        <ns0:is>
          <ns0:t>Image (subtype unresolved)</ns0:t>
        </ns0:is>
      </ns0:c>
      <ns0:c r="D783" s="19" t="inlineStr">
        <ns0:is>
          <ns0:t>Multiple source categories</ns0:t>
        </ns0:is>
      </ns0:c>
      <ns0:c r="E783" s="19" t="inlineStr">
        <ns0:is>
          <ns0:t>Explicit audio-visual fusion for automated family-interaction coding; clinically annotated recordings are not proof of deployment in live care.</ns0:t>
        </ns0:is>
      </ns0:c>
      <ns0:c r="F783" s="19" t="inlineStr">
        <ns0:is>
          <ns0:t>https://doi.org/10.1109/jbhi.2025.3542066</ns0:t>
        </ns0:is>
      </ns0:c>
      <ns0:c r="G783" s="19" t="inlineStr">
        <ns0:is>
          <ns0:t>ChatGPT-assisted evidence recharting, 2026-09-08</ns0:t>
        </ns0:is>
      </ns0:c>
    </ns0:row>
    <ns0:row r="784" ht="42" customHeight="1">
      <ns0:c r="A784" s="21" t="inlineStr">
        <ns0:is>
          <ns0:t>142</ns0:t>
        </ns0:is>
      </ns0:c>
      <ns0:c r="B784" s="21" t="inlineStr">
        <ns0:is>
          <ns0:t>algorithm_main</ns0:t>
        </ns0:is>
      </ns0:c>
      <ns0:c r="C784" s="21" t="inlineStr">
        <ns0:is>
          <ns0:t>Transformer</ns0:t>
        </ns0:is>
      </ns0:c>
      <ns0:c r="D784" s="21" t="inlineStr">
        <ns0:is>
          <ns0:t>Audio-visual transformer</ns0:t>
        </ns0:is>
      </ns0:c>
      <ns0:c r="E784" s="21" t="inlineStr">
        <ns0:is>
          <ns0:t>Explicit audio-visual fusion for automated family-interaction coding; clinically annotated recordings are not proof of deployment in live care.</ns0:t>
        </ns0:is>
      </ns0:c>
      <ns0:c r="F784" s="21" t="inlineStr">
        <ns0:is>
          <ns0:t>https://doi.org/10.1109/jbhi.2025.3542066</ns0:t>
        </ns0:is>
      </ns0:c>
      <ns0:c r="G784" s="21" t="inlineStr">
        <ns0:is>
          <ns0:t>ChatGPT-assisted evidence recharting, 2026-09-08</ns0:t>
        </ns0:is>
      </ns0:c>
    </ns0:row>
    <ns0:row r="785" ht="42" customHeight="1">
      <ns0:c r="A785" s="19" t="inlineStr">
        <ns0:is>
          <ns0:t>142</ns0:t>
        </ns0:is>
      </ns0:c>
      <ns0:c r="B785" s="19" t="inlineStr">
        <ns0:is>
          <ns0:t>rq2_status</ns0:t>
        </ns0:is>
      </ns0:c>
      <ns0:c r="C785" s="19" t="inlineStr">
        <ns0:is>
          <ns0:t>Not adjudicated in master</ns0:t>
        </ns0:is>
      </ns0:c>
      <ns0:c r="D785" s="19" t="inlineStr">
        <ns0:is>
          <ns0:t>Proposed only</ns0:t>
        </ns0:is>
      </ns0:c>
      <ns0:c r="E785" s="19" t="inlineStr">
        <ns0:is>
          <ns0:t>Explicit audio-visual fusion for automated family-interaction coding; clinically annotated recordings are not proof of deployment in live care.</ns0:t>
        </ns0:is>
      </ns0:c>
      <ns0:c r="F785" s="19" t="inlineStr">
        <ns0:is>
          <ns0:t>https://doi.org/10.1109/jbhi.2025.3542066</ns0:t>
        </ns0:is>
      </ns0:c>
      <ns0:c r="G785" s="19" t="inlineStr">
        <ns0:is>
          <ns0:t>ChatGPT-assisted evidence recharting, 2026-09-08</ns0:t>
        </ns0:is>
      </ns0:c>
    </ns0:row>
    <ns0:row r="786" ht="42" customHeight="1">
      <ns0:c r="A786" s="21" t="inlineStr">
        <ns0:is>
          <ns0:t>142</ns0:t>
        </ns0:is>
      </ns0:c>
      <ns0:c r="B786" s="21" t="inlineStr">
        <ns0:is>
          <ns0:t>rq2_role</ns0:t>
        </ns0:is>
      </ns0:c>
      <ns0:c r="C786" s="21" t="inlineStr"/>
      <ns0:c r="D786" s="21" t="inlineStr">
        <ns0:is>
          <ns0:t>Automated measurement/classification</ns0:t>
        </ns0:is>
      </ns0:c>
      <ns0:c r="E786" s="21" t="inlineStr">
        <ns0:is>
          <ns0:t>Explicit audio-visual fusion for automated family-interaction coding; clinically annotated recordings are not proof of deployment in live care.</ns0:t>
        </ns0:is>
      </ns0:c>
      <ns0:c r="F786" s="21" t="inlineStr">
        <ns0:is>
          <ns0:t>https://doi.org/10.1109/jbhi.2025.3542066</ns0:t>
        </ns0:is>
      </ns0:c>
      <ns0:c r="G786" s="21" t="inlineStr">
        <ns0:is>
          <ns0:t>ChatGPT-assisted evidence recharting, 2026-09-08</ns0:t>
        </ns0:is>
      </ns0:c>
    </ns0:row>
    <ns0:row r="787" ht="42" customHeight="1">
      <ns0:c r="A787" s="19" t="inlineStr">
        <ns0:is>
          <ns0:t>142</ns0:t>
        </ns0:is>
      </ns0:c>
      <ns0:c r="B787" s="19" t="inlineStr">
        <ns0:is>
          <ns0:t>decision_timing</ns0:t>
        </ns0:is>
      </ns0:c>
      <ns0:c r="C787" s="19" t="inlineStr"/>
      <ns0:c r="D787" s="19" t="inlineStr">
        <ns0:is>
          <ns0:t>Post-decision</ns0:t>
        </ns0:is>
      </ns0:c>
      <ns0:c r="E787" s="19" t="inlineStr">
        <ns0:is>
          <ns0:t>Explicit audio-visual fusion for automated family-interaction coding; clinically annotated recordings are not proof of deployment in live care.</ns0:t>
        </ns0:is>
      </ns0:c>
      <ns0:c r="F787" s="19" t="inlineStr">
        <ns0:is>
          <ns0:t>https://doi.org/10.1109/jbhi.2025.3542066</ns0:t>
        </ns0:is>
      </ns0:c>
      <ns0:c r="G787" s="19" t="inlineStr">
        <ns0:is>
          <ns0:t>ChatGPT-assisted evidence recharting, 2026-09-08</ns0:t>
        </ns0:is>
      </ns0:c>
    </ns0:row>
    <ns0:row r="788" ht="42" customHeight="1">
      <ns0:c r="A788" s="21" t="inlineStr">
        <ns0:is>
          <ns0:t>143</ns0:t>
        </ns0:is>
      </ns0:c>
      <ns0:c r="B788" s="21" t="inlineStr">
        <ns0:is>
          <ns0:t>ai_type</ns0:t>
        </ns0:is>
      </ns0:c>
      <ns0:c r="C788" s="21" t="inlineStr">
        <ns0:is>
          <ns0:t>Deep Learning</ns0:t>
        </ns0:is>
      </ns0:c>
      <ns0:c r="D788" s="21" t="inlineStr">
        <ns0:is>
          <ns0:t>Machine Learning</ns0:t>
        </ns0:is>
      </ns0:c>
      <ns0:c r="E788" s="21" t="inlineStr">
        <ns0:is>
          <ns0:t>Human molecular biomarker-discovery algorithms, not deep learning. Clinical interpretation is limited to candidate-feature discovery, not patient-level diagnostic accuracy.</ns0:t>
        </ns0:is>
      </ns0:c>
      <ns0:c r="F788" s="21" t="inlineStr">
        <ns0:is>
          <ns0:t>https://doi.org/10.1186/s12920-023-01439-5</ns0:t>
        </ns0:is>
      </ns0:c>
      <ns0:c r="G788" s="21" t="inlineStr">
        <ns0:is>
          <ns0:t>ChatGPT-assisted evidence recharting, 2026-09-08</ns0:t>
        </ns0:is>
      </ns0:c>
    </ns0:row>
    <ns0:row r="789" ht="42" customHeight="1">
      <ns0:c r="A789" s="19" t="inlineStr">
        <ns0:is>
          <ns0:t>143</ns0:t>
        </ns0:is>
      </ns0:c>
      <ns0:c r="B789" s="19" t="inlineStr">
        <ns0:is>
          <ns0:t>data_source_primary</ns0:t>
        </ns0:is>
      </ns0:c>
      <ns0:c r="C789" s="19" t="inlineStr">
        <ns0:is>
          <ns0:t>Not specified</ns0:t>
        </ns0:is>
      </ns0:c>
      <ns0:c r="D789" s="19" t="inlineStr">
        <ns0:is>
          <ns0:t>Biological/omics</ns0:t>
        </ns0:is>
      </ns0:c>
      <ns0:c r="E789" s="19" t="inlineStr">
        <ns0:is>
          <ns0:t>Human molecular biomarker-discovery algorithms, not deep learning. Clinical interpretation is limited to candidate-feature discovery, not patient-level diagnostic accuracy.</ns0:t>
        </ns0:is>
      </ns0:c>
      <ns0:c r="F789" s="19" t="inlineStr">
        <ns0:is>
          <ns0:t>https://doi.org/10.1186/s12920-023-01439-5</ns0:t>
        </ns0:is>
      </ns0:c>
      <ns0:c r="G789" s="19" t="inlineStr">
        <ns0:is>
          <ns0:t>ChatGPT-assisted evidence recharting, 2026-09-08</ns0:t>
        </ns0:is>
      </ns0:c>
    </ns0:row>
    <ns0:row r="790" ht="42" customHeight="1">
      <ns0:c r="A790" s="21" t="inlineStr">
        <ns0:is>
          <ns0:t>143</ns0:t>
        </ns0:is>
      </ns0:c>
      <ns0:c r="B790" s="21" t="inlineStr">
        <ns0:is>
          <ns0:t>algorithm_main</ns0:t>
        </ns0:is>
      </ns0:c>
      <ns0:c r="C790" s="21" t="inlineStr">
        <ns0:is>
          <ns0:t>Clustering (k-means / GMM / ...)</ns0:t>
        </ns0:is>
      </ns0:c>
      <ns0:c r="D790" s="21" t="inlineStr">
        <ns0:is>
          <ns0:t>Network-based gene and miRNA prioritization</ns0:t>
        </ns0:is>
      </ns0:c>
      <ns0:c r="E790" s="21" t="inlineStr">
        <ns0:is>
          <ns0:t>Human molecular biomarker-discovery algorithms, not deep learning. Clinical interpretation is limited to candidate-feature discovery, not patient-level diagnostic accuracy.</ns0:t>
        </ns0:is>
      </ns0:c>
      <ns0:c r="F790" s="21" t="inlineStr">
        <ns0:is>
          <ns0:t>https://doi.org/10.1186/s12920-023-01439-5</ns0:t>
        </ns0:is>
      </ns0:c>
      <ns0:c r="G790" s="21" t="inlineStr">
        <ns0:is>
          <ns0:t>ChatGPT-assisted evidence recharting, 2026-09-08</ns0:t>
        </ns0:is>
      </ns0:c>
    </ns0:row>
    <ns0:row r="791" ht="42" customHeight="1">
      <ns0:c r="A791" s="19" t="inlineStr">
        <ns0:is>
          <ns0:t>143</ns0:t>
        </ns0:is>
      </ns0:c>
      <ns0:c r="B791" s="19" t="inlineStr">
        <ns0:is>
          <ns0:t>rq2_status</ns0:t>
        </ns0:is>
      </ns0:c>
      <ns0:c r="C791" s="19" t="inlineStr">
        <ns0:is>
          <ns0:t>Not adjudicated in master</ns0:t>
        </ns0:is>
      </ns0:c>
      <ns0:c r="D791" s="19" t="inlineStr">
        <ns0:is>
          <ns0:t>Research only</ns0:t>
        </ns0:is>
      </ns0:c>
      <ns0:c r="E791" s="19" t="inlineStr">
        <ns0:is>
          <ns0:t>Human molecular biomarker-discovery algorithms, not deep learning. Clinical interpretation is limited to candidate-feature discovery, not patient-level diagnostic accuracy.</ns0:t>
        </ns0:is>
      </ns0:c>
      <ns0:c r="F791" s="19" t="inlineStr">
        <ns0:is>
          <ns0:t>https://doi.org/10.1186/s12920-023-01439-5</ns0:t>
        </ns0:is>
      </ns0:c>
      <ns0:c r="G791" s="19" t="inlineStr">
        <ns0:is>
          <ns0:t>ChatGPT-assisted evidence recharting, 2026-09-08</ns0:t>
        </ns0:is>
      </ns0:c>
    </ns0:row>
    <ns0:row r="792" ht="42" customHeight="1">
      <ns0:c r="A792" s="21" t="inlineStr">
        <ns0:is>
          <ns0:t>143</ns0:t>
        </ns0:is>
      </ns0:c>
      <ns0:c r="B792" s="21" t="inlineStr">
        <ns0:is>
          <ns0:t>rq2_role</ns0:t>
        </ns0:is>
      </ns0:c>
      <ns0:c r="C792" s="21" t="inlineStr"/>
      <ns0:c r="D792" s="21" t="inlineStr">
        <ns0:is>
          <ns0:t>Automated measurement/classification</ns0:t>
        </ns0:is>
      </ns0:c>
      <ns0:c r="E792" s="21" t="inlineStr">
        <ns0:is>
          <ns0:t>Human molecular biomarker-discovery algorithms, not deep learning. Clinical interpretation is limited to candidate-feature discovery, not patient-level diagnostic accuracy.</ns0:t>
        </ns0:is>
      </ns0:c>
      <ns0:c r="F792" s="21" t="inlineStr">
        <ns0:is>
          <ns0:t>https://doi.org/10.1186/s12920-023-01439-5</ns0:t>
        </ns0:is>
      </ns0:c>
      <ns0:c r="G792" s="21" t="inlineStr">
        <ns0:is>
          <ns0:t>ChatGPT-assisted evidence recharting, 2026-09-08</ns0:t>
        </ns0:is>
      </ns0:c>
    </ns0:row>
    <ns0:row r="793" ht="42" customHeight="1">
      <ns0:c r="A793" s="19" t="inlineStr">
        <ns0:is>
          <ns0:t>143</ns0:t>
        </ns0:is>
      </ns0:c>
      <ns0:c r="B793" s="19" t="inlineStr">
        <ns0:is>
          <ns0:t>decision_timing</ns0:t>
        </ns0:is>
      </ns0:c>
      <ns0:c r="C793" s="19" t="inlineStr"/>
      <ns0:c r="D793" s="19" t="inlineStr">
        <ns0:is>
          <ns0:t>Not observed in assessed sources</ns0:t>
        </ns0:is>
      </ns0:c>
      <ns0:c r="E793" s="19" t="inlineStr">
        <ns0:is>
          <ns0:t>Human molecular biomarker-discovery algorithms, not deep learning. Clinical interpretation is limited to candidate-feature discovery, not patient-level diagnostic accuracy.</ns0:t>
        </ns0:is>
      </ns0:c>
      <ns0:c r="F793" s="19" t="inlineStr">
        <ns0:is>
          <ns0:t>https://doi.org/10.1186/s12920-023-01439-5</ns0:t>
        </ns0:is>
      </ns0:c>
      <ns0:c r="G793" s="19" t="inlineStr">
        <ns0:is>
          <ns0:t>ChatGPT-assisted evidence recharting, 2026-09-08</ns0:t>
        </ns0:is>
      </ns0:c>
    </ns0:row>
    <ns0:row r="794" ht="42" customHeight="1">
      <ns0:c r="A794" s="21" t="inlineStr">
        <ns0:is>
          <ns0:t>144</ns0:t>
        </ns0:is>
      </ns0:c>
      <ns0:c r="B794" s="21" t="inlineStr">
        <ns0:is>
          <ns0:t>data_source_primary</ns0:t>
        </ns0:is>
      </ns0:c>
      <ns0:c r="C794" s="21" t="inlineStr">
        <ns0:is>
          <ns0:t>Image (subtype unresolved)</ns0:t>
        </ns0:is>
      </ns0:c>
      <ns0:c r="D794" s="21" t="inlineStr">
        <ns0:is>
          <ns0:t>Behavioral images/video/gaze/movement</ns0:t>
        </ns0:is>
      </ns0:c>
      <ns0:c r="E794" s="21" t="inlineStr">
        <ns0:is>
          <ns0:t>Classifier is trained offline on recorded real-life diagnostic interviews. Clinical provenance of recordings does not mean model outputs supported the clinical decisions.</ns0:t>
        </ns0:is>
      </ns0:c>
      <ns0:c r="F794" s="21" t="inlineStr">
        <ns0:is>
          <ns0:t>https://doi.org/10.1038/s41598-024-56098-y</ns0:t>
        </ns0:is>
      </ns0:c>
      <ns0:c r="G794" s="21" t="inlineStr">
        <ns0:is>
          <ns0:t>ChatGPT-assisted evidence recharting, 2026-09-08</ns0:t>
        </ns0:is>
      </ns0:c>
    </ns0:row>
    <ns0:row r="795" ht="42" customHeight="1">
      <ns0:c r="A795" s="19" t="inlineStr">
        <ns0:is>
          <ns0:t>144</ns0:t>
        </ns0:is>
      </ns0:c>
      <ns0:c r="B795" s="19" t="inlineStr">
        <ns0:is>
          <ns0:t>rq2_status</ns0:t>
        </ns0:is>
      </ns0:c>
      <ns0:c r="C795" s="19" t="inlineStr">
        <ns0:is>
          <ns0:t>Not adjudicated in master</ns0:t>
        </ns0:is>
      </ns0:c>
      <ns0:c r="D795" s="19" t="inlineStr">
        <ns0:is>
          <ns0:t>Research only</ns0:t>
        </ns0:is>
      </ns0:c>
      <ns0:c r="E795" s="19" t="inlineStr">
        <ns0:is>
          <ns0:t>Classifier is trained offline on recorded real-life diagnostic interviews. Clinical provenance of recordings does not mean model outputs supported the clinical decisions.</ns0:t>
        </ns0:is>
      </ns0:c>
      <ns0:c r="F795" s="19" t="inlineStr">
        <ns0:is>
          <ns0:t>https://doi.org/10.1038/s41598-024-56098-y</ns0:t>
        </ns0:is>
      </ns0:c>
      <ns0:c r="G795" s="19" t="inlineStr">
        <ns0:is>
          <ns0:t>ChatGPT-assisted evidence recharting, 2026-09-08</ns0:t>
        </ns0:is>
      </ns0:c>
    </ns0:row>
    <ns0:row r="796" ht="42" customHeight="1">
      <ns0:c r="A796" s="21" t="inlineStr">
        <ns0:is>
          <ns0:t>144</ns0:t>
        </ns0:is>
      </ns0:c>
      <ns0:c r="B796" s="21" t="inlineStr">
        <ns0:is>
          <ns0:t>rq2_role</ns0:t>
        </ns0:is>
      </ns0:c>
      <ns0:c r="C796" s="21" t="inlineStr"/>
      <ns0:c r="D796" s="21" t="inlineStr">
        <ns0:is>
          <ns0:t>Automated measurement/classification</ns0:t>
        </ns0:is>
      </ns0:c>
      <ns0:c r="E796" s="21" t="inlineStr">
        <ns0:is>
          <ns0:t>Classifier is trained offline on recorded real-life diagnostic interviews. Clinical provenance of recordings does not mean model outputs supported the clinical decisions.</ns0:t>
        </ns0:is>
      </ns0:c>
      <ns0:c r="F796" s="21" t="inlineStr">
        <ns0:is>
          <ns0:t>https://doi.org/10.1038/s41598-024-56098-y</ns0:t>
        </ns0:is>
      </ns0:c>
      <ns0:c r="G796" s="21" t="inlineStr">
        <ns0:is>
          <ns0:t>ChatGPT-assisted evidence recharting, 2026-09-08</ns0:t>
        </ns0:is>
      </ns0:c>
    </ns0:row>
    <ns0:row r="797" ht="42" customHeight="1">
      <ns0:c r="A797" s="19" t="inlineStr">
        <ns0:is>
          <ns0:t>144</ns0:t>
        </ns0:is>
      </ns0:c>
      <ns0:c r="B797" s="19" t="inlineStr">
        <ns0:is>
          <ns0:t>decision_timing</ns0:t>
        </ns0:is>
      </ns0:c>
      <ns0:c r="C797" s="19" t="inlineStr"/>
      <ns0:c r="D797" s="19" t="inlineStr">
        <ns0:is>
          <ns0:t>Not observed in assessed sources</ns0:t>
        </ns0:is>
      </ns0:c>
      <ns0:c r="E797" s="19" t="inlineStr">
        <ns0:is>
          <ns0:t>Classifier is trained offline on recorded real-life diagnostic interviews. Clinical provenance of recordings does not mean model outputs supported the clinical decisions.</ns0:t>
        </ns0:is>
      </ns0:c>
      <ns0:c r="F797" s="19" t="inlineStr">
        <ns0:is>
          <ns0:t>https://doi.org/10.1038/s41598-024-56098-y</ns0:t>
        </ns0:is>
      </ns0:c>
      <ns0:c r="G797" s="19" t="inlineStr">
        <ns0:is>
          <ns0:t>ChatGPT-assisted evidence recharting, 2026-09-08</ns0:t>
        </ns0:is>
      </ns0:c>
    </ns0:row>
    <ns0:row r="798" ht="42" customHeight="1">
      <ns0:c r="A798" s="21" t="inlineStr">
        <ns0:is>
          <ns0:t>145</ns0:t>
        </ns0:is>
      </ns0:c>
      <ns0:c r="B798" s="21" t="inlineStr">
        <ns0:is>
          <ns0:t>ai_type</ns0:t>
        </ns0:is>
      </ns0:c>
      <ns0:c r="C798" s="21" t="inlineStr">
        <ns0:is>
          <ns0:t>Deep Learning</ns0:t>
        </ns0:is>
      </ns0:c>
      <ns0:c r="D798" s="21" t="inlineStr">
        <ns0:is>
          <ns0:t>Machine Learning</ns0:t>
        </ns0:is>
      </ns0:c>
      <ns0:c r="E798" s="21" t="inlineStr">
        <ns0:is>
          <ns0:t>Mobile risk assessment was administered at the first developmental-behavioral clinic visit and compared with the encounter diagnosis. This establishes point-of-use evaluation, not proof of improved clinical decisions.</ns0:t>
        </ns0:is>
      </ns0:c>
      <ns0:c r="F798" s="21" t="inlineStr">
        <ns0:is>
          <ns0:t>https://doi.org/10.1007/s10803-016-2718-4</ns0:t>
        </ns0:is>
      </ns0:c>
      <ns0:c r="G798" s="21" t="inlineStr">
        <ns0:is>
          <ns0:t>ChatGPT-assisted evidence recharting, 2026-09-08</ns0:t>
        </ns0:is>
      </ns0:c>
    </ns0:row>
    <ns0:row r="799" ht="42" customHeight="1">
      <ns0:c r="A799" s="19" t="inlineStr">
        <ns0:is>
          <ns0:t>145</ns0:t>
        </ns0:is>
      </ns0:c>
      <ns0:c r="B799" s="19" t="inlineStr">
        <ns0:is>
          <ns0:t>data_source_primary</ns0:t>
        </ns0:is>
      </ns0:c>
      <ns0:c r="C799" s="19" t="inlineStr">
        <ns0:is>
          <ns0:t>Not specified</ns0:t>
        </ns0:is>
      </ns0:c>
      <ns0:c r="D799" s="19" t="inlineStr">
        <ns0:is>
          <ns0:t>Structured clinical/questionnaire data</ns0:t>
        </ns0:is>
      </ns0:c>
      <ns0:c r="E799" s="19" t="inlineStr">
        <ns0:is>
          <ns0:t>Mobile risk assessment was administered at the first developmental-behavioral clinic visit and compared with the encounter diagnosis. This establishes point-of-use evaluation, not proof of improved clinical decisions.</ns0:t>
        </ns0:is>
      </ns0:c>
      <ns0:c r="F799" s="19" t="inlineStr">
        <ns0:is>
          <ns0:t>https://doi.org/10.1007/s10803-016-2718-4</ns0:t>
        </ns0:is>
      </ns0:c>
      <ns0:c r="G799" s="19" t="inlineStr">
        <ns0:is>
          <ns0:t>ChatGPT-assisted evidence recharting, 2026-09-08</ns0:t>
        </ns0:is>
      </ns0:c>
    </ns0:row>
    <ns0:row r="800" ht="42" customHeight="1">
      <ns0:c r="A800" s="21" t="inlineStr">
        <ns0:is>
          <ns0:t>145</ns0:t>
        </ns0:is>
      </ns0:c>
      <ns0:c r="B800" s="21" t="inlineStr">
        <ns0:is>
          <ns0:t>algorithm_main</ns0:t>
        </ns0:is>
      </ns0:c>
      <ns0:c r="C800" s="21" t="inlineStr">
        <ns0:is>
          <ns0:t>Decision Tree</ns0:t>
        </ns0:is>
      </ns0:c>
      <ns0:c r="D800" s="21" t="inlineStr">
        <ns0:is>
          <ns0:t>Alternating decision tree</ns0:t>
        </ns0:is>
      </ns0:c>
      <ns0:c r="E800" s="21" t="inlineStr">
        <ns0:is>
          <ns0:t>Mobile risk assessment was administered at the first developmental-behavioral clinic visit and compared with the encounter diagnosis. This establishes point-of-use evaluation, not proof of improved clinical decisions.</ns0:t>
        </ns0:is>
      </ns0:c>
      <ns0:c r="F800" s="21" t="inlineStr">
        <ns0:is>
          <ns0:t>https://doi.org/10.1007/s10803-016-2718-4</ns0:t>
        </ns0:is>
      </ns0:c>
      <ns0:c r="G800" s="21" t="inlineStr">
        <ns0:is>
          <ns0:t>ChatGPT-assisted evidence recharting, 2026-09-08</ns0:t>
        </ns0:is>
      </ns0:c>
    </ns0:row>
    <ns0:row r="801" ht="42" customHeight="1">
      <ns0:c r="A801" s="19" t="inlineStr">
        <ns0:is>
          <ns0:t>145</ns0:t>
        </ns0:is>
      </ns0:c>
      <ns0:c r="B801" s="19" t="inlineStr">
        <ns0:is>
          <ns0:t>rq2_status</ns0:t>
        </ns0:is>
      </ns0:c>
      <ns0:c r="C801" s="19" t="inlineStr">
        <ns0:is>
          <ns0:t>Not adjudicated in master</ns0:t>
        </ns0:is>
      </ns0:c>
      <ns0:c r="D801" s="19" t="inlineStr">
        <ns0:is>
          <ns0:t>Evaluated at point of use</ns0:t>
        </ns0:is>
      </ns0:c>
      <ns0:c r="E801" s="19" t="inlineStr">
        <ns0:is>
          <ns0:t>Mobile risk assessment was administered at the first developmental-behavioral clinic visit and compared with the encounter diagnosis. This establishes point-of-use evaluation, not proof of improved clinical decisions.</ns0:t>
        </ns0:is>
      </ns0:c>
      <ns0:c r="F801" s="19" t="inlineStr">
        <ns0:is>
          <ns0:t>https://doi.org/10.1007/s10803-016-2718-4</ns0:t>
        </ns0:is>
      </ns0:c>
      <ns0:c r="G801" s="19" t="inlineStr">
        <ns0:is>
          <ns0:t>ChatGPT-assisted evidence recharting, 2026-09-08</ns0:t>
        </ns0:is>
      </ns0:c>
    </ns0:row>
    <ns0:row r="802" ht="42" customHeight="1">
      <ns0:c r="A802" s="21" t="inlineStr">
        <ns0:is>
          <ns0:t>145</ns0:t>
        </ns0:is>
      </ns0:c>
      <ns0:c r="B802" s="21" t="inlineStr">
        <ns0:is>
          <ns0:t>rq2_role</ns0:t>
        </ns0:is>
      </ns0:c>
      <ns0:c r="C802" s="21" t="inlineStr"/>
      <ns0:c r="D802" s="21" t="inlineStr">
        <ns0:is>
          <ns0:t>Mobile assessment</ns0:t>
        </ns0:is>
      </ns0:c>
      <ns0:c r="E802" s="21" t="inlineStr">
        <ns0:is>
          <ns0:t>Mobile risk assessment was administered at the first developmental-behavioral clinic visit and compared with the encounter diagnosis. This establishes point-of-use evaluation, not proof of improved clinical decisions.</ns0:t>
        </ns0:is>
      </ns0:c>
      <ns0:c r="F802" s="21" t="inlineStr">
        <ns0:is>
          <ns0:t>https://doi.org/10.1007/s10803-016-2718-4</ns0:t>
        </ns0:is>
      </ns0:c>
      <ns0:c r="G802" s="21" t="inlineStr">
        <ns0:is>
          <ns0:t>ChatGPT-assisted evidence recharting, 2026-09-08</ns0:t>
        </ns0:is>
      </ns0:c>
    </ns0:row>
    <ns0:row r="803" ht="42" customHeight="1">
      <ns0:c r="A803" s="19" t="inlineStr">
        <ns0:is>
          <ns0:t>145</ns0:t>
        </ns0:is>
      </ns0:c>
      <ns0:c r="B803" s="19" t="inlineStr">
        <ns0:is>
          <ns0:t>decision_timing</ns0:t>
        </ns0:is>
      </ns0:c>
      <ns0:c r="C803" s="19" t="inlineStr"/>
      <ns0:c r="D803" s="19" t="inlineStr">
        <ns0:is>
          <ns0:t>Pre-decision</ns0:t>
        </ns0:is>
      </ns0:c>
      <ns0:c r="E803" s="19" t="inlineStr">
        <ns0:is>
          <ns0:t>Mobile risk assessment was administered at the first developmental-behavioral clinic visit and compared with the encounter diagnosis. This establishes point-of-use evaluation, not proof of improved clinical decisions.</ns0:t>
        </ns0:is>
      </ns0:c>
      <ns0:c r="F803" s="19" t="inlineStr">
        <ns0:is>
          <ns0:t>https://doi.org/10.1007/s10803-016-2718-4</ns0:t>
        </ns0:is>
      </ns0:c>
      <ns0:c r="G803" s="19" t="inlineStr">
        <ns0:is>
          <ns0:t>ChatGPT-assisted evidence recharting, 2026-09-08</ns0:t>
        </ns0:is>
      </ns0:c>
    </ns0:row>
    <ns0:row r="804" ht="42" customHeight="1">
      <ns0:c r="A804" s="21" t="inlineStr">
        <ns0:is>
          <ns0:t>145</ns0:t>
        </ns0:is>
      </ns0:c>
      <ns0:c r="B804" s="21" t="inlineStr">
        <ns0:is>
          <ns0:t>external_validation</ns0:t>
        </ns0:is>
      </ns0:c>
      <ns0:c r="C804" s="21" t="inlineStr">
        <ns0:is>
          <ns0:t>Not reported in assessed sources</ns0:t>
        </ns0:is>
      </ns0:c>
      <ns0:c r="D804" s="21" t="inlineStr">
        <ns0:is>
          <ns0:t>Reported</ns0:t>
        </ns0:is>
      </ns0:c>
      <ns0:c r="E804" s="21" t="inlineStr">
        <ns0:is>
          <ns0:t>Mobile risk assessment was administered at the first developmental-behavioral clinic visit and compared with the encounter diagnosis. This establishes point-of-use evaluation, not proof of improved clinical decisions.</ns0:t>
        </ns0:is>
      </ns0:c>
      <ns0:c r="F804" s="21" t="inlineStr">
        <ns0:is>
          <ns0:t>https://doi.org/10.1007/s10803-016-2718-4</ns0:t>
        </ns0:is>
      </ns0:c>
      <ns0:c r="G804" s="21" t="inlineStr">
        <ns0:is>
          <ns0:t>ChatGPT-assisted evidence recharting, 2026-09-08</ns0:t>
        </ns0:is>
      </ns0:c>
    </ns0:row>
    <ns0:row r="805" ht="42" customHeight="1">
      <ns0:c r="A805" s="19" t="inlineStr">
        <ns0:is>
          <ns0:t>145</ns0:t>
        </ns0:is>
      </ns0:c>
      <ns0:c r="B805" s="19" t="inlineStr">
        <ns0:is>
          <ns0:t>prospective_evaluation</ns0:t>
        </ns0:is>
      </ns0:c>
      <ns0:c r="C805" s="19" t="inlineStr">
        <ns0:is>
          <ns0:t>Not reported in assessed sources</ns0:t>
        </ns0:is>
      </ns0:c>
      <ns0:c r="D805" s="19" t="inlineStr">
        <ns0:is>
          <ns0:t>Reported</ns0:t>
        </ns0:is>
      </ns0:c>
      <ns0:c r="E805" s="19" t="inlineStr">
        <ns0:is>
          <ns0:t>Mobile risk assessment was administered at the first developmental-behavioral clinic visit and compared with the encounter diagnosis. This establishes point-of-use evaluation, not proof of improved clinical decisions.</ns0:t>
        </ns0:is>
      </ns0:c>
      <ns0:c r="F805" s="19" t="inlineStr">
        <ns0:is>
          <ns0:t>https://doi.org/10.1007/s10803-016-2718-4</ns0:t>
        </ns0:is>
      </ns0:c>
      <ns0:c r="G805" s="19" t="inlineStr">
        <ns0:is>
          <ns0:t>ChatGPT-assisted evidence recharting, 2026-09-08</ns0:t>
        </ns0:is>
      </ns0:c>
    </ns0:row>
    <ns0:row r="806" ht="42" customHeight="1">
      <ns0:c r="A806" s="21" t="inlineStr">
        <ns0:is>
          <ns0:t>146</ns0:t>
        </ns0:is>
      </ns0:c>
      <ns0:c r="B806" s="21" t="inlineStr">
        <ns0:is>
          <ns0:t>ai_type</ns0:t>
        </ns0:is>
      </ns0:c>
      <ns0:c r="C806" s="21" t="inlineStr">
        <ns0:is>
          <ns0:t>Hybrid</ns0:t>
        </ns0:is>
      </ns0:c>
      <ns0:c r="D806" s="21" t="inlineStr">
        <ns0:is>
          <ns0:t>Machine Learning</ns0:t>
        </ns0:is>
      </ns0:c>
      <ns0:c r="E806" s="21" t="inlineStr">
        <ns0:is>
          <ns0:t>Explicit best-performing J48 in classifier comparison; not SVM or a hybrid architecture. Missing-value imputation is preprocessing, not another modality.</ns0:t>
        </ns0:is>
      </ns0:c>
      <ns0:c r="F806" s="21" t="inlineStr">
        <ns0:is>
          <ns0:t>https://doi.org/10.1186/s12911-022-02050-x</ns0:t>
        </ns0:is>
      </ns0:c>
      <ns0:c r="G806" s="21" t="inlineStr">
        <ns0:is>
          <ns0:t>ChatGPT-assisted evidence recharting, 2026-09-08</ns0:t>
        </ns0:is>
      </ns0:c>
    </ns0:row>
    <ns0:row r="807" ht="42" customHeight="1">
      <ns0:c r="A807" s="19" t="inlineStr">
        <ns0:is>
          <ns0:t>146</ns0:t>
        </ns0:is>
      </ns0:c>
      <ns0:c r="B807" s="19" t="inlineStr">
        <ns0:is>
          <ns0:t>data_source_primary</ns0:t>
        </ns0:is>
      </ns0:c>
      <ns0:c r="C807" s="19" t="inlineStr">
        <ns0:is>
          <ns0:t>Not specified</ns0:t>
        </ns0:is>
      </ns0:c>
      <ns0:c r="D807" s="19" t="inlineStr">
        <ns0:is>
          <ns0:t>Structured clinical/questionnaire data</ns0:t>
        </ns0:is>
      </ns0:c>
      <ns0:c r="E807" s="19" t="inlineStr">
        <ns0:is>
          <ns0:t>Explicit best-performing J48 in classifier comparison; not SVM or a hybrid architecture. Missing-value imputation is preprocessing, not another modality.</ns0:t>
        </ns0:is>
      </ns0:c>
      <ns0:c r="F807" s="19" t="inlineStr">
        <ns0:is>
          <ns0:t>https://doi.org/10.1186/s12911-022-02050-x</ns0:t>
        </ns0:is>
      </ns0:c>
      <ns0:c r="G807" s="19" t="inlineStr">
        <ns0:is>
          <ns0:t>ChatGPT-assisted evidence recharting, 2026-09-08</ns0:t>
        </ns0:is>
      </ns0:c>
    </ns0:row>
    <ns0:row r="808" ht="42" customHeight="1">
      <ns0:c r="A808" s="21" t="inlineStr">
        <ns0:is>
          <ns0:t>146</ns0:t>
        </ns0:is>
      </ns0:c>
      <ns0:c r="B808" s="21" t="inlineStr">
        <ns0:is>
          <ns0:t>algorithm_main</ns0:t>
        </ns0:is>
      </ns0:c>
      <ns0:c r="C808" s="21" t="inlineStr">
        <ns0:is>
          <ns0:t>SVM</ns0:t>
        </ns0:is>
      </ns0:c>
      <ns0:c r="D808" s="21" t="inlineStr">
        <ns0:is>
          <ns0:t>J48 decision tree</ns0:t>
        </ns0:is>
      </ns0:c>
      <ns0:c r="E808" s="21" t="inlineStr">
        <ns0:is>
          <ns0:t>Explicit best-performing J48 in classifier comparison; not SVM or a hybrid architecture. Missing-value imputation is preprocessing, not another modality.</ns0:t>
        </ns0:is>
      </ns0:c>
      <ns0:c r="F808" s="21" t="inlineStr">
        <ns0:is>
          <ns0:t>https://doi.org/10.1186/s12911-022-02050-x</ns0:t>
        </ns0:is>
      </ns0:c>
      <ns0:c r="G808" s="21" t="inlineStr">
        <ns0:is>
          <ns0:t>ChatGPT-assisted evidence recharting, 2026-09-08</ns0:t>
        </ns0:is>
      </ns0:c>
    </ns0:row>
    <ns0:row r="809" ht="42" customHeight="1">
      <ns0:c r="A809" s="19" t="inlineStr">
        <ns0:is>
          <ns0:t>146</ns0:t>
        </ns0:is>
      </ns0:c>
      <ns0:c r="B809" s="19" t="inlineStr">
        <ns0:is>
          <ns0:t>rq2_status</ns0:t>
        </ns0:is>
      </ns0:c>
      <ns0:c r="C809" s="19" t="inlineStr">
        <ns0:is>
          <ns0:t>Not adjudicated in master</ns0:t>
        </ns0:is>
      </ns0:c>
      <ns0:c r="D809" s="19" t="inlineStr">
        <ns0:is>
          <ns0:t>Research only</ns0:t>
        </ns0:is>
      </ns0:c>
      <ns0:c r="E809" s="19" t="inlineStr">
        <ns0:is>
          <ns0:t>Explicit best-performing J48 in classifier comparison; not SVM or a hybrid architecture. Missing-value imputation is preprocessing, not another modality.</ns0:t>
        </ns0:is>
      </ns0:c>
      <ns0:c r="F809" s="19" t="inlineStr">
        <ns0:is>
          <ns0:t>https://doi.org/10.1186/s12911-022-02050-x</ns0:t>
        </ns0:is>
      </ns0:c>
      <ns0:c r="G809" s="19" t="inlineStr">
        <ns0:is>
          <ns0:t>ChatGPT-assisted evidence recharting, 2026-09-08</ns0:t>
        </ns0:is>
      </ns0:c>
    </ns0:row>
    <ns0:row r="810" ht="42" customHeight="1">
      <ns0:c r="A810" s="21" t="inlineStr">
        <ns0:is>
          <ns0:t>146</ns0:t>
        </ns0:is>
      </ns0:c>
      <ns0:c r="B810" s="21" t="inlineStr">
        <ns0:is>
          <ns0:t>rq2_role</ns0:t>
        </ns0:is>
      </ns0:c>
      <ns0:c r="C810" s="21" t="inlineStr"/>
      <ns0:c r="D810" s="21" t="inlineStr">
        <ns0:is>
          <ns0:t>Triage/questionnaire assessment</ns0:t>
        </ns0:is>
      </ns0:c>
      <ns0:c r="E810" s="21" t="inlineStr">
        <ns0:is>
          <ns0:t>Explicit best-performing J48 in classifier comparison; not SVM or a hybrid architecture. Missing-value imputation is preprocessing, not another modality.</ns0:t>
        </ns0:is>
      </ns0:c>
      <ns0:c r="F810" s="21" t="inlineStr">
        <ns0:is>
          <ns0:t>https://doi.org/10.1186/s12911-022-02050-x</ns0:t>
        </ns0:is>
      </ns0:c>
      <ns0:c r="G810" s="21" t="inlineStr">
        <ns0:is>
          <ns0:t>ChatGPT-assisted evidence recharting, 2026-09-08</ns0:t>
        </ns0:is>
      </ns0:c>
    </ns0:row>
    <ns0:row r="811" ht="42" customHeight="1">
      <ns0:c r="A811" s="19" t="inlineStr">
        <ns0:is>
          <ns0:t>146</ns0:t>
        </ns0:is>
      </ns0:c>
      <ns0:c r="B811" s="19" t="inlineStr">
        <ns0:is>
          <ns0:t>decision_timing</ns0:t>
        </ns0:is>
      </ns0:c>
      <ns0:c r="C811" s="19" t="inlineStr"/>
      <ns0:c r="D811" s="19" t="inlineStr">
        <ns0:is>
          <ns0:t>Not observed in assessed sources</ns0:t>
        </ns0:is>
      </ns0:c>
      <ns0:c r="E811" s="19" t="inlineStr">
        <ns0:is>
          <ns0:t>Explicit best-performing J48 in classifier comparison; not SVM or a hybrid architecture. Missing-value imputation is preprocessing, not another modality.</ns0:t>
        </ns0:is>
      </ns0:c>
      <ns0:c r="F811" s="19" t="inlineStr">
        <ns0:is>
          <ns0:t>https://doi.org/10.1186/s12911-022-02050-x</ns0:t>
        </ns0:is>
      </ns0:c>
      <ns0:c r="G811" s="19" t="inlineStr">
        <ns0:is>
          <ns0:t>ChatGPT-assisted evidence recharting, 2026-09-08</ns0:t>
        </ns0:is>
      </ns0:c>
    </ns0:row>
    <ns0:row r="812" ht="42" customHeight="1">
      <ns0:c r="A812" s="21" t="inlineStr">
        <ns0:is>
          <ns0:t>147</ns0:t>
        </ns0:is>
      </ns0:c>
      <ns0:c r="B812" s="21" t="inlineStr">
        <ns0:is>
          <ns0:t>data_source_primary</ns0:t>
        </ns0:is>
      </ns0:c>
      <ns0:c r="C812" s="21" t="inlineStr">
        <ns0:is>
          <ns0:t>Multiple modalities (as coded)</ns0:t>
        </ns0:is>
      </ns0:c>
      <ns0:c r="D812" s="21" t="inlineStr">
        <ns0:is>
          <ns0:t>Multiple source categories</ns0:t>
        </ns0:is>
      </ns0:c>
      <ns0:c r="E812" s="21" t="inlineStr">
        <ns0:is>
          <ns0:t>Explicit multimodal fusion and region-of-interest extraction in ABIDE. Site aggregation does not establish cross-site held-out testing.</ns0:t>
        </ns0:is>
      </ns0:c>
      <ns0:c r="F812" s="21" t="inlineStr">
        <ns0:is>
          <ns0:t>https://doi.org/10.1109/tcss.2025.3593119</ns0:t>
        </ns0:is>
      </ns0:c>
      <ns0:c r="G812" s="21" t="inlineStr">
        <ns0:is>
          <ns0:t>ChatGPT-assisted evidence recharting, 2026-09-08</ns0:t>
        </ns0:is>
      </ns0:c>
    </ns0:row>
    <ns0:row r="813" ht="42" customHeight="1">
      <ns0:c r="A813" s="19" t="inlineStr">
        <ns0:is>
          <ns0:t>147</ns0:t>
        </ns0:is>
      </ns0:c>
      <ns0:c r="B813" s="19" t="inlineStr">
        <ns0:is>
          <ns0:t>algorithm_main</ns0:t>
        </ns0:is>
      </ns0:c>
      <ns0:c r="C813" s="19" t="inlineStr">
        <ns0:is>
          <ns0:t>Other / Not clear</ns0:t>
        </ns0:is>
      </ns0:c>
      <ns0:c r="D813" s="19" t="inlineStr">
        <ns0:is>
          <ns0:t>Dual-attention learning neural network</ns0:t>
        </ns0:is>
      </ns0:c>
      <ns0:c r="E813" s="19" t="inlineStr">
        <ns0:is>
          <ns0:t>Explicit multimodal fusion and region-of-interest extraction in ABIDE. Site aggregation does not establish cross-site held-out testing.</ns0:t>
        </ns0:is>
      </ns0:c>
      <ns0:c r="F813" s="19" t="inlineStr">
        <ns0:is>
          <ns0:t>https://doi.org/10.1109/tcss.2025.3593119</ns0:t>
        </ns0:is>
      </ns0:c>
      <ns0:c r="G813" s="19" t="inlineStr">
        <ns0:is>
          <ns0:t>ChatGPT-assisted evidence recharting, 2026-09-08</ns0:t>
        </ns0:is>
      </ns0:c>
    </ns0:row>
    <ns0:row r="814" ht="42" customHeight="1">
      <ns0:c r="A814" s="21" t="inlineStr">
        <ns0:is>
          <ns0:t>147</ns0:t>
        </ns0:is>
      </ns0:c>
      <ns0:c r="B814" s="21" t="inlineStr">
        <ns0:is>
          <ns0:t>rq2_status</ns0:t>
        </ns0:is>
      </ns0:c>
      <ns0:c r="C814" s="21" t="inlineStr">
        <ns0:is>
          <ns0:t>Not adjudicated in master</ns0:t>
        </ns0:is>
      </ns0:c>
      <ns0:c r="D814" s="21" t="inlineStr">
        <ns0:is>
          <ns0:t>Research only</ns0:t>
        </ns0:is>
      </ns0:c>
      <ns0:c r="E814" s="21" t="inlineStr">
        <ns0:is>
          <ns0:t>Explicit multimodal fusion and region-of-interest extraction in ABIDE. Site aggregation does not establish cross-site held-out testing.</ns0:t>
        </ns0:is>
      </ns0:c>
      <ns0:c r="F814" s="21" t="inlineStr">
        <ns0:is>
          <ns0:t>https://doi.org/10.1109/tcss.2025.3593119</ns0:t>
        </ns0:is>
      </ns0:c>
      <ns0:c r="G814" s="21" t="inlineStr">
        <ns0:is>
          <ns0:t>ChatGPT-assisted evidence recharting, 2026-09-08</ns0:t>
        </ns0:is>
      </ns0:c>
    </ns0:row>
    <ns0:row r="815" ht="42" customHeight="1">
      <ns0:c r="A815" s="19" t="inlineStr">
        <ns0:is>
          <ns0:t>147</ns0:t>
        </ns0:is>
      </ns0:c>
      <ns0:c r="B815" s="19" t="inlineStr">
        <ns0:is>
          <ns0:t>rq2_role</ns0:t>
        </ns0:is>
      </ns0:c>
      <ns0:c r="C815" s="19" t="inlineStr"/>
      <ns0:c r="D815" s="19" t="inlineStr">
        <ns0:is>
          <ns0:t>Automated measurement/classification</ns0:t>
        </ns0:is>
      </ns0:c>
      <ns0:c r="E815" s="19" t="inlineStr">
        <ns0:is>
          <ns0:t>Explicit multimodal fusion and region-of-interest extraction in ABIDE. Site aggregation does not establish cross-site held-out testing.</ns0:t>
        </ns0:is>
      </ns0:c>
      <ns0:c r="F815" s="19" t="inlineStr">
        <ns0:is>
          <ns0:t>https://doi.org/10.1109/tcss.2025.3593119</ns0:t>
        </ns0:is>
      </ns0:c>
      <ns0:c r="G815" s="19" t="inlineStr">
        <ns0:is>
          <ns0:t>ChatGPT-assisted evidence recharting, 2026-09-08</ns0:t>
        </ns0:is>
      </ns0:c>
    </ns0:row>
    <ns0:row r="816" ht="42" customHeight="1">
      <ns0:c r="A816" s="21" t="inlineStr">
        <ns0:is>
          <ns0:t>147</ns0:t>
        </ns0:is>
      </ns0:c>
      <ns0:c r="B816" s="21" t="inlineStr">
        <ns0:is>
          <ns0:t>decision_timing</ns0:t>
        </ns0:is>
      </ns0:c>
      <ns0:c r="C816" s="21" t="inlineStr"/>
      <ns0:c r="D816" s="21" t="inlineStr">
        <ns0:is>
          <ns0:t>Not observed in assessed sources</ns0:t>
        </ns0:is>
      </ns0:c>
      <ns0:c r="E816" s="21" t="inlineStr">
        <ns0:is>
          <ns0:t>Explicit multimodal fusion and region-of-interest extraction in ABIDE. Site aggregation does not establish cross-site held-out testing.</ns0:t>
        </ns0:is>
      </ns0:c>
      <ns0:c r="F816" s="21" t="inlineStr">
        <ns0:is>
          <ns0:t>https://doi.org/10.1109/tcss.2025.3593119</ns0:t>
        </ns0:is>
      </ns0:c>
      <ns0:c r="G816" s="21" t="inlineStr">
        <ns0:is>
          <ns0:t>ChatGPT-assisted evidence recharting, 2026-09-08</ns0:t>
        </ns0:is>
      </ns0:c>
    </ns0:row>
    <ns0:row r="817" ht="42" customHeight="1">
      <ns0:c r="A817" s="19" t="inlineStr">
        <ns0:is>
          <ns0:t>147</ns0:t>
        </ns0:is>
      </ns0:c>
      <ns0:c r="B817" s="19" t="inlineStr">
        <ns0:is>
          <ns0:t>xai_partial</ns0:t>
        </ns0:is>
      </ns0:c>
      <ns0:c r="C817" s="19" t="inlineStr">
        <ns0:is>
          <ns0:t>Not reported in assessed sources</ns0:t>
        </ns0:is>
      </ns0:c>
      <ns0:c r="D817" s="19" t="inlineStr">
        <ns0:is>
          <ns0:t>Reported</ns0:t>
        </ns0:is>
      </ns0:c>
      <ns0:c r="E817" s="19" t="inlineStr">
        <ns0:is>
          <ns0:t>Explicit multimodal fusion and region-of-interest extraction in ABIDE. Site aggregation does not establish cross-site held-out testing.</ns0:t>
        </ns0:is>
      </ns0:c>
      <ns0:c r="F817" s="19" t="inlineStr">
        <ns0:is>
          <ns0:t>https://doi.org/10.1109/tcss.2025.3593119</ns0:t>
        </ns0:is>
      </ns0:c>
      <ns0:c r="G817" s="19" t="inlineStr">
        <ns0:is>
          <ns0:t>ChatGPT-assisted evidence recharting, 2026-09-08</ns0:t>
        </ns0:is>
      </ns0:c>
    </ns0:row>
    <ns0:row r="818" ht="42" customHeight="1">
      <ns0:c r="A818" s="21" t="inlineStr">
        <ns0:is>
          <ns0:t>148</ns0:t>
        </ns0:is>
      </ns0:c>
      <ns0:c r="B818" s="21" t="inlineStr">
        <ns0:is>
          <ns0:t>ai_type</ns0:t>
        </ns0:is>
      </ns0:c>
      <ns0:c r="C818" s="21" t="inlineStr">
        <ns0:is>
          <ns0:t>Deep Learning</ns0:t>
        </ns0:is>
      </ns0:c>
      <ns0:c r="D818" s="21" t="inlineStr">
        <ns0:is>
          <ns0:t>Machine Learning</ns0:t>
        </ns0:is>
      </ns0:c>
      <ns0:c r="E818" s="21" t="inlineStr">
        <ns0:is>
          <ns0:t>ERG at two flash strengths and two transforms remains a single physiological modality; no deep architecture is identified.</ns0:t>
        </ns0:is>
      </ns0:c>
      <ns0:c r="F818" s="21" t="inlineStr">
        <ns0:is>
          <ns0:t>https://doi.org/10.1007/s10803-024-06290-w</ns0:t>
        </ns0:is>
      </ns0:c>
      <ns0:c r="G818" s="21" t="inlineStr">
        <ns0:is>
          <ns0:t>ChatGPT-assisted evidence recharting, 2026-09-08</ns0:t>
        </ns0:is>
      </ns0:c>
    </ns0:row>
    <ns0:row r="819" ht="42" customHeight="1">
      <ns0:c r="A819" s="19" t="inlineStr">
        <ns0:is>
          <ns0:t>148</ns0:t>
        </ns0:is>
      </ns0:c>
      <ns0:c r="B819" s="19" t="inlineStr">
        <ns0:is>
          <ns0:t>algorithm_main</ns0:t>
        </ns0:is>
      </ns0:c>
      <ns0:c r="C819" s="19" t="inlineStr">
        <ns0:is>
          <ns0:t>Not clear</ns0:t>
        </ns0:is>
      </ns0:c>
      <ns0:c r="D819" s="19" t="inlineStr">
        <ns0:is>
          <ns0:t>Time-frequency feature classifiers; family unresolved</ns0:t>
        </ns0:is>
      </ns0:c>
      <ns0:c r="E819" s="19" t="inlineStr">
        <ns0:is>
          <ns0:t>ERG at two flash strengths and two transforms remains a single physiological modality; no deep architecture is identified.</ns0:t>
        </ns0:is>
      </ns0:c>
      <ns0:c r="F819" s="19" t="inlineStr">
        <ns0:is>
          <ns0:t>https://doi.org/10.1007/s10803-024-06290-w</ns0:t>
        </ns0:is>
      </ns0:c>
      <ns0:c r="G819" s="19" t="inlineStr">
        <ns0:is>
          <ns0:t>ChatGPT-assisted evidence recharting, 2026-09-08</ns0:t>
        </ns0:is>
      </ns0:c>
    </ns0:row>
    <ns0:row r="820" ht="42" customHeight="1">
      <ns0:c r="A820" s="21" t="inlineStr">
        <ns0:is>
          <ns0:t>148</ns0:t>
        </ns0:is>
      </ns0:c>
      <ns0:c r="B820" s="21" t="inlineStr">
        <ns0:is>
          <ns0:t>rq2_status</ns0:t>
        </ns0:is>
      </ns0:c>
      <ns0:c r="C820" s="21" t="inlineStr">
        <ns0:is>
          <ns0:t>Not adjudicated in master</ns0:t>
        </ns0:is>
      </ns0:c>
      <ns0:c r="D820" s="21" t="inlineStr">
        <ns0:is>
          <ns0:t>Research only</ns0:t>
        </ns0:is>
      </ns0:c>
      <ns0:c r="E820" s="21" t="inlineStr">
        <ns0:is>
          <ns0:t>ERG at two flash strengths and two transforms remains a single physiological modality; no deep architecture is identified.</ns0:t>
        </ns0:is>
      </ns0:c>
      <ns0:c r="F820" s="21" t="inlineStr">
        <ns0:is>
          <ns0:t>https://doi.org/10.1007/s10803-024-06290-w</ns0:t>
        </ns0:is>
      </ns0:c>
      <ns0:c r="G820" s="21" t="inlineStr">
        <ns0:is>
          <ns0:t>ChatGPT-assisted evidence recharting, 2026-09-08</ns0:t>
        </ns0:is>
      </ns0:c>
    </ns0:row>
    <ns0:row r="821" ht="42" customHeight="1">
      <ns0:c r="A821" s="19" t="inlineStr">
        <ns0:is>
          <ns0:t>148</ns0:t>
        </ns0:is>
      </ns0:c>
      <ns0:c r="B821" s="19" t="inlineStr">
        <ns0:is>
          <ns0:t>rq2_role</ns0:t>
        </ns0:is>
      </ns0:c>
      <ns0:c r="C821" s="19" t="inlineStr"/>
      <ns0:c r="D821" s="19" t="inlineStr">
        <ns0:is>
          <ns0:t>Automated measurement/classification</ns0:t>
        </ns0:is>
      </ns0:c>
      <ns0:c r="E821" s="19" t="inlineStr">
        <ns0:is>
          <ns0:t>ERG at two flash strengths and two transforms remains a single physiological modality; no deep architecture is identified.</ns0:t>
        </ns0:is>
      </ns0:c>
      <ns0:c r="F821" s="19" t="inlineStr">
        <ns0:is>
          <ns0:t>https://doi.org/10.1007/s10803-024-06290-w</ns0:t>
        </ns0:is>
      </ns0:c>
      <ns0:c r="G821" s="19" t="inlineStr">
        <ns0:is>
          <ns0:t>ChatGPT-assisted evidence recharting, 2026-09-08</ns0:t>
        </ns0:is>
      </ns0:c>
    </ns0:row>
    <ns0:row r="822" ht="42" customHeight="1">
      <ns0:c r="A822" s="21" t="inlineStr">
        <ns0:is>
          <ns0:t>148</ns0:t>
        </ns0:is>
      </ns0:c>
      <ns0:c r="B822" s="21" t="inlineStr">
        <ns0:is>
          <ns0:t>decision_timing</ns0:t>
        </ns0:is>
      </ns0:c>
      <ns0:c r="C822" s="21" t="inlineStr"/>
      <ns0:c r="D822" s="21" t="inlineStr">
        <ns0:is>
          <ns0:t>Not observed in assessed sources</ns0:t>
        </ns0:is>
      </ns0:c>
      <ns0:c r="E822" s="21" t="inlineStr">
        <ns0:is>
          <ns0:t>ERG at two flash strengths and two transforms remains a single physiological modality; no deep architecture is identified.</ns0:t>
        </ns0:is>
      </ns0:c>
      <ns0:c r="F822" s="21" t="inlineStr">
        <ns0:is>
          <ns0:t>https://doi.org/10.1007/s10803-024-06290-w</ns0:t>
        </ns0:is>
      </ns0:c>
      <ns0:c r="G822" s="21" t="inlineStr">
        <ns0:is>
          <ns0:t>ChatGPT-assisted evidence recharting, 2026-09-08</ns0:t>
        </ns0:is>
      </ns0:c>
    </ns0:row>
    <ns0:row r="823" ht="42" customHeight="1">
      <ns0:c r="A823" s="19" t="inlineStr">
        <ns0:is>
          <ns0:t>148</ns0:t>
        </ns0:is>
      </ns0:c>
      <ns0:c r="B823" s="19" t="inlineStr">
        <ns0:is>
          <ns0:t>multisource_data</ns0:t>
        </ns0:is>
      </ns0:c>
      <ns0:c r="C823" s="19" t="inlineStr">
        <ns0:is>
          <ns0:t>Reported</ns0:t>
        </ns0:is>
      </ns0:c>
      <ns0:c r="D823" s="19" t="inlineStr">
        <ns0:is>
          <ns0:t>Not reported in assessed sources</ns0:t>
        </ns0:is>
      </ns0:c>
      <ns0:c r="E823" s="19" t="inlineStr">
        <ns0:is>
          <ns0:t>ERG at two flash strengths and two transforms remains a single physiological modality; no deep architecture is identified.</ns0:t>
        </ns0:is>
      </ns0:c>
      <ns0:c r="F823" s="19" t="inlineStr">
        <ns0:is>
          <ns0:t>https://doi.org/10.1007/s10803-024-06290-w</ns0:t>
        </ns0:is>
      </ns0:c>
      <ns0:c r="G823" s="19" t="inlineStr">
        <ns0:is>
          <ns0:t>ChatGPT-assisted evidence recharting, 2026-09-08</ns0:t>
        </ns0:is>
      </ns0:c>
    </ns0:row>
    <ns0:row r="824" ht="45" customHeight="1">
      <ns0:c r="A824" s="21" t="inlineStr">
        <ns0:is>
          <ns0:t>149</ns0:t>
        </ns0:is>
      </ns0:c>
      <ns0:c r="B824" s="21" t="inlineStr">
        <ns0:is>
          <ns0:t>ai_type</ns0:t>
        </ns0:is>
      </ns0:c>
      <ns0:c r="C824" s="21" t="inlineStr">
        <ns0:is>
          <ns0:t>Hybrid</ns0:t>
        </ns0:is>
      </ns0:c>
      <ns0:c r="D824" s="21" t="inlineStr">
        <ns0:is>
          <ns0:t>Machine Learning</ns0:t>
        </ns0:is>
      </ns0:c>
      <ns0:c r="E824" s="21" t="inlineStr">
        <ns0:is>
          <ns0:t>Retained because the computational method is explicitly evaluated on human ASD datasets, despite its animal-derived prior. Genetically selected brain regions do not constitute human genetic inputs.
Animal-derived feature prior; human ASD evaluation is present. Keep separate from purely non-human studies.</ns0:t>
        </ns0:is>
      </ns0:c>
      <ns0:c r="F824" s="21" t="inlineStr">
        <ns0:is>
          <ns0:t>https://doi.org/10.1176/appi.ajp.2020.19101091</ns0:t>
        </ns0:is>
      </ns0:c>
      <ns0:c r="G824" s="21" t="inlineStr">
        <ns0:is>
          <ns0:t>ChatGPT-assisted evidence recharting, 2026-09-08</ns0:t>
        </ns0:is>
      </ns0:c>
    </ns0:row>
    <ns0:row r="825" ht="45" customHeight="1">
      <ns0:c r="A825" s="19" t="inlineStr">
        <ns0:is>
          <ns0:t>149</ns0:t>
        </ns0:is>
      </ns0:c>
      <ns0:c r="B825" s="19" t="inlineStr">
        <ns0:is>
          <ns0:t>data_source_primary</ns0:t>
        </ns0:is>
      </ns0:c>
      <ns0:c r="C825" s="19" t="inlineStr">
        <ns0:is>
          <ns0:t>Multiple modalities (as coded)</ns0:t>
        </ns0:is>
      </ns0:c>
      <ns0:c r="D825" s="19" t="inlineStr">
        <ns0:is>
          <ns0:t>Neuroimaging</ns0:t>
        </ns0:is>
      </ns0:c>
      <ns0:c r="E825" s="19" t="inlineStr">
        <ns0:is>
          <ns0:t>Retained because the computational method is explicitly evaluated on human ASD datasets, despite its animal-derived prior. Genetically selected brain regions do not constitute human genetic inputs.
Animal-derived feature prior; human ASD evaluation is present. Keep separate from purely non-human studies.</ns0:t>
        </ns0:is>
      </ns0:c>
      <ns0:c r="F825" s="19" t="inlineStr">
        <ns0:is>
          <ns0:t>https://doi.org/10.1176/appi.ajp.2020.19101091</ns0:t>
        </ns0:is>
      </ns0:c>
      <ns0:c r="G825" s="19" t="inlineStr">
        <ns0:is>
          <ns0:t>ChatGPT-assisted evidence recharting, 2026-09-08</ns0:t>
        </ns0:is>
      </ns0:c>
    </ns0:row>
    <ns0:row r="826" ht="45" customHeight="1">
      <ns0:c r="A826" s="21" t="inlineStr">
        <ns0:is>
          <ns0:t>149</ns0:t>
        </ns0:is>
      </ns0:c>
      <ns0:c r="B826" s="21" t="inlineStr">
        <ns0:is>
          <ns0:t>algorithm_main</ns0:t>
        </ns0:is>
      </ns0:c>
      <ns0:c r="C826" s="21" t="inlineStr">
        <ns0:is>
          <ns0:t>Other / Not clear</ns0:t>
        </ns0:is>
      </ns0:c>
      <ns0:c r="D826" s="21" t="inlineStr">
        <ns0:is>
          <ns0:t>Primate-informed functional-connectivity classifiers</ns0:t>
        </ns0:is>
      </ns0:c>
      <ns0:c r="E826" s="21" t="inlineStr">
        <ns0:is>
          <ns0:t>Retained because the computational method is explicitly evaluated on human ASD datasets, despite its animal-derived prior. Genetically selected brain regions do not constitute human genetic inputs.
Animal-derived feature prior; human ASD evaluation is present. Keep separate from purely non-human studies.</ns0:t>
        </ns0:is>
      </ns0:c>
      <ns0:c r="F826" s="21" t="inlineStr">
        <ns0:is>
          <ns0:t>https://doi.org/10.1176/appi.ajp.2020.19101091</ns0:t>
        </ns0:is>
      </ns0:c>
      <ns0:c r="G826" s="21" t="inlineStr">
        <ns0:is>
          <ns0:t>ChatGPT-assisted evidence recharting, 2026-09-08</ns0:t>
        </ns0:is>
      </ns0:c>
    </ns0:row>
    <ns0:row r="827" ht="45" customHeight="1">
      <ns0:c r="A827" s="19" t="inlineStr">
        <ns0:is>
          <ns0:t>149</ns0:t>
        </ns0:is>
      </ns0:c>
      <ns0:c r="B827" s="19" t="inlineStr">
        <ns0:is>
          <ns0:t>rq2_status</ns0:t>
        </ns0:is>
      </ns0:c>
      <ns0:c r="C827" s="19" t="inlineStr">
        <ns0:is>
          <ns0:t>Not adjudicated in master</ns0:t>
        </ns0:is>
      </ns0:c>
      <ns0:c r="D827" s="19" t="inlineStr">
        <ns0:is>
          <ns0:t>Research only</ns0:t>
        </ns0:is>
      </ns0:c>
      <ns0:c r="E827" s="19" t="inlineStr">
        <ns0:is>
          <ns0:t>Retained because the computational method is explicitly evaluated on human ASD datasets, despite its animal-derived prior. Genetically selected brain regions do not constitute human genetic inputs.
Animal-derived feature prior; human ASD evaluation is present. Keep separate from purely non-human studies.</ns0:t>
        </ns0:is>
      </ns0:c>
      <ns0:c r="F827" s="19" t="inlineStr">
        <ns0:is>
          <ns0:t>https://doi.org/10.1176/appi.ajp.2020.19101091</ns0:t>
        </ns0:is>
      </ns0:c>
      <ns0:c r="G827" s="19" t="inlineStr">
        <ns0:is>
          <ns0:t>ChatGPT-assisted evidence recharting, 2026-09-08</ns0:t>
        </ns0:is>
      </ns0:c>
    </ns0:row>
    <ns0:row r="828" ht="45" customHeight="1">
      <ns0:c r="A828" s="21" t="inlineStr">
        <ns0:is>
          <ns0:t>149</ns0:t>
        </ns0:is>
      </ns0:c>
      <ns0:c r="B828" s="21" t="inlineStr">
        <ns0:is>
          <ns0:t>rq2_role</ns0:t>
        </ns0:is>
      </ns0:c>
      <ns0:c r="C828" s="21" t="inlineStr"/>
      <ns0:c r="D828" s="21" t="inlineStr">
        <ns0:is>
          <ns0:t>Automated measurement/classification</ns0:t>
        </ns0:is>
      </ns0:c>
      <ns0:c r="E828" s="21" t="inlineStr">
        <ns0:is>
          <ns0:t>Retained because the computational method is explicitly evaluated on human ASD datasets, despite its animal-derived prior. Genetically selected brain regions do not constitute human genetic inputs.
Animal-derived feature prior; human ASD evaluation is present. Keep separate from purely non-human studies.</ns0:t>
        </ns0:is>
      </ns0:c>
      <ns0:c r="F828" s="21" t="inlineStr">
        <ns0:is>
          <ns0:t>https://doi.org/10.1176/appi.ajp.2020.19101091</ns0:t>
        </ns0:is>
      </ns0:c>
      <ns0:c r="G828" s="21" t="inlineStr">
        <ns0:is>
          <ns0:t>ChatGPT-assisted evidence recharting, 2026-09-08</ns0:t>
        </ns0:is>
      </ns0:c>
    </ns0:row>
    <ns0:row r="829" ht="45" customHeight="1">
      <ns0:c r="A829" s="19" t="inlineStr">
        <ns0:is>
          <ns0:t>149</ns0:t>
        </ns0:is>
      </ns0:c>
      <ns0:c r="B829" s="19" t="inlineStr">
        <ns0:is>
          <ns0:t>decision_timing</ns0:t>
        </ns0:is>
      </ns0:c>
      <ns0:c r="C829" s="19" t="inlineStr"/>
      <ns0:c r="D829" s="19" t="inlineStr">
        <ns0:is>
          <ns0:t>Not observed in assessed sources</ns0:t>
        </ns0:is>
      </ns0:c>
      <ns0:c r="E829" s="19" t="inlineStr">
        <ns0:is>
          <ns0:t>Retained because the computational method is explicitly evaluated on human ASD datasets, despite its animal-derived prior. Genetically selected brain regions do not constitute human genetic inputs.
Animal-derived feature prior; human ASD evaluation is present. Keep separate from purely non-human studies.</ns0:t>
        </ns0:is>
      </ns0:c>
      <ns0:c r="F829" s="19" t="inlineStr">
        <ns0:is>
          <ns0:t>https://doi.org/10.1176/appi.ajp.2020.19101091</ns0:t>
        </ns0:is>
      </ns0:c>
      <ns0:c r="G829" s="19" t="inlineStr">
        <ns0:is>
          <ns0:t>ChatGPT-assisted evidence recharting, 2026-09-08</ns0:t>
        </ns0:is>
      </ns0:c>
    </ns0:row>
    <ns0:row r="830" ht="45" customHeight="1">
      <ns0:c r="A830" s="21" t="inlineStr">
        <ns0:is>
          <ns0:t>149</ns0:t>
        </ns0:is>
      </ns0:c>
      <ns0:c r="B830" s="21" t="inlineStr">
        <ns0:is>
          <ns0:t>multisource_data</ns0:t>
        </ns0:is>
      </ns0:c>
      <ns0:c r="C830" s="21" t="inlineStr">
        <ns0:is>
          <ns0:t>Reported</ns0:t>
        </ns0:is>
      </ns0:c>
      <ns0:c r="D830" s="21" t="inlineStr">
        <ns0:is>
          <ns0:t>Not reported in assessed sources</ns0:t>
        </ns0:is>
      </ns0:c>
      <ns0:c r="E830" s="21" t="inlineStr">
        <ns0:is>
          <ns0:t>Retained because the computational method is explicitly evaluated on human ASD datasets, despite its animal-derived prior. Genetically selected brain regions do not constitute human genetic inputs.
Animal-derived feature prior; human ASD evaluation is present. Keep separate from purely non-human studies.</ns0:t>
        </ns0:is>
      </ns0:c>
      <ns0:c r="F830" s="21" t="inlineStr">
        <ns0:is>
          <ns0:t>https://doi.org/10.1176/appi.ajp.2020.19101091</ns0:t>
        </ns0:is>
      </ns0:c>
      <ns0:c r="G830" s="21" t="inlineStr">
        <ns0:is>
          <ns0:t>ChatGPT-assisted evidence recharting, 2026-09-08</ns0:t>
        </ns0:is>
      </ns0:c>
    </ns0:row>
    <ns0:row r="831" ht="42" customHeight="1">
      <ns0:c r="A831" s="19" t="inlineStr">
        <ns0:is>
          <ns0:t>150</ns0:t>
        </ns0:is>
      </ns0:c>
      <ns0:c r="B831" s="19" t="inlineStr">
        <ns0:is>
          <ns0:t>ai_type</ns0:t>
        </ns0:is>
      </ns0:c>
      <ns0:c r="C831" s="19" t="inlineStr">
        <ns0:is>
          <ns0:t>Deep Learning</ns0:t>
        </ns0:is>
      </ns0:c>
      <ns0:c r="D831" s="19" t="inlineStr">
        <ns0:is>
          <ns0:t>Machine Learning</ns0:t>
        </ns0:is>
      </ns0:c>
      <ns0:c r="E831" s="19" t="inlineStr">
        <ns0:is>
          <ns0:t>Repeated developmental/adaptive scores explain diagnostic instability; no physiological input or deep architecture is supported. Longitudinal characterization is not a prospectively used prediction tool.</ns0:t>
        </ns0:is>
      </ns0:c>
      <ns0:c r="F831" s="19" t="inlineStr">
        <ns0:is>
          <ns0:t>https://doi.org/10.1111/jcpp.13406</ns0:t>
        </ns0:is>
      </ns0:c>
      <ns0:c r="G831" s="19" t="inlineStr">
        <ns0:is>
          <ns0:t>ChatGPT-assisted evidence recharting, 2026-09-08</ns0:t>
        </ns0:is>
      </ns0:c>
    </ns0:row>
    <ns0:row r="832" ht="42" customHeight="1">
      <ns0:c r="A832" s="21" t="inlineStr">
        <ns0:is>
          <ns0:t>150</ns0:t>
        </ns0:is>
      </ns0:c>
      <ns0:c r="B832" s="21" t="inlineStr">
        <ns0:is>
          <ns0:t>data_source_primary</ns0:t>
        </ns0:is>
      </ns0:c>
      <ns0:c r="C832" s="21" t="inlineStr">
        <ns0:is>
          <ns0:t>Physiological signals</ns0:t>
        </ns0:is>
      </ns0:c>
      <ns0:c r="D832" s="21" t="inlineStr">
        <ns0:is>
          <ns0:t>Structured clinical/questionnaire data</ns0:t>
        </ns0:is>
      </ns0:c>
      <ns0:c r="E832" s="21" t="inlineStr">
        <ns0:is>
          <ns0:t>Repeated developmental/adaptive scores explain diagnostic instability; no physiological input or deep architecture is supported. Longitudinal characterization is not a prospectively used prediction tool.</ns0:t>
        </ns0:is>
      </ns0:c>
      <ns0:c r="F832" s="21" t="inlineStr">
        <ns0:is>
          <ns0:t>https://doi.org/10.1111/jcpp.13406</ns0:t>
        </ns0:is>
      </ns0:c>
      <ns0:c r="G832" s="21" t="inlineStr">
        <ns0:is>
          <ns0:t>ChatGPT-assisted evidence recharting, 2026-09-08</ns0:t>
        </ns0:is>
      </ns0:c>
    </ns0:row>
    <ns0:row r="833" ht="42" customHeight="1">
      <ns0:c r="A833" s="19" t="inlineStr">
        <ns0:is>
          <ns0:t>150</ns0:t>
        </ns0:is>
      </ns0:c>
      <ns0:c r="B833" s="19" t="inlineStr">
        <ns0:is>
          <ns0:t>algorithm_main</ns0:t>
        </ns0:is>
      </ns0:c>
      <ns0:c r="C833" s="19" t="inlineStr">
        <ns0:is>
          <ns0:t>Other / Not clear</ns0:t>
        </ns0:is>
      </ns0:c>
      <ns0:c r="D833" s="19" t="inlineStr">
        <ns0:is>
          <ns0:t>Diagnostic-boundary classifier; family unresolved</ns0:t>
        </ns0:is>
      </ns0:c>
      <ns0:c r="E833" s="19" t="inlineStr">
        <ns0:is>
          <ns0:t>Repeated developmental/adaptive scores explain diagnostic instability; no physiological input or deep architecture is supported. Longitudinal characterization is not a prospectively used prediction tool.</ns0:t>
        </ns0:is>
      </ns0:c>
      <ns0:c r="F833" s="19" t="inlineStr">
        <ns0:is>
          <ns0:t>https://doi.org/10.1111/jcpp.13406</ns0:t>
        </ns0:is>
      </ns0:c>
      <ns0:c r="G833" s="19" t="inlineStr">
        <ns0:is>
          <ns0:t>ChatGPT-assisted evidence recharting, 2026-09-08</ns0:t>
        </ns0:is>
      </ns0:c>
    </ns0:row>
    <ns0:row r="834" ht="42" customHeight="1">
      <ns0:c r="A834" s="21" t="inlineStr">
        <ns0:is>
          <ns0:t>150</ns0:t>
        </ns0:is>
      </ns0:c>
      <ns0:c r="B834" s="21" t="inlineStr">
        <ns0:is>
          <ns0:t>rq2_status</ns0:t>
        </ns0:is>
      </ns0:c>
      <ns0:c r="C834" s="21" t="inlineStr">
        <ns0:is>
          <ns0:t>Not adjudicated in master</ns0:t>
        </ns0:is>
      </ns0:c>
      <ns0:c r="D834" s="21" t="inlineStr">
        <ns0:is>
          <ns0:t>Research only</ns0:t>
        </ns0:is>
      </ns0:c>
      <ns0:c r="E834" s="21" t="inlineStr">
        <ns0:is>
          <ns0:t>Repeated developmental/adaptive scores explain diagnostic instability; no physiological input or deep architecture is supported. Longitudinal characterization is not a prospectively used prediction tool.</ns0:t>
        </ns0:is>
      </ns0:c>
      <ns0:c r="F834" s="21" t="inlineStr">
        <ns0:is>
          <ns0:t>https://doi.org/10.1111/jcpp.13406</ns0:t>
        </ns0:is>
      </ns0:c>
      <ns0:c r="G834" s="21" t="inlineStr">
        <ns0:is>
          <ns0:t>ChatGPT-assisted evidence recharting, 2026-09-08</ns0:t>
        </ns0:is>
      </ns0:c>
    </ns0:row>
    <ns0:row r="835" ht="42" customHeight="1">
      <ns0:c r="A835" s="19" t="inlineStr">
        <ns0:is>
          <ns0:t>150</ns0:t>
        </ns0:is>
      </ns0:c>
      <ns0:c r="B835" s="19" t="inlineStr">
        <ns0:is>
          <ns0:t>rq2_role</ns0:t>
        </ns0:is>
      </ns0:c>
      <ns0:c r="C835" s="19" t="inlineStr"/>
      <ns0:c r="D835" s="19" t="inlineStr">
        <ns0:is>
          <ns0:t>Automated measurement/classification</ns0:t>
        </ns0:is>
      </ns0:c>
      <ns0:c r="E835" s="19" t="inlineStr">
        <ns0:is>
          <ns0:t>Repeated developmental/adaptive scores explain diagnostic instability; no physiological input or deep architecture is supported. Longitudinal characterization is not a prospectively used prediction tool.</ns0:t>
        </ns0:is>
      </ns0:c>
      <ns0:c r="F835" s="19" t="inlineStr">
        <ns0:is>
          <ns0:t>https://doi.org/10.1111/jcpp.13406</ns0:t>
        </ns0:is>
      </ns0:c>
      <ns0:c r="G835" s="19" t="inlineStr">
        <ns0:is>
          <ns0:t>ChatGPT-assisted evidence recharting, 2026-09-08</ns0:t>
        </ns0:is>
      </ns0:c>
    </ns0:row>
    <ns0:row r="836" ht="42" customHeight="1">
      <ns0:c r="A836" s="21" t="inlineStr">
        <ns0:is>
          <ns0:t>150</ns0:t>
        </ns0:is>
      </ns0:c>
      <ns0:c r="B836" s="21" t="inlineStr">
        <ns0:is>
          <ns0:t>decision_timing</ns0:t>
        </ns0:is>
      </ns0:c>
      <ns0:c r="C836" s="21" t="inlineStr"/>
      <ns0:c r="D836" s="21" t="inlineStr">
        <ns0:is>
          <ns0:t>Not observed in assessed sources</ns0:t>
        </ns0:is>
      </ns0:c>
      <ns0:c r="E836" s="21" t="inlineStr">
        <ns0:is>
          <ns0:t>Repeated developmental/adaptive scores explain diagnostic instability; no physiological input or deep architecture is supported. Longitudinal characterization is not a prospectively used prediction tool.</ns0:t>
        </ns0:is>
      </ns0:c>
      <ns0:c r="F836" s="21" t="inlineStr">
        <ns0:is>
          <ns0:t>https://doi.org/10.1111/jcpp.13406</ns0:t>
        </ns0:is>
      </ns0:c>
      <ns0:c r="G836" s="21" t="inlineStr">
        <ns0:is>
          <ns0:t>ChatGPT-assisted evidence recharting, 2026-09-08</ns0:t>
        </ns0:is>
      </ns0:c>
    </ns0:row>
    <ns0:row r="837" ht="42" customHeight="1">
      <ns0:c r="A837" s="19" t="inlineStr">
        <ns0:is>
          <ns0:t>151</ns0:t>
        </ns0:is>
      </ns0:c>
      <ns0:c r="B837" s="19" t="inlineStr">
        <ns0:is>
          <ns0:t>ai_type</ns0:t>
        </ns0:is>
      </ns0:c>
      <ns0:c r="C837" s="19" t="inlineStr">
        <ns0:is>
          <ns0:t>Hybrid</ns0:t>
        </ns0:is>
      </ns0:c>
      <ns0:c r="D837" s="19" t="inlineStr">
        <ns0:is>
          <ns0:t>Machine Learning</ns0:t>
        </ns0:is>
      </ns0:c>
      <ns0:c r="E837" s="19" t="inlineStr">
        <ns0:is>
          <ns0:t>External 60-child test and comparison with pediatricians are explicit. Separate human-versus-model benchmarking does not establish clinicians using AI in decisions.</ns0:t>
        </ns0:is>
      </ns0:c>
      <ns0:c r="F837" s="19" t="inlineStr">
        <ns0:is>
          <ns0:t>https://doi.org/10.1016/j.psychres.2023.115050</ns0:t>
        </ns0:is>
      </ns0:c>
      <ns0:c r="G837" s="19" t="inlineStr">
        <ns0:is>
          <ns0:t>ChatGPT-assisted evidence recharting, 2026-09-08</ns0:t>
        </ns0:is>
      </ns0:c>
    </ns0:row>
    <ns0:row r="838" ht="42" customHeight="1">
      <ns0:c r="A838" s="21" t="inlineStr">
        <ns0:is>
          <ns0:t>151</ns0:t>
        </ns0:is>
      </ns0:c>
      <ns0:c r="B838" s="21" t="inlineStr">
        <ns0:is>
          <ns0:t>data_source_primary</ns0:t>
        </ns0:is>
      </ns0:c>
      <ns0:c r="C838" s="21" t="inlineStr">
        <ns0:is>
          <ns0:t>Text / NLP (legacy; verify input type)</ns0:t>
        </ns0:is>
      </ns0:c>
      <ns0:c r="D838" s="21" t="inlineStr">
        <ns0:is>
          <ns0:t>Structured clinical/questionnaire data</ns0:t>
        </ns0:is>
      </ns0:c>
      <ns0:c r="E838" s="21" t="inlineStr">
        <ns0:is>
          <ns0:t>External 60-child test and comparison with pediatricians are explicit. Separate human-versus-model benchmarking does not establish clinicians using AI in decisions.</ns0:t>
        </ns0:is>
      </ns0:c>
      <ns0:c r="F838" s="21" t="inlineStr">
        <ns0:is>
          <ns0:t>https://doi.org/10.1016/j.psychres.2023.115050</ns0:t>
        </ns0:is>
      </ns0:c>
      <ns0:c r="G838" s="21" t="inlineStr">
        <ns0:is>
          <ns0:t>ChatGPT-assisted evidence recharting, 2026-09-08</ns0:t>
        </ns0:is>
      </ns0:c>
    </ns0:row>
    <ns0:row r="839" ht="42" customHeight="1">
      <ns0:c r="A839" s="19" t="inlineStr">
        <ns0:is>
          <ns0:t>151</ns0:t>
        </ns0:is>
      </ns0:c>
      <ns0:c r="B839" s="19" t="inlineStr">
        <ns0:is>
          <ns0:t>algorithm_main</ns0:t>
        </ns0:is>
      </ns0:c>
      <ns0:c r="C839" s="19" t="inlineStr">
        <ns0:is>
          <ns0:t>XGBoost / GBDT</ns0:t>
        </ns0:is>
      </ns0:c>
      <ns0:c r="D839" s="19" t="inlineStr">
        <ns0:is>
          <ns0:t>XGBoost and interpretable two-stage decision model</ns0:t>
        </ns0:is>
      </ns0:c>
      <ns0:c r="E839" s="19" t="inlineStr">
        <ns0:is>
          <ns0:t>External 60-child test and comparison with pediatricians are explicit. Separate human-versus-model benchmarking does not establish clinicians using AI in decisions.</ns0:t>
        </ns0:is>
      </ns0:c>
      <ns0:c r="F839" s="19" t="inlineStr">
        <ns0:is>
          <ns0:t>https://doi.org/10.1016/j.psychres.2023.115050</ns0:t>
        </ns0:is>
      </ns0:c>
      <ns0:c r="G839" s="19" t="inlineStr">
        <ns0:is>
          <ns0:t>ChatGPT-assisted evidence recharting, 2026-09-08</ns0:t>
        </ns0:is>
      </ns0:c>
    </ns0:row>
    <ns0:row r="840" ht="42" customHeight="1">
      <ns0:c r="A840" s="21" t="inlineStr">
        <ns0:is>
          <ns0:t>151</ns0:t>
        </ns0:is>
      </ns0:c>
      <ns0:c r="B840" s="21" t="inlineStr">
        <ns0:is>
          <ns0:t>rq2_status</ns0:t>
        </ns0:is>
      </ns0:c>
      <ns0:c r="C840" s="21" t="inlineStr">
        <ns0:is>
          <ns0:t>Not adjudicated in master</ns0:t>
        </ns0:is>
      </ns0:c>
      <ns0:c r="D840" s="21" t="inlineStr">
        <ns0:is>
          <ns0:t>Proposed only</ns0:t>
        </ns0:is>
      </ns0:c>
      <ns0:c r="E840" s="21" t="inlineStr">
        <ns0:is>
          <ns0:t>External 60-child test and comparison with pediatricians are explicit. Separate human-versus-model benchmarking does not establish clinicians using AI in decisions.</ns0:t>
        </ns0:is>
      </ns0:c>
      <ns0:c r="F840" s="21" t="inlineStr">
        <ns0:is>
          <ns0:t>https://doi.org/10.1016/j.psychres.2023.115050</ns0:t>
        </ns0:is>
      </ns0:c>
      <ns0:c r="G840" s="21" t="inlineStr">
        <ns0:is>
          <ns0:t>ChatGPT-assisted evidence recharting, 2026-09-08</ns0:t>
        </ns0:is>
      </ns0:c>
    </ns0:row>
    <ns0:row r="841" ht="42" customHeight="1">
      <ns0:c r="A841" s="19" t="inlineStr">
        <ns0:is>
          <ns0:t>151</ns0:t>
        </ns0:is>
      </ns0:c>
      <ns0:c r="B841" s="19" t="inlineStr">
        <ns0:is>
          <ns0:t>rq2_role</ns0:t>
        </ns0:is>
      </ns0:c>
      <ns0:c r="C841" s="19" t="inlineStr"/>
      <ns0:c r="D841" s="19" t="inlineStr">
        <ns0:is>
          <ns0:t>Diagnostic decision support</ns0:t>
        </ns0:is>
      </ns0:c>
      <ns0:c r="E841" s="19" t="inlineStr">
        <ns0:is>
          <ns0:t>External 60-child test and comparison with pediatricians are explicit. Separate human-versus-model benchmarking does not establish clinicians using AI in decisions.</ns0:t>
        </ns0:is>
      </ns0:c>
      <ns0:c r="F841" s="19" t="inlineStr">
        <ns0:is>
          <ns0:t>https://doi.org/10.1016/j.psychres.2023.115050</ns0:t>
        </ns0:is>
      </ns0:c>
      <ns0:c r="G841" s="19" t="inlineStr">
        <ns0:is>
          <ns0:t>ChatGPT-assisted evidence recharting, 2026-09-08</ns0:t>
        </ns0:is>
      </ns0:c>
    </ns0:row>
    <ns0:row r="842" ht="42" customHeight="1">
      <ns0:c r="A842" s="21" t="inlineStr">
        <ns0:is>
          <ns0:t>151</ns0:t>
        </ns0:is>
      </ns0:c>
      <ns0:c r="B842" s="21" t="inlineStr">
        <ns0:is>
          <ns0:t>decision_timing</ns0:t>
        </ns0:is>
      </ns0:c>
      <ns0:c r="C842" s="21" t="inlineStr"/>
      <ns0:c r="D842" s="21" t="inlineStr">
        <ns0:is>
          <ns0:t>In-decision</ns0:t>
        </ns0:is>
      </ns0:c>
      <ns0:c r="E842" s="21" t="inlineStr">
        <ns0:is>
          <ns0:t>External 60-child test and comparison with pediatricians are explicit. Separate human-versus-model benchmarking does not establish clinicians using AI in decisions.</ns0:t>
        </ns0:is>
      </ns0:c>
      <ns0:c r="F842" s="21" t="inlineStr">
        <ns0:is>
          <ns0:t>https://doi.org/10.1016/j.psychres.2023.115050</ns0:t>
        </ns0:is>
      </ns0:c>
      <ns0:c r="G842" s="21" t="inlineStr">
        <ns0:is>
          <ns0:t>ChatGPT-assisted evidence recharting, 2026-09-08</ns0:t>
        </ns0:is>
      </ns0:c>
    </ns0:row>
    <ns0:row r="843" ht="42" customHeight="1">
      <ns0:c r="A843" s="19" t="inlineStr">
        <ns0:is>
          <ns0:t>151</ns0:t>
        </ns0:is>
      </ns0:c>
      <ns0:c r="B843" s="19" t="inlineStr">
        <ns0:is>
          <ns0:t>xai_strict</ns0:t>
        </ns0:is>
      </ns0:c>
      <ns0:c r="C843" s="19" t="inlineStr">
        <ns0:is>
          <ns0:t>Reported</ns0:t>
        </ns0:is>
      </ns0:c>
      <ns0:c r="D843" s="19" t="inlineStr">
        <ns0:is>
          <ns0:t>Not reported in assessed sources</ns0:t>
        </ns0:is>
      </ns0:c>
      <ns0:c r="E843" s="19" t="inlineStr">
        <ns0:is>
          <ns0:t>External 60-child test and comparison with pediatricians are explicit. Separate human-versus-model benchmarking does not establish clinicians using AI in decisions.</ns0:t>
        </ns0:is>
      </ns0:c>
      <ns0:c r="F843" s="19" t="inlineStr">
        <ns0:is>
          <ns0:t>https://doi.org/10.1016/j.psychres.2023.115050</ns0:t>
        </ns0:is>
      </ns0:c>
      <ns0:c r="G843" s="19" t="inlineStr">
        <ns0:is>
          <ns0:t>ChatGPT-assisted evidence recharting, 2026-09-08</ns0:t>
        </ns0:is>
      </ns0:c>
    </ns0:row>
    <ns0:row r="844" ht="42" customHeight="1">
      <ns0:c r="A844" s="21" t="inlineStr">
        <ns0:is>
          <ns0:t>151</ns0:t>
        </ns0:is>
      </ns0:c>
      <ns0:c r="B844" s="21" t="inlineStr">
        <ns0:is>
          <ns0:t>xai_partial</ns0:t>
        </ns0:is>
      </ns0:c>
      <ns0:c r="C844" s="21" t="inlineStr">
        <ns0:is>
          <ns0:t>Not reported in assessed sources</ns0:t>
        </ns0:is>
      </ns0:c>
      <ns0:c r="D844" s="21" t="inlineStr">
        <ns0:is>
          <ns0:t>Reported</ns0:t>
        </ns0:is>
      </ns0:c>
      <ns0:c r="E844" s="21" t="inlineStr">
        <ns0:is>
          <ns0:t>External 60-child test and comparison with pediatricians are explicit. Separate human-versus-model benchmarking does not establish clinicians using AI in decisions.</ns0:t>
        </ns0:is>
      </ns0:c>
      <ns0:c r="F844" s="21" t="inlineStr">
        <ns0:is>
          <ns0:t>https://doi.org/10.1016/j.psychres.2023.115050</ns0:t>
        </ns0:is>
      </ns0:c>
      <ns0:c r="G844" s="21" t="inlineStr">
        <ns0:is>
          <ns0:t>ChatGPT-assisted evidence recharting, 2026-09-08</ns0:t>
        </ns0:is>
      </ns0:c>
    </ns0:row>
    <ns0:row r="845" ht="42" customHeight="1">
      <ns0:c r="A845" s="19" t="inlineStr">
        <ns0:is>
          <ns0:t>152</ns0:t>
        </ns0:is>
      </ns0:c>
      <ns0:c r="B845" s="19" t="inlineStr">
        <ns0:is>
          <ns0:t>stage_primary</ns0:t>
        </ns0:is>
      </ns0:c>
      <ns0:c r="C845" s="19" t="inlineStr">
        <ns0:is>
          <ns0:t>Diagnosis</ns0:t>
        </ns0:is>
      </ns0:c>
      <ns0:c r="D845" s="19" t="inlineStr">
        <ns0:is>
          <ns0:t>Screening</ns0:t>
        </ns0:is>
      </ns0:c>
      <ns0:c r="E845" s="19" t="inlineStr">
        <ns0:is>
          <ns0:t>Repository screening dataset with random 80/20 split; tied reported winners retained. Internal holdout is not external validation.</ns0:t>
        </ns0:is>
      </ns0:c>
      <ns0:c r="F845" s="19" t="inlineStr">
        <ns0:is>
          <ns0:t>https://doi.org/10.57197/jdr-2023-0004</ns0:t>
        </ns0:is>
      </ns0:c>
      <ns0:c r="G845" s="19" t="inlineStr">
        <ns0:is>
          <ns0:t>ChatGPT-assisted evidence recharting, 2026-09-08</ns0:t>
        </ns0:is>
      </ns0:c>
    </ns0:row>
    <ns0:row r="846" ht="42" customHeight="1">
      <ns0:c r="A846" s="21" t="inlineStr">
        <ns0:is>
          <ns0:t>152</ns0:t>
        </ns0:is>
      </ns0:c>
      <ns0:c r="B846" s="21" t="inlineStr">
        <ns0:is>
          <ns0:t>data_source_primary</ns0:t>
        </ns0:is>
      </ns0:c>
      <ns0:c r="C846" s="21" t="inlineStr">
        <ns0:is>
          <ns0:t>Not specified</ns0:t>
        </ns0:is>
      </ns0:c>
      <ns0:c r="D846" s="21" t="inlineStr">
        <ns0:is>
          <ns0:t>Structured clinical/questionnaire data</ns0:t>
        </ns0:is>
      </ns0:c>
      <ns0:c r="E846" s="21" t="inlineStr">
        <ns0:is>
          <ns0:t>Repository screening dataset with random 80/20 split; tied reported winners retained. Internal holdout is not external validation.</ns0:t>
        </ns0:is>
      </ns0:c>
      <ns0:c r="F846" s="21" t="inlineStr">
        <ns0:is>
          <ns0:t>https://doi.org/10.57197/jdr-2023-0004</ns0:t>
        </ns0:is>
      </ns0:c>
      <ns0:c r="G846" s="21" t="inlineStr">
        <ns0:is>
          <ns0:t>ChatGPT-assisted evidence recharting, 2026-09-08</ns0:t>
        </ns0:is>
      </ns0:c>
    </ns0:row>
    <ns0:row r="847" ht="42" customHeight="1">
      <ns0:c r="A847" s="19" t="inlineStr">
        <ns0:is>
          <ns0:t>152</ns0:t>
        </ns0:is>
      </ns0:c>
      <ns0:c r="B847" s="19" t="inlineStr">
        <ns0:is>
          <ns0:t>algorithm_main</ns0:t>
        </ns0:is>
      </ns0:c>
      <ns0:c r="C847" s="19" t="inlineStr">
        <ns0:is>
          <ns0:t>SVM</ns0:t>
        </ns0:is>
      </ns0:c>
      <ns0:c r="D847" s="19" t="inlineStr">
        <ns0:is>
          <ns0:t>SVM and random forest</ns0:t>
        </ns0:is>
      </ns0:c>
      <ns0:c r="E847" s="19" t="inlineStr">
        <ns0:is>
          <ns0:t>Repository screening dataset with random 80/20 split; tied reported winners retained. Internal holdout is not external validation.</ns0:t>
        </ns0:is>
      </ns0:c>
      <ns0:c r="F847" s="19" t="inlineStr">
        <ns0:is>
          <ns0:t>https://doi.org/10.57197/jdr-2023-0004</ns0:t>
        </ns0:is>
      </ns0:c>
      <ns0:c r="G847" s="19" t="inlineStr">
        <ns0:is>
          <ns0:t>ChatGPT-assisted evidence recharting, 2026-09-08</ns0:t>
        </ns0:is>
      </ns0:c>
    </ns0:row>
    <ns0:row r="848" ht="42" customHeight="1">
      <ns0:c r="A848" s="21" t="inlineStr">
        <ns0:is>
          <ns0:t>152</ns0:t>
        </ns0:is>
      </ns0:c>
      <ns0:c r="B848" s="21" t="inlineStr">
        <ns0:is>
          <ns0:t>rq2_status</ns0:t>
        </ns0:is>
      </ns0:c>
      <ns0:c r="C848" s="21" t="inlineStr">
        <ns0:is>
          <ns0:t>Not adjudicated in master</ns0:t>
        </ns0:is>
      </ns0:c>
      <ns0:c r="D848" s="21" t="inlineStr">
        <ns0:is>
          <ns0:t>Research only</ns0:t>
        </ns0:is>
      </ns0:c>
      <ns0:c r="E848" s="21" t="inlineStr">
        <ns0:is>
          <ns0:t>Repository screening dataset with random 80/20 split; tied reported winners retained. Internal holdout is not external validation.</ns0:t>
        </ns0:is>
      </ns0:c>
      <ns0:c r="F848" s="21" t="inlineStr">
        <ns0:is>
          <ns0:t>https://doi.org/10.57197/jdr-2023-0004</ns0:t>
        </ns0:is>
      </ns0:c>
      <ns0:c r="G848" s="21" t="inlineStr">
        <ns0:is>
          <ns0:t>ChatGPT-assisted evidence recharting, 2026-09-08</ns0:t>
        </ns0:is>
      </ns0:c>
    </ns0:row>
    <ns0:row r="849" ht="42" customHeight="1">
      <ns0:c r="A849" s="19" t="inlineStr">
        <ns0:is>
          <ns0:t>152</ns0:t>
        </ns0:is>
      </ns0:c>
      <ns0:c r="B849" s="19" t="inlineStr">
        <ns0:is>
          <ns0:t>rq2_role</ns0:t>
        </ns0:is>
      </ns0:c>
      <ns0:c r="C849" s="19" t="inlineStr"/>
      <ns0:c r="D849" s="19" t="inlineStr">
        <ns0:is>
          <ns0:t>Triage/questionnaire assessment</ns0:t>
        </ns0:is>
      </ns0:c>
      <ns0:c r="E849" s="19" t="inlineStr">
        <ns0:is>
          <ns0:t>Repository screening dataset with random 80/20 split; tied reported winners retained. Internal holdout is not external validation.</ns0:t>
        </ns0:is>
      </ns0:c>
      <ns0:c r="F849" s="19" t="inlineStr">
        <ns0:is>
          <ns0:t>https://doi.org/10.57197/jdr-2023-0004</ns0:t>
        </ns0:is>
      </ns0:c>
      <ns0:c r="G849" s="19" t="inlineStr">
        <ns0:is>
          <ns0:t>ChatGPT-assisted evidence recharting, 2026-09-08</ns0:t>
        </ns0:is>
      </ns0:c>
    </ns0:row>
    <ns0:row r="850" ht="42" customHeight="1">
      <ns0:c r="A850" s="21" t="inlineStr">
        <ns0:is>
          <ns0:t>152</ns0:t>
        </ns0:is>
      </ns0:c>
      <ns0:c r="B850" s="21" t="inlineStr">
        <ns0:is>
          <ns0:t>decision_timing</ns0:t>
        </ns0:is>
      </ns0:c>
      <ns0:c r="C850" s="21" t="inlineStr"/>
      <ns0:c r="D850" s="21" t="inlineStr">
        <ns0:is>
          <ns0:t>Not observed in assessed sources</ns0:t>
        </ns0:is>
      </ns0:c>
      <ns0:c r="E850" s="21" t="inlineStr">
        <ns0:is>
          <ns0:t>Repository screening dataset with random 80/20 split; tied reported winners retained. Internal holdout is not external validation.</ns0:t>
        </ns0:is>
      </ns0:c>
      <ns0:c r="F850" s="21" t="inlineStr">
        <ns0:is>
          <ns0:t>https://doi.org/10.57197/jdr-2023-0004</ns0:t>
        </ns0:is>
      </ns0:c>
      <ns0:c r="G850" s="21" t="inlineStr">
        <ns0:is>
          <ns0:t>ChatGPT-assisted evidence recharting, 2026-09-08</ns0:t>
        </ns0:is>
      </ns0:c>
    </ns0:row>
    <ns0:row r="851" ht="42" customHeight="1">
      <ns0:c r="A851" s="19" t="inlineStr">
        <ns0:is>
          <ns0:t>152</ns0:t>
        </ns0:is>
      </ns0:c>
      <ns0:c r="B851" s="19" t="inlineStr">
        <ns0:is>
          <ns0:t>multisource_data</ns0:t>
        </ns0:is>
      </ns0:c>
      <ns0:c r="C851" s="19" t="inlineStr">
        <ns0:is>
          <ns0:t>Reported</ns0:t>
        </ns0:is>
      </ns0:c>
      <ns0:c r="D851" s="19" t="inlineStr">
        <ns0:is>
          <ns0:t>Not reported in assessed sources</ns0:t>
        </ns0:is>
      </ns0:c>
      <ns0:c r="E851" s="19" t="inlineStr">
        <ns0:is>
          <ns0:t>Repository screening dataset with random 80/20 split; tied reported winners retained. Internal holdout is not external validation.</ns0:t>
        </ns0:is>
      </ns0:c>
      <ns0:c r="F851" s="19" t="inlineStr">
        <ns0:is>
          <ns0:t>https://doi.org/10.57197/jdr-2023-0004</ns0:t>
        </ns0:is>
      </ns0:c>
      <ns0:c r="G851" s="19" t="inlineStr">
        <ns0:is>
          <ns0:t>ChatGPT-assisted evidence recharting, 2026-09-08</ns0:t>
        </ns0:is>
      </ns0:c>
    </ns0:row>
    <ns0:row r="852" ht="42" customHeight="1">
      <ns0:c r="A852" s="21" t="inlineStr">
        <ns0:is>
          <ns0:t>153</ns0:t>
        </ns0:is>
      </ns0:c>
      <ns0:c r="B852" s="21" t="inlineStr">
        <ns0:is>
          <ns0:t>data_source_primary</ns0:t>
        </ns0:is>
      </ns0:c>
      <ns0:c r="C852" s="21" t="inlineStr">
        <ns0:is>
          <ns0:t>Not specified</ns0:t>
        </ns0:is>
      </ns0:c>
      <ns0:c r="D852" s="21" t="inlineStr">
        <ns0:is>
          <ns0:t>Multiple source categories</ns0:t>
        </ns0:is>
      </ns0:c>
      <ns0:c r="E852" s="21" t="inlineStr">
        <ns0:is>
          <ns0:t>Explicit facial-image and ADOS-score concatenation. Pairing and label provenance remain relevant validity limitations, not assumptions to fill from performance claims.</ns0:t>
        </ns0:is>
      </ns0:c>
      <ns0:c r="F852" s="21" t="inlineStr">
        <ns0:is>
          <ns0:t>https://doi.org/10.1109/access.2024.3453440</ns0:t>
        </ns0:is>
      </ns0:c>
      <ns0:c r="G852" s="21" t="inlineStr">
        <ns0:is>
          <ns0:t>ChatGPT-assisted evidence recharting, 2026-09-08</ns0:t>
        </ns0:is>
      </ns0:c>
    </ns0:row>
    <ns0:row r="853" ht="42" customHeight="1">
      <ns0:c r="A853" s="19" t="inlineStr">
        <ns0:is>
          <ns0:t>153</ns0:t>
        </ns0:is>
      </ns0:c>
      <ns0:c r="B853" s="19" t="inlineStr">
        <ns0:is>
          <ns0:t>algorithm_main</ns0:t>
        </ns0:is>
      </ns0:c>
      <ns0:c r="C853" s="19" t="inlineStr">
        <ns0:is>
          <ns0:t>Not clear</ns0:t>
        </ns0:is>
      </ns0:c>
      <ns0:c r="D853" s="19" t="inlineStr">
        <ns0:is>
          <ns0:t>Multimodal concatenation CNN</ns0:t>
        </ns0:is>
      </ns0:c>
      <ns0:c r="E853" s="19" t="inlineStr">
        <ns0:is>
          <ns0:t>Explicit facial-image and ADOS-score concatenation. Pairing and label provenance remain relevant validity limitations, not assumptions to fill from performance claims.</ns0:t>
        </ns0:is>
      </ns0:c>
      <ns0:c r="F853" s="19" t="inlineStr">
        <ns0:is>
          <ns0:t>https://doi.org/10.1109/access.2024.3453440</ns0:t>
        </ns0:is>
      </ns0:c>
      <ns0:c r="G853" s="19" t="inlineStr">
        <ns0:is>
          <ns0:t>ChatGPT-assisted evidence recharting, 2026-09-08</ns0:t>
        </ns0:is>
      </ns0:c>
    </ns0:row>
    <ns0:row r="854" ht="42" customHeight="1">
      <ns0:c r="A854" s="21" t="inlineStr">
        <ns0:is>
          <ns0:t>153</ns0:t>
        </ns0:is>
      </ns0:c>
      <ns0:c r="B854" s="21" t="inlineStr">
        <ns0:is>
          <ns0:t>rq2_status</ns0:t>
        </ns0:is>
      </ns0:c>
      <ns0:c r="C854" s="21" t="inlineStr">
        <ns0:is>
          <ns0:t>Not adjudicated in master</ns0:t>
        </ns0:is>
      </ns0:c>
      <ns0:c r="D854" s="21" t="inlineStr">
        <ns0:is>
          <ns0:t>Research only</ns0:t>
        </ns0:is>
      </ns0:c>
      <ns0:c r="E854" s="21" t="inlineStr">
        <ns0:is>
          <ns0:t>Explicit facial-image and ADOS-score concatenation. Pairing and label provenance remain relevant validity limitations, not assumptions to fill from performance claims.</ns0:t>
        </ns0:is>
      </ns0:c>
      <ns0:c r="F854" s="21" t="inlineStr">
        <ns0:is>
          <ns0:t>https://doi.org/10.1109/access.2024.3453440</ns0:t>
        </ns0:is>
      </ns0:c>
      <ns0:c r="G854" s="21" t="inlineStr">
        <ns0:is>
          <ns0:t>ChatGPT-assisted evidence recharting, 2026-09-08</ns0:t>
        </ns0:is>
      </ns0:c>
    </ns0:row>
    <ns0:row r="855" ht="42" customHeight="1">
      <ns0:c r="A855" s="19" t="inlineStr">
        <ns0:is>
          <ns0:t>153</ns0:t>
        </ns0:is>
      </ns0:c>
      <ns0:c r="B855" s="19" t="inlineStr">
        <ns0:is>
          <ns0:t>rq2_role</ns0:t>
        </ns0:is>
      </ns0:c>
      <ns0:c r="C855" s="19" t="inlineStr"/>
      <ns0:c r="D855" s="19" t="inlineStr">
        <ns0:is>
          <ns0:t>Automated measurement/classification</ns0:t>
        </ns0:is>
      </ns0:c>
      <ns0:c r="E855" s="19" t="inlineStr">
        <ns0:is>
          <ns0:t>Explicit facial-image and ADOS-score concatenation. Pairing and label provenance remain relevant validity limitations, not assumptions to fill from performance claims.</ns0:t>
        </ns0:is>
      </ns0:c>
      <ns0:c r="F855" s="19" t="inlineStr">
        <ns0:is>
          <ns0:t>https://doi.org/10.1109/access.2024.3453440</ns0:t>
        </ns0:is>
      </ns0:c>
      <ns0:c r="G855" s="19" t="inlineStr">
        <ns0:is>
          <ns0:t>ChatGPT-assisted evidence recharting, 2026-09-08</ns0:t>
        </ns0:is>
      </ns0:c>
    </ns0:row>
    <ns0:row r="856" ht="42" customHeight="1">
      <ns0:c r="A856" s="21" t="inlineStr">
        <ns0:is>
          <ns0:t>153</ns0:t>
        </ns0:is>
      </ns0:c>
      <ns0:c r="B856" s="21" t="inlineStr">
        <ns0:is>
          <ns0:t>decision_timing</ns0:t>
        </ns0:is>
      </ns0:c>
      <ns0:c r="C856" s="21" t="inlineStr"/>
      <ns0:c r="D856" s="21" t="inlineStr">
        <ns0:is>
          <ns0:t>Not observed in assessed sources</ns0:t>
        </ns0:is>
      </ns0:c>
      <ns0:c r="E856" s="21" t="inlineStr">
        <ns0:is>
          <ns0:t>Explicit facial-image and ADOS-score concatenation. Pairing and label provenance remain relevant validity limitations, not assumptions to fill from performance claims.</ns0:t>
        </ns0:is>
      </ns0:c>
      <ns0:c r="F856" s="21" t="inlineStr">
        <ns0:is>
          <ns0:t>https://doi.org/10.1109/access.2024.3453440</ns0:t>
        </ns0:is>
      </ns0:c>
      <ns0:c r="G856" s="21" t="inlineStr">
        <ns0:is>
          <ns0:t>ChatGPT-assisted evidence recharting, 2026-09-08</ns0:t>
        </ns0:is>
      </ns0:c>
    </ns0:row>
    <ns0:row r="857" ht="42" customHeight="1">
      <ns0:c r="A857" s="19" t="inlineStr">
        <ns0:is>
          <ns0:t>154</ns0:t>
        </ns0:is>
      </ns0:c>
      <ns0:c r="B857" s="19" t="inlineStr">
        <ns0:is>
          <ns0:t>algorithm_main</ns0:t>
        </ns0:is>
      </ns0:c>
      <ns0:c r="C857" s="19" t="inlineStr">
        <ns0:is>
          <ns0:t>Not clear</ns0:t>
        </ns0:is>
      </ns0:c>
      <ns0:c r="D857" s="19" t="inlineStr">
        <ns0:is>
          <ns0:t>Multiple conventional classifiers; no primary winner</ns0:t>
        </ns0:is>
      </ns0:c>
      <ns0:c r="E857" s="19" t="inlineStr">
        <ns0:is>
          <ns0:t>Comparative study names algorithms but not a unique best model or specific data source in the abstract. Preserve multiple-model category rather than inventing a principal family.</ns0:t>
        </ns0:is>
      </ns0:c>
      <ns0:c r="F857" s="19" t="inlineStr">
        <ns0:is>
          <ns0:t>https://doi.org/10.1007/978-981-97-6995-7_34</ns0:t>
        </ns0:is>
      </ns0:c>
      <ns0:c r="G857" s="19" t="inlineStr">
        <ns0:is>
          <ns0:t>ChatGPT-assisted evidence recharting, 2026-09-08</ns0:t>
        </ns0:is>
      </ns0:c>
    </ns0:row>
    <ns0:row r="858" ht="42" customHeight="1">
      <ns0:c r="A858" s="21" t="inlineStr">
        <ns0:is>
          <ns0:t>154</ns0:t>
        </ns0:is>
      </ns0:c>
      <ns0:c r="B858" s="21" t="inlineStr">
        <ns0:is>
          <ns0:t>rq2_status</ns0:t>
        </ns0:is>
      </ns0:c>
      <ns0:c r="C858" s="21" t="inlineStr">
        <ns0:is>
          <ns0:t>Not adjudicated in master</ns0:t>
        </ns0:is>
      </ns0:c>
      <ns0:c r="D858" s="21" t="inlineStr">
        <ns0:is>
          <ns0:t>Research only</ns0:t>
        </ns0:is>
      </ns0:c>
      <ns0:c r="E858" s="21" t="inlineStr">
        <ns0:is>
          <ns0:t>Comparative study names algorithms but not a unique best model or specific data source in the abstract. Preserve multiple-model category rather than inventing a principal family.</ns0:t>
        </ns0:is>
      </ns0:c>
      <ns0:c r="F858" s="21" t="inlineStr">
        <ns0:is>
          <ns0:t>https://doi.org/10.1007/978-981-97-6995-7_34</ns0:t>
        </ns0:is>
      </ns0:c>
      <ns0:c r="G858" s="21" t="inlineStr">
        <ns0:is>
          <ns0:t>ChatGPT-assisted evidence recharting, 2026-09-08</ns0:t>
        </ns0:is>
      </ns0:c>
    </ns0:row>
    <ns0:row r="859" ht="42" customHeight="1">
      <ns0:c r="A859" s="19" t="inlineStr">
        <ns0:is>
          <ns0:t>154</ns0:t>
        </ns0:is>
      </ns0:c>
      <ns0:c r="B859" s="19" t="inlineStr">
        <ns0:is>
          <ns0:t>rq2_role</ns0:t>
        </ns0:is>
      </ns0:c>
      <ns0:c r="C859" s="19" t="inlineStr"/>
      <ns0:c r="D859" s="19" t="inlineStr">
        <ns0:is>
          <ns0:t>Automated measurement/classification</ns0:t>
        </ns0:is>
      </ns0:c>
      <ns0:c r="E859" s="19" t="inlineStr">
        <ns0:is>
          <ns0:t>Comparative study names algorithms but not a unique best model or specific data source in the abstract. Preserve multiple-model category rather than inventing a principal family.</ns0:t>
        </ns0:is>
      </ns0:c>
      <ns0:c r="F859" s="19" t="inlineStr">
        <ns0:is>
          <ns0:t>https://doi.org/10.1007/978-981-97-6995-7_34</ns0:t>
        </ns0:is>
      </ns0:c>
      <ns0:c r="G859" s="19" t="inlineStr">
        <ns0:is>
          <ns0:t>ChatGPT-assisted evidence recharting, 2026-09-08</ns0:t>
        </ns0:is>
      </ns0:c>
    </ns0:row>
    <ns0:row r="860" ht="42" customHeight="1">
      <ns0:c r="A860" s="21" t="inlineStr">
        <ns0:is>
          <ns0:t>154</ns0:t>
        </ns0:is>
      </ns0:c>
      <ns0:c r="B860" s="21" t="inlineStr">
        <ns0:is>
          <ns0:t>decision_timing</ns0:t>
        </ns0:is>
      </ns0:c>
      <ns0:c r="C860" s="21" t="inlineStr"/>
      <ns0:c r="D860" s="21" t="inlineStr">
        <ns0:is>
          <ns0:t>Not observed in assessed sources</ns0:t>
        </ns0:is>
      </ns0:c>
      <ns0:c r="E860" s="21" t="inlineStr">
        <ns0:is>
          <ns0:t>Comparative study names algorithms but not a unique best model or specific data source in the abstract. Preserve multiple-model category rather than inventing a principal family.</ns0:t>
        </ns0:is>
      </ns0:c>
      <ns0:c r="F860" s="21" t="inlineStr">
        <ns0:is>
          <ns0:t>https://doi.org/10.1007/978-981-97-6995-7_34</ns0:t>
        </ns0:is>
      </ns0:c>
      <ns0:c r="G860" s="21" t="inlineStr">
        <ns0:is>
          <ns0:t>ChatGPT-assisted evidence recharting, 2026-09-08</ns0:t>
        </ns0:is>
      </ns0:c>
    </ns0:row>
    <ns0:row r="861" ht="42" customHeight="1">
      <ns0:c r="A861" s="19" t="inlineStr">
        <ns0:is>
          <ns0:t>154</ns0:t>
        </ns0:is>
      </ns0:c>
      <ns0:c r="B861" s="19" t="inlineStr">
        <ns0:is>
          <ns0:t>multisource_data</ns0:t>
        </ns0:is>
      </ns0:c>
      <ns0:c r="C861" s="19" t="inlineStr">
        <ns0:is>
          <ns0:t>Reported</ns0:t>
        </ns0:is>
      </ns0:c>
      <ns0:c r="D861" s="19" t="inlineStr">
        <ns0:is>
          <ns0:t>Not ascertainable</ns0:t>
        </ns0:is>
      </ns0:c>
      <ns0:c r="E861" s="19" t="inlineStr">
        <ns0:is>
          <ns0:t>Comparative study names algorithms but not a unique best model or specific data source in the abstract. Preserve multiple-model category rather than inventing a principal family.</ns0:t>
        </ns0:is>
      </ns0:c>
      <ns0:c r="F861" s="19" t="inlineStr">
        <ns0:is>
          <ns0:t>https://doi.org/10.1007/978-981-97-6995-7_34</ns0:t>
        </ns0:is>
      </ns0:c>
      <ns0:c r="G861" s="19" t="inlineStr">
        <ns0:is>
          <ns0:t>ChatGPT-assisted evidence recharting, 2026-09-08</ns0:t>
        </ns0:is>
      </ns0:c>
    </ns0:row>
    <ns0:row r="862" ht="42" customHeight="1">
      <ns0:c r="A862" s="21" t="inlineStr">
        <ns0:is>
          <ns0:t>155</ns0:t>
        </ns0:is>
      </ns0:c>
      <ns0:c r="B862" s="21" t="inlineStr">
        <ns0:is>
          <ns0:t>ai_type</ns0:t>
        </ns0:is>
      </ns0:c>
      <ns0:c r="C862" s="21" t="inlineStr">
        <ns0:is>
          <ns0:t>Not specified</ns0:t>
        </ns0:is>
      </ns0:c>
      <ns0:c r="D862" s="21" t="inlineStr">
        <ns0:is>
          <ns0:t>Deep Learning</ns0:t>
        </ns0:is>
      </ns0:c>
      <ns0:c r="E862" s="21" t="inlineStr">
        <ns0:is>
          <ns0:t>Actual described application is facial-image analysis with edge computing. Discussion of EEG, speech and imaging literature is not multisource input to the evaluated system.</ns0:t>
        </ns0:is>
      </ns0:c>
      <ns0:c r="F862" s="21" t="inlineStr">
        <ns0:is>
          <ns0:t>https://doi.org/10.1186/s13677-023-00558-9</ns0:t>
        </ns0:is>
      </ns0:c>
      <ns0:c r="G862" s="21" t="inlineStr">
        <ns0:is>
          <ns0:t>ChatGPT-assisted evidence recharting, 2026-09-08</ns0:t>
        </ns0:is>
      </ns0:c>
    </ns0:row>
    <ns0:row r="863" ht="42" customHeight="1">
      <ns0:c r="A863" s="19" t="inlineStr">
        <ns0:is>
          <ns0:t>155</ns0:t>
        </ns0:is>
      </ns0:c>
      <ns0:c r="B863" s="19" t="inlineStr">
        <ns0:is>
          <ns0:t>data_source_primary</ns0:t>
        </ns0:is>
      </ns0:c>
      <ns0:c r="C863" s="19" t="inlineStr">
        <ns0:is>
          <ns0:t>Not specified</ns0:t>
        </ns0:is>
      </ns0:c>
      <ns0:c r="D863" s="19" t="inlineStr">
        <ns0:is>
          <ns0:t>Behavioral images/video/gaze/movement</ns0:t>
        </ns0:is>
      </ns0:c>
      <ns0:c r="E863" s="19" t="inlineStr">
        <ns0:is>
          <ns0:t>Actual described application is facial-image analysis with edge computing. Discussion of EEG, speech and imaging literature is not multisource input to the evaluated system.</ns0:t>
        </ns0:is>
      </ns0:c>
      <ns0:c r="F863" s="19" t="inlineStr">
        <ns0:is>
          <ns0:t>https://doi.org/10.1186/s13677-023-00558-9</ns0:t>
        </ns0:is>
      </ns0:c>
      <ns0:c r="G863" s="19" t="inlineStr">
        <ns0:is>
          <ns0:t>ChatGPT-assisted evidence recharting, 2026-09-08</ns0:t>
        </ns0:is>
      </ns0:c>
    </ns0:row>
    <ns0:row r="864" ht="42" customHeight="1">
      <ns0:c r="A864" s="21" t="inlineStr">
        <ns0:is>
          <ns0:t>155</ns0:t>
        </ns0:is>
      </ns0:c>
      <ns0:c r="B864" s="21" t="inlineStr">
        <ns0:is>
          <ns0:t>algorithm_main</ns0:t>
        </ns0:is>
      </ns0:c>
      <ns0:c r="C864" s="21" t="inlineStr">
        <ns0:is>
          <ns0:t>CNN</ns0:t>
        </ns0:is>
      </ns0:c>
      <ns0:c r="D864" s="21" t="inlineStr">
        <ns0:is>
          <ns0:t>AlexNet</ns0:t>
        </ns0:is>
      </ns0:c>
      <ns0:c r="E864" s="21" t="inlineStr">
        <ns0:is>
          <ns0:t>Actual described application is facial-image analysis with edge computing. Discussion of EEG, speech and imaging literature is not multisource input to the evaluated system.</ns0:t>
        </ns0:is>
      </ns0:c>
      <ns0:c r="F864" s="21" t="inlineStr">
        <ns0:is>
          <ns0:t>https://doi.org/10.1186/s13677-023-00558-9</ns0:t>
        </ns0:is>
      </ns0:c>
      <ns0:c r="G864" s="21" t="inlineStr">
        <ns0:is>
          <ns0:t>ChatGPT-assisted evidence recharting, 2026-09-08</ns0:t>
        </ns0:is>
      </ns0:c>
    </ns0:row>
    <ns0:row r="865" ht="42" customHeight="1">
      <ns0:c r="A865" s="19" t="inlineStr">
        <ns0:is>
          <ns0:t>155</ns0:t>
        </ns0:is>
      </ns0:c>
      <ns0:c r="B865" s="19" t="inlineStr">
        <ns0:is>
          <ns0:t>rq2_status</ns0:t>
        </ns0:is>
      </ns0:c>
      <ns0:c r="C865" s="19" t="inlineStr">
        <ns0:is>
          <ns0:t>Not adjudicated in master</ns0:t>
        </ns0:is>
      </ns0:c>
      <ns0:c r="D865" s="19" t="inlineStr">
        <ns0:is>
          <ns0:t>Proposed only</ns0:t>
        </ns0:is>
      </ns0:c>
      <ns0:c r="E865" s="19" t="inlineStr">
        <ns0:is>
          <ns0:t>Actual described application is facial-image analysis with edge computing. Discussion of EEG, speech and imaging literature is not multisource input to the evaluated system.</ns0:t>
        </ns0:is>
      </ns0:c>
      <ns0:c r="F865" s="19" t="inlineStr">
        <ns0:is>
          <ns0:t>https://doi.org/10.1186/s13677-023-00558-9</ns0:t>
        </ns0:is>
      </ns0:c>
      <ns0:c r="G865" s="19" t="inlineStr">
        <ns0:is>
          <ns0:t>ChatGPT-assisted evidence recharting, 2026-09-08</ns0:t>
        </ns0:is>
      </ns0:c>
    </ns0:row>
    <ns0:row r="866" ht="42" customHeight="1">
      <ns0:c r="A866" s="21" t="inlineStr">
        <ns0:is>
          <ns0:t>155</ns0:t>
        </ns0:is>
      </ns0:c>
      <ns0:c r="B866" s="21" t="inlineStr">
        <ns0:is>
          <ns0:t>rq2_role</ns0:t>
        </ns0:is>
      </ns0:c>
      <ns0:c r="C866" s="21" t="inlineStr"/>
      <ns0:c r="D866" s="21" t="inlineStr">
        <ns0:is>
          <ns0:t>Diagnostic decision support</ns0:t>
        </ns0:is>
      </ns0:c>
      <ns0:c r="E866" s="21" t="inlineStr">
        <ns0:is>
          <ns0:t>Actual described application is facial-image analysis with edge computing. Discussion of EEG, speech and imaging literature is not multisource input to the evaluated system.</ns0:t>
        </ns0:is>
      </ns0:c>
      <ns0:c r="F866" s="21" t="inlineStr">
        <ns0:is>
          <ns0:t>https://doi.org/10.1186/s13677-023-00558-9</ns0:t>
        </ns0:is>
      </ns0:c>
      <ns0:c r="G866" s="21" t="inlineStr">
        <ns0:is>
          <ns0:t>ChatGPT-assisted evidence recharting, 2026-09-08</ns0:t>
        </ns0:is>
      </ns0:c>
    </ns0:row>
    <ns0:row r="867" ht="42" customHeight="1">
      <ns0:c r="A867" s="19" t="inlineStr">
        <ns0:is>
          <ns0:t>155</ns0:t>
        </ns0:is>
      </ns0:c>
      <ns0:c r="B867" s="19" t="inlineStr">
        <ns0:is>
          <ns0:t>decision_timing</ns0:t>
        </ns0:is>
      </ns0:c>
      <ns0:c r="C867" s="19" t="inlineStr"/>
      <ns0:c r="D867" s="19" t="inlineStr">
        <ns0:is>
          <ns0:t>Pre-decision</ns0:t>
        </ns0:is>
      </ns0:c>
      <ns0:c r="E867" s="19" t="inlineStr">
        <ns0:is>
          <ns0:t>Actual described application is facial-image analysis with edge computing. Discussion of EEG, speech and imaging literature is not multisource input to the evaluated system.</ns0:t>
        </ns0:is>
      </ns0:c>
      <ns0:c r="F867" s="19" t="inlineStr">
        <ns0:is>
          <ns0:t>https://doi.org/10.1186/s13677-023-00558-9</ns0:t>
        </ns0:is>
      </ns0:c>
      <ns0:c r="G867" s="19" t="inlineStr">
        <ns0:is>
          <ns0:t>ChatGPT-assisted evidence recharting, 2026-09-08</ns0:t>
        </ns0:is>
      </ns0:c>
    </ns0:row>
    <ns0:row r="868" ht="42" customHeight="1">
      <ns0:c r="A868" s="21" t="inlineStr">
        <ns0:is>
          <ns0:t>155</ns0:t>
        </ns0:is>
      </ns0:c>
      <ns0:c r="B868" s="21" t="inlineStr">
        <ns0:is>
          <ns0:t>multisource_data</ns0:t>
        </ns0:is>
      </ns0:c>
      <ns0:c r="C868" s="21" t="inlineStr">
        <ns0:is>
          <ns0:t>Reported</ns0:t>
        </ns0:is>
      </ns0:c>
      <ns0:c r="D868" s="21" t="inlineStr">
        <ns0:is>
          <ns0:t>Not reported in assessed sources</ns0:t>
        </ns0:is>
      </ns0:c>
      <ns0:c r="E868" s="21" t="inlineStr">
        <ns0:is>
          <ns0:t>Actual described application is facial-image analysis with edge computing. Discussion of EEG, speech and imaging literature is not multisource input to the evaluated system.</ns0:t>
        </ns0:is>
      </ns0:c>
      <ns0:c r="F868" s="21" t="inlineStr">
        <ns0:is>
          <ns0:t>https://doi.org/10.1186/s13677-023-00558-9</ns0:t>
        </ns0:is>
      </ns0:c>
      <ns0:c r="G868" s="21" t="inlineStr">
        <ns0:is>
          <ns0:t>ChatGPT-assisted evidence recharting, 2026-09-08</ns0:t>
        </ns0:is>
      </ns0:c>
    </ns0:row>
    <ns0:row r="869" ht="42" customHeight="1">
      <ns0:c r="A869" s="19" t="inlineStr">
        <ns0:is>
          <ns0:t>156</ns0:t>
        </ns0:is>
      </ns0:c>
      <ns0:c r="B869" s="19" t="inlineStr">
        <ns0:is>
          <ns0:t>data_source_primary</ns0:t>
        </ns0:is>
      </ns0:c>
      <ns0:c r="C869" s="19" t="inlineStr">
        <ns0:is>
          <ns0:t>Image (subtype unresolved)</ns0:t>
        </ns0:is>
      </ns0:c>
      <ns0:c r="D869" s="19" t="inlineStr">
        <ns0:is>
          <ns0:t>Neuroimaging</ns0:t>
        </ns0:is>
      </ns0:c>
      <ns0:c r="E869" s="19" t="inlineStr">
        <ns0:is>
          <ns0:t>Structural MRI classification with explicitly evaluated visual attribution methods; explanation supports proposed interpretation, not demonstrated clinical use.</ns0:t>
        </ns0:is>
      </ns0:c>
      <ns0:c r="F869" s="19" t="inlineStr">
        <ns0:is>
          <ns0:t>https://doi.org/10.1109/access.2021.3069211</ns0:t>
        </ns0:is>
      </ns0:c>
      <ns0:c r="G869" s="19" t="inlineStr">
        <ns0:is>
          <ns0:t>ChatGPT-assisted evidence recharting, 2026-09-08</ns0:t>
        </ns0:is>
      </ns0:c>
    </ns0:row>
    <ns0:row r="870" ht="42" customHeight="1">
      <ns0:c r="A870" s="21" t="inlineStr">
        <ns0:is>
          <ns0:t>156</ns0:t>
        </ns0:is>
      </ns0:c>
      <ns0:c r="B870" s="21" t="inlineStr">
        <ns0:is>
          <ns0:t>algorithm_main</ns0:t>
        </ns0:is>
      </ns0:c>
      <ns0:c r="C870" s="21" t="inlineStr">
        <ns0:is>
          <ns0:t>CNN</ns0:t>
        </ns0:is>
      </ns0:c>
      <ns0:c r="D870" s="21" t="inlineStr">
        <ns0:is>
          <ns0:t>CNN with CAM and Grad-CAM</ns0:t>
        </ns0:is>
      </ns0:c>
      <ns0:c r="E870" s="21" t="inlineStr">
        <ns0:is>
          <ns0:t>Structural MRI classification with explicitly evaluated visual attribution methods; explanation supports proposed interpretation, not demonstrated clinical use.</ns0:t>
        </ns0:is>
      </ns0:c>
      <ns0:c r="F870" s="21" t="inlineStr">
        <ns0:is>
          <ns0:t>https://doi.org/10.1109/access.2021.3069211</ns0:t>
        </ns0:is>
      </ns0:c>
      <ns0:c r="G870" s="21" t="inlineStr">
        <ns0:is>
          <ns0:t>ChatGPT-assisted evidence recharting, 2026-09-08</ns0:t>
        </ns0:is>
      </ns0:c>
    </ns0:row>
    <ns0:row r="871" ht="42" customHeight="1">
      <ns0:c r="A871" s="19" t="inlineStr">
        <ns0:is>
          <ns0:t>156</ns0:t>
        </ns0:is>
      </ns0:c>
      <ns0:c r="B871" s="19" t="inlineStr">
        <ns0:is>
          <ns0:t>rq2_status</ns0:t>
        </ns0:is>
      </ns0:c>
      <ns0:c r="C871" s="19" t="inlineStr">
        <ns0:is>
          <ns0:t>Not adjudicated in master</ns0:t>
        </ns0:is>
      </ns0:c>
      <ns0:c r="D871" s="19" t="inlineStr">
        <ns0:is>
          <ns0:t>Proposed only</ns0:t>
        </ns0:is>
      </ns0:c>
      <ns0:c r="E871" s="19" t="inlineStr">
        <ns0:is>
          <ns0:t>Structural MRI classification with explicitly evaluated visual attribution methods; explanation supports proposed interpretation, not demonstrated clinical use.</ns0:t>
        </ns0:is>
      </ns0:c>
      <ns0:c r="F871" s="19" t="inlineStr">
        <ns0:is>
          <ns0:t>https://doi.org/10.1109/access.2021.3069211</ns0:t>
        </ns0:is>
      </ns0:c>
      <ns0:c r="G871" s="19" t="inlineStr">
        <ns0:is>
          <ns0:t>ChatGPT-assisted evidence recharting, 2026-09-08</ns0:t>
        </ns0:is>
      </ns0:c>
    </ns0:row>
    <ns0:row r="872" ht="42" customHeight="1">
      <ns0:c r="A872" s="21" t="inlineStr">
        <ns0:is>
          <ns0:t>156</ns0:t>
        </ns0:is>
      </ns0:c>
      <ns0:c r="B872" s="21" t="inlineStr">
        <ns0:is>
          <ns0:t>rq2_role</ns0:t>
        </ns0:is>
      </ns0:c>
      <ns0:c r="C872" s="21" t="inlineStr"/>
      <ns0:c r="D872" s="21" t="inlineStr">
        <ns0:is>
          <ns0:t>Diagnostic decision support</ns0:t>
        </ns0:is>
      </ns0:c>
      <ns0:c r="E872" s="21" t="inlineStr">
        <ns0:is>
          <ns0:t>Structural MRI classification with explicitly evaluated visual attribution methods; explanation supports proposed interpretation, not demonstrated clinical use.</ns0:t>
        </ns0:is>
      </ns0:c>
      <ns0:c r="F872" s="21" t="inlineStr">
        <ns0:is>
          <ns0:t>https://doi.org/10.1109/access.2021.3069211</ns0:t>
        </ns0:is>
      </ns0:c>
      <ns0:c r="G872" s="21" t="inlineStr">
        <ns0:is>
          <ns0:t>ChatGPT-assisted evidence recharting, 2026-09-08</ns0:t>
        </ns0:is>
      </ns0:c>
    </ns0:row>
    <ns0:row r="873" ht="42" customHeight="1">
      <ns0:c r="A873" s="19" t="inlineStr">
        <ns0:is>
          <ns0:t>156</ns0:t>
        </ns0:is>
      </ns0:c>
      <ns0:c r="B873" s="19" t="inlineStr">
        <ns0:is>
          <ns0:t>decision_timing</ns0:t>
        </ns0:is>
      </ns0:c>
      <ns0:c r="C873" s="19" t="inlineStr"/>
      <ns0:c r="D873" s="19" t="inlineStr">
        <ns0:is>
          <ns0:t>In-decision</ns0:t>
        </ns0:is>
      </ns0:c>
      <ns0:c r="E873" s="19" t="inlineStr">
        <ns0:is>
          <ns0:t>Structural MRI classification with explicitly evaluated visual attribution methods; explanation supports proposed interpretation, not demonstrated clinical use.</ns0:t>
        </ns0:is>
      </ns0:c>
      <ns0:c r="F873" s="19" t="inlineStr">
        <ns0:is>
          <ns0:t>https://doi.org/10.1109/access.2021.3069211</ns0:t>
        </ns0:is>
      </ns0:c>
      <ns0:c r="G873" s="19" t="inlineStr">
        <ns0:is>
          <ns0:t>ChatGPT-assisted evidence recharting, 2026-09-08</ns0:t>
        </ns0:is>
      </ns0:c>
    </ns0:row>
    <ns0:row r="874" ht="42" customHeight="1">
      <ns0:c r="A874" s="21" t="inlineStr">
        <ns0:is>
          <ns0:t>157</ns0:t>
        </ns0:is>
      </ns0:c>
      <ns0:c r="B874" s="21" t="inlineStr">
        <ns0:is>
          <ns0:t>ai_type</ns0:t>
        </ns0:is>
      </ns0:c>
      <ns0:c r="C874" s="21" t="inlineStr">
        <ns0:is>
          <ns0:t>Deep Learning</ns0:t>
        </ns0:is>
      </ns0:c>
      <ns0:c r="D874" s="21" t="inlineStr">
        <ns0:is>
          <ns0:t>Machine Learning</ns0:t>
        </ns0:is>
      </ns0:c>
      <ns0:c r="E874" s="21" t="inlineStr">
        <ns0:is>
          <ns0:t>fMRI versus behavioral classifiers are evaluated separately. Independent replication cohort is described, but trained-model transport must not be assumed from replication alone.</ns0:t>
        </ns0:is>
      </ns0:c>
      <ns0:c r="F874" s="21" t="inlineStr">
        <ns0:is>
          <ns0:t>https://doi.org/10.1016/j.nicl.2014.12.013</ns0:t>
        </ns0:is>
      </ns0:c>
      <ns0:c r="G874" s="21" t="inlineStr">
        <ns0:is>
          <ns0:t>ChatGPT-assisted evidence recharting, 2026-09-08</ns0:t>
        </ns0:is>
      </ns0:c>
    </ns0:row>
    <ns0:row r="875" ht="42" customHeight="1">
      <ns0:c r="A875" s="19" t="inlineStr">
        <ns0:is>
          <ns0:t>157</ns0:t>
        </ns0:is>
      </ns0:c>
      <ns0:c r="B875" s="19" t="inlineStr">
        <ns0:is>
          <ns0:t>data_source_primary</ns0:t>
        </ns0:is>
      </ns0:c>
      <ns0:c r="C875" s="19" t="inlineStr">
        <ns0:is>
          <ns0:t>Physiological signals</ns0:t>
        </ns0:is>
      </ns0:c>
      <ns0:c r="D875" s="19" t="inlineStr">
        <ns0:is>
          <ns0:t>Neuroimaging</ns0:t>
        </ns0:is>
      </ns0:c>
      <ns0:c r="E875" s="19" t="inlineStr">
        <ns0:is>
          <ns0:t>fMRI versus behavioral classifiers are evaluated separately. Independent replication cohort is described, but trained-model transport must not be assumed from replication alone.</ns0:t>
        </ns0:is>
      </ns0:c>
      <ns0:c r="F875" s="19" t="inlineStr">
        <ns0:is>
          <ns0:t>https://doi.org/10.1016/j.nicl.2014.12.013</ns0:t>
        </ns0:is>
      </ns0:c>
      <ns0:c r="G875" s="19" t="inlineStr">
        <ns0:is>
          <ns0:t>ChatGPT-assisted evidence recharting, 2026-09-08</ns0:t>
        </ns0:is>
      </ns0:c>
    </ns0:row>
    <ns0:row r="876" ht="42" customHeight="1">
      <ns0:c r="A876" s="21" t="inlineStr">
        <ns0:is>
          <ns0:t>157</ns0:t>
        </ns0:is>
      </ns0:c>
      <ns0:c r="B876" s="21" t="inlineStr">
        <ns0:is>
          <ns0:t>algorithm_main</ns0:t>
        </ns0:is>
      </ns0:c>
      <ns0:c r="C876" s="21" t="inlineStr">
        <ns0:is>
          <ns0:t>Logistic Regression</ns0:t>
        </ns0:is>
      </ns0:c>
      <ns0:c r="D876" s="21" t="inlineStr">
        <ns0:is>
          <ns0:t>Regularized logistic regression</ns0:t>
        </ns0:is>
      </ns0:c>
      <ns0:c r="E876" s="21" t="inlineStr">
        <ns0:is>
          <ns0:t>fMRI versus behavioral classifiers are evaluated separately. Independent replication cohort is described, but trained-model transport must not be assumed from replication alone.</ns0:t>
        </ns0:is>
      </ns0:c>
      <ns0:c r="F876" s="21" t="inlineStr">
        <ns0:is>
          <ns0:t>https://doi.org/10.1016/j.nicl.2014.12.013</ns0:t>
        </ns0:is>
      </ns0:c>
      <ns0:c r="G876" s="21" t="inlineStr">
        <ns0:is>
          <ns0:t>ChatGPT-assisted evidence recharting, 2026-09-08</ns0:t>
        </ns0:is>
      </ns0:c>
    </ns0:row>
    <ns0:row r="877" ht="42" customHeight="1">
      <ns0:c r="A877" s="19" t="inlineStr">
        <ns0:is>
          <ns0:t>157</ns0:t>
        </ns0:is>
      </ns0:c>
      <ns0:c r="B877" s="19" t="inlineStr">
        <ns0:is>
          <ns0:t>rq2_status</ns0:t>
        </ns0:is>
      </ns0:c>
      <ns0:c r="C877" s="19" t="inlineStr">
        <ns0:is>
          <ns0:t>Not adjudicated in master</ns0:t>
        </ns0:is>
      </ns0:c>
      <ns0:c r="D877" s="19" t="inlineStr">
        <ns0:is>
          <ns0:t>Research only</ns0:t>
        </ns0:is>
      </ns0:c>
      <ns0:c r="E877" s="19" t="inlineStr">
        <ns0:is>
          <ns0:t>fMRI versus behavioral classifiers are evaluated separately. Independent replication cohort is described, but trained-model transport must not be assumed from replication alone.</ns0:t>
        </ns0:is>
      </ns0:c>
      <ns0:c r="F877" s="19" t="inlineStr">
        <ns0:is>
          <ns0:t>https://doi.org/10.1016/j.nicl.2014.12.013</ns0:t>
        </ns0:is>
      </ns0:c>
      <ns0:c r="G877" s="19" t="inlineStr">
        <ns0:is>
          <ns0:t>ChatGPT-assisted evidence recharting, 2026-09-08</ns0:t>
        </ns0:is>
      </ns0:c>
    </ns0:row>
    <ns0:row r="878" ht="42" customHeight="1">
      <ns0:c r="A878" s="21" t="inlineStr">
        <ns0:is>
          <ns0:t>157</ns0:t>
        </ns0:is>
      </ns0:c>
      <ns0:c r="B878" s="21" t="inlineStr">
        <ns0:is>
          <ns0:t>rq2_role</ns0:t>
        </ns0:is>
      </ns0:c>
      <ns0:c r="C878" s="21" t="inlineStr"/>
      <ns0:c r="D878" s="21" t="inlineStr">
        <ns0:is>
          <ns0:t>Automated measurement/classification</ns0:t>
        </ns0:is>
      </ns0:c>
      <ns0:c r="E878" s="21" t="inlineStr">
        <ns0:is>
          <ns0:t>fMRI versus behavioral classifiers are evaluated separately. Independent replication cohort is described, but trained-model transport must not be assumed from replication alone.</ns0:t>
        </ns0:is>
      </ns0:c>
      <ns0:c r="F878" s="21" t="inlineStr">
        <ns0:is>
          <ns0:t>https://doi.org/10.1016/j.nicl.2014.12.013</ns0:t>
        </ns0:is>
      </ns0:c>
      <ns0:c r="G878" s="21" t="inlineStr">
        <ns0:is>
          <ns0:t>ChatGPT-assisted evidence recharting, 2026-09-08</ns0:t>
        </ns0:is>
      </ns0:c>
    </ns0:row>
    <ns0:row r="879" ht="42" customHeight="1">
      <ns0:c r="A879" s="19" t="inlineStr">
        <ns0:is>
          <ns0:t>157</ns0:t>
        </ns0:is>
      </ns0:c>
      <ns0:c r="B879" s="19" t="inlineStr">
        <ns0:is>
          <ns0:t>decision_timing</ns0:t>
        </ns0:is>
      </ns0:c>
      <ns0:c r="C879" s="19" t="inlineStr"/>
      <ns0:c r="D879" s="19" t="inlineStr">
        <ns0:is>
          <ns0:t>Not observed in assessed sources</ns0:t>
        </ns0:is>
      </ns0:c>
      <ns0:c r="E879" s="19" t="inlineStr">
        <ns0:is>
          <ns0:t>fMRI versus behavioral classifiers are evaluated separately. Independent replication cohort is described, but trained-model transport must not be assumed from replication alone.</ns0:t>
        </ns0:is>
      </ns0:c>
      <ns0:c r="F879" s="19" t="inlineStr">
        <ns0:is>
          <ns0:t>https://doi.org/10.1016/j.nicl.2014.12.013</ns0:t>
        </ns0:is>
      </ns0:c>
      <ns0:c r="G879" s="19" t="inlineStr">
        <ns0:is>
          <ns0:t>ChatGPT-assisted evidence recharting, 2026-09-08</ns0:t>
        </ns0:is>
      </ns0:c>
    </ns0:row>
    <ns0:row r="880" ht="42" customHeight="1">
      <ns0:c r="A880" s="21" t="inlineStr">
        <ns0:is>
          <ns0:t>157</ns0:t>
        </ns0:is>
      </ns0:c>
      <ns0:c r="B880" s="21" t="inlineStr">
        <ns0:is>
          <ns0:t>xai_partial</ns0:t>
        </ns0:is>
      </ns0:c>
      <ns0:c r="C880" s="21" t="inlineStr">
        <ns0:is>
          <ns0:t>Not reported in assessed sources</ns0:t>
        </ns0:is>
      </ns0:c>
      <ns0:c r="D880" s="21" t="inlineStr">
        <ns0:is>
          <ns0:t>Reported</ns0:t>
        </ns0:is>
      </ns0:c>
      <ns0:c r="E880" s="21" t="inlineStr">
        <ns0:is>
          <ns0:t>fMRI versus behavioral classifiers are evaluated separately. Independent replication cohort is described, but trained-model transport must not be assumed from replication alone.</ns0:t>
        </ns0:is>
      </ns0:c>
      <ns0:c r="F880" s="21" t="inlineStr">
        <ns0:is>
          <ns0:t>https://doi.org/10.1016/j.nicl.2014.12.013</ns0:t>
        </ns0:is>
      </ns0:c>
      <ns0:c r="G880" s="21" t="inlineStr">
        <ns0:is>
          <ns0:t>ChatGPT-assisted evidence recharting, 2026-09-08</ns0:t>
        </ns0:is>
      </ns0:c>
    </ns0:row>
    <ns0:row r="881" ht="42" customHeight="1">
      <ns0:c r="A881" s="19" t="inlineStr">
        <ns0:is>
          <ns0:t>158</ns0:t>
        </ns0:is>
      </ns0:c>
      <ns0:c r="B881" s="19" t="inlineStr">
        <ns0:is>
          <ns0:t>data_source_primary</ns0:t>
        </ns0:is>
      </ns0:c>
      <ns0:c r="C881" s="19" t="inlineStr">
        <ns0:is>
          <ns0:t>Not specified</ns0:t>
        </ns0:is>
      </ns0:c>
      <ns0:c r="D881" s="19" t="inlineStr">
        <ns0:is>
          <ns0:t>Neuroimaging</ns0:t>
        </ns0:is>
      </ns0:c>
      <ns0:c r="E881" s="19" t="inlineStr">
        <ns0:is>
          <ns0:t>ABIDE fMRI functional-connectivity graph classifier; no unspecified modality or generic Other family is needed.</ns0:t>
        </ns0:is>
      </ns0:c>
      <ns0:c r="F881" s="19" t="inlineStr">
        <ns0:is>
          <ns0:t>https://doi.org/10.1007/978-3-031-13844-7_33</ns0:t>
        </ns0:is>
      </ns0:c>
      <ns0:c r="G881" s="19" t="inlineStr">
        <ns0:is>
          <ns0:t>ChatGPT-assisted evidence recharting, 2026-09-08</ns0:t>
        </ns0:is>
      </ns0:c>
    </ns0:row>
    <ns0:row r="882" ht="42" customHeight="1">
      <ns0:c r="A882" s="21" t="inlineStr">
        <ns0:is>
          <ns0:t>158</ns0:t>
        </ns0:is>
      </ns0:c>
      <ns0:c r="B882" s="21" t="inlineStr">
        <ns0:is>
          <ns0:t>algorithm_main</ns0:t>
        </ns0:is>
      </ns0:c>
      <ns0:c r="C882" s="21" t="inlineStr">
        <ns0:is>
          <ns0:t>Other / Not clear</ns0:t>
        </ns0:is>
      </ns0:c>
      <ns0:c r="D882" s="21" t="inlineStr">
        <ns0:is>
          <ns0:t>Relational-attention GCN</ns0:t>
        </ns0:is>
      </ns0:c>
      <ns0:c r="E882" s="21" t="inlineStr">
        <ns0:is>
          <ns0:t>ABIDE fMRI functional-connectivity graph classifier; no unspecified modality or generic Other family is needed.</ns0:t>
        </ns0:is>
      </ns0:c>
      <ns0:c r="F882" s="21" t="inlineStr">
        <ns0:is>
          <ns0:t>https://doi.org/10.1007/978-3-031-13844-7_33</ns0:t>
        </ns0:is>
      </ns0:c>
      <ns0:c r="G882" s="21" t="inlineStr">
        <ns0:is>
          <ns0:t>ChatGPT-assisted evidence recharting, 2026-09-08</ns0:t>
        </ns0:is>
      </ns0:c>
    </ns0:row>
    <ns0:row r="883" ht="42" customHeight="1">
      <ns0:c r="A883" s="19" t="inlineStr">
        <ns0:is>
          <ns0:t>158</ns0:t>
        </ns0:is>
      </ns0:c>
      <ns0:c r="B883" s="19" t="inlineStr">
        <ns0:is>
          <ns0:t>rq2_status</ns0:t>
        </ns0:is>
      </ns0:c>
      <ns0:c r="C883" s="19" t="inlineStr">
        <ns0:is>
          <ns0:t>Not adjudicated in master</ns0:t>
        </ns0:is>
      </ns0:c>
      <ns0:c r="D883" s="19" t="inlineStr">
        <ns0:is>
          <ns0:t>Research only</ns0:t>
        </ns0:is>
      </ns0:c>
      <ns0:c r="E883" s="19" t="inlineStr">
        <ns0:is>
          <ns0:t>ABIDE fMRI functional-connectivity graph classifier; no unspecified modality or generic Other family is needed.</ns0:t>
        </ns0:is>
      </ns0:c>
      <ns0:c r="F883" s="19" t="inlineStr">
        <ns0:is>
          <ns0:t>https://doi.org/10.1007/978-3-031-13844-7_33</ns0:t>
        </ns0:is>
      </ns0:c>
      <ns0:c r="G883" s="19" t="inlineStr">
        <ns0:is>
          <ns0:t>ChatGPT-assisted evidence recharting, 2026-09-08</ns0:t>
        </ns0:is>
      </ns0:c>
    </ns0:row>
    <ns0:row r="884" ht="42" customHeight="1">
      <ns0:c r="A884" s="21" t="inlineStr">
        <ns0:is>
          <ns0:t>158</ns0:t>
        </ns0:is>
      </ns0:c>
      <ns0:c r="B884" s="21" t="inlineStr">
        <ns0:is>
          <ns0:t>rq2_role</ns0:t>
        </ns0:is>
      </ns0:c>
      <ns0:c r="C884" s="21" t="inlineStr"/>
      <ns0:c r="D884" s="21" t="inlineStr">
        <ns0:is>
          <ns0:t>Automated measurement/classification</ns0:t>
        </ns0:is>
      </ns0:c>
      <ns0:c r="E884" s="21" t="inlineStr">
        <ns0:is>
          <ns0:t>ABIDE fMRI functional-connectivity graph classifier; no unspecified modality or generic Other family is needed.</ns0:t>
        </ns0:is>
      </ns0:c>
      <ns0:c r="F884" s="21" t="inlineStr">
        <ns0:is>
          <ns0:t>https://doi.org/10.1007/978-3-031-13844-7_33</ns0:t>
        </ns0:is>
      </ns0:c>
      <ns0:c r="G884" s="21" t="inlineStr">
        <ns0:is>
          <ns0:t>ChatGPT-assisted evidence recharting, 2026-09-08</ns0:t>
        </ns0:is>
      </ns0:c>
    </ns0:row>
    <ns0:row r="885" ht="42" customHeight="1">
      <ns0:c r="A885" s="19" t="inlineStr">
        <ns0:is>
          <ns0:t>158</ns0:t>
        </ns0:is>
      </ns0:c>
      <ns0:c r="B885" s="19" t="inlineStr">
        <ns0:is>
          <ns0:t>decision_timing</ns0:t>
        </ns0:is>
      </ns0:c>
      <ns0:c r="C885" s="19" t="inlineStr"/>
      <ns0:c r="D885" s="19" t="inlineStr">
        <ns0:is>
          <ns0:t>Not observed in assessed sources</ns0:t>
        </ns0:is>
      </ns0:c>
      <ns0:c r="E885" s="19" t="inlineStr">
        <ns0:is>
          <ns0:t>ABIDE fMRI functional-connectivity graph classifier; no unspecified modality or generic Other family is needed.</ns0:t>
        </ns0:is>
      </ns0:c>
      <ns0:c r="F885" s="19" t="inlineStr">
        <ns0:is>
          <ns0:t>https://doi.org/10.1007/978-3-031-13844-7_33</ns0:t>
        </ns0:is>
      </ns0:c>
      <ns0:c r="G885" s="19" t="inlineStr">
        <ns0:is>
          <ns0:t>ChatGPT-assisted evidence recharting, 2026-09-08</ns0:t>
        </ns0:is>
      </ns0:c>
    </ns0:row>
    <ns0:row r="886" ht="42" customHeight="1">
      <ns0:c r="A886" s="21" t="inlineStr">
        <ns0:is>
          <ns0:t>159</ns0:t>
        </ns0:is>
      </ns0:c>
      <ns0:c r="B886" s="21" t="inlineStr">
        <ns0:is>
          <ns0:t>ai_type</ns0:t>
        </ns0:is>
      </ns0:c>
      <ns0:c r="C886" s="21" t="inlineStr">
        <ns0:is>
          <ns0:t>Deep Learning</ns0:t>
        </ns0:is>
      </ns0:c>
      <ns0:c r="D886" s="21" t="inlineStr">
        <ns0:is>
          <ns0:t>Hybrid</ns0:t>
        </ns0:is>
      </ns0:c>
      <ns0:c r="E886" s="21" t="inlineStr">
        <ns0:is>
          <ns0:t>Explicit neural and fuzzy-system integration; EEG benchmarks remain a single data modality.</ns0:t>
        </ns0:is>
      </ns0:c>
      <ns0:c r="F886" s="21" t="inlineStr">
        <ns0:is>
          <ns0:t>https://doi.org/10.1016/j.compbiolchem.2024.108177</ns0:t>
        </ns0:is>
      </ns0:c>
      <ns0:c r="G886" s="21" t="inlineStr">
        <ns0:is>
          <ns0:t>ChatGPT-assisted evidence recharting, 2026-09-08</ns0:t>
        </ns0:is>
      </ns0:c>
    </ns0:row>
    <ns0:row r="887" ht="42" customHeight="1">
      <ns0:c r="A887" s="19" t="inlineStr">
        <ns0:is>
          <ns0:t>159</ns0:t>
        </ns0:is>
      </ns0:c>
      <ns0:c r="B887" s="19" t="inlineStr">
        <ns0:is>
          <ns0:t>algorithm_main</ns0:t>
        </ns0:is>
      </ns0:c>
      <ns0:c r="C887" s="19" t="inlineStr">
        <ns0:is>
          <ns0:t>Other</ns0:t>
        </ns0:is>
      </ns0:c>
      <ns0:c r="D887" s="19" t="inlineStr">
        <ns0:is>
          <ns0:t>Deep maxout network with cascade neuro-fuzzy model</ns0:t>
        </ns0:is>
      </ns0:c>
      <ns0:c r="E887" s="19" t="inlineStr">
        <ns0:is>
          <ns0:t>Explicit neural and fuzzy-system integration; EEG benchmarks remain a single data modality.</ns0:t>
        </ns0:is>
      </ns0:c>
      <ns0:c r="F887" s="19" t="inlineStr">
        <ns0:is>
          <ns0:t>https://doi.org/10.1016/j.compbiolchem.2024.108177</ns0:t>
        </ns0:is>
      </ns0:c>
      <ns0:c r="G887" s="19" t="inlineStr">
        <ns0:is>
          <ns0:t>ChatGPT-assisted evidence recharting, 2026-09-08</ns0:t>
        </ns0:is>
      </ns0:c>
    </ns0:row>
    <ns0:row r="888" ht="42" customHeight="1">
      <ns0:c r="A888" s="21" t="inlineStr">
        <ns0:is>
          <ns0:t>159</ns0:t>
        </ns0:is>
      </ns0:c>
      <ns0:c r="B888" s="21" t="inlineStr">
        <ns0:is>
          <ns0:t>rq2_status</ns0:t>
        </ns0:is>
      </ns0:c>
      <ns0:c r="C888" s="21" t="inlineStr">
        <ns0:is>
          <ns0:t>Not adjudicated in master</ns0:t>
        </ns0:is>
      </ns0:c>
      <ns0:c r="D888" s="21" t="inlineStr">
        <ns0:is>
          <ns0:t>Research only</ns0:t>
        </ns0:is>
      </ns0:c>
      <ns0:c r="E888" s="21" t="inlineStr">
        <ns0:is>
          <ns0:t>Explicit neural and fuzzy-system integration; EEG benchmarks remain a single data modality.</ns0:t>
        </ns0:is>
      </ns0:c>
      <ns0:c r="F888" s="21" t="inlineStr">
        <ns0:is>
          <ns0:t>https://doi.org/10.1016/j.compbiolchem.2024.108177</ns0:t>
        </ns0:is>
      </ns0:c>
      <ns0:c r="G888" s="21" t="inlineStr">
        <ns0:is>
          <ns0:t>ChatGPT-assisted evidence recharting, 2026-09-08</ns0:t>
        </ns0:is>
      </ns0:c>
    </ns0:row>
    <ns0:row r="889" ht="42" customHeight="1">
      <ns0:c r="A889" s="19" t="inlineStr">
        <ns0:is>
          <ns0:t>159</ns0:t>
        </ns0:is>
      </ns0:c>
      <ns0:c r="B889" s="19" t="inlineStr">
        <ns0:is>
          <ns0:t>rq2_role</ns0:t>
        </ns0:is>
      </ns0:c>
      <ns0:c r="C889" s="19" t="inlineStr"/>
      <ns0:c r="D889" s="19" t="inlineStr">
        <ns0:is>
          <ns0:t>Automated measurement/classification</ns0:t>
        </ns0:is>
      </ns0:c>
      <ns0:c r="E889" s="19" t="inlineStr">
        <ns0:is>
          <ns0:t>Explicit neural and fuzzy-system integration; EEG benchmarks remain a single data modality.</ns0:t>
        </ns0:is>
      </ns0:c>
      <ns0:c r="F889" s="19" t="inlineStr">
        <ns0:is>
          <ns0:t>https://doi.org/10.1016/j.compbiolchem.2024.108177</ns0:t>
        </ns0:is>
      </ns0:c>
      <ns0:c r="G889" s="19" t="inlineStr">
        <ns0:is>
          <ns0:t>ChatGPT-assisted evidence recharting, 2026-09-08</ns0:t>
        </ns0:is>
      </ns0:c>
    </ns0:row>
    <ns0:row r="890" ht="42" customHeight="1">
      <ns0:c r="A890" s="21" t="inlineStr">
        <ns0:is>
          <ns0:t>159</ns0:t>
        </ns0:is>
      </ns0:c>
      <ns0:c r="B890" s="21" t="inlineStr">
        <ns0:is>
          <ns0:t>decision_timing</ns0:t>
        </ns0:is>
      </ns0:c>
      <ns0:c r="C890" s="21" t="inlineStr"/>
      <ns0:c r="D890" s="21" t="inlineStr">
        <ns0:is>
          <ns0:t>Not observed in assessed sources</ns0:t>
        </ns0:is>
      </ns0:c>
      <ns0:c r="E890" s="21" t="inlineStr">
        <ns0:is>
          <ns0:t>Explicit neural and fuzzy-system integration; EEG benchmarks remain a single data modality.</ns0:t>
        </ns0:is>
      </ns0:c>
      <ns0:c r="F890" s="21" t="inlineStr">
        <ns0:is>
          <ns0:t>https://doi.org/10.1016/j.compbiolchem.2024.108177</ns0:t>
        </ns0:is>
      </ns0:c>
      <ns0:c r="G890" s="21" t="inlineStr">
        <ns0:is>
          <ns0:t>ChatGPT-assisted evidence recharting, 2026-09-08</ns0:t>
        </ns0:is>
      </ns0:c>
    </ns0:row>
    <ns0:row r="891" ht="42" customHeight="1">
      <ns0:c r="A891" s="19" t="inlineStr">
        <ns0:is>
          <ns0:t>160</ns0:t>
        </ns0:is>
      </ns0:c>
      <ns0:c r="B891" s="19" t="inlineStr">
        <ns0:is>
          <ns0:t>stage_primary</ns0:t>
        </ns0:is>
      </ns0:c>
      <ns0:c r="C891" s="19" t="inlineStr">
        <ns0:is>
          <ns0:t>Monitoring/intervention</ns0:t>
        </ns0:is>
      </ns0:c>
      <ns0:c r="D891" s="19" t="inlineStr">
        <ns0:is>
          <ns0:t>Not specified</ns0:t>
        </ns0:is>
      </ns0:c>
      <ns0:c r="E891" s="19" t="inlineStr">
        <ns0:is>
          <ns0:t>Cognitive-impairment imputation within ASD from parent-reported surveys, with independent evaluation sample. Not ASD detection, deep learning or NLP.</ns0:t>
        </ns0:is>
      </ns0:c>
      <ns0:c r="F891" s="19" t="inlineStr">
        <ns0:is>
          <ns0:t>https://doi.org/10.1002/aur.2622</ns0:t>
        </ns0:is>
      </ns0:c>
      <ns0:c r="G891" s="19" t="inlineStr">
        <ns0:is>
          <ns0:t>ChatGPT-assisted evidence recharting, 2026-09-08</ns0:t>
        </ns0:is>
      </ns0:c>
    </ns0:row>
    <ns0:row r="892" ht="42" customHeight="1">
      <ns0:c r="A892" s="21" t="inlineStr">
        <ns0:is>
          <ns0:t>160</ns0:t>
        </ns0:is>
      </ns0:c>
      <ns0:c r="B892" s="21" t="inlineStr">
        <ns0:is>
          <ns0:t>ai_type</ns0:t>
        </ns0:is>
      </ns0:c>
      <ns0:c r="C892" s="21" t="inlineStr">
        <ns0:is>
          <ns0:t>Deep Learning</ns0:t>
        </ns0:is>
      </ns0:c>
      <ns0:c r="D892" s="21" t="inlineStr">
        <ns0:is>
          <ns0:t>Machine Learning</ns0:t>
        </ns0:is>
      </ns0:c>
      <ns0:c r="E892" s="21" t="inlineStr">
        <ns0:is>
          <ns0:t>Cognitive-impairment imputation within ASD from parent-reported surveys, with independent evaluation sample. Not ASD detection, deep learning or NLP.</ns0:t>
        </ns0:is>
      </ns0:c>
      <ns0:c r="F892" s="21" t="inlineStr">
        <ns0:is>
          <ns0:t>https://doi.org/10.1002/aur.2622</ns0:t>
        </ns0:is>
      </ns0:c>
      <ns0:c r="G892" s="21" t="inlineStr">
        <ns0:is>
          <ns0:t>ChatGPT-assisted evidence recharting, 2026-09-08</ns0:t>
        </ns0:is>
      </ns0:c>
    </ns0:row>
    <ns0:row r="893" ht="42" customHeight="1">
      <ns0:c r="A893" s="19" t="inlineStr">
        <ns0:is>
          <ns0:t>160</ns0:t>
        </ns0:is>
      </ns0:c>
      <ns0:c r="B893" s="19" t="inlineStr">
        <ns0:is>
          <ns0:t>data_source_primary</ns0:t>
        </ns0:is>
      </ns0:c>
      <ns0:c r="C893" s="19" t="inlineStr">
        <ns0:is>
          <ns0:t>Text / NLP (legacy; verify input type)</ns0:t>
        </ns0:is>
      </ns0:c>
      <ns0:c r="D893" s="19" t="inlineStr">
        <ns0:is>
          <ns0:t>Structured clinical/questionnaire data</ns0:t>
        </ns0:is>
      </ns0:c>
      <ns0:c r="E893" s="19" t="inlineStr">
        <ns0:is>
          <ns0:t>Cognitive-impairment imputation within ASD from parent-reported surveys, with independent evaluation sample. Not ASD detection, deep learning or NLP.</ns0:t>
        </ns0:is>
      </ns0:c>
      <ns0:c r="F893" s="19" t="inlineStr">
        <ns0:is>
          <ns0:t>https://doi.org/10.1002/aur.2622</ns0:t>
        </ns0:is>
      </ns0:c>
      <ns0:c r="G893" s="19" t="inlineStr">
        <ns0:is>
          <ns0:t>ChatGPT-assisted evidence recharting, 2026-09-08</ns0:t>
        </ns0:is>
      </ns0:c>
    </ns0:row>
    <ns0:row r="894" ht="42" customHeight="1">
      <ns0:c r="A894" s="21" t="inlineStr">
        <ns0:is>
          <ns0:t>160</ns0:t>
        </ns0:is>
      </ns0:c>
      <ns0:c r="B894" s="21" t="inlineStr">
        <ns0:is>
          <ns0:t>algorithm_main</ns0:t>
        </ns0:is>
      </ns0:c>
      <ns0:c r="C894" s="21" t="inlineStr">
        <ns0:is>
          <ns0:t>Logistic Regression</ns0:t>
        </ns0:is>
      </ns0:c>
      <ns0:c r="D894" s="21" t="inlineStr">
        <ns0:is>
          <ns0:t>Elastic-net regression/classification</ns0:t>
        </ns0:is>
      </ns0:c>
      <ns0:c r="E894" s="21" t="inlineStr">
        <ns0:is>
          <ns0:t>Cognitive-impairment imputation within ASD from parent-reported surveys, with independent evaluation sample. Not ASD detection, deep learning or NLP.</ns0:t>
        </ns0:is>
      </ns0:c>
      <ns0:c r="F894" s="21" t="inlineStr">
        <ns0:is>
          <ns0:t>https://doi.org/10.1002/aur.2622</ns0:t>
        </ns0:is>
      </ns0:c>
      <ns0:c r="G894" s="21" t="inlineStr">
        <ns0:is>
          <ns0:t>ChatGPT-assisted evidence recharting, 2026-09-08</ns0:t>
        </ns0:is>
      </ns0:c>
    </ns0:row>
    <ns0:row r="895" ht="42" customHeight="1">
      <ns0:c r="A895" s="19" t="inlineStr">
        <ns0:is>
          <ns0:t>160</ns0:t>
        </ns0:is>
      </ns0:c>
      <ns0:c r="B895" s="19" t="inlineStr">
        <ns0:is>
          <ns0:t>rq2_status</ns0:t>
        </ns0:is>
      </ns0:c>
      <ns0:c r="C895" s="19" t="inlineStr">
        <ns0:is>
          <ns0:t>Not adjudicated in master</ns0:t>
        </ns0:is>
      </ns0:c>
      <ns0:c r="D895" s="19" t="inlineStr">
        <ns0:is>
          <ns0:t>Research only</ns0:t>
        </ns0:is>
      </ns0:c>
      <ns0:c r="E895" s="19" t="inlineStr">
        <ns0:is>
          <ns0:t>Cognitive-impairment imputation within ASD from parent-reported surveys, with independent evaluation sample. Not ASD detection, deep learning or NLP.</ns0:t>
        </ns0:is>
      </ns0:c>
      <ns0:c r="F895" s="19" t="inlineStr">
        <ns0:is>
          <ns0:t>https://doi.org/10.1002/aur.2622</ns0:t>
        </ns0:is>
      </ns0:c>
      <ns0:c r="G895" s="19" t="inlineStr">
        <ns0:is>
          <ns0:t>ChatGPT-assisted evidence recharting, 2026-09-08</ns0:t>
        </ns0:is>
      </ns0:c>
    </ns0:row>
    <ns0:row r="896" ht="42" customHeight="1">
      <ns0:c r="A896" s="21" t="inlineStr">
        <ns0:is>
          <ns0:t>160</ns0:t>
        </ns0:is>
      </ns0:c>
      <ns0:c r="B896" s="21" t="inlineStr">
        <ns0:is>
          <ns0:t>rq2_role</ns0:t>
        </ns0:is>
      </ns0:c>
      <ns0:c r="C896" s="21" t="inlineStr"/>
      <ns0:c r="D896" s="21" t="inlineStr">
        <ns0:is>
          <ns0:t>Research characterization</ns0:t>
        </ns0:is>
      </ns0:c>
      <ns0:c r="E896" s="21" t="inlineStr">
        <ns0:is>
          <ns0:t>Cognitive-impairment imputation within ASD from parent-reported surveys, with independent evaluation sample. Not ASD detection, deep learning or NLP.</ns0:t>
        </ns0:is>
      </ns0:c>
      <ns0:c r="F896" s="21" t="inlineStr">
        <ns0:is>
          <ns0:t>https://doi.org/10.1002/aur.2622</ns0:t>
        </ns0:is>
      </ns0:c>
      <ns0:c r="G896" s="21" t="inlineStr">
        <ns0:is>
          <ns0:t>ChatGPT-assisted evidence recharting, 2026-09-08</ns0:t>
        </ns0:is>
      </ns0:c>
    </ns0:row>
    <ns0:row r="897" ht="42" customHeight="1">
      <ns0:c r="A897" s="19" t="inlineStr">
        <ns0:is>
          <ns0:t>160</ns0:t>
        </ns0:is>
      </ns0:c>
      <ns0:c r="B897" s="19" t="inlineStr">
        <ns0:is>
          <ns0:t>decision_timing</ns0:t>
        </ns0:is>
      </ns0:c>
      <ns0:c r="C897" s="19" t="inlineStr"/>
      <ns0:c r="D897" s="19" t="inlineStr">
        <ns0:is>
          <ns0:t>Not observed in assessed sources</ns0:t>
        </ns0:is>
      </ns0:c>
      <ns0:c r="E897" s="19" t="inlineStr">
        <ns0:is>
          <ns0:t>Cognitive-impairment imputation within ASD from parent-reported surveys, with independent evaluation sample. Not ASD detection, deep learning or NLP.</ns0:t>
        </ns0:is>
      </ns0:c>
      <ns0:c r="F897" s="19" t="inlineStr">
        <ns0:is>
          <ns0:t>https://doi.org/10.1002/aur.2622</ns0:t>
        </ns0:is>
      </ns0:c>
      <ns0:c r="G897" s="19" t="inlineStr">
        <ns0:is>
          <ns0:t>ChatGPT-assisted evidence recharting, 2026-09-08</ns0:t>
        </ns0:is>
      </ns0:c>
    </ns0:row>
    <ns0:row r="898" ht="42" customHeight="1">
      <ns0:c r="A898" s="21" t="inlineStr">
        <ns0:is>
          <ns0:t>160</ns0:t>
        </ns0:is>
      </ns0:c>
      <ns0:c r="B898" s="21" t="inlineStr">
        <ns0:is>
          <ns0:t>external_validation</ns0:t>
        </ns0:is>
      </ns0:c>
      <ns0:c r="C898" s="21" t="inlineStr">
        <ns0:is>
          <ns0:t>Not reported in assessed sources</ns0:t>
        </ns0:is>
      </ns0:c>
      <ns0:c r="D898" s="21" t="inlineStr">
        <ns0:is>
          <ns0:t>Reported</ns0:t>
        </ns0:is>
      </ns0:c>
      <ns0:c r="E898" s="21" t="inlineStr">
        <ns0:is>
          <ns0:t>Cognitive-impairment imputation within ASD from parent-reported surveys, with independent evaluation sample. Not ASD detection, deep learning or NLP.</ns0:t>
        </ns0:is>
      </ns0:c>
      <ns0:c r="F898" s="21" t="inlineStr">
        <ns0:is>
          <ns0:t>https://doi.org/10.1002/aur.2622</ns0:t>
        </ns0:is>
      </ns0:c>
      <ns0:c r="G898" s="21" t="inlineStr">
        <ns0:is>
          <ns0:t>ChatGPT-assisted evidence recharting, 2026-09-08</ns0:t>
        </ns0:is>
      </ns0:c>
    </ns0:row>
    <ns0:row r="899" ht="42" customHeight="1">
      <ns0:c r="A899" s="19" t="inlineStr">
        <ns0:is>
          <ns0:t>162</ns0:t>
        </ns0:is>
      </ns0:c>
      <ns0:c r="B899" s="19" t="inlineStr">
        <ns0:is>
          <ns0:t>eligibility</ns0:t>
        </ns0:is>
      </ns0:c>
      <ns0:c r="C899" s="19" t="inlineStr">
        <ns0:is>
          <ns0:t>Include</ns0:t>
        </ns0:is>
      </ns0:c>
      <ns0:c r="D899" s="19" t="inlineStr">
        <ns0:is>
          <ns0:t>Exclude</ns0:t>
        </ns0:is>
      </ns0:c>
      <ns0:c r="E899" s="19" t="inlineStr">
        <ns0:is>
          <ns0:t>Standalone Wiley edited-book chapter; source framework excludes standalone chapters while retaining identified conference proceedings.</ns0:t>
        </ns0:is>
      </ns0:c>
      <ns0:c r="F899" s="19" t="inlineStr">
        <ns0:is>
          <ns0:t>https://doi.org/10.1002/9781119896838.ch18</ns0:t>
        </ns0:is>
      </ns0:c>
      <ns0:c r="G899" s="19" t="inlineStr">
        <ns0:is>
          <ns0:t>ChatGPT-assisted evidence recharting, 2026-09-08</ns0:t>
        </ns0:is>
      </ns0:c>
    </ns0:row>
    <ns0:row r="900" ht="42" customHeight="1">
      <ns0:c r="A900" s="21" t="inlineStr">
        <ns0:is>
          <ns0:t>162</ns0:t>
        </ns0:is>
      </ns0:c>
      <ns0:c r="B900" s="21" t="inlineStr">
        <ns0:is>
          <ns0:t>stage_primary</ns0:t>
        </ns0:is>
      </ns0:c>
      <ns0:c r="C900" s="21" t="inlineStr">
        <ns0:is>
          <ns0:t>Diagnosis</ns0:t>
        </ns0:is>
      </ns0:c>
      <ns0:c r="D900" s="21" t="inlineStr">
        <ns0:is>
          <ns0:t>Excluded</ns0:t>
        </ns0:is>
      </ns0:c>
      <ns0:c r="E900" s="21" t="inlineStr">
        <ns0:is>
          <ns0:t>Standalone Wiley edited-book chapter; source framework excludes standalone chapters while retaining identified conference proceedings.</ns0:t>
        </ns0:is>
      </ns0:c>
      <ns0:c r="F900" s="21" t="inlineStr">
        <ns0:is>
          <ns0:t>https://doi.org/10.1002/9781119896838.ch18</ns0:t>
        </ns0:is>
      </ns0:c>
      <ns0:c r="G900" s="21" t="inlineStr">
        <ns0:is>
          <ns0:t>ChatGPT-assisted evidence recharting, 2026-09-08</ns0:t>
        </ns0:is>
      </ns0:c>
    </ns0:row>
    <ns0:row r="901" ht="42" customHeight="1">
      <ns0:c r="A901" s="19" t="inlineStr">
        <ns0:is>
          <ns0:t>162</ns0:t>
        </ns0:is>
      </ns0:c>
      <ns0:c r="B901" s="19" t="inlineStr">
        <ns0:is>
          <ns0:t>ai_type</ns0:t>
        </ns0:is>
      </ns0:c>
      <ns0:c r="C901" s="19" t="inlineStr">
        <ns0:is>
          <ns0:t>Machine Learning</ns0:t>
        </ns0:is>
      </ns0:c>
      <ns0:c r="D901" s="19" t="inlineStr">
        <ns0:is>
          <ns0:t>Excluded</ns0:t>
        </ns0:is>
      </ns0:c>
      <ns0:c r="E901" s="19" t="inlineStr">
        <ns0:is>
          <ns0:t>Standalone Wiley edited-book chapter; source framework excludes standalone chapters while retaining identified conference proceedings.</ns0:t>
        </ns0:is>
      </ns0:c>
      <ns0:c r="F901" s="19" t="inlineStr">
        <ns0:is>
          <ns0:t>https://doi.org/10.1002/9781119896838.ch18</ns0:t>
        </ns0:is>
      </ns0:c>
      <ns0:c r="G901" s="19" t="inlineStr">
        <ns0:is>
          <ns0:t>ChatGPT-assisted evidence recharting, 2026-09-08</ns0:t>
        </ns0:is>
      </ns0:c>
    </ns0:row>
    <ns0:row r="902" ht="42" customHeight="1">
      <ns0:c r="A902" s="21" t="inlineStr">
        <ns0:is>
          <ns0:t>162</ns0:t>
        </ns0:is>
      </ns0:c>
      <ns0:c r="B902" s="21" t="inlineStr">
        <ns0:is>
          <ns0:t>data_source_primary</ns0:t>
        </ns0:is>
      </ns0:c>
      <ns0:c r="C902" s="21" t="inlineStr">
        <ns0:is>
          <ns0:t>Text / NLP (legacy; verify input type)</ns0:t>
        </ns0:is>
      </ns0:c>
      <ns0:c r="D902" s="21" t="inlineStr">
        <ns0:is>
          <ns0:t>Excluded</ns0:t>
        </ns0:is>
      </ns0:c>
      <ns0:c r="E902" s="21" t="inlineStr">
        <ns0:is>
          <ns0:t>Standalone Wiley edited-book chapter; source framework excludes standalone chapters while retaining identified conference proceedings.</ns0:t>
        </ns0:is>
      </ns0:c>
      <ns0:c r="F902" s="21" t="inlineStr">
        <ns0:is>
          <ns0:t>https://doi.org/10.1002/9781119896838.ch18</ns0:t>
        </ns0:is>
      </ns0:c>
      <ns0:c r="G902" s="21" t="inlineStr">
        <ns0:is>
          <ns0:t>ChatGPT-assisted evidence recharting, 2026-09-08</ns0:t>
        </ns0:is>
      </ns0:c>
    </ns0:row>
    <ns0:row r="903" ht="42" customHeight="1">
      <ns0:c r="A903" s="19" t="inlineStr">
        <ns0:is>
          <ns0:t>162</ns0:t>
        </ns0:is>
      </ns0:c>
      <ns0:c r="B903" s="19" t="inlineStr">
        <ns0:is>
          <ns0:t>algorithm_main</ns0:t>
        </ns0:is>
      </ns0:c>
      <ns0:c r="C903" s="19" t="inlineStr"/>
      <ns0:c r="D903" s="19" t="inlineStr">
        <ns0:is>
          <ns0:t>Not specified</ns0:t>
        </ns0:is>
      </ns0:c>
      <ns0:c r="E903" s="19" t="inlineStr">
        <ns0:is>
          <ns0:t>Standalone Wiley edited-book chapter; source framework excludes standalone chapters while retaining identified conference proceedings.</ns0:t>
        </ns0:is>
      </ns0:c>
      <ns0:c r="F903" s="19" t="inlineStr">
        <ns0:is>
          <ns0:t>https://doi.org/10.1002/9781119896838.ch18</ns0:t>
        </ns0:is>
      </ns0:c>
      <ns0:c r="G903" s="19" t="inlineStr">
        <ns0:is>
          <ns0:t>ChatGPT-assisted evidence recharting, 2026-09-08</ns0:t>
        </ns0:is>
      </ns0:c>
    </ns0:row>
    <ns0:row r="904" ht="42" customHeight="1">
      <ns0:c r="A904" s="21" t="inlineStr">
        <ns0:is>
          <ns0:t>162</ns0:t>
        </ns0:is>
      </ns0:c>
      <ns0:c r="B904" s="21" t="inlineStr">
        <ns0:is>
          <ns0:t>rq2_status</ns0:t>
        </ns0:is>
      </ns0:c>
      <ns0:c r="C904" s="21" t="inlineStr">
        <ns0:is>
          <ns0:t>Not adjudicated in master</ns0:t>
        </ns0:is>
      </ns0:c>
      <ns0:c r="D904" s="21" t="inlineStr">
        <ns0:is>
          <ns0:t>Excluded</ns0:t>
        </ns0:is>
      </ns0:c>
      <ns0:c r="E904" s="21" t="inlineStr">
        <ns0:is>
          <ns0:t>Standalone Wiley edited-book chapter; source framework excludes standalone chapters while retaining identified conference proceedings.</ns0:t>
        </ns0:is>
      </ns0:c>
      <ns0:c r="F904" s="21" t="inlineStr">
        <ns0:is>
          <ns0:t>https://doi.org/10.1002/9781119896838.ch18</ns0:t>
        </ns0:is>
      </ns0:c>
      <ns0:c r="G904" s="21" t="inlineStr">
        <ns0:is>
          <ns0:t>ChatGPT-assisted evidence recharting, 2026-09-08</ns0:t>
        </ns0:is>
      </ns0:c>
    </ns0:row>
    <ns0:row r="905" ht="42" customHeight="1">
      <ns0:c r="A905" s="19" t="inlineStr">
        <ns0:is>
          <ns0:t>162</ns0:t>
        </ns0:is>
      </ns0:c>
      <ns0:c r="B905" s="19" t="inlineStr">
        <ns0:is>
          <ns0:t>rq2_role</ns0:t>
        </ns0:is>
      </ns0:c>
      <ns0:c r="C905" s="19" t="inlineStr"/>
      <ns0:c r="D905" s="19" t="inlineStr">
        <ns0:is>
          <ns0:t>Excluded</ns0:t>
        </ns0:is>
      </ns0:c>
      <ns0:c r="E905" s="19" t="inlineStr">
        <ns0:is>
          <ns0:t>Standalone Wiley edited-book chapter; source framework excludes standalone chapters while retaining identified conference proceedings.</ns0:t>
        </ns0:is>
      </ns0:c>
      <ns0:c r="F905" s="19" t="inlineStr">
        <ns0:is>
          <ns0:t>https://doi.org/10.1002/9781119896838.ch18</ns0:t>
        </ns0:is>
      </ns0:c>
      <ns0:c r="G905" s="19" t="inlineStr">
        <ns0:is>
          <ns0:t>ChatGPT-assisted evidence recharting, 2026-09-08</ns0:t>
        </ns0:is>
      </ns0:c>
    </ns0:row>
    <ns0:row r="906" ht="42" customHeight="1">
      <ns0:c r="A906" s="21" t="inlineStr">
        <ns0:is>
          <ns0:t>162</ns0:t>
        </ns0:is>
      </ns0:c>
      <ns0:c r="B906" s="21" t="inlineStr">
        <ns0:is>
          <ns0:t>decision_timing</ns0:t>
        </ns0:is>
      </ns0:c>
      <ns0:c r="C906" s="21" t="inlineStr"/>
      <ns0:c r="D906" s="21" t="inlineStr">
        <ns0:is>
          <ns0:t>Not applicable - excluded</ns0:t>
        </ns0:is>
      </ns0:c>
      <ns0:c r="E906" s="21" t="inlineStr">
        <ns0:is>
          <ns0:t>Standalone Wiley edited-book chapter; source framework excludes standalone chapters while retaining identified conference proceedings.</ns0:t>
        </ns0:is>
      </ns0:c>
      <ns0:c r="F906" s="21" t="inlineStr">
        <ns0:is>
          <ns0:t>https://doi.org/10.1002/9781119896838.ch18</ns0:t>
        </ns0:is>
      </ns0:c>
      <ns0:c r="G906" s="21" t="inlineStr">
        <ns0:is>
          <ns0:t>ChatGPT-assisted evidence recharting, 2026-09-08</ns0:t>
        </ns0:is>
      </ns0:c>
    </ns0:row>
    <ns0:row r="907" ht="42" customHeight="1">
      <ns0:c r="A907" s="19" t="inlineStr">
        <ns0:is>
          <ns0:t>163</ns0:t>
        </ns0:is>
      </ns0:c>
      <ns0:c r="B907" s="19" t="inlineStr">
        <ns0:is>
          <ns0:t>data_source_primary</ns0:t>
        </ns0:is>
      </ns0:c>
      <ns0:c r="C907" s="19" t="inlineStr">
        <ns0:is>
          <ns0:t>Image (subtype unresolved)</ns0:t>
        </ns0:is>
      </ns0:c>
      <ns0:c r="D907" s="19" t="inlineStr">
        <ns0:is>
          <ns0:t>Multiple source categories</ns0:t>
        </ns0:is>
      </ns0:c>
      <ns0:c r="E907" s="19" t="inlineStr">
        <ns0:is>
          <ns0:t>Functional connectomes and personal characteristics are fused. Leave-one-site-out testing is explicit and supports cross-site robustness and site-held-out external validation.</ns0:t>
        </ns0:is>
      </ns0:c>
      <ns0:c r="F907" s="19" t="inlineStr">
        <ns0:is>
          <ns0:t>https://doi.org/10.1155/2020/1357853</ns0:t>
        </ns0:is>
      </ns0:c>
      <ns0:c r="G907" s="19" t="inlineStr">
        <ns0:is>
          <ns0:t>ChatGPT-assisted evidence recharting, 2026-09-08</ns0:t>
        </ns0:is>
      </ns0:c>
    </ns0:row>
    <ns0:row r="908" ht="42" customHeight="1">
      <ns0:c r="A908" s="21" t="inlineStr">
        <ns0:is>
          <ns0:t>163</ns0:t>
        </ns0:is>
      </ns0:c>
      <ns0:c r="B908" s="21" t="inlineStr">
        <ns0:is>
          <ns0:t>algorithm_main</ns0:t>
        </ns0:is>
      </ns0:c>
      <ns0:c r="C908" s="21" t="inlineStr">
        <ns0:is>
          <ns0:t>Other / Not clear</ns0:t>
        </ns0:is>
      </ns0:c>
      <ns0:c r="D908" s="21" t="inlineStr">
        <ns0:is>
          <ns0:t>Multichannel deep attention neural network</ns0:t>
        </ns0:is>
      </ns0:c>
      <ns0:c r="E908" s="21" t="inlineStr">
        <ns0:is>
          <ns0:t>Functional connectomes and personal characteristics are fused. Leave-one-site-out testing is explicit and supports cross-site robustness and site-held-out external validation.</ns0:t>
        </ns0:is>
      </ns0:c>
      <ns0:c r="F908" s="21" t="inlineStr">
        <ns0:is>
          <ns0:t>https://doi.org/10.1155/2020/1357853</ns0:t>
        </ns0:is>
      </ns0:c>
      <ns0:c r="G908" s="21" t="inlineStr">
        <ns0:is>
          <ns0:t>ChatGPT-assisted evidence recharting, 2026-09-08</ns0:t>
        </ns0:is>
      </ns0:c>
    </ns0:row>
    <ns0:row r="909" ht="42" customHeight="1">
      <ns0:c r="A909" s="19" t="inlineStr">
        <ns0:is>
          <ns0:t>163</ns0:t>
        </ns0:is>
      </ns0:c>
      <ns0:c r="B909" s="19" t="inlineStr">
        <ns0:is>
          <ns0:t>rq2_status</ns0:t>
        </ns0:is>
      </ns0:c>
      <ns0:c r="C909" s="19" t="inlineStr">
        <ns0:is>
          <ns0:t>Not adjudicated in master</ns0:t>
        </ns0:is>
      </ns0:c>
      <ns0:c r="D909" s="19" t="inlineStr">
        <ns0:is>
          <ns0:t>Research only</ns0:t>
        </ns0:is>
      </ns0:c>
      <ns0:c r="E909" s="19" t="inlineStr">
        <ns0:is>
          <ns0:t>Functional connectomes and personal characteristics are fused. Leave-one-site-out testing is explicit and supports cross-site robustness and site-held-out external validation.</ns0:t>
        </ns0:is>
      </ns0:c>
      <ns0:c r="F909" s="19" t="inlineStr">
        <ns0:is>
          <ns0:t>https://doi.org/10.1155/2020/1357853</ns0:t>
        </ns0:is>
      </ns0:c>
      <ns0:c r="G909" s="19" t="inlineStr">
        <ns0:is>
          <ns0:t>ChatGPT-assisted evidence recharting, 2026-09-08</ns0:t>
        </ns0:is>
      </ns0:c>
    </ns0:row>
    <ns0:row r="910" ht="42" customHeight="1">
      <ns0:c r="A910" s="21" t="inlineStr">
        <ns0:is>
          <ns0:t>163</ns0:t>
        </ns0:is>
      </ns0:c>
      <ns0:c r="B910" s="21" t="inlineStr">
        <ns0:is>
          <ns0:t>rq2_role</ns0:t>
        </ns0:is>
      </ns0:c>
      <ns0:c r="C910" s="21" t="inlineStr"/>
      <ns0:c r="D910" s="21" t="inlineStr">
        <ns0:is>
          <ns0:t>Automated measurement/classification</ns0:t>
        </ns0:is>
      </ns0:c>
      <ns0:c r="E910" s="21" t="inlineStr">
        <ns0:is>
          <ns0:t>Functional connectomes and personal characteristics are fused. Leave-one-site-out testing is explicit and supports cross-site robustness and site-held-out external validation.</ns0:t>
        </ns0:is>
      </ns0:c>
      <ns0:c r="F910" s="21" t="inlineStr">
        <ns0:is>
          <ns0:t>https://doi.org/10.1155/2020/1357853</ns0:t>
        </ns0:is>
      </ns0:c>
      <ns0:c r="G910" s="21" t="inlineStr">
        <ns0:is>
          <ns0:t>ChatGPT-assisted evidence recharting, 2026-09-08</ns0:t>
        </ns0:is>
      </ns0:c>
    </ns0:row>
    <ns0:row r="911" ht="42" customHeight="1">
      <ns0:c r="A911" s="19" t="inlineStr">
        <ns0:is>
          <ns0:t>163</ns0:t>
        </ns0:is>
      </ns0:c>
      <ns0:c r="B911" s="19" t="inlineStr">
        <ns0:is>
          <ns0:t>decision_timing</ns0:t>
        </ns0:is>
      </ns0:c>
      <ns0:c r="C911" s="19" t="inlineStr"/>
      <ns0:c r="D911" s="19" t="inlineStr">
        <ns0:is>
          <ns0:t>Not observed in assessed sources</ns0:t>
        </ns0:is>
      </ns0:c>
      <ns0:c r="E911" s="19" t="inlineStr">
        <ns0:is>
          <ns0:t>Functional connectomes and personal characteristics are fused. Leave-one-site-out testing is explicit and supports cross-site robustness and site-held-out external validation.</ns0:t>
        </ns0:is>
      </ns0:c>
      <ns0:c r="F911" s="19" t="inlineStr">
        <ns0:is>
          <ns0:t>https://doi.org/10.1155/2020/1357853</ns0:t>
        </ns0:is>
      </ns0:c>
      <ns0:c r="G911" s="19" t="inlineStr">
        <ns0:is>
          <ns0:t>ChatGPT-assisted evidence recharting, 2026-09-08</ns0:t>
        </ns0:is>
      </ns0:c>
    </ns0:row>
    <ns0:row r="912" ht="42" customHeight="1">
      <ns0:c r="A912" s="21" t="inlineStr">
        <ns0:is>
          <ns0:t>163</ns0:t>
        </ns0:is>
      </ns0:c>
      <ns0:c r="B912" s="21" t="inlineStr">
        <ns0:is>
          <ns0:t>external_validation</ns0:t>
        </ns0:is>
      </ns0:c>
      <ns0:c r="C912" s="21" t="inlineStr">
        <ns0:is>
          <ns0:t>Not reported in assessed sources</ns0:t>
        </ns0:is>
      </ns0:c>
      <ns0:c r="D912" s="21" t="inlineStr">
        <ns0:is>
          <ns0:t>Reported</ns0:t>
        </ns0:is>
      </ns0:c>
      <ns0:c r="E912" s="21" t="inlineStr">
        <ns0:is>
          <ns0:t>Functional connectomes and personal characteristics are fused. Leave-one-site-out testing is explicit and supports cross-site robustness and site-held-out external validation.</ns0:t>
        </ns0:is>
      </ns0:c>
      <ns0:c r="F912" s="21" t="inlineStr">
        <ns0:is>
          <ns0:t>https://doi.org/10.1155/2020/1357853</ns0:t>
        </ns0:is>
      </ns0:c>
      <ns0:c r="G912" s="21" t="inlineStr">
        <ns0:is>
          <ns0:t>ChatGPT-assisted evidence recharting, 2026-09-08</ns0:t>
        </ns0:is>
      </ns0:c>
    </ns0:row>
    <ns0:row r="913" ht="57" customHeight="1">
      <ns0:c r="A913" s="19" t="inlineStr">
        <ns0:is>
          <ns0:t>164</ns0:t>
        </ns0:is>
      </ns0:c>
      <ns0:c r="B913" s="19" t="inlineStr">
        <ns0:is>
          <ns0:t>data_source_primary</ns0:t>
        </ns0:is>
      </ns0:c>
      <ns0:c r="C913" s="19" t="inlineStr">
        <ns0:is>
          <ns0:t>Physiological signals</ns0:t>
        </ns0:is>
      </ns0:c>
      <ns0:c r="D913" s="19" t="inlineStr">
        <ns0:is>
          <ns0:t>Multiple source categories</ns0:t>
        </ns0:is>
      </ns0:c>
      <ns0:c r="E913" s="19" t="inlineStr">
        <ns0:is>
          <ns0:t>Reported EEG, eye-tracking and computational data fusion. Distinct sample cardinalities and ordering require caution: paired-patient multimodal validity is not established by classification accuracy.
Fusion across different sample cardinalities is reported; matched participant-level acquisition is not established in the available abstract.</ns0:t>
        </ns0:is>
      </ns0:c>
      <ns0:c r="F913" s="19" t="inlineStr">
        <ns0:is>
          <ns0:t>https://doi.org/10.1007/s13246-023-01350-4</ns0:t>
        </ns0:is>
      </ns0:c>
      <ns0:c r="G913" s="19" t="inlineStr">
        <ns0:is>
          <ns0:t>ChatGPT-assisted evidence recharting, 2026-09-08</ns0:t>
        </ns0:is>
      </ns0:c>
    </ns0:row>
    <ns0:row r="914" ht="57" customHeight="1">
      <ns0:c r="A914" s="21" t="inlineStr">
        <ns0:is>
          <ns0:t>164</ns0:t>
        </ns0:is>
      </ns0:c>
      <ns0:c r="B914" s="21" t="inlineStr">
        <ns0:is>
          <ns0:t>algorithm_main</ns0:t>
        </ns0:is>
      </ns0:c>
      <ns0:c r="C914" s="21" t="inlineStr">
        <ns0:is>
          <ns0:t>SVM</ns0:t>
        </ns0:is>
      </ns0:c>
      <ns0:c r="D914" s="21" t="inlineStr">
        <ns0:is>
          <ns0:t>MKDCA fusion with SVM</ns0:t>
        </ns0:is>
      </ns0:c>
      <ns0:c r="E914" s="21" t="inlineStr">
        <ns0:is>
          <ns0:t>Reported EEG, eye-tracking and computational data fusion. Distinct sample cardinalities and ordering require caution: paired-patient multimodal validity is not established by classification accuracy.
Fusion across different sample cardinalities is reported; matched participant-level acquisition is not established in the available abstract.</ns0:t>
        </ns0:is>
      </ns0:c>
      <ns0:c r="F914" s="21" t="inlineStr">
        <ns0:is>
          <ns0:t>https://doi.org/10.1007/s13246-023-01350-4</ns0:t>
        </ns0:is>
      </ns0:c>
      <ns0:c r="G914" s="21" t="inlineStr">
        <ns0:is>
          <ns0:t>ChatGPT-assisted evidence recharting, 2026-09-08</ns0:t>
        </ns0:is>
      </ns0:c>
    </ns0:row>
    <ns0:row r="915" ht="57" customHeight="1">
      <ns0:c r="A915" s="19" t="inlineStr">
        <ns0:is>
          <ns0:t>164</ns0:t>
        </ns0:is>
      </ns0:c>
      <ns0:c r="B915" s="19" t="inlineStr">
        <ns0:is>
          <ns0:t>rq2_status</ns0:t>
        </ns0:is>
      </ns0:c>
      <ns0:c r="C915" s="19" t="inlineStr">
        <ns0:is>
          <ns0:t>Not adjudicated in master</ns0:t>
        </ns0:is>
      </ns0:c>
      <ns0:c r="D915" s="19" t="inlineStr">
        <ns0:is>
          <ns0:t>Proposed only</ns0:t>
        </ns0:is>
      </ns0:c>
      <ns0:c r="E915" s="19" t="inlineStr">
        <ns0:is>
          <ns0:t>Reported EEG, eye-tracking and computational data fusion. Distinct sample cardinalities and ordering require caution: paired-patient multimodal validity is not established by classification accuracy.
Fusion across different sample cardinalities is reported; matched participant-level acquisition is not established in the available abstract.</ns0:t>
        </ns0:is>
      </ns0:c>
      <ns0:c r="F915" s="19" t="inlineStr">
        <ns0:is>
          <ns0:t>https://doi.org/10.1007/s13246-023-01350-4</ns0:t>
        </ns0:is>
      </ns0:c>
      <ns0:c r="G915" s="19" t="inlineStr">
        <ns0:is>
          <ns0:t>ChatGPT-assisted evidence recharting, 2026-09-08</ns0:t>
        </ns0:is>
      </ns0:c>
    </ns0:row>
    <ns0:row r="916" ht="57" customHeight="1">
      <ns0:c r="A916" s="21" t="inlineStr">
        <ns0:is>
          <ns0:t>164</ns0:t>
        </ns0:is>
      </ns0:c>
      <ns0:c r="B916" s="21" t="inlineStr">
        <ns0:is>
          <ns0:t>rq2_role</ns0:t>
        </ns0:is>
      </ns0:c>
      <ns0:c r="C916" s="21" t="inlineStr"/>
      <ns0:c r="D916" s="21" t="inlineStr">
        <ns0:is>
          <ns0:t>Diagnostic decision support</ns0:t>
        </ns0:is>
      </ns0:c>
      <ns0:c r="E916" s="21" t="inlineStr">
        <ns0:is>
          <ns0:t>Reported EEG, eye-tracking and computational data fusion. Distinct sample cardinalities and ordering require caution: paired-patient multimodal validity is not established by classification accuracy.
Fusion across different sample cardinalities is reported; matched participant-level acquisition is not established in the available abstract.</ns0:t>
        </ns0:is>
      </ns0:c>
      <ns0:c r="F916" s="21" t="inlineStr">
        <ns0:is>
          <ns0:t>https://doi.org/10.1007/s13246-023-01350-4</ns0:t>
        </ns0:is>
      </ns0:c>
      <ns0:c r="G916" s="21" t="inlineStr">
        <ns0:is>
          <ns0:t>ChatGPT-assisted evidence recharting, 2026-09-08</ns0:t>
        </ns0:is>
      </ns0:c>
    </ns0:row>
    <ns0:row r="917" ht="57" customHeight="1">
      <ns0:c r="A917" s="19" t="inlineStr">
        <ns0:is>
          <ns0:t>164</ns0:t>
        </ns0:is>
      </ns0:c>
      <ns0:c r="B917" s="19" t="inlineStr">
        <ns0:is>
          <ns0:t>decision_timing</ns0:t>
        </ns0:is>
      </ns0:c>
      <ns0:c r="C917" s="19" t="inlineStr"/>
      <ns0:c r="D917" s="19" t="inlineStr">
        <ns0:is>
          <ns0:t>In-decision</ns0:t>
        </ns0:is>
      </ns0:c>
      <ns0:c r="E917" s="19" t="inlineStr">
        <ns0:is>
          <ns0:t>Reported EEG, eye-tracking and computational data fusion. Distinct sample cardinalities and ordering require caution: paired-patient multimodal validity is not established by classification accuracy.
Fusion across different sample cardinalities is reported; matched participant-level acquisition is not established in the available abstract.</ns0:t>
        </ns0:is>
      </ns0:c>
      <ns0:c r="F917" s="19" t="inlineStr">
        <ns0:is>
          <ns0:t>https://doi.org/10.1007/s13246-023-01350-4</ns0:t>
        </ns0:is>
      </ns0:c>
      <ns0:c r="G917" s="19" t="inlineStr">
        <ns0:is>
          <ns0:t>ChatGPT-assisted evidence recharting, 2026-09-08</ns0:t>
        </ns0:is>
      </ns0:c>
    </ns0:row>
    <ns0:row r="918" ht="42" customHeight="1">
      <ns0:c r="A918" s="21" t="inlineStr">
        <ns0:is>
          <ns0:t>165</ns0:t>
        </ns0:is>
      </ns0:c>
      <ns0:c r="B918" s="21" t="inlineStr">
        <ns0:is>
          <ns0:t>eligibility</ns0:t>
        </ns0:is>
      </ns0:c>
      <ns0:c r="C918" s="21" t="inlineStr">
        <ns0:is>
          <ns0:t>Include</ns0:t>
        </ns0:is>
      </ns0:c>
      <ns0:c r="D918" s="21" t="inlineStr">
        <ns0:is>
          <ns0:t>Exclude</ns0:t>
        </ns0:is>
      </ns0:c>
      <ns0:c r="E918" s="21" t="inlineStr">
        <ns0:is>
          <ns0:t>Explicit phase-III study protocol, recruitment targets and pre-results registration, not results from the planned 760-child evaluation.</ns0:t>
        </ns0:is>
      </ns0:c>
      <ns0:c r="F918" s="21" t="inlineStr">
        <ns0:is>
          <ns0:t>https://doi.org/10.1136/bmjopen-2018-026226</ns0:t>
        </ns0:is>
      </ns0:c>
      <ns0:c r="G918" s="21" t="inlineStr">
        <ns0:is>
          <ns0:t>ChatGPT-assisted evidence recharting, 2026-09-08</ns0:t>
        </ns0:is>
      </ns0:c>
    </ns0:row>
    <ns0:row r="919" ht="42" customHeight="1">
      <ns0:c r="A919" s="19" t="inlineStr">
        <ns0:is>
          <ns0:t>165</ns0:t>
        </ns0:is>
      </ns0:c>
      <ns0:c r="B919" s="19" t="inlineStr">
        <ns0:is>
          <ns0:t>stage_primary</ns0:t>
        </ns0:is>
      </ns0:c>
      <ns0:c r="C919" s="19" t="inlineStr">
        <ns0:is>
          <ns0:t>Diagnosis</ns0:t>
        </ns0:is>
      </ns0:c>
      <ns0:c r="D919" s="19" t="inlineStr">
        <ns0:is>
          <ns0:t>Excluded</ns0:t>
        </ns0:is>
      </ns0:c>
      <ns0:c r="E919" s="19" t="inlineStr">
        <ns0:is>
          <ns0:t>Explicit phase-III study protocol, recruitment targets and pre-results registration, not results from the planned 760-child evaluation.</ns0:t>
        </ns0:is>
      </ns0:c>
      <ns0:c r="F919" s="19" t="inlineStr">
        <ns0:is>
          <ns0:t>https://doi.org/10.1136/bmjopen-2018-026226</ns0:t>
        </ns0:is>
      </ns0:c>
      <ns0:c r="G919" s="19" t="inlineStr">
        <ns0:is>
          <ns0:t>ChatGPT-assisted evidence recharting, 2026-09-08</ns0:t>
        </ns0:is>
      </ns0:c>
    </ns0:row>
    <ns0:row r="920" ht="42" customHeight="1">
      <ns0:c r="A920" s="21" t="inlineStr">
        <ns0:is>
          <ns0:t>165</ns0:t>
        </ns0:is>
      </ns0:c>
      <ns0:c r="B920" s="21" t="inlineStr">
        <ns0:is>
          <ns0:t>ai_type</ns0:t>
        </ns0:is>
      </ns0:c>
      <ns0:c r="C920" s="21" t="inlineStr">
        <ns0:is>
          <ns0:t>Deep Learning</ns0:t>
        </ns0:is>
      </ns0:c>
      <ns0:c r="D920" s="21" t="inlineStr">
        <ns0:is>
          <ns0:t>Excluded</ns0:t>
        </ns0:is>
      </ns0:c>
      <ns0:c r="E920" s="21" t="inlineStr">
        <ns0:is>
          <ns0:t>Explicit phase-III study protocol, recruitment targets and pre-results registration, not results from the planned 760-child evaluation.</ns0:t>
        </ns0:is>
      </ns0:c>
      <ns0:c r="F920" s="21" t="inlineStr">
        <ns0:is>
          <ns0:t>https://doi.org/10.1136/bmjopen-2018-026226</ns0:t>
        </ns0:is>
      </ns0:c>
      <ns0:c r="G920" s="21" t="inlineStr">
        <ns0:is>
          <ns0:t>ChatGPT-assisted evidence recharting, 2026-09-08</ns0:t>
        </ns0:is>
      </ns0:c>
    </ns0:row>
    <ns0:row r="921" ht="42" customHeight="1">
      <ns0:c r="A921" s="19" t="inlineStr">
        <ns0:is>
          <ns0:t>165</ns0:t>
        </ns0:is>
      </ns0:c>
      <ns0:c r="B921" s="19" t="inlineStr">
        <ns0:is>
          <ns0:t>data_source_primary</ns0:t>
        </ns0:is>
      </ns0:c>
      <ns0:c r="C921" s="19" t="inlineStr">
        <ns0:is>
          <ns0:t>Physiological signals</ns0:t>
        </ns0:is>
      </ns0:c>
      <ns0:c r="D921" s="19" t="inlineStr">
        <ns0:is>
          <ns0:t>Excluded</ns0:t>
        </ns0:is>
      </ns0:c>
      <ns0:c r="E921" s="19" t="inlineStr">
        <ns0:is>
          <ns0:t>Explicit phase-III study protocol, recruitment targets and pre-results registration, not results from the planned 760-child evaluation.</ns0:t>
        </ns0:is>
      </ns0:c>
      <ns0:c r="F921" s="19" t="inlineStr">
        <ns0:is>
          <ns0:t>https://doi.org/10.1136/bmjopen-2018-026226</ns0:t>
        </ns0:is>
      </ns0:c>
      <ns0:c r="G921" s="19" t="inlineStr">
        <ns0:is>
          <ns0:t>ChatGPT-assisted evidence recharting, 2026-09-08</ns0:t>
        </ns0:is>
      </ns0:c>
    </ns0:row>
    <ns0:row r="922" ht="42" customHeight="1">
      <ns0:c r="A922" s="21" t="inlineStr">
        <ns0:is>
          <ns0:t>165</ns0:t>
        </ns0:is>
      </ns0:c>
      <ns0:c r="B922" s="21" t="inlineStr">
        <ns0:is>
          <ns0:t>rq2_status</ns0:t>
        </ns0:is>
      </ns0:c>
      <ns0:c r="C922" s="21" t="inlineStr">
        <ns0:is>
          <ns0:t>Not adjudicated in master</ns0:t>
        </ns0:is>
      </ns0:c>
      <ns0:c r="D922" s="21" t="inlineStr">
        <ns0:is>
          <ns0:t>Excluded</ns0:t>
        </ns0:is>
      </ns0:c>
      <ns0:c r="E922" s="21" t="inlineStr">
        <ns0:is>
          <ns0:t>Explicit phase-III study protocol, recruitment targets and pre-results registration, not results from the planned 760-child evaluation.</ns0:t>
        </ns0:is>
      </ns0:c>
      <ns0:c r="F922" s="21" t="inlineStr">
        <ns0:is>
          <ns0:t>https://doi.org/10.1136/bmjopen-2018-026226</ns0:t>
        </ns0:is>
      </ns0:c>
      <ns0:c r="G922" s="21" t="inlineStr">
        <ns0:is>
          <ns0:t>ChatGPT-assisted evidence recharting, 2026-09-08</ns0:t>
        </ns0:is>
      </ns0:c>
    </ns0:row>
    <ns0:row r="923" ht="42" customHeight="1">
      <ns0:c r="A923" s="19" t="inlineStr">
        <ns0:is>
          <ns0:t>165</ns0:t>
        </ns0:is>
      </ns0:c>
      <ns0:c r="B923" s="19" t="inlineStr">
        <ns0:is>
          <ns0:t>rq2_role</ns0:t>
        </ns0:is>
      </ns0:c>
      <ns0:c r="C923" s="19" t="inlineStr"/>
      <ns0:c r="D923" s="19" t="inlineStr">
        <ns0:is>
          <ns0:t>Excluded</ns0:t>
        </ns0:is>
      </ns0:c>
      <ns0:c r="E923" s="19" t="inlineStr">
        <ns0:is>
          <ns0:t>Explicit phase-III study protocol, recruitment targets and pre-results registration, not results from the planned 760-child evaluation.</ns0:t>
        </ns0:is>
      </ns0:c>
      <ns0:c r="F923" s="19" t="inlineStr">
        <ns0:is>
          <ns0:t>https://doi.org/10.1136/bmjopen-2018-026226</ns0:t>
        </ns0:is>
      </ns0:c>
      <ns0:c r="G923" s="19" t="inlineStr">
        <ns0:is>
          <ns0:t>ChatGPT-assisted evidence recharting, 2026-09-08</ns0:t>
        </ns0:is>
      </ns0:c>
    </ns0:row>
    <ns0:row r="924" ht="42" customHeight="1">
      <ns0:c r="A924" s="21" t="inlineStr">
        <ns0:is>
          <ns0:t>165</ns0:t>
        </ns0:is>
      </ns0:c>
      <ns0:c r="B924" s="21" t="inlineStr">
        <ns0:is>
          <ns0:t>decision_timing</ns0:t>
        </ns0:is>
      </ns0:c>
      <ns0:c r="C924" s="21" t="inlineStr"/>
      <ns0:c r="D924" s="21" t="inlineStr">
        <ns0:is>
          <ns0:t>Not applicable - excluded</ns0:t>
        </ns0:is>
      </ns0:c>
      <ns0:c r="E924" s="21" t="inlineStr">
        <ns0:is>
          <ns0:t>Explicit phase-III study protocol, recruitment targets and pre-results registration, not results from the planned 760-child evaluation.</ns0:t>
        </ns0:is>
      </ns0:c>
      <ns0:c r="F924" s="21" t="inlineStr">
        <ns0:is>
          <ns0:t>https://doi.org/10.1136/bmjopen-2018-026226</ns0:t>
        </ns0:is>
      </ns0:c>
      <ns0:c r="G924" s="21" t="inlineStr">
        <ns0:is>
          <ns0:t>ChatGPT-assisted evidence recharting, 2026-09-08</ns0:t>
        </ns0:is>
      </ns0:c>
    </ns0:row>
    <ns0:row r="925" ht="57" customHeight="1">
      <ns0:c r="A925" s="19" t="inlineStr">
        <ns0:is>
          <ns0:t>166</ns0:t>
        </ns0:is>
      </ns0:c>
      <ns0:c r="B925" s="19" t="inlineStr">
        <ns0:is>
          <ns0:t>ai_type</ns0:t>
        </ns0:is>
      </ns0:c>
      <ns0:c r="C925" s="19" t="inlineStr">
        <ns0:is>
          <ns0:t>Hybrid</ns0:t>
        </ns0:is>
      </ns0:c>
      <ns0:c r="D925" s="19" t="inlineStr">
        <ns0:is>
          <ns0:t>Deep Learning</ns0:t>
        </ns0:is>
      </ns0:c>
      <ns0:c r="E925" s="19" t="inlineStr">
        <ns0:is>
          <ns0:t>Facial-expression CNN, including public expression datasets and a small additional child sample. No conventional-ML/DL hybrid is identified; diagnostic label validity is insufficiently described.
Original evaluation is reported, but autism-specific labels and diagnostic endpoint versus facial-emotion recognition are not sufficiently clear in accessible description.</ns0:t>
        </ns0:is>
      </ns0:c>
      <ns0:c r="F925" s="19" t="inlineStr">
        <ns0:is>
          <ns0:t>https://doi.org/10.1108/lht-08-2019-0176</ns0:t>
        </ns0:is>
      </ns0:c>
      <ns0:c r="G925" s="19" t="inlineStr">
        <ns0:is>
          <ns0:t>ChatGPT-assisted evidence recharting, 2026-09-08</ns0:t>
        </ns0:is>
      </ns0:c>
    </ns0:row>
    <ns0:row r="926" ht="57" customHeight="1">
      <ns0:c r="A926" s="21" t="inlineStr">
        <ns0:is>
          <ns0:t>166</ns0:t>
        </ns0:is>
      </ns0:c>
      <ns0:c r="B926" s="21" t="inlineStr">
        <ns0:is>
          <ns0:t>data_source_primary</ns0:t>
        </ns0:is>
      </ns0:c>
      <ns0:c r="C926" s="21" t="inlineStr">
        <ns0:is>
          <ns0:t>Image (subtype unresolved)</ns0:t>
        </ns0:is>
      </ns0:c>
      <ns0:c r="D926" s="21" t="inlineStr">
        <ns0:is>
          <ns0:t>Behavioral images/video/gaze/movement</ns0:t>
        </ns0:is>
      </ns0:c>
      <ns0:c r="E926" s="21" t="inlineStr">
        <ns0:is>
          <ns0:t>Facial-expression CNN, including public expression datasets and a small additional child sample. No conventional-ML/DL hybrid is identified; diagnostic label validity is insufficiently described.
Original evaluation is reported, but autism-specific labels and diagnostic endpoint versus facial-emotion recognition are not sufficiently clear in accessible description.</ns0:t>
        </ns0:is>
      </ns0:c>
      <ns0:c r="F926" s="21" t="inlineStr">
        <ns0:is>
          <ns0:t>https://doi.org/10.1108/lht-08-2019-0176</ns0:t>
        </ns0:is>
      </ns0:c>
      <ns0:c r="G926" s="21" t="inlineStr">
        <ns0:is>
          <ns0:t>ChatGPT-assisted evidence recharting, 2026-09-08</ns0:t>
        </ns0:is>
      </ns0:c>
    </ns0:row>
    <ns0:row r="927" ht="57" customHeight="1">
      <ns0:c r="A927" s="19" t="inlineStr">
        <ns0:is>
          <ns0:t>166</ns0:t>
        </ns0:is>
      </ns0:c>
      <ns0:c r="B927" s="19" t="inlineStr">
        <ns0:is>
          <ns0:t>algorithm_main</ns0:t>
        </ns0:is>
      </ns0:c>
      <ns0:c r="C927" s="19" t="inlineStr">
        <ns0:is>
          <ns0:t>CNN</ns0:t>
        </ns0:is>
      </ns0:c>
      <ns0:c r="D927" s="19" t="inlineStr">
        <ns0:is>
          <ns0:t>CNN facial-expression system</ns0:t>
        </ns0:is>
      </ns0:c>
      <ns0:c r="E927" s="19" t="inlineStr">
        <ns0:is>
          <ns0:t>Facial-expression CNN, including public expression datasets and a small additional child sample. No conventional-ML/DL hybrid is identified; diagnostic label validity is insufficiently described.
Original evaluation is reported, but autism-specific labels and diagnostic endpoint versus facial-emotion recognition are not sufficiently clear in accessible description.</ns0:t>
        </ns0:is>
      </ns0:c>
      <ns0:c r="F927" s="19" t="inlineStr">
        <ns0:is>
          <ns0:t>https://doi.org/10.1108/lht-08-2019-0176</ns0:t>
        </ns0:is>
      </ns0:c>
      <ns0:c r="G927" s="19" t="inlineStr">
        <ns0:is>
          <ns0:t>ChatGPT-assisted evidence recharting, 2026-09-08</ns0:t>
        </ns0:is>
      </ns0:c>
    </ns0:row>
    <ns0:row r="928" ht="57" customHeight="1">
      <ns0:c r="A928" s="21" t="inlineStr">
        <ns0:is>
          <ns0:t>166</ns0:t>
        </ns0:is>
      </ns0:c>
      <ns0:c r="B928" s="21" t="inlineStr">
        <ns0:is>
          <ns0:t>rq2_status</ns0:t>
        </ns0:is>
      </ns0:c>
      <ns0:c r="C928" s="21" t="inlineStr">
        <ns0:is>
          <ns0:t>Not adjudicated in master</ns0:t>
        </ns0:is>
      </ns0:c>
      <ns0:c r="D928" s="21" t="inlineStr">
        <ns0:is>
          <ns0:t>Proposed only</ns0:t>
        </ns0:is>
      </ns0:c>
      <ns0:c r="E928" s="21" t="inlineStr">
        <ns0:is>
          <ns0:t>Facial-expression CNN, including public expression datasets and a small additional child sample. No conventional-ML/DL hybrid is identified; diagnostic label validity is insufficiently described.
Original evaluation is reported, but autism-specific labels and diagnostic endpoint versus facial-emotion recognition are not sufficiently clear in accessible description.</ns0:t>
        </ns0:is>
      </ns0:c>
      <ns0:c r="F928" s="21" t="inlineStr">
        <ns0:is>
          <ns0:t>https://doi.org/10.1108/lht-08-2019-0176</ns0:t>
        </ns0:is>
      </ns0:c>
      <ns0:c r="G928" s="21" t="inlineStr">
        <ns0:is>
          <ns0:t>ChatGPT-assisted evidence recharting, 2026-09-08</ns0:t>
        </ns0:is>
      </ns0:c>
    </ns0:row>
    <ns0:row r="929" ht="57" customHeight="1">
      <ns0:c r="A929" s="19" t="inlineStr">
        <ns0:is>
          <ns0:t>166</ns0:t>
        </ns0:is>
      </ns0:c>
      <ns0:c r="B929" s="19" t="inlineStr">
        <ns0:is>
          <ns0:t>rq2_role</ns0:t>
        </ns0:is>
      </ns0:c>
      <ns0:c r="C929" s="19" t="inlineStr"/>
      <ns0:c r="D929" s="19" t="inlineStr">
        <ns0:is>
          <ns0:t>Diagnostic decision support</ns0:t>
        </ns0:is>
      </ns0:c>
      <ns0:c r="E929" s="19" t="inlineStr">
        <ns0:is>
          <ns0:t>Facial-expression CNN, including public expression datasets and a small additional child sample. No conventional-ML/DL hybrid is identified; diagnostic label validity is insufficiently described.
Original evaluation is reported, but autism-specific labels and diagnostic endpoint versus facial-emotion recognition are not sufficiently clear in accessible description.</ns0:t>
        </ns0:is>
      </ns0:c>
      <ns0:c r="F929" s="19" t="inlineStr">
        <ns0:is>
          <ns0:t>https://doi.org/10.1108/lht-08-2019-0176</ns0:t>
        </ns0:is>
      </ns0:c>
      <ns0:c r="G929" s="19" t="inlineStr">
        <ns0:is>
          <ns0:t>ChatGPT-assisted evidence recharting, 2026-09-08</ns0:t>
        </ns0:is>
      </ns0:c>
    </ns0:row>
    <ns0:row r="930" ht="57" customHeight="1">
      <ns0:c r="A930" s="21" t="inlineStr">
        <ns0:is>
          <ns0:t>166</ns0:t>
        </ns0:is>
      </ns0:c>
      <ns0:c r="B930" s="21" t="inlineStr">
        <ns0:is>
          <ns0:t>decision_timing</ns0:t>
        </ns0:is>
      </ns0:c>
      <ns0:c r="C930" s="21" t="inlineStr"/>
      <ns0:c r="D930" s="21" t="inlineStr">
        <ns0:is>
          <ns0:t>Pre-decision</ns0:t>
        </ns0:is>
      </ns0:c>
      <ns0:c r="E930" s="21" t="inlineStr">
        <ns0:is>
          <ns0:t>Facial-expression CNN, including public expression datasets and a small additional child sample. No conventional-ML/DL hybrid is identified; diagnostic label validity is insufficiently described.
Original evaluation is reported, but autism-specific labels and diagnostic endpoint versus facial-emotion recognition are not sufficiently clear in accessible description.</ns0:t>
        </ns0:is>
      </ns0:c>
      <ns0:c r="F930" s="21" t="inlineStr">
        <ns0:is>
          <ns0:t>https://doi.org/10.1108/lht-08-2019-0176</ns0:t>
        </ns0:is>
      </ns0:c>
      <ns0:c r="G930" s="21" t="inlineStr">
        <ns0:is>
          <ns0:t>ChatGPT-assisted evidence recharting, 2026-09-08</ns0:t>
        </ns0:is>
      </ns0:c>
    </ns0:row>
    <ns0:row r="931" ht="42" customHeight="1">
      <ns0:c r="A931" s="19" t="inlineStr">
        <ns0:is>
          <ns0:t>168</ns0:t>
        </ns0:is>
      </ns0:c>
      <ns0:c r="B931" s="19" t="inlineStr">
        <ns0:is>
          <ns0:t>data_source_primary</ns0:t>
        </ns0:is>
      </ns0:c>
      <ns0:c r="C931" s="19" t="inlineStr">
        <ns0:is>
          <ns0:t>Image (subtype unresolved)</ns0:t>
        </ns0:is>
      </ns0:c>
      <ns0:c r="D931" s="19" t="inlineStr">
        <ns0:is>
          <ns0:t>Behavioral images/video/gaze/movement</ns0:t>
        </ns0:is>
      </ns0:c>
      <ns0:c r="E931" s="19" t="inlineStr">
        <ns0:is>
          <ns0:t>Endpoint is ASD versus TD diagnosis, not within-ASD subgrouping. Spatial, temporal and velocity representations originate from the same gaze stream.</ns0:t>
        </ns0:is>
      </ns0:c>
      <ns0:c r="F931" s="19" t="inlineStr">
        <ns0:is>
          <ns0:t>https://doi.org/10.1145/3539226</ns0:t>
        </ns0:is>
      </ns0:c>
      <ns0:c r="G931" s="19" t="inlineStr">
        <ns0:is>
          <ns0:t>ChatGPT-assisted evidence recharting, 2026-09-08</ns0:t>
        </ns0:is>
      </ns0:c>
    </ns0:row>
    <ns0:row r="932" ht="42" customHeight="1">
      <ns0:c r="A932" s="21" t="inlineStr">
        <ns0:is>
          <ns0:t>168</ns0:t>
        </ns0:is>
      </ns0:c>
      <ns0:c r="B932" s="21" t="inlineStr">
        <ns0:is>
          <ns0:t>algorithm_main</ns0:t>
        </ns0:is>
      </ns0:c>
      <ns0:c r="C932" s="21" t="inlineStr">
        <ns0:is>
          <ns0:t>CNN</ns0:t>
        </ns0:is>
      </ns0:c>
      <ns0:c r="D932" s="21" t="inlineStr">
        <ns0:is>
          <ns0:t>CNN scanpath classifier</ns0:t>
        </ns0:is>
      </ns0:c>
      <ns0:c r="E932" s="21" t="inlineStr">
        <ns0:is>
          <ns0:t>Endpoint is ASD versus TD diagnosis, not within-ASD subgrouping. Spatial, temporal and velocity representations originate from the same gaze stream.</ns0:t>
        </ns0:is>
      </ns0:c>
      <ns0:c r="F932" s="21" t="inlineStr">
        <ns0:is>
          <ns0:t>https://doi.org/10.1145/3539226</ns0:t>
        </ns0:is>
      </ns0:c>
      <ns0:c r="G932" s="21" t="inlineStr">
        <ns0:is>
          <ns0:t>ChatGPT-assisted evidence recharting, 2026-09-08</ns0:t>
        </ns0:is>
      </ns0:c>
    </ns0:row>
    <ns0:row r="933" ht="42" customHeight="1">
      <ns0:c r="A933" s="19" t="inlineStr">
        <ns0:is>
          <ns0:t>168</ns0:t>
        </ns0:is>
      </ns0:c>
      <ns0:c r="B933" s="19" t="inlineStr">
        <ns0:is>
          <ns0:t>rq2_status</ns0:t>
        </ns0:is>
      </ns0:c>
      <ns0:c r="C933" s="19" t="inlineStr">
        <ns0:is>
          <ns0:t>Not adjudicated in master</ns0:t>
        </ns0:is>
      </ns0:c>
      <ns0:c r="D933" s="19" t="inlineStr">
        <ns0:is>
          <ns0:t>Research only</ns0:t>
        </ns0:is>
      </ns0:c>
      <ns0:c r="E933" s="19" t="inlineStr">
        <ns0:is>
          <ns0:t>Endpoint is ASD versus TD diagnosis, not within-ASD subgrouping. Spatial, temporal and velocity representations originate from the same gaze stream.</ns0:t>
        </ns0:is>
      </ns0:c>
      <ns0:c r="F933" s="19" t="inlineStr">
        <ns0:is>
          <ns0:t>https://doi.org/10.1145/3539226</ns0:t>
        </ns0:is>
      </ns0:c>
      <ns0:c r="G933" s="19" t="inlineStr">
        <ns0:is>
          <ns0:t>ChatGPT-assisted evidence recharting, 2026-09-08</ns0:t>
        </ns0:is>
      </ns0:c>
    </ns0:row>
    <ns0:row r="934" ht="42" customHeight="1">
      <ns0:c r="A934" s="21" t="inlineStr">
        <ns0:is>
          <ns0:t>168</ns0:t>
        </ns0:is>
      </ns0:c>
      <ns0:c r="B934" s="21" t="inlineStr">
        <ns0:is>
          <ns0:t>rq2_role</ns0:t>
        </ns0:is>
      </ns0:c>
      <ns0:c r="C934" s="21" t="inlineStr"/>
      <ns0:c r="D934" s="21" t="inlineStr">
        <ns0:is>
          <ns0:t>Automated measurement/classification</ns0:t>
        </ns0:is>
      </ns0:c>
      <ns0:c r="E934" s="21" t="inlineStr">
        <ns0:is>
          <ns0:t>Endpoint is ASD versus TD diagnosis, not within-ASD subgrouping. Spatial, temporal and velocity representations originate from the same gaze stream.</ns0:t>
        </ns0:is>
      </ns0:c>
      <ns0:c r="F934" s="21" t="inlineStr">
        <ns0:is>
          <ns0:t>https://doi.org/10.1145/3539226</ns0:t>
        </ns0:is>
      </ns0:c>
      <ns0:c r="G934" s="21" t="inlineStr">
        <ns0:is>
          <ns0:t>ChatGPT-assisted evidence recharting, 2026-09-08</ns0:t>
        </ns0:is>
      </ns0:c>
    </ns0:row>
    <ns0:row r="935" ht="42" customHeight="1">
      <ns0:c r="A935" s="19" t="inlineStr">
        <ns0:is>
          <ns0:t>168</ns0:t>
        </ns0:is>
      </ns0:c>
      <ns0:c r="B935" s="19" t="inlineStr">
        <ns0:is>
          <ns0:t>decision_timing</ns0:t>
        </ns0:is>
      </ns0:c>
      <ns0:c r="C935" s="19" t="inlineStr"/>
      <ns0:c r="D935" s="19" t="inlineStr">
        <ns0:is>
          <ns0:t>Not observed in assessed sources</ns0:t>
        </ns0:is>
      </ns0:c>
      <ns0:c r="E935" s="19" t="inlineStr">
        <ns0:is>
          <ns0:t>Endpoint is ASD versus TD diagnosis, not within-ASD subgrouping. Spatial, temporal and velocity representations originate from the same gaze stream.</ns0:t>
        </ns0:is>
      </ns0:c>
      <ns0:c r="F935" s="19" t="inlineStr">
        <ns0:is>
          <ns0:t>https://doi.org/10.1145/3539226</ns0:t>
        </ns0:is>
      </ns0:c>
      <ns0:c r="G935" s="19" t="inlineStr">
        <ns0:is>
          <ns0:t>ChatGPT-assisted evidence recharting, 2026-09-08</ns0:t>
        </ns0:is>
      </ns0:c>
    </ns0:row>
    <ns0:row r="936" ht="42" customHeight="1">
      <ns0:c r="A936" s="21" t="inlineStr">
        <ns0:is>
          <ns0:t>169</ns0:t>
        </ns0:is>
      </ns0:c>
      <ns0:c r="B936" s="21" t="inlineStr">
        <ns0:is>
          <ns0:t>data_source_primary</ns0:t>
        </ns0:is>
      </ns0:c>
      <ns0:c r="C936" s="21" t="inlineStr">
        <ns0:is>
          <ns0:t>Image (subtype unresolved)</ns0:t>
        </ns0:is>
      </ns0:c>
      <ns0:c r="D936" s="21" t="inlineStr">
        <ns0:is>
          <ns0:t>Behavioral images/video/gaze/movement</ns0:t>
        </ns0:is>
      </ns0:c>
      <ns0:c r="E936" s="21" t="inlineStr">
        <ns0:is>
          <ns0:t>Detects hand flapping from home videos as a candidate screening component; activity recognition is not validated ASD diagnosis or live caregiver support.</ns0:t>
        </ns0:is>
      </ns0:c>
      <ns0:c r="F936" s="21" t="inlineStr">
        <ns0:is>
          <ns0:t>https://doi.org/10.2196/33771</ns0:t>
        </ns0:is>
      </ns0:c>
      <ns0:c r="G936" s="21" t="inlineStr">
        <ns0:is>
          <ns0:t>ChatGPT-assisted evidence recharting, 2026-09-08</ns0:t>
        </ns0:is>
      </ns0:c>
    </ns0:row>
    <ns0:row r="937" ht="42" customHeight="1">
      <ns0:c r="A937" s="19" t="inlineStr">
        <ns0:is>
          <ns0:t>169</ns0:t>
        </ns0:is>
      </ns0:c>
      <ns0:c r="B937" s="19" t="inlineStr">
        <ns0:is>
          <ns0:t>algorithm_main</ns0:t>
        </ns0:is>
      </ns0:c>
      <ns0:c r="C937" s="19" t="inlineStr">
        <ns0:is>
          <ns0:t>CNN</ns0:t>
        </ns0:is>
      </ns0:c>
      <ns0:c r="D937" s="19" t="inlineStr">
        <ns0:is>
          <ns0:t>MobileNetV2-based CNN</ns0:t>
        </ns0:is>
      </ns0:c>
      <ns0:c r="E937" s="19" t="inlineStr">
        <ns0:is>
          <ns0:t>Detects hand flapping from home videos as a candidate screening component; activity recognition is not validated ASD diagnosis or live caregiver support.</ns0:t>
        </ns0:is>
      </ns0:c>
      <ns0:c r="F937" s="19" t="inlineStr">
        <ns0:is>
          <ns0:t>https://doi.org/10.2196/33771</ns0:t>
        </ns0:is>
      </ns0:c>
      <ns0:c r="G937" s="19" t="inlineStr">
        <ns0:is>
          <ns0:t>ChatGPT-assisted evidence recharting, 2026-09-08</ns0:t>
        </ns0:is>
      </ns0:c>
    </ns0:row>
    <ns0:row r="938" ht="42" customHeight="1">
      <ns0:c r="A938" s="21" t="inlineStr">
        <ns0:is>
          <ns0:t>169</ns0:t>
        </ns0:is>
      </ns0:c>
      <ns0:c r="B938" s="21" t="inlineStr">
        <ns0:is>
          <ns0:t>rq2_status</ns0:t>
        </ns0:is>
      </ns0:c>
      <ns0:c r="C938" s="21" t="inlineStr">
        <ns0:is>
          <ns0:t>Not adjudicated in master</ns0:t>
        </ns0:is>
      </ns0:c>
      <ns0:c r="D938" s="21" t="inlineStr">
        <ns0:is>
          <ns0:t>Research only</ns0:t>
        </ns0:is>
      </ns0:c>
      <ns0:c r="E938" s="21" t="inlineStr">
        <ns0:is>
          <ns0:t>Detects hand flapping from home videos as a candidate screening component; activity recognition is not validated ASD diagnosis or live caregiver support.</ns0:t>
        </ns0:is>
      </ns0:c>
      <ns0:c r="F938" s="21" t="inlineStr">
        <ns0:is>
          <ns0:t>https://doi.org/10.2196/33771</ns0:t>
        </ns0:is>
      </ns0:c>
      <ns0:c r="G938" s="21" t="inlineStr">
        <ns0:is>
          <ns0:t>ChatGPT-assisted evidence recharting, 2026-09-08</ns0:t>
        </ns0:is>
      </ns0:c>
    </ns0:row>
    <ns0:row r="939" ht="42" customHeight="1">
      <ns0:c r="A939" s="19" t="inlineStr">
        <ns0:is>
          <ns0:t>169</ns0:t>
        </ns0:is>
      </ns0:c>
      <ns0:c r="B939" s="19" t="inlineStr">
        <ns0:is>
          <ns0:t>rq2_role</ns0:t>
        </ns0:is>
      </ns0:c>
      <ns0:c r="C939" s="19" t="inlineStr"/>
      <ns0:c r="D939" s="19" t="inlineStr">
        <ns0:is>
          <ns0:t>Automated measurement/classification</ns0:t>
        </ns0:is>
      </ns0:c>
      <ns0:c r="E939" s="19" t="inlineStr">
        <ns0:is>
          <ns0:t>Detects hand flapping from home videos as a candidate screening component; activity recognition is not validated ASD diagnosis or live caregiver support.</ns0:t>
        </ns0:is>
      </ns0:c>
      <ns0:c r="F939" s="19" t="inlineStr">
        <ns0:is>
          <ns0:t>https://doi.org/10.2196/33771</ns0:t>
        </ns0:is>
      </ns0:c>
      <ns0:c r="G939" s="19" t="inlineStr">
        <ns0:is>
          <ns0:t>ChatGPT-assisted evidence recharting, 2026-09-08</ns0:t>
        </ns0:is>
      </ns0:c>
    </ns0:row>
    <ns0:row r="940" ht="42" customHeight="1">
      <ns0:c r="A940" s="21" t="inlineStr">
        <ns0:is>
          <ns0:t>169</ns0:t>
        </ns0:is>
      </ns0:c>
      <ns0:c r="B940" s="21" t="inlineStr">
        <ns0:is>
          <ns0:t>decision_timing</ns0:t>
        </ns0:is>
      </ns0:c>
      <ns0:c r="C940" s="21" t="inlineStr"/>
      <ns0:c r="D940" s="21" t="inlineStr">
        <ns0:is>
          <ns0:t>Not observed in assessed sources</ns0:t>
        </ns0:is>
      </ns0:c>
      <ns0:c r="E940" s="21" t="inlineStr">
        <ns0:is>
          <ns0:t>Detects hand flapping from home videos as a candidate screening component; activity recognition is not validated ASD diagnosis or live caregiver support.</ns0:t>
        </ns0:is>
      </ns0:c>
      <ns0:c r="F940" s="21" t="inlineStr">
        <ns0:is>
          <ns0:t>https://doi.org/10.2196/33771</ns0:t>
        </ns0:is>
      </ns0:c>
      <ns0:c r="G940" s="21" t="inlineStr">
        <ns0:is>
          <ns0:t>ChatGPT-assisted evidence recharting, 2026-09-08</ns0:t>
        </ns0:is>
      </ns0:c>
    </ns0:row>
    <ns0:row r="941" ht="42" customHeight="1">
      <ns0:c r="A941" s="19" t="inlineStr">
        <ns0:is>
          <ns0:t>170</ns0:t>
        </ns0:is>
      </ns0:c>
      <ns0:c r="B941" s="19" t="inlineStr">
        <ns0:is>
          <ns0:t>ai_type</ns0:t>
        </ns0:is>
      </ns0:c>
      <ns0:c r="C941" s="19" t="inlineStr">
        <ns0:is>
          <ns0:t>Hybrid</ns0:t>
        </ns0:is>
      </ns0:c>
      <ns0:c r="D941" s="19" t="inlineStr">
        <ns0:is>
          <ns0:t>Machine Learning</ns0:t>
        </ns0:is>
      </ns0:c>
      <ns0:c r="E941" s="19" t="inlineStr">
        <ns0:is>
          <ns0:t>Structural MRI HOG features; algorithmic classification and clinical potential do not establish actual workflow use or deep learning.</ns0:t>
        </ns0:is>
      </ns0:c>
      <ns0:c r="F941" s="19" t="inlineStr">
        <ns0:is>
          <ns0:t>https://doi.org/10.2196/15767</ns0:t>
        </ns0:is>
      </ns0:c>
      <ns0:c r="G941" s="19" t="inlineStr">
        <ns0:is>
          <ns0:t>ChatGPT-assisted evidence recharting, 2026-09-08</ns0:t>
        </ns0:is>
      </ns0:c>
    </ns0:row>
    <ns0:row r="942" ht="42" customHeight="1">
      <ns0:c r="A942" s="21" t="inlineStr">
        <ns0:is>
          <ns0:t>170</ns0:t>
        </ns0:is>
      </ns0:c>
      <ns0:c r="B942" s="21" t="inlineStr">
        <ns0:is>
          <ns0:t>data_source_primary</ns0:t>
        </ns0:is>
      </ns0:c>
      <ns0:c r="C942" s="21" t="inlineStr">
        <ns0:is>
          <ns0:t>Image (subtype unresolved)</ns0:t>
        </ns0:is>
      </ns0:c>
      <ns0:c r="D942" s="21" t="inlineStr">
        <ns0:is>
          <ns0:t>Neuroimaging</ns0:t>
        </ns0:is>
      </ns0:c>
      <ns0:c r="E942" s="21" t="inlineStr">
        <ns0:is>
          <ns0:t>Structural MRI HOG features; algorithmic classification and clinical potential do not establish actual workflow use or deep learning.</ns0:t>
        </ns0:is>
      </ns0:c>
      <ns0:c r="F942" s="21" t="inlineStr">
        <ns0:is>
          <ns0:t>https://doi.org/10.2196/15767</ns0:t>
        </ns0:is>
      </ns0:c>
      <ns0:c r="G942" s="21" t="inlineStr">
        <ns0:is>
          <ns0:t>ChatGPT-assisted evidence recharting, 2026-09-08</ns0:t>
        </ns0:is>
      </ns0:c>
    </ns0:row>
    <ns0:row r="943" ht="42" customHeight="1">
      <ns0:c r="A943" s="19" t="inlineStr">
        <ns0:is>
          <ns0:t>170</ns0:t>
        </ns0:is>
      </ns0:c>
      <ns0:c r="B943" s="19" t="inlineStr">
        <ns0:is>
          <ns0:t>algorithm_main</ns0:t>
        </ns0:is>
      </ns0:c>
      <ns0:c r="C943" s="19" t="inlineStr">
        <ns0:is>
          <ns0:t>Naive Bayes</ns0:t>
        </ns0:is>
      </ns0:c>
      <ns0:c r="D943" s="19" t="inlineStr">
        <ns0:is>
          <ns0:t>Histogram-based morphometry with classifier</ns0:t>
        </ns0:is>
      </ns0:c>
      <ns0:c r="E943" s="19" t="inlineStr">
        <ns0:is>
          <ns0:t>Structural MRI HOG features; algorithmic classification and clinical potential do not establish actual workflow use or deep learning.</ns0:t>
        </ns0:is>
      </ns0:c>
      <ns0:c r="F943" s="19" t="inlineStr">
        <ns0:is>
          <ns0:t>https://doi.org/10.2196/15767</ns0:t>
        </ns0:is>
      </ns0:c>
      <ns0:c r="G943" s="19" t="inlineStr">
        <ns0:is>
          <ns0:t>ChatGPT-assisted evidence recharting, 2026-09-08</ns0:t>
        </ns0:is>
      </ns0:c>
    </ns0:row>
    <ns0:row r="944" ht="42" customHeight="1">
      <ns0:c r="A944" s="21" t="inlineStr">
        <ns0:is>
          <ns0:t>170</ns0:t>
        </ns0:is>
      </ns0:c>
      <ns0:c r="B944" s="21" t="inlineStr">
        <ns0:is>
          <ns0:t>rq2_status</ns0:t>
        </ns0:is>
      </ns0:c>
      <ns0:c r="C944" s="21" t="inlineStr">
        <ns0:is>
          <ns0:t>Not adjudicated in master</ns0:t>
        </ns0:is>
      </ns0:c>
      <ns0:c r="D944" s="21" t="inlineStr">
        <ns0:is>
          <ns0:t>Proposed only</ns0:t>
        </ns0:is>
      </ns0:c>
      <ns0:c r="E944" s="21" t="inlineStr">
        <ns0:is>
          <ns0:t>Structural MRI HOG features; algorithmic classification and clinical potential do not establish actual workflow use or deep learning.</ns0:t>
        </ns0:is>
      </ns0:c>
      <ns0:c r="F944" s="21" t="inlineStr">
        <ns0:is>
          <ns0:t>https://doi.org/10.2196/15767</ns0:t>
        </ns0:is>
      </ns0:c>
      <ns0:c r="G944" s="21" t="inlineStr">
        <ns0:is>
          <ns0:t>ChatGPT-assisted evidence recharting, 2026-09-08</ns0:t>
        </ns0:is>
      </ns0:c>
    </ns0:row>
    <ns0:row r="945" ht="42" customHeight="1">
      <ns0:c r="A945" s="19" t="inlineStr">
        <ns0:is>
          <ns0:t>170</ns0:t>
        </ns0:is>
      </ns0:c>
      <ns0:c r="B945" s="19" t="inlineStr">
        <ns0:is>
          <ns0:t>rq2_role</ns0:t>
        </ns0:is>
      </ns0:c>
      <ns0:c r="C945" s="19" t="inlineStr"/>
      <ns0:c r="D945" s="19" t="inlineStr">
        <ns0:is>
          <ns0:t>Diagnostic decision support</ns0:t>
        </ns0:is>
      </ns0:c>
      <ns0:c r="E945" s="19" t="inlineStr">
        <ns0:is>
          <ns0:t>Structural MRI HOG features; algorithmic classification and clinical potential do not establish actual workflow use or deep learning.</ns0:t>
        </ns0:is>
      </ns0:c>
      <ns0:c r="F945" s="19" t="inlineStr">
        <ns0:is>
          <ns0:t>https://doi.org/10.2196/15767</ns0:t>
        </ns0:is>
      </ns0:c>
      <ns0:c r="G945" s="19" t="inlineStr">
        <ns0:is>
          <ns0:t>ChatGPT-assisted evidence recharting, 2026-09-08</ns0:t>
        </ns0:is>
      </ns0:c>
    </ns0:row>
    <ns0:row r="946" ht="42" customHeight="1">
      <ns0:c r="A946" s="21" t="inlineStr">
        <ns0:is>
          <ns0:t>170</ns0:t>
        </ns0:is>
      </ns0:c>
      <ns0:c r="B946" s="21" t="inlineStr">
        <ns0:is>
          <ns0:t>decision_timing</ns0:t>
        </ns0:is>
      </ns0:c>
      <ns0:c r="C946" s="21" t="inlineStr"/>
      <ns0:c r="D946" s="21" t="inlineStr">
        <ns0:is>
          <ns0:t>In-decision</ns0:t>
        </ns0:is>
      </ns0:c>
      <ns0:c r="E946" s="21" t="inlineStr">
        <ns0:is>
          <ns0:t>Structural MRI HOG features; algorithmic classification and clinical potential do not establish actual workflow use or deep learning.</ns0:t>
        </ns0:is>
      </ns0:c>
      <ns0:c r="F946" s="21" t="inlineStr">
        <ns0:is>
          <ns0:t>https://doi.org/10.2196/15767</ns0:t>
        </ns0:is>
      </ns0:c>
      <ns0:c r="G946" s="21" t="inlineStr">
        <ns0:is>
          <ns0:t>ChatGPT-assisted evidence recharting, 2026-09-08</ns0:t>
        </ns0:is>
      </ns0:c>
    </ns0:row>
    <ns0:row r="947" ht="42" customHeight="1">
      <ns0:c r="A947" s="19" t="inlineStr">
        <ns0:is>
          <ns0:t>171</ns0:t>
        </ns0:is>
      </ns0:c>
      <ns0:c r="B947" s="19" t="inlineStr">
        <ns0:is>
          <ns0:t>data_source_primary</ns0:t>
        </ns0:is>
      </ns0:c>
      <ns0:c r="C947" s="19" t="inlineStr">
        <ns0:is>
          <ns0:t>Physiological signals</ns0:t>
        </ns0:is>
      </ns0:c>
      <ns0:c r="D947" s="19" t="inlineStr">
        <ns0:is>
          <ns0:t>Behavioral images/video/gaze/movement</ns0:t>
        </ns0:is>
      </ns0:c>
      <ns0:c r="E947" s="19" t="inlineStr">
        <ns0:is>
          <ns0:t>Touch-screen and inertial movement measurements are behavioral motor data, not physiological brain signals. Feasibility classification, not observed clinical screening decisions.</ns0:t>
        </ns0:is>
      </ns0:c>
      <ns0:c r="F947" s="19" t="inlineStr">
        <ns0:is>
          <ns0:t>https://doi.org/10.1038/srep31107</ns0:t>
        </ns0:is>
      </ns0:c>
      <ns0:c r="G947" s="19" t="inlineStr">
        <ns0:is>
          <ns0:t>ChatGPT-assisted evidence recharting, 2026-09-08</ns0:t>
        </ns0:is>
      </ns0:c>
    </ns0:row>
    <ns0:row r="948" ht="42" customHeight="1">
      <ns0:c r="A948" s="21" t="inlineStr">
        <ns0:is>
          <ns0:t>171</ns0:t>
        </ns0:is>
      </ns0:c>
      <ns0:c r="B948" s="21" t="inlineStr">
        <ns0:is>
          <ns0:t>algorithm_main</ns0:t>
        </ns0:is>
      </ns0:c>
      <ns0:c r="C948" s="21" t="inlineStr">
        <ns0:is>
          <ns0:t>Other / Not clear</ns0:t>
        </ns0:is>
      </ns0:c>
      <ns0:c r="D948" s="21" t="inlineStr">
        <ns0:is>
          <ns0:t>Tablet-kinematics classifier; family unresolved</ns0:t>
        </ns0:is>
      </ns0:c>
      <ns0:c r="E948" s="21" t="inlineStr">
        <ns0:is>
          <ns0:t>Touch-screen and inertial movement measurements are behavioral motor data, not physiological brain signals. Feasibility classification, not observed clinical screening decisions.</ns0:t>
        </ns0:is>
      </ns0:c>
      <ns0:c r="F948" s="21" t="inlineStr">
        <ns0:is>
          <ns0:t>https://doi.org/10.1038/srep31107</ns0:t>
        </ns0:is>
      </ns0:c>
      <ns0:c r="G948" s="21" t="inlineStr">
        <ns0:is>
          <ns0:t>ChatGPT-assisted evidence recharting, 2026-09-08</ns0:t>
        </ns0:is>
      </ns0:c>
    </ns0:row>
    <ns0:row r="949" ht="42" customHeight="1">
      <ns0:c r="A949" s="19" t="inlineStr">
        <ns0:is>
          <ns0:t>171</ns0:t>
        </ns0:is>
      </ns0:c>
      <ns0:c r="B949" s="19" t="inlineStr">
        <ns0:is>
          <ns0:t>rq2_status</ns0:t>
        </ns0:is>
      </ns0:c>
      <ns0:c r="C949" s="19" t="inlineStr">
        <ns0:is>
          <ns0:t>Not adjudicated in master</ns0:t>
        </ns0:is>
      </ns0:c>
      <ns0:c r="D949" s="19" t="inlineStr">
        <ns0:is>
          <ns0:t>Research only</ns0:t>
        </ns0:is>
      </ns0:c>
      <ns0:c r="E949" s="19" t="inlineStr">
        <ns0:is>
          <ns0:t>Touch-screen and inertial movement measurements are behavioral motor data, not physiological brain signals. Feasibility classification, not observed clinical screening decisions.</ns0:t>
        </ns0:is>
      </ns0:c>
      <ns0:c r="F949" s="19" t="inlineStr">
        <ns0:is>
          <ns0:t>https://doi.org/10.1038/srep31107</ns0:t>
        </ns0:is>
      </ns0:c>
      <ns0:c r="G949" s="19" t="inlineStr">
        <ns0:is>
          <ns0:t>ChatGPT-assisted evidence recharting, 2026-09-08</ns0:t>
        </ns0:is>
      </ns0:c>
    </ns0:row>
    <ns0:row r="950" ht="42" customHeight="1">
      <ns0:c r="A950" s="21" t="inlineStr">
        <ns0:is>
          <ns0:t>171</ns0:t>
        </ns0:is>
      </ns0:c>
      <ns0:c r="B950" s="21" t="inlineStr">
        <ns0:is>
          <ns0:t>rq2_role</ns0:t>
        </ns0:is>
      </ns0:c>
      <ns0:c r="C950" s="21" t="inlineStr"/>
      <ns0:c r="D950" s="21" t="inlineStr">
        <ns0:is>
          <ns0:t>Automated measurement/classification</ns0:t>
        </ns0:is>
      </ns0:c>
      <ns0:c r="E950" s="21" t="inlineStr">
        <ns0:is>
          <ns0:t>Touch-screen and inertial movement measurements are behavioral motor data, not physiological brain signals. Feasibility classification, not observed clinical screening decisions.</ns0:t>
        </ns0:is>
      </ns0:c>
      <ns0:c r="F950" s="21" t="inlineStr">
        <ns0:is>
          <ns0:t>https://doi.org/10.1038/srep31107</ns0:t>
        </ns0:is>
      </ns0:c>
      <ns0:c r="G950" s="21" t="inlineStr">
        <ns0:is>
          <ns0:t>ChatGPT-assisted evidence recharting, 2026-09-08</ns0:t>
        </ns0:is>
      </ns0:c>
    </ns0:row>
    <ns0:row r="951" ht="42" customHeight="1">
      <ns0:c r="A951" s="19" t="inlineStr">
        <ns0:is>
          <ns0:t>171</ns0:t>
        </ns0:is>
      </ns0:c>
      <ns0:c r="B951" s="19" t="inlineStr">
        <ns0:is>
          <ns0:t>decision_timing</ns0:t>
        </ns0:is>
      </ns0:c>
      <ns0:c r="C951" s="19" t="inlineStr"/>
      <ns0:c r="D951" s="19" t="inlineStr">
        <ns0:is>
          <ns0:t>Not observed in assessed sources</ns0:t>
        </ns0:is>
      </ns0:c>
      <ns0:c r="E951" s="19" t="inlineStr">
        <ns0:is>
          <ns0:t>Touch-screen and inertial movement measurements are behavioral motor data, not physiological brain signals. Feasibility classification, not observed clinical screening decisions.</ns0:t>
        </ns0:is>
      </ns0:c>
      <ns0:c r="F951" s="19" t="inlineStr">
        <ns0:is>
          <ns0:t>https://doi.org/10.1038/srep31107</ns0:t>
        </ns0:is>
      </ns0:c>
      <ns0:c r="G951" s="19" t="inlineStr">
        <ns0:is>
          <ns0:t>ChatGPT-assisted evidence recharting, 2026-09-08</ns0:t>
        </ns0:is>
      </ns0:c>
    </ns0:row>
    <ns0:row r="952" ht="42" customHeight="1">
      <ns0:c r="A952" s="21" t="inlineStr">
        <ns0:is>
          <ns0:t>171</ns0:t>
        </ns0:is>
      </ns0:c>
      <ns0:c r="B952" s="21" t="inlineStr">
        <ns0:is>
          <ns0:t>multisource_data</ns0:t>
        </ns0:is>
      </ns0:c>
      <ns0:c r="C952" s="21" t="inlineStr">
        <ns0:is>
          <ns0:t>Not reported in assessed sources</ns0:t>
        </ns0:is>
      </ns0:c>
      <ns0:c r="D952" s="21" t="inlineStr">
        <ns0:is>
          <ns0:t>Reported</ns0:t>
        </ns0:is>
      </ns0:c>
      <ns0:c r="E952" s="21" t="inlineStr">
        <ns0:is>
          <ns0:t>Touch-screen and inertial movement measurements are behavioral motor data, not physiological brain signals. Feasibility classification, not observed clinical screening decisions.</ns0:t>
        </ns0:is>
      </ns0:c>
      <ns0:c r="F952" s="21" t="inlineStr">
        <ns0:is>
          <ns0:t>https://doi.org/10.1038/srep31107</ns0:t>
        </ns0:is>
      </ns0:c>
      <ns0:c r="G952" s="21" t="inlineStr">
        <ns0:is>
          <ns0:t>ChatGPT-assisted evidence recharting, 2026-09-08</ns0:t>
        </ns0:is>
      </ns0:c>
    </ns0:row>
    <ns0:row r="953" ht="45" customHeight="1">
      <ns0:c r="A953" s="19" t="inlineStr">
        <ns0:is>
          <ns0:t>172</ns0:t>
        </ns0:is>
      </ns0:c>
      <ns0:c r="B953" s="19" t="inlineStr">
        <ns0:is>
          <ns0:t>data_source_primary</ns0:t>
        </ns0:is>
      </ns0:c>
      <ns0:c r="C953" s="19" t="inlineStr">
        <ns0:is>
          <ns0:t>Text / NLP (legacy; verify input type)</ns0:t>
        </ns0:is>
      </ns0:c>
      <ns0:c r="D953" s="19" t="inlineStr">
        <ns0:is>
          <ns0:t>Text/language</ns0:t>
        </ns0:is>
      </ns0:c>
      <ns0:c r="E953" s="19" t="inlineStr">
        <ns0:is>
          <ns0:t>Social-media language classifier uses self-identified autism status; this is a screening-oriented research proxy, not precision clinical diagnosis.
Self-identification or hashtag-derived status is a proxy label, not independent standardized clinical diagnosis.</ns0:t>
        </ns0:is>
      </ns0:c>
      <ns0:c r="F953" s="19" t="inlineStr">
        <ns0:is>
          <ns0:t>https://doi.org/10.2196/52660</ns0:t>
        </ns0:is>
      </ns0:c>
      <ns0:c r="G953" s="19" t="inlineStr">
        <ns0:is>
          <ns0:t>ChatGPT-assisted evidence recharting, 2026-09-08</ns0:t>
        </ns0:is>
      </ns0:c>
    </ns0:row>
    <ns0:row r="954" ht="45" customHeight="1">
      <ns0:c r="A954" s="21" t="inlineStr">
        <ns0:is>
          <ns0:t>172</ns0:t>
        </ns0:is>
      </ns0:c>
      <ns0:c r="B954" s="21" t="inlineStr">
        <ns0:is>
          <ns0:t>algorithm_main</ns0:t>
        </ns0:is>
      </ns0:c>
      <ns0:c r="C954" s="21" t="inlineStr">
        <ns0:is>
          <ns0:t>Logistic Regression</ns0:t>
        </ns0:is>
      </ns0:c>
      <ns0:c r="D954" s="21" t="inlineStr">
        <ns0:is>
          <ns0:t>Logistic regression</ns0:t>
        </ns0:is>
      </ns0:c>
      <ns0:c r="E954" s="21" t="inlineStr">
        <ns0:is>
          <ns0:t>Social-media language classifier uses self-identified autism status; this is a screening-oriented research proxy, not precision clinical diagnosis.
Self-identification or hashtag-derived status is a proxy label, not independent standardized clinical diagnosis.</ns0:t>
        </ns0:is>
      </ns0:c>
      <ns0:c r="F954" s="21" t="inlineStr">
        <ns0:is>
          <ns0:t>https://doi.org/10.2196/52660</ns0:t>
        </ns0:is>
      </ns0:c>
      <ns0:c r="G954" s="21" t="inlineStr">
        <ns0:is>
          <ns0:t>ChatGPT-assisted evidence recharting, 2026-09-08</ns0:t>
        </ns0:is>
      </ns0:c>
    </ns0:row>
    <ns0:row r="955" ht="45" customHeight="1">
      <ns0:c r="A955" s="19" t="inlineStr">
        <ns0:is>
          <ns0:t>172</ns0:t>
        </ns0:is>
      </ns0:c>
      <ns0:c r="B955" s="19" t="inlineStr">
        <ns0:is>
          <ns0:t>rq2_status</ns0:t>
        </ns0:is>
      </ns0:c>
      <ns0:c r="C955" s="19" t="inlineStr">
        <ns0:is>
          <ns0:t>Not adjudicated in master</ns0:t>
        </ns0:is>
      </ns0:c>
      <ns0:c r="D955" s="19" t="inlineStr">
        <ns0:is>
          <ns0:t>Research only</ns0:t>
        </ns0:is>
      </ns0:c>
      <ns0:c r="E955" s="19" t="inlineStr">
        <ns0:is>
          <ns0:t>Social-media language classifier uses self-identified autism status; this is a screening-oriented research proxy, not precision clinical diagnosis.
Self-identification or hashtag-derived status is a proxy label, not independent standardized clinical diagnosis.</ns0:t>
        </ns0:is>
      </ns0:c>
      <ns0:c r="F955" s="19" t="inlineStr">
        <ns0:is>
          <ns0:t>https://doi.org/10.2196/52660</ns0:t>
        </ns0:is>
      </ns0:c>
      <ns0:c r="G955" s="19" t="inlineStr">
        <ns0:is>
          <ns0:t>ChatGPT-assisted evidence recharting, 2026-09-08</ns0:t>
        </ns0:is>
      </ns0:c>
    </ns0:row>
    <ns0:row r="956" ht="45" customHeight="1">
      <ns0:c r="A956" s="21" t="inlineStr">
        <ns0:is>
          <ns0:t>172</ns0:t>
        </ns0:is>
      </ns0:c>
      <ns0:c r="B956" s="21" t="inlineStr">
        <ns0:is>
          <ns0:t>rq2_role</ns0:t>
        </ns0:is>
      </ns0:c>
      <ns0:c r="C956" s="21" t="inlineStr"/>
      <ns0:c r="D956" s="21" t="inlineStr">
        <ns0:is>
          <ns0:t>Automated measurement/classification</ns0:t>
        </ns0:is>
      </ns0:c>
      <ns0:c r="E956" s="21" t="inlineStr">
        <ns0:is>
          <ns0:t>Social-media language classifier uses self-identified autism status; this is a screening-oriented research proxy, not precision clinical diagnosis.
Self-identification or hashtag-derived status is a proxy label, not independent standardized clinical diagnosis.</ns0:t>
        </ns0:is>
      </ns0:c>
      <ns0:c r="F956" s="21" t="inlineStr">
        <ns0:is>
          <ns0:t>https://doi.org/10.2196/52660</ns0:t>
        </ns0:is>
      </ns0:c>
      <ns0:c r="G956" s="21" t="inlineStr">
        <ns0:is>
          <ns0:t>ChatGPT-assisted evidence recharting, 2026-09-08</ns0:t>
        </ns0:is>
      </ns0:c>
    </ns0:row>
    <ns0:row r="957" ht="45" customHeight="1">
      <ns0:c r="A957" s="19" t="inlineStr">
        <ns0:is>
          <ns0:t>172</ns0:t>
        </ns0:is>
      </ns0:c>
      <ns0:c r="B957" s="19" t="inlineStr">
        <ns0:is>
          <ns0:t>decision_timing</ns0:t>
        </ns0:is>
      </ns0:c>
      <ns0:c r="C957" s="19" t="inlineStr"/>
      <ns0:c r="D957" s="19" t="inlineStr">
        <ns0:is>
          <ns0:t>Not observed in assessed sources</ns0:t>
        </ns0:is>
      </ns0:c>
      <ns0:c r="E957" s="19" t="inlineStr">
        <ns0:is>
          <ns0:t>Social-media language classifier uses self-identified autism status; this is a screening-oriented research proxy, not precision clinical diagnosis.
Self-identification or hashtag-derived status is a proxy label, not independent standardized clinical diagnosis.</ns0:t>
        </ns0:is>
      </ns0:c>
      <ns0:c r="F957" s="19" t="inlineStr">
        <ns0:is>
          <ns0:t>https://doi.org/10.2196/52660</ns0:t>
        </ns0:is>
      </ns0:c>
      <ns0:c r="G957" s="19" t="inlineStr">
        <ns0:is>
          <ns0:t>ChatGPT-assisted evidence recharting, 2026-09-08</ns0:t>
        </ns0:is>
      </ns0:c>
    </ns0:row>
    <ns0:row r="958" ht="42" customHeight="1">
      <ns0:c r="A958" s="21" t="inlineStr">
        <ns0:is>
          <ns0:t>173</ns0:t>
        </ns0:is>
      </ns0:c>
      <ns0:c r="B958" s="21" t="inlineStr">
        <ns0:is>
          <ns0:t>data_source_primary</ns0:t>
        </ns0:is>
      </ns0:c>
      <ns0:c r="C958" s="21" t="inlineStr">
        <ns0:is>
          <ns0:t>Text / NLP (legacy; verify input type)</ns0:t>
        </ns0:is>
      </ns0:c>
      <ns0:c r="D958" s="21" t="inlineStr">
        <ns0:is>
          <ns0:t>Structured clinical/questionnaire data</ns0:t>
        </ns0:is>
      </ns0:c>
      <ns0:c r="E958" s="21" t="inlineStr">
        <ns0:is>
          <ns0:t>ADOS item scores with an illustrative web app; named deployment platform is not proof of clinical use. Item importance is explicitly examined.</ns0:t>
        </ns0:is>
      </ns0:c>
      <ns0:c r="F958" s="21" t="inlineStr">
        <ns0:is>
          <ns0:t>https://doi.org/10.1111/jcpp.13650</ns0:t>
        </ns0:is>
      </ns0:c>
      <ns0:c r="G958" s="21" t="inlineStr">
        <ns0:is>
          <ns0:t>ChatGPT-assisted evidence recharting, 2026-09-08</ns0:t>
        </ns0:is>
      </ns0:c>
    </ns0:row>
    <ns0:row r="959" ht="42" customHeight="1">
      <ns0:c r="A959" s="19" t="inlineStr">
        <ns0:is>
          <ns0:t>173</ns0:t>
        </ns0:is>
      </ns0:c>
      <ns0:c r="B959" s="19" t="inlineStr">
        <ns0:is>
          <ns0:t>algorithm_main</ns0:t>
        </ns0:is>
      </ns0:c>
      <ns0:c r="C959" s="19" t="inlineStr">
        <ns0:is>
          <ns0:t>Random Forest</ns0:t>
        </ns0:is>
      </ns0:c>
      <ns0:c r="D959" s="19" t="inlineStr">
        <ns0:is>
          <ns0:t>Random forest</ns0:t>
        </ns0:is>
      </ns0:c>
      <ns0:c r="E959" s="19" t="inlineStr">
        <ns0:is>
          <ns0:t>ADOS item scores with an illustrative web app; named deployment platform is not proof of clinical use. Item importance is explicitly examined.</ns0:t>
        </ns0:is>
      </ns0:c>
      <ns0:c r="F959" s="19" t="inlineStr">
        <ns0:is>
          <ns0:t>https://doi.org/10.1111/jcpp.13650</ns0:t>
        </ns0:is>
      </ns0:c>
      <ns0:c r="G959" s="19" t="inlineStr">
        <ns0:is>
          <ns0:t>ChatGPT-assisted evidence recharting, 2026-09-08</ns0:t>
        </ns0:is>
      </ns0:c>
    </ns0:row>
    <ns0:row r="960" ht="42" customHeight="1">
      <ns0:c r="A960" s="21" t="inlineStr">
        <ns0:is>
          <ns0:t>173</ns0:t>
        </ns0:is>
      </ns0:c>
      <ns0:c r="B960" s="21" t="inlineStr">
        <ns0:is>
          <ns0:t>rq2_status</ns0:t>
        </ns0:is>
      </ns0:c>
      <ns0:c r="C960" s="21" t="inlineStr">
        <ns0:is>
          <ns0:t>Not adjudicated in master</ns0:t>
        </ns0:is>
      </ns0:c>
      <ns0:c r="D960" s="21" t="inlineStr">
        <ns0:is>
          <ns0:t>Proposed only</ns0:t>
        </ns0:is>
      </ns0:c>
      <ns0:c r="E960" s="21" t="inlineStr">
        <ns0:is>
          <ns0:t>ADOS item scores with an illustrative web app; named deployment platform is not proof of clinical use. Item importance is explicitly examined.</ns0:t>
        </ns0:is>
      </ns0:c>
      <ns0:c r="F960" s="21" t="inlineStr">
        <ns0:is>
          <ns0:t>https://doi.org/10.1111/jcpp.13650</ns0:t>
        </ns0:is>
      </ns0:c>
      <ns0:c r="G960" s="21" t="inlineStr">
        <ns0:is>
          <ns0:t>ChatGPT-assisted evidence recharting, 2026-09-08</ns0:t>
        </ns0:is>
      </ns0:c>
    </ns0:row>
    <ns0:row r="961" ht="42" customHeight="1">
      <ns0:c r="A961" s="19" t="inlineStr">
        <ns0:is>
          <ns0:t>173</ns0:t>
        </ns0:is>
      </ns0:c>
      <ns0:c r="B961" s="19" t="inlineStr">
        <ns0:is>
          <ns0:t>rq2_role</ns0:t>
        </ns0:is>
      </ns0:c>
      <ns0:c r="C961" s="19" t="inlineStr"/>
      <ns0:c r="D961" s="19" t="inlineStr">
        <ns0:is>
          <ns0:t>Diagnostic decision support</ns0:t>
        </ns0:is>
      </ns0:c>
      <ns0:c r="E961" s="19" t="inlineStr">
        <ns0:is>
          <ns0:t>ADOS item scores with an illustrative web app; named deployment platform is not proof of clinical use. Item importance is explicitly examined.</ns0:t>
        </ns0:is>
      </ns0:c>
      <ns0:c r="F961" s="19" t="inlineStr">
        <ns0:is>
          <ns0:t>https://doi.org/10.1111/jcpp.13650</ns0:t>
        </ns0:is>
      </ns0:c>
      <ns0:c r="G961" s="19" t="inlineStr">
        <ns0:is>
          <ns0:t>ChatGPT-assisted evidence recharting, 2026-09-08</ns0:t>
        </ns0:is>
      </ns0:c>
    </ns0:row>
    <ns0:row r="962" ht="42" customHeight="1">
      <ns0:c r="A962" s="21" t="inlineStr">
        <ns0:is>
          <ns0:t>173</ns0:t>
        </ns0:is>
      </ns0:c>
      <ns0:c r="B962" s="21" t="inlineStr">
        <ns0:is>
          <ns0:t>decision_timing</ns0:t>
        </ns0:is>
      </ns0:c>
      <ns0:c r="C962" s="21" t="inlineStr"/>
      <ns0:c r="D962" s="21" t="inlineStr">
        <ns0:is>
          <ns0:t>In-decision</ns0:t>
        </ns0:is>
      </ns0:c>
      <ns0:c r="E962" s="21" t="inlineStr">
        <ns0:is>
          <ns0:t>ADOS item scores with an illustrative web app; named deployment platform is not proof of clinical use. Item importance is explicitly examined.</ns0:t>
        </ns0:is>
      </ns0:c>
      <ns0:c r="F962" s="21" t="inlineStr">
        <ns0:is>
          <ns0:t>https://doi.org/10.1111/jcpp.13650</ns0:t>
        </ns0:is>
      </ns0:c>
      <ns0:c r="G962" s="21" t="inlineStr">
        <ns0:is>
          <ns0:t>ChatGPT-assisted evidence recharting, 2026-09-08</ns0:t>
        </ns0:is>
      </ns0:c>
    </ns0:row>
    <ns0:row r="963" ht="42" customHeight="1">
      <ns0:c r="A963" s="19" t="inlineStr">
        <ns0:is>
          <ns0:t>173</ns0:t>
        </ns0:is>
      </ns0:c>
      <ns0:c r="B963" s="19" t="inlineStr">
        <ns0:is>
          <ns0:t>xai_partial</ns0:t>
        </ns0:is>
      </ns0:c>
      <ns0:c r="C963" s="19" t="inlineStr">
        <ns0:is>
          <ns0:t>Not reported in assessed sources</ns0:t>
        </ns0:is>
      </ns0:c>
      <ns0:c r="D963" s="19" t="inlineStr">
        <ns0:is>
          <ns0:t>Reported</ns0:t>
        </ns0:is>
      </ns0:c>
      <ns0:c r="E963" s="19" t="inlineStr">
        <ns0:is>
          <ns0:t>ADOS item scores with an illustrative web app; named deployment platform is not proof of clinical use. Item importance is explicitly examined.</ns0:t>
        </ns0:is>
      </ns0:c>
      <ns0:c r="F963" s="19" t="inlineStr">
        <ns0:is>
          <ns0:t>https://doi.org/10.1111/jcpp.13650</ns0:t>
        </ns0:is>
      </ns0:c>
      <ns0:c r="G963" s="19" t="inlineStr">
        <ns0:is>
          <ns0:t>ChatGPT-assisted evidence recharting, 2026-09-08</ns0:t>
        </ns0:is>
      </ns0:c>
    </ns0:row>
    <ns0:row r="964" ht="42" customHeight="1">
      <ns0:c r="A964" s="21" t="inlineStr">
        <ns0:is>
          <ns0:t>174</ns0:t>
        </ns0:is>
      </ns0:c>
      <ns0:c r="B964" s="21" t="inlineStr">
        <ns0:is>
          <ns0:t>ai_type</ns0:t>
        </ns0:is>
      </ns0:c>
      <ns0:c r="C964" s="21" t="inlineStr">
        <ns0:is>
          <ns0:t>Hybrid</ns0:t>
        </ns0:is>
      </ns0:c>
      <ns0:c r="D964" s="21" t="inlineStr">
        <ns0:is>
          <ns0:t>Machine Learning</ns0:t>
        </ns0:is>
      </ns0:c>
      <ns0:c r="E964" s="21" t="inlineStr">
        <ns0:is>
          <ns0:t>sMRI morphological features and Pearson connectivity feed a boosted-tree classifier; no neural component justifies Hybrid.</ns0:t>
        </ns0:is>
      </ns0:c>
      <ns0:c r="F964" s="21" t="inlineStr">
        <ns0:is>
          <ns0:t>https://doi.org/10.3233/shti230734</ns0:t>
        </ns0:is>
      </ns0:c>
      <ns0:c r="G964" s="21" t="inlineStr">
        <ns0:is>
          <ns0:t>ChatGPT-assisted evidence recharting, 2026-09-08</ns0:t>
        </ns0:is>
      </ns0:c>
    </ns0:row>
    <ns0:row r="965" ht="42" customHeight="1">
      <ns0:c r="A965" s="19" t="inlineStr">
        <ns0:is>
          <ns0:t>174</ns0:t>
        </ns0:is>
      </ns0:c>
      <ns0:c r="B965" s="19" t="inlineStr">
        <ns0:is>
          <ns0:t>data_source_primary</ns0:t>
        </ns0:is>
      </ns0:c>
      <ns0:c r="C965" s="19" t="inlineStr">
        <ns0:is>
          <ns0:t>Image (subtype unresolved)</ns0:t>
        </ns0:is>
      </ns0:c>
      <ns0:c r="D965" s="19" t="inlineStr">
        <ns0:is>
          <ns0:t>Neuroimaging</ns0:t>
        </ns0:is>
      </ns0:c>
      <ns0:c r="E965" s="19" t="inlineStr">
        <ns0:is>
          <ns0:t>sMRI morphological features and Pearson connectivity feed a boosted-tree classifier; no neural component justifies Hybrid.</ns0:t>
        </ns0:is>
      </ns0:c>
      <ns0:c r="F965" s="19" t="inlineStr">
        <ns0:is>
          <ns0:t>https://doi.org/10.3233/shti230734</ns0:t>
        </ns0:is>
      </ns0:c>
      <ns0:c r="G965" s="19" t="inlineStr">
        <ns0:is>
          <ns0:t>ChatGPT-assisted evidence recharting, 2026-09-08</ns0:t>
        </ns0:is>
      </ns0:c>
    </ns0:row>
    <ns0:row r="966" ht="42" customHeight="1">
      <ns0:c r="A966" s="21" t="inlineStr">
        <ns0:is>
          <ns0:t>174</ns0:t>
        </ns0:is>
      </ns0:c>
      <ns0:c r="B966" s="21" t="inlineStr">
        <ns0:is>
          <ns0:t>algorithm_main</ns0:t>
        </ns0:is>
      </ns0:c>
      <ns0:c r="C966" s="21" t="inlineStr">
        <ns0:is>
          <ns0:t>XGBoost / GBDT</ns0:t>
        </ns0:is>
      </ns0:c>
      <ns0:c r="D966" s="21" t="inlineStr">
        <ns0:is>
          <ns0:t>XGBoost</ns0:t>
        </ns0:is>
      </ns0:c>
      <ns0:c r="E966" s="21" t="inlineStr">
        <ns0:is>
          <ns0:t>sMRI morphological features and Pearson connectivity feed a boosted-tree classifier; no neural component justifies Hybrid.</ns0:t>
        </ns0:is>
      </ns0:c>
      <ns0:c r="F966" s="21" t="inlineStr">
        <ns0:is>
          <ns0:t>https://doi.org/10.3233/shti230734</ns0:t>
        </ns0:is>
      </ns0:c>
      <ns0:c r="G966" s="21" t="inlineStr">
        <ns0:is>
          <ns0:t>ChatGPT-assisted evidence recharting, 2026-09-08</ns0:t>
        </ns0:is>
      </ns0:c>
    </ns0:row>
    <ns0:row r="967" ht="42" customHeight="1">
      <ns0:c r="A967" s="19" t="inlineStr">
        <ns0:is>
          <ns0:t>174</ns0:t>
        </ns0:is>
      </ns0:c>
      <ns0:c r="B967" s="19" t="inlineStr">
        <ns0:is>
          <ns0:t>rq2_status</ns0:t>
        </ns0:is>
      </ns0:c>
      <ns0:c r="C967" s="19" t="inlineStr">
        <ns0:is>
          <ns0:t>Not adjudicated in master</ns0:t>
        </ns0:is>
      </ns0:c>
      <ns0:c r="D967" s="19" t="inlineStr">
        <ns0:is>
          <ns0:t>Research only</ns0:t>
        </ns0:is>
      </ns0:c>
      <ns0:c r="E967" s="19" t="inlineStr">
        <ns0:is>
          <ns0:t>sMRI morphological features and Pearson connectivity feed a boosted-tree classifier; no neural component justifies Hybrid.</ns0:t>
        </ns0:is>
      </ns0:c>
      <ns0:c r="F967" s="19" t="inlineStr">
        <ns0:is>
          <ns0:t>https://doi.org/10.3233/shti230734</ns0:t>
        </ns0:is>
      </ns0:c>
      <ns0:c r="G967" s="19" t="inlineStr">
        <ns0:is>
          <ns0:t>ChatGPT-assisted evidence recharting, 2026-09-08</ns0:t>
        </ns0:is>
      </ns0:c>
    </ns0:row>
    <ns0:row r="968" ht="42" customHeight="1">
      <ns0:c r="A968" s="21" t="inlineStr">
        <ns0:is>
          <ns0:t>174</ns0:t>
        </ns0:is>
      </ns0:c>
      <ns0:c r="B968" s="21" t="inlineStr">
        <ns0:is>
          <ns0:t>rq2_role</ns0:t>
        </ns0:is>
      </ns0:c>
      <ns0:c r="C968" s="21" t="inlineStr"/>
      <ns0:c r="D968" s="21" t="inlineStr">
        <ns0:is>
          <ns0:t>Automated measurement/classification</ns0:t>
        </ns0:is>
      </ns0:c>
      <ns0:c r="E968" s="21" t="inlineStr">
        <ns0:is>
          <ns0:t>sMRI morphological features and Pearson connectivity feed a boosted-tree classifier; no neural component justifies Hybrid.</ns0:t>
        </ns0:is>
      </ns0:c>
      <ns0:c r="F968" s="21" t="inlineStr">
        <ns0:is>
          <ns0:t>https://doi.org/10.3233/shti230734</ns0:t>
        </ns0:is>
      </ns0:c>
      <ns0:c r="G968" s="21" t="inlineStr">
        <ns0:is>
          <ns0:t>ChatGPT-assisted evidence recharting, 2026-09-08</ns0:t>
        </ns0:is>
      </ns0:c>
    </ns0:row>
    <ns0:row r="969" ht="42" customHeight="1">
      <ns0:c r="A969" s="19" t="inlineStr">
        <ns0:is>
          <ns0:t>174</ns0:t>
        </ns0:is>
      </ns0:c>
      <ns0:c r="B969" s="19" t="inlineStr">
        <ns0:is>
          <ns0:t>decision_timing</ns0:t>
        </ns0:is>
      </ns0:c>
      <ns0:c r="C969" s="19" t="inlineStr"/>
      <ns0:c r="D969" s="19" t="inlineStr">
        <ns0:is>
          <ns0:t>Not observed in assessed sources</ns0:t>
        </ns0:is>
      </ns0:c>
      <ns0:c r="E969" s="19" t="inlineStr">
        <ns0:is>
          <ns0:t>sMRI morphological features and Pearson connectivity feed a boosted-tree classifier; no neural component justifies Hybrid.</ns0:t>
        </ns0:is>
      </ns0:c>
      <ns0:c r="F969" s="19" t="inlineStr">
        <ns0:is>
          <ns0:t>https://doi.org/10.3233/shti230734</ns0:t>
        </ns0:is>
      </ns0:c>
      <ns0:c r="G969" s="19" t="inlineStr">
        <ns0:is>
          <ns0:t>ChatGPT-assisted evidence recharting, 2026-09-08</ns0:t>
        </ns0:is>
      </ns0:c>
    </ns0:row>
    <ns0:row r="970" ht="42" customHeight="1">
      <ns0:c r="A970" s="21" t="inlineStr">
        <ns0:is>
          <ns0:t>175</ns0:t>
        </ns0:is>
      </ns0:c>
      <ns0:c r="B970" s="21" t="inlineStr">
        <ns0:is>
          <ns0:t>data_source_primary</ns0:t>
        </ns0:is>
      </ns0:c>
      <ns0:c r="C970" s="21" t="inlineStr">
        <ns0:is>
          <ns0:t>Not specified</ns0:t>
        </ns0:is>
      </ns0:c>
      <ns0:c r="D970" s="21" t="inlineStr">
        <ns0:is>
          <ns0:t>Biological/omics</ns0:t>
        </ns0:is>
      </ns0:c>
      <ns0:c r="E970" s="21" t="inlineStr">
        <ns0:is>
          <ns0:t>Post hoc before/after treatment biomarker analysis; AI was not shown to prescribe cannabis, adapt treatment, or improve clinical outcomes.</ns0:t>
        </ns0:is>
      </ns0:c>
      <ns0:c r="F970" s="21" t="inlineStr">
        <ns0:is>
          <ns0:t>https://doi.org/10.1038/s41598-023-40073-0</ns0:t>
        </ns0:is>
      </ns0:c>
      <ns0:c r="G970" s="21" t="inlineStr">
        <ns0:is>
          <ns0:t>ChatGPT-assisted evidence recharting, 2026-09-08</ns0:t>
        </ns0:is>
      </ns0:c>
    </ns0:row>
    <ns0:row r="971" ht="42" customHeight="1">
      <ns0:c r="A971" s="19" t="inlineStr">
        <ns0:is>
          <ns0:t>175</ns0:t>
        </ns0:is>
      </ns0:c>
      <ns0:c r="B971" s="19" t="inlineStr">
        <ns0:is>
          <ns0:t>algorithm_main</ns0:t>
        </ns0:is>
      </ns0:c>
      <ns0:c r="C971" s="19" t="inlineStr">
        <ns0:is>
          <ns0:t>Other / Not clear</ns0:t>
        </ns0:is>
      </ns0:c>
      <ns0:c r="D971" s="19" t="inlineStr">
        <ns0:is>
          <ns0:t>Metabolomic-response machine learning; family unresolved</ns0:t>
        </ns0:is>
      </ns0:c>
      <ns0:c r="E971" s="19" t="inlineStr">
        <ns0:is>
          <ns0:t>Post hoc before/after treatment biomarker analysis; AI was not shown to prescribe cannabis, adapt treatment, or improve clinical outcomes.</ns0:t>
        </ns0:is>
      </ns0:c>
      <ns0:c r="F971" s="19" t="inlineStr">
        <ns0:is>
          <ns0:t>https://doi.org/10.1038/s41598-023-40073-0</ns0:t>
        </ns0:is>
      </ns0:c>
      <ns0:c r="G971" s="19" t="inlineStr">
        <ns0:is>
          <ns0:t>ChatGPT-assisted evidence recharting, 2026-09-08</ns0:t>
        </ns0:is>
      </ns0:c>
    </ns0:row>
    <ns0:row r="972" ht="42" customHeight="1">
      <ns0:c r="A972" s="21" t="inlineStr">
        <ns0:is>
          <ns0:t>175</ns0:t>
        </ns0:is>
      </ns0:c>
      <ns0:c r="B972" s="21" t="inlineStr">
        <ns0:is>
          <ns0:t>rq2_status</ns0:t>
        </ns0:is>
      </ns0:c>
      <ns0:c r="C972" s="21" t="inlineStr">
        <ns0:is>
          <ns0:t>Not adjudicated in master</ns0:t>
        </ns0:is>
      </ns0:c>
      <ns0:c r="D972" s="21" t="inlineStr">
        <ns0:is>
          <ns0:t>Research only</ns0:t>
        </ns0:is>
      </ns0:c>
      <ns0:c r="E972" s="21" t="inlineStr">
        <ns0:is>
          <ns0:t>Post hoc before/after treatment biomarker analysis; AI was not shown to prescribe cannabis, adapt treatment, or improve clinical outcomes.</ns0:t>
        </ns0:is>
      </ns0:c>
      <ns0:c r="F972" s="21" t="inlineStr">
        <ns0:is>
          <ns0:t>https://doi.org/10.1038/s41598-023-40073-0</ns0:t>
        </ns0:is>
      </ns0:c>
      <ns0:c r="G972" s="21" t="inlineStr">
        <ns0:is>
          <ns0:t>ChatGPT-assisted evidence recharting, 2026-09-08</ns0:t>
        </ns0:is>
      </ns0:c>
    </ns0:row>
    <ns0:row r="973" ht="42" customHeight="1">
      <ns0:c r="A973" s="19" t="inlineStr">
        <ns0:is>
          <ns0:t>175</ns0:t>
        </ns0:is>
      </ns0:c>
      <ns0:c r="B973" s="19" t="inlineStr">
        <ns0:is>
          <ns0:t>rq2_role</ns0:t>
        </ns0:is>
      </ns0:c>
      <ns0:c r="C973" s="19" t="inlineStr"/>
      <ns0:c r="D973" s="19" t="inlineStr">
        <ns0:is>
          <ns0:t>Monitoring/longitudinal analysis</ns0:t>
        </ns0:is>
      </ns0:c>
      <ns0:c r="E973" s="19" t="inlineStr">
        <ns0:is>
          <ns0:t>Post hoc before/after treatment biomarker analysis; AI was not shown to prescribe cannabis, adapt treatment, or improve clinical outcomes.</ns0:t>
        </ns0:is>
      </ns0:c>
      <ns0:c r="F973" s="19" t="inlineStr">
        <ns0:is>
          <ns0:t>https://doi.org/10.1038/s41598-023-40073-0</ns0:t>
        </ns0:is>
      </ns0:c>
      <ns0:c r="G973" s="19" t="inlineStr">
        <ns0:is>
          <ns0:t>ChatGPT-assisted evidence recharting, 2026-09-08</ns0:t>
        </ns0:is>
      </ns0:c>
    </ns0:row>
    <ns0:row r="974" ht="42" customHeight="1">
      <ns0:c r="A974" s="21" t="inlineStr">
        <ns0:is>
          <ns0:t>175</ns0:t>
        </ns0:is>
      </ns0:c>
      <ns0:c r="B974" s="21" t="inlineStr">
        <ns0:is>
          <ns0:t>decision_timing</ns0:t>
        </ns0:is>
      </ns0:c>
      <ns0:c r="C974" s="21" t="inlineStr"/>
      <ns0:c r="D974" s="21" t="inlineStr">
        <ns0:is>
          <ns0:t>Not observed in assessed sources</ns0:t>
        </ns0:is>
      </ns0:c>
      <ns0:c r="E974" s="21" t="inlineStr">
        <ns0:is>
          <ns0:t>Post hoc before/after treatment biomarker analysis; AI was not shown to prescribe cannabis, adapt treatment, or improve clinical outcomes.</ns0:t>
        </ns0:is>
      </ns0:c>
      <ns0:c r="F974" s="21" t="inlineStr">
        <ns0:is>
          <ns0:t>https://doi.org/10.1038/s41598-023-40073-0</ns0:t>
        </ns0:is>
      </ns0:c>
      <ns0:c r="G974" s="21" t="inlineStr">
        <ns0:is>
          <ns0:t>ChatGPT-assisted evidence recharting, 2026-09-08</ns0:t>
        </ns0:is>
      </ns0:c>
    </ns0:row>
    <ns0:row r="975" ht="42" customHeight="1">
      <ns0:c r="A975" s="19" t="inlineStr">
        <ns0:is>
          <ns0:t>177</ns0:t>
        </ns0:is>
      </ns0:c>
      <ns0:c r="B975" s="19" t="inlineStr">
        <ns0:is>
          <ns0:t>data_source_primary</ns0:t>
        </ns0:is>
      </ns0:c>
      <ns0:c r="C975" s="19" t="inlineStr">
        <ns0:is>
          <ns0:t>Not specified</ns0:t>
        </ns0:is>
      </ns0:c>
      <ns0:c r="D975" s="19" t="inlineStr">
        <ns0:is>
          <ns0:t>Neuroimaging</ns0:t>
        </ns0:is>
      </ns0:c>
      <ns0:c r="E975" s="19" t="inlineStr">
        <ns0:is>
          <ns0:t>fMRI connectivity and gradient features are derived from the same imaging source; multiple representations do not constitute multisource integration.</ns0:t>
        </ns0:is>
      </ns0:c>
      <ns0:c r="F975" s="19" t="inlineStr">
        <ns0:is>
          <ns0:t>https://doi.org/10.1007/978-981-99-8141-0_12</ns0:t>
        </ns0:is>
      </ns0:c>
      <ns0:c r="G975" s="19" t="inlineStr">
        <ns0:is>
          <ns0:t>ChatGPT-assisted evidence recharting, 2026-09-08</ns0:t>
        </ns0:is>
      </ns0:c>
    </ns0:row>
    <ns0:row r="976" ht="42" customHeight="1">
      <ns0:c r="A976" s="21" t="inlineStr">
        <ns0:is>
          <ns0:t>177</ns0:t>
        </ns0:is>
      </ns0:c>
      <ns0:c r="B976" s="21" t="inlineStr">
        <ns0:is>
          <ns0:t>algorithm_main</ns0:t>
        </ns0:is>
      </ns0:c>
      <ns0:c r="C976" s="21" t="inlineStr">
        <ns0:is>
          <ns0:t>MLP</ns0:t>
        </ns0:is>
      </ns0:c>
      <ns0:c r="D976" s="21" t="inlineStr">
        <ns0:is>
          <ns0:t>Mixed CNN-GNN (MCG-Net)</ns0:t>
        </ns0:is>
      </ns0:c>
      <ns0:c r="E976" s="21" t="inlineStr">
        <ns0:is>
          <ns0:t>fMRI connectivity and gradient features are derived from the same imaging source; multiple representations do not constitute multisource integration.</ns0:t>
        </ns0:is>
      </ns0:c>
      <ns0:c r="F976" s="21" t="inlineStr">
        <ns0:is>
          <ns0:t>https://doi.org/10.1007/978-981-99-8141-0_12</ns0:t>
        </ns0:is>
      </ns0:c>
      <ns0:c r="G976" s="21" t="inlineStr">
        <ns0:is>
          <ns0:t>ChatGPT-assisted evidence recharting, 2026-09-08</ns0:t>
        </ns0:is>
      </ns0:c>
    </ns0:row>
    <ns0:row r="977" ht="42" customHeight="1">
      <ns0:c r="A977" s="19" t="inlineStr">
        <ns0:is>
          <ns0:t>177</ns0:t>
        </ns0:is>
      </ns0:c>
      <ns0:c r="B977" s="19" t="inlineStr">
        <ns0:is>
          <ns0:t>rq2_status</ns0:t>
        </ns0:is>
      </ns0:c>
      <ns0:c r="C977" s="19" t="inlineStr">
        <ns0:is>
          <ns0:t>Not adjudicated in master</ns0:t>
        </ns0:is>
      </ns0:c>
      <ns0:c r="D977" s="19" t="inlineStr">
        <ns0:is>
          <ns0:t>Research only</ns0:t>
        </ns0:is>
      </ns0:c>
      <ns0:c r="E977" s="19" t="inlineStr">
        <ns0:is>
          <ns0:t>fMRI connectivity and gradient features are derived from the same imaging source; multiple representations do not constitute multisource integration.</ns0:t>
        </ns0:is>
      </ns0:c>
      <ns0:c r="F977" s="19" t="inlineStr">
        <ns0:is>
          <ns0:t>https://doi.org/10.1007/978-981-99-8141-0_12</ns0:t>
        </ns0:is>
      </ns0:c>
      <ns0:c r="G977" s="19" t="inlineStr">
        <ns0:is>
          <ns0:t>ChatGPT-assisted evidence recharting, 2026-09-08</ns0:t>
        </ns0:is>
      </ns0:c>
    </ns0:row>
    <ns0:row r="978" ht="42" customHeight="1">
      <ns0:c r="A978" s="21" t="inlineStr">
        <ns0:is>
          <ns0:t>177</ns0:t>
        </ns0:is>
      </ns0:c>
      <ns0:c r="B978" s="21" t="inlineStr">
        <ns0:is>
          <ns0:t>rq2_role</ns0:t>
        </ns0:is>
      </ns0:c>
      <ns0:c r="C978" s="21" t="inlineStr"/>
      <ns0:c r="D978" s="21" t="inlineStr">
        <ns0:is>
          <ns0:t>Automated measurement/classification</ns0:t>
        </ns0:is>
      </ns0:c>
      <ns0:c r="E978" s="21" t="inlineStr">
        <ns0:is>
          <ns0:t>fMRI connectivity and gradient features are derived from the same imaging source; multiple representations do not constitute multisource integration.</ns0:t>
        </ns0:is>
      </ns0:c>
      <ns0:c r="F978" s="21" t="inlineStr">
        <ns0:is>
          <ns0:t>https://doi.org/10.1007/978-981-99-8141-0_12</ns0:t>
        </ns0:is>
      </ns0:c>
      <ns0:c r="G978" s="21" t="inlineStr">
        <ns0:is>
          <ns0:t>ChatGPT-assisted evidence recharting, 2026-09-08</ns0:t>
        </ns0:is>
      </ns0:c>
    </ns0:row>
    <ns0:row r="979" ht="42" customHeight="1">
      <ns0:c r="A979" s="19" t="inlineStr">
        <ns0:is>
          <ns0:t>177</ns0:t>
        </ns0:is>
      </ns0:c>
      <ns0:c r="B979" s="19" t="inlineStr">
        <ns0:is>
          <ns0:t>decision_timing</ns0:t>
        </ns0:is>
      </ns0:c>
      <ns0:c r="C979" s="19" t="inlineStr"/>
      <ns0:c r="D979" s="19" t="inlineStr">
        <ns0:is>
          <ns0:t>Not observed in assessed sources</ns0:t>
        </ns0:is>
      </ns0:c>
      <ns0:c r="E979" s="19" t="inlineStr">
        <ns0:is>
          <ns0:t>fMRI connectivity and gradient features are derived from the same imaging source; multiple representations do not constitute multisource integration.</ns0:t>
        </ns0:is>
      </ns0:c>
      <ns0:c r="F979" s="19" t="inlineStr">
        <ns0:is>
          <ns0:t>https://doi.org/10.1007/978-981-99-8141-0_12</ns0:t>
        </ns0:is>
      </ns0:c>
      <ns0:c r="G979" s="19" t="inlineStr">
        <ns0:is>
          <ns0:t>ChatGPT-assisted evidence recharting, 2026-09-08</ns0:t>
        </ns0:is>
      </ns0:c>
    </ns0:row>
    <ns0:row r="980" ht="42" customHeight="1">
      <ns0:c r="A980" s="21" t="inlineStr">
        <ns0:is>
          <ns0:t>177</ns0:t>
        </ns0:is>
      </ns0:c>
      <ns0:c r="B980" s="21" t="inlineStr">
        <ns0:is>
          <ns0:t>multisource_data</ns0:t>
        </ns0:is>
      </ns0:c>
      <ns0:c r="C980" s="21" t="inlineStr">
        <ns0:is>
          <ns0:t>Reported</ns0:t>
        </ns0:is>
      </ns0:c>
      <ns0:c r="D980" s="21" t="inlineStr">
        <ns0:is>
          <ns0:t>Not reported in assessed sources</ns0:t>
        </ns0:is>
      </ns0:c>
      <ns0:c r="E980" s="21" t="inlineStr">
        <ns0:is>
          <ns0:t>fMRI connectivity and gradient features are derived from the same imaging source; multiple representations do not constitute multisource integration.</ns0:t>
        </ns0:is>
      </ns0:c>
      <ns0:c r="F980" s="21" t="inlineStr">
        <ns0:is>
          <ns0:t>https://doi.org/10.1007/978-981-99-8141-0_12</ns0:t>
        </ns0:is>
      </ns0:c>
      <ns0:c r="G980" s="21" t="inlineStr">
        <ns0:is>
          <ns0:t>ChatGPT-assisted evidence recharting, 2026-09-08</ns0:t>
        </ns0:is>
      </ns0:c>
    </ns0:row>
    <ns0:row r="981" ht="42" customHeight="1">
      <ns0:c r="A981" s="19" t="inlineStr">
        <ns0:is>
          <ns0:t>178</ns0:t>
        </ns0:is>
      </ns0:c>
      <ns0:c r="B981" s="19" t="inlineStr">
        <ns0:is>
          <ns0:t>ai_type</ns0:t>
        </ns0:is>
      </ns0:c>
      <ns0:c r="C981" s="19" t="inlineStr">
        <ns0:is>
          <ns0:t>Deep Learning</ns0:t>
        </ns0:is>
      </ns0:c>
      <ns0:c r="D981" s="19" t="inlineStr">
        <ns0:is>
          <ns0:t>Machine Learning</ns0:t>
        </ns0:is>
      </ns0:c>
      <ns0:c r="E981" s="19" t="inlineStr">
        <ns0:is>
          <ns0:t>Human SNP classification with explicit LIME explanations and internal ten-fold validation. Use of Keras alone does not establish deep architecture.</ns0:t>
        </ns0:is>
      </ns0:c>
      <ns0:c r="F981" s="19" t="inlineStr">
        <ns0:is>
          <ns0:t>https://doi.org/10.1007/s12031-019-01311-1</ns0:t>
        </ns0:is>
      </ns0:c>
      <ns0:c r="G981" s="19" t="inlineStr">
        <ns0:is>
          <ns0:t>ChatGPT-assisted evidence recharting, 2026-09-08</ns0:t>
        </ns0:is>
      </ns0:c>
    </ns0:row>
    <ns0:row r="982" ht="42" customHeight="1">
      <ns0:c r="A982" s="21" t="inlineStr">
        <ns0:is>
          <ns0:t>178</ns0:t>
        </ns0:is>
      </ns0:c>
      <ns0:c r="B982" s="21" t="inlineStr">
        <ns0:is>
          <ns0:t>data_source_primary</ns0:t>
        </ns0:is>
      </ns0:c>
      <ns0:c r="C982" s="21" t="inlineStr">
        <ns0:is>
          <ns0:t>Not specified</ns0:t>
        </ns0:is>
      </ns0:c>
      <ns0:c r="D982" s="21" t="inlineStr">
        <ns0:is>
          <ns0:t>Biological/omics</ns0:t>
        </ns0:is>
      </ns0:c>
      <ns0:c r="E982" s="21" t="inlineStr">
        <ns0:is>
          <ns0:t>Human SNP classification with explicit LIME explanations and internal ten-fold validation. Use of Keras alone does not establish deep architecture.</ns0:t>
        </ns0:is>
      </ns0:c>
      <ns0:c r="F982" s="21" t="inlineStr">
        <ns0:is>
          <ns0:t>https://doi.org/10.1007/s12031-019-01311-1</ns0:t>
        </ns0:is>
      </ns0:c>
      <ns0:c r="G982" s="21" t="inlineStr">
        <ns0:is>
          <ns0:t>ChatGPT-assisted evidence recharting, 2026-09-08</ns0:t>
        </ns0:is>
      </ns0:c>
    </ns0:row>
    <ns0:row r="983" ht="42" customHeight="1">
      <ns0:c r="A983" s="19" t="inlineStr">
        <ns0:is>
          <ns0:t>178</ns0:t>
        </ns0:is>
      </ns0:c>
      <ns0:c r="B983" s="19" t="inlineStr">
        <ns0:is>
          <ns0:t>algorithm_main</ns0:t>
        </ns0:is>
      </ns0:c>
      <ns0:c r="C983" s="19" t="inlineStr">
        <ns0:is>
          <ns0:t>MLP</ns0:t>
        </ns0:is>
      </ns0:c>
      <ns0:c r="D983" s="19" t="inlineStr">
        <ns0:is>
          <ns0:t>Artificial neural network; depth unresolved</ns0:t>
        </ns0:is>
      </ns0:c>
      <ns0:c r="E983" s="19" t="inlineStr">
        <ns0:is>
          <ns0:t>Human SNP classification with explicit LIME explanations and internal ten-fold validation. Use of Keras alone does not establish deep architecture.</ns0:t>
        </ns0:is>
      </ns0:c>
      <ns0:c r="F983" s="19" t="inlineStr">
        <ns0:is>
          <ns0:t>https://doi.org/10.1007/s12031-019-01311-1</ns0:t>
        </ns0:is>
      </ns0:c>
      <ns0:c r="G983" s="19" t="inlineStr">
        <ns0:is>
          <ns0:t>ChatGPT-assisted evidence recharting, 2026-09-08</ns0:t>
        </ns0:is>
      </ns0:c>
    </ns0:row>
    <ns0:row r="984" ht="42" customHeight="1">
      <ns0:c r="A984" s="21" t="inlineStr">
        <ns0:is>
          <ns0:t>178</ns0:t>
        </ns0:is>
      </ns0:c>
      <ns0:c r="B984" s="21" t="inlineStr">
        <ns0:is>
          <ns0:t>rq2_status</ns0:t>
        </ns0:is>
      </ns0:c>
      <ns0:c r="C984" s="21" t="inlineStr">
        <ns0:is>
          <ns0:t>Not adjudicated in master</ns0:t>
        </ns0:is>
      </ns0:c>
      <ns0:c r="D984" s="21" t="inlineStr">
        <ns0:is>
          <ns0:t>Research only</ns0:t>
        </ns0:is>
      </ns0:c>
      <ns0:c r="E984" s="21" t="inlineStr">
        <ns0:is>
          <ns0:t>Human SNP classification with explicit LIME explanations and internal ten-fold validation. Use of Keras alone does not establish deep architecture.</ns0:t>
        </ns0:is>
      </ns0:c>
      <ns0:c r="F984" s="21" t="inlineStr">
        <ns0:is>
          <ns0:t>https://doi.org/10.1007/s12031-019-01311-1</ns0:t>
        </ns0:is>
      </ns0:c>
      <ns0:c r="G984" s="21" t="inlineStr">
        <ns0:is>
          <ns0:t>ChatGPT-assisted evidence recharting, 2026-09-08</ns0:t>
        </ns0:is>
      </ns0:c>
    </ns0:row>
    <ns0:row r="985" ht="42" customHeight="1">
      <ns0:c r="A985" s="19" t="inlineStr">
        <ns0:is>
          <ns0:t>178</ns0:t>
        </ns0:is>
      </ns0:c>
      <ns0:c r="B985" s="19" t="inlineStr">
        <ns0:is>
          <ns0:t>rq2_role</ns0:t>
        </ns0:is>
      </ns0:c>
      <ns0:c r="C985" s="19" t="inlineStr"/>
      <ns0:c r="D985" s="19" t="inlineStr">
        <ns0:is>
          <ns0:t>Automated measurement/classification</ns0:t>
        </ns0:is>
      </ns0:c>
      <ns0:c r="E985" s="19" t="inlineStr">
        <ns0:is>
          <ns0:t>Human SNP classification with explicit LIME explanations and internal ten-fold validation. Use of Keras alone does not establish deep architecture.</ns0:t>
        </ns0:is>
      </ns0:c>
      <ns0:c r="F985" s="19" t="inlineStr">
        <ns0:is>
          <ns0:t>https://doi.org/10.1007/s12031-019-01311-1</ns0:t>
        </ns0:is>
      </ns0:c>
      <ns0:c r="G985" s="19" t="inlineStr">
        <ns0:is>
          <ns0:t>ChatGPT-assisted evidence recharting, 2026-09-08</ns0:t>
        </ns0:is>
      </ns0:c>
    </ns0:row>
    <ns0:row r="986" ht="42" customHeight="1">
      <ns0:c r="A986" s="21" t="inlineStr">
        <ns0:is>
          <ns0:t>178</ns0:t>
        </ns0:is>
      </ns0:c>
      <ns0:c r="B986" s="21" t="inlineStr">
        <ns0:is>
          <ns0:t>decision_timing</ns0:t>
        </ns0:is>
      </ns0:c>
      <ns0:c r="C986" s="21" t="inlineStr"/>
      <ns0:c r="D986" s="21" t="inlineStr">
        <ns0:is>
          <ns0:t>Not observed in assessed sources</ns0:t>
        </ns0:is>
      </ns0:c>
      <ns0:c r="E986" s="21" t="inlineStr">
        <ns0:is>
          <ns0:t>Human SNP classification with explicit LIME explanations and internal ten-fold validation. Use of Keras alone does not establish deep architecture.</ns0:t>
        </ns0:is>
      </ns0:c>
      <ns0:c r="F986" s="21" t="inlineStr">
        <ns0:is>
          <ns0:t>https://doi.org/10.1007/s12031-019-01311-1</ns0:t>
        </ns0:is>
      </ns0:c>
      <ns0:c r="G986" s="21" t="inlineStr">
        <ns0:is>
          <ns0:t>ChatGPT-assisted evidence recharting, 2026-09-08</ns0:t>
        </ns0:is>
      </ns0:c>
    </ns0:row>
    <ns0:row r="987" ht="42" customHeight="1">
      <ns0:c r="A987" s="19" t="inlineStr">
        <ns0:is>
          <ns0:t>179</ns0:t>
        </ns0:is>
      </ns0:c>
      <ns0:c r="B987" s="19" t="inlineStr">
        <ns0:is>
          <ns0:t>data_source_primary</ns0:t>
        </ns0:is>
      </ns0:c>
      <ns0:c r="C987" s="19" t="inlineStr">
        <ns0:is>
          <ns0:t>Image (subtype unresolved)</ns0:t>
        </ns0:is>
      </ns0:c>
      <ns0:c r="D987" s="19" t="inlineStr">
        <ns0:is>
          <ns0:t>Structured clinical/questionnaire data</ns0:t>
        </ns0:is>
      </ns0:c>
      <ns0:c r="E987" s="19" t="inlineStr">
        <ns0:is>
          <ns0:t>Age-specific questionnaire screening datasets; random holdout repeated 100 times is internal validation. RF is the reported best performer.</ns0:t>
        </ns0:is>
      </ns0:c>
      <ns0:c r="F987" s="19" t="inlineStr">
        <ns0:is>
          <ns0:t>https://doi.org/10.2174/2666082215666191111121115</ns0:t>
        </ns0:is>
      </ns0:c>
      <ns0:c r="G987" s="19" t="inlineStr">
        <ns0:is>
          <ns0:t>ChatGPT-assisted evidence recharting, 2026-09-08</ns0:t>
        </ns0:is>
      </ns0:c>
    </ns0:row>
    <ns0:row r="988" ht="42" customHeight="1">
      <ns0:c r="A988" s="21" t="inlineStr">
        <ns0:is>
          <ns0:t>179</ns0:t>
        </ns0:is>
      </ns0:c>
      <ns0:c r="B988" s="21" t="inlineStr">
        <ns0:is>
          <ns0:t>algorithm_main</ns0:t>
        </ns0:is>
      </ns0:c>
      <ns0:c r="C988" s="21" t="inlineStr">
        <ns0:is>
          <ns0:t>SVM</ns0:t>
        </ns0:is>
      </ns0:c>
      <ns0:c r="D988" s="21" t="inlineStr">
        <ns0:is>
          <ns0:t>Random forest</ns0:t>
        </ns0:is>
      </ns0:c>
      <ns0:c r="E988" s="21" t="inlineStr">
        <ns0:is>
          <ns0:t>Age-specific questionnaire screening datasets; random holdout repeated 100 times is internal validation. RF is the reported best performer.</ns0:t>
        </ns0:is>
      </ns0:c>
      <ns0:c r="F988" s="21" t="inlineStr">
        <ns0:is>
          <ns0:t>https://doi.org/10.2174/2666082215666191111121115</ns0:t>
        </ns0:is>
      </ns0:c>
      <ns0:c r="G988" s="21" t="inlineStr">
        <ns0:is>
          <ns0:t>ChatGPT-assisted evidence recharting, 2026-09-08</ns0:t>
        </ns0:is>
      </ns0:c>
    </ns0:row>
    <ns0:row r="989" ht="42" customHeight="1">
      <ns0:c r="A989" s="19" t="inlineStr">
        <ns0:is>
          <ns0:t>179</ns0:t>
        </ns0:is>
      </ns0:c>
      <ns0:c r="B989" s="19" t="inlineStr">
        <ns0:is>
          <ns0:t>rq2_status</ns0:t>
        </ns0:is>
      </ns0:c>
      <ns0:c r="C989" s="19" t="inlineStr">
        <ns0:is>
          <ns0:t>Not adjudicated in master</ns0:t>
        </ns0:is>
      </ns0:c>
      <ns0:c r="D989" s="19" t="inlineStr">
        <ns0:is>
          <ns0:t>Research only</ns0:t>
        </ns0:is>
      </ns0:c>
      <ns0:c r="E989" s="19" t="inlineStr">
        <ns0:is>
          <ns0:t>Age-specific questionnaire screening datasets; random holdout repeated 100 times is internal validation. RF is the reported best performer.</ns0:t>
        </ns0:is>
      </ns0:c>
      <ns0:c r="F989" s="19" t="inlineStr">
        <ns0:is>
          <ns0:t>https://doi.org/10.2174/2666082215666191111121115</ns0:t>
        </ns0:is>
      </ns0:c>
      <ns0:c r="G989" s="19" t="inlineStr">
        <ns0:is>
          <ns0:t>ChatGPT-assisted evidence recharting, 2026-09-08</ns0:t>
        </ns0:is>
      </ns0:c>
    </ns0:row>
    <ns0:row r="990" ht="42" customHeight="1">
      <ns0:c r="A990" s="21" t="inlineStr">
        <ns0:is>
          <ns0:t>179</ns0:t>
        </ns0:is>
      </ns0:c>
      <ns0:c r="B990" s="21" t="inlineStr">
        <ns0:is>
          <ns0:t>rq2_role</ns0:t>
        </ns0:is>
      </ns0:c>
      <ns0:c r="C990" s="21" t="inlineStr"/>
      <ns0:c r="D990" s="21" t="inlineStr">
        <ns0:is>
          <ns0:t>Triage/questionnaire assessment</ns0:t>
        </ns0:is>
      </ns0:c>
      <ns0:c r="E990" s="21" t="inlineStr">
        <ns0:is>
          <ns0:t>Age-specific questionnaire screening datasets; random holdout repeated 100 times is internal validation. RF is the reported best performer.</ns0:t>
        </ns0:is>
      </ns0:c>
      <ns0:c r="F990" s="21" t="inlineStr">
        <ns0:is>
          <ns0:t>https://doi.org/10.2174/2666082215666191111121115</ns0:t>
        </ns0:is>
      </ns0:c>
      <ns0:c r="G990" s="21" t="inlineStr">
        <ns0:is>
          <ns0:t>ChatGPT-assisted evidence recharting, 2026-09-08</ns0:t>
        </ns0:is>
      </ns0:c>
    </ns0:row>
    <ns0:row r="991" ht="42" customHeight="1">
      <ns0:c r="A991" s="19" t="inlineStr">
        <ns0:is>
          <ns0:t>179</ns0:t>
        </ns0:is>
      </ns0:c>
      <ns0:c r="B991" s="19" t="inlineStr">
        <ns0:is>
          <ns0:t>decision_timing</ns0:t>
        </ns0:is>
      </ns0:c>
      <ns0:c r="C991" s="19" t="inlineStr"/>
      <ns0:c r="D991" s="19" t="inlineStr">
        <ns0:is>
          <ns0:t>Not observed in assessed sources</ns0:t>
        </ns0:is>
      </ns0:c>
      <ns0:c r="E991" s="19" t="inlineStr">
        <ns0:is>
          <ns0:t>Age-specific questionnaire screening datasets; random holdout repeated 100 times is internal validation. RF is the reported best performer.</ns0:t>
        </ns0:is>
      </ns0:c>
      <ns0:c r="F991" s="19" t="inlineStr">
        <ns0:is>
          <ns0:t>https://doi.org/10.2174/2666082215666191111121115</ns0:t>
        </ns0:is>
      </ns0:c>
      <ns0:c r="G991" s="19" t="inlineStr">
        <ns0:is>
          <ns0:t>ChatGPT-assisted evidence recharting, 2026-09-08</ns0:t>
        </ns0:is>
      </ns0:c>
    </ns0:row>
    <ns0:row r="992" ht="42" customHeight="1">
      <ns0:c r="A992" s="21" t="inlineStr">
        <ns0:is>
          <ns0:t>180</ns0:t>
        </ns0:is>
      </ns0:c>
      <ns0:c r="B992" s="21" t="inlineStr">
        <ns0:is>
          <ns0:t>data_source_primary</ns0:t>
        </ns0:is>
      </ns0:c>
      <ns0:c r="C992" s="21" t="inlineStr">
        <ns0:is>
          <ns0:t>Physiological signals</ns0:t>
        </ns0:is>
      </ns0:c>
      <ns0:c r="D992" s="21" t="inlineStr">
        <ns0:is>
          <ns0:t>Behavioral images/video/gaze/movement</ns0:t>
        </ns0:is>
      </ns0:c>
      <ns0:c r="E992" s="21" t="inlineStr">
        <ns0:is>
          <ns0:t>Motor, gaze and task responses in VR are behavioral measurements. Separate modality-specific models are compared; scenes within a modality are combined, not necessarily cross-modality fusion.</ns0:t>
        </ns0:is>
      </ns0:c>
      <ns0:c r="F992" s="21" t="inlineStr">
        <ns0:is>
          <ns0:t>https://doi.org/10.1016/j.compbiomed.2024.108194</ns0:t>
        </ns0:is>
      </ns0:c>
      <ns0:c r="G992" s="21" t="inlineStr">
        <ns0:is>
          <ns0:t>ChatGPT-assisted evidence recharting, 2026-09-08</ns0:t>
        </ns0:is>
      </ns0:c>
    </ns0:row>
    <ns0:row r="993" ht="42" customHeight="1">
      <ns0:c r="A993" s="19" t="inlineStr">
        <ns0:is>
          <ns0:t>180</ns0:t>
        </ns0:is>
      </ns0:c>
      <ns0:c r="B993" s="19" t="inlineStr">
        <ns0:is>
          <ns0:t>algorithm_main</ns0:t>
        </ns0:is>
      </ns0:c>
      <ns0:c r="C993" s="19" t="inlineStr">
        <ns0:is>
          <ns0:t>SVM</ns0:t>
        </ns0:is>
      </ns0:c>
      <ns0:c r="D993" s="19" t="inlineStr">
        <ns0:is>
          <ns0:t>Linear SVC with recursive feature elimination</ns0:t>
        </ns0:is>
      </ns0:c>
      <ns0:c r="E993" s="19" t="inlineStr">
        <ns0:is>
          <ns0:t>Motor, gaze and task responses in VR are behavioral measurements. Separate modality-specific models are compared; scenes within a modality are combined, not necessarily cross-modality fusion.</ns0:t>
        </ns0:is>
      </ns0:c>
      <ns0:c r="F993" s="19" t="inlineStr">
        <ns0:is>
          <ns0:t>https://doi.org/10.1016/j.compbiomed.2024.108194</ns0:t>
        </ns0:is>
      </ns0:c>
      <ns0:c r="G993" s="19" t="inlineStr">
        <ns0:is>
          <ns0:t>ChatGPT-assisted evidence recharting, 2026-09-08</ns0:t>
        </ns0:is>
      </ns0:c>
    </ns0:row>
    <ns0:row r="994" ht="42" customHeight="1">
      <ns0:c r="A994" s="21" t="inlineStr">
        <ns0:is>
          <ns0:t>180</ns0:t>
        </ns0:is>
      </ns0:c>
      <ns0:c r="B994" s="21" t="inlineStr">
        <ns0:is>
          <ns0:t>rq2_status</ns0:t>
        </ns0:is>
      </ns0:c>
      <ns0:c r="C994" s="21" t="inlineStr">
        <ns0:is>
          <ns0:t>Not adjudicated in master</ns0:t>
        </ns0:is>
      </ns0:c>
      <ns0:c r="D994" s="21" t="inlineStr">
        <ns0:is>
          <ns0:t>Research only</ns0:t>
        </ns0:is>
      </ns0:c>
      <ns0:c r="E994" s="21" t="inlineStr">
        <ns0:is>
          <ns0:t>Motor, gaze and task responses in VR are behavioral measurements. Separate modality-specific models are compared; scenes within a modality are combined, not necessarily cross-modality fusion.</ns0:t>
        </ns0:is>
      </ns0:c>
      <ns0:c r="F994" s="21" t="inlineStr">
        <ns0:is>
          <ns0:t>https://doi.org/10.1016/j.compbiomed.2024.108194</ns0:t>
        </ns0:is>
      </ns0:c>
      <ns0:c r="G994" s="21" t="inlineStr">
        <ns0:is>
          <ns0:t>ChatGPT-assisted evidence recharting, 2026-09-08</ns0:t>
        </ns0:is>
      </ns0:c>
    </ns0:row>
    <ns0:row r="995" ht="42" customHeight="1">
      <ns0:c r="A995" s="19" t="inlineStr">
        <ns0:is>
          <ns0:t>180</ns0:t>
        </ns0:is>
      </ns0:c>
      <ns0:c r="B995" s="19" t="inlineStr">
        <ns0:is>
          <ns0:t>rq2_role</ns0:t>
        </ns0:is>
      </ns0:c>
      <ns0:c r="C995" s="19" t="inlineStr"/>
      <ns0:c r="D995" s="19" t="inlineStr">
        <ns0:is>
          <ns0:t>Automated measurement/classification</ns0:t>
        </ns0:is>
      </ns0:c>
      <ns0:c r="E995" s="19" t="inlineStr">
        <ns0:is>
          <ns0:t>Motor, gaze and task responses in VR are behavioral measurements. Separate modality-specific models are compared; scenes within a modality are combined, not necessarily cross-modality fusion.</ns0:t>
        </ns0:is>
      </ns0:c>
      <ns0:c r="F995" s="19" t="inlineStr">
        <ns0:is>
          <ns0:t>https://doi.org/10.1016/j.compbiomed.2024.108194</ns0:t>
        </ns0:is>
      </ns0:c>
      <ns0:c r="G995" s="19" t="inlineStr">
        <ns0:is>
          <ns0:t>ChatGPT-assisted evidence recharting, 2026-09-08</ns0:t>
        </ns0:is>
      </ns0:c>
    </ns0:row>
    <ns0:row r="996" ht="42" customHeight="1">
      <ns0:c r="A996" s="21" t="inlineStr">
        <ns0:is>
          <ns0:t>180</ns0:t>
        </ns0:is>
      </ns0:c>
      <ns0:c r="B996" s="21" t="inlineStr">
        <ns0:is>
          <ns0:t>decision_timing</ns0:t>
        </ns0:is>
      </ns0:c>
      <ns0:c r="C996" s="21" t="inlineStr"/>
      <ns0:c r="D996" s="21" t="inlineStr">
        <ns0:is>
          <ns0:t>Not observed in assessed sources</ns0:t>
        </ns0:is>
      </ns0:c>
      <ns0:c r="E996" s="21" t="inlineStr">
        <ns0:is>
          <ns0:t>Motor, gaze and task responses in VR are behavioral measurements. Separate modality-specific models are compared; scenes within a modality are combined, not necessarily cross-modality fusion.</ns0:t>
        </ns0:is>
      </ns0:c>
      <ns0:c r="F996" s="21" t="inlineStr">
        <ns0:is>
          <ns0:t>https://doi.org/10.1016/j.compbiomed.2024.108194</ns0:t>
        </ns0:is>
      </ns0:c>
      <ns0:c r="G996" s="21" t="inlineStr">
        <ns0:is>
          <ns0:t>ChatGPT-assisted evidence recharting, 2026-09-08</ns0:t>
        </ns0:is>
      </ns0:c>
    </ns0:row>
    <ns0:row r="997" ht="42" customHeight="1">
      <ns0:c r="A997" s="19" t="inlineStr">
        <ns0:is>
          <ns0:t>182</ns0:t>
        </ns0:is>
      </ns0:c>
      <ns0:c r="B997" s="19" t="inlineStr">
        <ns0:is>
          <ns0:t>eligibility</ns0:t>
        </ns0:is>
      </ns0:c>
      <ns0:c r="C997" s="19" t="inlineStr">
        <ns0:is>
          <ns0:t>Include</ns0:t>
        </ns0:is>
      </ns0:c>
      <ns0:c r="D997" s="19" t="inlineStr">
        <ns0:is>
          <ns0:t>Exclude</ns0:t>
        </ns0:is>
      </ns0:c>
      <ns0:c r="E997" s="19" t="inlineStr">
        <ns0:is>
          <ns0:t>Conference-supplement abstract in European Neuropsychopharmacology, not a full eligible primary report.</ns0:t>
        </ns0:is>
      </ns0:c>
      <ns0:c r="F997" s="19" t="inlineStr">
        <ns0:is>
          <ns0:t>https://doi.org/10.1016/j.euroneuro.2017.08.321</ns0:t>
        </ns0:is>
      </ns0:c>
      <ns0:c r="G997" s="19" t="inlineStr">
        <ns0:is>
          <ns0:t>ChatGPT-assisted evidence recharting, 2026-09-08</ns0:t>
        </ns0:is>
      </ns0:c>
    </ns0:row>
    <ns0:row r="998" ht="42" customHeight="1">
      <ns0:c r="A998" s="21" t="inlineStr">
        <ns0:is>
          <ns0:t>182</ns0:t>
        </ns0:is>
      </ns0:c>
      <ns0:c r="B998" s="21" t="inlineStr">
        <ns0:is>
          <ns0:t>stage_primary</ns0:t>
        </ns0:is>
      </ns0:c>
      <ns0:c r="C998" s="21" t="inlineStr">
        <ns0:is>
          <ns0:t>Screening</ns0:t>
        </ns0:is>
      </ns0:c>
      <ns0:c r="D998" s="21" t="inlineStr">
        <ns0:is>
          <ns0:t>Excluded</ns0:t>
        </ns0:is>
      </ns0:c>
      <ns0:c r="E998" s="21" t="inlineStr">
        <ns0:is>
          <ns0:t>Conference-supplement abstract in European Neuropsychopharmacology, not a full eligible primary report.</ns0:t>
        </ns0:is>
      </ns0:c>
      <ns0:c r="F998" s="21" t="inlineStr">
        <ns0:is>
          <ns0:t>https://doi.org/10.1016/j.euroneuro.2017.08.321</ns0:t>
        </ns0:is>
      </ns0:c>
      <ns0:c r="G998" s="21" t="inlineStr">
        <ns0:is>
          <ns0:t>ChatGPT-assisted evidence recharting, 2026-09-08</ns0:t>
        </ns0:is>
      </ns0:c>
    </ns0:row>
    <ns0:row r="999" ht="42" customHeight="1">
      <ns0:c r="A999" s="19" t="inlineStr">
        <ns0:is>
          <ns0:t>182</ns0:t>
        </ns0:is>
      </ns0:c>
      <ns0:c r="B999" s="19" t="inlineStr">
        <ns0:is>
          <ns0:t>ai_type</ns0:t>
        </ns0:is>
      </ns0:c>
      <ns0:c r="C999" s="19" t="inlineStr">
        <ns0:is>
          <ns0:t>Machine Learning</ns0:t>
        </ns0:is>
      </ns0:c>
      <ns0:c r="D999" s="19" t="inlineStr">
        <ns0:is>
          <ns0:t>Excluded</ns0:t>
        </ns0:is>
      </ns0:c>
      <ns0:c r="E999" s="19" t="inlineStr">
        <ns0:is>
          <ns0:t>Conference-supplement abstract in European Neuropsychopharmacology, not a full eligible primary report.</ns0:t>
        </ns0:is>
      </ns0:c>
      <ns0:c r="F999" s="19" t="inlineStr">
        <ns0:is>
          <ns0:t>https://doi.org/10.1016/j.euroneuro.2017.08.321</ns0:t>
        </ns0:is>
      </ns0:c>
      <ns0:c r="G999" s="19" t="inlineStr">
        <ns0:is>
          <ns0:t>ChatGPT-assisted evidence recharting, 2026-09-08</ns0:t>
        </ns0:is>
      </ns0:c>
    </ns0:row>
    <ns0:row r="1000" ht="42" customHeight="1">
      <ns0:c r="A1000" s="21" t="inlineStr">
        <ns0:is>
          <ns0:t>182</ns0:t>
        </ns0:is>
      </ns0:c>
      <ns0:c r="B1000" s="21" t="inlineStr">
        <ns0:is>
          <ns0:t>data_source_primary</ns0:t>
        </ns0:is>
      </ns0:c>
      <ns0:c r="C1000" s="21" t="inlineStr">
        <ns0:is>
          <ns0:t>Physiological signals</ns0:t>
        </ns0:is>
      </ns0:c>
      <ns0:c r="D1000" s="21" t="inlineStr">
        <ns0:is>
          <ns0:t>Excluded</ns0:t>
        </ns0:is>
      </ns0:c>
      <ns0:c r="E1000" s="21" t="inlineStr">
        <ns0:is>
          <ns0:t>Conference-supplement abstract in European Neuropsychopharmacology, not a full eligible primary report.</ns0:t>
        </ns0:is>
      </ns0:c>
      <ns0:c r="F1000" s="21" t="inlineStr">
        <ns0:is>
          <ns0:t>https://doi.org/10.1016/j.euroneuro.2017.08.321</ns0:t>
        </ns0:is>
      </ns0:c>
      <ns0:c r="G1000" s="21" t="inlineStr">
        <ns0:is>
          <ns0:t>ChatGPT-assisted evidence recharting, 2026-09-08</ns0:t>
        </ns0:is>
      </ns0:c>
    </ns0:row>
    <ns0:row r="1001" ht="42" customHeight="1">
      <ns0:c r="A1001" s="19" t="inlineStr">
        <ns0:is>
          <ns0:t>182</ns0:t>
        </ns0:is>
      </ns0:c>
      <ns0:c r="B1001" s="19" t="inlineStr">
        <ns0:is>
          <ns0:t>rq2_status</ns0:t>
        </ns0:is>
      </ns0:c>
      <ns0:c r="C1001" s="19" t="inlineStr">
        <ns0:is>
          <ns0:t>Not adjudicated in master</ns0:t>
        </ns0:is>
      </ns0:c>
      <ns0:c r="D1001" s="19" t="inlineStr">
        <ns0:is>
          <ns0:t>Excluded</ns0:t>
        </ns0:is>
      </ns0:c>
      <ns0:c r="E1001" s="19" t="inlineStr">
        <ns0:is>
          <ns0:t>Conference-supplement abstract in European Neuropsychopharmacology, not a full eligible primary report.</ns0:t>
        </ns0:is>
      </ns0:c>
      <ns0:c r="F1001" s="19" t="inlineStr">
        <ns0:is>
          <ns0:t>https://doi.org/10.1016/j.euroneuro.2017.08.321</ns0:t>
        </ns0:is>
      </ns0:c>
      <ns0:c r="G1001" s="19" t="inlineStr">
        <ns0:is>
          <ns0:t>ChatGPT-assisted evidence recharting, 2026-09-08</ns0:t>
        </ns0:is>
      </ns0:c>
    </ns0:row>
    <ns0:row r="1002" ht="42" customHeight="1">
      <ns0:c r="A1002" s="21" t="inlineStr">
        <ns0:is>
          <ns0:t>182</ns0:t>
        </ns0:is>
      </ns0:c>
      <ns0:c r="B1002" s="21" t="inlineStr">
        <ns0:is>
          <ns0:t>rq2_role</ns0:t>
        </ns0:is>
      </ns0:c>
      <ns0:c r="C1002" s="21" t="inlineStr"/>
      <ns0:c r="D1002" s="21" t="inlineStr">
        <ns0:is>
          <ns0:t>Excluded</ns0:t>
        </ns0:is>
      </ns0:c>
      <ns0:c r="E1002" s="21" t="inlineStr">
        <ns0:is>
          <ns0:t>Conference-supplement abstract in European Neuropsychopharmacology, not a full eligible primary report.</ns0:t>
        </ns0:is>
      </ns0:c>
      <ns0:c r="F1002" s="21" t="inlineStr">
        <ns0:is>
          <ns0:t>https://doi.org/10.1016/j.euroneuro.2017.08.321</ns0:t>
        </ns0:is>
      </ns0:c>
      <ns0:c r="G1002" s="21" t="inlineStr">
        <ns0:is>
          <ns0:t>ChatGPT-assisted evidence recharting, 2026-09-08</ns0:t>
        </ns0:is>
      </ns0:c>
    </ns0:row>
    <ns0:row r="1003" ht="42" customHeight="1">
      <ns0:c r="A1003" s="19" t="inlineStr">
        <ns0:is>
          <ns0:t>182</ns0:t>
        </ns0:is>
      </ns0:c>
      <ns0:c r="B1003" s="19" t="inlineStr">
        <ns0:is>
          <ns0:t>decision_timing</ns0:t>
        </ns0:is>
      </ns0:c>
      <ns0:c r="C1003" s="19" t="inlineStr"/>
      <ns0:c r="D1003" s="19" t="inlineStr">
        <ns0:is>
          <ns0:t>Not applicable - excluded</ns0:t>
        </ns0:is>
      </ns0:c>
      <ns0:c r="E1003" s="19" t="inlineStr">
        <ns0:is>
          <ns0:t>Conference-supplement abstract in European Neuropsychopharmacology, not a full eligible primary report.</ns0:t>
        </ns0:is>
      </ns0:c>
      <ns0:c r="F1003" s="19" t="inlineStr">
        <ns0:is>
          <ns0:t>https://doi.org/10.1016/j.euroneuro.2017.08.321</ns0:t>
        </ns0:is>
      </ns0:c>
      <ns0:c r="G1003" s="19" t="inlineStr">
        <ns0:is>
          <ns0:t>ChatGPT-assisted evidence recharting, 2026-09-08</ns0:t>
        </ns0:is>
      </ns0:c>
    </ns0:row>
    <ns0:row r="1004" ht="42" customHeight="1">
      <ns0:c r="A1004" s="21" t="inlineStr">
        <ns0:is>
          <ns0:t>183</ns0:t>
        </ns0:is>
      </ns0:c>
      <ns0:c r="B1004" s="21" t="inlineStr">
        <ns0:is>
          <ns0:t>ai_type</ns0:t>
        </ns0:is>
      </ns0:c>
      <ns0:c r="C1004" s="21" t="inlineStr">
        <ns0:is>
          <ns0:t>Deep Learning</ns0:t>
        </ns0:is>
      </ns0:c>
      <ns0:c r="D1004" s="21" t="inlineStr">
        <ns0:is>
          <ns0:t>Not specified</ns0:t>
        </ns0:is>
      </ns0:c>
      <ns0:c r="E1004" s="21" t="inlineStr">
        <ns0:is>
          <ns0:t>Prospective pediatric well-child app measurement is explicit. Gaze quantification and group comparison are not necessarily external validation of a trained ASD classifier.</ns0:t>
        </ns0:is>
      </ns0:c>
      <ns0:c r="F1004" s="21" t="inlineStr">
        <ns0:is>
          <ns0:t>https://doi.org/10.1001/jamapediatrics.2021.0530</ns0:t>
        </ns0:is>
      </ns0:c>
      <ns0:c r="G1004" s="21" t="inlineStr">
        <ns0:is>
          <ns0:t>ChatGPT-assisted evidence recharting, 2026-09-08</ns0:t>
        </ns0:is>
      </ns0:c>
    </ns0:row>
    <ns0:row r="1005" ht="42" customHeight="1">
      <ns0:c r="A1005" s="19" t="inlineStr">
        <ns0:is>
          <ns0:t>183</ns0:t>
        </ns0:is>
      </ns0:c>
      <ns0:c r="B1005" s="19" t="inlineStr">
        <ns0:is>
          <ns0:t>data_source_primary</ns0:t>
        </ns0:is>
      </ns0:c>
      <ns0:c r="C1005" s="19" t="inlineStr">
        <ns0:is>
          <ns0:t>Image (subtype unresolved)</ns0:t>
        </ns0:is>
      </ns0:c>
      <ns0:c r="D1005" s="19" t="inlineStr">
        <ns0:is>
          <ns0:t>Behavioral images/video/gaze/movement</ns0:t>
        </ns0:is>
      </ns0:c>
      <ns0:c r="E1005" s="19" t="inlineStr">
        <ns0:is>
          <ns0:t>Prospective pediatric well-child app measurement is explicit. Gaze quantification and group comparison are not necessarily external validation of a trained ASD classifier.</ns0:t>
        </ns0:is>
      </ns0:c>
      <ns0:c r="F1005" s="19" t="inlineStr">
        <ns0:is>
          <ns0:t>https://doi.org/10.1001/jamapediatrics.2021.0530</ns0:t>
        </ns0:is>
      </ns0:c>
      <ns0:c r="G1005" s="19" t="inlineStr">
        <ns0:is>
          <ns0:t>ChatGPT-assisted evidence recharting, 2026-09-08</ns0:t>
        </ns0:is>
      </ns0:c>
    </ns0:row>
    <ns0:row r="1006" ht="42" customHeight="1">
      <ns0:c r="A1006" s="21" t="inlineStr">
        <ns0:is>
          <ns0:t>183</ns0:t>
        </ns0:is>
      </ns0:c>
      <ns0:c r="B1006" s="21" t="inlineStr">
        <ns0:is>
          <ns0:t>algorithm_main</ns0:t>
        </ns0:is>
      </ns0:c>
      <ns0:c r="C1006" s="21" t="inlineStr">
        <ns0:is>
          <ns0:t>Decision Tree</ns0:t>
        </ns0:is>
      </ns0:c>
      <ns0:c r="D1006" s="21" t="inlineStr">
        <ns0:is>
          <ns0:t>Computer-vision gaze quantification; architecture unresolved</ns0:t>
        </ns0:is>
      </ns0:c>
      <ns0:c r="E1006" s="21" t="inlineStr">
        <ns0:is>
          <ns0:t>Prospective pediatric well-child app measurement is explicit. Gaze quantification and group comparison are not necessarily external validation of a trained ASD classifier.</ns0:t>
        </ns0:is>
      </ns0:c>
      <ns0:c r="F1006" s="21" t="inlineStr">
        <ns0:is>
          <ns0:t>https://doi.org/10.1001/jamapediatrics.2021.0530</ns0:t>
        </ns0:is>
      </ns0:c>
      <ns0:c r="G1006" s="21" t="inlineStr">
        <ns0:is>
          <ns0:t>ChatGPT-assisted evidence recharting, 2026-09-08</ns0:t>
        </ns0:is>
      </ns0:c>
    </ns0:row>
    <ns0:row r="1007" ht="42" customHeight="1">
      <ns0:c r="A1007" s="19" t="inlineStr">
        <ns0:is>
          <ns0:t>183</ns0:t>
        </ns0:is>
      </ns0:c>
      <ns0:c r="B1007" s="19" t="inlineStr">
        <ns0:is>
          <ns0:t>rq2_status</ns0:t>
        </ns0:is>
      </ns0:c>
      <ns0:c r="C1007" s="19" t="inlineStr">
        <ns0:is>
          <ns0:t>Not adjudicated in master</ns0:t>
        </ns0:is>
      </ns0:c>
      <ns0:c r="D1007" s="19" t="inlineStr">
        <ns0:is>
          <ns0:t>Evaluated at point of use</ns0:t>
        </ns0:is>
      </ns0:c>
      <ns0:c r="E1007" s="19" t="inlineStr">
        <ns0:is>
          <ns0:t>Prospective pediatric well-child app measurement is explicit. Gaze quantification and group comparison are not necessarily external validation of a trained ASD classifier.</ns0:t>
        </ns0:is>
      </ns0:c>
      <ns0:c r="F1007" s="19" t="inlineStr">
        <ns0:is>
          <ns0:t>https://doi.org/10.1001/jamapediatrics.2021.0530</ns0:t>
        </ns0:is>
      </ns0:c>
      <ns0:c r="G1007" s="19" t="inlineStr">
        <ns0:is>
          <ns0:t>ChatGPT-assisted evidence recharting, 2026-09-08</ns0:t>
        </ns0:is>
      </ns0:c>
    </ns0:row>
    <ns0:row r="1008" ht="42" customHeight="1">
      <ns0:c r="A1008" s="21" t="inlineStr">
        <ns0:is>
          <ns0:t>183</ns0:t>
        </ns0:is>
      </ns0:c>
      <ns0:c r="B1008" s="21" t="inlineStr">
        <ns0:is>
          <ns0:t>rq2_role</ns0:t>
        </ns0:is>
      </ns0:c>
      <ns0:c r="C1008" s="21" t="inlineStr"/>
      <ns0:c r="D1008" s="21" t="inlineStr">
        <ns0:is>
          <ns0:t>Mobile assessment</ns0:t>
        </ns0:is>
      </ns0:c>
      <ns0:c r="E1008" s="21" t="inlineStr">
        <ns0:is>
          <ns0:t>Prospective pediatric well-child app measurement is explicit. Gaze quantification and group comparison are not necessarily external validation of a trained ASD classifier.</ns0:t>
        </ns0:is>
      </ns0:c>
      <ns0:c r="F1008" s="21" t="inlineStr">
        <ns0:is>
          <ns0:t>https://doi.org/10.1001/jamapediatrics.2021.0530</ns0:t>
        </ns0:is>
      </ns0:c>
      <ns0:c r="G1008" s="21" t="inlineStr">
        <ns0:is>
          <ns0:t>ChatGPT-assisted evidence recharting, 2026-09-08</ns0:t>
        </ns0:is>
      </ns0:c>
    </ns0:row>
    <ns0:row r="1009" ht="42" customHeight="1">
      <ns0:c r="A1009" s="19" t="inlineStr">
        <ns0:is>
          <ns0:t>183</ns0:t>
        </ns0:is>
      </ns0:c>
      <ns0:c r="B1009" s="19" t="inlineStr">
        <ns0:is>
          <ns0:t>decision_timing</ns0:t>
        </ns0:is>
      </ns0:c>
      <ns0:c r="C1009" s="19" t="inlineStr"/>
      <ns0:c r="D1009" s="19" t="inlineStr">
        <ns0:is>
          <ns0:t>Pre-decision</ns0:t>
        </ns0:is>
      </ns0:c>
      <ns0:c r="E1009" s="19" t="inlineStr">
        <ns0:is>
          <ns0:t>Prospective pediatric well-child app measurement is explicit. Gaze quantification and group comparison are not necessarily external validation of a trained ASD classifier.</ns0:t>
        </ns0:is>
      </ns0:c>
      <ns0:c r="F1009" s="19" t="inlineStr">
        <ns0:is>
          <ns0:t>https://doi.org/10.1001/jamapediatrics.2021.0530</ns0:t>
        </ns0:is>
      </ns0:c>
      <ns0:c r="G1009" s="19" t="inlineStr">
        <ns0:is>
          <ns0:t>ChatGPT-assisted evidence recharting, 2026-09-08</ns0:t>
        </ns0:is>
      </ns0:c>
    </ns0:row>
    <ns0:row r="1010" ht="42" customHeight="1">
      <ns0:c r="A1010" s="21" t="inlineStr">
        <ns0:is>
          <ns0:t>183</ns0:t>
        </ns0:is>
      </ns0:c>
      <ns0:c r="B1010" s="21" t="inlineStr">
        <ns0:is>
          <ns0:t>external_validation</ns0:t>
        </ns0:is>
      </ns0:c>
      <ns0:c r="C1010" s="21" t="inlineStr">
        <ns0:is>
          <ns0:t>Reported</ns0:t>
        </ns0:is>
      </ns0:c>
      <ns0:c r="D1010" s="21" t="inlineStr">
        <ns0:is>
          <ns0:t>Not reported in assessed sources</ns0:t>
        </ns0:is>
      </ns0:c>
      <ns0:c r="E1010" s="21" t="inlineStr">
        <ns0:is>
          <ns0:t>Prospective pediatric well-child app measurement is explicit. Gaze quantification and group comparison are not necessarily external validation of a trained ASD classifier.</ns0:t>
        </ns0:is>
      </ns0:c>
      <ns0:c r="F1010" s="21" t="inlineStr">
        <ns0:is>
          <ns0:t>https://doi.org/10.1001/jamapediatrics.2021.0530</ns0:t>
        </ns0:is>
      </ns0:c>
      <ns0:c r="G1010" s="21" t="inlineStr">
        <ns0:is>
          <ns0:t>ChatGPT-assisted evidence recharting, 2026-09-08</ns0:t>
        </ns0:is>
      </ns0:c>
    </ns0:row>
    <ns0:row r="1011" ht="42" customHeight="1">
      <ns0:c r="A1011" s="19" t="inlineStr">
        <ns0:is>
          <ns0:t>184</ns0:t>
        </ns0:is>
      </ns0:c>
      <ns0:c r="B1011" s="19" t="inlineStr">
        <ns0:is>
          <ns0:t>stage_primary</ns0:t>
        </ns0:is>
      </ns0:c>
      <ns0:c r="C1011" s="19" t="inlineStr">
        <ns0:is>
          <ns0:t>Screening</ns0:t>
        </ns0:is>
      </ns0:c>
      <ns0:c r="D1011" s="19" t="inlineStr">
        <ns0:is>
          <ns0:t>Diagnosis</ns0:t>
        </ns0:is>
      </ns0:c>
      <ns0:c r="E1011" s="19" t="inlineStr">
        <ns0:is>
          <ns0:t>Objective motor imitation measurement with interpretable similarity scores, compared with human coding; not neural image classification or a tested intervention.</ns0:t>
        </ns0:is>
      </ns0:c>
      <ns0:c r="F1011" s="19" t="inlineStr">
        <ns0:is>
          <ns0:t>https://doi.org/10.1016/j.bpsc.2020.09.001</ns0:t>
        </ns0:is>
      </ns0:c>
      <ns0:c r="G1011" s="19" t="inlineStr">
        <ns0:is>
          <ns0:t>ChatGPT-assisted evidence recharting, 2026-09-08</ns0:t>
        </ns0:is>
      </ns0:c>
    </ns0:row>
    <ns0:row r="1012" ht="42" customHeight="1">
      <ns0:c r="A1012" s="21" t="inlineStr">
        <ns0:is>
          <ns0:t>184</ns0:t>
        </ns0:is>
      </ns0:c>
      <ns0:c r="B1012" s="21" t="inlineStr">
        <ns0:is>
          <ns0:t>data_source_primary</ns0:t>
        </ns0:is>
      </ns0:c>
      <ns0:c r="C1012" s="21" t="inlineStr">
        <ns0:is>
          <ns0:t>Image (subtype unresolved)</ns0:t>
        </ns0:is>
      </ns0:c>
      <ns0:c r="D1012" s="21" t="inlineStr">
        <ns0:is>
          <ns0:t>Behavioral images/video/gaze/movement</ns0:t>
        </ns0:is>
      </ns0:c>
      <ns0:c r="E1012" s="21" t="inlineStr">
        <ns0:is>
          <ns0:t>Objective motor imitation measurement with interpretable similarity scores, compared with human coding; not neural image classification or a tested intervention.</ns0:t>
        </ns0:is>
      </ns0:c>
      <ns0:c r="F1012" s="21" t="inlineStr">
        <ns0:is>
          <ns0:t>https://doi.org/10.1016/j.bpsc.2020.09.001</ns0:t>
        </ns0:is>
      </ns0:c>
      <ns0:c r="G1012" s="21" t="inlineStr">
        <ns0:is>
          <ns0:t>ChatGPT-assisted evidence recharting, 2026-09-08</ns0:t>
        </ns0:is>
      </ns0:c>
    </ns0:row>
    <ns0:row r="1013" ht="42" customHeight="1">
      <ns0:c r="A1013" s="19" t="inlineStr">
        <ns0:is>
          <ns0:t>184</ns0:t>
        </ns0:is>
      </ns0:c>
      <ns0:c r="B1013" s="19" t="inlineStr">
        <ns0:is>
          <ns0:t>algorithm_main</ns0:t>
        </ns0:is>
      </ns0:c>
      <ns0:c r="C1013" s="19" t="inlineStr">
        <ns0:is>
          <ns0:t>Other / Not clear</ns0:t>
        </ns0:is>
      </ns0:c>
      <ns0:c r="D1013" s="19" t="inlineStr">
        <ns0:is>
          <ns0:t>Metric learning with dynamic time warping (CAMI)</ns0:t>
        </ns0:is>
      </ns0:c>
      <ns0:c r="E1013" s="19" t="inlineStr">
        <ns0:is>
          <ns0:t>Objective motor imitation measurement with interpretable similarity scores, compared with human coding; not neural image classification or a tested intervention.</ns0:t>
        </ns0:is>
      </ns0:c>
      <ns0:c r="F1013" s="19" t="inlineStr">
        <ns0:is>
          <ns0:t>https://doi.org/10.1016/j.bpsc.2020.09.001</ns0:t>
        </ns0:is>
      </ns0:c>
      <ns0:c r="G1013" s="19" t="inlineStr">
        <ns0:is>
          <ns0:t>ChatGPT-assisted evidence recharting, 2026-09-08</ns0:t>
        </ns0:is>
      </ns0:c>
    </ns0:row>
    <ns0:row r="1014" ht="42" customHeight="1">
      <ns0:c r="A1014" s="21" t="inlineStr">
        <ns0:is>
          <ns0:t>184</ns0:t>
        </ns0:is>
      </ns0:c>
      <ns0:c r="B1014" s="21" t="inlineStr">
        <ns0:is>
          <ns0:t>rq2_status</ns0:t>
        </ns0:is>
      </ns0:c>
      <ns0:c r="C1014" s="21" t="inlineStr">
        <ns0:is>
          <ns0:t>Not adjudicated in master</ns0:t>
        </ns0:is>
      </ns0:c>
      <ns0:c r="D1014" s="21" t="inlineStr">
        <ns0:is>
          <ns0:t>Proposed only</ns0:t>
        </ns0:is>
      </ns0:c>
      <ns0:c r="E1014" s="21" t="inlineStr">
        <ns0:is>
          <ns0:t>Objective motor imitation measurement with interpretable similarity scores, compared with human coding; not neural image classification or a tested intervention.</ns0:t>
        </ns0:is>
      </ns0:c>
      <ns0:c r="F1014" s="21" t="inlineStr">
        <ns0:is>
          <ns0:t>https://doi.org/10.1016/j.bpsc.2020.09.001</ns0:t>
        </ns0:is>
      </ns0:c>
      <ns0:c r="G1014" s="21" t="inlineStr">
        <ns0:is>
          <ns0:t>ChatGPT-assisted evidence recharting, 2026-09-08</ns0:t>
        </ns0:is>
      </ns0:c>
    </ns0:row>
    <ns0:row r="1015" ht="42" customHeight="1">
      <ns0:c r="A1015" s="19" t="inlineStr">
        <ns0:is>
          <ns0:t>184</ns0:t>
        </ns0:is>
      </ns0:c>
      <ns0:c r="B1015" s="19" t="inlineStr">
        <ns0:is>
          <ns0:t>rq2_role</ns0:t>
        </ns0:is>
      </ns0:c>
      <ns0:c r="C1015" s="19" t="inlineStr"/>
      <ns0:c r="D1015" s="19" t="inlineStr">
        <ns0:is>
          <ns0:t>Automated measurement/classification</ns0:t>
        </ns0:is>
      </ns0:c>
      <ns0:c r="E1015" s="19" t="inlineStr">
        <ns0:is>
          <ns0:t>Objective motor imitation measurement with interpretable similarity scores, compared with human coding; not neural image classification or a tested intervention.</ns0:t>
        </ns0:is>
      </ns0:c>
      <ns0:c r="F1015" s="19" t="inlineStr">
        <ns0:is>
          <ns0:t>https://doi.org/10.1016/j.bpsc.2020.09.001</ns0:t>
        </ns0:is>
      </ns0:c>
      <ns0:c r="G1015" s="19" t="inlineStr">
        <ns0:is>
          <ns0:t>ChatGPT-assisted evidence recharting, 2026-09-08</ns0:t>
        </ns0:is>
      </ns0:c>
    </ns0:row>
    <ns0:row r="1016" ht="42" customHeight="1">
      <ns0:c r="A1016" s="21" t="inlineStr">
        <ns0:is>
          <ns0:t>184</ns0:t>
        </ns0:is>
      </ns0:c>
      <ns0:c r="B1016" s="21" t="inlineStr">
        <ns0:is>
          <ns0:t>decision_timing</ns0:t>
        </ns0:is>
      </ns0:c>
      <ns0:c r="C1016" s="21" t="inlineStr"/>
      <ns0:c r="D1016" s="21" t="inlineStr">
        <ns0:is>
          <ns0:t>In-decision</ns0:t>
        </ns0:is>
      </ns0:c>
      <ns0:c r="E1016" s="21" t="inlineStr">
        <ns0:is>
          <ns0:t>Objective motor imitation measurement with interpretable similarity scores, compared with human coding; not neural image classification or a tested intervention.</ns0:t>
        </ns0:is>
      </ns0:c>
      <ns0:c r="F1016" s="21" t="inlineStr">
        <ns0:is>
          <ns0:t>https://doi.org/10.1016/j.bpsc.2020.09.001</ns0:t>
        </ns0:is>
      </ns0:c>
      <ns0:c r="G1016" s="21" t="inlineStr">
        <ns0:is>
          <ns0:t>ChatGPT-assisted evidence recharting, 2026-09-08</ns0:t>
        </ns0:is>
      </ns0:c>
    </ns0:row>
    <ns0:row r="1017" ht="42" customHeight="1">
      <ns0:c r="A1017" s="19" t="inlineStr">
        <ns0:is>
          <ns0:t>184</ns0:t>
        </ns0:is>
      </ns0:c>
      <ns0:c r="B1017" s="19" t="inlineStr">
        <ns0:is>
          <ns0:t>xai_strict</ns0:t>
        </ns0:is>
      </ns0:c>
      <ns0:c r="C1017" s="19" t="inlineStr">
        <ns0:is>
          <ns0:t>Reported</ns0:t>
        </ns0:is>
      </ns0:c>
      <ns0:c r="D1017" s="19" t="inlineStr">
        <ns0:is>
          <ns0:t>Not reported in assessed sources</ns0:t>
        </ns0:is>
      </ns0:c>
      <ns0:c r="E1017" s="19" t="inlineStr">
        <ns0:is>
          <ns0:t>Objective motor imitation measurement with interpretable similarity scores, compared with human coding; not neural image classification or a tested intervention.</ns0:t>
        </ns0:is>
      </ns0:c>
      <ns0:c r="F1017" s="19" t="inlineStr">
        <ns0:is>
          <ns0:t>https://doi.org/10.1016/j.bpsc.2020.09.001</ns0:t>
        </ns0:is>
      </ns0:c>
      <ns0:c r="G1017" s="19" t="inlineStr">
        <ns0:is>
          <ns0:t>ChatGPT-assisted evidence recharting, 2026-09-08</ns0:t>
        </ns0:is>
      </ns0:c>
    </ns0:row>
    <ns0:row r="1018" ht="42" customHeight="1">
      <ns0:c r="A1018" s="21" t="inlineStr">
        <ns0:is>
          <ns0:t>184</ns0:t>
        </ns0:is>
      </ns0:c>
      <ns0:c r="B1018" s="21" t="inlineStr">
        <ns0:is>
          <ns0:t>xai_partial</ns0:t>
        </ns0:is>
      </ns0:c>
      <ns0:c r="C1018" s="21" t="inlineStr">
        <ns0:is>
          <ns0:t>Not reported in assessed sources</ns0:t>
        </ns0:is>
      </ns0:c>
      <ns0:c r="D1018" s="21" t="inlineStr">
        <ns0:is>
          <ns0:t>Reported</ns0:t>
        </ns0:is>
      </ns0:c>
      <ns0:c r="E1018" s="21" t="inlineStr">
        <ns0:is>
          <ns0:t>Objective motor imitation measurement with interpretable similarity scores, compared with human coding; not neural image classification or a tested intervention.</ns0:t>
        </ns0:is>
      </ns0:c>
      <ns0:c r="F1018" s="21" t="inlineStr">
        <ns0:is>
          <ns0:t>https://doi.org/10.1016/j.bpsc.2020.09.001</ns0:t>
        </ns0:is>
      </ns0:c>
      <ns0:c r="G1018" s="21" t="inlineStr">
        <ns0:is>
          <ns0:t>ChatGPT-assisted evidence recharting, 2026-09-08</ns0:t>
        </ns0:is>
      </ns0:c>
    </ns0:row>
    <ns0:row r="1019" ht="57" customHeight="1">
      <ns0:c r="A1019" s="19" t="inlineStr">
        <ns0:is>
          <ns0:t>185</ns0:t>
        </ns0:is>
      </ns0:c>
      <ns0:c r="B1019" s="19" t="inlineStr">
        <ns0:is>
          <ns0:t>ai_type</ns0:t>
        </ns0:is>
      </ns0:c>
      <ns0:c r="C1019" s="19" t="inlineStr">
        <ns0:is>
          <ns0:t>Hybrid</ns0:t>
        </ns0:is>
      </ns0:c>
      <ns0:c r="D1019" s="19" t="inlineStr">
        <ns0:is>
          <ns0:t>Deep Learning</ns0:t>
        </ns0:is>
      </ns0:c>
      <ns0:c r="E1019" s="19" t="inlineStr">
        <ns0:is>
          <ns0:t>Reported video/sensor behavior prediction and designed adaptive intervention. Prediction accuracy alone does not demonstrate that AI-guided treatment was delivered or effective.
Real-time adaptive system is designed; patient-level delivery, allocation, outcomes and decision impact are not established by the supplied prediction metrics.</ns0:t>
        </ns0:is>
      </ns0:c>
      <ns0:c r="F1019" s="19" t="inlineStr">
        <ns0:is>
          <ns0:t>https://doi.org/10.1016/j.procs.2025.05.032</ns0:t>
        </ns0:is>
      </ns0:c>
      <ns0:c r="G1019" s="19" t="inlineStr">
        <ns0:is>
          <ns0:t>ChatGPT-assisted evidence recharting, 2026-09-08</ns0:t>
        </ns0:is>
      </ns0:c>
    </ns0:row>
    <ns0:row r="1020" ht="57" customHeight="1">
      <ns0:c r="A1020" s="21" t="inlineStr">
        <ns0:is>
          <ns0:t>185</ns0:t>
        </ns0:is>
      </ns0:c>
      <ns0:c r="B1020" s="21" t="inlineStr">
        <ns0:is>
          <ns0:t>data_source_primary</ns0:t>
        </ns0:is>
      </ns0:c>
      <ns0:c r="C1020" s="21" t="inlineStr">
        <ns0:is>
          <ns0:t>Image (subtype unresolved)</ns0:t>
        </ns0:is>
      </ns0:c>
      <ns0:c r="D1020" s="21" t="inlineStr">
        <ns0:is>
          <ns0:t>Multiple source categories</ns0:t>
        </ns0:is>
      </ns0:c>
      <ns0:c r="E1020" s="21" t="inlineStr">
        <ns0:is>
          <ns0:t>Reported video/sensor behavior prediction and designed adaptive intervention. Prediction accuracy alone does not demonstrate that AI-guided treatment was delivered or effective.
Real-time adaptive system is designed; patient-level delivery, allocation, outcomes and decision impact are not established by the supplied prediction metrics.</ns0:t>
        </ns0:is>
      </ns0:c>
      <ns0:c r="F1020" s="21" t="inlineStr">
        <ns0:is>
          <ns0:t>https://doi.org/10.1016/j.procs.2025.05.032</ns0:t>
        </ns0:is>
      </ns0:c>
      <ns0:c r="G1020" s="21" t="inlineStr">
        <ns0:is>
          <ns0:t>ChatGPT-assisted evidence recharting, 2026-09-08</ns0:t>
        </ns0:is>
      </ns0:c>
    </ns0:row>
    <ns0:row r="1021" ht="57" customHeight="1">
      <ns0:c r="A1021" s="19" t="inlineStr">
        <ns0:is>
          <ns0:t>185</ns0:t>
        </ns0:is>
      </ns0:c>
      <ns0:c r="B1021" s="19" t="inlineStr">
        <ns0:is>
          <ns0:t>algorithm_main</ns0:t>
        </ns0:is>
      </ns0:c>
      <ns0:c r="C1021" s="19" t="inlineStr">
        <ns0:is>
          <ns0:t>CNN</ns0:t>
        </ns0:is>
      </ns0:c>
      <ns0:c r="D1021" s="19" t="inlineStr">
        <ns0:is>
          <ns0:t>CNN-LSTM</ns0:t>
        </ns0:is>
      </ns0:c>
      <ns0:c r="E1021" s="19" t="inlineStr">
        <ns0:is>
          <ns0:t>Reported video/sensor behavior prediction and designed adaptive intervention. Prediction accuracy alone does not demonstrate that AI-guided treatment was delivered or effective.
Real-time adaptive system is designed; patient-level delivery, allocation, outcomes and decision impact are not established by the supplied prediction metrics.</ns0:t>
        </ns0:is>
      </ns0:c>
      <ns0:c r="F1021" s="19" t="inlineStr">
        <ns0:is>
          <ns0:t>https://doi.org/10.1016/j.procs.2025.05.032</ns0:t>
        </ns0:is>
      </ns0:c>
      <ns0:c r="G1021" s="19" t="inlineStr">
        <ns0:is>
          <ns0:t>ChatGPT-assisted evidence recharting, 2026-09-08</ns0:t>
        </ns0:is>
      </ns0:c>
    </ns0:row>
    <ns0:row r="1022" ht="57" customHeight="1">
      <ns0:c r="A1022" s="21" t="inlineStr">
        <ns0:is>
          <ns0:t>185</ns0:t>
        </ns0:is>
      </ns0:c>
      <ns0:c r="B1022" s="21" t="inlineStr">
        <ns0:is>
          <ns0:t>rq2_status</ns0:t>
        </ns0:is>
      </ns0:c>
      <ns0:c r="C1022" s="21" t="inlineStr">
        <ns0:is>
          <ns0:t>Not adjudicated in master</ns0:t>
        </ns0:is>
      </ns0:c>
      <ns0:c r="D1022" s="21" t="inlineStr">
        <ns0:is>
          <ns0:t>Proposed only</ns0:t>
        </ns0:is>
      </ns0:c>
      <ns0:c r="E1022" s="21" t="inlineStr">
        <ns0:is>
          <ns0:t>Reported video/sensor behavior prediction and designed adaptive intervention. Prediction accuracy alone does not demonstrate that AI-guided treatment was delivered or effective.
Real-time adaptive system is designed; patient-level delivery, allocation, outcomes and decision impact are not established by the supplied prediction metrics.</ns0:t>
        </ns0:is>
      </ns0:c>
      <ns0:c r="F1022" s="21" t="inlineStr">
        <ns0:is>
          <ns0:t>https://doi.org/10.1016/j.procs.2025.05.032</ns0:t>
        </ns0:is>
      </ns0:c>
      <ns0:c r="G1022" s="21" t="inlineStr">
        <ns0:is>
          <ns0:t>ChatGPT-assisted evidence recharting, 2026-09-08</ns0:t>
        </ns0:is>
      </ns0:c>
    </ns0:row>
    <ns0:row r="1023" ht="57" customHeight="1">
      <ns0:c r="A1023" s="19" t="inlineStr">
        <ns0:is>
          <ns0:t>185</ns0:t>
        </ns0:is>
      </ns0:c>
      <ns0:c r="B1023" s="19" t="inlineStr">
        <ns0:is>
          <ns0:t>rq2_role</ns0:t>
        </ns0:is>
      </ns0:c>
      <ns0:c r="C1023" s="19" t="inlineStr"/>
      <ns0:c r="D1023" s="19" t="inlineStr">
        <ns0:is>
          <ns0:t>Adaptive intervention</ns0:t>
        </ns0:is>
      </ns0:c>
      <ns0:c r="E1023" s="19" t="inlineStr">
        <ns0:is>
          <ns0:t>Reported video/sensor behavior prediction and designed adaptive intervention. Prediction accuracy alone does not demonstrate that AI-guided treatment was delivered or effective.
Real-time adaptive system is designed; patient-level delivery, allocation, outcomes and decision impact are not established by the supplied prediction metrics.</ns0:t>
        </ns0:is>
      </ns0:c>
      <ns0:c r="F1023" s="19" t="inlineStr">
        <ns0:is>
          <ns0:t>https://doi.org/10.1016/j.procs.2025.05.032</ns0:t>
        </ns0:is>
      </ns0:c>
      <ns0:c r="G1023" s="19" t="inlineStr">
        <ns0:is>
          <ns0:t>ChatGPT-assisted evidence recharting, 2026-09-08</ns0:t>
        </ns0:is>
      </ns0:c>
    </ns0:row>
    <ns0:row r="1024" ht="57" customHeight="1">
      <ns0:c r="A1024" s="21" t="inlineStr">
        <ns0:is>
          <ns0:t>185</ns0:t>
        </ns0:is>
      </ns0:c>
      <ns0:c r="B1024" s="21" t="inlineStr">
        <ns0:is>
          <ns0:t>decision_timing</ns0:t>
        </ns0:is>
      </ns0:c>
      <ns0:c r="C1024" s="21" t="inlineStr"/>
      <ns0:c r="D1024" s="21" t="inlineStr">
        <ns0:is>
          <ns0:t>Post-decision</ns0:t>
        </ns0:is>
      </ns0:c>
      <ns0:c r="E1024" s="21" t="inlineStr">
        <ns0:is>
          <ns0:t>Reported video/sensor behavior prediction and designed adaptive intervention. Prediction accuracy alone does not demonstrate that AI-guided treatment was delivered or effective.
Real-time adaptive system is designed; patient-level delivery, allocation, outcomes and decision impact are not established by the supplied prediction metrics.</ns0:t>
        </ns0:is>
      </ns0:c>
      <ns0:c r="F1024" s="21" t="inlineStr">
        <ns0:is>
          <ns0:t>https://doi.org/10.1016/j.procs.2025.05.032</ns0:t>
        </ns0:is>
      </ns0:c>
      <ns0:c r="G1024" s="21" t="inlineStr">
        <ns0:is>
          <ns0:t>ChatGPT-assisted evidence recharting, 2026-09-08</ns0:t>
        </ns0:is>
      </ns0:c>
    </ns0:row>
    <ns0:row r="1025" ht="42" customHeight="1">
      <ns0:c r="A1025" s="19" t="inlineStr">
        <ns0:is>
          <ns0:t>186</ns0:t>
        </ns0:is>
      </ns0:c>
      <ns0:c r="B1025" s="19" t="inlineStr">
        <ns0:is>
          <ns0:t>data_source_primary</ns0:t>
        </ns0:is>
      </ns0:c>
      <ns0:c r="C1025" s="19" t="inlineStr">
        <ns0:is>
          <ns0:t>Physiological signals</ns0:t>
        </ns0:is>
      </ns0:c>
      <ns0:c r="D1025" s="19" t="inlineStr">
        <ns0:is>
          <ns0:t>Neuroimaging</ns0:t>
        </ns0:is>
      </ns0:c>
      <ns0:c r="E1025" s="19" t="inlineStr">
        <ns0:is>
          <ns0:t>Best reported full-feature classifier is a 1D CNN on sparse fMRI connectivity. The word prognostic does not establish a future outcome in this cross-sectional classification experiment.</ns0:t>
        </ns0:is>
      </ns0:c>
      <ns0:c r="F1025" s="19" t="inlineStr">
        <ns0:is>
          <ns0:t>https://doi.org/10.1016/j.jneumeth.2024.110100</ns0:t>
        </ns0:is>
      </ns0:c>
      <ns0:c r="G1025" s="19" t="inlineStr">
        <ns0:is>
          <ns0:t>ChatGPT-assisted evidence recharting, 2026-09-08</ns0:t>
        </ns0:is>
      </ns0:c>
    </ns0:row>
    <ns0:row r="1026" ht="42" customHeight="1">
      <ns0:c r="A1026" s="21" t="inlineStr">
        <ns0:is>
          <ns0:t>186</ns0:t>
        </ns0:is>
      </ns0:c>
      <ns0:c r="B1026" s="21" t="inlineStr">
        <ns0:is>
          <ns0:t>algorithm_main</ns0:t>
        </ns0:is>
      </ns0:c>
      <ns0:c r="C1026" s="21" t="inlineStr">
        <ns0:is>
          <ns0:t>CNN</ns0:t>
        </ns0:is>
      </ns0:c>
      <ns0:c r="D1026" s="21" t="inlineStr">
        <ns0:is>
          <ns0:t>1D CNN</ns0:t>
        </ns0:is>
      </ns0:c>
      <ns0:c r="E1026" s="21" t="inlineStr">
        <ns0:is>
          <ns0:t>Best reported full-feature classifier is a 1D CNN on sparse fMRI connectivity. The word prognostic does not establish a future outcome in this cross-sectional classification experiment.</ns0:t>
        </ns0:is>
      </ns0:c>
      <ns0:c r="F1026" s="21" t="inlineStr">
        <ns0:is>
          <ns0:t>https://doi.org/10.1016/j.jneumeth.2024.110100</ns0:t>
        </ns0:is>
      </ns0:c>
      <ns0:c r="G1026" s="21" t="inlineStr">
        <ns0:is>
          <ns0:t>ChatGPT-assisted evidence recharting, 2026-09-08</ns0:t>
        </ns0:is>
      </ns0:c>
    </ns0:row>
    <ns0:row r="1027" ht="42" customHeight="1">
      <ns0:c r="A1027" s="19" t="inlineStr">
        <ns0:is>
          <ns0:t>186</ns0:t>
        </ns0:is>
      </ns0:c>
      <ns0:c r="B1027" s="19" t="inlineStr">
        <ns0:is>
          <ns0:t>rq2_status</ns0:t>
        </ns0:is>
      </ns0:c>
      <ns0:c r="C1027" s="19" t="inlineStr">
        <ns0:is>
          <ns0:t>Not adjudicated in master</ns0:t>
        </ns0:is>
      </ns0:c>
      <ns0:c r="D1027" s="19" t="inlineStr">
        <ns0:is>
          <ns0:t>Research only</ns0:t>
        </ns0:is>
      </ns0:c>
      <ns0:c r="E1027" s="19" t="inlineStr">
        <ns0:is>
          <ns0:t>Best reported full-feature classifier is a 1D CNN on sparse fMRI connectivity. The word prognostic does not establish a future outcome in this cross-sectional classification experiment.</ns0:t>
        </ns0:is>
      </ns0:c>
      <ns0:c r="F1027" s="19" t="inlineStr">
        <ns0:is>
          <ns0:t>https://doi.org/10.1016/j.jneumeth.2024.110100</ns0:t>
        </ns0:is>
      </ns0:c>
      <ns0:c r="G1027" s="19" t="inlineStr">
        <ns0:is>
          <ns0:t>ChatGPT-assisted evidence recharting, 2026-09-08</ns0:t>
        </ns0:is>
      </ns0:c>
    </ns0:row>
    <ns0:row r="1028" ht="42" customHeight="1">
      <ns0:c r="A1028" s="21" t="inlineStr">
        <ns0:is>
          <ns0:t>186</ns0:t>
        </ns0:is>
      </ns0:c>
      <ns0:c r="B1028" s="21" t="inlineStr">
        <ns0:is>
          <ns0:t>rq2_role</ns0:t>
        </ns0:is>
      </ns0:c>
      <ns0:c r="C1028" s="21" t="inlineStr"/>
      <ns0:c r="D1028" s="21" t="inlineStr">
        <ns0:is>
          <ns0:t>Automated measurement/classification</ns0:t>
        </ns0:is>
      </ns0:c>
      <ns0:c r="E1028" s="21" t="inlineStr">
        <ns0:is>
          <ns0:t>Best reported full-feature classifier is a 1D CNN on sparse fMRI connectivity. The word prognostic does not establish a future outcome in this cross-sectional classification experiment.</ns0:t>
        </ns0:is>
      </ns0:c>
      <ns0:c r="F1028" s="21" t="inlineStr">
        <ns0:is>
          <ns0:t>https://doi.org/10.1016/j.jneumeth.2024.110100</ns0:t>
        </ns0:is>
      </ns0:c>
      <ns0:c r="G1028" s="21" t="inlineStr">
        <ns0:is>
          <ns0:t>ChatGPT-assisted evidence recharting, 2026-09-08</ns0:t>
        </ns0:is>
      </ns0:c>
    </ns0:row>
    <ns0:row r="1029" ht="42" customHeight="1">
      <ns0:c r="A1029" s="19" t="inlineStr">
        <ns0:is>
          <ns0:t>186</ns0:t>
        </ns0:is>
      </ns0:c>
      <ns0:c r="B1029" s="19" t="inlineStr">
        <ns0:is>
          <ns0:t>decision_timing</ns0:t>
        </ns0:is>
      </ns0:c>
      <ns0:c r="C1029" s="19" t="inlineStr"/>
      <ns0:c r="D1029" s="19" t="inlineStr">
        <ns0:is>
          <ns0:t>Not observed in assessed sources</ns0:t>
        </ns0:is>
      </ns0:c>
      <ns0:c r="E1029" s="19" t="inlineStr">
        <ns0:is>
          <ns0:t>Best reported full-feature classifier is a 1D CNN on sparse fMRI connectivity. The word prognostic does not establish a future outcome in this cross-sectional classification experiment.</ns0:t>
        </ns0:is>
      </ns0:c>
      <ns0:c r="F1029" s="19" t="inlineStr">
        <ns0:is>
          <ns0:t>https://doi.org/10.1016/j.jneumeth.2024.110100</ns0:t>
        </ns0:is>
      </ns0:c>
      <ns0:c r="G1029" s="19" t="inlineStr">
        <ns0:is>
          <ns0:t>ChatGPT-assisted evidence recharting, 2026-09-08</ns0:t>
        </ns0:is>
      </ns0:c>
    </ns0:row>
    <ns0:row r="1030" ht="42" customHeight="1">
      <ns0:c r="A1030" s="21" t="inlineStr">
        <ns0:is>
          <ns0:t>187</ns0:t>
        </ns0:is>
      </ns0:c>
      <ns0:c r="B1030" s="21" t="inlineStr">
        <ns0:is>
          <ns0:t>data_source_primary</ns0:t>
        </ns0:is>
      </ns0:c>
      <ns0:c r="C1030" s="21" t="inlineStr">
        <ns0:is>
          <ns0:t>Image (subtype unresolved)</ns0:t>
        </ns0:is>
      </ns0:c>
      <ns0:c r="D1030" s="21" t="inlineStr">
        <ns0:is>
          <ns0:t>Neuroimaging</ns0:t>
        </ns0:is>
      </ns0:c>
      <ns0:c r="E1030" s="21" t="inlineStr">
        <ns0:is>
          <ns0:t>Site-specific and pooled cross-validation are described; these differ from training on some sites and testing on unseen sites. Age classification is secondary, not future prognosis.</ns0:t>
        </ns0:is>
      </ns0:c>
      <ns0:c r="F1030" s="21" t="inlineStr">
        <ns0:is>
          <ns0:t>https://doi.org/10.1109/thms.2025.3526957</ns0:t>
        </ns0:is>
      </ns0:c>
      <ns0:c r="G1030" s="21" t="inlineStr">
        <ns0:is>
          <ns0:t>ChatGPT-assisted evidence recharting, 2026-09-08</ns0:t>
        </ns0:is>
      </ns0:c>
    </ns0:row>
    <ns0:row r="1031" ht="42" customHeight="1">
      <ns0:c r="A1031" s="19" t="inlineStr">
        <ns0:is>
          <ns0:t>187</ns0:t>
        </ns0:is>
      </ns0:c>
      <ns0:c r="B1031" s="19" t="inlineStr">
        <ns0:is>
          <ns0:t>algorithm_main</ns0:t>
        </ns0:is>
      </ns0:c>
      <ns0:c r="C1031" s="19" t="inlineStr">
        <ns0:is>
          <ns0:t>Random Forest</ns0:t>
        </ns0:is>
      </ns0:c>
      <ns0:c r="D1031" s="19" t="inlineStr">
        <ns0:is>
          <ns0:t>CNN radiomic features with random forest</ns0:t>
        </ns0:is>
      </ns0:c>
      <ns0:c r="E1031" s="19" t="inlineStr">
        <ns0:is>
          <ns0:t>Site-specific and pooled cross-validation are described; these differ from training on some sites and testing on unseen sites. Age classification is secondary, not future prognosis.</ns0:t>
        </ns0:is>
      </ns0:c>
      <ns0:c r="F1031" s="19" t="inlineStr">
        <ns0:is>
          <ns0:t>https://doi.org/10.1109/thms.2025.3526957</ns0:t>
        </ns0:is>
      </ns0:c>
      <ns0:c r="G1031" s="19" t="inlineStr">
        <ns0:is>
          <ns0:t>ChatGPT-assisted evidence recharting, 2026-09-08</ns0:t>
        </ns0:is>
      </ns0:c>
    </ns0:row>
    <ns0:row r="1032" ht="42" customHeight="1">
      <ns0:c r="A1032" s="21" t="inlineStr">
        <ns0:is>
          <ns0:t>187</ns0:t>
        </ns0:is>
      </ns0:c>
      <ns0:c r="B1032" s="21" t="inlineStr">
        <ns0:is>
          <ns0:t>rq2_status</ns0:t>
        </ns0:is>
      </ns0:c>
      <ns0:c r="C1032" s="21" t="inlineStr">
        <ns0:is>
          <ns0:t>Not adjudicated in master</ns0:t>
        </ns0:is>
      </ns0:c>
      <ns0:c r="D1032" s="21" t="inlineStr">
        <ns0:is>
          <ns0:t>Research only</ns0:t>
        </ns0:is>
      </ns0:c>
      <ns0:c r="E1032" s="21" t="inlineStr">
        <ns0:is>
          <ns0:t>Site-specific and pooled cross-validation are described; these differ from training on some sites and testing on unseen sites. Age classification is secondary, not future prognosis.</ns0:t>
        </ns0:is>
      </ns0:c>
      <ns0:c r="F1032" s="21" t="inlineStr">
        <ns0:is>
          <ns0:t>https://doi.org/10.1109/thms.2025.3526957</ns0:t>
        </ns0:is>
      </ns0:c>
      <ns0:c r="G1032" s="21" t="inlineStr">
        <ns0:is>
          <ns0:t>ChatGPT-assisted evidence recharting, 2026-09-08</ns0:t>
        </ns0:is>
      </ns0:c>
    </ns0:row>
    <ns0:row r="1033" ht="42" customHeight="1">
      <ns0:c r="A1033" s="19" t="inlineStr">
        <ns0:is>
          <ns0:t>187</ns0:t>
        </ns0:is>
      </ns0:c>
      <ns0:c r="B1033" s="19" t="inlineStr">
        <ns0:is>
          <ns0:t>rq2_role</ns0:t>
        </ns0:is>
      </ns0:c>
      <ns0:c r="C1033" s="19" t="inlineStr"/>
      <ns0:c r="D1033" s="19" t="inlineStr">
        <ns0:is>
          <ns0:t>Automated measurement/classification</ns0:t>
        </ns0:is>
      </ns0:c>
      <ns0:c r="E1033" s="19" t="inlineStr">
        <ns0:is>
          <ns0:t>Site-specific and pooled cross-validation are described; these differ from training on some sites and testing on unseen sites. Age classification is secondary, not future prognosis.</ns0:t>
        </ns0:is>
      </ns0:c>
      <ns0:c r="F1033" s="19" t="inlineStr">
        <ns0:is>
          <ns0:t>https://doi.org/10.1109/thms.2025.3526957</ns0:t>
        </ns0:is>
      </ns0:c>
      <ns0:c r="G1033" s="19" t="inlineStr">
        <ns0:is>
          <ns0:t>ChatGPT-assisted evidence recharting, 2026-09-08</ns0:t>
        </ns0:is>
      </ns0:c>
    </ns0:row>
    <ns0:row r="1034" ht="42" customHeight="1">
      <ns0:c r="A1034" s="21" t="inlineStr">
        <ns0:is>
          <ns0:t>187</ns0:t>
        </ns0:is>
      </ns0:c>
      <ns0:c r="B1034" s="21" t="inlineStr">
        <ns0:is>
          <ns0:t>decision_timing</ns0:t>
        </ns0:is>
      </ns0:c>
      <ns0:c r="C1034" s="21" t="inlineStr"/>
      <ns0:c r="D1034" s="21" t="inlineStr">
        <ns0:is>
          <ns0:t>Not observed in assessed sources</ns0:t>
        </ns0:is>
      </ns0:c>
      <ns0:c r="E1034" s="21" t="inlineStr">
        <ns0:is>
          <ns0:t>Site-specific and pooled cross-validation are described; these differ from training on some sites and testing on unseen sites. Age classification is secondary, not future prognosis.</ns0:t>
        </ns0:is>
      </ns0:c>
      <ns0:c r="F1034" s="21" t="inlineStr">
        <ns0:is>
          <ns0:t>https://doi.org/10.1109/thms.2025.3526957</ns0:t>
        </ns0:is>
      </ns0:c>
      <ns0:c r="G1034" s="21" t="inlineStr">
        <ns0:is>
          <ns0:t>ChatGPT-assisted evidence recharting, 2026-09-08</ns0:t>
        </ns0:is>
      </ns0:c>
    </ns0:row>
    <ns0:row r="1035" ht="42" customHeight="1">
      <ns0:c r="A1035" s="19" t="inlineStr">
        <ns0:is>
          <ns0:t>187</ns0:t>
        </ns0:is>
      </ns0:c>
      <ns0:c r="B1035" s="19" t="inlineStr">
        <ns0:is>
          <ns0:t>cross_site_robustness</ns0:t>
        </ns0:is>
      </ns0:c>
      <ns0:c r="C1035" s="19" t="inlineStr">
        <ns0:is>
          <ns0:t>Reported</ns0:t>
        </ns0:is>
      </ns0:c>
      <ns0:c r="D1035" s="19" t="inlineStr">
        <ns0:is>
          <ns0:t>Not reported in assessed sources</ns0:t>
        </ns0:is>
      </ns0:c>
      <ns0:c r="E1035" s="19" t="inlineStr">
        <ns0:is>
          <ns0:t>Site-specific and pooled cross-validation are described; these differ from training on some sites and testing on unseen sites. Age classification is secondary, not future prognosis.</ns0:t>
        </ns0:is>
      </ns0:c>
      <ns0:c r="F1035" s="19" t="inlineStr">
        <ns0:is>
          <ns0:t>https://doi.org/10.1109/thms.2025.3526957</ns0:t>
        </ns0:is>
      </ns0:c>
      <ns0:c r="G1035" s="19" t="inlineStr">
        <ns0:is>
          <ns0:t>ChatGPT-assisted evidence recharting, 2026-09-08</ns0:t>
        </ns0:is>
      </ns0:c>
    </ns0:row>
    <ns0:row r="1036" ht="42" customHeight="1">
      <ns0:c r="A1036" s="21" t="inlineStr">
        <ns0:is>
          <ns0:t>188</ns0:t>
        </ns0:is>
      </ns0:c>
      <ns0:c r="B1036" s="21" t="inlineStr">
        <ns0:is>
          <ns0:t>data_source_primary</ns0:t>
        </ns0:is>
      </ns0:c>
      <ns0:c r="C1036" s="21" t="inlineStr">
        <ns0:is>
          <ns0:t>Audio / voice</ns0:t>
        </ns0:is>
      </ns0:c>
      <ns0:c r="D1036" s="21" t="inlineStr">
        <ns0:is>
          <ns0:t>Audio/voice</ns0:t>
        </ns0:is>
      </ns0:c>
      <ns0:c r="E1036" s="21" t="inlineStr">
        <ns0:is>
          <ns0:t>Vocal acoustic eGeMAPS inputs are explicitly described; no unresolved imaging source is needed.</ns0:t>
        </ns0:is>
      </ns0:c>
      <ns0:c r="F1036" s="21" t="inlineStr">
        <ns0:is>
          <ns0:t>https://doi.org/10.3390/s20236762</ns0:t>
        </ns0:is>
      </ns0:c>
      <ns0:c r="G1036" s="21" t="inlineStr">
        <ns0:is>
          <ns0:t>ChatGPT-assisted evidence recharting, 2026-09-08</ns0:t>
        </ns0:is>
      </ns0:c>
    </ns0:row>
    <ns0:row r="1037" ht="42" customHeight="1">
      <ns0:c r="A1037" s="19" t="inlineStr">
        <ns0:is>
          <ns0:t>188</ns0:t>
        </ns0:is>
      </ns0:c>
      <ns0:c r="B1037" s="19" t="inlineStr">
        <ns0:is>
          <ns0:t>algorithm_main</ns0:t>
        </ns0:is>
      </ns0:c>
      <ns0:c r="C1037" s="19" t="inlineStr">
        <ns0:is>
          <ns0:t>Autoencoder</ns0:t>
        </ns0:is>
      </ns0:c>
      <ns0:c r="D1037" s="19" t="inlineStr">
        <ns0:is>
          <ns0:t>Autoencoder feature representation</ns0:t>
        </ns0:is>
      </ns0:c>
      <ns0:c r="E1037" s="19" t="inlineStr">
        <ns0:is>
          <ns0:t>Vocal acoustic eGeMAPS inputs are explicitly described; no unresolved imaging source is needed.</ns0:t>
        </ns0:is>
      </ns0:c>
      <ns0:c r="F1037" s="19" t="inlineStr">
        <ns0:is>
          <ns0:t>https://doi.org/10.3390/s20236762</ns0:t>
        </ns0:is>
      </ns0:c>
      <ns0:c r="G1037" s="19" t="inlineStr">
        <ns0:is>
          <ns0:t>ChatGPT-assisted evidence recharting, 2026-09-08</ns0:t>
        </ns0:is>
      </ns0:c>
    </ns0:row>
    <ns0:row r="1038" ht="42" customHeight="1">
      <ns0:c r="A1038" s="21" t="inlineStr">
        <ns0:is>
          <ns0:t>188</ns0:t>
        </ns0:is>
      </ns0:c>
      <ns0:c r="B1038" s="21" t="inlineStr">
        <ns0:is>
          <ns0:t>rq2_status</ns0:t>
        </ns0:is>
      </ns0:c>
      <ns0:c r="C1038" s="21" t="inlineStr">
        <ns0:is>
          <ns0:t>Not adjudicated in master</ns0:t>
        </ns0:is>
      </ns0:c>
      <ns0:c r="D1038" s="21" t="inlineStr">
        <ns0:is>
          <ns0:t>Research only</ns0:t>
        </ns0:is>
      </ns0:c>
      <ns0:c r="E1038" s="21" t="inlineStr">
        <ns0:is>
          <ns0:t>Vocal acoustic eGeMAPS inputs are explicitly described; no unresolved imaging source is needed.</ns0:t>
        </ns0:is>
      </ns0:c>
      <ns0:c r="F1038" s="21" t="inlineStr">
        <ns0:is>
          <ns0:t>https://doi.org/10.3390/s20236762</ns0:t>
        </ns0:is>
      </ns0:c>
      <ns0:c r="G1038" s="21" t="inlineStr">
        <ns0:is>
          <ns0:t>ChatGPT-assisted evidence recharting, 2026-09-08</ns0:t>
        </ns0:is>
      </ns0:c>
    </ns0:row>
    <ns0:row r="1039" ht="42" customHeight="1">
      <ns0:c r="A1039" s="19" t="inlineStr">
        <ns0:is>
          <ns0:t>188</ns0:t>
        </ns0:is>
      </ns0:c>
      <ns0:c r="B1039" s="19" t="inlineStr">
        <ns0:is>
          <ns0:t>rq2_role</ns0:t>
        </ns0:is>
      </ns0:c>
      <ns0:c r="C1039" s="19" t="inlineStr"/>
      <ns0:c r="D1039" s="19" t="inlineStr">
        <ns0:is>
          <ns0:t>Automated measurement/classification</ns0:t>
        </ns0:is>
      </ns0:c>
      <ns0:c r="E1039" s="19" t="inlineStr">
        <ns0:is>
          <ns0:t>Vocal acoustic eGeMAPS inputs are explicitly described; no unresolved imaging source is needed.</ns0:t>
        </ns0:is>
      </ns0:c>
      <ns0:c r="F1039" s="19" t="inlineStr">
        <ns0:is>
          <ns0:t>https://doi.org/10.3390/s20236762</ns0:t>
        </ns0:is>
      </ns0:c>
      <ns0:c r="G1039" s="19" t="inlineStr">
        <ns0:is>
          <ns0:t>ChatGPT-assisted evidence recharting, 2026-09-08</ns0:t>
        </ns0:is>
      </ns0:c>
    </ns0:row>
    <ns0:row r="1040" ht="42" customHeight="1">
      <ns0:c r="A1040" s="21" t="inlineStr">
        <ns0:is>
          <ns0:t>188</ns0:t>
        </ns0:is>
      </ns0:c>
      <ns0:c r="B1040" s="21" t="inlineStr">
        <ns0:is>
          <ns0:t>decision_timing</ns0:t>
        </ns0:is>
      </ns0:c>
      <ns0:c r="C1040" s="21" t="inlineStr"/>
      <ns0:c r="D1040" s="21" t="inlineStr">
        <ns0:is>
          <ns0:t>Not observed in assessed sources</ns0:t>
        </ns0:is>
      </ns0:c>
      <ns0:c r="E1040" s="21" t="inlineStr">
        <ns0:is>
          <ns0:t>Vocal acoustic eGeMAPS inputs are explicitly described; no unresolved imaging source is needed.</ns0:t>
        </ns0:is>
      </ns0:c>
      <ns0:c r="F1040" s="21" t="inlineStr">
        <ns0:is>
          <ns0:t>https://doi.org/10.3390/s20236762</ns0:t>
        </ns0:is>
      </ns0:c>
      <ns0:c r="G1040" s="21" t="inlineStr">
        <ns0:is>
          <ns0:t>ChatGPT-assisted evidence recharting, 2026-09-08</ns0:t>
        </ns0:is>
      </ns0:c>
    </ns0:row>
    <ns0:row r="1041" ht="42" customHeight="1">
      <ns0:c r="A1041" s="19" t="inlineStr">
        <ns0:is>
          <ns0:t>189</ns0:t>
        </ns0:is>
      </ns0:c>
      <ns0:c r="B1041" s="19" t="inlineStr">
        <ns0:is>
          <ns0:t>ai_type</ns0:t>
        </ns0:is>
      </ns0:c>
      <ns0:c r="C1041" s="19" t="inlineStr">
        <ns0:is>
          <ns0:t>Hybrid</ns0:t>
        </ns0:is>
      </ns0:c>
      <ns0:c r="D1041" s="19" t="inlineStr">
        <ns0:is>
          <ns0:t>Machine Learning</ns0:t>
        </ns0:is>
      </ns0:c>
      <ns0:c r="E1041" s="19" t="inlineStr">
        <ns0:is>
          <ns0:t>Eye-tracking classifier with independent prospective 80-child validation and SHAP. Comparison of conventional/neural candidates is not a hybrid final RF model or proof of clinical decision use.</ns0:t>
        </ns0:is>
      </ns0:c>
      <ns0:c r="F1041" s="19" t="inlineStr">
        <ns0:is>
          <ns0:t>https://doi.org/10.1016/j.jad.2024.04.049</ns0:t>
        </ns0:is>
      </ns0:c>
      <ns0:c r="G1041" s="19" t="inlineStr">
        <ns0:is>
          <ns0:t>ChatGPT-assisted evidence recharting, 2026-09-08</ns0:t>
        </ns0:is>
      </ns0:c>
    </ns0:row>
    <ns0:row r="1042" ht="42" customHeight="1">
      <ns0:c r="A1042" s="21" t="inlineStr">
        <ns0:is>
          <ns0:t>189</ns0:t>
        </ns0:is>
      </ns0:c>
      <ns0:c r="B1042" s="21" t="inlineStr">
        <ns0:is>
          <ns0:t>data_source_primary</ns0:t>
        </ns0:is>
      </ns0:c>
      <ns0:c r="C1042" s="21" t="inlineStr">
        <ns0:is>
          <ns0:t>Image (subtype unresolved)</ns0:t>
        </ns0:is>
      </ns0:c>
      <ns0:c r="D1042" s="21" t="inlineStr">
        <ns0:is>
          <ns0:t>Behavioral images/video/gaze/movement</ns0:t>
        </ns0:is>
      </ns0:c>
      <ns0:c r="E1042" s="21" t="inlineStr">
        <ns0:is>
          <ns0:t>Eye-tracking classifier with independent prospective 80-child validation and SHAP. Comparison of conventional/neural candidates is not a hybrid final RF model or proof of clinical decision use.</ns0:t>
        </ns0:is>
      </ns0:c>
      <ns0:c r="F1042" s="21" t="inlineStr">
        <ns0:is>
          <ns0:t>https://doi.org/10.1016/j.jad.2024.04.049</ns0:t>
        </ns0:is>
      </ns0:c>
      <ns0:c r="G1042" s="21" t="inlineStr">
        <ns0:is>
          <ns0:t>ChatGPT-assisted evidence recharting, 2026-09-08</ns0:t>
        </ns0:is>
      </ns0:c>
    </ns0:row>
    <ns0:row r="1043" ht="42" customHeight="1">
      <ns0:c r="A1043" s="19" t="inlineStr">
        <ns0:is>
          <ns0:t>189</ns0:t>
        </ns0:is>
      </ns0:c>
      <ns0:c r="B1043" s="19" t="inlineStr">
        <ns0:is>
          <ns0:t>algorithm_main</ns0:t>
        </ns0:is>
      </ns0:c>
      <ns0:c r="C1043" s="19" t="inlineStr">
        <ns0:is>
          <ns0:t>Random Forest</ns0:t>
        </ns0:is>
      </ns0:c>
      <ns0:c r="D1043" s="19" t="inlineStr">
        <ns0:is>
          <ns0:t>Random forest</ns0:t>
        </ns0:is>
      </ns0:c>
      <ns0:c r="E1043" s="19" t="inlineStr">
        <ns0:is>
          <ns0:t>Eye-tracking classifier with independent prospective 80-child validation and SHAP. Comparison of conventional/neural candidates is not a hybrid final RF model or proof of clinical decision use.</ns0:t>
        </ns0:is>
      </ns0:c>
      <ns0:c r="F1043" s="19" t="inlineStr">
        <ns0:is>
          <ns0:t>https://doi.org/10.1016/j.jad.2024.04.049</ns0:t>
        </ns0:is>
      </ns0:c>
      <ns0:c r="G1043" s="19" t="inlineStr">
        <ns0:is>
          <ns0:t>ChatGPT-assisted evidence recharting, 2026-09-08</ns0:t>
        </ns0:is>
      </ns0:c>
    </ns0:row>
    <ns0:row r="1044" ht="42" customHeight="1">
      <ns0:c r="A1044" s="21" t="inlineStr">
        <ns0:is>
          <ns0:t>189</ns0:t>
        </ns0:is>
      </ns0:c>
      <ns0:c r="B1044" s="21" t="inlineStr">
        <ns0:is>
          <ns0:t>rq2_status</ns0:t>
        </ns0:is>
      </ns0:c>
      <ns0:c r="C1044" s="21" t="inlineStr">
        <ns0:is>
          <ns0:t>Not adjudicated in master</ns0:t>
        </ns0:is>
      </ns0:c>
      <ns0:c r="D1044" s="21" t="inlineStr">
        <ns0:is>
          <ns0:t>Research only</ns0:t>
        </ns0:is>
      </ns0:c>
      <ns0:c r="E1044" s="21" t="inlineStr">
        <ns0:is>
          <ns0:t>Eye-tracking classifier with independent prospective 80-child validation and SHAP. Comparison of conventional/neural candidates is not a hybrid final RF model or proof of clinical decision use.</ns0:t>
        </ns0:is>
      </ns0:c>
      <ns0:c r="F1044" s="21" t="inlineStr">
        <ns0:is>
          <ns0:t>https://doi.org/10.1016/j.jad.2024.04.049</ns0:t>
        </ns0:is>
      </ns0:c>
      <ns0:c r="G1044" s="21" t="inlineStr">
        <ns0:is>
          <ns0:t>ChatGPT-assisted evidence recharting, 2026-09-08</ns0:t>
        </ns0:is>
      </ns0:c>
    </ns0:row>
    <ns0:row r="1045" ht="42" customHeight="1">
      <ns0:c r="A1045" s="19" t="inlineStr">
        <ns0:is>
          <ns0:t>189</ns0:t>
        </ns0:is>
      </ns0:c>
      <ns0:c r="B1045" s="19" t="inlineStr">
        <ns0:is>
          <ns0:t>rq2_role</ns0:t>
        </ns0:is>
      </ns0:c>
      <ns0:c r="C1045" s="19" t="inlineStr"/>
      <ns0:c r="D1045" s="19" t="inlineStr">
        <ns0:is>
          <ns0:t>Automated measurement/classification</ns0:t>
        </ns0:is>
      </ns0:c>
      <ns0:c r="E1045" s="19" t="inlineStr">
        <ns0:is>
          <ns0:t>Eye-tracking classifier with independent prospective 80-child validation and SHAP. Comparison of conventional/neural candidates is not a hybrid final RF model or proof of clinical decision use.</ns0:t>
        </ns0:is>
      </ns0:c>
      <ns0:c r="F1045" s="19" t="inlineStr">
        <ns0:is>
          <ns0:t>https://doi.org/10.1016/j.jad.2024.04.049</ns0:t>
        </ns0:is>
      </ns0:c>
      <ns0:c r="G1045" s="19" t="inlineStr">
        <ns0:is>
          <ns0:t>ChatGPT-assisted evidence recharting, 2026-09-08</ns0:t>
        </ns0:is>
      </ns0:c>
    </ns0:row>
    <ns0:row r="1046" ht="42" customHeight="1">
      <ns0:c r="A1046" s="21" t="inlineStr">
        <ns0:is>
          <ns0:t>189</ns0:t>
        </ns0:is>
      </ns0:c>
      <ns0:c r="B1046" s="21" t="inlineStr">
        <ns0:is>
          <ns0:t>decision_timing</ns0:t>
        </ns0:is>
      </ns0:c>
      <ns0:c r="C1046" s="21" t="inlineStr"/>
      <ns0:c r="D1046" s="21" t="inlineStr">
        <ns0:is>
          <ns0:t>Not observed in assessed sources</ns0:t>
        </ns0:is>
      </ns0:c>
      <ns0:c r="E1046" s="21" t="inlineStr">
        <ns0:is>
          <ns0:t>Eye-tracking classifier with independent prospective 80-child validation and SHAP. Comparison of conventional/neural candidates is not a hybrid final RF model or proof of clinical decision use.</ns0:t>
        </ns0:is>
      </ns0:c>
      <ns0:c r="F1046" s="21" t="inlineStr">
        <ns0:is>
          <ns0:t>https://doi.org/10.1016/j.jad.2024.04.049</ns0:t>
        </ns0:is>
      </ns0:c>
      <ns0:c r="G1046" s="21" t="inlineStr">
        <ns0:is>
          <ns0:t>ChatGPT-assisted evidence recharting, 2026-09-08</ns0:t>
        </ns0:is>
      </ns0:c>
    </ns0:row>
    <ns0:row r="1047" ht="42" customHeight="1">
      <ns0:c r="A1047" s="19" t="inlineStr">
        <ns0:is>
          <ns0:t>190</ns0:t>
        </ns0:is>
      </ns0:c>
      <ns0:c r="B1047" s="19" t="inlineStr">
        <ns0:is>
          <ns0:t>ai_type</ns0:t>
        </ns0:is>
      </ns0:c>
      <ns0:c r="C1047" s="19" t="inlineStr">
        <ns0:is>
          <ns0:t>Deep Learning</ns0:t>
        </ns0:is>
      </ns0:c>
      <ns0:c r="D1047" s="19" t="inlineStr">
        <ns0:is>
          <ns0:t>Machine Learning</ns0:t>
        </ns0:is>
      </ns0:c>
      <ns0:c r="E1047" s="19" t="inlineStr">
        <ns0:is>
          <ns0:t>Integrated cortical morphology and phenotypic features form diagnostic-agnostic subgroups; clustering is not deep learning.</ns0:t>
        </ns0:is>
      </ns0:c>
      <ns0:c r="F1047" s="19" t="inlineStr">
        <ns0:is>
          <ns0:t>https://doi.org/10.1038/s41398-019-0631-2</ns0:t>
        </ns0:is>
      </ns0:c>
      <ns0:c r="G1047" s="19" t="inlineStr">
        <ns0:is>
          <ns0:t>ChatGPT-assisted evidence recharting, 2026-09-08</ns0:t>
        </ns0:is>
      </ns0:c>
    </ns0:row>
    <ns0:row r="1048" ht="42" customHeight="1">
      <ns0:c r="A1048" s="21" t="inlineStr">
        <ns0:is>
          <ns0:t>190</ns0:t>
        </ns0:is>
      </ns0:c>
      <ns0:c r="B1048" s="21" t="inlineStr">
        <ns0:is>
          <ns0:t>data_source_primary</ns0:t>
        </ns0:is>
      </ns0:c>
      <ns0:c r="C1048" s="21" t="inlineStr">
        <ns0:is>
          <ns0:t>Not specified</ns0:t>
        </ns0:is>
      </ns0:c>
      <ns0:c r="D1048" s="21" t="inlineStr">
        <ns0:is>
          <ns0:t>Multiple source categories</ns0:t>
        </ns0:is>
      </ns0:c>
      <ns0:c r="E1048" s="21" t="inlineStr">
        <ns0:is>
          <ns0:t>Integrated cortical morphology and phenotypic features form diagnostic-agnostic subgroups; clustering is not deep learning.</ns0:t>
        </ns0:is>
      </ns0:c>
      <ns0:c r="F1048" s="21" t="inlineStr">
        <ns0:is>
          <ns0:t>https://doi.org/10.1038/s41398-019-0631-2</ns0:t>
        </ns0:is>
      </ns0:c>
      <ns0:c r="G1048" s="21" t="inlineStr">
        <ns0:is>
          <ns0:t>ChatGPT-assisted evidence recharting, 2026-09-08</ns0:t>
        </ns0:is>
      </ns0:c>
    </ns0:row>
    <ns0:row r="1049" ht="42" customHeight="1">
      <ns0:c r="A1049" s="19" t="inlineStr">
        <ns0:is>
          <ns0:t>190</ns0:t>
        </ns0:is>
      </ns0:c>
      <ns0:c r="B1049" s="19" t="inlineStr">
        <ns0:is>
          <ns0:t>algorithm_main</ns0:t>
        </ns0:is>
      </ns0:c>
      <ns0:c r="C1049" s="19" t="inlineStr">
        <ns0:is>
          <ns0:t>Clustering (k-means / GMM / ...)</ns0:t>
        </ns0:is>
      </ns0:c>
      <ns0:c r="D1049" s="19" t="inlineStr">
        <ns0:is>
          <ns0:t>Bagged multiview spectral clustering</ns0:t>
        </ns0:is>
      </ns0:c>
      <ns0:c r="E1049" s="19" t="inlineStr">
        <ns0:is>
          <ns0:t>Integrated cortical morphology and phenotypic features form diagnostic-agnostic subgroups; clustering is not deep learning.</ns0:t>
        </ns0:is>
      </ns0:c>
      <ns0:c r="F1049" s="19" t="inlineStr">
        <ns0:is>
          <ns0:t>https://doi.org/10.1038/s41398-019-0631-2</ns0:t>
        </ns0:is>
      </ns0:c>
      <ns0:c r="G1049" s="19" t="inlineStr">
        <ns0:is>
          <ns0:t>ChatGPT-assisted evidence recharting, 2026-09-08</ns0:t>
        </ns0:is>
      </ns0:c>
    </ns0:row>
    <ns0:row r="1050" ht="42" customHeight="1">
      <ns0:c r="A1050" s="21" t="inlineStr">
        <ns0:is>
          <ns0:t>190</ns0:t>
        </ns0:is>
      </ns0:c>
      <ns0:c r="B1050" s="21" t="inlineStr">
        <ns0:is>
          <ns0:t>rq2_status</ns0:t>
        </ns0:is>
      </ns0:c>
      <ns0:c r="C1050" s="21" t="inlineStr">
        <ns0:is>
          <ns0:t>Not adjudicated in master</ns0:t>
        </ns0:is>
      </ns0:c>
      <ns0:c r="D1050" s="21" t="inlineStr">
        <ns0:is>
          <ns0:t>Research only</ns0:t>
        </ns0:is>
      </ns0:c>
      <ns0:c r="E1050" s="21" t="inlineStr">
        <ns0:is>
          <ns0:t>Integrated cortical morphology and phenotypic features form diagnostic-agnostic subgroups; clustering is not deep learning.</ns0:t>
        </ns0:is>
      </ns0:c>
      <ns0:c r="F1050" s="21" t="inlineStr">
        <ns0:is>
          <ns0:t>https://doi.org/10.1038/s41398-019-0631-2</ns0:t>
        </ns0:is>
      </ns0:c>
      <ns0:c r="G1050" s="21" t="inlineStr">
        <ns0:is>
          <ns0:t>ChatGPT-assisted evidence recharting, 2026-09-08</ns0:t>
        </ns0:is>
      </ns0:c>
    </ns0:row>
    <ns0:row r="1051" ht="42" customHeight="1">
      <ns0:c r="A1051" s="19" t="inlineStr">
        <ns0:is>
          <ns0:t>190</ns0:t>
        </ns0:is>
      </ns0:c>
      <ns0:c r="B1051" s="19" t="inlineStr">
        <ns0:is>
          <ns0:t>rq2_role</ns0:t>
        </ns0:is>
      </ns0:c>
      <ns0:c r="C1051" s="19" t="inlineStr"/>
      <ns0:c r="D1051" s="19" t="inlineStr">
        <ns0:is>
          <ns0:t>Automated measurement/classification</ns0:t>
        </ns0:is>
      </ns0:c>
      <ns0:c r="E1051" s="19" t="inlineStr">
        <ns0:is>
          <ns0:t>Integrated cortical morphology and phenotypic features form diagnostic-agnostic subgroups; clustering is not deep learning.</ns0:t>
        </ns0:is>
      </ns0:c>
      <ns0:c r="F1051" s="19" t="inlineStr">
        <ns0:is>
          <ns0:t>https://doi.org/10.1038/s41398-019-0631-2</ns0:t>
        </ns0:is>
      </ns0:c>
      <ns0:c r="G1051" s="19" t="inlineStr">
        <ns0:is>
          <ns0:t>ChatGPT-assisted evidence recharting, 2026-09-08</ns0:t>
        </ns0:is>
      </ns0:c>
    </ns0:row>
    <ns0:row r="1052" ht="42" customHeight="1">
      <ns0:c r="A1052" s="21" t="inlineStr">
        <ns0:is>
          <ns0:t>190</ns0:t>
        </ns0:is>
      </ns0:c>
      <ns0:c r="B1052" s="21" t="inlineStr">
        <ns0:is>
          <ns0:t>decision_timing</ns0:t>
        </ns0:is>
      </ns0:c>
      <ns0:c r="C1052" s="21" t="inlineStr"/>
      <ns0:c r="D1052" s="21" t="inlineStr">
        <ns0:is>
          <ns0:t>Not observed in assessed sources</ns0:t>
        </ns0:is>
      </ns0:c>
      <ns0:c r="E1052" s="21" t="inlineStr">
        <ns0:is>
          <ns0:t>Integrated cortical morphology and phenotypic features form diagnostic-agnostic subgroups; clustering is not deep learning.</ns0:t>
        </ns0:is>
      </ns0:c>
      <ns0:c r="F1052" s="21" t="inlineStr">
        <ns0:is>
          <ns0:t>https://doi.org/10.1038/s41398-019-0631-2</ns0:t>
        </ns0:is>
      </ns0:c>
      <ns0:c r="G1052" s="21" t="inlineStr">
        <ns0:is>
          <ns0:t>ChatGPT-assisted evidence recharting, 2026-09-08</ns0:t>
        </ns0:is>
      </ns0:c>
    </ns0:row>
    <ns0:row r="1053" ht="42" customHeight="1">
      <ns0:c r="A1053" s="19" t="inlineStr">
        <ns0:is>
          <ns0:t>191</ns0:t>
        </ns0:is>
      </ns0:c>
      <ns0:c r="B1053" s="19" t="inlineStr">
        <ns0:is>
          <ns0:t>eligibility</ns0:t>
        </ns0:is>
      </ns0:c>
      <ns0:c r="C1053" s="19" t="inlineStr">
        <ns0:is>
          <ns0:t>Include</ns0:t>
        </ns0:is>
      </ns0:c>
      <ns0:c r="D1053" s="19" t="inlineStr">
        <ns0:is>
          <ns0:t>Exclude</ns0:t>
        </ns0:is>
      </ns0:c>
      <ns0:c r="E1053" s="19" t="inlineStr">
        <ns0:is>
          <ns0:t>Standalone edited-book chapter, not a journal article or identified conference proceeding.</ns0:t>
        </ns0:is>
      </ns0:c>
      <ns0:c r="F1053" s="19" t="inlineStr">
        <ns0:is>
          <ns0:t>https://doi.org/10.1016/b978-0-12-822822-7.00004-1</ns0:t>
        </ns0:is>
      </ns0:c>
      <ns0:c r="G1053" s="19" t="inlineStr">
        <ns0:is>
          <ns0:t>ChatGPT-assisted evidence recharting, 2026-09-08</ns0:t>
        </ns0:is>
      </ns0:c>
    </ns0:row>
    <ns0:row r="1054" ht="42" customHeight="1">
      <ns0:c r="A1054" s="21" t="inlineStr">
        <ns0:is>
          <ns0:t>191</ns0:t>
        </ns0:is>
      </ns0:c>
      <ns0:c r="B1054" s="21" t="inlineStr">
        <ns0:is>
          <ns0:t>stage_primary</ns0:t>
        </ns0:is>
      </ns0:c>
      <ns0:c r="C1054" s="21" t="inlineStr">
        <ns0:is>
          <ns0:t>Diagnosis</ns0:t>
        </ns0:is>
      </ns0:c>
      <ns0:c r="D1054" s="21" t="inlineStr">
        <ns0:is>
          <ns0:t>Excluded</ns0:t>
        </ns0:is>
      </ns0:c>
      <ns0:c r="E1054" s="21" t="inlineStr">
        <ns0:is>
          <ns0:t>Standalone edited-book chapter, not a journal article or identified conference proceeding.</ns0:t>
        </ns0:is>
      </ns0:c>
      <ns0:c r="F1054" s="21" t="inlineStr">
        <ns0:is>
          <ns0:t>https://doi.org/10.1016/b978-0-12-822822-7.00004-1</ns0:t>
        </ns0:is>
      </ns0:c>
      <ns0:c r="G1054" s="21" t="inlineStr">
        <ns0:is>
          <ns0:t>ChatGPT-assisted evidence recharting, 2026-09-08</ns0:t>
        </ns0:is>
      </ns0:c>
    </ns0:row>
    <ns0:row r="1055" ht="42" customHeight="1">
      <ns0:c r="A1055" s="19" t="inlineStr">
        <ns0:is>
          <ns0:t>191</ns0:t>
        </ns0:is>
      </ns0:c>
      <ns0:c r="B1055" s="19" t="inlineStr">
        <ns0:is>
          <ns0:t>ai_type</ns0:t>
        </ns0:is>
      </ns0:c>
      <ns0:c r="C1055" s="19" t="inlineStr">
        <ns0:is>
          <ns0:t>Hybrid</ns0:t>
        </ns0:is>
      </ns0:c>
      <ns0:c r="D1055" s="19" t="inlineStr">
        <ns0:is>
          <ns0:t>Excluded</ns0:t>
        </ns0:is>
      </ns0:c>
      <ns0:c r="E1055" s="19" t="inlineStr">
        <ns0:is>
          <ns0:t>Standalone edited-book chapter, not a journal article or identified conference proceeding.</ns0:t>
        </ns0:is>
      </ns0:c>
      <ns0:c r="F1055" s="19" t="inlineStr">
        <ns0:is>
          <ns0:t>https://doi.org/10.1016/b978-0-12-822822-7.00004-1</ns0:t>
        </ns0:is>
      </ns0:c>
      <ns0:c r="G1055" s="19" t="inlineStr">
        <ns0:is>
          <ns0:t>ChatGPT-assisted evidence recharting, 2026-09-08</ns0:t>
        </ns0:is>
      </ns0:c>
    </ns0:row>
    <ns0:row r="1056" ht="42" customHeight="1">
      <ns0:c r="A1056" s="21" t="inlineStr">
        <ns0:is>
          <ns0:t>191</ns0:t>
        </ns0:is>
      </ns0:c>
      <ns0:c r="B1056" s="21" t="inlineStr">
        <ns0:is>
          <ns0:t>data_source_primary</ns0:t>
        </ns0:is>
      </ns0:c>
      <ns0:c r="C1056" s="21" t="inlineStr">
        <ns0:is>
          <ns0:t>Physiological signals</ns0:t>
        </ns0:is>
      </ns0:c>
      <ns0:c r="D1056" s="21" t="inlineStr">
        <ns0:is>
          <ns0:t>Excluded</ns0:t>
        </ns0:is>
      </ns0:c>
      <ns0:c r="E1056" s="21" t="inlineStr">
        <ns0:is>
          <ns0:t>Standalone edited-book chapter, not a journal article or identified conference proceeding.</ns0:t>
        </ns0:is>
      </ns0:c>
      <ns0:c r="F1056" s="21" t="inlineStr">
        <ns0:is>
          <ns0:t>https://doi.org/10.1016/b978-0-12-822822-7.00004-1</ns0:t>
        </ns0:is>
      </ns0:c>
      <ns0:c r="G1056" s="21" t="inlineStr">
        <ns0:is>
          <ns0:t>ChatGPT-assisted evidence recharting, 2026-09-08</ns0:t>
        </ns0:is>
      </ns0:c>
    </ns0:row>
    <ns0:row r="1057" ht="42" customHeight="1">
      <ns0:c r="A1057" s="19" t="inlineStr">
        <ns0:is>
          <ns0:t>191</ns0:t>
        </ns0:is>
      </ns0:c>
      <ns0:c r="B1057" s="19" t="inlineStr">
        <ns0:is>
          <ns0:t>algorithm_main</ns0:t>
        </ns0:is>
      </ns0:c>
      <ns0:c r="C1057" s="19" t="inlineStr"/>
      <ns0:c r="D1057" s="19" t="inlineStr">
        <ns0:is>
          <ns0:t>Not specified</ns0:t>
        </ns0:is>
      </ns0:c>
      <ns0:c r="E1057" s="19" t="inlineStr">
        <ns0:is>
          <ns0:t>Standalone edited-book chapter, not a journal article or identified conference proceeding.</ns0:t>
        </ns0:is>
      </ns0:c>
      <ns0:c r="F1057" s="19" t="inlineStr">
        <ns0:is>
          <ns0:t>https://doi.org/10.1016/b978-0-12-822822-7.00004-1</ns0:t>
        </ns0:is>
      </ns0:c>
      <ns0:c r="G1057" s="19" t="inlineStr">
        <ns0:is>
          <ns0:t>ChatGPT-assisted evidence recharting, 2026-09-08</ns0:t>
        </ns0:is>
      </ns0:c>
    </ns0:row>
    <ns0:row r="1058" ht="42" customHeight="1">
      <ns0:c r="A1058" s="21" t="inlineStr">
        <ns0:is>
          <ns0:t>191</ns0:t>
        </ns0:is>
      </ns0:c>
      <ns0:c r="B1058" s="21" t="inlineStr">
        <ns0:is>
          <ns0:t>rq2_status</ns0:t>
        </ns0:is>
      </ns0:c>
      <ns0:c r="C1058" s="21" t="inlineStr">
        <ns0:is>
          <ns0:t>Not adjudicated in master</ns0:t>
        </ns0:is>
      </ns0:c>
      <ns0:c r="D1058" s="21" t="inlineStr">
        <ns0:is>
          <ns0:t>Excluded</ns0:t>
        </ns0:is>
      </ns0:c>
      <ns0:c r="E1058" s="21" t="inlineStr">
        <ns0:is>
          <ns0:t>Standalone edited-book chapter, not a journal article or identified conference proceeding.</ns0:t>
        </ns0:is>
      </ns0:c>
      <ns0:c r="F1058" s="21" t="inlineStr">
        <ns0:is>
          <ns0:t>https://doi.org/10.1016/b978-0-12-822822-7.00004-1</ns0:t>
        </ns0:is>
      </ns0:c>
      <ns0:c r="G1058" s="21" t="inlineStr">
        <ns0:is>
          <ns0:t>ChatGPT-assisted evidence recharting, 2026-09-08</ns0:t>
        </ns0:is>
      </ns0:c>
    </ns0:row>
    <ns0:row r="1059" ht="42" customHeight="1">
      <ns0:c r="A1059" s="19" t="inlineStr">
        <ns0:is>
          <ns0:t>191</ns0:t>
        </ns0:is>
      </ns0:c>
      <ns0:c r="B1059" s="19" t="inlineStr">
        <ns0:is>
          <ns0:t>rq2_role</ns0:t>
        </ns0:is>
      </ns0:c>
      <ns0:c r="C1059" s="19" t="inlineStr"/>
      <ns0:c r="D1059" s="19" t="inlineStr">
        <ns0:is>
          <ns0:t>Excluded</ns0:t>
        </ns0:is>
      </ns0:c>
      <ns0:c r="E1059" s="19" t="inlineStr">
        <ns0:is>
          <ns0:t>Standalone edited-book chapter, not a journal article or identified conference proceeding.</ns0:t>
        </ns0:is>
      </ns0:c>
      <ns0:c r="F1059" s="19" t="inlineStr">
        <ns0:is>
          <ns0:t>https://doi.org/10.1016/b978-0-12-822822-7.00004-1</ns0:t>
        </ns0:is>
      </ns0:c>
      <ns0:c r="G1059" s="19" t="inlineStr">
        <ns0:is>
          <ns0:t>ChatGPT-assisted evidence recharting, 2026-09-08</ns0:t>
        </ns0:is>
      </ns0:c>
    </ns0:row>
    <ns0:row r="1060" ht="42" customHeight="1">
      <ns0:c r="A1060" s="21" t="inlineStr">
        <ns0:is>
          <ns0:t>191</ns0:t>
        </ns0:is>
      </ns0:c>
      <ns0:c r="B1060" s="21" t="inlineStr">
        <ns0:is>
          <ns0:t>decision_timing</ns0:t>
        </ns0:is>
      </ns0:c>
      <ns0:c r="C1060" s="21" t="inlineStr"/>
      <ns0:c r="D1060" s="21" t="inlineStr">
        <ns0:is>
          <ns0:t>Not applicable - excluded</ns0:t>
        </ns0:is>
      </ns0:c>
      <ns0:c r="E1060" s="21" t="inlineStr">
        <ns0:is>
          <ns0:t>Standalone edited-book chapter, not a journal article or identified conference proceeding.</ns0:t>
        </ns0:is>
      </ns0:c>
      <ns0:c r="F1060" s="21" t="inlineStr">
        <ns0:is>
          <ns0:t>https://doi.org/10.1016/b978-0-12-822822-7.00004-1</ns0:t>
        </ns0:is>
      </ns0:c>
      <ns0:c r="G1060" s="21" t="inlineStr">
        <ns0:is>
          <ns0:t>ChatGPT-assisted evidence recharting, 2026-09-08</ns0:t>
        </ns0:is>
      </ns0:c>
    </ns0:row>
    <ns0:row r="1061" ht="42" customHeight="1">
      <ns0:c r="A1061" s="19" t="inlineStr">
        <ns0:is>
          <ns0:t>193</ns0:t>
        </ns0:is>
      </ns0:c>
      <ns0:c r="B1061" s="19" t="inlineStr">
        <ns0:is>
          <ns0:t>algorithm_main</ns0:t>
        </ns0:is>
      </ns0:c>
      <ns0:c r="C1061" s="19" t="inlineStr"/>
      <ns0:c r="D1061" s="19" t="inlineStr">
        <ns0:is>
          <ns0:t>Sensor-feature machine learning; family unresolved</ns0:t>
        </ns0:is>
      </ns0:c>
      <ns0:c r="E1061" s="19" t="inlineStr">
        <ns0:is>
          <ns0:t>Signals collected in clinical tasks were analyzed to relate state changes to stimuli. Clinical recording context does not establish AI feedback or decision integration.</ns0:t>
        </ns0:is>
      </ns0:c>
      <ns0:c r="F1061" s="19" t="inlineStr">
        <ns0:is>
          <ns0:t>https://doi.org/10.1007/978-3-031-06242-1_27</ns0:t>
        </ns0:is>
      </ns0:c>
      <ns0:c r="G1061" s="19" t="inlineStr">
        <ns0:is>
          <ns0:t>ChatGPT-assisted evidence recharting, 2026-09-08</ns0:t>
        </ns0:is>
      </ns0:c>
    </ns0:row>
    <ns0:row r="1062" ht="42" customHeight="1">
      <ns0:c r="A1062" s="21" t="inlineStr">
        <ns0:is>
          <ns0:t>193</ns0:t>
        </ns0:is>
      </ns0:c>
      <ns0:c r="B1062" s="21" t="inlineStr">
        <ns0:is>
          <ns0:t>rq2_status</ns0:t>
        </ns0:is>
      </ns0:c>
      <ns0:c r="C1062" s="21" t="inlineStr">
        <ns0:is>
          <ns0:t>Not adjudicated in master</ns0:t>
        </ns0:is>
      </ns0:c>
      <ns0:c r="D1062" s="21" t="inlineStr">
        <ns0:is>
          <ns0:t>Research only</ns0:t>
        </ns0:is>
      </ns0:c>
      <ns0:c r="E1062" s="21" t="inlineStr">
        <ns0:is>
          <ns0:t>Signals collected in clinical tasks were analyzed to relate state changes to stimuli. Clinical recording context does not establish AI feedback or decision integration.</ns0:t>
        </ns0:is>
      </ns0:c>
      <ns0:c r="F1062" s="21" t="inlineStr">
        <ns0:is>
          <ns0:t>https://doi.org/10.1007/978-3-031-06242-1_27</ns0:t>
        </ns0:is>
      </ns0:c>
      <ns0:c r="G1062" s="21" t="inlineStr">
        <ns0:is>
          <ns0:t>ChatGPT-assisted evidence recharting, 2026-09-08</ns0:t>
        </ns0:is>
      </ns0:c>
    </ns0:row>
    <ns0:row r="1063" ht="42" customHeight="1">
      <ns0:c r="A1063" s="19" t="inlineStr">
        <ns0:is>
          <ns0:t>193</ns0:t>
        </ns0:is>
      </ns0:c>
      <ns0:c r="B1063" s="19" t="inlineStr">
        <ns0:is>
          <ns0:t>rq2_role</ns0:t>
        </ns0:is>
      </ns0:c>
      <ns0:c r="C1063" s="19" t="inlineStr"/>
      <ns0:c r="D1063" s="19" t="inlineStr">
        <ns0:is>
          <ns0:t>Monitoring/longitudinal analysis</ns0:t>
        </ns0:is>
      </ns0:c>
      <ns0:c r="E1063" s="19" t="inlineStr">
        <ns0:is>
          <ns0:t>Signals collected in clinical tasks were analyzed to relate state changes to stimuli. Clinical recording context does not establish AI feedback or decision integration.</ns0:t>
        </ns0:is>
      </ns0:c>
      <ns0:c r="F1063" s="19" t="inlineStr">
        <ns0:is>
          <ns0:t>https://doi.org/10.1007/978-3-031-06242-1_27</ns0:t>
        </ns0:is>
      </ns0:c>
      <ns0:c r="G1063" s="19" t="inlineStr">
        <ns0:is>
          <ns0:t>ChatGPT-assisted evidence recharting, 2026-09-08</ns0:t>
        </ns0:is>
      </ns0:c>
    </ns0:row>
    <ns0:row r="1064" ht="42" customHeight="1">
      <ns0:c r="A1064" s="21" t="inlineStr">
        <ns0:is>
          <ns0:t>193</ns0:t>
        </ns0:is>
      </ns0:c>
      <ns0:c r="B1064" s="21" t="inlineStr">
        <ns0:is>
          <ns0:t>decision_timing</ns0:t>
        </ns0:is>
      </ns0:c>
      <ns0:c r="C1064" s="21" t="inlineStr"/>
      <ns0:c r="D1064" s="21" t="inlineStr">
        <ns0:is>
          <ns0:t>Not observed in assessed sources</ns0:t>
        </ns0:is>
      </ns0:c>
      <ns0:c r="E1064" s="21" t="inlineStr">
        <ns0:is>
          <ns0:t>Signals collected in clinical tasks were analyzed to relate state changes to stimuli. Clinical recording context does not establish AI feedback or decision integration.</ns0:t>
        </ns0:is>
      </ns0:c>
      <ns0:c r="F1064" s="21" t="inlineStr">
        <ns0:is>
          <ns0:t>https://doi.org/10.1007/978-3-031-06242-1_27</ns0:t>
        </ns0:is>
      </ns0:c>
      <ns0:c r="G1064" s="21" t="inlineStr">
        <ns0:is>
          <ns0:t>ChatGPT-assisted evidence recharting, 2026-09-08</ns0:t>
        </ns0:is>
      </ns0:c>
    </ns0:row>
    <ns0:row r="1065" ht="42" customHeight="1">
      <ns0:c r="A1065" s="19" t="inlineStr">
        <ns0:is>
          <ns0:t>194</ns0:t>
        </ns0:is>
      </ns0:c>
      <ns0:c r="B1065" s="19" t="inlineStr">
        <ns0:is>
          <ns0:t>data_source_primary</ns0:t>
        </ns0:is>
      </ns0:c>
      <ns0:c r="C1065" s="19" t="inlineStr">
        <ns0:is>
          <ns0:t>Image (subtype unresolved)</ns0:t>
        </ns0:is>
      </ns0:c>
      <ns0:c r="D1065" s="19" t="inlineStr">
        <ns0:is>
          <ns0:t>Structured clinical/questionnaire data</ns0:t>
        </ns0:is>
      </ns0:c>
      <ns0:c r="E1065" s="19" t="inlineStr">
        <ns0:is>
          <ns0:t>Models trained on instrument scores are tested on human ratings of independent home videos. Ratings are structured inputs, not pixel-level CNN analysis.</ns0:t>
        </ns0:is>
      </ns0:c>
      <ns0:c r="F1065" s="19" t="inlineStr">
        <ns0:is>
          <ns0:t>https://doi.org/10.1038/s41598-020-76874-w</ns0:t>
        </ns0:is>
      </ns0:c>
      <ns0:c r="G1065" s="19" t="inlineStr">
        <ns0:is>
          <ns0:t>ChatGPT-assisted evidence recharting, 2026-09-08</ns0:t>
        </ns0:is>
      </ns0:c>
    </ns0:row>
    <ns0:row r="1066" ht="42" customHeight="1">
      <ns0:c r="A1066" s="21" t="inlineStr">
        <ns0:is>
          <ns0:t>194</ns0:t>
        </ns0:is>
      </ns0:c>
      <ns0:c r="B1066" s="21" t="inlineStr">
        <ns0:is>
          <ns0:t>algorithm_main</ns0:t>
        </ns0:is>
      </ns0:c>
      <ns0:c r="C1066" s="21" t="inlineStr">
        <ns0:is>
          <ns0:t>Logistic Regression</ns0:t>
        </ns0:is>
      </ns0:c>
      <ns0:c r="D1066" s="21" t="inlineStr">
        <ns0:is>
          <ns0:t>Logistic regression and alternating decision tree</ns0:t>
        </ns0:is>
      </ns0:c>
      <ns0:c r="E1066" s="21" t="inlineStr">
        <ns0:is>
          <ns0:t>Models trained on instrument scores are tested on human ratings of independent home videos. Ratings are structured inputs, not pixel-level CNN analysis.</ns0:t>
        </ns0:is>
      </ns0:c>
      <ns0:c r="F1066" s="21" t="inlineStr">
        <ns0:is>
          <ns0:t>https://doi.org/10.1038/s41598-020-76874-w</ns0:t>
        </ns0:is>
      </ns0:c>
      <ns0:c r="G1066" s="21" t="inlineStr">
        <ns0:is>
          <ns0:t>ChatGPT-assisted evidence recharting, 2026-09-08</ns0:t>
        </ns0:is>
      </ns0:c>
    </ns0:row>
    <ns0:row r="1067" ht="42" customHeight="1">
      <ns0:c r="A1067" s="19" t="inlineStr">
        <ns0:is>
          <ns0:t>194</ns0:t>
        </ns0:is>
      </ns0:c>
      <ns0:c r="B1067" s="19" t="inlineStr">
        <ns0:is>
          <ns0:t>rq2_status</ns0:t>
        </ns0:is>
      </ns0:c>
      <ns0:c r="C1067" s="19" t="inlineStr">
        <ns0:is>
          <ns0:t>Not adjudicated in master</ns0:t>
        </ns0:is>
      </ns0:c>
      <ns0:c r="D1067" s="19" t="inlineStr">
        <ns0:is>
          <ns0:t>Research only</ns0:t>
        </ns0:is>
      </ns0:c>
      <ns0:c r="E1067" s="19" t="inlineStr">
        <ns0:is>
          <ns0:t>Models trained on instrument scores are tested on human ratings of independent home videos. Ratings are structured inputs, not pixel-level CNN analysis.</ns0:t>
        </ns0:is>
      </ns0:c>
      <ns0:c r="F1067" s="19" t="inlineStr">
        <ns0:is>
          <ns0:t>https://doi.org/10.1038/s41598-020-76874-w</ns0:t>
        </ns0:is>
      </ns0:c>
      <ns0:c r="G1067" s="19" t="inlineStr">
        <ns0:is>
          <ns0:t>ChatGPT-assisted evidence recharting, 2026-09-08</ns0:t>
        </ns0:is>
      </ns0:c>
    </ns0:row>
    <ns0:row r="1068" ht="42" customHeight="1">
      <ns0:c r="A1068" s="21" t="inlineStr">
        <ns0:is>
          <ns0:t>194</ns0:t>
        </ns0:is>
      </ns0:c>
      <ns0:c r="B1068" s="21" t="inlineStr">
        <ns0:is>
          <ns0:t>rq2_role</ns0:t>
        </ns0:is>
      </ns0:c>
      <ns0:c r="C1068" s="21" t="inlineStr"/>
      <ns0:c r="D1068" s="21" t="inlineStr">
        <ns0:is>
          <ns0:t>Automated measurement/classification</ns0:t>
        </ns0:is>
      </ns0:c>
      <ns0:c r="E1068" s="21" t="inlineStr">
        <ns0:is>
          <ns0:t>Models trained on instrument scores are tested on human ratings of independent home videos. Ratings are structured inputs, not pixel-level CNN analysis.</ns0:t>
        </ns0:is>
      </ns0:c>
      <ns0:c r="F1068" s="21" t="inlineStr">
        <ns0:is>
          <ns0:t>https://doi.org/10.1038/s41598-020-76874-w</ns0:t>
        </ns0:is>
      </ns0:c>
      <ns0:c r="G1068" s="21" t="inlineStr">
        <ns0:is>
          <ns0:t>ChatGPT-assisted evidence recharting, 2026-09-08</ns0:t>
        </ns0:is>
      </ns0:c>
    </ns0:row>
    <ns0:row r="1069" ht="42" customHeight="1">
      <ns0:c r="A1069" s="19" t="inlineStr">
        <ns0:is>
          <ns0:t>194</ns0:t>
        </ns0:is>
      </ns0:c>
      <ns0:c r="B1069" s="19" t="inlineStr">
        <ns0:is>
          <ns0:t>decision_timing</ns0:t>
        </ns0:is>
      </ns0:c>
      <ns0:c r="C1069" s="19" t="inlineStr"/>
      <ns0:c r="D1069" s="19" t="inlineStr">
        <ns0:is>
          <ns0:t>Not observed in assessed sources</ns0:t>
        </ns0:is>
      </ns0:c>
      <ns0:c r="E1069" s="19" t="inlineStr">
        <ns0:is>
          <ns0:t>Models trained on instrument scores are tested on human ratings of independent home videos. Ratings are structured inputs, not pixel-level CNN analysis.</ns0:t>
        </ns0:is>
      </ns0:c>
      <ns0:c r="F1069" s="19" t="inlineStr">
        <ns0:is>
          <ns0:t>https://doi.org/10.1038/s41598-020-76874-w</ns0:t>
        </ns0:is>
      </ns0:c>
      <ns0:c r="G1069" s="19" t="inlineStr">
        <ns0:is>
          <ns0:t>ChatGPT-assisted evidence recharting, 2026-09-08</ns0:t>
        </ns0:is>
      </ns0:c>
    </ns0:row>
    <ns0:row r="1070" ht="42" customHeight="1">
      <ns0:c r="A1070" s="21" t="inlineStr">
        <ns0:is>
          <ns0:t>195</ns0:t>
        </ns0:is>
      </ns0:c>
      <ns0:c r="B1070" s="21" t="inlineStr">
        <ns0:is>
          <ns0:t>eligibility</ns0:t>
        </ns0:is>
      </ns0:c>
      <ns0:c r="C1070" s="21" t="inlineStr">
        <ns0:is>
          <ns0:t>Include</ns0:t>
        </ns0:is>
      </ns0:c>
      <ns0:c r="D1070" s="21" t="inlineStr">
        <ns0:is>
          <ns0:t>Exclude</ns0:t>
        </ns0:is>
      </ns0:c>
      <ns0:c r="E1070" s="21" t="inlineStr">
        <ns0:is>
          <ns0:t>Standalone edited-book chapter describing fuzzy knowledge systems; not a full identified conference report or journal article.</ns0:t>
        </ns0:is>
      </ns0:c>
      <ns0:c r="F1070" s="21" t="inlineStr">
        <ns0:is>
          <ns0:t>https://doi.org/10.1016/b978-0-12-822271-3.00016-5</ns0:t>
        </ns0:is>
      </ns0:c>
      <ns0:c r="G1070" s="21" t="inlineStr">
        <ns0:is>
          <ns0:t>ChatGPT-assisted evidence recharting, 2026-09-08</ns0:t>
        </ns0:is>
      </ns0:c>
    </ns0:row>
    <ns0:row r="1071" ht="42" customHeight="1">
      <ns0:c r="A1071" s="19" t="inlineStr">
        <ns0:is>
          <ns0:t>195</ns0:t>
        </ns0:is>
      </ns0:c>
      <ns0:c r="B1071" s="19" t="inlineStr">
        <ns0:is>
          <ns0:t>stage_primary</ns0:t>
        </ns0:is>
      </ns0:c>
      <ns0:c r="C1071" s="19" t="inlineStr">
        <ns0:is>
          <ns0:t>Diagnosis</ns0:t>
        </ns0:is>
      </ns0:c>
      <ns0:c r="D1071" s="19" t="inlineStr">
        <ns0:is>
          <ns0:t>Excluded</ns0:t>
        </ns0:is>
      </ns0:c>
      <ns0:c r="E1071" s="19" t="inlineStr">
        <ns0:is>
          <ns0:t>Standalone edited-book chapter describing fuzzy knowledge systems; not a full identified conference report or journal article.</ns0:t>
        </ns0:is>
      </ns0:c>
      <ns0:c r="F1071" s="19" t="inlineStr">
        <ns0:is>
          <ns0:t>https://doi.org/10.1016/b978-0-12-822271-3.00016-5</ns0:t>
        </ns0:is>
      </ns0:c>
      <ns0:c r="G1071" s="19" t="inlineStr">
        <ns0:is>
          <ns0:t>ChatGPT-assisted evidence recharting, 2026-09-08</ns0:t>
        </ns0:is>
      </ns0:c>
    </ns0:row>
    <ns0:row r="1072" ht="42" customHeight="1">
      <ns0:c r="A1072" s="21" t="inlineStr">
        <ns0:is>
          <ns0:t>195</ns0:t>
        </ns0:is>
      </ns0:c>
      <ns0:c r="B1072" s="21" t="inlineStr">
        <ns0:is>
          <ns0:t>ai_type</ns0:t>
        </ns0:is>
      </ns0:c>
      <ns0:c r="C1072" s="21" t="inlineStr">
        <ns0:is>
          <ns0:t>Machine Learning</ns0:t>
        </ns0:is>
      </ns0:c>
      <ns0:c r="D1072" s="21" t="inlineStr">
        <ns0:is>
          <ns0:t>Excluded</ns0:t>
        </ns0:is>
      </ns0:c>
      <ns0:c r="E1072" s="21" t="inlineStr">
        <ns0:is>
          <ns0:t>Standalone edited-book chapter describing fuzzy knowledge systems; not a full identified conference report or journal article.</ns0:t>
        </ns0:is>
      </ns0:c>
      <ns0:c r="F1072" s="21" t="inlineStr">
        <ns0:is>
          <ns0:t>https://doi.org/10.1016/b978-0-12-822271-3.00016-5</ns0:t>
        </ns0:is>
      </ns0:c>
      <ns0:c r="G1072" s="21" t="inlineStr">
        <ns0:is>
          <ns0:t>ChatGPT-assisted evidence recharting, 2026-09-08</ns0:t>
        </ns0:is>
      </ns0:c>
    </ns0:row>
    <ns0:row r="1073" ht="42" customHeight="1">
      <ns0:c r="A1073" s="19" t="inlineStr">
        <ns0:is>
          <ns0:t>195</ns0:t>
        </ns0:is>
      </ns0:c>
      <ns0:c r="B1073" s="19" t="inlineStr">
        <ns0:is>
          <ns0:t>data_source_primary</ns0:t>
        </ns0:is>
      </ns0:c>
      <ns0:c r="C1073" s="19" t="inlineStr">
        <ns0:is>
          <ns0:t>Not specified</ns0:t>
        </ns0:is>
      </ns0:c>
      <ns0:c r="D1073" s="19" t="inlineStr">
        <ns0:is>
          <ns0:t>Excluded</ns0:t>
        </ns0:is>
      </ns0:c>
      <ns0:c r="E1073" s="19" t="inlineStr">
        <ns0:is>
          <ns0:t>Standalone edited-book chapter describing fuzzy knowledge systems; not a full identified conference report or journal article.</ns0:t>
        </ns0:is>
      </ns0:c>
      <ns0:c r="F1073" s="19" t="inlineStr">
        <ns0:is>
          <ns0:t>https://doi.org/10.1016/b978-0-12-822271-3.00016-5</ns0:t>
        </ns0:is>
      </ns0:c>
      <ns0:c r="G1073" s="19" t="inlineStr">
        <ns0:is>
          <ns0:t>ChatGPT-assisted evidence recharting, 2026-09-08</ns0:t>
        </ns0:is>
      </ns0:c>
    </ns0:row>
    <ns0:row r="1074" ht="42" customHeight="1">
      <ns0:c r="A1074" s="21" t="inlineStr">
        <ns0:is>
          <ns0:t>195</ns0:t>
        </ns0:is>
      </ns0:c>
      <ns0:c r="B1074" s="21" t="inlineStr">
        <ns0:is>
          <ns0:t>algorithm_main</ns0:t>
        </ns0:is>
      </ns0:c>
      <ns0:c r="C1074" s="21" t="inlineStr"/>
      <ns0:c r="D1074" s="21" t="inlineStr">
        <ns0:is>
          <ns0:t>Not specified</ns0:t>
        </ns0:is>
      </ns0:c>
      <ns0:c r="E1074" s="21" t="inlineStr">
        <ns0:is>
          <ns0:t>Standalone edited-book chapter describing fuzzy knowledge systems; not a full identified conference report or journal article.</ns0:t>
        </ns0:is>
      </ns0:c>
      <ns0:c r="F1074" s="21" t="inlineStr">
        <ns0:is>
          <ns0:t>https://doi.org/10.1016/b978-0-12-822271-3.00016-5</ns0:t>
        </ns0:is>
      </ns0:c>
      <ns0:c r="G1074" s="21" t="inlineStr">
        <ns0:is>
          <ns0:t>ChatGPT-assisted evidence recharting, 2026-09-08</ns0:t>
        </ns0:is>
      </ns0:c>
    </ns0:row>
    <ns0:row r="1075" ht="42" customHeight="1">
      <ns0:c r="A1075" s="19" t="inlineStr">
        <ns0:is>
          <ns0:t>195</ns0:t>
        </ns0:is>
      </ns0:c>
      <ns0:c r="B1075" s="19" t="inlineStr">
        <ns0:is>
          <ns0:t>rq2_status</ns0:t>
        </ns0:is>
      </ns0:c>
      <ns0:c r="C1075" s="19" t="inlineStr">
        <ns0:is>
          <ns0:t>Not adjudicated in master</ns0:t>
        </ns0:is>
      </ns0:c>
      <ns0:c r="D1075" s="19" t="inlineStr">
        <ns0:is>
          <ns0:t>Excluded</ns0:t>
        </ns0:is>
      </ns0:c>
      <ns0:c r="E1075" s="19" t="inlineStr">
        <ns0:is>
          <ns0:t>Standalone edited-book chapter describing fuzzy knowledge systems; not a full identified conference report or journal article.</ns0:t>
        </ns0:is>
      </ns0:c>
      <ns0:c r="F1075" s="19" t="inlineStr">
        <ns0:is>
          <ns0:t>https://doi.org/10.1016/b978-0-12-822271-3.00016-5</ns0:t>
        </ns0:is>
      </ns0:c>
      <ns0:c r="G1075" s="19" t="inlineStr">
        <ns0:is>
          <ns0:t>ChatGPT-assisted evidence recharting, 2026-09-08</ns0:t>
        </ns0:is>
      </ns0:c>
    </ns0:row>
    <ns0:row r="1076" ht="42" customHeight="1">
      <ns0:c r="A1076" s="21" t="inlineStr">
        <ns0:is>
          <ns0:t>195</ns0:t>
        </ns0:is>
      </ns0:c>
      <ns0:c r="B1076" s="21" t="inlineStr">
        <ns0:is>
          <ns0:t>rq2_role</ns0:t>
        </ns0:is>
      </ns0:c>
      <ns0:c r="C1076" s="21" t="inlineStr"/>
      <ns0:c r="D1076" s="21" t="inlineStr">
        <ns0:is>
          <ns0:t>Excluded</ns0:t>
        </ns0:is>
      </ns0:c>
      <ns0:c r="E1076" s="21" t="inlineStr">
        <ns0:is>
          <ns0:t>Standalone edited-book chapter describing fuzzy knowledge systems; not a full identified conference report or journal article.</ns0:t>
        </ns0:is>
      </ns0:c>
      <ns0:c r="F1076" s="21" t="inlineStr">
        <ns0:is>
          <ns0:t>https://doi.org/10.1016/b978-0-12-822271-3.00016-5</ns0:t>
        </ns0:is>
      </ns0:c>
      <ns0:c r="G1076" s="21" t="inlineStr">
        <ns0:is>
          <ns0:t>ChatGPT-assisted evidence recharting, 2026-09-08</ns0:t>
        </ns0:is>
      </ns0:c>
    </ns0:row>
    <ns0:row r="1077" ht="42" customHeight="1">
      <ns0:c r="A1077" s="19" t="inlineStr">
        <ns0:is>
          <ns0:t>195</ns0:t>
        </ns0:is>
      </ns0:c>
      <ns0:c r="B1077" s="19" t="inlineStr">
        <ns0:is>
          <ns0:t>decision_timing</ns0:t>
        </ns0:is>
      </ns0:c>
      <ns0:c r="C1077" s="19" t="inlineStr"/>
      <ns0:c r="D1077" s="19" t="inlineStr">
        <ns0:is>
          <ns0:t>Not applicable - excluded</ns0:t>
        </ns0:is>
      </ns0:c>
      <ns0:c r="E1077" s="19" t="inlineStr">
        <ns0:is>
          <ns0:t>Standalone edited-book chapter describing fuzzy knowledge systems; not a full identified conference report or journal article.</ns0:t>
        </ns0:is>
      </ns0:c>
      <ns0:c r="F1077" s="19" t="inlineStr">
        <ns0:is>
          <ns0:t>https://doi.org/10.1016/b978-0-12-822271-3.00016-5</ns0:t>
        </ns0:is>
      </ns0:c>
      <ns0:c r="G1077" s="19" t="inlineStr">
        <ns0:is>
          <ns0:t>ChatGPT-assisted evidence recharting, 2026-09-08</ns0:t>
        </ns0:is>
      </ns0:c>
    </ns0:row>
    <ns0:row r="1078" ht="42" customHeight="1">
      <ns0:c r="A1078" s="21" t="inlineStr">
        <ns0:is>
          <ns0:t>196</ns0:t>
        </ns0:is>
      </ns0:c>
      <ns0:c r="B1078" s="21" t="inlineStr">
        <ns0:is>
          <ns0:t>eligibility</ns0:t>
        </ns0:is>
      </ns0:c>
      <ns0:c r="C1078" s="21" t="inlineStr">
        <ns0:is>
          <ns0:t>Include</ns0:t>
        </ns0:is>
      </ns0:c>
      <ns0:c r="D1078" s="21" t="inlineStr">
        <ns0:is>
          <ns0:t>Exclude</ns0:t>
        </ns0:is>
      </ns0:c>
      <ns0:c r="E1078" s="21" t="inlineStr">
        <ns0:is>
          <ns0:t>Standalone edited-book chapter; source criteria exclude this publication type even when a computational case study is described.</ns0:t>
        </ns0:is>
      </ns0:c>
      <ns0:c r="F1078" s="21" t="inlineStr">
        <ns0:is>
          <ns0:t>https://doi.org/10.1016/b978-0-323-98352-5.00001-x</ns0:t>
        </ns0:is>
      </ns0:c>
      <ns0:c r="G1078" s="21" t="inlineStr">
        <ns0:is>
          <ns0:t>ChatGPT-assisted evidence recharting, 2026-09-08</ns0:t>
        </ns0:is>
      </ns0:c>
    </ns0:row>
    <ns0:row r="1079" ht="42" customHeight="1">
      <ns0:c r="A1079" s="19" t="inlineStr">
        <ns0:is>
          <ns0:t>196</ns0:t>
        </ns0:is>
      </ns0:c>
      <ns0:c r="B1079" s="19" t="inlineStr">
        <ns0:is>
          <ns0:t>stage_primary</ns0:t>
        </ns0:is>
      </ns0:c>
      <ns0:c r="C1079" s="19" t="inlineStr">
        <ns0:is>
          <ns0:t>Prognosis</ns0:t>
        </ns0:is>
      </ns0:c>
      <ns0:c r="D1079" s="19" t="inlineStr">
        <ns0:is>
          <ns0:t>Excluded</ns0:t>
        </ns0:is>
      </ns0:c>
      <ns0:c r="E1079" s="19" t="inlineStr">
        <ns0:is>
          <ns0:t>Standalone edited-book chapter; source criteria exclude this publication type even when a computational case study is described.</ns0:t>
        </ns0:is>
      </ns0:c>
      <ns0:c r="F1079" s="19" t="inlineStr">
        <ns0:is>
          <ns0:t>https://doi.org/10.1016/b978-0-323-98352-5.00001-x</ns0:t>
        </ns0:is>
      </ns0:c>
      <ns0:c r="G1079" s="19" t="inlineStr">
        <ns0:is>
          <ns0:t>ChatGPT-assisted evidence recharting, 2026-09-08</ns0:t>
        </ns0:is>
      </ns0:c>
    </ns0:row>
    <ns0:row r="1080" ht="42" customHeight="1">
      <ns0:c r="A1080" s="21" t="inlineStr">
        <ns0:is>
          <ns0:t>196</ns0:t>
        </ns0:is>
      </ns0:c>
      <ns0:c r="B1080" s="21" t="inlineStr">
        <ns0:is>
          <ns0:t>ai_type</ns0:t>
        </ns0:is>
      </ns0:c>
      <ns0:c r="C1080" s="21" t="inlineStr">
        <ns0:is>
          <ns0:t>Deep Learning</ns0:t>
        </ns0:is>
      </ns0:c>
      <ns0:c r="D1080" s="21" t="inlineStr">
        <ns0:is>
          <ns0:t>Excluded</ns0:t>
        </ns0:is>
      </ns0:c>
      <ns0:c r="E1080" s="21" t="inlineStr">
        <ns0:is>
          <ns0:t>Standalone edited-book chapter; source criteria exclude this publication type even when a computational case study is described.</ns0:t>
        </ns0:is>
      </ns0:c>
      <ns0:c r="F1080" s="21" t="inlineStr">
        <ns0:is>
          <ns0:t>https://doi.org/10.1016/b978-0-323-98352-5.00001-x</ns0:t>
        </ns0:is>
      </ns0:c>
      <ns0:c r="G1080" s="21" t="inlineStr">
        <ns0:is>
          <ns0:t>ChatGPT-assisted evidence recharting, 2026-09-08</ns0:t>
        </ns0:is>
      </ns0:c>
    </ns0:row>
    <ns0:row r="1081" ht="42" customHeight="1">
      <ns0:c r="A1081" s="19" t="inlineStr">
        <ns0:is>
          <ns0:t>196</ns0:t>
        </ns0:is>
      </ns0:c>
      <ns0:c r="B1081" s="19" t="inlineStr">
        <ns0:is>
          <ns0:t>data_source_primary</ns0:t>
        </ns0:is>
      </ns0:c>
      <ns0:c r="C1081" s="19" t="inlineStr">
        <ns0:is>
          <ns0:t>Not specified</ns0:t>
        </ns0:is>
      </ns0:c>
      <ns0:c r="D1081" s="19" t="inlineStr">
        <ns0:is>
          <ns0:t>Excluded</ns0:t>
        </ns0:is>
      </ns0:c>
      <ns0:c r="E1081" s="19" t="inlineStr">
        <ns0:is>
          <ns0:t>Standalone edited-book chapter; source criteria exclude this publication type even when a computational case study is described.</ns0:t>
        </ns0:is>
      </ns0:c>
      <ns0:c r="F1081" s="19" t="inlineStr">
        <ns0:is>
          <ns0:t>https://doi.org/10.1016/b978-0-323-98352-5.00001-x</ns0:t>
        </ns0:is>
      </ns0:c>
      <ns0:c r="G1081" s="19" t="inlineStr">
        <ns0:is>
          <ns0:t>ChatGPT-assisted evidence recharting, 2026-09-08</ns0:t>
        </ns0:is>
      </ns0:c>
    </ns0:row>
    <ns0:row r="1082" ht="42" customHeight="1">
      <ns0:c r="A1082" s="21" t="inlineStr">
        <ns0:is>
          <ns0:t>196</ns0:t>
        </ns0:is>
      </ns0:c>
      <ns0:c r="B1082" s="21" t="inlineStr">
        <ns0:is>
          <ns0:t>algorithm_main</ns0:t>
        </ns0:is>
      </ns0:c>
      <ns0:c r="C1082" s="21" t="inlineStr"/>
      <ns0:c r="D1082" s="21" t="inlineStr">
        <ns0:is>
          <ns0:t>Not specified</ns0:t>
        </ns0:is>
      </ns0:c>
      <ns0:c r="E1082" s="21" t="inlineStr">
        <ns0:is>
          <ns0:t>Standalone edited-book chapter; source criteria exclude this publication type even when a computational case study is described.</ns0:t>
        </ns0:is>
      </ns0:c>
      <ns0:c r="F1082" s="21" t="inlineStr">
        <ns0:is>
          <ns0:t>https://doi.org/10.1016/b978-0-323-98352-5.00001-x</ns0:t>
        </ns0:is>
      </ns0:c>
      <ns0:c r="G1082" s="21" t="inlineStr">
        <ns0:is>
          <ns0:t>ChatGPT-assisted evidence recharting, 2026-09-08</ns0:t>
        </ns0:is>
      </ns0:c>
    </ns0:row>
    <ns0:row r="1083" ht="42" customHeight="1">
      <ns0:c r="A1083" s="19" t="inlineStr">
        <ns0:is>
          <ns0:t>196</ns0:t>
        </ns0:is>
      </ns0:c>
      <ns0:c r="B1083" s="19" t="inlineStr">
        <ns0:is>
          <ns0:t>rq2_status</ns0:t>
        </ns0:is>
      </ns0:c>
      <ns0:c r="C1083" s="19" t="inlineStr">
        <ns0:is>
          <ns0:t>Not adjudicated in master</ns0:t>
        </ns0:is>
      </ns0:c>
      <ns0:c r="D1083" s="19" t="inlineStr">
        <ns0:is>
          <ns0:t>Excluded</ns0:t>
        </ns0:is>
      </ns0:c>
      <ns0:c r="E1083" s="19" t="inlineStr">
        <ns0:is>
          <ns0:t>Standalone edited-book chapter; source criteria exclude this publication type even when a computational case study is described.</ns0:t>
        </ns0:is>
      </ns0:c>
      <ns0:c r="F1083" s="19" t="inlineStr">
        <ns0:is>
          <ns0:t>https://doi.org/10.1016/b978-0-323-98352-5.00001-x</ns0:t>
        </ns0:is>
      </ns0:c>
      <ns0:c r="G1083" s="19" t="inlineStr">
        <ns0:is>
          <ns0:t>ChatGPT-assisted evidence recharting, 2026-09-08</ns0:t>
        </ns0:is>
      </ns0:c>
    </ns0:row>
    <ns0:row r="1084" ht="42" customHeight="1">
      <ns0:c r="A1084" s="21" t="inlineStr">
        <ns0:is>
          <ns0:t>196</ns0:t>
        </ns0:is>
      </ns0:c>
      <ns0:c r="B1084" s="21" t="inlineStr">
        <ns0:is>
          <ns0:t>rq2_role</ns0:t>
        </ns0:is>
      </ns0:c>
      <ns0:c r="C1084" s="21" t="inlineStr"/>
      <ns0:c r="D1084" s="21" t="inlineStr">
        <ns0:is>
          <ns0:t>Excluded</ns0:t>
        </ns0:is>
      </ns0:c>
      <ns0:c r="E1084" s="21" t="inlineStr">
        <ns0:is>
          <ns0:t>Standalone edited-book chapter; source criteria exclude this publication type even when a computational case study is described.</ns0:t>
        </ns0:is>
      </ns0:c>
      <ns0:c r="F1084" s="21" t="inlineStr">
        <ns0:is>
          <ns0:t>https://doi.org/10.1016/b978-0-323-98352-5.00001-x</ns0:t>
        </ns0:is>
      </ns0:c>
      <ns0:c r="G1084" s="21" t="inlineStr">
        <ns0:is>
          <ns0:t>ChatGPT-assisted evidence recharting, 2026-09-08</ns0:t>
        </ns0:is>
      </ns0:c>
    </ns0:row>
    <ns0:row r="1085" ht="42" customHeight="1">
      <ns0:c r="A1085" s="19" t="inlineStr">
        <ns0:is>
          <ns0:t>196</ns0:t>
        </ns0:is>
      </ns0:c>
      <ns0:c r="B1085" s="19" t="inlineStr">
        <ns0:is>
          <ns0:t>decision_timing</ns0:t>
        </ns0:is>
      </ns0:c>
      <ns0:c r="C1085" s="19" t="inlineStr"/>
      <ns0:c r="D1085" s="19" t="inlineStr">
        <ns0:is>
          <ns0:t>Not applicable - excluded</ns0:t>
        </ns0:is>
      </ns0:c>
      <ns0:c r="E1085" s="19" t="inlineStr">
        <ns0:is>
          <ns0:t>Standalone edited-book chapter; source criteria exclude this publication type even when a computational case study is described.</ns0:t>
        </ns0:is>
      </ns0:c>
      <ns0:c r="F1085" s="19" t="inlineStr">
        <ns0:is>
          <ns0:t>https://doi.org/10.1016/b978-0-323-98352-5.00001-x</ns0:t>
        </ns0:is>
      </ns0:c>
      <ns0:c r="G1085" s="19" t="inlineStr">
        <ns0:is>
          <ns0:t>ChatGPT-assisted evidence recharting, 2026-09-08</ns0:t>
        </ns0:is>
      </ns0:c>
    </ns0:row>
    <ns0:row r="1086" ht="42" customHeight="1">
      <ns0:c r="A1086" s="21" t="inlineStr">
        <ns0:is>
          <ns0:t>197</ns0:t>
        </ns0:is>
      </ns0:c>
      <ns0:c r="B1086" s="21" t="inlineStr">
        <ns0:is>
          <ns0:t>data_source_primary</ns0:t>
        </ns0:is>
      </ns0:c>
      <ns0:c r="C1086" s="21" t="inlineStr">
        <ns0:is>
          <ns0:t>Text / NLP (legacy; verify input type)</ns0:t>
        </ns0:is>
      </ns0:c>
      <ns0:c r="D1086" s="21" t="inlineStr">
        <ns0:is>
          <ns0:t>Structured clinical/questionnaire data</ns0:t>
        </ns0:is>
      </ns0:c>
      <ns0:c r="E1086" s="21" t="inlineStr">
        <ns0:is>
          <ns0:t>Medical/sociodemographic tabular features predict severity using MCDM model selection; fuzzy linguistic ranking is not NLP. Multiple fields do not establish independent data-source fusion.</ns0:t>
        </ns0:is>
      </ns0:c>
      <ns0:c r="F1086" s="21" t="inlineStr">
        <ns0:is>
          <ns0:t>https://doi.org/10.1155/2022/9410222</ns0:t>
        </ns0:is>
      </ns0:c>
      <ns0:c r="G1086" s="21" t="inlineStr">
        <ns0:is>
          <ns0:t>ChatGPT-assisted evidence recharting, 2026-09-08</ns0:t>
        </ns0:is>
      </ns0:c>
    </ns0:row>
    <ns0:row r="1087" ht="42" customHeight="1">
      <ns0:c r="A1087" s="19" t="inlineStr">
        <ns0:is>
          <ns0:t>197</ns0:t>
        </ns0:is>
      </ns0:c>
      <ns0:c r="B1087" s="19" t="inlineStr">
        <ns0:is>
          <ns0:t>algorithm_main</ns0:t>
        </ns0:is>
      </ns0:c>
      <ns0:c r="C1087" s="19" t="inlineStr">
        <ns0:is>
          <ns0:t>Decision Tree</ns0:t>
        </ns0:is>
      </ns0:c>
      <ns0:c r="D1087" s="19" t="inlineStr">
        <ns0:is>
          <ns0:t>Relief feature selection with decision tree</ns0:t>
        </ns0:is>
      </ns0:c>
      <ns0:c r="E1087" s="19" t="inlineStr">
        <ns0:is>
          <ns0:t>Medical/sociodemographic tabular features predict severity using MCDM model selection; fuzzy linguistic ranking is not NLP. Multiple fields do not establish independent data-source fusion.</ns0:t>
        </ns0:is>
      </ns0:c>
      <ns0:c r="F1087" s="19" t="inlineStr">
        <ns0:is>
          <ns0:t>https://doi.org/10.1155/2022/9410222</ns0:t>
        </ns0:is>
      </ns0:c>
      <ns0:c r="G1087" s="19" t="inlineStr">
        <ns0:is>
          <ns0:t>ChatGPT-assisted evidence recharting, 2026-09-08</ns0:t>
        </ns0:is>
      </ns0:c>
    </ns0:row>
    <ns0:row r="1088" ht="42" customHeight="1">
      <ns0:c r="A1088" s="21" t="inlineStr">
        <ns0:is>
          <ns0:t>197</ns0:t>
        </ns0:is>
      </ns0:c>
      <ns0:c r="B1088" s="21" t="inlineStr">
        <ns0:is>
          <ns0:t>rq2_status</ns0:t>
        </ns0:is>
      </ns0:c>
      <ns0:c r="C1088" s="21" t="inlineStr">
        <ns0:is>
          <ns0:t>Not adjudicated in master</ns0:t>
        </ns0:is>
      </ns0:c>
      <ns0:c r="D1088" s="21" t="inlineStr">
        <ns0:is>
          <ns0:t>Research only</ns0:t>
        </ns0:is>
      </ns0:c>
      <ns0:c r="E1088" s="21" t="inlineStr">
        <ns0:is>
          <ns0:t>Medical/sociodemographic tabular features predict severity using MCDM model selection; fuzzy linguistic ranking is not NLP. Multiple fields do not establish independent data-source fusion.</ns0:t>
        </ns0:is>
      </ns0:c>
      <ns0:c r="F1088" s="21" t="inlineStr">
        <ns0:is>
          <ns0:t>https://doi.org/10.1155/2022/9410222</ns0:t>
        </ns0:is>
      </ns0:c>
      <ns0:c r="G1088" s="21" t="inlineStr">
        <ns0:is>
          <ns0:t>ChatGPT-assisted evidence recharting, 2026-09-08</ns0:t>
        </ns0:is>
      </ns0:c>
    </ns0:row>
    <ns0:row r="1089" ht="42" customHeight="1">
      <ns0:c r="A1089" s="19" t="inlineStr">
        <ns0:is>
          <ns0:t>197</ns0:t>
        </ns0:is>
      </ns0:c>
      <ns0:c r="B1089" s="19" t="inlineStr">
        <ns0:is>
          <ns0:t>rq2_role</ns0:t>
        </ns0:is>
      </ns0:c>
      <ns0:c r="C1089" s="19" t="inlineStr"/>
      <ns0:c r="D1089" s="19" t="inlineStr">
        <ns0:is>
          <ns0:t>Risk/trajectory estimation</ns0:t>
        </ns0:is>
      </ns0:c>
      <ns0:c r="E1089" s="19" t="inlineStr">
        <ns0:is>
          <ns0:t>Medical/sociodemographic tabular features predict severity using MCDM model selection; fuzzy linguistic ranking is not NLP. Multiple fields do not establish independent data-source fusion.</ns0:t>
        </ns0:is>
      </ns0:c>
      <ns0:c r="F1089" s="19" t="inlineStr">
        <ns0:is>
          <ns0:t>https://doi.org/10.1155/2022/9410222</ns0:t>
        </ns0:is>
      </ns0:c>
      <ns0:c r="G1089" s="19" t="inlineStr">
        <ns0:is>
          <ns0:t>ChatGPT-assisted evidence recharting, 2026-09-08</ns0:t>
        </ns0:is>
      </ns0:c>
    </ns0:row>
    <ns0:row r="1090" ht="42" customHeight="1">
      <ns0:c r="A1090" s="21" t="inlineStr">
        <ns0:is>
          <ns0:t>197</ns0:t>
        </ns0:is>
      </ns0:c>
      <ns0:c r="B1090" s="21" t="inlineStr">
        <ns0:is>
          <ns0:t>decision_timing</ns0:t>
        </ns0:is>
      </ns0:c>
      <ns0:c r="C1090" s="21" t="inlineStr"/>
      <ns0:c r="D1090" s="21" t="inlineStr">
        <ns0:is>
          <ns0:t>Not observed in assessed sources</ns0:t>
        </ns0:is>
      </ns0:c>
      <ns0:c r="E1090" s="21" t="inlineStr">
        <ns0:is>
          <ns0:t>Medical/sociodemographic tabular features predict severity using MCDM model selection; fuzzy linguistic ranking is not NLP. Multiple fields do not establish independent data-source fusion.</ns0:t>
        </ns0:is>
      </ns0:c>
      <ns0:c r="F1090" s="21" t="inlineStr">
        <ns0:is>
          <ns0:t>https://doi.org/10.1155/2022/9410222</ns0:t>
        </ns0:is>
      </ns0:c>
      <ns0:c r="G1090" s="21" t="inlineStr">
        <ns0:is>
          <ns0:t>ChatGPT-assisted evidence recharting, 2026-09-08</ns0:t>
        </ns0:is>
      </ns0:c>
    </ns0:row>
    <ns0:row r="1091" ht="42" customHeight="1">
      <ns0:c r="A1091" s="19" t="inlineStr">
        <ns0:is>
          <ns0:t>197</ns0:t>
        </ns0:is>
      </ns0:c>
      <ns0:c r="B1091" s="19" t="inlineStr">
        <ns0:is>
          <ns0:t>multisource_data</ns0:t>
        </ns0:is>
      </ns0:c>
      <ns0:c r="C1091" s="19" t="inlineStr">
        <ns0:is>
          <ns0:t>Reported</ns0:t>
        </ns0:is>
      </ns0:c>
      <ns0:c r="D1091" s="19" t="inlineStr">
        <ns0:is>
          <ns0:t>Not reported in assessed sources</ns0:t>
        </ns0:is>
      </ns0:c>
      <ns0:c r="E1091" s="19" t="inlineStr">
        <ns0:is>
          <ns0:t>Medical/sociodemographic tabular features predict severity using MCDM model selection; fuzzy linguistic ranking is not NLP. Multiple fields do not establish independent data-source fusion.</ns0:t>
        </ns0:is>
      </ns0:c>
      <ns0:c r="F1091" s="19" t="inlineStr">
        <ns0:is>
          <ns0:t>https://doi.org/10.1155/2022/9410222</ns0:t>
        </ns0:is>
      </ns0:c>
      <ns0:c r="G1091" s="19" t="inlineStr">
        <ns0:is>
          <ns0:t>ChatGPT-assisted evidence recharting, 2026-09-08</ns0:t>
        </ns0:is>
      </ns0:c>
    </ns0:row>
    <ns0:row r="1092" ht="57" customHeight="1">
      <ns0:c r="A1092" s="21" t="inlineStr">
        <ns0:is>
          <ns0:t>199</ns0:t>
        </ns0:is>
      </ns0:c>
      <ns0:c r="B1092" s="21" t="inlineStr">
        <ns0:is>
          <ns0:t>stage_primary</ns0:t>
        </ns0:is>
      </ns0:c>
      <ns0:c r="C1092" s="21" t="inlineStr">
        <ns0:is>
          <ns0:t>Screening</ns0:t>
        </ns0:is>
      </ns0:c>
      <ns0:c r="D1092" s="21" t="inlineStr">
        <ns0:is>
          <ns0:t>Monitoring/intervention</ns0:t>
        </ns0:is>
      </ns0:c>
      <ns0:c r="E1092" s="21" t="inlineStr">
        <ns0:is>
          <ns0:t>mCARE platform was deployed, but the AI models were trained/tested retrospectively on its collected records. Platform deployment is not proof that ML predictions drove care.
Clinical data-collection/communication platform deployed; AI predictions evaluated offline. Do not equate the two.</ns0:t>
        </ns0:is>
      </ns0:c>
      <ns0:c r="F1092" s="21" t="inlineStr">
        <ns0:is>
          <ns0:t>https://doi.org/10.2196/29242</ns0:t>
        </ns0:is>
      </ns0:c>
      <ns0:c r="G1092" s="21" t="inlineStr">
        <ns0:is>
          <ns0:t>ChatGPT-assisted evidence recharting, 2026-09-08</ns0:t>
        </ns0:is>
      </ns0:c>
    </ns0:row>
    <ns0:row r="1093" ht="57" customHeight="1">
      <ns0:c r="A1093" s="19" t="inlineStr">
        <ns0:is>
          <ns0:t>199</ns0:t>
        </ns0:is>
      </ns0:c>
      <ns0:c r="B1093" s="19" t="inlineStr">
        <ns0:is>
          <ns0:t>ai_type</ns0:t>
        </ns0:is>
      </ns0:c>
      <ns0:c r="C1093" s="19" t="inlineStr">
        <ns0:is>
          <ns0:t>Hybrid</ns0:t>
        </ns0:is>
      </ns0:c>
      <ns0:c r="D1093" s="19" t="inlineStr">
        <ns0:is>
          <ns0:t>Machine Learning</ns0:t>
        </ns0:is>
      </ns0:c>
      <ns0:c r="E1093" s="19" t="inlineStr">
        <ns0:is>
          <ns0:t>mCARE platform was deployed, but the AI models were trained/tested retrospectively on its collected records. Platform deployment is not proof that ML predictions drove care.
Clinical data-collection/communication platform deployed; AI predictions evaluated offline. Do not equate the two.</ns0:t>
        </ns0:is>
      </ns0:c>
      <ns0:c r="F1093" s="19" t="inlineStr">
        <ns0:is>
          <ns0:t>https://doi.org/10.2196/29242</ns0:t>
        </ns0:is>
      </ns0:c>
      <ns0:c r="G1093" s="19" t="inlineStr">
        <ns0:is>
          <ns0:t>ChatGPT-assisted evidence recharting, 2026-09-08</ns0:t>
        </ns0:is>
      </ns0:c>
    </ns0:row>
    <ns0:row r="1094" ht="57" customHeight="1">
      <ns0:c r="A1094" s="21" t="inlineStr">
        <ns0:is>
          <ns0:t>199</ns0:t>
        </ns0:is>
      </ns0:c>
      <ns0:c r="B1094" s="21" t="inlineStr">
        <ns0:is>
          <ns0:t>data_source_primary</ns0:t>
        </ns0:is>
      </ns0:c>
      <ns0:c r="C1094" s="21" t="inlineStr">
        <ns0:is>
          <ns0:t>Not specified</ns0:t>
        </ns0:is>
      </ns0:c>
      <ns0:c r="D1094" s="21" t="inlineStr">
        <ns0:is>
          <ns0:t>Structured clinical/questionnaire data</ns0:t>
        </ns0:is>
      </ns0:c>
      <ns0:c r="E1094" s="21" t="inlineStr">
        <ns0:is>
          <ns0:t>mCARE platform was deployed, but the AI models were trained/tested retrospectively on its collected records. Platform deployment is not proof that ML predictions drove care.
Clinical data-collection/communication platform deployed; AI predictions evaluated offline. Do not equate the two.</ns0:t>
        </ns0:is>
      </ns0:c>
      <ns0:c r="F1094" s="21" t="inlineStr">
        <ns0:is>
          <ns0:t>https://doi.org/10.2196/29242</ns0:t>
        </ns0:is>
      </ns0:c>
      <ns0:c r="G1094" s="21" t="inlineStr">
        <ns0:is>
          <ns0:t>ChatGPT-assisted evidence recharting, 2026-09-08</ns0:t>
        </ns0:is>
      </ns0:c>
    </ns0:row>
    <ns0:row r="1095" ht="57" customHeight="1">
      <ns0:c r="A1095" s="19" t="inlineStr">
        <ns0:is>
          <ns0:t>199</ns0:t>
        </ns0:is>
      </ns0:c>
      <ns0:c r="B1095" s="19" t="inlineStr">
        <ns0:is>
          <ns0:t>algorithm_main</ns0:t>
        </ns0:is>
      </ns0:c>
      <ns0:c r="C1095" s="19" t="inlineStr">
        <ns0:is>
          <ns0:t>MLP</ns0:t>
        </ns0:is>
      </ns0:c>
      <ns0:c r="D1095" s="19" t="inlineStr">
        <ns0:is>
          <ns0:t>Artificial neural network</ns0:t>
        </ns0:is>
      </ns0:c>
      <ns0:c r="E1095" s="19" t="inlineStr">
        <ns0:is>
          <ns0:t>mCARE platform was deployed, but the AI models were trained/tested retrospectively on its collected records. Platform deployment is not proof that ML predictions drove care.
Clinical data-collection/communication platform deployed; AI predictions evaluated offline. Do not equate the two.</ns0:t>
        </ns0:is>
      </ns0:c>
      <ns0:c r="F1095" s="19" t="inlineStr">
        <ns0:is>
          <ns0:t>https://doi.org/10.2196/29242</ns0:t>
        </ns0:is>
      </ns0:c>
      <ns0:c r="G1095" s="19" t="inlineStr">
        <ns0:is>
          <ns0:t>ChatGPT-assisted evidence recharting, 2026-09-08</ns0:t>
        </ns0:is>
      </ns0:c>
    </ns0:row>
    <ns0:row r="1096" ht="57" customHeight="1">
      <ns0:c r="A1096" s="21" t="inlineStr">
        <ns0:is>
          <ns0:t>199</ns0:t>
        </ns0:is>
      </ns0:c>
      <ns0:c r="B1096" s="21" t="inlineStr">
        <ns0:is>
          <ns0:t>rq2_status</ns0:t>
        </ns0:is>
      </ns0:c>
      <ns0:c r="C1096" s="21" t="inlineStr">
        <ns0:is>
          <ns0:t>Not adjudicated in master</ns0:t>
        </ns0:is>
      </ns0:c>
      <ns0:c r="D1096" s="21" t="inlineStr">
        <ns0:is>
          <ns0:t>Research only</ns0:t>
        </ns0:is>
      </ns0:c>
      <ns0:c r="E1096" s="21" t="inlineStr">
        <ns0:is>
          <ns0:t>mCARE platform was deployed, but the AI models were trained/tested retrospectively on its collected records. Platform deployment is not proof that ML predictions drove care.
Clinical data-collection/communication platform deployed; AI predictions evaluated offline. Do not equate the two.</ns0:t>
        </ns0:is>
      </ns0:c>
      <ns0:c r="F1096" s="21" t="inlineStr">
        <ns0:is>
          <ns0:t>https://doi.org/10.2196/29242</ns0:t>
        </ns0:is>
      </ns0:c>
      <ns0:c r="G1096" s="21" t="inlineStr">
        <ns0:is>
          <ns0:t>ChatGPT-assisted evidence recharting, 2026-09-08</ns0:t>
        </ns0:is>
      </ns0:c>
    </ns0:row>
    <ns0:row r="1097" ht="57" customHeight="1">
      <ns0:c r="A1097" s="19" t="inlineStr">
        <ns0:is>
          <ns0:t>199</ns0:t>
        </ns0:is>
      </ns0:c>
      <ns0:c r="B1097" s="19" t="inlineStr">
        <ns0:is>
          <ns0:t>rq2_role</ns0:t>
        </ns0:is>
      </ns0:c>
      <ns0:c r="C1097" s="19" t="inlineStr"/>
      <ns0:c r="D1097" s="19" t="inlineStr">
        <ns0:is>
          <ns0:t>Monitoring/longitudinal analysis</ns0:t>
        </ns0:is>
      </ns0:c>
      <ns0:c r="E1097" s="19" t="inlineStr">
        <ns0:is>
          <ns0:t>mCARE platform was deployed, but the AI models were trained/tested retrospectively on its collected records. Platform deployment is not proof that ML predictions drove care.
Clinical data-collection/communication platform deployed; AI predictions evaluated offline. Do not equate the two.</ns0:t>
        </ns0:is>
      </ns0:c>
      <ns0:c r="F1097" s="19" t="inlineStr">
        <ns0:is>
          <ns0:t>https://doi.org/10.2196/29242</ns0:t>
        </ns0:is>
      </ns0:c>
      <ns0:c r="G1097" s="19" t="inlineStr">
        <ns0:is>
          <ns0:t>ChatGPT-assisted evidence recharting, 2026-09-08</ns0:t>
        </ns0:is>
      </ns0:c>
    </ns0:row>
    <ns0:row r="1098" ht="57" customHeight="1">
      <ns0:c r="A1098" s="21" t="inlineStr">
        <ns0:is>
          <ns0:t>199</ns0:t>
        </ns0:is>
      </ns0:c>
      <ns0:c r="B1098" s="21" t="inlineStr">
        <ns0:is>
          <ns0:t>decision_timing</ns0:t>
        </ns0:is>
      </ns0:c>
      <ns0:c r="C1098" s="21" t="inlineStr"/>
      <ns0:c r="D1098" s="21" t="inlineStr">
        <ns0:is>
          <ns0:t>Not observed in assessed sources</ns0:t>
        </ns0:is>
      </ns0:c>
      <ns0:c r="E1098" s="21" t="inlineStr">
        <ns0:is>
          <ns0:t>mCARE platform was deployed, but the AI models were trained/tested retrospectively on its collected records. Platform deployment is not proof that ML predictions drove care.
Clinical data-collection/communication platform deployed; AI predictions evaluated offline. Do not equate the two.</ns0:t>
        </ns0:is>
      </ns0:c>
      <ns0:c r="F1098" s="21" t="inlineStr">
        <ns0:is>
          <ns0:t>https://doi.org/10.2196/29242</ns0:t>
        </ns0:is>
      </ns0:c>
      <ns0:c r="G1098" s="21" t="inlineStr">
        <ns0:is>
          <ns0:t>ChatGPT-assisted evidence recharting, 2026-09-08</ns0:t>
        </ns0:is>
      </ns0:c>
    </ns0:row>
    <ns0:row r="1099" ht="57" customHeight="1">
      <ns0:c r="A1099" s="19" t="inlineStr">
        <ns0:is>
          <ns0:t>199</ns0:t>
        </ns0:is>
      </ns0:c>
      <ns0:c r="B1099" s="19" t="inlineStr">
        <ns0:is>
          <ns0:t>xai_partial</ns0:t>
        </ns0:is>
      </ns0:c>
      <ns0:c r="C1099" s="19" t="inlineStr">
        <ns0:is>
          <ns0:t>Not reported in assessed sources</ns0:t>
        </ns0:is>
      </ns0:c>
      <ns0:c r="D1099" s="19" t="inlineStr">
        <ns0:is>
          <ns0:t>Reported</ns0:t>
        </ns0:is>
      </ns0:c>
      <ns0:c r="E1099" s="19" t="inlineStr">
        <ns0:is>
          <ns0:t>mCARE platform was deployed, but the AI models were trained/tested retrospectively on its collected records. Platform deployment is not proof that ML predictions drove care.
Clinical data-collection/communication platform deployed; AI predictions evaluated offline. Do not equate the two.</ns0:t>
        </ns0:is>
      </ns0:c>
      <ns0:c r="F1099" s="19" t="inlineStr">
        <ns0:is>
          <ns0:t>https://doi.org/10.2196/29242</ns0:t>
        </ns0:is>
      </ns0:c>
      <ns0:c r="G1099" s="19" t="inlineStr">
        <ns0:is>
          <ns0:t>ChatGPT-assisted evidence recharting, 2026-09-08</ns0:t>
        </ns0:is>
      </ns0:c>
    </ns0:row>
    <ns0:row r="1100" ht="42" customHeight="1">
      <ns0:c r="A1100" s="21" t="inlineStr">
        <ns0:is>
          <ns0:t>200</ns0:t>
        </ns0:is>
      </ns0:c>
      <ns0:c r="B1100" s="21" t="inlineStr">
        <ns0:is>
          <ns0:t>data_source_primary</ns0:t>
        </ns0:is>
      </ns0:c>
      <ns0:c r="C1100" s="21" t="inlineStr">
        <ns0:is>
          <ns0:t>Not specified</ns0:t>
        </ns0:is>
      </ns0:c>
      <ns0:c r="D1100" s="21" t="inlineStr">
        <ns0:is>
          <ns0:t>Structured clinical/questionnaire data</ns0:t>
        </ns0:is>
      </ns0:c>
      <ns0:c r="E1100" s="21" t="inlineStr">
        <ns0:is>
          <ns0:t>ISAA item scores and six added attributes for severity/attention prioritization. The best reported primary classifier is SVM, with a separate MLP alternative.</ns0:t>
        </ns0:is>
      </ns0:c>
      <ns0:c r="F1100" s="21" t="inlineStr">
        <ns0:is>
          <ns0:t>https://doi.org/10.1007/s11042-024-18519-y</ns0:t>
        </ns0:is>
      </ns0:c>
      <ns0:c r="G1100" s="21" t="inlineStr">
        <ns0:is>
          <ns0:t>ChatGPT-assisted evidence recharting, 2026-09-08</ns0:t>
        </ns0:is>
      </ns0:c>
    </ns0:row>
    <ns0:row r="1101" ht="42" customHeight="1">
      <ns0:c r="A1101" s="19" t="inlineStr">
        <ns0:is>
          <ns0:t>200</ns0:t>
        </ns0:is>
      </ns0:c>
      <ns0:c r="B1101" s="19" t="inlineStr">
        <ns0:is>
          <ns0:t>rq2_status</ns0:t>
        </ns0:is>
      </ns0:c>
      <ns0:c r="C1101" s="19" t="inlineStr">
        <ns0:is>
          <ns0:t>Not adjudicated in master</ns0:t>
        </ns0:is>
      </ns0:c>
      <ns0:c r="D1101" s="19" t="inlineStr">
        <ns0:is>
          <ns0:t>Proposed only</ns0:t>
        </ns0:is>
      </ns0:c>
      <ns0:c r="E1101" s="19" t="inlineStr">
        <ns0:is>
          <ns0:t>ISAA item scores and six added attributes for severity/attention prioritization. The best reported primary classifier is SVM, with a separate MLP alternative.</ns0:t>
        </ns0:is>
      </ns0:c>
      <ns0:c r="F1101" s="19" t="inlineStr">
        <ns0:is>
          <ns0:t>https://doi.org/10.1007/s11042-024-18519-y</ns0:t>
        </ns0:is>
      </ns0:c>
      <ns0:c r="G1101" s="19" t="inlineStr">
        <ns0:is>
          <ns0:t>ChatGPT-assisted evidence recharting, 2026-09-08</ns0:t>
        </ns0:is>
      </ns0:c>
    </ns0:row>
    <ns0:row r="1102" ht="42" customHeight="1">
      <ns0:c r="A1102" s="21" t="inlineStr">
        <ns0:is>
          <ns0:t>200</ns0:t>
        </ns0:is>
      </ns0:c>
      <ns0:c r="B1102" s="21" t="inlineStr">
        <ns0:is>
          <ns0:t>rq2_role</ns0:t>
        </ns0:is>
      </ns0:c>
      <ns0:c r="C1102" s="21" t="inlineStr"/>
      <ns0:c r="D1102" s="21" t="inlineStr">
        <ns0:is>
          <ns0:t>Triage/questionnaire assessment</ns0:t>
        </ns0:is>
      </ns0:c>
      <ns0:c r="E1102" s="21" t="inlineStr">
        <ns0:is>
          <ns0:t>ISAA item scores and six added attributes for severity/attention prioritization. The best reported primary classifier is SVM, with a separate MLP alternative.</ns0:t>
        </ns0:is>
      </ns0:c>
      <ns0:c r="F1102" s="21" t="inlineStr">
        <ns0:is>
          <ns0:t>https://doi.org/10.1007/s11042-024-18519-y</ns0:t>
        </ns0:is>
      </ns0:c>
      <ns0:c r="G1102" s="21" t="inlineStr">
        <ns0:is>
          <ns0:t>ChatGPT-assisted evidence recharting, 2026-09-08</ns0:t>
        </ns0:is>
      </ns0:c>
    </ns0:row>
    <ns0:row r="1103" ht="42" customHeight="1">
      <ns0:c r="A1103" s="19" t="inlineStr">
        <ns0:is>
          <ns0:t>200</ns0:t>
        </ns0:is>
      </ns0:c>
      <ns0:c r="B1103" s="19" t="inlineStr">
        <ns0:is>
          <ns0:t>decision_timing</ns0:t>
        </ns0:is>
      </ns0:c>
      <ns0:c r="C1103" s="19" t="inlineStr"/>
      <ns0:c r="D1103" s="19" t="inlineStr">
        <ns0:is>
          <ns0:t>Pre-decision</ns0:t>
        </ns0:is>
      </ns0:c>
      <ns0:c r="E1103" s="19" t="inlineStr">
        <ns0:is>
          <ns0:t>ISAA item scores and six added attributes for severity/attention prioritization. The best reported primary classifier is SVM, with a separate MLP alternative.</ns0:t>
        </ns0:is>
      </ns0:c>
      <ns0:c r="F1103" s="19" t="inlineStr">
        <ns0:is>
          <ns0:t>https://doi.org/10.1007/s11042-024-18519-y</ns0:t>
        </ns0:is>
      </ns0:c>
      <ns0:c r="G1103" s="19" t="inlineStr">
        <ns0:is>
          <ns0:t>ChatGPT-assisted evidence recharting, 2026-09-08</ns0:t>
        </ns0:is>
      </ns0:c>
    </ns0:row>
    <ns0:row r="1104" ht="42" customHeight="1">
      <ns0:c r="A1104" s="21" t="inlineStr">
        <ns0:is>
          <ns0:t>201</ns0:t>
        </ns0:is>
      </ns0:c>
      <ns0:c r="B1104" s="21" t="inlineStr">
        <ns0:is>
          <ns0:t>data_source_primary</ns0:t>
        </ns0:is>
      </ns0:c>
      <ns0:c r="C1104" s="21" t="inlineStr">
        <ns0:is>
          <ns0:t>Physiological signals</ns0:t>
        </ns0:is>
      </ns0:c>
      <ns0:c r="D1104" s="21" t="inlineStr">
        <ns0:is>
          <ns0:t>Structured clinical/questionnaire data</ns0:t>
        </ns0:is>
      </ns0:c>
      <ns0:c r="E1104" s="21" t="inlineStr">
        <ns0:is>
          <ns0:t>Structured age-group screening datasets and feature significance; no electrophysiology. Different cohort-specific winning models are retained explicitly.</ns0:t>
        </ns0:is>
      </ns0:c>
      <ns0:c r="F1104" s="21" t="inlineStr">
        <ns0:is>
          <ns0:t>https://doi.org/10.1155/acis/9975499</ns0:t>
        </ns0:is>
      </ns0:c>
      <ns0:c r="G1104" s="21" t="inlineStr">
        <ns0:is>
          <ns0:t>ChatGPT-assisted evidence recharting, 2026-09-08</ns0:t>
        </ns0:is>
      </ns0:c>
    </ns0:row>
    <ns0:row r="1105" ht="42" customHeight="1">
      <ns0:c r="A1105" s="19" t="inlineStr">
        <ns0:is>
          <ns0:t>201</ns0:t>
        </ns0:is>
      </ns0:c>
      <ns0:c r="B1105" s="19" t="inlineStr">
        <ns0:is>
          <ns0:t>algorithm_main</ns0:t>
        </ns0:is>
      </ns0:c>
      <ns0:c r="C1105" s="19" t="inlineStr">
        <ns0:is>
          <ns0:t>SVM</ns0:t>
        </ns0:is>
      </ns0:c>
      <ns0:c r="D1105" s="19" t="inlineStr">
        <ns0:is>
          <ns0:t>SVM; MLP for the Pakistani subset</ns0:t>
        </ns0:is>
      </ns0:c>
      <ns0:c r="E1105" s="19" t="inlineStr">
        <ns0:is>
          <ns0:t>Structured age-group screening datasets and feature significance; no electrophysiology. Different cohort-specific winning models are retained explicitly.</ns0:t>
        </ns0:is>
      </ns0:c>
      <ns0:c r="F1105" s="19" t="inlineStr">
        <ns0:is>
          <ns0:t>https://doi.org/10.1155/acis/9975499</ns0:t>
        </ns0:is>
      </ns0:c>
      <ns0:c r="G1105" s="19" t="inlineStr">
        <ns0:is>
          <ns0:t>ChatGPT-assisted evidence recharting, 2026-09-08</ns0:t>
        </ns0:is>
      </ns0:c>
    </ns0:row>
    <ns0:row r="1106" ht="42" customHeight="1">
      <ns0:c r="A1106" s="21" t="inlineStr">
        <ns0:is>
          <ns0:t>201</ns0:t>
        </ns0:is>
      </ns0:c>
      <ns0:c r="B1106" s="21" t="inlineStr">
        <ns0:is>
          <ns0:t>rq2_status</ns0:t>
        </ns0:is>
      </ns0:c>
      <ns0:c r="C1106" s="21" t="inlineStr">
        <ns0:is>
          <ns0:t>Not adjudicated in master</ns0:t>
        </ns0:is>
      </ns0:c>
      <ns0:c r="D1106" s="21" t="inlineStr">
        <ns0:is>
          <ns0:t>Research only</ns0:t>
        </ns0:is>
      </ns0:c>
      <ns0:c r="E1106" s="21" t="inlineStr">
        <ns0:is>
          <ns0:t>Structured age-group screening datasets and feature significance; no electrophysiology. Different cohort-specific winning models are retained explicitly.</ns0:t>
        </ns0:is>
      </ns0:c>
      <ns0:c r="F1106" s="21" t="inlineStr">
        <ns0:is>
          <ns0:t>https://doi.org/10.1155/acis/9975499</ns0:t>
        </ns0:is>
      </ns0:c>
      <ns0:c r="G1106" s="21" t="inlineStr">
        <ns0:is>
          <ns0:t>ChatGPT-assisted evidence recharting, 2026-09-08</ns0:t>
        </ns0:is>
      </ns0:c>
    </ns0:row>
    <ns0:row r="1107" ht="42" customHeight="1">
      <ns0:c r="A1107" s="19" t="inlineStr">
        <ns0:is>
          <ns0:t>201</ns0:t>
        </ns0:is>
      </ns0:c>
      <ns0:c r="B1107" s="19" t="inlineStr">
        <ns0:is>
          <ns0:t>rq2_role</ns0:t>
        </ns0:is>
      </ns0:c>
      <ns0:c r="C1107" s="19" t="inlineStr"/>
      <ns0:c r="D1107" s="19" t="inlineStr">
        <ns0:is>
          <ns0:t>Triage/questionnaire assessment</ns0:t>
        </ns0:is>
      </ns0:c>
      <ns0:c r="E1107" s="19" t="inlineStr">
        <ns0:is>
          <ns0:t>Structured age-group screening datasets and feature significance; no electrophysiology. Different cohort-specific winning models are retained explicitly.</ns0:t>
        </ns0:is>
      </ns0:c>
      <ns0:c r="F1107" s="19" t="inlineStr">
        <ns0:is>
          <ns0:t>https://doi.org/10.1155/acis/9975499</ns0:t>
        </ns0:is>
      </ns0:c>
      <ns0:c r="G1107" s="19" t="inlineStr">
        <ns0:is>
          <ns0:t>ChatGPT-assisted evidence recharting, 2026-09-08</ns0:t>
        </ns0:is>
      </ns0:c>
    </ns0:row>
    <ns0:row r="1108" ht="42" customHeight="1">
      <ns0:c r="A1108" s="21" t="inlineStr">
        <ns0:is>
          <ns0:t>201</ns0:t>
        </ns0:is>
      </ns0:c>
      <ns0:c r="B1108" s="21" t="inlineStr">
        <ns0:is>
          <ns0:t>decision_timing</ns0:t>
        </ns0:is>
      </ns0:c>
      <ns0:c r="C1108" s="21" t="inlineStr"/>
      <ns0:c r="D1108" s="21" t="inlineStr">
        <ns0:is>
          <ns0:t>Not observed in assessed sources</ns0:t>
        </ns0:is>
      </ns0:c>
      <ns0:c r="E1108" s="21" t="inlineStr">
        <ns0:is>
          <ns0:t>Structured age-group screening datasets and feature significance; no electrophysiology. Different cohort-specific winning models are retained explicitly.</ns0:t>
        </ns0:is>
      </ns0:c>
      <ns0:c r="F1108" s="21" t="inlineStr">
        <ns0:is>
          <ns0:t>https://doi.org/10.1155/acis/9975499</ns0:t>
        </ns0:is>
      </ns0:c>
      <ns0:c r="G1108" s="21" t="inlineStr">
        <ns0:is>
          <ns0:t>ChatGPT-assisted evidence recharting, 2026-09-08</ns0:t>
        </ns0:is>
      </ns0:c>
    </ns0:row>
    <ns0:row r="1109" ht="42" customHeight="1">
      <ns0:c r="A1109" s="19" t="inlineStr">
        <ns0:is>
          <ns0:t>201</ns0:t>
        </ns0:is>
      </ns0:c>
      <ns0:c r="B1109" s="19" t="inlineStr">
        <ns0:is>
          <ns0:t>xai_partial</ns0:t>
        </ns0:is>
      </ns0:c>
      <ns0:c r="C1109" s="19" t="inlineStr">
        <ns0:is>
          <ns0:t>Not reported in assessed sources</ns0:t>
        </ns0:is>
      </ns0:c>
      <ns0:c r="D1109" s="19" t="inlineStr">
        <ns0:is>
          <ns0:t>Reported</ns0:t>
        </ns0:is>
      </ns0:c>
      <ns0:c r="E1109" s="19" t="inlineStr">
        <ns0:is>
          <ns0:t>Structured age-group screening datasets and feature significance; no electrophysiology. Different cohort-specific winning models are retained explicitly.</ns0:t>
        </ns0:is>
      </ns0:c>
      <ns0:c r="F1109" s="19" t="inlineStr">
        <ns0:is>
          <ns0:t>https://doi.org/10.1155/acis/9975499</ns0:t>
        </ns0:is>
      </ns0:c>
      <ns0:c r="G1109" s="19" t="inlineStr">
        <ns0:is>
          <ns0:t>ChatGPT-assisted evidence recharting, 2026-09-08</ns0:t>
        </ns0:is>
      </ns0:c>
    </ns0:row>
    <ns0:row r="1110" ht="42" customHeight="1">
      <ns0:c r="A1110" s="21" t="inlineStr">
        <ns0:is>
          <ns0:t>202</ns0:t>
        </ns0:is>
      </ns0:c>
      <ns0:c r="B1110" s="21" t="inlineStr">
        <ns0:is>
          <ns0:t>ai_type</ns0:t>
        </ns0:is>
      </ns0:c>
      <ns0:c r="C1110" s="21" t="inlineStr">
        <ns0:is>
          <ns0:t>Deep Learning</ns0:t>
        </ns0:is>
      </ns0:c>
      <ns0:c r="D1110" s="21" t="inlineStr">
        <ns0:is>
          <ns0:t>Machine Learning</ns0:t>
        </ns0:is>
      </ns0:c>
      <ns0:c r="E1110" s="21" t="inlineStr">
        <ns0:is>
          <ns0:t>EEG power/connectivity classification with reproducibility-focused model selection; not a deep network. Model association stability does not equal cross-site validation.</ns0:t>
        </ns0:is>
      </ns0:c>
      <ns0:c r="F1110" s="21" t="inlineStr">
        <ns0:is>
          <ns0:t>https://doi.org/10.1038/s41598-024-76659-5</ns0:t>
        </ns0:is>
      </ns0:c>
      <ns0:c r="G1110" s="21" t="inlineStr">
        <ns0:is>
          <ns0:t>ChatGPT-assisted evidence recharting, 2026-09-08</ns0:t>
        </ns0:is>
      </ns0:c>
    </ns0:row>
    <ns0:row r="1111" ht="42" customHeight="1">
      <ns0:c r="A1111" s="19" t="inlineStr">
        <ns0:is>
          <ns0:t>202</ns0:t>
        </ns0:is>
      </ns0:c>
      <ns0:c r="B1111" s="19" t="inlineStr">
        <ns0:is>
          <ns0:t>algorithm_main</ns0:t>
        </ns0:is>
      </ns0:c>
      <ns0:c r="C1111" s="19" t="inlineStr">
        <ns0:is>
          <ns0:t>Other / Not clear</ns0:t>
        </ns0:is>
      </ns0:c>
      <ns0:c r="D1111" s="19" t="inlineStr">
        <ns0:is>
          <ns0:t>Regularized generalized linear model</ns0:t>
        </ns0:is>
      </ns0:c>
      <ns0:c r="E1111" s="19" t="inlineStr">
        <ns0:is>
          <ns0:t>EEG power/connectivity classification with reproducibility-focused model selection; not a deep network. Model association stability does not equal cross-site validation.</ns0:t>
        </ns0:is>
      </ns0:c>
      <ns0:c r="F1111" s="19" t="inlineStr">
        <ns0:is>
          <ns0:t>https://doi.org/10.1038/s41598-024-76659-5</ns0:t>
        </ns0:is>
      </ns0:c>
      <ns0:c r="G1111" s="19" t="inlineStr">
        <ns0:is>
          <ns0:t>ChatGPT-assisted evidence recharting, 2026-09-08</ns0:t>
        </ns0:is>
      </ns0:c>
    </ns0:row>
    <ns0:row r="1112" ht="42" customHeight="1">
      <ns0:c r="A1112" s="21" t="inlineStr">
        <ns0:is>
          <ns0:t>202</ns0:t>
        </ns0:is>
      </ns0:c>
      <ns0:c r="B1112" s="21" t="inlineStr">
        <ns0:is>
          <ns0:t>rq2_status</ns0:t>
        </ns0:is>
      </ns0:c>
      <ns0:c r="C1112" s="21" t="inlineStr">
        <ns0:is>
          <ns0:t>Not adjudicated in master</ns0:t>
        </ns0:is>
      </ns0:c>
      <ns0:c r="D1112" s="21" t="inlineStr">
        <ns0:is>
          <ns0:t>Research only</ns0:t>
        </ns0:is>
      </ns0:c>
      <ns0:c r="E1112" s="21" t="inlineStr">
        <ns0:is>
          <ns0:t>EEG power/connectivity classification with reproducibility-focused model selection; not a deep network. Model association stability does not equal cross-site validation.</ns0:t>
        </ns0:is>
      </ns0:c>
      <ns0:c r="F1112" s="21" t="inlineStr">
        <ns0:is>
          <ns0:t>https://doi.org/10.1038/s41598-024-76659-5</ns0:t>
        </ns0:is>
      </ns0:c>
      <ns0:c r="G1112" s="21" t="inlineStr">
        <ns0:is>
          <ns0:t>ChatGPT-assisted evidence recharting, 2026-09-08</ns0:t>
        </ns0:is>
      </ns0:c>
    </ns0:row>
    <ns0:row r="1113" ht="42" customHeight="1">
      <ns0:c r="A1113" s="19" t="inlineStr">
        <ns0:is>
          <ns0:t>202</ns0:t>
        </ns0:is>
      </ns0:c>
      <ns0:c r="B1113" s="19" t="inlineStr">
        <ns0:is>
          <ns0:t>rq2_role</ns0:t>
        </ns0:is>
      </ns0:c>
      <ns0:c r="C1113" s="19" t="inlineStr"/>
      <ns0:c r="D1113" s="19" t="inlineStr">
        <ns0:is>
          <ns0:t>Automated measurement/classification</ns0:t>
        </ns0:is>
      </ns0:c>
      <ns0:c r="E1113" s="19" t="inlineStr">
        <ns0:is>
          <ns0:t>EEG power/connectivity classification with reproducibility-focused model selection; not a deep network. Model association stability does not equal cross-site validation.</ns0:t>
        </ns0:is>
      </ns0:c>
      <ns0:c r="F1113" s="19" t="inlineStr">
        <ns0:is>
          <ns0:t>https://doi.org/10.1038/s41598-024-76659-5</ns0:t>
        </ns0:is>
      </ns0:c>
      <ns0:c r="G1113" s="19" t="inlineStr">
        <ns0:is>
          <ns0:t>ChatGPT-assisted evidence recharting, 2026-09-08</ns0:t>
        </ns0:is>
      </ns0:c>
    </ns0:row>
    <ns0:row r="1114" ht="42" customHeight="1">
      <ns0:c r="A1114" s="21" t="inlineStr">
        <ns0:is>
          <ns0:t>202</ns0:t>
        </ns0:is>
      </ns0:c>
      <ns0:c r="B1114" s="21" t="inlineStr">
        <ns0:is>
          <ns0:t>decision_timing</ns0:t>
        </ns0:is>
      </ns0:c>
      <ns0:c r="C1114" s="21" t="inlineStr"/>
      <ns0:c r="D1114" s="21" t="inlineStr">
        <ns0:is>
          <ns0:t>Not observed in assessed sources</ns0:t>
        </ns0:is>
      </ns0:c>
      <ns0:c r="E1114" s="21" t="inlineStr">
        <ns0:is>
          <ns0:t>EEG power/connectivity classification with reproducibility-focused model selection; not a deep network. Model association stability does not equal cross-site validation.</ns0:t>
        </ns0:is>
      </ns0:c>
      <ns0:c r="F1114" s="21" t="inlineStr">
        <ns0:is>
          <ns0:t>https://doi.org/10.1038/s41598-024-76659-5</ns0:t>
        </ns0:is>
      </ns0:c>
      <ns0:c r="G1114" s="21" t="inlineStr">
        <ns0:is>
          <ns0:t>ChatGPT-assisted evidence recharting, 2026-09-08</ns0:t>
        </ns0:is>
      </ns0:c>
    </ns0:row>
    <ns0:row r="1115" ht="42" customHeight="1">
      <ns0:c r="A1115" s="19" t="inlineStr">
        <ns0:is>
          <ns0:t>202</ns0:t>
        </ns0:is>
      </ns0:c>
      <ns0:c r="B1115" s="19" t="inlineStr">
        <ns0:is>
          <ns0:t>xai_partial</ns0:t>
        </ns0:is>
      </ns0:c>
      <ns0:c r="C1115" s="19" t="inlineStr">
        <ns0:is>
          <ns0:t>Not reported in assessed sources</ns0:t>
        </ns0:is>
      </ns0:c>
      <ns0:c r="D1115" s="19" t="inlineStr">
        <ns0:is>
          <ns0:t>Reported</ns0:t>
        </ns0:is>
      </ns0:c>
      <ns0:c r="E1115" s="19" t="inlineStr">
        <ns0:is>
          <ns0:t>EEG power/connectivity classification with reproducibility-focused model selection; not a deep network. Model association stability does not equal cross-site validation.</ns0:t>
        </ns0:is>
      </ns0:c>
      <ns0:c r="F1115" s="19" t="inlineStr">
        <ns0:is>
          <ns0:t>https://doi.org/10.1038/s41598-024-76659-5</ns0:t>
        </ns0:is>
      </ns0:c>
      <ns0:c r="G1115" s="19" t="inlineStr">
        <ns0:is>
          <ns0:t>ChatGPT-assisted evidence recharting, 2026-09-08</ns0:t>
        </ns0:is>
      </ns0:c>
    </ns0:row>
    <ns0:row r="1116" ht="57" customHeight="1">
      <ns0:c r="A1116" s="21" t="inlineStr">
        <ns0:is>
          <ns0:t>203</ns0:t>
        </ns0:is>
      </ns0:c>
      <ns0:c r="B1116" s="21" t="inlineStr">
        <ns0:is>
          <ns0:t>ai_type</ns0:t>
        </ns0:is>
      </ns0:c>
      <ns0:c r="C1116" s="21" t="inlineStr">
        <ns0:is>
          <ns0:t>Hybrid</ns0:t>
        </ns0:is>
      </ns0:c>
      <ns0:c r="D1116" s="21" t="inlineStr">
        <ns0:is>
          <ns0:t>Deep Learning</ns0:t>
        </ns0:is>
      </ns0:c>
      <ns0:c r="E1116" s="21" t="inlineStr">
        <ns0:is>
          <ns0:t>Explicit EEG and facial-image feature fusion, with neural CNN and recurrent components. The word hybrid denotes a combination of deep architectures, not conventional-ML/DL integration.
Fusion is reported; participant-level pairing across EEG and face data is not established by the accessible abstract.</ns0:t>
        </ns0:is>
      </ns0:c>
      <ns0:c r="F1116" s="21" t="inlineStr">
        <ns0:is>
          <ns0:t>https://doi.org/10.1016/j.cmpb.2024.108492</ns0:t>
        </ns0:is>
      </ns0:c>
      <ns0:c r="G1116" s="21" t="inlineStr">
        <ns0:is>
          <ns0:t>ChatGPT-assisted evidence recharting, 2026-09-08</ns0:t>
        </ns0:is>
      </ns0:c>
    </ns0:row>
    <ns0:row r="1117" ht="57" customHeight="1">
      <ns0:c r="A1117" s="19" t="inlineStr">
        <ns0:is>
          <ns0:t>203</ns0:t>
        </ns0:is>
      </ns0:c>
      <ns0:c r="B1117" s="19" t="inlineStr">
        <ns0:is>
          <ns0:t>data_source_primary</ns0:t>
        </ns0:is>
      </ns0:c>
      <ns0:c r="C1117" s="19" t="inlineStr">
        <ns0:is>
          <ns0:t>Image (subtype unresolved)</ns0:t>
        </ns0:is>
      </ns0:c>
      <ns0:c r="D1117" s="19" t="inlineStr">
        <ns0:is>
          <ns0:t>Multiple source categories</ns0:t>
        </ns0:is>
      </ns0:c>
      <ns0:c r="E1117" s="19" t="inlineStr">
        <ns0:is>
          <ns0:t>Explicit EEG and facial-image feature fusion, with neural CNN and recurrent components. The word hybrid denotes a combination of deep architectures, not conventional-ML/DL integration.
Fusion is reported; participant-level pairing across EEG and face data is not established by the accessible abstract.</ns0:t>
        </ns0:is>
      </ns0:c>
      <ns0:c r="F1117" s="19" t="inlineStr">
        <ns0:is>
          <ns0:t>https://doi.org/10.1016/j.cmpb.2024.108492</ns0:t>
        </ns0:is>
      </ns0:c>
      <ns0:c r="G1117" s="19" t="inlineStr">
        <ns0:is>
          <ns0:t>ChatGPT-assisted evidence recharting, 2026-09-08</ns0:t>
        </ns0:is>
      </ns0:c>
    </ns0:row>
    <ns0:row r="1118" ht="57" customHeight="1">
      <ns0:c r="A1118" s="21" t="inlineStr">
        <ns0:is>
          <ns0:t>203</ns0:t>
        </ns0:is>
      </ns0:c>
      <ns0:c r="B1118" s="21" t="inlineStr">
        <ns0:is>
          <ns0:t>algorithm_main</ns0:t>
        </ns0:is>
      </ns0:c>
      <ns0:c r="C1118" s="21" t="inlineStr">
        <ns0:is>
          <ns0:t>Not clear</ns0:t>
        </ns0:is>
      </ns0:c>
      <ns0:c r="D1118" s="21" t="inlineStr">
        <ns0:is>
          <ns0:t>CNN-BiGRU with feature-level fusion</ns0:t>
        </ns0:is>
      </ns0:c>
      <ns0:c r="E1118" s="21" t="inlineStr">
        <ns0:is>
          <ns0:t>Explicit EEG and facial-image feature fusion, with neural CNN and recurrent components. The word hybrid denotes a combination of deep architectures, not conventional-ML/DL integration.
Fusion is reported; participant-level pairing across EEG and face data is not established by the accessible abstract.</ns0:t>
        </ns0:is>
      </ns0:c>
      <ns0:c r="F1118" s="21" t="inlineStr">
        <ns0:is>
          <ns0:t>https://doi.org/10.1016/j.cmpb.2024.108492</ns0:t>
        </ns0:is>
      </ns0:c>
      <ns0:c r="G1118" s="21" t="inlineStr">
        <ns0:is>
          <ns0:t>ChatGPT-assisted evidence recharting, 2026-09-08</ns0:t>
        </ns0:is>
      </ns0:c>
    </ns0:row>
    <ns0:row r="1119" ht="57" customHeight="1">
      <ns0:c r="A1119" s="19" t="inlineStr">
        <ns0:is>
          <ns0:t>203</ns0:t>
        </ns0:is>
      </ns0:c>
      <ns0:c r="B1119" s="19" t="inlineStr">
        <ns0:is>
          <ns0:t>rq2_status</ns0:t>
        </ns0:is>
      </ns0:c>
      <ns0:c r="C1119" s="19" t="inlineStr">
        <ns0:is>
          <ns0:t>Not adjudicated in master</ns0:t>
        </ns0:is>
      </ns0:c>
      <ns0:c r="D1119" s="19" t="inlineStr">
        <ns0:is>
          <ns0:t>Research only</ns0:t>
        </ns0:is>
      </ns0:c>
      <ns0:c r="E1119" s="19" t="inlineStr">
        <ns0:is>
          <ns0:t>Explicit EEG and facial-image feature fusion, with neural CNN and recurrent components. The word hybrid denotes a combination of deep architectures, not conventional-ML/DL integration.
Fusion is reported; participant-level pairing across EEG and face data is not established by the accessible abstract.</ns0:t>
        </ns0:is>
      </ns0:c>
      <ns0:c r="F1119" s="19" t="inlineStr">
        <ns0:is>
          <ns0:t>https://doi.org/10.1016/j.cmpb.2024.108492</ns0:t>
        </ns0:is>
      </ns0:c>
      <ns0:c r="G1119" s="19" t="inlineStr">
        <ns0:is>
          <ns0:t>ChatGPT-assisted evidence recharting, 2026-09-08</ns0:t>
        </ns0:is>
      </ns0:c>
    </ns0:row>
    <ns0:row r="1120" ht="57" customHeight="1">
      <ns0:c r="A1120" s="21" t="inlineStr">
        <ns0:is>
          <ns0:t>203</ns0:t>
        </ns0:is>
      </ns0:c>
      <ns0:c r="B1120" s="21" t="inlineStr">
        <ns0:is>
          <ns0:t>rq2_role</ns0:t>
        </ns0:is>
      </ns0:c>
      <ns0:c r="C1120" s="21" t="inlineStr"/>
      <ns0:c r="D1120" s="21" t="inlineStr">
        <ns0:is>
          <ns0:t>Automated measurement/classification</ns0:t>
        </ns0:is>
      </ns0:c>
      <ns0:c r="E1120" s="21" t="inlineStr">
        <ns0:is>
          <ns0:t>Explicit EEG and facial-image feature fusion, with neural CNN and recurrent components. The word hybrid denotes a combination of deep architectures, not conventional-ML/DL integration.
Fusion is reported; participant-level pairing across EEG and face data is not established by the accessible abstract.</ns0:t>
        </ns0:is>
      </ns0:c>
      <ns0:c r="F1120" s="21" t="inlineStr">
        <ns0:is>
          <ns0:t>https://doi.org/10.1016/j.cmpb.2024.108492</ns0:t>
        </ns0:is>
      </ns0:c>
      <ns0:c r="G1120" s="21" t="inlineStr">
        <ns0:is>
          <ns0:t>ChatGPT-assisted evidence recharting, 2026-09-08</ns0:t>
        </ns0:is>
      </ns0:c>
    </ns0:row>
    <ns0:row r="1121" ht="57" customHeight="1">
      <ns0:c r="A1121" s="19" t="inlineStr">
        <ns0:is>
          <ns0:t>203</ns0:t>
        </ns0:is>
      </ns0:c>
      <ns0:c r="B1121" s="19" t="inlineStr">
        <ns0:is>
          <ns0:t>decision_timing</ns0:t>
        </ns0:is>
      </ns0:c>
      <ns0:c r="C1121" s="19" t="inlineStr"/>
      <ns0:c r="D1121" s="19" t="inlineStr">
        <ns0:is>
          <ns0:t>Not observed in assessed sources</ns0:t>
        </ns0:is>
      </ns0:c>
      <ns0:c r="E1121" s="19" t="inlineStr">
        <ns0:is>
          <ns0:t>Explicit EEG and facial-image feature fusion, with neural CNN and recurrent components. The word hybrid denotes a combination of deep architectures, not conventional-ML/DL integration.
Fusion is reported; participant-level pairing across EEG and face data is not established by the accessible abstract.</ns0:t>
        </ns0:is>
      </ns0:c>
      <ns0:c r="F1121" s="19" t="inlineStr">
        <ns0:is>
          <ns0:t>https://doi.org/10.1016/j.cmpb.2024.108492</ns0:t>
        </ns0:is>
      </ns0:c>
      <ns0:c r="G1121" s="19" t="inlineStr">
        <ns0:is>
          <ns0:t>ChatGPT-assisted evidence recharting, 2026-09-08</ns0:t>
        </ns0:is>
      </ns0:c>
    </ns0:row>
    <ns0:row r="1122" ht="42" customHeight="1">
      <ns0:c r="A1122" s="21" t="inlineStr">
        <ns0:is>
          <ns0:t>204</ns0:t>
        </ns0:is>
      </ns0:c>
      <ns0:c r="B1122" s="21" t="inlineStr">
        <ns0:is>
          <ns0:t>data_source_primary</ns0:t>
        </ns0:is>
      </ns0:c>
      <ns0:c r="C1122" s="21" t="inlineStr">
        <ns0:is>
          <ns0:t>Not specified</ns0:t>
        </ns0:is>
      </ns0:c>
      <ns0:c r="D1122" s="21" t="inlineStr">
        <ns0:is>
          <ns0:t>Neuroimaging</ns0:t>
        </ns0:is>
      </ns0:c>
      <ns0:c r="E1122" s="21" t="inlineStr">
        <ns0:is>
          <ns0:t>Gray- and white-matter features originate from structural MRI; multiple tissue representations are not additional source modalities.</ns0:t>
        </ns0:is>
      </ns0:c>
      <ns0:c r="F1122" s="21" t="inlineStr">
        <ns0:is>
          <ns0:t>https://doi.org/10.1007/s11682-015-9360-1</ns0:t>
        </ns0:is>
      </ns0:c>
      <ns0:c r="G1122" s="21" t="inlineStr">
        <ns0:is>
          <ns0:t>ChatGPT-assisted evidence recharting, 2026-09-08</ns0:t>
        </ns0:is>
      </ns0:c>
    </ns0:row>
    <ns0:row r="1123" ht="42" customHeight="1">
      <ns0:c r="A1123" s="19" t="inlineStr">
        <ns0:is>
          <ns0:t>204</ns0:t>
        </ns0:is>
      </ns0:c>
      <ns0:c r="B1123" s="19" t="inlineStr">
        <ns0:is>
          <ns0:t>algorithm_main</ns0:t>
        </ns0:is>
      </ns0:c>
      <ns0:c r="C1123" s="19" t="inlineStr">
        <ns0:is>
          <ns0:t>Other</ns0:t>
        </ns0:is>
      </ns0:c>
      <ns0:c r="D1123" s="19" t="inlineStr">
        <ns0:is>
          <ns0:t>Supervised canonical graph matching feature selection</ns0:t>
        </ns0:is>
      </ns0:c>
      <ns0:c r="E1123" s="19" t="inlineStr">
        <ns0:is>
          <ns0:t>Gray- and white-matter features originate from structural MRI; multiple tissue representations are not additional source modalities.</ns0:t>
        </ns0:is>
      </ns0:c>
      <ns0:c r="F1123" s="19" t="inlineStr">
        <ns0:is>
          <ns0:t>https://doi.org/10.1007/s11682-015-9360-1</ns0:t>
        </ns0:is>
      </ns0:c>
      <ns0:c r="G1123" s="19" t="inlineStr">
        <ns0:is>
          <ns0:t>ChatGPT-assisted evidence recharting, 2026-09-08</ns0:t>
        </ns0:is>
      </ns0:c>
    </ns0:row>
    <ns0:row r="1124" ht="42" customHeight="1">
      <ns0:c r="A1124" s="21" t="inlineStr">
        <ns0:is>
          <ns0:t>204</ns0:t>
        </ns0:is>
      </ns0:c>
      <ns0:c r="B1124" s="21" t="inlineStr">
        <ns0:is>
          <ns0:t>rq2_status</ns0:t>
        </ns0:is>
      </ns0:c>
      <ns0:c r="C1124" s="21" t="inlineStr">
        <ns0:is>
          <ns0:t>Not adjudicated in master</ns0:t>
        </ns0:is>
      </ns0:c>
      <ns0:c r="D1124" s="21" t="inlineStr">
        <ns0:is>
          <ns0:t>Research only</ns0:t>
        </ns0:is>
      </ns0:c>
      <ns0:c r="E1124" s="21" t="inlineStr">
        <ns0:is>
          <ns0:t>Gray- and white-matter features originate from structural MRI; multiple tissue representations are not additional source modalities.</ns0:t>
        </ns0:is>
      </ns0:c>
      <ns0:c r="F1124" s="21" t="inlineStr">
        <ns0:is>
          <ns0:t>https://doi.org/10.1007/s11682-015-9360-1</ns0:t>
        </ns0:is>
      </ns0:c>
      <ns0:c r="G1124" s="21" t="inlineStr">
        <ns0:is>
          <ns0:t>ChatGPT-assisted evidence recharting, 2026-09-08</ns0:t>
        </ns0:is>
      </ns0:c>
    </ns0:row>
    <ns0:row r="1125" ht="42" customHeight="1">
      <ns0:c r="A1125" s="19" t="inlineStr">
        <ns0:is>
          <ns0:t>204</ns0:t>
        </ns0:is>
      </ns0:c>
      <ns0:c r="B1125" s="19" t="inlineStr">
        <ns0:is>
          <ns0:t>rq2_role</ns0:t>
        </ns0:is>
      </ns0:c>
      <ns0:c r="C1125" s="19" t="inlineStr"/>
      <ns0:c r="D1125" s="19" t="inlineStr">
        <ns0:is>
          <ns0:t>Automated measurement/classification</ns0:t>
        </ns0:is>
      </ns0:c>
      <ns0:c r="E1125" s="19" t="inlineStr">
        <ns0:is>
          <ns0:t>Gray- and white-matter features originate from structural MRI; multiple tissue representations are not additional source modalities.</ns0:t>
        </ns0:is>
      </ns0:c>
      <ns0:c r="F1125" s="19" t="inlineStr">
        <ns0:is>
          <ns0:t>https://doi.org/10.1007/s11682-015-9360-1</ns0:t>
        </ns0:is>
      </ns0:c>
      <ns0:c r="G1125" s="19" t="inlineStr">
        <ns0:is>
          <ns0:t>ChatGPT-assisted evidence recharting, 2026-09-08</ns0:t>
        </ns0:is>
      </ns0:c>
    </ns0:row>
    <ns0:row r="1126" ht="42" customHeight="1">
      <ns0:c r="A1126" s="21" t="inlineStr">
        <ns0:is>
          <ns0:t>204</ns0:t>
        </ns0:is>
      </ns0:c>
      <ns0:c r="B1126" s="21" t="inlineStr">
        <ns0:is>
          <ns0:t>decision_timing</ns0:t>
        </ns0:is>
      </ns0:c>
      <ns0:c r="C1126" s="21" t="inlineStr"/>
      <ns0:c r="D1126" s="21" t="inlineStr">
        <ns0:is>
          <ns0:t>Not observed in assessed sources</ns0:t>
        </ns0:is>
      </ns0:c>
      <ns0:c r="E1126" s="21" t="inlineStr">
        <ns0:is>
          <ns0:t>Gray- and white-matter features originate from structural MRI; multiple tissue representations are not additional source modalities.</ns0:t>
        </ns0:is>
      </ns0:c>
      <ns0:c r="F1126" s="21" t="inlineStr">
        <ns0:is>
          <ns0:t>https://doi.org/10.1007/s11682-015-9360-1</ns0:t>
        </ns0:is>
      </ns0:c>
      <ns0:c r="G1126" s="21" t="inlineStr">
        <ns0:is>
          <ns0:t>ChatGPT-assisted evidence recharting, 2026-09-08</ns0:t>
        </ns0:is>
      </ns0:c>
    </ns0:row>
    <ns0:row r="1127" ht="42" customHeight="1">
      <ns0:c r="A1127" s="19" t="inlineStr">
        <ns0:is>
          <ns0:t>205</ns0:t>
        </ns0:is>
      </ns0:c>
      <ns0:c r="B1127" s="19" t="inlineStr">
        <ns0:is>
          <ns0:t>stage_primary</ns0:t>
        </ns0:is>
      </ns0:c>
      <ns0:c r="C1127" s="19" t="inlineStr">
        <ns0:is>
          <ns0:t>Monitoring/intervention</ns0:t>
        </ns0:is>
      </ns0:c>
      <ns0:c r="D1127" s="19" t="inlineStr">
        <ns0:is>
          <ns0:t>Prognosis</ns0:t>
        </ns0:is>
      </ns0:c>
      <ns0:c r="E1127" s="19" t="inlineStr">
        <ns0:is>
          <ns0:t>Near-infrared camera sleep-motion features predict next-day adverse behavior. Explicit future outcome establishes prognosis; recording over time does not show AI-guided care.</ns0:t>
        </ns0:is>
      </ns0:c>
      <ns0:c r="F1127" s="19" t="inlineStr">
        <ns0:is>
          <ns0:t>https://doi.org/10.1109/jbhi.2024.3455942</ns0:t>
        </ns0:is>
      </ns0:c>
      <ns0:c r="G1127" s="19" t="inlineStr">
        <ns0:is>
          <ns0:t>ChatGPT-assisted evidence recharting, 2026-09-08</ns0:t>
        </ns0:is>
      </ns0:c>
    </ns0:row>
    <ns0:row r="1128" ht="42" customHeight="1">
      <ns0:c r="A1128" s="21" t="inlineStr">
        <ns0:is>
          <ns0:t>205</ns0:t>
        </ns0:is>
      </ns0:c>
      <ns0:c r="B1128" s="21" t="inlineStr">
        <ns0:is>
          <ns0:t>ai_type</ns0:t>
        </ns0:is>
      </ns0:c>
      <ns0:c r="C1128" s="21" t="inlineStr">
        <ns0:is>
          <ns0:t>Deep Learning</ns0:t>
        </ns0:is>
      </ns0:c>
      <ns0:c r="D1128" s="21" t="inlineStr">
        <ns0:is>
          <ns0:t>Machine Learning</ns0:t>
        </ns0:is>
      </ns0:c>
      <ns0:c r="E1128" s="21" t="inlineStr">
        <ns0:is>
          <ns0:t>Near-infrared camera sleep-motion features predict next-day adverse behavior. Explicit future outcome establishes prognosis; recording over time does not show AI-guided care.</ns0:t>
        </ns0:is>
      </ns0:c>
      <ns0:c r="F1128" s="21" t="inlineStr">
        <ns0:is>
          <ns0:t>https://doi.org/10.1109/jbhi.2024.3455942</ns0:t>
        </ns0:is>
      </ns0:c>
      <ns0:c r="G1128" s="21" t="inlineStr">
        <ns0:is>
          <ns0:t>ChatGPT-assisted evidence recharting, 2026-09-08</ns0:t>
        </ns0:is>
      </ns0:c>
    </ns0:row>
    <ns0:row r="1129" ht="42" customHeight="1">
      <ns0:c r="A1129" s="19" t="inlineStr">
        <ns0:is>
          <ns0:t>205</ns0:t>
        </ns0:is>
      </ns0:c>
      <ns0:c r="B1129" s="19" t="inlineStr">
        <ns0:is>
          <ns0:t>data_source_primary</ns0:t>
        </ns0:is>
      </ns0:c>
      <ns0:c r="C1129" s="19" t="inlineStr">
        <ns0:is>
          <ns0:t>Image (subtype unresolved)</ns0:t>
        </ns0:is>
      </ns0:c>
      <ns0:c r="D1129" s="19" t="inlineStr">
        <ns0:is>
          <ns0:t>Behavioral images/video/gaze/movement</ns0:t>
        </ns0:is>
      </ns0:c>
      <ns0:c r="E1129" s="19" t="inlineStr">
        <ns0:is>
          <ns0:t>Near-infrared camera sleep-motion features predict next-day adverse behavior. Explicit future outcome establishes prognosis; recording over time does not show AI-guided care.</ns0:t>
        </ns0:is>
      </ns0:c>
      <ns0:c r="F1129" s="19" t="inlineStr">
        <ns0:is>
          <ns0:t>https://doi.org/10.1109/jbhi.2024.3455942</ns0:t>
        </ns0:is>
      </ns0:c>
      <ns0:c r="G1129" s="19" t="inlineStr">
        <ns0:is>
          <ns0:t>ChatGPT-assisted evidence recharting, 2026-09-08</ns0:t>
        </ns0:is>
      </ns0:c>
    </ns0:row>
    <ns0:row r="1130" ht="42" customHeight="1">
      <ns0:c r="A1130" s="21" t="inlineStr">
        <ns0:is>
          <ns0:t>205</ns0:t>
        </ns0:is>
      </ns0:c>
      <ns0:c r="B1130" s="21" t="inlineStr">
        <ns0:is>
          <ns0:t>algorithm_main</ns0:t>
        </ns0:is>
      </ns0:c>
      <ns0:c r="C1130" s="21" t="inlineStr">
        <ns0:is>
          <ns0:t>Other / Not clear</ns0:t>
        </ns0:is>
      </ns0:c>
      <ns0:c r="D1130" s="21" t="inlineStr">
        <ns0:is>
          <ns0:t>Ensemble classifier</ns0:t>
        </ns0:is>
      </ns0:c>
      <ns0:c r="E1130" s="21" t="inlineStr">
        <ns0:is>
          <ns0:t>Near-infrared camera sleep-motion features predict next-day adverse behavior. Explicit future outcome establishes prognosis; recording over time does not show AI-guided care.</ns0:t>
        </ns0:is>
      </ns0:c>
      <ns0:c r="F1130" s="21" t="inlineStr">
        <ns0:is>
          <ns0:t>https://doi.org/10.1109/jbhi.2024.3455942</ns0:t>
        </ns0:is>
      </ns0:c>
      <ns0:c r="G1130" s="21" t="inlineStr">
        <ns0:is>
          <ns0:t>ChatGPT-assisted evidence recharting, 2026-09-08</ns0:t>
        </ns0:is>
      </ns0:c>
    </ns0:row>
    <ns0:row r="1131" ht="42" customHeight="1">
      <ns0:c r="A1131" s="19" t="inlineStr">
        <ns0:is>
          <ns0:t>205</ns0:t>
        </ns0:is>
      </ns0:c>
      <ns0:c r="B1131" s="19" t="inlineStr">
        <ns0:is>
          <ns0:t>rq2_status</ns0:t>
        </ns0:is>
      </ns0:c>
      <ns0:c r="C1131" s="19" t="inlineStr">
        <ns0:is>
          <ns0:t>Not adjudicated in master</ns0:t>
        </ns0:is>
      </ns0:c>
      <ns0:c r="D1131" s="19" t="inlineStr">
        <ns0:is>
          <ns0:t>Research only</ns0:t>
        </ns0:is>
      </ns0:c>
      <ns0:c r="E1131" s="19" t="inlineStr">
        <ns0:is>
          <ns0:t>Near-infrared camera sleep-motion features predict next-day adverse behavior. Explicit future outcome establishes prognosis; recording over time does not show AI-guided care.</ns0:t>
        </ns0:is>
      </ns0:c>
      <ns0:c r="F1131" s="19" t="inlineStr">
        <ns0:is>
          <ns0:t>https://doi.org/10.1109/jbhi.2024.3455942</ns0:t>
        </ns0:is>
      </ns0:c>
      <ns0:c r="G1131" s="19" t="inlineStr">
        <ns0:is>
          <ns0:t>ChatGPT-assisted evidence recharting, 2026-09-08</ns0:t>
        </ns0:is>
      </ns0:c>
    </ns0:row>
    <ns0:row r="1132" ht="42" customHeight="1">
      <ns0:c r="A1132" s="21" t="inlineStr">
        <ns0:is>
          <ns0:t>205</ns0:t>
        </ns0:is>
      </ns0:c>
      <ns0:c r="B1132" s="21" t="inlineStr">
        <ns0:is>
          <ns0:t>rq2_role</ns0:t>
        </ns0:is>
      </ns0:c>
      <ns0:c r="C1132" s="21" t="inlineStr"/>
      <ns0:c r="D1132" s="21" t="inlineStr">
        <ns0:is>
          <ns0:t>Risk/trajectory estimation</ns0:t>
        </ns0:is>
      </ns0:c>
      <ns0:c r="E1132" s="21" t="inlineStr">
        <ns0:is>
          <ns0:t>Near-infrared camera sleep-motion features predict next-day adverse behavior. Explicit future outcome establishes prognosis; recording over time does not show AI-guided care.</ns0:t>
        </ns0:is>
      </ns0:c>
      <ns0:c r="F1132" s="21" t="inlineStr">
        <ns0:is>
          <ns0:t>https://doi.org/10.1109/jbhi.2024.3455942</ns0:t>
        </ns0:is>
      </ns0:c>
      <ns0:c r="G1132" s="21" t="inlineStr">
        <ns0:is>
          <ns0:t>ChatGPT-assisted evidence recharting, 2026-09-08</ns0:t>
        </ns0:is>
      </ns0:c>
    </ns0:row>
    <ns0:row r="1133" ht="42" customHeight="1">
      <ns0:c r="A1133" s="19" t="inlineStr">
        <ns0:is>
          <ns0:t>205</ns0:t>
        </ns0:is>
      </ns0:c>
      <ns0:c r="B1133" s="19" t="inlineStr">
        <ns0:is>
          <ns0:t>decision_timing</ns0:t>
        </ns0:is>
      </ns0:c>
      <ns0:c r="C1133" s="19" t="inlineStr"/>
      <ns0:c r="D1133" s="19" t="inlineStr">
        <ns0:is>
          <ns0:t>Not observed in assessed sources</ns0:t>
        </ns0:is>
      </ns0:c>
      <ns0:c r="E1133" s="19" t="inlineStr">
        <ns0:is>
          <ns0:t>Near-infrared camera sleep-motion features predict next-day adverse behavior. Explicit future outcome establishes prognosis; recording over time does not show AI-guided care.</ns0:t>
        </ns0:is>
      </ns0:c>
      <ns0:c r="F1133" s="19" t="inlineStr">
        <ns0:is>
          <ns0:t>https://doi.org/10.1109/jbhi.2024.3455942</ns0:t>
        </ns0:is>
      </ns0:c>
      <ns0:c r="G1133" s="19" t="inlineStr">
        <ns0:is>
          <ns0:t>ChatGPT-assisted evidence recharting, 2026-09-08</ns0:t>
        </ns0:is>
      </ns0:c>
    </ns0:row>
    <ns0:row r="1134" ht="42" customHeight="1">
      <ns0:c r="A1134" s="21" t="inlineStr">
        <ns0:is>
          <ns0:t>206</ns0:t>
        </ns0:is>
      </ns0:c>
      <ns0:c r="B1134" s="21" t="inlineStr">
        <ns0:is>
          <ns0:t>ai_type</ns0:t>
        </ns0:is>
      </ns0:c>
      <ns0:c r="C1134" s="21" t="inlineStr">
        <ns0:is>
          <ns0:t>Deep Learning</ns0:t>
        </ns0:is>
      </ns0:c>
      <ns0:c r="D1134" s="21" t="inlineStr">
        <ns0:is>
          <ns0:t>Machine Learning</ns0:t>
        </ns0:is>
      </ns0:c>
      <ns0:c r="E1134" s="21" t="inlineStr">
        <ns0:is>
          <ns0:t>Resting-state brain connectivity, with separate ASD and schizophrenia cohorts. Multiple conditions do not imply multiple input modalities or deep learning.</ns0:t>
        </ns0:is>
      </ns0:c>
      <ns0:c r="F1134" s="21" t="inlineStr">
        <ns0:is>
          <ns0:t>https://doi.org/10.1016/j.sciaf.2018.e00019</ns0:t>
        </ns0:is>
      </ns0:c>
      <ns0:c r="G1134" s="21" t="inlineStr">
        <ns0:is>
          <ns0:t>ChatGPT-assisted evidence recharting, 2026-09-08</ns0:t>
        </ns0:is>
      </ns0:c>
    </ns0:row>
    <ns0:row r="1135" ht="42" customHeight="1">
      <ns0:c r="A1135" s="19" t="inlineStr">
        <ns0:is>
          <ns0:t>206</ns0:t>
        </ns0:is>
      </ns0:c>
      <ns0:c r="B1135" s="19" t="inlineStr">
        <ns0:is>
          <ns0:t>data_source_primary</ns0:t>
        </ns0:is>
      </ns0:c>
      <ns0:c r="C1135" s="19" t="inlineStr">
        <ns0:is>
          <ns0:t>Multiple modalities (as coded)</ns0:t>
        </ns0:is>
      </ns0:c>
      <ns0:c r="D1135" s="19" t="inlineStr">
        <ns0:is>
          <ns0:t>Neuroimaging</ns0:t>
        </ns0:is>
      </ns0:c>
      <ns0:c r="E1135" s="19" t="inlineStr">
        <ns0:is>
          <ns0:t>Resting-state brain connectivity, with separate ASD and schizophrenia cohorts. Multiple conditions do not imply multiple input modalities or deep learning.</ns0:t>
        </ns0:is>
      </ns0:c>
      <ns0:c r="F1135" s="19" t="inlineStr">
        <ns0:is>
          <ns0:t>https://doi.org/10.1016/j.sciaf.2018.e00019</ns0:t>
        </ns0:is>
      </ns0:c>
      <ns0:c r="G1135" s="19" t="inlineStr">
        <ns0:is>
          <ns0:t>ChatGPT-assisted evidence recharting, 2026-09-08</ns0:t>
        </ns0:is>
      </ns0:c>
    </ns0:row>
    <ns0:row r="1136" ht="42" customHeight="1">
      <ns0:c r="A1136" s="21" t="inlineStr">
        <ns0:is>
          <ns0:t>206</ns0:t>
        </ns0:is>
      </ns0:c>
      <ns0:c r="B1136" s="21" t="inlineStr">
        <ns0:is>
          <ns0:t>algorithm_main</ns0:t>
        </ns0:is>
      </ns0:c>
      <ns0:c r="C1136" s="21" t="inlineStr">
        <ns0:is>
          <ns0:t>Other / Not clear</ns0:t>
        </ns0:is>
      </ns0:c>
      <ns0:c r="D1136" s="21" t="inlineStr">
        <ns0:is>
          <ns0:t>Dynamic-connectivity classification; family unresolved</ns0:t>
        </ns0:is>
      </ns0:c>
      <ns0:c r="E1136" s="21" t="inlineStr">
        <ns0:is>
          <ns0:t>Resting-state brain connectivity, with separate ASD and schizophrenia cohorts. Multiple conditions do not imply multiple input modalities or deep learning.</ns0:t>
        </ns0:is>
      </ns0:c>
      <ns0:c r="F1136" s="21" t="inlineStr">
        <ns0:is>
          <ns0:t>https://doi.org/10.1016/j.sciaf.2018.e00019</ns0:t>
        </ns0:is>
      </ns0:c>
      <ns0:c r="G1136" s="21" t="inlineStr">
        <ns0:is>
          <ns0:t>ChatGPT-assisted evidence recharting, 2026-09-08</ns0:t>
        </ns0:is>
      </ns0:c>
    </ns0:row>
    <ns0:row r="1137" ht="42" customHeight="1">
      <ns0:c r="A1137" s="19" t="inlineStr">
        <ns0:is>
          <ns0:t>206</ns0:t>
        </ns0:is>
      </ns0:c>
      <ns0:c r="B1137" s="19" t="inlineStr">
        <ns0:is>
          <ns0:t>rq2_status</ns0:t>
        </ns0:is>
      </ns0:c>
      <ns0:c r="C1137" s="19" t="inlineStr">
        <ns0:is>
          <ns0:t>Not adjudicated in master</ns0:t>
        </ns0:is>
      </ns0:c>
      <ns0:c r="D1137" s="19" t="inlineStr">
        <ns0:is>
          <ns0:t>Proposed only</ns0:t>
        </ns0:is>
      </ns0:c>
      <ns0:c r="E1137" s="19" t="inlineStr">
        <ns0:is>
          <ns0:t>Resting-state brain connectivity, with separate ASD and schizophrenia cohorts. Multiple conditions do not imply multiple input modalities or deep learning.</ns0:t>
        </ns0:is>
      </ns0:c>
      <ns0:c r="F1137" s="19" t="inlineStr">
        <ns0:is>
          <ns0:t>https://doi.org/10.1016/j.sciaf.2018.e00019</ns0:t>
        </ns0:is>
      </ns0:c>
      <ns0:c r="G1137" s="19" t="inlineStr">
        <ns0:is>
          <ns0:t>ChatGPT-assisted evidence recharting, 2026-09-08</ns0:t>
        </ns0:is>
      </ns0:c>
    </ns0:row>
    <ns0:row r="1138" ht="42" customHeight="1">
      <ns0:c r="A1138" s="21" t="inlineStr">
        <ns0:is>
          <ns0:t>206</ns0:t>
        </ns0:is>
      </ns0:c>
      <ns0:c r="B1138" s="21" t="inlineStr">
        <ns0:is>
          <ns0:t>rq2_role</ns0:t>
        </ns0:is>
      </ns0:c>
      <ns0:c r="C1138" s="21" t="inlineStr"/>
      <ns0:c r="D1138" s="21" t="inlineStr">
        <ns0:is>
          <ns0:t>Diagnostic decision support</ns0:t>
        </ns0:is>
      </ns0:c>
      <ns0:c r="E1138" s="21" t="inlineStr">
        <ns0:is>
          <ns0:t>Resting-state brain connectivity, with separate ASD and schizophrenia cohorts. Multiple conditions do not imply multiple input modalities or deep learning.</ns0:t>
        </ns0:is>
      </ns0:c>
      <ns0:c r="F1138" s="21" t="inlineStr">
        <ns0:is>
          <ns0:t>https://doi.org/10.1016/j.sciaf.2018.e00019</ns0:t>
        </ns0:is>
      </ns0:c>
      <ns0:c r="G1138" s="21" t="inlineStr">
        <ns0:is>
          <ns0:t>ChatGPT-assisted evidence recharting, 2026-09-08</ns0:t>
        </ns0:is>
      </ns0:c>
    </ns0:row>
    <ns0:row r="1139" ht="42" customHeight="1">
      <ns0:c r="A1139" s="19" t="inlineStr">
        <ns0:is>
          <ns0:t>206</ns0:t>
        </ns0:is>
      </ns0:c>
      <ns0:c r="B1139" s="19" t="inlineStr">
        <ns0:is>
          <ns0:t>decision_timing</ns0:t>
        </ns0:is>
      </ns0:c>
      <ns0:c r="C1139" s="19" t="inlineStr"/>
      <ns0:c r="D1139" s="19" t="inlineStr">
        <ns0:is>
          <ns0:t>In-decision</ns0:t>
        </ns0:is>
      </ns0:c>
      <ns0:c r="E1139" s="19" t="inlineStr">
        <ns0:is>
          <ns0:t>Resting-state brain connectivity, with separate ASD and schizophrenia cohorts. Multiple conditions do not imply multiple input modalities or deep learning.</ns0:t>
        </ns0:is>
      </ns0:c>
      <ns0:c r="F1139" s="19" t="inlineStr">
        <ns0:is>
          <ns0:t>https://doi.org/10.1016/j.sciaf.2018.e00019</ns0:t>
        </ns0:is>
      </ns0:c>
      <ns0:c r="G1139" s="19" t="inlineStr">
        <ns0:is>
          <ns0:t>ChatGPT-assisted evidence recharting, 2026-09-08</ns0:t>
        </ns0:is>
      </ns0:c>
    </ns0:row>
    <ns0:row r="1140" ht="42" customHeight="1">
      <ns0:c r="A1140" s="21" t="inlineStr">
        <ns0:is>
          <ns0:t>206</ns0:t>
        </ns0:is>
      </ns0:c>
      <ns0:c r="B1140" s="21" t="inlineStr">
        <ns0:is>
          <ns0:t>multisource_data</ns0:t>
        </ns0:is>
      </ns0:c>
      <ns0:c r="C1140" s="21" t="inlineStr">
        <ns0:is>
          <ns0:t>Reported</ns0:t>
        </ns0:is>
      </ns0:c>
      <ns0:c r="D1140" s="21" t="inlineStr">
        <ns0:is>
          <ns0:t>Not reported in assessed sources</ns0:t>
        </ns0:is>
      </ns0:c>
      <ns0:c r="E1140" s="21" t="inlineStr">
        <ns0:is>
          <ns0:t>Resting-state brain connectivity, with separate ASD and schizophrenia cohorts. Multiple conditions do not imply multiple input modalities or deep learning.</ns0:t>
        </ns0:is>
      </ns0:c>
      <ns0:c r="F1140" s="21" t="inlineStr">
        <ns0:is>
          <ns0:t>https://doi.org/10.1016/j.sciaf.2018.e00019</ns0:t>
        </ns0:is>
      </ns0:c>
      <ns0:c r="G1140" s="21" t="inlineStr">
        <ns0:is>
          <ns0:t>ChatGPT-assisted evidence recharting, 2026-09-08</ns0:t>
        </ns0:is>
      </ns0:c>
    </ns0:row>
    <ns0:row r="1141" ht="42" customHeight="1">
      <ns0:c r="A1141" s="19" t="inlineStr">
        <ns0:is>
          <ns0:t>207</ns0:t>
        </ns0:is>
      </ns0:c>
      <ns0:c r="B1141" s="19" t="inlineStr">
        <ns0:is>
          <ns0:t>ai_type</ns0:t>
        </ns0:is>
      </ns0:c>
      <ns0:c r="C1141" s="19" t="inlineStr">
        <ns0:is>
          <ns0:t>Deep Learning</ns0:t>
        </ns0:is>
      </ns0:c>
      <ns0:c r="D1141" s="19" t="inlineStr">
        <ns0:is>
          <ns0:t>Machine Learning</ns0:t>
        </ns0:is>
      </ns0:c>
      <ns0:c r="E1141" s="19" t="inlineStr">
        <ns0:is>
          <ns0:t>Functional-connectivity simplicial complexes and Laplacian features from ABIDE fMRI; not deep learning simply because a graph/network is used.</ns0:t>
        </ns0:is>
      </ns0:c>
      <ns0:c r="F1141" s="19" t="inlineStr">
        <ns0:is>
          <ns0:t>https://doi.org/10.1016/j.neucom.2025.130780</ns0:t>
        </ns0:is>
      </ns0:c>
      <ns0:c r="G1141" s="19" t="inlineStr">
        <ns0:is>
          <ns0:t>ChatGPT-assisted evidence recharting, 2026-09-08</ns0:t>
        </ns0:is>
      </ns0:c>
    </ns0:row>
    <ns0:row r="1142" ht="42" customHeight="1">
      <ns0:c r="A1142" s="21" t="inlineStr">
        <ns0:is>
          <ns0:t>207</ns0:t>
        </ns0:is>
      </ns0:c>
      <ns0:c r="B1142" s="21" t="inlineStr">
        <ns0:is>
          <ns0:t>data_source_primary</ns0:t>
        </ns0:is>
      </ns0:c>
      <ns0:c r="C1142" s="21" t="inlineStr">
        <ns0:is>
          <ns0:t>Physiological signals</ns0:t>
        </ns0:is>
      </ns0:c>
      <ns0:c r="D1142" s="21" t="inlineStr">
        <ns0:is>
          <ns0:t>Neuroimaging</ns0:t>
        </ns0:is>
      </ns0:c>
      <ns0:c r="E1142" s="21" t="inlineStr">
        <ns0:is>
          <ns0:t>Functional-connectivity simplicial complexes and Laplacian features from ABIDE fMRI; not deep learning simply because a graph/network is used.</ns0:t>
        </ns0:is>
      </ns0:c>
      <ns0:c r="F1142" s="21" t="inlineStr">
        <ns0:is>
          <ns0:t>https://doi.org/10.1016/j.neucom.2025.130780</ns0:t>
        </ns0:is>
      </ns0:c>
      <ns0:c r="G1142" s="21" t="inlineStr">
        <ns0:is>
          <ns0:t>ChatGPT-assisted evidence recharting, 2026-09-08</ns0:t>
        </ns0:is>
      </ns0:c>
    </ns0:row>
    <ns0:row r="1143" ht="42" customHeight="1">
      <ns0:c r="A1143" s="19" t="inlineStr">
        <ns0:is>
          <ns0:t>207</ns0:t>
        </ns0:is>
      </ns0:c>
      <ns0:c r="B1143" s="19" t="inlineStr">
        <ns0:is>
          <ns0:t>algorithm_main</ns0:t>
        </ns0:is>
      </ns0:c>
      <ns0:c r="C1143" s="19" t="inlineStr">
        <ns0:is>
          <ns0:t>Not clear</ns0:t>
        </ns0:is>
      </ns0:c>
      <ns0:c r="D1143" s="19" t="inlineStr">
        <ns0:is>
          <ns0:t>Persistent spectral/topological feature classifier</ns0:t>
        </ns0:is>
      </ns0:c>
      <ns0:c r="E1143" s="19" t="inlineStr">
        <ns0:is>
          <ns0:t>Functional-connectivity simplicial complexes and Laplacian features from ABIDE fMRI; not deep learning simply because a graph/network is used.</ns0:t>
        </ns0:is>
      </ns0:c>
      <ns0:c r="F1143" s="19" t="inlineStr">
        <ns0:is>
          <ns0:t>https://doi.org/10.1016/j.neucom.2025.130780</ns0:t>
        </ns0:is>
      </ns0:c>
      <ns0:c r="G1143" s="19" t="inlineStr">
        <ns0:is>
          <ns0:t>ChatGPT-assisted evidence recharting, 2026-09-08</ns0:t>
        </ns0:is>
      </ns0:c>
    </ns0:row>
    <ns0:row r="1144" ht="42" customHeight="1">
      <ns0:c r="A1144" s="21" t="inlineStr">
        <ns0:is>
          <ns0:t>207</ns0:t>
        </ns0:is>
      </ns0:c>
      <ns0:c r="B1144" s="21" t="inlineStr">
        <ns0:is>
          <ns0:t>rq2_status</ns0:t>
        </ns0:is>
      </ns0:c>
      <ns0:c r="C1144" s="21" t="inlineStr">
        <ns0:is>
          <ns0:t>Not adjudicated in master</ns0:t>
        </ns0:is>
      </ns0:c>
      <ns0:c r="D1144" s="21" t="inlineStr">
        <ns0:is>
          <ns0:t>Research only</ns0:t>
        </ns0:is>
      </ns0:c>
      <ns0:c r="E1144" s="21" t="inlineStr">
        <ns0:is>
          <ns0:t>Functional-connectivity simplicial complexes and Laplacian features from ABIDE fMRI; not deep learning simply because a graph/network is used.</ns0:t>
        </ns0:is>
      </ns0:c>
      <ns0:c r="F1144" s="21" t="inlineStr">
        <ns0:is>
          <ns0:t>https://doi.org/10.1016/j.neucom.2025.130780</ns0:t>
        </ns0:is>
      </ns0:c>
      <ns0:c r="G1144" s="21" t="inlineStr">
        <ns0:is>
          <ns0:t>ChatGPT-assisted evidence recharting, 2026-09-08</ns0:t>
        </ns0:is>
      </ns0:c>
    </ns0:row>
    <ns0:row r="1145" ht="42" customHeight="1">
      <ns0:c r="A1145" s="19" t="inlineStr">
        <ns0:is>
          <ns0:t>207</ns0:t>
        </ns0:is>
      </ns0:c>
      <ns0:c r="B1145" s="19" t="inlineStr">
        <ns0:is>
          <ns0:t>rq2_role</ns0:t>
        </ns0:is>
      </ns0:c>
      <ns0:c r="C1145" s="19" t="inlineStr"/>
      <ns0:c r="D1145" s="19" t="inlineStr">
        <ns0:is>
          <ns0:t>Automated measurement/classification</ns0:t>
        </ns0:is>
      </ns0:c>
      <ns0:c r="E1145" s="19" t="inlineStr">
        <ns0:is>
          <ns0:t>Functional-connectivity simplicial complexes and Laplacian features from ABIDE fMRI; not deep learning simply because a graph/network is used.</ns0:t>
        </ns0:is>
      </ns0:c>
      <ns0:c r="F1145" s="19" t="inlineStr">
        <ns0:is>
          <ns0:t>https://doi.org/10.1016/j.neucom.2025.130780</ns0:t>
        </ns0:is>
      </ns0:c>
      <ns0:c r="G1145" s="19" t="inlineStr">
        <ns0:is>
          <ns0:t>ChatGPT-assisted evidence recharting, 2026-09-08</ns0:t>
        </ns0:is>
      </ns0:c>
    </ns0:row>
    <ns0:row r="1146" ht="42" customHeight="1">
      <ns0:c r="A1146" s="21" t="inlineStr">
        <ns0:is>
          <ns0:t>207</ns0:t>
        </ns0:is>
      </ns0:c>
      <ns0:c r="B1146" s="21" t="inlineStr">
        <ns0:is>
          <ns0:t>decision_timing</ns0:t>
        </ns0:is>
      </ns0:c>
      <ns0:c r="C1146" s="21" t="inlineStr"/>
      <ns0:c r="D1146" s="21" t="inlineStr">
        <ns0:is>
          <ns0:t>Not observed in assessed sources</ns0:t>
        </ns0:is>
      </ns0:c>
      <ns0:c r="E1146" s="21" t="inlineStr">
        <ns0:is>
          <ns0:t>Functional-connectivity simplicial complexes and Laplacian features from ABIDE fMRI; not deep learning simply because a graph/network is used.</ns0:t>
        </ns0:is>
      </ns0:c>
      <ns0:c r="F1146" s="21" t="inlineStr">
        <ns0:is>
          <ns0:t>https://doi.org/10.1016/j.neucom.2025.130780</ns0:t>
        </ns0:is>
      </ns0:c>
      <ns0:c r="G1146" s="21" t="inlineStr">
        <ns0:is>
          <ns0:t>ChatGPT-assisted evidence recharting, 2026-09-08</ns0:t>
        </ns0:is>
      </ns0:c>
    </ns0:row>
    <ns0:row r="1147" ht="42" customHeight="1">
      <ns0:c r="A1147" s="19" t="inlineStr">
        <ns0:is>
          <ns0:t>207</ns0:t>
        </ns0:is>
      </ns0:c>
      <ns0:c r="B1147" s="19" t="inlineStr">
        <ns0:is>
          <ns0:t>multisite_dataset</ns0:t>
        </ns0:is>
      </ns0:c>
      <ns0:c r="C1147" s="19" t="inlineStr">
        <ns0:is>
          <ns0:t>Not reported in assessed sources</ns0:t>
        </ns0:is>
      </ns0:c>
      <ns0:c r="D1147" s="19" t="inlineStr">
        <ns0:is>
          <ns0:t>Not ascertainable</ns0:t>
        </ns0:is>
      </ns0:c>
      <ns0:c r="E1147" s="19" t="inlineStr">
        <ns0:is>
          <ns0:t>Functional-connectivity simplicial complexes and Laplacian features from ABIDE fMRI; not deep learning simply because a graph/network is used.</ns0:t>
        </ns0:is>
      </ns0:c>
      <ns0:c r="F1147" s="19" t="inlineStr">
        <ns0:is>
          <ns0:t>https://doi.org/10.1016/j.neucom.2025.130780</ns0:t>
        </ns0:is>
      </ns0:c>
      <ns0:c r="G1147" s="19" t="inlineStr">
        <ns0:is>
          <ns0:t>ChatGPT-assisted evidence recharting, 2026-09-08</ns0:t>
        </ns0:is>
      </ns0:c>
    </ns0:row>
    <ns0:row r="1148" ht="42" customHeight="1">
      <ns0:c r="A1148" s="21" t="inlineStr">
        <ns0:is>
          <ns0:t>208</ns0:t>
        </ns0:is>
      </ns0:c>
      <ns0:c r="B1148" s="21" t="inlineStr">
        <ns0:is>
          <ns0:t>data_source_primary</ns0:t>
        </ns0:is>
      </ns0:c>
      <ns0:c r="C1148" s="21" t="inlineStr">
        <ns0:is>
          <ns0:t>Not specified</ns0:t>
        </ns0:is>
      </ns0:c>
      <ns0:c r="D1148" s="21" t="inlineStr">
        <ns0:is>
          <ns0:t>Structured clinical/questionnaire data</ns0:t>
        </ns0:is>
      </ns0:c>
      <ns0:c r="E1148" s="21" t="inlineStr">
        <ns0:is>
          <ns0:t>ADOS items are structured clinician ratings; sex-specific model comparisons do not create multisource data.</ns0:t>
        </ns0:is>
      </ns0:c>
      <ns0:c r="F1148" s="21" t="inlineStr">
        <ns0:is>
          <ns0:t>https://doi.org/10.1186/s13229-022-00491-9</ns0:t>
        </ns0:is>
      </ns0:c>
      <ns0:c r="G1148" s="21" t="inlineStr">
        <ns0:is>
          <ns0:t>ChatGPT-assisted evidence recharting, 2026-09-08</ns0:t>
        </ns0:is>
      </ns0:c>
    </ns0:row>
    <ns0:row r="1149" ht="42" customHeight="1">
      <ns0:c r="A1149" s="19" t="inlineStr">
        <ns0:is>
          <ns0:t>208</ns0:t>
        </ns0:is>
      </ns0:c>
      <ns0:c r="B1149" s="19" t="inlineStr">
        <ns0:is>
          <ns0:t>algorithm_main</ns0:t>
        </ns0:is>
      </ns0:c>
      <ns0:c r="C1149" s="19" t="inlineStr">
        <ns0:is>
          <ns0:t>Random Forest</ns0:t>
        </ns0:is>
      </ns0:c>
      <ns0:c r="D1149" s="19" t="inlineStr">
        <ns0:is>
          <ns0:t>Random forest</ns0:t>
        </ns0:is>
      </ns0:c>
      <ns0:c r="E1149" s="19" t="inlineStr">
        <ns0:is>
          <ns0:t>ADOS items are structured clinician ratings; sex-specific model comparisons do not create multisource data.</ns0:t>
        </ns0:is>
      </ns0:c>
      <ns0:c r="F1149" s="19" t="inlineStr">
        <ns0:is>
          <ns0:t>https://doi.org/10.1186/s13229-022-00491-9</ns0:t>
        </ns0:is>
      </ns0:c>
      <ns0:c r="G1149" s="19" t="inlineStr">
        <ns0:is>
          <ns0:t>ChatGPT-assisted evidence recharting, 2026-09-08</ns0:t>
        </ns0:is>
      </ns0:c>
    </ns0:row>
    <ns0:row r="1150" ht="42" customHeight="1">
      <ns0:c r="A1150" s="21" t="inlineStr">
        <ns0:is>
          <ns0:t>208</ns0:t>
        </ns0:is>
      </ns0:c>
      <ns0:c r="B1150" s="21" t="inlineStr">
        <ns0:is>
          <ns0:t>rq2_status</ns0:t>
        </ns0:is>
      </ns0:c>
      <ns0:c r="C1150" s="21" t="inlineStr">
        <ns0:is>
          <ns0:t>Not adjudicated in master</ns0:t>
        </ns0:is>
      </ns0:c>
      <ns0:c r="D1150" s="21" t="inlineStr">
        <ns0:is>
          <ns0:t>Research only</ns0:t>
        </ns0:is>
      </ns0:c>
      <ns0:c r="E1150" s="21" t="inlineStr">
        <ns0:is>
          <ns0:t>ADOS items are structured clinician ratings; sex-specific model comparisons do not create multisource data.</ns0:t>
        </ns0:is>
      </ns0:c>
      <ns0:c r="F1150" s="21" t="inlineStr">
        <ns0:is>
          <ns0:t>https://doi.org/10.1186/s13229-022-00491-9</ns0:t>
        </ns0:is>
      </ns0:c>
      <ns0:c r="G1150" s="21" t="inlineStr">
        <ns0:is>
          <ns0:t>ChatGPT-assisted evidence recharting, 2026-09-08</ns0:t>
        </ns0:is>
      </ns0:c>
    </ns0:row>
    <ns0:row r="1151" ht="42" customHeight="1">
      <ns0:c r="A1151" s="19" t="inlineStr">
        <ns0:is>
          <ns0:t>208</ns0:t>
        </ns0:is>
      </ns0:c>
      <ns0:c r="B1151" s="19" t="inlineStr">
        <ns0:is>
          <ns0:t>rq2_role</ns0:t>
        </ns0:is>
      </ns0:c>
      <ns0:c r="C1151" s="19" t="inlineStr"/>
      <ns0:c r="D1151" s="19" t="inlineStr">
        <ns0:is>
          <ns0:t>Automated measurement/classification</ns0:t>
        </ns0:is>
      </ns0:c>
      <ns0:c r="E1151" s="19" t="inlineStr">
        <ns0:is>
          <ns0:t>ADOS items are structured clinician ratings; sex-specific model comparisons do not create multisource data.</ns0:t>
        </ns0:is>
      </ns0:c>
      <ns0:c r="F1151" s="19" t="inlineStr">
        <ns0:is>
          <ns0:t>https://doi.org/10.1186/s13229-022-00491-9</ns0:t>
        </ns0:is>
      </ns0:c>
      <ns0:c r="G1151" s="19" t="inlineStr">
        <ns0:is>
          <ns0:t>ChatGPT-assisted evidence recharting, 2026-09-08</ns0:t>
        </ns0:is>
      </ns0:c>
    </ns0:row>
    <ns0:row r="1152" ht="42" customHeight="1">
      <ns0:c r="A1152" s="21" t="inlineStr">
        <ns0:is>
          <ns0:t>208</ns0:t>
        </ns0:is>
      </ns0:c>
      <ns0:c r="B1152" s="21" t="inlineStr">
        <ns0:is>
          <ns0:t>decision_timing</ns0:t>
        </ns0:is>
      </ns0:c>
      <ns0:c r="C1152" s="21" t="inlineStr"/>
      <ns0:c r="D1152" s="21" t="inlineStr">
        <ns0:is>
          <ns0:t>Not observed in assessed sources</ns0:t>
        </ns0:is>
      </ns0:c>
      <ns0:c r="E1152" s="21" t="inlineStr">
        <ns0:is>
          <ns0:t>ADOS items are structured clinician ratings; sex-specific model comparisons do not create multisource data.</ns0:t>
        </ns0:is>
      </ns0:c>
      <ns0:c r="F1152" s="21" t="inlineStr">
        <ns0:is>
          <ns0:t>https://doi.org/10.1186/s13229-022-00491-9</ns0:t>
        </ns0:is>
      </ns0:c>
      <ns0:c r="G1152" s="21" t="inlineStr">
        <ns0:is>
          <ns0:t>ChatGPT-assisted evidence recharting, 2026-09-08</ns0:t>
        </ns0:is>
      </ns0:c>
    </ns0:row>
    <ns0:row r="1153" ht="42" customHeight="1">
      <ns0:c r="A1153" s="19" t="inlineStr">
        <ns0:is>
          <ns0:t>208</ns0:t>
        </ns0:is>
      </ns0:c>
      <ns0:c r="B1153" s="19" t="inlineStr">
        <ns0:is>
          <ns0:t>xai_partial</ns0:t>
        </ns0:is>
      </ns0:c>
      <ns0:c r="C1153" s="19" t="inlineStr">
        <ns0:is>
          <ns0:t>Not reported in assessed sources</ns0:t>
        </ns0:is>
      </ns0:c>
      <ns0:c r="D1153" s="19" t="inlineStr">
        <ns0:is>
          <ns0:t>Reported</ns0:t>
        </ns0:is>
      </ns0:c>
      <ns0:c r="E1153" s="19" t="inlineStr">
        <ns0:is>
          <ns0:t>ADOS items are structured clinician ratings; sex-specific model comparisons do not create multisource data.</ns0:t>
        </ns0:is>
      </ns0:c>
      <ns0:c r="F1153" s="19" t="inlineStr">
        <ns0:is>
          <ns0:t>https://doi.org/10.1186/s13229-022-00491-9</ns0:t>
        </ns0:is>
      </ns0:c>
      <ns0:c r="G1153" s="19" t="inlineStr">
        <ns0:is>
          <ns0:t>ChatGPT-assisted evidence recharting, 2026-09-08</ns0:t>
        </ns0:is>
      </ns0:c>
    </ns0:row>
    <ns0:row r="1154" ht="42" customHeight="1">
      <ns0:c r="A1154" s="21" t="inlineStr">
        <ns0:is>
          <ns0:t>208</ns0:t>
        </ns0:is>
      </ns0:c>
      <ns0:c r="B1154" s="21" t="inlineStr">
        <ns0:is>
          <ns0:t>multisource_data</ns0:t>
        </ns0:is>
      </ns0:c>
      <ns0:c r="C1154" s="21" t="inlineStr">
        <ns0:is>
          <ns0:t>Reported</ns0:t>
        </ns0:is>
      </ns0:c>
      <ns0:c r="D1154" s="21" t="inlineStr">
        <ns0:is>
          <ns0:t>Not reported in assessed sources</ns0:t>
        </ns0:is>
      </ns0:c>
      <ns0:c r="E1154" s="21" t="inlineStr">
        <ns0:is>
          <ns0:t>ADOS items are structured clinician ratings; sex-specific model comparisons do not create multisource data.</ns0:t>
        </ns0:is>
      </ns0:c>
      <ns0:c r="F1154" s="21" t="inlineStr">
        <ns0:is>
          <ns0:t>https://doi.org/10.1186/s13229-022-00491-9</ns0:t>
        </ns0:is>
      </ns0:c>
      <ns0:c r="G1154" s="21" t="inlineStr">
        <ns0:is>
          <ns0:t>ChatGPT-assisted evidence recharting, 2026-09-08</ns0:t>
        </ns0:is>
      </ns0:c>
    </ns0:row>
    <ns0:row r="1155" ht="42" customHeight="1">
      <ns0:c r="A1155" s="19" t="inlineStr">
        <ns0:is>
          <ns0:t>209</ns0:t>
        </ns0:is>
      </ns0:c>
      <ns0:c r="B1155" s="19" t="inlineStr">
        <ns0:is>
          <ns0:t>stage_primary</ns0:t>
        </ns0:is>
      </ns0:c>
      <ns0:c r="C1155" s="19" t="inlineStr">
        <ns0:is>
          <ns0:t>Monitoring/intervention</ns0:t>
        </ns0:is>
      </ns0:c>
      <ns0:c r="D1155" s="19" t="inlineStr">
        <ns0:is>
          <ns0:t>Diagnosis</ns0:t>
        </ns0:is>
      </ns0:c>
      <ns0:c r="E1155" s="19" t="inlineStr">
        <ns0:is>
          <ns0:t>Current ADOS symptom scores are targets, not another model input. Anatomical MRI alone drives prediction; not prospective monitoring or fusion.</ns0:t>
        </ns0:is>
      </ns0:c>
      <ns0:c r="F1155" s="19" t="inlineStr">
        <ns0:is>
          <ns0:t>https://doi.org/10.1016/j.pscychresns.2024.111822</ns0:t>
        </ns0:is>
      </ns0:c>
      <ns0:c r="G1155" s="19" t="inlineStr">
        <ns0:is>
          <ns0:t>ChatGPT-assisted evidence recharting, 2026-09-08</ns0:t>
        </ns0:is>
      </ns0:c>
    </ns0:row>
    <ns0:row r="1156" ht="42" customHeight="1">
      <ns0:c r="A1156" s="21" t="inlineStr">
        <ns0:is>
          <ns0:t>209</ns0:t>
        </ns0:is>
      </ns0:c>
      <ns0:c r="B1156" s="21" t="inlineStr">
        <ns0:is>
          <ns0:t>data_source_primary</ns0:t>
        </ns0:is>
      </ns0:c>
      <ns0:c r="C1156" s="21" t="inlineStr">
        <ns0:is>
          <ns0:t>Multiple modalities (as coded)</ns0:t>
        </ns0:is>
      </ns0:c>
      <ns0:c r="D1156" s="21" t="inlineStr">
        <ns0:is>
          <ns0:t>Neuroimaging</ns0:t>
        </ns0:is>
      </ns0:c>
      <ns0:c r="E1156" s="21" t="inlineStr">
        <ns0:is>
          <ns0:t>Current ADOS symptom scores are targets, not another model input. Anatomical MRI alone drives prediction; not prospective monitoring or fusion.</ns0:t>
        </ns0:is>
      </ns0:c>
      <ns0:c r="F1156" s="21" t="inlineStr">
        <ns0:is>
          <ns0:t>https://doi.org/10.1016/j.pscychresns.2024.111822</ns0:t>
        </ns0:is>
      </ns0:c>
      <ns0:c r="G1156" s="21" t="inlineStr">
        <ns0:is>
          <ns0:t>ChatGPT-assisted evidence recharting, 2026-09-08</ns0:t>
        </ns0:is>
      </ns0:c>
    </ns0:row>
    <ns0:row r="1157" ht="42" customHeight="1">
      <ns0:c r="A1157" s="19" t="inlineStr">
        <ns0:is>
          <ns0:t>209</ns0:t>
        </ns0:is>
      </ns0:c>
      <ns0:c r="B1157" s="19" t="inlineStr">
        <ns0:is>
          <ns0:t>algorithm_main</ns0:t>
        </ns0:is>
      </ns0:c>
      <ns0:c r="C1157" s="19" t="inlineStr">
        <ns0:is>
          <ns0:t>Other / Not clear</ns0:t>
        </ns0:is>
      </ns0:c>
      <ns0:c r="D1157" s="19" t="inlineStr">
        <ns0:is>
          <ns0:t>Support vector regression</ns0:t>
        </ns0:is>
      </ns0:c>
      <ns0:c r="E1157" s="19" t="inlineStr">
        <ns0:is>
          <ns0:t>Current ADOS symptom scores are targets, not another model input. Anatomical MRI alone drives prediction; not prospective monitoring or fusion.</ns0:t>
        </ns0:is>
      </ns0:c>
      <ns0:c r="F1157" s="19" t="inlineStr">
        <ns0:is>
          <ns0:t>https://doi.org/10.1016/j.pscychresns.2024.111822</ns0:t>
        </ns0:is>
      </ns0:c>
      <ns0:c r="G1157" s="19" t="inlineStr">
        <ns0:is>
          <ns0:t>ChatGPT-assisted evidence recharting, 2026-09-08</ns0:t>
        </ns0:is>
      </ns0:c>
    </ns0:row>
    <ns0:row r="1158" ht="42" customHeight="1">
      <ns0:c r="A1158" s="21" t="inlineStr">
        <ns0:is>
          <ns0:t>209</ns0:t>
        </ns0:is>
      </ns0:c>
      <ns0:c r="B1158" s="21" t="inlineStr">
        <ns0:is>
          <ns0:t>rq2_status</ns0:t>
        </ns0:is>
      </ns0:c>
      <ns0:c r="C1158" s="21" t="inlineStr">
        <ns0:is>
          <ns0:t>Not adjudicated in master</ns0:t>
        </ns0:is>
      </ns0:c>
      <ns0:c r="D1158" s="21" t="inlineStr">
        <ns0:is>
          <ns0:t>Research only</ns0:t>
        </ns0:is>
      </ns0:c>
      <ns0:c r="E1158" s="21" t="inlineStr">
        <ns0:is>
          <ns0:t>Current ADOS symptom scores are targets, not another model input. Anatomical MRI alone drives prediction; not prospective monitoring or fusion.</ns0:t>
        </ns0:is>
      </ns0:c>
      <ns0:c r="F1158" s="21" t="inlineStr">
        <ns0:is>
          <ns0:t>https://doi.org/10.1016/j.pscychresns.2024.111822</ns0:t>
        </ns0:is>
      </ns0:c>
      <ns0:c r="G1158" s="21" t="inlineStr">
        <ns0:is>
          <ns0:t>ChatGPT-assisted evidence recharting, 2026-09-08</ns0:t>
        </ns0:is>
      </ns0:c>
    </ns0:row>
    <ns0:row r="1159" ht="42" customHeight="1">
      <ns0:c r="A1159" s="19" t="inlineStr">
        <ns0:is>
          <ns0:t>209</ns0:t>
        </ns0:is>
      </ns0:c>
      <ns0:c r="B1159" s="19" t="inlineStr">
        <ns0:is>
          <ns0:t>rq2_role</ns0:t>
        </ns0:is>
      </ns0:c>
      <ns0:c r="C1159" s="19" t="inlineStr"/>
      <ns0:c r="D1159" s="19" t="inlineStr">
        <ns0:is>
          <ns0:t>Automated measurement/classification</ns0:t>
        </ns0:is>
      </ns0:c>
      <ns0:c r="E1159" s="19" t="inlineStr">
        <ns0:is>
          <ns0:t>Current ADOS symptom scores are targets, not another model input. Anatomical MRI alone drives prediction; not prospective monitoring or fusion.</ns0:t>
        </ns0:is>
      </ns0:c>
      <ns0:c r="F1159" s="19" t="inlineStr">
        <ns0:is>
          <ns0:t>https://doi.org/10.1016/j.pscychresns.2024.111822</ns0:t>
        </ns0:is>
      </ns0:c>
      <ns0:c r="G1159" s="19" t="inlineStr">
        <ns0:is>
          <ns0:t>ChatGPT-assisted evidence recharting, 2026-09-08</ns0:t>
        </ns0:is>
      </ns0:c>
    </ns0:row>
    <ns0:row r="1160" ht="42" customHeight="1">
      <ns0:c r="A1160" s="21" t="inlineStr">
        <ns0:is>
          <ns0:t>209</ns0:t>
        </ns0:is>
      </ns0:c>
      <ns0:c r="B1160" s="21" t="inlineStr">
        <ns0:is>
          <ns0:t>decision_timing</ns0:t>
        </ns0:is>
      </ns0:c>
      <ns0:c r="C1160" s="21" t="inlineStr"/>
      <ns0:c r="D1160" s="21" t="inlineStr">
        <ns0:is>
          <ns0:t>Not observed in assessed sources</ns0:t>
        </ns0:is>
      </ns0:c>
      <ns0:c r="E1160" s="21" t="inlineStr">
        <ns0:is>
          <ns0:t>Current ADOS symptom scores are targets, not another model input. Anatomical MRI alone drives prediction; not prospective monitoring or fusion.</ns0:t>
        </ns0:is>
      </ns0:c>
      <ns0:c r="F1160" s="21" t="inlineStr">
        <ns0:is>
          <ns0:t>https://doi.org/10.1016/j.pscychresns.2024.111822</ns0:t>
        </ns0:is>
      </ns0:c>
      <ns0:c r="G1160" s="21" t="inlineStr">
        <ns0:is>
          <ns0:t>ChatGPT-assisted evidence recharting, 2026-09-08</ns0:t>
        </ns0:is>
      </ns0:c>
    </ns0:row>
    <ns0:row r="1161" ht="42" customHeight="1">
      <ns0:c r="A1161" s="19" t="inlineStr">
        <ns0:is>
          <ns0:t>209</ns0:t>
        </ns0:is>
      </ns0:c>
      <ns0:c r="B1161" s="19" t="inlineStr">
        <ns0:is>
          <ns0:t>xai_partial</ns0:t>
        </ns0:is>
      </ns0:c>
      <ns0:c r="C1161" s="19" t="inlineStr">
        <ns0:is>
          <ns0:t>Not reported in assessed sources</ns0:t>
        </ns0:is>
      </ns0:c>
      <ns0:c r="D1161" s="19" t="inlineStr">
        <ns0:is>
          <ns0:t>Reported</ns0:t>
        </ns0:is>
      </ns0:c>
      <ns0:c r="E1161" s="19" t="inlineStr">
        <ns0:is>
          <ns0:t>Current ADOS symptom scores are targets, not another model input. Anatomical MRI alone drives prediction; not prospective monitoring or fusion.</ns0:t>
        </ns0:is>
      </ns0:c>
      <ns0:c r="F1161" s="19" t="inlineStr">
        <ns0:is>
          <ns0:t>https://doi.org/10.1016/j.pscychresns.2024.111822</ns0:t>
        </ns0:is>
      </ns0:c>
      <ns0:c r="G1161" s="19" t="inlineStr">
        <ns0:is>
          <ns0:t>ChatGPT-assisted evidence recharting, 2026-09-08</ns0:t>
        </ns0:is>
      </ns0:c>
    </ns0:row>
    <ns0:row r="1162" ht="42" customHeight="1">
      <ns0:c r="A1162" s="21" t="inlineStr">
        <ns0:is>
          <ns0:t>209</ns0:t>
        </ns0:is>
      </ns0:c>
      <ns0:c r="B1162" s="21" t="inlineStr">
        <ns0:is>
          <ns0:t>multisource_data</ns0:t>
        </ns0:is>
      </ns0:c>
      <ns0:c r="C1162" s="21" t="inlineStr">
        <ns0:is>
          <ns0:t>Reported</ns0:t>
        </ns0:is>
      </ns0:c>
      <ns0:c r="D1162" s="21" t="inlineStr">
        <ns0:is>
          <ns0:t>Not reported in assessed sources</ns0:t>
        </ns0:is>
      </ns0:c>
      <ns0:c r="E1162" s="21" t="inlineStr">
        <ns0:is>
          <ns0:t>Current ADOS symptom scores are targets, not another model input. Anatomical MRI alone drives prediction; not prospective monitoring or fusion.</ns0:t>
        </ns0:is>
      </ns0:c>
      <ns0:c r="F1162" s="21" t="inlineStr">
        <ns0:is>
          <ns0:t>https://doi.org/10.1016/j.pscychresns.2024.111822</ns0:t>
        </ns0:is>
      </ns0:c>
      <ns0:c r="G1162" s="21" t="inlineStr">
        <ns0:is>
          <ns0:t>ChatGPT-assisted evidence recharting, 2026-09-08</ns0:t>
        </ns0:is>
      </ns0:c>
    </ns0:row>
    <ns0:row r="1163" ht="42" customHeight="1">
      <ns0:c r="A1163" s="19" t="inlineStr">
        <ns0:is>
          <ns0:t>210</ns0:t>
        </ns0:is>
      </ns0:c>
      <ns0:c r="B1163" s="19" t="inlineStr">
        <ns0:is>
          <ns0:t>stage_primary</ns0:t>
        </ns0:is>
      </ns0:c>
      <ns0:c r="C1163" s="19" t="inlineStr">
        <ns0:is>
          <ns0:t>Monitoring/intervention</ns0:t>
        </ns0:is>
      </ns0:c>
      <ns0:c r="D1163" s="19" t="inlineStr">
        <ns0:is>
          <ns0:t>Prognosis</ns0:t>
        </ns0:is>
      </ns0:c>
      <ns0:c r="E1163" s="19" t="inlineStr">
        <ns0:is>
          <ns0:t>Baseline EEG plus clinical severity predict 91-day treatment response. AI analysis of a randomized drug trial is not an AI-guided intervention trial.</ns0:t>
        </ns0:is>
      </ns0:c>
      <ns0:c r="F1163" s="19" t="inlineStr">
        <ns0:is>
          <ns0:t>https://doi.org/10.1016/j.bpsc.2021.08.009</ns0:t>
        </ns0:is>
      </ns0:c>
      <ns0:c r="G1163" s="19" t="inlineStr">
        <ns0:is>
          <ns0:t>ChatGPT-assisted evidence recharting, 2026-09-08</ns0:t>
        </ns0:is>
      </ns0:c>
    </ns0:row>
    <ns0:row r="1164" ht="42" customHeight="1">
      <ns0:c r="A1164" s="21" t="inlineStr">
        <ns0:is>
          <ns0:t>210</ns0:t>
        </ns0:is>
      </ns0:c>
      <ns0:c r="B1164" s="21" t="inlineStr">
        <ns0:is>
          <ns0:t>ai_type</ns0:t>
        </ns0:is>
      </ns0:c>
      <ns0:c r="C1164" s="21" t="inlineStr">
        <ns0:is>
          <ns0:t>Deep Learning</ns0:t>
        </ns0:is>
      </ns0:c>
      <ns0:c r="D1164" s="21" t="inlineStr">
        <ns0:is>
          <ns0:t>Machine Learning</ns0:t>
        </ns0:is>
      </ns0:c>
      <ns0:c r="E1164" s="21" t="inlineStr">
        <ns0:is>
          <ns0:t>Baseline EEG plus clinical severity predict 91-day treatment response. AI analysis of a randomized drug trial is not an AI-guided intervention trial.</ns0:t>
        </ns0:is>
      </ns0:c>
      <ns0:c r="F1164" s="21" t="inlineStr">
        <ns0:is>
          <ns0:t>https://doi.org/10.1016/j.bpsc.2021.08.009</ns0:t>
        </ns0:is>
      </ns0:c>
      <ns0:c r="G1164" s="21" t="inlineStr">
        <ns0:is>
          <ns0:t>ChatGPT-assisted evidence recharting, 2026-09-08</ns0:t>
        </ns0:is>
      </ns0:c>
    </ns0:row>
    <ns0:row r="1165" ht="42" customHeight="1">
      <ns0:c r="A1165" s="19" t="inlineStr">
        <ns0:is>
          <ns0:t>210</ns0:t>
        </ns0:is>
      </ns0:c>
      <ns0:c r="B1165" s="19" t="inlineStr">
        <ns0:is>
          <ns0:t>data_source_primary</ns0:t>
        </ns0:is>
      </ns0:c>
      <ns0:c r="C1165" s="19" t="inlineStr">
        <ns0:is>
          <ns0:t>Physiological signals</ns0:t>
        </ns0:is>
      </ns0:c>
      <ns0:c r="D1165" s="19" t="inlineStr">
        <ns0:is>
          <ns0:t>Multiple source categories</ns0:t>
        </ns0:is>
      </ns0:c>
      <ns0:c r="E1165" s="19" t="inlineStr">
        <ns0:is>
          <ns0:t>Baseline EEG plus clinical severity predict 91-day treatment response. AI analysis of a randomized drug trial is not an AI-guided intervention trial.</ns0:t>
        </ns0:is>
      </ns0:c>
      <ns0:c r="F1165" s="19" t="inlineStr">
        <ns0:is>
          <ns0:t>https://doi.org/10.1016/j.bpsc.2021.08.009</ns0:t>
        </ns0:is>
      </ns0:c>
      <ns0:c r="G1165" s="19" t="inlineStr">
        <ns0:is>
          <ns0:t>ChatGPT-assisted evidence recharting, 2026-09-08</ns0:t>
        </ns0:is>
      </ns0:c>
    </ns0:row>
    <ns0:row r="1166" ht="42" customHeight="1">
      <ns0:c r="A1166" s="21" t="inlineStr">
        <ns0:is>
          <ns0:t>210</ns0:t>
        </ns0:is>
      </ns0:c>
      <ns0:c r="B1166" s="21" t="inlineStr">
        <ns0:is>
          <ns0:t>algorithm_main</ns0:t>
        </ns0:is>
      </ns0:c>
      <ns0:c r="C1166" s="21" t="inlineStr">
        <ns0:is>
          <ns0:t>Other / Not clear</ns0:t>
        </ns0:is>
      </ns0:c>
      <ns0:c r="D1166" s="21" t="inlineStr">
        <ns0:is>
          <ns0:t>Clinical-response classifier; family unresolved</ns0:t>
        </ns0:is>
      </ns0:c>
      <ns0:c r="E1166" s="21" t="inlineStr">
        <ns0:is>
          <ns0:t>Baseline EEG plus clinical severity predict 91-day treatment response. AI analysis of a randomized drug trial is not an AI-guided intervention trial.</ns0:t>
        </ns0:is>
      </ns0:c>
      <ns0:c r="F1166" s="21" t="inlineStr">
        <ns0:is>
          <ns0:t>https://doi.org/10.1016/j.bpsc.2021.08.009</ns0:t>
        </ns0:is>
      </ns0:c>
      <ns0:c r="G1166" s="21" t="inlineStr">
        <ns0:is>
          <ns0:t>ChatGPT-assisted evidence recharting, 2026-09-08</ns0:t>
        </ns0:is>
      </ns0:c>
    </ns0:row>
    <ns0:row r="1167" ht="42" customHeight="1">
      <ns0:c r="A1167" s="19" t="inlineStr">
        <ns0:is>
          <ns0:t>210</ns0:t>
        </ns0:is>
      </ns0:c>
      <ns0:c r="B1167" s="19" t="inlineStr">
        <ns0:is>
          <ns0:t>rq2_status</ns0:t>
        </ns0:is>
      </ns0:c>
      <ns0:c r="C1167" s="19" t="inlineStr">
        <ns0:is>
          <ns0:t>Not adjudicated in master</ns0:t>
        </ns0:is>
      </ns0:c>
      <ns0:c r="D1167" s="19" t="inlineStr">
        <ns0:is>
          <ns0:t>Research only</ns0:t>
        </ns0:is>
      </ns0:c>
      <ns0:c r="E1167" s="19" t="inlineStr">
        <ns0:is>
          <ns0:t>Baseline EEG plus clinical severity predict 91-day treatment response. AI analysis of a randomized drug trial is not an AI-guided intervention trial.</ns0:t>
        </ns0:is>
      </ns0:c>
      <ns0:c r="F1167" s="19" t="inlineStr">
        <ns0:is>
          <ns0:t>https://doi.org/10.1016/j.bpsc.2021.08.009</ns0:t>
        </ns0:is>
      </ns0:c>
      <ns0:c r="G1167" s="19" t="inlineStr">
        <ns0:is>
          <ns0:t>ChatGPT-assisted evidence recharting, 2026-09-08</ns0:t>
        </ns0:is>
      </ns0:c>
    </ns0:row>
    <ns0:row r="1168" ht="42" customHeight="1">
      <ns0:c r="A1168" s="21" t="inlineStr">
        <ns0:is>
          <ns0:t>210</ns0:t>
        </ns0:is>
      </ns0:c>
      <ns0:c r="B1168" s="21" t="inlineStr">
        <ns0:is>
          <ns0:t>rq2_role</ns0:t>
        </ns0:is>
      </ns0:c>
      <ns0:c r="C1168" s="21" t="inlineStr"/>
      <ns0:c r="D1168" s="21" t="inlineStr">
        <ns0:is>
          <ns0:t>Risk/trajectory estimation</ns0:t>
        </ns0:is>
      </ns0:c>
      <ns0:c r="E1168" s="21" t="inlineStr">
        <ns0:is>
          <ns0:t>Baseline EEG plus clinical severity predict 91-day treatment response. AI analysis of a randomized drug trial is not an AI-guided intervention trial.</ns0:t>
        </ns0:is>
      </ns0:c>
      <ns0:c r="F1168" s="21" t="inlineStr">
        <ns0:is>
          <ns0:t>https://doi.org/10.1016/j.bpsc.2021.08.009</ns0:t>
        </ns0:is>
      </ns0:c>
      <ns0:c r="G1168" s="21" t="inlineStr">
        <ns0:is>
          <ns0:t>ChatGPT-assisted evidence recharting, 2026-09-08</ns0:t>
        </ns0:is>
      </ns0:c>
    </ns0:row>
    <ns0:row r="1169" ht="42" customHeight="1">
      <ns0:c r="A1169" s="19" t="inlineStr">
        <ns0:is>
          <ns0:t>210</ns0:t>
        </ns0:is>
      </ns0:c>
      <ns0:c r="B1169" s="19" t="inlineStr">
        <ns0:is>
          <ns0:t>decision_timing</ns0:t>
        </ns0:is>
      </ns0:c>
      <ns0:c r="C1169" s="19" t="inlineStr"/>
      <ns0:c r="D1169" s="19" t="inlineStr">
        <ns0:is>
          <ns0:t>Not observed in assessed sources</ns0:t>
        </ns0:is>
      </ns0:c>
      <ns0:c r="E1169" s="19" t="inlineStr">
        <ns0:is>
          <ns0:t>Baseline EEG plus clinical severity predict 91-day treatment response. AI analysis of a randomized drug trial is not an AI-guided intervention trial.</ns0:t>
        </ns0:is>
      </ns0:c>
      <ns0:c r="F1169" s="19" t="inlineStr">
        <ns0:is>
          <ns0:t>https://doi.org/10.1016/j.bpsc.2021.08.009</ns0:t>
        </ns0:is>
      </ns0:c>
      <ns0:c r="G1169" s="19" t="inlineStr">
        <ns0:is>
          <ns0:t>ChatGPT-assisted evidence recharting, 2026-09-08</ns0:t>
        </ns0:is>
      </ns0:c>
    </ns0:row>
    <ns0:row r="1170" ht="42" customHeight="1">
      <ns0:c r="A1170" s="21" t="inlineStr">
        <ns0:is>
          <ns0:t>210</ns0:t>
        </ns0:is>
      </ns0:c>
      <ns0:c r="B1170" s="21" t="inlineStr">
        <ns0:is>
          <ns0:t>multisource_data</ns0:t>
        </ns0:is>
      </ns0:c>
      <ns0:c r="C1170" s="21" t="inlineStr">
        <ns0:is>
          <ns0:t>Not reported in assessed sources</ns0:t>
        </ns0:is>
      </ns0:c>
      <ns0:c r="D1170" s="21" t="inlineStr">
        <ns0:is>
          <ns0:t>Reported</ns0:t>
        </ns0:is>
      </ns0:c>
      <ns0:c r="E1170" s="21" t="inlineStr">
        <ns0:is>
          <ns0:t>Baseline EEG plus clinical severity predict 91-day treatment response. AI analysis of a randomized drug trial is not an AI-guided intervention trial.</ns0:t>
        </ns0:is>
      </ns0:c>
      <ns0:c r="F1170" s="21" t="inlineStr">
        <ns0:is>
          <ns0:t>https://doi.org/10.1016/j.bpsc.2021.08.009</ns0:t>
        </ns0:is>
      </ns0:c>
      <ns0:c r="G1170" s="21" t="inlineStr">
        <ns0:is>
          <ns0:t>ChatGPT-assisted evidence recharting, 2026-09-08</ns0:t>
        </ns0:is>
      </ns0:c>
    </ns0:row>
    <ns0:row r="1171" ht="42" customHeight="1">
      <ns0:c r="A1171" s="19" t="inlineStr">
        <ns0:is>
          <ns0:t>211</ns0:t>
        </ns0:is>
      </ns0:c>
      <ns0:c r="B1171" s="19" t="inlineStr">
        <ns0:is>
          <ns0:t>stage_primary</ns0:t>
        </ns0:is>
      </ns0:c>
      <ns0:c r="C1171" s="19" t="inlineStr">
        <ns0:is>
          <ns0:t>Monitoring/intervention</ns0:t>
        </ns0:is>
      </ns0:c>
      <ns0:c r="D1171" s="19" t="inlineStr">
        <ns0:is>
          <ns0:t>Prognosis</ns0:t>
        </ns0:is>
      </ns0:c>
      <ns0:c r="E1171" s="19" t="inlineStr">
        <ns0:is>
          <ns0:t>Baseline physical/developmental assessments predict later mini-basketball outcomes. The intervention was not allocated or adapted by AI in the reported experiment.</ns0:t>
        </ns0:is>
      </ns0:c>
      <ns0:c r="F1171" s="19" t="inlineStr">
        <ns0:is>
          <ns0:t>https://doi.org/10.32604/ijmhp.2022.020075</ns0:t>
        </ns0:is>
      </ns0:c>
      <ns0:c r="G1171" s="19" t="inlineStr">
        <ns0:is>
          <ns0:t>ChatGPT-assisted evidence recharting, 2026-09-08</ns0:t>
        </ns0:is>
      </ns0:c>
    </ns0:row>
    <ns0:row r="1172" ht="42" customHeight="1">
      <ns0:c r="A1172" s="21" t="inlineStr">
        <ns0:is>
          <ns0:t>211</ns0:t>
        </ns0:is>
      </ns0:c>
      <ns0:c r="B1172" s="21" t="inlineStr">
        <ns0:is>
          <ns0:t>data_source_primary</ns0:t>
        </ns0:is>
      </ns0:c>
      <ns0:c r="C1172" s="21" t="inlineStr">
        <ns0:is>
          <ns0:t>Not specified</ns0:t>
        </ns0:is>
      </ns0:c>
      <ns0:c r="D1172" s="21" t="inlineStr">
        <ns0:is>
          <ns0:t>Structured clinical/questionnaire data</ns0:t>
        </ns0:is>
      </ns0:c>
      <ns0:c r="E1172" s="21" t="inlineStr">
        <ns0:is>
          <ns0:t>Baseline physical/developmental assessments predict later mini-basketball outcomes. The intervention was not allocated or adapted by AI in the reported experiment.</ns0:t>
        </ns0:is>
      </ns0:c>
      <ns0:c r="F1172" s="21" t="inlineStr">
        <ns0:is>
          <ns0:t>https://doi.org/10.32604/ijmhp.2022.020075</ns0:t>
        </ns0:is>
      </ns0:c>
      <ns0:c r="G1172" s="21" t="inlineStr">
        <ns0:is>
          <ns0:t>ChatGPT-assisted evidence recharting, 2026-09-08</ns0:t>
        </ns0:is>
      </ns0:c>
    </ns0:row>
    <ns0:row r="1173" ht="42" customHeight="1">
      <ns0:c r="A1173" s="19" t="inlineStr">
        <ns0:is>
          <ns0:t>211</ns0:t>
        </ns0:is>
      </ns0:c>
      <ns0:c r="B1173" s="19" t="inlineStr">
        <ns0:is>
          <ns0:t>algorithm_main</ns0:t>
        </ns0:is>
      </ns0:c>
      <ns0:c r="C1173" s="19" t="inlineStr">
        <ns0:is>
          <ns0:t>SVM</ns0:t>
        </ns0:is>
      </ns0:c>
      <ns0:c r="D1173" s="19" t="inlineStr">
        <ns0:is>
          <ns0:t>Support vector regression</ns0:t>
        </ns0:is>
      </ns0:c>
      <ns0:c r="E1173" s="19" t="inlineStr">
        <ns0:is>
          <ns0:t>Baseline physical/developmental assessments predict later mini-basketball outcomes. The intervention was not allocated or adapted by AI in the reported experiment.</ns0:t>
        </ns0:is>
      </ns0:c>
      <ns0:c r="F1173" s="19" t="inlineStr">
        <ns0:is>
          <ns0:t>https://doi.org/10.32604/ijmhp.2022.020075</ns0:t>
        </ns0:is>
      </ns0:c>
      <ns0:c r="G1173" s="19" t="inlineStr">
        <ns0:is>
          <ns0:t>ChatGPT-assisted evidence recharting, 2026-09-08</ns0:t>
        </ns0:is>
      </ns0:c>
    </ns0:row>
    <ns0:row r="1174" ht="42" customHeight="1">
      <ns0:c r="A1174" s="21" t="inlineStr">
        <ns0:is>
          <ns0:t>211</ns0:t>
        </ns0:is>
      </ns0:c>
      <ns0:c r="B1174" s="21" t="inlineStr">
        <ns0:is>
          <ns0:t>rq2_status</ns0:t>
        </ns0:is>
      </ns0:c>
      <ns0:c r="C1174" s="21" t="inlineStr">
        <ns0:is>
          <ns0:t>Not adjudicated in master</ns0:t>
        </ns0:is>
      </ns0:c>
      <ns0:c r="D1174" s="21" t="inlineStr">
        <ns0:is>
          <ns0:t>Research only</ns0:t>
        </ns0:is>
      </ns0:c>
      <ns0:c r="E1174" s="21" t="inlineStr">
        <ns0:is>
          <ns0:t>Baseline physical/developmental assessments predict later mini-basketball outcomes. The intervention was not allocated or adapted by AI in the reported experiment.</ns0:t>
        </ns0:is>
      </ns0:c>
      <ns0:c r="F1174" s="21" t="inlineStr">
        <ns0:is>
          <ns0:t>https://doi.org/10.32604/ijmhp.2022.020075</ns0:t>
        </ns0:is>
      </ns0:c>
      <ns0:c r="G1174" s="21" t="inlineStr">
        <ns0:is>
          <ns0:t>ChatGPT-assisted evidence recharting, 2026-09-08</ns0:t>
        </ns0:is>
      </ns0:c>
    </ns0:row>
    <ns0:row r="1175" ht="42" customHeight="1">
      <ns0:c r="A1175" s="19" t="inlineStr">
        <ns0:is>
          <ns0:t>211</ns0:t>
        </ns0:is>
      </ns0:c>
      <ns0:c r="B1175" s="19" t="inlineStr">
        <ns0:is>
          <ns0:t>rq2_role</ns0:t>
        </ns0:is>
      </ns0:c>
      <ns0:c r="C1175" s="19" t="inlineStr"/>
      <ns0:c r="D1175" s="19" t="inlineStr">
        <ns0:is>
          <ns0:t>Risk/trajectory estimation</ns0:t>
        </ns0:is>
      </ns0:c>
      <ns0:c r="E1175" s="19" t="inlineStr">
        <ns0:is>
          <ns0:t>Baseline physical/developmental assessments predict later mini-basketball outcomes. The intervention was not allocated or adapted by AI in the reported experiment.</ns0:t>
        </ns0:is>
      </ns0:c>
      <ns0:c r="F1175" s="19" t="inlineStr">
        <ns0:is>
          <ns0:t>https://doi.org/10.32604/ijmhp.2022.020075</ns0:t>
        </ns0:is>
      </ns0:c>
      <ns0:c r="G1175" s="19" t="inlineStr">
        <ns0:is>
          <ns0:t>ChatGPT-assisted evidence recharting, 2026-09-08</ns0:t>
        </ns0:is>
      </ns0:c>
    </ns0:row>
    <ns0:row r="1176" ht="42" customHeight="1">
      <ns0:c r="A1176" s="21" t="inlineStr">
        <ns0:is>
          <ns0:t>211</ns0:t>
        </ns0:is>
      </ns0:c>
      <ns0:c r="B1176" s="21" t="inlineStr">
        <ns0:is>
          <ns0:t>decision_timing</ns0:t>
        </ns0:is>
      </ns0:c>
      <ns0:c r="C1176" s="21" t="inlineStr"/>
      <ns0:c r="D1176" s="21" t="inlineStr">
        <ns0:is>
          <ns0:t>Not observed in assessed sources</ns0:t>
        </ns0:is>
      </ns0:c>
      <ns0:c r="E1176" s="21" t="inlineStr">
        <ns0:is>
          <ns0:t>Baseline physical/developmental assessments predict later mini-basketball outcomes. The intervention was not allocated or adapted by AI in the reported experiment.</ns0:t>
        </ns0:is>
      </ns0:c>
      <ns0:c r="F1176" s="21" t="inlineStr">
        <ns0:is>
          <ns0:t>https://doi.org/10.32604/ijmhp.2022.020075</ns0:t>
        </ns0:is>
      </ns0:c>
      <ns0:c r="G1176" s="21" t="inlineStr">
        <ns0:is>
          <ns0:t>ChatGPT-assisted evidence recharting, 2026-09-08</ns0:t>
        </ns0:is>
      </ns0:c>
    </ns0:row>
    <ns0:row r="1177" ht="42" customHeight="1">
      <ns0:c r="A1177" s="19" t="inlineStr">
        <ns0:is>
          <ns0:t>211</ns0:t>
        </ns0:is>
      </ns0:c>
      <ns0:c r="B1177" s="19" t="inlineStr">
        <ns0:is>
          <ns0:t>multisource_data</ns0:t>
        </ns0:is>
      </ns0:c>
      <ns0:c r="C1177" s="19" t="inlineStr">
        <ns0:is>
          <ns0:t>Not reported in assessed sources</ns0:t>
        </ns0:is>
      </ns0:c>
      <ns0:c r="D1177" s="19" t="inlineStr">
        <ns0:is>
          <ns0:t>Reported</ns0:t>
        </ns0:is>
      </ns0:c>
      <ns0:c r="E1177" s="19" t="inlineStr">
        <ns0:is>
          <ns0:t>Baseline physical/developmental assessments predict later mini-basketball outcomes. The intervention was not allocated or adapted by AI in the reported experiment.</ns0:t>
        </ns0:is>
      </ns0:c>
      <ns0:c r="F1177" s="19" t="inlineStr">
        <ns0:is>
          <ns0:t>https://doi.org/10.32604/ijmhp.2022.020075</ns0:t>
        </ns0:is>
      </ns0:c>
      <ns0:c r="G1177" s="19" t="inlineStr">
        <ns0:is>
          <ns0:t>ChatGPT-assisted evidence recharting, 2026-09-08</ns0:t>
        </ns0:is>
      </ns0:c>
    </ns0:row>
    <ns0:row r="1178" ht="42" customHeight="1">
      <ns0:c r="A1178" s="21" t="inlineStr">
        <ns0:is>
          <ns0:t>212</ns0:t>
        </ns0:is>
      </ns0:c>
      <ns0:c r="B1178" s="21" t="inlineStr">
        <ns0:is>
          <ns0:t>stage_primary</ns0:t>
        </ns0:is>
      </ns0:c>
      <ns0:c r="C1178" s="21" t="inlineStr">
        <ns0:is>
          <ns0:t>Monitoring/intervention</ns0:t>
        </ns0:is>
      </ns0:c>
      <ns0:c r="D1178" s="21" t="inlineStr">
        <ns0:is>
          <ns0:t>Not specified</ns0:t>
        </ns0:is>
      </ns0:c>
      <ns0:c r="E1178" s="21" t="inlineStr">
        <ns0:is>
          <ns0:t>Cross-sectional pragmatic-language characterization in ASD and related genetic phenotypes; no future course or delivered intervention is modeled.</ns0:t>
        </ns0:is>
      </ns0:c>
      <ns0:c r="F1178" s="21" t="inlineStr">
        <ns0:is>
          <ns0:t>https://doi.org/10.1177/13623613241304488</ns0:t>
        </ns0:is>
      </ns0:c>
      <ns0:c r="G1178" s="21" t="inlineStr">
        <ns0:is>
          <ns0:t>ChatGPT-assisted evidence recharting, 2026-09-08</ns0:t>
        </ns0:is>
      </ns0:c>
    </ns0:row>
    <ns0:row r="1179" ht="42" customHeight="1">
      <ns0:c r="A1179" s="19" t="inlineStr">
        <ns0:is>
          <ns0:t>212</ns0:t>
        </ns0:is>
      </ns0:c>
      <ns0:c r="B1179" s="19" t="inlineStr">
        <ns0:is>
          <ns0:t>data_source_primary</ns0:t>
        </ns0:is>
      </ns0:c>
      <ns0:c r="C1179" s="19" t="inlineStr">
        <ns0:is>
          <ns0:t>Text / NLP (legacy; verify input type)</ns0:t>
        </ns0:is>
      </ns0:c>
      <ns0:c r="D1179" s="19" t="inlineStr">
        <ns0:is>
          <ns0:t>Text/language</ns0:t>
        </ns0:is>
      </ns0:c>
      <ns0:c r="E1179" s="19" t="inlineStr">
        <ns0:is>
          <ns0:t>Cross-sectional pragmatic-language characterization in ASD and related genetic phenotypes; no future course or delivered intervention is modeled.</ns0:t>
        </ns0:is>
      </ns0:c>
      <ns0:c r="F1179" s="19" t="inlineStr">
        <ns0:is>
          <ns0:t>https://doi.org/10.1177/13623613241304488</ns0:t>
        </ns0:is>
      </ns0:c>
      <ns0:c r="G1179" s="19" t="inlineStr">
        <ns0:is>
          <ns0:t>ChatGPT-assisted evidence recharting, 2026-09-08</ns0:t>
        </ns0:is>
      </ns0:c>
    </ns0:row>
    <ns0:row r="1180" ht="42" customHeight="1">
      <ns0:c r="A1180" s="21" t="inlineStr">
        <ns0:is>
          <ns0:t>212</ns0:t>
        </ns0:is>
      </ns0:c>
      <ns0:c r="B1180" s="21" t="inlineStr">
        <ns0:is>
          <ns0:t>algorithm_main</ns0:t>
        </ns0:is>
      </ns0:c>
      <ns0:c r="C1180" s="21" t="inlineStr">
        <ns0:is>
          <ns0:t>Transformer</ns0:t>
        </ns0:is>
      </ns0:c>
      <ns0:c r="D1180" s="21" t="inlineStr">
        <ns0:is>
          <ns0:t>BERT</ns0:t>
        </ns0:is>
      </ns0:c>
      <ns0:c r="E1180" s="21" t="inlineStr">
        <ns0:is>
          <ns0:t>Cross-sectional pragmatic-language characterization in ASD and related genetic phenotypes; no future course or delivered intervention is modeled.</ns0:t>
        </ns0:is>
      </ns0:c>
      <ns0:c r="F1180" s="21" t="inlineStr">
        <ns0:is>
          <ns0:t>https://doi.org/10.1177/13623613241304488</ns0:t>
        </ns0:is>
      </ns0:c>
      <ns0:c r="G1180" s="21" t="inlineStr">
        <ns0:is>
          <ns0:t>ChatGPT-assisted evidence recharting, 2026-09-08</ns0:t>
        </ns0:is>
      </ns0:c>
    </ns0:row>
    <ns0:row r="1181" ht="42" customHeight="1">
      <ns0:c r="A1181" s="19" t="inlineStr">
        <ns0:is>
          <ns0:t>212</ns0:t>
        </ns0:is>
      </ns0:c>
      <ns0:c r="B1181" s="19" t="inlineStr">
        <ns0:is>
          <ns0:t>rq2_status</ns0:t>
        </ns0:is>
      </ns0:c>
      <ns0:c r="C1181" s="19" t="inlineStr">
        <ns0:is>
          <ns0:t>Not adjudicated in master</ns0:t>
        </ns0:is>
      </ns0:c>
      <ns0:c r="D1181" s="19" t="inlineStr">
        <ns0:is>
          <ns0:t>Research only</ns0:t>
        </ns0:is>
      </ns0:c>
      <ns0:c r="E1181" s="19" t="inlineStr">
        <ns0:is>
          <ns0:t>Cross-sectional pragmatic-language characterization in ASD and related genetic phenotypes; no future course or delivered intervention is modeled.</ns0:t>
        </ns0:is>
      </ns0:c>
      <ns0:c r="F1181" s="19" t="inlineStr">
        <ns0:is>
          <ns0:t>https://doi.org/10.1177/13623613241304488</ns0:t>
        </ns0:is>
      </ns0:c>
      <ns0:c r="G1181" s="19" t="inlineStr">
        <ns0:is>
          <ns0:t>ChatGPT-assisted evidence recharting, 2026-09-08</ns0:t>
        </ns0:is>
      </ns0:c>
    </ns0:row>
    <ns0:row r="1182" ht="42" customHeight="1">
      <ns0:c r="A1182" s="21" t="inlineStr">
        <ns0:is>
          <ns0:t>212</ns0:t>
        </ns0:is>
      </ns0:c>
      <ns0:c r="B1182" s="21" t="inlineStr">
        <ns0:is>
          <ns0:t>rq2_role</ns0:t>
        </ns0:is>
      </ns0:c>
      <ns0:c r="C1182" s="21" t="inlineStr"/>
      <ns0:c r="D1182" s="21" t="inlineStr">
        <ns0:is>
          <ns0:t>Automated measurement/classification</ns0:t>
        </ns0:is>
      </ns0:c>
      <ns0:c r="E1182" s="21" t="inlineStr">
        <ns0:is>
          <ns0:t>Cross-sectional pragmatic-language characterization in ASD and related genetic phenotypes; no future course or delivered intervention is modeled.</ns0:t>
        </ns0:is>
      </ns0:c>
      <ns0:c r="F1182" s="21" t="inlineStr">
        <ns0:is>
          <ns0:t>https://doi.org/10.1177/13623613241304488</ns0:t>
        </ns0:is>
      </ns0:c>
      <ns0:c r="G1182" s="21" t="inlineStr">
        <ns0:is>
          <ns0:t>ChatGPT-assisted evidence recharting, 2026-09-08</ns0:t>
        </ns0:is>
      </ns0:c>
    </ns0:row>
    <ns0:row r="1183" ht="42" customHeight="1">
      <ns0:c r="A1183" s="19" t="inlineStr">
        <ns0:is>
          <ns0:t>212</ns0:t>
        </ns0:is>
      </ns0:c>
      <ns0:c r="B1183" s="19" t="inlineStr">
        <ns0:is>
          <ns0:t>decision_timing</ns0:t>
        </ns0:is>
      </ns0:c>
      <ns0:c r="C1183" s="19" t="inlineStr"/>
      <ns0:c r="D1183" s="19" t="inlineStr">
        <ns0:is>
          <ns0:t>Not observed in assessed sources</ns0:t>
        </ns0:is>
      </ns0:c>
      <ns0:c r="E1183" s="19" t="inlineStr">
        <ns0:is>
          <ns0:t>Cross-sectional pragmatic-language characterization in ASD and related genetic phenotypes; no future course or delivered intervention is modeled.</ns0:t>
        </ns0:is>
      </ns0:c>
      <ns0:c r="F1183" s="19" t="inlineStr">
        <ns0:is>
          <ns0:t>https://doi.org/10.1177/13623613241304488</ns0:t>
        </ns0:is>
      </ns0:c>
      <ns0:c r="G1183" s="19" t="inlineStr">
        <ns0:is>
          <ns0:t>ChatGPT-assisted evidence recharting, 2026-09-08</ns0:t>
        </ns0:is>
      </ns0:c>
    </ns0:row>
    <ns0:row r="1184" ht="42" customHeight="1">
      <ns0:c r="A1184" s="21" t="inlineStr">
        <ns0:is>
          <ns0:t>213</ns0:t>
        </ns0:is>
      </ns0:c>
      <ns0:c r="B1184" s="21" t="inlineStr">
        <ns0:is>
          <ns0:t>ai_type</ns0:t>
        </ns0:is>
      </ns0:c>
      <ns0:c r="C1184" s="21" t="inlineStr">
        <ns0:is>
          <ns0:t>Deep Learning</ns0:t>
        </ns0:is>
      </ns0:c>
      <ns0:c r="D1184" s="21" t="inlineStr">
        <ns0:is>
          <ns0:t>Machine Learning</ns0:t>
        </ns0:is>
      </ns0:c>
      <ns0:c r="E1184" s="21" t="inlineStr">
        <ns0:is>
          <ns0:t>Resting fMRI correlation matrices with a probabilistic neural classifier. Similar accuracies by institution are site-stratified analysis, not proof of unseen-site transport.</ns0:t>
        </ns0:is>
      </ns0:c>
      <ns0:c r="F1184" s="21" t="inlineStr">
        <ns0:is>
          <ns0:t>https://doi.org/10.1016/j.cortex.2014.08.011</ns0:t>
        </ns0:is>
      </ns0:c>
      <ns0:c r="G1184" s="21" t="inlineStr">
        <ns0:is>
          <ns0:t>ChatGPT-assisted evidence recharting, 2026-09-08</ns0:t>
        </ns0:is>
      </ns0:c>
    </ns0:row>
    <ns0:row r="1185" ht="42" customHeight="1">
      <ns0:c r="A1185" s="19" t="inlineStr">
        <ns0:is>
          <ns0:t>213</ns0:t>
        </ns0:is>
      </ns0:c>
      <ns0:c r="B1185" s="19" t="inlineStr">
        <ns0:is>
          <ns0:t>data_source_primary</ns0:t>
        </ns0:is>
      </ns0:c>
      <ns0:c r="C1185" s="19" t="inlineStr">
        <ns0:is>
          <ns0:t>Physiological signals</ns0:t>
        </ns0:is>
      </ns0:c>
      <ns0:c r="D1185" s="19" t="inlineStr">
        <ns0:is>
          <ns0:t>Neuroimaging</ns0:t>
        </ns0:is>
      </ns0:c>
      <ns0:c r="E1185" s="19" t="inlineStr">
        <ns0:is>
          <ns0:t>Resting fMRI correlation matrices with a probabilistic neural classifier. Similar accuracies by institution are site-stratified analysis, not proof of unseen-site transport.</ns0:t>
        </ns0:is>
      </ns0:c>
      <ns0:c r="F1185" s="19" t="inlineStr">
        <ns0:is>
          <ns0:t>https://doi.org/10.1016/j.cortex.2014.08.011</ns0:t>
        </ns0:is>
      </ns0:c>
      <ns0:c r="G1185" s="19" t="inlineStr">
        <ns0:is>
          <ns0:t>ChatGPT-assisted evidence recharting, 2026-09-08</ns0:t>
        </ns0:is>
      </ns0:c>
    </ns0:row>
    <ns0:row r="1186" ht="42" customHeight="1">
      <ns0:c r="A1186" s="21" t="inlineStr">
        <ns0:is>
          <ns0:t>213</ns0:t>
        </ns0:is>
      </ns0:c>
      <ns0:c r="B1186" s="21" t="inlineStr">
        <ns0:is>
          <ns0:t>algorithm_main</ns0:t>
        </ns0:is>
      </ns0:c>
      <ns0:c r="C1186" s="21" t="inlineStr">
        <ns0:is>
          <ns0:t>Other / Not clear</ns0:t>
        </ns0:is>
      </ns0:c>
      <ns0:c r="D1186" s="21" t="inlineStr">
        <ns0:is>
          <ns0:t>Probabilistic neural network</ns0:t>
        </ns0:is>
      </ns0:c>
      <ns0:c r="E1186" s="21" t="inlineStr">
        <ns0:is>
          <ns0:t>Resting fMRI correlation matrices with a probabilistic neural classifier. Similar accuracies by institution are site-stratified analysis, not proof of unseen-site transport.</ns0:t>
        </ns0:is>
      </ns0:c>
      <ns0:c r="F1186" s="21" t="inlineStr">
        <ns0:is>
          <ns0:t>https://doi.org/10.1016/j.cortex.2014.08.011</ns0:t>
        </ns0:is>
      </ns0:c>
      <ns0:c r="G1186" s="21" t="inlineStr">
        <ns0:is>
          <ns0:t>ChatGPT-assisted evidence recharting, 2026-09-08</ns0:t>
        </ns0:is>
      </ns0:c>
    </ns0:row>
    <ns0:row r="1187" ht="42" customHeight="1">
      <ns0:c r="A1187" s="19" t="inlineStr">
        <ns0:is>
          <ns0:t>213</ns0:t>
        </ns0:is>
      </ns0:c>
      <ns0:c r="B1187" s="19" t="inlineStr">
        <ns0:is>
          <ns0:t>rq2_status</ns0:t>
        </ns0:is>
      </ns0:c>
      <ns0:c r="C1187" s="19" t="inlineStr">
        <ns0:is>
          <ns0:t>Not adjudicated in master</ns0:t>
        </ns0:is>
      </ns0:c>
      <ns0:c r="D1187" s="19" t="inlineStr">
        <ns0:is>
          <ns0:t>Research only</ns0:t>
        </ns0:is>
      </ns0:c>
      <ns0:c r="E1187" s="19" t="inlineStr">
        <ns0:is>
          <ns0:t>Resting fMRI correlation matrices with a probabilistic neural classifier. Similar accuracies by institution are site-stratified analysis, not proof of unseen-site transport.</ns0:t>
        </ns0:is>
      </ns0:c>
      <ns0:c r="F1187" s="19" t="inlineStr">
        <ns0:is>
          <ns0:t>https://doi.org/10.1016/j.cortex.2014.08.011</ns0:t>
        </ns0:is>
      </ns0:c>
      <ns0:c r="G1187" s="19" t="inlineStr">
        <ns0:is>
          <ns0:t>ChatGPT-assisted evidence recharting, 2026-09-08</ns0:t>
        </ns0:is>
      </ns0:c>
    </ns0:row>
    <ns0:row r="1188" ht="42" customHeight="1">
      <ns0:c r="A1188" s="21" t="inlineStr">
        <ns0:is>
          <ns0:t>213</ns0:t>
        </ns0:is>
      </ns0:c>
      <ns0:c r="B1188" s="21" t="inlineStr">
        <ns0:is>
          <ns0:t>rq2_role</ns0:t>
        </ns0:is>
      </ns0:c>
      <ns0:c r="C1188" s="21" t="inlineStr"/>
      <ns0:c r="D1188" s="21" t="inlineStr">
        <ns0:is>
          <ns0:t>Automated measurement/classification</ns0:t>
        </ns0:is>
      </ns0:c>
      <ns0:c r="E1188" s="21" t="inlineStr">
        <ns0:is>
          <ns0:t>Resting fMRI correlation matrices with a probabilistic neural classifier. Similar accuracies by institution are site-stratified analysis, not proof of unseen-site transport.</ns0:t>
        </ns0:is>
      </ns0:c>
      <ns0:c r="F1188" s="21" t="inlineStr">
        <ns0:is>
          <ns0:t>https://doi.org/10.1016/j.cortex.2014.08.011</ns0:t>
        </ns0:is>
      </ns0:c>
      <ns0:c r="G1188" s="21" t="inlineStr">
        <ns0:is>
          <ns0:t>ChatGPT-assisted evidence recharting, 2026-09-08</ns0:t>
        </ns0:is>
      </ns0:c>
    </ns0:row>
    <ns0:row r="1189" ht="42" customHeight="1">
      <ns0:c r="A1189" s="19" t="inlineStr">
        <ns0:is>
          <ns0:t>213</ns0:t>
        </ns0:is>
      </ns0:c>
      <ns0:c r="B1189" s="19" t="inlineStr">
        <ns0:is>
          <ns0:t>decision_timing</ns0:t>
        </ns0:is>
      </ns0:c>
      <ns0:c r="C1189" s="19" t="inlineStr"/>
      <ns0:c r="D1189" s="19" t="inlineStr">
        <ns0:is>
          <ns0:t>Not observed in assessed sources</ns0:t>
        </ns0:is>
      </ns0:c>
      <ns0:c r="E1189" s="19" t="inlineStr">
        <ns0:is>
          <ns0:t>Resting fMRI correlation matrices with a probabilistic neural classifier. Similar accuracies by institution are site-stratified analysis, not proof of unseen-site transport.</ns0:t>
        </ns0:is>
      </ns0:c>
      <ns0:c r="F1189" s="19" t="inlineStr">
        <ns0:is>
          <ns0:t>https://doi.org/10.1016/j.cortex.2014.08.011</ns0:t>
        </ns0:is>
      </ns0:c>
      <ns0:c r="G1189" s="19" t="inlineStr">
        <ns0:is>
          <ns0:t>ChatGPT-assisted evidence recharting, 2026-09-08</ns0:t>
        </ns0:is>
      </ns0:c>
    </ns0:row>
    <ns0:row r="1190" ht="42" customHeight="1">
      <ns0:c r="A1190" s="21" t="inlineStr">
        <ns0:is>
          <ns0:t>214</ns0:t>
        </ns0:is>
      </ns0:c>
      <ns0:c r="B1190" s="21" t="inlineStr">
        <ns0:is>
          <ns0:t>ai_type</ns0:t>
        </ns0:is>
      </ns0:c>
      <ns0:c r="C1190" s="21" t="inlineStr">
        <ns0:is>
          <ns0:t>Deep Learning</ns0:t>
        </ns0:is>
      </ns0:c>
      <ns0:c r="D1190" s="21" t="inlineStr">
        <ns0:is>
          <ns0:t>Machine Learning</ns0:t>
        </ns0:is>
      </ns0:c>
      <ns0:c r="E1190" s="21" t="inlineStr">
        <ns0:is>
          <ns0:t>Explicit single-modal fMRI privileged-information method; cascaded RVFL is retained rather than forcing it into conventional CNN or unspecified Other.</ns0:t>
        </ns0:is>
      </ns0:c>
      <ns0:c r="F1190" s="21" t="inlineStr">
        <ns0:is>
          <ns0:t>https://doi.org/10.1109/embc46164.2021.9630150</ns0:t>
        </ns0:is>
      </ns0:c>
      <ns0:c r="G1190" s="21" t="inlineStr">
        <ns0:is>
          <ns0:t>ChatGPT-assisted evidence recharting, 2026-09-08</ns0:t>
        </ns0:is>
      </ns0:c>
    </ns0:row>
    <ns0:row r="1191" ht="42" customHeight="1">
      <ns0:c r="A1191" s="19" t="inlineStr">
        <ns0:is>
          <ns0:t>214</ns0:t>
        </ns0:is>
      </ns0:c>
      <ns0:c r="B1191" s="19" t="inlineStr">
        <ns0:is>
          <ns0:t>data_source_primary</ns0:t>
        </ns0:is>
      </ns0:c>
      <ns0:c r="C1191" s="19" t="inlineStr">
        <ns0:is>
          <ns0:t>Image (subtype unresolved)</ns0:t>
        </ns0:is>
      </ns0:c>
      <ns0:c r="D1191" s="19" t="inlineStr">
        <ns0:is>
          <ns0:t>Neuroimaging</ns0:t>
        </ns0:is>
      </ns0:c>
      <ns0:c r="E1191" s="19" t="inlineStr">
        <ns0:is>
          <ns0:t>Explicit single-modal fMRI privileged-information method; cascaded RVFL is retained rather than forcing it into conventional CNN or unspecified Other.</ns0:t>
        </ns0:is>
      </ns0:c>
      <ns0:c r="F1191" s="19" t="inlineStr">
        <ns0:is>
          <ns0:t>https://doi.org/10.1109/embc46164.2021.9630150</ns0:t>
        </ns0:is>
      </ns0:c>
      <ns0:c r="G1191" s="19" t="inlineStr">
        <ns0:is>
          <ns0:t>ChatGPT-assisted evidence recharting, 2026-09-08</ns0:t>
        </ns0:is>
      </ns0:c>
    </ns0:row>
    <ns0:row r="1192" ht="42" customHeight="1">
      <ns0:c r="A1192" s="21" t="inlineStr">
        <ns0:is>
          <ns0:t>214</ns0:t>
        </ns0:is>
      </ns0:c>
      <ns0:c r="B1192" s="21" t="inlineStr">
        <ns0:is>
          <ns0:t>algorithm_main</ns0:t>
        </ns0:is>
      </ns0:c>
      <ns0:c r="C1192" s="21" t="inlineStr">
        <ns0:is>
          <ns0:t>Other</ns0:t>
        </ns0:is>
      </ns0:c>
      <ns0:c r="D1192" s="21" t="inlineStr">
        <ns0:is>
          <ns0:t>Cascaded RVFL+ with self-paced learning</ns0:t>
        </ns0:is>
      </ns0:c>
      <ns0:c r="E1192" s="21" t="inlineStr">
        <ns0:is>
          <ns0:t>Explicit single-modal fMRI privileged-information method; cascaded RVFL is retained rather than forcing it into conventional CNN or unspecified Other.</ns0:t>
        </ns0:is>
      </ns0:c>
      <ns0:c r="F1192" s="21" t="inlineStr">
        <ns0:is>
          <ns0:t>https://doi.org/10.1109/embc46164.2021.9630150</ns0:t>
        </ns0:is>
      </ns0:c>
      <ns0:c r="G1192" s="21" t="inlineStr">
        <ns0:is>
          <ns0:t>ChatGPT-assisted evidence recharting, 2026-09-08</ns0:t>
        </ns0:is>
      </ns0:c>
    </ns0:row>
    <ns0:row r="1193" ht="42" customHeight="1">
      <ns0:c r="A1193" s="19" t="inlineStr">
        <ns0:is>
          <ns0:t>214</ns0:t>
        </ns0:is>
      </ns0:c>
      <ns0:c r="B1193" s="19" t="inlineStr">
        <ns0:is>
          <ns0:t>rq2_status</ns0:t>
        </ns0:is>
      </ns0:c>
      <ns0:c r="C1193" s="19" t="inlineStr">
        <ns0:is>
          <ns0:t>Not adjudicated in master</ns0:t>
        </ns0:is>
      </ns0:c>
      <ns0:c r="D1193" s="19" t="inlineStr">
        <ns0:is>
          <ns0:t>Research only</ns0:t>
        </ns0:is>
      </ns0:c>
      <ns0:c r="E1193" s="19" t="inlineStr">
        <ns0:is>
          <ns0:t>Explicit single-modal fMRI privileged-information method; cascaded RVFL is retained rather than forcing it into conventional CNN or unspecified Other.</ns0:t>
        </ns0:is>
      </ns0:c>
      <ns0:c r="F1193" s="19" t="inlineStr">
        <ns0:is>
          <ns0:t>https://doi.org/10.1109/embc46164.2021.9630150</ns0:t>
        </ns0:is>
      </ns0:c>
      <ns0:c r="G1193" s="19" t="inlineStr">
        <ns0:is>
          <ns0:t>ChatGPT-assisted evidence recharting, 2026-09-08</ns0:t>
        </ns0:is>
      </ns0:c>
    </ns0:row>
    <ns0:row r="1194" ht="42" customHeight="1">
      <ns0:c r="A1194" s="21" t="inlineStr">
        <ns0:is>
          <ns0:t>214</ns0:t>
        </ns0:is>
      </ns0:c>
      <ns0:c r="B1194" s="21" t="inlineStr">
        <ns0:is>
          <ns0:t>rq2_role</ns0:t>
        </ns0:is>
      </ns0:c>
      <ns0:c r="C1194" s="21" t="inlineStr"/>
      <ns0:c r="D1194" s="21" t="inlineStr">
        <ns0:is>
          <ns0:t>Automated measurement/classification</ns0:t>
        </ns0:is>
      </ns0:c>
      <ns0:c r="E1194" s="21" t="inlineStr">
        <ns0:is>
          <ns0:t>Explicit single-modal fMRI privileged-information method; cascaded RVFL is retained rather than forcing it into conventional CNN or unspecified Other.</ns0:t>
        </ns0:is>
      </ns0:c>
      <ns0:c r="F1194" s="21" t="inlineStr">
        <ns0:is>
          <ns0:t>https://doi.org/10.1109/embc46164.2021.9630150</ns0:t>
        </ns0:is>
      </ns0:c>
      <ns0:c r="G1194" s="21" t="inlineStr">
        <ns0:is>
          <ns0:t>ChatGPT-assisted evidence recharting, 2026-09-08</ns0:t>
        </ns0:is>
      </ns0:c>
    </ns0:row>
    <ns0:row r="1195" ht="42" customHeight="1">
      <ns0:c r="A1195" s="19" t="inlineStr">
        <ns0:is>
          <ns0:t>214</ns0:t>
        </ns0:is>
      </ns0:c>
      <ns0:c r="B1195" s="19" t="inlineStr">
        <ns0:is>
          <ns0:t>decision_timing</ns0:t>
        </ns0:is>
      </ns0:c>
      <ns0:c r="C1195" s="19" t="inlineStr"/>
      <ns0:c r="D1195" s="19" t="inlineStr">
        <ns0:is>
          <ns0:t>Not observed in assessed sources</ns0:t>
        </ns0:is>
      </ns0:c>
      <ns0:c r="E1195" s="19" t="inlineStr">
        <ns0:is>
          <ns0:t>Explicit single-modal fMRI privileged-information method; cascaded RVFL is retained rather than forcing it into conventional CNN or unspecified Other.</ns0:t>
        </ns0:is>
      </ns0:c>
      <ns0:c r="F1195" s="19" t="inlineStr">
        <ns0:is>
          <ns0:t>https://doi.org/10.1109/embc46164.2021.9630150</ns0:t>
        </ns0:is>
      </ns0:c>
      <ns0:c r="G1195" s="19" t="inlineStr">
        <ns0:is>
          <ns0:t>ChatGPT-assisted evidence recharting, 2026-09-08</ns0:t>
        </ns0:is>
      </ns0:c>
    </ns0:row>
    <ns0:row r="1196" ht="42" customHeight="1">
      <ns0:c r="A1196" s="21" t="inlineStr">
        <ns0:is>
          <ns0:t>215</ns0:t>
        </ns0:is>
      </ns0:c>
      <ns0:c r="B1196" s="21" t="inlineStr">
        <ns0:is>
          <ns0:t>ai_type</ns0:t>
        </ns0:is>
      </ns0:c>
      <ns0:c r="C1196" s="21" t="inlineStr">
        <ns0:is>
          <ns0:t>Deep Learning</ns0:t>
        </ns0:is>
      </ns0:c>
      <ns0:c r="D1196" s="21" t="inlineStr">
        <ns0:is>
          <ns0:t>Machine Learning</ns0:t>
        </ns0:is>
      </ns0:c>
      <ns0:c r="E1196" s="21" t="inlineStr">
        <ns0:is>
          <ns0:t>Smartphone touch and tilt are behavioral motor data. Deploying a data-collection game does not establish an AI clinical screening workflow.</ns0:t>
        </ns0:is>
      </ns0:c>
      <ns0:c r="F1196" s="21" t="inlineStr">
        <ns0:is>
          <ns0:t>https://doi.org/10.1145/3699749</ns0:t>
        </ns0:is>
      </ns0:c>
      <ns0:c r="G1196" s="21" t="inlineStr">
        <ns0:is>
          <ns0:t>ChatGPT-assisted evidence recharting, 2026-09-08</ns0:t>
        </ns0:is>
      </ns0:c>
    </ns0:row>
    <ns0:row r="1197" ht="42" customHeight="1">
      <ns0:c r="A1197" s="19" t="inlineStr">
        <ns0:is>
          <ns0:t>215</ns0:t>
        </ns0:is>
      </ns0:c>
      <ns0:c r="B1197" s="19" t="inlineStr">
        <ns0:is>
          <ns0:t>data_source_primary</ns0:t>
        </ns0:is>
      </ns0:c>
      <ns0:c r="C1197" s="19" t="inlineStr">
        <ns0:is>
          <ns0:t>Physiological signals</ns0:t>
        </ns0:is>
      </ns0:c>
      <ns0:c r="D1197" s="19" t="inlineStr">
        <ns0:is>
          <ns0:t>Behavioral images/video/gaze/movement</ns0:t>
        </ns0:is>
      </ns0:c>
      <ns0:c r="E1197" s="19" t="inlineStr">
        <ns0:is>
          <ns0:t>Smartphone touch and tilt are behavioral motor data. Deploying a data-collection game does not establish an AI clinical screening workflow.</ns0:t>
        </ns0:is>
      </ns0:c>
      <ns0:c r="F1197" s="19" t="inlineStr">
        <ns0:is>
          <ns0:t>https://doi.org/10.1145/3699749</ns0:t>
        </ns0:is>
      </ns0:c>
      <ns0:c r="G1197" s="19" t="inlineStr">
        <ns0:is>
          <ns0:t>ChatGPT-assisted evidence recharting, 2026-09-08</ns0:t>
        </ns0:is>
      </ns0:c>
    </ns0:row>
    <ns0:row r="1198" ht="42" customHeight="1">
      <ns0:c r="A1198" s="21" t="inlineStr">
        <ns0:is>
          <ns0:t>215</ns0:t>
        </ns0:is>
      </ns0:c>
      <ns0:c r="B1198" s="21" t="inlineStr">
        <ns0:is>
          <ns0:t>algorithm_main</ns0:t>
        </ns0:is>
      </ns0:c>
      <ns0:c r="C1198" s="21" t="inlineStr">
        <ns0:is>
          <ns0:t>Logistic Regression</ns0:t>
        </ns0:is>
      </ns0:c>
      <ns0:c r="D1198" s="21" t="inlineStr">
        <ns0:is>
          <ns0:t>Logistic regression</ns0:t>
        </ns0:is>
      </ns0:c>
      <ns0:c r="E1198" s="21" t="inlineStr">
        <ns0:is>
          <ns0:t>Smartphone touch and tilt are behavioral motor data. Deploying a data-collection game does not establish an AI clinical screening workflow.</ns0:t>
        </ns0:is>
      </ns0:c>
      <ns0:c r="F1198" s="21" t="inlineStr">
        <ns0:is>
          <ns0:t>https://doi.org/10.1145/3699749</ns0:t>
        </ns0:is>
      </ns0:c>
      <ns0:c r="G1198" s="21" t="inlineStr">
        <ns0:is>
          <ns0:t>ChatGPT-assisted evidence recharting, 2026-09-08</ns0:t>
        </ns0:is>
      </ns0:c>
    </ns0:row>
    <ns0:row r="1199" ht="42" customHeight="1">
      <ns0:c r="A1199" s="19" t="inlineStr">
        <ns0:is>
          <ns0:t>215</ns0:t>
        </ns0:is>
      </ns0:c>
      <ns0:c r="B1199" s="19" t="inlineStr">
        <ns0:is>
          <ns0:t>rq2_status</ns0:t>
        </ns0:is>
      </ns0:c>
      <ns0:c r="C1199" s="19" t="inlineStr">
        <ns0:is>
          <ns0:t>Not adjudicated in master</ns0:t>
        </ns0:is>
      </ns0:c>
      <ns0:c r="D1199" s="19" t="inlineStr">
        <ns0:is>
          <ns0:t>Research only</ns0:t>
        </ns0:is>
      </ns0:c>
      <ns0:c r="E1199" s="19" t="inlineStr">
        <ns0:is>
          <ns0:t>Smartphone touch and tilt are behavioral motor data. Deploying a data-collection game does not establish an AI clinical screening workflow.</ns0:t>
        </ns0:is>
      </ns0:c>
      <ns0:c r="F1199" s="19" t="inlineStr">
        <ns0:is>
          <ns0:t>https://doi.org/10.1145/3699749</ns0:t>
        </ns0:is>
      </ns0:c>
      <ns0:c r="G1199" s="19" t="inlineStr">
        <ns0:is>
          <ns0:t>ChatGPT-assisted evidence recharting, 2026-09-08</ns0:t>
        </ns0:is>
      </ns0:c>
    </ns0:row>
    <ns0:row r="1200" ht="42" customHeight="1">
      <ns0:c r="A1200" s="21" t="inlineStr">
        <ns0:is>
          <ns0:t>215</ns0:t>
        </ns0:is>
      </ns0:c>
      <ns0:c r="B1200" s="21" t="inlineStr">
        <ns0:is>
          <ns0:t>rq2_role</ns0:t>
        </ns0:is>
      </ns0:c>
      <ns0:c r="C1200" s="21" t="inlineStr"/>
      <ns0:c r="D1200" s="21" t="inlineStr">
        <ns0:is>
          <ns0:t>Automated measurement/classification</ns0:t>
        </ns0:is>
      </ns0:c>
      <ns0:c r="E1200" s="21" t="inlineStr">
        <ns0:is>
          <ns0:t>Smartphone touch and tilt are behavioral motor data. Deploying a data-collection game does not establish an AI clinical screening workflow.</ns0:t>
        </ns0:is>
      </ns0:c>
      <ns0:c r="F1200" s="21" t="inlineStr">
        <ns0:is>
          <ns0:t>https://doi.org/10.1145/3699749</ns0:t>
        </ns0:is>
      </ns0:c>
      <ns0:c r="G1200" s="21" t="inlineStr">
        <ns0:is>
          <ns0:t>ChatGPT-assisted evidence recharting, 2026-09-08</ns0:t>
        </ns0:is>
      </ns0:c>
    </ns0:row>
    <ns0:row r="1201" ht="42" customHeight="1">
      <ns0:c r="A1201" s="19" t="inlineStr">
        <ns0:is>
          <ns0:t>215</ns0:t>
        </ns0:is>
      </ns0:c>
      <ns0:c r="B1201" s="19" t="inlineStr">
        <ns0:is>
          <ns0:t>decision_timing</ns0:t>
        </ns0:is>
      </ns0:c>
      <ns0:c r="C1201" s="19" t="inlineStr"/>
      <ns0:c r="D1201" s="19" t="inlineStr">
        <ns0:is>
          <ns0:t>Not observed in assessed sources</ns0:t>
        </ns0:is>
      </ns0:c>
      <ns0:c r="E1201" s="19" t="inlineStr">
        <ns0:is>
          <ns0:t>Smartphone touch and tilt are behavioral motor data. Deploying a data-collection game does not establish an AI clinical screening workflow.</ns0:t>
        </ns0:is>
      </ns0:c>
      <ns0:c r="F1201" s="19" t="inlineStr">
        <ns0:is>
          <ns0:t>https://doi.org/10.1145/3699749</ns0:t>
        </ns0:is>
      </ns0:c>
      <ns0:c r="G1201" s="19" t="inlineStr">
        <ns0:is>
          <ns0:t>ChatGPT-assisted evidence recharting, 2026-09-08</ns0:t>
        </ns0:is>
      </ns0:c>
    </ns0:row>
    <ns0:row r="1202" ht="42" customHeight="1">
      <ns0:c r="A1202" s="21" t="inlineStr">
        <ns0:is>
          <ns0:t>215</ns0:t>
        </ns0:is>
      </ns0:c>
      <ns0:c r="B1202" s="21" t="inlineStr">
        <ns0:is>
          <ns0:t>xai_partial</ns0:t>
        </ns0:is>
      </ns0:c>
      <ns0:c r="C1202" s="21" t="inlineStr">
        <ns0:is>
          <ns0:t>Not reported in assessed sources</ns0:t>
        </ns0:is>
      </ns0:c>
      <ns0:c r="D1202" s="21" t="inlineStr">
        <ns0:is>
          <ns0:t>Reported</ns0:t>
        </ns0:is>
      </ns0:c>
      <ns0:c r="E1202" s="21" t="inlineStr">
        <ns0:is>
          <ns0:t>Smartphone touch and tilt are behavioral motor data. Deploying a data-collection game does not establish an AI clinical screening workflow.</ns0:t>
        </ns0:is>
      </ns0:c>
      <ns0:c r="F1202" s="21" t="inlineStr">
        <ns0:is>
          <ns0:t>https://doi.org/10.1145/3699749</ns0:t>
        </ns0:is>
      </ns0:c>
      <ns0:c r="G1202" s="21" t="inlineStr">
        <ns0:is>
          <ns0:t>ChatGPT-assisted evidence recharting, 2026-09-08</ns0:t>
        </ns0:is>
      </ns0:c>
    </ns0:row>
    <ns0:row r="1203" ht="42" customHeight="1">
      <ns0:c r="A1203" s="19" t="inlineStr">
        <ns0:is>
          <ns0:t>215</ns0:t>
        </ns0:is>
      </ns0:c>
      <ns0:c r="B1203" s="19" t="inlineStr">
        <ns0:is>
          <ns0:t>multisource_data</ns0:t>
        </ns0:is>
      </ns0:c>
      <ns0:c r="C1203" s="19" t="inlineStr">
        <ns0:is>
          <ns0:t>Not reported in assessed sources</ns0:t>
        </ns0:is>
      </ns0:c>
      <ns0:c r="D1203" s="19" t="inlineStr">
        <ns0:is>
          <ns0:t>Reported</ns0:t>
        </ns0:is>
      </ns0:c>
      <ns0:c r="E1203" s="19" t="inlineStr">
        <ns0:is>
          <ns0:t>Smartphone touch and tilt are behavioral motor data. Deploying a data-collection game does not establish an AI clinical screening workflow.</ns0:t>
        </ns0:is>
      </ns0:c>
      <ns0:c r="F1203" s="19" t="inlineStr">
        <ns0:is>
          <ns0:t>https://doi.org/10.1145/3699749</ns0:t>
        </ns0:is>
      </ns0:c>
      <ns0:c r="G1203" s="19" t="inlineStr">
        <ns0:is>
          <ns0:t>ChatGPT-assisted evidence recharting, 2026-09-08</ns0:t>
        </ns0:is>
      </ns0:c>
    </ns0:row>
    <ns0:row r="1204" ht="42" customHeight="1">
      <ns0:c r="A1204" s="21" t="inlineStr">
        <ns0:is>
          <ns0:t>216</ns0:t>
        </ns0:is>
      </ns0:c>
      <ns0:c r="B1204" s="21" t="inlineStr">
        <ns0:is>
          <ns0:t>data_source_primary</ns0:t>
        </ns0:is>
      </ns0:c>
      <ns0:c r="C1204" s="21" t="inlineStr">
        <ns0:is>
          <ns0:t>Not specified</ns0:t>
        </ns0:is>
      </ns0:c>
      <ns0:c r="D1204" s="21" t="inlineStr">
        <ns0:is>
          <ns0:t>Biological/omics</ns0:t>
        </ns0:is>
      </ns0:c>
      <ns0:c r="E1204" s="21" t="inlineStr">
        <ns0:is>
          <ns0:t>Plasma targeted metabolomics; reported best classifiers RF and SVM, not an unspecified data modality.</ns0:t>
        </ns0:is>
      </ns0:c>
      <ns0:c r="F1204" s="21" t="inlineStr">
        <ns0:is>
          <ns0:t>https://doi.org/10.1007/s11011-025-01604-y</ns0:t>
        </ns0:is>
      </ns0:c>
      <ns0:c r="G1204" s="21" t="inlineStr">
        <ns0:is>
          <ns0:t>ChatGPT-assisted evidence recharting, 2026-09-08</ns0:t>
        </ns0:is>
      </ns0:c>
    </ns0:row>
    <ns0:row r="1205" ht="42" customHeight="1">
      <ns0:c r="A1205" s="19" t="inlineStr">
        <ns0:is>
          <ns0:t>216</ns0:t>
        </ns0:is>
      </ns0:c>
      <ns0:c r="B1205" s="19" t="inlineStr">
        <ns0:is>
          <ns0:t>algorithm_main</ns0:t>
        </ns0:is>
      </ns0:c>
      <ns0:c r="C1205" s="19" t="inlineStr">
        <ns0:is>
          <ns0:t>Random Forest</ns0:t>
        </ns0:is>
      </ns0:c>
      <ns0:c r="D1205" s="19" t="inlineStr">
        <ns0:is>
          <ns0:t>Random forest / SVM comparison</ns0:t>
        </ns0:is>
      </ns0:c>
      <ns0:c r="E1205" s="19" t="inlineStr">
        <ns0:is>
          <ns0:t>Plasma targeted metabolomics; reported best classifiers RF and SVM, not an unspecified data modality.</ns0:t>
        </ns0:is>
      </ns0:c>
      <ns0:c r="F1205" s="19" t="inlineStr">
        <ns0:is>
          <ns0:t>https://doi.org/10.1007/s11011-025-01604-y</ns0:t>
        </ns0:is>
      </ns0:c>
      <ns0:c r="G1205" s="19" t="inlineStr">
        <ns0:is>
          <ns0:t>ChatGPT-assisted evidence recharting, 2026-09-08</ns0:t>
        </ns0:is>
      </ns0:c>
    </ns0:row>
    <ns0:row r="1206" ht="42" customHeight="1">
      <ns0:c r="A1206" s="21" t="inlineStr">
        <ns0:is>
          <ns0:t>216</ns0:t>
        </ns0:is>
      </ns0:c>
      <ns0:c r="B1206" s="21" t="inlineStr">
        <ns0:is>
          <ns0:t>rq2_status</ns0:t>
        </ns0:is>
      </ns0:c>
      <ns0:c r="C1206" s="21" t="inlineStr">
        <ns0:is>
          <ns0:t>Not adjudicated in master</ns0:t>
        </ns0:is>
      </ns0:c>
      <ns0:c r="D1206" s="21" t="inlineStr">
        <ns0:is>
          <ns0:t>Research only</ns0:t>
        </ns0:is>
      </ns0:c>
      <ns0:c r="E1206" s="21" t="inlineStr">
        <ns0:is>
          <ns0:t>Plasma targeted metabolomics; reported best classifiers RF and SVM, not an unspecified data modality.</ns0:t>
        </ns0:is>
      </ns0:c>
      <ns0:c r="F1206" s="21" t="inlineStr">
        <ns0:is>
          <ns0:t>https://doi.org/10.1007/s11011-025-01604-y</ns0:t>
        </ns0:is>
      </ns0:c>
      <ns0:c r="G1206" s="21" t="inlineStr">
        <ns0:is>
          <ns0:t>ChatGPT-assisted evidence recharting, 2026-09-08</ns0:t>
        </ns0:is>
      </ns0:c>
    </ns0:row>
    <ns0:row r="1207" ht="42" customHeight="1">
      <ns0:c r="A1207" s="19" t="inlineStr">
        <ns0:is>
          <ns0:t>216</ns0:t>
        </ns0:is>
      </ns0:c>
      <ns0:c r="B1207" s="19" t="inlineStr">
        <ns0:is>
          <ns0:t>rq2_role</ns0:t>
        </ns0:is>
      </ns0:c>
      <ns0:c r="C1207" s="19" t="inlineStr"/>
      <ns0:c r="D1207" s="19" t="inlineStr">
        <ns0:is>
          <ns0:t>Automated measurement/classification</ns0:t>
        </ns0:is>
      </ns0:c>
      <ns0:c r="E1207" s="19" t="inlineStr">
        <ns0:is>
          <ns0:t>Plasma targeted metabolomics; reported best classifiers RF and SVM, not an unspecified data modality.</ns0:t>
        </ns0:is>
      </ns0:c>
      <ns0:c r="F1207" s="19" t="inlineStr">
        <ns0:is>
          <ns0:t>https://doi.org/10.1007/s11011-025-01604-y</ns0:t>
        </ns0:is>
      </ns0:c>
      <ns0:c r="G1207" s="19" t="inlineStr">
        <ns0:is>
          <ns0:t>ChatGPT-assisted evidence recharting, 2026-09-08</ns0:t>
        </ns0:is>
      </ns0:c>
    </ns0:row>
    <ns0:row r="1208" ht="42" customHeight="1">
      <ns0:c r="A1208" s="21" t="inlineStr">
        <ns0:is>
          <ns0:t>216</ns0:t>
        </ns0:is>
      </ns0:c>
      <ns0:c r="B1208" s="21" t="inlineStr">
        <ns0:is>
          <ns0:t>decision_timing</ns0:t>
        </ns0:is>
      </ns0:c>
      <ns0:c r="C1208" s="21" t="inlineStr"/>
      <ns0:c r="D1208" s="21" t="inlineStr">
        <ns0:is>
          <ns0:t>Not observed in assessed sources</ns0:t>
        </ns0:is>
      </ns0:c>
      <ns0:c r="E1208" s="21" t="inlineStr">
        <ns0:is>
          <ns0:t>Plasma targeted metabolomics; reported best classifiers RF and SVM, not an unspecified data modality.</ns0:t>
        </ns0:is>
      </ns0:c>
      <ns0:c r="F1208" s="21" t="inlineStr">
        <ns0:is>
          <ns0:t>https://doi.org/10.1007/s11011-025-01604-y</ns0:t>
        </ns0:is>
      </ns0:c>
      <ns0:c r="G1208" s="21" t="inlineStr">
        <ns0:is>
          <ns0:t>ChatGPT-assisted evidence recharting, 2026-09-08</ns0:t>
        </ns0:is>
      </ns0:c>
    </ns0:row>
    <ns0:row r="1209" ht="42" customHeight="1">
      <ns0:c r="A1209" s="19" t="inlineStr">
        <ns0:is>
          <ns0:t>217</ns0:t>
        </ns0:is>
      </ns0:c>
      <ns0:c r="B1209" s="19" t="inlineStr">
        <ns0:is>
          <ns0:t>data_source_primary</ns0:t>
        </ns0:is>
      </ns0:c>
      <ns0:c r="C1209" s="19" t="inlineStr">
        <ns0:is>
          <ns0:t>Image (subtype unresolved)</ns0:t>
        </ns0:is>
      </ns0:c>
      <ns0:c r="D1209" s="19" t="inlineStr">
        <ns0:is>
          <ns0:t>Neuroimaging</ns0:t>
        </ns0:is>
      </ns0:c>
      <ns0:c r="E1209" s="19" t="inlineStr">
        <ns0:is>
          <ns0:t>Structural MRI combined with sALFF/fALFF functional MRI; two-channel CNN. Cross-validation on ABIDE is not external validation.</ns0:t>
        </ns0:is>
      </ns0:c>
      <ns0:c r="F1209" s="19" t="inlineStr">
        <ns0:is>
          <ns0:t>https://doi.org/10.1038/s41598-024-71174-z</ns0:t>
        </ns0:is>
      </ns0:c>
      <ns0:c r="G1209" s="19" t="inlineStr">
        <ns0:is>
          <ns0:t>ChatGPT-assisted evidence recharting, 2026-09-08</ns0:t>
        </ns0:is>
      </ns0:c>
    </ns0:row>
    <ns0:row r="1210" ht="42" customHeight="1">
      <ns0:c r="A1210" s="21" t="inlineStr">
        <ns0:is>
          <ns0:t>217</ns0:t>
        </ns0:is>
      </ns0:c>
      <ns0:c r="B1210" s="21" t="inlineStr">
        <ns0:is>
          <ns0:t>rq2_status</ns0:t>
        </ns0:is>
      </ns0:c>
      <ns0:c r="C1210" s="21" t="inlineStr">
        <ns0:is>
          <ns0:t>Not adjudicated in master</ns0:t>
        </ns0:is>
      </ns0:c>
      <ns0:c r="D1210" s="21" t="inlineStr">
        <ns0:is>
          <ns0:t>Research only</ns0:t>
        </ns0:is>
      </ns0:c>
      <ns0:c r="E1210" s="21" t="inlineStr">
        <ns0:is>
          <ns0:t>Structural MRI combined with sALFF/fALFF functional MRI; two-channel CNN. Cross-validation on ABIDE is not external validation.</ns0:t>
        </ns0:is>
      </ns0:c>
      <ns0:c r="F1210" s="21" t="inlineStr">
        <ns0:is>
          <ns0:t>https://doi.org/10.1038/s41598-024-71174-z</ns0:t>
        </ns0:is>
      </ns0:c>
      <ns0:c r="G1210" s="21" t="inlineStr">
        <ns0:is>
          <ns0:t>ChatGPT-assisted evidence recharting, 2026-09-08</ns0:t>
        </ns0:is>
      </ns0:c>
    </ns0:row>
    <ns0:row r="1211" ht="42" customHeight="1">
      <ns0:c r="A1211" s="19" t="inlineStr">
        <ns0:is>
          <ns0:t>217</ns0:t>
        </ns0:is>
      </ns0:c>
      <ns0:c r="B1211" s="19" t="inlineStr">
        <ns0:is>
          <ns0:t>rq2_role</ns0:t>
        </ns0:is>
      </ns0:c>
      <ns0:c r="C1211" s="19" t="inlineStr"/>
      <ns0:c r="D1211" s="19" t="inlineStr">
        <ns0:is>
          <ns0:t>Automated measurement/classification</ns0:t>
        </ns0:is>
      </ns0:c>
      <ns0:c r="E1211" s="19" t="inlineStr">
        <ns0:is>
          <ns0:t>Structural MRI combined with sALFF/fALFF functional MRI; two-channel CNN. Cross-validation on ABIDE is not external validation.</ns0:t>
        </ns0:is>
      </ns0:c>
      <ns0:c r="F1211" s="19" t="inlineStr">
        <ns0:is>
          <ns0:t>https://doi.org/10.1038/s41598-024-71174-z</ns0:t>
        </ns0:is>
      </ns0:c>
      <ns0:c r="G1211" s="19" t="inlineStr">
        <ns0:is>
          <ns0:t>ChatGPT-assisted evidence recharting, 2026-09-08</ns0:t>
        </ns0:is>
      </ns0:c>
    </ns0:row>
    <ns0:row r="1212" ht="42" customHeight="1">
      <ns0:c r="A1212" s="21" t="inlineStr">
        <ns0:is>
          <ns0:t>217</ns0:t>
        </ns0:is>
      </ns0:c>
      <ns0:c r="B1212" s="21" t="inlineStr">
        <ns0:is>
          <ns0:t>decision_timing</ns0:t>
        </ns0:is>
      </ns0:c>
      <ns0:c r="C1212" s="21" t="inlineStr"/>
      <ns0:c r="D1212" s="21" t="inlineStr">
        <ns0:is>
          <ns0:t>Not observed in assessed sources</ns0:t>
        </ns0:is>
      </ns0:c>
      <ns0:c r="E1212" s="21" t="inlineStr">
        <ns0:is>
          <ns0:t>Structural MRI combined with sALFF/fALFF functional MRI; two-channel CNN. Cross-validation on ABIDE is not external validation.</ns0:t>
        </ns0:is>
      </ns0:c>
      <ns0:c r="F1212" s="21" t="inlineStr">
        <ns0:is>
          <ns0:t>https://doi.org/10.1038/s41598-024-71174-z</ns0:t>
        </ns0:is>
      </ns0:c>
      <ns0:c r="G1212" s="21" t="inlineStr">
        <ns0:is>
          <ns0:t>ChatGPT-assisted evidence recharting, 2026-09-08</ns0:t>
        </ns0:is>
      </ns0:c>
    </ns0:row>
    <ns0:row r="1213" ht="42" customHeight="1">
      <ns0:c r="A1213" s="19" t="inlineStr">
        <ns0:is>
          <ns0:t>217</ns0:t>
        </ns0:is>
      </ns0:c>
      <ns0:c r="B1213" s="19" t="inlineStr">
        <ns0:is>
          <ns0:t>multisource_data</ns0:t>
        </ns0:is>
      </ns0:c>
      <ns0:c r="C1213" s="19" t="inlineStr">
        <ns0:is>
          <ns0:t>Not reported in assessed sources</ns0:t>
        </ns0:is>
      </ns0:c>
      <ns0:c r="D1213" s="19" t="inlineStr">
        <ns0:is>
          <ns0:t>Reported</ns0:t>
        </ns0:is>
      </ns0:c>
      <ns0:c r="E1213" s="19" t="inlineStr">
        <ns0:is>
          <ns0:t>Structural MRI combined with sALFF/fALFF functional MRI; two-channel CNN. Cross-validation on ABIDE is not external validation.</ns0:t>
        </ns0:is>
      </ns0:c>
      <ns0:c r="F1213" s="19" t="inlineStr">
        <ns0:is>
          <ns0:t>https://doi.org/10.1038/s41598-024-71174-z</ns0:t>
        </ns0:is>
      </ns0:c>
      <ns0:c r="G1213" s="19" t="inlineStr">
        <ns0:is>
          <ns0:t>ChatGPT-assisted evidence recharting, 2026-09-08</ns0:t>
        </ns0:is>
      </ns0:c>
    </ns0:row>
    <ns0:row r="1214" ht="42" customHeight="1">
      <ns0:c r="A1214" s="21" t="inlineStr">
        <ns0:is>
          <ns0:t>218</ns0:t>
        </ns0:is>
      </ns0:c>
      <ns0:c r="B1214" s="21" t="inlineStr">
        <ns0:is>
          <ns0:t>ai_type</ns0:t>
        </ns0:is>
      </ns0:c>
      <ns0:c r="C1214" s="21" t="inlineStr">
        <ns0:is>
          <ns0:t>Deep Learning</ns0:t>
        </ns0:is>
      </ns0:c>
      <ns0:c r="D1214" s="21" t="inlineStr">
        <ns0:is>
          <ns0:t>Machine Learning</ns0:t>
        </ns0:is>
      </ns0:c>
      <ns0:c r="E1214" s="21" t="inlineStr">
        <ns0:is>
          <ns0:t>Elastic-screen gesture measurements and small therapy dataset used to train classifiers; no evidence that model outputs guided care or that classifiers were deep networks.</ns0:t>
        </ns0:is>
      </ns0:c>
      <ns0:c r="F1214" s="21" t="inlineStr">
        <ns0:is>
          <ns0:t>https://doi.org/10.1007/s13042-022-01554-2</ns0:t>
        </ns0:is>
      </ns0:c>
      <ns0:c r="G1214" s="21" t="inlineStr">
        <ns0:is>
          <ns0:t>ChatGPT-assisted evidence recharting, 2026-09-08</ns0:t>
        </ns0:is>
      </ns0:c>
    </ns0:row>
    <ns0:row r="1215" ht="42" customHeight="1">
      <ns0:c r="A1215" s="19" t="inlineStr">
        <ns0:is>
          <ns0:t>218</ns0:t>
        </ns0:is>
      </ns0:c>
      <ns0:c r="B1215" s="19" t="inlineStr">
        <ns0:is>
          <ns0:t>data_source_primary</ns0:t>
        </ns0:is>
      </ns0:c>
      <ns0:c r="C1215" s="19" t="inlineStr">
        <ns0:is>
          <ns0:t>Image (subtype unresolved)</ns0:t>
        </ns0:is>
      </ns0:c>
      <ns0:c r="D1215" s="19" t="inlineStr">
        <ns0:is>
          <ns0:t>Behavioral images/video/gaze/movement</ns0:t>
        </ns0:is>
      </ns0:c>
      <ns0:c r="E1215" s="19" t="inlineStr">
        <ns0:is>
          <ns0:t>Elastic-screen gesture measurements and small therapy dataset used to train classifiers; no evidence that model outputs guided care or that classifiers were deep networks.</ns0:t>
        </ns0:is>
      </ns0:c>
      <ns0:c r="F1215" s="19" t="inlineStr">
        <ns0:is>
          <ns0:t>https://doi.org/10.1007/s13042-022-01554-2</ns0:t>
        </ns0:is>
      </ns0:c>
      <ns0:c r="G1215" s="19" t="inlineStr">
        <ns0:is>
          <ns0:t>ChatGPT-assisted evidence recharting, 2026-09-08</ns0:t>
        </ns0:is>
      </ns0:c>
    </ns0:row>
    <ns0:row r="1216" ht="42" customHeight="1">
      <ns0:c r="A1216" s="21" t="inlineStr">
        <ns0:is>
          <ns0:t>218</ns0:t>
        </ns0:is>
      </ns0:c>
      <ns0:c r="B1216" s="21" t="inlineStr">
        <ns0:is>
          <ns0:t>algorithm_main</ns0:t>
        </ns0:is>
      </ns0:c>
      <ns0:c r="C1216" s="21" t="inlineStr">
        <ns0:is>
          <ns0:t>Other / Not clear</ns0:t>
        </ns0:is>
      </ns0:c>
      <ns0:c r="D1216" s="21" t="inlineStr">
        <ns0:is>
          <ns0:t>Not specified</ns0:t>
        </ns0:is>
      </ns0:c>
      <ns0:c r="E1216" s="21" t="inlineStr">
        <ns0:is>
          <ns0:t>Elastic-screen gesture measurements and small therapy dataset used to train classifiers; no evidence that model outputs guided care or that classifiers were deep networks.</ns0:t>
        </ns0:is>
      </ns0:c>
      <ns0:c r="F1216" s="21" t="inlineStr">
        <ns0:is>
          <ns0:t>https://doi.org/10.1007/s13042-022-01554-2</ns0:t>
        </ns0:is>
      </ns0:c>
      <ns0:c r="G1216" s="21" t="inlineStr">
        <ns0:is>
          <ns0:t>ChatGPT-assisted evidence recharting, 2026-09-08</ns0:t>
        </ns0:is>
      </ns0:c>
    </ns0:row>
    <ns0:row r="1217" ht="42" customHeight="1">
      <ns0:c r="A1217" s="19" t="inlineStr">
        <ns0:is>
          <ns0:t>218</ns0:t>
        </ns0:is>
      </ns0:c>
      <ns0:c r="B1217" s="19" t="inlineStr">
        <ns0:is>
          <ns0:t>rq2_status</ns0:t>
        </ns0:is>
      </ns0:c>
      <ns0:c r="C1217" s="19" t="inlineStr">
        <ns0:is>
          <ns0:t>Not adjudicated in master</ns0:t>
        </ns0:is>
      </ns0:c>
      <ns0:c r="D1217" s="19" t="inlineStr">
        <ns0:is>
          <ns0:t>Research only</ns0:t>
        </ns0:is>
      </ns0:c>
      <ns0:c r="E1217" s="19" t="inlineStr">
        <ns0:is>
          <ns0:t>Elastic-screen gesture measurements and small therapy dataset used to train classifiers; no evidence that model outputs guided care or that classifiers were deep networks.</ns0:t>
        </ns0:is>
      </ns0:c>
      <ns0:c r="F1217" s="19" t="inlineStr">
        <ns0:is>
          <ns0:t>https://doi.org/10.1007/s13042-022-01554-2</ns0:t>
        </ns0:is>
      </ns0:c>
      <ns0:c r="G1217" s="19" t="inlineStr">
        <ns0:is>
          <ns0:t>ChatGPT-assisted evidence recharting, 2026-09-08</ns0:t>
        </ns0:is>
      </ns0:c>
    </ns0:row>
    <ns0:row r="1218" ht="42" customHeight="1">
      <ns0:c r="A1218" s="21" t="inlineStr">
        <ns0:is>
          <ns0:t>218</ns0:t>
        </ns0:is>
      </ns0:c>
      <ns0:c r="B1218" s="21" t="inlineStr">
        <ns0:is>
          <ns0:t>rq2_role</ns0:t>
        </ns0:is>
      </ns0:c>
      <ns0:c r="C1218" s="21" t="inlineStr"/>
      <ns0:c r="D1218" s="21" t="inlineStr">
        <ns0:is>
          <ns0:t>Automated measurement/classification</ns0:t>
        </ns0:is>
      </ns0:c>
      <ns0:c r="E1218" s="21" t="inlineStr">
        <ns0:is>
          <ns0:t>Elastic-screen gesture measurements and small therapy dataset used to train classifiers; no evidence that model outputs guided care or that classifiers were deep networks.</ns0:t>
        </ns0:is>
      </ns0:c>
      <ns0:c r="F1218" s="21" t="inlineStr">
        <ns0:is>
          <ns0:t>https://doi.org/10.1007/s13042-022-01554-2</ns0:t>
        </ns0:is>
      </ns0:c>
      <ns0:c r="G1218" s="21" t="inlineStr">
        <ns0:is>
          <ns0:t>ChatGPT-assisted evidence recharting, 2026-09-08</ns0:t>
        </ns0:is>
      </ns0:c>
    </ns0:row>
    <ns0:row r="1219" ht="42" customHeight="1">
      <ns0:c r="A1219" s="19" t="inlineStr">
        <ns0:is>
          <ns0:t>218</ns0:t>
        </ns0:is>
      </ns0:c>
      <ns0:c r="B1219" s="19" t="inlineStr">
        <ns0:is>
          <ns0:t>decision_timing</ns0:t>
        </ns0:is>
      </ns0:c>
      <ns0:c r="C1219" s="19" t="inlineStr"/>
      <ns0:c r="D1219" s="19" t="inlineStr">
        <ns0:is>
          <ns0:t>Not observed in assessed sources</ns0:t>
        </ns0:is>
      </ns0:c>
      <ns0:c r="E1219" s="19" t="inlineStr">
        <ns0:is>
          <ns0:t>Elastic-screen gesture measurements and small therapy dataset used to train classifiers; no evidence that model outputs guided care or that classifiers were deep networks.</ns0:t>
        </ns0:is>
      </ns0:c>
      <ns0:c r="F1219" s="19" t="inlineStr">
        <ns0:is>
          <ns0:t>https://doi.org/10.1007/s13042-022-01554-2</ns0:t>
        </ns0:is>
      </ns0:c>
      <ns0:c r="G1219" s="19" t="inlineStr">
        <ns0:is>
          <ns0:t>ChatGPT-assisted evidence recharting, 2026-09-08</ns0:t>
        </ns0:is>
      </ns0:c>
    </ns0:row>
    <ns0:row r="1220" ht="42" customHeight="1">
      <ns0:c r="A1220" s="21" t="inlineStr">
        <ns0:is>
          <ns0:t>219</ns0:t>
        </ns0:is>
      </ns0:c>
      <ns0:c r="B1220" s="21" t="inlineStr">
        <ns0:is>
          <ns0:t>ai_type</ns0:t>
        </ns0:is>
      </ns0:c>
      <ns0:c r="C1220" s="21" t="inlineStr">
        <ns0:is>
          <ns0:t>Deep Learning</ns0:t>
        </ns0:is>
      </ns0:c>
      <ns0:c r="D1220" s="21" t="inlineStr">
        <ns0:is>
          <ns0:t>Machine Learning</ns0:t>
        </ns0:is>
      </ns0:c>
      <ns0:c r="E1220" s="21" t="inlineStr">
        <ns0:is>
          <ns0:t>Randomized sham-controlled EEG mu-neurofeedback evaluation; physiological input and delivered feedback intervention, not an image classifier. Architecture insufficiently specified.</ns0:t>
        </ns0:is>
      </ns0:c>
      <ns0:c r="F1220" s="21" t="inlineStr">
        <ns0:is>
          <ns0:t>https://doi.org/10.1007/s11596-024-2938-3</ns0:t>
        </ns0:is>
      </ns0:c>
      <ns0:c r="G1220" s="21" t="inlineStr">
        <ns0:is>
          <ns0:t>ChatGPT-assisted evidence recharting, 2026-09-08</ns0:t>
        </ns0:is>
      </ns0:c>
    </ns0:row>
    <ns0:row r="1221" ht="42" customHeight="1">
      <ns0:c r="A1221" s="19" t="inlineStr">
        <ns0:is>
          <ns0:t>219</ns0:t>
        </ns0:is>
      </ns0:c>
      <ns0:c r="B1221" s="19" t="inlineStr">
        <ns0:is>
          <ns0:t>data_source_primary</ns0:t>
        </ns0:is>
      </ns0:c>
      <ns0:c r="C1221" s="19" t="inlineStr">
        <ns0:is>
          <ns0:t>Image (subtype unresolved)</ns0:t>
        </ns0:is>
      </ns0:c>
      <ns0:c r="D1221" s="19" t="inlineStr">
        <ns0:is>
          <ns0:t>Physiological signals</ns0:t>
        </ns0:is>
      </ns0:c>
      <ns0:c r="E1221" s="19" t="inlineStr">
        <ns0:is>
          <ns0:t>Randomized sham-controlled EEG mu-neurofeedback evaluation; physiological input and delivered feedback intervention, not an image classifier. Architecture insufficiently specified.</ns0:t>
        </ns0:is>
      </ns0:c>
      <ns0:c r="F1221" s="19" t="inlineStr">
        <ns0:is>
          <ns0:t>https://doi.org/10.1007/s11596-024-2938-3</ns0:t>
        </ns0:is>
      </ns0:c>
      <ns0:c r="G1221" s="19" t="inlineStr">
        <ns0:is>
          <ns0:t>ChatGPT-assisted evidence recharting, 2026-09-08</ns0:t>
        </ns0:is>
      </ns0:c>
    </ns0:row>
    <ns0:row r="1222" ht="42" customHeight="1">
      <ns0:c r="A1222" s="21" t="inlineStr">
        <ns0:is>
          <ns0:t>219</ns0:t>
        </ns0:is>
      </ns0:c>
      <ns0:c r="B1222" s="21" t="inlineStr">
        <ns0:is>
          <ns0:t>algorithm_main</ns0:t>
        </ns0:is>
      </ns0:c>
      <ns0:c r="C1222" s="21" t="inlineStr"/>
      <ns0:c r="D1222" s="21" t="inlineStr">
        <ns0:is>
          <ns0:t>Not specified</ns0:t>
        </ns0:is>
      </ns0:c>
      <ns0:c r="E1222" s="21" t="inlineStr">
        <ns0:is>
          <ns0:t>Randomized sham-controlled EEG mu-neurofeedback evaluation; physiological input and delivered feedback intervention, not an image classifier. Architecture insufficiently specified.</ns0:t>
        </ns0:is>
      </ns0:c>
      <ns0:c r="F1222" s="21" t="inlineStr">
        <ns0:is>
          <ns0:t>https://doi.org/10.1007/s11596-024-2938-3</ns0:t>
        </ns0:is>
      </ns0:c>
      <ns0:c r="G1222" s="21" t="inlineStr">
        <ns0:is>
          <ns0:t>ChatGPT-assisted evidence recharting, 2026-09-08</ns0:t>
        </ns0:is>
      </ns0:c>
    </ns0:row>
    <ns0:row r="1223" ht="42" customHeight="1">
      <ns0:c r="A1223" s="19" t="inlineStr">
        <ns0:is>
          <ns0:t>219</ns0:t>
        </ns0:is>
      </ns0:c>
      <ns0:c r="B1223" s="19" t="inlineStr">
        <ns0:is>
          <ns0:t>rq2_status</ns0:t>
        </ns0:is>
      </ns0:c>
      <ns0:c r="C1223" s="19" t="inlineStr">
        <ns0:is>
          <ns0:t>Not adjudicated in master</ns0:t>
        </ns0:is>
      </ns0:c>
      <ns0:c r="D1223" s="19" t="inlineStr">
        <ns0:is>
          <ns0:t>Evaluated AI-supported intervention</ns0:t>
        </ns0:is>
      </ns0:c>
      <ns0:c r="E1223" s="19" t="inlineStr">
        <ns0:is>
          <ns0:t>Randomized sham-controlled EEG mu-neurofeedback evaluation; physiological input and delivered feedback intervention, not an image classifier. Architecture insufficiently specified.</ns0:t>
        </ns0:is>
      </ns0:c>
      <ns0:c r="F1223" s="19" t="inlineStr">
        <ns0:is>
          <ns0:t>https://doi.org/10.1007/s11596-024-2938-3</ns0:t>
        </ns0:is>
      </ns0:c>
      <ns0:c r="G1223" s="19" t="inlineStr">
        <ns0:is>
          <ns0:t>ChatGPT-assisted evidence recharting, 2026-09-08</ns0:t>
        </ns0:is>
      </ns0:c>
    </ns0:row>
    <ns0:row r="1224" ht="42" customHeight="1">
      <ns0:c r="A1224" s="21" t="inlineStr">
        <ns0:is>
          <ns0:t>219</ns0:t>
        </ns0:is>
      </ns0:c>
      <ns0:c r="B1224" s="21" t="inlineStr">
        <ns0:is>
          <ns0:t>rq2_role</ns0:t>
        </ns0:is>
      </ns0:c>
      <ns0:c r="C1224" s="21" t="inlineStr"/>
      <ns0:c r="D1224" s="21" t="inlineStr">
        <ns0:is>
          <ns0:t>Adaptive intervention</ns0:t>
        </ns0:is>
      </ns0:c>
      <ns0:c r="E1224" s="21" t="inlineStr">
        <ns0:is>
          <ns0:t>Randomized sham-controlled EEG mu-neurofeedback evaluation; physiological input and delivered feedback intervention, not an image classifier. Architecture insufficiently specified.</ns0:t>
        </ns0:is>
      </ns0:c>
      <ns0:c r="F1224" s="21" t="inlineStr">
        <ns0:is>
          <ns0:t>https://doi.org/10.1007/s11596-024-2938-3</ns0:t>
        </ns0:is>
      </ns0:c>
      <ns0:c r="G1224" s="21" t="inlineStr">
        <ns0:is>
          <ns0:t>ChatGPT-assisted evidence recharting, 2026-09-08</ns0:t>
        </ns0:is>
      </ns0:c>
    </ns0:row>
    <ns0:row r="1225" ht="42" customHeight="1">
      <ns0:c r="A1225" s="19" t="inlineStr">
        <ns0:is>
          <ns0:t>219</ns0:t>
        </ns0:is>
      </ns0:c>
      <ns0:c r="B1225" s="19" t="inlineStr">
        <ns0:is>
          <ns0:t>decision_timing</ns0:t>
        </ns0:is>
      </ns0:c>
      <ns0:c r="C1225" s="19" t="inlineStr"/>
      <ns0:c r="D1225" s="19" t="inlineStr">
        <ns0:is>
          <ns0:t>Post-decision</ns0:t>
        </ns0:is>
      </ns0:c>
      <ns0:c r="E1225" s="19" t="inlineStr">
        <ns0:is>
          <ns0:t>Randomized sham-controlled EEG mu-neurofeedback evaluation; physiological input and delivered feedback intervention, not an image classifier. Architecture insufficiently specified.</ns0:t>
        </ns0:is>
      </ns0:c>
      <ns0:c r="F1225" s="19" t="inlineStr">
        <ns0:is>
          <ns0:t>https://doi.org/10.1007/s11596-024-2938-3</ns0:t>
        </ns0:is>
      </ns0:c>
      <ns0:c r="G1225" s="19" t="inlineStr">
        <ns0:is>
          <ns0:t>ChatGPT-assisted evidence recharting, 2026-09-08</ns0:t>
        </ns0:is>
      </ns0:c>
    </ns0:row>
    <ns0:row r="1226" ht="42" customHeight="1">
      <ns0:c r="A1226" s="21" t="inlineStr">
        <ns0:is>
          <ns0:t>219</ns0:t>
        </ns0:is>
      </ns0:c>
      <ns0:c r="B1226" s="21" t="inlineStr">
        <ns0:is>
          <ns0:t>prospective_evaluation</ns0:t>
        </ns0:is>
      </ns0:c>
      <ns0:c r="C1226" s="21" t="inlineStr">
        <ns0:is>
          <ns0:t>Not reported in assessed sources</ns0:t>
        </ns0:is>
      </ns0:c>
      <ns0:c r="D1226" s="21" t="inlineStr">
        <ns0:is>
          <ns0:t>Reported</ns0:t>
        </ns0:is>
      </ns0:c>
      <ns0:c r="E1226" s="21" t="inlineStr">
        <ns0:is>
          <ns0:t>Randomized sham-controlled EEG mu-neurofeedback evaluation; physiological input and delivered feedback intervention, not an image classifier. Architecture insufficiently specified.</ns0:t>
        </ns0:is>
      </ns0:c>
      <ns0:c r="F1226" s="21" t="inlineStr">
        <ns0:is>
          <ns0:t>https://doi.org/10.1007/s11596-024-2938-3</ns0:t>
        </ns0:is>
      </ns0:c>
      <ns0:c r="G1226" s="21" t="inlineStr">
        <ns0:is>
          <ns0:t>ChatGPT-assisted evidence recharting, 2026-09-08</ns0:t>
        </ns0:is>
      </ns0:c>
    </ns0:row>
    <ns0:row r="1227" ht="42" customHeight="1">
      <ns0:c r="A1227" s="19" t="inlineStr">
        <ns0:is>
          <ns0:t>220</ns0:t>
        </ns0:is>
      </ns0:c>
      <ns0:c r="B1227" s="19" t="inlineStr">
        <ns0:is>
          <ns0:t>data_source_primary</ns0:t>
        </ns0:is>
      </ns0:c>
      <ns0:c r="C1227" s="19" t="inlineStr">
        <ns0:is>
          <ns0:t>Not specified</ns0:t>
        </ns0:is>
      </ns0:c>
      <ns0:c r="D1227" s="19" t="inlineStr">
        <ns0:is>
          <ns0:t>Physiological signals</ns0:t>
        </ns0:is>
      </ns0:c>
      <ns0:c r="E1227" s="19" t="inlineStr">
        <ns0:is>
          <ns0:t>EEG fast Walsh-Hadamard features feed a one-dimensional CNN.</ns0:t>
        </ns0:is>
      </ns0:c>
      <ns0:c r="F1227" s="19" t="inlineStr">
        <ns0:is>
          <ns0:t>https://doi.org/10.1007/s00521-025-11208-3</ns0:t>
        </ns0:is>
      </ns0:c>
      <ns0:c r="G1227" s="19" t="inlineStr">
        <ns0:is>
          <ns0:t>ChatGPT-assisted evidence recharting, 2026-09-08</ns0:t>
        </ns0:is>
      </ns0:c>
    </ns0:row>
    <ns0:row r="1228" ht="42" customHeight="1">
      <ns0:c r="A1228" s="21" t="inlineStr">
        <ns0:is>
          <ns0:t>220</ns0:t>
        </ns0:is>
      </ns0:c>
      <ns0:c r="B1228" s="21" t="inlineStr">
        <ns0:is>
          <ns0:t>rq2_status</ns0:t>
        </ns0:is>
      </ns0:c>
      <ns0:c r="C1228" s="21" t="inlineStr">
        <ns0:is>
          <ns0:t>Not adjudicated in master</ns0:t>
        </ns0:is>
      </ns0:c>
      <ns0:c r="D1228" s="21" t="inlineStr">
        <ns0:is>
          <ns0:t>Research only</ns0:t>
        </ns0:is>
      </ns0:c>
      <ns0:c r="E1228" s="21" t="inlineStr">
        <ns0:is>
          <ns0:t>EEG fast Walsh-Hadamard features feed a one-dimensional CNN.</ns0:t>
        </ns0:is>
      </ns0:c>
      <ns0:c r="F1228" s="21" t="inlineStr">
        <ns0:is>
          <ns0:t>https://doi.org/10.1007/s00521-025-11208-3</ns0:t>
        </ns0:is>
      </ns0:c>
      <ns0:c r="G1228" s="21" t="inlineStr">
        <ns0:is>
          <ns0:t>ChatGPT-assisted evidence recharting, 2026-09-08</ns0:t>
        </ns0:is>
      </ns0:c>
    </ns0:row>
    <ns0:row r="1229" ht="42" customHeight="1">
      <ns0:c r="A1229" s="19" t="inlineStr">
        <ns0:is>
          <ns0:t>220</ns0:t>
        </ns0:is>
      </ns0:c>
      <ns0:c r="B1229" s="19" t="inlineStr">
        <ns0:is>
          <ns0:t>rq2_role</ns0:t>
        </ns0:is>
      </ns0:c>
      <ns0:c r="C1229" s="19" t="inlineStr"/>
      <ns0:c r="D1229" s="19" t="inlineStr">
        <ns0:is>
          <ns0:t>Automated measurement/classification</ns0:t>
        </ns0:is>
      </ns0:c>
      <ns0:c r="E1229" s="19" t="inlineStr">
        <ns0:is>
          <ns0:t>EEG fast Walsh-Hadamard features feed a one-dimensional CNN.</ns0:t>
        </ns0:is>
      </ns0:c>
      <ns0:c r="F1229" s="19" t="inlineStr">
        <ns0:is>
          <ns0:t>https://doi.org/10.1007/s00521-025-11208-3</ns0:t>
        </ns0:is>
      </ns0:c>
      <ns0:c r="G1229" s="19" t="inlineStr">
        <ns0:is>
          <ns0:t>ChatGPT-assisted evidence recharting, 2026-09-08</ns0:t>
        </ns0:is>
      </ns0:c>
    </ns0:row>
    <ns0:row r="1230" ht="42" customHeight="1">
      <ns0:c r="A1230" s="21" t="inlineStr">
        <ns0:is>
          <ns0:t>220</ns0:t>
        </ns0:is>
      </ns0:c>
      <ns0:c r="B1230" s="21" t="inlineStr">
        <ns0:is>
          <ns0:t>decision_timing</ns0:t>
        </ns0:is>
      </ns0:c>
      <ns0:c r="C1230" s="21" t="inlineStr"/>
      <ns0:c r="D1230" s="21" t="inlineStr">
        <ns0:is>
          <ns0:t>Not observed in assessed sources</ns0:t>
        </ns0:is>
      </ns0:c>
      <ns0:c r="E1230" s="21" t="inlineStr">
        <ns0:is>
          <ns0:t>EEG fast Walsh-Hadamard features feed a one-dimensional CNN.</ns0:t>
        </ns0:is>
      </ns0:c>
      <ns0:c r="F1230" s="21" t="inlineStr">
        <ns0:is>
          <ns0:t>https://doi.org/10.1007/s00521-025-11208-3</ns0:t>
        </ns0:is>
      </ns0:c>
      <ns0:c r="G1230" s="21" t="inlineStr">
        <ns0:is>
          <ns0:t>ChatGPT-assisted evidence recharting, 2026-09-08</ns0:t>
        </ns0:is>
      </ns0:c>
    </ns0:row>
    <ns0:row r="1231" ht="42" customHeight="1">
      <ns0:c r="A1231" s="19" t="inlineStr">
        <ns0:is>
          <ns0:t>221</ns0:t>
        </ns0:is>
      </ns0:c>
      <ns0:c r="B1231" s="19" t="inlineStr">
        <ns0:is>
          <ns0:t>stage_primary</ns0:t>
        </ns0:is>
      </ns0:c>
      <ns0:c r="C1231" s="19" t="inlineStr">
        <ns0:is>
          <ns0:t>Diagnosis</ns0:t>
        </ns0:is>
      </ns0:c>
      <ns0:c r="D1231" s="19" t="inlineStr">
        <ns0:is>
          <ns0:t>Not specified</ns0:t>
        </ns0:is>
      </ns0:c>
      <ns0:c r="E1231" s="19" t="inlineStr">
        <ns0:is>
          <ns0:t>SFARI/gene-ontology gene-prioritization stacking classifiers; gene-level endpoint, not a patient diagnostic accuracy estimate.</ns0:t>
        </ns0:is>
      </ns0:c>
      <ns0:c r="F1231" s="19" t="inlineStr">
        <ns0:is>
          <ns0:t>https://doi.org/10.1186/s12859-023-05501-y</ns0:t>
        </ns0:is>
      </ns0:c>
      <ns0:c r="G1231" s="19" t="inlineStr">
        <ns0:is>
          <ns0:t>ChatGPT-assisted evidence recharting, 2026-09-08</ns0:t>
        </ns0:is>
      </ns0:c>
    </ns0:row>
    <ns0:row r="1232" ht="42" customHeight="1">
      <ns0:c r="A1232" s="21" t="inlineStr">
        <ns0:is>
          <ns0:t>221</ns0:t>
        </ns0:is>
      </ns0:c>
      <ns0:c r="B1232" s="21" t="inlineStr">
        <ns0:is>
          <ns0:t>data_source_primary</ns0:t>
        </ns0:is>
      </ns0:c>
      <ns0:c r="C1232" s="21" t="inlineStr">
        <ns0:is>
          <ns0:t>Not specified</ns0:t>
        </ns0:is>
      </ns0:c>
      <ns0:c r="D1232" s="21" t="inlineStr">
        <ns0:is>
          <ns0:t>Biological/omics</ns0:t>
        </ns0:is>
      </ns0:c>
      <ns0:c r="E1232" s="21" t="inlineStr">
        <ns0:is>
          <ns0:t>SFARI/gene-ontology gene-prioritization stacking classifiers; gene-level endpoint, not a patient diagnostic accuracy estimate.</ns0:t>
        </ns0:is>
      </ns0:c>
      <ns0:c r="F1232" s="21" t="inlineStr">
        <ns0:is>
          <ns0:t>https://doi.org/10.1186/s12859-023-05501-y</ns0:t>
        </ns0:is>
      </ns0:c>
      <ns0:c r="G1232" s="21" t="inlineStr">
        <ns0:is>
          <ns0:t>ChatGPT-assisted evidence recharting, 2026-09-08</ns0:t>
        </ns0:is>
      </ns0:c>
    </ns0:row>
    <ns0:row r="1233" ht="42" customHeight="1">
      <ns0:c r="A1233" s="19" t="inlineStr">
        <ns0:is>
          <ns0:t>221</ns0:t>
        </ns0:is>
      </ns0:c>
      <ns0:c r="B1233" s="19" t="inlineStr">
        <ns0:is>
          <ns0:t>algorithm_main</ns0:t>
        </ns0:is>
      </ns0:c>
      <ns0:c r="C1233" s="19" t="inlineStr">
        <ns0:is>
          <ns0:t>Other / Not clear</ns0:t>
        </ns0:is>
      </ns0:c>
      <ns0:c r="D1233" s="19" t="inlineStr">
        <ns0:is>
          <ns0:t>Stacking ensemble</ns0:t>
        </ns0:is>
      </ns0:c>
      <ns0:c r="E1233" s="19" t="inlineStr">
        <ns0:is>
          <ns0:t>SFARI/gene-ontology gene-prioritization stacking classifiers; gene-level endpoint, not a patient diagnostic accuracy estimate.</ns0:t>
        </ns0:is>
      </ns0:c>
      <ns0:c r="F1233" s="19" t="inlineStr">
        <ns0:is>
          <ns0:t>https://doi.org/10.1186/s12859-023-05501-y</ns0:t>
        </ns0:is>
      </ns0:c>
      <ns0:c r="G1233" s="19" t="inlineStr">
        <ns0:is>
          <ns0:t>ChatGPT-assisted evidence recharting, 2026-09-08</ns0:t>
        </ns0:is>
      </ns0:c>
    </ns0:row>
    <ns0:row r="1234" ht="42" customHeight="1">
      <ns0:c r="A1234" s="21" t="inlineStr">
        <ns0:is>
          <ns0:t>221</ns0:t>
        </ns0:is>
      </ns0:c>
      <ns0:c r="B1234" s="21" t="inlineStr">
        <ns0:is>
          <ns0:t>rq2_status</ns0:t>
        </ns0:is>
      </ns0:c>
      <ns0:c r="C1234" s="21" t="inlineStr">
        <ns0:is>
          <ns0:t>Not adjudicated in master</ns0:t>
        </ns0:is>
      </ns0:c>
      <ns0:c r="D1234" s="21" t="inlineStr">
        <ns0:is>
          <ns0:t>Research only</ns0:t>
        </ns0:is>
      </ns0:c>
      <ns0:c r="E1234" s="21" t="inlineStr">
        <ns0:is>
          <ns0:t>SFARI/gene-ontology gene-prioritization stacking classifiers; gene-level endpoint, not a patient diagnostic accuracy estimate.</ns0:t>
        </ns0:is>
      </ns0:c>
      <ns0:c r="F1234" s="21" t="inlineStr">
        <ns0:is>
          <ns0:t>https://doi.org/10.1186/s12859-023-05501-y</ns0:t>
        </ns0:is>
      </ns0:c>
      <ns0:c r="G1234" s="21" t="inlineStr">
        <ns0:is>
          <ns0:t>ChatGPT-assisted evidence recharting, 2026-09-08</ns0:t>
        </ns0:is>
      </ns0:c>
    </ns0:row>
    <ns0:row r="1235" ht="42" customHeight="1">
      <ns0:c r="A1235" s="19" t="inlineStr">
        <ns0:is>
          <ns0:t>221</ns0:t>
        </ns0:is>
      </ns0:c>
      <ns0:c r="B1235" s="19" t="inlineStr">
        <ns0:is>
          <ns0:t>rq2_role</ns0:t>
        </ns0:is>
      </ns0:c>
      <ns0:c r="C1235" s="19" t="inlineStr"/>
      <ns0:c r="D1235" s="19" t="inlineStr">
        <ns0:is>
          <ns0:t>Automated measurement/classification</ns0:t>
        </ns0:is>
      </ns0:c>
      <ns0:c r="E1235" s="19" t="inlineStr">
        <ns0:is>
          <ns0:t>SFARI/gene-ontology gene-prioritization stacking classifiers; gene-level endpoint, not a patient diagnostic accuracy estimate.</ns0:t>
        </ns0:is>
      </ns0:c>
      <ns0:c r="F1235" s="19" t="inlineStr">
        <ns0:is>
          <ns0:t>https://doi.org/10.1186/s12859-023-05501-y</ns0:t>
        </ns0:is>
      </ns0:c>
      <ns0:c r="G1235" s="19" t="inlineStr">
        <ns0:is>
          <ns0:t>ChatGPT-assisted evidence recharting, 2026-09-08</ns0:t>
        </ns0:is>
      </ns0:c>
    </ns0:row>
    <ns0:row r="1236" ht="42" customHeight="1">
      <ns0:c r="A1236" s="21" t="inlineStr">
        <ns0:is>
          <ns0:t>221</ns0:t>
        </ns0:is>
      </ns0:c>
      <ns0:c r="B1236" s="21" t="inlineStr">
        <ns0:is>
          <ns0:t>decision_timing</ns0:t>
        </ns0:is>
      </ns0:c>
      <ns0:c r="C1236" s="21" t="inlineStr"/>
      <ns0:c r="D1236" s="21" t="inlineStr">
        <ns0:is>
          <ns0:t>Not observed in assessed sources</ns0:t>
        </ns0:is>
      </ns0:c>
      <ns0:c r="E1236" s="21" t="inlineStr">
        <ns0:is>
          <ns0:t>SFARI/gene-ontology gene-prioritization stacking classifiers; gene-level endpoint, not a patient diagnostic accuracy estimate.</ns0:t>
        </ns0:is>
      </ns0:c>
      <ns0:c r="F1236" s="21" t="inlineStr">
        <ns0:is>
          <ns0:t>https://doi.org/10.1186/s12859-023-05501-y</ns0:t>
        </ns0:is>
      </ns0:c>
      <ns0:c r="G1236" s="21" t="inlineStr">
        <ns0:is>
          <ns0:t>ChatGPT-assisted evidence recharting, 2026-09-08</ns0:t>
        </ns0:is>
      </ns0:c>
    </ns0:row>
    <ns0:row r="1237" ht="42" customHeight="1">
      <ns0:c r="A1237" s="19" t="inlineStr">
        <ns0:is>
          <ns0:t>222</ns0:t>
        </ns0:is>
      </ns0:c>
      <ns0:c r="B1237" s="19" t="inlineStr">
        <ns0:is>
          <ns0:t>stage_primary</ns0:t>
        </ns0:is>
      </ns0:c>
      <ns0:c r="C1237" s="19" t="inlineStr">
        <ns0:is>
          <ns0:t>Monitoring/intervention</ns0:t>
        </ns0:is>
      </ns0:c>
      <ns0:c r="D1237" s="19" t="inlineStr">
        <ns0:is>
          <ns0:t>Diagnosis</ns0:t>
        </ns0:is>
      </ns0:c>
      <ns0:c r="E1237" s="19" t="inlineStr">
        <ns0:is>
          <ns0:t>Threat-related fMRI predicts concurrent anxiety symptoms; not a longitudinal intervention or future prognosis study.</ns0:t>
        </ns0:is>
      </ns0:c>
      <ns0:c r="F1237" s="19" t="inlineStr">
        <ns0:is>
          <ns0:t>https://doi.org/10.1002/aur.2595</ns0:t>
        </ns0:is>
      </ns0:c>
      <ns0:c r="G1237" s="19" t="inlineStr">
        <ns0:is>
          <ns0:t>ChatGPT-assisted evidence recharting, 2026-09-08</ns0:t>
        </ns0:is>
      </ns0:c>
    </ns0:row>
    <ns0:row r="1238" ht="42" customHeight="1">
      <ns0:c r="A1238" s="21" t="inlineStr">
        <ns0:is>
          <ns0:t>222</ns0:t>
        </ns0:is>
      </ns0:c>
      <ns0:c r="B1238" s="21" t="inlineStr">
        <ns0:is>
          <ns0:t>data_source_primary</ns0:t>
        </ns0:is>
      </ns0:c>
      <ns0:c r="C1238" s="21" t="inlineStr">
        <ns0:is>
          <ns0:t>Image (subtype unresolved)</ns0:t>
        </ns0:is>
      </ns0:c>
      <ns0:c r="D1238" s="21" t="inlineStr">
        <ns0:is>
          <ns0:t>Neuroimaging</ns0:t>
        </ns0:is>
      </ns0:c>
      <ns0:c r="E1238" s="21" t="inlineStr">
        <ns0:is>
          <ns0:t>Threat-related fMRI predicts concurrent anxiety symptoms; not a longitudinal intervention or future prognosis study.</ns0:t>
        </ns0:is>
      </ns0:c>
      <ns0:c r="F1238" s="21" t="inlineStr">
        <ns0:is>
          <ns0:t>https://doi.org/10.1002/aur.2595</ns0:t>
        </ns0:is>
      </ns0:c>
      <ns0:c r="G1238" s="21" t="inlineStr">
        <ns0:is>
          <ns0:t>ChatGPT-assisted evidence recharting, 2026-09-08</ns0:t>
        </ns0:is>
      </ns0:c>
    </ns0:row>
    <ns0:row r="1239" ht="42" customHeight="1">
      <ns0:c r="A1239" s="19" t="inlineStr">
        <ns0:is>
          <ns0:t>222</ns0:t>
        </ns0:is>
      </ns0:c>
      <ns0:c r="B1239" s="19" t="inlineStr">
        <ns0:is>
          <ns0:t>algorithm_main</ns0:t>
        </ns0:is>
      </ns0:c>
      <ns0:c r="C1239" s="19" t="inlineStr">
        <ns0:is>
          <ns0:t>SVM</ns0:t>
        </ns0:is>
      </ns0:c>
      <ns0:c r="D1239" s="19" t="inlineStr">
        <ns0:is>
          <ns0:t>SVM / SVR</ns0:t>
        </ns0:is>
      </ns0:c>
      <ns0:c r="E1239" s="19" t="inlineStr">
        <ns0:is>
          <ns0:t>Threat-related fMRI predicts concurrent anxiety symptoms; not a longitudinal intervention or future prognosis study.</ns0:t>
        </ns0:is>
      </ns0:c>
      <ns0:c r="F1239" s="19" t="inlineStr">
        <ns0:is>
          <ns0:t>https://doi.org/10.1002/aur.2595</ns0:t>
        </ns0:is>
      </ns0:c>
      <ns0:c r="G1239" s="19" t="inlineStr">
        <ns0:is>
          <ns0:t>ChatGPT-assisted evidence recharting, 2026-09-08</ns0:t>
        </ns0:is>
      </ns0:c>
    </ns0:row>
    <ns0:row r="1240" ht="42" customHeight="1">
      <ns0:c r="A1240" s="21" t="inlineStr">
        <ns0:is>
          <ns0:t>222</ns0:t>
        </ns0:is>
      </ns0:c>
      <ns0:c r="B1240" s="21" t="inlineStr">
        <ns0:is>
          <ns0:t>rq2_status</ns0:t>
        </ns0:is>
      </ns0:c>
      <ns0:c r="C1240" s="21" t="inlineStr">
        <ns0:is>
          <ns0:t>Not adjudicated in master</ns0:t>
        </ns0:is>
      </ns0:c>
      <ns0:c r="D1240" s="21" t="inlineStr">
        <ns0:is>
          <ns0:t>Research only</ns0:t>
        </ns0:is>
      </ns0:c>
      <ns0:c r="E1240" s="21" t="inlineStr">
        <ns0:is>
          <ns0:t>Threat-related fMRI predicts concurrent anxiety symptoms; not a longitudinal intervention or future prognosis study.</ns0:t>
        </ns0:is>
      </ns0:c>
      <ns0:c r="F1240" s="21" t="inlineStr">
        <ns0:is>
          <ns0:t>https://doi.org/10.1002/aur.2595</ns0:t>
        </ns0:is>
      </ns0:c>
      <ns0:c r="G1240" s="21" t="inlineStr">
        <ns0:is>
          <ns0:t>ChatGPT-assisted evidence recharting, 2026-09-08</ns0:t>
        </ns0:is>
      </ns0:c>
    </ns0:row>
    <ns0:row r="1241" ht="42" customHeight="1">
      <ns0:c r="A1241" s="19" t="inlineStr">
        <ns0:is>
          <ns0:t>222</ns0:t>
        </ns0:is>
      </ns0:c>
      <ns0:c r="B1241" s="19" t="inlineStr">
        <ns0:is>
          <ns0:t>rq2_role</ns0:t>
        </ns0:is>
      </ns0:c>
      <ns0:c r="C1241" s="19" t="inlineStr"/>
      <ns0:c r="D1241" s="19" t="inlineStr">
        <ns0:is>
          <ns0:t>Automated measurement/classification</ns0:t>
        </ns0:is>
      </ns0:c>
      <ns0:c r="E1241" s="19" t="inlineStr">
        <ns0:is>
          <ns0:t>Threat-related fMRI predicts concurrent anxiety symptoms; not a longitudinal intervention or future prognosis study.</ns0:t>
        </ns0:is>
      </ns0:c>
      <ns0:c r="F1241" s="19" t="inlineStr">
        <ns0:is>
          <ns0:t>https://doi.org/10.1002/aur.2595</ns0:t>
        </ns0:is>
      </ns0:c>
      <ns0:c r="G1241" s="19" t="inlineStr">
        <ns0:is>
          <ns0:t>ChatGPT-assisted evidence recharting, 2026-09-08</ns0:t>
        </ns0:is>
      </ns0:c>
    </ns0:row>
    <ns0:row r="1242" ht="42" customHeight="1">
      <ns0:c r="A1242" s="21" t="inlineStr">
        <ns0:is>
          <ns0:t>222</ns0:t>
        </ns0:is>
      </ns0:c>
      <ns0:c r="B1242" s="21" t="inlineStr">
        <ns0:is>
          <ns0:t>decision_timing</ns0:t>
        </ns0:is>
      </ns0:c>
      <ns0:c r="C1242" s="21" t="inlineStr"/>
      <ns0:c r="D1242" s="21" t="inlineStr">
        <ns0:is>
          <ns0:t>Not observed in assessed sources</ns0:t>
        </ns0:is>
      </ns0:c>
      <ns0:c r="E1242" s="21" t="inlineStr">
        <ns0:is>
          <ns0:t>Threat-related fMRI predicts concurrent anxiety symptoms; not a longitudinal intervention or future prognosis study.</ns0:t>
        </ns0:is>
      </ns0:c>
      <ns0:c r="F1242" s="21" t="inlineStr">
        <ns0:is>
          <ns0:t>https://doi.org/10.1002/aur.2595</ns0:t>
        </ns0:is>
      </ns0:c>
      <ns0:c r="G1242" s="21" t="inlineStr">
        <ns0:is>
          <ns0:t>ChatGPT-assisted evidence recharting, 2026-09-08</ns0:t>
        </ns0:is>
      </ns0:c>
    </ns0:row>
    <ns0:row r="1243" ht="42" customHeight="1">
      <ns0:c r="A1243" s="19" t="inlineStr">
        <ns0:is>
          <ns0:t>223</ns0:t>
        </ns0:is>
      </ns0:c>
      <ns0:c r="B1243" s="19" t="inlineStr">
        <ns0:is>
          <ns0:t>stage_primary</ns0:t>
        </ns0:is>
      </ns0:c>
      <ns0:c r="C1243" s="19" t="inlineStr">
        <ns0:is>
          <ns0:t>Diagnosis</ns0:t>
        </ns0:is>
      </ns0:c>
      <ns0:c r="D1243" s="19" t="inlineStr">
        <ns0:is>
          <ns0:t>Screening</ns0:t>
        </ns0:is>
      </ns0:c>
      <ns0:c r="E1243" s="19" t="inlineStr">
        <ns0:is>
          <ns0:t>Questionnaire app and classifier comparisons proposed for early screening. A developed app does not by itself demonstrate clinical workflow use.</ns0:t>
        </ns0:is>
      </ns0:c>
      <ns0:c r="F1243" s="19" t="inlineStr">
        <ns0:is>
          <ns0:t>https://doi.org/10.1002/cpe.7898</ns0:t>
        </ns0:is>
      </ns0:c>
      <ns0:c r="G1243" s="19" t="inlineStr">
        <ns0:is>
          <ns0:t>ChatGPT-assisted evidence recharting, 2026-09-08</ns0:t>
        </ns0:is>
      </ns0:c>
    </ns0:row>
    <ns0:row r="1244" ht="42" customHeight="1">
      <ns0:c r="A1244" s="21" t="inlineStr">
        <ns0:is>
          <ns0:t>223</ns0:t>
        </ns0:is>
      </ns0:c>
      <ns0:c r="B1244" s="21" t="inlineStr">
        <ns0:is>
          <ns0:t>data_source_primary</ns0:t>
        </ns0:is>
      </ns0:c>
      <ns0:c r="C1244" s="21" t="inlineStr">
        <ns0:is>
          <ns0:t>Not specified</ns0:t>
        </ns0:is>
      </ns0:c>
      <ns0:c r="D1244" s="21" t="inlineStr">
        <ns0:is>
          <ns0:t>Structured clinical/questionnaire data</ns0:t>
        </ns0:is>
      </ns0:c>
      <ns0:c r="E1244" s="21" t="inlineStr">
        <ns0:is>
          <ns0:t>Questionnaire app and classifier comparisons proposed for early screening. A developed app does not by itself demonstrate clinical workflow use.</ns0:t>
        </ns0:is>
      </ns0:c>
      <ns0:c r="F1244" s="21" t="inlineStr">
        <ns0:is>
          <ns0:t>https://doi.org/10.1002/cpe.7898</ns0:t>
        </ns0:is>
      </ns0:c>
      <ns0:c r="G1244" s="21" t="inlineStr">
        <ns0:is>
          <ns0:t>ChatGPT-assisted evidence recharting, 2026-09-08</ns0:t>
        </ns0:is>
      </ns0:c>
    </ns0:row>
    <ns0:row r="1245" ht="42" customHeight="1">
      <ns0:c r="A1245" s="19" t="inlineStr">
        <ns0:is>
          <ns0:t>223</ns0:t>
        </ns0:is>
      </ns0:c>
      <ns0:c r="B1245" s="19" t="inlineStr">
        <ns0:is>
          <ns0:t>algorithm_main</ns0:t>
        </ns0:is>
      </ns0:c>
      <ns0:c r="C1245" s="19" t="inlineStr">
        <ns0:is>
          <ns0:t>SVM</ns0:t>
        </ns0:is>
      </ns0:c>
      <ns0:c r="D1245" s="19" t="inlineStr">
        <ns0:is>
          <ns0:t>Multiple classifiers; primary unspecified</ns0:t>
        </ns0:is>
      </ns0:c>
      <ns0:c r="E1245" s="19" t="inlineStr">
        <ns0:is>
          <ns0:t>Questionnaire app and classifier comparisons proposed for early screening. A developed app does not by itself demonstrate clinical workflow use.</ns0:t>
        </ns0:is>
      </ns0:c>
      <ns0:c r="F1245" s="19" t="inlineStr">
        <ns0:is>
          <ns0:t>https://doi.org/10.1002/cpe.7898</ns0:t>
        </ns0:is>
      </ns0:c>
      <ns0:c r="G1245" s="19" t="inlineStr">
        <ns0:is>
          <ns0:t>ChatGPT-assisted evidence recharting, 2026-09-08</ns0:t>
        </ns0:is>
      </ns0:c>
    </ns0:row>
    <ns0:row r="1246" ht="42" customHeight="1">
      <ns0:c r="A1246" s="21" t="inlineStr">
        <ns0:is>
          <ns0:t>223</ns0:t>
        </ns0:is>
      </ns0:c>
      <ns0:c r="B1246" s="21" t="inlineStr">
        <ns0:is>
          <ns0:t>rq2_status</ns0:t>
        </ns0:is>
      </ns0:c>
      <ns0:c r="C1246" s="21" t="inlineStr">
        <ns0:is>
          <ns0:t>Not adjudicated in master</ns0:t>
        </ns0:is>
      </ns0:c>
      <ns0:c r="D1246" s="21" t="inlineStr">
        <ns0:is>
          <ns0:t>Proposed only</ns0:t>
        </ns0:is>
      </ns0:c>
      <ns0:c r="E1246" s="21" t="inlineStr">
        <ns0:is>
          <ns0:t>Questionnaire app and classifier comparisons proposed for early screening. A developed app does not by itself demonstrate clinical workflow use.</ns0:t>
        </ns0:is>
      </ns0:c>
      <ns0:c r="F1246" s="21" t="inlineStr">
        <ns0:is>
          <ns0:t>https://doi.org/10.1002/cpe.7898</ns0:t>
        </ns0:is>
      </ns0:c>
      <ns0:c r="G1246" s="21" t="inlineStr">
        <ns0:is>
          <ns0:t>ChatGPT-assisted evidence recharting, 2026-09-08</ns0:t>
        </ns0:is>
      </ns0:c>
    </ns0:row>
    <ns0:row r="1247" ht="42" customHeight="1">
      <ns0:c r="A1247" s="19" t="inlineStr">
        <ns0:is>
          <ns0:t>223</ns0:t>
        </ns0:is>
      </ns0:c>
      <ns0:c r="B1247" s="19" t="inlineStr">
        <ns0:is>
          <ns0:t>rq2_role</ns0:t>
        </ns0:is>
      </ns0:c>
      <ns0:c r="C1247" s="19" t="inlineStr"/>
      <ns0:c r="D1247" s="19" t="inlineStr">
        <ns0:is>
          <ns0:t>Mobile assessment</ns0:t>
        </ns0:is>
      </ns0:c>
      <ns0:c r="E1247" s="19" t="inlineStr">
        <ns0:is>
          <ns0:t>Questionnaire app and classifier comparisons proposed for early screening. A developed app does not by itself demonstrate clinical workflow use.</ns0:t>
        </ns0:is>
      </ns0:c>
      <ns0:c r="F1247" s="19" t="inlineStr">
        <ns0:is>
          <ns0:t>https://doi.org/10.1002/cpe.7898</ns0:t>
        </ns0:is>
      </ns0:c>
      <ns0:c r="G1247" s="19" t="inlineStr">
        <ns0:is>
          <ns0:t>ChatGPT-assisted evidence recharting, 2026-09-08</ns0:t>
        </ns0:is>
      </ns0:c>
    </ns0:row>
    <ns0:row r="1248" ht="42" customHeight="1">
      <ns0:c r="A1248" s="21" t="inlineStr">
        <ns0:is>
          <ns0:t>223</ns0:t>
        </ns0:is>
      </ns0:c>
      <ns0:c r="B1248" s="21" t="inlineStr">
        <ns0:is>
          <ns0:t>decision_timing</ns0:t>
        </ns0:is>
      </ns0:c>
      <ns0:c r="C1248" s="21" t="inlineStr"/>
      <ns0:c r="D1248" s="21" t="inlineStr">
        <ns0:is>
          <ns0:t>Pre-decision</ns0:t>
        </ns0:is>
      </ns0:c>
      <ns0:c r="E1248" s="21" t="inlineStr">
        <ns0:is>
          <ns0:t>Questionnaire app and classifier comparisons proposed for early screening. A developed app does not by itself demonstrate clinical workflow use.</ns0:t>
        </ns0:is>
      </ns0:c>
      <ns0:c r="F1248" s="21" t="inlineStr">
        <ns0:is>
          <ns0:t>https://doi.org/10.1002/cpe.7898</ns0:t>
        </ns0:is>
      </ns0:c>
      <ns0:c r="G1248" s="21" t="inlineStr">
        <ns0:is>
          <ns0:t>ChatGPT-assisted evidence recharting, 2026-09-08</ns0:t>
        </ns0:is>
      </ns0:c>
    </ns0:row>
    <ns0:row r="1249" ht="42" customHeight="1">
      <ns0:c r="A1249" s="19" t="inlineStr">
        <ns0:is>
          <ns0:t>223</ns0:t>
        </ns0:is>
      </ns0:c>
      <ns0:c r="B1249" s="19" t="inlineStr">
        <ns0:is>
          <ns0:t>multisource_data</ns0:t>
        </ns0:is>
      </ns0:c>
      <ns0:c r="C1249" s="19" t="inlineStr">
        <ns0:is>
          <ns0:t>Reported</ns0:t>
        </ns0:is>
      </ns0:c>
      <ns0:c r="D1249" s="19" t="inlineStr">
        <ns0:is>
          <ns0:t>Not reported in assessed sources</ns0:t>
        </ns0:is>
      </ns0:c>
      <ns0:c r="E1249" s="19" t="inlineStr">
        <ns0:is>
          <ns0:t>Questionnaire app and classifier comparisons proposed for early screening. A developed app does not by itself demonstrate clinical workflow use.</ns0:t>
        </ns0:is>
      </ns0:c>
      <ns0:c r="F1249" s="19" t="inlineStr">
        <ns0:is>
          <ns0:t>https://doi.org/10.1002/cpe.7898</ns0:t>
        </ns0:is>
      </ns0:c>
      <ns0:c r="G1249" s="19" t="inlineStr">
        <ns0:is>
          <ns0:t>ChatGPT-assisted evidence recharting, 2026-09-08</ns0:t>
        </ns0:is>
      </ns0:c>
    </ns0:row>
    <ns0:row r="1250" ht="81" customHeight="1">
      <ns0:c r="A1250" s="21" t="inlineStr">
        <ns0:is>
          <ns0:t>224</ns0:t>
        </ns0:is>
      </ns0:c>
      <ns0:c r="B1250" s="21" t="inlineStr">
        <ns0:is>
          <ns0:t>ai_type</ns0:t>
        </ns0:is>
      </ns0:c>
      <ns0:c r="C1250" s="21" t="inlineStr">
        <ns0:is>
          <ns0:t>Deep Learning</ns0:t>
        </ns0:is>
      </ns0:c>
      <ns0:c r="D1250" s="21" t="inlineStr">
        <ns0:is>
          <ns0:t>Not specified</ns0:t>
        </ns0:is>
      </ns0:c>
      <ns0:c r="E1250" s="21" t="inlineStr">
        <ns0:is>
          <ns0:t>EEG/GSR emotion classification proposed for autism-related care; abstract does not identify classifier components or establish that evaluation participants had ASD.
Reported precision 0.9870% is inconsistent with the other nearly perfect metrics; do not quote these metrics without full-text verification.
Public emotion dataset is unnamed in available abstract; ASD-specific evaluation population cannot be established. Retained from inherited eligibility; exclude in evidence-restricted sensitivity.</ns0:t>
        </ns0:is>
      </ns0:c>
      <ns0:c r="F1250" s="21" t="inlineStr">
        <ns0:is>
          <ns0:t>https://doi.org/10.1016/j.cmpb.2025.108921</ns0:t>
        </ns0:is>
      </ns0:c>
      <ns0:c r="G1250" s="21" t="inlineStr">
        <ns0:is>
          <ns0:t>ChatGPT-assisted evidence recharting, 2026-09-08</ns0:t>
        </ns0:is>
      </ns0:c>
    </ns0:row>
    <ns0:row r="1251" ht="81" customHeight="1">
      <ns0:c r="A1251" s="19" t="inlineStr">
        <ns0:is>
          <ns0:t>224</ns0:t>
        </ns0:is>
      </ns0:c>
      <ns0:c r="B1251" s="19" t="inlineStr">
        <ns0:is>
          <ns0:t>algorithm_main</ns0:t>
        </ns0:is>
      </ns0:c>
      <ns0:c r="C1251" s="19" t="inlineStr"/>
      <ns0:c r="D1251" s="19" t="inlineStr">
        <ns0:is>
          <ns0:t>Ensemble; components unspecified</ns0:t>
        </ns0:is>
      </ns0:c>
      <ns0:c r="E1251" s="19" t="inlineStr">
        <ns0:is>
          <ns0:t>EEG/GSR emotion classification proposed for autism-related care; abstract does not identify classifier components or establish that evaluation participants had ASD.
Reported precision 0.9870% is inconsistent with the other nearly perfect metrics; do not quote these metrics without full-text verification.
Public emotion dataset is unnamed in available abstract; ASD-specific evaluation population cannot be established. Retained from inherited eligibility; exclude in evidence-restricted sensitivity.</ns0:t>
        </ns0:is>
      </ns0:c>
      <ns0:c r="F1251" s="19" t="inlineStr">
        <ns0:is>
          <ns0:t>https://doi.org/10.1016/j.cmpb.2025.108921</ns0:t>
        </ns0:is>
      </ns0:c>
      <ns0:c r="G1251" s="19" t="inlineStr">
        <ns0:is>
          <ns0:t>ChatGPT-assisted evidence recharting, 2026-09-08</ns0:t>
        </ns0:is>
      </ns0:c>
    </ns0:row>
    <ns0:row r="1252" ht="81" customHeight="1">
      <ns0:c r="A1252" s="21" t="inlineStr">
        <ns0:is>
          <ns0:t>224</ns0:t>
        </ns0:is>
      </ns0:c>
      <ns0:c r="B1252" s="21" t="inlineStr">
        <ns0:is>
          <ns0:t>rq2_status</ns0:t>
        </ns0:is>
      </ns0:c>
      <ns0:c r="C1252" s="21" t="inlineStr">
        <ns0:is>
          <ns0:t>Not adjudicated in master</ns0:t>
        </ns0:is>
      </ns0:c>
      <ns0:c r="D1252" s="21" t="inlineStr">
        <ns0:is>
          <ns0:t>Proposed only</ns0:t>
        </ns0:is>
      </ns0:c>
      <ns0:c r="E1252" s="21" t="inlineStr">
        <ns0:is>
          <ns0:t>EEG/GSR emotion classification proposed for autism-related care; abstract does not identify classifier components or establish that evaluation participants had ASD.
Reported precision 0.9870% is inconsistent with the other nearly perfect metrics; do not quote these metrics without full-text verification.
Public emotion dataset is unnamed in available abstract; ASD-specific evaluation population cannot be established. Retained from inherited eligibility; exclude in evidence-restricted sensitivity.</ns0:t>
        </ns0:is>
      </ns0:c>
      <ns0:c r="F1252" s="21" t="inlineStr">
        <ns0:is>
          <ns0:t>https://doi.org/10.1016/j.cmpb.2025.108921</ns0:t>
        </ns0:is>
      </ns0:c>
      <ns0:c r="G1252" s="21" t="inlineStr">
        <ns0:is>
          <ns0:t>ChatGPT-assisted evidence recharting, 2026-09-08</ns0:t>
        </ns0:is>
      </ns0:c>
    </ns0:row>
    <ns0:row r="1253" ht="81" customHeight="1">
      <ns0:c r="A1253" s="19" t="inlineStr">
        <ns0:is>
          <ns0:t>224</ns0:t>
        </ns0:is>
      </ns0:c>
      <ns0:c r="B1253" s="19" t="inlineStr">
        <ns0:is>
          <ns0:t>rq2_role</ns0:t>
        </ns0:is>
      </ns0:c>
      <ns0:c r="C1253" s="19" t="inlineStr"/>
      <ns0:c r="D1253" s="19" t="inlineStr">
        <ns0:is>
          <ns0:t>Automated measurement/classification</ns0:t>
        </ns0:is>
      </ns0:c>
      <ns0:c r="E1253" s="19" t="inlineStr">
        <ns0:is>
          <ns0:t>EEG/GSR emotion classification proposed for autism-related care; abstract does not identify classifier components or establish that evaluation participants had ASD.
Reported precision 0.9870% is inconsistent with the other nearly perfect metrics; do not quote these metrics without full-text verification.
Public emotion dataset is unnamed in available abstract; ASD-specific evaluation population cannot be established. Retained from inherited eligibility; exclude in evidence-restricted sensitivity.</ns0:t>
        </ns0:is>
      </ns0:c>
      <ns0:c r="F1253" s="19" t="inlineStr">
        <ns0:is>
          <ns0:t>https://doi.org/10.1016/j.cmpb.2025.108921</ns0:t>
        </ns0:is>
      </ns0:c>
      <ns0:c r="G1253" s="19" t="inlineStr">
        <ns0:is>
          <ns0:t>ChatGPT-assisted evidence recharting, 2026-09-08</ns0:t>
        </ns0:is>
      </ns0:c>
    </ns0:row>
    <ns0:row r="1254" ht="81" customHeight="1">
      <ns0:c r="A1254" s="21" t="inlineStr">
        <ns0:is>
          <ns0:t>224</ns0:t>
        </ns0:is>
      </ns0:c>
      <ns0:c r="B1254" s="21" t="inlineStr">
        <ns0:is>
          <ns0:t>decision_timing</ns0:t>
        </ns0:is>
      </ns0:c>
      <ns0:c r="C1254" s="21" t="inlineStr"/>
      <ns0:c r="D1254" s="21" t="inlineStr">
        <ns0:is>
          <ns0:t>Post-decision</ns0:t>
        </ns0:is>
      </ns0:c>
      <ns0:c r="E1254" s="21" t="inlineStr">
        <ns0:is>
          <ns0:t>EEG/GSR emotion classification proposed for autism-related care; abstract does not identify classifier components or establish that evaluation participants had ASD.
Reported precision 0.9870% is inconsistent with the other nearly perfect metrics; do not quote these metrics without full-text verification.
Public emotion dataset is unnamed in available abstract; ASD-specific evaluation population cannot be established. Retained from inherited eligibility; exclude in evidence-restricted sensitivity.</ns0:t>
        </ns0:is>
      </ns0:c>
      <ns0:c r="F1254" s="21" t="inlineStr">
        <ns0:is>
          <ns0:t>https://doi.org/10.1016/j.cmpb.2025.108921</ns0:t>
        </ns0:is>
      </ns0:c>
      <ns0:c r="G1254" s="21" t="inlineStr">
        <ns0:is>
          <ns0:t>ChatGPT-assisted evidence recharting, 2026-09-08</ns0:t>
        </ns0:is>
      </ns0:c>
    </ns0:row>
    <ns0:row r="1255" ht="42" customHeight="1">
      <ns0:c r="A1255" s="19" t="inlineStr">
        <ns0:is>
          <ns0:t>225</ns0:t>
        </ns0:is>
      </ns0:c>
      <ns0:c r="B1255" s="19" t="inlineStr">
        <ns0:is>
          <ns0:t>ai_type</ns0:t>
        </ns0:is>
      </ns0:c>
      <ns0:c r="C1255" s="19" t="inlineStr">
        <ns0:is>
          <ns0:t>Deep Learning</ns0:t>
        </ns0:is>
      </ns0:c>
      <ns0:c r="D1255" s="19" t="inlineStr">
        <ns0:is>
          <ns0:t>Machine Learning</ns0:t>
        </ns0:is>
      </ns0:c>
      <ns0:c r="E1255" s="19" t="inlineStr">
        <ns0:is>
          <ns0:t>Gaze comparison of 37 ASD and 37 typically developing children; discriminant analysis rather than deep learning.</ns0:t>
        </ns0:is>
      </ns0:c>
      <ns0:c r="F1255" s="19" t="inlineStr">
        <ns0:is>
          <ns0:t>https://doi.org/10.1007/s10803-018-3690-y</ns0:t>
        </ns0:is>
      </ns0:c>
      <ns0:c r="G1255" s="19" t="inlineStr">
        <ns0:is>
          <ns0:t>ChatGPT-assisted evidence recharting, 2026-09-08</ns0:t>
        </ns0:is>
      </ns0:c>
    </ns0:row>
    <ns0:row r="1256" ht="42" customHeight="1">
      <ns0:c r="A1256" s="21" t="inlineStr">
        <ns0:is>
          <ns0:t>225</ns0:t>
        </ns0:is>
      </ns0:c>
      <ns0:c r="B1256" s="21" t="inlineStr">
        <ns0:is>
          <ns0:t>data_source_primary</ns0:t>
        </ns0:is>
      </ns0:c>
      <ns0:c r="C1256" s="21" t="inlineStr">
        <ns0:is>
          <ns0:t>Image (subtype unresolved)</ns0:t>
        </ns0:is>
      </ns0:c>
      <ns0:c r="D1256" s="21" t="inlineStr">
        <ns0:is>
          <ns0:t>Behavioral images/video/gaze/movement</ns0:t>
        </ns0:is>
      </ns0:c>
      <ns0:c r="E1256" s="21" t="inlineStr">
        <ns0:is>
          <ns0:t>Gaze comparison of 37 ASD and 37 typically developing children; discriminant analysis rather than deep learning.</ns0:t>
        </ns0:is>
      </ns0:c>
      <ns0:c r="F1256" s="21" t="inlineStr">
        <ns0:is>
          <ns0:t>https://doi.org/10.1007/s10803-018-3690-y</ns0:t>
        </ns0:is>
      </ns0:c>
      <ns0:c r="G1256" s="21" t="inlineStr">
        <ns0:is>
          <ns0:t>ChatGPT-assisted evidence recharting, 2026-09-08</ns0:t>
        </ns0:is>
      </ns0:c>
    </ns0:row>
    <ns0:row r="1257" ht="42" customHeight="1">
      <ns0:c r="A1257" s="19" t="inlineStr">
        <ns0:is>
          <ns0:t>225</ns0:t>
        </ns0:is>
      </ns0:c>
      <ns0:c r="B1257" s="19" t="inlineStr">
        <ns0:is>
          <ns0:t>algorithm_main</ns0:t>
        </ns0:is>
      </ns0:c>
      <ns0:c r="C1257" s="19" t="inlineStr">
        <ns0:is>
          <ns0:t>Other / Not clear</ns0:t>
        </ns0:is>
      </ns0:c>
      <ns0:c r="D1257" s="19" t="inlineStr">
        <ns0:is>
          <ns0:t>Discriminant analysis</ns0:t>
        </ns0:is>
      </ns0:c>
      <ns0:c r="E1257" s="19" t="inlineStr">
        <ns0:is>
          <ns0:t>Gaze comparison of 37 ASD and 37 typically developing children; discriminant analysis rather than deep learning.</ns0:t>
        </ns0:is>
      </ns0:c>
      <ns0:c r="F1257" s="19" t="inlineStr">
        <ns0:is>
          <ns0:t>https://doi.org/10.1007/s10803-018-3690-y</ns0:t>
        </ns0:is>
      </ns0:c>
      <ns0:c r="G1257" s="19" t="inlineStr">
        <ns0:is>
          <ns0:t>ChatGPT-assisted evidence recharting, 2026-09-08</ns0:t>
        </ns0:is>
      </ns0:c>
    </ns0:row>
    <ns0:row r="1258" ht="42" customHeight="1">
      <ns0:c r="A1258" s="21" t="inlineStr">
        <ns0:is>
          <ns0:t>225</ns0:t>
        </ns0:is>
      </ns0:c>
      <ns0:c r="B1258" s="21" t="inlineStr">
        <ns0:is>
          <ns0:t>rq2_status</ns0:t>
        </ns0:is>
      </ns0:c>
      <ns0:c r="C1258" s="21" t="inlineStr">
        <ns0:is>
          <ns0:t>Not adjudicated in master</ns0:t>
        </ns0:is>
      </ns0:c>
      <ns0:c r="D1258" s="21" t="inlineStr">
        <ns0:is>
          <ns0:t>Research only</ns0:t>
        </ns0:is>
      </ns0:c>
      <ns0:c r="E1258" s="21" t="inlineStr">
        <ns0:is>
          <ns0:t>Gaze comparison of 37 ASD and 37 typically developing children; discriminant analysis rather than deep learning.</ns0:t>
        </ns0:is>
      </ns0:c>
      <ns0:c r="F1258" s="21" t="inlineStr">
        <ns0:is>
          <ns0:t>https://doi.org/10.1007/s10803-018-3690-y</ns0:t>
        </ns0:is>
      </ns0:c>
      <ns0:c r="G1258" s="21" t="inlineStr">
        <ns0:is>
          <ns0:t>ChatGPT-assisted evidence recharting, 2026-09-08</ns0:t>
        </ns0:is>
      </ns0:c>
    </ns0:row>
    <ns0:row r="1259" ht="42" customHeight="1">
      <ns0:c r="A1259" s="19" t="inlineStr">
        <ns0:is>
          <ns0:t>225</ns0:t>
        </ns0:is>
      </ns0:c>
      <ns0:c r="B1259" s="19" t="inlineStr">
        <ns0:is>
          <ns0:t>rq2_role</ns0:t>
        </ns0:is>
      </ns0:c>
      <ns0:c r="C1259" s="19" t="inlineStr"/>
      <ns0:c r="D1259" s="19" t="inlineStr">
        <ns0:is>
          <ns0:t>Automated measurement/classification</ns0:t>
        </ns0:is>
      </ns0:c>
      <ns0:c r="E1259" s="19" t="inlineStr">
        <ns0:is>
          <ns0:t>Gaze comparison of 37 ASD and 37 typically developing children; discriminant analysis rather than deep learning.</ns0:t>
        </ns0:is>
      </ns0:c>
      <ns0:c r="F1259" s="19" t="inlineStr">
        <ns0:is>
          <ns0:t>https://doi.org/10.1007/s10803-018-3690-y</ns0:t>
        </ns0:is>
      </ns0:c>
      <ns0:c r="G1259" s="19" t="inlineStr">
        <ns0:is>
          <ns0:t>ChatGPT-assisted evidence recharting, 2026-09-08</ns0:t>
        </ns0:is>
      </ns0:c>
    </ns0:row>
    <ns0:row r="1260" ht="42" customHeight="1">
      <ns0:c r="A1260" s="21" t="inlineStr">
        <ns0:is>
          <ns0:t>225</ns0:t>
        </ns0:is>
      </ns0:c>
      <ns0:c r="B1260" s="21" t="inlineStr">
        <ns0:is>
          <ns0:t>decision_timing</ns0:t>
        </ns0:is>
      </ns0:c>
      <ns0:c r="C1260" s="21" t="inlineStr"/>
      <ns0:c r="D1260" s="21" t="inlineStr">
        <ns0:is>
          <ns0:t>Not observed in assessed sources</ns0:t>
        </ns0:is>
      </ns0:c>
      <ns0:c r="E1260" s="21" t="inlineStr">
        <ns0:is>
          <ns0:t>Gaze comparison of 37 ASD and 37 typically developing children; discriminant analysis rather than deep learning.</ns0:t>
        </ns0:is>
      </ns0:c>
      <ns0:c r="F1260" s="21" t="inlineStr">
        <ns0:is>
          <ns0:t>https://doi.org/10.1007/s10803-018-3690-y</ns0:t>
        </ns0:is>
      </ns0:c>
      <ns0:c r="G1260" s="21" t="inlineStr">
        <ns0:is>
          <ns0:t>ChatGPT-assisted evidence recharting, 2026-09-08</ns0:t>
        </ns0:is>
      </ns0:c>
    </ns0:row>
    <ns0:row r="1261" ht="42" customHeight="1">
      <ns0:c r="A1261" s="19" t="inlineStr">
        <ns0:is>
          <ns0:t>226</ns0:t>
        </ns0:is>
      </ns0:c>
      <ns0:c r="B1261" s="19" t="inlineStr">
        <ns0:is>
          <ns0:t>ai_type</ns0:t>
        </ns0:is>
      </ns0:c>
      <ns0:c r="C1261" s="19" t="inlineStr">
        <ns0:is>
          <ns0:t>Deep Learning</ns0:t>
        </ns0:is>
      </ns0:c>
      <ns0:c r="D1261" s="19" t="inlineStr">
        <ns0:is>
          <ns0:t>Not specified</ns0:t>
        </ns0:is>
      </ns0:c>
      <ns0:c r="E1261" s="19" t="inlineStr">
        <ns0:is>
          <ns0:t>Resting-state fMRI connectivity across atlases with majority voting. Abstract does not identify base classifiers or establish deep learning.</ns0:t>
        </ns0:is>
      </ns0:c>
      <ns0:c r="F1261" s="19" t="inlineStr">
        <ns0:is>
          <ns0:t>https://doi.org/10.1016/j.compeleceng.2023.108720</ns0:t>
        </ns0:is>
      </ns0:c>
      <ns0:c r="G1261" s="19" t="inlineStr">
        <ns0:is>
          <ns0:t>ChatGPT-assisted evidence recharting, 2026-09-08</ns0:t>
        </ns0:is>
      </ns0:c>
    </ns0:row>
    <ns0:row r="1262" ht="42" customHeight="1">
      <ns0:c r="A1262" s="21" t="inlineStr">
        <ns0:is>
          <ns0:t>226</ns0:t>
        </ns0:is>
      </ns0:c>
      <ns0:c r="B1262" s="21" t="inlineStr">
        <ns0:is>
          <ns0:t>data_source_primary</ns0:t>
        </ns0:is>
      </ns0:c>
      <ns0:c r="C1262" s="21" t="inlineStr">
        <ns0:is>
          <ns0:t>Image (subtype unresolved)</ns0:t>
        </ns0:is>
      </ns0:c>
      <ns0:c r="D1262" s="21" t="inlineStr">
        <ns0:is>
          <ns0:t>Neuroimaging</ns0:t>
        </ns0:is>
      </ns0:c>
      <ns0:c r="E1262" s="21" t="inlineStr">
        <ns0:is>
          <ns0:t>Resting-state fMRI connectivity across atlases with majority voting. Abstract does not identify base classifiers or establish deep learning.</ns0:t>
        </ns0:is>
      </ns0:c>
      <ns0:c r="F1262" s="21" t="inlineStr">
        <ns0:is>
          <ns0:t>https://doi.org/10.1016/j.compeleceng.2023.108720</ns0:t>
        </ns0:is>
      </ns0:c>
      <ns0:c r="G1262" s="21" t="inlineStr">
        <ns0:is>
          <ns0:t>ChatGPT-assisted evidence recharting, 2026-09-08</ns0:t>
        </ns0:is>
      </ns0:c>
    </ns0:row>
    <ns0:row r="1263" ht="42" customHeight="1">
      <ns0:c r="A1263" s="19" t="inlineStr">
        <ns0:is>
          <ns0:t>226</ns0:t>
        </ns0:is>
      </ns0:c>
      <ns0:c r="B1263" s="19" t="inlineStr">
        <ns0:is>
          <ns0:t>algorithm_main</ns0:t>
        </ns0:is>
      </ns0:c>
      <ns0:c r="C1263" s="19" t="inlineStr">
        <ns0:is>
          <ns0:t>Other / Not clear</ns0:t>
        </ns0:is>
      </ns0:c>
      <ns0:c r="D1263" s="19" t="inlineStr">
        <ns0:is>
          <ns0:t>Not specified</ns0:t>
        </ns0:is>
      </ns0:c>
      <ns0:c r="E1263" s="19" t="inlineStr">
        <ns0:is>
          <ns0:t>Resting-state fMRI connectivity across atlases with majority voting. Abstract does not identify base classifiers or establish deep learning.</ns0:t>
        </ns0:is>
      </ns0:c>
      <ns0:c r="F1263" s="19" t="inlineStr">
        <ns0:is>
          <ns0:t>https://doi.org/10.1016/j.compeleceng.2023.108720</ns0:t>
        </ns0:is>
      </ns0:c>
      <ns0:c r="G1263" s="19" t="inlineStr">
        <ns0:is>
          <ns0:t>ChatGPT-assisted evidence recharting, 2026-09-08</ns0:t>
        </ns0:is>
      </ns0:c>
    </ns0:row>
    <ns0:row r="1264" ht="42" customHeight="1">
      <ns0:c r="A1264" s="21" t="inlineStr">
        <ns0:is>
          <ns0:t>226</ns0:t>
        </ns0:is>
      </ns0:c>
      <ns0:c r="B1264" s="21" t="inlineStr">
        <ns0:is>
          <ns0:t>rq2_status</ns0:t>
        </ns0:is>
      </ns0:c>
      <ns0:c r="C1264" s="21" t="inlineStr">
        <ns0:is>
          <ns0:t>Not adjudicated in master</ns0:t>
        </ns0:is>
      </ns0:c>
      <ns0:c r="D1264" s="21" t="inlineStr">
        <ns0:is>
          <ns0:t>Research only</ns0:t>
        </ns0:is>
      </ns0:c>
      <ns0:c r="E1264" s="21" t="inlineStr">
        <ns0:is>
          <ns0:t>Resting-state fMRI connectivity across atlases with majority voting. Abstract does not identify base classifiers or establish deep learning.</ns0:t>
        </ns0:is>
      </ns0:c>
      <ns0:c r="F1264" s="21" t="inlineStr">
        <ns0:is>
          <ns0:t>https://doi.org/10.1016/j.compeleceng.2023.108720</ns0:t>
        </ns0:is>
      </ns0:c>
      <ns0:c r="G1264" s="21" t="inlineStr">
        <ns0:is>
          <ns0:t>ChatGPT-assisted evidence recharting, 2026-09-08</ns0:t>
        </ns0:is>
      </ns0:c>
    </ns0:row>
    <ns0:row r="1265" ht="42" customHeight="1">
      <ns0:c r="A1265" s="19" t="inlineStr">
        <ns0:is>
          <ns0:t>226</ns0:t>
        </ns0:is>
      </ns0:c>
      <ns0:c r="B1265" s="19" t="inlineStr">
        <ns0:is>
          <ns0:t>rq2_role</ns0:t>
        </ns0:is>
      </ns0:c>
      <ns0:c r="C1265" s="19" t="inlineStr"/>
      <ns0:c r="D1265" s="19" t="inlineStr">
        <ns0:is>
          <ns0:t>Automated measurement/classification</ns0:t>
        </ns0:is>
      </ns0:c>
      <ns0:c r="E1265" s="19" t="inlineStr">
        <ns0:is>
          <ns0:t>Resting-state fMRI connectivity across atlases with majority voting. Abstract does not identify base classifiers or establish deep learning.</ns0:t>
        </ns0:is>
      </ns0:c>
      <ns0:c r="F1265" s="19" t="inlineStr">
        <ns0:is>
          <ns0:t>https://doi.org/10.1016/j.compeleceng.2023.108720</ns0:t>
        </ns0:is>
      </ns0:c>
      <ns0:c r="G1265" s="19" t="inlineStr">
        <ns0:is>
          <ns0:t>ChatGPT-assisted evidence recharting, 2026-09-08</ns0:t>
        </ns0:is>
      </ns0:c>
    </ns0:row>
    <ns0:row r="1266" ht="42" customHeight="1">
      <ns0:c r="A1266" s="21" t="inlineStr">
        <ns0:is>
          <ns0:t>226</ns0:t>
        </ns0:is>
      </ns0:c>
      <ns0:c r="B1266" s="21" t="inlineStr">
        <ns0:is>
          <ns0:t>decision_timing</ns0:t>
        </ns0:is>
      </ns0:c>
      <ns0:c r="C1266" s="21" t="inlineStr"/>
      <ns0:c r="D1266" s="21" t="inlineStr">
        <ns0:is>
          <ns0:t>Not observed in assessed sources</ns0:t>
        </ns0:is>
      </ns0:c>
      <ns0:c r="E1266" s="21" t="inlineStr">
        <ns0:is>
          <ns0:t>Resting-state fMRI connectivity across atlases with majority voting. Abstract does not identify base classifiers or establish deep learning.</ns0:t>
        </ns0:is>
      </ns0:c>
      <ns0:c r="F1266" s="21" t="inlineStr">
        <ns0:is>
          <ns0:t>https://doi.org/10.1016/j.compeleceng.2023.108720</ns0:t>
        </ns0:is>
      </ns0:c>
      <ns0:c r="G1266" s="21" t="inlineStr">
        <ns0:is>
          <ns0:t>ChatGPT-assisted evidence recharting, 2026-09-08</ns0:t>
        </ns0:is>
      </ns0:c>
    </ns0:row>
    <ns0:row r="1267" ht="42" customHeight="1">
      <ns0:c r="A1267" s="19" t="inlineStr">
        <ns0:is>
          <ns0:t>227</ns0:t>
        </ns0:is>
      </ns0:c>
      <ns0:c r="B1267" s="19" t="inlineStr">
        <ns0:is>
          <ns0:t>data_source_primary</ns0:t>
        </ns0:is>
      </ns0:c>
      <ns0:c r="C1267" s="19" t="inlineStr">
        <ns0:is>
          <ns0:t>Image (subtype unresolved)</ns0:t>
        </ns0:is>
      </ns0:c>
      <ns0:c r="D1267" s="19" t="inlineStr">
        <ns0:is>
          <ns0:t>Behavioral images/video/gaze/movement</ns0:t>
        </ns0:is>
      </ns0:c>
      <ns0:c r="E1267" s="19" t="inlineStr">
        <ns0:is>
          <ns0:t>Webcam head-pose deep learning and eye-tracking/attention models for real-time attention assessment; model-assisted intervention outcomes not demonstrated.</ns0:t>
        </ns0:is>
      </ns0:c>
      <ns0:c r="F1267" s="19" t="inlineStr">
        <ns0:is>
          <ns0:t>https://doi.org/10.1109/tlt.2024.3409702</ns0:t>
        </ns0:is>
      </ns0:c>
      <ns0:c r="G1267" s="19" t="inlineStr">
        <ns0:is>
          <ns0:t>ChatGPT-assisted evidence recharting, 2026-09-08</ns0:t>
        </ns0:is>
      </ns0:c>
    </ns0:row>
    <ns0:row r="1268" ht="42" customHeight="1">
      <ns0:c r="A1268" s="21" t="inlineStr">
        <ns0:is>
          <ns0:t>227</ns0:t>
        </ns0:is>
      </ns0:c>
      <ns0:c r="B1268" s="21" t="inlineStr">
        <ns0:is>
          <ns0:t>algorithm_main</ns0:t>
        </ns0:is>
      </ns0:c>
      <ns0:c r="C1268" s="21" t="inlineStr"/>
      <ns0:c r="D1268" s="21" t="inlineStr">
        <ns0:is>
          <ns0:t>Hybrid attention ensemble</ns0:t>
        </ns0:is>
      </ns0:c>
      <ns0:c r="E1268" s="21" t="inlineStr">
        <ns0:is>
          <ns0:t>Webcam head-pose deep learning and eye-tracking/attention models for real-time attention assessment; model-assisted intervention outcomes not demonstrated.</ns0:t>
        </ns0:is>
      </ns0:c>
      <ns0:c r="F1268" s="21" t="inlineStr">
        <ns0:is>
          <ns0:t>https://doi.org/10.1109/tlt.2024.3409702</ns0:t>
        </ns0:is>
      </ns0:c>
      <ns0:c r="G1268" s="21" t="inlineStr">
        <ns0:is>
          <ns0:t>ChatGPT-assisted evidence recharting, 2026-09-08</ns0:t>
        </ns0:is>
      </ns0:c>
    </ns0:row>
    <ns0:row r="1269" ht="42" customHeight="1">
      <ns0:c r="A1269" s="19" t="inlineStr">
        <ns0:is>
          <ns0:t>227</ns0:t>
        </ns0:is>
      </ns0:c>
      <ns0:c r="B1269" s="19" t="inlineStr">
        <ns0:is>
          <ns0:t>rq2_status</ns0:t>
        </ns0:is>
      </ns0:c>
      <ns0:c r="C1269" s="19" t="inlineStr">
        <ns0:is>
          <ns0:t>Not adjudicated in master</ns0:t>
        </ns0:is>
      </ns0:c>
      <ns0:c r="D1269" s="19" t="inlineStr">
        <ns0:is>
          <ns0:t>Proposed only</ns0:t>
        </ns0:is>
      </ns0:c>
      <ns0:c r="E1269" s="19" t="inlineStr">
        <ns0:is>
          <ns0:t>Webcam head-pose deep learning and eye-tracking/attention models for real-time attention assessment; model-assisted intervention outcomes not demonstrated.</ns0:t>
        </ns0:is>
      </ns0:c>
      <ns0:c r="F1269" s="19" t="inlineStr">
        <ns0:is>
          <ns0:t>https://doi.org/10.1109/tlt.2024.3409702</ns0:t>
        </ns0:is>
      </ns0:c>
      <ns0:c r="G1269" s="19" t="inlineStr">
        <ns0:is>
          <ns0:t>ChatGPT-assisted evidence recharting, 2026-09-08</ns0:t>
        </ns0:is>
      </ns0:c>
    </ns0:row>
    <ns0:row r="1270" ht="42" customHeight="1">
      <ns0:c r="A1270" s="21" t="inlineStr">
        <ns0:is>
          <ns0:t>227</ns0:t>
        </ns0:is>
      </ns0:c>
      <ns0:c r="B1270" s="21" t="inlineStr">
        <ns0:is>
          <ns0:t>rq2_role</ns0:t>
        </ns0:is>
      </ns0:c>
      <ns0:c r="C1270" s="21" t="inlineStr"/>
      <ns0:c r="D1270" s="21" t="inlineStr">
        <ns0:is>
          <ns0:t>Automated measurement/classification</ns0:t>
        </ns0:is>
      </ns0:c>
      <ns0:c r="E1270" s="21" t="inlineStr">
        <ns0:is>
          <ns0:t>Webcam head-pose deep learning and eye-tracking/attention models for real-time attention assessment; model-assisted intervention outcomes not demonstrated.</ns0:t>
        </ns0:is>
      </ns0:c>
      <ns0:c r="F1270" s="21" t="inlineStr">
        <ns0:is>
          <ns0:t>https://doi.org/10.1109/tlt.2024.3409702</ns0:t>
        </ns0:is>
      </ns0:c>
      <ns0:c r="G1270" s="21" t="inlineStr">
        <ns0:is>
          <ns0:t>ChatGPT-assisted evidence recharting, 2026-09-08</ns0:t>
        </ns0:is>
      </ns0:c>
    </ns0:row>
    <ns0:row r="1271" ht="42" customHeight="1">
      <ns0:c r="A1271" s="19" t="inlineStr">
        <ns0:is>
          <ns0:t>227</ns0:t>
        </ns0:is>
      </ns0:c>
      <ns0:c r="B1271" s="19" t="inlineStr">
        <ns0:is>
          <ns0:t>decision_timing</ns0:t>
        </ns0:is>
      </ns0:c>
      <ns0:c r="C1271" s="19" t="inlineStr"/>
      <ns0:c r="D1271" s="19" t="inlineStr">
        <ns0:is>
          <ns0:t>Post-decision</ns0:t>
        </ns0:is>
      </ns0:c>
      <ns0:c r="E1271" s="19" t="inlineStr">
        <ns0:is>
          <ns0:t>Webcam head-pose deep learning and eye-tracking/attention models for real-time attention assessment; model-assisted intervention outcomes not demonstrated.</ns0:t>
        </ns0:is>
      </ns0:c>
      <ns0:c r="F1271" s="19" t="inlineStr">
        <ns0:is>
          <ns0:t>https://doi.org/10.1109/tlt.2024.3409702</ns0:t>
        </ns0:is>
      </ns0:c>
      <ns0:c r="G1271" s="19" t="inlineStr">
        <ns0:is>
          <ns0:t>ChatGPT-assisted evidence recharting, 2026-09-08</ns0:t>
        </ns0:is>
      </ns0:c>
    </ns0:row>
    <ns0:row r="1272" ht="42" customHeight="1">
      <ns0:c r="A1272" s="21" t="inlineStr">
        <ns0:is>
          <ns0:t>228</ns0:t>
        </ns0:is>
      </ns0:c>
      <ns0:c r="B1272" s="21" t="inlineStr">
        <ns0:is>
          <ns0:t>data_source_primary</ns0:t>
        </ns0:is>
      </ns0:c>
      <ns0:c r="C1272" s="21" t="inlineStr">
        <ns0:is>
          <ns0:t>Not specified</ns0:t>
        </ns0:is>
      </ns0:c>
      <ns0:c r="D1272" s="21" t="inlineStr">
        <ns0:is>
          <ns0:t>Multiple source categories</ns0:t>
        </ns0:is>
      </ns0:c>
      <ns0:c r="E1272" s="21" t="inlineStr">
        <ns0:is>
          <ns0:t>Image features and phenotype-defined graph edges jointly inform a population GNN.</ns0:t>
        </ns0:is>
      </ns0:c>
      <ns0:c r="F1272" s="21" t="inlineStr">
        <ns0:is>
          <ns0:t>https://doi.org/10.1007/978-981-99-8558-6_35</ns0:t>
        </ns0:is>
      </ns0:c>
      <ns0:c r="G1272" s="21" t="inlineStr">
        <ns0:is>
          <ns0:t>ChatGPT-assisted evidence recharting, 2026-09-08</ns0:t>
        </ns0:is>
      </ns0:c>
    </ns0:row>
    <ns0:row r="1273" ht="42" customHeight="1">
      <ns0:c r="A1273" s="19" t="inlineStr">
        <ns0:is>
          <ns0:t>228</ns0:t>
        </ns0:is>
      </ns0:c>
      <ns0:c r="B1273" s="19" t="inlineStr">
        <ns0:is>
          <ns0:t>algorithm_main</ns0:t>
        </ns0:is>
      </ns0:c>
      <ns0:c r="C1273" s="19" t="inlineStr"/>
      <ns0:c r="D1273" s="19" t="inlineStr">
        <ns0:is>
          <ns0:t>Graph neural network</ns0:t>
        </ns0:is>
      </ns0:c>
      <ns0:c r="E1273" s="19" t="inlineStr">
        <ns0:is>
          <ns0:t>Image features and phenotype-defined graph edges jointly inform a population GNN.</ns0:t>
        </ns0:is>
      </ns0:c>
      <ns0:c r="F1273" s="19" t="inlineStr">
        <ns0:is>
          <ns0:t>https://doi.org/10.1007/978-981-99-8558-6_35</ns0:t>
        </ns0:is>
      </ns0:c>
      <ns0:c r="G1273" s="19" t="inlineStr">
        <ns0:is>
          <ns0:t>ChatGPT-assisted evidence recharting, 2026-09-08</ns0:t>
        </ns0:is>
      </ns0:c>
    </ns0:row>
    <ns0:row r="1274" ht="42" customHeight="1">
      <ns0:c r="A1274" s="21" t="inlineStr">
        <ns0:is>
          <ns0:t>228</ns0:t>
        </ns0:is>
      </ns0:c>
      <ns0:c r="B1274" s="21" t="inlineStr">
        <ns0:is>
          <ns0:t>rq2_status</ns0:t>
        </ns0:is>
      </ns0:c>
      <ns0:c r="C1274" s="21" t="inlineStr">
        <ns0:is>
          <ns0:t>Not adjudicated in master</ns0:t>
        </ns0:is>
      </ns0:c>
      <ns0:c r="D1274" s="21" t="inlineStr">
        <ns0:is>
          <ns0:t>Research only</ns0:t>
        </ns0:is>
      </ns0:c>
      <ns0:c r="E1274" s="21" t="inlineStr">
        <ns0:is>
          <ns0:t>Image features and phenotype-defined graph edges jointly inform a population GNN.</ns0:t>
        </ns0:is>
      </ns0:c>
      <ns0:c r="F1274" s="21" t="inlineStr">
        <ns0:is>
          <ns0:t>https://doi.org/10.1007/978-981-99-8558-6_35</ns0:t>
        </ns0:is>
      </ns0:c>
      <ns0:c r="G1274" s="21" t="inlineStr">
        <ns0:is>
          <ns0:t>ChatGPT-assisted evidence recharting, 2026-09-08</ns0:t>
        </ns0:is>
      </ns0:c>
    </ns0:row>
    <ns0:row r="1275" ht="42" customHeight="1">
      <ns0:c r="A1275" s="19" t="inlineStr">
        <ns0:is>
          <ns0:t>228</ns0:t>
        </ns0:is>
      </ns0:c>
      <ns0:c r="B1275" s="19" t="inlineStr">
        <ns0:is>
          <ns0:t>rq2_role</ns0:t>
        </ns0:is>
      </ns0:c>
      <ns0:c r="C1275" s="19" t="inlineStr"/>
      <ns0:c r="D1275" s="19" t="inlineStr">
        <ns0:is>
          <ns0:t>Automated measurement/classification</ns0:t>
        </ns0:is>
      </ns0:c>
      <ns0:c r="E1275" s="19" t="inlineStr">
        <ns0:is>
          <ns0:t>Image features and phenotype-defined graph edges jointly inform a population GNN.</ns0:t>
        </ns0:is>
      </ns0:c>
      <ns0:c r="F1275" s="19" t="inlineStr">
        <ns0:is>
          <ns0:t>https://doi.org/10.1007/978-981-99-8558-6_35</ns0:t>
        </ns0:is>
      </ns0:c>
      <ns0:c r="G1275" s="19" t="inlineStr">
        <ns0:is>
          <ns0:t>ChatGPT-assisted evidence recharting, 2026-09-08</ns0:t>
        </ns0:is>
      </ns0:c>
    </ns0:row>
    <ns0:row r="1276" ht="42" customHeight="1">
      <ns0:c r="A1276" s="21" t="inlineStr">
        <ns0:is>
          <ns0:t>228</ns0:t>
        </ns0:is>
      </ns0:c>
      <ns0:c r="B1276" s="21" t="inlineStr">
        <ns0:is>
          <ns0:t>decision_timing</ns0:t>
        </ns0:is>
      </ns0:c>
      <ns0:c r="C1276" s="21" t="inlineStr"/>
      <ns0:c r="D1276" s="21" t="inlineStr">
        <ns0:is>
          <ns0:t>Not observed in assessed sources</ns0:t>
        </ns0:is>
      </ns0:c>
      <ns0:c r="E1276" s="21" t="inlineStr">
        <ns0:is>
          <ns0:t>Image features and phenotype-defined graph edges jointly inform a population GNN.</ns0:t>
        </ns0:is>
      </ns0:c>
      <ns0:c r="F1276" s="21" t="inlineStr">
        <ns0:is>
          <ns0:t>https://doi.org/10.1007/978-981-99-8558-6_35</ns0:t>
        </ns0:is>
      </ns0:c>
      <ns0:c r="G1276" s="21" t="inlineStr">
        <ns0:is>
          <ns0:t>ChatGPT-assisted evidence recharting, 2026-09-08</ns0:t>
        </ns0:is>
      </ns0:c>
    </ns0:row>
    <ns0:row r="1277" ht="42" customHeight="1">
      <ns0:c r="A1277" s="19" t="inlineStr">
        <ns0:is>
          <ns0:t>229</ns0:t>
        </ns0:is>
      </ns0:c>
      <ns0:c r="B1277" s="19" t="inlineStr">
        <ns0:is>
          <ns0:t>data_source_primary</ns0:t>
        </ns0:is>
      </ns0:c>
      <ns0:c r="C1277" s="19" t="inlineStr">
        <ns0:is>
          <ns0:t>Not specified</ns0:t>
        </ns0:is>
      </ns0:c>
      <ns0:c r="D1277" s="19" t="inlineStr">
        <ns0:is>
          <ns0:t>Neuroimaging</ns0:t>
        </ns0:is>
      </ns0:c>
      <ns0:c r="E1277" s="19" t="inlineStr">
        <ns0:is>
          <ns0:t>Best emphasized pipeline is autoencoder plus DNN; traditional-ML alternatives do not make the primary architecture hybrid.</ns0:t>
        </ns0:is>
      </ns0:c>
      <ns0:c r="F1277" s="19" t="inlineStr">
        <ns0:is>
          <ns0:t>https://doi.org/10.1007/978-3-030-46165-2_4</ns0:t>
        </ns0:is>
      </ns0:c>
      <ns0:c r="G1277" s="19" t="inlineStr">
        <ns0:is>
          <ns0:t>ChatGPT-assisted evidence recharting, 2026-09-08</ns0:t>
        </ns0:is>
      </ns0:c>
    </ns0:row>
    <ns0:row r="1278" ht="42" customHeight="1">
      <ns0:c r="A1278" s="21" t="inlineStr">
        <ns0:is>
          <ns0:t>229</ns0:t>
        </ns0:is>
      </ns0:c>
      <ns0:c r="B1278" s="21" t="inlineStr">
        <ns0:is>
          <ns0:t>algorithm_main</ns0:t>
        </ns0:is>
      </ns0:c>
      <ns0:c r="C1278" s="21" t="inlineStr">
        <ns0:is>
          <ns0:t>Autoencoder</ns0:t>
        </ns0:is>
      </ns0:c>
      <ns0:c r="D1278" s="21" t="inlineStr">
        <ns0:is>
          <ns0:t>Autoencoder + MLP</ns0:t>
        </ns0:is>
      </ns0:c>
      <ns0:c r="E1278" s="21" t="inlineStr">
        <ns0:is>
          <ns0:t>Best emphasized pipeline is autoencoder plus DNN; traditional-ML alternatives do not make the primary architecture hybrid.</ns0:t>
        </ns0:is>
      </ns0:c>
      <ns0:c r="F1278" s="21" t="inlineStr">
        <ns0:is>
          <ns0:t>https://doi.org/10.1007/978-3-030-46165-2_4</ns0:t>
        </ns0:is>
      </ns0:c>
      <ns0:c r="G1278" s="21" t="inlineStr">
        <ns0:is>
          <ns0:t>ChatGPT-assisted evidence recharting, 2026-09-08</ns0:t>
        </ns0:is>
      </ns0:c>
    </ns0:row>
    <ns0:row r="1279" ht="42" customHeight="1">
      <ns0:c r="A1279" s="19" t="inlineStr">
        <ns0:is>
          <ns0:t>229</ns0:t>
        </ns0:is>
      </ns0:c>
      <ns0:c r="B1279" s="19" t="inlineStr">
        <ns0:is>
          <ns0:t>rq2_status</ns0:t>
        </ns0:is>
      </ns0:c>
      <ns0:c r="C1279" s="19" t="inlineStr">
        <ns0:is>
          <ns0:t>Not adjudicated in master</ns0:t>
        </ns0:is>
      </ns0:c>
      <ns0:c r="D1279" s="19" t="inlineStr">
        <ns0:is>
          <ns0:t>Research only</ns0:t>
        </ns0:is>
      </ns0:c>
      <ns0:c r="E1279" s="19" t="inlineStr">
        <ns0:is>
          <ns0:t>Best emphasized pipeline is autoencoder plus DNN; traditional-ML alternatives do not make the primary architecture hybrid.</ns0:t>
        </ns0:is>
      </ns0:c>
      <ns0:c r="F1279" s="19" t="inlineStr">
        <ns0:is>
          <ns0:t>https://doi.org/10.1007/978-3-030-46165-2_4</ns0:t>
        </ns0:is>
      </ns0:c>
      <ns0:c r="G1279" s="19" t="inlineStr">
        <ns0:is>
          <ns0:t>ChatGPT-assisted evidence recharting, 2026-09-08</ns0:t>
        </ns0:is>
      </ns0:c>
    </ns0:row>
    <ns0:row r="1280" ht="42" customHeight="1">
      <ns0:c r="A1280" s="21" t="inlineStr">
        <ns0:is>
          <ns0:t>229</ns0:t>
        </ns0:is>
      </ns0:c>
      <ns0:c r="B1280" s="21" t="inlineStr">
        <ns0:is>
          <ns0:t>rq2_role</ns0:t>
        </ns0:is>
      </ns0:c>
      <ns0:c r="C1280" s="21" t="inlineStr"/>
      <ns0:c r="D1280" s="21" t="inlineStr">
        <ns0:is>
          <ns0:t>Automated measurement/classification</ns0:t>
        </ns0:is>
      </ns0:c>
      <ns0:c r="E1280" s="21" t="inlineStr">
        <ns0:is>
          <ns0:t>Best emphasized pipeline is autoencoder plus DNN; traditional-ML alternatives do not make the primary architecture hybrid.</ns0:t>
        </ns0:is>
      </ns0:c>
      <ns0:c r="F1280" s="21" t="inlineStr">
        <ns0:is>
          <ns0:t>https://doi.org/10.1007/978-3-030-46165-2_4</ns0:t>
        </ns0:is>
      </ns0:c>
      <ns0:c r="G1280" s="21" t="inlineStr">
        <ns0:is>
          <ns0:t>ChatGPT-assisted evidence recharting, 2026-09-08</ns0:t>
        </ns0:is>
      </ns0:c>
    </ns0:row>
    <ns0:row r="1281" ht="42" customHeight="1">
      <ns0:c r="A1281" s="19" t="inlineStr">
        <ns0:is>
          <ns0:t>229</ns0:t>
        </ns0:is>
      </ns0:c>
      <ns0:c r="B1281" s="19" t="inlineStr">
        <ns0:is>
          <ns0:t>decision_timing</ns0:t>
        </ns0:is>
      </ns0:c>
      <ns0:c r="C1281" s="19" t="inlineStr"/>
      <ns0:c r="D1281" s="19" t="inlineStr">
        <ns0:is>
          <ns0:t>Not observed in assessed sources</ns0:t>
        </ns0:is>
      </ns0:c>
      <ns0:c r="E1281" s="19" t="inlineStr">
        <ns0:is>
          <ns0:t>Best emphasized pipeline is autoencoder plus DNN; traditional-ML alternatives do not make the primary architecture hybrid.</ns0:t>
        </ns0:is>
      </ns0:c>
      <ns0:c r="F1281" s="19" t="inlineStr">
        <ns0:is>
          <ns0:t>https://doi.org/10.1007/978-3-030-46165-2_4</ns0:t>
        </ns0:is>
      </ns0:c>
      <ns0:c r="G1281" s="19" t="inlineStr">
        <ns0:is>
          <ns0:t>ChatGPT-assisted evidence recharting, 2026-09-08</ns0:t>
        </ns0:is>
      </ns0:c>
    </ns0:row>
    <ns0:row r="1282" ht="42" customHeight="1">
      <ns0:c r="A1282" s="21" t="inlineStr">
        <ns0:is>
          <ns0:t>230</ns0:t>
        </ns0:is>
      </ns0:c>
      <ns0:c r="B1282" s="21" t="inlineStr">
        <ns0:is>
          <ns0:t>data_source_primary</ns0:t>
        </ns0:is>
      </ns0:c>
      <ns0:c r="C1282" s="21" t="inlineStr">
        <ns0:is>
          <ns0:t>Physiological signals</ns0:t>
        </ns0:is>
      </ns0:c>
      <ns0:c r="D1282" s="21" t="inlineStr">
        <ns0:is>
          <ns0:t>Neuroimaging</ns0:t>
        </ns0:is>
      </ns0:c>
      <ns0:c r="E1282" s="21" t="inlineStr">
        <ns0:is>
          <ns0:t>Wavelet transformer uses resting-state fMRI, not a nonimaging physiological recording; neurological interpretation is explicit.</ns0:t>
        </ns0:is>
      </ns0:c>
      <ns0:c r="F1282" s="21" t="inlineStr">
        <ns0:is>
          <ns0:t>https://doi.org/10.1007/978-3-031-72069-7_6</ns0:t>
        </ns0:is>
      </ns0:c>
      <ns0:c r="G1282" s="21" t="inlineStr">
        <ns0:is>
          <ns0:t>ChatGPT-assisted evidence recharting, 2026-09-08</ns0:t>
        </ns0:is>
      </ns0:c>
    </ns0:row>
    <ns0:row r="1283" ht="42" customHeight="1">
      <ns0:c r="A1283" s="19" t="inlineStr">
        <ns0:is>
          <ns0:t>230</ns0:t>
        </ns0:is>
      </ns0:c>
      <ns0:c r="B1283" s="19" t="inlineStr">
        <ns0:is>
          <ns0:t>rq2_status</ns0:t>
        </ns0:is>
      </ns0:c>
      <ns0:c r="C1283" s="19" t="inlineStr">
        <ns0:is>
          <ns0:t>Not adjudicated in master</ns0:t>
        </ns0:is>
      </ns0:c>
      <ns0:c r="D1283" s="19" t="inlineStr">
        <ns0:is>
          <ns0:t>Research only</ns0:t>
        </ns0:is>
      </ns0:c>
      <ns0:c r="E1283" s="19" t="inlineStr">
        <ns0:is>
          <ns0:t>Wavelet transformer uses resting-state fMRI, not a nonimaging physiological recording; neurological interpretation is explicit.</ns0:t>
        </ns0:is>
      </ns0:c>
      <ns0:c r="F1283" s="19" t="inlineStr">
        <ns0:is>
          <ns0:t>https://doi.org/10.1007/978-3-031-72069-7_6</ns0:t>
        </ns0:is>
      </ns0:c>
      <ns0:c r="G1283" s="19" t="inlineStr">
        <ns0:is>
          <ns0:t>ChatGPT-assisted evidence recharting, 2026-09-08</ns0:t>
        </ns0:is>
      </ns0:c>
    </ns0:row>
    <ns0:row r="1284" ht="42" customHeight="1">
      <ns0:c r="A1284" s="21" t="inlineStr">
        <ns0:is>
          <ns0:t>230</ns0:t>
        </ns0:is>
      </ns0:c>
      <ns0:c r="B1284" s="21" t="inlineStr">
        <ns0:is>
          <ns0:t>rq2_role</ns0:t>
        </ns0:is>
      </ns0:c>
      <ns0:c r="C1284" s="21" t="inlineStr"/>
      <ns0:c r="D1284" s="21" t="inlineStr">
        <ns0:is>
          <ns0:t>Automated measurement/classification</ns0:t>
        </ns0:is>
      </ns0:c>
      <ns0:c r="E1284" s="21" t="inlineStr">
        <ns0:is>
          <ns0:t>Wavelet transformer uses resting-state fMRI, not a nonimaging physiological recording; neurological interpretation is explicit.</ns0:t>
        </ns0:is>
      </ns0:c>
      <ns0:c r="F1284" s="21" t="inlineStr">
        <ns0:is>
          <ns0:t>https://doi.org/10.1007/978-3-031-72069-7_6</ns0:t>
        </ns0:is>
      </ns0:c>
      <ns0:c r="G1284" s="21" t="inlineStr">
        <ns0:is>
          <ns0:t>ChatGPT-assisted evidence recharting, 2026-09-08</ns0:t>
        </ns0:is>
      </ns0:c>
    </ns0:row>
    <ns0:row r="1285" ht="42" customHeight="1">
      <ns0:c r="A1285" s="19" t="inlineStr">
        <ns0:is>
          <ns0:t>230</ns0:t>
        </ns0:is>
      </ns0:c>
      <ns0:c r="B1285" s="19" t="inlineStr">
        <ns0:is>
          <ns0:t>decision_timing</ns0:t>
        </ns0:is>
      </ns0:c>
      <ns0:c r="C1285" s="19" t="inlineStr"/>
      <ns0:c r="D1285" s="19" t="inlineStr">
        <ns0:is>
          <ns0:t>Not observed in assessed sources</ns0:t>
        </ns0:is>
      </ns0:c>
      <ns0:c r="E1285" s="19" t="inlineStr">
        <ns0:is>
          <ns0:t>Wavelet transformer uses resting-state fMRI, not a nonimaging physiological recording; neurological interpretation is explicit.</ns0:t>
        </ns0:is>
      </ns0:c>
      <ns0:c r="F1285" s="19" t="inlineStr">
        <ns0:is>
          <ns0:t>https://doi.org/10.1007/978-3-031-72069-7_6</ns0:t>
        </ns0:is>
      </ns0:c>
      <ns0:c r="G1285" s="19" t="inlineStr">
        <ns0:is>
          <ns0:t>ChatGPT-assisted evidence recharting, 2026-09-08</ns0:t>
        </ns0:is>
      </ns0:c>
    </ns0:row>
    <ns0:row r="1286" ht="45" customHeight="1">
      <ns0:c r="A1286" s="21" t="inlineStr">
        <ns0:is>
          <ns0:t>231</ns0:t>
        </ns0:is>
      </ns0:c>
      <ns0:c r="B1286" s="21" t="inlineStr">
        <ns0:is>
          <ns0:t>data_source_primary</ns0:t>
        </ns0:is>
      </ns0:c>
      <ns0:c r="C1286" s="21" t="inlineStr">
        <ns0:is>
          <ns0:t>Image (subtype unresolved)</ns0:t>
        </ns0:is>
      </ns0:c>
      <ns0:c r="D1286" s="21" t="inlineStr">
        <ns0:is>
          <ns0:t>Other biomedical/digital data</ns0:t>
        </ns0:is>
      </ns0:c>
      <ns0:c r="E1286" s="21" t="inlineStr">
        <ns0:is>
          <ns0:t>Retrospective chest CT airway geometry, not brain imaging or behavioral photographs; retained as other biomedical imaging with subtype recorded.
Chest CT airway geometry</ns0:t>
        </ns0:is>
      </ns0:c>
      <ns0:c r="F1286" s="21" t="inlineStr">
        <ns0:is>
          <ns0:t>https://doi.org/10.1002/ar.25332</ns0:t>
        </ns0:is>
      </ns0:c>
      <ns0:c r="G1286" s="21" t="inlineStr">
        <ns0:is>
          <ns0:t>ChatGPT-assisted evidence recharting, 2026-09-08</ns0:t>
        </ns0:is>
      </ns0:c>
    </ns0:row>
    <ns0:row r="1287" ht="45" customHeight="1">
      <ns0:c r="A1287" s="19" t="inlineStr">
        <ns0:is>
          <ns0:t>231</ns0:t>
        </ns0:is>
      </ns0:c>
      <ns0:c r="B1287" s="19" t="inlineStr">
        <ns0:is>
          <ns0:t>rq2_status</ns0:t>
        </ns0:is>
      </ns0:c>
      <ns0:c r="C1287" s="19" t="inlineStr">
        <ns0:is>
          <ns0:t>Not adjudicated in master</ns0:t>
        </ns0:is>
      </ns0:c>
      <ns0:c r="D1287" s="19" t="inlineStr">
        <ns0:is>
          <ns0:t>Research only</ns0:t>
        </ns0:is>
      </ns0:c>
      <ns0:c r="E1287" s="19" t="inlineStr">
        <ns0:is>
          <ns0:t>Retrospective chest CT airway geometry, not brain imaging or behavioral photographs; retained as other biomedical imaging with subtype recorded.
Chest CT airway geometry</ns0:t>
        </ns0:is>
      </ns0:c>
      <ns0:c r="F1287" s="19" t="inlineStr">
        <ns0:is>
          <ns0:t>https://doi.org/10.1002/ar.25332</ns0:t>
        </ns0:is>
      </ns0:c>
      <ns0:c r="G1287" s="19" t="inlineStr">
        <ns0:is>
          <ns0:t>ChatGPT-assisted evidence recharting, 2026-09-08</ns0:t>
        </ns0:is>
      </ns0:c>
    </ns0:row>
    <ns0:row r="1288" ht="45" customHeight="1">
      <ns0:c r="A1288" s="21" t="inlineStr">
        <ns0:is>
          <ns0:t>231</ns0:t>
        </ns0:is>
      </ns0:c>
      <ns0:c r="B1288" s="21" t="inlineStr">
        <ns0:is>
          <ns0:t>rq2_role</ns0:t>
        </ns0:is>
      </ns0:c>
      <ns0:c r="C1288" s="21" t="inlineStr"/>
      <ns0:c r="D1288" s="21" t="inlineStr">
        <ns0:is>
          <ns0:t>Automated measurement/classification</ns0:t>
        </ns0:is>
      </ns0:c>
      <ns0:c r="E1288" s="21" t="inlineStr">
        <ns0:is>
          <ns0:t>Retrospective chest CT airway geometry, not brain imaging or behavioral photographs; retained as other biomedical imaging with subtype recorded.
Chest CT airway geometry</ns0:t>
        </ns0:is>
      </ns0:c>
      <ns0:c r="F1288" s="21" t="inlineStr">
        <ns0:is>
          <ns0:t>https://doi.org/10.1002/ar.25332</ns0:t>
        </ns0:is>
      </ns0:c>
      <ns0:c r="G1288" s="21" t="inlineStr">
        <ns0:is>
          <ns0:t>ChatGPT-assisted evidence recharting, 2026-09-08</ns0:t>
        </ns0:is>
      </ns0:c>
    </ns0:row>
    <ns0:row r="1289" ht="45" customHeight="1">
      <ns0:c r="A1289" s="19" t="inlineStr">
        <ns0:is>
          <ns0:t>231</ns0:t>
        </ns0:is>
      </ns0:c>
      <ns0:c r="B1289" s="19" t="inlineStr">
        <ns0:is>
          <ns0:t>decision_timing</ns0:t>
        </ns0:is>
      </ns0:c>
      <ns0:c r="C1289" s="19" t="inlineStr"/>
      <ns0:c r="D1289" s="19" t="inlineStr">
        <ns0:is>
          <ns0:t>Not observed in assessed sources</ns0:t>
        </ns0:is>
      </ns0:c>
      <ns0:c r="E1289" s="19" t="inlineStr">
        <ns0:is>
          <ns0:t>Retrospective chest CT airway geometry, not brain imaging or behavioral photographs; retained as other biomedical imaging with subtype recorded.
Chest CT airway geometry</ns0:t>
        </ns0:is>
      </ns0:c>
      <ns0:c r="F1289" s="19" t="inlineStr">
        <ns0:is>
          <ns0:t>https://doi.org/10.1002/ar.25332</ns0:t>
        </ns0:is>
      </ns0:c>
      <ns0:c r="G1289" s="19" t="inlineStr">
        <ns0:is>
          <ns0:t>ChatGPT-assisted evidence recharting, 2026-09-08</ns0:t>
        </ns0:is>
      </ns0:c>
    </ns0:row>
    <ns0:row r="1290" ht="42" customHeight="1">
      <ns0:c r="A1290" s="21" t="inlineStr">
        <ns0:is>
          <ns0:t>232</ns0:t>
        </ns0:is>
      </ns0:c>
      <ns0:c r="B1290" s="21" t="inlineStr">
        <ns0:is>
          <ns0:t>algorithm_main</ns0:t>
        </ns0:is>
      </ns0:c>
      <ns0:c r="C1290" s="21" t="inlineStr">
        <ns0:is>
          <ns0:t>Not clear</ns0:t>
        </ns0:is>
      </ns0:c>
      <ns0:c r="D1290" s="21" t="inlineStr">
        <ns0:is>
          <ns0:t>Multiple classifiers; primary unspecified</ns0:t>
        </ns0:is>
      </ns0:c>
      <ns0:c r="E1290" s="21" t="inlineStr">
        <ns0:is>
          <ns0:t>fNIRS fluctuation entropy with network-classifier comparison; old note identifies multiple classifiers but no single primary.</ns0:t>
        </ns0:is>
      </ns0:c>
      <ns0:c r="F1290" s="21" t="inlineStr">
        <ns0:is>
          <ns0:t>https://doi.org/10.1016/j.bspc.2020.101958</ns0:t>
        </ns0:is>
      </ns0:c>
      <ns0:c r="G1290" s="21" t="inlineStr">
        <ns0:is>
          <ns0:t>ChatGPT-assisted evidence recharting, 2026-09-08</ns0:t>
        </ns0:is>
      </ns0:c>
    </ns0:row>
    <ns0:row r="1291" ht="42" customHeight="1">
      <ns0:c r="A1291" s="19" t="inlineStr">
        <ns0:is>
          <ns0:t>232</ns0:t>
        </ns0:is>
      </ns0:c>
      <ns0:c r="B1291" s="19" t="inlineStr">
        <ns0:is>
          <ns0:t>rq2_status</ns0:t>
        </ns0:is>
      </ns0:c>
      <ns0:c r="C1291" s="19" t="inlineStr">
        <ns0:is>
          <ns0:t>Not adjudicated in master</ns0:t>
        </ns0:is>
      </ns0:c>
      <ns0:c r="D1291" s="19" t="inlineStr">
        <ns0:is>
          <ns0:t>Research only</ns0:t>
        </ns0:is>
      </ns0:c>
      <ns0:c r="E1291" s="19" t="inlineStr">
        <ns0:is>
          <ns0:t>fNIRS fluctuation entropy with network-classifier comparison; old note identifies multiple classifiers but no single primary.</ns0:t>
        </ns0:is>
      </ns0:c>
      <ns0:c r="F1291" s="19" t="inlineStr">
        <ns0:is>
          <ns0:t>https://doi.org/10.1016/j.bspc.2020.101958</ns0:t>
        </ns0:is>
      </ns0:c>
      <ns0:c r="G1291" s="19" t="inlineStr">
        <ns0:is>
          <ns0:t>ChatGPT-assisted evidence recharting, 2026-09-08</ns0:t>
        </ns0:is>
      </ns0:c>
    </ns0:row>
    <ns0:row r="1292" ht="42" customHeight="1">
      <ns0:c r="A1292" s="21" t="inlineStr">
        <ns0:is>
          <ns0:t>232</ns0:t>
        </ns0:is>
      </ns0:c>
      <ns0:c r="B1292" s="21" t="inlineStr">
        <ns0:is>
          <ns0:t>rq2_role</ns0:t>
        </ns0:is>
      </ns0:c>
      <ns0:c r="C1292" s="21" t="inlineStr"/>
      <ns0:c r="D1292" s="21" t="inlineStr">
        <ns0:is>
          <ns0:t>Automated measurement/classification</ns0:t>
        </ns0:is>
      </ns0:c>
      <ns0:c r="E1292" s="21" t="inlineStr">
        <ns0:is>
          <ns0:t>fNIRS fluctuation entropy with network-classifier comparison; old note identifies multiple classifiers but no single primary.</ns0:t>
        </ns0:is>
      </ns0:c>
      <ns0:c r="F1292" s="21" t="inlineStr">
        <ns0:is>
          <ns0:t>https://doi.org/10.1016/j.bspc.2020.101958</ns0:t>
        </ns0:is>
      </ns0:c>
      <ns0:c r="G1292" s="21" t="inlineStr">
        <ns0:is>
          <ns0:t>ChatGPT-assisted evidence recharting, 2026-09-08</ns0:t>
        </ns0:is>
      </ns0:c>
    </ns0:row>
    <ns0:row r="1293" ht="42" customHeight="1">
      <ns0:c r="A1293" s="19" t="inlineStr">
        <ns0:is>
          <ns0:t>232</ns0:t>
        </ns0:is>
      </ns0:c>
      <ns0:c r="B1293" s="19" t="inlineStr">
        <ns0:is>
          <ns0:t>decision_timing</ns0:t>
        </ns0:is>
      </ns0:c>
      <ns0:c r="C1293" s="19" t="inlineStr"/>
      <ns0:c r="D1293" s="19" t="inlineStr">
        <ns0:is>
          <ns0:t>Not observed in assessed sources</ns0:t>
        </ns0:is>
      </ns0:c>
      <ns0:c r="E1293" s="19" t="inlineStr">
        <ns0:is>
          <ns0:t>fNIRS fluctuation entropy with network-classifier comparison; old note identifies multiple classifiers but no single primary.</ns0:t>
        </ns0:is>
      </ns0:c>
      <ns0:c r="F1293" s="19" t="inlineStr">
        <ns0:is>
          <ns0:t>https://doi.org/10.1016/j.bspc.2020.101958</ns0:t>
        </ns0:is>
      </ns0:c>
      <ns0:c r="G1293" s="19" t="inlineStr">
        <ns0:is>
          <ns0:t>ChatGPT-assisted evidence recharting, 2026-09-08</ns0:t>
        </ns0:is>
      </ns0:c>
    </ns0:row>
    <ns0:row r="1294" ht="42" customHeight="1">
      <ns0:c r="A1294" s="21" t="inlineStr">
        <ns0:is>
          <ns0:t>233</ns0:t>
        </ns0:is>
      </ns0:c>
      <ns0:c r="B1294" s="21" t="inlineStr">
        <ns0:is>
          <ns0:t>algorithm_main</ns0:t>
        </ns0:is>
      </ns0:c>
      <ns0:c r="C1294" s="21" t="inlineStr">
        <ns0:is>
          <ns0:t>Clustering (k-means / GMM / ...)</ns0:t>
        </ns0:is>
      </ns0:c>
      <ns0:c r="D1294" s="21" t="inlineStr">
        <ns0:is>
          <ns0:t>Multiple classifiers; primary unspecified</ns0:t>
        </ns0:is>
      </ns0:c>
      <ns0:c r="E1294" s="21" t="inlineStr">
        <ns0:is>
          <ns0:t>fNIRS sample entropy; available coding note describes classifier comparison and does not justify a clustering main family.</ns0:t>
        </ns0:is>
      </ns0:c>
      <ns0:c r="F1294" s="21" t="inlineStr">
        <ns0:is>
          <ns0:t>https://doi.org/10.1016/j.clinph.2019.12.400</ns0:t>
        </ns0:is>
      </ns0:c>
      <ns0:c r="G1294" s="21" t="inlineStr">
        <ns0:is>
          <ns0:t>ChatGPT-assisted evidence recharting, 2026-09-08</ns0:t>
        </ns0:is>
      </ns0:c>
    </ns0:row>
    <ns0:row r="1295" ht="42" customHeight="1">
      <ns0:c r="A1295" s="19" t="inlineStr">
        <ns0:is>
          <ns0:t>233</ns0:t>
        </ns0:is>
      </ns0:c>
      <ns0:c r="B1295" s="19" t="inlineStr">
        <ns0:is>
          <ns0:t>rq2_status</ns0:t>
        </ns0:is>
      </ns0:c>
      <ns0:c r="C1295" s="19" t="inlineStr">
        <ns0:is>
          <ns0:t>Not adjudicated in master</ns0:t>
        </ns0:is>
      </ns0:c>
      <ns0:c r="D1295" s="19" t="inlineStr">
        <ns0:is>
          <ns0:t>Research only</ns0:t>
        </ns0:is>
      </ns0:c>
      <ns0:c r="E1295" s="19" t="inlineStr">
        <ns0:is>
          <ns0:t>fNIRS sample entropy; available coding note describes classifier comparison and does not justify a clustering main family.</ns0:t>
        </ns0:is>
      </ns0:c>
      <ns0:c r="F1295" s="19" t="inlineStr">
        <ns0:is>
          <ns0:t>https://doi.org/10.1016/j.clinph.2019.12.400</ns0:t>
        </ns0:is>
      </ns0:c>
      <ns0:c r="G1295" s="19" t="inlineStr">
        <ns0:is>
          <ns0:t>ChatGPT-assisted evidence recharting, 2026-09-08</ns0:t>
        </ns0:is>
      </ns0:c>
    </ns0:row>
    <ns0:row r="1296" ht="42" customHeight="1">
      <ns0:c r="A1296" s="21" t="inlineStr">
        <ns0:is>
          <ns0:t>233</ns0:t>
        </ns0:is>
      </ns0:c>
      <ns0:c r="B1296" s="21" t="inlineStr">
        <ns0:is>
          <ns0:t>rq2_role</ns0:t>
        </ns0:is>
      </ns0:c>
      <ns0:c r="C1296" s="21" t="inlineStr"/>
      <ns0:c r="D1296" s="21" t="inlineStr">
        <ns0:is>
          <ns0:t>Automated measurement/classification</ns0:t>
        </ns0:is>
      </ns0:c>
      <ns0:c r="E1296" s="21" t="inlineStr">
        <ns0:is>
          <ns0:t>fNIRS sample entropy; available coding note describes classifier comparison and does not justify a clustering main family.</ns0:t>
        </ns0:is>
      </ns0:c>
      <ns0:c r="F1296" s="21" t="inlineStr">
        <ns0:is>
          <ns0:t>https://doi.org/10.1016/j.clinph.2019.12.400</ns0:t>
        </ns0:is>
      </ns0:c>
      <ns0:c r="G1296" s="21" t="inlineStr">
        <ns0:is>
          <ns0:t>ChatGPT-assisted evidence recharting, 2026-09-08</ns0:t>
        </ns0:is>
      </ns0:c>
    </ns0:row>
    <ns0:row r="1297" ht="42" customHeight="1">
      <ns0:c r="A1297" s="19" t="inlineStr">
        <ns0:is>
          <ns0:t>233</ns0:t>
        </ns0:is>
      </ns0:c>
      <ns0:c r="B1297" s="19" t="inlineStr">
        <ns0:is>
          <ns0:t>decision_timing</ns0:t>
        </ns0:is>
      </ns0:c>
      <ns0:c r="C1297" s="19" t="inlineStr"/>
      <ns0:c r="D1297" s="19" t="inlineStr">
        <ns0:is>
          <ns0:t>Not observed in assessed sources</ns0:t>
        </ns0:is>
      </ns0:c>
      <ns0:c r="E1297" s="19" t="inlineStr">
        <ns0:is>
          <ns0:t>fNIRS sample entropy; available coding note describes classifier comparison and does not justify a clustering main family.</ns0:t>
        </ns0:is>
      </ns0:c>
      <ns0:c r="F1297" s="19" t="inlineStr">
        <ns0:is>
          <ns0:t>https://doi.org/10.1016/j.clinph.2019.12.400</ns0:t>
        </ns0:is>
      </ns0:c>
      <ns0:c r="G1297" s="19" t="inlineStr">
        <ns0:is>
          <ns0:t>ChatGPT-assisted evidence recharting, 2026-09-08</ns0:t>
        </ns0:is>
      </ns0:c>
    </ns0:row>
    <ns0:row r="1298" ht="42" customHeight="1">
      <ns0:c r="A1298" s="21" t="inlineStr">
        <ns0:is>
          <ns0:t>234</ns0:t>
        </ns0:is>
      </ns0:c>
      <ns0:c r="B1298" s="21" t="inlineStr">
        <ns0:is>
          <ns0:t>data_source_primary</ns0:t>
        </ns0:is>
      </ns0:c>
      <ns0:c r="C1298" s="21" t="inlineStr">
        <ns0:is>
          <ns0:t>Image (subtype unresolved)</ns0:t>
        </ns0:is>
      </ns0:c>
      <ns0:c r="D1298" s="21" t="inlineStr">
        <ns0:is>
          <ns0:t>Behavioral images/video/gaze/movement</ns0:t>
        </ns0:is>
      </ns0:c>
      <ns0:c r="E1298" s="21" t="inlineStr">
        <ns0:is>
          <ns0:t>Facial landmark-library comparison; classifier family not provided by available abstract.</ns0:t>
        </ns0:is>
      </ns0:c>
      <ns0:c r="F1298" s="21" t="inlineStr">
        <ns0:is>
          <ns0:t>https://doi.org/10.1007/978-3-031-45389-2_18</ns0:t>
        </ns0:is>
      </ns0:c>
      <ns0:c r="G1298" s="21" t="inlineStr">
        <ns0:is>
          <ns0:t>ChatGPT-assisted evidence recharting, 2026-09-08</ns0:t>
        </ns0:is>
      </ns0:c>
    </ns0:row>
    <ns0:row r="1299" ht="42" customHeight="1">
      <ns0:c r="A1299" s="19" t="inlineStr">
        <ns0:is>
          <ns0:t>234</ns0:t>
        </ns0:is>
      </ns0:c>
      <ns0:c r="B1299" s="19" t="inlineStr">
        <ns0:is>
          <ns0:t>algorithm_main</ns0:t>
        </ns0:is>
      </ns0:c>
      <ns0:c r="C1299" s="19" t="inlineStr">
        <ns0:is>
          <ns0:t>Other / Not clear</ns0:t>
        </ns0:is>
      </ns0:c>
      <ns0:c r="D1299" s="19" t="inlineStr">
        <ns0:is>
          <ns0:t>Not specified</ns0:t>
        </ns0:is>
      </ns0:c>
      <ns0:c r="E1299" s="19" t="inlineStr">
        <ns0:is>
          <ns0:t>Facial landmark-library comparison; classifier family not provided by available abstract.</ns0:t>
        </ns0:is>
      </ns0:c>
      <ns0:c r="F1299" s="19" t="inlineStr">
        <ns0:is>
          <ns0:t>https://doi.org/10.1007/978-3-031-45389-2_18</ns0:t>
        </ns0:is>
      </ns0:c>
      <ns0:c r="G1299" s="19" t="inlineStr">
        <ns0:is>
          <ns0:t>ChatGPT-assisted evidence recharting, 2026-09-08</ns0:t>
        </ns0:is>
      </ns0:c>
    </ns0:row>
    <ns0:row r="1300" ht="42" customHeight="1">
      <ns0:c r="A1300" s="21" t="inlineStr">
        <ns0:is>
          <ns0:t>234</ns0:t>
        </ns0:is>
      </ns0:c>
      <ns0:c r="B1300" s="21" t="inlineStr">
        <ns0:is>
          <ns0:t>rq2_status</ns0:t>
        </ns0:is>
      </ns0:c>
      <ns0:c r="C1300" s="21" t="inlineStr">
        <ns0:is>
          <ns0:t>Not adjudicated in master</ns0:t>
        </ns0:is>
      </ns0:c>
      <ns0:c r="D1300" s="21" t="inlineStr">
        <ns0:is>
          <ns0:t>Research only</ns0:t>
        </ns0:is>
      </ns0:c>
      <ns0:c r="E1300" s="21" t="inlineStr">
        <ns0:is>
          <ns0:t>Facial landmark-library comparison; classifier family not provided by available abstract.</ns0:t>
        </ns0:is>
      </ns0:c>
      <ns0:c r="F1300" s="21" t="inlineStr">
        <ns0:is>
          <ns0:t>https://doi.org/10.1007/978-3-031-45389-2_18</ns0:t>
        </ns0:is>
      </ns0:c>
      <ns0:c r="G1300" s="21" t="inlineStr">
        <ns0:is>
          <ns0:t>ChatGPT-assisted evidence recharting, 2026-09-08</ns0:t>
        </ns0:is>
      </ns0:c>
    </ns0:row>
    <ns0:row r="1301" ht="42" customHeight="1">
      <ns0:c r="A1301" s="19" t="inlineStr">
        <ns0:is>
          <ns0:t>234</ns0:t>
        </ns0:is>
      </ns0:c>
      <ns0:c r="B1301" s="19" t="inlineStr">
        <ns0:is>
          <ns0:t>rq2_role</ns0:t>
        </ns0:is>
      </ns0:c>
      <ns0:c r="C1301" s="19" t="inlineStr"/>
      <ns0:c r="D1301" s="19" t="inlineStr">
        <ns0:is>
          <ns0:t>Automated measurement/classification</ns0:t>
        </ns0:is>
      </ns0:c>
      <ns0:c r="E1301" s="19" t="inlineStr">
        <ns0:is>
          <ns0:t>Facial landmark-library comparison; classifier family not provided by available abstract.</ns0:t>
        </ns0:is>
      </ns0:c>
      <ns0:c r="F1301" s="19" t="inlineStr">
        <ns0:is>
          <ns0:t>https://doi.org/10.1007/978-3-031-45389-2_18</ns0:t>
        </ns0:is>
      </ns0:c>
      <ns0:c r="G1301" s="19" t="inlineStr">
        <ns0:is>
          <ns0:t>ChatGPT-assisted evidence recharting, 2026-09-08</ns0:t>
        </ns0:is>
      </ns0:c>
    </ns0:row>
    <ns0:row r="1302" ht="42" customHeight="1">
      <ns0:c r="A1302" s="21" t="inlineStr">
        <ns0:is>
          <ns0:t>234</ns0:t>
        </ns0:is>
      </ns0:c>
      <ns0:c r="B1302" s="21" t="inlineStr">
        <ns0:is>
          <ns0:t>decision_timing</ns0:t>
        </ns0:is>
      </ns0:c>
      <ns0:c r="C1302" s="21" t="inlineStr"/>
      <ns0:c r="D1302" s="21" t="inlineStr">
        <ns0:is>
          <ns0:t>Not observed in assessed sources</ns0:t>
        </ns0:is>
      </ns0:c>
      <ns0:c r="E1302" s="21" t="inlineStr">
        <ns0:is>
          <ns0:t>Facial landmark-library comparison; classifier family not provided by available abstract.</ns0:t>
        </ns0:is>
      </ns0:c>
      <ns0:c r="F1302" s="21" t="inlineStr">
        <ns0:is>
          <ns0:t>https://doi.org/10.1007/978-3-031-45389-2_18</ns0:t>
        </ns0:is>
      </ns0:c>
      <ns0:c r="G1302" s="21" t="inlineStr">
        <ns0:is>
          <ns0:t>ChatGPT-assisted evidence recharting, 2026-09-08</ns0:t>
        </ns0:is>
      </ns0:c>
    </ns0:row>
    <ns0:row r="1303" ht="42" customHeight="1">
      <ns0:c r="A1303" s="19" t="inlineStr">
        <ns0:is>
          <ns0:t>235</ns0:t>
        </ns0:is>
      </ns0:c>
      <ns0:c r="B1303" s="19" t="inlineStr">
        <ns0:is>
          <ns0:t>data_source_primary</ns0:t>
        </ns0:is>
      </ns0:c>
      <ns0:c r="C1303" s="19" t="inlineStr">
        <ns0:is>
          <ns0:t>Physiological signals</ns0:t>
        </ns0:is>
      </ns0:c>
      <ns0:c r="D1303" s="19" t="inlineStr">
        <ns0:is>
          <ns0:t>Neuroimaging</ns0:t>
        </ns0:is>
      </ns0:c>
      <ns0:c r="E1303" s="19" t="inlineStr">
        <ns0:is>
          <ns0:t>Anatomical graph and functional MRI signals fused; Fukunaga-Koontz features and interpretable decision-tree model.</ns0:t>
        </ns0:is>
      </ns0:c>
      <ns0:c r="F1303" s="19" t="inlineStr">
        <ns0:is>
          <ns0:t>https://doi.org/10.1016/j.media.2021.101986</ns0:t>
        </ns0:is>
      </ns0:c>
      <ns0:c r="G1303" s="19" t="inlineStr">
        <ns0:is>
          <ns0:t>ChatGPT-assisted evidence recharting, 2026-09-08</ns0:t>
        </ns0:is>
      </ns0:c>
    </ns0:row>
    <ns0:row r="1304" ht="42" customHeight="1">
      <ns0:c r="A1304" s="21" t="inlineStr">
        <ns0:is>
          <ns0:t>235</ns0:t>
        </ns0:is>
      </ns0:c>
      <ns0:c r="B1304" s="21" t="inlineStr">
        <ns0:is>
          <ns0:t>algorithm_main</ns0:t>
        </ns0:is>
      </ns0:c>
      <ns0:c r="C1304" s="21" t="inlineStr">
        <ns0:is>
          <ns0:t>Decision Tree</ns0:t>
        </ns0:is>
      </ns0:c>
      <ns0:c r="D1304" s="21" t="inlineStr">
        <ns0:is>
          <ns0:t>Decision tree</ns0:t>
        </ns0:is>
      </ns0:c>
      <ns0:c r="E1304" s="21" t="inlineStr">
        <ns0:is>
          <ns0:t>Anatomical graph and functional MRI signals fused; Fukunaga-Koontz features and interpretable decision-tree model.</ns0:t>
        </ns0:is>
      </ns0:c>
      <ns0:c r="F1304" s="21" t="inlineStr">
        <ns0:is>
          <ns0:t>https://doi.org/10.1016/j.media.2021.101986</ns0:t>
        </ns0:is>
      </ns0:c>
      <ns0:c r="G1304" s="21" t="inlineStr">
        <ns0:is>
          <ns0:t>ChatGPT-assisted evidence recharting, 2026-09-08</ns0:t>
        </ns0:is>
      </ns0:c>
    </ns0:row>
    <ns0:row r="1305" ht="42" customHeight="1">
      <ns0:c r="A1305" s="19" t="inlineStr">
        <ns0:is>
          <ns0:t>235</ns0:t>
        </ns0:is>
      </ns0:c>
      <ns0:c r="B1305" s="19" t="inlineStr">
        <ns0:is>
          <ns0:t>rq2_status</ns0:t>
        </ns0:is>
      </ns0:c>
      <ns0:c r="C1305" s="19" t="inlineStr">
        <ns0:is>
          <ns0:t>Not adjudicated in master</ns0:t>
        </ns0:is>
      </ns0:c>
      <ns0:c r="D1305" s="19" t="inlineStr">
        <ns0:is>
          <ns0:t>Research only</ns0:t>
        </ns0:is>
      </ns0:c>
      <ns0:c r="E1305" s="19" t="inlineStr">
        <ns0:is>
          <ns0:t>Anatomical graph and functional MRI signals fused; Fukunaga-Koontz features and interpretable decision-tree model.</ns0:t>
        </ns0:is>
      </ns0:c>
      <ns0:c r="F1305" s="19" t="inlineStr">
        <ns0:is>
          <ns0:t>https://doi.org/10.1016/j.media.2021.101986</ns0:t>
        </ns0:is>
      </ns0:c>
      <ns0:c r="G1305" s="19" t="inlineStr">
        <ns0:is>
          <ns0:t>ChatGPT-assisted evidence recharting, 2026-09-08</ns0:t>
        </ns0:is>
      </ns0:c>
    </ns0:row>
    <ns0:row r="1306" ht="42" customHeight="1">
      <ns0:c r="A1306" s="21" t="inlineStr">
        <ns0:is>
          <ns0:t>235</ns0:t>
        </ns0:is>
      </ns0:c>
      <ns0:c r="B1306" s="21" t="inlineStr">
        <ns0:is>
          <ns0:t>rq2_role</ns0:t>
        </ns0:is>
      </ns0:c>
      <ns0:c r="C1306" s="21" t="inlineStr"/>
      <ns0:c r="D1306" s="21" t="inlineStr">
        <ns0:is>
          <ns0:t>Automated measurement/classification</ns0:t>
        </ns0:is>
      </ns0:c>
      <ns0:c r="E1306" s="21" t="inlineStr">
        <ns0:is>
          <ns0:t>Anatomical graph and functional MRI signals fused; Fukunaga-Koontz features and interpretable decision-tree model.</ns0:t>
        </ns0:is>
      </ns0:c>
      <ns0:c r="F1306" s="21" t="inlineStr">
        <ns0:is>
          <ns0:t>https://doi.org/10.1016/j.media.2021.101986</ns0:t>
        </ns0:is>
      </ns0:c>
      <ns0:c r="G1306" s="21" t="inlineStr">
        <ns0:is>
          <ns0:t>ChatGPT-assisted evidence recharting, 2026-09-08</ns0:t>
        </ns0:is>
      </ns0:c>
    </ns0:row>
    <ns0:row r="1307" ht="42" customHeight="1">
      <ns0:c r="A1307" s="19" t="inlineStr">
        <ns0:is>
          <ns0:t>235</ns0:t>
        </ns0:is>
      </ns0:c>
      <ns0:c r="B1307" s="19" t="inlineStr">
        <ns0:is>
          <ns0:t>decision_timing</ns0:t>
        </ns0:is>
      </ns0:c>
      <ns0:c r="C1307" s="19" t="inlineStr"/>
      <ns0:c r="D1307" s="19" t="inlineStr">
        <ns0:is>
          <ns0:t>Not observed in assessed sources</ns0:t>
        </ns0:is>
      </ns0:c>
      <ns0:c r="E1307" s="19" t="inlineStr">
        <ns0:is>
          <ns0:t>Anatomical graph and functional MRI signals fused; Fukunaga-Koontz features and interpretable decision-tree model.</ns0:t>
        </ns0:is>
      </ns0:c>
      <ns0:c r="F1307" s="19" t="inlineStr">
        <ns0:is>
          <ns0:t>https://doi.org/10.1016/j.media.2021.101986</ns0:t>
        </ns0:is>
      </ns0:c>
      <ns0:c r="G1307" s="19" t="inlineStr">
        <ns0:is>
          <ns0:t>ChatGPT-assisted evidence recharting, 2026-09-08</ns0:t>
        </ns0:is>
      </ns0:c>
    </ns0:row>
    <ns0:row r="1308" ht="42" customHeight="1">
      <ns0:c r="A1308" s="21" t="inlineStr">
        <ns0:is>
          <ns0:t>236</ns0:t>
        </ns0:is>
      </ns0:c>
      <ns0:c r="B1308" s="21" t="inlineStr">
        <ns0:is>
          <ns0:t>data_source_primary</ns0:t>
        </ns0:is>
      </ns0:c>
      <ns0:c r="C1308" s="21" t="inlineStr">
        <ns0:is>
          <ns0:t>Not specified</ns0:t>
        </ns0:is>
      </ns0:c>
      <ns0:c r="D1308" s="21" t="inlineStr">
        <ns0:is>
          <ns0:t>Structured clinical/questionnaire data</ns0:t>
        </ns0:is>
      </ns0:c>
      <ns0:c r="E1308" s="21" t="inlineStr">
        <ns0:is>
          <ns0:t>Blood group/Rh association study explicitly mentions machine learning, but no prospective risk model or operational workflow is established.</ns0:t>
        </ns0:is>
      </ns0:c>
      <ns0:c r="F1308" s="21" t="inlineStr">
        <ns0:is>
          <ns0:t>https://doi.org/10.1038/s41598-025-97313-8</ns0:t>
        </ns0:is>
      </ns0:c>
      <ns0:c r="G1308" s="21" t="inlineStr">
        <ns0:is>
          <ns0:t>ChatGPT-assisted evidence recharting, 2026-09-08</ns0:t>
        </ns0:is>
      </ns0:c>
    </ns0:row>
    <ns0:row r="1309" ht="42" customHeight="1">
      <ns0:c r="A1309" s="19" t="inlineStr">
        <ns0:is>
          <ns0:t>236</ns0:t>
        </ns0:is>
      </ns0:c>
      <ns0:c r="B1309" s="19" t="inlineStr">
        <ns0:is>
          <ns0:t>algorithm_main</ns0:t>
        </ns0:is>
      </ns0:c>
      <ns0:c r="C1309" s="19" t="inlineStr">
        <ns0:is>
          <ns0:t>Logistic Regression</ns0:t>
        </ns0:is>
      </ns0:c>
      <ns0:c r="D1309" s="19" t="inlineStr">
        <ns0:is>
          <ns0:t>Logistic regression / ML unspecified</ns0:t>
        </ns0:is>
      </ns0:c>
      <ns0:c r="E1309" s="19" t="inlineStr">
        <ns0:is>
          <ns0:t>Blood group/Rh association study explicitly mentions machine learning, but no prospective risk model or operational workflow is established.</ns0:t>
        </ns0:is>
      </ns0:c>
      <ns0:c r="F1309" s="19" t="inlineStr">
        <ns0:is>
          <ns0:t>https://doi.org/10.1038/s41598-025-97313-8</ns0:t>
        </ns0:is>
      </ns0:c>
      <ns0:c r="G1309" s="19" t="inlineStr">
        <ns0:is>
          <ns0:t>ChatGPT-assisted evidence recharting, 2026-09-08</ns0:t>
        </ns0:is>
      </ns0:c>
    </ns0:row>
    <ns0:row r="1310" ht="42" customHeight="1">
      <ns0:c r="A1310" s="21" t="inlineStr">
        <ns0:is>
          <ns0:t>236</ns0:t>
        </ns0:is>
      </ns0:c>
      <ns0:c r="B1310" s="21" t="inlineStr">
        <ns0:is>
          <ns0:t>rq2_status</ns0:t>
        </ns0:is>
      </ns0:c>
      <ns0:c r="C1310" s="21" t="inlineStr">
        <ns0:is>
          <ns0:t>Not adjudicated in master</ns0:t>
        </ns0:is>
      </ns0:c>
      <ns0:c r="D1310" s="21" t="inlineStr">
        <ns0:is>
          <ns0:t>Research only</ns0:t>
        </ns0:is>
      </ns0:c>
      <ns0:c r="E1310" s="21" t="inlineStr">
        <ns0:is>
          <ns0:t>Blood group/Rh association study explicitly mentions machine learning, but no prospective risk model or operational workflow is established.</ns0:t>
        </ns0:is>
      </ns0:c>
      <ns0:c r="F1310" s="21" t="inlineStr">
        <ns0:is>
          <ns0:t>https://doi.org/10.1038/s41598-025-97313-8</ns0:t>
        </ns0:is>
      </ns0:c>
      <ns0:c r="G1310" s="21" t="inlineStr">
        <ns0:is>
          <ns0:t>ChatGPT-assisted evidence recharting, 2026-09-08</ns0:t>
        </ns0:is>
      </ns0:c>
    </ns0:row>
    <ns0:row r="1311" ht="42" customHeight="1">
      <ns0:c r="A1311" s="19" t="inlineStr">
        <ns0:is>
          <ns0:t>236</ns0:t>
        </ns0:is>
      </ns0:c>
      <ns0:c r="B1311" s="19" t="inlineStr">
        <ns0:is>
          <ns0:t>rq2_role</ns0:t>
        </ns0:is>
      </ns0:c>
      <ns0:c r="C1311" s="19" t="inlineStr"/>
      <ns0:c r="D1311" s="19" t="inlineStr">
        <ns0:is>
          <ns0:t>Research characterization</ns0:t>
        </ns0:is>
      </ns0:c>
      <ns0:c r="E1311" s="19" t="inlineStr">
        <ns0:is>
          <ns0:t>Blood group/Rh association study explicitly mentions machine learning, but no prospective risk model or operational workflow is established.</ns0:t>
        </ns0:is>
      </ns0:c>
      <ns0:c r="F1311" s="19" t="inlineStr">
        <ns0:is>
          <ns0:t>https://doi.org/10.1038/s41598-025-97313-8</ns0:t>
        </ns0:is>
      </ns0:c>
      <ns0:c r="G1311" s="19" t="inlineStr">
        <ns0:is>
          <ns0:t>ChatGPT-assisted evidence recharting, 2026-09-08</ns0:t>
        </ns0:is>
      </ns0:c>
    </ns0:row>
    <ns0:row r="1312" ht="42" customHeight="1">
      <ns0:c r="A1312" s="21" t="inlineStr">
        <ns0:is>
          <ns0:t>236</ns0:t>
        </ns0:is>
      </ns0:c>
      <ns0:c r="B1312" s="21" t="inlineStr">
        <ns0:is>
          <ns0:t>decision_timing</ns0:t>
        </ns0:is>
      </ns0:c>
      <ns0:c r="C1312" s="21" t="inlineStr"/>
      <ns0:c r="D1312" s="21" t="inlineStr">
        <ns0:is>
          <ns0:t>Not observed in assessed sources</ns0:t>
        </ns0:is>
      </ns0:c>
      <ns0:c r="E1312" s="21" t="inlineStr">
        <ns0:is>
          <ns0:t>Blood group/Rh association study explicitly mentions machine learning, but no prospective risk model or operational workflow is established.</ns0:t>
        </ns0:is>
      </ns0:c>
      <ns0:c r="F1312" s="21" t="inlineStr">
        <ns0:is>
          <ns0:t>https://doi.org/10.1038/s41598-025-97313-8</ns0:t>
        </ns0:is>
      </ns0:c>
      <ns0:c r="G1312" s="21" t="inlineStr">
        <ns0:is>
          <ns0:t>ChatGPT-assisted evidence recharting, 2026-09-08</ns0:t>
        </ns0:is>
      </ns0:c>
    </ns0:row>
    <ns0:row r="1313" ht="42" customHeight="1">
      <ns0:c r="A1313" s="19" t="inlineStr">
        <ns0:is>
          <ns0:t>237</ns0:t>
        </ns0:is>
      </ns0:c>
      <ns0:c r="B1313" s="19" t="inlineStr">
        <ns0:is>
          <ns0:t>stage_primary</ns0:t>
        </ns0:is>
      </ns0:c>
      <ns0:c r="C1313" s="19" t="inlineStr">
        <ns0:is>
          <ns0:t>Screening</ns0:t>
        </ns0:is>
      </ns0:c>
      <ns0:c r="D1313" s="19" t="inlineStr">
        <ns0:is>
          <ns0:t>Diagnosis</ns0:t>
        </ns0:is>
      </ns0:c>
      <ns0:c r="E1313" s="19" t="inlineStr">
        <ns0:is>
          <ns0:t>Acoustic prosody classification within and across English and Cantonese; not text analysis. Cross-language transfer is not automatically cross-site robustness.</ns0:t>
        </ns0:is>
      </ns0:c>
      <ns0:c r="F1313" s="19" t="inlineStr">
        <ns0:is>
          <ns0:t>https://doi.org/10.1371/journal.pone.0269637</ns0:t>
        </ns0:is>
      </ns0:c>
      <ns0:c r="G1313" s="19" t="inlineStr">
        <ns0:is>
          <ns0:t>ChatGPT-assisted evidence recharting, 2026-09-08</ns0:t>
        </ns0:is>
      </ns0:c>
    </ns0:row>
    <ns0:row r="1314" ht="42" customHeight="1">
      <ns0:c r="A1314" s="21" t="inlineStr">
        <ns0:is>
          <ns0:t>237</ns0:t>
        </ns0:is>
      </ns0:c>
      <ns0:c r="B1314" s="21" t="inlineStr">
        <ns0:is>
          <ns0:t>data_source_primary</ns0:t>
        </ns0:is>
      </ns0:c>
      <ns0:c r="C1314" s="21" t="inlineStr">
        <ns0:is>
          <ns0:t>Audio / voice</ns0:t>
        </ns0:is>
      </ns0:c>
      <ns0:c r="D1314" s="21" t="inlineStr">
        <ns0:is>
          <ns0:t>Audio/voice</ns0:t>
        </ns0:is>
      </ns0:c>
      <ns0:c r="E1314" s="21" t="inlineStr">
        <ns0:is>
          <ns0:t>Acoustic prosody classification within and across English and Cantonese; not text analysis. Cross-language transfer is not automatically cross-site robustness.</ns0:t>
        </ns0:is>
      </ns0:c>
      <ns0:c r="F1314" s="21" t="inlineStr">
        <ns0:is>
          <ns0:t>https://doi.org/10.1371/journal.pone.0269637</ns0:t>
        </ns0:is>
      </ns0:c>
      <ns0:c r="G1314" s="21" t="inlineStr">
        <ns0:is>
          <ns0:t>ChatGPT-assisted evidence recharting, 2026-09-08</ns0:t>
        </ns0:is>
      </ns0:c>
    </ns0:row>
    <ns0:row r="1315" ht="42" customHeight="1">
      <ns0:c r="A1315" s="19" t="inlineStr">
        <ns0:is>
          <ns0:t>237</ns0:t>
        </ns0:is>
      </ns0:c>
      <ns0:c r="B1315" s="19" t="inlineStr">
        <ns0:is>
          <ns0:t>algorithm_main</ns0:t>
        </ns0:is>
      </ns0:c>
      <ns0:c r="C1315" s="19" t="inlineStr">
        <ns0:is>
          <ns0:t>Other / Not clear</ns0:t>
        </ns0:is>
      </ns0:c>
      <ns0:c r="D1315" s="19" t="inlineStr">
        <ns0:is>
          <ns0:t>Not specified</ns0:t>
        </ns0:is>
      </ns0:c>
      <ns0:c r="E1315" s="19" t="inlineStr">
        <ns0:is>
          <ns0:t>Acoustic prosody classification within and across English and Cantonese; not text analysis. Cross-language transfer is not automatically cross-site robustness.</ns0:t>
        </ns0:is>
      </ns0:c>
      <ns0:c r="F1315" s="19" t="inlineStr">
        <ns0:is>
          <ns0:t>https://doi.org/10.1371/journal.pone.0269637</ns0:t>
        </ns0:is>
      </ns0:c>
      <ns0:c r="G1315" s="19" t="inlineStr">
        <ns0:is>
          <ns0:t>ChatGPT-assisted evidence recharting, 2026-09-08</ns0:t>
        </ns0:is>
      </ns0:c>
    </ns0:row>
    <ns0:row r="1316" ht="42" customHeight="1">
      <ns0:c r="A1316" s="21" t="inlineStr">
        <ns0:is>
          <ns0:t>237</ns0:t>
        </ns0:is>
      </ns0:c>
      <ns0:c r="B1316" s="21" t="inlineStr">
        <ns0:is>
          <ns0:t>rq2_status</ns0:t>
        </ns0:is>
      </ns0:c>
      <ns0:c r="C1316" s="21" t="inlineStr">
        <ns0:is>
          <ns0:t>Not adjudicated in master</ns0:t>
        </ns0:is>
      </ns0:c>
      <ns0:c r="D1316" s="21" t="inlineStr">
        <ns0:is>
          <ns0:t>Research only</ns0:t>
        </ns0:is>
      </ns0:c>
      <ns0:c r="E1316" s="21" t="inlineStr">
        <ns0:is>
          <ns0:t>Acoustic prosody classification within and across English and Cantonese; not text analysis. Cross-language transfer is not automatically cross-site robustness.</ns0:t>
        </ns0:is>
      </ns0:c>
      <ns0:c r="F1316" s="21" t="inlineStr">
        <ns0:is>
          <ns0:t>https://doi.org/10.1371/journal.pone.0269637</ns0:t>
        </ns0:is>
      </ns0:c>
      <ns0:c r="G1316" s="21" t="inlineStr">
        <ns0:is>
          <ns0:t>ChatGPT-assisted evidence recharting, 2026-09-08</ns0:t>
        </ns0:is>
      </ns0:c>
    </ns0:row>
    <ns0:row r="1317" ht="42" customHeight="1">
      <ns0:c r="A1317" s="19" t="inlineStr">
        <ns0:is>
          <ns0:t>237</ns0:t>
        </ns0:is>
      </ns0:c>
      <ns0:c r="B1317" s="19" t="inlineStr">
        <ns0:is>
          <ns0:t>rq2_role</ns0:t>
        </ns0:is>
      </ns0:c>
      <ns0:c r="C1317" s="19" t="inlineStr"/>
      <ns0:c r="D1317" s="19" t="inlineStr">
        <ns0:is>
          <ns0:t>Automated measurement/classification</ns0:t>
        </ns0:is>
      </ns0:c>
      <ns0:c r="E1317" s="19" t="inlineStr">
        <ns0:is>
          <ns0:t>Acoustic prosody classification within and across English and Cantonese; not text analysis. Cross-language transfer is not automatically cross-site robustness.</ns0:t>
        </ns0:is>
      </ns0:c>
      <ns0:c r="F1317" s="19" t="inlineStr">
        <ns0:is>
          <ns0:t>https://doi.org/10.1371/journal.pone.0269637</ns0:t>
        </ns0:is>
      </ns0:c>
      <ns0:c r="G1317" s="19" t="inlineStr">
        <ns0:is>
          <ns0:t>ChatGPT-assisted evidence recharting, 2026-09-08</ns0:t>
        </ns0:is>
      </ns0:c>
    </ns0:row>
    <ns0:row r="1318" ht="42" customHeight="1">
      <ns0:c r="A1318" s="21" t="inlineStr">
        <ns0:is>
          <ns0:t>237</ns0:t>
        </ns0:is>
      </ns0:c>
      <ns0:c r="B1318" s="21" t="inlineStr">
        <ns0:is>
          <ns0:t>decision_timing</ns0:t>
        </ns0:is>
      </ns0:c>
      <ns0:c r="C1318" s="21" t="inlineStr"/>
      <ns0:c r="D1318" s="21" t="inlineStr">
        <ns0:is>
          <ns0:t>Not observed in assessed sources</ns0:t>
        </ns0:is>
      </ns0:c>
      <ns0:c r="E1318" s="21" t="inlineStr">
        <ns0:is>
          <ns0:t>Acoustic prosody classification within and across English and Cantonese; not text analysis. Cross-language transfer is not automatically cross-site robustness.</ns0:t>
        </ns0:is>
      </ns0:c>
      <ns0:c r="F1318" s="21" t="inlineStr">
        <ns0:is>
          <ns0:t>https://doi.org/10.1371/journal.pone.0269637</ns0:t>
        </ns0:is>
      </ns0:c>
      <ns0:c r="G1318" s="21" t="inlineStr">
        <ns0:is>
          <ns0:t>ChatGPT-assisted evidence recharting, 2026-09-08</ns0:t>
        </ns0:is>
      </ns0:c>
    </ns0:row>
    <ns0:row r="1319" ht="42" customHeight="1">
      <ns0:c r="A1319" s="19" t="inlineStr">
        <ns0:is>
          <ns0:t>238</ns0:t>
        </ns0:is>
      </ns0:c>
      <ns0:c r="B1319" s="19" t="inlineStr">
        <ns0:is>
          <ns0:t>eligibility</ns0:t>
        </ns0:is>
      </ns0:c>
      <ns0:c r="C1319" s="19" t="inlineStr">
        <ns0:is>
          <ns0:t>Include</ns0:t>
        </ns0:is>
      </ns0:c>
      <ns0:c r="D1319" s="19" t="inlineStr">
        <ns0:is>
          <ns0:t>Exclude</ns0:t>
        </ns0:is>
      </ns0:c>
      <ns0:c r="E1319" s="19" t="inlineStr">
        <ns0:is>
          <ns0:t>Elsevier B978 edited-book chapter. The current source eligibility codebook excludes standalone chapters, while retaining full conference proceedings.</ns0:t>
        </ns0:is>
      </ns0:c>
      <ns0:c r="F1319" s="19" t="inlineStr">
        <ns0:is>
          <ns0:t>https://doi.org/10.1016/b978-0-12-822822-7.00006-5</ns0:t>
        </ns0:is>
      </ns0:c>
      <ns0:c r="G1319" s="19" t="inlineStr">
        <ns0:is>
          <ns0:t>ChatGPT-assisted evidence recharting, 2026-09-08</ns0:t>
        </ns0:is>
      </ns0:c>
    </ns0:row>
    <ns0:row r="1320" ht="42" customHeight="1">
      <ns0:c r="A1320" s="21" t="inlineStr">
        <ns0:is>
          <ns0:t>238</ns0:t>
        </ns0:is>
      </ns0:c>
      <ns0:c r="B1320" s="21" t="inlineStr">
        <ns0:is>
          <ns0:t>stage_primary</ns0:t>
        </ns0:is>
      </ns0:c>
      <ns0:c r="C1320" s="21" t="inlineStr">
        <ns0:is>
          <ns0:t>Screening</ns0:t>
        </ns0:is>
      </ns0:c>
      <ns0:c r="D1320" s="21" t="inlineStr">
        <ns0:is>
          <ns0:t>Excluded</ns0:t>
        </ns0:is>
      </ns0:c>
      <ns0:c r="E1320" s="21" t="inlineStr">
        <ns0:is>
          <ns0:t>Elsevier B978 edited-book chapter. The current source eligibility codebook excludes standalone chapters, while retaining full conference proceedings.</ns0:t>
        </ns0:is>
      </ns0:c>
      <ns0:c r="F1320" s="21" t="inlineStr">
        <ns0:is>
          <ns0:t>https://doi.org/10.1016/b978-0-12-822822-7.00006-5</ns0:t>
        </ns0:is>
      </ns0:c>
      <ns0:c r="G1320" s="21" t="inlineStr">
        <ns0:is>
          <ns0:t>ChatGPT-assisted evidence recharting, 2026-09-08</ns0:t>
        </ns0:is>
      </ns0:c>
    </ns0:row>
    <ns0:row r="1321" ht="42" customHeight="1">
      <ns0:c r="A1321" s="19" t="inlineStr">
        <ns0:is>
          <ns0:t>238</ns0:t>
        </ns0:is>
      </ns0:c>
      <ns0:c r="B1321" s="19" t="inlineStr">
        <ns0:is>
          <ns0:t>ai_type</ns0:t>
        </ns0:is>
      </ns0:c>
      <ns0:c r="C1321" s="19" t="inlineStr">
        <ns0:is>
          <ns0:t>Machine Learning</ns0:t>
        </ns0:is>
      </ns0:c>
      <ns0:c r="D1321" s="19" t="inlineStr">
        <ns0:is>
          <ns0:t>Excluded</ns0:t>
        </ns0:is>
      </ns0:c>
      <ns0:c r="E1321" s="19" t="inlineStr">
        <ns0:is>
          <ns0:t>Elsevier B978 edited-book chapter. The current source eligibility codebook excludes standalone chapters, while retaining full conference proceedings.</ns0:t>
        </ns0:is>
      </ns0:c>
      <ns0:c r="F1321" s="19" t="inlineStr">
        <ns0:is>
          <ns0:t>https://doi.org/10.1016/b978-0-12-822822-7.00006-5</ns0:t>
        </ns0:is>
      </ns0:c>
      <ns0:c r="G1321" s="19" t="inlineStr">
        <ns0:is>
          <ns0:t>ChatGPT-assisted evidence recharting, 2026-09-08</ns0:t>
        </ns0:is>
      </ns0:c>
    </ns0:row>
    <ns0:row r="1322" ht="42" customHeight="1">
      <ns0:c r="A1322" s="21" t="inlineStr">
        <ns0:is>
          <ns0:t>238</ns0:t>
        </ns0:is>
      </ns0:c>
      <ns0:c r="B1322" s="21" t="inlineStr">
        <ns0:is>
          <ns0:t>data_source_primary</ns0:t>
        </ns0:is>
      </ns0:c>
      <ns0:c r="C1322" s="21" t="inlineStr">
        <ns0:is>
          <ns0:t>Text / NLP (legacy; verify input type)</ns0:t>
        </ns0:is>
      </ns0:c>
      <ns0:c r="D1322" s="21" t="inlineStr">
        <ns0:is>
          <ns0:t>Excluded</ns0:t>
        </ns0:is>
      </ns0:c>
      <ns0:c r="E1322" s="21" t="inlineStr">
        <ns0:is>
          <ns0:t>Elsevier B978 edited-book chapter. The current source eligibility codebook excludes standalone chapters, while retaining full conference proceedings.</ns0:t>
        </ns0:is>
      </ns0:c>
      <ns0:c r="F1322" s="21" t="inlineStr">
        <ns0:is>
          <ns0:t>https://doi.org/10.1016/b978-0-12-822822-7.00006-5</ns0:t>
        </ns0:is>
      </ns0:c>
      <ns0:c r="G1322" s="21" t="inlineStr">
        <ns0:is>
          <ns0:t>ChatGPT-assisted evidence recharting, 2026-09-08</ns0:t>
        </ns0:is>
      </ns0:c>
    </ns0:row>
    <ns0:row r="1323" ht="42" customHeight="1">
      <ns0:c r="A1323" s="19" t="inlineStr">
        <ns0:is>
          <ns0:t>238</ns0:t>
        </ns0:is>
      </ns0:c>
      <ns0:c r="B1323" s="19" t="inlineStr">
        <ns0:is>
          <ns0:t>algorithm_main</ns0:t>
        </ns0:is>
      </ns0:c>
      <ns0:c r="C1323" s="19" t="inlineStr"/>
      <ns0:c r="D1323" s="19" t="inlineStr">
        <ns0:is>
          <ns0:t>Not specified</ns0:t>
        </ns0:is>
      </ns0:c>
      <ns0:c r="E1323" s="19" t="inlineStr">
        <ns0:is>
          <ns0:t>Elsevier B978 edited-book chapter. The current source eligibility codebook excludes standalone chapters, while retaining full conference proceedings.</ns0:t>
        </ns0:is>
      </ns0:c>
      <ns0:c r="F1323" s="19" t="inlineStr">
        <ns0:is>
          <ns0:t>https://doi.org/10.1016/b978-0-12-822822-7.00006-5</ns0:t>
        </ns0:is>
      </ns0:c>
      <ns0:c r="G1323" s="19" t="inlineStr">
        <ns0:is>
          <ns0:t>ChatGPT-assisted evidence recharting, 2026-09-08</ns0:t>
        </ns0:is>
      </ns0:c>
    </ns0:row>
    <ns0:row r="1324" ht="42" customHeight="1">
      <ns0:c r="A1324" s="21" t="inlineStr">
        <ns0:is>
          <ns0:t>238</ns0:t>
        </ns0:is>
      </ns0:c>
      <ns0:c r="B1324" s="21" t="inlineStr">
        <ns0:is>
          <ns0:t>rq2_status</ns0:t>
        </ns0:is>
      </ns0:c>
      <ns0:c r="C1324" s="21" t="inlineStr">
        <ns0:is>
          <ns0:t>Not adjudicated in master</ns0:t>
        </ns0:is>
      </ns0:c>
      <ns0:c r="D1324" s="21" t="inlineStr">
        <ns0:is>
          <ns0:t>Excluded</ns0:t>
        </ns0:is>
      </ns0:c>
      <ns0:c r="E1324" s="21" t="inlineStr">
        <ns0:is>
          <ns0:t>Elsevier B978 edited-book chapter. The current source eligibility codebook excludes standalone chapters, while retaining full conference proceedings.</ns0:t>
        </ns0:is>
      </ns0:c>
      <ns0:c r="F1324" s="21" t="inlineStr">
        <ns0:is>
          <ns0:t>https://doi.org/10.1016/b978-0-12-822822-7.00006-5</ns0:t>
        </ns0:is>
      </ns0:c>
      <ns0:c r="G1324" s="21" t="inlineStr">
        <ns0:is>
          <ns0:t>ChatGPT-assisted evidence recharting, 2026-09-08</ns0:t>
        </ns0:is>
      </ns0:c>
    </ns0:row>
    <ns0:row r="1325" ht="42" customHeight="1">
      <ns0:c r="A1325" s="19" t="inlineStr">
        <ns0:is>
          <ns0:t>238</ns0:t>
        </ns0:is>
      </ns0:c>
      <ns0:c r="B1325" s="19" t="inlineStr">
        <ns0:is>
          <ns0:t>rq2_role</ns0:t>
        </ns0:is>
      </ns0:c>
      <ns0:c r="C1325" s="19" t="inlineStr"/>
      <ns0:c r="D1325" s="19" t="inlineStr">
        <ns0:is>
          <ns0:t>Excluded</ns0:t>
        </ns0:is>
      </ns0:c>
      <ns0:c r="E1325" s="19" t="inlineStr">
        <ns0:is>
          <ns0:t>Elsevier B978 edited-book chapter. The current source eligibility codebook excludes standalone chapters, while retaining full conference proceedings.</ns0:t>
        </ns0:is>
      </ns0:c>
      <ns0:c r="F1325" s="19" t="inlineStr">
        <ns0:is>
          <ns0:t>https://doi.org/10.1016/b978-0-12-822822-7.00006-5</ns0:t>
        </ns0:is>
      </ns0:c>
      <ns0:c r="G1325" s="19" t="inlineStr">
        <ns0:is>
          <ns0:t>ChatGPT-assisted evidence recharting, 2026-09-08</ns0:t>
        </ns0:is>
      </ns0:c>
    </ns0:row>
    <ns0:row r="1326" ht="42" customHeight="1">
      <ns0:c r="A1326" s="21" t="inlineStr">
        <ns0:is>
          <ns0:t>238</ns0:t>
        </ns0:is>
      </ns0:c>
      <ns0:c r="B1326" s="21" t="inlineStr">
        <ns0:is>
          <ns0:t>decision_timing</ns0:t>
        </ns0:is>
      </ns0:c>
      <ns0:c r="C1326" s="21" t="inlineStr"/>
      <ns0:c r="D1326" s="21" t="inlineStr">
        <ns0:is>
          <ns0:t>Not applicable - excluded</ns0:t>
        </ns0:is>
      </ns0:c>
      <ns0:c r="E1326" s="21" t="inlineStr">
        <ns0:is>
          <ns0:t>Elsevier B978 edited-book chapter. The current source eligibility codebook excludes standalone chapters, while retaining full conference proceedings.</ns0:t>
        </ns0:is>
      </ns0:c>
      <ns0:c r="F1326" s="21" t="inlineStr">
        <ns0:is>
          <ns0:t>https://doi.org/10.1016/b978-0-12-822822-7.00006-5</ns0:t>
        </ns0:is>
      </ns0:c>
      <ns0:c r="G1326" s="21" t="inlineStr">
        <ns0:is>
          <ns0:t>ChatGPT-assisted evidence recharting, 2026-09-08</ns0:t>
        </ns0:is>
      </ns0:c>
    </ns0:row>
    <ns0:row r="1327" ht="42" customHeight="1">
      <ns0:c r="A1327" s="19" t="inlineStr">
        <ns0:is>
          <ns0:t>239</ns0:t>
        </ns0:is>
      </ns0:c>
      <ns0:c r="B1327" s="19" t="inlineStr">
        <ns0:is>
          <ns0:t>data_source_primary</ns0:t>
        </ns0:is>
      </ns0:c>
      <ns0:c r="C1327" s="19" t="inlineStr">
        <ns0:is>
          <ns0:t>Image (subtype unresolved)</ns0:t>
        </ns0:is>
      </ns0:c>
      <ns0:c r="D1327" s="19" t="inlineStr">
        <ns0:is>
          <ns0:t>Multiple source categories</ns0:t>
        </ns0:is>
      </ns0:c>
      <ns0:c r="E1327" s="19" t="inlineStr">
        <ns0:is>
          <ns0:t>Physical fitness and MRI gray-matter volumes jointly predict concurrent severity; XGBoost emphasized and SHAP explicitly reported.</ns0:t>
        </ns0:is>
      </ns0:c>
      <ns0:c r="F1327" s="19" t="inlineStr">
        <ns0:is>
          <ns0:t>https://doi.org/10.1016/j.ctcp.2023.101825</ns0:t>
        </ns0:is>
      </ns0:c>
      <ns0:c r="G1327" s="19" t="inlineStr">
        <ns0:is>
          <ns0:t>ChatGPT-assisted evidence recharting, 2026-09-08</ns0:t>
        </ns0:is>
      </ns0:c>
    </ns0:row>
    <ns0:row r="1328" ht="42" customHeight="1">
      <ns0:c r="A1328" s="21" t="inlineStr">
        <ns0:is>
          <ns0:t>239</ns0:t>
        </ns0:is>
      </ns0:c>
      <ns0:c r="B1328" s="21" t="inlineStr">
        <ns0:is>
          <ns0:t>algorithm_main</ns0:t>
        </ns0:is>
      </ns0:c>
      <ns0:c r="C1328" s="21" t="inlineStr">
        <ns0:is>
          <ns0:t>XGBoost / GBDT</ns0:t>
        </ns0:is>
      </ns0:c>
      <ns0:c r="D1328" s="21" t="inlineStr">
        <ns0:is>
          <ns0:t>Gradient boosting</ns0:t>
        </ns0:is>
      </ns0:c>
      <ns0:c r="E1328" s="21" t="inlineStr">
        <ns0:is>
          <ns0:t>Physical fitness and MRI gray-matter volumes jointly predict concurrent severity; XGBoost emphasized and SHAP explicitly reported.</ns0:t>
        </ns0:is>
      </ns0:c>
      <ns0:c r="F1328" s="21" t="inlineStr">
        <ns0:is>
          <ns0:t>https://doi.org/10.1016/j.ctcp.2023.101825</ns0:t>
        </ns0:is>
      </ns0:c>
      <ns0:c r="G1328" s="21" t="inlineStr">
        <ns0:is>
          <ns0:t>ChatGPT-assisted evidence recharting, 2026-09-08</ns0:t>
        </ns0:is>
      </ns0:c>
    </ns0:row>
    <ns0:row r="1329" ht="42" customHeight="1">
      <ns0:c r="A1329" s="19" t="inlineStr">
        <ns0:is>
          <ns0:t>239</ns0:t>
        </ns0:is>
      </ns0:c>
      <ns0:c r="B1329" s="19" t="inlineStr">
        <ns0:is>
          <ns0:t>rq2_status</ns0:t>
        </ns0:is>
      </ns0:c>
      <ns0:c r="C1329" s="19" t="inlineStr">
        <ns0:is>
          <ns0:t>Not adjudicated in master</ns0:t>
        </ns0:is>
      </ns0:c>
      <ns0:c r="D1329" s="19" t="inlineStr">
        <ns0:is>
          <ns0:t>Research only</ns0:t>
        </ns0:is>
      </ns0:c>
      <ns0:c r="E1329" s="19" t="inlineStr">
        <ns0:is>
          <ns0:t>Physical fitness and MRI gray-matter volumes jointly predict concurrent severity; XGBoost emphasized and SHAP explicitly reported.</ns0:t>
        </ns0:is>
      </ns0:c>
      <ns0:c r="F1329" s="19" t="inlineStr">
        <ns0:is>
          <ns0:t>https://doi.org/10.1016/j.ctcp.2023.101825</ns0:t>
        </ns0:is>
      </ns0:c>
      <ns0:c r="G1329" s="19" t="inlineStr">
        <ns0:is>
          <ns0:t>ChatGPT-assisted evidence recharting, 2026-09-08</ns0:t>
        </ns0:is>
      </ns0:c>
    </ns0:row>
    <ns0:row r="1330" ht="42" customHeight="1">
      <ns0:c r="A1330" s="21" t="inlineStr">
        <ns0:is>
          <ns0:t>239</ns0:t>
        </ns0:is>
      </ns0:c>
      <ns0:c r="B1330" s="21" t="inlineStr">
        <ns0:is>
          <ns0:t>rq2_role</ns0:t>
        </ns0:is>
      </ns0:c>
      <ns0:c r="C1330" s="21" t="inlineStr"/>
      <ns0:c r="D1330" s="21" t="inlineStr">
        <ns0:is>
          <ns0:t>Automated measurement/classification</ns0:t>
        </ns0:is>
      </ns0:c>
      <ns0:c r="E1330" s="21" t="inlineStr">
        <ns0:is>
          <ns0:t>Physical fitness and MRI gray-matter volumes jointly predict concurrent severity; XGBoost emphasized and SHAP explicitly reported.</ns0:t>
        </ns0:is>
      </ns0:c>
      <ns0:c r="F1330" s="21" t="inlineStr">
        <ns0:is>
          <ns0:t>https://doi.org/10.1016/j.ctcp.2023.101825</ns0:t>
        </ns0:is>
      </ns0:c>
      <ns0:c r="G1330" s="21" t="inlineStr">
        <ns0:is>
          <ns0:t>ChatGPT-assisted evidence recharting, 2026-09-08</ns0:t>
        </ns0:is>
      </ns0:c>
    </ns0:row>
    <ns0:row r="1331" ht="42" customHeight="1">
      <ns0:c r="A1331" s="19" t="inlineStr">
        <ns0:is>
          <ns0:t>239</ns0:t>
        </ns0:is>
      </ns0:c>
      <ns0:c r="B1331" s="19" t="inlineStr">
        <ns0:is>
          <ns0:t>decision_timing</ns0:t>
        </ns0:is>
      </ns0:c>
      <ns0:c r="C1331" s="19" t="inlineStr"/>
      <ns0:c r="D1331" s="19" t="inlineStr">
        <ns0:is>
          <ns0:t>Not observed in assessed sources</ns0:t>
        </ns0:is>
      </ns0:c>
      <ns0:c r="E1331" s="19" t="inlineStr">
        <ns0:is>
          <ns0:t>Physical fitness and MRI gray-matter volumes jointly predict concurrent severity; XGBoost emphasized and SHAP explicitly reported.</ns0:t>
        </ns0:is>
      </ns0:c>
      <ns0:c r="F1331" s="19" t="inlineStr">
        <ns0:is>
          <ns0:t>https://doi.org/10.1016/j.ctcp.2023.101825</ns0:t>
        </ns0:is>
      </ns0:c>
      <ns0:c r="G1331" s="19" t="inlineStr">
        <ns0:is>
          <ns0:t>ChatGPT-assisted evidence recharting, 2026-09-08</ns0:t>
        </ns0:is>
      </ns0:c>
    </ns0:row>
    <ns0:row r="1332" ht="42" customHeight="1">
      <ns0:c r="A1332" s="21" t="inlineStr">
        <ns0:is>
          <ns0:t>239</ns0:t>
        </ns0:is>
      </ns0:c>
      <ns0:c r="B1332" s="21" t="inlineStr">
        <ns0:is>
          <ns0:t>multisource_data</ns0:t>
        </ns0:is>
      </ns0:c>
      <ns0:c r="C1332" s="21" t="inlineStr">
        <ns0:is>
          <ns0:t>Not reported in assessed sources</ns0:t>
        </ns0:is>
      </ns0:c>
      <ns0:c r="D1332" s="21" t="inlineStr">
        <ns0:is>
          <ns0:t>Reported</ns0:t>
        </ns0:is>
      </ns0:c>
      <ns0:c r="E1332" s="21" t="inlineStr">
        <ns0:is>
          <ns0:t>Physical fitness and MRI gray-matter volumes jointly predict concurrent severity; XGBoost emphasized and SHAP explicitly reported.</ns0:t>
        </ns0:is>
      </ns0:c>
      <ns0:c r="F1332" s="21" t="inlineStr">
        <ns0:is>
          <ns0:t>https://doi.org/10.1016/j.ctcp.2023.101825</ns0:t>
        </ns0:is>
      </ns0:c>
      <ns0:c r="G1332" s="21" t="inlineStr">
        <ns0:is>
          <ns0:t>ChatGPT-assisted evidence recharting, 2026-09-08</ns0:t>
        </ns0:is>
      </ns0:c>
    </ns0:row>
    <ns0:row r="1333" ht="42" customHeight="1">
      <ns0:c r="A1333" s="19" t="inlineStr">
        <ns0:is>
          <ns0:t>240</ns0:t>
        </ns0:is>
      </ns0:c>
      <ns0:c r="B1333" s="19" t="inlineStr">
        <ns0:is>
          <ns0:t>data_source_primary</ns0:t>
        </ns0:is>
      </ns0:c>
      <ns0:c r="C1333" s="19" t="inlineStr">
        <ns0:is>
          <ns0:t>Image (subtype unresolved)</ns0:t>
        </ns0:is>
      </ns0:c>
      <ns0:c r="D1333" s="19" t="inlineStr">
        <ns0:is>
          <ns0:t>Physiological signals</ns0:t>
        </ns0:is>
      </ns0:c>
      <ns0:c r="E1333" s="19" t="inlineStr">
        <ns0:is>
          <ns0:t>EEG windows rendered as images remain EEG source data; augmentation does not add independent data sources.</ns0:t>
        </ns0:is>
      </ns0:c>
      <ns0:c r="F1333" s="19" t="inlineStr">
        <ns0:is>
          <ns0:t>https://doi.org/10.1142/s0129065722500460</ns0:t>
        </ns0:is>
      </ns0:c>
      <ns0:c r="G1333" s="19" t="inlineStr">
        <ns0:is>
          <ns0:t>ChatGPT-assisted evidence recharting, 2026-09-08</ns0:t>
        </ns0:is>
      </ns0:c>
    </ns0:row>
    <ns0:row r="1334" ht="42" customHeight="1">
      <ns0:c r="A1334" s="21" t="inlineStr">
        <ns0:is>
          <ns0:t>240</ns0:t>
        </ns0:is>
      </ns0:c>
      <ns0:c r="B1334" s="21" t="inlineStr">
        <ns0:is>
          <ns0:t>rq2_status</ns0:t>
        </ns0:is>
      </ns0:c>
      <ns0:c r="C1334" s="21" t="inlineStr">
        <ns0:is>
          <ns0:t>Not adjudicated in master</ns0:t>
        </ns0:is>
      </ns0:c>
      <ns0:c r="D1334" s="21" t="inlineStr">
        <ns0:is>
          <ns0:t>Research only</ns0:t>
        </ns0:is>
      </ns0:c>
      <ns0:c r="E1334" s="21" t="inlineStr">
        <ns0:is>
          <ns0:t>EEG windows rendered as images remain EEG source data; augmentation does not add independent data sources.</ns0:t>
        </ns0:is>
      </ns0:c>
      <ns0:c r="F1334" s="21" t="inlineStr">
        <ns0:is>
          <ns0:t>https://doi.org/10.1142/s0129065722500460</ns0:t>
        </ns0:is>
      </ns0:c>
      <ns0:c r="G1334" s="21" t="inlineStr">
        <ns0:is>
          <ns0:t>ChatGPT-assisted evidence recharting, 2026-09-08</ns0:t>
        </ns0:is>
      </ns0:c>
    </ns0:row>
    <ns0:row r="1335" ht="42" customHeight="1">
      <ns0:c r="A1335" s="19" t="inlineStr">
        <ns0:is>
          <ns0:t>240</ns0:t>
        </ns0:is>
      </ns0:c>
      <ns0:c r="B1335" s="19" t="inlineStr">
        <ns0:is>
          <ns0:t>rq2_role</ns0:t>
        </ns0:is>
      </ns0:c>
      <ns0:c r="C1335" s="19" t="inlineStr"/>
      <ns0:c r="D1335" s="19" t="inlineStr">
        <ns0:is>
          <ns0:t>Automated measurement/classification</ns0:t>
        </ns0:is>
      </ns0:c>
      <ns0:c r="E1335" s="19" t="inlineStr">
        <ns0:is>
          <ns0:t>EEG windows rendered as images remain EEG source data; augmentation does not add independent data sources.</ns0:t>
        </ns0:is>
      </ns0:c>
      <ns0:c r="F1335" s="19" t="inlineStr">
        <ns0:is>
          <ns0:t>https://doi.org/10.1142/s0129065722500460</ns0:t>
        </ns0:is>
      </ns0:c>
      <ns0:c r="G1335" s="19" t="inlineStr">
        <ns0:is>
          <ns0:t>ChatGPT-assisted evidence recharting, 2026-09-08</ns0:t>
        </ns0:is>
      </ns0:c>
    </ns0:row>
    <ns0:row r="1336" ht="42" customHeight="1">
      <ns0:c r="A1336" s="21" t="inlineStr">
        <ns0:is>
          <ns0:t>240</ns0:t>
        </ns0:is>
      </ns0:c>
      <ns0:c r="B1336" s="21" t="inlineStr">
        <ns0:is>
          <ns0:t>decision_timing</ns0:t>
        </ns0:is>
      </ns0:c>
      <ns0:c r="C1336" s="21" t="inlineStr"/>
      <ns0:c r="D1336" s="21" t="inlineStr">
        <ns0:is>
          <ns0:t>Not observed in assessed sources</ns0:t>
        </ns0:is>
      </ns0:c>
      <ns0:c r="E1336" s="21" t="inlineStr">
        <ns0:is>
          <ns0:t>EEG windows rendered as images remain EEG source data; augmentation does not add independent data sources.</ns0:t>
        </ns0:is>
      </ns0:c>
      <ns0:c r="F1336" s="21" t="inlineStr">
        <ns0:is>
          <ns0:t>https://doi.org/10.1142/s0129065722500460</ns0:t>
        </ns0:is>
      </ns0:c>
      <ns0:c r="G1336" s="21" t="inlineStr">
        <ns0:is>
          <ns0:t>ChatGPT-assisted evidence recharting, 2026-09-08</ns0:t>
        </ns0:is>
      </ns0:c>
    </ns0:row>
    <ns0:row r="1337" ht="42" customHeight="1">
      <ns0:c r="A1337" s="19" t="inlineStr">
        <ns0:is>
          <ns0:t>241</ns0:t>
        </ns0:is>
      </ns0:c>
      <ns0:c r="B1337" s="19" t="inlineStr">
        <ns0:is>
          <ns0:t>data_source_primary</ns0:t>
        </ns0:is>
      </ns0:c>
      <ns0:c r="C1337" s="19" t="inlineStr">
        <ns0:is>
          <ns0:t>Physiological signals</ns0:t>
        </ns0:is>
      </ns0:c>
      <ns0:c r="D1337" s="19" t="inlineStr">
        <ns0:is>
          <ns0:t>Neuroimaging</ns0:t>
        </ns0:is>
      </ns0:c>
      <ns0:c r="E1337" s="19" t="inlineStr">
        <ns0:is>
          <ns0:t>Effective-connectivity MRI classifier tested in an independent cohort.</ns0:t>
        </ns0:is>
      </ns0:c>
      <ns0:c r="F1337" s="19" t="inlineStr">
        <ns0:is>
          <ns0:t>https://doi.org/10.1016/j.nicl.2018.01.014</ns0:t>
        </ns0:is>
      </ns0:c>
      <ns0:c r="G1337" s="19" t="inlineStr">
        <ns0:is>
          <ns0:t>ChatGPT-assisted evidence recharting, 2026-09-08</ns0:t>
        </ns0:is>
      </ns0:c>
    </ns0:row>
    <ns0:row r="1338" ht="42" customHeight="1">
      <ns0:c r="A1338" s="21" t="inlineStr">
        <ns0:is>
          <ns0:t>241</ns0:t>
        </ns0:is>
      </ns0:c>
      <ns0:c r="B1338" s="21" t="inlineStr">
        <ns0:is>
          <ns0:t>rq2_status</ns0:t>
        </ns0:is>
      </ns0:c>
      <ns0:c r="C1338" s="21" t="inlineStr">
        <ns0:is>
          <ns0:t>Not adjudicated in master</ns0:t>
        </ns0:is>
      </ns0:c>
      <ns0:c r="D1338" s="21" t="inlineStr">
        <ns0:is>
          <ns0:t>Research only</ns0:t>
        </ns0:is>
      </ns0:c>
      <ns0:c r="E1338" s="21" t="inlineStr">
        <ns0:is>
          <ns0:t>Effective-connectivity MRI classifier tested in an independent cohort.</ns0:t>
        </ns0:is>
      </ns0:c>
      <ns0:c r="F1338" s="21" t="inlineStr">
        <ns0:is>
          <ns0:t>https://doi.org/10.1016/j.nicl.2018.01.014</ns0:t>
        </ns0:is>
      </ns0:c>
      <ns0:c r="G1338" s="21" t="inlineStr">
        <ns0:is>
          <ns0:t>ChatGPT-assisted evidence recharting, 2026-09-08</ns0:t>
        </ns0:is>
      </ns0:c>
    </ns0:row>
    <ns0:row r="1339" ht="42" customHeight="1">
      <ns0:c r="A1339" s="19" t="inlineStr">
        <ns0:is>
          <ns0:t>241</ns0:t>
        </ns0:is>
      </ns0:c>
      <ns0:c r="B1339" s="19" t="inlineStr">
        <ns0:is>
          <ns0:t>rq2_role</ns0:t>
        </ns0:is>
      </ns0:c>
      <ns0:c r="C1339" s="19" t="inlineStr"/>
      <ns0:c r="D1339" s="19" t="inlineStr">
        <ns0:is>
          <ns0:t>Automated measurement/classification</ns0:t>
        </ns0:is>
      </ns0:c>
      <ns0:c r="E1339" s="19" t="inlineStr">
        <ns0:is>
          <ns0:t>Effective-connectivity MRI classifier tested in an independent cohort.</ns0:t>
        </ns0:is>
      </ns0:c>
      <ns0:c r="F1339" s="19" t="inlineStr">
        <ns0:is>
          <ns0:t>https://doi.org/10.1016/j.nicl.2018.01.014</ns0:t>
        </ns0:is>
      </ns0:c>
      <ns0:c r="G1339" s="19" t="inlineStr">
        <ns0:is>
          <ns0:t>ChatGPT-assisted evidence recharting, 2026-09-08</ns0:t>
        </ns0:is>
      </ns0:c>
    </ns0:row>
    <ns0:row r="1340" ht="42" customHeight="1">
      <ns0:c r="A1340" s="21" t="inlineStr">
        <ns0:is>
          <ns0:t>241</ns0:t>
        </ns0:is>
      </ns0:c>
      <ns0:c r="B1340" s="21" t="inlineStr">
        <ns0:is>
          <ns0:t>decision_timing</ns0:t>
        </ns0:is>
      </ns0:c>
      <ns0:c r="C1340" s="21" t="inlineStr"/>
      <ns0:c r="D1340" s="21" t="inlineStr">
        <ns0:is>
          <ns0:t>Not observed in assessed sources</ns0:t>
        </ns0:is>
      </ns0:c>
      <ns0:c r="E1340" s="21" t="inlineStr">
        <ns0:is>
          <ns0:t>Effective-connectivity MRI classifier tested in an independent cohort.</ns0:t>
        </ns0:is>
      </ns0:c>
      <ns0:c r="F1340" s="21" t="inlineStr">
        <ns0:is>
          <ns0:t>https://doi.org/10.1016/j.nicl.2018.01.014</ns0:t>
        </ns0:is>
      </ns0:c>
      <ns0:c r="G1340" s="21" t="inlineStr">
        <ns0:is>
          <ns0:t>ChatGPT-assisted evidence recharting, 2026-09-08</ns0:t>
        </ns0:is>
      </ns0:c>
    </ns0:row>
    <ns0:row r="1341" ht="42" customHeight="1">
      <ns0:c r="A1341" s="19" t="inlineStr">
        <ns0:is>
          <ns0:t>242</ns0:t>
        </ns0:is>
      </ns0:c>
      <ns0:c r="B1341" s="19" t="inlineStr">
        <ns0:is>
          <ns0:t>ai_type</ns0:t>
        </ns0:is>
      </ns0:c>
      <ns0:c r="C1341" s="19" t="inlineStr">
        <ns0:is>
          <ns0:t>Deep Learning</ns0:t>
        </ns0:is>
      </ns0:c>
      <ns0:c r="D1341" s="19" t="inlineStr">
        <ns0:is>
          <ns0:t>Machine Learning</ns0:t>
        </ns0:is>
      </ns0:c>
      <ns0:c r="E1341" s="19" t="inlineStr">
        <ns0:is>
          <ns0:t>fMRI eigenvector centrality; inherited tree classifier belongs to conventional ML, not deep learning. Family retained from prior charting.</ns0:t>
        </ns0:is>
      </ns0:c>
      <ns0:c r="F1341" s="19" t="inlineStr">
        <ns0:is>
          <ns0:t>https://doi.org/10.1007/s10803-023-05922-x</ns0:t>
        </ns0:is>
      </ns0:c>
      <ns0:c r="G1341" s="19" t="inlineStr">
        <ns0:is>
          <ns0:t>ChatGPT-assisted evidence recharting, 2026-09-08</ns0:t>
        </ns0:is>
      </ns0:c>
    </ns0:row>
    <ns0:row r="1342" ht="42" customHeight="1">
      <ns0:c r="A1342" s="21" t="inlineStr">
        <ns0:is>
          <ns0:t>242</ns0:t>
        </ns0:is>
      </ns0:c>
      <ns0:c r="B1342" s="21" t="inlineStr">
        <ns0:is>
          <ns0:t>data_source_primary</ns0:t>
        </ns0:is>
      </ns0:c>
      <ns0:c r="C1342" s="21" t="inlineStr">
        <ns0:is>
          <ns0:t>Physiological signals</ns0:t>
        </ns0:is>
      </ns0:c>
      <ns0:c r="D1342" s="21" t="inlineStr">
        <ns0:is>
          <ns0:t>Neuroimaging</ns0:t>
        </ns0:is>
      </ns0:c>
      <ns0:c r="E1342" s="21" t="inlineStr">
        <ns0:is>
          <ns0:t>fMRI eigenvector centrality; inherited tree classifier belongs to conventional ML, not deep learning. Family retained from prior charting.</ns0:t>
        </ns0:is>
      </ns0:c>
      <ns0:c r="F1342" s="21" t="inlineStr">
        <ns0:is>
          <ns0:t>https://doi.org/10.1007/s10803-023-05922-x</ns0:t>
        </ns0:is>
      </ns0:c>
      <ns0:c r="G1342" s="21" t="inlineStr">
        <ns0:is>
          <ns0:t>ChatGPT-assisted evidence recharting, 2026-09-08</ns0:t>
        </ns0:is>
      </ns0:c>
    </ns0:row>
    <ns0:row r="1343" ht="42" customHeight="1">
      <ns0:c r="A1343" s="19" t="inlineStr">
        <ns0:is>
          <ns0:t>242</ns0:t>
        </ns0:is>
      </ns0:c>
      <ns0:c r="B1343" s="19" t="inlineStr">
        <ns0:is>
          <ns0:t>algorithm_main</ns0:t>
        </ns0:is>
      </ns0:c>
      <ns0:c r="C1343" s="19" t="inlineStr">
        <ns0:is>
          <ns0:t>Decision Tree</ns0:t>
        </ns0:is>
      </ns0:c>
      <ns0:c r="D1343" s="19" t="inlineStr">
        <ns0:is>
          <ns0:t>Decision tree</ns0:t>
        </ns0:is>
      </ns0:c>
      <ns0:c r="E1343" s="19" t="inlineStr">
        <ns0:is>
          <ns0:t>fMRI eigenvector centrality; inherited tree classifier belongs to conventional ML, not deep learning. Family retained from prior charting.</ns0:t>
        </ns0:is>
      </ns0:c>
      <ns0:c r="F1343" s="19" t="inlineStr">
        <ns0:is>
          <ns0:t>https://doi.org/10.1007/s10803-023-05922-x</ns0:t>
        </ns0:is>
      </ns0:c>
      <ns0:c r="G1343" s="19" t="inlineStr">
        <ns0:is>
          <ns0:t>ChatGPT-assisted evidence recharting, 2026-09-08</ns0:t>
        </ns0:is>
      </ns0:c>
    </ns0:row>
    <ns0:row r="1344" ht="42" customHeight="1">
      <ns0:c r="A1344" s="21" t="inlineStr">
        <ns0:is>
          <ns0:t>242</ns0:t>
        </ns0:is>
      </ns0:c>
      <ns0:c r="B1344" s="21" t="inlineStr">
        <ns0:is>
          <ns0:t>rq2_status</ns0:t>
        </ns0:is>
      </ns0:c>
      <ns0:c r="C1344" s="21" t="inlineStr">
        <ns0:is>
          <ns0:t>Not adjudicated in master</ns0:t>
        </ns0:is>
      </ns0:c>
      <ns0:c r="D1344" s="21" t="inlineStr">
        <ns0:is>
          <ns0:t>Research only</ns0:t>
        </ns0:is>
      </ns0:c>
      <ns0:c r="E1344" s="21" t="inlineStr">
        <ns0:is>
          <ns0:t>fMRI eigenvector centrality; inherited tree classifier belongs to conventional ML, not deep learning. Family retained from prior charting.</ns0:t>
        </ns0:is>
      </ns0:c>
      <ns0:c r="F1344" s="21" t="inlineStr">
        <ns0:is>
          <ns0:t>https://doi.org/10.1007/s10803-023-05922-x</ns0:t>
        </ns0:is>
      </ns0:c>
      <ns0:c r="G1344" s="21" t="inlineStr">
        <ns0:is>
          <ns0:t>ChatGPT-assisted evidence recharting, 2026-09-08</ns0:t>
        </ns0:is>
      </ns0:c>
    </ns0:row>
    <ns0:row r="1345" ht="42" customHeight="1">
      <ns0:c r="A1345" s="19" t="inlineStr">
        <ns0:is>
          <ns0:t>242</ns0:t>
        </ns0:is>
      </ns0:c>
      <ns0:c r="B1345" s="19" t="inlineStr">
        <ns0:is>
          <ns0:t>rq2_role</ns0:t>
        </ns0:is>
      </ns0:c>
      <ns0:c r="C1345" s="19" t="inlineStr"/>
      <ns0:c r="D1345" s="19" t="inlineStr">
        <ns0:is>
          <ns0:t>Automated measurement/classification</ns0:t>
        </ns0:is>
      </ns0:c>
      <ns0:c r="E1345" s="19" t="inlineStr">
        <ns0:is>
          <ns0:t>fMRI eigenvector centrality; inherited tree classifier belongs to conventional ML, not deep learning. Family retained from prior charting.</ns0:t>
        </ns0:is>
      </ns0:c>
      <ns0:c r="F1345" s="19" t="inlineStr">
        <ns0:is>
          <ns0:t>https://doi.org/10.1007/s10803-023-05922-x</ns0:t>
        </ns0:is>
      </ns0:c>
      <ns0:c r="G1345" s="19" t="inlineStr">
        <ns0:is>
          <ns0:t>ChatGPT-assisted evidence recharting, 2026-09-08</ns0:t>
        </ns0:is>
      </ns0:c>
    </ns0:row>
    <ns0:row r="1346" ht="42" customHeight="1">
      <ns0:c r="A1346" s="21" t="inlineStr">
        <ns0:is>
          <ns0:t>242</ns0:t>
        </ns0:is>
      </ns0:c>
      <ns0:c r="B1346" s="21" t="inlineStr">
        <ns0:is>
          <ns0:t>decision_timing</ns0:t>
        </ns0:is>
      </ns0:c>
      <ns0:c r="C1346" s="21" t="inlineStr"/>
      <ns0:c r="D1346" s="21" t="inlineStr">
        <ns0:is>
          <ns0:t>Not observed in assessed sources</ns0:t>
        </ns0:is>
      </ns0:c>
      <ns0:c r="E1346" s="21" t="inlineStr">
        <ns0:is>
          <ns0:t>fMRI eigenvector centrality; inherited tree classifier belongs to conventional ML, not deep learning. Family retained from prior charting.</ns0:t>
        </ns0:is>
      </ns0:c>
      <ns0:c r="F1346" s="21" t="inlineStr">
        <ns0:is>
          <ns0:t>https://doi.org/10.1007/s10803-023-05922-x</ns0:t>
        </ns0:is>
      </ns0:c>
      <ns0:c r="G1346" s="21" t="inlineStr">
        <ns0:is>
          <ns0:t>ChatGPT-assisted evidence recharting, 2026-09-08</ns0:t>
        </ns0:is>
      </ns0:c>
    </ns0:row>
    <ns0:row r="1347" ht="42" customHeight="1">
      <ns0:c r="A1347" s="19" t="inlineStr">
        <ns0:is>
          <ns0:t>243</ns0:t>
        </ns0:is>
      </ns0:c>
      <ns0:c r="B1347" s="19" t="inlineStr">
        <ns0:is>
          <ns0:t>data_source_primary</ns0:t>
        </ns0:is>
      </ns0:c>
      <ns0:c r="C1347" s="19" t="inlineStr">
        <ns0:is>
          <ns0:t>Image (subtype unresolved)</ns0:t>
        </ns0:is>
      </ns0:c>
      <ns0:c r="D1347" s="19" t="inlineStr">
        <ns0:is>
          <ns0:t>Neuroimaging</ns0:t>
        </ns0:is>
      </ns0:c>
      <ns0:c r="E1347" s="19" t="inlineStr">
        <ns0:is>
          <ns0:t>Multiple views of the same structural MRI scan do not constitute independent source fusion.</ns0:t>
        </ns0:is>
      </ns0:c>
      <ns0:c r="F1347" s="19" t="inlineStr">
        <ns0:is>
          <ns0:t>https://doi.org/10.1007/978-3-031-83845-3_26</ns0:t>
        </ns0:is>
      </ns0:c>
      <ns0:c r="G1347" s="19" t="inlineStr">
        <ns0:is>
          <ns0:t>ChatGPT-assisted evidence recharting, 2026-09-08</ns0:t>
        </ns0:is>
      </ns0:c>
    </ns0:row>
    <ns0:row r="1348" ht="42" customHeight="1">
      <ns0:c r="A1348" s="21" t="inlineStr">
        <ns0:is>
          <ns0:t>243</ns0:t>
        </ns0:is>
      </ns0:c>
      <ns0:c r="B1348" s="21" t="inlineStr">
        <ns0:is>
          <ns0:t>rq2_status</ns0:t>
        </ns0:is>
      </ns0:c>
      <ns0:c r="C1348" s="21" t="inlineStr">
        <ns0:is>
          <ns0:t>Not adjudicated in master</ns0:t>
        </ns0:is>
      </ns0:c>
      <ns0:c r="D1348" s="21" t="inlineStr">
        <ns0:is>
          <ns0:t>Research only</ns0:t>
        </ns0:is>
      </ns0:c>
      <ns0:c r="E1348" s="21" t="inlineStr">
        <ns0:is>
          <ns0:t>Multiple views of the same structural MRI scan do not constitute independent source fusion.</ns0:t>
        </ns0:is>
      </ns0:c>
      <ns0:c r="F1348" s="21" t="inlineStr">
        <ns0:is>
          <ns0:t>https://doi.org/10.1007/978-3-031-83845-3_26</ns0:t>
        </ns0:is>
      </ns0:c>
      <ns0:c r="G1348" s="21" t="inlineStr">
        <ns0:is>
          <ns0:t>ChatGPT-assisted evidence recharting, 2026-09-08</ns0:t>
        </ns0:is>
      </ns0:c>
    </ns0:row>
    <ns0:row r="1349" ht="42" customHeight="1">
      <ns0:c r="A1349" s="19" t="inlineStr">
        <ns0:is>
          <ns0:t>243</ns0:t>
        </ns0:is>
      </ns0:c>
      <ns0:c r="B1349" s="19" t="inlineStr">
        <ns0:is>
          <ns0:t>rq2_role</ns0:t>
        </ns0:is>
      </ns0:c>
      <ns0:c r="C1349" s="19" t="inlineStr"/>
      <ns0:c r="D1349" s="19" t="inlineStr">
        <ns0:is>
          <ns0:t>Automated measurement/classification</ns0:t>
        </ns0:is>
      </ns0:c>
      <ns0:c r="E1349" s="19" t="inlineStr">
        <ns0:is>
          <ns0:t>Multiple views of the same structural MRI scan do not constitute independent source fusion.</ns0:t>
        </ns0:is>
      </ns0:c>
      <ns0:c r="F1349" s="19" t="inlineStr">
        <ns0:is>
          <ns0:t>https://doi.org/10.1007/978-3-031-83845-3_26</ns0:t>
        </ns0:is>
      </ns0:c>
      <ns0:c r="G1349" s="19" t="inlineStr">
        <ns0:is>
          <ns0:t>ChatGPT-assisted evidence recharting, 2026-09-08</ns0:t>
        </ns0:is>
      </ns0:c>
    </ns0:row>
    <ns0:row r="1350" ht="42" customHeight="1">
      <ns0:c r="A1350" s="21" t="inlineStr">
        <ns0:is>
          <ns0:t>243</ns0:t>
        </ns0:is>
      </ns0:c>
      <ns0:c r="B1350" s="21" t="inlineStr">
        <ns0:is>
          <ns0:t>decision_timing</ns0:t>
        </ns0:is>
      </ns0:c>
      <ns0:c r="C1350" s="21" t="inlineStr"/>
      <ns0:c r="D1350" s="21" t="inlineStr">
        <ns0:is>
          <ns0:t>Not observed in assessed sources</ns0:t>
        </ns0:is>
      </ns0:c>
      <ns0:c r="E1350" s="21" t="inlineStr">
        <ns0:is>
          <ns0:t>Multiple views of the same structural MRI scan do not constitute independent source fusion.</ns0:t>
        </ns0:is>
      </ns0:c>
      <ns0:c r="F1350" s="21" t="inlineStr">
        <ns0:is>
          <ns0:t>https://doi.org/10.1007/978-3-031-83845-3_26</ns0:t>
        </ns0:is>
      </ns0:c>
      <ns0:c r="G1350" s="21" t="inlineStr">
        <ns0:is>
          <ns0:t>ChatGPT-assisted evidence recharting, 2026-09-08</ns0:t>
        </ns0:is>
      </ns0:c>
    </ns0:row>
    <ns0:row r="1351" ht="42" customHeight="1">
      <ns0:c r="A1351" s="19" t="inlineStr">
        <ns0:is>
          <ns0:t>243</ns0:t>
        </ns0:is>
      </ns0:c>
      <ns0:c r="B1351" s="19" t="inlineStr">
        <ns0:is>
          <ns0:t>multisource_data</ns0:t>
        </ns0:is>
      </ns0:c>
      <ns0:c r="C1351" s="19" t="inlineStr">
        <ns0:is>
          <ns0:t>Reported</ns0:t>
        </ns0:is>
      </ns0:c>
      <ns0:c r="D1351" s="19" t="inlineStr">
        <ns0:is>
          <ns0:t>Not reported in assessed sources</ns0:t>
        </ns0:is>
      </ns0:c>
      <ns0:c r="E1351" s="19" t="inlineStr">
        <ns0:is>
          <ns0:t>Multiple views of the same structural MRI scan do not constitute independent source fusion.</ns0:t>
        </ns0:is>
      </ns0:c>
      <ns0:c r="F1351" s="19" t="inlineStr">
        <ns0:is>
          <ns0:t>https://doi.org/10.1007/978-3-031-83845-3_26</ns0:t>
        </ns0:is>
      </ns0:c>
      <ns0:c r="G1351" s="19" t="inlineStr">
        <ns0:is>
          <ns0:t>ChatGPT-assisted evidence recharting, 2026-09-08</ns0:t>
        </ns0:is>
      </ns0:c>
    </ns0:row>
    <ns0:row r="1352" ht="42" customHeight="1">
      <ns0:c r="A1352" s="21" t="inlineStr">
        <ns0:is>
          <ns0:t>245</ns0:t>
        </ns0:is>
      </ns0:c>
      <ns0:c r="B1352" s="21" t="inlineStr">
        <ns0:is>
          <ns0:t>data_source_primary</ns0:t>
        </ns0:is>
      </ns0:c>
      <ns0:c r="C1352" s="21" t="inlineStr">
        <ns0:is>
          <ns0:t>Image (subtype unresolved)</ns0:t>
        </ns0:is>
      </ns0:c>
      <ns0:c r="D1352" s="21" t="inlineStr">
        <ns0:is>
          <ns0:t>Behavioral images/video/gaze/movement</ns0:t>
        </ns0:is>
      </ns0:c>
      <ns0:c r="E1352" s="21" t="inlineStr">
        <ns0:is>
          <ns0:t>Eye-tracking image CNN with Bayesian hyperparameter optimization; optimization is not a separate fused clinical modality.</ns0:t>
        </ns0:is>
      </ns0:c>
      <ns0:c r="F1352" s="21" t="inlineStr">
        <ns0:is>
          <ns0:t>https://doi.org/10.1109/access.2024.3351168</ns0:t>
        </ns0:is>
      </ns0:c>
      <ns0:c r="G1352" s="21" t="inlineStr">
        <ns0:is>
          <ns0:t>ChatGPT-assisted evidence recharting, 2026-09-08</ns0:t>
        </ns0:is>
      </ns0:c>
    </ns0:row>
    <ns0:row r="1353" ht="42" customHeight="1">
      <ns0:c r="A1353" s="19" t="inlineStr">
        <ns0:is>
          <ns0:t>245</ns0:t>
        </ns0:is>
      </ns0:c>
      <ns0:c r="B1353" s="19" t="inlineStr">
        <ns0:is>
          <ns0:t>algorithm_main</ns0:t>
        </ns0:is>
      </ns0:c>
      <ns0:c r="C1353" s="19" t="inlineStr"/>
      <ns0:c r="D1353" s="19" t="inlineStr">
        <ns0:is>
          <ns0:t>CNN</ns0:t>
        </ns0:is>
      </ns0:c>
      <ns0:c r="E1353" s="19" t="inlineStr">
        <ns0:is>
          <ns0:t>Eye-tracking image CNN with Bayesian hyperparameter optimization; optimization is not a separate fused clinical modality.</ns0:t>
        </ns0:is>
      </ns0:c>
      <ns0:c r="F1353" s="19" t="inlineStr">
        <ns0:is>
          <ns0:t>https://doi.org/10.1109/access.2024.3351168</ns0:t>
        </ns0:is>
      </ns0:c>
      <ns0:c r="G1353" s="19" t="inlineStr">
        <ns0:is>
          <ns0:t>ChatGPT-assisted evidence recharting, 2026-09-08</ns0:t>
        </ns0:is>
      </ns0:c>
    </ns0:row>
    <ns0:row r="1354" ht="42" customHeight="1">
      <ns0:c r="A1354" s="21" t="inlineStr">
        <ns0:is>
          <ns0:t>245</ns0:t>
        </ns0:is>
      </ns0:c>
      <ns0:c r="B1354" s="21" t="inlineStr">
        <ns0:is>
          <ns0:t>rq2_status</ns0:t>
        </ns0:is>
      </ns0:c>
      <ns0:c r="C1354" s="21" t="inlineStr">
        <ns0:is>
          <ns0:t>Not adjudicated in master</ns0:t>
        </ns0:is>
      </ns0:c>
      <ns0:c r="D1354" s="21" t="inlineStr">
        <ns0:is>
          <ns0:t>Research only</ns0:t>
        </ns0:is>
      </ns0:c>
      <ns0:c r="E1354" s="21" t="inlineStr">
        <ns0:is>
          <ns0:t>Eye-tracking image CNN with Bayesian hyperparameter optimization; optimization is not a separate fused clinical modality.</ns0:t>
        </ns0:is>
      </ns0:c>
      <ns0:c r="F1354" s="21" t="inlineStr">
        <ns0:is>
          <ns0:t>https://doi.org/10.1109/access.2024.3351168</ns0:t>
        </ns0:is>
      </ns0:c>
      <ns0:c r="G1354" s="21" t="inlineStr">
        <ns0:is>
          <ns0:t>ChatGPT-assisted evidence recharting, 2026-09-08</ns0:t>
        </ns0:is>
      </ns0:c>
    </ns0:row>
    <ns0:row r="1355" ht="42" customHeight="1">
      <ns0:c r="A1355" s="19" t="inlineStr">
        <ns0:is>
          <ns0:t>245</ns0:t>
        </ns0:is>
      </ns0:c>
      <ns0:c r="B1355" s="19" t="inlineStr">
        <ns0:is>
          <ns0:t>rq2_role</ns0:t>
        </ns0:is>
      </ns0:c>
      <ns0:c r="C1355" s="19" t="inlineStr"/>
      <ns0:c r="D1355" s="19" t="inlineStr">
        <ns0:is>
          <ns0:t>Automated measurement/classification</ns0:t>
        </ns0:is>
      </ns0:c>
      <ns0:c r="E1355" s="19" t="inlineStr">
        <ns0:is>
          <ns0:t>Eye-tracking image CNN with Bayesian hyperparameter optimization; optimization is not a separate fused clinical modality.</ns0:t>
        </ns0:is>
      </ns0:c>
      <ns0:c r="F1355" s="19" t="inlineStr">
        <ns0:is>
          <ns0:t>https://doi.org/10.1109/access.2024.3351168</ns0:t>
        </ns0:is>
      </ns0:c>
      <ns0:c r="G1355" s="19" t="inlineStr">
        <ns0:is>
          <ns0:t>ChatGPT-assisted evidence recharting, 2026-09-08</ns0:t>
        </ns0:is>
      </ns0:c>
    </ns0:row>
    <ns0:row r="1356" ht="42" customHeight="1">
      <ns0:c r="A1356" s="21" t="inlineStr">
        <ns0:is>
          <ns0:t>245</ns0:t>
        </ns0:is>
      </ns0:c>
      <ns0:c r="B1356" s="21" t="inlineStr">
        <ns0:is>
          <ns0:t>decision_timing</ns0:t>
        </ns0:is>
      </ns0:c>
      <ns0:c r="C1356" s="21" t="inlineStr"/>
      <ns0:c r="D1356" s="21" t="inlineStr">
        <ns0:is>
          <ns0:t>Not observed in assessed sources</ns0:t>
        </ns0:is>
      </ns0:c>
      <ns0:c r="E1356" s="21" t="inlineStr">
        <ns0:is>
          <ns0:t>Eye-tracking image CNN with Bayesian hyperparameter optimization; optimization is not a separate fused clinical modality.</ns0:t>
        </ns0:is>
      </ns0:c>
      <ns0:c r="F1356" s="21" t="inlineStr">
        <ns0:is>
          <ns0:t>https://doi.org/10.1109/access.2024.3351168</ns0:t>
        </ns0:is>
      </ns0:c>
      <ns0:c r="G1356" s="21" t="inlineStr">
        <ns0:is>
          <ns0:t>ChatGPT-assisted evidence recharting, 2026-09-08</ns0:t>
        </ns0:is>
      </ns0:c>
    </ns0:row>
    <ns0:row r="1357" ht="42" customHeight="1">
      <ns0:c r="A1357" s="19" t="inlineStr">
        <ns0:is>
          <ns0:t>246</ns0:t>
        </ns0:is>
      </ns0:c>
      <ns0:c r="B1357" s="19" t="inlineStr">
        <ns0:is>
          <ns0:t>eligibility</ns0:t>
        </ns0:is>
      </ns0:c>
      <ns0:c r="C1357" s="19" t="inlineStr">
        <ns0:is>
          <ns0:t>Include</ns0:t>
        </ns0:is>
      </ns0:c>
      <ns0:c r="D1357" s="19" t="inlineStr">
        <ns0:is>
          <ns0:t>Exclude</ns0:t>
        </ns0:is>
      </ns0:c>
      <ns0:c r="E1357" s="19" t="inlineStr">
        <ns0:is>
          <ns0:t>Elsevier B978 edited-book chapter; apply current publication-type eligibility consistently.</ns0:t>
        </ns0:is>
      </ns0:c>
      <ns0:c r="F1357" s="19" t="inlineStr">
        <ns0:is>
          <ns0:t>https://doi.org/10.1016/b978-0-12-822822-7.00009-0</ns0:t>
        </ns0:is>
      </ns0:c>
      <ns0:c r="G1357" s="19" t="inlineStr">
        <ns0:is>
          <ns0:t>ChatGPT-assisted evidence recharting, 2026-09-08</ns0:t>
        </ns0:is>
      </ns0:c>
    </ns0:row>
    <ns0:row r="1358" ht="42" customHeight="1">
      <ns0:c r="A1358" s="21" t="inlineStr">
        <ns0:is>
          <ns0:t>246</ns0:t>
        </ns0:is>
      </ns0:c>
      <ns0:c r="B1358" s="21" t="inlineStr">
        <ns0:is>
          <ns0:t>stage_primary</ns0:t>
        </ns0:is>
      </ns0:c>
      <ns0:c r="C1358" s="21" t="inlineStr">
        <ns0:is>
          <ns0:t>Screening</ns0:t>
        </ns0:is>
      </ns0:c>
      <ns0:c r="D1358" s="21" t="inlineStr">
        <ns0:is>
          <ns0:t>Excluded</ns0:t>
        </ns0:is>
      </ns0:c>
      <ns0:c r="E1358" s="21" t="inlineStr">
        <ns0:is>
          <ns0:t>Elsevier B978 edited-book chapter; apply current publication-type eligibility consistently.</ns0:t>
        </ns0:is>
      </ns0:c>
      <ns0:c r="F1358" s="21" t="inlineStr">
        <ns0:is>
          <ns0:t>https://doi.org/10.1016/b978-0-12-822822-7.00009-0</ns0:t>
        </ns0:is>
      </ns0:c>
      <ns0:c r="G1358" s="21" t="inlineStr">
        <ns0:is>
          <ns0:t>ChatGPT-assisted evidence recharting, 2026-09-08</ns0:t>
        </ns0:is>
      </ns0:c>
    </ns0:row>
    <ns0:row r="1359" ht="42" customHeight="1">
      <ns0:c r="A1359" s="19" t="inlineStr">
        <ns0:is>
          <ns0:t>246</ns0:t>
        </ns0:is>
      </ns0:c>
      <ns0:c r="B1359" s="19" t="inlineStr">
        <ns0:is>
          <ns0:t>ai_type</ns0:t>
        </ns0:is>
      </ns0:c>
      <ns0:c r="C1359" s="19" t="inlineStr">
        <ns0:is>
          <ns0:t>Machine Learning</ns0:t>
        </ns0:is>
      </ns0:c>
      <ns0:c r="D1359" s="19" t="inlineStr">
        <ns0:is>
          <ns0:t>Excluded</ns0:t>
        </ns0:is>
      </ns0:c>
      <ns0:c r="E1359" s="19" t="inlineStr">
        <ns0:is>
          <ns0:t>Elsevier B978 edited-book chapter; apply current publication-type eligibility consistently.</ns0:t>
        </ns0:is>
      </ns0:c>
      <ns0:c r="F1359" s="19" t="inlineStr">
        <ns0:is>
          <ns0:t>https://doi.org/10.1016/b978-0-12-822822-7.00009-0</ns0:t>
        </ns0:is>
      </ns0:c>
      <ns0:c r="G1359" s="19" t="inlineStr">
        <ns0:is>
          <ns0:t>ChatGPT-assisted evidence recharting, 2026-09-08</ns0:t>
        </ns0:is>
      </ns0:c>
    </ns0:row>
    <ns0:row r="1360" ht="42" customHeight="1">
      <ns0:c r="A1360" s="21" t="inlineStr">
        <ns0:is>
          <ns0:t>246</ns0:t>
        </ns0:is>
      </ns0:c>
      <ns0:c r="B1360" s="21" t="inlineStr">
        <ns0:is>
          <ns0:t>data_source_primary</ns0:t>
        </ns0:is>
      </ns0:c>
      <ns0:c r="C1360" s="21" t="inlineStr">
        <ns0:is>
          <ns0:t>Not specified</ns0:t>
        </ns0:is>
      </ns0:c>
      <ns0:c r="D1360" s="21" t="inlineStr">
        <ns0:is>
          <ns0:t>Excluded</ns0:t>
        </ns0:is>
      </ns0:c>
      <ns0:c r="E1360" s="21" t="inlineStr">
        <ns0:is>
          <ns0:t>Elsevier B978 edited-book chapter; apply current publication-type eligibility consistently.</ns0:t>
        </ns0:is>
      </ns0:c>
      <ns0:c r="F1360" s="21" t="inlineStr">
        <ns0:is>
          <ns0:t>https://doi.org/10.1016/b978-0-12-822822-7.00009-0</ns0:t>
        </ns0:is>
      </ns0:c>
      <ns0:c r="G1360" s="21" t="inlineStr">
        <ns0:is>
          <ns0:t>ChatGPT-assisted evidence recharting, 2026-09-08</ns0:t>
        </ns0:is>
      </ns0:c>
    </ns0:row>
    <ns0:row r="1361" ht="42" customHeight="1">
      <ns0:c r="A1361" s="19" t="inlineStr">
        <ns0:is>
          <ns0:t>246</ns0:t>
        </ns0:is>
      </ns0:c>
      <ns0:c r="B1361" s="19" t="inlineStr">
        <ns0:is>
          <ns0:t>rq2_status</ns0:t>
        </ns0:is>
      </ns0:c>
      <ns0:c r="C1361" s="19" t="inlineStr">
        <ns0:is>
          <ns0:t>Not adjudicated in master</ns0:t>
        </ns0:is>
      </ns0:c>
      <ns0:c r="D1361" s="19" t="inlineStr">
        <ns0:is>
          <ns0:t>Excluded</ns0:t>
        </ns0:is>
      </ns0:c>
      <ns0:c r="E1361" s="19" t="inlineStr">
        <ns0:is>
          <ns0:t>Elsevier B978 edited-book chapter; apply current publication-type eligibility consistently.</ns0:t>
        </ns0:is>
      </ns0:c>
      <ns0:c r="F1361" s="19" t="inlineStr">
        <ns0:is>
          <ns0:t>https://doi.org/10.1016/b978-0-12-822822-7.00009-0</ns0:t>
        </ns0:is>
      </ns0:c>
      <ns0:c r="G1361" s="19" t="inlineStr">
        <ns0:is>
          <ns0:t>ChatGPT-assisted evidence recharting, 2026-09-08</ns0:t>
        </ns0:is>
      </ns0:c>
    </ns0:row>
    <ns0:row r="1362" ht="42" customHeight="1">
      <ns0:c r="A1362" s="21" t="inlineStr">
        <ns0:is>
          <ns0:t>246</ns0:t>
        </ns0:is>
      </ns0:c>
      <ns0:c r="B1362" s="21" t="inlineStr">
        <ns0:is>
          <ns0:t>rq2_role</ns0:t>
        </ns0:is>
      </ns0:c>
      <ns0:c r="C1362" s="21" t="inlineStr"/>
      <ns0:c r="D1362" s="21" t="inlineStr">
        <ns0:is>
          <ns0:t>Excluded</ns0:t>
        </ns0:is>
      </ns0:c>
      <ns0:c r="E1362" s="21" t="inlineStr">
        <ns0:is>
          <ns0:t>Elsevier B978 edited-book chapter; apply current publication-type eligibility consistently.</ns0:t>
        </ns0:is>
      </ns0:c>
      <ns0:c r="F1362" s="21" t="inlineStr">
        <ns0:is>
          <ns0:t>https://doi.org/10.1016/b978-0-12-822822-7.00009-0</ns0:t>
        </ns0:is>
      </ns0:c>
      <ns0:c r="G1362" s="21" t="inlineStr">
        <ns0:is>
          <ns0:t>ChatGPT-assisted evidence recharting, 2026-09-08</ns0:t>
        </ns0:is>
      </ns0:c>
    </ns0:row>
    <ns0:row r="1363" ht="42" customHeight="1">
      <ns0:c r="A1363" s="19" t="inlineStr">
        <ns0:is>
          <ns0:t>246</ns0:t>
        </ns0:is>
      </ns0:c>
      <ns0:c r="B1363" s="19" t="inlineStr">
        <ns0:is>
          <ns0:t>decision_timing</ns0:t>
        </ns0:is>
      </ns0:c>
      <ns0:c r="C1363" s="19" t="inlineStr"/>
      <ns0:c r="D1363" s="19" t="inlineStr">
        <ns0:is>
          <ns0:t>Not applicable - excluded</ns0:t>
        </ns0:is>
      </ns0:c>
      <ns0:c r="E1363" s="19" t="inlineStr">
        <ns0:is>
          <ns0:t>Elsevier B978 edited-book chapter; apply current publication-type eligibility consistently.</ns0:t>
        </ns0:is>
      </ns0:c>
      <ns0:c r="F1363" s="19" t="inlineStr">
        <ns0:is>
          <ns0:t>https://doi.org/10.1016/b978-0-12-822822-7.00009-0</ns0:t>
        </ns0:is>
      </ns0:c>
      <ns0:c r="G1363" s="19" t="inlineStr">
        <ns0:is>
          <ns0:t>ChatGPT-assisted evidence recharting, 2026-09-08</ns0:t>
        </ns0:is>
      </ns0:c>
    </ns0:row>
    <ns0:row r="1364" ht="42" customHeight="1">
      <ns0:c r="A1364" s="21" t="inlineStr">
        <ns0:is>
          <ns0:t>247</ns0:t>
        </ns0:is>
      </ns0:c>
      <ns0:c r="B1364" s="21" t="inlineStr">
        <ns0:is>
          <ns0:t>ai_type</ns0:t>
        </ns0:is>
      </ns0:c>
      <ns0:c r="C1364" s="21" t="inlineStr">
        <ns0:is>
          <ns0:t>Machine Learning</ns0:t>
        </ns0:is>
      </ns0:c>
      <ns0:c r="D1364" s="21" t="inlineStr">
        <ns0:is>
          <ns0:t>Deep Learning</ns0:t>
        </ns0:is>
      </ns0:c>
      <ns0:c r="E1364" s="21" t="inlineStr">
        <ns0:is>
          <ns0:t>Brain MRI site-agnostic meta-learning evaluated zero-shot on an independent site; not NLP. Neural backbone not specified in available abstract.</ns0:t>
        </ns0:is>
      </ns0:c>
      <ns0:c r="F1364" s="21" t="inlineStr">
        <ns0:is>
          <ns0:t>https://doi.org/10.1109/embc40787.2023.10340852</ns0:t>
        </ns0:is>
      </ns0:c>
      <ns0:c r="G1364" s="21" t="inlineStr">
        <ns0:is>
          <ns0:t>ChatGPT-assisted evidence recharting, 2026-09-08</ns0:t>
        </ns0:is>
      </ns0:c>
    </ns0:row>
    <ns0:row r="1365" ht="42" customHeight="1">
      <ns0:c r="A1365" s="19" t="inlineStr">
        <ns0:is>
          <ns0:t>247</ns0:t>
        </ns0:is>
      </ns0:c>
      <ns0:c r="B1365" s="19" t="inlineStr">
        <ns0:is>
          <ns0:t>data_source_primary</ns0:t>
        </ns0:is>
      </ns0:c>
      <ns0:c r="C1365" s="19" t="inlineStr">
        <ns0:is>
          <ns0:t>Text / NLP (legacy; verify input type)</ns0:t>
        </ns0:is>
      </ns0:c>
      <ns0:c r="D1365" s="19" t="inlineStr">
        <ns0:is>
          <ns0:t>Neuroimaging</ns0:t>
        </ns0:is>
      </ns0:c>
      <ns0:c r="E1365" s="19" t="inlineStr">
        <ns0:is>
          <ns0:t>Brain MRI site-agnostic meta-learning evaluated zero-shot on an independent site; not NLP. Neural backbone not specified in available abstract.</ns0:t>
        </ns0:is>
      </ns0:c>
      <ns0:c r="F1365" s="19" t="inlineStr">
        <ns0:is>
          <ns0:t>https://doi.org/10.1109/embc40787.2023.10340852</ns0:t>
        </ns0:is>
      </ns0:c>
      <ns0:c r="G1365" s="19" t="inlineStr">
        <ns0:is>
          <ns0:t>ChatGPT-assisted evidence recharting, 2026-09-08</ns0:t>
        </ns0:is>
      </ns0:c>
    </ns0:row>
    <ns0:row r="1366" ht="42" customHeight="1">
      <ns0:c r="A1366" s="21" t="inlineStr">
        <ns0:is>
          <ns0:t>247</ns0:t>
        </ns0:is>
      </ns0:c>
      <ns0:c r="B1366" s="21" t="inlineStr">
        <ns0:is>
          <ns0:t>algorithm_main</ns0:t>
        </ns0:is>
      </ns0:c>
      <ns0:c r="C1366" s="21" t="inlineStr"/>
      <ns0:c r="D1366" s="21" t="inlineStr">
        <ns0:is>
          <ns0:t>Meta-learning; neural backbone unspecified</ns0:t>
        </ns0:is>
      </ns0:c>
      <ns0:c r="E1366" s="21" t="inlineStr">
        <ns0:is>
          <ns0:t>Brain MRI site-agnostic meta-learning evaluated zero-shot on an independent site; not NLP. Neural backbone not specified in available abstract.</ns0:t>
        </ns0:is>
      </ns0:c>
      <ns0:c r="F1366" s="21" t="inlineStr">
        <ns0:is>
          <ns0:t>https://doi.org/10.1109/embc40787.2023.10340852</ns0:t>
        </ns0:is>
      </ns0:c>
      <ns0:c r="G1366" s="21" t="inlineStr">
        <ns0:is>
          <ns0:t>ChatGPT-assisted evidence recharting, 2026-09-08</ns0:t>
        </ns0:is>
      </ns0:c>
    </ns0:row>
    <ns0:row r="1367" ht="42" customHeight="1">
      <ns0:c r="A1367" s="19" t="inlineStr">
        <ns0:is>
          <ns0:t>247</ns0:t>
        </ns0:is>
      </ns0:c>
      <ns0:c r="B1367" s="19" t="inlineStr">
        <ns0:is>
          <ns0:t>rq2_status</ns0:t>
        </ns0:is>
      </ns0:c>
      <ns0:c r="C1367" s="19" t="inlineStr">
        <ns0:is>
          <ns0:t>Not adjudicated in master</ns0:t>
        </ns0:is>
      </ns0:c>
      <ns0:c r="D1367" s="19" t="inlineStr">
        <ns0:is>
          <ns0:t>Research only</ns0:t>
        </ns0:is>
      </ns0:c>
      <ns0:c r="E1367" s="19" t="inlineStr">
        <ns0:is>
          <ns0:t>Brain MRI site-agnostic meta-learning evaluated zero-shot on an independent site; not NLP. Neural backbone not specified in available abstract.</ns0:t>
        </ns0:is>
      </ns0:c>
      <ns0:c r="F1367" s="19" t="inlineStr">
        <ns0:is>
          <ns0:t>https://doi.org/10.1109/embc40787.2023.10340852</ns0:t>
        </ns0:is>
      </ns0:c>
      <ns0:c r="G1367" s="19" t="inlineStr">
        <ns0:is>
          <ns0:t>ChatGPT-assisted evidence recharting, 2026-09-08</ns0:t>
        </ns0:is>
      </ns0:c>
    </ns0:row>
    <ns0:row r="1368" ht="42" customHeight="1">
      <ns0:c r="A1368" s="21" t="inlineStr">
        <ns0:is>
          <ns0:t>247</ns0:t>
        </ns0:is>
      </ns0:c>
      <ns0:c r="B1368" s="21" t="inlineStr">
        <ns0:is>
          <ns0:t>rq2_role</ns0:t>
        </ns0:is>
      </ns0:c>
      <ns0:c r="C1368" s="21" t="inlineStr"/>
      <ns0:c r="D1368" s="21" t="inlineStr">
        <ns0:is>
          <ns0:t>Automated measurement/classification</ns0:t>
        </ns0:is>
      </ns0:c>
      <ns0:c r="E1368" s="21" t="inlineStr">
        <ns0:is>
          <ns0:t>Brain MRI site-agnostic meta-learning evaluated zero-shot on an independent site; not NLP. Neural backbone not specified in available abstract.</ns0:t>
        </ns0:is>
      </ns0:c>
      <ns0:c r="F1368" s="21" t="inlineStr">
        <ns0:is>
          <ns0:t>https://doi.org/10.1109/embc40787.2023.10340852</ns0:t>
        </ns0:is>
      </ns0:c>
      <ns0:c r="G1368" s="21" t="inlineStr">
        <ns0:is>
          <ns0:t>ChatGPT-assisted evidence recharting, 2026-09-08</ns0:t>
        </ns0:is>
      </ns0:c>
    </ns0:row>
    <ns0:row r="1369" ht="42" customHeight="1">
      <ns0:c r="A1369" s="19" t="inlineStr">
        <ns0:is>
          <ns0:t>247</ns0:t>
        </ns0:is>
      </ns0:c>
      <ns0:c r="B1369" s="19" t="inlineStr">
        <ns0:is>
          <ns0:t>decision_timing</ns0:t>
        </ns0:is>
      </ns0:c>
      <ns0:c r="C1369" s="19" t="inlineStr"/>
      <ns0:c r="D1369" s="19" t="inlineStr">
        <ns0:is>
          <ns0:t>Not observed in assessed sources</ns0:t>
        </ns0:is>
      </ns0:c>
      <ns0:c r="E1369" s="19" t="inlineStr">
        <ns0:is>
          <ns0:t>Brain MRI site-agnostic meta-learning evaluated zero-shot on an independent site; not NLP. Neural backbone not specified in available abstract.</ns0:t>
        </ns0:is>
      </ns0:c>
      <ns0:c r="F1369" s="19" t="inlineStr">
        <ns0:is>
          <ns0:t>https://doi.org/10.1109/embc40787.2023.10340852</ns0:t>
        </ns0:is>
      </ns0:c>
      <ns0:c r="G1369" s="19" t="inlineStr">
        <ns0:is>
          <ns0:t>ChatGPT-assisted evidence recharting, 2026-09-08</ns0:t>
        </ns0:is>
      </ns0:c>
    </ns0:row>
    <ns0:row r="1370" ht="42" customHeight="1">
      <ns0:c r="A1370" s="21" t="inlineStr">
        <ns0:is>
          <ns0:t>248</ns0:t>
        </ns0:is>
      </ns0:c>
      <ns0:c r="B1370" s="21" t="inlineStr">
        <ns0:is>
          <ns0:t>data_source_primary</ns0:t>
        </ns0:is>
      </ns0:c>
      <ns0:c r="C1370" s="21" t="inlineStr">
        <ns0:is>
          <ns0:t>Image (subtype unresolved)</ns0:t>
        </ns0:is>
      </ns0:c>
      <ns0:c r="D1370" s="21" t="inlineStr">
        <ns0:is>
          <ns0:t>Behavioral images/video/gaze/movement</ns0:t>
        </ns0:is>
      </ns0:c>
      <ns0:c r="E1370" s="21" t="inlineStr">
        <ns0:is>
          <ns0:t>Sequential gaze scanpath classification, with recurrent family inherited from prior coding.</ns0:t>
        </ns0:is>
      </ns0:c>
      <ns0:c r="F1370" s="21" t="inlineStr">
        <ns0:is>
          <ns0:t>https://doi.org/10.1109/tnsre.2024.3361935</ns0:t>
        </ns0:is>
      </ns0:c>
      <ns0:c r="G1370" s="21" t="inlineStr">
        <ns0:is>
          <ns0:t>ChatGPT-assisted evidence recharting, 2026-09-08</ns0:t>
        </ns0:is>
      </ns0:c>
    </ns0:row>
    <ns0:row r="1371" ht="42" customHeight="1">
      <ns0:c r="A1371" s="19" t="inlineStr">
        <ns0:is>
          <ns0:t>248</ns0:t>
        </ns0:is>
      </ns0:c>
      <ns0:c r="B1371" s="19" t="inlineStr">
        <ns0:is>
          <ns0:t>algorithm_main</ns0:t>
        </ns0:is>
      </ns0:c>
      <ns0:c r="C1371" s="19" t="inlineStr">
        <ns0:is>
          <ns0:t>RNN/LSTM/GRU</ns0:t>
        </ns0:is>
      </ns0:c>
      <ns0:c r="D1371" s="19" t="inlineStr">
        <ns0:is>
          <ns0:t>RNN / LSTM / GRU</ns0:t>
        </ns0:is>
      </ns0:c>
      <ns0:c r="E1371" s="19" t="inlineStr">
        <ns0:is>
          <ns0:t>Sequential gaze scanpath classification, with recurrent family inherited from prior coding.</ns0:t>
        </ns0:is>
      </ns0:c>
      <ns0:c r="F1371" s="19" t="inlineStr">
        <ns0:is>
          <ns0:t>https://doi.org/10.1109/tnsre.2024.3361935</ns0:t>
        </ns0:is>
      </ns0:c>
      <ns0:c r="G1371" s="19" t="inlineStr">
        <ns0:is>
          <ns0:t>ChatGPT-assisted evidence recharting, 2026-09-08</ns0:t>
        </ns0:is>
      </ns0:c>
    </ns0:row>
    <ns0:row r="1372" ht="42" customHeight="1">
      <ns0:c r="A1372" s="21" t="inlineStr">
        <ns0:is>
          <ns0:t>248</ns0:t>
        </ns0:is>
      </ns0:c>
      <ns0:c r="B1372" s="21" t="inlineStr">
        <ns0:is>
          <ns0:t>rq2_status</ns0:t>
        </ns0:is>
      </ns0:c>
      <ns0:c r="C1372" s="21" t="inlineStr">
        <ns0:is>
          <ns0:t>Not adjudicated in master</ns0:t>
        </ns0:is>
      </ns0:c>
      <ns0:c r="D1372" s="21" t="inlineStr">
        <ns0:is>
          <ns0:t>Research only</ns0:t>
        </ns0:is>
      </ns0:c>
      <ns0:c r="E1372" s="21" t="inlineStr">
        <ns0:is>
          <ns0:t>Sequential gaze scanpath classification, with recurrent family inherited from prior coding.</ns0:t>
        </ns0:is>
      </ns0:c>
      <ns0:c r="F1372" s="21" t="inlineStr">
        <ns0:is>
          <ns0:t>https://doi.org/10.1109/tnsre.2024.3361935</ns0:t>
        </ns0:is>
      </ns0:c>
      <ns0:c r="G1372" s="21" t="inlineStr">
        <ns0:is>
          <ns0:t>ChatGPT-assisted evidence recharting, 2026-09-08</ns0:t>
        </ns0:is>
      </ns0:c>
    </ns0:row>
    <ns0:row r="1373" ht="42" customHeight="1">
      <ns0:c r="A1373" s="19" t="inlineStr">
        <ns0:is>
          <ns0:t>248</ns0:t>
        </ns0:is>
      </ns0:c>
      <ns0:c r="B1373" s="19" t="inlineStr">
        <ns0:is>
          <ns0:t>rq2_role</ns0:t>
        </ns0:is>
      </ns0:c>
      <ns0:c r="C1373" s="19" t="inlineStr"/>
      <ns0:c r="D1373" s="19" t="inlineStr">
        <ns0:is>
          <ns0:t>Automated measurement/classification</ns0:t>
        </ns0:is>
      </ns0:c>
      <ns0:c r="E1373" s="19" t="inlineStr">
        <ns0:is>
          <ns0:t>Sequential gaze scanpath classification, with recurrent family inherited from prior coding.</ns0:t>
        </ns0:is>
      </ns0:c>
      <ns0:c r="F1373" s="19" t="inlineStr">
        <ns0:is>
          <ns0:t>https://doi.org/10.1109/tnsre.2024.3361935</ns0:t>
        </ns0:is>
      </ns0:c>
      <ns0:c r="G1373" s="19" t="inlineStr">
        <ns0:is>
          <ns0:t>ChatGPT-assisted evidence recharting, 2026-09-08</ns0:t>
        </ns0:is>
      </ns0:c>
    </ns0:row>
    <ns0:row r="1374" ht="42" customHeight="1">
      <ns0:c r="A1374" s="21" t="inlineStr">
        <ns0:is>
          <ns0:t>248</ns0:t>
        </ns0:is>
      </ns0:c>
      <ns0:c r="B1374" s="21" t="inlineStr">
        <ns0:is>
          <ns0:t>decision_timing</ns0:t>
        </ns0:is>
      </ns0:c>
      <ns0:c r="C1374" s="21" t="inlineStr"/>
      <ns0:c r="D1374" s="21" t="inlineStr">
        <ns0:is>
          <ns0:t>Not observed in assessed sources</ns0:t>
        </ns0:is>
      </ns0:c>
      <ns0:c r="E1374" s="21" t="inlineStr">
        <ns0:is>
          <ns0:t>Sequential gaze scanpath classification, with recurrent family inherited from prior coding.</ns0:t>
        </ns0:is>
      </ns0:c>
      <ns0:c r="F1374" s="21" t="inlineStr">
        <ns0:is>
          <ns0:t>https://doi.org/10.1109/tnsre.2024.3361935</ns0:t>
        </ns0:is>
      </ns0:c>
      <ns0:c r="G1374" s="21" t="inlineStr">
        <ns0:is>
          <ns0:t>ChatGPT-assisted evidence recharting, 2026-09-08</ns0:t>
        </ns0:is>
      </ns0:c>
    </ns0:row>
    <ns0:row r="1375" ht="42" customHeight="1">
      <ns0:c r="A1375" s="19" t="inlineStr">
        <ns0:is>
          <ns0:t>249</ns0:t>
        </ns0:is>
      </ns0:c>
      <ns0:c r="B1375" s="19" t="inlineStr">
        <ns0:is>
          <ns0:t>data_source_primary</ns0:t>
        </ns0:is>
      </ns0:c>
      <ns0:c r="C1375" s="19" t="inlineStr">
        <ns0:is>
          <ns0:t>Image (subtype unresolved)</ns0:t>
        </ns0:is>
      </ns0:c>
      <ns0:c r="D1375" s="19" t="inlineStr">
        <ns0:is>
          <ns0:t>Neuroimaging</ns0:t>
        </ns0:is>
      </ns0:c>
      <ns0:c r="E1375" s="19" t="inlineStr">
        <ns0:is>
          <ns0:t>Gray-matter MRI morphometry; support-vector machine is explicit in abstract.</ns0:t>
        </ns0:is>
      </ns0:c>
      <ns0:c r="F1375" s="19" t="inlineStr">
        <ns0:is>
          <ns0:t>https://doi.org/10.1111/jon.12280</ns0:t>
        </ns0:is>
      </ns0:c>
      <ns0:c r="G1375" s="19" t="inlineStr">
        <ns0:is>
          <ns0:t>ChatGPT-assisted evidence recharting, 2026-09-08</ns0:t>
        </ns0:is>
      </ns0:c>
    </ns0:row>
    <ns0:row r="1376" ht="42" customHeight="1">
      <ns0:c r="A1376" s="21" t="inlineStr">
        <ns0:is>
          <ns0:t>249</ns0:t>
        </ns0:is>
      </ns0:c>
      <ns0:c r="B1376" s="21" t="inlineStr">
        <ns0:is>
          <ns0:t>rq2_status</ns0:t>
        </ns0:is>
      </ns0:c>
      <ns0:c r="C1376" s="21" t="inlineStr">
        <ns0:is>
          <ns0:t>Not adjudicated in master</ns0:t>
        </ns0:is>
      </ns0:c>
      <ns0:c r="D1376" s="21" t="inlineStr">
        <ns0:is>
          <ns0:t>Research only</ns0:t>
        </ns0:is>
      </ns0:c>
      <ns0:c r="E1376" s="21" t="inlineStr">
        <ns0:is>
          <ns0:t>Gray-matter MRI morphometry; support-vector machine is explicit in abstract.</ns0:t>
        </ns0:is>
      </ns0:c>
      <ns0:c r="F1376" s="21" t="inlineStr">
        <ns0:is>
          <ns0:t>https://doi.org/10.1111/jon.12280</ns0:t>
        </ns0:is>
      </ns0:c>
      <ns0:c r="G1376" s="21" t="inlineStr">
        <ns0:is>
          <ns0:t>ChatGPT-assisted evidence recharting, 2026-09-08</ns0:t>
        </ns0:is>
      </ns0:c>
    </ns0:row>
    <ns0:row r="1377" ht="42" customHeight="1">
      <ns0:c r="A1377" s="19" t="inlineStr">
        <ns0:is>
          <ns0:t>249</ns0:t>
        </ns0:is>
      </ns0:c>
      <ns0:c r="B1377" s="19" t="inlineStr">
        <ns0:is>
          <ns0:t>rq2_role</ns0:t>
        </ns0:is>
      </ns0:c>
      <ns0:c r="C1377" s="19" t="inlineStr"/>
      <ns0:c r="D1377" s="19" t="inlineStr">
        <ns0:is>
          <ns0:t>Automated measurement/classification</ns0:t>
        </ns0:is>
      </ns0:c>
      <ns0:c r="E1377" s="19" t="inlineStr">
        <ns0:is>
          <ns0:t>Gray-matter MRI morphometry; support-vector machine is explicit in abstract.</ns0:t>
        </ns0:is>
      </ns0:c>
      <ns0:c r="F1377" s="19" t="inlineStr">
        <ns0:is>
          <ns0:t>https://doi.org/10.1111/jon.12280</ns0:t>
        </ns0:is>
      </ns0:c>
      <ns0:c r="G1377" s="19" t="inlineStr">
        <ns0:is>
          <ns0:t>ChatGPT-assisted evidence recharting, 2026-09-08</ns0:t>
        </ns0:is>
      </ns0:c>
    </ns0:row>
    <ns0:row r="1378" ht="42" customHeight="1">
      <ns0:c r="A1378" s="21" t="inlineStr">
        <ns0:is>
          <ns0:t>249</ns0:t>
        </ns0:is>
      </ns0:c>
      <ns0:c r="B1378" s="21" t="inlineStr">
        <ns0:is>
          <ns0:t>decision_timing</ns0:t>
        </ns0:is>
      </ns0:c>
      <ns0:c r="C1378" s="21" t="inlineStr"/>
      <ns0:c r="D1378" s="21" t="inlineStr">
        <ns0:is>
          <ns0:t>Not observed in assessed sources</ns0:t>
        </ns0:is>
      </ns0:c>
      <ns0:c r="E1378" s="21" t="inlineStr">
        <ns0:is>
          <ns0:t>Gray-matter MRI morphometry; support-vector machine is explicit in abstract.</ns0:t>
        </ns0:is>
      </ns0:c>
      <ns0:c r="F1378" s="21" t="inlineStr">
        <ns0:is>
          <ns0:t>https://doi.org/10.1111/jon.12280</ns0:t>
        </ns0:is>
      </ns0:c>
      <ns0:c r="G1378" s="21" t="inlineStr">
        <ns0:is>
          <ns0:t>ChatGPT-assisted evidence recharting, 2026-09-08</ns0:t>
        </ns0:is>
      </ns0:c>
    </ns0:row>
    <ns0:row r="1379" ht="42" customHeight="1">
      <ns0:c r="A1379" s="19" t="inlineStr">
        <ns0:is>
          <ns0:t>250</ns0:t>
        </ns0:is>
      </ns0:c>
      <ns0:c r="B1379" s="19" t="inlineStr">
        <ns0:is>
          <ns0:t>data_source_primary</ns0:t>
        </ns0:is>
      </ns0:c>
      <ns0:c r="C1379" s="19" t="inlineStr">
        <ns0:is>
          <ns0:t>Physiological signals</ns0:t>
        </ns0:is>
      </ns0:c>
      <ns0:c r="D1379" s="19" t="inlineStr">
        <ns0:is>
          <ns0:t>Neuroimaging</ns0:t>
        </ns0:is>
      </ns0:c>
      <ns0:c r="E1379" s="19" t="inlineStr">
        <ns0:is>
          <ns0:t>Resting-state fMRI functional connectivity with VAE-pretrained MLP, internal repeated cross-validation.</ns0:t>
        </ns0:is>
      </ns0:c>
      <ns0:c r="F1379" s="19" t="inlineStr">
        <ns0:is>
          <ns0:t>https://doi.org/10.1016/j.compbiomed.2022.105854</ns0:t>
        </ns0:is>
      </ns0:c>
      <ns0:c r="G1379" s="19" t="inlineStr">
        <ns0:is>
          <ns0:t>ChatGPT-assisted evidence recharting, 2026-09-08</ns0:t>
        </ns0:is>
      </ns0:c>
    </ns0:row>
    <ns0:row r="1380" ht="42" customHeight="1">
      <ns0:c r="A1380" s="21" t="inlineStr">
        <ns0:is>
          <ns0:t>250</ns0:t>
        </ns0:is>
      </ns0:c>
      <ns0:c r="B1380" s="21" t="inlineStr">
        <ns0:is>
          <ns0:t>algorithm_main</ns0:t>
        </ns0:is>
      </ns0:c>
      <ns0:c r="C1380" s="21" t="inlineStr">
        <ns0:is>
          <ns0:t>MLP</ns0:t>
        </ns0:is>
      </ns0:c>
      <ns0:c r="D1380" s="21" t="inlineStr">
        <ns0:is>
          <ns0:t>Autoencoder + MLP</ns0:t>
        </ns0:is>
      </ns0:c>
      <ns0:c r="E1380" s="21" t="inlineStr">
        <ns0:is>
          <ns0:t>Resting-state fMRI functional connectivity with VAE-pretrained MLP, internal repeated cross-validation.</ns0:t>
        </ns0:is>
      </ns0:c>
      <ns0:c r="F1380" s="21" t="inlineStr">
        <ns0:is>
          <ns0:t>https://doi.org/10.1016/j.compbiomed.2022.105854</ns0:t>
        </ns0:is>
      </ns0:c>
      <ns0:c r="G1380" s="21" t="inlineStr">
        <ns0:is>
          <ns0:t>ChatGPT-assisted evidence recharting, 2026-09-08</ns0:t>
        </ns0:is>
      </ns0:c>
    </ns0:row>
    <ns0:row r="1381" ht="42" customHeight="1">
      <ns0:c r="A1381" s="19" t="inlineStr">
        <ns0:is>
          <ns0:t>250</ns0:t>
        </ns0:is>
      </ns0:c>
      <ns0:c r="B1381" s="19" t="inlineStr">
        <ns0:is>
          <ns0:t>rq2_status</ns0:t>
        </ns0:is>
      </ns0:c>
      <ns0:c r="C1381" s="19" t="inlineStr">
        <ns0:is>
          <ns0:t>Not adjudicated in master</ns0:t>
        </ns0:is>
      </ns0:c>
      <ns0:c r="D1381" s="19" t="inlineStr">
        <ns0:is>
          <ns0:t>Research only</ns0:t>
        </ns0:is>
      </ns0:c>
      <ns0:c r="E1381" s="19" t="inlineStr">
        <ns0:is>
          <ns0:t>Resting-state fMRI functional connectivity with VAE-pretrained MLP, internal repeated cross-validation.</ns0:t>
        </ns0:is>
      </ns0:c>
      <ns0:c r="F1381" s="19" t="inlineStr">
        <ns0:is>
          <ns0:t>https://doi.org/10.1016/j.compbiomed.2022.105854</ns0:t>
        </ns0:is>
      </ns0:c>
      <ns0:c r="G1381" s="19" t="inlineStr">
        <ns0:is>
          <ns0:t>ChatGPT-assisted evidence recharting, 2026-09-08</ns0:t>
        </ns0:is>
      </ns0:c>
    </ns0:row>
    <ns0:row r="1382" ht="42" customHeight="1">
      <ns0:c r="A1382" s="21" t="inlineStr">
        <ns0:is>
          <ns0:t>250</ns0:t>
        </ns0:is>
      </ns0:c>
      <ns0:c r="B1382" s="21" t="inlineStr">
        <ns0:is>
          <ns0:t>rq2_role</ns0:t>
        </ns0:is>
      </ns0:c>
      <ns0:c r="C1382" s="21" t="inlineStr"/>
      <ns0:c r="D1382" s="21" t="inlineStr">
        <ns0:is>
          <ns0:t>Automated measurement/classification</ns0:t>
        </ns0:is>
      </ns0:c>
      <ns0:c r="E1382" s="21" t="inlineStr">
        <ns0:is>
          <ns0:t>Resting-state fMRI functional connectivity with VAE-pretrained MLP, internal repeated cross-validation.</ns0:t>
        </ns0:is>
      </ns0:c>
      <ns0:c r="F1382" s="21" t="inlineStr">
        <ns0:is>
          <ns0:t>https://doi.org/10.1016/j.compbiomed.2022.105854</ns0:t>
        </ns0:is>
      </ns0:c>
      <ns0:c r="G1382" s="21" t="inlineStr">
        <ns0:is>
          <ns0:t>ChatGPT-assisted evidence recharting, 2026-09-08</ns0:t>
        </ns0:is>
      </ns0:c>
    </ns0:row>
    <ns0:row r="1383" ht="42" customHeight="1">
      <ns0:c r="A1383" s="19" t="inlineStr">
        <ns0:is>
          <ns0:t>250</ns0:t>
        </ns0:is>
      </ns0:c>
      <ns0:c r="B1383" s="19" t="inlineStr">
        <ns0:is>
          <ns0:t>decision_timing</ns0:t>
        </ns0:is>
      </ns0:c>
      <ns0:c r="C1383" s="19" t="inlineStr"/>
      <ns0:c r="D1383" s="19" t="inlineStr">
        <ns0:is>
          <ns0:t>Not observed in assessed sources</ns0:t>
        </ns0:is>
      </ns0:c>
      <ns0:c r="E1383" s="19" t="inlineStr">
        <ns0:is>
          <ns0:t>Resting-state fMRI functional connectivity with VAE-pretrained MLP, internal repeated cross-validation.</ns0:t>
        </ns0:is>
      </ns0:c>
      <ns0:c r="F1383" s="19" t="inlineStr">
        <ns0:is>
          <ns0:t>https://doi.org/10.1016/j.compbiomed.2022.105854</ns0:t>
        </ns0:is>
      </ns0:c>
      <ns0:c r="G1383" s="19" t="inlineStr">
        <ns0:is>
          <ns0:t>ChatGPT-assisted evidence recharting, 2026-09-08</ns0:t>
        </ns0:is>
      </ns0:c>
    </ns0:row>
    <ns0:row r="1384" ht="42" customHeight="1">
      <ns0:c r="A1384" s="21" t="inlineStr">
        <ns0:is>
          <ns0:t>251</ns0:t>
        </ns0:is>
      </ns0:c>
      <ns0:c r="B1384" s="21" t="inlineStr">
        <ns0:is>
          <ns0:t>data_source_primary</ns0:t>
        </ns0:is>
      </ns0:c>
      <ns0:c r="C1384" s="21" t="inlineStr">
        <ns0:is>
          <ns0:t>Physiological signals</ns0:t>
        </ns0:is>
      </ns0:c>
      <ns0:c r="D1384" s="21" t="inlineStr">
        <ns0:is>
          <ns0:t>Biological/omics</ns0:t>
        </ns0:is>
      </ns0:c>
      <ns0:c r="E1384" s="21" t="inlineStr">
        <ns0:is>
          <ns0:t>Integrative human transcriptomics/ceRNA marker study, including SVM and RF; not physiological signal or generic NLP.</ns0:t>
        </ns0:is>
      </ns0:c>
      <ns0:c r="F1384" s="21" t="inlineStr">
        <ns0:is>
          <ns0:t>https://doi.org/10.1038/s41398-023-02662-5</ns0:t>
        </ns0:is>
      </ns0:c>
      <ns0:c r="G1384" s="21" t="inlineStr">
        <ns0:is>
          <ns0:t>ChatGPT-assisted evidence recharting, 2026-09-08</ns0:t>
        </ns0:is>
      </ns0:c>
    </ns0:row>
    <ns0:row r="1385" ht="42" customHeight="1">
      <ns0:c r="A1385" s="19" t="inlineStr">
        <ns0:is>
          <ns0:t>251</ns0:t>
        </ns0:is>
      </ns0:c>
      <ns0:c r="B1385" s="19" t="inlineStr">
        <ns0:is>
          <ns0:t>algorithm_main</ns0:t>
        </ns0:is>
      </ns0:c>
      <ns0:c r="C1385" s="19" t="inlineStr">
        <ns0:is>
          <ns0:t>SVM</ns0:t>
        </ns0:is>
      </ns0:c>
      <ns0:c r="D1385" s="19" t="inlineStr">
        <ns0:is>
          <ns0:t>SVM / random forest</ns0:t>
        </ns0:is>
      </ns0:c>
      <ns0:c r="E1385" s="19" t="inlineStr">
        <ns0:is>
          <ns0:t>Integrative human transcriptomics/ceRNA marker study, including SVM and RF; not physiological signal or generic NLP.</ns0:t>
        </ns0:is>
      </ns0:c>
      <ns0:c r="F1385" s="19" t="inlineStr">
        <ns0:is>
          <ns0:t>https://doi.org/10.1038/s41398-023-02662-5</ns0:t>
        </ns0:is>
      </ns0:c>
      <ns0:c r="G1385" s="19" t="inlineStr">
        <ns0:is>
          <ns0:t>ChatGPT-assisted evidence recharting, 2026-09-08</ns0:t>
        </ns0:is>
      </ns0:c>
    </ns0:row>
    <ns0:row r="1386" ht="42" customHeight="1">
      <ns0:c r="A1386" s="21" t="inlineStr">
        <ns0:is>
          <ns0:t>251</ns0:t>
        </ns0:is>
      </ns0:c>
      <ns0:c r="B1386" s="21" t="inlineStr">
        <ns0:is>
          <ns0:t>rq2_status</ns0:t>
        </ns0:is>
      </ns0:c>
      <ns0:c r="C1386" s="21" t="inlineStr">
        <ns0:is>
          <ns0:t>Not adjudicated in master</ns0:t>
        </ns0:is>
      </ns0:c>
      <ns0:c r="D1386" s="21" t="inlineStr">
        <ns0:is>
          <ns0:t>Research only</ns0:t>
        </ns0:is>
      </ns0:c>
      <ns0:c r="E1386" s="21" t="inlineStr">
        <ns0:is>
          <ns0:t>Integrative human transcriptomics/ceRNA marker study, including SVM and RF; not physiological signal or generic NLP.</ns0:t>
        </ns0:is>
      </ns0:c>
      <ns0:c r="F1386" s="21" t="inlineStr">
        <ns0:is>
          <ns0:t>https://doi.org/10.1038/s41398-023-02662-5</ns0:t>
        </ns0:is>
      </ns0:c>
      <ns0:c r="G1386" s="21" t="inlineStr">
        <ns0:is>
          <ns0:t>ChatGPT-assisted evidence recharting, 2026-09-08</ns0:t>
        </ns0:is>
      </ns0:c>
    </ns0:row>
    <ns0:row r="1387" ht="42" customHeight="1">
      <ns0:c r="A1387" s="19" t="inlineStr">
        <ns0:is>
          <ns0:t>251</ns0:t>
        </ns0:is>
      </ns0:c>
      <ns0:c r="B1387" s="19" t="inlineStr">
        <ns0:is>
          <ns0:t>rq2_role</ns0:t>
        </ns0:is>
      </ns0:c>
      <ns0:c r="C1387" s="19" t="inlineStr"/>
      <ns0:c r="D1387" s="19" t="inlineStr">
        <ns0:is>
          <ns0:t>Automated measurement/classification</ns0:t>
        </ns0:is>
      </ns0:c>
      <ns0:c r="E1387" s="19" t="inlineStr">
        <ns0:is>
          <ns0:t>Integrative human transcriptomics/ceRNA marker study, including SVM and RF; not physiological signal or generic NLP.</ns0:t>
        </ns0:is>
      </ns0:c>
      <ns0:c r="F1387" s="19" t="inlineStr">
        <ns0:is>
          <ns0:t>https://doi.org/10.1038/s41398-023-02662-5</ns0:t>
        </ns0:is>
      </ns0:c>
      <ns0:c r="G1387" s="19" t="inlineStr">
        <ns0:is>
          <ns0:t>ChatGPT-assisted evidence recharting, 2026-09-08</ns0:t>
        </ns0:is>
      </ns0:c>
    </ns0:row>
    <ns0:row r="1388" ht="42" customHeight="1">
      <ns0:c r="A1388" s="21" t="inlineStr">
        <ns0:is>
          <ns0:t>251</ns0:t>
        </ns0:is>
      </ns0:c>
      <ns0:c r="B1388" s="21" t="inlineStr">
        <ns0:is>
          <ns0:t>decision_timing</ns0:t>
        </ns0:is>
      </ns0:c>
      <ns0:c r="C1388" s="21" t="inlineStr"/>
      <ns0:c r="D1388" s="21" t="inlineStr">
        <ns0:is>
          <ns0:t>Not observed in assessed sources</ns0:t>
        </ns0:is>
      </ns0:c>
      <ns0:c r="E1388" s="21" t="inlineStr">
        <ns0:is>
          <ns0:t>Integrative human transcriptomics/ceRNA marker study, including SVM and RF; not physiological signal or generic NLP.</ns0:t>
        </ns0:is>
      </ns0:c>
      <ns0:c r="F1388" s="21" t="inlineStr">
        <ns0:is>
          <ns0:t>https://doi.org/10.1038/s41398-023-02662-5</ns0:t>
        </ns0:is>
      </ns0:c>
      <ns0:c r="G1388" s="21" t="inlineStr">
        <ns0:is>
          <ns0:t>ChatGPT-assisted evidence recharting, 2026-09-08</ns0:t>
        </ns0:is>
      </ns0:c>
    </ns0:row>
    <ns0:row r="1389" ht="42" customHeight="1">
      <ns0:c r="A1389" s="19" t="inlineStr">
        <ns0:is>
          <ns0:t>251</ns0:t>
        </ns0:is>
      </ns0:c>
      <ns0:c r="B1389" s="19" t="inlineStr">
        <ns0:is>
          <ns0:t>multisource_data</ns0:t>
        </ns0:is>
      </ns0:c>
      <ns0:c r="C1389" s="19" t="inlineStr">
        <ns0:is>
          <ns0:t>Not reported in assessed sources</ns0:t>
        </ns0:is>
      </ns0:c>
      <ns0:c r="D1389" s="19" t="inlineStr">
        <ns0:is>
          <ns0:t>Reported</ns0:t>
        </ns0:is>
      </ns0:c>
      <ns0:c r="E1389" s="19" t="inlineStr">
        <ns0:is>
          <ns0:t>Integrative human transcriptomics/ceRNA marker study, including SVM and RF; not physiological signal or generic NLP.</ns0:t>
        </ns0:is>
      </ns0:c>
      <ns0:c r="F1389" s="19" t="inlineStr">
        <ns0:is>
          <ns0:t>https://doi.org/10.1038/s41398-023-02662-5</ns0:t>
        </ns0:is>
      </ns0:c>
      <ns0:c r="G1389" s="19" t="inlineStr">
        <ns0:is>
          <ns0:t>ChatGPT-assisted evidence recharting, 2026-09-08</ns0:t>
        </ns0:is>
      </ns0:c>
    </ns0:row>
    <ns0:row r="1390" ht="42" customHeight="1">
      <ns0:c r="A1390" s="21" t="inlineStr">
        <ns0:is>
          <ns0:t>253</ns0:t>
        </ns0:is>
      </ns0:c>
      <ns0:c r="B1390" s="21" t="inlineStr">
        <ns0:is>
          <ns0:t>ai_type</ns0:t>
        </ns0:is>
      </ns0:c>
      <ns0:c r="C1390" s="21" t="inlineStr">
        <ns0:is>
          <ns0:t>Deep Learning</ns0:t>
        </ns0:is>
      </ns0:c>
      <ns0:c r="D1390" s="21" t="inlineStr">
        <ns0:is>
          <ns0:t>Machine Learning</ns0:t>
        </ns0:is>
      </ns0:c>
      <ns0:c r="E1390" s="21" t="inlineStr">
        <ns0:is>
          <ns0:t>Filmed interpersonal motor coordination and engineered wavelet coherence features; no deep architecture specified.</ns0:t>
        </ns0:is>
      </ns0:c>
      <ns0:c r="F1390" s="21" t="inlineStr">
        <ns0:is>
          <ns0:t>https://doi.org/10.1016/j.irbm.2024.100838</ns0:t>
        </ns0:is>
      </ns0:c>
      <ns0:c r="G1390" s="21" t="inlineStr">
        <ns0:is>
          <ns0:t>ChatGPT-assisted evidence recharting, 2026-09-08</ns0:t>
        </ns0:is>
      </ns0:c>
    </ns0:row>
    <ns0:row r="1391" ht="42" customHeight="1">
      <ns0:c r="A1391" s="19" t="inlineStr">
        <ns0:is>
          <ns0:t>253</ns0:t>
        </ns0:is>
      </ns0:c>
      <ns0:c r="B1391" s="19" t="inlineStr">
        <ns0:is>
          <ns0:t>data_source_primary</ns0:t>
        </ns0:is>
      </ns0:c>
      <ns0:c r="C1391" s="19" t="inlineStr">
        <ns0:is>
          <ns0:t>Physiological signals</ns0:t>
        </ns0:is>
      </ns0:c>
      <ns0:c r="D1391" s="19" t="inlineStr">
        <ns0:is>
          <ns0:t>Behavioral images/video/gaze/movement</ns0:t>
        </ns0:is>
      </ns0:c>
      <ns0:c r="E1391" s="19" t="inlineStr">
        <ns0:is>
          <ns0:t>Filmed interpersonal motor coordination and engineered wavelet coherence features; no deep architecture specified.</ns0:t>
        </ns0:is>
      </ns0:c>
      <ns0:c r="F1391" s="19" t="inlineStr">
        <ns0:is>
          <ns0:t>https://doi.org/10.1016/j.irbm.2024.100838</ns0:t>
        </ns0:is>
      </ns0:c>
      <ns0:c r="G1391" s="19" t="inlineStr">
        <ns0:is>
          <ns0:t>ChatGPT-assisted evidence recharting, 2026-09-08</ns0:t>
        </ns0:is>
      </ns0:c>
    </ns0:row>
    <ns0:row r="1392" ht="42" customHeight="1">
      <ns0:c r="A1392" s="21" t="inlineStr">
        <ns0:is>
          <ns0:t>253</ns0:t>
        </ns0:is>
      </ns0:c>
      <ns0:c r="B1392" s="21" t="inlineStr">
        <ns0:is>
          <ns0:t>algorithm_main</ns0:t>
        </ns0:is>
      </ns0:c>
      <ns0:c r="C1392" s="21" t="inlineStr">
        <ns0:is>
          <ns0:t>Other / Not clear</ns0:t>
        </ns0:is>
      </ns0:c>
      <ns0:c r="D1392" s="21" t="inlineStr">
        <ns0:is>
          <ns0:t>Not specified</ns0:t>
        </ns0:is>
      </ns0:c>
      <ns0:c r="E1392" s="21" t="inlineStr">
        <ns0:is>
          <ns0:t>Filmed interpersonal motor coordination and engineered wavelet coherence features; no deep architecture specified.</ns0:t>
        </ns0:is>
      </ns0:c>
      <ns0:c r="F1392" s="21" t="inlineStr">
        <ns0:is>
          <ns0:t>https://doi.org/10.1016/j.irbm.2024.100838</ns0:t>
        </ns0:is>
      </ns0:c>
      <ns0:c r="G1392" s="21" t="inlineStr">
        <ns0:is>
          <ns0:t>ChatGPT-assisted evidence recharting, 2026-09-08</ns0:t>
        </ns0:is>
      </ns0:c>
    </ns0:row>
    <ns0:row r="1393" ht="42" customHeight="1">
      <ns0:c r="A1393" s="19" t="inlineStr">
        <ns0:is>
          <ns0:t>253</ns0:t>
        </ns0:is>
      </ns0:c>
      <ns0:c r="B1393" s="19" t="inlineStr">
        <ns0:is>
          <ns0:t>rq2_status</ns0:t>
        </ns0:is>
      </ns0:c>
      <ns0:c r="C1393" s="19" t="inlineStr">
        <ns0:is>
          <ns0:t>Not adjudicated in master</ns0:t>
        </ns0:is>
      </ns0:c>
      <ns0:c r="D1393" s="19" t="inlineStr">
        <ns0:is>
          <ns0:t>Research only</ns0:t>
        </ns0:is>
      </ns0:c>
      <ns0:c r="E1393" s="19" t="inlineStr">
        <ns0:is>
          <ns0:t>Filmed interpersonal motor coordination and engineered wavelet coherence features; no deep architecture specified.</ns0:t>
        </ns0:is>
      </ns0:c>
      <ns0:c r="F1393" s="19" t="inlineStr">
        <ns0:is>
          <ns0:t>https://doi.org/10.1016/j.irbm.2024.100838</ns0:t>
        </ns0:is>
      </ns0:c>
      <ns0:c r="G1393" s="19" t="inlineStr">
        <ns0:is>
          <ns0:t>ChatGPT-assisted evidence recharting, 2026-09-08</ns0:t>
        </ns0:is>
      </ns0:c>
    </ns0:row>
    <ns0:row r="1394" ht="42" customHeight="1">
      <ns0:c r="A1394" s="21" t="inlineStr">
        <ns0:is>
          <ns0:t>253</ns0:t>
        </ns0:is>
      </ns0:c>
      <ns0:c r="B1394" s="21" t="inlineStr">
        <ns0:is>
          <ns0:t>rq2_role</ns0:t>
        </ns0:is>
      </ns0:c>
      <ns0:c r="C1394" s="21" t="inlineStr"/>
      <ns0:c r="D1394" s="21" t="inlineStr">
        <ns0:is>
          <ns0:t>Automated measurement/classification</ns0:t>
        </ns0:is>
      </ns0:c>
      <ns0:c r="E1394" s="21" t="inlineStr">
        <ns0:is>
          <ns0:t>Filmed interpersonal motor coordination and engineered wavelet coherence features; no deep architecture specified.</ns0:t>
        </ns0:is>
      </ns0:c>
      <ns0:c r="F1394" s="21" t="inlineStr">
        <ns0:is>
          <ns0:t>https://doi.org/10.1016/j.irbm.2024.100838</ns0:t>
        </ns0:is>
      </ns0:c>
      <ns0:c r="G1394" s="21" t="inlineStr">
        <ns0:is>
          <ns0:t>ChatGPT-assisted evidence recharting, 2026-09-08</ns0:t>
        </ns0:is>
      </ns0:c>
    </ns0:row>
    <ns0:row r="1395" ht="42" customHeight="1">
      <ns0:c r="A1395" s="19" t="inlineStr">
        <ns0:is>
          <ns0:t>253</ns0:t>
        </ns0:is>
      </ns0:c>
      <ns0:c r="B1395" s="19" t="inlineStr">
        <ns0:is>
          <ns0:t>decision_timing</ns0:t>
        </ns0:is>
      </ns0:c>
      <ns0:c r="C1395" s="19" t="inlineStr"/>
      <ns0:c r="D1395" s="19" t="inlineStr">
        <ns0:is>
          <ns0:t>Not observed in assessed sources</ns0:t>
        </ns0:is>
      </ns0:c>
      <ns0:c r="E1395" s="19" t="inlineStr">
        <ns0:is>
          <ns0:t>Filmed interpersonal motor coordination and engineered wavelet coherence features; no deep architecture specified.</ns0:t>
        </ns0:is>
      </ns0:c>
      <ns0:c r="F1395" s="19" t="inlineStr">
        <ns0:is>
          <ns0:t>https://doi.org/10.1016/j.irbm.2024.100838</ns0:t>
        </ns0:is>
      </ns0:c>
      <ns0:c r="G1395" s="19" t="inlineStr">
        <ns0:is>
          <ns0:t>ChatGPT-assisted evidence recharting, 2026-09-08</ns0:t>
        </ns0:is>
      </ns0:c>
    </ns0:row>
    <ns0:row r="1396" ht="45" customHeight="1">
      <ns0:c r="A1396" s="21" t="inlineStr">
        <ns0:is>
          <ns0:t>254</ns0:t>
        </ns0:is>
      </ns0:c>
      <ns0:c r="B1396" s="21" t="inlineStr">
        <ns0:is>
          <ns0:t>data_source_primary</ns0:t>
        </ns0:is>
      </ns0:c>
      <ns0:c r="C1396" s="21" t="inlineStr">
        <ns0:is>
          <ns0:t>Image (subtype unresolved)</ns0:t>
        </ns0:is>
      </ns0:c>
      <ns0:c r="D1396" s="21" t="inlineStr">
        <ns0:is>
          <ns0:t>Neuroimaging</ns0:t>
        </ns0:is>
      </ns0:c>
      <ns0:c r="E1396" s="21" t="inlineStr">
        <ns0:is>
          <ns0:t>Multi-center low-rank domain adaptation plus KNN. Target-center data participate in representation learning, so this is site-adapted evaluation, not untouched external validation.
Cross-center domain adaptation; target data used during adaptation, not untouched external cohort</ns0:t>
        </ns0:is>
      </ns0:c>
      <ns0:c r="F1396" s="21" t="inlineStr">
        <ns0:is>
          <ns0:t>https://doi.org/10.1007/978-3-030-00928-1_73</ns0:t>
        </ns0:is>
      </ns0:c>
      <ns0:c r="G1396" s="21" t="inlineStr">
        <ns0:is>
          <ns0:t>ChatGPT-assisted evidence recharting, 2026-09-08</ns0:t>
        </ns0:is>
      </ns0:c>
    </ns0:row>
    <ns0:row r="1397" ht="45" customHeight="1">
      <ns0:c r="A1397" s="19" t="inlineStr">
        <ns0:is>
          <ns0:t>254</ns0:t>
        </ns0:is>
      </ns0:c>
      <ns0:c r="B1397" s="19" t="inlineStr">
        <ns0:is>
          <ns0:t>algorithm_main</ns0:t>
        </ns0:is>
      </ns0:c>
      <ns0:c r="C1397" s="19" t="inlineStr">
        <ns0:is>
          <ns0:t>k-NN</ns0:t>
        </ns0:is>
      </ns0:c>
      <ns0:c r="D1397" s="19" t="inlineStr">
        <ns0:is>
          <ns0:t>k-nearest neighbors</ns0:t>
        </ns0:is>
      </ns0:c>
      <ns0:c r="E1397" s="19" t="inlineStr">
        <ns0:is>
          <ns0:t>Multi-center low-rank domain adaptation plus KNN. Target-center data participate in representation learning, so this is site-adapted evaluation, not untouched external validation.
Cross-center domain adaptation; target data used during adaptation, not untouched external cohort</ns0:t>
        </ns0:is>
      </ns0:c>
      <ns0:c r="F1397" s="19" t="inlineStr">
        <ns0:is>
          <ns0:t>https://doi.org/10.1007/978-3-030-00928-1_73</ns0:t>
        </ns0:is>
      </ns0:c>
      <ns0:c r="G1397" s="19" t="inlineStr">
        <ns0:is>
          <ns0:t>ChatGPT-assisted evidence recharting, 2026-09-08</ns0:t>
        </ns0:is>
      </ns0:c>
    </ns0:row>
    <ns0:row r="1398" ht="45" customHeight="1">
      <ns0:c r="A1398" s="21" t="inlineStr">
        <ns0:is>
          <ns0:t>254</ns0:t>
        </ns0:is>
      </ns0:c>
      <ns0:c r="B1398" s="21" t="inlineStr">
        <ns0:is>
          <ns0:t>rq2_status</ns0:t>
        </ns0:is>
      </ns0:c>
      <ns0:c r="C1398" s="21" t="inlineStr">
        <ns0:is>
          <ns0:t>Not adjudicated in master</ns0:t>
        </ns0:is>
      </ns0:c>
      <ns0:c r="D1398" s="21" t="inlineStr">
        <ns0:is>
          <ns0:t>Research only</ns0:t>
        </ns0:is>
      </ns0:c>
      <ns0:c r="E1398" s="21" t="inlineStr">
        <ns0:is>
          <ns0:t>Multi-center low-rank domain adaptation plus KNN. Target-center data participate in representation learning, so this is site-adapted evaluation, not untouched external validation.
Cross-center domain adaptation; target data used during adaptation, not untouched external cohort</ns0:t>
        </ns0:is>
      </ns0:c>
      <ns0:c r="F1398" s="21" t="inlineStr">
        <ns0:is>
          <ns0:t>https://doi.org/10.1007/978-3-030-00928-1_73</ns0:t>
        </ns0:is>
      </ns0:c>
      <ns0:c r="G1398" s="21" t="inlineStr">
        <ns0:is>
          <ns0:t>ChatGPT-assisted evidence recharting, 2026-09-08</ns0:t>
        </ns0:is>
      </ns0:c>
    </ns0:row>
    <ns0:row r="1399" ht="45" customHeight="1">
      <ns0:c r="A1399" s="19" t="inlineStr">
        <ns0:is>
          <ns0:t>254</ns0:t>
        </ns0:is>
      </ns0:c>
      <ns0:c r="B1399" s="19" t="inlineStr">
        <ns0:is>
          <ns0:t>rq2_role</ns0:t>
        </ns0:is>
      </ns0:c>
      <ns0:c r="C1399" s="19" t="inlineStr"/>
      <ns0:c r="D1399" s="19" t="inlineStr">
        <ns0:is>
          <ns0:t>Automated measurement/classification</ns0:t>
        </ns0:is>
      </ns0:c>
      <ns0:c r="E1399" s="19" t="inlineStr">
        <ns0:is>
          <ns0:t>Multi-center low-rank domain adaptation plus KNN. Target-center data participate in representation learning, so this is site-adapted evaluation, not untouched external validation.
Cross-center domain adaptation; target data used during adaptation, not untouched external cohort</ns0:t>
        </ns0:is>
      </ns0:c>
      <ns0:c r="F1399" s="19" t="inlineStr">
        <ns0:is>
          <ns0:t>https://doi.org/10.1007/978-3-030-00928-1_73</ns0:t>
        </ns0:is>
      </ns0:c>
      <ns0:c r="G1399" s="19" t="inlineStr">
        <ns0:is>
          <ns0:t>ChatGPT-assisted evidence recharting, 2026-09-08</ns0:t>
        </ns0:is>
      </ns0:c>
    </ns0:row>
    <ns0:row r="1400" ht="45" customHeight="1">
      <ns0:c r="A1400" s="21" t="inlineStr">
        <ns0:is>
          <ns0:t>254</ns0:t>
        </ns0:is>
      </ns0:c>
      <ns0:c r="B1400" s="21" t="inlineStr">
        <ns0:is>
          <ns0:t>decision_timing</ns0:t>
        </ns0:is>
      </ns0:c>
      <ns0:c r="C1400" s="21" t="inlineStr"/>
      <ns0:c r="D1400" s="21" t="inlineStr">
        <ns0:is>
          <ns0:t>Not observed in assessed sources</ns0:t>
        </ns0:is>
      </ns0:c>
      <ns0:c r="E1400" s="21" t="inlineStr">
        <ns0:is>
          <ns0:t>Multi-center low-rank domain adaptation plus KNN. Target-center data participate in representation learning, so this is site-adapted evaluation, not untouched external validation.
Cross-center domain adaptation; target data used during adaptation, not untouched external cohort</ns0:t>
        </ns0:is>
      </ns0:c>
      <ns0:c r="F1400" s="21" t="inlineStr">
        <ns0:is>
          <ns0:t>https://doi.org/10.1007/978-3-030-00928-1_73</ns0:t>
        </ns0:is>
      </ns0:c>
      <ns0:c r="G1400" s="21" t="inlineStr">
        <ns0:is>
          <ns0:t>ChatGPT-assisted evidence recharting, 2026-09-08</ns0:t>
        </ns0:is>
      </ns0:c>
    </ns0:row>
    <ns0:row r="1401" ht="42" customHeight="1">
      <ns0:c r="A1401" s="19" t="inlineStr">
        <ns0:is>
          <ns0:t>255</ns0:t>
        </ns0:is>
      </ns0:c>
      <ns0:c r="B1401" s="19" t="inlineStr">
        <ns0:is>
          <ns0:t>rq2_status</ns0:t>
        </ns0:is>
      </ns0:c>
      <ns0:c r="C1401" s="19" t="inlineStr">
        <ns0:is>
          <ns0:t>Not adjudicated in master</ns0:t>
        </ns0:is>
      </ns0:c>
      <ns0:c r="D1401" s="19" t="inlineStr">
        <ns0:is>
          <ns0:t>Research only</ns0:t>
        </ns0:is>
      </ns0:c>
      <ns0:c r="E1401" s="19" t="inlineStr">
        <ns0:is>
          <ns0:t>EEG spatial-temporal attention CNN. Attention mechanism alone does not demonstrate explanatory analysis.</ns0:t>
        </ns0:is>
      </ns0:c>
      <ns0:c r="F1401" s="19" t="inlineStr">
        <ns0:is>
          <ns0:t>https://doi.org/10.1109/tnsre.2025.3580593</ns0:t>
        </ns0:is>
      </ns0:c>
      <ns0:c r="G1401" s="19" t="inlineStr">
        <ns0:is>
          <ns0:t>ChatGPT-assisted evidence recharting, 2026-09-08</ns0:t>
        </ns0:is>
      </ns0:c>
    </ns0:row>
    <ns0:row r="1402" ht="42" customHeight="1">
      <ns0:c r="A1402" s="21" t="inlineStr">
        <ns0:is>
          <ns0:t>255</ns0:t>
        </ns0:is>
      </ns0:c>
      <ns0:c r="B1402" s="21" t="inlineStr">
        <ns0:is>
          <ns0:t>rq2_role</ns0:t>
        </ns0:is>
      </ns0:c>
      <ns0:c r="C1402" s="21" t="inlineStr"/>
      <ns0:c r="D1402" s="21" t="inlineStr">
        <ns0:is>
          <ns0:t>Automated measurement/classification</ns0:t>
        </ns0:is>
      </ns0:c>
      <ns0:c r="E1402" s="21" t="inlineStr">
        <ns0:is>
          <ns0:t>EEG spatial-temporal attention CNN. Attention mechanism alone does not demonstrate explanatory analysis.</ns0:t>
        </ns0:is>
      </ns0:c>
      <ns0:c r="F1402" s="21" t="inlineStr">
        <ns0:is>
          <ns0:t>https://doi.org/10.1109/tnsre.2025.3580593</ns0:t>
        </ns0:is>
      </ns0:c>
      <ns0:c r="G1402" s="21" t="inlineStr">
        <ns0:is>
          <ns0:t>ChatGPT-assisted evidence recharting, 2026-09-08</ns0:t>
        </ns0:is>
      </ns0:c>
    </ns0:row>
    <ns0:row r="1403" ht="42" customHeight="1">
      <ns0:c r="A1403" s="19" t="inlineStr">
        <ns0:is>
          <ns0:t>255</ns0:t>
        </ns0:is>
      </ns0:c>
      <ns0:c r="B1403" s="19" t="inlineStr">
        <ns0:is>
          <ns0:t>decision_timing</ns0:t>
        </ns0:is>
      </ns0:c>
      <ns0:c r="C1403" s="19" t="inlineStr"/>
      <ns0:c r="D1403" s="19" t="inlineStr">
        <ns0:is>
          <ns0:t>Not observed in assessed sources</ns0:t>
        </ns0:is>
      </ns0:c>
      <ns0:c r="E1403" s="19" t="inlineStr">
        <ns0:is>
          <ns0:t>EEG spatial-temporal attention CNN. Attention mechanism alone does not demonstrate explanatory analysis.</ns0:t>
        </ns0:is>
      </ns0:c>
      <ns0:c r="F1403" s="19" t="inlineStr">
        <ns0:is>
          <ns0:t>https://doi.org/10.1109/tnsre.2025.3580593</ns0:t>
        </ns0:is>
      </ns0:c>
      <ns0:c r="G1403" s="19" t="inlineStr">
        <ns0:is>
          <ns0:t>ChatGPT-assisted evidence recharting, 2026-09-08</ns0:t>
        </ns0:is>
      </ns0:c>
    </ns0:row>
    <ns0:row r="1404" ht="42" customHeight="1">
      <ns0:c r="A1404" s="21" t="inlineStr">
        <ns0:is>
          <ns0:t>256</ns0:t>
        </ns0:is>
      </ns0:c>
      <ns0:c r="B1404" s="21" t="inlineStr">
        <ns0:is>
          <ns0:t>eligibility</ns0:t>
        </ns0:is>
      </ns0:c>
      <ns0:c r="C1404" s="21" t="inlineStr">
        <ns0:is>
          <ns0:t>Include</ns0:t>
        </ns0:is>
      </ns0:c>
      <ns0:c r="D1404" s="21" t="inlineStr">
        <ns0:is>
          <ns0:t>Exclude</ns0:t>
        </ns0:is>
      </ns0:c>
      <ns0:c r="E1404" s="21" t="inlineStr">
        <ns0:is>
          <ns0:t>Elsevier B978 edited-book chapter; distinguish it from eligible full conference proceedings.</ns0:t>
        </ns0:is>
      </ns0:c>
      <ns0:c r="F1404" s="21" t="inlineStr">
        <ns0:is>
          <ns0:t>https://doi.org/10.1016/b978-0-12-822822-7.00008-9</ns0:t>
        </ns0:is>
      </ns0:c>
      <ns0:c r="G1404" s="21" t="inlineStr">
        <ns0:is>
          <ns0:t>ChatGPT-assisted evidence recharting, 2026-09-08</ns0:t>
        </ns0:is>
      </ns0:c>
    </ns0:row>
    <ns0:row r="1405" ht="42" customHeight="1">
      <ns0:c r="A1405" s="19" t="inlineStr">
        <ns0:is>
          <ns0:t>256</ns0:t>
        </ns0:is>
      </ns0:c>
      <ns0:c r="B1405" s="19" t="inlineStr">
        <ns0:is>
          <ns0:t>stage_primary</ns0:t>
        </ns0:is>
      </ns0:c>
      <ns0:c r="C1405" s="19" t="inlineStr">
        <ns0:is>
          <ns0:t>Diagnosis</ns0:t>
        </ns0:is>
      </ns0:c>
      <ns0:c r="D1405" s="19" t="inlineStr">
        <ns0:is>
          <ns0:t>Excluded</ns0:t>
        </ns0:is>
      </ns0:c>
      <ns0:c r="E1405" s="19" t="inlineStr">
        <ns0:is>
          <ns0:t>Elsevier B978 edited-book chapter; distinguish it from eligible full conference proceedings.</ns0:t>
        </ns0:is>
      </ns0:c>
      <ns0:c r="F1405" s="19" t="inlineStr">
        <ns0:is>
          <ns0:t>https://doi.org/10.1016/b978-0-12-822822-7.00008-9</ns0:t>
        </ns0:is>
      </ns0:c>
      <ns0:c r="G1405" s="19" t="inlineStr">
        <ns0:is>
          <ns0:t>ChatGPT-assisted evidence recharting, 2026-09-08</ns0:t>
        </ns0:is>
      </ns0:c>
    </ns0:row>
    <ns0:row r="1406" ht="42" customHeight="1">
      <ns0:c r="A1406" s="21" t="inlineStr">
        <ns0:is>
          <ns0:t>256</ns0:t>
        </ns0:is>
      </ns0:c>
      <ns0:c r="B1406" s="21" t="inlineStr">
        <ns0:is>
          <ns0:t>ai_type</ns0:t>
        </ns0:is>
      </ns0:c>
      <ns0:c r="C1406" s="21" t="inlineStr">
        <ns0:is>
          <ns0:t>Deep Learning</ns0:t>
        </ns0:is>
      </ns0:c>
      <ns0:c r="D1406" s="21" t="inlineStr">
        <ns0:is>
          <ns0:t>Excluded</ns0:t>
        </ns0:is>
      </ns0:c>
      <ns0:c r="E1406" s="21" t="inlineStr">
        <ns0:is>
          <ns0:t>Elsevier B978 edited-book chapter; distinguish it from eligible full conference proceedings.</ns0:t>
        </ns0:is>
      </ns0:c>
      <ns0:c r="F1406" s="21" t="inlineStr">
        <ns0:is>
          <ns0:t>https://doi.org/10.1016/b978-0-12-822822-7.00008-9</ns0:t>
        </ns0:is>
      </ns0:c>
      <ns0:c r="G1406" s="21" t="inlineStr">
        <ns0:is>
          <ns0:t>ChatGPT-assisted evidence recharting, 2026-09-08</ns0:t>
        </ns0:is>
      </ns0:c>
    </ns0:row>
    <ns0:row r="1407" ht="42" customHeight="1">
      <ns0:c r="A1407" s="19" t="inlineStr">
        <ns0:is>
          <ns0:t>256</ns0:t>
        </ns0:is>
      </ns0:c>
      <ns0:c r="B1407" s="19" t="inlineStr">
        <ns0:is>
          <ns0:t>data_source_primary</ns0:t>
        </ns0:is>
      </ns0:c>
      <ns0:c r="C1407" s="19" t="inlineStr">
        <ns0:is>
          <ns0:t>Physiological signals</ns0:t>
        </ns0:is>
      </ns0:c>
      <ns0:c r="D1407" s="19" t="inlineStr">
        <ns0:is>
          <ns0:t>Excluded</ns0:t>
        </ns0:is>
      </ns0:c>
      <ns0:c r="E1407" s="19" t="inlineStr">
        <ns0:is>
          <ns0:t>Elsevier B978 edited-book chapter; distinguish it from eligible full conference proceedings.</ns0:t>
        </ns0:is>
      </ns0:c>
      <ns0:c r="F1407" s="19" t="inlineStr">
        <ns0:is>
          <ns0:t>https://doi.org/10.1016/b978-0-12-822822-7.00008-9</ns0:t>
        </ns0:is>
      </ns0:c>
      <ns0:c r="G1407" s="19" t="inlineStr">
        <ns0:is>
          <ns0:t>ChatGPT-assisted evidence recharting, 2026-09-08</ns0:t>
        </ns0:is>
      </ns0:c>
    </ns0:row>
    <ns0:row r="1408" ht="42" customHeight="1">
      <ns0:c r="A1408" s="21" t="inlineStr">
        <ns0:is>
          <ns0:t>256</ns0:t>
        </ns0:is>
      </ns0:c>
      <ns0:c r="B1408" s="21" t="inlineStr">
        <ns0:is>
          <ns0:t>algorithm_main</ns0:t>
        </ns0:is>
      </ns0:c>
      <ns0:c r="C1408" s="21" t="inlineStr"/>
      <ns0:c r="D1408" s="21" t="inlineStr">
        <ns0:is>
          <ns0:t>Not specified</ns0:t>
        </ns0:is>
      </ns0:c>
      <ns0:c r="E1408" s="21" t="inlineStr">
        <ns0:is>
          <ns0:t>Elsevier B978 edited-book chapter; distinguish it from eligible full conference proceedings.</ns0:t>
        </ns0:is>
      </ns0:c>
      <ns0:c r="F1408" s="21" t="inlineStr">
        <ns0:is>
          <ns0:t>https://doi.org/10.1016/b978-0-12-822822-7.00008-9</ns0:t>
        </ns0:is>
      </ns0:c>
      <ns0:c r="G1408" s="21" t="inlineStr">
        <ns0:is>
          <ns0:t>ChatGPT-assisted evidence recharting, 2026-09-08</ns0:t>
        </ns0:is>
      </ns0:c>
    </ns0:row>
    <ns0:row r="1409" ht="42" customHeight="1">
      <ns0:c r="A1409" s="19" t="inlineStr">
        <ns0:is>
          <ns0:t>256</ns0:t>
        </ns0:is>
      </ns0:c>
      <ns0:c r="B1409" s="19" t="inlineStr">
        <ns0:is>
          <ns0:t>rq2_status</ns0:t>
        </ns0:is>
      </ns0:c>
      <ns0:c r="C1409" s="19" t="inlineStr">
        <ns0:is>
          <ns0:t>Not adjudicated in master</ns0:t>
        </ns0:is>
      </ns0:c>
      <ns0:c r="D1409" s="19" t="inlineStr">
        <ns0:is>
          <ns0:t>Excluded</ns0:t>
        </ns0:is>
      </ns0:c>
      <ns0:c r="E1409" s="19" t="inlineStr">
        <ns0:is>
          <ns0:t>Elsevier B978 edited-book chapter; distinguish it from eligible full conference proceedings.</ns0:t>
        </ns0:is>
      </ns0:c>
      <ns0:c r="F1409" s="19" t="inlineStr">
        <ns0:is>
          <ns0:t>https://doi.org/10.1016/b978-0-12-822822-7.00008-9</ns0:t>
        </ns0:is>
      </ns0:c>
      <ns0:c r="G1409" s="19" t="inlineStr">
        <ns0:is>
          <ns0:t>ChatGPT-assisted evidence recharting, 2026-09-08</ns0:t>
        </ns0:is>
      </ns0:c>
    </ns0:row>
    <ns0:row r="1410" ht="42" customHeight="1">
      <ns0:c r="A1410" s="21" t="inlineStr">
        <ns0:is>
          <ns0:t>256</ns0:t>
        </ns0:is>
      </ns0:c>
      <ns0:c r="B1410" s="21" t="inlineStr">
        <ns0:is>
          <ns0:t>rq2_role</ns0:t>
        </ns0:is>
      </ns0:c>
      <ns0:c r="C1410" s="21" t="inlineStr"/>
      <ns0:c r="D1410" s="21" t="inlineStr">
        <ns0:is>
          <ns0:t>Excluded</ns0:t>
        </ns0:is>
      </ns0:c>
      <ns0:c r="E1410" s="21" t="inlineStr">
        <ns0:is>
          <ns0:t>Elsevier B978 edited-book chapter; distinguish it from eligible full conference proceedings.</ns0:t>
        </ns0:is>
      </ns0:c>
      <ns0:c r="F1410" s="21" t="inlineStr">
        <ns0:is>
          <ns0:t>https://doi.org/10.1016/b978-0-12-822822-7.00008-9</ns0:t>
        </ns0:is>
      </ns0:c>
      <ns0:c r="G1410" s="21" t="inlineStr">
        <ns0:is>
          <ns0:t>ChatGPT-assisted evidence recharting, 2026-09-08</ns0:t>
        </ns0:is>
      </ns0:c>
    </ns0:row>
    <ns0:row r="1411" ht="42" customHeight="1">
      <ns0:c r="A1411" s="19" t="inlineStr">
        <ns0:is>
          <ns0:t>256</ns0:t>
        </ns0:is>
      </ns0:c>
      <ns0:c r="B1411" s="19" t="inlineStr">
        <ns0:is>
          <ns0:t>decision_timing</ns0:t>
        </ns0:is>
      </ns0:c>
      <ns0:c r="C1411" s="19" t="inlineStr"/>
      <ns0:c r="D1411" s="19" t="inlineStr">
        <ns0:is>
          <ns0:t>Not applicable - excluded</ns0:t>
        </ns0:is>
      </ns0:c>
      <ns0:c r="E1411" s="19" t="inlineStr">
        <ns0:is>
          <ns0:t>Elsevier B978 edited-book chapter; distinguish it from eligible full conference proceedings.</ns0:t>
        </ns0:is>
      </ns0:c>
      <ns0:c r="F1411" s="19" t="inlineStr">
        <ns0:is>
          <ns0:t>https://doi.org/10.1016/b978-0-12-822822-7.00008-9</ns0:t>
        </ns0:is>
      </ns0:c>
      <ns0:c r="G1411" s="19" t="inlineStr">
        <ns0:is>
          <ns0:t>ChatGPT-assisted evidence recharting, 2026-09-08</ns0:t>
        </ns0:is>
      </ns0:c>
    </ns0:row>
    <ns0:row r="1412" ht="42" customHeight="1">
      <ns0:c r="A1412" s="21" t="inlineStr">
        <ns0:is>
          <ns0:t>258</ns0:t>
        </ns0:is>
      </ns0:c>
      <ns0:c r="B1412" s="21" t="inlineStr">
        <ns0:is>
          <ns0:t>data_source_primary</ns0:t>
        </ns0:is>
      </ns0:c>
      <ns0:c r="C1412" s="21" t="inlineStr">
        <ns0:is>
          <ns0:t>Physiological signals</ns0:t>
        </ns0:is>
      </ns0:c>
      <ns0:c r="D1412" s="21" t="inlineStr">
        <ns0:is>
          <ns0:t>Not specified</ns0:t>
        </ns0:is>
      </ns0:c>
      <ns0:c r="E1412" s="21" t="inlineStr">
        <ns0:is>
          <ns0:t>Multi-domain transformer includes ASD toddler identification, but ASD-specific input modality is not specified. Other-domain text/dementia tasks cannot define the ASD data source.</ns0:t>
        </ns0:is>
      </ns0:c>
      <ns0:c r="F1412" s="21" t="inlineStr">
        <ns0:is>
          <ns0:t>https://doi.org/10.1038/s41598-025-09862-7</ns0:t>
        </ns0:is>
      </ns0:c>
      <ns0:c r="G1412" s="21" t="inlineStr">
        <ns0:is>
          <ns0:t>ChatGPT-assisted evidence recharting, 2026-09-08</ns0:t>
        </ns0:is>
      </ns0:c>
    </ns0:row>
    <ns0:row r="1413" ht="42" customHeight="1">
      <ns0:c r="A1413" s="19" t="inlineStr">
        <ns0:is>
          <ns0:t>258</ns0:t>
        </ns0:is>
      </ns0:c>
      <ns0:c r="B1413" s="19" t="inlineStr">
        <ns0:is>
          <ns0:t>algorithm_main</ns0:t>
        </ns0:is>
      </ns0:c>
      <ns0:c r="C1413" s="19" t="inlineStr">
        <ns0:is>
          <ns0:t>Other / Not clear</ns0:t>
        </ns0:is>
      </ns0:c>
      <ns0:c r="D1413" s="19" t="inlineStr">
        <ns0:is>
          <ns0:t>Transformer</ns0:t>
        </ns0:is>
      </ns0:c>
      <ns0:c r="E1413" s="19" t="inlineStr">
        <ns0:is>
          <ns0:t>Multi-domain transformer includes ASD toddler identification, but ASD-specific input modality is not specified. Other-domain text/dementia tasks cannot define the ASD data source.</ns0:t>
        </ns0:is>
      </ns0:c>
      <ns0:c r="F1413" s="19" t="inlineStr">
        <ns0:is>
          <ns0:t>https://doi.org/10.1038/s41598-025-09862-7</ns0:t>
        </ns0:is>
      </ns0:c>
      <ns0:c r="G1413" s="19" t="inlineStr">
        <ns0:is>
          <ns0:t>ChatGPT-assisted evidence recharting, 2026-09-08</ns0:t>
        </ns0:is>
      </ns0:c>
    </ns0:row>
    <ns0:row r="1414" ht="42" customHeight="1">
      <ns0:c r="A1414" s="21" t="inlineStr">
        <ns0:is>
          <ns0:t>258</ns0:t>
        </ns0:is>
      </ns0:c>
      <ns0:c r="B1414" s="21" t="inlineStr">
        <ns0:is>
          <ns0:t>rq2_status</ns0:t>
        </ns0:is>
      </ns0:c>
      <ns0:c r="C1414" s="21" t="inlineStr">
        <ns0:is>
          <ns0:t>Not adjudicated in master</ns0:t>
        </ns0:is>
      </ns0:c>
      <ns0:c r="D1414" s="21" t="inlineStr">
        <ns0:is>
          <ns0:t>Research only</ns0:t>
        </ns0:is>
      </ns0:c>
      <ns0:c r="E1414" s="21" t="inlineStr">
        <ns0:is>
          <ns0:t>Multi-domain transformer includes ASD toddler identification, but ASD-specific input modality is not specified. Other-domain text/dementia tasks cannot define the ASD data source.</ns0:t>
        </ns0:is>
      </ns0:c>
      <ns0:c r="F1414" s="21" t="inlineStr">
        <ns0:is>
          <ns0:t>https://doi.org/10.1038/s41598-025-09862-7</ns0:t>
        </ns0:is>
      </ns0:c>
      <ns0:c r="G1414" s="21" t="inlineStr">
        <ns0:is>
          <ns0:t>ChatGPT-assisted evidence recharting, 2026-09-08</ns0:t>
        </ns0:is>
      </ns0:c>
    </ns0:row>
    <ns0:row r="1415" ht="42" customHeight="1">
      <ns0:c r="A1415" s="19" t="inlineStr">
        <ns0:is>
          <ns0:t>258</ns0:t>
        </ns0:is>
      </ns0:c>
      <ns0:c r="B1415" s="19" t="inlineStr">
        <ns0:is>
          <ns0:t>rq2_role</ns0:t>
        </ns0:is>
      </ns0:c>
      <ns0:c r="C1415" s="19" t="inlineStr"/>
      <ns0:c r="D1415" s="19" t="inlineStr">
        <ns0:is>
          <ns0:t>Automated measurement/classification</ns0:t>
        </ns0:is>
      </ns0:c>
      <ns0:c r="E1415" s="19" t="inlineStr">
        <ns0:is>
          <ns0:t>Multi-domain transformer includes ASD toddler identification, but ASD-specific input modality is not specified. Other-domain text/dementia tasks cannot define the ASD data source.</ns0:t>
        </ns0:is>
      </ns0:c>
      <ns0:c r="F1415" s="19" t="inlineStr">
        <ns0:is>
          <ns0:t>https://doi.org/10.1038/s41598-025-09862-7</ns0:t>
        </ns0:is>
      </ns0:c>
      <ns0:c r="G1415" s="19" t="inlineStr">
        <ns0:is>
          <ns0:t>ChatGPT-assisted evidence recharting, 2026-09-08</ns0:t>
        </ns0:is>
      </ns0:c>
    </ns0:row>
    <ns0:row r="1416" ht="42" customHeight="1">
      <ns0:c r="A1416" s="21" t="inlineStr">
        <ns0:is>
          <ns0:t>258</ns0:t>
        </ns0:is>
      </ns0:c>
      <ns0:c r="B1416" s="21" t="inlineStr">
        <ns0:is>
          <ns0:t>decision_timing</ns0:t>
        </ns0:is>
      </ns0:c>
      <ns0:c r="C1416" s="21" t="inlineStr"/>
      <ns0:c r="D1416" s="21" t="inlineStr">
        <ns0:is>
          <ns0:t>Not observed in assessed sources</ns0:t>
        </ns0:is>
      </ns0:c>
      <ns0:c r="E1416" s="21" t="inlineStr">
        <ns0:is>
          <ns0:t>Multi-domain transformer includes ASD toddler identification, but ASD-specific input modality is not specified. Other-domain text/dementia tasks cannot define the ASD data source.</ns0:t>
        </ns0:is>
      </ns0:c>
      <ns0:c r="F1416" s="21" t="inlineStr">
        <ns0:is>
          <ns0:t>https://doi.org/10.1038/s41598-025-09862-7</ns0:t>
        </ns0:is>
      </ns0:c>
      <ns0:c r="G1416" s="21" t="inlineStr">
        <ns0:is>
          <ns0:t>ChatGPT-assisted evidence recharting, 2026-09-08</ns0:t>
        </ns0:is>
      </ns0:c>
    </ns0:row>
    <ns0:row r="1417" ht="42" customHeight="1">
      <ns0:c r="A1417" s="19" t="inlineStr">
        <ns0:is>
          <ns0:t>259</ns0:t>
        </ns0:is>
      </ns0:c>
      <ns0:c r="B1417" s="19" t="inlineStr">
        <ns0:is>
          <ns0:t>data_source_primary</ns0:t>
        </ns0:is>
      </ns0:c>
      <ns0:c r="C1417" s="19" t="inlineStr">
        <ns0:is>
          <ns0:t>Physiological signals</ns0:t>
        </ns0:is>
      </ns0:c>
      <ns0:c r="D1417" s="19" t="inlineStr">
        <ns0:is>
          <ns0:t>Neuroimaging</ns0:t>
        </ns0:is>
      </ns0:c>
      <ns0:c r="E1417" s="19" t="inlineStr">
        <ns0:is>
          <ns0:t>Brain imaging connectivity with multi-head attention and temporal consolidation.</ns0:t>
        </ns0:is>
      </ns0:c>
      <ns0:c r="F1417" s="19" t="inlineStr">
        <ns0:is>
          <ns0:t>https://doi.org/10.1109/embc48229.2022.9871130</ns0:t>
        </ns0:is>
      </ns0:c>
      <ns0:c r="G1417" s="19" t="inlineStr">
        <ns0:is>
          <ns0:t>ChatGPT-assisted evidence recharting, 2026-09-08</ns0:t>
        </ns0:is>
      </ns0:c>
    </ns0:row>
    <ns0:row r="1418" ht="42" customHeight="1">
      <ns0:c r="A1418" s="21" t="inlineStr">
        <ns0:is>
          <ns0:t>259</ns0:t>
        </ns0:is>
      </ns0:c>
      <ns0:c r="B1418" s="21" t="inlineStr">
        <ns0:is>
          <ns0:t>rq2_status</ns0:t>
        </ns0:is>
      </ns0:c>
      <ns0:c r="C1418" s="21" t="inlineStr">
        <ns0:is>
          <ns0:t>Not adjudicated in master</ns0:t>
        </ns0:is>
      </ns0:c>
      <ns0:c r="D1418" s="21" t="inlineStr">
        <ns0:is>
          <ns0:t>Research only</ns0:t>
        </ns0:is>
      </ns0:c>
      <ns0:c r="E1418" s="21" t="inlineStr">
        <ns0:is>
          <ns0:t>Brain imaging connectivity with multi-head attention and temporal consolidation.</ns0:t>
        </ns0:is>
      </ns0:c>
      <ns0:c r="F1418" s="21" t="inlineStr">
        <ns0:is>
          <ns0:t>https://doi.org/10.1109/embc48229.2022.9871130</ns0:t>
        </ns0:is>
      </ns0:c>
      <ns0:c r="G1418" s="21" t="inlineStr">
        <ns0:is>
          <ns0:t>ChatGPT-assisted evidence recharting, 2026-09-08</ns0:t>
        </ns0:is>
      </ns0:c>
    </ns0:row>
    <ns0:row r="1419" ht="42" customHeight="1">
      <ns0:c r="A1419" s="19" t="inlineStr">
        <ns0:is>
          <ns0:t>259</ns0:t>
        </ns0:is>
      </ns0:c>
      <ns0:c r="B1419" s="19" t="inlineStr">
        <ns0:is>
          <ns0:t>rq2_role</ns0:t>
        </ns0:is>
      </ns0:c>
      <ns0:c r="C1419" s="19" t="inlineStr"/>
      <ns0:c r="D1419" s="19" t="inlineStr">
        <ns0:is>
          <ns0:t>Automated measurement/classification</ns0:t>
        </ns0:is>
      </ns0:c>
      <ns0:c r="E1419" s="19" t="inlineStr">
        <ns0:is>
          <ns0:t>Brain imaging connectivity with multi-head attention and temporal consolidation.</ns0:t>
        </ns0:is>
      </ns0:c>
      <ns0:c r="F1419" s="19" t="inlineStr">
        <ns0:is>
          <ns0:t>https://doi.org/10.1109/embc48229.2022.9871130</ns0:t>
        </ns0:is>
      </ns0:c>
      <ns0:c r="G1419" s="19" t="inlineStr">
        <ns0:is>
          <ns0:t>ChatGPT-assisted evidence recharting, 2026-09-08</ns0:t>
        </ns0:is>
      </ns0:c>
    </ns0:row>
    <ns0:row r="1420" ht="42" customHeight="1">
      <ns0:c r="A1420" s="21" t="inlineStr">
        <ns0:is>
          <ns0:t>259</ns0:t>
        </ns0:is>
      </ns0:c>
      <ns0:c r="B1420" s="21" t="inlineStr">
        <ns0:is>
          <ns0:t>decision_timing</ns0:t>
        </ns0:is>
      </ns0:c>
      <ns0:c r="C1420" s="21" t="inlineStr"/>
      <ns0:c r="D1420" s="21" t="inlineStr">
        <ns0:is>
          <ns0:t>Not observed in assessed sources</ns0:t>
        </ns0:is>
      </ns0:c>
      <ns0:c r="E1420" s="21" t="inlineStr">
        <ns0:is>
          <ns0:t>Brain imaging connectivity with multi-head attention and temporal consolidation.</ns0:t>
        </ns0:is>
      </ns0:c>
      <ns0:c r="F1420" s="21" t="inlineStr">
        <ns0:is>
          <ns0:t>https://doi.org/10.1109/embc48229.2022.9871130</ns0:t>
        </ns0:is>
      </ns0:c>
      <ns0:c r="G1420" s="21" t="inlineStr">
        <ns0:is>
          <ns0:t>ChatGPT-assisted evidence recharting, 2026-09-08</ns0:t>
        </ns0:is>
      </ns0:c>
    </ns0:row>
    <ns0:row r="1421" ht="42" customHeight="1">
      <ns0:c r="A1421" s="19" t="inlineStr">
        <ns0:is>
          <ns0:t>260</ns0:t>
        </ns0:is>
      </ns0:c>
      <ns0:c r="B1421" s="19" t="inlineStr">
        <ns0:is>
          <ns0:t>data_source_primary</ns0:t>
        </ns0:is>
      </ns0:c>
      <ns0:c r="C1421" s="19" t="inlineStr">
        <ns0:is>
          <ns0:t>Not specified</ns0:t>
        </ns0:is>
      </ns0:c>
      <ns0:c r="D1421" s="19" t="inlineStr">
        <ns0:is>
          <ns0:t>Neuroimaging</ns0:t>
        </ns0:is>
      </ns0:c>
      <ns0:c r="E1421" s="19" t="inlineStr">
        <ns0:is>
          <ns0:t>Multiple atlases of the same brain imaging data do not establish multimodal source fusion.</ns0:t>
        </ns0:is>
      </ns0:c>
      <ns0:c r="F1421" s="19" t="inlineStr">
        <ns0:is>
          <ns0:t>https://doi.org/10.1007/978-981-99-8558-6_38</ns0:t>
        </ns0:is>
      </ns0:c>
      <ns0:c r="G1421" s="19" t="inlineStr">
        <ns0:is>
          <ns0:t>ChatGPT-assisted evidence recharting, 2026-09-08</ns0:t>
        </ns0:is>
      </ns0:c>
    </ns0:row>
    <ns0:row r="1422" ht="42" customHeight="1">
      <ns0:c r="A1422" s="21" t="inlineStr">
        <ns0:is>
          <ns0:t>260</ns0:t>
        </ns0:is>
      </ns0:c>
      <ns0:c r="B1422" s="21" t="inlineStr">
        <ns0:is>
          <ns0:t>algorithm_main</ns0:t>
        </ns0:is>
      </ns0:c>
      <ns0:c r="C1422" s="21" t="inlineStr">
        <ns0:is>
          <ns0:t>Other / Not clear</ns0:t>
        </ns0:is>
      </ns0:c>
      <ns0:c r="D1422" s="21" t="inlineStr">
        <ns0:is>
          <ns0:t>Graph neural network</ns0:t>
        </ns0:is>
      </ns0:c>
      <ns0:c r="E1422" s="21" t="inlineStr">
        <ns0:is>
          <ns0:t>Multiple atlases of the same brain imaging data do not establish multimodal source fusion.</ns0:t>
        </ns0:is>
      </ns0:c>
      <ns0:c r="F1422" s="21" t="inlineStr">
        <ns0:is>
          <ns0:t>https://doi.org/10.1007/978-981-99-8558-6_38</ns0:t>
        </ns0:is>
      </ns0:c>
      <ns0:c r="G1422" s="21" t="inlineStr">
        <ns0:is>
          <ns0:t>ChatGPT-assisted evidence recharting, 2026-09-08</ns0:t>
        </ns0:is>
      </ns0:c>
    </ns0:row>
    <ns0:row r="1423" ht="42" customHeight="1">
      <ns0:c r="A1423" s="19" t="inlineStr">
        <ns0:is>
          <ns0:t>260</ns0:t>
        </ns0:is>
      </ns0:c>
      <ns0:c r="B1423" s="19" t="inlineStr">
        <ns0:is>
          <ns0:t>rq2_status</ns0:t>
        </ns0:is>
      </ns0:c>
      <ns0:c r="C1423" s="19" t="inlineStr">
        <ns0:is>
          <ns0:t>Not adjudicated in master</ns0:t>
        </ns0:is>
      </ns0:c>
      <ns0:c r="D1423" s="19" t="inlineStr">
        <ns0:is>
          <ns0:t>Research only</ns0:t>
        </ns0:is>
      </ns0:c>
      <ns0:c r="E1423" s="19" t="inlineStr">
        <ns0:is>
          <ns0:t>Multiple atlases of the same brain imaging data do not establish multimodal source fusion.</ns0:t>
        </ns0:is>
      </ns0:c>
      <ns0:c r="F1423" s="19" t="inlineStr">
        <ns0:is>
          <ns0:t>https://doi.org/10.1007/978-981-99-8558-6_38</ns0:t>
        </ns0:is>
      </ns0:c>
      <ns0:c r="G1423" s="19" t="inlineStr">
        <ns0:is>
          <ns0:t>ChatGPT-assisted evidence recharting, 2026-09-08</ns0:t>
        </ns0:is>
      </ns0:c>
    </ns0:row>
    <ns0:row r="1424" ht="42" customHeight="1">
      <ns0:c r="A1424" s="21" t="inlineStr">
        <ns0:is>
          <ns0:t>260</ns0:t>
        </ns0:is>
      </ns0:c>
      <ns0:c r="B1424" s="21" t="inlineStr">
        <ns0:is>
          <ns0:t>rq2_role</ns0:t>
        </ns0:is>
      </ns0:c>
      <ns0:c r="C1424" s="21" t="inlineStr"/>
      <ns0:c r="D1424" s="21" t="inlineStr">
        <ns0:is>
          <ns0:t>Automated measurement/classification</ns0:t>
        </ns0:is>
      </ns0:c>
      <ns0:c r="E1424" s="21" t="inlineStr">
        <ns0:is>
          <ns0:t>Multiple atlases of the same brain imaging data do not establish multimodal source fusion.</ns0:t>
        </ns0:is>
      </ns0:c>
      <ns0:c r="F1424" s="21" t="inlineStr">
        <ns0:is>
          <ns0:t>https://doi.org/10.1007/978-981-99-8558-6_38</ns0:t>
        </ns0:is>
      </ns0:c>
      <ns0:c r="G1424" s="21" t="inlineStr">
        <ns0:is>
          <ns0:t>ChatGPT-assisted evidence recharting, 2026-09-08</ns0:t>
        </ns0:is>
      </ns0:c>
    </ns0:row>
    <ns0:row r="1425" ht="42" customHeight="1">
      <ns0:c r="A1425" s="19" t="inlineStr">
        <ns0:is>
          <ns0:t>260</ns0:t>
        </ns0:is>
      </ns0:c>
      <ns0:c r="B1425" s="19" t="inlineStr">
        <ns0:is>
          <ns0:t>decision_timing</ns0:t>
        </ns0:is>
      </ns0:c>
      <ns0:c r="C1425" s="19" t="inlineStr"/>
      <ns0:c r="D1425" s="19" t="inlineStr">
        <ns0:is>
          <ns0:t>Not observed in assessed sources</ns0:t>
        </ns0:is>
      </ns0:c>
      <ns0:c r="E1425" s="19" t="inlineStr">
        <ns0:is>
          <ns0:t>Multiple atlases of the same brain imaging data do not establish multimodal source fusion.</ns0:t>
        </ns0:is>
      </ns0:c>
      <ns0:c r="F1425" s="19" t="inlineStr">
        <ns0:is>
          <ns0:t>https://doi.org/10.1007/978-981-99-8558-6_38</ns0:t>
        </ns0:is>
      </ns0:c>
      <ns0:c r="G1425" s="19" t="inlineStr">
        <ns0:is>
          <ns0:t>ChatGPT-assisted evidence recharting, 2026-09-08</ns0:t>
        </ns0:is>
      </ns0:c>
    </ns0:row>
    <ns0:row r="1426" ht="42" customHeight="1">
      <ns0:c r="A1426" s="21" t="inlineStr">
        <ns0:is>
          <ns0:t>260</ns0:t>
        </ns0:is>
      </ns0:c>
      <ns0:c r="B1426" s="21" t="inlineStr">
        <ns0:is>
          <ns0:t>multisource_data</ns0:t>
        </ns0:is>
      </ns0:c>
      <ns0:c r="C1426" s="21" t="inlineStr">
        <ns0:is>
          <ns0:t>Reported</ns0:t>
        </ns0:is>
      </ns0:c>
      <ns0:c r="D1426" s="21" t="inlineStr">
        <ns0:is>
          <ns0:t>Not reported in assessed sources</ns0:t>
        </ns0:is>
      </ns0:c>
      <ns0:c r="E1426" s="21" t="inlineStr">
        <ns0:is>
          <ns0:t>Multiple atlases of the same brain imaging data do not establish multimodal source fusion.</ns0:t>
        </ns0:is>
      </ns0:c>
      <ns0:c r="F1426" s="21" t="inlineStr">
        <ns0:is>
          <ns0:t>https://doi.org/10.1007/978-981-99-8558-6_38</ns0:t>
        </ns0:is>
      </ns0:c>
      <ns0:c r="G1426" s="21" t="inlineStr">
        <ns0:is>
          <ns0:t>ChatGPT-assisted evidence recharting, 2026-09-08</ns0:t>
        </ns0:is>
      </ns0:c>
    </ns0:row>
    <ns0:row r="1427" ht="42" customHeight="1">
      <ns0:c r="A1427" s="19" t="inlineStr">
        <ns0:is>
          <ns0:t>261</ns0:t>
        </ns0:is>
      </ns0:c>
      <ns0:c r="B1427" s="19" t="inlineStr">
        <ns0:is>
          <ns0:t>data_source_primary</ns0:t>
        </ns0:is>
      </ns0:c>
      <ns0:c r="C1427" s="19" t="inlineStr">
        <ns0:is>
          <ns0:t>Image (subtype unresolved)</ns0:t>
        </ns0:is>
      </ns0:c>
      <ns0:c r="D1427" s="19" t="inlineStr">
        <ns0:is>
          <ns0:t>Neuroimaging</ns0:t>
        </ns0:is>
      </ns0:c>
      <ns0:c r="E1427" s="19" t="inlineStr">
        <ns0:is>
          <ns0:t>Structural brain MRI deep-learning classification stratified by age/sex; strata are not additional input modalities.</ns0:t>
        </ns0:is>
      </ns0:c>
      <ns0:c r="F1427" s="19" t="inlineStr">
        <ns0:is>
          <ns0:t>https://doi.org/10.1007/s10916-023-02032-0</ns0:t>
        </ns0:is>
      </ns0:c>
      <ns0:c r="G1427" s="19" t="inlineStr">
        <ns0:is>
          <ns0:t>ChatGPT-assisted evidence recharting, 2026-09-08</ns0:t>
        </ns0:is>
      </ns0:c>
    </ns0:row>
    <ns0:row r="1428" ht="42" customHeight="1">
      <ns0:c r="A1428" s="21" t="inlineStr">
        <ns0:is>
          <ns0:t>261</ns0:t>
        </ns0:is>
      </ns0:c>
      <ns0:c r="B1428" s="21" t="inlineStr">
        <ns0:is>
          <ns0:t>rq2_status</ns0:t>
        </ns0:is>
      </ns0:c>
      <ns0:c r="C1428" s="21" t="inlineStr">
        <ns0:is>
          <ns0:t>Not adjudicated in master</ns0:t>
        </ns0:is>
      </ns0:c>
      <ns0:c r="D1428" s="21" t="inlineStr">
        <ns0:is>
          <ns0:t>Research only</ns0:t>
        </ns0:is>
      </ns0:c>
      <ns0:c r="E1428" s="21" t="inlineStr">
        <ns0:is>
          <ns0:t>Structural brain MRI deep-learning classification stratified by age/sex; strata are not additional input modalities.</ns0:t>
        </ns0:is>
      </ns0:c>
      <ns0:c r="F1428" s="21" t="inlineStr">
        <ns0:is>
          <ns0:t>https://doi.org/10.1007/s10916-023-02032-0</ns0:t>
        </ns0:is>
      </ns0:c>
      <ns0:c r="G1428" s="21" t="inlineStr">
        <ns0:is>
          <ns0:t>ChatGPT-assisted evidence recharting, 2026-09-08</ns0:t>
        </ns0:is>
      </ns0:c>
    </ns0:row>
    <ns0:row r="1429" ht="42" customHeight="1">
      <ns0:c r="A1429" s="19" t="inlineStr">
        <ns0:is>
          <ns0:t>261</ns0:t>
        </ns0:is>
      </ns0:c>
      <ns0:c r="B1429" s="19" t="inlineStr">
        <ns0:is>
          <ns0:t>rq2_role</ns0:t>
        </ns0:is>
      </ns0:c>
      <ns0:c r="C1429" s="19" t="inlineStr"/>
      <ns0:c r="D1429" s="19" t="inlineStr">
        <ns0:is>
          <ns0:t>Automated measurement/classification</ns0:t>
        </ns0:is>
      </ns0:c>
      <ns0:c r="E1429" s="19" t="inlineStr">
        <ns0:is>
          <ns0:t>Structural brain MRI deep-learning classification stratified by age/sex; strata are not additional input modalities.</ns0:t>
        </ns0:is>
      </ns0:c>
      <ns0:c r="F1429" s="19" t="inlineStr">
        <ns0:is>
          <ns0:t>https://doi.org/10.1007/s10916-023-02032-0</ns0:t>
        </ns0:is>
      </ns0:c>
      <ns0:c r="G1429" s="19" t="inlineStr">
        <ns0:is>
          <ns0:t>ChatGPT-assisted evidence recharting, 2026-09-08</ns0:t>
        </ns0:is>
      </ns0:c>
    </ns0:row>
    <ns0:row r="1430" ht="42" customHeight="1">
      <ns0:c r="A1430" s="21" t="inlineStr">
        <ns0:is>
          <ns0:t>261</ns0:t>
        </ns0:is>
      </ns0:c>
      <ns0:c r="B1430" s="21" t="inlineStr">
        <ns0:is>
          <ns0:t>decision_timing</ns0:t>
        </ns0:is>
      </ns0:c>
      <ns0:c r="C1430" s="21" t="inlineStr"/>
      <ns0:c r="D1430" s="21" t="inlineStr">
        <ns0:is>
          <ns0:t>Not observed in assessed sources</ns0:t>
        </ns0:is>
      </ns0:c>
      <ns0:c r="E1430" s="21" t="inlineStr">
        <ns0:is>
          <ns0:t>Structural brain MRI deep-learning classification stratified by age/sex; strata are not additional input modalities.</ns0:t>
        </ns0:is>
      </ns0:c>
      <ns0:c r="F1430" s="21" t="inlineStr">
        <ns0:is>
          <ns0:t>https://doi.org/10.1007/s10916-023-02032-0</ns0:t>
        </ns0:is>
      </ns0:c>
      <ns0:c r="G1430" s="21" t="inlineStr">
        <ns0:is>
          <ns0:t>ChatGPT-assisted evidence recharting, 2026-09-08</ns0:t>
        </ns0:is>
      </ns0:c>
    </ns0:row>
    <ns0:row r="1431" ht="42" customHeight="1">
      <ns0:c r="A1431" s="19" t="inlineStr">
        <ns0:is>
          <ns0:t>262</ns0:t>
        </ns0:is>
      </ns0:c>
      <ns0:c r="B1431" s="19" t="inlineStr">
        <ns0:is>
          <ns0:t>data_source_primary</ns0:t>
        </ns0:is>
      </ns0:c>
      <ns0:c r="C1431" s="19" t="inlineStr">
        <ns0:is>
          <ns0:t>Image (subtype unresolved)</ns0:t>
        </ns0:is>
      </ns0:c>
      <ns0:c r="D1431" s="19" t="inlineStr">
        <ns0:is>
          <ns0:t>Neuroimaging</ns0:t>
        </ns0:is>
      </ns0:c>
      <ns0:c r="E1431" s="19" t="inlineStr">
        <ns0:is>
          <ns0:t>Multi-view functional brain networks; evaluation on ADNI is a different disease task, not external validation of the ASD classifier.</ns0:t>
        </ns0:is>
      </ns0:c>
      <ns0:c r="F1431" s="19" t="inlineStr">
        <ns0:is>
          <ns0:t>https://doi.org/10.1016/j.compbiomed.2022.105239</ns0:t>
        </ns0:is>
      </ns0:c>
      <ns0:c r="G1431" s="19" t="inlineStr">
        <ns0:is>
          <ns0:t>ChatGPT-assisted evidence recharting, 2026-09-08</ns0:t>
        </ns0:is>
      </ns0:c>
    </ns0:row>
    <ns0:row r="1432" ht="42" customHeight="1">
      <ns0:c r="A1432" s="21" t="inlineStr">
        <ns0:is>
          <ns0:t>262</ns0:t>
        </ns0:is>
      </ns0:c>
      <ns0:c r="B1432" s="21" t="inlineStr">
        <ns0:is>
          <ns0:t>algorithm_main</ns0:t>
        </ns0:is>
      </ns0:c>
      <ns0:c r="C1432" s="21" t="inlineStr">
        <ns0:is>
          <ns0:t>Other</ns0:t>
        </ns0:is>
      </ns0:c>
      <ns0:c r="D1432" s="21" t="inlineStr">
        <ns0:is>
          <ns0:t>Graph neural network</ns0:t>
        </ns0:is>
      </ns0:c>
      <ns0:c r="E1432" s="21" t="inlineStr">
        <ns0:is>
          <ns0:t>Multi-view functional brain networks; evaluation on ADNI is a different disease task, not external validation of the ASD classifier.</ns0:t>
        </ns0:is>
      </ns0:c>
      <ns0:c r="F1432" s="21" t="inlineStr">
        <ns0:is>
          <ns0:t>https://doi.org/10.1016/j.compbiomed.2022.105239</ns0:t>
        </ns0:is>
      </ns0:c>
      <ns0:c r="G1432" s="21" t="inlineStr">
        <ns0:is>
          <ns0:t>ChatGPT-assisted evidence recharting, 2026-09-08</ns0:t>
        </ns0:is>
      </ns0:c>
    </ns0:row>
    <ns0:row r="1433" ht="42" customHeight="1">
      <ns0:c r="A1433" s="19" t="inlineStr">
        <ns0:is>
          <ns0:t>262</ns0:t>
        </ns0:is>
      </ns0:c>
      <ns0:c r="B1433" s="19" t="inlineStr">
        <ns0:is>
          <ns0:t>rq2_status</ns0:t>
        </ns0:is>
      </ns0:c>
      <ns0:c r="C1433" s="19" t="inlineStr">
        <ns0:is>
          <ns0:t>Not adjudicated in master</ns0:t>
        </ns0:is>
      </ns0:c>
      <ns0:c r="D1433" s="19" t="inlineStr">
        <ns0:is>
          <ns0:t>Research only</ns0:t>
        </ns0:is>
      </ns0:c>
      <ns0:c r="E1433" s="19" t="inlineStr">
        <ns0:is>
          <ns0:t>Multi-view functional brain networks; evaluation on ADNI is a different disease task, not external validation of the ASD classifier.</ns0:t>
        </ns0:is>
      </ns0:c>
      <ns0:c r="F1433" s="19" t="inlineStr">
        <ns0:is>
          <ns0:t>https://doi.org/10.1016/j.compbiomed.2022.105239</ns0:t>
        </ns0:is>
      </ns0:c>
      <ns0:c r="G1433" s="19" t="inlineStr">
        <ns0:is>
          <ns0:t>ChatGPT-assisted evidence recharting, 2026-09-08</ns0:t>
        </ns0:is>
      </ns0:c>
    </ns0:row>
    <ns0:row r="1434" ht="42" customHeight="1">
      <ns0:c r="A1434" s="21" t="inlineStr">
        <ns0:is>
          <ns0:t>262</ns0:t>
        </ns0:is>
      </ns0:c>
      <ns0:c r="B1434" s="21" t="inlineStr">
        <ns0:is>
          <ns0:t>rq2_role</ns0:t>
        </ns0:is>
      </ns0:c>
      <ns0:c r="C1434" s="21" t="inlineStr"/>
      <ns0:c r="D1434" s="21" t="inlineStr">
        <ns0:is>
          <ns0:t>Automated measurement/classification</ns0:t>
        </ns0:is>
      </ns0:c>
      <ns0:c r="E1434" s="21" t="inlineStr">
        <ns0:is>
          <ns0:t>Multi-view functional brain networks; evaluation on ADNI is a different disease task, not external validation of the ASD classifier.</ns0:t>
        </ns0:is>
      </ns0:c>
      <ns0:c r="F1434" s="21" t="inlineStr">
        <ns0:is>
          <ns0:t>https://doi.org/10.1016/j.compbiomed.2022.105239</ns0:t>
        </ns0:is>
      </ns0:c>
      <ns0:c r="G1434" s="21" t="inlineStr">
        <ns0:is>
          <ns0:t>ChatGPT-assisted evidence recharting, 2026-09-08</ns0:t>
        </ns0:is>
      </ns0:c>
    </ns0:row>
    <ns0:row r="1435" ht="42" customHeight="1">
      <ns0:c r="A1435" s="19" t="inlineStr">
        <ns0:is>
          <ns0:t>262</ns0:t>
        </ns0:is>
      </ns0:c>
      <ns0:c r="B1435" s="19" t="inlineStr">
        <ns0:is>
          <ns0:t>decision_timing</ns0:t>
        </ns0:is>
      </ns0:c>
      <ns0:c r="C1435" s="19" t="inlineStr"/>
      <ns0:c r="D1435" s="19" t="inlineStr">
        <ns0:is>
          <ns0:t>Not observed in assessed sources</ns0:t>
        </ns0:is>
      </ns0:c>
      <ns0:c r="E1435" s="19" t="inlineStr">
        <ns0:is>
          <ns0:t>Multi-view functional brain networks; evaluation on ADNI is a different disease task, not external validation of the ASD classifier.</ns0:t>
        </ns0:is>
      </ns0:c>
      <ns0:c r="F1435" s="19" t="inlineStr">
        <ns0:is>
          <ns0:t>https://doi.org/10.1016/j.compbiomed.2022.105239</ns0:t>
        </ns0:is>
      </ns0:c>
      <ns0:c r="G1435" s="19" t="inlineStr">
        <ns0:is>
          <ns0:t>ChatGPT-assisted evidence recharting, 2026-09-08</ns0:t>
        </ns0:is>
      </ns0:c>
    </ns0:row>
    <ns0:row r="1436" ht="42" customHeight="1">
      <ns0:c r="A1436" s="21" t="inlineStr">
        <ns0:is>
          <ns0:t>262</ns0:t>
        </ns0:is>
      </ns0:c>
      <ns0:c r="B1436" s="21" t="inlineStr">
        <ns0:is>
          <ns0:t>multisource_data</ns0:t>
        </ns0:is>
      </ns0:c>
      <ns0:c r="C1436" s="21" t="inlineStr">
        <ns0:is>
          <ns0:t>Reported</ns0:t>
        </ns0:is>
      </ns0:c>
      <ns0:c r="D1436" s="21" t="inlineStr">
        <ns0:is>
          <ns0:t>Not reported in assessed sources</ns0:t>
        </ns0:is>
      </ns0:c>
      <ns0:c r="E1436" s="21" t="inlineStr">
        <ns0:is>
          <ns0:t>Multi-view functional brain networks; evaluation on ADNI is a different disease task, not external validation of the ASD classifier.</ns0:t>
        </ns0:is>
      </ns0:c>
      <ns0:c r="F1436" s="21" t="inlineStr">
        <ns0:is>
          <ns0:t>https://doi.org/10.1016/j.compbiomed.2022.105239</ns0:t>
        </ns0:is>
      </ns0:c>
      <ns0:c r="G1436" s="21" t="inlineStr">
        <ns0:is>
          <ns0:t>ChatGPT-assisted evidence recharting, 2026-09-08</ns0:t>
        </ns0:is>
      </ns0:c>
    </ns0:row>
    <ns0:row r="1437" ht="42" customHeight="1">
      <ns0:c r="A1437" s="19" t="inlineStr">
        <ns0:is>
          <ns0:t>263</ns0:t>
        </ns0:is>
      </ns0:c>
      <ns0:c r="B1437" s="19" t="inlineStr">
        <ns0:is>
          <ns0:t>stage_primary</ns0:t>
        </ns0:is>
      </ns0:c>
      <ns0:c r="C1437" s="19" t="inlineStr">
        <ns0:is>
          <ns0:t>Diagnosis</ns0:t>
        </ns0:is>
      </ns0:c>
      <ns0:c r="D1437" s="19" t="inlineStr">
        <ns0:is>
          <ns0:t>Not specified</ns0:t>
        </ns0:is>
      </ns0:c>
      <ns0:c r="E1437" s="19" t="inlineStr">
        <ns0:is>
          <ns0:t>Human diffusion MRI normative deviations and unsupervised cross-disorder characterization; substantive ASD group retained, not a deployed diagnostic classifier or deep network.</ns0:t>
        </ns0:is>
      </ns0:c>
      <ns0:c r="F1437" s="19" t="inlineStr">
        <ns0:is>
          <ns0:t>https://doi.org/10.1038/s41380-022-01636-1</ns0:t>
        </ns0:is>
      </ns0:c>
      <ns0:c r="G1437" s="19" t="inlineStr">
        <ns0:is>
          <ns0:t>ChatGPT-assisted evidence recharting, 2026-09-08</ns0:t>
        </ns0:is>
      </ns0:c>
    </ns0:row>
    <ns0:row r="1438" ht="42" customHeight="1">
      <ns0:c r="A1438" s="21" t="inlineStr">
        <ns0:is>
          <ns0:t>263</ns0:t>
        </ns0:is>
      </ns0:c>
      <ns0:c r="B1438" s="21" t="inlineStr">
        <ns0:is>
          <ns0:t>ai_type</ns0:t>
        </ns0:is>
      </ns0:c>
      <ns0:c r="C1438" s="21" t="inlineStr">
        <ns0:is>
          <ns0:t>Deep Learning</ns0:t>
        </ns0:is>
      </ns0:c>
      <ns0:c r="D1438" s="21" t="inlineStr">
        <ns0:is>
          <ns0:t>Machine Learning</ns0:t>
        </ns0:is>
      </ns0:c>
      <ns0:c r="E1438" s="21" t="inlineStr">
        <ns0:is>
          <ns0:t>Human diffusion MRI normative deviations and unsupervised cross-disorder characterization; substantive ASD group retained, not a deployed diagnostic classifier or deep network.</ns0:t>
        </ns0:is>
      </ns0:c>
      <ns0:c r="F1438" s="21" t="inlineStr">
        <ns0:is>
          <ns0:t>https://doi.org/10.1038/s41380-022-01636-1</ns0:t>
        </ns0:is>
      </ns0:c>
      <ns0:c r="G1438" s="21" t="inlineStr">
        <ns0:is>
          <ns0:t>ChatGPT-assisted evidence recharting, 2026-09-08</ns0:t>
        </ns0:is>
      </ns0:c>
    </ns0:row>
    <ns0:row r="1439" ht="42" customHeight="1">
      <ns0:c r="A1439" s="19" t="inlineStr">
        <ns0:is>
          <ns0:t>263</ns0:t>
        </ns0:is>
      </ns0:c>
      <ns0:c r="B1439" s="19" t="inlineStr">
        <ns0:is>
          <ns0:t>data_source_primary</ns0:t>
        </ns0:is>
      </ns0:c>
      <ns0:c r="C1439" s="19" t="inlineStr">
        <ns0:is>
          <ns0:t>Image (subtype unresolved)</ns0:t>
        </ns0:is>
      </ns0:c>
      <ns0:c r="D1439" s="19" t="inlineStr">
        <ns0:is>
          <ns0:t>Neuroimaging</ns0:t>
        </ns0:is>
      </ns0:c>
      <ns0:c r="E1439" s="19" t="inlineStr">
        <ns0:is>
          <ns0:t>Human diffusion MRI normative deviations and unsupervised cross-disorder characterization; substantive ASD group retained, not a deployed diagnostic classifier or deep network.</ns0:t>
        </ns0:is>
      </ns0:c>
      <ns0:c r="F1439" s="19" t="inlineStr">
        <ns0:is>
          <ns0:t>https://doi.org/10.1038/s41380-022-01636-1</ns0:t>
        </ns0:is>
      </ns0:c>
      <ns0:c r="G1439" s="19" t="inlineStr">
        <ns0:is>
          <ns0:t>ChatGPT-assisted evidence recharting, 2026-09-08</ns0:t>
        </ns0:is>
      </ns0:c>
    </ns0:row>
    <ns0:row r="1440" ht="42" customHeight="1">
      <ns0:c r="A1440" s="21" t="inlineStr">
        <ns0:is>
          <ns0:t>263</ns0:t>
        </ns0:is>
      </ns0:c>
      <ns0:c r="B1440" s="21" t="inlineStr">
        <ns0:is>
          <ns0:t>algorithm_main</ns0:t>
        </ns0:is>
      </ns0:c>
      <ns0:c r="C1440" s="21" t="inlineStr"/>
      <ns0:c r="D1440" s="21" t="inlineStr">
        <ns0:is>
          <ns0:t>Normative modeling / clustering</ns0:t>
        </ns0:is>
      </ns0:c>
      <ns0:c r="E1440" s="21" t="inlineStr">
        <ns0:is>
          <ns0:t>Human diffusion MRI normative deviations and unsupervised cross-disorder characterization; substantive ASD group retained, not a deployed diagnostic classifier or deep network.</ns0:t>
        </ns0:is>
      </ns0:c>
      <ns0:c r="F1440" s="21" t="inlineStr">
        <ns0:is>
          <ns0:t>https://doi.org/10.1038/s41380-022-01636-1</ns0:t>
        </ns0:is>
      </ns0:c>
      <ns0:c r="G1440" s="21" t="inlineStr">
        <ns0:is>
          <ns0:t>ChatGPT-assisted evidence recharting, 2026-09-08</ns0:t>
        </ns0:is>
      </ns0:c>
    </ns0:row>
    <ns0:row r="1441" ht="42" customHeight="1">
      <ns0:c r="A1441" s="19" t="inlineStr">
        <ns0:is>
          <ns0:t>263</ns0:t>
        </ns0:is>
      </ns0:c>
      <ns0:c r="B1441" s="19" t="inlineStr">
        <ns0:is>
          <ns0:t>rq2_status</ns0:t>
        </ns0:is>
      </ns0:c>
      <ns0:c r="C1441" s="19" t="inlineStr">
        <ns0:is>
          <ns0:t>Not adjudicated in master</ns0:t>
        </ns0:is>
      </ns0:c>
      <ns0:c r="D1441" s="19" t="inlineStr">
        <ns0:is>
          <ns0:t>Research only</ns0:t>
        </ns0:is>
      </ns0:c>
      <ns0:c r="E1441" s="19" t="inlineStr">
        <ns0:is>
          <ns0:t>Human diffusion MRI normative deviations and unsupervised cross-disorder characterization; substantive ASD group retained, not a deployed diagnostic classifier or deep network.</ns0:t>
        </ns0:is>
      </ns0:c>
      <ns0:c r="F1441" s="19" t="inlineStr">
        <ns0:is>
          <ns0:t>https://doi.org/10.1038/s41380-022-01636-1</ns0:t>
        </ns0:is>
      </ns0:c>
      <ns0:c r="G1441" s="19" t="inlineStr">
        <ns0:is>
          <ns0:t>ChatGPT-assisted evidence recharting, 2026-09-08</ns0:t>
        </ns0:is>
      </ns0:c>
    </ns0:row>
    <ns0:row r="1442" ht="42" customHeight="1">
      <ns0:c r="A1442" s="21" t="inlineStr">
        <ns0:is>
          <ns0:t>263</ns0:t>
        </ns0:is>
      </ns0:c>
      <ns0:c r="B1442" s="21" t="inlineStr">
        <ns0:is>
          <ns0:t>rq2_role</ns0:t>
        </ns0:is>
      </ns0:c>
      <ns0:c r="C1442" s="21" t="inlineStr"/>
      <ns0:c r="D1442" s="21" t="inlineStr">
        <ns0:is>
          <ns0:t>Research characterization</ns0:t>
        </ns0:is>
      </ns0:c>
      <ns0:c r="E1442" s="21" t="inlineStr">
        <ns0:is>
          <ns0:t>Human diffusion MRI normative deviations and unsupervised cross-disorder characterization; substantive ASD group retained, not a deployed diagnostic classifier or deep network.</ns0:t>
        </ns0:is>
      </ns0:c>
      <ns0:c r="F1442" s="21" t="inlineStr">
        <ns0:is>
          <ns0:t>https://doi.org/10.1038/s41380-022-01636-1</ns0:t>
        </ns0:is>
      </ns0:c>
      <ns0:c r="G1442" s="21" t="inlineStr">
        <ns0:is>
          <ns0:t>ChatGPT-assisted evidence recharting, 2026-09-08</ns0:t>
        </ns0:is>
      </ns0:c>
    </ns0:row>
    <ns0:row r="1443" ht="42" customHeight="1">
      <ns0:c r="A1443" s="19" t="inlineStr">
        <ns0:is>
          <ns0:t>263</ns0:t>
        </ns0:is>
      </ns0:c>
      <ns0:c r="B1443" s="19" t="inlineStr">
        <ns0:is>
          <ns0:t>decision_timing</ns0:t>
        </ns0:is>
      </ns0:c>
      <ns0:c r="C1443" s="19" t="inlineStr"/>
      <ns0:c r="D1443" s="19" t="inlineStr">
        <ns0:is>
          <ns0:t>Not observed in assessed sources</ns0:t>
        </ns0:is>
      </ns0:c>
      <ns0:c r="E1443" s="19" t="inlineStr">
        <ns0:is>
          <ns0:t>Human diffusion MRI normative deviations and unsupervised cross-disorder characterization; substantive ASD group retained, not a deployed diagnostic classifier or deep network.</ns0:t>
        </ns0:is>
      </ns0:c>
      <ns0:c r="F1443" s="19" t="inlineStr">
        <ns0:is>
          <ns0:t>https://doi.org/10.1038/s41380-022-01636-1</ns0:t>
        </ns0:is>
      </ns0:c>
      <ns0:c r="G1443" s="19" t="inlineStr">
        <ns0:is>
          <ns0:t>ChatGPT-assisted evidence recharting, 2026-09-08</ns0:t>
        </ns0:is>
      </ns0:c>
    </ns0:row>
    <ns0:row r="1444" ht="42" customHeight="1">
      <ns0:c r="A1444" s="21" t="inlineStr">
        <ns0:is>
          <ns0:t>264</ns0:t>
        </ns0:is>
      </ns0:c>
      <ns0:c r="B1444" s="21" t="inlineStr">
        <ns0:is>
          <ns0:t>ai_type</ns0:t>
        </ns0:is>
      </ns0:c>
      <ns0:c r="C1444" s="21" t="inlineStr">
        <ns0:is>
          <ns0:t>Hybrid</ns0:t>
        </ns0:is>
      </ns0:c>
      <ns0:c r="D1444" s="21" t="inlineStr">
        <ns0:is>
          <ns0:t>Machine Learning</ns0:t>
        </ns0:is>
      </ns0:c>
      <ns0:c r="E1444" s="21" t="inlineStr">
        <ns0:is>
          <ns0:t>Non-oscillatory MRI connectivity with p-value feature selection and SVM; no deep-learning branch to justify Hybrid.</ns0:t>
        </ns0:is>
      </ns0:c>
      <ns0:c r="F1444" s="21" t="inlineStr">
        <ns0:is>
          <ns0:t>https://doi.org/10.1109/access.2022.3146719</ns0:t>
        </ns0:is>
      </ns0:c>
      <ns0:c r="G1444" s="21" t="inlineStr">
        <ns0:is>
          <ns0:t>ChatGPT-assisted evidence recharting, 2026-09-08</ns0:t>
        </ns0:is>
      </ns0:c>
    </ns0:row>
    <ns0:row r="1445" ht="42" customHeight="1">
      <ns0:c r="A1445" s="19" t="inlineStr">
        <ns0:is>
          <ns0:t>264</ns0:t>
        </ns0:is>
      </ns0:c>
      <ns0:c r="B1445" s="19" t="inlineStr">
        <ns0:is>
          <ns0:t>data_source_primary</ns0:t>
        </ns0:is>
      </ns0:c>
      <ns0:c r="C1445" s="19" t="inlineStr">
        <ns0:is>
          <ns0:t>Physiological signals</ns0:t>
        </ns0:is>
      </ns0:c>
      <ns0:c r="D1445" s="19" t="inlineStr">
        <ns0:is>
          <ns0:t>Neuroimaging</ns0:t>
        </ns0:is>
      </ns0:c>
      <ns0:c r="E1445" s="19" t="inlineStr">
        <ns0:is>
          <ns0:t>Non-oscillatory MRI connectivity with p-value feature selection and SVM; no deep-learning branch to justify Hybrid.</ns0:t>
        </ns0:is>
      </ns0:c>
      <ns0:c r="F1445" s="19" t="inlineStr">
        <ns0:is>
          <ns0:t>https://doi.org/10.1109/access.2022.3146719</ns0:t>
        </ns0:is>
      </ns0:c>
      <ns0:c r="G1445" s="19" t="inlineStr">
        <ns0:is>
          <ns0:t>ChatGPT-assisted evidence recharting, 2026-09-08</ns0:t>
        </ns0:is>
      </ns0:c>
    </ns0:row>
    <ns0:row r="1446" ht="42" customHeight="1">
      <ns0:c r="A1446" s="21" t="inlineStr">
        <ns0:is>
          <ns0:t>264</ns0:t>
        </ns0:is>
      </ns0:c>
      <ns0:c r="B1446" s="21" t="inlineStr">
        <ns0:is>
          <ns0:t>rq2_status</ns0:t>
        </ns0:is>
      </ns0:c>
      <ns0:c r="C1446" s="21" t="inlineStr">
        <ns0:is>
          <ns0:t>Not adjudicated in master</ns0:t>
        </ns0:is>
      </ns0:c>
      <ns0:c r="D1446" s="21" t="inlineStr">
        <ns0:is>
          <ns0:t>Research only</ns0:t>
        </ns0:is>
      </ns0:c>
      <ns0:c r="E1446" s="21" t="inlineStr">
        <ns0:is>
          <ns0:t>Non-oscillatory MRI connectivity with p-value feature selection and SVM; no deep-learning branch to justify Hybrid.</ns0:t>
        </ns0:is>
      </ns0:c>
      <ns0:c r="F1446" s="21" t="inlineStr">
        <ns0:is>
          <ns0:t>https://doi.org/10.1109/access.2022.3146719</ns0:t>
        </ns0:is>
      </ns0:c>
      <ns0:c r="G1446" s="21" t="inlineStr">
        <ns0:is>
          <ns0:t>ChatGPT-assisted evidence recharting, 2026-09-08</ns0:t>
        </ns0:is>
      </ns0:c>
    </ns0:row>
    <ns0:row r="1447" ht="42" customHeight="1">
      <ns0:c r="A1447" s="19" t="inlineStr">
        <ns0:is>
          <ns0:t>264</ns0:t>
        </ns0:is>
      </ns0:c>
      <ns0:c r="B1447" s="19" t="inlineStr">
        <ns0:is>
          <ns0:t>rq2_role</ns0:t>
        </ns0:is>
      </ns0:c>
      <ns0:c r="C1447" s="19" t="inlineStr"/>
      <ns0:c r="D1447" s="19" t="inlineStr">
        <ns0:is>
          <ns0:t>Automated measurement/classification</ns0:t>
        </ns0:is>
      </ns0:c>
      <ns0:c r="E1447" s="19" t="inlineStr">
        <ns0:is>
          <ns0:t>Non-oscillatory MRI connectivity with p-value feature selection and SVM; no deep-learning branch to justify Hybrid.</ns0:t>
        </ns0:is>
      </ns0:c>
      <ns0:c r="F1447" s="19" t="inlineStr">
        <ns0:is>
          <ns0:t>https://doi.org/10.1109/access.2022.3146719</ns0:t>
        </ns0:is>
      </ns0:c>
      <ns0:c r="G1447" s="19" t="inlineStr">
        <ns0:is>
          <ns0:t>ChatGPT-assisted evidence recharting, 2026-09-08</ns0:t>
        </ns0:is>
      </ns0:c>
    </ns0:row>
    <ns0:row r="1448" ht="42" customHeight="1">
      <ns0:c r="A1448" s="21" t="inlineStr">
        <ns0:is>
          <ns0:t>264</ns0:t>
        </ns0:is>
      </ns0:c>
      <ns0:c r="B1448" s="21" t="inlineStr">
        <ns0:is>
          <ns0:t>decision_timing</ns0:t>
        </ns0:is>
      </ns0:c>
      <ns0:c r="C1448" s="21" t="inlineStr"/>
      <ns0:c r="D1448" s="21" t="inlineStr">
        <ns0:is>
          <ns0:t>Not observed in assessed sources</ns0:t>
        </ns0:is>
      </ns0:c>
      <ns0:c r="E1448" s="21" t="inlineStr">
        <ns0:is>
          <ns0:t>Non-oscillatory MRI connectivity with p-value feature selection and SVM; no deep-learning branch to justify Hybrid.</ns0:t>
        </ns0:is>
      </ns0:c>
      <ns0:c r="F1448" s="21" t="inlineStr">
        <ns0:is>
          <ns0:t>https://doi.org/10.1109/access.2022.3146719</ns0:t>
        </ns0:is>
      </ns0:c>
      <ns0:c r="G1448" s="21" t="inlineStr">
        <ns0:is>
          <ns0:t>ChatGPT-assisted evidence recharting, 2026-09-08</ns0:t>
        </ns0:is>
      </ns0:c>
    </ns0:row>
    <ns0:row r="1449" ht="42" customHeight="1">
      <ns0:c r="A1449" s="19" t="inlineStr">
        <ns0:is>
          <ns0:t>265</ns0:t>
        </ns0:is>
      </ns0:c>
      <ns0:c r="B1449" s="19" t="inlineStr">
        <ns0:is>
          <ns0:t>stage_primary</ns0:t>
        </ns0:is>
      </ns0:c>
      <ns0:c r="C1449" s="19" t="inlineStr">
        <ns0:is>
          <ns0:t>Prognosis</ns0:t>
        </ns0:is>
      </ns0:c>
      <ns0:c r="D1449" s="19" t="inlineStr">
        <ns0:is>
          <ns0:t>Diagnosis</ns0:t>
        </ns0:is>
      </ns0:c>
      <ns0:c r="E1449" s="19" t="inlineStr">
        <ns0:is>
          <ns0:t>Microbiome XAI studies contemporaneous ASD-associated species; personalized interventions are a proposed implication, not prospective prognosis or image analysis.</ns0:t>
        </ns0:is>
      </ns0:c>
      <ns0:c r="F1449" s="19" t="inlineStr">
        <ns0:is>
          <ns0:t>https://doi.org/10.1016/j.isci.2024.110709</ns0:t>
        </ns0:is>
      </ns0:c>
      <ns0:c r="G1449" s="19" t="inlineStr">
        <ns0:is>
          <ns0:t>ChatGPT-assisted evidence recharting, 2026-09-08</ns0:t>
        </ns0:is>
      </ns0:c>
    </ns0:row>
    <ns0:row r="1450" ht="42" customHeight="1">
      <ns0:c r="A1450" s="21" t="inlineStr">
        <ns0:is>
          <ns0:t>265</ns0:t>
        </ns0:is>
      </ns0:c>
      <ns0:c r="B1450" s="21" t="inlineStr">
        <ns0:is>
          <ns0:t>ai_type</ns0:t>
        </ns0:is>
      </ns0:c>
      <ns0:c r="C1450" s="21" t="inlineStr">
        <ns0:is>
          <ns0:t>Not specified</ns0:t>
        </ns0:is>
      </ns0:c>
      <ns0:c r="D1450" s="21" t="inlineStr">
        <ns0:is>
          <ns0:t>Machine Learning</ns0:t>
        </ns0:is>
      </ns0:c>
      <ns0:c r="E1450" s="21" t="inlineStr">
        <ns0:is>
          <ns0:t>Microbiome XAI studies contemporaneous ASD-associated species; personalized interventions are a proposed implication, not prospective prognosis or image analysis.</ns0:t>
        </ns0:is>
      </ns0:c>
      <ns0:c r="F1450" s="21" t="inlineStr">
        <ns0:is>
          <ns0:t>https://doi.org/10.1016/j.isci.2024.110709</ns0:t>
        </ns0:is>
      </ns0:c>
      <ns0:c r="G1450" s="21" t="inlineStr">
        <ns0:is>
          <ns0:t>ChatGPT-assisted evidence recharting, 2026-09-08</ns0:t>
        </ns0:is>
      </ns0:c>
    </ns0:row>
    <ns0:row r="1451" ht="42" customHeight="1">
      <ns0:c r="A1451" s="19" t="inlineStr">
        <ns0:is>
          <ns0:t>265</ns0:t>
        </ns0:is>
      </ns0:c>
      <ns0:c r="B1451" s="19" t="inlineStr">
        <ns0:is>
          <ns0:t>data_source_primary</ns0:t>
        </ns0:is>
      </ns0:c>
      <ns0:c r="C1451" s="19" t="inlineStr">
        <ns0:is>
          <ns0:t>Image (subtype unresolved)</ns0:t>
        </ns0:is>
      </ns0:c>
      <ns0:c r="D1451" s="19" t="inlineStr">
        <ns0:is>
          <ns0:t>Biological/omics</ns0:t>
        </ns0:is>
      </ns0:c>
      <ns0:c r="E1451" s="19" t="inlineStr">
        <ns0:is>
          <ns0:t>Microbiome XAI studies contemporaneous ASD-associated species; personalized interventions are a proposed implication, not prospective prognosis or image analysis.</ns0:t>
        </ns0:is>
      </ns0:c>
      <ns0:c r="F1451" s="19" t="inlineStr">
        <ns0:is>
          <ns0:t>https://doi.org/10.1016/j.isci.2024.110709</ns0:t>
        </ns0:is>
      </ns0:c>
      <ns0:c r="G1451" s="19" t="inlineStr">
        <ns0:is>
          <ns0:t>ChatGPT-assisted evidence recharting, 2026-09-08</ns0:t>
        </ns0:is>
      </ns0:c>
    </ns0:row>
    <ns0:row r="1452" ht="42" customHeight="1">
      <ns0:c r="A1452" s="21" t="inlineStr">
        <ns0:is>
          <ns0:t>265</ns0:t>
        </ns0:is>
      </ns0:c>
      <ns0:c r="B1452" s="21" t="inlineStr">
        <ns0:is>
          <ns0:t>algorithm_main</ns0:t>
        </ns0:is>
      </ns0:c>
      <ns0:c r="C1452" s="21" t="inlineStr"/>
      <ns0:c r="D1452" s="21" t="inlineStr">
        <ns0:is>
          <ns0:t>Not specified</ns0:t>
        </ns0:is>
      </ns0:c>
      <ns0:c r="E1452" s="21" t="inlineStr">
        <ns0:is>
          <ns0:t>Microbiome XAI studies contemporaneous ASD-associated species; personalized interventions are a proposed implication, not prospective prognosis or image analysis.</ns0:t>
        </ns0:is>
      </ns0:c>
      <ns0:c r="F1452" s="21" t="inlineStr">
        <ns0:is>
          <ns0:t>https://doi.org/10.1016/j.isci.2024.110709</ns0:t>
        </ns0:is>
      </ns0:c>
      <ns0:c r="G1452" s="21" t="inlineStr">
        <ns0:is>
          <ns0:t>ChatGPT-assisted evidence recharting, 2026-09-08</ns0:t>
        </ns0:is>
      </ns0:c>
    </ns0:row>
    <ns0:row r="1453" ht="42" customHeight="1">
      <ns0:c r="A1453" s="19" t="inlineStr">
        <ns0:is>
          <ns0:t>265</ns0:t>
        </ns0:is>
      </ns0:c>
      <ns0:c r="B1453" s="19" t="inlineStr">
        <ns0:is>
          <ns0:t>rq2_status</ns0:t>
        </ns0:is>
      </ns0:c>
      <ns0:c r="C1453" s="19" t="inlineStr">
        <ns0:is>
          <ns0:t>Not adjudicated in master</ns0:t>
        </ns0:is>
      </ns0:c>
      <ns0:c r="D1453" s="19" t="inlineStr">
        <ns0:is>
          <ns0:t>Research only</ns0:t>
        </ns0:is>
      </ns0:c>
      <ns0:c r="E1453" s="19" t="inlineStr">
        <ns0:is>
          <ns0:t>Microbiome XAI studies contemporaneous ASD-associated species; personalized interventions are a proposed implication, not prospective prognosis or image analysis.</ns0:t>
        </ns0:is>
      </ns0:c>
      <ns0:c r="F1453" s="19" t="inlineStr">
        <ns0:is>
          <ns0:t>https://doi.org/10.1016/j.isci.2024.110709</ns0:t>
        </ns0:is>
      </ns0:c>
      <ns0:c r="G1453" s="19" t="inlineStr">
        <ns0:is>
          <ns0:t>ChatGPT-assisted evidence recharting, 2026-09-08</ns0:t>
        </ns0:is>
      </ns0:c>
    </ns0:row>
    <ns0:row r="1454" ht="42" customHeight="1">
      <ns0:c r="A1454" s="21" t="inlineStr">
        <ns0:is>
          <ns0:t>265</ns0:t>
        </ns0:is>
      </ns0:c>
      <ns0:c r="B1454" s="21" t="inlineStr">
        <ns0:is>
          <ns0:t>rq2_role</ns0:t>
        </ns0:is>
      </ns0:c>
      <ns0:c r="C1454" s="21" t="inlineStr"/>
      <ns0:c r="D1454" s="21" t="inlineStr">
        <ns0:is>
          <ns0:t>Automated measurement/classification</ns0:t>
        </ns0:is>
      </ns0:c>
      <ns0:c r="E1454" s="21" t="inlineStr">
        <ns0:is>
          <ns0:t>Microbiome XAI studies contemporaneous ASD-associated species; personalized interventions are a proposed implication, not prospective prognosis or image analysis.</ns0:t>
        </ns0:is>
      </ns0:c>
      <ns0:c r="F1454" s="21" t="inlineStr">
        <ns0:is>
          <ns0:t>https://doi.org/10.1016/j.isci.2024.110709</ns0:t>
        </ns0:is>
      </ns0:c>
      <ns0:c r="G1454" s="21" t="inlineStr">
        <ns0:is>
          <ns0:t>ChatGPT-assisted evidence recharting, 2026-09-08</ns0:t>
        </ns0:is>
      </ns0:c>
    </ns0:row>
    <ns0:row r="1455" ht="42" customHeight="1">
      <ns0:c r="A1455" s="19" t="inlineStr">
        <ns0:is>
          <ns0:t>265</ns0:t>
        </ns0:is>
      </ns0:c>
      <ns0:c r="B1455" s="19" t="inlineStr">
        <ns0:is>
          <ns0:t>decision_timing</ns0:t>
        </ns0:is>
      </ns0:c>
      <ns0:c r="C1455" s="19" t="inlineStr"/>
      <ns0:c r="D1455" s="19" t="inlineStr">
        <ns0:is>
          <ns0:t>Not observed in assessed sources</ns0:t>
        </ns0:is>
      </ns0:c>
      <ns0:c r="E1455" s="19" t="inlineStr">
        <ns0:is>
          <ns0:t>Microbiome XAI studies contemporaneous ASD-associated species; personalized interventions are a proposed implication, not prospective prognosis or image analysis.</ns0:t>
        </ns0:is>
      </ns0:c>
      <ns0:c r="F1455" s="19" t="inlineStr">
        <ns0:is>
          <ns0:t>https://doi.org/10.1016/j.isci.2024.110709</ns0:t>
        </ns0:is>
      </ns0:c>
      <ns0:c r="G1455" s="19" t="inlineStr">
        <ns0:is>
          <ns0:t>ChatGPT-assisted evidence recharting, 2026-09-08</ns0:t>
        </ns0:is>
      </ns0:c>
    </ns0:row>
    <ns0:row r="1456" ht="42" customHeight="1">
      <ns0:c r="A1456" s="21" t="inlineStr">
        <ns0:is>
          <ns0:t>265</ns0:t>
        </ns0:is>
      </ns0:c>
      <ns0:c r="B1456" s="21" t="inlineStr">
        <ns0:is>
          <ns0:t>xai_strict</ns0:t>
        </ns0:is>
      </ns0:c>
      <ns0:c r="C1456" s="21" t="inlineStr">
        <ns0:is>
          <ns0:t>Reported</ns0:t>
        </ns0:is>
      </ns0:c>
      <ns0:c r="D1456" s="21" t="inlineStr">
        <ns0:is>
          <ns0:t>Not ascertainable</ns0:t>
        </ns0:is>
      </ns0:c>
      <ns0:c r="E1456" s="21" t="inlineStr">
        <ns0:is>
          <ns0:t>Microbiome XAI studies contemporaneous ASD-associated species; personalized interventions are a proposed implication, not prospective prognosis or image analysis.</ns0:t>
        </ns0:is>
      </ns0:c>
      <ns0:c r="F1456" s="21" t="inlineStr">
        <ns0:is>
          <ns0:t>https://doi.org/10.1016/j.isci.2024.110709</ns0:t>
        </ns0:is>
      </ns0:c>
      <ns0:c r="G1456" s="21" t="inlineStr">
        <ns0:is>
          <ns0:t>ChatGPT-assisted evidence recharting, 2026-09-08</ns0:t>
        </ns0:is>
      </ns0:c>
    </ns0:row>
    <ns0:row r="1457" ht="42" customHeight="1">
      <ns0:c r="A1457" s="19" t="inlineStr">
        <ns0:is>
          <ns0:t>265</ns0:t>
        </ns0:is>
      </ns0:c>
      <ns0:c r="B1457" s="19" t="inlineStr">
        <ns0:is>
          <ns0:t>xai_partial</ns0:t>
        </ns0:is>
      </ns0:c>
      <ns0:c r="C1457" s="19" t="inlineStr">
        <ns0:is>
          <ns0:t>Not reported in assessed sources</ns0:t>
        </ns0:is>
      </ns0:c>
      <ns0:c r="D1457" s="19" t="inlineStr">
        <ns0:is>
          <ns0:t>Reported</ns0:t>
        </ns0:is>
      </ns0:c>
      <ns0:c r="E1457" s="19" t="inlineStr">
        <ns0:is>
          <ns0:t>Microbiome XAI studies contemporaneous ASD-associated species; personalized interventions are a proposed implication, not prospective prognosis or image analysis.</ns0:t>
        </ns0:is>
      </ns0:c>
      <ns0:c r="F1457" s="19" t="inlineStr">
        <ns0:is>
          <ns0:t>https://doi.org/10.1016/j.isci.2024.110709</ns0:t>
        </ns0:is>
      </ns0:c>
      <ns0:c r="G1457" s="19" t="inlineStr">
        <ns0:is>
          <ns0:t>ChatGPT-assisted evidence recharting, 2026-09-08</ns0:t>
        </ns0:is>
      </ns0:c>
    </ns0:row>
    <ns0:row r="1458" ht="57" customHeight="1">
      <ns0:c r="A1458" s="21" t="inlineStr">
        <ns0:is>
          <ns0:t>266</ns0:t>
        </ns0:is>
      </ns0:c>
      <ns0:c r="B1458" s="21" t="inlineStr">
        <ns0:is>
          <ns0:t>data_source_primary</ns0:t>
        </ns0:is>
      </ns0:c>
      <ns0:c r="C1458" s="21" t="inlineStr">
        <ns0:is>
          <ns0:t>Not specified</ns0:t>
        </ns0:is>
      </ns0:c>
      <ns0:c r="D1458" s="21" t="inlineStr">
        <ns0:is>
          <ns0:t>Multiple source categories</ns0:t>
        </ns0:is>
      </ns0:c>
      <ns0:c r="E1458" s="21" t="inlineStr">
        <ns0:is>
          <ns0:t>ML estimates environmental exposure, followed by ASD epidemiological association analysis; no individual clinical risk decision system. Retained under broad computational ASD mapping, flagged for scope sensitivity.
AI predicts environmental exposures rather than an ASD clinical endpoint; retain only in broad mapping and exclude in direct-clinical-endpoint sensitivity.</ns0:t>
        </ns0:is>
      </ns0:c>
      <ns0:c r="F1458" s="21" t="inlineStr">
        <ns0:is>
          <ns0:t>https://doi.org/10.1016/j.envint.2025.109562</ns0:t>
        </ns0:is>
      </ns0:c>
      <ns0:c r="G1458" s="21" t="inlineStr">
        <ns0:is>
          <ns0:t>ChatGPT-assisted evidence recharting, 2026-09-08</ns0:t>
        </ns0:is>
      </ns0:c>
    </ns0:row>
    <ns0:row r="1459" ht="57" customHeight="1">
      <ns0:c r="A1459" s="19" t="inlineStr">
        <ns0:is>
          <ns0:t>266</ns0:t>
        </ns0:is>
      </ns0:c>
      <ns0:c r="B1459" s="19" t="inlineStr">
        <ns0:is>
          <ns0:t>algorithm_main</ns0:t>
        </ns0:is>
      </ns0:c>
      <ns0:c r="C1459" s="19" t="inlineStr">
        <ns0:is>
          <ns0:t>Logistic Regression</ns0:t>
        </ns0:is>
      </ns0:c>
      <ns0:c r="D1459" s="19" t="inlineStr">
        <ns0:is>
          <ns0:t>Land-use regression / logistic regression</ns0:t>
        </ns0:is>
      </ns0:c>
      <ns0:c r="E1459" s="19" t="inlineStr">
        <ns0:is>
          <ns0:t>ML estimates environmental exposure, followed by ASD epidemiological association analysis; no individual clinical risk decision system. Retained under broad computational ASD mapping, flagged for scope sensitivity.
AI predicts environmental exposures rather than an ASD clinical endpoint; retain only in broad mapping and exclude in direct-clinical-endpoint sensitivity.</ns0:t>
        </ns0:is>
      </ns0:c>
      <ns0:c r="F1459" s="19" t="inlineStr">
        <ns0:is>
          <ns0:t>https://doi.org/10.1016/j.envint.2025.109562</ns0:t>
        </ns0:is>
      </ns0:c>
      <ns0:c r="G1459" s="19" t="inlineStr">
        <ns0:is>
          <ns0:t>ChatGPT-assisted evidence recharting, 2026-09-08</ns0:t>
        </ns0:is>
      </ns0:c>
    </ns0:row>
    <ns0:row r="1460" ht="57" customHeight="1">
      <ns0:c r="A1460" s="21" t="inlineStr">
        <ns0:is>
          <ns0:t>266</ns0:t>
        </ns0:is>
      </ns0:c>
      <ns0:c r="B1460" s="21" t="inlineStr">
        <ns0:is>
          <ns0:t>rq2_status</ns0:t>
        </ns0:is>
      </ns0:c>
      <ns0:c r="C1460" s="21" t="inlineStr">
        <ns0:is>
          <ns0:t>Not adjudicated in master</ns0:t>
        </ns0:is>
      </ns0:c>
      <ns0:c r="D1460" s="21" t="inlineStr">
        <ns0:is>
          <ns0:t>Research only</ns0:t>
        </ns0:is>
      </ns0:c>
      <ns0:c r="E1460" s="21" t="inlineStr">
        <ns0:is>
          <ns0:t>ML estimates environmental exposure, followed by ASD epidemiological association analysis; no individual clinical risk decision system. Retained under broad computational ASD mapping, flagged for scope sensitivity.
AI predicts environmental exposures rather than an ASD clinical endpoint; retain only in broad mapping and exclude in direct-clinical-endpoint sensitivity.</ns0:t>
        </ns0:is>
      </ns0:c>
      <ns0:c r="F1460" s="21" t="inlineStr">
        <ns0:is>
          <ns0:t>https://doi.org/10.1016/j.envint.2025.109562</ns0:t>
        </ns0:is>
      </ns0:c>
      <ns0:c r="G1460" s="21" t="inlineStr">
        <ns0:is>
          <ns0:t>ChatGPT-assisted evidence recharting, 2026-09-08</ns0:t>
        </ns0:is>
      </ns0:c>
    </ns0:row>
    <ns0:row r="1461" ht="57" customHeight="1">
      <ns0:c r="A1461" s="19" t="inlineStr">
        <ns0:is>
          <ns0:t>266</ns0:t>
        </ns0:is>
      </ns0:c>
      <ns0:c r="B1461" s="19" t="inlineStr">
        <ns0:is>
          <ns0:t>rq2_role</ns0:t>
        </ns0:is>
      </ns0:c>
      <ns0:c r="C1461" s="19" t="inlineStr"/>
      <ns0:c r="D1461" s="19" t="inlineStr">
        <ns0:is>
          <ns0:t>Research characterization</ns0:t>
        </ns0:is>
      </ns0:c>
      <ns0:c r="E1461" s="19" t="inlineStr">
        <ns0:is>
          <ns0:t>ML estimates environmental exposure, followed by ASD epidemiological association analysis; no individual clinical risk decision system. Retained under broad computational ASD mapping, flagged for scope sensitivity.
AI predicts environmental exposures rather than an ASD clinical endpoint; retain only in broad mapping and exclude in direct-clinical-endpoint sensitivity.</ns0:t>
        </ns0:is>
      </ns0:c>
      <ns0:c r="F1461" s="19" t="inlineStr">
        <ns0:is>
          <ns0:t>https://doi.org/10.1016/j.envint.2025.109562</ns0:t>
        </ns0:is>
      </ns0:c>
      <ns0:c r="G1461" s="19" t="inlineStr">
        <ns0:is>
          <ns0:t>ChatGPT-assisted evidence recharting, 2026-09-08</ns0:t>
        </ns0:is>
      </ns0:c>
    </ns0:row>
    <ns0:row r="1462" ht="57" customHeight="1">
      <ns0:c r="A1462" s="21" t="inlineStr">
        <ns0:is>
          <ns0:t>266</ns0:t>
        </ns0:is>
      </ns0:c>
      <ns0:c r="B1462" s="21" t="inlineStr">
        <ns0:is>
          <ns0:t>decision_timing</ns0:t>
        </ns0:is>
      </ns0:c>
      <ns0:c r="C1462" s="21" t="inlineStr"/>
      <ns0:c r="D1462" s="21" t="inlineStr">
        <ns0:is>
          <ns0:t>Not observed in assessed sources</ns0:t>
        </ns0:is>
      </ns0:c>
      <ns0:c r="E1462" s="21" t="inlineStr">
        <ns0:is>
          <ns0:t>ML estimates environmental exposure, followed by ASD epidemiological association analysis; no individual clinical risk decision system. Retained under broad computational ASD mapping, flagged for scope sensitivity.
AI predicts environmental exposures rather than an ASD clinical endpoint; retain only in broad mapping and exclude in direct-clinical-endpoint sensitivity.</ns0:t>
        </ns0:is>
      </ns0:c>
      <ns0:c r="F1462" s="21" t="inlineStr">
        <ns0:is>
          <ns0:t>https://doi.org/10.1016/j.envint.2025.109562</ns0:t>
        </ns0:is>
      </ns0:c>
      <ns0:c r="G1462" s="21" t="inlineStr">
        <ns0:is>
          <ns0:t>ChatGPT-assisted evidence recharting, 2026-09-08</ns0:t>
        </ns0:is>
      </ns0:c>
    </ns0:row>
    <ns0:row r="1463" ht="42" customHeight="1">
      <ns0:c r="A1463" s="19" t="inlineStr">
        <ns0:is>
          <ns0:t>267</ns0:t>
        </ns0:is>
      </ns0:c>
      <ns0:c r="B1463" s="19" t="inlineStr">
        <ns0:is>
          <ns0:t>data_source_primary</ns0:t>
        </ns0:is>
      </ns0:c>
      <ns0:c r="C1463" s="19" t="inlineStr">
        <ns0:is>
          <ns0:t>Text / NLP (legacy; verify input type)</ns0:t>
        </ns0:is>
      </ns0:c>
      <ns0:c r="D1463" s="19" t="inlineStr">
        <ns0:is>
          <ns0:t>Multiple source categories</ns0:t>
        </ns0:is>
      </ns0:c>
      <ns0:c r="E1463" s="19" t="inlineStr">
        <ns0:is>
          <ns0:t>Parental free text is combined with an adaptively selected screening question; proposed prescreening role, not demonstrated clinical use.</ns0:t>
        </ns0:is>
      </ns0:c>
      <ns0:c r="F1463" s="19" t="inlineStr">
        <ns0:is>
          <ns0:t>https://doi.org/10.2196/jmir.9496</ns0:t>
        </ns0:is>
      </ns0:c>
      <ns0:c r="G1463" s="19" t="inlineStr">
        <ns0:is>
          <ns0:t>ChatGPT-assisted evidence recharting, 2026-09-08</ns0:t>
        </ns0:is>
      </ns0:c>
    </ns0:row>
    <ns0:row r="1464" ht="42" customHeight="1">
      <ns0:c r="A1464" s="21" t="inlineStr">
        <ns0:is>
          <ns0:t>267</ns0:t>
        </ns0:is>
      </ns0:c>
      <ns0:c r="B1464" s="21" t="inlineStr">
        <ns0:is>
          <ns0:t>algorithm_main</ns0:t>
        </ns0:is>
      </ns0:c>
      <ns0:c r="C1464" s="21" t="inlineStr">
        <ns0:is>
          <ns0:t>Other / Not clear</ns0:t>
        </ns0:is>
      </ns0:c>
      <ns0:c r="D1464" s="21" t="inlineStr">
        <ns0:is>
          <ns0:t>Not specified</ns0:t>
        </ns0:is>
      </ns0:c>
      <ns0:c r="E1464" s="21" t="inlineStr">
        <ns0:is>
          <ns0:t>Parental free text is combined with an adaptively selected screening question; proposed prescreening role, not demonstrated clinical use.</ns0:t>
        </ns0:is>
      </ns0:c>
      <ns0:c r="F1464" s="21" t="inlineStr">
        <ns0:is>
          <ns0:t>https://doi.org/10.2196/jmir.9496</ns0:t>
        </ns0:is>
      </ns0:c>
      <ns0:c r="G1464" s="21" t="inlineStr">
        <ns0:is>
          <ns0:t>ChatGPT-assisted evidence recharting, 2026-09-08</ns0:t>
        </ns0:is>
      </ns0:c>
    </ns0:row>
    <ns0:row r="1465" ht="42" customHeight="1">
      <ns0:c r="A1465" s="19" t="inlineStr">
        <ns0:is>
          <ns0:t>267</ns0:t>
        </ns0:is>
      </ns0:c>
      <ns0:c r="B1465" s="19" t="inlineStr">
        <ns0:is>
          <ns0:t>rq2_status</ns0:t>
        </ns0:is>
      </ns0:c>
      <ns0:c r="C1465" s="19" t="inlineStr">
        <ns0:is>
          <ns0:t>Not adjudicated in master</ns0:t>
        </ns0:is>
      </ns0:c>
      <ns0:c r="D1465" s="19" t="inlineStr">
        <ns0:is>
          <ns0:t>Proposed only</ns0:t>
        </ns0:is>
      </ns0:c>
      <ns0:c r="E1465" s="19" t="inlineStr">
        <ns0:is>
          <ns0:t>Parental free text is combined with an adaptively selected screening question; proposed prescreening role, not demonstrated clinical use.</ns0:t>
        </ns0:is>
      </ns0:c>
      <ns0:c r="F1465" s="19" t="inlineStr">
        <ns0:is>
          <ns0:t>https://doi.org/10.2196/jmir.9496</ns0:t>
        </ns0:is>
      </ns0:c>
      <ns0:c r="G1465" s="19" t="inlineStr">
        <ns0:is>
          <ns0:t>ChatGPT-assisted evidence recharting, 2026-09-08</ns0:t>
        </ns0:is>
      </ns0:c>
    </ns0:row>
    <ns0:row r="1466" ht="42" customHeight="1">
      <ns0:c r="A1466" s="21" t="inlineStr">
        <ns0:is>
          <ns0:t>267</ns0:t>
        </ns0:is>
      </ns0:c>
      <ns0:c r="B1466" s="21" t="inlineStr">
        <ns0:is>
          <ns0:t>rq2_role</ns0:t>
        </ns0:is>
      </ns0:c>
      <ns0:c r="C1466" s="21" t="inlineStr"/>
      <ns0:c r="D1466" s="21" t="inlineStr">
        <ns0:is>
          <ns0:t>Triage/questionnaire assessment</ns0:t>
        </ns0:is>
      </ns0:c>
      <ns0:c r="E1466" s="21" t="inlineStr">
        <ns0:is>
          <ns0:t>Parental free text is combined with an adaptively selected screening question; proposed prescreening role, not demonstrated clinical use.</ns0:t>
        </ns0:is>
      </ns0:c>
      <ns0:c r="F1466" s="21" t="inlineStr">
        <ns0:is>
          <ns0:t>https://doi.org/10.2196/jmir.9496</ns0:t>
        </ns0:is>
      </ns0:c>
      <ns0:c r="G1466" s="21" t="inlineStr">
        <ns0:is>
          <ns0:t>ChatGPT-assisted evidence recharting, 2026-09-08</ns0:t>
        </ns0:is>
      </ns0:c>
    </ns0:row>
    <ns0:row r="1467" ht="42" customHeight="1">
      <ns0:c r="A1467" s="19" t="inlineStr">
        <ns0:is>
          <ns0:t>267</ns0:t>
        </ns0:is>
      </ns0:c>
      <ns0:c r="B1467" s="19" t="inlineStr">
        <ns0:is>
          <ns0:t>decision_timing</ns0:t>
        </ns0:is>
      </ns0:c>
      <ns0:c r="C1467" s="19" t="inlineStr"/>
      <ns0:c r="D1467" s="19" t="inlineStr">
        <ns0:is>
          <ns0:t>Pre-decision</ns0:t>
        </ns0:is>
      </ns0:c>
      <ns0:c r="E1467" s="19" t="inlineStr">
        <ns0:is>
          <ns0:t>Parental free text is combined with an adaptively selected screening question; proposed prescreening role, not demonstrated clinical use.</ns0:t>
        </ns0:is>
      </ns0:c>
      <ns0:c r="F1467" s="19" t="inlineStr">
        <ns0:is>
          <ns0:t>https://doi.org/10.2196/jmir.9496</ns0:t>
        </ns0:is>
      </ns0:c>
      <ns0:c r="G1467" s="19" t="inlineStr">
        <ns0:is>
          <ns0:t>ChatGPT-assisted evidence recharting, 2026-09-08</ns0:t>
        </ns0:is>
      </ns0:c>
    </ns0:row>
    <ns0:row r="1468" ht="42" customHeight="1">
      <ns0:c r="A1468" s="21" t="inlineStr">
        <ns0:is>
          <ns0:t>267</ns0:t>
        </ns0:is>
      </ns0:c>
      <ns0:c r="B1468" s="21" t="inlineStr">
        <ns0:is>
          <ns0:t>multisource_data</ns0:t>
        </ns0:is>
      </ns0:c>
      <ns0:c r="C1468" s="21" t="inlineStr">
        <ns0:is>
          <ns0:t>Not reported in assessed sources</ns0:t>
        </ns0:is>
      </ns0:c>
      <ns0:c r="D1468" s="21" t="inlineStr">
        <ns0:is>
          <ns0:t>Reported</ns0:t>
        </ns0:is>
      </ns0:c>
      <ns0:c r="E1468" s="21" t="inlineStr">
        <ns0:is>
          <ns0:t>Parental free text is combined with an adaptively selected screening question; proposed prescreening role, not demonstrated clinical use.</ns0:t>
        </ns0:is>
      </ns0:c>
      <ns0:c r="F1468" s="21" t="inlineStr">
        <ns0:is>
          <ns0:t>https://doi.org/10.2196/jmir.9496</ns0:t>
        </ns0:is>
      </ns0:c>
      <ns0:c r="G1468" s="21" t="inlineStr">
        <ns0:is>
          <ns0:t>ChatGPT-assisted evidence recharting, 2026-09-08</ns0:t>
        </ns0:is>
      </ns0:c>
    </ns0:row>
    <ns0:row r="1469" ht="42" customHeight="1">
      <ns0:c r="A1469" s="19" t="inlineStr">
        <ns0:is>
          <ns0:t>268</ns0:t>
        </ns0:is>
      </ns0:c>
      <ns0:c r="B1469" s="19" t="inlineStr">
        <ns0:is>
          <ns0:t>rq2_status</ns0:t>
        </ns0:is>
      </ns0:c>
      <ns0:c r="C1469" s="19" t="inlineStr">
        <ns0:is>
          <ns0:t>Not adjudicated in master</ns0:t>
        </ns0:is>
      </ns0:c>
      <ns0:c r="D1469" s="19" t="inlineStr">
        <ns0:is>
          <ns0:t>Research only</ns0:t>
        </ns0:is>
      </ns0:c>
      <ns0:c r="E1469" s="19" t="inlineStr">
        <ns0:is>
          <ns0:t>EEG cross-wavelet images with ResNet-101. Older/younger split is internal age-stratified evaluation, and auditory stimulus is not a second measured input source.</ns0:t>
        </ns0:is>
      </ns0:c>
      <ns0:c r="F1469" s="19" t="inlineStr">
        <ns0:is>
          <ns0:t>https://doi.org/10.1007/s42979-023-02564-9</ns0:t>
        </ns0:is>
      </ns0:c>
      <ns0:c r="G1469" s="19" t="inlineStr">
        <ns0:is>
          <ns0:t>ChatGPT-assisted evidence recharting, 2026-09-08</ns0:t>
        </ns0:is>
      </ns0:c>
    </ns0:row>
    <ns0:row r="1470" ht="42" customHeight="1">
      <ns0:c r="A1470" s="21" t="inlineStr">
        <ns0:is>
          <ns0:t>268</ns0:t>
        </ns0:is>
      </ns0:c>
      <ns0:c r="B1470" s="21" t="inlineStr">
        <ns0:is>
          <ns0:t>rq2_role</ns0:t>
        </ns0:is>
      </ns0:c>
      <ns0:c r="C1470" s="21" t="inlineStr"/>
      <ns0:c r="D1470" s="21" t="inlineStr">
        <ns0:is>
          <ns0:t>Automated measurement/classification</ns0:t>
        </ns0:is>
      </ns0:c>
      <ns0:c r="E1470" s="21" t="inlineStr">
        <ns0:is>
          <ns0:t>EEG cross-wavelet images with ResNet-101. Older/younger split is internal age-stratified evaluation, and auditory stimulus is not a second measured input source.</ns0:t>
        </ns0:is>
      </ns0:c>
      <ns0:c r="F1470" s="21" t="inlineStr">
        <ns0:is>
          <ns0:t>https://doi.org/10.1007/s42979-023-02564-9</ns0:t>
        </ns0:is>
      </ns0:c>
      <ns0:c r="G1470" s="21" t="inlineStr">
        <ns0:is>
          <ns0:t>ChatGPT-assisted evidence recharting, 2026-09-08</ns0:t>
        </ns0:is>
      </ns0:c>
    </ns0:row>
    <ns0:row r="1471" ht="42" customHeight="1">
      <ns0:c r="A1471" s="19" t="inlineStr">
        <ns0:is>
          <ns0:t>268</ns0:t>
        </ns0:is>
      </ns0:c>
      <ns0:c r="B1471" s="19" t="inlineStr">
        <ns0:is>
          <ns0:t>decision_timing</ns0:t>
        </ns0:is>
      </ns0:c>
      <ns0:c r="C1471" s="19" t="inlineStr"/>
      <ns0:c r="D1471" s="19" t="inlineStr">
        <ns0:is>
          <ns0:t>Not observed in assessed sources</ns0:t>
        </ns0:is>
      </ns0:c>
      <ns0:c r="E1471" s="19" t="inlineStr">
        <ns0:is>
          <ns0:t>EEG cross-wavelet images with ResNet-101. Older/younger split is internal age-stratified evaluation, and auditory stimulus is not a second measured input source.</ns0:t>
        </ns0:is>
      </ns0:c>
      <ns0:c r="F1471" s="19" t="inlineStr">
        <ns0:is>
          <ns0:t>https://doi.org/10.1007/s42979-023-02564-9</ns0:t>
        </ns0:is>
      </ns0:c>
      <ns0:c r="G1471" s="19" t="inlineStr">
        <ns0:is>
          <ns0:t>ChatGPT-assisted evidence recharting, 2026-09-08</ns0:t>
        </ns0:is>
      </ns0:c>
    </ns0:row>
    <ns0:row r="1472" ht="42" customHeight="1">
      <ns0:c r="A1472" s="21" t="inlineStr">
        <ns0:is>
          <ns0:t>269</ns0:t>
        </ns0:is>
      </ns0:c>
      <ns0:c r="B1472" s="21" t="inlineStr">
        <ns0:is>
          <ns0:t>ai_type</ns0:t>
        </ns0:is>
      </ns0:c>
      <ns0:c r="C1472" s="21" t="inlineStr">
        <ns0:is>
          <ns0:t>Deep Learning</ns0:t>
        </ns0:is>
      </ns0:c>
      <ns0:c r="D1472" s="21" t="inlineStr">
        <ns0:is>
          <ns0:t>Machine Learning</ns0:t>
        </ns0:is>
      </ns0:c>
      <ns0:c r="E1472" s="21" t="inlineStr">
        <ns0:is>
          <ns0:t>SASL ensemble on multi-template fMRI connectivity, not a deep architecture or multiple source modality.
Multicenter representation learning; held-out-site test design not established by available abstract</ns0:t>
        </ns0:is>
      </ns0:c>
      <ns0:c r="F1472" s="21" t="inlineStr">
        <ns0:is>
          <ns0:t>https://doi.org/10.1016/j.media.2020.101662</ns0:t>
        </ns0:is>
      </ns0:c>
      <ns0:c r="G1472" s="21" t="inlineStr">
        <ns0:is>
          <ns0:t>ChatGPT-assisted evidence recharting, 2026-09-08</ns0:t>
        </ns0:is>
      </ns0:c>
    </ns0:row>
    <ns0:row r="1473" ht="42" customHeight="1">
      <ns0:c r="A1473" s="19" t="inlineStr">
        <ns0:is>
          <ns0:t>269</ns0:t>
        </ns0:is>
      </ns0:c>
      <ns0:c r="B1473" s="19" t="inlineStr">
        <ns0:is>
          <ns0:t>data_source_primary</ns0:t>
        </ns0:is>
      </ns0:c>
      <ns0:c r="C1473" s="19" t="inlineStr">
        <ns0:is>
          <ns0:t>Multiple modalities (as coded)</ns0:t>
        </ns0:is>
      </ns0:c>
      <ns0:c r="D1473" s="19" t="inlineStr">
        <ns0:is>
          <ns0:t>Neuroimaging</ns0:t>
        </ns0:is>
      </ns0:c>
      <ns0:c r="E1473" s="19" t="inlineStr">
        <ns0:is>
          <ns0:t>SASL ensemble on multi-template fMRI connectivity, not a deep architecture or multiple source modality.
Multicenter representation learning; held-out-site test design not established by available abstract</ns0:t>
        </ns0:is>
      </ns0:c>
      <ns0:c r="F1473" s="19" t="inlineStr">
        <ns0:is>
          <ns0:t>https://doi.org/10.1016/j.media.2020.101662</ns0:t>
        </ns0:is>
      </ns0:c>
      <ns0:c r="G1473" s="19" t="inlineStr">
        <ns0:is>
          <ns0:t>ChatGPT-assisted evidence recharting, 2026-09-08</ns0:t>
        </ns0:is>
      </ns0:c>
    </ns0:row>
    <ns0:row r="1474" ht="42" customHeight="1">
      <ns0:c r="A1474" s="21" t="inlineStr">
        <ns0:is>
          <ns0:t>269</ns0:t>
        </ns0:is>
      </ns0:c>
      <ns0:c r="B1474" s="21" t="inlineStr">
        <ns0:is>
          <ns0:t>algorithm_main</ns0:t>
        </ns0:is>
      </ns0:c>
      <ns0:c r="C1474" s="21" t="inlineStr">
        <ns0:is>
          <ns0:t>Other</ns0:t>
        </ns0:is>
      </ns0:c>
      <ns0:c r="D1474" s="21" t="inlineStr">
        <ns0:is>
          <ns0:t>Adaptive structure-learning ensemble</ns0:t>
        </ns0:is>
      </ns0:c>
      <ns0:c r="E1474" s="21" t="inlineStr">
        <ns0:is>
          <ns0:t>SASL ensemble on multi-template fMRI connectivity, not a deep architecture or multiple source modality.
Multicenter representation learning; held-out-site test design not established by available abstract</ns0:t>
        </ns0:is>
      </ns0:c>
      <ns0:c r="F1474" s="21" t="inlineStr">
        <ns0:is>
          <ns0:t>https://doi.org/10.1016/j.media.2020.101662</ns0:t>
        </ns0:is>
      </ns0:c>
      <ns0:c r="G1474" s="21" t="inlineStr">
        <ns0:is>
          <ns0:t>ChatGPT-assisted evidence recharting, 2026-09-08</ns0:t>
        </ns0:is>
      </ns0:c>
    </ns0:row>
    <ns0:row r="1475" ht="42" customHeight="1">
      <ns0:c r="A1475" s="19" t="inlineStr">
        <ns0:is>
          <ns0:t>269</ns0:t>
        </ns0:is>
      </ns0:c>
      <ns0:c r="B1475" s="19" t="inlineStr">
        <ns0:is>
          <ns0:t>rq2_status</ns0:t>
        </ns0:is>
      </ns0:c>
      <ns0:c r="C1475" s="19" t="inlineStr">
        <ns0:is>
          <ns0:t>Not adjudicated in master</ns0:t>
        </ns0:is>
      </ns0:c>
      <ns0:c r="D1475" s="19" t="inlineStr">
        <ns0:is>
          <ns0:t>Research only</ns0:t>
        </ns0:is>
      </ns0:c>
      <ns0:c r="E1475" s="19" t="inlineStr">
        <ns0:is>
          <ns0:t>SASL ensemble on multi-template fMRI connectivity, not a deep architecture or multiple source modality.
Multicenter representation learning; held-out-site test design not established by available abstract</ns0:t>
        </ns0:is>
      </ns0:c>
      <ns0:c r="F1475" s="19" t="inlineStr">
        <ns0:is>
          <ns0:t>https://doi.org/10.1016/j.media.2020.101662</ns0:t>
        </ns0:is>
      </ns0:c>
      <ns0:c r="G1475" s="19" t="inlineStr">
        <ns0:is>
          <ns0:t>ChatGPT-assisted evidence recharting, 2026-09-08</ns0:t>
        </ns0:is>
      </ns0:c>
    </ns0:row>
    <ns0:row r="1476" ht="42" customHeight="1">
      <ns0:c r="A1476" s="21" t="inlineStr">
        <ns0:is>
          <ns0:t>269</ns0:t>
        </ns0:is>
      </ns0:c>
      <ns0:c r="B1476" s="21" t="inlineStr">
        <ns0:is>
          <ns0:t>rq2_role</ns0:t>
        </ns0:is>
      </ns0:c>
      <ns0:c r="C1476" s="21" t="inlineStr"/>
      <ns0:c r="D1476" s="21" t="inlineStr">
        <ns0:is>
          <ns0:t>Automated measurement/classification</ns0:t>
        </ns0:is>
      </ns0:c>
      <ns0:c r="E1476" s="21" t="inlineStr">
        <ns0:is>
          <ns0:t>SASL ensemble on multi-template fMRI connectivity, not a deep architecture or multiple source modality.
Multicenter representation learning; held-out-site test design not established by available abstract</ns0:t>
        </ns0:is>
      </ns0:c>
      <ns0:c r="F1476" s="21" t="inlineStr">
        <ns0:is>
          <ns0:t>https://doi.org/10.1016/j.media.2020.101662</ns0:t>
        </ns0:is>
      </ns0:c>
      <ns0:c r="G1476" s="21" t="inlineStr">
        <ns0:is>
          <ns0:t>ChatGPT-assisted evidence recharting, 2026-09-08</ns0:t>
        </ns0:is>
      </ns0:c>
    </ns0:row>
    <ns0:row r="1477" ht="42" customHeight="1">
      <ns0:c r="A1477" s="19" t="inlineStr">
        <ns0:is>
          <ns0:t>269</ns0:t>
        </ns0:is>
      </ns0:c>
      <ns0:c r="B1477" s="19" t="inlineStr">
        <ns0:is>
          <ns0:t>decision_timing</ns0:t>
        </ns0:is>
      </ns0:c>
      <ns0:c r="C1477" s="19" t="inlineStr"/>
      <ns0:c r="D1477" s="19" t="inlineStr">
        <ns0:is>
          <ns0:t>Not observed in assessed sources</ns0:t>
        </ns0:is>
      </ns0:c>
      <ns0:c r="E1477" s="19" t="inlineStr">
        <ns0:is>
          <ns0:t>SASL ensemble on multi-template fMRI connectivity, not a deep architecture or multiple source modality.
Multicenter representation learning; held-out-site test design not established by available abstract</ns0:t>
        </ns0:is>
      </ns0:c>
      <ns0:c r="F1477" s="19" t="inlineStr">
        <ns0:is>
          <ns0:t>https://doi.org/10.1016/j.media.2020.101662</ns0:t>
        </ns0:is>
      </ns0:c>
      <ns0:c r="G1477" s="19" t="inlineStr">
        <ns0:is>
          <ns0:t>ChatGPT-assisted evidence recharting, 2026-09-08</ns0:t>
        </ns0:is>
      </ns0:c>
    </ns0:row>
    <ns0:row r="1478" ht="42" customHeight="1">
      <ns0:c r="A1478" s="21" t="inlineStr">
        <ns0:is>
          <ns0:t>269</ns0:t>
        </ns0:is>
      </ns0:c>
      <ns0:c r="B1478" s="21" t="inlineStr">
        <ns0:is>
          <ns0:t>cross_site_robustness</ns0:t>
        </ns0:is>
      </ns0:c>
      <ns0:c r="C1478" s="21" t="inlineStr">
        <ns0:is>
          <ns0:t>Reported</ns0:t>
        </ns0:is>
      </ns0:c>
      <ns0:c r="D1478" s="21" t="inlineStr">
        <ns0:is>
          <ns0:t>Not ascertainable</ns0:t>
        </ns0:is>
      </ns0:c>
      <ns0:c r="E1478" s="21" t="inlineStr">
        <ns0:is>
          <ns0:t>SASL ensemble on multi-template fMRI connectivity, not a deep architecture or multiple source modality.
Multicenter representation learning; held-out-site test design not established by available abstract</ns0:t>
        </ns0:is>
      </ns0:c>
      <ns0:c r="F1478" s="21" t="inlineStr">
        <ns0:is>
          <ns0:t>https://doi.org/10.1016/j.media.2020.101662</ns0:t>
        </ns0:is>
      </ns0:c>
      <ns0:c r="G1478" s="21" t="inlineStr">
        <ns0:is>
          <ns0:t>ChatGPT-assisted evidence recharting, 2026-09-08</ns0:t>
        </ns0:is>
      </ns0:c>
    </ns0:row>
    <ns0:row r="1479" ht="42" customHeight="1">
      <ns0:c r="A1479" s="19" t="inlineStr">
        <ns0:is>
          <ns0:t>269</ns0:t>
        </ns0:is>
      </ns0:c>
      <ns0:c r="B1479" s="19" t="inlineStr">
        <ns0:is>
          <ns0:t>multisource_data</ns0:t>
        </ns0:is>
      </ns0:c>
      <ns0:c r="C1479" s="19" t="inlineStr">
        <ns0:is>
          <ns0:t>Reported</ns0:t>
        </ns0:is>
      </ns0:c>
      <ns0:c r="D1479" s="19" t="inlineStr">
        <ns0:is>
          <ns0:t>Not reported in assessed sources</ns0:t>
        </ns0:is>
      </ns0:c>
      <ns0:c r="E1479" s="19" t="inlineStr">
        <ns0:is>
          <ns0:t>SASL ensemble on multi-template fMRI connectivity, not a deep architecture or multiple source modality.
Multicenter representation learning; held-out-site test design not established by available abstract</ns0:t>
        </ns0:is>
      </ns0:c>
      <ns0:c r="F1479" s="19" t="inlineStr">
        <ns0:is>
          <ns0:t>https://doi.org/10.1016/j.media.2020.101662</ns0:t>
        </ns0:is>
      </ns0:c>
      <ns0:c r="G1479" s="19" t="inlineStr">
        <ns0:is>
          <ns0:t>ChatGPT-assisted evidence recharting, 2026-09-08</ns0:t>
        </ns0:is>
      </ns0:c>
    </ns0:row>
    <ns0:row r="1480" ht="42" customHeight="1">
      <ns0:c r="A1480" s="21" t="inlineStr">
        <ns0:is>
          <ns0:t>270</ns0:t>
        </ns0:is>
      </ns0:c>
      <ns0:c r="B1480" s="21" t="inlineStr">
        <ns0:is>
          <ns0:t>stage_primary</ns0:t>
        </ns0:is>
      </ns0:c>
      <ns0:c r="C1480" s="21" t="inlineStr">
        <ns0:is>
          <ns0:t>Monitoring/intervention</ns0:t>
        </ns0:is>
      </ns0:c>
      <ns0:c r="D1480" s="21" t="inlineStr">
        <ns0:is>
          <ns0:t>Prognosis</ns0:t>
        </ns0:is>
      </ns0:c>
      <ns0:c r="E1480" s="21" t="inlineStr">
        <ns0:is>
          <ns0:t>Previous-night BCG restlessness predicts next-day behavior; a temporal prognosis endpoint, not AI-guided intervention. Comparing ANN/SVM is not Hybrid.</ns0:t>
        </ns0:is>
      </ns0:c>
      <ns0:c r="F1480" s="21" t="inlineStr">
        <ns0:is>
          <ns0:t>https://doi.org/10.1016/j.medengphy.2020.07.004</ns0:t>
        </ns0:is>
      </ns0:c>
      <ns0:c r="G1480" s="21" t="inlineStr">
        <ns0:is>
          <ns0:t>ChatGPT-assisted evidence recharting, 2026-09-08</ns0:t>
        </ns0:is>
      </ns0:c>
    </ns0:row>
    <ns0:row r="1481" ht="42" customHeight="1">
      <ns0:c r="A1481" s="19" t="inlineStr">
        <ns0:is>
          <ns0:t>270</ns0:t>
        </ns0:is>
      </ns0:c>
      <ns0:c r="B1481" s="19" t="inlineStr">
        <ns0:is>
          <ns0:t>ai_type</ns0:t>
        </ns0:is>
      </ns0:c>
      <ns0:c r="C1481" s="19" t="inlineStr">
        <ns0:is>
          <ns0:t>Hybrid</ns0:t>
        </ns0:is>
      </ns0:c>
      <ns0:c r="D1481" s="19" t="inlineStr">
        <ns0:is>
          <ns0:t>Machine Learning</ns0:t>
        </ns0:is>
      </ns0:c>
      <ns0:c r="E1481" s="19" t="inlineStr">
        <ns0:is>
          <ns0:t>Previous-night BCG restlessness predicts next-day behavior; a temporal prognosis endpoint, not AI-guided intervention. Comparing ANN/SVM is not Hybrid.</ns0:t>
        </ns0:is>
      </ns0:c>
      <ns0:c r="F1481" s="19" t="inlineStr">
        <ns0:is>
          <ns0:t>https://doi.org/10.1016/j.medengphy.2020.07.004</ns0:t>
        </ns0:is>
      </ns0:c>
      <ns0:c r="G1481" s="19" t="inlineStr">
        <ns0:is>
          <ns0:t>ChatGPT-assisted evidence recharting, 2026-09-08</ns0:t>
        </ns0:is>
      </ns0:c>
    </ns0:row>
    <ns0:row r="1482" ht="42" customHeight="1">
      <ns0:c r="A1482" s="21" t="inlineStr">
        <ns0:is>
          <ns0:t>270</ns0:t>
        </ns0:is>
      </ns0:c>
      <ns0:c r="B1482" s="21" t="inlineStr">
        <ns0:is>
          <ns0:t>algorithm_main</ns0:t>
        </ns0:is>
      </ns0:c>
      <ns0:c r="C1482" s="21" t="inlineStr">
        <ns0:is>
          <ns0:t>MLP</ns0:t>
        </ns0:is>
      </ns0:c>
      <ns0:c r="D1482" s="21" t="inlineStr">
        <ns0:is>
          <ns0:t>Neural network / SVM comparison</ns0:t>
        </ns0:is>
      </ns0:c>
      <ns0:c r="E1482" s="21" t="inlineStr">
        <ns0:is>
          <ns0:t>Previous-night BCG restlessness predicts next-day behavior; a temporal prognosis endpoint, not AI-guided intervention. Comparing ANN/SVM is not Hybrid.</ns0:t>
        </ns0:is>
      </ns0:c>
      <ns0:c r="F1482" s="21" t="inlineStr">
        <ns0:is>
          <ns0:t>https://doi.org/10.1016/j.medengphy.2020.07.004</ns0:t>
        </ns0:is>
      </ns0:c>
      <ns0:c r="G1482" s="21" t="inlineStr">
        <ns0:is>
          <ns0:t>ChatGPT-assisted evidence recharting, 2026-09-08</ns0:t>
        </ns0:is>
      </ns0:c>
    </ns0:row>
    <ns0:row r="1483" ht="42" customHeight="1">
      <ns0:c r="A1483" s="19" t="inlineStr">
        <ns0:is>
          <ns0:t>270</ns0:t>
        </ns0:is>
      </ns0:c>
      <ns0:c r="B1483" s="19" t="inlineStr">
        <ns0:is>
          <ns0:t>rq2_status</ns0:t>
        </ns0:is>
      </ns0:c>
      <ns0:c r="C1483" s="19" t="inlineStr">
        <ns0:is>
          <ns0:t>Not adjudicated in master</ns0:t>
        </ns0:is>
      </ns0:c>
      <ns0:c r="D1483" s="19" t="inlineStr">
        <ns0:is>
          <ns0:t>Research only</ns0:t>
        </ns0:is>
      </ns0:c>
      <ns0:c r="E1483" s="19" t="inlineStr">
        <ns0:is>
          <ns0:t>Previous-night BCG restlessness predicts next-day behavior; a temporal prognosis endpoint, not AI-guided intervention. Comparing ANN/SVM is not Hybrid.</ns0:t>
        </ns0:is>
      </ns0:c>
      <ns0:c r="F1483" s="19" t="inlineStr">
        <ns0:is>
          <ns0:t>https://doi.org/10.1016/j.medengphy.2020.07.004</ns0:t>
        </ns0:is>
      </ns0:c>
      <ns0:c r="G1483" s="19" t="inlineStr">
        <ns0:is>
          <ns0:t>ChatGPT-assisted evidence recharting, 2026-09-08</ns0:t>
        </ns0:is>
      </ns0:c>
    </ns0:row>
    <ns0:row r="1484" ht="42" customHeight="1">
      <ns0:c r="A1484" s="21" t="inlineStr">
        <ns0:is>
          <ns0:t>270</ns0:t>
        </ns0:is>
      </ns0:c>
      <ns0:c r="B1484" s="21" t="inlineStr">
        <ns0:is>
          <ns0:t>rq2_role</ns0:t>
        </ns0:is>
      </ns0:c>
      <ns0:c r="C1484" s="21" t="inlineStr"/>
      <ns0:c r="D1484" s="21" t="inlineStr">
        <ns0:is>
          <ns0:t>Risk/trajectory estimation</ns0:t>
        </ns0:is>
      </ns0:c>
      <ns0:c r="E1484" s="21" t="inlineStr">
        <ns0:is>
          <ns0:t>Previous-night BCG restlessness predicts next-day behavior; a temporal prognosis endpoint, not AI-guided intervention. Comparing ANN/SVM is not Hybrid.</ns0:t>
        </ns0:is>
      </ns0:c>
      <ns0:c r="F1484" s="21" t="inlineStr">
        <ns0:is>
          <ns0:t>https://doi.org/10.1016/j.medengphy.2020.07.004</ns0:t>
        </ns0:is>
      </ns0:c>
      <ns0:c r="G1484" s="21" t="inlineStr">
        <ns0:is>
          <ns0:t>ChatGPT-assisted evidence recharting, 2026-09-08</ns0:t>
        </ns0:is>
      </ns0:c>
    </ns0:row>
    <ns0:row r="1485" ht="42" customHeight="1">
      <ns0:c r="A1485" s="19" t="inlineStr">
        <ns0:is>
          <ns0:t>270</ns0:t>
        </ns0:is>
      </ns0:c>
      <ns0:c r="B1485" s="19" t="inlineStr">
        <ns0:is>
          <ns0:t>decision_timing</ns0:t>
        </ns0:is>
      </ns0:c>
      <ns0:c r="C1485" s="19" t="inlineStr"/>
      <ns0:c r="D1485" s="19" t="inlineStr">
        <ns0:is>
          <ns0:t>Not observed in assessed sources</ns0:t>
        </ns0:is>
      </ns0:c>
      <ns0:c r="E1485" s="19" t="inlineStr">
        <ns0:is>
          <ns0:t>Previous-night BCG restlessness predicts next-day behavior; a temporal prognosis endpoint, not AI-guided intervention. Comparing ANN/SVM is not Hybrid.</ns0:t>
        </ns0:is>
      </ns0:c>
      <ns0:c r="F1485" s="19" t="inlineStr">
        <ns0:is>
          <ns0:t>https://doi.org/10.1016/j.medengphy.2020.07.004</ns0:t>
        </ns0:is>
      </ns0:c>
      <ns0:c r="G1485" s="19" t="inlineStr">
        <ns0:is>
          <ns0:t>ChatGPT-assisted evidence recharting, 2026-09-08</ns0:t>
        </ns0:is>
      </ns0:c>
    </ns0:row>
    <ns0:row r="1486" ht="45" customHeight="1">
      <ns0:c r="A1486" s="21" t="inlineStr">
        <ns0:is>
          <ns0:t>272</ns0:t>
        </ns0:is>
      </ns0:c>
      <ns0:c r="B1486" s="21" t="inlineStr">
        <ns0:is>
          <ns0:t>data_source_primary</ns0:t>
        </ns0:is>
      </ns0:c>
      <ns0:c r="C1486" s="21" t="inlineStr">
        <ns0:is>
          <ns0:t>Multiple modalities (as coded)</ns0:t>
        </ns0:is>
      </ns0:c>
      <ns0:c r="D1486" s="21" t="inlineStr">
        <ns0:is>
          <ns0:t>Structured clinical/questionnaire data</ns0:t>
        </ns0:is>
      </ns0:c>
      <ns0:c r="E1486" s="21" t="inlineStr">
        <ns0:is>
          <ns0:t>Functional random forest learns from seven cognitive tasks. MRI is used for subsequent subgroup characterization rather than as the classifier input.
Multiple cognitive instruments; MRI is downstream validation/characterization, not predictive input</ns0:t>
        </ns0:is>
      </ns0:c>
      <ns0:c r="F1486" s="21" t="inlineStr">
        <ns0:is>
          <ns0:t>https://doi.org/10.1016/j.neuroimage.2017.12.044</ns0:t>
        </ns0:is>
      </ns0:c>
      <ns0:c r="G1486" s="21" t="inlineStr">
        <ns0:is>
          <ns0:t>ChatGPT-assisted evidence recharting, 2026-09-08</ns0:t>
        </ns0:is>
      </ns0:c>
    </ns0:row>
    <ns0:row r="1487" ht="45" customHeight="1">
      <ns0:c r="A1487" s="19" t="inlineStr">
        <ns0:is>
          <ns0:t>272</ns0:t>
        </ns0:is>
      </ns0:c>
      <ns0:c r="B1487" s="19" t="inlineStr">
        <ns0:is>
          <ns0:t>algorithm_main</ns0:t>
        </ns0:is>
      </ns0:c>
      <ns0:c r="C1487" s="19" t="inlineStr">
        <ns0:is>
          <ns0:t>Other / Not clear</ns0:t>
        </ns0:is>
      </ns0:c>
      <ns0:c r="D1487" s="19" t="inlineStr">
        <ns0:is>
          <ns0:t>Random forest / clustering</ns0:t>
        </ns0:is>
      </ns0:c>
      <ns0:c r="E1487" s="19" t="inlineStr">
        <ns0:is>
          <ns0:t>Functional random forest learns from seven cognitive tasks. MRI is used for subsequent subgroup characterization rather than as the classifier input.
Multiple cognitive instruments; MRI is downstream validation/characterization, not predictive input</ns0:t>
        </ns0:is>
      </ns0:c>
      <ns0:c r="F1487" s="19" t="inlineStr">
        <ns0:is>
          <ns0:t>https://doi.org/10.1016/j.neuroimage.2017.12.044</ns0:t>
        </ns0:is>
      </ns0:c>
      <ns0:c r="G1487" s="19" t="inlineStr">
        <ns0:is>
          <ns0:t>ChatGPT-assisted evidence recharting, 2026-09-08</ns0:t>
        </ns0:is>
      </ns0:c>
    </ns0:row>
    <ns0:row r="1488" ht="45" customHeight="1">
      <ns0:c r="A1488" s="21" t="inlineStr">
        <ns0:is>
          <ns0:t>272</ns0:t>
        </ns0:is>
      </ns0:c>
      <ns0:c r="B1488" s="21" t="inlineStr">
        <ns0:is>
          <ns0:t>rq2_status</ns0:t>
        </ns0:is>
      </ns0:c>
      <ns0:c r="C1488" s="21" t="inlineStr">
        <ns0:is>
          <ns0:t>Not adjudicated in master</ns0:t>
        </ns0:is>
      </ns0:c>
      <ns0:c r="D1488" s="21" t="inlineStr">
        <ns0:is>
          <ns0:t>Research only</ns0:t>
        </ns0:is>
      </ns0:c>
      <ns0:c r="E1488" s="21" t="inlineStr">
        <ns0:is>
          <ns0:t>Functional random forest learns from seven cognitive tasks. MRI is used for subsequent subgroup characterization rather than as the classifier input.
Multiple cognitive instruments; MRI is downstream validation/characterization, not predictive input</ns0:t>
        </ns0:is>
      </ns0:c>
      <ns0:c r="F1488" s="21" t="inlineStr">
        <ns0:is>
          <ns0:t>https://doi.org/10.1016/j.neuroimage.2017.12.044</ns0:t>
        </ns0:is>
      </ns0:c>
      <ns0:c r="G1488" s="21" t="inlineStr">
        <ns0:is>
          <ns0:t>ChatGPT-assisted evidence recharting, 2026-09-08</ns0:t>
        </ns0:is>
      </ns0:c>
    </ns0:row>
    <ns0:row r="1489" ht="45" customHeight="1">
      <ns0:c r="A1489" s="19" t="inlineStr">
        <ns0:is>
          <ns0:t>272</ns0:t>
        </ns0:is>
      </ns0:c>
      <ns0:c r="B1489" s="19" t="inlineStr">
        <ns0:is>
          <ns0:t>rq2_role</ns0:t>
        </ns0:is>
      </ns0:c>
      <ns0:c r="C1489" s="19" t="inlineStr"/>
      <ns0:c r="D1489" s="19" t="inlineStr">
        <ns0:is>
          <ns0:t>Automated measurement/classification</ns0:t>
        </ns0:is>
      </ns0:c>
      <ns0:c r="E1489" s="19" t="inlineStr">
        <ns0:is>
          <ns0:t>Functional random forest learns from seven cognitive tasks. MRI is used for subsequent subgroup characterization rather than as the classifier input.
Multiple cognitive instruments; MRI is downstream validation/characterization, not predictive input</ns0:t>
        </ns0:is>
      </ns0:c>
      <ns0:c r="F1489" s="19" t="inlineStr">
        <ns0:is>
          <ns0:t>https://doi.org/10.1016/j.neuroimage.2017.12.044</ns0:t>
        </ns0:is>
      </ns0:c>
      <ns0:c r="G1489" s="19" t="inlineStr">
        <ns0:is>
          <ns0:t>ChatGPT-assisted evidence recharting, 2026-09-08</ns0:t>
        </ns0:is>
      </ns0:c>
    </ns0:row>
    <ns0:row r="1490" ht="45" customHeight="1">
      <ns0:c r="A1490" s="21" t="inlineStr">
        <ns0:is>
          <ns0:t>272</ns0:t>
        </ns0:is>
      </ns0:c>
      <ns0:c r="B1490" s="21" t="inlineStr">
        <ns0:is>
          <ns0:t>decision_timing</ns0:t>
        </ns0:is>
      </ns0:c>
      <ns0:c r="C1490" s="21" t="inlineStr"/>
      <ns0:c r="D1490" s="21" t="inlineStr">
        <ns0:is>
          <ns0:t>Not observed in assessed sources</ns0:t>
        </ns0:is>
      </ns0:c>
      <ns0:c r="E1490" s="21" t="inlineStr">
        <ns0:is>
          <ns0:t>Functional random forest learns from seven cognitive tasks. MRI is used for subsequent subgroup characterization rather than as the classifier input.
Multiple cognitive instruments; MRI is downstream validation/characterization, not predictive input</ns0:t>
        </ns0:is>
      </ns0:c>
      <ns0:c r="F1490" s="21" t="inlineStr">
        <ns0:is>
          <ns0:t>https://doi.org/10.1016/j.neuroimage.2017.12.044</ns0:t>
        </ns0:is>
      </ns0:c>
      <ns0:c r="G1490" s="21" t="inlineStr">
        <ns0:is>
          <ns0:t>ChatGPT-assisted evidence recharting, 2026-09-08</ns0:t>
        </ns0:is>
      </ns0:c>
    </ns0:row>
    <ns0:row r="1491" ht="42" customHeight="1">
      <ns0:c r="A1491" s="19" t="inlineStr">
        <ns0:is>
          <ns0:t>273</ns0:t>
        </ns0:is>
      </ns0:c>
      <ns0:c r="B1491" s="19" t="inlineStr">
        <ns0:is>
          <ns0:t>data_source_primary</ns0:t>
        </ns0:is>
      </ns0:c>
      <ns0:c r="C1491" s="19" t="inlineStr">
        <ns0:is>
          <ns0:t>Not specified</ns0:t>
        </ns0:is>
      </ns0:c>
      <ns0:c r="D1491" s="19" t="inlineStr">
        <ns0:is>
          <ns0:t>Structured clinical/questionnaire data</ns0:t>
        </ns0:is>
      </ns0:c>
      <ns0:c r="E1491" s="19" t="inlineStr">
        <ns0:is>
          <ns0:t>Questionnaire-based subtype discovery with k-means; classifier SHAP follow-up explicit. Not free-text NLP.</ns0:t>
        </ns0:is>
      </ns0:c>
      <ns0:c r="F1491" s="19" t="inlineStr">
        <ns0:is>
          <ns0:t>https://doi.org/10.1007/978-3-030-86993-9_36</ns0:t>
        </ns0:is>
      </ns0:c>
      <ns0:c r="G1491" s="19" t="inlineStr">
        <ns0:is>
          <ns0:t>ChatGPT-assisted evidence recharting, 2026-09-08</ns0:t>
        </ns0:is>
      </ns0:c>
    </ns0:row>
    <ns0:row r="1492" ht="42" customHeight="1">
      <ns0:c r="A1492" s="21" t="inlineStr">
        <ns0:is>
          <ns0:t>273</ns0:t>
        </ns0:is>
      </ns0:c>
      <ns0:c r="B1492" s="21" t="inlineStr">
        <ns0:is>
          <ns0:t>algorithm_main</ns0:t>
        </ns0:is>
      </ns0:c>
      <ns0:c r="C1492" s="21" t="inlineStr">
        <ns0:is>
          <ns0:t>Clustering (k-means / GMM / ...)</ns0:t>
        </ns0:is>
      </ns0:c>
      <ns0:c r="D1492" s="21" t="inlineStr">
        <ns0:is>
          <ns0:t>Clustering</ns0:t>
        </ns0:is>
      </ns0:c>
      <ns0:c r="E1492" s="21" t="inlineStr">
        <ns0:is>
          <ns0:t>Questionnaire-based subtype discovery with k-means; classifier SHAP follow-up explicit. Not free-text NLP.</ns0:t>
        </ns0:is>
      </ns0:c>
      <ns0:c r="F1492" s="21" t="inlineStr">
        <ns0:is>
          <ns0:t>https://doi.org/10.1007/978-3-030-86993-9_36</ns0:t>
        </ns0:is>
      </ns0:c>
      <ns0:c r="G1492" s="21" t="inlineStr">
        <ns0:is>
          <ns0:t>ChatGPT-assisted evidence recharting, 2026-09-08</ns0:t>
        </ns0:is>
      </ns0:c>
    </ns0:row>
    <ns0:row r="1493" ht="42" customHeight="1">
      <ns0:c r="A1493" s="19" t="inlineStr">
        <ns0:is>
          <ns0:t>273</ns0:t>
        </ns0:is>
      </ns0:c>
      <ns0:c r="B1493" s="19" t="inlineStr">
        <ns0:is>
          <ns0:t>rq2_status</ns0:t>
        </ns0:is>
      </ns0:c>
      <ns0:c r="C1493" s="19" t="inlineStr">
        <ns0:is>
          <ns0:t>Not adjudicated in master</ns0:t>
        </ns0:is>
      </ns0:c>
      <ns0:c r="D1493" s="19" t="inlineStr">
        <ns0:is>
          <ns0:t>Research only</ns0:t>
        </ns0:is>
      </ns0:c>
      <ns0:c r="E1493" s="19" t="inlineStr">
        <ns0:is>
          <ns0:t>Questionnaire-based subtype discovery with k-means; classifier SHAP follow-up explicit. Not free-text NLP.</ns0:t>
        </ns0:is>
      </ns0:c>
      <ns0:c r="F1493" s="19" t="inlineStr">
        <ns0:is>
          <ns0:t>https://doi.org/10.1007/978-3-030-86993-9_36</ns0:t>
        </ns0:is>
      </ns0:c>
      <ns0:c r="G1493" s="19" t="inlineStr">
        <ns0:is>
          <ns0:t>ChatGPT-assisted evidence recharting, 2026-09-08</ns0:t>
        </ns0:is>
      </ns0:c>
    </ns0:row>
    <ns0:row r="1494" ht="42" customHeight="1">
      <ns0:c r="A1494" s="21" t="inlineStr">
        <ns0:is>
          <ns0:t>273</ns0:t>
        </ns0:is>
      </ns0:c>
      <ns0:c r="B1494" s="21" t="inlineStr">
        <ns0:is>
          <ns0:t>rq2_role</ns0:t>
        </ns0:is>
      </ns0:c>
      <ns0:c r="C1494" s="21" t="inlineStr"/>
      <ns0:c r="D1494" s="21" t="inlineStr">
        <ns0:is>
          <ns0:t>Automated measurement/classification</ns0:t>
        </ns0:is>
      </ns0:c>
      <ns0:c r="E1494" s="21" t="inlineStr">
        <ns0:is>
          <ns0:t>Questionnaire-based subtype discovery with k-means; classifier SHAP follow-up explicit. Not free-text NLP.</ns0:t>
        </ns0:is>
      </ns0:c>
      <ns0:c r="F1494" s="21" t="inlineStr">
        <ns0:is>
          <ns0:t>https://doi.org/10.1007/978-3-030-86993-9_36</ns0:t>
        </ns0:is>
      </ns0:c>
      <ns0:c r="G1494" s="21" t="inlineStr">
        <ns0:is>
          <ns0:t>ChatGPT-assisted evidence recharting, 2026-09-08</ns0:t>
        </ns0:is>
      </ns0:c>
    </ns0:row>
    <ns0:row r="1495" ht="42" customHeight="1">
      <ns0:c r="A1495" s="19" t="inlineStr">
        <ns0:is>
          <ns0:t>273</ns0:t>
        </ns0:is>
      </ns0:c>
      <ns0:c r="B1495" s="19" t="inlineStr">
        <ns0:is>
          <ns0:t>decision_timing</ns0:t>
        </ns0:is>
      </ns0:c>
      <ns0:c r="C1495" s="19" t="inlineStr"/>
      <ns0:c r="D1495" s="19" t="inlineStr">
        <ns0:is>
          <ns0:t>Not observed in assessed sources</ns0:t>
        </ns0:is>
      </ns0:c>
      <ns0:c r="E1495" s="19" t="inlineStr">
        <ns0:is>
          <ns0:t>Questionnaire-based subtype discovery with k-means; classifier SHAP follow-up explicit. Not free-text NLP.</ns0:t>
        </ns0:is>
      </ns0:c>
      <ns0:c r="F1495" s="19" t="inlineStr">
        <ns0:is>
          <ns0:t>https://doi.org/10.1007/978-3-030-86993-9_36</ns0:t>
        </ns0:is>
      </ns0:c>
      <ns0:c r="G1495" s="19" t="inlineStr">
        <ns0:is>
          <ns0:t>ChatGPT-assisted evidence recharting, 2026-09-08</ns0:t>
        </ns0:is>
      </ns0:c>
    </ns0:row>
    <ns0:row r="1496" ht="45" customHeight="1">
      <ns0:c r="A1496" s="21" t="inlineStr">
        <ns0:is>
          <ns0:t>274</ns0:t>
        </ns0:is>
      </ns0:c>
      <ns0:c r="B1496" s="21" t="inlineStr">
        <ns0:is>
          <ns0:t>data_source_primary</ns0:t>
        </ns0:is>
      </ns0:c>
      <ns0:c r="C1496" s="21" t="inlineStr">
        <ns0:is>
          <ns0:t>Text / NLP (legacy; verify input type)</ns0:t>
        </ns0:is>
      </ns0:c>
      <ns0:c r="D1496" s="21" t="inlineStr">
        <ns0:is>
          <ns0:t>Behavioral images/video/gaze/movement</ns0:t>
        </ns0:is>
      </ns0:c>
      <ns0:c r="E1496" s="21" t="inlineStr">
        <ns0:is>
          <ns0:t>PandaSays CNN output commands a robot; functional prototype integration is demonstrated, but abstract does not establish evaluation of delivered treatment in ASD participants.
System-to-robot technical integration does not establish patient-facing clinical evaluation.</ns0:t>
        </ns0:is>
      </ns0:c>
      <ns0:c r="F1496" s="21" t="inlineStr">
        <ns0:is>
          <ns0:t>https://doi.org/10.3390/s22072528</ns0:t>
        </ns0:is>
      </ns0:c>
      <ns0:c r="G1496" s="21" t="inlineStr">
        <ns0:is>
          <ns0:t>ChatGPT-assisted evidence recharting, 2026-09-08</ns0:t>
        </ns0:is>
      </ns0:c>
    </ns0:row>
    <ns0:row r="1497" ht="45" customHeight="1">
      <ns0:c r="A1497" s="19" t="inlineStr">
        <ns0:is>
          <ns0:t>274</ns0:t>
        </ns0:is>
      </ns0:c>
      <ns0:c r="B1497" s="19" t="inlineStr">
        <ns0:is>
          <ns0:t>rq2_status</ns0:t>
        </ns0:is>
      </ns0:c>
      <ns0:c r="C1497" s="19" t="inlineStr">
        <ns0:is>
          <ns0:t>Not adjudicated in master</ns0:t>
        </ns0:is>
      </ns0:c>
      <ns0:c r="D1497" s="19" t="inlineStr">
        <ns0:is>
          <ns0:t>Proposed only</ns0:t>
        </ns0:is>
      </ns0:c>
      <ns0:c r="E1497" s="19" t="inlineStr">
        <ns0:is>
          <ns0:t>PandaSays CNN output commands a robot; functional prototype integration is demonstrated, but abstract does not establish evaluation of delivered treatment in ASD participants.
System-to-robot technical integration does not establish patient-facing clinical evaluation.</ns0:t>
        </ns0:is>
      </ns0:c>
      <ns0:c r="F1497" s="19" t="inlineStr">
        <ns0:is>
          <ns0:t>https://doi.org/10.3390/s22072528</ns0:t>
        </ns0:is>
      </ns0:c>
      <ns0:c r="G1497" s="19" t="inlineStr">
        <ns0:is>
          <ns0:t>ChatGPT-assisted evidence recharting, 2026-09-08</ns0:t>
        </ns0:is>
      </ns0:c>
    </ns0:row>
    <ns0:row r="1498" ht="45" customHeight="1">
      <ns0:c r="A1498" s="21" t="inlineStr">
        <ns0:is>
          <ns0:t>274</ns0:t>
        </ns0:is>
      </ns0:c>
      <ns0:c r="B1498" s="21" t="inlineStr">
        <ns0:is>
          <ns0:t>rq2_role</ns0:t>
        </ns0:is>
      </ns0:c>
      <ns0:c r="C1498" s="21" t="inlineStr"/>
      <ns0:c r="D1498" s="21" t="inlineStr">
        <ns0:is>
          <ns0:t>Adaptive intervention</ns0:t>
        </ns0:is>
      </ns0:c>
      <ns0:c r="E1498" s="21" t="inlineStr">
        <ns0:is>
          <ns0:t>PandaSays CNN output commands a robot; functional prototype integration is demonstrated, but abstract does not establish evaluation of delivered treatment in ASD participants.
System-to-robot technical integration does not establish patient-facing clinical evaluation.</ns0:t>
        </ns0:is>
      </ns0:c>
      <ns0:c r="F1498" s="21" t="inlineStr">
        <ns0:is>
          <ns0:t>https://doi.org/10.3390/s22072528</ns0:t>
        </ns0:is>
      </ns0:c>
      <ns0:c r="G1498" s="21" t="inlineStr">
        <ns0:is>
          <ns0:t>ChatGPT-assisted evidence recharting, 2026-09-08</ns0:t>
        </ns0:is>
      </ns0:c>
    </ns0:row>
    <ns0:row r="1499" ht="45" customHeight="1">
      <ns0:c r="A1499" s="19" t="inlineStr">
        <ns0:is>
          <ns0:t>274</ns0:t>
        </ns0:is>
      </ns0:c>
      <ns0:c r="B1499" s="19" t="inlineStr">
        <ns0:is>
          <ns0:t>decision_timing</ns0:t>
        </ns0:is>
      </ns0:c>
      <ns0:c r="C1499" s="19" t="inlineStr"/>
      <ns0:c r="D1499" s="19" t="inlineStr">
        <ns0:is>
          <ns0:t>Post-decision</ns0:t>
        </ns0:is>
      </ns0:c>
      <ns0:c r="E1499" s="19" t="inlineStr">
        <ns0:is>
          <ns0:t>PandaSays CNN output commands a robot; functional prototype integration is demonstrated, but abstract does not establish evaluation of delivered treatment in ASD participants.
System-to-robot technical integration does not establish patient-facing clinical evaluation.</ns0:t>
        </ns0:is>
      </ns0:c>
      <ns0:c r="F1499" s="19" t="inlineStr">
        <ns0:is>
          <ns0:t>https://doi.org/10.3390/s22072528</ns0:t>
        </ns0:is>
      </ns0:c>
      <ns0:c r="G1499" s="19" t="inlineStr">
        <ns0:is>
          <ns0:t>ChatGPT-assisted evidence recharting, 2026-09-08</ns0:t>
        </ns0:is>
      </ns0:c>
    </ns0:row>
    <ns0:row r="1500" ht="42" customHeight="1">
      <ns0:c r="A1500" s="21" t="inlineStr">
        <ns0:is>
          <ns0:t>275</ns0:t>
        </ns0:is>
      </ns0:c>
      <ns0:c r="B1500" s="21" t="inlineStr">
        <ns0:is>
          <ns0:t>rq2_status</ns0:t>
        </ns0:is>
      </ns0:c>
      <ns0:c r="C1500" s="21" t="inlineStr">
        <ns0:is>
          <ns0:t>Not adjudicated in master</ns0:t>
        </ns0:is>
      </ns0:c>
      <ns0:c r="D1500" s="21" t="inlineStr">
        <ns0:is>
          <ns0:t>Research only</ns0:t>
        </ns0:is>
      </ns0:c>
      <ns0:c r="E1500" s="21" t="inlineStr">
        <ns0:is>
          <ns0:t>MEG power and phase feature/score fusion are two representations of one recorded source, not multisource acquisition.</ns0:t>
        </ns0:is>
      </ns0:c>
      <ns0:c r="F1500" s="21" t="inlineStr">
        <ns0:is>
          <ns0:t>https://doi.org/10.1007/s10803-022-05767-w</ns0:t>
        </ns0:is>
      </ns0:c>
      <ns0:c r="G1500" s="21" t="inlineStr">
        <ns0:is>
          <ns0:t>ChatGPT-assisted evidence recharting, 2026-09-08</ns0:t>
        </ns0:is>
      </ns0:c>
    </ns0:row>
    <ns0:row r="1501" ht="42" customHeight="1">
      <ns0:c r="A1501" s="19" t="inlineStr">
        <ns0:is>
          <ns0:t>275</ns0:t>
        </ns0:is>
      </ns0:c>
      <ns0:c r="B1501" s="19" t="inlineStr">
        <ns0:is>
          <ns0:t>rq2_role</ns0:t>
        </ns0:is>
      </ns0:c>
      <ns0:c r="C1501" s="19" t="inlineStr"/>
      <ns0:c r="D1501" s="19" t="inlineStr">
        <ns0:is>
          <ns0:t>Automated measurement/classification</ns0:t>
        </ns0:is>
      </ns0:c>
      <ns0:c r="E1501" s="19" t="inlineStr">
        <ns0:is>
          <ns0:t>MEG power and phase feature/score fusion are two representations of one recorded source, not multisource acquisition.</ns0:t>
        </ns0:is>
      </ns0:c>
      <ns0:c r="F1501" s="19" t="inlineStr">
        <ns0:is>
          <ns0:t>https://doi.org/10.1007/s10803-022-05767-w</ns0:t>
        </ns0:is>
      </ns0:c>
      <ns0:c r="G1501" s="19" t="inlineStr">
        <ns0:is>
          <ns0:t>ChatGPT-assisted evidence recharting, 2026-09-08</ns0:t>
        </ns0:is>
      </ns0:c>
    </ns0:row>
    <ns0:row r="1502" ht="42" customHeight="1">
      <ns0:c r="A1502" s="21" t="inlineStr">
        <ns0:is>
          <ns0:t>275</ns0:t>
        </ns0:is>
      </ns0:c>
      <ns0:c r="B1502" s="21" t="inlineStr">
        <ns0:is>
          <ns0:t>decision_timing</ns0:t>
        </ns0:is>
      </ns0:c>
      <ns0:c r="C1502" s="21" t="inlineStr"/>
      <ns0:c r="D1502" s="21" t="inlineStr">
        <ns0:is>
          <ns0:t>Not observed in assessed sources</ns0:t>
        </ns0:is>
      </ns0:c>
      <ns0:c r="E1502" s="21" t="inlineStr">
        <ns0:is>
          <ns0:t>MEG power and phase feature/score fusion are two representations of one recorded source, not multisource acquisition.</ns0:t>
        </ns0:is>
      </ns0:c>
      <ns0:c r="F1502" s="21" t="inlineStr">
        <ns0:is>
          <ns0:t>https://doi.org/10.1007/s10803-022-05767-w</ns0:t>
        </ns0:is>
      </ns0:c>
      <ns0:c r="G1502" s="21" t="inlineStr">
        <ns0:is>
          <ns0:t>ChatGPT-assisted evidence recharting, 2026-09-08</ns0:t>
        </ns0:is>
      </ns0:c>
    </ns0:row>
    <ns0:row r="1503" ht="45" customHeight="1">
      <ns0:c r="A1503" s="19" t="inlineStr">
        <ns0:is>
          <ns0:t>276</ns0:t>
        </ns0:is>
      </ns0:c>
      <ns0:c r="B1503" s="19" t="inlineStr">
        <ns0:is>
          <ns0:t>ai_type</ns0:t>
        </ns0:is>
      </ns0:c>
      <ns0:c r="C1503" s="19" t="inlineStr">
        <ns0:is>
          <ns0:t>Deep Learning</ns0:t>
        </ns0:is>
      </ns0:c>
      <ns0:c r="D1503" s="19" t="inlineStr">
        <ns0:is>
          <ns0:t>Not specified</ns0:t>
        </ns0:is>
      </ns0:c>
      <ns0:c r="E1503" s="19" t="inlineStr">
        <ns0:is>
          <ns0:t>Accelerometer-based stereotypy detection with situation-aware event reporting; hospital-deployed prototype explicitly tested, but classifier architecture unspecified.
Hospital prototype evaluation established; effect on clinician decisions not quantified in available abstract.</ns0:t>
        </ns0:is>
      </ns0:c>
      <ns0:c r="F1503" s="19" t="inlineStr">
        <ns0:is>
          <ns0:t>https://doi.org/10.1016/j.eswa.2014.05.011</ns0:t>
        </ns0:is>
      </ns0:c>
      <ns0:c r="G1503" s="19" t="inlineStr">
        <ns0:is>
          <ns0:t>ChatGPT-assisted evidence recharting, 2026-09-08</ns0:t>
        </ns0:is>
      </ns0:c>
    </ns0:row>
    <ns0:row r="1504" ht="45" customHeight="1">
      <ns0:c r="A1504" s="21" t="inlineStr">
        <ns0:is>
          <ns0:t>276</ns0:t>
        </ns0:is>
      </ns0:c>
      <ns0:c r="B1504" s="21" t="inlineStr">
        <ns0:is>
          <ns0:t>data_source_primary</ns0:t>
        </ns0:is>
      </ns0:c>
      <ns0:c r="C1504" s="21" t="inlineStr">
        <ns0:is>
          <ns0:t>Physiological signals</ns0:t>
        </ns0:is>
      </ns0:c>
      <ns0:c r="D1504" s="21" t="inlineStr">
        <ns0:is>
          <ns0:t>Behavioral images/video/gaze/movement</ns0:t>
        </ns0:is>
      </ns0:c>
      <ns0:c r="E1504" s="21" t="inlineStr">
        <ns0:is>
          <ns0:t>Accelerometer-based stereotypy detection with situation-aware event reporting; hospital-deployed prototype explicitly tested, but classifier architecture unspecified.
Hospital prototype evaluation established; effect on clinician decisions not quantified in available abstract.</ns0:t>
        </ns0:is>
      </ns0:c>
      <ns0:c r="F1504" s="21" t="inlineStr">
        <ns0:is>
          <ns0:t>https://doi.org/10.1016/j.eswa.2014.05.011</ns0:t>
        </ns0:is>
      </ns0:c>
      <ns0:c r="G1504" s="21" t="inlineStr">
        <ns0:is>
          <ns0:t>ChatGPT-assisted evidence recharting, 2026-09-08</ns0:t>
        </ns0:is>
      </ns0:c>
    </ns0:row>
    <ns0:row r="1505" ht="45" customHeight="1">
      <ns0:c r="A1505" s="19" t="inlineStr">
        <ns0:is>
          <ns0:t>276</ns0:t>
        </ns0:is>
      </ns0:c>
      <ns0:c r="B1505" s="19" t="inlineStr">
        <ns0:is>
          <ns0:t>algorithm_main</ns0:t>
        </ns0:is>
      </ns0:c>
      <ns0:c r="C1505" s="19" t="inlineStr">
        <ns0:is>
          <ns0:t>Other / Not clear</ns0:t>
        </ns0:is>
      </ns0:c>
      <ns0:c r="D1505" s="19" t="inlineStr">
        <ns0:is>
          <ns0:t>Not specified</ns0:t>
        </ns0:is>
      </ns0:c>
      <ns0:c r="E1505" s="19" t="inlineStr">
        <ns0:is>
          <ns0:t>Accelerometer-based stereotypy detection with situation-aware event reporting; hospital-deployed prototype explicitly tested, but classifier architecture unspecified.
Hospital prototype evaluation established; effect on clinician decisions not quantified in available abstract.</ns0:t>
        </ns0:is>
      </ns0:c>
      <ns0:c r="F1505" s="19" t="inlineStr">
        <ns0:is>
          <ns0:t>https://doi.org/10.1016/j.eswa.2014.05.011</ns0:t>
        </ns0:is>
      </ns0:c>
      <ns0:c r="G1505" s="19" t="inlineStr">
        <ns0:is>
          <ns0:t>ChatGPT-assisted evidence recharting, 2026-09-08</ns0:t>
        </ns0:is>
      </ns0:c>
    </ns0:row>
    <ns0:row r="1506" ht="45" customHeight="1">
      <ns0:c r="A1506" s="21" t="inlineStr">
        <ns0:is>
          <ns0:t>276</ns0:t>
        </ns0:is>
      </ns0:c>
      <ns0:c r="B1506" s="21" t="inlineStr">
        <ns0:is>
          <ns0:t>rq2_status</ns0:t>
        </ns0:is>
      </ns0:c>
      <ns0:c r="C1506" s="21" t="inlineStr">
        <ns0:is>
          <ns0:t>Not adjudicated in master</ns0:t>
        </ns0:is>
      </ns0:c>
      <ns0:c r="D1506" s="21" t="inlineStr">
        <ns0:is>
          <ns0:t>Evaluated at point of use</ns0:t>
        </ns0:is>
      </ns0:c>
      <ns0:c r="E1506" s="21" t="inlineStr">
        <ns0:is>
          <ns0:t>Accelerometer-based stereotypy detection with situation-aware event reporting; hospital-deployed prototype explicitly tested, but classifier architecture unspecified.
Hospital prototype evaluation established; effect on clinician decisions not quantified in available abstract.</ns0:t>
        </ns0:is>
      </ns0:c>
      <ns0:c r="F1506" s="21" t="inlineStr">
        <ns0:is>
          <ns0:t>https://doi.org/10.1016/j.eswa.2014.05.011</ns0:t>
        </ns0:is>
      </ns0:c>
      <ns0:c r="G1506" s="21" t="inlineStr">
        <ns0:is>
          <ns0:t>ChatGPT-assisted evidence recharting, 2026-09-08</ns0:t>
        </ns0:is>
      </ns0:c>
    </ns0:row>
    <ns0:row r="1507" ht="45" customHeight="1">
      <ns0:c r="A1507" s="19" t="inlineStr">
        <ns0:is>
          <ns0:t>276</ns0:t>
        </ns0:is>
      </ns0:c>
      <ns0:c r="B1507" s="19" t="inlineStr">
        <ns0:is>
          <ns0:t>rq2_role</ns0:t>
        </ns0:is>
      </ns0:c>
      <ns0:c r="C1507" s="19" t="inlineStr"/>
      <ns0:c r="D1507" s="19" t="inlineStr">
        <ns0:is>
          <ns0:t>Monitoring/longitudinal analysis</ns0:t>
        </ns0:is>
      </ns0:c>
      <ns0:c r="E1507" s="19" t="inlineStr">
        <ns0:is>
          <ns0:t>Accelerometer-based stereotypy detection with situation-aware event reporting; hospital-deployed prototype explicitly tested, but classifier architecture unspecified.
Hospital prototype evaluation established; effect on clinician decisions not quantified in available abstract.</ns0:t>
        </ns0:is>
      </ns0:c>
      <ns0:c r="F1507" s="19" t="inlineStr">
        <ns0:is>
          <ns0:t>https://doi.org/10.1016/j.eswa.2014.05.011</ns0:t>
        </ns0:is>
      </ns0:c>
      <ns0:c r="G1507" s="19" t="inlineStr">
        <ns0:is>
          <ns0:t>ChatGPT-assisted evidence recharting, 2026-09-08</ns0:t>
        </ns0:is>
      </ns0:c>
    </ns0:row>
    <ns0:row r="1508" ht="45" customHeight="1">
      <ns0:c r="A1508" s="21" t="inlineStr">
        <ns0:is>
          <ns0:t>276</ns0:t>
        </ns0:is>
      </ns0:c>
      <ns0:c r="B1508" s="21" t="inlineStr">
        <ns0:is>
          <ns0:t>decision_timing</ns0:t>
        </ns0:is>
      </ns0:c>
      <ns0:c r="C1508" s="21" t="inlineStr"/>
      <ns0:c r="D1508" s="21" t="inlineStr">
        <ns0:is>
          <ns0:t>Post-decision</ns0:t>
        </ns0:is>
      </ns0:c>
      <ns0:c r="E1508" s="21" t="inlineStr">
        <ns0:is>
          <ns0:t>Accelerometer-based stereotypy detection with situation-aware event reporting; hospital-deployed prototype explicitly tested, but classifier architecture unspecified.
Hospital prototype evaluation established; effect on clinician decisions not quantified in available abstract.</ns0:t>
        </ns0:is>
      </ns0:c>
      <ns0:c r="F1508" s="21" t="inlineStr">
        <ns0:is>
          <ns0:t>https://doi.org/10.1016/j.eswa.2014.05.011</ns0:t>
        </ns0:is>
      </ns0:c>
      <ns0:c r="G1508" s="21" t="inlineStr">
        <ns0:is>
          <ns0:t>ChatGPT-assisted evidence recharting, 2026-09-08</ns0:t>
        </ns0:is>
      </ns0:c>
    </ns0:row>
    <ns0:row r="1509" ht="42" customHeight="1">
      <ns0:c r="A1509" s="19" t="inlineStr">
        <ns0:is>
          <ns0:t>277</ns0:t>
        </ns0:is>
      </ns0:c>
      <ns0:c r="B1509" s="19" t="inlineStr">
        <ns0:is>
          <ns0:t>stage_primary</ns0:t>
        </ns0:is>
      </ns0:c>
      <ns0:c r="C1509" s="19" t="inlineStr">
        <ns0:is>
          <ns0:t>Diagnosis</ns0:t>
        </ns0:is>
      </ns0:c>
      <ns0:c r="D1509" s="19" t="inlineStr">
        <ns0:is>
          <ns0:t>Not specified</ns0:t>
        </ns0:is>
      </ns0:c>
      <ns0:c r="E1509" s="19" t="inlineStr">
        <ns0:is>
          <ns0:t>Diffusion tract segmentation with downstream autism group comparisons; not a diagnostic classifier despite clinical research relevance.</ns0:t>
        </ns0:is>
      </ns0:c>
      <ns0:c r="F1509" s="19" t="inlineStr">
        <ns0:is>
          <ns0:t>https://doi.org/10.1093/cercor/bhad125</ns0:t>
        </ns0:is>
      </ns0:c>
      <ns0:c r="G1509" s="19" t="inlineStr">
        <ns0:is>
          <ns0:t>ChatGPT-assisted evidence recharting, 2026-09-08</ns0:t>
        </ns0:is>
      </ns0:c>
    </ns0:row>
    <ns0:row r="1510" ht="42" customHeight="1">
      <ns0:c r="A1510" s="21" t="inlineStr">
        <ns0:is>
          <ns0:t>277</ns0:t>
        </ns0:is>
      </ns0:c>
      <ns0:c r="B1510" s="21" t="inlineStr">
        <ns0:is>
          <ns0:t>data_source_primary</ns0:t>
        </ns0:is>
      </ns0:c>
      <ns0:c r="C1510" s="21" t="inlineStr">
        <ns0:is>
          <ns0:t>Image (subtype unresolved)</ns0:t>
        </ns0:is>
      </ns0:c>
      <ns0:c r="D1510" s="21" t="inlineStr">
        <ns0:is>
          <ns0:t>Neuroimaging</ns0:t>
        </ns0:is>
      </ns0:c>
      <ns0:c r="E1510" s="21" t="inlineStr">
        <ns0:is>
          <ns0:t>Diffusion tract segmentation with downstream autism group comparisons; not a diagnostic classifier despite clinical research relevance.</ns0:t>
        </ns0:is>
      </ns0:c>
      <ns0:c r="F1510" s="21" t="inlineStr">
        <ns0:is>
          <ns0:t>https://doi.org/10.1093/cercor/bhad125</ns0:t>
        </ns0:is>
      </ns0:c>
      <ns0:c r="G1510" s="21" t="inlineStr">
        <ns0:is>
          <ns0:t>ChatGPT-assisted evidence recharting, 2026-09-08</ns0:t>
        </ns0:is>
      </ns0:c>
    </ns0:row>
    <ns0:row r="1511" ht="42" customHeight="1">
      <ns0:c r="A1511" s="19" t="inlineStr">
        <ns0:is>
          <ns0:t>277</ns0:t>
        </ns0:is>
      </ns0:c>
      <ns0:c r="B1511" s="19" t="inlineStr">
        <ns0:is>
          <ns0:t>rq2_status</ns0:t>
        </ns0:is>
      </ns0:c>
      <ns0:c r="C1511" s="19" t="inlineStr">
        <ns0:is>
          <ns0:t>Not adjudicated in master</ns0:t>
        </ns0:is>
      </ns0:c>
      <ns0:c r="D1511" s="19" t="inlineStr">
        <ns0:is>
          <ns0:t>Research only</ns0:t>
        </ns0:is>
      </ns0:c>
      <ns0:c r="E1511" s="19" t="inlineStr">
        <ns0:is>
          <ns0:t>Diffusion tract segmentation with downstream autism group comparisons; not a diagnostic classifier despite clinical research relevance.</ns0:t>
        </ns0:is>
      </ns0:c>
      <ns0:c r="F1511" s="19" t="inlineStr">
        <ns0:is>
          <ns0:t>https://doi.org/10.1093/cercor/bhad125</ns0:t>
        </ns0:is>
      </ns0:c>
      <ns0:c r="G1511" s="19" t="inlineStr">
        <ns0:is>
          <ns0:t>ChatGPT-assisted evidence recharting, 2026-09-08</ns0:t>
        </ns0:is>
      </ns0:c>
    </ns0:row>
    <ns0:row r="1512" ht="42" customHeight="1">
      <ns0:c r="A1512" s="21" t="inlineStr">
        <ns0:is>
          <ns0:t>277</ns0:t>
        </ns0:is>
      </ns0:c>
      <ns0:c r="B1512" s="21" t="inlineStr">
        <ns0:is>
          <ns0:t>rq2_role</ns0:t>
        </ns0:is>
      </ns0:c>
      <ns0:c r="C1512" s="21" t="inlineStr"/>
      <ns0:c r="D1512" s="21" t="inlineStr">
        <ns0:is>
          <ns0:t>Automated measurement/classification</ns0:t>
        </ns0:is>
      </ns0:c>
      <ns0:c r="E1512" s="21" t="inlineStr">
        <ns0:is>
          <ns0:t>Diffusion tract segmentation with downstream autism group comparisons; not a diagnostic classifier despite clinical research relevance.</ns0:t>
        </ns0:is>
      </ns0:c>
      <ns0:c r="F1512" s="21" t="inlineStr">
        <ns0:is>
          <ns0:t>https://doi.org/10.1093/cercor/bhad125</ns0:t>
        </ns0:is>
      </ns0:c>
      <ns0:c r="G1512" s="21" t="inlineStr">
        <ns0:is>
          <ns0:t>ChatGPT-assisted evidence recharting, 2026-09-08</ns0:t>
        </ns0:is>
      </ns0:c>
    </ns0:row>
    <ns0:row r="1513" ht="42" customHeight="1">
      <ns0:c r="A1513" s="19" t="inlineStr">
        <ns0:is>
          <ns0:t>277</ns0:t>
        </ns0:is>
      </ns0:c>
      <ns0:c r="B1513" s="19" t="inlineStr">
        <ns0:is>
          <ns0:t>decision_timing</ns0:t>
        </ns0:is>
      </ns0:c>
      <ns0:c r="C1513" s="19" t="inlineStr"/>
      <ns0:c r="D1513" s="19" t="inlineStr">
        <ns0:is>
          <ns0:t>Not observed in assessed sources</ns0:t>
        </ns0:is>
      </ns0:c>
      <ns0:c r="E1513" s="19" t="inlineStr">
        <ns0:is>
          <ns0:t>Diffusion tract segmentation with downstream autism group comparisons; not a diagnostic classifier despite clinical research relevance.</ns0:t>
        </ns0:is>
      </ns0:c>
      <ns0:c r="F1513" s="19" t="inlineStr">
        <ns0:is>
          <ns0:t>https://doi.org/10.1093/cercor/bhad125</ns0:t>
        </ns0:is>
      </ns0:c>
      <ns0:c r="G1513" s="19" t="inlineStr">
        <ns0:is>
          <ns0:t>ChatGPT-assisted evidence recharting, 2026-09-08</ns0:t>
        </ns0:is>
      </ns0:c>
    </ns0:row>
    <ns0:row r="1514" ht="45" customHeight="1">
      <ns0:c r="A1514" s="21" t="inlineStr">
        <ns0:is>
          <ns0:t>278</ns0:t>
        </ns0:is>
      </ns0:c>
      <ns0:c r="B1514" s="21" t="inlineStr">
        <ns0:is>
          <ns0:t>data_source_primary</ns0:t>
        </ns0:is>
      </ns0:c>
      <ns0:c r="C1514" s="21" t="inlineStr">
        <ns0:is>
          <ns0:t>Image (subtype unresolved)</ns0:t>
        </ns0:is>
      </ns0:c>
      <ns0:c r="D1514" s="21" t="inlineStr">
        <ns0:is>
          <ns0:t>Other biomedical/digital data</ns0:t>
        </ns0:is>
      </ns0:c>
      <ns0:c r="E1514" s="21" t="inlineStr">
        <ns0:is>
          <ns0:t>Placental vascular images classify high-risk versus population cohorts; risk-group discrimination is not prediction of subsequently observed child ASD diagnosis.
Placental vascular imaging</ns0:t>
        </ns0:is>
      </ns0:c>
      <ns0:c r="F1514" s="21" t="inlineStr">
        <ns0:is>
          <ns0:t>https://doi.org/10.1186/s12911-017-0564-8</ns0:t>
        </ns0:is>
      </ns0:c>
      <ns0:c r="G1514" s="21" t="inlineStr">
        <ns0:is>
          <ns0:t>ChatGPT-assisted evidence recharting, 2026-09-08</ns0:t>
        </ns0:is>
      </ns0:c>
    </ns0:row>
    <ns0:row r="1515" ht="45" customHeight="1">
      <ns0:c r="A1515" s="19" t="inlineStr">
        <ns0:is>
          <ns0:t>278</ns0:t>
        </ns0:is>
      </ns0:c>
      <ns0:c r="B1515" s="19" t="inlineStr">
        <ns0:is>
          <ns0:t>algorithm_main</ns0:t>
        </ns0:is>
      </ns0:c>
      <ns0:c r="C1515" s="19" t="inlineStr">
        <ns0:is>
          <ns0:t>Random Forest</ns0:t>
        </ns0:is>
      </ns0:c>
      <ns0:c r="D1515" s="19" t="inlineStr">
        <ns0:is>
          <ns0:t>Random forest</ns0:t>
        </ns0:is>
      </ns0:c>
      <ns0:c r="E1515" s="19" t="inlineStr">
        <ns0:is>
          <ns0:t>Placental vascular images classify high-risk versus population cohorts; risk-group discrimination is not prediction of subsequently observed child ASD diagnosis.
Placental vascular imaging</ns0:t>
        </ns0:is>
      </ns0:c>
      <ns0:c r="F1515" s="19" t="inlineStr">
        <ns0:is>
          <ns0:t>https://doi.org/10.1186/s12911-017-0564-8</ns0:t>
        </ns0:is>
      </ns0:c>
      <ns0:c r="G1515" s="19" t="inlineStr">
        <ns0:is>
          <ns0:t>ChatGPT-assisted evidence recharting, 2026-09-08</ns0:t>
        </ns0:is>
      </ns0:c>
    </ns0:row>
    <ns0:row r="1516" ht="45" customHeight="1">
      <ns0:c r="A1516" s="21" t="inlineStr">
        <ns0:is>
          <ns0:t>278</ns0:t>
        </ns0:is>
      </ns0:c>
      <ns0:c r="B1516" s="21" t="inlineStr">
        <ns0:is>
          <ns0:t>rq2_status</ns0:t>
        </ns0:is>
      </ns0:c>
      <ns0:c r="C1516" s="21" t="inlineStr">
        <ns0:is>
          <ns0:t>Not adjudicated in master</ns0:t>
        </ns0:is>
      </ns0:c>
      <ns0:c r="D1516" s="21" t="inlineStr">
        <ns0:is>
          <ns0:t>Research only</ns0:t>
        </ns0:is>
      </ns0:c>
      <ns0:c r="E1516" s="21" t="inlineStr">
        <ns0:is>
          <ns0:t>Placental vascular images classify high-risk versus population cohorts; risk-group discrimination is not prediction of subsequently observed child ASD diagnosis.
Placental vascular imaging</ns0:t>
        </ns0:is>
      </ns0:c>
      <ns0:c r="F1516" s="21" t="inlineStr">
        <ns0:is>
          <ns0:t>https://doi.org/10.1186/s12911-017-0564-8</ns0:t>
        </ns0:is>
      </ns0:c>
      <ns0:c r="G1516" s="21" t="inlineStr">
        <ns0:is>
          <ns0:t>ChatGPT-assisted evidence recharting, 2026-09-08</ns0:t>
        </ns0:is>
      </ns0:c>
    </ns0:row>
    <ns0:row r="1517" ht="45" customHeight="1">
      <ns0:c r="A1517" s="19" t="inlineStr">
        <ns0:is>
          <ns0:t>278</ns0:t>
        </ns0:is>
      </ns0:c>
      <ns0:c r="B1517" s="19" t="inlineStr">
        <ns0:is>
          <ns0:t>rq2_role</ns0:t>
        </ns0:is>
      </ns0:c>
      <ns0:c r="C1517" s="19" t="inlineStr"/>
      <ns0:c r="D1517" s="19" t="inlineStr">
        <ns0:is>
          <ns0:t>Risk/trajectory estimation</ns0:t>
        </ns0:is>
      </ns0:c>
      <ns0:c r="E1517" s="19" t="inlineStr">
        <ns0:is>
          <ns0:t>Placental vascular images classify high-risk versus population cohorts; risk-group discrimination is not prediction of subsequently observed child ASD diagnosis.
Placental vascular imaging</ns0:t>
        </ns0:is>
      </ns0:c>
      <ns0:c r="F1517" s="19" t="inlineStr">
        <ns0:is>
          <ns0:t>https://doi.org/10.1186/s12911-017-0564-8</ns0:t>
        </ns0:is>
      </ns0:c>
      <ns0:c r="G1517" s="19" t="inlineStr">
        <ns0:is>
          <ns0:t>ChatGPT-assisted evidence recharting, 2026-09-08</ns0:t>
        </ns0:is>
      </ns0:c>
    </ns0:row>
    <ns0:row r="1518" ht="45" customHeight="1">
      <ns0:c r="A1518" s="21" t="inlineStr">
        <ns0:is>
          <ns0:t>278</ns0:t>
        </ns0:is>
      </ns0:c>
      <ns0:c r="B1518" s="21" t="inlineStr">
        <ns0:is>
          <ns0:t>decision_timing</ns0:t>
        </ns0:is>
      </ns0:c>
      <ns0:c r="C1518" s="21" t="inlineStr"/>
      <ns0:c r="D1518" s="21" t="inlineStr">
        <ns0:is>
          <ns0:t>Not observed in assessed sources</ns0:t>
        </ns0:is>
      </ns0:c>
      <ns0:c r="E1518" s="21" t="inlineStr">
        <ns0:is>
          <ns0:t>Placental vascular images classify high-risk versus population cohorts; risk-group discrimination is not prediction of subsequently observed child ASD diagnosis.
Placental vascular imaging</ns0:t>
        </ns0:is>
      </ns0:c>
      <ns0:c r="F1518" s="21" t="inlineStr">
        <ns0:is>
          <ns0:t>https://doi.org/10.1186/s12911-017-0564-8</ns0:t>
        </ns0:is>
      </ns0:c>
      <ns0:c r="G1518" s="21" t="inlineStr">
        <ns0:is>
          <ns0:t>ChatGPT-assisted evidence recharting, 2026-09-08</ns0:t>
        </ns0:is>
      </ns0:c>
    </ns0:row>
    <ns0:row r="1519" ht="42" customHeight="1">
      <ns0:c r="A1519" s="19" t="inlineStr">
        <ns0:is>
          <ns0:t>279</ns0:t>
        </ns0:is>
      </ns0:c>
      <ns0:c r="B1519" s="19" t="inlineStr">
        <ns0:is>
          <ns0:t>data_source_primary</ns0:t>
        </ns0:is>
      </ns0:c>
      <ns0:c r="C1519" s="19" t="inlineStr">
        <ns0:is>
          <ns0:t>Not specified</ns0:t>
        </ns0:is>
      </ns0:c>
      <ns0:c r="D1519" s="19" t="inlineStr">
        <ns0:is>
          <ns0:t>Structured clinical/questionnaire data</ns0:t>
        </ns0:is>
      </ns0:c>
      <ns0:c r="E1519" s="19" t="inlineStr">
        <ns0:is>
          <ns0:t>Digitized clinical/questionnaire history with SMO-trained SVM; optimization does not make an ML/DL hybrid.</ns0:t>
        </ns0:is>
      </ns0:c>
      <ns0:c r="F1519" s="19" t="inlineStr">
        <ns0:is>
          <ns0:t>https://doi.org/10.1002/cpe.6498</ns0:t>
        </ns0:is>
      </ns0:c>
      <ns0:c r="G1519" s="19" t="inlineStr">
        <ns0:is>
          <ns0:t>ChatGPT-assisted evidence recharting, 2026-09-08</ns0:t>
        </ns0:is>
      </ns0:c>
    </ns0:row>
    <ns0:row r="1520" ht="42" customHeight="1">
      <ns0:c r="A1520" s="21" t="inlineStr">
        <ns0:is>
          <ns0:t>279</ns0:t>
        </ns0:is>
      </ns0:c>
      <ns0:c r="B1520" s="21" t="inlineStr">
        <ns0:is>
          <ns0:t>rq2_status</ns0:t>
        </ns0:is>
      </ns0:c>
      <ns0:c r="C1520" s="21" t="inlineStr">
        <ns0:is>
          <ns0:t>Not adjudicated in master</ns0:t>
        </ns0:is>
      </ns0:c>
      <ns0:c r="D1520" s="21" t="inlineStr">
        <ns0:is>
          <ns0:t>Research only</ns0:t>
        </ns0:is>
      </ns0:c>
      <ns0:c r="E1520" s="21" t="inlineStr">
        <ns0:is>
          <ns0:t>Digitized clinical/questionnaire history with SMO-trained SVM; optimization does not make an ML/DL hybrid.</ns0:t>
        </ns0:is>
      </ns0:c>
      <ns0:c r="F1520" s="21" t="inlineStr">
        <ns0:is>
          <ns0:t>https://doi.org/10.1002/cpe.6498</ns0:t>
        </ns0:is>
      </ns0:c>
      <ns0:c r="G1520" s="21" t="inlineStr">
        <ns0:is>
          <ns0:t>ChatGPT-assisted evidence recharting, 2026-09-08</ns0:t>
        </ns0:is>
      </ns0:c>
    </ns0:row>
    <ns0:row r="1521" ht="42" customHeight="1">
      <ns0:c r="A1521" s="19" t="inlineStr">
        <ns0:is>
          <ns0:t>279</ns0:t>
        </ns0:is>
      </ns0:c>
      <ns0:c r="B1521" s="19" t="inlineStr">
        <ns0:is>
          <ns0:t>rq2_role</ns0:t>
        </ns0:is>
      </ns0:c>
      <ns0:c r="C1521" s="19" t="inlineStr"/>
      <ns0:c r="D1521" s="19" t="inlineStr">
        <ns0:is>
          <ns0:t>Automated measurement/classification</ns0:t>
        </ns0:is>
      </ns0:c>
      <ns0:c r="E1521" s="19" t="inlineStr">
        <ns0:is>
          <ns0:t>Digitized clinical/questionnaire history with SMO-trained SVM; optimization does not make an ML/DL hybrid.</ns0:t>
        </ns0:is>
      </ns0:c>
      <ns0:c r="F1521" s="19" t="inlineStr">
        <ns0:is>
          <ns0:t>https://doi.org/10.1002/cpe.6498</ns0:t>
        </ns0:is>
      </ns0:c>
      <ns0:c r="G1521" s="19" t="inlineStr">
        <ns0:is>
          <ns0:t>ChatGPT-assisted evidence recharting, 2026-09-08</ns0:t>
        </ns0:is>
      </ns0:c>
    </ns0:row>
    <ns0:row r="1522" ht="42" customHeight="1">
      <ns0:c r="A1522" s="21" t="inlineStr">
        <ns0:is>
          <ns0:t>279</ns0:t>
        </ns0:is>
      </ns0:c>
      <ns0:c r="B1522" s="21" t="inlineStr">
        <ns0:is>
          <ns0:t>decision_timing</ns0:t>
        </ns0:is>
      </ns0:c>
      <ns0:c r="C1522" s="21" t="inlineStr"/>
      <ns0:c r="D1522" s="21" t="inlineStr">
        <ns0:is>
          <ns0:t>Not observed in assessed sources</ns0:t>
        </ns0:is>
      </ns0:c>
      <ns0:c r="E1522" s="21" t="inlineStr">
        <ns0:is>
          <ns0:t>Digitized clinical/questionnaire history with SMO-trained SVM; optimization does not make an ML/DL hybrid.</ns0:t>
        </ns0:is>
      </ns0:c>
      <ns0:c r="F1522" s="21" t="inlineStr">
        <ns0:is>
          <ns0:t>https://doi.org/10.1002/cpe.6498</ns0:t>
        </ns0:is>
      </ns0:c>
      <ns0:c r="G1522" s="21" t="inlineStr">
        <ns0:is>
          <ns0:t>ChatGPT-assisted evidence recharting, 2026-09-08</ns0:t>
        </ns0:is>
      </ns0:c>
    </ns0:row>
    <ns0:row r="1523" ht="42" customHeight="1">
      <ns0:c r="A1523" s="19" t="inlineStr">
        <ns0:is>
          <ns0:t>280</ns0:t>
        </ns0:is>
      </ns0:c>
      <ns0:c r="B1523" s="19" t="inlineStr">
        <ns0:is>
          <ns0:t>data_source_primary</ns0:t>
        </ns0:is>
      </ns0:c>
      <ns0:c r="C1523" s="19" t="inlineStr">
        <ns0:is>
          <ns0:t>Multiple modalities (as coded)</ns0:t>
        </ns0:is>
      </ns0:c>
      <ns0:c r="D1523" s="19" t="inlineStr">
        <ns0:is>
          <ns0:t>Physiological signals</ns0:t>
        </ns0:is>
      </ns0:c>
      <ns0:c r="E1523" s="19" t="inlineStr">
        <ns0:is>
          <ns0:t>Single fNIRS source with temporal and graph convolution; multiple channels do not establish multisource data.</ns0:t>
        </ns0:is>
      </ns0:c>
      <ns0:c r="F1523" s="19" t="inlineStr">
        <ns0:is>
          <ns0:t>https://doi.org/10.1016/j.jneumeth.2023.109901</ns0:t>
        </ns0:is>
      </ns0:c>
      <ns0:c r="G1523" s="19" t="inlineStr">
        <ns0:is>
          <ns0:t>ChatGPT-assisted evidence recharting, 2026-09-08</ns0:t>
        </ns0:is>
      </ns0:c>
    </ns0:row>
    <ns0:row r="1524" ht="42" customHeight="1">
      <ns0:c r="A1524" s="21" t="inlineStr">
        <ns0:is>
          <ns0:t>280</ns0:t>
        </ns0:is>
      </ns0:c>
      <ns0:c r="B1524" s="21" t="inlineStr">
        <ns0:is>
          <ns0:t>algorithm_main</ns0:t>
        </ns0:is>
      </ns0:c>
      <ns0:c r="C1524" s="21" t="inlineStr">
        <ns0:is>
          <ns0:t>Other / Not clear</ns0:t>
        </ns0:is>
      </ns0:c>
      <ns0:c r="D1524" s="21" t="inlineStr">
        <ns0:is>
          <ns0:t>Graph neural network</ns0:t>
        </ns0:is>
      </ns0:c>
      <ns0:c r="E1524" s="21" t="inlineStr">
        <ns0:is>
          <ns0:t>Single fNIRS source with temporal and graph convolution; multiple channels do not establish multisource data.</ns0:t>
        </ns0:is>
      </ns0:c>
      <ns0:c r="F1524" s="21" t="inlineStr">
        <ns0:is>
          <ns0:t>https://doi.org/10.1016/j.jneumeth.2023.109901</ns0:t>
        </ns0:is>
      </ns0:c>
      <ns0:c r="G1524" s="21" t="inlineStr">
        <ns0:is>
          <ns0:t>ChatGPT-assisted evidence recharting, 2026-09-08</ns0:t>
        </ns0:is>
      </ns0:c>
    </ns0:row>
    <ns0:row r="1525" ht="42" customHeight="1">
      <ns0:c r="A1525" s="19" t="inlineStr">
        <ns0:is>
          <ns0:t>280</ns0:t>
        </ns0:is>
      </ns0:c>
      <ns0:c r="B1525" s="19" t="inlineStr">
        <ns0:is>
          <ns0:t>rq2_status</ns0:t>
        </ns0:is>
      </ns0:c>
      <ns0:c r="C1525" s="19" t="inlineStr">
        <ns0:is>
          <ns0:t>Not adjudicated in master</ns0:t>
        </ns0:is>
      </ns0:c>
      <ns0:c r="D1525" s="19" t="inlineStr">
        <ns0:is>
          <ns0:t>Research only</ns0:t>
        </ns0:is>
      </ns0:c>
      <ns0:c r="E1525" s="19" t="inlineStr">
        <ns0:is>
          <ns0:t>Single fNIRS source with temporal and graph convolution; multiple channels do not establish multisource data.</ns0:t>
        </ns0:is>
      </ns0:c>
      <ns0:c r="F1525" s="19" t="inlineStr">
        <ns0:is>
          <ns0:t>https://doi.org/10.1016/j.jneumeth.2023.109901</ns0:t>
        </ns0:is>
      </ns0:c>
      <ns0:c r="G1525" s="19" t="inlineStr">
        <ns0:is>
          <ns0:t>ChatGPT-assisted evidence recharting, 2026-09-08</ns0:t>
        </ns0:is>
      </ns0:c>
    </ns0:row>
    <ns0:row r="1526" ht="42" customHeight="1">
      <ns0:c r="A1526" s="21" t="inlineStr">
        <ns0:is>
          <ns0:t>280</ns0:t>
        </ns0:is>
      </ns0:c>
      <ns0:c r="B1526" s="21" t="inlineStr">
        <ns0:is>
          <ns0:t>rq2_role</ns0:t>
        </ns0:is>
      </ns0:c>
      <ns0:c r="C1526" s="21" t="inlineStr"/>
      <ns0:c r="D1526" s="21" t="inlineStr">
        <ns0:is>
          <ns0:t>Automated measurement/classification</ns0:t>
        </ns0:is>
      </ns0:c>
      <ns0:c r="E1526" s="21" t="inlineStr">
        <ns0:is>
          <ns0:t>Single fNIRS source with temporal and graph convolution; multiple channels do not establish multisource data.</ns0:t>
        </ns0:is>
      </ns0:c>
      <ns0:c r="F1526" s="21" t="inlineStr">
        <ns0:is>
          <ns0:t>https://doi.org/10.1016/j.jneumeth.2023.109901</ns0:t>
        </ns0:is>
      </ns0:c>
      <ns0:c r="G1526" s="21" t="inlineStr">
        <ns0:is>
          <ns0:t>ChatGPT-assisted evidence recharting, 2026-09-08</ns0:t>
        </ns0:is>
      </ns0:c>
    </ns0:row>
    <ns0:row r="1527" ht="42" customHeight="1">
      <ns0:c r="A1527" s="19" t="inlineStr">
        <ns0:is>
          <ns0:t>280</ns0:t>
        </ns0:is>
      </ns0:c>
      <ns0:c r="B1527" s="19" t="inlineStr">
        <ns0:is>
          <ns0:t>decision_timing</ns0:t>
        </ns0:is>
      </ns0:c>
      <ns0:c r="C1527" s="19" t="inlineStr"/>
      <ns0:c r="D1527" s="19" t="inlineStr">
        <ns0:is>
          <ns0:t>Not observed in assessed sources</ns0:t>
        </ns0:is>
      </ns0:c>
      <ns0:c r="E1527" s="19" t="inlineStr">
        <ns0:is>
          <ns0:t>Single fNIRS source with temporal and graph convolution; multiple channels do not establish multisource data.</ns0:t>
        </ns0:is>
      </ns0:c>
      <ns0:c r="F1527" s="19" t="inlineStr">
        <ns0:is>
          <ns0:t>https://doi.org/10.1016/j.jneumeth.2023.109901</ns0:t>
        </ns0:is>
      </ns0:c>
      <ns0:c r="G1527" s="19" t="inlineStr">
        <ns0:is>
          <ns0:t>ChatGPT-assisted evidence recharting, 2026-09-08</ns0:t>
        </ns0:is>
      </ns0:c>
    </ns0:row>
    <ns0:row r="1528" ht="42" customHeight="1">
      <ns0:c r="A1528" s="21" t="inlineStr">
        <ns0:is>
          <ns0:t>280</ns0:t>
        </ns0:is>
      </ns0:c>
      <ns0:c r="B1528" s="21" t="inlineStr">
        <ns0:is>
          <ns0:t>multisource_data</ns0:t>
        </ns0:is>
      </ns0:c>
      <ns0:c r="C1528" s="21" t="inlineStr">
        <ns0:is>
          <ns0:t>Reported</ns0:t>
        </ns0:is>
      </ns0:c>
      <ns0:c r="D1528" s="21" t="inlineStr">
        <ns0:is>
          <ns0:t>Not reported in assessed sources</ns0:t>
        </ns0:is>
      </ns0:c>
      <ns0:c r="E1528" s="21" t="inlineStr">
        <ns0:is>
          <ns0:t>Single fNIRS source with temporal and graph convolution; multiple channels do not establish multisource data.</ns0:t>
        </ns0:is>
      </ns0:c>
      <ns0:c r="F1528" s="21" t="inlineStr">
        <ns0:is>
          <ns0:t>https://doi.org/10.1016/j.jneumeth.2023.109901</ns0:t>
        </ns0:is>
      </ns0:c>
      <ns0:c r="G1528" s="21" t="inlineStr">
        <ns0:is>
          <ns0:t>ChatGPT-assisted evidence recharting, 2026-09-08</ns0:t>
        </ns0:is>
      </ns0:c>
    </ns0:row>
    <ns0:row r="1529" ht="42" customHeight="1">
      <ns0:c r="A1529" s="19" t="inlineStr">
        <ns0:is>
          <ns0:t>281</ns0:t>
        </ns0:is>
      </ns0:c>
      <ns0:c r="B1529" s="19" t="inlineStr">
        <ns0:is>
          <ns0:t>data_source_primary</ns0:t>
        </ns0:is>
      </ns0:c>
      <ns0:c r="C1529" s="19" t="inlineStr">
        <ns0:is>
          <ns0:t>Image (subtype unresolved)</ns0:t>
        </ns0:is>
      </ns0:c>
      <ns0:c r="D1529" s="19" t="inlineStr">
        <ns0:is>
          <ns0:t>Multiple source categories</ns0:t>
        </ns0:is>
      </ns0:c>
      <ns0:c r="E1529" s="19" t="inlineStr">
        <ns0:is>
          <ns0:t>Mobile linguistic-therapy architecture combines image and language components; available abstract reports a software proposal, not a clinical treatment trial.</ns0:t>
        </ns0:is>
      </ns0:c>
      <ns0:c r="F1529" s="19" t="inlineStr">
        <ns0:is>
          <ns0:t>https://doi.org/10.3390/ijerph191912857</ns0:t>
        </ns0:is>
      </ns0:c>
      <ns0:c r="G1529" s="19" t="inlineStr">
        <ns0:is>
          <ns0:t>ChatGPT-assisted evidence recharting, 2026-09-08</ns0:t>
        </ns0:is>
      </ns0:c>
    </ns0:row>
    <ns0:row r="1530" ht="42" customHeight="1">
      <ns0:c r="A1530" s="21" t="inlineStr">
        <ns0:is>
          <ns0:t>281</ns0:t>
        </ns0:is>
      </ns0:c>
      <ns0:c r="B1530" s="21" t="inlineStr">
        <ns0:is>
          <ns0:t>algorithm_main</ns0:t>
        </ns0:is>
      </ns0:c>
      <ns0:c r="C1530" s="21" t="inlineStr">
        <ns0:is>
          <ns0:t>Other / Not clear</ns0:t>
        </ns0:is>
      </ns0:c>
      <ns0:c r="D1530" s="21" t="inlineStr">
        <ns0:is>
          <ns0:t>CNN / NLP components</ns0:t>
        </ns0:is>
      </ns0:c>
      <ns0:c r="E1530" s="21" t="inlineStr">
        <ns0:is>
          <ns0:t>Mobile linguistic-therapy architecture combines image and language components; available abstract reports a software proposal, not a clinical treatment trial.</ns0:t>
        </ns0:is>
      </ns0:c>
      <ns0:c r="F1530" s="21" t="inlineStr">
        <ns0:is>
          <ns0:t>https://doi.org/10.3390/ijerph191912857</ns0:t>
        </ns0:is>
      </ns0:c>
      <ns0:c r="G1530" s="21" t="inlineStr">
        <ns0:is>
          <ns0:t>ChatGPT-assisted evidence recharting, 2026-09-08</ns0:t>
        </ns0:is>
      </ns0:c>
    </ns0:row>
    <ns0:row r="1531" ht="42" customHeight="1">
      <ns0:c r="A1531" s="19" t="inlineStr">
        <ns0:is>
          <ns0:t>281</ns0:t>
        </ns0:is>
      </ns0:c>
      <ns0:c r="B1531" s="19" t="inlineStr">
        <ns0:is>
          <ns0:t>rq2_status</ns0:t>
        </ns0:is>
      </ns0:c>
      <ns0:c r="C1531" s="19" t="inlineStr">
        <ns0:is>
          <ns0:t>Not adjudicated in master</ns0:t>
        </ns0:is>
      </ns0:c>
      <ns0:c r="D1531" s="19" t="inlineStr">
        <ns0:is>
          <ns0:t>Proposed only</ns0:t>
        </ns0:is>
      </ns0:c>
      <ns0:c r="E1531" s="19" t="inlineStr">
        <ns0:is>
          <ns0:t>Mobile linguistic-therapy architecture combines image and language components; available abstract reports a software proposal, not a clinical treatment trial.</ns0:t>
        </ns0:is>
      </ns0:c>
      <ns0:c r="F1531" s="19" t="inlineStr">
        <ns0:is>
          <ns0:t>https://doi.org/10.3390/ijerph191912857</ns0:t>
        </ns0:is>
      </ns0:c>
      <ns0:c r="G1531" s="19" t="inlineStr">
        <ns0:is>
          <ns0:t>ChatGPT-assisted evidence recharting, 2026-09-08</ns0:t>
        </ns0:is>
      </ns0:c>
    </ns0:row>
    <ns0:row r="1532" ht="42" customHeight="1">
      <ns0:c r="A1532" s="21" t="inlineStr">
        <ns0:is>
          <ns0:t>281</ns0:t>
        </ns0:is>
      </ns0:c>
      <ns0:c r="B1532" s="21" t="inlineStr">
        <ns0:is>
          <ns0:t>rq2_role</ns0:t>
        </ns0:is>
      </ns0:c>
      <ns0:c r="C1532" s="21" t="inlineStr"/>
      <ns0:c r="D1532" s="21" t="inlineStr">
        <ns0:is>
          <ns0:t>Adaptive intervention</ns0:t>
        </ns0:is>
      </ns0:c>
      <ns0:c r="E1532" s="21" t="inlineStr">
        <ns0:is>
          <ns0:t>Mobile linguistic-therapy architecture combines image and language components; available abstract reports a software proposal, not a clinical treatment trial.</ns0:t>
        </ns0:is>
      </ns0:c>
      <ns0:c r="F1532" s="21" t="inlineStr">
        <ns0:is>
          <ns0:t>https://doi.org/10.3390/ijerph191912857</ns0:t>
        </ns0:is>
      </ns0:c>
      <ns0:c r="G1532" s="21" t="inlineStr">
        <ns0:is>
          <ns0:t>ChatGPT-assisted evidence recharting, 2026-09-08</ns0:t>
        </ns0:is>
      </ns0:c>
    </ns0:row>
    <ns0:row r="1533" ht="42" customHeight="1">
      <ns0:c r="A1533" s="19" t="inlineStr">
        <ns0:is>
          <ns0:t>281</ns0:t>
        </ns0:is>
      </ns0:c>
      <ns0:c r="B1533" s="19" t="inlineStr">
        <ns0:is>
          <ns0:t>decision_timing</ns0:t>
        </ns0:is>
      </ns0:c>
      <ns0:c r="C1533" s="19" t="inlineStr"/>
      <ns0:c r="D1533" s="19" t="inlineStr">
        <ns0:is>
          <ns0:t>Post-decision</ns0:t>
        </ns0:is>
      </ns0:c>
      <ns0:c r="E1533" s="19" t="inlineStr">
        <ns0:is>
          <ns0:t>Mobile linguistic-therapy architecture combines image and language components; available abstract reports a software proposal, not a clinical treatment trial.</ns0:t>
        </ns0:is>
      </ns0:c>
      <ns0:c r="F1533" s="19" t="inlineStr">
        <ns0:is>
          <ns0:t>https://doi.org/10.3390/ijerph191912857</ns0:t>
        </ns0:is>
      </ns0:c>
      <ns0:c r="G1533" s="19" t="inlineStr">
        <ns0:is>
          <ns0:t>ChatGPT-assisted evidence recharting, 2026-09-08</ns0:t>
        </ns0:is>
      </ns0:c>
    </ns0:row>
    <ns0:row r="1534" ht="42" customHeight="1">
      <ns0:c r="A1534" s="21" t="inlineStr">
        <ns0:is>
          <ns0:t>281</ns0:t>
        </ns0:is>
      </ns0:c>
      <ns0:c r="B1534" s="21" t="inlineStr">
        <ns0:is>
          <ns0:t>multisource_data</ns0:t>
        </ns0:is>
      </ns0:c>
      <ns0:c r="C1534" s="21" t="inlineStr">
        <ns0:is>
          <ns0:t>Not reported in assessed sources</ns0:t>
        </ns0:is>
      </ns0:c>
      <ns0:c r="D1534" s="21" t="inlineStr">
        <ns0:is>
          <ns0:t>Reported</ns0:t>
        </ns0:is>
      </ns0:c>
      <ns0:c r="E1534" s="21" t="inlineStr">
        <ns0:is>
          <ns0:t>Mobile linguistic-therapy architecture combines image and language components; available abstract reports a software proposal, not a clinical treatment trial.</ns0:t>
        </ns0:is>
      </ns0:c>
      <ns0:c r="F1534" s="21" t="inlineStr">
        <ns0:is>
          <ns0:t>https://doi.org/10.3390/ijerph191912857</ns0:t>
        </ns0:is>
      </ns0:c>
      <ns0:c r="G1534" s="21" t="inlineStr">
        <ns0:is>
          <ns0:t>ChatGPT-assisted evidence recharting, 2026-09-08</ns0:t>
        </ns0:is>
      </ns0:c>
    </ns0:row>
    <ns0:row r="1535" ht="42" customHeight="1">
      <ns0:c r="A1535" s="19" t="inlineStr">
        <ns0:is>
          <ns0:t>282</ns0:t>
        </ns0:is>
      </ns0:c>
      <ns0:c r="B1535" s="19" t="inlineStr">
        <ns0:is>
          <ns0:t>ai_type</ns0:t>
        </ns0:is>
      </ns0:c>
      <ns0:c r="C1535" s="19" t="inlineStr">
        <ns0:is>
          <ns0:t>Hybrid</ns0:t>
        </ns0:is>
      </ns0:c>
      <ns0:c r="D1535" s="19" t="inlineStr">
        <ns0:is>
          <ns0:t>Deep Learning</ns0:t>
        </ns0:is>
      </ns0:c>
      <ns0:c r="E1535" s="19" t="inlineStr">
        <ns0:is>
          <ns0:t>RNA sequence and expression fusion for gene-level risk classification. CNN and LSTM are both deep learning; logistic feature selection does not establish a mixed clinical classifier.</ns0:t>
        </ns0:is>
      </ns0:c>
      <ns0:c r="F1535" s="19" t="inlineStr">
        <ns0:is>
          <ns0:t>https://doi.org/10.1186/s12859-023-05378-x</ns0:t>
        </ns0:is>
      </ns0:c>
      <ns0:c r="G1535" s="19" t="inlineStr">
        <ns0:is>
          <ns0:t>ChatGPT-assisted evidence recharting, 2026-09-08</ns0:t>
        </ns0:is>
      </ns0:c>
    </ns0:row>
    <ns0:row r="1536" ht="42" customHeight="1">
      <ns0:c r="A1536" s="21" t="inlineStr">
        <ns0:is>
          <ns0:t>282</ns0:t>
        </ns0:is>
      </ns0:c>
      <ns0:c r="B1536" s="21" t="inlineStr">
        <ns0:is>
          <ns0:t>algorithm_main</ns0:t>
        </ns0:is>
      </ns0:c>
      <ns0:c r="C1536" s="21" t="inlineStr">
        <ns0:is>
          <ns0:t>CNN-LSTM with attention</ns0:t>
        </ns0:is>
      </ns0:c>
      <ns0:c r="D1536" s="21" t="inlineStr">
        <ns0:is>
          <ns0:t>CNN + LSTM</ns0:t>
        </ns0:is>
      </ns0:c>
      <ns0:c r="E1536" s="21" t="inlineStr">
        <ns0:is>
          <ns0:t>RNA sequence and expression fusion for gene-level risk classification. CNN and LSTM are both deep learning; logistic feature selection does not establish a mixed clinical classifier.</ns0:t>
        </ns0:is>
      </ns0:c>
      <ns0:c r="F1536" s="21" t="inlineStr">
        <ns0:is>
          <ns0:t>https://doi.org/10.1186/s12859-023-05378-x</ns0:t>
        </ns0:is>
      </ns0:c>
      <ns0:c r="G1536" s="21" t="inlineStr">
        <ns0:is>
          <ns0:t>ChatGPT-assisted evidence recharting, 2026-09-08</ns0:t>
        </ns0:is>
      </ns0:c>
    </ns0:row>
    <ns0:row r="1537" ht="42" customHeight="1">
      <ns0:c r="A1537" s="19" t="inlineStr">
        <ns0:is>
          <ns0:t>282</ns0:t>
        </ns0:is>
      </ns0:c>
      <ns0:c r="B1537" s="19" t="inlineStr">
        <ns0:is>
          <ns0:t>rq2_status</ns0:t>
        </ns0:is>
      </ns0:c>
      <ns0:c r="C1537" s="19" t="inlineStr">
        <ns0:is>
          <ns0:t>Not adjudicated in master</ns0:t>
        </ns0:is>
      </ns0:c>
      <ns0:c r="D1537" s="19" t="inlineStr">
        <ns0:is>
          <ns0:t>Research only</ns0:t>
        </ns0:is>
      </ns0:c>
      <ns0:c r="E1537" s="19" t="inlineStr">
        <ns0:is>
          <ns0:t>RNA sequence and expression fusion for gene-level risk classification. CNN and LSTM are both deep learning; logistic feature selection does not establish a mixed clinical classifier.</ns0:t>
        </ns0:is>
      </ns0:c>
      <ns0:c r="F1537" s="19" t="inlineStr">
        <ns0:is>
          <ns0:t>https://doi.org/10.1186/s12859-023-05378-x</ns0:t>
        </ns0:is>
      </ns0:c>
      <ns0:c r="G1537" s="19" t="inlineStr">
        <ns0:is>
          <ns0:t>ChatGPT-assisted evidence recharting, 2026-09-08</ns0:t>
        </ns0:is>
      </ns0:c>
    </ns0:row>
    <ns0:row r="1538" ht="42" customHeight="1">
      <ns0:c r="A1538" s="21" t="inlineStr">
        <ns0:is>
          <ns0:t>282</ns0:t>
        </ns0:is>
      </ns0:c>
      <ns0:c r="B1538" s="21" t="inlineStr">
        <ns0:is>
          <ns0:t>rq2_role</ns0:t>
        </ns0:is>
      </ns0:c>
      <ns0:c r="C1538" s="21" t="inlineStr"/>
      <ns0:c r="D1538" s="21" t="inlineStr">
        <ns0:is>
          <ns0:t>Research characterization</ns0:t>
        </ns0:is>
      </ns0:c>
      <ns0:c r="E1538" s="21" t="inlineStr">
        <ns0:is>
          <ns0:t>RNA sequence and expression fusion for gene-level risk classification. CNN and LSTM are both deep learning; logistic feature selection does not establish a mixed clinical classifier.</ns0:t>
        </ns0:is>
      </ns0:c>
      <ns0:c r="F1538" s="21" t="inlineStr">
        <ns0:is>
          <ns0:t>https://doi.org/10.1186/s12859-023-05378-x</ns0:t>
        </ns0:is>
      </ns0:c>
      <ns0:c r="G1538" s="21" t="inlineStr">
        <ns0:is>
          <ns0:t>ChatGPT-assisted evidence recharting, 2026-09-08</ns0:t>
        </ns0:is>
      </ns0:c>
    </ns0:row>
    <ns0:row r="1539" ht="42" customHeight="1">
      <ns0:c r="A1539" s="19" t="inlineStr">
        <ns0:is>
          <ns0:t>282</ns0:t>
        </ns0:is>
      </ns0:c>
      <ns0:c r="B1539" s="19" t="inlineStr">
        <ns0:is>
          <ns0:t>decision_timing</ns0:t>
        </ns0:is>
      </ns0:c>
      <ns0:c r="C1539" s="19" t="inlineStr"/>
      <ns0:c r="D1539" s="19" t="inlineStr">
        <ns0:is>
          <ns0:t>Not observed in assessed sources</ns0:t>
        </ns0:is>
      </ns0:c>
      <ns0:c r="E1539" s="19" t="inlineStr">
        <ns0:is>
          <ns0:t>RNA sequence and expression fusion for gene-level risk classification. CNN and LSTM are both deep learning; logistic feature selection does not establish a mixed clinical classifier.</ns0:t>
        </ns0:is>
      </ns0:c>
      <ns0:c r="F1539" s="19" t="inlineStr">
        <ns0:is>
          <ns0:t>https://doi.org/10.1186/s12859-023-05378-x</ns0:t>
        </ns0:is>
      </ns0:c>
      <ns0:c r="G1539" s="19" t="inlineStr">
        <ns0:is>
          <ns0:t>ChatGPT-assisted evidence recharting, 2026-09-08</ns0:t>
        </ns0:is>
      </ns0:c>
    </ns0:row>
    <ns0:row r="1540" ht="42" customHeight="1">
      <ns0:c r="A1540" s="21" t="inlineStr">
        <ns0:is>
          <ns0:t>282</ns0:t>
        </ns0:is>
      </ns0:c>
      <ns0:c r="B1540" s="21" t="inlineStr">
        <ns0:is>
          <ns0:t>multisource_data</ns0:t>
        </ns0:is>
      </ns0:c>
      <ns0:c r="C1540" s="21" t="inlineStr">
        <ns0:is>
          <ns0:t>Not reported in assessed sources</ns0:t>
        </ns0:is>
      </ns0:c>
      <ns0:c r="D1540" s="21" t="inlineStr">
        <ns0:is>
          <ns0:t>Reported</ns0:t>
        </ns0:is>
      </ns0:c>
      <ns0:c r="E1540" s="21" t="inlineStr">
        <ns0:is>
          <ns0:t>RNA sequence and expression fusion for gene-level risk classification. CNN and LSTM are both deep learning; logistic feature selection does not establish a mixed clinical classifier.</ns0:t>
        </ns0:is>
      </ns0:c>
      <ns0:c r="F1540" s="21" t="inlineStr">
        <ns0:is>
          <ns0:t>https://doi.org/10.1186/s12859-023-05378-x</ns0:t>
        </ns0:is>
      </ns0:c>
      <ns0:c r="G1540" s="21" t="inlineStr">
        <ns0:is>
          <ns0:t>ChatGPT-assisted evidence recharting, 2026-09-08</ns0:t>
        </ns0:is>
      </ns0:c>
    </ns0:row>
    <ns0:row r="1541" ht="42" customHeight="1">
      <ns0:c r="A1541" s="19" t="inlineStr">
        <ns0:is>
          <ns0:t>283</ns0:t>
        </ns0:is>
      </ns0:c>
      <ns0:c r="B1541" s="19" t="inlineStr">
        <ns0:is>
          <ns0:t>rq2_status</ns0:t>
        </ns0:is>
      </ns0:c>
      <ns0:c r="C1541" s="19" t="inlineStr">
        <ns0:is>
          <ns0:t>Not adjudicated in master</ns0:t>
        </ns0:is>
      </ns0:c>
      <ns0:c r="D1541" s="19" t="inlineStr">
        <ns0:is>
          <ns0:t>Research only</ns0:t>
        </ns0:is>
      </ns0:c>
      <ns0:c r="E1541" s="19" t="inlineStr">
        <ns0:is>
          <ns0:t>DNN outperformed comparators in concurrent ASD severity classification; data source cannot be recovered from available abstract.</ns0:t>
        </ns0:is>
      </ns0:c>
      <ns0:c r="F1541" s="19" t="inlineStr">
        <ns0:is>
          <ns0:t>https://doi.org/10.1155/2022/8134018</ns0:t>
        </ns0:is>
      </ns0:c>
      <ns0:c r="G1541" s="19" t="inlineStr">
        <ns0:is>
          <ns0:t>ChatGPT-assisted evidence recharting, 2026-09-08</ns0:t>
        </ns0:is>
      </ns0:c>
    </ns0:row>
    <ns0:row r="1542" ht="42" customHeight="1">
      <ns0:c r="A1542" s="21" t="inlineStr">
        <ns0:is>
          <ns0:t>283</ns0:t>
        </ns0:is>
      </ns0:c>
      <ns0:c r="B1542" s="21" t="inlineStr">
        <ns0:is>
          <ns0:t>rq2_role</ns0:t>
        </ns0:is>
      </ns0:c>
      <ns0:c r="C1542" s="21" t="inlineStr"/>
      <ns0:c r="D1542" s="21" t="inlineStr">
        <ns0:is>
          <ns0:t>Automated measurement/classification</ns0:t>
        </ns0:is>
      </ns0:c>
      <ns0:c r="E1542" s="21" t="inlineStr">
        <ns0:is>
          <ns0:t>DNN outperformed comparators in concurrent ASD severity classification; data source cannot be recovered from available abstract.</ns0:t>
        </ns0:is>
      </ns0:c>
      <ns0:c r="F1542" s="21" t="inlineStr">
        <ns0:is>
          <ns0:t>https://doi.org/10.1155/2022/8134018</ns0:t>
        </ns0:is>
      </ns0:c>
      <ns0:c r="G1542" s="21" t="inlineStr">
        <ns0:is>
          <ns0:t>ChatGPT-assisted evidence recharting, 2026-09-08</ns0:t>
        </ns0:is>
      </ns0:c>
    </ns0:row>
    <ns0:row r="1543" ht="42" customHeight="1">
      <ns0:c r="A1543" s="19" t="inlineStr">
        <ns0:is>
          <ns0:t>283</ns0:t>
        </ns0:is>
      </ns0:c>
      <ns0:c r="B1543" s="19" t="inlineStr">
        <ns0:is>
          <ns0:t>decision_timing</ns0:t>
        </ns0:is>
      </ns0:c>
      <ns0:c r="C1543" s="19" t="inlineStr"/>
      <ns0:c r="D1543" s="19" t="inlineStr">
        <ns0:is>
          <ns0:t>Not observed in assessed sources</ns0:t>
        </ns0:is>
      </ns0:c>
      <ns0:c r="E1543" s="19" t="inlineStr">
        <ns0:is>
          <ns0:t>DNN outperformed comparators in concurrent ASD severity classification; data source cannot be recovered from available abstract.</ns0:t>
        </ns0:is>
      </ns0:c>
      <ns0:c r="F1543" s="19" t="inlineStr">
        <ns0:is>
          <ns0:t>https://doi.org/10.1155/2022/8134018</ns0:t>
        </ns0:is>
      </ns0:c>
      <ns0:c r="G1543" s="19" t="inlineStr">
        <ns0:is>
          <ns0:t>ChatGPT-assisted evidence recharting, 2026-09-08</ns0:t>
        </ns0:is>
      </ns0:c>
    </ns0:row>
    <ns0:row r="1544" ht="42" customHeight="1">
      <ns0:c r="A1544" s="21" t="inlineStr">
        <ns0:is>
          <ns0:t>284</ns0:t>
        </ns0:is>
      </ns0:c>
      <ns0:c r="B1544" s="21" t="inlineStr">
        <ns0:is>
          <ns0:t>ai_type</ns0:t>
        </ns0:is>
      </ns0:c>
      <ns0:c r="C1544" s="21" t="inlineStr">
        <ns0:is>
          <ns0:t>Hybrid</ns0:t>
        </ns0:is>
      </ns0:c>
      <ns0:c r="D1544" s="21" t="inlineStr">
        <ns0:is>
          <ns0:t>Machine Learning</ns0:t>
        </ns0:is>
      </ns0:c>
      <ns0:c r="E1544" s="21" t="inlineStr">
        <ns0:is>
          <ns0:t>Conventional classifier comparison, not ML/DL hybrid. Input modality not specified in available abstract.</ns0:t>
        </ns0:is>
      </ns0:c>
      <ns0:c r="F1544" s="21" t="inlineStr">
        <ns0:is>
          <ns0:t>https://doi.org/10.1016/j.procs.2020.01.098</ns0:t>
        </ns0:is>
      </ns0:c>
      <ns0:c r="G1544" s="21" t="inlineStr">
        <ns0:is>
          <ns0:t>ChatGPT-assisted evidence recharting, 2026-09-08</ns0:t>
        </ns0:is>
      </ns0:c>
    </ns0:row>
    <ns0:row r="1545" ht="42" customHeight="1">
      <ns0:c r="A1545" s="19" t="inlineStr">
        <ns0:is>
          <ns0:t>284</ns0:t>
        </ns0:is>
      </ns0:c>
      <ns0:c r="B1545" s="19" t="inlineStr">
        <ns0:is>
          <ns0:t>data_source_primary</ns0:t>
        </ns0:is>
      </ns0:c>
      <ns0:c r="C1545" s="19" t="inlineStr">
        <ns0:is>
          <ns0:t>Image (subtype unresolved)</ns0:t>
        </ns0:is>
      </ns0:c>
      <ns0:c r="D1545" s="19" t="inlineStr">
        <ns0:is>
          <ns0:t>Not specified</ns0:t>
        </ns0:is>
      </ns0:c>
      <ns0:c r="E1545" s="19" t="inlineStr">
        <ns0:is>
          <ns0:t>Conventional classifier comparison, not ML/DL hybrid. Input modality not specified in available abstract.</ns0:t>
        </ns0:is>
      </ns0:c>
      <ns0:c r="F1545" s="19" t="inlineStr">
        <ns0:is>
          <ns0:t>https://doi.org/10.1016/j.procs.2020.01.098</ns0:t>
        </ns0:is>
      </ns0:c>
      <ns0:c r="G1545" s="19" t="inlineStr">
        <ns0:is>
          <ns0:t>ChatGPT-assisted evidence recharting, 2026-09-08</ns0:t>
        </ns0:is>
      </ns0:c>
    </ns0:row>
    <ns0:row r="1546" ht="42" customHeight="1">
      <ns0:c r="A1546" s="21" t="inlineStr">
        <ns0:is>
          <ns0:t>284</ns0:t>
        </ns0:is>
      </ns0:c>
      <ns0:c r="B1546" s="21" t="inlineStr">
        <ns0:is>
          <ns0:t>rq2_status</ns0:t>
        </ns0:is>
      </ns0:c>
      <ns0:c r="C1546" s="21" t="inlineStr">
        <ns0:is>
          <ns0:t>Not adjudicated in master</ns0:t>
        </ns0:is>
      </ns0:c>
      <ns0:c r="D1546" s="21" t="inlineStr">
        <ns0:is>
          <ns0:t>Research only</ns0:t>
        </ns0:is>
      </ns0:c>
      <ns0:c r="E1546" s="21" t="inlineStr">
        <ns0:is>
          <ns0:t>Conventional classifier comparison, not ML/DL hybrid. Input modality not specified in available abstract.</ns0:t>
        </ns0:is>
      </ns0:c>
      <ns0:c r="F1546" s="21" t="inlineStr">
        <ns0:is>
          <ns0:t>https://doi.org/10.1016/j.procs.2020.01.098</ns0:t>
        </ns0:is>
      </ns0:c>
      <ns0:c r="G1546" s="21" t="inlineStr">
        <ns0:is>
          <ns0:t>ChatGPT-assisted evidence recharting, 2026-09-08</ns0:t>
        </ns0:is>
      </ns0:c>
    </ns0:row>
    <ns0:row r="1547" ht="42" customHeight="1">
      <ns0:c r="A1547" s="19" t="inlineStr">
        <ns0:is>
          <ns0:t>284</ns0:t>
        </ns0:is>
      </ns0:c>
      <ns0:c r="B1547" s="19" t="inlineStr">
        <ns0:is>
          <ns0:t>rq2_role</ns0:t>
        </ns0:is>
      </ns0:c>
      <ns0:c r="C1547" s="19" t="inlineStr"/>
      <ns0:c r="D1547" s="19" t="inlineStr">
        <ns0:is>
          <ns0:t>Automated measurement/classification</ns0:t>
        </ns0:is>
      </ns0:c>
      <ns0:c r="E1547" s="19" t="inlineStr">
        <ns0:is>
          <ns0:t>Conventional classifier comparison, not ML/DL hybrid. Input modality not specified in available abstract.</ns0:t>
        </ns0:is>
      </ns0:c>
      <ns0:c r="F1547" s="19" t="inlineStr">
        <ns0:is>
          <ns0:t>https://doi.org/10.1016/j.procs.2020.01.098</ns0:t>
        </ns0:is>
      </ns0:c>
      <ns0:c r="G1547" s="19" t="inlineStr">
        <ns0:is>
          <ns0:t>ChatGPT-assisted evidence recharting, 2026-09-08</ns0:t>
        </ns0:is>
      </ns0:c>
    </ns0:row>
    <ns0:row r="1548" ht="42" customHeight="1">
      <ns0:c r="A1548" s="21" t="inlineStr">
        <ns0:is>
          <ns0:t>284</ns0:t>
        </ns0:is>
      </ns0:c>
      <ns0:c r="B1548" s="21" t="inlineStr">
        <ns0:is>
          <ns0:t>decision_timing</ns0:t>
        </ns0:is>
      </ns0:c>
      <ns0:c r="C1548" s="21" t="inlineStr"/>
      <ns0:c r="D1548" s="21" t="inlineStr">
        <ns0:is>
          <ns0:t>Not observed in assessed sources</ns0:t>
        </ns0:is>
      </ns0:c>
      <ns0:c r="E1548" s="21" t="inlineStr">
        <ns0:is>
          <ns0:t>Conventional classifier comparison, not ML/DL hybrid. Input modality not specified in available abstract.</ns0:t>
        </ns0:is>
      </ns0:c>
      <ns0:c r="F1548" s="21" t="inlineStr">
        <ns0:is>
          <ns0:t>https://doi.org/10.1016/j.procs.2020.01.098</ns0:t>
        </ns0:is>
      </ns0:c>
      <ns0:c r="G1548" s="21" t="inlineStr">
        <ns0:is>
          <ns0:t>ChatGPT-assisted evidence recharting, 2026-09-08</ns0:t>
        </ns0:is>
      </ns0:c>
    </ns0:row>
    <ns0:row r="1549" ht="42" customHeight="1">
      <ns0:c r="A1549" s="19" t="inlineStr">
        <ns0:is>
          <ns0:t>285</ns0:t>
        </ns0:is>
      </ns0:c>
      <ns0:c r="B1549" s="19" t="inlineStr">
        <ns0:is>
          <ns0:t>ai_type</ns0:t>
        </ns0:is>
      </ns0:c>
      <ns0:c r="C1549" s="19" t="inlineStr">
        <ns0:is>
          <ns0:t>Hybrid</ns0:t>
        </ns0:is>
      </ns0:c>
      <ns0:c r="D1549" s="19" t="inlineStr">
        <ns0:is>
          <ns0:t>Machine Learning</ns0:t>
        </ns0:is>
      </ns0:c>
      <ns0:c r="E1549" s="19" t="inlineStr">
        <ns0:is>
          <ns0:t>Transcriptomic gene selection followed by network toxicology and docking; no deep-learning component or deployed clinical decision.</ns0:t>
        </ns0:is>
      </ns0:c>
      <ns0:c r="F1549" s="19" t="inlineStr">
        <ns0:is>
          <ns0:t>https://doi.org/10.1016/j.ecoenv.2025.118233</ns0:t>
        </ns0:is>
      </ns0:c>
      <ns0:c r="G1549" s="19" t="inlineStr">
        <ns0:is>
          <ns0:t>ChatGPT-assisted evidence recharting, 2026-09-08</ns0:t>
        </ns0:is>
      </ns0:c>
    </ns0:row>
    <ns0:row r="1550" ht="42" customHeight="1">
      <ns0:c r="A1550" s="21" t="inlineStr">
        <ns0:is>
          <ns0:t>285</ns0:t>
        </ns0:is>
      </ns0:c>
      <ns0:c r="B1550" s="21" t="inlineStr">
        <ns0:is>
          <ns0:t>data_source_primary</ns0:t>
        </ns0:is>
      </ns0:c>
      <ns0:c r="C1550" s="21" t="inlineStr">
        <ns0:is>
          <ns0:t>Not specified</ns0:t>
        </ns0:is>
      </ns0:c>
      <ns0:c r="D1550" s="21" t="inlineStr">
        <ns0:is>
          <ns0:t>Biological/omics</ns0:t>
        </ns0:is>
      </ns0:c>
      <ns0:c r="E1550" s="21" t="inlineStr">
        <ns0:is>
          <ns0:t>Transcriptomic gene selection followed by network toxicology and docking; no deep-learning component or deployed clinical decision.</ns0:t>
        </ns0:is>
      </ns0:c>
      <ns0:c r="F1550" s="21" t="inlineStr">
        <ns0:is>
          <ns0:t>https://doi.org/10.1016/j.ecoenv.2025.118233</ns0:t>
        </ns0:is>
      </ns0:c>
      <ns0:c r="G1550" s="21" t="inlineStr">
        <ns0:is>
          <ns0:t>ChatGPT-assisted evidence recharting, 2026-09-08</ns0:t>
        </ns0:is>
      </ns0:c>
    </ns0:row>
    <ns0:row r="1551" ht="42" customHeight="1">
      <ns0:c r="A1551" s="19" t="inlineStr">
        <ns0:is>
          <ns0:t>285</ns0:t>
        </ns0:is>
      </ns0:c>
      <ns0:c r="B1551" s="19" t="inlineStr">
        <ns0:is>
          <ns0:t>algorithm_main</ns0:t>
        </ns0:is>
      </ns0:c>
      <ns0:c r="C1551" s="19" t="inlineStr">
        <ns0:is>
          <ns0:t>Other</ns0:t>
        </ns0:is>
      </ns0:c>
      <ns0:c r="D1551" s="19" t="inlineStr">
        <ns0:is>
          <ns0:t>SGD classifier</ns0:t>
        </ns0:is>
      </ns0:c>
      <ns0:c r="E1551" s="19" t="inlineStr">
        <ns0:is>
          <ns0:t>Transcriptomic gene selection followed by network toxicology and docking; no deep-learning component or deployed clinical decision.</ns0:t>
        </ns0:is>
      </ns0:c>
      <ns0:c r="F1551" s="19" t="inlineStr">
        <ns0:is>
          <ns0:t>https://doi.org/10.1016/j.ecoenv.2025.118233</ns0:t>
        </ns0:is>
      </ns0:c>
      <ns0:c r="G1551" s="19" t="inlineStr">
        <ns0:is>
          <ns0:t>ChatGPT-assisted evidence recharting, 2026-09-08</ns0:t>
        </ns0:is>
      </ns0:c>
    </ns0:row>
    <ns0:row r="1552" ht="42" customHeight="1">
      <ns0:c r="A1552" s="21" t="inlineStr">
        <ns0:is>
          <ns0:t>285</ns0:t>
        </ns0:is>
      </ns0:c>
      <ns0:c r="B1552" s="21" t="inlineStr">
        <ns0:is>
          <ns0:t>rq2_status</ns0:t>
        </ns0:is>
      </ns0:c>
      <ns0:c r="C1552" s="21" t="inlineStr">
        <ns0:is>
          <ns0:t>Not adjudicated in master</ns0:t>
        </ns0:is>
      </ns0:c>
      <ns0:c r="D1552" s="21" t="inlineStr">
        <ns0:is>
          <ns0:t>Research only</ns0:t>
        </ns0:is>
      </ns0:c>
      <ns0:c r="E1552" s="21" t="inlineStr">
        <ns0:is>
          <ns0:t>Transcriptomic gene selection followed by network toxicology and docking; no deep-learning component or deployed clinical decision.</ns0:t>
        </ns0:is>
      </ns0:c>
      <ns0:c r="F1552" s="21" t="inlineStr">
        <ns0:is>
          <ns0:t>https://doi.org/10.1016/j.ecoenv.2025.118233</ns0:t>
        </ns0:is>
      </ns0:c>
      <ns0:c r="G1552" s="21" t="inlineStr">
        <ns0:is>
          <ns0:t>ChatGPT-assisted evidence recharting, 2026-09-08</ns0:t>
        </ns0:is>
      </ns0:c>
    </ns0:row>
    <ns0:row r="1553" ht="42" customHeight="1">
      <ns0:c r="A1553" s="19" t="inlineStr">
        <ns0:is>
          <ns0:t>285</ns0:t>
        </ns0:is>
      </ns0:c>
      <ns0:c r="B1553" s="19" t="inlineStr">
        <ns0:is>
          <ns0:t>rq2_role</ns0:t>
        </ns0:is>
      </ns0:c>
      <ns0:c r="C1553" s="19" t="inlineStr"/>
      <ns0:c r="D1553" s="19" t="inlineStr">
        <ns0:is>
          <ns0:t>Research characterization</ns0:t>
        </ns0:is>
      </ns0:c>
      <ns0:c r="E1553" s="19" t="inlineStr">
        <ns0:is>
          <ns0:t>Transcriptomic gene selection followed by network toxicology and docking; no deep-learning component or deployed clinical decision.</ns0:t>
        </ns0:is>
      </ns0:c>
      <ns0:c r="F1553" s="19" t="inlineStr">
        <ns0:is>
          <ns0:t>https://doi.org/10.1016/j.ecoenv.2025.118233</ns0:t>
        </ns0:is>
      </ns0:c>
      <ns0:c r="G1553" s="19" t="inlineStr">
        <ns0:is>
          <ns0:t>ChatGPT-assisted evidence recharting, 2026-09-08</ns0:t>
        </ns0:is>
      </ns0:c>
    </ns0:row>
    <ns0:row r="1554" ht="42" customHeight="1">
      <ns0:c r="A1554" s="21" t="inlineStr">
        <ns0:is>
          <ns0:t>285</ns0:t>
        </ns0:is>
      </ns0:c>
      <ns0:c r="B1554" s="21" t="inlineStr">
        <ns0:is>
          <ns0:t>decision_timing</ns0:t>
        </ns0:is>
      </ns0:c>
      <ns0:c r="C1554" s="21" t="inlineStr"/>
      <ns0:c r="D1554" s="21" t="inlineStr">
        <ns0:is>
          <ns0:t>Not observed in assessed sources</ns0:t>
        </ns0:is>
      </ns0:c>
      <ns0:c r="E1554" s="21" t="inlineStr">
        <ns0:is>
          <ns0:t>Transcriptomic gene selection followed by network toxicology and docking; no deep-learning component or deployed clinical decision.</ns0:t>
        </ns0:is>
      </ns0:c>
      <ns0:c r="F1554" s="21" t="inlineStr">
        <ns0:is>
          <ns0:t>https://doi.org/10.1016/j.ecoenv.2025.118233</ns0:t>
        </ns0:is>
      </ns0:c>
      <ns0:c r="G1554" s="21" t="inlineStr">
        <ns0:is>
          <ns0:t>ChatGPT-assisted evidence recharting, 2026-09-08</ns0:t>
        </ns0:is>
      </ns0:c>
    </ns0:row>
    <ns0:row r="1555" ht="42" customHeight="1">
      <ns0:c r="A1555" s="19" t="inlineStr">
        <ns0:is>
          <ns0:t>286</ns0:t>
        </ns0:is>
      </ns0:c>
      <ns0:c r="B1555" s="19" t="inlineStr">
        <ns0:is>
          <ns0:t>data_source_primary</ns0:t>
        </ns0:is>
      </ns0:c>
      <ns0:c r="C1555" s="19" t="inlineStr">
        <ns0:is>
          <ns0:t>Physiological signals</ns0:t>
        </ns0:is>
      </ns0:c>
      <ns0:c r="D1555" s="19" t="inlineStr">
        <ns0:is>
          <ns0:t>Neuroimaging</ns0:t>
        </ns0:is>
      </ns0:c>
      <ns0:c r="E1555" s="19" t="inlineStr">
        <ns0:is>
          <ns0:t>Deep residual network on ABIDE fMRI with optimization; testing two repositories does not itself show independent transfer.</ns0:t>
        </ns0:is>
      </ns0:c>
      <ns0:c r="F1555" s="19" t="inlineStr">
        <ns0:is>
          <ns0:t>https://doi.org/10.1111/exsy.13040</ns0:t>
        </ns0:is>
      </ns0:c>
      <ns0:c r="G1555" s="19" t="inlineStr">
        <ns0:is>
          <ns0:t>ChatGPT-assisted evidence recharting, 2026-09-08</ns0:t>
        </ns0:is>
      </ns0:c>
    </ns0:row>
    <ns0:row r="1556" ht="42" customHeight="1">
      <ns0:c r="A1556" s="21" t="inlineStr">
        <ns0:is>
          <ns0:t>286</ns0:t>
        </ns0:is>
      </ns0:c>
      <ns0:c r="B1556" s="21" t="inlineStr">
        <ns0:is>
          <ns0:t>algorithm_main</ns0:t>
        </ns0:is>
      </ns0:c>
      <ns0:c r="C1556" s="21" t="inlineStr">
        <ns0:is>
          <ns0:t>Other / Not clear</ns0:t>
        </ns0:is>
      </ns0:c>
      <ns0:c r="D1556" s="21" t="inlineStr">
        <ns0:is>
          <ns0:t>CNN</ns0:t>
        </ns0:is>
      </ns0:c>
      <ns0:c r="E1556" s="21" t="inlineStr">
        <ns0:is>
          <ns0:t>Deep residual network on ABIDE fMRI with optimization; testing two repositories does not itself show independent transfer.</ns0:t>
        </ns0:is>
      </ns0:c>
      <ns0:c r="F1556" s="21" t="inlineStr">
        <ns0:is>
          <ns0:t>https://doi.org/10.1111/exsy.13040</ns0:t>
        </ns0:is>
      </ns0:c>
      <ns0:c r="G1556" s="21" t="inlineStr">
        <ns0:is>
          <ns0:t>ChatGPT-assisted evidence recharting, 2026-09-08</ns0:t>
        </ns0:is>
      </ns0:c>
    </ns0:row>
    <ns0:row r="1557" ht="42" customHeight="1">
      <ns0:c r="A1557" s="19" t="inlineStr">
        <ns0:is>
          <ns0:t>286</ns0:t>
        </ns0:is>
      </ns0:c>
      <ns0:c r="B1557" s="19" t="inlineStr">
        <ns0:is>
          <ns0:t>rq2_status</ns0:t>
        </ns0:is>
      </ns0:c>
      <ns0:c r="C1557" s="19" t="inlineStr">
        <ns0:is>
          <ns0:t>Not adjudicated in master</ns0:t>
        </ns0:is>
      </ns0:c>
      <ns0:c r="D1557" s="19" t="inlineStr">
        <ns0:is>
          <ns0:t>Research only</ns0:t>
        </ns0:is>
      </ns0:c>
      <ns0:c r="E1557" s="19" t="inlineStr">
        <ns0:is>
          <ns0:t>Deep residual network on ABIDE fMRI with optimization; testing two repositories does not itself show independent transfer.</ns0:t>
        </ns0:is>
      </ns0:c>
      <ns0:c r="F1557" s="19" t="inlineStr">
        <ns0:is>
          <ns0:t>https://doi.org/10.1111/exsy.13040</ns0:t>
        </ns0:is>
      </ns0:c>
      <ns0:c r="G1557" s="19" t="inlineStr">
        <ns0:is>
          <ns0:t>ChatGPT-assisted evidence recharting, 2026-09-08</ns0:t>
        </ns0:is>
      </ns0:c>
    </ns0:row>
    <ns0:row r="1558" ht="42" customHeight="1">
      <ns0:c r="A1558" s="21" t="inlineStr">
        <ns0:is>
          <ns0:t>286</ns0:t>
        </ns0:is>
      </ns0:c>
      <ns0:c r="B1558" s="21" t="inlineStr">
        <ns0:is>
          <ns0:t>rq2_role</ns0:t>
        </ns0:is>
      </ns0:c>
      <ns0:c r="C1558" s="21" t="inlineStr"/>
      <ns0:c r="D1558" s="21" t="inlineStr">
        <ns0:is>
          <ns0:t>Automated measurement/classification</ns0:t>
        </ns0:is>
      </ns0:c>
      <ns0:c r="E1558" s="21" t="inlineStr">
        <ns0:is>
          <ns0:t>Deep residual network on ABIDE fMRI with optimization; testing two repositories does not itself show independent transfer.</ns0:t>
        </ns0:is>
      </ns0:c>
      <ns0:c r="F1558" s="21" t="inlineStr">
        <ns0:is>
          <ns0:t>https://doi.org/10.1111/exsy.13040</ns0:t>
        </ns0:is>
      </ns0:c>
      <ns0:c r="G1558" s="21" t="inlineStr">
        <ns0:is>
          <ns0:t>ChatGPT-assisted evidence recharting, 2026-09-08</ns0:t>
        </ns0:is>
      </ns0:c>
    </ns0:row>
    <ns0:row r="1559" ht="42" customHeight="1">
      <ns0:c r="A1559" s="19" t="inlineStr">
        <ns0:is>
          <ns0:t>286</ns0:t>
        </ns0:is>
      </ns0:c>
      <ns0:c r="B1559" s="19" t="inlineStr">
        <ns0:is>
          <ns0:t>decision_timing</ns0:t>
        </ns0:is>
      </ns0:c>
      <ns0:c r="C1559" s="19" t="inlineStr"/>
      <ns0:c r="D1559" s="19" t="inlineStr">
        <ns0:is>
          <ns0:t>Not observed in assessed sources</ns0:t>
        </ns0:is>
      </ns0:c>
      <ns0:c r="E1559" s="19" t="inlineStr">
        <ns0:is>
          <ns0:t>Deep residual network on ABIDE fMRI with optimization; testing two repositories does not itself show independent transfer.</ns0:t>
        </ns0:is>
      </ns0:c>
      <ns0:c r="F1559" s="19" t="inlineStr">
        <ns0:is>
          <ns0:t>https://doi.org/10.1111/exsy.13040</ns0:t>
        </ns0:is>
      </ns0:c>
      <ns0:c r="G1559" s="19" t="inlineStr">
        <ns0:is>
          <ns0:t>ChatGPT-assisted evidence recharting, 2026-09-08</ns0:t>
        </ns0:is>
      </ns0:c>
    </ns0:row>
    <ns0:row r="1560" ht="42" customHeight="1">
      <ns0:c r="A1560" s="21" t="inlineStr">
        <ns0:is>
          <ns0:t>287</ns0:t>
        </ns0:is>
      </ns0:c>
      <ns0:c r="B1560" s="21" t="inlineStr">
        <ns0:is>
          <ns0:t>stage_primary</ns0:t>
        </ns0:is>
      </ns0:c>
      <ns0:c r="C1560" s="21" t="inlineStr">
        <ns0:is>
          <ns0:t>Prescreening</ns0:t>
        </ns0:is>
      </ns0:c>
      <ns0:c r="D1560" s="21" t="inlineStr">
        <ns0:is>
          <ns0:t>Not specified</ns0:t>
        </ns0:is>
      </ns0:c>
      <ns0:c r="E1560" s="21" t="inlineStr">
        <ns0:is>
          <ns0:t>forecASD uses stacked random forests for gene prioritization, not clinical prescreening or deep learning. Independent gene-level cohorts test generalization.</ns0:t>
        </ns0:is>
      </ns0:c>
      <ns0:c r="F1560" s="21" t="inlineStr">
        <ns0:is>
          <ns0:t>https://www.nature.com/articles/s41598-020-61288-5</ns0:t>
        </ns0:is>
      </ns0:c>
      <ns0:c r="G1560" s="21" t="inlineStr">
        <ns0:is>
          <ns0:t>ChatGPT-assisted evidence recharting, 2026-09-08</ns0:t>
        </ns0:is>
      </ns0:c>
    </ns0:row>
    <ns0:row r="1561" ht="42" customHeight="1">
      <ns0:c r="A1561" s="19" t="inlineStr">
        <ns0:is>
          <ns0:t>287</ns0:t>
        </ns0:is>
      </ns0:c>
      <ns0:c r="B1561" s="19" t="inlineStr">
        <ns0:is>
          <ns0:t>ai_type</ns0:t>
        </ns0:is>
      </ns0:c>
      <ns0:c r="C1561" s="19" t="inlineStr">
        <ns0:is>
          <ns0:t>Deep Learning</ns0:t>
        </ns0:is>
      </ns0:c>
      <ns0:c r="D1561" s="19" t="inlineStr">
        <ns0:is>
          <ns0:t>Machine Learning</ns0:t>
        </ns0:is>
      </ns0:c>
      <ns0:c r="E1561" s="19" t="inlineStr">
        <ns0:is>
          <ns0:t>forecASD uses stacked random forests for gene prioritization, not clinical prescreening or deep learning. Independent gene-level cohorts test generalization.</ns0:t>
        </ns0:is>
      </ns0:c>
      <ns0:c r="F1561" s="19" t="inlineStr">
        <ns0:is>
          <ns0:t>https://www.nature.com/articles/s41598-020-61288-5</ns0:t>
        </ns0:is>
      </ns0:c>
      <ns0:c r="G1561" s="19" t="inlineStr">
        <ns0:is>
          <ns0:t>ChatGPT-assisted evidence recharting, 2026-09-08</ns0:t>
        </ns0:is>
      </ns0:c>
    </ns0:row>
    <ns0:row r="1562" ht="42" customHeight="1">
      <ns0:c r="A1562" s="21" t="inlineStr">
        <ns0:is>
          <ns0:t>287</ns0:t>
        </ns0:is>
      </ns0:c>
      <ns0:c r="B1562" s="21" t="inlineStr">
        <ns0:is>
          <ns0:t>data_source_primary</ns0:t>
        </ns0:is>
      </ns0:c>
      <ns0:c r="C1562" s="21" t="inlineStr">
        <ns0:is>
          <ns0:t>Not specified</ns0:t>
        </ns0:is>
      </ns0:c>
      <ns0:c r="D1562" s="21" t="inlineStr">
        <ns0:is>
          <ns0:t>Biological/omics</ns0:t>
        </ns0:is>
      </ns0:c>
      <ns0:c r="E1562" s="21" t="inlineStr">
        <ns0:is>
          <ns0:t>forecASD uses stacked random forests for gene prioritization, not clinical prescreening or deep learning. Independent gene-level cohorts test generalization.</ns0:t>
        </ns0:is>
      </ns0:c>
      <ns0:c r="F1562" s="21" t="inlineStr">
        <ns0:is>
          <ns0:t>https://www.nature.com/articles/s41598-020-61288-5</ns0:t>
        </ns0:is>
      </ns0:c>
      <ns0:c r="G1562" s="21" t="inlineStr">
        <ns0:is>
          <ns0:t>ChatGPT-assisted evidence recharting, 2026-09-08</ns0:t>
        </ns0:is>
      </ns0:c>
    </ns0:row>
    <ns0:row r="1563" ht="42" customHeight="1">
      <ns0:c r="A1563" s="19" t="inlineStr">
        <ns0:is>
          <ns0:t>287</ns0:t>
        </ns0:is>
      </ns0:c>
      <ns0:c r="B1563" s="19" t="inlineStr">
        <ns0:is>
          <ns0:t>algorithm_main</ns0:t>
        </ns0:is>
      </ns0:c>
      <ns0:c r="C1563" s="19" t="inlineStr">
        <ns0:is>
          <ns0:t>Other / Not clear</ns0:t>
        </ns0:is>
      </ns0:c>
      <ns0:c r="D1563" s="19" t="inlineStr">
        <ns0:is>
          <ns0:t>Random forest</ns0:t>
        </ns0:is>
      </ns0:c>
      <ns0:c r="E1563" s="19" t="inlineStr">
        <ns0:is>
          <ns0:t>forecASD uses stacked random forests for gene prioritization, not clinical prescreening or deep learning. Independent gene-level cohorts test generalization.</ns0:t>
        </ns0:is>
      </ns0:c>
      <ns0:c r="F1563" s="19" t="inlineStr">
        <ns0:is>
          <ns0:t>https://www.nature.com/articles/s41598-020-61288-5</ns0:t>
        </ns0:is>
      </ns0:c>
      <ns0:c r="G1563" s="19" t="inlineStr">
        <ns0:is>
          <ns0:t>ChatGPT-assisted evidence recharting, 2026-09-08</ns0:t>
        </ns0:is>
      </ns0:c>
    </ns0:row>
    <ns0:row r="1564" ht="42" customHeight="1">
      <ns0:c r="A1564" s="21" t="inlineStr">
        <ns0:is>
          <ns0:t>287</ns0:t>
        </ns0:is>
      </ns0:c>
      <ns0:c r="B1564" s="21" t="inlineStr">
        <ns0:is>
          <ns0:t>rq2_status</ns0:t>
        </ns0:is>
      </ns0:c>
      <ns0:c r="C1564" s="21" t="inlineStr">
        <ns0:is>
          <ns0:t>Not adjudicated in master</ns0:t>
        </ns0:is>
      </ns0:c>
      <ns0:c r="D1564" s="21" t="inlineStr">
        <ns0:is>
          <ns0:t>Research only</ns0:t>
        </ns0:is>
      </ns0:c>
      <ns0:c r="E1564" s="21" t="inlineStr">
        <ns0:is>
          <ns0:t>forecASD uses stacked random forests for gene prioritization, not clinical prescreening or deep learning. Independent gene-level cohorts test generalization.</ns0:t>
        </ns0:is>
      </ns0:c>
      <ns0:c r="F1564" s="21" t="inlineStr">
        <ns0:is>
          <ns0:t>https://www.nature.com/articles/s41598-020-61288-5</ns0:t>
        </ns0:is>
      </ns0:c>
      <ns0:c r="G1564" s="21" t="inlineStr">
        <ns0:is>
          <ns0:t>ChatGPT-assisted evidence recharting, 2026-09-08</ns0:t>
        </ns0:is>
      </ns0:c>
    </ns0:row>
    <ns0:row r="1565" ht="42" customHeight="1">
      <ns0:c r="A1565" s="19" t="inlineStr">
        <ns0:is>
          <ns0:t>287</ns0:t>
        </ns0:is>
      </ns0:c>
      <ns0:c r="B1565" s="19" t="inlineStr">
        <ns0:is>
          <ns0:t>rq2_role</ns0:t>
        </ns0:is>
      </ns0:c>
      <ns0:c r="C1565" s="19" t="inlineStr"/>
      <ns0:c r="D1565" s="19" t="inlineStr">
        <ns0:is>
          <ns0:t>Research characterization</ns0:t>
        </ns0:is>
      </ns0:c>
      <ns0:c r="E1565" s="19" t="inlineStr">
        <ns0:is>
          <ns0:t>forecASD uses stacked random forests for gene prioritization, not clinical prescreening or deep learning. Independent gene-level cohorts test generalization.</ns0:t>
        </ns0:is>
      </ns0:c>
      <ns0:c r="F1565" s="19" t="inlineStr">
        <ns0:is>
          <ns0:t>https://www.nature.com/articles/s41598-020-61288-5</ns0:t>
        </ns0:is>
      </ns0:c>
      <ns0:c r="G1565" s="19" t="inlineStr">
        <ns0:is>
          <ns0:t>ChatGPT-assisted evidence recharting, 2026-09-08</ns0:t>
        </ns0:is>
      </ns0:c>
    </ns0:row>
    <ns0:row r="1566" ht="42" customHeight="1">
      <ns0:c r="A1566" s="21" t="inlineStr">
        <ns0:is>
          <ns0:t>287</ns0:t>
        </ns0:is>
      </ns0:c>
      <ns0:c r="B1566" s="21" t="inlineStr">
        <ns0:is>
          <ns0:t>decision_timing</ns0:t>
        </ns0:is>
      </ns0:c>
      <ns0:c r="C1566" s="21" t="inlineStr"/>
      <ns0:c r="D1566" s="21" t="inlineStr">
        <ns0:is>
          <ns0:t>Not observed in assessed sources</ns0:t>
        </ns0:is>
      </ns0:c>
      <ns0:c r="E1566" s="21" t="inlineStr">
        <ns0:is>
          <ns0:t>forecASD uses stacked random forests for gene prioritization, not clinical prescreening or deep learning. Independent gene-level cohorts test generalization.</ns0:t>
        </ns0:is>
      </ns0:c>
      <ns0:c r="F1566" s="21" t="inlineStr">
        <ns0:is>
          <ns0:t>https://www.nature.com/articles/s41598-020-61288-5</ns0:t>
        </ns0:is>
      </ns0:c>
      <ns0:c r="G1566" s="21" t="inlineStr">
        <ns0:is>
          <ns0:t>ChatGPT-assisted evidence recharting, 2026-09-08</ns0:t>
        </ns0:is>
      </ns0:c>
    </ns0:row>
    <ns0:row r="1567" ht="42" customHeight="1">
      <ns0:c r="A1567" s="19" t="inlineStr">
        <ns0:is>
          <ns0:t>287</ns0:t>
        </ns0:is>
      </ns0:c>
      <ns0:c r="B1567" s="19" t="inlineStr">
        <ns0:is>
          <ns0:t>integrity_status</ns0:t>
        </ns0:is>
      </ns0:c>
      <ns0:c r="C1567" s="19" t="inlineStr">
        <ns0:is>
          <ns0:t>Not recorded</ns0:t>
        </ns0:is>
      </ns0:c>
      <ns0:c r="D1567" s="19" t="inlineStr">
        <ns0:is>
          <ns0:t>Author correction published; not retracted</ns0:t>
        </ns0:is>
      </ns0:c>
      <ns0:c r="E1567" s="19" t="inlineStr">
        <ns0:is>
          <ns0:t>forecASD uses stacked random forests for gene prioritization, not clinical prescreening or deep learning. Independent gene-level cohorts test generalization.</ns0:t>
        </ns0:is>
      </ns0:c>
      <ns0:c r="F1567" s="19" t="inlineStr">
        <ns0:is>
          <ns0:t>https://www.nature.com/articles/s41598-020-61288-5</ns0:t>
        </ns0:is>
      </ns0:c>
      <ns0:c r="G1567" s="19" t="inlineStr">
        <ns0:is>
          <ns0:t>ChatGPT-assisted evidence recharting, 2026-09-08</ns0:t>
        </ns0:is>
      </ns0:c>
    </ns0:row>
    <ns0:row r="1568" ht="42" customHeight="1">
      <ns0:c r="A1568" s="21" t="inlineStr">
        <ns0:is>
          <ns0:t>288</ns0:t>
        </ns0:is>
      </ns0:c>
      <ns0:c r="B1568" s="21" t="inlineStr">
        <ns0:is>
          <ns0:t>data_source_primary</ns0:t>
        </ns0:is>
      </ns0:c>
      <ns0:c r="C1568" s="21" t="inlineStr">
        <ns0:is>
          <ns0:t>Physiological signals</ns0:t>
        </ns0:is>
      </ns0:c>
      <ns0:c r="D1568" s="21" t="inlineStr">
        <ns0:is>
          <ns0:t>Behavioral images/video/gaze/movement</ns0:t>
        </ns0:is>
      </ns0:c>
      <ns0:c r="E1568" s="21" t="inlineStr">
        <ns0:is>
          <ns0:t>Behavioral head-motion angles and rates; decision tree best classifier is explicit.</ns0:t>
        </ns0:is>
      </ns0:c>
      <ns0:c r="F1568" s="21" t="inlineStr">
        <ns0:is>
          <ns0:t>https://doi.org/10.1007/s10803-021-05179-2</ns0:t>
        </ns0:is>
      </ns0:c>
      <ns0:c r="G1568" s="21" t="inlineStr">
        <ns0:is>
          <ns0:t>ChatGPT-assisted evidence recharting, 2026-09-08</ns0:t>
        </ns0:is>
      </ns0:c>
    </ns0:row>
    <ns0:row r="1569" ht="42" customHeight="1">
      <ns0:c r="A1569" s="19" t="inlineStr">
        <ns0:is>
          <ns0:t>288</ns0:t>
        </ns0:is>
      </ns0:c>
      <ns0:c r="B1569" s="19" t="inlineStr">
        <ns0:is>
          <ns0:t>algorithm_main</ns0:t>
        </ns0:is>
      </ns0:c>
      <ns0:c r="C1569" s="19" t="inlineStr">
        <ns0:is>
          <ns0:t>Decision Tree</ns0:t>
        </ns0:is>
      </ns0:c>
      <ns0:c r="D1569" s="19" t="inlineStr">
        <ns0:is>
          <ns0:t>Decision tree</ns0:t>
        </ns0:is>
      </ns0:c>
      <ns0:c r="E1569" s="19" t="inlineStr">
        <ns0:is>
          <ns0:t>Behavioral head-motion angles and rates; decision tree best classifier is explicit.</ns0:t>
        </ns0:is>
      </ns0:c>
      <ns0:c r="F1569" s="19" t="inlineStr">
        <ns0:is>
          <ns0:t>https://doi.org/10.1007/s10803-021-05179-2</ns0:t>
        </ns0:is>
      </ns0:c>
      <ns0:c r="G1569" s="19" t="inlineStr">
        <ns0:is>
          <ns0:t>ChatGPT-assisted evidence recharting, 2026-09-08</ns0:t>
        </ns0:is>
      </ns0:c>
    </ns0:row>
    <ns0:row r="1570" ht="42" customHeight="1">
      <ns0:c r="A1570" s="21" t="inlineStr">
        <ns0:is>
          <ns0:t>288</ns0:t>
        </ns0:is>
      </ns0:c>
      <ns0:c r="B1570" s="21" t="inlineStr">
        <ns0:is>
          <ns0:t>rq2_status</ns0:t>
        </ns0:is>
      </ns0:c>
      <ns0:c r="C1570" s="21" t="inlineStr">
        <ns0:is>
          <ns0:t>Not adjudicated in master</ns0:t>
        </ns0:is>
      </ns0:c>
      <ns0:c r="D1570" s="21" t="inlineStr">
        <ns0:is>
          <ns0:t>Research only</ns0:t>
        </ns0:is>
      </ns0:c>
      <ns0:c r="E1570" s="21" t="inlineStr">
        <ns0:is>
          <ns0:t>Behavioral head-motion angles and rates; decision tree best classifier is explicit.</ns0:t>
        </ns0:is>
      </ns0:c>
      <ns0:c r="F1570" s="21" t="inlineStr">
        <ns0:is>
          <ns0:t>https://doi.org/10.1007/s10803-021-05179-2</ns0:t>
        </ns0:is>
      </ns0:c>
      <ns0:c r="G1570" s="21" t="inlineStr">
        <ns0:is>
          <ns0:t>ChatGPT-assisted evidence recharting, 2026-09-08</ns0:t>
        </ns0:is>
      </ns0:c>
    </ns0:row>
    <ns0:row r="1571" ht="42" customHeight="1">
      <ns0:c r="A1571" s="19" t="inlineStr">
        <ns0:is>
          <ns0:t>288</ns0:t>
        </ns0:is>
      </ns0:c>
      <ns0:c r="B1571" s="19" t="inlineStr">
        <ns0:is>
          <ns0:t>rq2_role</ns0:t>
        </ns0:is>
      </ns0:c>
      <ns0:c r="C1571" s="19" t="inlineStr"/>
      <ns0:c r="D1571" s="19" t="inlineStr">
        <ns0:is>
          <ns0:t>Automated measurement/classification</ns0:t>
        </ns0:is>
      </ns0:c>
      <ns0:c r="E1571" s="19" t="inlineStr">
        <ns0:is>
          <ns0:t>Behavioral head-motion angles and rates; decision tree best classifier is explicit.</ns0:t>
        </ns0:is>
      </ns0:c>
      <ns0:c r="F1571" s="19" t="inlineStr">
        <ns0:is>
          <ns0:t>https://doi.org/10.1007/s10803-021-05179-2</ns0:t>
        </ns0:is>
      </ns0:c>
      <ns0:c r="G1571" s="19" t="inlineStr">
        <ns0:is>
          <ns0:t>ChatGPT-assisted evidence recharting, 2026-09-08</ns0:t>
        </ns0:is>
      </ns0:c>
    </ns0:row>
    <ns0:row r="1572" ht="42" customHeight="1">
      <ns0:c r="A1572" s="21" t="inlineStr">
        <ns0:is>
          <ns0:t>288</ns0:t>
        </ns0:is>
      </ns0:c>
      <ns0:c r="B1572" s="21" t="inlineStr">
        <ns0:is>
          <ns0:t>decision_timing</ns0:t>
        </ns0:is>
      </ns0:c>
      <ns0:c r="C1572" s="21" t="inlineStr"/>
      <ns0:c r="D1572" s="21" t="inlineStr">
        <ns0:is>
          <ns0:t>Not observed in assessed sources</ns0:t>
        </ns0:is>
      </ns0:c>
      <ns0:c r="E1572" s="21" t="inlineStr">
        <ns0:is>
          <ns0:t>Behavioral head-motion angles and rates; decision tree best classifier is explicit.</ns0:t>
        </ns0:is>
      </ns0:c>
      <ns0:c r="F1572" s="21" t="inlineStr">
        <ns0:is>
          <ns0:t>https://doi.org/10.1007/s10803-021-05179-2</ns0:t>
        </ns0:is>
      </ns0:c>
      <ns0:c r="G1572" s="21" t="inlineStr">
        <ns0:is>
          <ns0:t>ChatGPT-assisted evidence recharting, 2026-09-08</ns0:t>
        </ns0:is>
      </ns0:c>
    </ns0:row>
    <ns0:row r="1573" ht="57" customHeight="1">
      <ns0:c r="A1573" s="19" t="inlineStr">
        <ns0:is>
          <ns0:t>289</ns0:t>
        </ns0:is>
      </ns0:c>
      <ns0:c r="B1573" s="19" t="inlineStr">
        <ns0:is>
          <ns0:t>data_source_primary</ns0:t>
        </ns0:is>
      </ns0:c>
      <ns0:c r="C1573" s="19" t="inlineStr">
        <ns0:is>
          <ns0:t>Not specified</ns0:t>
        </ns0:is>
      </ns0:c>
      <ns0:c r="D1573" s="19" t="inlineStr">
        <ns0:is>
          <ns0:t>Biological/omics</ns0:t>
        </ns0:is>
      </ns0:c>
      <ns0:c r="E1573" s="19" t="inlineStr">
        <ns0:is>
          <ns0:t>Serum biomarker combined regression models are explicitly compared for concurrent ASD/severity; this is exploratory prediction, not a prospectively validated decision system.
Exploratory regression biomarker model without out-of-sample evaluation; exclude in restrictive ML/clinical-endpoint sensitivity if protocol requires validated classifiers.</ns0:t>
        </ns0:is>
      </ns0:c>
      <ns0:c r="F1573" s="19" t="inlineStr">
        <ns0:is>
          <ns0:t>https://doi.org/10.1016/j.neuro.2018.11.015</ns0:t>
        </ns0:is>
      </ns0:c>
      <ns0:c r="G1573" s="19" t="inlineStr">
        <ns0:is>
          <ns0:t>ChatGPT-assisted evidence recharting, 2026-09-08</ns0:t>
        </ns0:is>
      </ns0:c>
    </ns0:row>
    <ns0:row r="1574" ht="57" customHeight="1">
      <ns0:c r="A1574" s="21" t="inlineStr">
        <ns0:is>
          <ns0:t>289</ns0:t>
        </ns0:is>
      </ns0:c>
      <ns0:c r="B1574" s="21" t="inlineStr">
        <ns0:is>
          <ns0:t>algorithm_main</ns0:t>
        </ns0:is>
      </ns0:c>
      <ns0:c r="C1574" s="21" t="inlineStr">
        <ns0:is>
          <ns0:t>Logistic Regression</ns0:t>
        </ns0:is>
      </ns0:c>
      <ns0:c r="D1574" s="21" t="inlineStr">
        <ns0:is>
          <ns0:t>Logistic regression</ns0:t>
        </ns0:is>
      </ns0:c>
      <ns0:c r="E1574" s="21" t="inlineStr">
        <ns0:is>
          <ns0:t>Serum biomarker combined regression models are explicitly compared for concurrent ASD/severity; this is exploratory prediction, not a prospectively validated decision system.
Exploratory regression biomarker model without out-of-sample evaluation; exclude in restrictive ML/clinical-endpoint sensitivity if protocol requires validated classifiers.</ns0:t>
        </ns0:is>
      </ns0:c>
      <ns0:c r="F1574" s="21" t="inlineStr">
        <ns0:is>
          <ns0:t>https://doi.org/10.1016/j.neuro.2018.11.015</ns0:t>
        </ns0:is>
      </ns0:c>
      <ns0:c r="G1574" s="21" t="inlineStr">
        <ns0:is>
          <ns0:t>ChatGPT-assisted evidence recharting, 2026-09-08</ns0:t>
        </ns0:is>
      </ns0:c>
    </ns0:row>
    <ns0:row r="1575" ht="57" customHeight="1">
      <ns0:c r="A1575" s="19" t="inlineStr">
        <ns0:is>
          <ns0:t>289</ns0:t>
        </ns0:is>
      </ns0:c>
      <ns0:c r="B1575" s="19" t="inlineStr">
        <ns0:is>
          <ns0:t>rq2_status</ns0:t>
        </ns0:is>
      </ns0:c>
      <ns0:c r="C1575" s="19" t="inlineStr">
        <ns0:is>
          <ns0:t>Not adjudicated in master</ns0:t>
        </ns0:is>
      </ns0:c>
      <ns0:c r="D1575" s="19" t="inlineStr">
        <ns0:is>
          <ns0:t>Research only</ns0:t>
        </ns0:is>
      </ns0:c>
      <ns0:c r="E1575" s="19" t="inlineStr">
        <ns0:is>
          <ns0:t>Serum biomarker combined regression models are explicitly compared for concurrent ASD/severity; this is exploratory prediction, not a prospectively validated decision system.
Exploratory regression biomarker model without out-of-sample evaluation; exclude in restrictive ML/clinical-endpoint sensitivity if protocol requires validated classifiers.</ns0:t>
        </ns0:is>
      </ns0:c>
      <ns0:c r="F1575" s="19" t="inlineStr">
        <ns0:is>
          <ns0:t>https://doi.org/10.1016/j.neuro.2018.11.015</ns0:t>
        </ns0:is>
      </ns0:c>
      <ns0:c r="G1575" s="19" t="inlineStr">
        <ns0:is>
          <ns0:t>ChatGPT-assisted evidence recharting, 2026-09-08</ns0:t>
        </ns0:is>
      </ns0:c>
    </ns0:row>
    <ns0:row r="1576" ht="57" customHeight="1">
      <ns0:c r="A1576" s="21" t="inlineStr">
        <ns0:is>
          <ns0:t>289</ns0:t>
        </ns0:is>
      </ns0:c>
      <ns0:c r="B1576" s="21" t="inlineStr">
        <ns0:is>
          <ns0:t>rq2_role</ns0:t>
        </ns0:is>
      </ns0:c>
      <ns0:c r="C1576" s="21" t="inlineStr"/>
      <ns0:c r="D1576" s="21" t="inlineStr">
        <ns0:is>
          <ns0:t>Automated measurement/classification</ns0:t>
        </ns0:is>
      </ns0:c>
      <ns0:c r="E1576" s="21" t="inlineStr">
        <ns0:is>
          <ns0:t>Serum biomarker combined regression models are explicitly compared for concurrent ASD/severity; this is exploratory prediction, not a prospectively validated decision system.
Exploratory regression biomarker model without out-of-sample evaluation; exclude in restrictive ML/clinical-endpoint sensitivity if protocol requires validated classifiers.</ns0:t>
        </ns0:is>
      </ns0:c>
      <ns0:c r="F1576" s="21" t="inlineStr">
        <ns0:is>
          <ns0:t>https://doi.org/10.1016/j.neuro.2018.11.015</ns0:t>
        </ns0:is>
      </ns0:c>
      <ns0:c r="G1576" s="21" t="inlineStr">
        <ns0:is>
          <ns0:t>ChatGPT-assisted evidence recharting, 2026-09-08</ns0:t>
        </ns0:is>
      </ns0:c>
    </ns0:row>
    <ns0:row r="1577" ht="57" customHeight="1">
      <ns0:c r="A1577" s="19" t="inlineStr">
        <ns0:is>
          <ns0:t>289</ns0:t>
        </ns0:is>
      </ns0:c>
      <ns0:c r="B1577" s="19" t="inlineStr">
        <ns0:is>
          <ns0:t>decision_timing</ns0:t>
        </ns0:is>
      </ns0:c>
      <ns0:c r="C1577" s="19" t="inlineStr"/>
      <ns0:c r="D1577" s="19" t="inlineStr">
        <ns0:is>
          <ns0:t>Not observed in assessed sources</ns0:t>
        </ns0:is>
      </ns0:c>
      <ns0:c r="E1577" s="19" t="inlineStr">
        <ns0:is>
          <ns0:t>Serum biomarker combined regression models are explicitly compared for concurrent ASD/severity; this is exploratory prediction, not a prospectively validated decision system.
Exploratory regression biomarker model without out-of-sample evaluation; exclude in restrictive ML/clinical-endpoint sensitivity if protocol requires validated classifiers.</ns0:t>
        </ns0:is>
      </ns0:c>
      <ns0:c r="F1577" s="19" t="inlineStr">
        <ns0:is>
          <ns0:t>https://doi.org/10.1016/j.neuro.2018.11.015</ns0:t>
        </ns0:is>
      </ns0:c>
      <ns0:c r="G1577" s="19" t="inlineStr">
        <ns0:is>
          <ns0:t>ChatGPT-assisted evidence recharting, 2026-09-08</ns0:t>
        </ns0:is>
      </ns0:c>
    </ns0:row>
    <ns0:row r="1578" ht="57" customHeight="1">
      <ns0:c r="A1578" s="21" t="inlineStr">
        <ns0:is>
          <ns0:t>290</ns0:t>
        </ns0:is>
      </ns0:c>
      <ns0:c r="B1578" s="21" t="inlineStr">
        <ns0:is>
          <ns0:t>ai_type</ns0:t>
        </ns0:is>
      </ns0:c>
      <ns0:c r="C1578" s="21" t="inlineStr">
        <ns0:is>
          <ns0:t>Deep Learning</ns0:t>
        </ns0:is>
      </ns0:c>
      <ns0:c r="D1578" s="21" t="inlineStr">
        <ns0:is>
          <ns0:t>Machine Learning</ns0:t>
        </ns0:is>
      </ns0:c>
      <ns0:c r="E1578" s="21" t="inlineStr">
        <ns0:is>
          <ns0:t>PTEN mutation structural dynamics and ML classify molecular effects, not patients; broad molecular ASD scope only.
Human gene/mutation-derived molecular modeling with dynamics simulations; no direct patient-level clinical outcome.</ns0:t>
        </ns0:is>
      </ns0:c>
      <ns0:c r="F1578" s="21" t="inlineStr">
        <ns0:is>
          <ns0:t>https://doi.org/10.1021/acs.jcim.5c00134</ns0:t>
        </ns0:is>
      </ns0:c>
      <ns0:c r="G1578" s="21" t="inlineStr">
        <ns0:is>
          <ns0:t>ChatGPT-assisted evidence recharting, 2026-09-08</ns0:t>
        </ns0:is>
      </ns0:c>
    </ns0:row>
    <ns0:row r="1579" ht="57" customHeight="1">
      <ns0:c r="A1579" s="19" t="inlineStr">
        <ns0:is>
          <ns0:t>290</ns0:t>
        </ns0:is>
      </ns0:c>
      <ns0:c r="B1579" s="19" t="inlineStr">
        <ns0:is>
          <ns0:t>data_source_primary</ns0:t>
        </ns0:is>
      </ns0:c>
      <ns0:c r="C1579" s="19" t="inlineStr">
        <ns0:is>
          <ns0:t>Not specified</ns0:t>
        </ns0:is>
      </ns0:c>
      <ns0:c r="D1579" s="19" t="inlineStr">
        <ns0:is>
          <ns0:t>Biological/omics</ns0:t>
        </ns0:is>
      </ns0:c>
      <ns0:c r="E1579" s="19" t="inlineStr">
        <ns0:is>
          <ns0:t>PTEN mutation structural dynamics and ML classify molecular effects, not patients; broad molecular ASD scope only.
Human gene/mutation-derived molecular modeling with dynamics simulations; no direct patient-level clinical outcome.</ns0:t>
        </ns0:is>
      </ns0:c>
      <ns0:c r="F1579" s="19" t="inlineStr">
        <ns0:is>
          <ns0:t>https://doi.org/10.1021/acs.jcim.5c00134</ns0:t>
        </ns0:is>
      </ns0:c>
      <ns0:c r="G1579" s="19" t="inlineStr">
        <ns0:is>
          <ns0:t>ChatGPT-assisted evidence recharting, 2026-09-08</ns0:t>
        </ns0:is>
      </ns0:c>
    </ns0:row>
    <ns0:row r="1580" ht="57" customHeight="1">
      <ns0:c r="A1580" s="21" t="inlineStr">
        <ns0:is>
          <ns0:t>290</ns0:t>
        </ns0:is>
      </ns0:c>
      <ns0:c r="B1580" s="21" t="inlineStr">
        <ns0:is>
          <ns0:t>algorithm_main</ns0:t>
        </ns0:is>
      </ns0:c>
      <ns0:c r="C1580" s="21" t="inlineStr">
        <ns0:is>
          <ns0:t>Not clear</ns0:t>
        </ns0:is>
      </ns0:c>
      <ns0:c r="D1580" s="21" t="inlineStr">
        <ns0:is>
          <ns0:t>Not specified</ns0:t>
        </ns0:is>
      </ns0:c>
      <ns0:c r="E1580" s="21" t="inlineStr">
        <ns0:is>
          <ns0:t>PTEN mutation structural dynamics and ML classify molecular effects, not patients; broad molecular ASD scope only.
Human gene/mutation-derived molecular modeling with dynamics simulations; no direct patient-level clinical outcome.</ns0:t>
        </ns0:is>
      </ns0:c>
      <ns0:c r="F1580" s="21" t="inlineStr">
        <ns0:is>
          <ns0:t>https://doi.org/10.1021/acs.jcim.5c00134</ns0:t>
        </ns0:is>
      </ns0:c>
      <ns0:c r="G1580" s="21" t="inlineStr">
        <ns0:is>
          <ns0:t>ChatGPT-assisted evidence recharting, 2026-09-08</ns0:t>
        </ns0:is>
      </ns0:c>
    </ns0:row>
    <ns0:row r="1581" ht="57" customHeight="1">
      <ns0:c r="A1581" s="19" t="inlineStr">
        <ns0:is>
          <ns0:t>290</ns0:t>
        </ns0:is>
      </ns0:c>
      <ns0:c r="B1581" s="19" t="inlineStr">
        <ns0:is>
          <ns0:t>rq2_status</ns0:t>
        </ns0:is>
      </ns0:c>
      <ns0:c r="C1581" s="19" t="inlineStr">
        <ns0:is>
          <ns0:t>Not adjudicated in master</ns0:t>
        </ns0:is>
      </ns0:c>
      <ns0:c r="D1581" s="19" t="inlineStr">
        <ns0:is>
          <ns0:t>Research only</ns0:t>
        </ns0:is>
      </ns0:c>
      <ns0:c r="E1581" s="19" t="inlineStr">
        <ns0:is>
          <ns0:t>PTEN mutation structural dynamics and ML classify molecular effects, not patients; broad molecular ASD scope only.
Human gene/mutation-derived molecular modeling with dynamics simulations; no direct patient-level clinical outcome.</ns0:t>
        </ns0:is>
      </ns0:c>
      <ns0:c r="F1581" s="19" t="inlineStr">
        <ns0:is>
          <ns0:t>https://doi.org/10.1021/acs.jcim.5c00134</ns0:t>
        </ns0:is>
      </ns0:c>
      <ns0:c r="G1581" s="19" t="inlineStr">
        <ns0:is>
          <ns0:t>ChatGPT-assisted evidence recharting, 2026-09-08</ns0:t>
        </ns0:is>
      </ns0:c>
    </ns0:row>
    <ns0:row r="1582" ht="57" customHeight="1">
      <ns0:c r="A1582" s="21" t="inlineStr">
        <ns0:is>
          <ns0:t>290</ns0:t>
        </ns0:is>
      </ns0:c>
      <ns0:c r="B1582" s="21" t="inlineStr">
        <ns0:is>
          <ns0:t>rq2_role</ns0:t>
        </ns0:is>
      </ns0:c>
      <ns0:c r="C1582" s="21" t="inlineStr"/>
      <ns0:c r="D1582" s="21" t="inlineStr">
        <ns0:is>
          <ns0:t>Research characterization</ns0:t>
        </ns0:is>
      </ns0:c>
      <ns0:c r="E1582" s="21" t="inlineStr">
        <ns0:is>
          <ns0:t>PTEN mutation structural dynamics and ML classify molecular effects, not patients; broad molecular ASD scope only.
Human gene/mutation-derived molecular modeling with dynamics simulations; no direct patient-level clinical outcome.</ns0:t>
        </ns0:is>
      </ns0:c>
      <ns0:c r="F1582" s="21" t="inlineStr">
        <ns0:is>
          <ns0:t>https://doi.org/10.1021/acs.jcim.5c00134</ns0:t>
        </ns0:is>
      </ns0:c>
      <ns0:c r="G1582" s="21" t="inlineStr">
        <ns0:is>
          <ns0:t>ChatGPT-assisted evidence recharting, 2026-09-08</ns0:t>
        </ns0:is>
      </ns0:c>
    </ns0:row>
    <ns0:row r="1583" ht="57" customHeight="1">
      <ns0:c r="A1583" s="19" t="inlineStr">
        <ns0:is>
          <ns0:t>290</ns0:t>
        </ns0:is>
      </ns0:c>
      <ns0:c r="B1583" s="19" t="inlineStr">
        <ns0:is>
          <ns0:t>decision_timing</ns0:t>
        </ns0:is>
      </ns0:c>
      <ns0:c r="C1583" s="19" t="inlineStr"/>
      <ns0:c r="D1583" s="19" t="inlineStr">
        <ns0:is>
          <ns0:t>Not observed in assessed sources</ns0:t>
        </ns0:is>
      </ns0:c>
      <ns0:c r="E1583" s="19" t="inlineStr">
        <ns0:is>
          <ns0:t>PTEN mutation structural dynamics and ML classify molecular effects, not patients; broad molecular ASD scope only.
Human gene/mutation-derived molecular modeling with dynamics simulations; no direct patient-level clinical outcome.</ns0:t>
        </ns0:is>
      </ns0:c>
      <ns0:c r="F1583" s="19" t="inlineStr">
        <ns0:is>
          <ns0:t>https://doi.org/10.1021/acs.jcim.5c00134</ns0:t>
        </ns0:is>
      </ns0:c>
      <ns0:c r="G1583" s="19" t="inlineStr">
        <ns0:is>
          <ns0:t>ChatGPT-assisted evidence recharting, 2026-09-08</ns0:t>
        </ns0:is>
      </ns0:c>
    </ns0:row>
    <ns0:row r="1584" ht="57" customHeight="1">
      <ns0:c r="A1584" s="21" t="inlineStr">
        <ns0:is>
          <ns0:t>290</ns0:t>
        </ns0:is>
      </ns0:c>
      <ns0:c r="B1584" s="21" t="inlineStr">
        <ns0:is>
          <ns0:t>xai_strict</ns0:t>
        </ns0:is>
      </ns0:c>
      <ns0:c r="C1584" s="21" t="inlineStr">
        <ns0:is>
          <ns0:t>Reported</ns0:t>
        </ns0:is>
      </ns0:c>
      <ns0:c r="D1584" s="21" t="inlineStr">
        <ns0:is>
          <ns0:t>Not reported in assessed sources</ns0:t>
        </ns0:is>
      </ns0:c>
      <ns0:c r="E1584" s="21" t="inlineStr">
        <ns0:is>
          <ns0:t>PTEN mutation structural dynamics and ML classify molecular effects, not patients; broad molecular ASD scope only.
Human gene/mutation-derived molecular modeling with dynamics simulations; no direct patient-level clinical outcome.</ns0:t>
        </ns0:is>
      </ns0:c>
      <ns0:c r="F1584" s="21" t="inlineStr">
        <ns0:is>
          <ns0:t>https://doi.org/10.1021/acs.jcim.5c00134</ns0:t>
        </ns0:is>
      </ns0:c>
      <ns0:c r="G1584" s="21" t="inlineStr">
        <ns0:is>
          <ns0:t>ChatGPT-assisted evidence recharting, 2026-09-08</ns0:t>
        </ns0:is>
      </ns0:c>
    </ns0:row>
    <ns0:row r="1585" ht="57" customHeight="1">
      <ns0:c r="A1585" s="19" t="inlineStr">
        <ns0:is>
          <ns0:t>290</ns0:t>
        </ns0:is>
      </ns0:c>
      <ns0:c r="B1585" s="19" t="inlineStr">
        <ns0:is>
          <ns0:t>xai_partial</ns0:t>
        </ns0:is>
      </ns0:c>
      <ns0:c r="C1585" s="19" t="inlineStr">
        <ns0:is>
          <ns0:t>Not reported in assessed sources</ns0:t>
        </ns0:is>
      </ns0:c>
      <ns0:c r="D1585" s="19" t="inlineStr">
        <ns0:is>
          <ns0:t>Reported</ns0:t>
        </ns0:is>
      </ns0:c>
      <ns0:c r="E1585" s="19" t="inlineStr">
        <ns0:is>
          <ns0:t>PTEN mutation structural dynamics and ML classify molecular effects, not patients; broad molecular ASD scope only.
Human gene/mutation-derived molecular modeling with dynamics simulations; no direct patient-level clinical outcome.</ns0:t>
        </ns0:is>
      </ns0:c>
      <ns0:c r="F1585" s="19" t="inlineStr">
        <ns0:is>
          <ns0:t>https://doi.org/10.1021/acs.jcim.5c00134</ns0:t>
        </ns0:is>
      </ns0:c>
      <ns0:c r="G1585" s="19" t="inlineStr">
        <ns0:is>
          <ns0:t>ChatGPT-assisted evidence recharting, 2026-09-08</ns0:t>
        </ns0:is>
      </ns0:c>
    </ns0:row>
    <ns0:row r="1586" ht="42" customHeight="1">
      <ns0:c r="A1586" s="21" t="inlineStr">
        <ns0:is>
          <ns0:t>291</ns0:t>
        </ns0:is>
      </ns0:c>
      <ns0:c r="B1586" s="21" t="inlineStr">
        <ns0:is>
          <ns0:t>data_source_primary</ns0:t>
        </ns0:is>
      </ns0:c>
      <ns0:c r="C1586" s="21" t="inlineStr">
        <ns0:is>
          <ns0:t>Physiological signals</ns0:t>
        </ns0:is>
      </ns0:c>
      <ns0:c r="D1586" s="21" t="inlineStr">
        <ns0:is>
          <ns0:t>Neuroimaging</ns0:t>
        </ns0:is>
      </ns0:c>
      <ns0:c r="E1586" s="21" t="inlineStr">
        <ns0:is>
          <ns0:t>Dynamic and static BOLD connectivity within a single fMRI source.</ns0:t>
        </ns0:is>
      </ns0:c>
      <ns0:c r="F1586" s="21" t="inlineStr">
        <ns0:is>
          <ns0:t>https://doi.org/10.1016/j.brainresbull.2025.111290</ns0:t>
        </ns0:is>
      </ns0:c>
      <ns0:c r="G1586" s="21" t="inlineStr">
        <ns0:is>
          <ns0:t>ChatGPT-assisted evidence recharting, 2026-09-08</ns0:t>
        </ns0:is>
      </ns0:c>
    </ns0:row>
    <ns0:row r="1587" ht="42" customHeight="1">
      <ns0:c r="A1587" s="19" t="inlineStr">
        <ns0:is>
          <ns0:t>291</ns0:t>
        </ns0:is>
      </ns0:c>
      <ns0:c r="B1587" s="19" t="inlineStr">
        <ns0:is>
          <ns0:t>algorithm_main</ns0:t>
        </ns0:is>
      </ns0:c>
      <ns0:c r="C1587" s="19" t="inlineStr">
        <ns0:is>
          <ns0:t>Other</ns0:t>
        </ns0:is>
      </ns0:c>
      <ns0:c r="D1587" s="19" t="inlineStr">
        <ns0:is>
          <ns0:t>Graph neural network</ns0:t>
        </ns0:is>
      </ns0:c>
      <ns0:c r="E1587" s="19" t="inlineStr">
        <ns0:is>
          <ns0:t>Dynamic and static BOLD connectivity within a single fMRI source.</ns0:t>
        </ns0:is>
      </ns0:c>
      <ns0:c r="F1587" s="19" t="inlineStr">
        <ns0:is>
          <ns0:t>https://doi.org/10.1016/j.brainresbull.2025.111290</ns0:t>
        </ns0:is>
      </ns0:c>
      <ns0:c r="G1587" s="19" t="inlineStr">
        <ns0:is>
          <ns0:t>ChatGPT-assisted evidence recharting, 2026-09-08</ns0:t>
        </ns0:is>
      </ns0:c>
    </ns0:row>
    <ns0:row r="1588" ht="42" customHeight="1">
      <ns0:c r="A1588" s="21" t="inlineStr">
        <ns0:is>
          <ns0:t>291</ns0:t>
        </ns0:is>
      </ns0:c>
      <ns0:c r="B1588" s="21" t="inlineStr">
        <ns0:is>
          <ns0:t>rq2_status</ns0:t>
        </ns0:is>
      </ns0:c>
      <ns0:c r="C1588" s="21" t="inlineStr">
        <ns0:is>
          <ns0:t>Not adjudicated in master</ns0:t>
        </ns0:is>
      </ns0:c>
      <ns0:c r="D1588" s="21" t="inlineStr">
        <ns0:is>
          <ns0:t>Research only</ns0:t>
        </ns0:is>
      </ns0:c>
      <ns0:c r="E1588" s="21" t="inlineStr">
        <ns0:is>
          <ns0:t>Dynamic and static BOLD connectivity within a single fMRI source.</ns0:t>
        </ns0:is>
      </ns0:c>
      <ns0:c r="F1588" s="21" t="inlineStr">
        <ns0:is>
          <ns0:t>https://doi.org/10.1016/j.brainresbull.2025.111290</ns0:t>
        </ns0:is>
      </ns0:c>
      <ns0:c r="G1588" s="21" t="inlineStr">
        <ns0:is>
          <ns0:t>ChatGPT-assisted evidence recharting, 2026-09-08</ns0:t>
        </ns0:is>
      </ns0:c>
    </ns0:row>
    <ns0:row r="1589" ht="42" customHeight="1">
      <ns0:c r="A1589" s="19" t="inlineStr">
        <ns0:is>
          <ns0:t>291</ns0:t>
        </ns0:is>
      </ns0:c>
      <ns0:c r="B1589" s="19" t="inlineStr">
        <ns0:is>
          <ns0:t>rq2_role</ns0:t>
        </ns0:is>
      </ns0:c>
      <ns0:c r="C1589" s="19" t="inlineStr"/>
      <ns0:c r="D1589" s="19" t="inlineStr">
        <ns0:is>
          <ns0:t>Automated measurement/classification</ns0:t>
        </ns0:is>
      </ns0:c>
      <ns0:c r="E1589" s="19" t="inlineStr">
        <ns0:is>
          <ns0:t>Dynamic and static BOLD connectivity within a single fMRI source.</ns0:t>
        </ns0:is>
      </ns0:c>
      <ns0:c r="F1589" s="19" t="inlineStr">
        <ns0:is>
          <ns0:t>https://doi.org/10.1016/j.brainresbull.2025.111290</ns0:t>
        </ns0:is>
      </ns0:c>
      <ns0:c r="G1589" s="19" t="inlineStr">
        <ns0:is>
          <ns0:t>ChatGPT-assisted evidence recharting, 2026-09-08</ns0:t>
        </ns0:is>
      </ns0:c>
    </ns0:row>
    <ns0:row r="1590" ht="42" customHeight="1">
      <ns0:c r="A1590" s="21" t="inlineStr">
        <ns0:is>
          <ns0:t>291</ns0:t>
        </ns0:is>
      </ns0:c>
      <ns0:c r="B1590" s="21" t="inlineStr">
        <ns0:is>
          <ns0:t>decision_timing</ns0:t>
        </ns0:is>
      </ns0:c>
      <ns0:c r="C1590" s="21" t="inlineStr"/>
      <ns0:c r="D1590" s="21" t="inlineStr">
        <ns0:is>
          <ns0:t>Not observed in assessed sources</ns0:t>
        </ns0:is>
      </ns0:c>
      <ns0:c r="E1590" s="21" t="inlineStr">
        <ns0:is>
          <ns0:t>Dynamic and static BOLD connectivity within a single fMRI source.</ns0:t>
        </ns0:is>
      </ns0:c>
      <ns0:c r="F1590" s="21" t="inlineStr">
        <ns0:is>
          <ns0:t>https://doi.org/10.1016/j.brainresbull.2025.111290</ns0:t>
        </ns0:is>
      </ns0:c>
      <ns0:c r="G1590" s="21" t="inlineStr">
        <ns0:is>
          <ns0:t>ChatGPT-assisted evidence recharting, 2026-09-08</ns0:t>
        </ns0:is>
      </ns0:c>
    </ns0:row>
    <ns0:row r="1591" ht="42" customHeight="1">
      <ns0:c r="A1591" s="19" t="inlineStr">
        <ns0:is>
          <ns0:t>292</ns0:t>
        </ns0:is>
      </ns0:c>
      <ns0:c r="B1591" s="19" t="inlineStr">
        <ns0:is>
          <ns0:t>ai_type</ns0:t>
        </ns0:is>
      </ns0:c>
      <ns0:c r="C1591" s="19" t="inlineStr">
        <ns0:is>
          <ns0:t>Hybrid</ns0:t>
        </ns0:is>
      </ns0:c>
      <ns0:c r="D1591" s="19" t="inlineStr">
        <ns0:is>
          <ns0:t>Machine Learning</ns0:t>
        </ns0:is>
      </ns0:c>
      <ns0:c r="E1591" s="19" t="inlineStr">
        <ns0:is>
          <ns0:t>Rare CNVs and annotations with conditional-inference forest; conventional ML, not deep-learning hybrid.</ns0:t>
        </ns0:is>
      </ns0:c>
      <ns0:c r="F1591" s="19" t="inlineStr">
        <ns0:is>
          <ns0:t>https://doi.org/10.1186/1755-8794-8-s1-s7</ns0:t>
        </ns0:is>
      </ns0:c>
      <ns0:c r="G1591" s="19" t="inlineStr">
        <ns0:is>
          <ns0:t>ChatGPT-assisted evidence recharting, 2026-09-08</ns0:t>
        </ns0:is>
      </ns0:c>
    </ns0:row>
    <ns0:row r="1592" ht="42" customHeight="1">
      <ns0:c r="A1592" s="21" t="inlineStr">
        <ns0:is>
          <ns0:t>292</ns0:t>
        </ns0:is>
      </ns0:c>
      <ns0:c r="B1592" s="21" t="inlineStr">
        <ns0:is>
          <ns0:t>data_source_primary</ns0:t>
        </ns0:is>
      </ns0:c>
      <ns0:c r="C1592" s="21" t="inlineStr">
        <ns0:is>
          <ns0:t>Not specified</ns0:t>
        </ns0:is>
      </ns0:c>
      <ns0:c r="D1592" s="21" t="inlineStr">
        <ns0:is>
          <ns0:t>Biological/omics</ns0:t>
        </ns0:is>
      </ns0:c>
      <ns0:c r="E1592" s="21" t="inlineStr">
        <ns0:is>
          <ns0:t>Rare CNVs and annotations with conditional-inference forest; conventional ML, not deep-learning hybrid.</ns0:t>
        </ns0:is>
      </ns0:c>
      <ns0:c r="F1592" s="21" t="inlineStr">
        <ns0:is>
          <ns0:t>https://doi.org/10.1186/1755-8794-8-s1-s7</ns0:t>
        </ns0:is>
      </ns0:c>
      <ns0:c r="G1592" s="21" t="inlineStr">
        <ns0:is>
          <ns0:t>ChatGPT-assisted evidence recharting, 2026-09-08</ns0:t>
        </ns0:is>
      </ns0:c>
    </ns0:row>
    <ns0:row r="1593" ht="42" customHeight="1">
      <ns0:c r="A1593" s="19" t="inlineStr">
        <ns0:is>
          <ns0:t>292</ns0:t>
        </ns0:is>
      </ns0:c>
      <ns0:c r="B1593" s="19" t="inlineStr">
        <ns0:is>
          <ns0:t>algorithm_main</ns0:t>
        </ns0:is>
      </ns0:c>
      <ns0:c r="C1593" s="19" t="inlineStr">
        <ns0:is>
          <ns0:t>Random Forest</ns0:t>
        </ns0:is>
      </ns0:c>
      <ns0:c r="D1593" s="19" t="inlineStr">
        <ns0:is>
          <ns0:t>Random forest</ns0:t>
        </ns0:is>
      </ns0:c>
      <ns0:c r="E1593" s="19" t="inlineStr">
        <ns0:is>
          <ns0:t>Rare CNVs and annotations with conditional-inference forest; conventional ML, not deep-learning hybrid.</ns0:t>
        </ns0:is>
      </ns0:c>
      <ns0:c r="F1593" s="19" t="inlineStr">
        <ns0:is>
          <ns0:t>https://doi.org/10.1186/1755-8794-8-s1-s7</ns0:t>
        </ns0:is>
      </ns0:c>
      <ns0:c r="G1593" s="19" t="inlineStr">
        <ns0:is>
          <ns0:t>ChatGPT-assisted evidence recharting, 2026-09-08</ns0:t>
        </ns0:is>
      </ns0:c>
    </ns0:row>
    <ns0:row r="1594" ht="42" customHeight="1">
      <ns0:c r="A1594" s="21" t="inlineStr">
        <ns0:is>
          <ns0:t>292</ns0:t>
        </ns0:is>
      </ns0:c>
      <ns0:c r="B1594" s="21" t="inlineStr">
        <ns0:is>
          <ns0:t>rq2_status</ns0:t>
        </ns0:is>
      </ns0:c>
      <ns0:c r="C1594" s="21" t="inlineStr">
        <ns0:is>
          <ns0:t>Not adjudicated in master</ns0:t>
        </ns0:is>
      </ns0:c>
      <ns0:c r="D1594" s="21" t="inlineStr">
        <ns0:is>
          <ns0:t>Research only</ns0:t>
        </ns0:is>
      </ns0:c>
      <ns0:c r="E1594" s="21" t="inlineStr">
        <ns0:is>
          <ns0:t>Rare CNVs and annotations with conditional-inference forest; conventional ML, not deep-learning hybrid.</ns0:t>
        </ns0:is>
      </ns0:c>
      <ns0:c r="F1594" s="21" t="inlineStr">
        <ns0:is>
          <ns0:t>https://doi.org/10.1186/1755-8794-8-s1-s7</ns0:t>
        </ns0:is>
      </ns0:c>
      <ns0:c r="G1594" s="21" t="inlineStr">
        <ns0:is>
          <ns0:t>ChatGPT-assisted evidence recharting, 2026-09-08</ns0:t>
        </ns0:is>
      </ns0:c>
    </ns0:row>
    <ns0:row r="1595" ht="42" customHeight="1">
      <ns0:c r="A1595" s="19" t="inlineStr">
        <ns0:is>
          <ns0:t>292</ns0:t>
        </ns0:is>
      </ns0:c>
      <ns0:c r="B1595" s="19" t="inlineStr">
        <ns0:is>
          <ns0:t>rq2_role</ns0:t>
        </ns0:is>
      </ns0:c>
      <ns0:c r="C1595" s="19" t="inlineStr"/>
      <ns0:c r="D1595" s="19" t="inlineStr">
        <ns0:is>
          <ns0:t>Automated measurement/classification</ns0:t>
        </ns0:is>
      </ns0:c>
      <ns0:c r="E1595" s="19" t="inlineStr">
        <ns0:is>
          <ns0:t>Rare CNVs and annotations with conditional-inference forest; conventional ML, not deep-learning hybrid.</ns0:t>
        </ns0:is>
      </ns0:c>
      <ns0:c r="F1595" s="19" t="inlineStr">
        <ns0:is>
          <ns0:t>https://doi.org/10.1186/1755-8794-8-s1-s7</ns0:t>
        </ns0:is>
      </ns0:c>
      <ns0:c r="G1595" s="19" t="inlineStr">
        <ns0:is>
          <ns0:t>ChatGPT-assisted evidence recharting, 2026-09-08</ns0:t>
        </ns0:is>
      </ns0:c>
    </ns0:row>
    <ns0:row r="1596" ht="42" customHeight="1">
      <ns0:c r="A1596" s="21" t="inlineStr">
        <ns0:is>
          <ns0:t>292</ns0:t>
        </ns0:is>
      </ns0:c>
      <ns0:c r="B1596" s="21" t="inlineStr">
        <ns0:is>
          <ns0:t>decision_timing</ns0:t>
        </ns0:is>
      </ns0:c>
      <ns0:c r="C1596" s="21" t="inlineStr"/>
      <ns0:c r="D1596" s="21" t="inlineStr">
        <ns0:is>
          <ns0:t>Not observed in assessed sources</ns0:t>
        </ns0:is>
      </ns0:c>
      <ns0:c r="E1596" s="21" t="inlineStr">
        <ns0:is>
          <ns0:t>Rare CNVs and annotations with conditional-inference forest; conventional ML, not deep-learning hybrid.</ns0:t>
        </ns0:is>
      </ns0:c>
      <ns0:c r="F1596" s="21" t="inlineStr">
        <ns0:is>
          <ns0:t>https://doi.org/10.1186/1755-8794-8-s1-s7</ns0:t>
        </ns0:is>
      </ns0:c>
      <ns0:c r="G1596" s="21" t="inlineStr">
        <ns0:is>
          <ns0:t>ChatGPT-assisted evidence recharting, 2026-09-08</ns0:t>
        </ns0:is>
      </ns0:c>
    </ns0:row>
    <ns0:row r="1597" ht="57" customHeight="1">
      <ns0:c r="A1597" s="19" t="inlineStr">
        <ns0:is>
          <ns0:t>293</ns0:t>
        </ns0:is>
      </ns0:c>
      <ns0:c r="B1597" s="19" t="inlineStr">
        <ns0:is>
          <ns0:t>data_source_primary</ns0:t>
        </ns0:is>
      </ns0:c>
      <ns0:c r="C1597" s="19" t="inlineStr">
        <ns0:is>
          <ns0:t>Image (subtype unresolved)</ns0:t>
        </ns0:is>
      </ns0:c>
      <ns0:c r="D1597" s="19" t="inlineStr">
        <ns0:is>
          <ns0:t>Multiple source categories</ns0:t>
        </ns0:is>
      </ns0:c>
      <ns0:c r="E1597" s="19" t="inlineStr">
        <ns0:is>
          <ns0:t>Multimodal affect/engagement models evaluated on recordings from robot therapy; abstract does not show that model estimates drove robot behavior during therapy.
Two cultures are described; independent held-out-cultural/site testing and real-time feedback use are not established by the available abstract.</ns0:t>
        </ns0:is>
      </ns0:c>
      <ns0:c r="F1597" s="19" t="inlineStr">
        <ns0:is>
          <ns0:t>https://doi.org/10.1126/scirobotics.aao6760</ns0:t>
        </ns0:is>
      </ns0:c>
      <ns0:c r="G1597" s="19" t="inlineStr">
        <ns0:is>
          <ns0:t>ChatGPT-assisted evidence recharting, 2026-09-08</ns0:t>
        </ns0:is>
      </ns0:c>
    </ns0:row>
    <ns0:row r="1598" ht="57" customHeight="1">
      <ns0:c r="A1598" s="21" t="inlineStr">
        <ns0:is>
          <ns0:t>293</ns0:t>
        </ns0:is>
      </ns0:c>
      <ns0:c r="B1598" s="21" t="inlineStr">
        <ns0:is>
          <ns0:t>algorithm_main</ns0:t>
        </ns0:is>
      </ns0:c>
      <ns0:c r="C1598" s="21" t="inlineStr">
        <ns0:is>
          <ns0:t>Other</ns0:t>
        </ns0:is>
      </ns0:c>
      <ns0:c r="D1598" s="21" t="inlineStr">
        <ns0:is>
          <ns0:t>Personalized deep network</ns0:t>
        </ns0:is>
      </ns0:c>
      <ns0:c r="E1598" s="21" t="inlineStr">
        <ns0:is>
          <ns0:t>Multimodal affect/engagement models evaluated on recordings from robot therapy; abstract does not show that model estimates drove robot behavior during therapy.
Two cultures are described; independent held-out-cultural/site testing and real-time feedback use are not established by the available abstract.</ns0:t>
        </ns0:is>
      </ns0:c>
      <ns0:c r="F1598" s="21" t="inlineStr">
        <ns0:is>
          <ns0:t>https://doi.org/10.1126/scirobotics.aao6760</ns0:t>
        </ns0:is>
      </ns0:c>
      <ns0:c r="G1598" s="21" t="inlineStr">
        <ns0:is>
          <ns0:t>ChatGPT-assisted evidence recharting, 2026-09-08</ns0:t>
        </ns0:is>
      </ns0:c>
    </ns0:row>
    <ns0:row r="1599" ht="57" customHeight="1">
      <ns0:c r="A1599" s="19" t="inlineStr">
        <ns0:is>
          <ns0:t>293</ns0:t>
        </ns0:is>
      </ns0:c>
      <ns0:c r="B1599" s="19" t="inlineStr">
        <ns0:is>
          <ns0:t>rq2_status</ns0:t>
        </ns0:is>
      </ns0:c>
      <ns0:c r="C1599" s="19" t="inlineStr">
        <ns0:is>
          <ns0:t>Not adjudicated in master</ns0:t>
        </ns0:is>
      </ns0:c>
      <ns0:c r="D1599" s="19" t="inlineStr">
        <ns0:is>
          <ns0:t>Research only</ns0:t>
        </ns0:is>
      </ns0:c>
      <ns0:c r="E1599" s="19" t="inlineStr">
        <ns0:is>
          <ns0:t>Multimodal affect/engagement models evaluated on recordings from robot therapy; abstract does not show that model estimates drove robot behavior during therapy.
Two cultures are described; independent held-out-cultural/site testing and real-time feedback use are not established by the available abstract.</ns0:t>
        </ns0:is>
      </ns0:c>
      <ns0:c r="F1599" s="19" t="inlineStr">
        <ns0:is>
          <ns0:t>https://doi.org/10.1126/scirobotics.aao6760</ns0:t>
        </ns0:is>
      </ns0:c>
      <ns0:c r="G1599" s="19" t="inlineStr">
        <ns0:is>
          <ns0:t>ChatGPT-assisted evidence recharting, 2026-09-08</ns0:t>
        </ns0:is>
      </ns0:c>
    </ns0:row>
    <ns0:row r="1600" ht="57" customHeight="1">
      <ns0:c r="A1600" s="21" t="inlineStr">
        <ns0:is>
          <ns0:t>293</ns0:t>
        </ns0:is>
      </ns0:c>
      <ns0:c r="B1600" s="21" t="inlineStr">
        <ns0:is>
          <ns0:t>rq2_role</ns0:t>
        </ns0:is>
      </ns0:c>
      <ns0:c r="C1600" s="21" t="inlineStr"/>
      <ns0:c r="D1600" s="21" t="inlineStr">
        <ns0:is>
          <ns0:t>Automated measurement/classification</ns0:t>
        </ns0:is>
      </ns0:c>
      <ns0:c r="E1600" s="21" t="inlineStr">
        <ns0:is>
          <ns0:t>Multimodal affect/engagement models evaluated on recordings from robot therapy; abstract does not show that model estimates drove robot behavior during therapy.
Two cultures are described; independent held-out-cultural/site testing and real-time feedback use are not established by the available abstract.</ns0:t>
        </ns0:is>
      </ns0:c>
      <ns0:c r="F1600" s="21" t="inlineStr">
        <ns0:is>
          <ns0:t>https://doi.org/10.1126/scirobotics.aao6760</ns0:t>
        </ns0:is>
      </ns0:c>
      <ns0:c r="G1600" s="21" t="inlineStr">
        <ns0:is>
          <ns0:t>ChatGPT-assisted evidence recharting, 2026-09-08</ns0:t>
        </ns0:is>
      </ns0:c>
    </ns0:row>
    <ns0:row r="1601" ht="57" customHeight="1">
      <ns0:c r="A1601" s="19" t="inlineStr">
        <ns0:is>
          <ns0:t>293</ns0:t>
        </ns0:is>
      </ns0:c>
      <ns0:c r="B1601" s="19" t="inlineStr">
        <ns0:is>
          <ns0:t>decision_timing</ns0:t>
        </ns0:is>
      </ns0:c>
      <ns0:c r="C1601" s="19" t="inlineStr"/>
      <ns0:c r="D1601" s="19" t="inlineStr">
        <ns0:is>
          <ns0:t>Not observed in assessed sources</ns0:t>
        </ns0:is>
      </ns0:c>
      <ns0:c r="E1601" s="19" t="inlineStr">
        <ns0:is>
          <ns0:t>Multimodal affect/engagement models evaluated on recordings from robot therapy; abstract does not show that model estimates drove robot behavior during therapy.
Two cultures are described; independent held-out-cultural/site testing and real-time feedback use are not established by the available abstract.</ns0:t>
        </ns0:is>
      </ns0:c>
      <ns0:c r="F1601" s="19" t="inlineStr">
        <ns0:is>
          <ns0:t>https://doi.org/10.1126/scirobotics.aao6760</ns0:t>
        </ns0:is>
      </ns0:c>
      <ns0:c r="G1601" s="19" t="inlineStr">
        <ns0:is>
          <ns0:t>ChatGPT-assisted evidence recharting, 2026-09-08</ns0:t>
        </ns0:is>
      </ns0:c>
    </ns0:row>
    <ns0:row r="1602" ht="57" customHeight="1">
      <ns0:c r="A1602" s="21" t="inlineStr">
        <ns0:is>
          <ns0:t>293</ns0:t>
        </ns0:is>
      </ns0:c>
      <ns0:c r="B1602" s="21" t="inlineStr">
        <ns0:is>
          <ns0:t>multisite_dataset</ns0:t>
        </ns0:is>
      </ns0:c>
      <ns0:c r="C1602" s="21" t="inlineStr">
        <ns0:is>
          <ns0:t>Not reported in assessed sources</ns0:t>
        </ns0:is>
      </ns0:c>
      <ns0:c r="D1602" s="21" t="inlineStr">
        <ns0:is>
          <ns0:t>Reported</ns0:t>
        </ns0:is>
      </ns0:c>
      <ns0:c r="E1602" s="21" t="inlineStr">
        <ns0:is>
          <ns0:t>Multimodal affect/engagement models evaluated on recordings from robot therapy; abstract does not show that model estimates drove robot behavior during therapy.
Two cultures are described; independent held-out-cultural/site testing and real-time feedback use are not established by the available abstract.</ns0:t>
        </ns0:is>
      </ns0:c>
      <ns0:c r="F1602" s="21" t="inlineStr">
        <ns0:is>
          <ns0:t>https://doi.org/10.1126/scirobotics.aao6760</ns0:t>
        </ns0:is>
      </ns0:c>
      <ns0:c r="G1602" s="21" t="inlineStr">
        <ns0:is>
          <ns0:t>ChatGPT-assisted evidence recharting, 2026-09-08</ns0:t>
        </ns0:is>
      </ns0:c>
    </ns0:row>
    <ns0:row r="1603" ht="57" customHeight="1">
      <ns0:c r="A1603" s="19" t="inlineStr">
        <ns0:is>
          <ns0:t>293</ns0:t>
        </ns0:is>
      </ns0:c>
      <ns0:c r="B1603" s="19" t="inlineStr">
        <ns0:is>
          <ns0:t>cross_site_robustness</ns0:t>
        </ns0:is>
      </ns0:c>
      <ns0:c r="C1603" s="19" t="inlineStr">
        <ns0:is>
          <ns0:t>Not reported in assessed sources</ns0:t>
        </ns0:is>
      </ns0:c>
      <ns0:c r="D1603" s="19" t="inlineStr">
        <ns0:is>
          <ns0:t>Not ascertainable</ns0:t>
        </ns0:is>
      </ns0:c>
      <ns0:c r="E1603" s="19" t="inlineStr">
        <ns0:is>
          <ns0:t>Multimodal affect/engagement models evaluated on recordings from robot therapy; abstract does not show that model estimates drove robot behavior during therapy.
Two cultures are described; independent held-out-cultural/site testing and real-time feedback use are not established by the available abstract.</ns0:t>
        </ns0:is>
      </ns0:c>
      <ns0:c r="F1603" s="19" t="inlineStr">
        <ns0:is>
          <ns0:t>https://doi.org/10.1126/scirobotics.aao6760</ns0:t>
        </ns0:is>
      </ns0:c>
      <ns0:c r="G1603" s="19" t="inlineStr">
        <ns0:is>
          <ns0:t>ChatGPT-assisted evidence recharting, 2026-09-08</ns0:t>
        </ns0:is>
      </ns0:c>
    </ns0:row>
    <ns0:row r="1604" ht="42" customHeight="1">
      <ns0:c r="A1604" s="21" t="inlineStr">
        <ns0:is>
          <ns0:t>295</ns0:t>
        </ns0:is>
      </ns0:c>
      <ns0:c r="B1604" s="21" t="inlineStr">
        <ns0:is>
          <ns0:t>data_source_primary</ns0:t>
        </ns0:is>
      </ns0:c>
      <ns0:c r="C1604" s="21" t="inlineStr">
        <ns0:is>
          <ns0:t>Not specified</ns0:t>
        </ns0:is>
      </ns0:c>
      <ns0:c r="D1604" s="21" t="inlineStr">
        <ns0:is>
          <ns0:t>Structured clinical/questionnaire data</ns0:t>
        </ns0:is>
      </ns0:c>
      <ns0:c r="E1604" s="21" t="inlineStr">
        <ns0:is>
          <ns0:t>Multiple standardized developmental instruments in high-risk infants predict later ASD outcome; longitudinal data collection is not prospective model deployment.</ns0:t>
        </ns0:is>
      </ns0:c>
      <ns0:c r="F1604" s="21" t="inlineStr">
        <ns0:is>
          <ns0:t>https://doi.org/10.1007/s10803-018-3509-x</ns0:t>
        </ns0:is>
      </ns0:c>
      <ns0:c r="G1604" s="21" t="inlineStr">
        <ns0:is>
          <ns0:t>ChatGPT-assisted evidence recharting, 2026-09-08</ns0:t>
        </ns0:is>
      </ns0:c>
    </ns0:row>
    <ns0:row r="1605" ht="42" customHeight="1">
      <ns0:c r="A1605" s="19" t="inlineStr">
        <ns0:is>
          <ns0:t>295</ns0:t>
        </ns0:is>
      </ns0:c>
      <ns0:c r="B1605" s="19" t="inlineStr">
        <ns0:is>
          <ns0:t>rq2_status</ns0:t>
        </ns0:is>
      </ns0:c>
      <ns0:c r="C1605" s="19" t="inlineStr">
        <ns0:is>
          <ns0:t>Not adjudicated in master</ns0:t>
        </ns0:is>
      </ns0:c>
      <ns0:c r="D1605" s="19" t="inlineStr">
        <ns0:is>
          <ns0:t>Research only</ns0:t>
        </ns0:is>
      </ns0:c>
      <ns0:c r="E1605" s="19" t="inlineStr">
        <ns0:is>
          <ns0:t>Multiple standardized developmental instruments in high-risk infants predict later ASD outcome; longitudinal data collection is not prospective model deployment.</ns0:t>
        </ns0:is>
      </ns0:c>
      <ns0:c r="F1605" s="19" t="inlineStr">
        <ns0:is>
          <ns0:t>https://doi.org/10.1007/s10803-018-3509-x</ns0:t>
        </ns0:is>
      </ns0:c>
      <ns0:c r="G1605" s="19" t="inlineStr">
        <ns0:is>
          <ns0:t>ChatGPT-assisted evidence recharting, 2026-09-08</ns0:t>
        </ns0:is>
      </ns0:c>
    </ns0:row>
    <ns0:row r="1606" ht="42" customHeight="1">
      <ns0:c r="A1606" s="21" t="inlineStr">
        <ns0:is>
          <ns0:t>295</ns0:t>
        </ns0:is>
      </ns0:c>
      <ns0:c r="B1606" s="21" t="inlineStr">
        <ns0:is>
          <ns0:t>rq2_role</ns0:t>
        </ns0:is>
      </ns0:c>
      <ns0:c r="C1606" s="21" t="inlineStr"/>
      <ns0:c r="D1606" s="21" t="inlineStr">
        <ns0:is>
          <ns0:t>Risk/trajectory estimation</ns0:t>
        </ns0:is>
      </ns0:c>
      <ns0:c r="E1606" s="21" t="inlineStr">
        <ns0:is>
          <ns0:t>Multiple standardized developmental instruments in high-risk infants predict later ASD outcome; longitudinal data collection is not prospective model deployment.</ns0:t>
        </ns0:is>
      </ns0:c>
      <ns0:c r="F1606" s="21" t="inlineStr">
        <ns0:is>
          <ns0:t>https://doi.org/10.1007/s10803-018-3509-x</ns0:t>
        </ns0:is>
      </ns0:c>
      <ns0:c r="G1606" s="21" t="inlineStr">
        <ns0:is>
          <ns0:t>ChatGPT-assisted evidence recharting, 2026-09-08</ns0:t>
        </ns0:is>
      </ns0:c>
    </ns0:row>
    <ns0:row r="1607" ht="42" customHeight="1">
      <ns0:c r="A1607" s="19" t="inlineStr">
        <ns0:is>
          <ns0:t>295</ns0:t>
        </ns0:is>
      </ns0:c>
      <ns0:c r="B1607" s="19" t="inlineStr">
        <ns0:is>
          <ns0:t>decision_timing</ns0:t>
        </ns0:is>
      </ns0:c>
      <ns0:c r="C1607" s="19" t="inlineStr"/>
      <ns0:c r="D1607" s="19" t="inlineStr">
        <ns0:is>
          <ns0:t>Not observed in assessed sources</ns0:t>
        </ns0:is>
      </ns0:c>
      <ns0:c r="E1607" s="19" t="inlineStr">
        <ns0:is>
          <ns0:t>Multiple standardized developmental instruments in high-risk infants predict later ASD outcome; longitudinal data collection is not prospective model deployment.</ns0:t>
        </ns0:is>
      </ns0:c>
      <ns0:c r="F1607" s="19" t="inlineStr">
        <ns0:is>
          <ns0:t>https://doi.org/10.1007/s10803-018-3509-x</ns0:t>
        </ns0:is>
      </ns0:c>
      <ns0:c r="G1607" s="19" t="inlineStr">
        <ns0:is>
          <ns0:t>ChatGPT-assisted evidence recharting, 2026-09-08</ns0:t>
        </ns0:is>
      </ns0:c>
    </ns0:row>
    <ns0:row r="1608" ht="42" customHeight="1">
      <ns0:c r="A1608" s="21" t="inlineStr">
        <ns0:is>
          <ns0:t>296</ns0:t>
        </ns0:is>
      </ns0:c>
      <ns0:c r="B1608" s="21" t="inlineStr">
        <ns0:is>
          <ns0:t>data_source_primary</ns0:t>
        </ns0:is>
      </ns0:c>
      <ns0:c r="C1608" s="21" t="inlineStr">
        <ns0:is>
          <ns0:t>Physiological signals</ns0:t>
        </ns0:is>
      </ns0:c>
      <ns0:c r="D1608" s="21" t="inlineStr">
        <ns0:is>
          <ns0:t>Neuroimaging</ns0:t>
        </ns0:is>
      </ns0:c>
      <ns0:c r="E1608" s="21" t="inlineStr">
        <ns0:is>
          <ns0:t>Spatiotemporal fMRI transformer and post-hoc interpretation; all neural branches remain deep learning.</ns0:t>
        </ns0:is>
      </ns0:c>
      <ns0:c r="F1608" s="21" t="inlineStr">
        <ns0:is>
          <ns0:t>https://doi.org/10.1016/j.heliyon.2024.e34245</ns0:t>
        </ns0:is>
      </ns0:c>
      <ns0:c r="G1608" s="21" t="inlineStr">
        <ns0:is>
          <ns0:t>ChatGPT-assisted evidence recharting, 2026-09-08</ns0:t>
        </ns0:is>
      </ns0:c>
    </ns0:row>
    <ns0:row r="1609" ht="42" customHeight="1">
      <ns0:c r="A1609" s="19" t="inlineStr">
        <ns0:is>
          <ns0:t>296</ns0:t>
        </ns0:is>
      </ns0:c>
      <ns0:c r="B1609" s="19" t="inlineStr">
        <ns0:is>
          <ns0:t>rq2_status</ns0:t>
        </ns0:is>
      </ns0:c>
      <ns0:c r="C1609" s="19" t="inlineStr">
        <ns0:is>
          <ns0:t>Not adjudicated in master</ns0:t>
        </ns0:is>
      </ns0:c>
      <ns0:c r="D1609" s="19" t="inlineStr">
        <ns0:is>
          <ns0:t>Research only</ns0:t>
        </ns0:is>
      </ns0:c>
      <ns0:c r="E1609" s="19" t="inlineStr">
        <ns0:is>
          <ns0:t>Spatiotemporal fMRI transformer and post-hoc interpretation; all neural branches remain deep learning.</ns0:t>
        </ns0:is>
      </ns0:c>
      <ns0:c r="F1609" s="19" t="inlineStr">
        <ns0:is>
          <ns0:t>https://doi.org/10.1016/j.heliyon.2024.e34245</ns0:t>
        </ns0:is>
      </ns0:c>
      <ns0:c r="G1609" s="19" t="inlineStr">
        <ns0:is>
          <ns0:t>ChatGPT-assisted evidence recharting, 2026-09-08</ns0:t>
        </ns0:is>
      </ns0:c>
    </ns0:row>
    <ns0:row r="1610" ht="42" customHeight="1">
      <ns0:c r="A1610" s="21" t="inlineStr">
        <ns0:is>
          <ns0:t>296</ns0:t>
        </ns0:is>
      </ns0:c>
      <ns0:c r="B1610" s="21" t="inlineStr">
        <ns0:is>
          <ns0:t>rq2_role</ns0:t>
        </ns0:is>
      </ns0:c>
      <ns0:c r="C1610" s="21" t="inlineStr"/>
      <ns0:c r="D1610" s="21" t="inlineStr">
        <ns0:is>
          <ns0:t>Automated measurement/classification</ns0:t>
        </ns0:is>
      </ns0:c>
      <ns0:c r="E1610" s="21" t="inlineStr">
        <ns0:is>
          <ns0:t>Spatiotemporal fMRI transformer and post-hoc interpretation; all neural branches remain deep learning.</ns0:t>
        </ns0:is>
      </ns0:c>
      <ns0:c r="F1610" s="21" t="inlineStr">
        <ns0:is>
          <ns0:t>https://doi.org/10.1016/j.heliyon.2024.e34245</ns0:t>
        </ns0:is>
      </ns0:c>
      <ns0:c r="G1610" s="21" t="inlineStr">
        <ns0:is>
          <ns0:t>ChatGPT-assisted evidence recharting, 2026-09-08</ns0:t>
        </ns0:is>
      </ns0:c>
    </ns0:row>
    <ns0:row r="1611" ht="42" customHeight="1">
      <ns0:c r="A1611" s="19" t="inlineStr">
        <ns0:is>
          <ns0:t>296</ns0:t>
        </ns0:is>
      </ns0:c>
      <ns0:c r="B1611" s="19" t="inlineStr">
        <ns0:is>
          <ns0:t>decision_timing</ns0:t>
        </ns0:is>
      </ns0:c>
      <ns0:c r="C1611" s="19" t="inlineStr"/>
      <ns0:c r="D1611" s="19" t="inlineStr">
        <ns0:is>
          <ns0:t>Not observed in assessed sources</ns0:t>
        </ns0:is>
      </ns0:c>
      <ns0:c r="E1611" s="19" t="inlineStr">
        <ns0:is>
          <ns0:t>Spatiotemporal fMRI transformer and post-hoc interpretation; all neural branches remain deep learning.</ns0:t>
        </ns0:is>
      </ns0:c>
      <ns0:c r="F1611" s="19" t="inlineStr">
        <ns0:is>
          <ns0:t>https://doi.org/10.1016/j.heliyon.2024.e34245</ns0:t>
        </ns0:is>
      </ns0:c>
      <ns0:c r="G1611" s="19" t="inlineStr">
        <ns0:is>
          <ns0:t>ChatGPT-assisted evidence recharting, 2026-09-08</ns0:t>
        </ns0:is>
      </ns0:c>
    </ns0:row>
    <ns0:row r="1612" ht="42" customHeight="1">
      <ns0:c r="A1612" s="21" t="inlineStr">
        <ns0:is>
          <ns0:t>296</ns0:t>
        </ns0:is>
      </ns0:c>
      <ns0:c r="B1612" s="21" t="inlineStr">
        <ns0:is>
          <ns0:t>xai_partial</ns0:t>
        </ns0:is>
      </ns0:c>
      <ns0:c r="C1612" s="21" t="inlineStr">
        <ns0:is>
          <ns0:t>Not reported in assessed sources</ns0:t>
        </ns0:is>
      </ns0:c>
      <ns0:c r="D1612" s="21" t="inlineStr">
        <ns0:is>
          <ns0:t>Reported</ns0:t>
        </ns0:is>
      </ns0:c>
      <ns0:c r="E1612" s="21" t="inlineStr">
        <ns0:is>
          <ns0:t>Spatiotemporal fMRI transformer and post-hoc interpretation; all neural branches remain deep learning.</ns0:t>
        </ns0:is>
      </ns0:c>
      <ns0:c r="F1612" s="21" t="inlineStr">
        <ns0:is>
          <ns0:t>https://doi.org/10.1016/j.heliyon.2024.e34245</ns0:t>
        </ns0:is>
      </ns0:c>
      <ns0:c r="G1612" s="21" t="inlineStr">
        <ns0:is>
          <ns0:t>ChatGPT-assisted evidence recharting, 2026-09-08</ns0:t>
        </ns0:is>
      </ns0:c>
    </ns0:row>
    <ns0:row r="1613" ht="57" customHeight="1">
      <ns0:c r="A1613" s="19" t="inlineStr">
        <ns0:is>
          <ns0:t>298</ns0:t>
        </ns0:is>
      </ns0:c>
      <ns0:c r="B1613" s="19" t="inlineStr">
        <ns0:is>
          <ns0:t>ai_type</ns0:t>
        </ns0:is>
      </ns0:c>
      <ns0:c r="C1613" s="19" t="inlineStr">
        <ns0:is>
          <ns0:t>Deep Learning</ns0:t>
        </ns0:is>
      </ns0:c>
      <ns0:c r="D1613" s="19" t="inlineStr">
        <ns0:is>
          <ns0:t>Machine Learning</ns0:t>
        </ns0:is>
      </ns0:c>
      <ns0:c r="E1613" s="19" t="inlineStr">
        <ns0:is>
          <ns0:t>Semi-supervised MRI subtyping rather than deep learning. Institutional record identifies conference proceedings; full-report status not established.
Conference record in Biological Psychiatry; complete proceedings paper versus abstract-only publication cannot be established from institutional metadata. Exclude from evidence-restricted sensitivity.</ns0:t>
        </ns0:is>
      </ns0:c>
      <ns0:c r="F1613" s="19" t="inlineStr">
        <ns0:is>
          <ns0:t>https://findanexpert.unimelb.edu.au/scholarlywork/1533141-three-distinct-neuroanatomical-subtypes-of-autism-spectrum-disorder--revealed-via-machine-learning--and-their-similarities-with-schizophrenia-subtypes</ns0:t>
        </ns0:is>
      </ns0:c>
      <ns0:c r="G1613" s="19" t="inlineStr">
        <ns0:is>
          <ns0:t>ChatGPT-assisted evidence recharting, 2026-09-08</ns0:t>
        </ns0:is>
      </ns0:c>
    </ns0:row>
    <ns0:row r="1614" ht="57" customHeight="1">
      <ns0:c r="A1614" s="21" t="inlineStr">
        <ns0:is>
          <ns0:t>298</ns0:t>
        </ns0:is>
      </ns0:c>
      <ns0:c r="B1614" s="21" t="inlineStr">
        <ns0:is>
          <ns0:t>data_source_primary</ns0:t>
        </ns0:is>
      </ns0:c>
      <ns0:c r="C1614" s="21" t="inlineStr">
        <ns0:is>
          <ns0:t>Image (subtype unresolved)</ns0:t>
        </ns0:is>
      </ns0:c>
      <ns0:c r="D1614" s="21" t="inlineStr">
        <ns0:is>
          <ns0:t>Neuroimaging</ns0:t>
        </ns0:is>
      </ns0:c>
      <ns0:c r="E1614" s="21" t="inlineStr">
        <ns0:is>
          <ns0:t>Semi-supervised MRI subtyping rather than deep learning. Institutional record identifies conference proceedings; full-report status not established.
Conference record in Biological Psychiatry; complete proceedings paper versus abstract-only publication cannot be established from institutional metadata. Exclude from evidence-restricted sensitivity.</ns0:t>
        </ns0:is>
      </ns0:c>
      <ns0:c r="F1614" s="21" t="inlineStr">
        <ns0:is>
          <ns0:t>https://findanexpert.unimelb.edu.au/scholarlywork/1533141-three-distinct-neuroanatomical-subtypes-of-autism-spectrum-disorder--revealed-via-machine-learning--and-their-similarities-with-schizophrenia-subtypes</ns0:t>
        </ns0:is>
      </ns0:c>
      <ns0:c r="G1614" s="21" t="inlineStr">
        <ns0:is>
          <ns0:t>ChatGPT-assisted evidence recharting, 2026-09-08</ns0:t>
        </ns0:is>
      </ns0:c>
    </ns0:row>
    <ns0:row r="1615" ht="57" customHeight="1">
      <ns0:c r="A1615" s="19" t="inlineStr">
        <ns0:is>
          <ns0:t>298</ns0:t>
        </ns0:is>
      </ns0:c>
      <ns0:c r="B1615" s="19" t="inlineStr">
        <ns0:is>
          <ns0:t>algorithm_main</ns0:t>
        </ns0:is>
      </ns0:c>
      <ns0:c r="C1615" s="19" t="inlineStr">
        <ns0:is>
          <ns0:t>Other</ns0:t>
        </ns0:is>
      </ns0:c>
      <ns0:c r="D1615" s="19" t="inlineStr">
        <ns0:is>
          <ns0:t>HYDRA / clustering</ns0:t>
        </ns0:is>
      </ns0:c>
      <ns0:c r="E1615" s="19" t="inlineStr">
        <ns0:is>
          <ns0:t>Semi-supervised MRI subtyping rather than deep learning. Institutional record identifies conference proceedings; full-report status not established.
Conference record in Biological Psychiatry; complete proceedings paper versus abstract-only publication cannot be established from institutional metadata. Exclude from evidence-restricted sensitivity.</ns0:t>
        </ns0:is>
      </ns0:c>
      <ns0:c r="F1615" s="19" t="inlineStr">
        <ns0:is>
          <ns0:t>https://findanexpert.unimelb.edu.au/scholarlywork/1533141-three-distinct-neuroanatomical-subtypes-of-autism-spectrum-disorder--revealed-via-machine-learning--and-their-similarities-with-schizophrenia-subtypes</ns0:t>
        </ns0:is>
      </ns0:c>
      <ns0:c r="G1615" s="19" t="inlineStr">
        <ns0:is>
          <ns0:t>ChatGPT-assisted evidence recharting, 2026-09-08</ns0:t>
        </ns0:is>
      </ns0:c>
    </ns0:row>
    <ns0:row r="1616" ht="57" customHeight="1">
      <ns0:c r="A1616" s="21" t="inlineStr">
        <ns0:is>
          <ns0:t>298</ns0:t>
        </ns0:is>
      </ns0:c>
      <ns0:c r="B1616" s="21" t="inlineStr">
        <ns0:is>
          <ns0:t>rq2_status</ns0:t>
        </ns0:is>
      </ns0:c>
      <ns0:c r="C1616" s="21" t="inlineStr">
        <ns0:is>
          <ns0:t>Not adjudicated in master</ns0:t>
        </ns0:is>
      </ns0:c>
      <ns0:c r="D1616" s="21" t="inlineStr">
        <ns0:is>
          <ns0:t>Research only</ns0:t>
        </ns0:is>
      </ns0:c>
      <ns0:c r="E1616" s="21" t="inlineStr">
        <ns0:is>
          <ns0:t>Semi-supervised MRI subtyping rather than deep learning. Institutional record identifies conference proceedings; full-report status not established.
Conference record in Biological Psychiatry; complete proceedings paper versus abstract-only publication cannot be established from institutional metadata. Exclude from evidence-restricted sensitivity.</ns0:t>
        </ns0:is>
      </ns0:c>
      <ns0:c r="F1616" s="21" t="inlineStr">
        <ns0:is>
          <ns0:t>https://findanexpert.unimelb.edu.au/scholarlywork/1533141-three-distinct-neuroanatomical-subtypes-of-autism-spectrum-disorder--revealed-via-machine-learning--and-their-similarities-with-schizophrenia-subtypes</ns0:t>
        </ns0:is>
      </ns0:c>
      <ns0:c r="G1616" s="21" t="inlineStr">
        <ns0:is>
          <ns0:t>ChatGPT-assisted evidence recharting, 2026-09-08</ns0:t>
        </ns0:is>
      </ns0:c>
    </ns0:row>
    <ns0:row r="1617" ht="57" customHeight="1">
      <ns0:c r="A1617" s="19" t="inlineStr">
        <ns0:is>
          <ns0:t>298</ns0:t>
        </ns0:is>
      </ns0:c>
      <ns0:c r="B1617" s="19" t="inlineStr">
        <ns0:is>
          <ns0:t>rq2_role</ns0:t>
        </ns0:is>
      </ns0:c>
      <ns0:c r="C1617" s="19" t="inlineStr"/>
      <ns0:c r="D1617" s="19" t="inlineStr">
        <ns0:is>
          <ns0:t>Research characterization</ns0:t>
        </ns0:is>
      </ns0:c>
      <ns0:c r="E1617" s="19" t="inlineStr">
        <ns0:is>
          <ns0:t>Semi-supervised MRI subtyping rather than deep learning. Institutional record identifies conference proceedings; full-report status not established.
Conference record in Biological Psychiatry; complete proceedings paper versus abstract-only publication cannot be established from institutional metadata. Exclude from evidence-restricted sensitivity.</ns0:t>
        </ns0:is>
      </ns0:c>
      <ns0:c r="F1617" s="19" t="inlineStr">
        <ns0:is>
          <ns0:t>https://findanexpert.unimelb.edu.au/scholarlywork/1533141-three-distinct-neuroanatomical-subtypes-of-autism-spectrum-disorder--revealed-via-machine-learning--and-their-similarities-with-schizophrenia-subtypes</ns0:t>
        </ns0:is>
      </ns0:c>
      <ns0:c r="G1617" s="19" t="inlineStr">
        <ns0:is>
          <ns0:t>ChatGPT-assisted evidence recharting, 2026-09-08</ns0:t>
        </ns0:is>
      </ns0:c>
    </ns0:row>
    <ns0:row r="1618" ht="57" customHeight="1">
      <ns0:c r="A1618" s="21" t="inlineStr">
        <ns0:is>
          <ns0:t>298</ns0:t>
        </ns0:is>
      </ns0:c>
      <ns0:c r="B1618" s="21" t="inlineStr">
        <ns0:is>
          <ns0:t>decision_timing</ns0:t>
        </ns0:is>
      </ns0:c>
      <ns0:c r="C1618" s="21" t="inlineStr"/>
      <ns0:c r="D1618" s="21" t="inlineStr">
        <ns0:is>
          <ns0:t>Not observed in assessed sources</ns0:t>
        </ns0:is>
      </ns0:c>
      <ns0:c r="E1618" s="21" t="inlineStr">
        <ns0:is>
          <ns0:t>Semi-supervised MRI subtyping rather than deep learning. Institutional record identifies conference proceedings; full-report status not established.
Conference record in Biological Psychiatry; complete proceedings paper versus abstract-only publication cannot be established from institutional metadata. Exclude from evidence-restricted sensitivity.</ns0:t>
        </ns0:is>
      </ns0:c>
      <ns0:c r="F1618" s="21" t="inlineStr">
        <ns0:is>
          <ns0:t>https://findanexpert.unimelb.edu.au/scholarlywork/1533141-three-distinct-neuroanatomical-subtypes-of-autism-spectrum-disorder--revealed-via-machine-learning--and-their-similarities-with-schizophrenia-subtypes</ns0:t>
        </ns0:is>
      </ns0:c>
      <ns0:c r="G1618" s="21" t="inlineStr">
        <ns0:is>
          <ns0:t>ChatGPT-assisted evidence recharting, 2026-09-08</ns0:t>
        </ns0:is>
      </ns0:c>
    </ns0:row>
    <ns0:row r="1619" ht="57" customHeight="1">
      <ns0:c r="A1619" s="19" t="inlineStr">
        <ns0:is>
          <ns0:t>298</ns0:t>
        </ns0:is>
      </ns0:c>
      <ns0:c r="B1619" s="19" t="inlineStr">
        <ns0:is>
          <ns0:t>multisource_data</ns0:t>
        </ns0:is>
      </ns0:c>
      <ns0:c r="C1619" s="19" t="inlineStr">
        <ns0:is>
          <ns0:t>Reported</ns0:t>
        </ns0:is>
      </ns0:c>
      <ns0:c r="D1619" s="19" t="inlineStr">
        <ns0:is>
          <ns0:t>Not reported in assessed sources</ns0:t>
        </ns0:is>
      </ns0:c>
      <ns0:c r="E1619" s="19" t="inlineStr">
        <ns0:is>
          <ns0:t>Semi-supervised MRI subtyping rather than deep learning. Institutional record identifies conference proceedings; full-report status not established.
Conference record in Biological Psychiatry; complete proceedings paper versus abstract-only publication cannot be established from institutional metadata. Exclude from evidence-restricted sensitivity.</ns0:t>
        </ns0:is>
      </ns0:c>
      <ns0:c r="F1619" s="19" t="inlineStr">
        <ns0:is>
          <ns0:t>https://findanexpert.unimelb.edu.au/scholarlywork/1533141-three-distinct-neuroanatomical-subtypes-of-autism-spectrum-disorder--revealed-via-machine-learning--and-their-similarities-with-schizophrenia-subtypes</ns0:t>
        </ns0:is>
      </ns0:c>
      <ns0:c r="G1619" s="19" t="inlineStr">
        <ns0:is>
          <ns0:t>ChatGPT-assisted evidence recharting, 2026-09-08</ns0:t>
        </ns0:is>
      </ns0:c>
    </ns0:row>
    <ns0:row r="1620" ht="42" customHeight="1">
      <ns0:c r="A1620" s="21" t="inlineStr">
        <ns0:is>
          <ns0:t>299</ns0:t>
        </ns0:is>
      </ns0:c>
      <ns0:c r="B1620" s="21" t="inlineStr">
        <ns0:is>
          <ns0:t>eligibility</ns0:t>
        </ns0:is>
      </ns0:c>
      <ns0:c r="C1620" s="21" t="inlineStr">
        <ns0:is>
          <ns0:t>Include</ns0:t>
        </ns0:is>
      </ns0:c>
      <ns0:c r="D1620" s="21" t="inlineStr">
        <ns0:is>
          <ns0:t>Exclude</ns0:t>
        </ns0:is>
      </ns0:c>
      <ns0:c r="E1620" s="21" t="inlineStr">
        <ns0:is>
          <ns0:t>Oxytocin-neuron quantification in Cntnap2/Fmr1 knockout mice, without a human ASD evaluation.</ns0:t>
        </ns0:is>
      </ns0:c>
      <ns0:c r="F1620" s="21" t="inlineStr">
        <ns0:is>
          <ns0:t>https://doi.org/10.1111/jne.70092</ns0:t>
        </ns0:is>
      </ns0:c>
      <ns0:c r="G1620" s="21" t="inlineStr">
        <ns0:is>
          <ns0:t>ChatGPT-assisted evidence recharting, 2026-09-08</ns0:t>
        </ns0:is>
      </ns0:c>
    </ns0:row>
    <ns0:row r="1621" ht="42" customHeight="1">
      <ns0:c r="A1621" s="19" t="inlineStr">
        <ns0:is>
          <ns0:t>299</ns0:t>
        </ns0:is>
      </ns0:c>
      <ns0:c r="B1621" s="19" t="inlineStr">
        <ns0:is>
          <ns0:t>stage_primary</ns0:t>
        </ns0:is>
      </ns0:c>
      <ns0:c r="C1621" s="19" t="inlineStr">
        <ns0:is>
          <ns0:t>Not specified</ns0:t>
        </ns0:is>
      </ns0:c>
      <ns0:c r="D1621" s="19" t="inlineStr">
        <ns0:is>
          <ns0:t>Excluded</ns0:t>
        </ns0:is>
      </ns0:c>
      <ns0:c r="E1621" s="19" t="inlineStr">
        <ns0:is>
          <ns0:t>Oxytocin-neuron quantification in Cntnap2/Fmr1 knockout mice, without a human ASD evaluation.</ns0:t>
        </ns0:is>
      </ns0:c>
      <ns0:c r="F1621" s="19" t="inlineStr">
        <ns0:is>
          <ns0:t>https://doi.org/10.1111/jne.70092</ns0:t>
        </ns0:is>
      </ns0:c>
      <ns0:c r="G1621" s="19" t="inlineStr">
        <ns0:is>
          <ns0:t>ChatGPT-assisted evidence recharting, 2026-09-08</ns0:t>
        </ns0:is>
      </ns0:c>
    </ns0:row>
    <ns0:row r="1622" ht="42" customHeight="1">
      <ns0:c r="A1622" s="21" t="inlineStr">
        <ns0:is>
          <ns0:t>299</ns0:t>
        </ns0:is>
      </ns0:c>
      <ns0:c r="B1622" s="21" t="inlineStr">
        <ns0:is>
          <ns0:t>ai_type</ns0:t>
        </ns0:is>
      </ns0:c>
      <ns0:c r="C1622" s="21" t="inlineStr">
        <ns0:is>
          <ns0:t>Deep Learning</ns0:t>
        </ns0:is>
      </ns0:c>
      <ns0:c r="D1622" s="21" t="inlineStr">
        <ns0:is>
          <ns0:t>Excluded</ns0:t>
        </ns0:is>
      </ns0:c>
      <ns0:c r="E1622" s="21" t="inlineStr">
        <ns0:is>
          <ns0:t>Oxytocin-neuron quantification in Cntnap2/Fmr1 knockout mice, without a human ASD evaluation.</ns0:t>
        </ns0:is>
      </ns0:c>
      <ns0:c r="F1622" s="21" t="inlineStr">
        <ns0:is>
          <ns0:t>https://doi.org/10.1111/jne.70092</ns0:t>
        </ns0:is>
      </ns0:c>
      <ns0:c r="G1622" s="21" t="inlineStr">
        <ns0:is>
          <ns0:t>ChatGPT-assisted evidence recharting, 2026-09-08</ns0:t>
        </ns0:is>
      </ns0:c>
    </ns0:row>
    <ns0:row r="1623" ht="42" customHeight="1">
      <ns0:c r="A1623" s="19" t="inlineStr">
        <ns0:is>
          <ns0:t>299</ns0:t>
        </ns0:is>
      </ns0:c>
      <ns0:c r="B1623" s="19" t="inlineStr">
        <ns0:is>
          <ns0:t>data_source_primary</ns0:t>
        </ns0:is>
      </ns0:c>
      <ns0:c r="C1623" s="19" t="inlineStr">
        <ns0:is>
          <ns0:t>Image (subtype unresolved)</ns0:t>
        </ns0:is>
      </ns0:c>
      <ns0:c r="D1623" s="19" t="inlineStr">
        <ns0:is>
          <ns0:t>Excluded</ns0:t>
        </ns0:is>
      </ns0:c>
      <ns0:c r="E1623" s="19" t="inlineStr">
        <ns0:is>
          <ns0:t>Oxytocin-neuron quantification in Cntnap2/Fmr1 knockout mice, without a human ASD evaluation.</ns0:t>
        </ns0:is>
      </ns0:c>
      <ns0:c r="F1623" s="19" t="inlineStr">
        <ns0:is>
          <ns0:t>https://doi.org/10.1111/jne.70092</ns0:t>
        </ns0:is>
      </ns0:c>
      <ns0:c r="G1623" s="19" t="inlineStr">
        <ns0:is>
          <ns0:t>ChatGPT-assisted evidence recharting, 2026-09-08</ns0:t>
        </ns0:is>
      </ns0:c>
    </ns0:row>
    <ns0:row r="1624" ht="42" customHeight="1">
      <ns0:c r="A1624" s="21" t="inlineStr">
        <ns0:is>
          <ns0:t>299</ns0:t>
        </ns0:is>
      </ns0:c>
      <ns0:c r="B1624" s="21" t="inlineStr">
        <ns0:is>
          <ns0:t>algorithm_main</ns0:t>
        </ns0:is>
      </ns0:c>
      <ns0:c r="C1624" s="21" t="inlineStr"/>
      <ns0:c r="D1624" s="21" t="inlineStr">
        <ns0:is>
          <ns0:t>Not specified</ns0:t>
        </ns0:is>
      </ns0:c>
      <ns0:c r="E1624" s="21" t="inlineStr">
        <ns0:is>
          <ns0:t>Oxytocin-neuron quantification in Cntnap2/Fmr1 knockout mice, without a human ASD evaluation.</ns0:t>
        </ns0:is>
      </ns0:c>
      <ns0:c r="F1624" s="21" t="inlineStr">
        <ns0:is>
          <ns0:t>https://doi.org/10.1111/jne.70092</ns0:t>
        </ns0:is>
      </ns0:c>
      <ns0:c r="G1624" s="21" t="inlineStr">
        <ns0:is>
          <ns0:t>ChatGPT-assisted evidence recharting, 2026-09-08</ns0:t>
        </ns0:is>
      </ns0:c>
    </ns0:row>
    <ns0:row r="1625" ht="42" customHeight="1">
      <ns0:c r="A1625" s="19" t="inlineStr">
        <ns0:is>
          <ns0:t>299</ns0:t>
        </ns0:is>
      </ns0:c>
      <ns0:c r="B1625" s="19" t="inlineStr">
        <ns0:is>
          <ns0:t>rq2_status</ns0:t>
        </ns0:is>
      </ns0:c>
      <ns0:c r="C1625" s="19" t="inlineStr">
        <ns0:is>
          <ns0:t>Not adjudicated in master</ns0:t>
        </ns0:is>
      </ns0:c>
      <ns0:c r="D1625" s="19" t="inlineStr">
        <ns0:is>
          <ns0:t>Excluded</ns0:t>
        </ns0:is>
      </ns0:c>
      <ns0:c r="E1625" s="19" t="inlineStr">
        <ns0:is>
          <ns0:t>Oxytocin-neuron quantification in Cntnap2/Fmr1 knockout mice, without a human ASD evaluation.</ns0:t>
        </ns0:is>
      </ns0:c>
      <ns0:c r="F1625" s="19" t="inlineStr">
        <ns0:is>
          <ns0:t>https://doi.org/10.1111/jne.70092</ns0:t>
        </ns0:is>
      </ns0:c>
      <ns0:c r="G1625" s="19" t="inlineStr">
        <ns0:is>
          <ns0:t>ChatGPT-assisted evidence recharting, 2026-09-08</ns0:t>
        </ns0:is>
      </ns0:c>
    </ns0:row>
    <ns0:row r="1626" ht="42" customHeight="1">
      <ns0:c r="A1626" s="21" t="inlineStr">
        <ns0:is>
          <ns0:t>299</ns0:t>
        </ns0:is>
      </ns0:c>
      <ns0:c r="B1626" s="21" t="inlineStr">
        <ns0:is>
          <ns0:t>rq2_role</ns0:t>
        </ns0:is>
      </ns0:c>
      <ns0:c r="C1626" s="21" t="inlineStr"/>
      <ns0:c r="D1626" s="21" t="inlineStr">
        <ns0:is>
          <ns0:t>Excluded</ns0:t>
        </ns0:is>
      </ns0:c>
      <ns0:c r="E1626" s="21" t="inlineStr">
        <ns0:is>
          <ns0:t>Oxytocin-neuron quantification in Cntnap2/Fmr1 knockout mice, without a human ASD evaluation.</ns0:t>
        </ns0:is>
      </ns0:c>
      <ns0:c r="F1626" s="21" t="inlineStr">
        <ns0:is>
          <ns0:t>https://doi.org/10.1111/jne.70092</ns0:t>
        </ns0:is>
      </ns0:c>
      <ns0:c r="G1626" s="21" t="inlineStr">
        <ns0:is>
          <ns0:t>ChatGPT-assisted evidence recharting, 2026-09-08</ns0:t>
        </ns0:is>
      </ns0:c>
    </ns0:row>
    <ns0:row r="1627" ht="42" customHeight="1">
      <ns0:c r="A1627" s="19" t="inlineStr">
        <ns0:is>
          <ns0:t>299</ns0:t>
        </ns0:is>
      </ns0:c>
      <ns0:c r="B1627" s="19" t="inlineStr">
        <ns0:is>
          <ns0:t>decision_timing</ns0:t>
        </ns0:is>
      </ns0:c>
      <ns0:c r="C1627" s="19" t="inlineStr"/>
      <ns0:c r="D1627" s="19" t="inlineStr">
        <ns0:is>
          <ns0:t>Not applicable - excluded</ns0:t>
        </ns0:is>
      </ns0:c>
      <ns0:c r="E1627" s="19" t="inlineStr">
        <ns0:is>
          <ns0:t>Oxytocin-neuron quantification in Cntnap2/Fmr1 knockout mice, without a human ASD evaluation.</ns0:t>
        </ns0:is>
      </ns0:c>
      <ns0:c r="F1627" s="19" t="inlineStr">
        <ns0:is>
          <ns0:t>https://doi.org/10.1111/jne.70092</ns0:t>
        </ns0:is>
      </ns0:c>
      <ns0:c r="G1627" s="19" t="inlineStr">
        <ns0:is>
          <ns0:t>ChatGPT-assisted evidence recharting, 2026-09-08</ns0:t>
        </ns0:is>
      </ns0:c>
    </ns0:row>
    <ns0:row r="1628" ht="42" customHeight="1">
      <ns0:c r="A1628" s="21" t="inlineStr">
        <ns0:is>
          <ns0:t>300</ns0:t>
        </ns0:is>
      </ns0:c>
      <ns0:c r="B1628" s="21" t="inlineStr">
        <ns0:is>
          <ns0:t>data_source_primary</ns0:t>
        </ns0:is>
      </ns0:c>
      <ns0:c r="C1628" s="21" t="inlineStr">
        <ns0:is>
          <ns0:t>Physiological signals</ns0:t>
        </ns0:is>
      </ns0:c>
      <ns0:c r="D1628" s="21" t="inlineStr">
        <ns0:is>
          <ns0:t>Audio/voice</ns0:t>
        </ns0:is>
      </ns0:c>
      <ns0:c r="E1628" s="21" t="inlineStr">
        <ns0:is>
          <ns0:t>Speech is the stated source, not physiological biosignals; available abstract does not establish model family.</ns0:t>
        </ns0:is>
      </ns0:c>
      <ns0:c r="F1628" s="21" t="inlineStr">
        <ns0:is>
          <ns0:t>https://doi.org/10.1007/978-3-031-62273-1_36</ns0:t>
        </ns0:is>
      </ns0:c>
      <ns0:c r="G1628" s="21" t="inlineStr">
        <ns0:is>
          <ns0:t>ChatGPT-assisted evidence recharting, 2026-09-08</ns0:t>
        </ns0:is>
      </ns0:c>
    </ns0:row>
    <ns0:row r="1629" ht="42" customHeight="1">
      <ns0:c r="A1629" s="19" t="inlineStr">
        <ns0:is>
          <ns0:t>300</ns0:t>
        </ns0:is>
      </ns0:c>
      <ns0:c r="B1629" s="19" t="inlineStr">
        <ns0:is>
          <ns0:t>algorithm_main</ns0:t>
        </ns0:is>
      </ns0:c>
      <ns0:c r="C1629" s="19" t="inlineStr">
        <ns0:is>
          <ns0:t>Other / Not clear</ns0:t>
        </ns0:is>
      </ns0:c>
      <ns0:c r="D1629" s="19" t="inlineStr">
        <ns0:is>
          <ns0:t>Not specified</ns0:t>
        </ns0:is>
      </ns0:c>
      <ns0:c r="E1629" s="19" t="inlineStr">
        <ns0:is>
          <ns0:t>Speech is the stated source, not physiological biosignals; available abstract does not establish model family.</ns0:t>
        </ns0:is>
      </ns0:c>
      <ns0:c r="F1629" s="19" t="inlineStr">
        <ns0:is>
          <ns0:t>https://doi.org/10.1007/978-3-031-62273-1_36</ns0:t>
        </ns0:is>
      </ns0:c>
      <ns0:c r="G1629" s="19" t="inlineStr">
        <ns0:is>
          <ns0:t>ChatGPT-assisted evidence recharting, 2026-09-08</ns0:t>
        </ns0:is>
      </ns0:c>
    </ns0:row>
    <ns0:row r="1630" ht="42" customHeight="1">
      <ns0:c r="A1630" s="21" t="inlineStr">
        <ns0:is>
          <ns0:t>300</ns0:t>
        </ns0:is>
      </ns0:c>
      <ns0:c r="B1630" s="21" t="inlineStr">
        <ns0:is>
          <ns0:t>rq2_status</ns0:t>
        </ns0:is>
      </ns0:c>
      <ns0:c r="C1630" s="21" t="inlineStr">
        <ns0:is>
          <ns0:t>Not adjudicated in master</ns0:t>
        </ns0:is>
      </ns0:c>
      <ns0:c r="D1630" s="21" t="inlineStr">
        <ns0:is>
          <ns0:t>Research only</ns0:t>
        </ns0:is>
      </ns0:c>
      <ns0:c r="E1630" s="21" t="inlineStr">
        <ns0:is>
          <ns0:t>Speech is the stated source, not physiological biosignals; available abstract does not establish model family.</ns0:t>
        </ns0:is>
      </ns0:c>
      <ns0:c r="F1630" s="21" t="inlineStr">
        <ns0:is>
          <ns0:t>https://doi.org/10.1007/978-3-031-62273-1_36</ns0:t>
        </ns0:is>
      </ns0:c>
      <ns0:c r="G1630" s="21" t="inlineStr">
        <ns0:is>
          <ns0:t>ChatGPT-assisted evidence recharting, 2026-09-08</ns0:t>
        </ns0:is>
      </ns0:c>
    </ns0:row>
    <ns0:row r="1631" ht="42" customHeight="1">
      <ns0:c r="A1631" s="19" t="inlineStr">
        <ns0:is>
          <ns0:t>300</ns0:t>
        </ns0:is>
      </ns0:c>
      <ns0:c r="B1631" s="19" t="inlineStr">
        <ns0:is>
          <ns0:t>rq2_role</ns0:t>
        </ns0:is>
      </ns0:c>
      <ns0:c r="C1631" s="19" t="inlineStr"/>
      <ns0:c r="D1631" s="19" t="inlineStr">
        <ns0:is>
          <ns0:t>Automated measurement/classification</ns0:t>
        </ns0:is>
      </ns0:c>
      <ns0:c r="E1631" s="19" t="inlineStr">
        <ns0:is>
          <ns0:t>Speech is the stated source, not physiological biosignals; available abstract does not establish model family.</ns0:t>
        </ns0:is>
      </ns0:c>
      <ns0:c r="F1631" s="19" t="inlineStr">
        <ns0:is>
          <ns0:t>https://doi.org/10.1007/978-3-031-62273-1_36</ns0:t>
        </ns0:is>
      </ns0:c>
      <ns0:c r="G1631" s="19" t="inlineStr">
        <ns0:is>
          <ns0:t>ChatGPT-assisted evidence recharting, 2026-09-08</ns0:t>
        </ns0:is>
      </ns0:c>
    </ns0:row>
    <ns0:row r="1632" ht="42" customHeight="1">
      <ns0:c r="A1632" s="21" t="inlineStr">
        <ns0:is>
          <ns0:t>300</ns0:t>
        </ns0:is>
      </ns0:c>
      <ns0:c r="B1632" s="21" t="inlineStr">
        <ns0:is>
          <ns0:t>decision_timing</ns0:t>
        </ns0:is>
      </ns0:c>
      <ns0:c r="C1632" s="21" t="inlineStr"/>
      <ns0:c r="D1632" s="21" t="inlineStr">
        <ns0:is>
          <ns0:t>Not observed in assessed sources</ns0:t>
        </ns0:is>
      </ns0:c>
      <ns0:c r="E1632" s="21" t="inlineStr">
        <ns0:is>
          <ns0:t>Speech is the stated source, not physiological biosignals; available abstract does not establish model family.</ns0:t>
        </ns0:is>
      </ns0:c>
      <ns0:c r="F1632" s="21" t="inlineStr">
        <ns0:is>
          <ns0:t>https://doi.org/10.1007/978-3-031-62273-1_36</ns0:t>
        </ns0:is>
      </ns0:c>
      <ns0:c r="G1632" s="21" t="inlineStr">
        <ns0:is>
          <ns0:t>ChatGPT-assisted evidence recharting, 2026-09-08</ns0:t>
        </ns0:is>
      </ns0:c>
    </ns0:row>
    <ns0:row r="1633" ht="42" customHeight="1">
      <ns0:c r="A1633" s="19" t="inlineStr">
        <ns0:is>
          <ns0:t>new_12</ns0:t>
        </ns0:is>
      </ns0:c>
      <ns0:c r="B1633" s="19" t="inlineStr">
        <ns0:is>
          <ns0:t>data_source_primary</ns0:t>
        </ns0:is>
      </ns0:c>
      <ns0:c r="C1633" s="19" t="inlineStr">
        <ns0:is>
          <ns0:t>Multiple modalities (as coded)</ns0:t>
        </ns0:is>
      </ns0:c>
      <ns0:c r="D1633" s="19" t="inlineStr">
        <ns0:is>
          <ns0:t>Multiple source categories</ns0:t>
        </ns0:is>
      </ns0:c>
      <ns0:c r="E1633" s="19" t="inlineStr">
        <ns0:is>
          <ns0:t>Canvas Dx explicitly integrated into ECHO primary-care diagnostic workflow; prospective observational evaluation, not merely an offline classifier.</ns0:t>
        </ns0:is>
      </ns0:c>
      <ns0:c r="F1633" s="19" t="inlineStr">
        <ns0:is>
          <ns0:t>https://doi.org/10.2196/80733</ns0:t>
        </ns0:is>
      </ns0:c>
      <ns0:c r="G1633" s="19" t="inlineStr">
        <ns0:is>
          <ns0:t>ChatGPT-assisted evidence recharting, 2026-09-08</ns0:t>
        </ns0:is>
      </ns0:c>
    </ns0:row>
    <ns0:row r="1634" ht="42" customHeight="1">
      <ns0:c r="A1634" s="21" t="inlineStr">
        <ns0:is>
          <ns0:t>new_12</ns0:t>
        </ns0:is>
      </ns0:c>
      <ns0:c r="B1634" s="21" t="inlineStr">
        <ns0:is>
          <ns0:t>algorithm_main</ns0:t>
        </ns0:is>
      </ns0:c>
      <ns0:c r="C1634" s="21" t="inlineStr">
        <ns0:is>
          <ns0:t>Canvas Dx proprietary machine-learning device</ns0:t>
        </ns0:is>
      </ns0:c>
      <ns0:c r="D1634" s="21" t="inlineStr">
        <ns0:is>
          <ns0:t>Proprietary ML; family unspecified</ns0:t>
        </ns0:is>
      </ns0:c>
      <ns0:c r="E1634" s="21" t="inlineStr">
        <ns0:is>
          <ns0:t>Canvas Dx explicitly integrated into ECHO primary-care diagnostic workflow; prospective observational evaluation, not merely an offline classifier.</ns0:t>
        </ns0:is>
      </ns0:c>
      <ns0:c r="F1634" s="21" t="inlineStr">
        <ns0:is>
          <ns0:t>https://doi.org/10.2196/80733</ns0:t>
        </ns0:is>
      </ns0:c>
      <ns0:c r="G1634" s="21" t="inlineStr">
        <ns0:is>
          <ns0:t>ChatGPT-assisted evidence recharting, 2026-09-08</ns0:t>
        </ns0:is>
      </ns0:c>
    </ns0:row>
    <ns0:row r="1635" ht="42" customHeight="1">
      <ns0:c r="A1635" s="19" t="inlineStr">
        <ns0:is>
          <ns0:t>new_12</ns0:t>
        </ns0:is>
      </ns0:c>
      <ns0:c r="B1635" s="19" t="inlineStr">
        <ns0:is>
          <ns0:t>rq2_status</ns0:t>
        </ns0:is>
      </ns0:c>
      <ns0:c r="C1635" s="19" t="inlineStr">
        <ns0:is>
          <ns0:t>Confirmed in workflow</ns0:t>
        </ns0:is>
      </ns0:c>
      <ns0:c r="D1635" s="19" t="inlineStr">
        <ns0:is>
          <ns0:t>Evaluated at point of use</ns0:t>
        </ns0:is>
      </ns0:c>
      <ns0:c r="E1635" s="19" t="inlineStr">
        <ns0:is>
          <ns0:t>Canvas Dx explicitly integrated into ECHO primary-care diagnostic workflow; prospective observational evaluation, not merely an offline classifier.</ns0:t>
        </ns0:is>
      </ns0:c>
      <ns0:c r="F1635" s="19" t="inlineStr">
        <ns0:is>
          <ns0:t>https://doi.org/10.2196/80733</ns0:t>
        </ns0:is>
      </ns0:c>
      <ns0:c r="G1635" s="19" t="inlineStr">
        <ns0:is>
          <ns0:t>ChatGPT-assisted evidence recharting, 2026-09-08</ns0:t>
        </ns0:is>
      </ns0:c>
    </ns0:row>
    <ns0:row r="1636" ht="42" customHeight="1">
      <ns0:c r="A1636" s="21" t="inlineStr">
        <ns0:is>
          <ns0:t>new_12</ns0:t>
        </ns0:is>
      </ns0:c>
      <ns0:c r="B1636" s="21" t="inlineStr">
        <ns0:is>
          <ns0:t>rq2_role</ns0:t>
        </ns0:is>
      </ns0:c>
      <ns0:c r="C1636" s="21" t="inlineStr">
        <ns0:is>
          <ns0:t>AI diagnostic device embedded in primary-care evaluation</ns0:t>
        </ns0:is>
      </ns0:c>
      <ns0:c r="D1636" s="21" t="inlineStr">
        <ns0:is>
          <ns0:t>Diagnostic decision support</ns0:t>
        </ns0:is>
      </ns0:c>
      <ns0:c r="E1636" s="21" t="inlineStr">
        <ns0:is>
          <ns0:t>Canvas Dx explicitly integrated into ECHO primary-care diagnostic workflow; prospective observational evaluation, not merely an offline classifier.</ns0:t>
        </ns0:is>
      </ns0:c>
      <ns0:c r="F1636" s="21" t="inlineStr">
        <ns0:is>
          <ns0:t>https://doi.org/10.2196/80733</ns0:t>
        </ns0:is>
      </ns0:c>
      <ns0:c r="G1636" s="21" t="inlineStr">
        <ns0:is>
          <ns0:t>ChatGPT-assisted evidence recharting, 2026-09-08</ns0:t>
        </ns0:is>
      </ns0:c>
    </ns0:row>
    <ns0:row r="1637" ht="42" customHeight="1">
      <ns0:c r="A1637" s="19" t="inlineStr">
        <ns0:is>
          <ns0:t>new_12</ns0:t>
        </ns0:is>
      </ns0:c>
      <ns0:c r="B1637" s="19" t="inlineStr">
        <ns0:is>
          <ns0:t>decision_timing</ns0:t>
        </ns0:is>
      </ns0:c>
      <ns0:c r="C1637" s="19" t="inlineStr"/>
      <ns0:c r="D1637" s="19" t="inlineStr">
        <ns0:is>
          <ns0:t>In-decision</ns0:t>
        </ns0:is>
      </ns0:c>
      <ns0:c r="E1637" s="19" t="inlineStr">
        <ns0:is>
          <ns0:t>Canvas Dx explicitly integrated into ECHO primary-care diagnostic workflow; prospective observational evaluation, not merely an offline classifier.</ns0:t>
        </ns0:is>
      </ns0:c>
      <ns0:c r="F1637" s="19" t="inlineStr">
        <ns0:is>
          <ns0:t>https://doi.org/10.2196/80733</ns0:t>
        </ns0:is>
      </ns0:c>
      <ns0:c r="G1637" s="19" t="inlineStr">
        <ns0:is>
          <ns0:t>ChatGPT-assisted evidence recharting, 2026-09-08</ns0:t>
        </ns0:is>
      </ns0:c>
    </ns0:row>
    <ns0:row r="1638" ht="42" customHeight="1">
      <ns0:c r="A1638" s="21" t="inlineStr">
        <ns0:is>
          <ns0:t>new_12</ns0:t>
        </ns0:is>
      </ns0:c>
      <ns0:c r="B1638" s="21" t="inlineStr">
        <ns0:is>
          <ns0:t>integrity_status</ns0:t>
        </ns0:is>
      </ns0:c>
      <ns0:c r="C1638" s="21" t="inlineStr"/>
      <ns0:c r="D1638" s="21" t="inlineStr">
        <ns0:is>
          <ns0:t>Not recorded</ns0:t>
        </ns0:is>
      </ns0:c>
      <ns0:c r="E1638" s="21" t="inlineStr">
        <ns0:is>
          <ns0:t>Canvas Dx explicitly integrated into ECHO primary-care diagnostic workflow; prospective observational evaluation, not merely an offline classifier.</ns0:t>
        </ns0:is>
      </ns0:c>
      <ns0:c r="F1638" s="21" t="inlineStr">
        <ns0:is>
          <ns0:t>https://doi.org/10.2196/80733</ns0:t>
        </ns0:is>
      </ns0:c>
      <ns0:c r="G1638" s="21" t="inlineStr">
        <ns0:is>
          <ns0:t>ChatGPT-assisted evidence recharting, 2026-09-08</ns0:t>
        </ns0:is>
      </ns0:c>
    </ns0:row>
    <ns0:row r="1639" ht="57" customHeight="1">
      <ns0:c r="A1639" s="19" t="inlineStr">
        <ns0:is>
          <ns0:t>new_13</ns0:t>
        </ns0:is>
      </ns0:c>
      <ns0:c r="B1639" s="19" t="inlineStr">
        <ns0:is>
          <ns0:t>ai_type</ns0:t>
        </ns0:is>
      </ns0:c>
      <ns0:c r="C1639" s="19" t="inlineStr">
        <ns0:is>
          <ns0:t>Hybrid</ns0:t>
        </ns0:is>
      </ns0:c>
      <ns0:c r="D1639" s="19" t="inlineStr">
        <ns0:is>
          <ns0:t>Machine Learning</ns0:t>
        </ns0:is>
      </ns0:c>
      <ns0:c r="E1639" s="19" t="inlineStr">
        <ns0:is>
          <ns0:t>Diet-dependent microbial simulations contextualize ML predictions; no deep neural component establishes a Hybrid category.
Human-derived microbial ML context with in-silico metabolic modeling; exclude in direct clinical-endpoint sensitivity.</ns0:t>
        </ns0:is>
      </ns0:c>
      <ns0:c r="F1639" s="19" t="inlineStr">
        <ns0:is>
          <ns0:t>https://doi.org/10.1016/j.csbj.2025.09.006</ns0:t>
        </ns0:is>
      </ns0:c>
      <ns0:c r="G1639" s="19" t="inlineStr">
        <ns0:is>
          <ns0:t>ChatGPT-assisted evidence recharting, 2026-09-08</ns0:t>
        </ns0:is>
      </ns0:c>
    </ns0:row>
    <ns0:row r="1640" ht="57" customHeight="1">
      <ns0:c r="A1640" s="21" t="inlineStr">
        <ns0:is>
          <ns0:t>new_13</ns0:t>
        </ns0:is>
      </ns0:c>
      <ns0:c r="B1640" s="21" t="inlineStr">
        <ns0:is>
          <ns0:t>algorithm_main</ns0:t>
        </ns0:is>
      </ns0:c>
      <ns0:c r="C1640" s="21" t="inlineStr">
        <ns0:is>
          <ns0:t>Constraint-based microbiome simulation + prior ML classifiers</ns0:t>
        </ns0:is>
      </ns0:c>
      <ns0:c r="D1640" s="21" t="inlineStr">
        <ns0:is>
          <ns0:t>Constraint-based modeling / ML unspecified</ns0:t>
        </ns0:is>
      </ns0:c>
      <ns0:c r="E1640" s="21" t="inlineStr">
        <ns0:is>
          <ns0:t>Diet-dependent microbial simulations contextualize ML predictions; no deep neural component establishes a Hybrid category.
Human-derived microbial ML context with in-silico metabolic modeling; exclude in direct clinical-endpoint sensitivity.</ns0:t>
        </ns0:is>
      </ns0:c>
      <ns0:c r="F1640" s="21" t="inlineStr">
        <ns0:is>
          <ns0:t>https://doi.org/10.1016/j.csbj.2025.09.006</ns0:t>
        </ns0:is>
      </ns0:c>
      <ns0:c r="G1640" s="21" t="inlineStr">
        <ns0:is>
          <ns0:t>ChatGPT-assisted evidence recharting, 2026-09-08</ns0:t>
        </ns0:is>
      </ns0:c>
    </ns0:row>
    <ns0:row r="1641" ht="57" customHeight="1">
      <ns0:c r="A1641" s="19" t="inlineStr">
        <ns0:is>
          <ns0:t>new_13</ns0:t>
        </ns0:is>
      </ns0:c>
      <ns0:c r="B1641" s="19" t="inlineStr">
        <ns0:is>
          <ns0:t>rq2_role</ns0:t>
        </ns0:is>
      </ns0:c>
      <ns0:c r="C1641" s="19" t="inlineStr">
        <ns0:is>
          <ns0:t>No evaluated clinical workflow</ns0:t>
        </ns0:is>
      </ns0:c>
      <ns0:c r="D1641" s="19" t="inlineStr">
        <ns0:is>
          <ns0:t>Research characterization</ns0:t>
        </ns0:is>
      </ns0:c>
      <ns0:c r="E1641" s="19" t="inlineStr">
        <ns0:is>
          <ns0:t>Diet-dependent microbial simulations contextualize ML predictions; no deep neural component establishes a Hybrid category.
Human-derived microbial ML context with in-silico metabolic modeling; exclude in direct clinical-endpoint sensitivity.</ns0:t>
        </ns0:is>
      </ns0:c>
      <ns0:c r="F1641" s="19" t="inlineStr">
        <ns0:is>
          <ns0:t>https://doi.org/10.1016/j.csbj.2025.09.006</ns0:t>
        </ns0:is>
      </ns0:c>
      <ns0:c r="G1641" s="19" t="inlineStr">
        <ns0:is>
          <ns0:t>ChatGPT-assisted evidence recharting, 2026-09-08</ns0:t>
        </ns0:is>
      </ns0:c>
    </ns0:row>
    <ns0:row r="1642" ht="57" customHeight="1">
      <ns0:c r="A1642" s="21" t="inlineStr">
        <ns0:is>
          <ns0:t>new_13</ns0:t>
        </ns0:is>
      </ns0:c>
      <ns0:c r="B1642" s="21" t="inlineStr">
        <ns0:is>
          <ns0:t>decision_timing</ns0:t>
        </ns0:is>
      </ns0:c>
      <ns0:c r="C1642" s="21" t="inlineStr"/>
      <ns0:c r="D1642" s="21" t="inlineStr">
        <ns0:is>
          <ns0:t>Not observed in assessed sources</ns0:t>
        </ns0:is>
      </ns0:c>
      <ns0:c r="E1642" s="21" t="inlineStr">
        <ns0:is>
          <ns0:t>Diet-dependent microbial simulations contextualize ML predictions; no deep neural component establishes a Hybrid category.
Human-derived microbial ML context with in-silico metabolic modeling; exclude in direct clinical-endpoint sensitivity.</ns0:t>
        </ns0:is>
      </ns0:c>
      <ns0:c r="F1642" s="21" t="inlineStr">
        <ns0:is>
          <ns0:t>https://doi.org/10.1016/j.csbj.2025.09.006</ns0:t>
        </ns0:is>
      </ns0:c>
      <ns0:c r="G1642" s="21" t="inlineStr">
        <ns0:is>
          <ns0:t>ChatGPT-assisted evidence recharting, 2026-09-08</ns0:t>
        </ns0:is>
      </ns0:c>
    </ns0:row>
    <ns0:row r="1643" ht="57" customHeight="1">
      <ns0:c r="A1643" s="19" t="inlineStr">
        <ns0:is>
          <ns0:t>new_13</ns0:t>
        </ns0:is>
      </ns0:c>
      <ns0:c r="B1643" s="19" t="inlineStr">
        <ns0:is>
          <ns0:t>integrity_status</ns0:t>
        </ns0:is>
      </ns0:c>
      <ns0:c r="C1643" s="19" t="inlineStr"/>
      <ns0:c r="D1643" s="19" t="inlineStr">
        <ns0:is>
          <ns0:t>Not recorded</ns0:t>
        </ns0:is>
      </ns0:c>
      <ns0:c r="E1643" s="19" t="inlineStr">
        <ns0:is>
          <ns0:t>Diet-dependent microbial simulations contextualize ML predictions; no deep neural component establishes a Hybrid category.
Human-derived microbial ML context with in-silico metabolic modeling; exclude in direct clinical-endpoint sensitivity.</ns0:t>
        </ns0:is>
      </ns0:c>
      <ns0:c r="F1643" s="19" t="inlineStr">
        <ns0:is>
          <ns0:t>https://doi.org/10.1016/j.csbj.2025.09.006</ns0:t>
        </ns0:is>
      </ns0:c>
      <ns0:c r="G1643" s="19" t="inlineStr">
        <ns0:is>
          <ns0:t>ChatGPT-assisted evidence recharting, 2026-09-08</ns0:t>
        </ns0:is>
      </ns0:c>
    </ns0:row>
    <ns0:row r="1644" ht="42" customHeight="1">
      <ns0:c r="A1644" s="21" t="inlineStr">
        <ns0:is>
          <ns0:t>new_35</ns0:t>
        </ns0:is>
      </ns0:c>
      <ns0:c r="B1644" s="21" t="inlineStr">
        <ns0:is>
          <ns0:t>data_source_primary</ns0:t>
        </ns0:is>
      </ns0:c>
      <ns0:c r="C1644" s="21" t="inlineStr">
        <ns0:is>
          <ns0:t>Physiological signals</ns0:t>
        </ns0:is>
      </ns0:c>
      <ns0:c r="D1644" s="21" t="inlineStr">
        <ns0:is>
          <ns0:t>Behavioral images/video/gaze/movement</ns0:t>
        </ns0:is>
      </ns0:c>
      <ns0:c r="E1644" s="21" t="inlineStr">
        <ns0:is>
          <ns0:t>Inertial hand-movement recordings are behavioral motor data, not physiological biosignals; classifier comparison without care deployment.</ns0:t>
        </ns0:is>
      </ns0:c>
      <ns0:c r="F1644" s="21" t="inlineStr">
        <ns0:is>
          <ns0:t>https://doi.org/10.2196/73440</ns0:t>
        </ns0:is>
      </ns0:c>
      <ns0:c r="G1644" s="21" t="inlineStr">
        <ns0:is>
          <ns0:t>ChatGPT-assisted evidence recharting, 2026-09-08</ns0:t>
        </ns0:is>
      </ns0:c>
    </ns0:row>
    <ns0:row r="1645" ht="42" customHeight="1">
      <ns0:c r="A1645" s="19" t="inlineStr">
        <ns0:is>
          <ns0:t>new_35</ns0:t>
        </ns0:is>
      </ns0:c>
      <ns0:c r="B1645" s="19" t="inlineStr">
        <ns0:is>
          <ns0:t>algorithm_main</ns0:t>
        </ns0:is>
      </ns0:c>
      <ns0:c r="C1645" s="19" t="inlineStr">
        <ns0:is>
          <ns0:t>Convolutional autoencoder + LSTM</ns0:t>
        </ns0:is>
      </ns0:c>
      <ns0:c r="D1645" s="19" t="inlineStr">
        <ns0:is>
          <ns0:t>Autoencoder + LSTM</ns0:t>
        </ns0:is>
      </ns0:c>
      <ns0:c r="E1645" s="19" t="inlineStr">
        <ns0:is>
          <ns0:t>Inertial hand-movement recordings are behavioral motor data, not physiological biosignals; classifier comparison without care deployment.</ns0:t>
        </ns0:is>
      </ns0:c>
      <ns0:c r="F1645" s="19" t="inlineStr">
        <ns0:is>
          <ns0:t>https://doi.org/10.2196/73440</ns0:t>
        </ns0:is>
      </ns0:c>
      <ns0:c r="G1645" s="19" t="inlineStr">
        <ns0:is>
          <ns0:t>ChatGPT-assisted evidence recharting, 2026-09-08</ns0:t>
        </ns0:is>
      </ns0:c>
    </ns0:row>
    <ns0:row r="1646" ht="42" customHeight="1">
      <ns0:c r="A1646" s="21" t="inlineStr">
        <ns0:is>
          <ns0:t>new_35</ns0:t>
        </ns0:is>
      </ns0:c>
      <ns0:c r="B1646" s="21" t="inlineStr">
        <ns0:is>
          <ns0:t>rq2_status</ns0:t>
        </ns0:is>
      </ns0:c>
      <ns0:c r="C1646" s="21" t="inlineStr">
        <ns0:is>
          <ns0:t>Proposed only</ns0:t>
        </ns0:is>
      </ns0:c>
      <ns0:c r="D1646" s="21" t="inlineStr">
        <ns0:is>
          <ns0:t>Research only</ns0:t>
        </ns0:is>
      </ns0:c>
      <ns0:c r="E1646" s="21" t="inlineStr">
        <ns0:is>
          <ns0:t>Inertial hand-movement recordings are behavioral motor data, not physiological biosignals; classifier comparison without care deployment.</ns0:t>
        </ns0:is>
      </ns0:c>
      <ns0:c r="F1646" s="21" t="inlineStr">
        <ns0:is>
          <ns0:t>https://doi.org/10.2196/73440</ns0:t>
        </ns0:is>
      </ns0:c>
      <ns0:c r="G1646" s="21" t="inlineStr">
        <ns0:is>
          <ns0:t>ChatGPT-assisted evidence recharting, 2026-09-08</ns0:t>
        </ns0:is>
      </ns0:c>
    </ns0:row>
    <ns0:row r="1647" ht="42" customHeight="1">
      <ns0:c r="A1647" s="19" t="inlineStr">
        <ns0:is>
          <ns0:t>new_35</ns0:t>
        </ns0:is>
      </ns0:c>
      <ns0:c r="B1647" s="19" t="inlineStr">
        <ns0:is>
          <ns0:t>rq2_role</ns0:t>
        </ns0:is>
      </ns0:c>
      <ns0:c r="C1647" s="19" t="inlineStr">
        <ns0:is>
          <ns0:t>No clinical deployment evaluated</ns0:t>
        </ns0:is>
      </ns0:c>
      <ns0:c r="D1647" s="19" t="inlineStr">
        <ns0:is>
          <ns0:t>Automated measurement/classification</ns0:t>
        </ns0:is>
      </ns0:c>
      <ns0:c r="E1647" s="19" t="inlineStr">
        <ns0:is>
          <ns0:t>Inertial hand-movement recordings are behavioral motor data, not physiological biosignals; classifier comparison without care deployment.</ns0:t>
        </ns0:is>
      </ns0:c>
      <ns0:c r="F1647" s="19" t="inlineStr">
        <ns0:is>
          <ns0:t>https://doi.org/10.2196/73440</ns0:t>
        </ns0:is>
      </ns0:c>
      <ns0:c r="G1647" s="19" t="inlineStr">
        <ns0:is>
          <ns0:t>ChatGPT-assisted evidence recharting, 2026-09-08</ns0:t>
        </ns0:is>
      </ns0:c>
    </ns0:row>
    <ns0:row r="1648" ht="42" customHeight="1">
      <ns0:c r="A1648" s="21" t="inlineStr">
        <ns0:is>
          <ns0:t>new_35</ns0:t>
        </ns0:is>
      </ns0:c>
      <ns0:c r="B1648" s="21" t="inlineStr">
        <ns0:is>
          <ns0:t>decision_timing</ns0:t>
        </ns0:is>
      </ns0:c>
      <ns0:c r="C1648" s="21" t="inlineStr"/>
      <ns0:c r="D1648" s="21" t="inlineStr">
        <ns0:is>
          <ns0:t>Not observed in assessed sources</ns0:t>
        </ns0:is>
      </ns0:c>
      <ns0:c r="E1648" s="21" t="inlineStr">
        <ns0:is>
          <ns0:t>Inertial hand-movement recordings are behavioral motor data, not physiological biosignals; classifier comparison without care deployment.</ns0:t>
        </ns0:is>
      </ns0:c>
      <ns0:c r="F1648" s="21" t="inlineStr">
        <ns0:is>
          <ns0:t>https://doi.org/10.2196/73440</ns0:t>
        </ns0:is>
      </ns0:c>
      <ns0:c r="G1648" s="21" t="inlineStr">
        <ns0:is>
          <ns0:t>ChatGPT-assisted evidence recharting, 2026-09-08</ns0:t>
        </ns0:is>
      </ns0:c>
    </ns0:row>
    <ns0:row r="1649" ht="42" customHeight="1">
      <ns0:c r="A1649" s="19" t="inlineStr">
        <ns0:is>
          <ns0:t>new_35</ns0:t>
        </ns0:is>
      </ns0:c>
      <ns0:c r="B1649" s="19" t="inlineStr">
        <ns0:is>
          <ns0:t>integrity_status</ns0:t>
        </ns0:is>
      </ns0:c>
      <ns0:c r="C1649" s="19" t="inlineStr"/>
      <ns0:c r="D1649" s="19" t="inlineStr">
        <ns0:is>
          <ns0:t>Not recorded</ns0:t>
        </ns0:is>
      </ns0:c>
      <ns0:c r="E1649" s="19" t="inlineStr">
        <ns0:is>
          <ns0:t>Inertial hand-movement recordings are behavioral motor data, not physiological biosignals; classifier comparison without care deployment.</ns0:t>
        </ns0:is>
      </ns0:c>
      <ns0:c r="F1649" s="19" t="inlineStr">
        <ns0:is>
          <ns0:t>https://doi.org/10.2196/73440</ns0:t>
        </ns0:is>
      </ns0:c>
      <ns0:c r="G1649" s="19" t="inlineStr">
        <ns0:is>
          <ns0:t>ChatGPT-assisted evidence recharting, 2026-09-08</ns0:t>
        </ns0:is>
      </ns0:c>
    </ns0:row>
    <ns0:row r="1650" ht="57" customHeight="1">
      <ns0:c r="A1650" s="21" t="inlineStr">
        <ns0:is>
          <ns0:t>new_50</ns0:t>
        </ns0:is>
      </ns0:c>
      <ns0:c r="B1650" s="21" t="inlineStr">
        <ns0:is>
          <ns0:t>data_source_primary</ns0:t>
        </ns0:is>
      </ns0:c>
      <ns0:c r="C1650" s="21" t="inlineStr">
        <ns0:is>
          <ns0:t>Structured / tabular data</ns0:t>
        </ns0:is>
      </ns0:c>
      <ns0:c r="D1650" s="21" t="inlineStr">
        <ns0:is>
          <ns0:t>Not specified</ns0:t>
        </ns0:is>
      </ns0:c>
      <ns0:c r="E1650" s="21" t="inlineStr">
        <ns0:is>
          <ns0:t>CognitiveBotics platform used alongside therapy over 12 months. Assessment scales are outcomes and do not establish the AI input modality or architecture.
Nonrandom adherence-defined groups and concurrent standard therapy; do not attribute observed improvement causally to AI.</ns0:t>
        </ns0:is>
      </ns0:c>
      <ns0:c r="F1650" s="21" t="inlineStr">
        <ns0:is>
          <ns0:t>https://doi.org/10.2196/70589</ns0:t>
        </ns0:is>
      </ns0:c>
      <ns0:c r="G1650" s="21" t="inlineStr">
        <ns0:is>
          <ns0:t>ChatGPT-assisted evidence recharting, 2026-09-08</ns0:t>
        </ns0:is>
      </ns0:c>
    </ns0:row>
    <ns0:row r="1651" ht="57" customHeight="1">
      <ns0:c r="A1651" s="19" t="inlineStr">
        <ns0:is>
          <ns0:t>new_50</ns0:t>
        </ns0:is>
      </ns0:c>
      <ns0:c r="B1651" s="19" t="inlineStr">
        <ns0:is>
          <ns0:t>algorithm_main</ns0:t>
        </ns0:is>
      </ns0:c>
      <ns0:c r="C1651" s="19" t="inlineStr">
        <ns0:is>
          <ns0:t>CognitiveBotics AI-based therapy platform</ns0:t>
        </ns0:is>
      </ns0:c>
      <ns0:c r="D1651" s="19" t="inlineStr">
        <ns0:is>
          <ns0:t>Proprietary AI; family unspecified</ns0:t>
        </ns0:is>
      </ns0:c>
      <ns0:c r="E1651" s="19" t="inlineStr">
        <ns0:is>
          <ns0:t>CognitiveBotics platform used alongside therapy over 12 months. Assessment scales are outcomes and do not establish the AI input modality or architecture.
Nonrandom adherence-defined groups and concurrent standard therapy; do not attribute observed improvement causally to AI.</ns0:t>
        </ns0:is>
      </ns0:c>
      <ns0:c r="F1651" s="19" t="inlineStr">
        <ns0:is>
          <ns0:t>https://doi.org/10.2196/70589</ns0:t>
        </ns0:is>
      </ns0:c>
      <ns0:c r="G1651" s="19" t="inlineStr">
        <ns0:is>
          <ns0:t>ChatGPT-assisted evidence recharting, 2026-09-08</ns0:t>
        </ns0:is>
      </ns0:c>
    </ns0:row>
    <ns0:row r="1652" ht="57" customHeight="1">
      <ns0:c r="A1652" s="21" t="inlineStr">
        <ns0:is>
          <ns0:t>new_50</ns0:t>
        </ns0:is>
      </ns0:c>
      <ns0:c r="B1652" s="21" t="inlineStr">
        <ns0:is>
          <ns0:t>rq2_status</ns0:t>
        </ns0:is>
      </ns0:c>
      <ns0:c r="C1652" s="21" t="inlineStr">
        <ns0:is>
          <ns0:t>Confirmed in care delivery</ns0:t>
        </ns0:is>
      </ns0:c>
      <ns0:c r="D1652" s="21" t="inlineStr">
        <ns0:is>
          <ns0:t>Evaluated care-delivery platform</ns0:t>
        </ns0:is>
      </ns0:c>
      <ns0:c r="E1652" s="21" t="inlineStr">
        <ns0:is>
          <ns0:t>CognitiveBotics platform used alongside therapy over 12 months. Assessment scales are outcomes and do not establish the AI input modality or architecture.
Nonrandom adherence-defined groups and concurrent standard therapy; do not attribute observed improvement causally to AI.</ns0:t>
        </ns0:is>
      </ns0:c>
      <ns0:c r="F1652" s="21" t="inlineStr">
        <ns0:is>
          <ns0:t>https://doi.org/10.2196/70589</ns0:t>
        </ns0:is>
      </ns0:c>
      <ns0:c r="G1652" s="21" t="inlineStr">
        <ns0:is>
          <ns0:t>ChatGPT-assisted evidence recharting, 2026-09-08</ns0:t>
        </ns0:is>
      </ns0:c>
    </ns0:row>
    <ns0:row r="1653" ht="57" customHeight="1">
      <ns0:c r="A1653" s="19" t="inlineStr">
        <ns0:is>
          <ns0:t>new_50</ns0:t>
        </ns0:is>
      </ns0:c>
      <ns0:c r="B1653" s="19" t="inlineStr">
        <ns0:is>
          <ns0:t>rq2_role</ns0:t>
        </ns0:is>
      </ns0:c>
      <ns0:c r="C1653" s="19" t="inlineStr">
        <ns0:is>
          <ns0:t>Platform used alongside standard therapy</ns0:t>
        </ns0:is>
      </ns0:c>
      <ns0:c r="D1653" s="19" t="inlineStr">
        <ns0:is>
          <ns0:t>Adaptive intervention</ns0:t>
        </ns0:is>
      </ns0:c>
      <ns0:c r="E1653" s="19" t="inlineStr">
        <ns0:is>
          <ns0:t>CognitiveBotics platform used alongside therapy over 12 months. Assessment scales are outcomes and do not establish the AI input modality or architecture.
Nonrandom adherence-defined groups and concurrent standard therapy; do not attribute observed improvement causally to AI.</ns0:t>
        </ns0:is>
      </ns0:c>
      <ns0:c r="F1653" s="19" t="inlineStr">
        <ns0:is>
          <ns0:t>https://doi.org/10.2196/70589</ns0:t>
        </ns0:is>
      </ns0:c>
      <ns0:c r="G1653" s="19" t="inlineStr">
        <ns0:is>
          <ns0:t>ChatGPT-assisted evidence recharting, 2026-09-08</ns0:t>
        </ns0:is>
      </ns0:c>
    </ns0:row>
    <ns0:row r="1654" ht="57" customHeight="1">
      <ns0:c r="A1654" s="21" t="inlineStr">
        <ns0:is>
          <ns0:t>new_50</ns0:t>
        </ns0:is>
      </ns0:c>
      <ns0:c r="B1654" s="21" t="inlineStr">
        <ns0:is>
          <ns0:t>decision_timing</ns0:t>
        </ns0:is>
      </ns0:c>
      <ns0:c r="C1654" s="21" t="inlineStr"/>
      <ns0:c r="D1654" s="21" t="inlineStr">
        <ns0:is>
          <ns0:t>Post-decision</ns0:t>
        </ns0:is>
      </ns0:c>
      <ns0:c r="E1654" s="21" t="inlineStr">
        <ns0:is>
          <ns0:t>CognitiveBotics platform used alongside therapy over 12 months. Assessment scales are outcomes and do not establish the AI input modality or architecture.
Nonrandom adherence-defined groups and concurrent standard therapy; do not attribute observed improvement causally to AI.</ns0:t>
        </ns0:is>
      </ns0:c>
      <ns0:c r="F1654" s="21" t="inlineStr">
        <ns0:is>
          <ns0:t>https://doi.org/10.2196/70589</ns0:t>
        </ns0:is>
      </ns0:c>
      <ns0:c r="G1654" s="21" t="inlineStr">
        <ns0:is>
          <ns0:t>ChatGPT-assisted evidence recharting, 2026-09-08</ns0:t>
        </ns0:is>
      </ns0:c>
    </ns0:row>
    <ns0:row r="1655" ht="57" customHeight="1">
      <ns0:c r="A1655" s="19" t="inlineStr">
        <ns0:is>
          <ns0:t>new_50</ns0:t>
        </ns0:is>
      </ns0:c>
      <ns0:c r="B1655" s="19" t="inlineStr">
        <ns0:is>
          <ns0:t>integrity_status</ns0:t>
        </ns0:is>
      </ns0:c>
      <ns0:c r="C1655" s="19" t="inlineStr"/>
      <ns0:c r="D1655" s="19" t="inlineStr">
        <ns0:is>
          <ns0:t>Not recorded</ns0:t>
        </ns0:is>
      </ns0:c>
      <ns0:c r="E1655" s="19" t="inlineStr">
        <ns0:is>
          <ns0:t>CognitiveBotics platform used alongside therapy over 12 months. Assessment scales are outcomes and do not establish the AI input modality or architecture.
Nonrandom adherence-defined groups and concurrent standard therapy; do not attribute observed improvement causally to AI.</ns0:t>
        </ns0:is>
      </ns0:c>
      <ns0:c r="F1655" s="19" t="inlineStr">
        <ns0:is>
          <ns0:t>https://doi.org/10.2196/70589</ns0:t>
        </ns0:is>
      </ns0:c>
      <ns0:c r="G1655" s="19" t="inlineStr">
        <ns0:is>
          <ns0:t>ChatGPT-assisted evidence recharting, 2026-09-08</ns0:t>
        </ns0:is>
      </ns0:c>
    </ns0:row>
    <ns0:row r="1656" ht="42" customHeight="1">
      <ns0:c r="A1656" s="21" t="inlineStr">
        <ns0:is>
          <ns0:t>new_93</ns0:t>
        </ns0:is>
      </ns0:c>
      <ns0:c r="B1656" s="21" t="inlineStr">
        <ns0:is>
          <ns0:t>data_source_primary</ns0:t>
        </ns0:is>
      </ns0:c>
      <ns0:c r="C1656" s="21" t="inlineStr">
        <ns0:is>
          <ns0:t>Text / language</ns0:t>
        </ns0:is>
      </ns0:c>
      <ns0:c r="D1656" s="21" t="inlineStr">
        <ns0:is>
          <ns0:t>Text/language</ns0:t>
        </ns0:is>
      </ns0:c>
      <ns0:c r="E1656" s="21" t="inlineStr">
        <ns0:is>
          <ns0:t>RoBERTa/clinical-note classification with sentence-level explanations, analyzed retrospectively.</ns0:t>
        </ns0:is>
      </ns0:c>
      <ns0:c r="F1656" s="21" t="inlineStr">
        <ns0:is>
          <ns0:t>https://doi.org/10.1016/j.cell.2025.02.025</ns0:t>
        </ns0:is>
      </ns0:c>
      <ns0:c r="G1656" s="21" t="inlineStr">
        <ns0:is>
          <ns0:t>ChatGPT-assisted evidence recharting, 2026-09-08</ns0:t>
        </ns0:is>
      </ns0:c>
    </ns0:row>
    <ns0:row r="1657" ht="42" customHeight="1">
      <ns0:c r="A1657" s="19" t="inlineStr">
        <ns0:is>
          <ns0:t>new_93</ns0:t>
        </ns0:is>
      </ns0:c>
      <ns0:c r="B1657" s="19" t="inlineStr">
        <ns0:is>
          <ns0:t>algorithm_main</ns0:t>
        </ns0:is>
      </ns0:c>
      <ns0:c r="C1657" s="19" t="inlineStr">
        <ns0:is>
          <ns0:t>RoBERTa-based large language model</ns0:t>
        </ns0:is>
      </ns0:c>
      <ns0:c r="D1657" s="19" t="inlineStr">
        <ns0:is>
          <ns0:t>Transformer</ns0:t>
        </ns0:is>
      </ns0:c>
      <ns0:c r="E1657" s="19" t="inlineStr">
        <ns0:is>
          <ns0:t>RoBERTa/clinical-note classification with sentence-level explanations, analyzed retrospectively.</ns0:t>
        </ns0:is>
      </ns0:c>
      <ns0:c r="F1657" s="19" t="inlineStr">
        <ns0:is>
          <ns0:t>https://doi.org/10.1016/j.cell.2025.02.025</ns0:t>
        </ns0:is>
      </ns0:c>
      <ns0:c r="G1657" s="19" t="inlineStr">
        <ns0:is>
          <ns0:t>ChatGPT-assisted evidence recharting, 2026-09-08</ns0:t>
        </ns0:is>
      </ns0:c>
    </ns0:row>
    <ns0:row r="1658" ht="42" customHeight="1">
      <ns0:c r="A1658" s="21" t="inlineStr">
        <ns0:is>
          <ns0:t>new_93</ns0:t>
        </ns0:is>
      </ns0:c>
      <ns0:c r="B1658" s="21" t="inlineStr">
        <ns0:is>
          <ns0:t>rq2_role</ns0:t>
        </ns0:is>
      </ns0:c>
      <ns0:c r="C1658" s="21" t="inlineStr">
        <ns0:is>
          <ns0:t>Retrospective analysis of clinical reports</ns0:t>
        </ns0:is>
      </ns0:c>
      <ns0:c r="D1658" s="21" t="inlineStr">
        <ns0:is>
          <ns0:t>Automated measurement/classification</ns0:t>
        </ns0:is>
      </ns0:c>
      <ns0:c r="E1658" s="21" t="inlineStr">
        <ns0:is>
          <ns0:t>RoBERTa/clinical-note classification with sentence-level explanations, analyzed retrospectively.</ns0:t>
        </ns0:is>
      </ns0:c>
      <ns0:c r="F1658" s="21" t="inlineStr">
        <ns0:is>
          <ns0:t>https://doi.org/10.1016/j.cell.2025.02.025</ns0:t>
        </ns0:is>
      </ns0:c>
      <ns0:c r="G1658" s="21" t="inlineStr">
        <ns0:is>
          <ns0:t>ChatGPT-assisted evidence recharting, 2026-09-08</ns0:t>
        </ns0:is>
      </ns0:c>
    </ns0:row>
    <ns0:row r="1659" ht="42" customHeight="1">
      <ns0:c r="A1659" s="19" t="inlineStr">
        <ns0:is>
          <ns0:t>new_93</ns0:t>
        </ns0:is>
      </ns0:c>
      <ns0:c r="B1659" s="19" t="inlineStr">
        <ns0:is>
          <ns0:t>decision_timing</ns0:t>
        </ns0:is>
      </ns0:c>
      <ns0:c r="C1659" s="19" t="inlineStr"/>
      <ns0:c r="D1659" s="19" t="inlineStr">
        <ns0:is>
          <ns0:t>Not observed in assessed sources</ns0:t>
        </ns0:is>
      </ns0:c>
      <ns0:c r="E1659" s="19" t="inlineStr">
        <ns0:is>
          <ns0:t>RoBERTa/clinical-note classification with sentence-level explanations, analyzed retrospectively.</ns0:t>
        </ns0:is>
      </ns0:c>
      <ns0:c r="F1659" s="19" t="inlineStr">
        <ns0:is>
          <ns0:t>https://doi.org/10.1016/j.cell.2025.02.025</ns0:t>
        </ns0:is>
      </ns0:c>
      <ns0:c r="G1659" s="19" t="inlineStr">
        <ns0:is>
          <ns0:t>ChatGPT-assisted evidence recharting, 2026-09-08</ns0:t>
        </ns0:is>
      </ns0:c>
    </ns0:row>
    <ns0:row r="1660" ht="42" customHeight="1">
      <ns0:c r="A1660" s="21" t="inlineStr">
        <ns0:is>
          <ns0:t>new_93</ns0:t>
        </ns0:is>
      </ns0:c>
      <ns0:c r="B1660" s="21" t="inlineStr">
        <ns0:is>
          <ns0:t>integrity_status</ns0:t>
        </ns0:is>
      </ns0:c>
      <ns0:c r="C1660" s="21" t="inlineStr"/>
      <ns0:c r="D1660" s="21" t="inlineStr">
        <ns0:is>
          <ns0:t>Not recorded</ns0:t>
        </ns0:is>
      </ns0:c>
      <ns0:c r="E1660" s="21" t="inlineStr">
        <ns0:is>
          <ns0:t>RoBERTa/clinical-note classification with sentence-level explanations, analyzed retrospectively.</ns0:t>
        </ns0:is>
      </ns0:c>
      <ns0:c r="F1660" s="21" t="inlineStr">
        <ns0:is>
          <ns0:t>https://doi.org/10.1016/j.cell.2025.02.025</ns0:t>
        </ns0:is>
      </ns0:c>
      <ns0:c r="G1660" s="21" t="inlineStr">
        <ns0:is>
          <ns0:t>ChatGPT-assisted evidence recharting, 2026-09-08</ns0:t>
        </ns0:is>
      </ns0:c>
    </ns0:row>
    <ns0:row r="1661" ht="42" customHeight="1">
      <ns0:c r="A1661" s="19" t="inlineStr">
        <ns0:is>
          <ns0:t>new_96</ns0:t>
        </ns0:is>
      </ns0:c>
      <ns0:c r="B1661" s="19" t="inlineStr">
        <ns0:is>
          <ns0:t>data_source_primary</ns0:t>
        </ns0:is>
      </ns0:c>
      <ns0:c r="C1661" s="19" t="inlineStr">
        <ns0:is>
          <ns0:t>Facial images</ns0:t>
        </ns0:is>
      </ns0:c>
      <ns0:c r="D1661" s="19" t="inlineStr">
        <ns0:is>
          <ns0:t>Behavioral images/video/gaze/movement</ns0:t>
        </ns0:is>
      </ns0:c>
      <ns0:c r="E1661" s="19" t="inlineStr">
        <ns0:is>
          <ns0:t>Facial-image deep-learning ensemble and optimizer; background CAD discussion is not a demonstrated clinician-facing workflow.</ns0:t>
        </ns0:is>
      </ns0:c>
      <ns0:c r="F1661" s="19" t="inlineStr">
        <ns0:is>
          <ns0:t>https://doi.org/10.32604/cmc.2025.062266</ns0:t>
        </ns0:is>
      </ns0:c>
      <ns0:c r="G1661" s="19" t="inlineStr">
        <ns0:is>
          <ns0:t>ChatGPT-assisted evidence recharting, 2026-09-08</ns0:t>
        </ns0:is>
      </ns0:c>
    </ns0:row>
    <ns0:row r="1662" ht="42" customHeight="1">
      <ns0:c r="A1662" s="21" t="inlineStr">
        <ns0:is>
          <ns0:t>new_96</ns0:t>
        </ns0:is>
      </ns0:c>
      <ns0:c r="B1662" s="21" t="inlineStr">
        <ns0:is>
          <ns0:t>algorithm_main</ns0:t>
        </ns0:is>
      </ns0:c>
      <ns0:c r="C1662" s="21" t="inlineStr">
        <ns0:is>
          <ns0:t>Ensemble deep learning + Crested Porcupine Optimizer</ns0:t>
        </ns0:is>
      </ns0:c>
      <ns0:c r="D1662" s="21" t="inlineStr">
        <ns0:is>
          <ns0:t>Deep ensemble</ns0:t>
        </ns0:is>
      </ns0:c>
      <ns0:c r="E1662" s="21" t="inlineStr">
        <ns0:is>
          <ns0:t>Facial-image deep-learning ensemble and optimizer; background CAD discussion is not a demonstrated clinician-facing workflow.</ns0:t>
        </ns0:is>
      </ns0:c>
      <ns0:c r="F1662" s="21" t="inlineStr">
        <ns0:is>
          <ns0:t>https://doi.org/10.32604/cmc.2025.062266</ns0:t>
        </ns0:is>
      </ns0:c>
      <ns0:c r="G1662" s="21" t="inlineStr">
        <ns0:is>
          <ns0:t>ChatGPT-assisted evidence recharting, 2026-09-08</ns0:t>
        </ns0:is>
      </ns0:c>
    </ns0:row>
    <ns0:row r="1663" ht="42" customHeight="1">
      <ns0:c r="A1663" s="19" t="inlineStr">
        <ns0:is>
          <ns0:t>new_96</ns0:t>
        </ns0:is>
      </ns0:c>
      <ns0:c r="B1663" s="19" t="inlineStr">
        <ns0:is>
          <ns0:t>rq2_status</ns0:t>
        </ns0:is>
      </ns0:c>
      <ns0:c r="C1663" s="19" t="inlineStr">
        <ns0:is>
          <ns0:t>Proposed only</ns0:t>
        </ns0:is>
      </ns0:c>
      <ns0:c r="D1663" s="19" t="inlineStr">
        <ns0:is>
          <ns0:t>Research only</ns0:t>
        </ns0:is>
      </ns0:c>
      <ns0:c r="E1663" s="19" t="inlineStr">
        <ns0:is>
          <ns0:t>Facial-image deep-learning ensemble and optimizer; background CAD discussion is not a demonstrated clinician-facing workflow.</ns0:t>
        </ns0:is>
      </ns0:c>
      <ns0:c r="F1663" s="19" t="inlineStr">
        <ns0:is>
          <ns0:t>https://doi.org/10.32604/cmc.2025.062266</ns0:t>
        </ns0:is>
      </ns0:c>
      <ns0:c r="G1663" s="19" t="inlineStr">
        <ns0:is>
          <ns0:t>ChatGPT-assisted evidence recharting, 2026-09-08</ns0:t>
        </ns0:is>
      </ns0:c>
    </ns0:row>
    <ns0:row r="1664" ht="42" customHeight="1">
      <ns0:c r="A1664" s="21" t="inlineStr">
        <ns0:is>
          <ns0:t>new_96</ns0:t>
        </ns0:is>
      </ns0:c>
      <ns0:c r="B1664" s="21" t="inlineStr">
        <ns0:is>
          <ns0:t>rq2_role</ns0:t>
        </ns0:is>
      </ns0:c>
      <ns0:c r="C1664" s="21" t="inlineStr">
        <ns0:is>
          <ns0:t>Proposed image-based diagnostic support</ns0:t>
        </ns0:is>
      </ns0:c>
      <ns0:c r="D1664" s="21" t="inlineStr">
        <ns0:is>
          <ns0:t>Automated measurement/classification</ns0:t>
        </ns0:is>
      </ns0:c>
      <ns0:c r="E1664" s="21" t="inlineStr">
        <ns0:is>
          <ns0:t>Facial-image deep-learning ensemble and optimizer; background CAD discussion is not a demonstrated clinician-facing workflow.</ns0:t>
        </ns0:is>
      </ns0:c>
      <ns0:c r="F1664" s="21" t="inlineStr">
        <ns0:is>
          <ns0:t>https://doi.org/10.32604/cmc.2025.062266</ns0:t>
        </ns0:is>
      </ns0:c>
      <ns0:c r="G1664" s="21" t="inlineStr">
        <ns0:is>
          <ns0:t>ChatGPT-assisted evidence recharting, 2026-09-08</ns0:t>
        </ns0:is>
      </ns0:c>
    </ns0:row>
    <ns0:row r="1665" ht="42" customHeight="1">
      <ns0:c r="A1665" s="19" t="inlineStr">
        <ns0:is>
          <ns0:t>new_96</ns0:t>
        </ns0:is>
      </ns0:c>
      <ns0:c r="B1665" s="19" t="inlineStr">
        <ns0:is>
          <ns0:t>decision_timing</ns0:t>
        </ns0:is>
      </ns0:c>
      <ns0:c r="C1665" s="19" t="inlineStr"/>
      <ns0:c r="D1665" s="19" t="inlineStr">
        <ns0:is>
          <ns0:t>Not observed in assessed sources</ns0:t>
        </ns0:is>
      </ns0:c>
      <ns0:c r="E1665" s="19" t="inlineStr">
        <ns0:is>
          <ns0:t>Facial-image deep-learning ensemble and optimizer; background CAD discussion is not a demonstrated clinician-facing workflow.</ns0:t>
        </ns0:is>
      </ns0:c>
      <ns0:c r="F1665" s="19" t="inlineStr">
        <ns0:is>
          <ns0:t>https://doi.org/10.32604/cmc.2025.062266</ns0:t>
        </ns0:is>
      </ns0:c>
      <ns0:c r="G1665" s="19" t="inlineStr">
        <ns0:is>
          <ns0:t>ChatGPT-assisted evidence recharting, 2026-09-08</ns0:t>
        </ns0:is>
      </ns0:c>
    </ns0:row>
    <ns0:row r="1666" ht="42" customHeight="1">
      <ns0:c r="A1666" s="21" t="inlineStr">
        <ns0:is>
          <ns0:t>new_96</ns0:t>
        </ns0:is>
      </ns0:c>
      <ns0:c r="B1666" s="21" t="inlineStr">
        <ns0:is>
          <ns0:t>integrity_status</ns0:t>
        </ns0:is>
      </ns0:c>
      <ns0:c r="C1666" s="21" t="inlineStr"/>
      <ns0:c r="D1666" s="21" t="inlineStr">
        <ns0:is>
          <ns0:t>Not recorded</ns0:t>
        </ns0:is>
      </ns0:c>
      <ns0:c r="E1666" s="21" t="inlineStr">
        <ns0:is>
          <ns0:t>Facial-image deep-learning ensemble and optimizer; background CAD discussion is not a demonstrated clinician-facing workflow.</ns0:t>
        </ns0:is>
      </ns0:c>
      <ns0:c r="F1666" s="21" t="inlineStr">
        <ns0:is>
          <ns0:t>https://doi.org/10.32604/cmc.2025.062266</ns0:t>
        </ns0:is>
      </ns0:c>
      <ns0:c r="G1666" s="21" t="inlineStr">
        <ns0:is>
          <ns0:t>ChatGPT-assisted evidence recharting, 2026-09-08</ns0:t>
        </ns0:is>
      </ns0:c>
    </ns0:row>
    <ns0:row r="1667" ht="42" customHeight="1">
      <ns0:c r="A1667" s="19" t="inlineStr">
        <ns0:is>
          <ns0:t>new_108</ns0:t>
        </ns0:is>
      </ns0:c>
      <ns0:c r="B1667" s="19" t="inlineStr">
        <ns0:is>
          <ns0:t>ai_type</ns0:t>
        </ns0:is>
      </ns0:c>
      <ns0:c r="C1667" s="19" t="inlineStr">
        <ns0:is>
          <ns0:t>Hybrid</ns0:t>
        </ns0:is>
      </ns0:c>
      <ns0:c r="D1667" s="19" t="inlineStr">
        <ns0:is>
          <ns0:t>Machine Learning</ns0:t>
        </ns0:is>
      </ns0:c>
      <ns0:c r="E1667" s="19" t="inlineStr">
        <ns0:is>
          <ns0:t>Conventional clustering and ten ML classifiers across age datasets; title word Hybrid does not establish ML/DL integration.</ns0:t>
        </ns0:is>
      </ns0:c>
      <ns0:c r="F1667" s="19" t="inlineStr">
        <ns0:is>
          <ns0:t>https://doi.org/10.32604/cmc.2025.062643</ns0:t>
        </ns0:is>
      </ns0:c>
      <ns0:c r="G1667" s="19" t="inlineStr">
        <ns0:is>
          <ns0:t>ChatGPT-assisted evidence recharting, 2026-09-08</ns0:t>
        </ns0:is>
      </ns0:c>
    </ns0:row>
    <ns0:row r="1668" ht="42" customHeight="1">
      <ns0:c r="A1668" s="21" t="inlineStr">
        <ns0:is>
          <ns0:t>new_108</ns0:t>
        </ns0:is>
      </ns0:c>
      <ns0:c r="B1668" s="21" t="inlineStr">
        <ns0:is>
          <ns0:t>data_source_primary</ns0:t>
        </ns0:is>
      </ns0:c>
      <ns0:c r="C1668" s="21" t="inlineStr">
        <ns0:is>
          <ns0:t>Structured / tabular data</ns0:t>
        </ns0:is>
      </ns0:c>
      <ns0:c r="D1668" s="21" t="inlineStr">
        <ns0:is>
          <ns0:t>Structured clinical/questionnaire data</ns0:t>
        </ns0:is>
      </ns0:c>
      <ns0:c r="E1668" s="21" t="inlineStr">
        <ns0:is>
          <ns0:t>Conventional clustering and ten ML classifiers across age datasets; title word Hybrid does not establish ML/DL integration.</ns0:t>
        </ns0:is>
      </ns0:c>
      <ns0:c r="F1668" s="21" t="inlineStr">
        <ns0:is>
          <ns0:t>https://doi.org/10.32604/cmc.2025.062643</ns0:t>
        </ns0:is>
      </ns0:c>
      <ns0:c r="G1668" s="21" t="inlineStr">
        <ns0:is>
          <ns0:t>ChatGPT-assisted evidence recharting, 2026-09-08</ns0:t>
        </ns0:is>
      </ns0:c>
    </ns0:row>
    <ns0:row r="1669" ht="42" customHeight="1">
      <ns0:c r="A1669" s="19" t="inlineStr">
        <ns0:is>
          <ns0:t>new_108</ns0:t>
        </ns0:is>
      </ns0:c>
      <ns0:c r="B1669" s="19" t="inlineStr">
        <ns0:is>
          <ns0:t>algorithm_main</ns0:t>
        </ns0:is>
      </ns0:c>
      <ns0:c r="C1669" s="19" t="inlineStr">
        <ns0:is>
          <ns0:t>Clustering + supervised classifiers</ns0:t>
        </ns0:is>
      </ns0:c>
      <ns0:c r="D1669" s="19" t="inlineStr">
        <ns0:is>
          <ns0:t>Clustering + classifier comparison</ns0:t>
        </ns0:is>
      </ns0:c>
      <ns0:c r="E1669" s="19" t="inlineStr">
        <ns0:is>
          <ns0:t>Conventional clustering and ten ML classifiers across age datasets; title word Hybrid does not establish ML/DL integration.</ns0:t>
        </ns0:is>
      </ns0:c>
      <ns0:c r="F1669" s="19" t="inlineStr">
        <ns0:is>
          <ns0:t>https://doi.org/10.32604/cmc.2025.062643</ns0:t>
        </ns0:is>
      </ns0:c>
      <ns0:c r="G1669" s="19" t="inlineStr">
        <ns0:is>
          <ns0:t>ChatGPT-assisted evidence recharting, 2026-09-08</ns0:t>
        </ns0:is>
      </ns0:c>
    </ns0:row>
    <ns0:row r="1670" ht="42" customHeight="1">
      <ns0:c r="A1670" s="21" t="inlineStr">
        <ns0:is>
          <ns0:t>new_108</ns0:t>
        </ns0:is>
      </ns0:c>
      <ns0:c r="B1670" s="21" t="inlineStr">
        <ns0:is>
          <ns0:t>rq2_status</ns0:t>
        </ns0:is>
      </ns0:c>
      <ns0:c r="C1670" s="21" t="inlineStr">
        <ns0:is>
          <ns0:t>Proposed only</ns0:t>
        </ns0:is>
      </ns0:c>
      <ns0:c r="D1670" s="21" t="inlineStr">
        <ns0:is>
          <ns0:t>Research only</ns0:t>
        </ns0:is>
      </ns0:c>
      <ns0:c r="E1670" s="21" t="inlineStr">
        <ns0:is>
          <ns0:t>Conventional clustering and ten ML classifiers across age datasets; title word Hybrid does not establish ML/DL integration.</ns0:t>
        </ns0:is>
      </ns0:c>
      <ns0:c r="F1670" s="21" t="inlineStr">
        <ns0:is>
          <ns0:t>https://doi.org/10.32604/cmc.2025.062643</ns0:t>
        </ns0:is>
      </ns0:c>
      <ns0:c r="G1670" s="21" t="inlineStr">
        <ns0:is>
          <ns0:t>ChatGPT-assisted evidence recharting, 2026-09-08</ns0:t>
        </ns0:is>
      </ns0:c>
    </ns0:row>
    <ns0:row r="1671" ht="42" customHeight="1">
      <ns0:c r="A1671" s="19" t="inlineStr">
        <ns0:is>
          <ns0:t>new_108</ns0:t>
        </ns0:is>
      </ns0:c>
      <ns0:c r="B1671" s="19" t="inlineStr">
        <ns0:is>
          <ns0:t>rq2_role</ns0:t>
        </ns0:is>
      </ns0:c>
      <ns0:c r="C1671" s="19" t="inlineStr">
        <ns0:is>
          <ns0:t>Research screening model</ns0:t>
        </ns0:is>
      </ns0:c>
      <ns0:c r="D1671" s="19" t="inlineStr">
        <ns0:is>
          <ns0:t>Automated measurement/classification</ns0:t>
        </ns0:is>
      </ns0:c>
      <ns0:c r="E1671" s="19" t="inlineStr">
        <ns0:is>
          <ns0:t>Conventional clustering and ten ML classifiers across age datasets; title word Hybrid does not establish ML/DL integration.</ns0:t>
        </ns0:is>
      </ns0:c>
      <ns0:c r="F1671" s="19" t="inlineStr">
        <ns0:is>
          <ns0:t>https://doi.org/10.32604/cmc.2025.062643</ns0:t>
        </ns0:is>
      </ns0:c>
      <ns0:c r="G1671" s="19" t="inlineStr">
        <ns0:is>
          <ns0:t>ChatGPT-assisted evidence recharting, 2026-09-08</ns0:t>
        </ns0:is>
      </ns0:c>
    </ns0:row>
    <ns0:row r="1672" ht="42" customHeight="1">
      <ns0:c r="A1672" s="21" t="inlineStr">
        <ns0:is>
          <ns0:t>new_108</ns0:t>
        </ns0:is>
      </ns0:c>
      <ns0:c r="B1672" s="21" t="inlineStr">
        <ns0:is>
          <ns0:t>decision_timing</ns0:t>
        </ns0:is>
      </ns0:c>
      <ns0:c r="C1672" s="21" t="inlineStr"/>
      <ns0:c r="D1672" s="21" t="inlineStr">
        <ns0:is>
          <ns0:t>Not observed in assessed sources</ns0:t>
        </ns0:is>
      </ns0:c>
      <ns0:c r="E1672" s="21" t="inlineStr">
        <ns0:is>
          <ns0:t>Conventional clustering and ten ML classifiers across age datasets; title word Hybrid does not establish ML/DL integration.</ns0:t>
        </ns0:is>
      </ns0:c>
      <ns0:c r="F1672" s="21" t="inlineStr">
        <ns0:is>
          <ns0:t>https://doi.org/10.32604/cmc.2025.062643</ns0:t>
        </ns0:is>
      </ns0:c>
      <ns0:c r="G1672" s="21" t="inlineStr">
        <ns0:is>
          <ns0:t>ChatGPT-assisted evidence recharting, 2026-09-08</ns0:t>
        </ns0:is>
      </ns0:c>
    </ns0:row>
    <ns0:row r="1673" ht="42" customHeight="1">
      <ns0:c r="A1673" s="19" t="inlineStr">
        <ns0:is>
          <ns0:t>new_108</ns0:t>
        </ns0:is>
      </ns0:c>
      <ns0:c r="B1673" s="19" t="inlineStr">
        <ns0:is>
          <ns0:t>integrity_status</ns0:t>
        </ns0:is>
      </ns0:c>
      <ns0:c r="C1673" s="19" t="inlineStr"/>
      <ns0:c r="D1673" s="19" t="inlineStr">
        <ns0:is>
          <ns0:t>Not recorded</ns0:t>
        </ns0:is>
      </ns0:c>
      <ns0:c r="E1673" s="19" t="inlineStr">
        <ns0:is>
          <ns0:t>Conventional clustering and ten ML classifiers across age datasets; title word Hybrid does not establish ML/DL integration.</ns0:t>
        </ns0:is>
      </ns0:c>
      <ns0:c r="F1673" s="19" t="inlineStr">
        <ns0:is>
          <ns0:t>https://doi.org/10.32604/cmc.2025.062643</ns0:t>
        </ns0:is>
      </ns0:c>
      <ns0:c r="G1673" s="19" t="inlineStr">
        <ns0:is>
          <ns0:t>ChatGPT-assisted evidence recharting, 2026-09-08</ns0:t>
        </ns0:is>
      </ns0:c>
    </ns0:row>
    <ns0:row r="1674" ht="42" customHeight="1">
      <ns0:c r="A1674" s="21" t="inlineStr">
        <ns0:is>
          <ns0:t>new_125</ns0:t>
        </ns0:is>
      </ns0:c>
      <ns0:c r="B1674" s="21" t="inlineStr">
        <ns0:is>
          <ns0:t>ai_type</ns0:t>
        </ns0:is>
      </ns0:c>
      <ns0:c r="C1674" s="21" t="inlineStr">
        <ns0:is>
          <ns0:t>Hybrid</ns0:t>
        </ns0:is>
      </ns0:c>
      <ns0:c r="D1674" s="21" t="inlineStr">
        <ns0:is>
          <ns0:t>Deep Learning</ns0:t>
        </ns0:is>
      </ns0:c>
      <ns0:c r="E1674" s="21" t="inlineStr">
        <ns0:is>
          <ns0:t>SVM-RFE is feature selection ahead of sparse-autoencoder/Softmax classification. Retrospective ABIDE evaluation and explainability, with inherited expression-of-concern flag retained.</ns0:t>
        </ns0:is>
      </ns0:c>
      <ns0:c r="F1674" s="21" t="inlineStr">
        <ns0:is>
          <ns0:t>https://doi.org/10.1016/j.eclinm.2025.103452</ns0:t>
        </ns0:is>
      </ns0:c>
      <ns0:c r="G1674" s="21" t="inlineStr">
        <ns0:is>
          <ns0:t>ChatGPT-assisted evidence recharting, 2026-09-08</ns0:t>
        </ns0:is>
      </ns0:c>
    </ns0:row>
    <ns0:row r="1675" ht="42" customHeight="1">
      <ns0:c r="A1675" s="19" t="inlineStr">
        <ns0:is>
          <ns0:t>new_125</ns0:t>
        </ns0:is>
      </ns0:c>
      <ns0:c r="B1675" s="19" t="inlineStr">
        <ns0:is>
          <ns0:t>algorithm_main</ns0:t>
        </ns0:is>
      </ns0:c>
      <ns0:c r="C1675" s="19" t="inlineStr">
        <ns0:is>
          <ns0:t>SVM-RFE + stacked sparse autoencoder + Softmax</ns0:t>
        </ns0:is>
      </ns0:c>
      <ns0:c r="D1675" s="19" t="inlineStr">
        <ns0:is>
          <ns0:t>Autoencoder</ns0:t>
        </ns0:is>
      </ns0:c>
      <ns0:c r="E1675" s="19" t="inlineStr">
        <ns0:is>
          <ns0:t>SVM-RFE is feature selection ahead of sparse-autoencoder/Softmax classification. Retrospective ABIDE evaluation and explainability, with inherited expression-of-concern flag retained.</ns0:t>
        </ns0:is>
      </ns0:c>
      <ns0:c r="F1675" s="19" t="inlineStr">
        <ns0:is>
          <ns0:t>https://doi.org/10.1016/j.eclinm.2025.103452</ns0:t>
        </ns0:is>
      </ns0:c>
      <ns0:c r="G1675" s="19" t="inlineStr">
        <ns0:is>
          <ns0:t>ChatGPT-assisted evidence recharting, 2026-09-08</ns0:t>
        </ns0:is>
      </ns0:c>
    </ns0:row>
    <ns0:row r="1676" ht="42" customHeight="1">
      <ns0:c r="A1676" s="21" t="inlineStr">
        <ns0:is>
          <ns0:t>new_125</ns0:t>
        </ns0:is>
      </ns0:c>
      <ns0:c r="B1676" s="21" t="inlineStr">
        <ns0:is>
          <ns0:t>rq2_status</ns0:t>
        </ns0:is>
      </ns0:c>
      <ns0:c r="C1676" s="21" t="inlineStr">
        <ns0:is>
          <ns0:t>Proposed only</ns0:t>
        </ns0:is>
      </ns0:c>
      <ns0:c r="D1676" s="21" t="inlineStr">
        <ns0:is>
          <ns0:t>Research only</ns0:t>
        </ns0:is>
      </ns0:c>
      <ns0:c r="E1676" s="21" t="inlineStr">
        <ns0:is>
          <ns0:t>SVM-RFE is feature selection ahead of sparse-autoencoder/Softmax classification. Retrospective ABIDE evaluation and explainability, with inherited expression-of-concern flag retained.</ns0:t>
        </ns0:is>
      </ns0:c>
      <ns0:c r="F1676" s="21" t="inlineStr">
        <ns0:is>
          <ns0:t>https://doi.org/10.1016/j.eclinm.2025.103452</ns0:t>
        </ns0:is>
      </ns0:c>
      <ns0:c r="G1676" s="21" t="inlineStr">
        <ns0:is>
          <ns0:t>ChatGPT-assisted evidence recharting, 2026-09-08</ns0:t>
        </ns0:is>
      </ns0:c>
    </ns0:row>
    <ns0:row r="1677" ht="42" customHeight="1">
      <ns0:c r="A1677" s="19" t="inlineStr">
        <ns0:is>
          <ns0:t>new_125</ns0:t>
        </ns0:is>
      </ns0:c>
      <ns0:c r="B1677" s="19" t="inlineStr">
        <ns0:is>
          <ns0:t>rq2_role</ns0:t>
        </ns0:is>
      </ns0:c>
      <ns0:c r="C1677" s="19" t="inlineStr">
        <ns0:is>
          <ns0:t>Retrospective research model; active Expression of Concern</ns0:t>
        </ns0:is>
      </ns0:c>
      <ns0:c r="D1677" s="19" t="inlineStr">
        <ns0:is>
          <ns0:t>Automated measurement/classification</ns0:t>
        </ns0:is>
      </ns0:c>
      <ns0:c r="E1677" s="19" t="inlineStr">
        <ns0:is>
          <ns0:t>SVM-RFE is feature selection ahead of sparse-autoencoder/Softmax classification. Retrospective ABIDE evaluation and explainability, with inherited expression-of-concern flag retained.</ns0:t>
        </ns0:is>
      </ns0:c>
      <ns0:c r="F1677" s="19" t="inlineStr">
        <ns0:is>
          <ns0:t>https://doi.org/10.1016/j.eclinm.2025.103452</ns0:t>
        </ns0:is>
      </ns0:c>
      <ns0:c r="G1677" s="19" t="inlineStr">
        <ns0:is>
          <ns0:t>ChatGPT-assisted evidence recharting, 2026-09-08</ns0:t>
        </ns0:is>
      </ns0:c>
    </ns0:row>
    <ns0:row r="1678" ht="42" customHeight="1">
      <ns0:c r="A1678" s="21" t="inlineStr">
        <ns0:is>
          <ns0:t>new_125</ns0:t>
        </ns0:is>
      </ns0:c>
      <ns0:c r="B1678" s="21" t="inlineStr">
        <ns0:is>
          <ns0:t>decision_timing</ns0:t>
        </ns0:is>
      </ns0:c>
      <ns0:c r="C1678" s="21" t="inlineStr"/>
      <ns0:c r="D1678" s="21" t="inlineStr">
        <ns0:is>
          <ns0:t>Not observed in assessed sources</ns0:t>
        </ns0:is>
      </ns0:c>
      <ns0:c r="E1678" s="21" t="inlineStr">
        <ns0:is>
          <ns0:t>SVM-RFE is feature selection ahead of sparse-autoencoder/Softmax classification. Retrospective ABIDE evaluation and explainability, with inherited expression-of-concern flag retained.</ns0:t>
        </ns0:is>
      </ns0:c>
      <ns0:c r="F1678" s="21" t="inlineStr">
        <ns0:is>
          <ns0:t>https://doi.org/10.1016/j.eclinm.2025.103452</ns0:t>
        </ns0:is>
      </ns0:c>
      <ns0:c r="G1678" s="21" t="inlineStr">
        <ns0:is>
          <ns0:t>ChatGPT-assisted evidence recharting, 2026-09-08</ns0:t>
        </ns0:is>
      </ns0:c>
    </ns0:row>
    <ns0:row r="1679" ht="42" customHeight="1">
      <ns0:c r="A1679" s="19" t="inlineStr">
        <ns0:is>
          <ns0:t>new_132</ns0:t>
        </ns0:is>
      </ns0:c>
      <ns0:c r="B1679" s="19" t="inlineStr">
        <ns0:is>
          <ns0:t>data_source_primary</ns0:t>
        </ns0:is>
      </ns0:c>
      <ns0:c r="C1679" s="19" t="inlineStr">
        <ns0:is>
          <ns0:t>Structured / tabular data</ns0:t>
        </ns0:is>
      </ns0:c>
      <ns0:c r="D1679" s="19" t="inlineStr">
        <ns0:is>
          <ns0:t>Structured clinical/questionnaire data</ns0:t>
        </ns0:is>
      </ns0:c>
      <ns0:c r="E1679" s="19" t="inlineStr">
        <ns0:is>
          <ns0:t>ESCS decision algorithm explicitly intended to guide pediatricians; secondary future cognitive-outcome model recorded. Longitudinal analysis does not establish prospective model evaluation.</ns0:t>
        </ns0:is>
      </ns0:c>
      <ns0:c r="F1679" s="19" t="inlineStr">
        <ns0:is>
          <ns0:t>https://doi.org/10.1016/j.jpedcp.2025.200176</ns0:t>
        </ns0:is>
      </ns0:c>
      <ns0:c r="G1679" s="19" t="inlineStr">
        <ns0:is>
          <ns0:t>ChatGPT-assisted evidence recharting, 2026-09-08</ns0:t>
        </ns0:is>
      </ns0:c>
    </ns0:row>
    <ns0:row r="1680" ht="42" customHeight="1">
      <ns0:c r="A1680" s="21" t="inlineStr">
        <ns0:is>
          <ns0:t>new_132</ns0:t>
        </ns0:is>
      </ns0:c>
      <ns0:c r="B1680" s="21" t="inlineStr">
        <ns0:is>
          <ns0:t>algorithm_main</ns0:t>
        </ns0:is>
      </ns0:c>
      <ns0:c r="C1680" s="21" t="inlineStr">
        <ns0:is>
          <ns0:t>C5.0 + regression + k-means</ns0:t>
        </ns0:is>
      </ns0:c>
      <ns0:c r="D1680" s="21" t="inlineStr">
        <ns0:is>
          <ns0:t>Decision tree</ns0:t>
        </ns0:is>
      </ns0:c>
      <ns0:c r="E1680" s="21" t="inlineStr">
        <ns0:is>
          <ns0:t>ESCS decision algorithm explicitly intended to guide pediatricians; secondary future cognitive-outcome model recorded. Longitudinal analysis does not establish prospective model evaluation.</ns0:t>
        </ns0:is>
      </ns0:c>
      <ns0:c r="F1680" s="21" t="inlineStr">
        <ns0:is>
          <ns0:t>https://doi.org/10.1016/j.jpedcp.2025.200176</ns0:t>
        </ns0:is>
      </ns0:c>
      <ns0:c r="G1680" s="21" t="inlineStr">
        <ns0:is>
          <ns0:t>ChatGPT-assisted evidence recharting, 2026-09-08</ns0:t>
        </ns0:is>
      </ns0:c>
    </ns0:row>
    <ns0:row r="1681" ht="42" customHeight="1">
      <ns0:c r="A1681" s="19" t="inlineStr">
        <ns0:is>
          <ns0:t>new_132</ns0:t>
        </ns0:is>
      </ns0:c>
      <ns0:c r="B1681" s="19" t="inlineStr">
        <ns0:is>
          <ns0:t>rq2_role</ns0:t>
        </ns0:is>
      </ns0:c>
      <ns0:c r="C1681" s="19" t="inlineStr">
        <ns0:is>
          <ns0:t>Proposed pediatric screening support</ns0:t>
        </ns0:is>
      </ns0:c>
      <ns0:c r="D1681" s="19" t="inlineStr">
        <ns0:is>
          <ns0:t>Triage/questionnaire assessment</ns0:t>
        </ns0:is>
      </ns0:c>
      <ns0:c r="E1681" s="19" t="inlineStr">
        <ns0:is>
          <ns0:t>ESCS decision algorithm explicitly intended to guide pediatricians; secondary future cognitive-outcome model recorded. Longitudinal analysis does not establish prospective model evaluation.</ns0:t>
        </ns0:is>
      </ns0:c>
      <ns0:c r="F1681" s="19" t="inlineStr">
        <ns0:is>
          <ns0:t>https://doi.org/10.1016/j.jpedcp.2025.200176</ns0:t>
        </ns0:is>
      </ns0:c>
      <ns0:c r="G1681" s="19" t="inlineStr">
        <ns0:is>
          <ns0:t>ChatGPT-assisted evidence recharting, 2026-09-08</ns0:t>
        </ns0:is>
      </ns0:c>
    </ns0:row>
    <ns0:row r="1682" ht="42" customHeight="1">
      <ns0:c r="A1682" s="21" t="inlineStr">
        <ns0:is>
          <ns0:t>new_132</ns0:t>
        </ns0:is>
      </ns0:c>
      <ns0:c r="B1682" s="21" t="inlineStr">
        <ns0:is>
          <ns0:t>decision_timing</ns0:t>
        </ns0:is>
      </ns0:c>
      <ns0:c r="C1682" s="21" t="inlineStr"/>
      <ns0:c r="D1682" s="21" t="inlineStr">
        <ns0:is>
          <ns0:t>Pre-decision</ns0:t>
        </ns0:is>
      </ns0:c>
      <ns0:c r="E1682" s="21" t="inlineStr">
        <ns0:is>
          <ns0:t>ESCS decision algorithm explicitly intended to guide pediatricians; secondary future cognitive-outcome model recorded. Longitudinal analysis does not establish prospective model evaluation.</ns0:t>
        </ns0:is>
      </ns0:c>
      <ns0:c r="F1682" s="21" t="inlineStr">
        <ns0:is>
          <ns0:t>https://doi.org/10.1016/j.jpedcp.2025.200176</ns0:t>
        </ns0:is>
      </ns0:c>
      <ns0:c r="G1682" s="21" t="inlineStr">
        <ns0:is>
          <ns0:t>ChatGPT-assisted evidence recharting, 2026-09-08</ns0:t>
        </ns0:is>
      </ns0:c>
    </ns0:row>
    <ns0:row r="1683" ht="42" customHeight="1">
      <ns0:c r="A1683" s="19" t="inlineStr">
        <ns0:is>
          <ns0:t>new_132</ns0:t>
        </ns0:is>
      </ns0:c>
      <ns0:c r="B1683" s="19" t="inlineStr">
        <ns0:is>
          <ns0:t>prospective_evaluation</ns0:t>
        </ns0:is>
      </ns0:c>
      <ns0:c r="C1683" s="19" t="inlineStr">
        <ns0:is>
          <ns0:t>Reported</ns0:t>
        </ns0:is>
      </ns0:c>
      <ns0:c r="D1683" s="19" t="inlineStr">
        <ns0:is>
          <ns0:t>Not reported in assessed sources</ns0:t>
        </ns0:is>
      </ns0:c>
      <ns0:c r="E1683" s="19" t="inlineStr">
        <ns0:is>
          <ns0:t>ESCS decision algorithm explicitly intended to guide pediatricians; secondary future cognitive-outcome model recorded. Longitudinal analysis does not establish prospective model evaluation.</ns0:t>
        </ns0:is>
      </ns0:c>
      <ns0:c r="F1683" s="19" t="inlineStr">
        <ns0:is>
          <ns0:t>https://doi.org/10.1016/j.jpedcp.2025.200176</ns0:t>
        </ns0:is>
      </ns0:c>
      <ns0:c r="G1683" s="19" t="inlineStr">
        <ns0:is>
          <ns0:t>ChatGPT-assisted evidence recharting, 2026-09-08</ns0:t>
        </ns0:is>
      </ns0:c>
    </ns0:row>
    <ns0:row r="1684" ht="42" customHeight="1">
      <ns0:c r="A1684" s="21" t="inlineStr">
        <ns0:is>
          <ns0:t>new_132</ns0:t>
        </ns0:is>
      </ns0:c>
      <ns0:c r="B1684" s="21" t="inlineStr">
        <ns0:is>
          <ns0:t>integrity_status</ns0:t>
        </ns0:is>
      </ns0:c>
      <ns0:c r="C1684" s="21" t="inlineStr"/>
      <ns0:c r="D1684" s="21" t="inlineStr">
        <ns0:is>
          <ns0:t>Not recorded</ns0:t>
        </ns0:is>
      </ns0:c>
      <ns0:c r="E1684" s="21" t="inlineStr">
        <ns0:is>
          <ns0:t>ESCS decision algorithm explicitly intended to guide pediatricians; secondary future cognitive-outcome model recorded. Longitudinal analysis does not establish prospective model evaluation.</ns0:t>
        </ns0:is>
      </ns0:c>
      <ns0:c r="F1684" s="21" t="inlineStr">
        <ns0:is>
          <ns0:t>https://doi.org/10.1016/j.jpedcp.2025.200176</ns0:t>
        </ns0:is>
      </ns0:c>
      <ns0:c r="G1684" s="21" t="inlineStr">
        <ns0:is>
          <ns0:t>ChatGPT-assisted evidence recharting, 2026-09-08</ns0:t>
        </ns0:is>
      </ns0:c>
    </ns0:row>
    <ns0:row r="1685" ht="42" customHeight="1">
      <ns0:c r="A1685" s="19" t="inlineStr">
        <ns0:is>
          <ns0:t>new_145</ns0:t>
        </ns0:is>
      </ns0:c>
      <ns0:c r="B1685" s="19" t="inlineStr">
        <ns0:is>
          <ns0:t>data_source_primary</ns0:t>
        </ns0:is>
      </ns0:c>
      <ns0:c r="C1685" s="19" t="inlineStr">
        <ns0:is>
          <ns0:t>Multiple modalities (as coded)</ns0:t>
        </ns0:is>
      </ns0:c>
      <ns0:c r="D1685" s="19" t="inlineStr">
        <ns0:is>
          <ns0:t>Multiple source categories</ns0:t>
        </ns0:is>
      </ns0:c>
      <ns0:c r="E1685" s="19" t="inlineStr">
        <ns0:is>
          <ns0:t>Behavioral and multimodal model experiments with SHAP/LIME; no actual clinician workflow use is reported.</ns0:t>
        </ns0:is>
      </ns0:c>
      <ns0:c r="F1685" s="19" t="inlineStr">
        <ns0:is>
          <ns0:t>https://doi.org/10.32604/cmes.2025.074627</ns0:t>
        </ns0:is>
      </ns0:c>
      <ns0:c r="G1685" s="19" t="inlineStr">
        <ns0:is>
          <ns0:t>ChatGPT-assisted evidence recharting, 2026-09-08</ns0:t>
        </ns0:is>
      </ns0:c>
    </ns0:row>
    <ns0:row r="1686" ht="42" customHeight="1">
      <ns0:c r="A1686" s="21" t="inlineStr">
        <ns0:is>
          <ns0:t>new_145</ns0:t>
        </ns0:is>
      </ns0:c>
      <ns0:c r="B1686" s="21" t="inlineStr">
        <ns0:is>
          <ns0:t>algorithm_main</ns0:t>
        </ns0:is>
      </ns0:c>
      <ns0:c r="C1686" s="21" t="inlineStr">
        <ns0:is>
          <ns0:t>RF/XGBoost/neural-network ensemble</ns0:t>
        </ns0:is>
      </ns0:c>
      <ns0:c r="D1686" s="21" t="inlineStr">
        <ns0:is>
          <ns0:t>Mixed-model ensemble</ns0:t>
        </ns0:is>
      </ns0:c>
      <ns0:c r="E1686" s="21" t="inlineStr">
        <ns0:is>
          <ns0:t>Behavioral and multimodal model experiments with SHAP/LIME; no actual clinician workflow use is reported.</ns0:t>
        </ns0:is>
      </ns0:c>
      <ns0:c r="F1686" s="21" t="inlineStr">
        <ns0:is>
          <ns0:t>https://doi.org/10.32604/cmes.2025.074627</ns0:t>
        </ns0:is>
      </ns0:c>
      <ns0:c r="G1686" s="21" t="inlineStr">
        <ns0:is>
          <ns0:t>ChatGPT-assisted evidence recharting, 2026-09-08</ns0:t>
        </ns0:is>
      </ns0:c>
    </ns0:row>
    <ns0:row r="1687" ht="42" customHeight="1">
      <ns0:c r="A1687" s="19" t="inlineStr">
        <ns0:is>
          <ns0:t>new_145</ns0:t>
        </ns0:is>
      </ns0:c>
      <ns0:c r="B1687" s="19" t="inlineStr">
        <ns0:is>
          <ns0:t>rq2_status</ns0:t>
        </ns0:is>
      </ns0:c>
      <ns0:c r="C1687" s="19" t="inlineStr">
        <ns0:is>
          <ns0:t>Proposed only</ns0:t>
        </ns0:is>
      </ns0:c>
      <ns0:c r="D1687" s="19" t="inlineStr">
        <ns0:is>
          <ns0:t>Research only</ns0:t>
        </ns0:is>
      </ns0:c>
      <ns0:c r="E1687" s="19" t="inlineStr">
        <ns0:is>
          <ns0:t>Behavioral and multimodal model experiments with SHAP/LIME; no actual clinician workflow use is reported.</ns0:t>
        </ns0:is>
      </ns0:c>
      <ns0:c r="F1687" s="19" t="inlineStr">
        <ns0:is>
          <ns0:t>https://doi.org/10.32604/cmes.2025.074627</ns0:t>
        </ns0:is>
      </ns0:c>
      <ns0:c r="G1687" s="19" t="inlineStr">
        <ns0:is>
          <ns0:t>ChatGPT-assisted evidence recharting, 2026-09-08</ns0:t>
        </ns0:is>
      </ns0:c>
    </ns0:row>
    <ns0:row r="1688" ht="42" customHeight="1">
      <ns0:c r="A1688" s="21" t="inlineStr">
        <ns0:is>
          <ns0:t>new_145</ns0:t>
        </ns0:is>
      </ns0:c>
      <ns0:c r="B1688" s="21" t="inlineStr">
        <ns0:is>
          <ns0:t>rq2_role</ns0:t>
        </ns0:is>
      </ns0:c>
      <ns0:c r="C1688" s="21" t="inlineStr">
        <ns0:is>
          <ns0:t>Clinician-facing research prototype</ns0:t>
        </ns0:is>
      </ns0:c>
      <ns0:c r="D1688" s="21" t="inlineStr">
        <ns0:is>
          <ns0:t>Automated measurement/classification</ns0:t>
        </ns0:is>
      </ns0:c>
      <ns0:c r="E1688" s="21" t="inlineStr">
        <ns0:is>
          <ns0:t>Behavioral and multimodal model experiments with SHAP/LIME; no actual clinician workflow use is reported.</ns0:t>
        </ns0:is>
      </ns0:c>
      <ns0:c r="F1688" s="21" t="inlineStr">
        <ns0:is>
          <ns0:t>https://doi.org/10.32604/cmes.2025.074627</ns0:t>
        </ns0:is>
      </ns0:c>
      <ns0:c r="G1688" s="21" t="inlineStr">
        <ns0:is>
          <ns0:t>ChatGPT-assisted evidence recharting, 2026-09-08</ns0:t>
        </ns0:is>
      </ns0:c>
    </ns0:row>
    <ns0:row r="1689" ht="42" customHeight="1">
      <ns0:c r="A1689" s="19" t="inlineStr">
        <ns0:is>
          <ns0:t>new_145</ns0:t>
        </ns0:is>
      </ns0:c>
      <ns0:c r="B1689" s="19" t="inlineStr">
        <ns0:is>
          <ns0:t>decision_timing</ns0:t>
        </ns0:is>
      </ns0:c>
      <ns0:c r="C1689" s="19" t="inlineStr"/>
      <ns0:c r="D1689" s="19" t="inlineStr">
        <ns0:is>
          <ns0:t>Not observed in assessed sources</ns0:t>
        </ns0:is>
      </ns0:c>
      <ns0:c r="E1689" s="19" t="inlineStr">
        <ns0:is>
          <ns0:t>Behavioral and multimodal model experiments with SHAP/LIME; no actual clinician workflow use is reported.</ns0:t>
        </ns0:is>
      </ns0:c>
      <ns0:c r="F1689" s="19" t="inlineStr">
        <ns0:is>
          <ns0:t>https://doi.org/10.32604/cmes.2025.074627</ns0:t>
        </ns0:is>
      </ns0:c>
      <ns0:c r="G1689" s="19" t="inlineStr">
        <ns0:is>
          <ns0:t>ChatGPT-assisted evidence recharting, 2026-09-08</ns0:t>
        </ns0:is>
      </ns0:c>
    </ns0:row>
    <ns0:row r="1690" ht="42" customHeight="1">
      <ns0:c r="A1690" s="21" t="inlineStr">
        <ns0:is>
          <ns0:t>new_145</ns0:t>
        </ns0:is>
      </ns0:c>
      <ns0:c r="B1690" s="21" t="inlineStr">
        <ns0:is>
          <ns0:t>integrity_status</ns0:t>
        </ns0:is>
      </ns0:c>
      <ns0:c r="C1690" s="21" t="inlineStr"/>
      <ns0:c r="D1690" s="21" t="inlineStr">
        <ns0:is>
          <ns0:t>Not recorded</ns0:t>
        </ns0:is>
      </ns0:c>
      <ns0:c r="E1690" s="21" t="inlineStr">
        <ns0:is>
          <ns0:t>Behavioral and multimodal model experiments with SHAP/LIME; no actual clinician workflow use is reported.</ns0:t>
        </ns0:is>
      </ns0:c>
      <ns0:c r="F1690" s="21" t="inlineStr">
        <ns0:is>
          <ns0:t>https://doi.org/10.32604/cmes.2025.074627</ns0:t>
        </ns0:is>
      </ns0:c>
      <ns0:c r="G1690" s="21" t="inlineStr">
        <ns0:is>
          <ns0:t>ChatGPT-assisted evidence recharting, 2026-09-08</ns0:t>
        </ns0:is>
      </ns0:c>
    </ns0:row>
    <ns0:row r="1691" ht="57" customHeight="1">
      <ns0:c r="A1691" s="19" t="inlineStr">
        <ns0:is>
          <ns0:t>new_160</ns0:t>
        </ns0:is>
      </ns0:c>
      <ns0:c r="B1691" s="19" t="inlineStr">
        <ns0:is>
          <ns0:t>data_source_primary</ns0:t>
        </ns0:is>
      </ns0:c>
      <ns0:c r="C1691" s="19" t="inlineStr">
        <ns0:is>
          <ns0:t>Text / language</ns0:t>
        </ns0:is>
      </ns0:c>
      <ns0:c r="D1691" s="19" t="inlineStr">
        <ns0:is>
          <ns0:t>Text/language</ns0:t>
        </ns0:is>
      </ns0:c>
      <ns0:c r="E1691" s="19" t="inlineStr">
        <ns0:is>
          <ns0:t>Published final article validates LLM annotation of caregiver health-information communities; no care decisions made by this model.
Caregiver information-needs research rather than an AI decision or delivered care-support system; exclude in direct clinical-endpoint sensitivity.</ns0:t>
        </ns0:is>
      </ns0:c>
      <ns0:c r="F1691" s="19" t="inlineStr">
        <ns0:is>
          <ns0:t>https://www.jmir.org/2026/1/e85290</ns0:t>
        </ns0:is>
      </ns0:c>
      <ns0:c r="G1691" s="19" t="inlineStr">
        <ns0:is>
          <ns0:t>ChatGPT-assisted evidence recharting, 2026-09-08</ns0:t>
        </ns0:is>
      </ns0:c>
    </ns0:row>
    <ns0:row r="1692" ht="57" customHeight="1">
      <ns0:c r="A1692" s="21" t="inlineStr">
        <ns0:is>
          <ns0:t>new_160</ns0:t>
        </ns0:is>
      </ns0:c>
      <ns0:c r="B1692" s="21" t="inlineStr">
        <ns0:is>
          <ns0:t>algorithm_main</ns0:t>
        </ns0:is>
      </ns0:c>
      <ns0:c r="C1692" s="21" t="inlineStr">
        <ns0:is>
          <ns0:t>Large language models for assisted annotation</ns0:t>
        </ns0:is>
      </ns0:c>
      <ns0:c r="D1692" s="21" t="inlineStr">
        <ns0:is>
          <ns0:t>Transformer</ns0:t>
        </ns0:is>
      </ns0:c>
      <ns0:c r="E1692" s="21" t="inlineStr">
        <ns0:is>
          <ns0:t>Published final article validates LLM annotation of caregiver health-information communities; no care decisions made by this model.
Caregiver information-needs research rather than an AI decision or delivered care-support system; exclude in direct clinical-endpoint sensitivity.</ns0:t>
        </ns0:is>
      </ns0:c>
      <ns0:c r="F1692" s="21" t="inlineStr">
        <ns0:is>
          <ns0:t>https://www.jmir.org/2026/1/e85290</ns0:t>
        </ns0:is>
      </ns0:c>
      <ns0:c r="G1692" s="21" t="inlineStr">
        <ns0:is>
          <ns0:t>ChatGPT-assisted evidence recharting, 2026-09-08</ns0:t>
        </ns0:is>
      </ns0:c>
    </ns0:row>
    <ns0:row r="1693" ht="57" customHeight="1">
      <ns0:c r="A1693" s="19" t="inlineStr">
        <ns0:is>
          <ns0:t>new_160</ns0:t>
        </ns0:is>
      </ns0:c>
      <ns0:c r="B1693" s="19" t="inlineStr">
        <ns0:is>
          <ns0:t>rq2_role</ns0:t>
        </ns0:is>
      </ns0:c>
      <ns0:c r="C1693" s="19" t="inlineStr">
        <ns0:is>
          <ns0:t>Online-community analysis</ns0:t>
        </ns0:is>
      </ns0:c>
      <ns0:c r="D1693" s="19" t="inlineStr">
        <ns0:is>
          <ns0:t>Research characterization</ns0:t>
        </ns0:is>
      </ns0:c>
      <ns0:c r="E1693" s="19" t="inlineStr">
        <ns0:is>
          <ns0:t>Published final article validates LLM annotation of caregiver health-information communities; no care decisions made by this model.
Caregiver information-needs research rather than an AI decision or delivered care-support system; exclude in direct clinical-endpoint sensitivity.</ns0:t>
        </ns0:is>
      </ns0:c>
      <ns0:c r="F1693" s="19" t="inlineStr">
        <ns0:is>
          <ns0:t>https://www.jmir.org/2026/1/e85290</ns0:t>
        </ns0:is>
      </ns0:c>
      <ns0:c r="G1693" s="19" t="inlineStr">
        <ns0:is>
          <ns0:t>ChatGPT-assisted evidence recharting, 2026-09-08</ns0:t>
        </ns0:is>
      </ns0:c>
    </ns0:row>
    <ns0:row r="1694" ht="57" customHeight="1">
      <ns0:c r="A1694" s="21" t="inlineStr">
        <ns0:is>
          <ns0:t>new_160</ns0:t>
        </ns0:is>
      </ns0:c>
      <ns0:c r="B1694" s="21" t="inlineStr">
        <ns0:is>
          <ns0:t>decision_timing</ns0:t>
        </ns0:is>
      </ns0:c>
      <ns0:c r="C1694" s="21" t="inlineStr"/>
      <ns0:c r="D1694" s="21" t="inlineStr">
        <ns0:is>
          <ns0:t>Not observed in assessed sources</ns0:t>
        </ns0:is>
      </ns0:c>
      <ns0:c r="E1694" s="21" t="inlineStr">
        <ns0:is>
          <ns0:t>Published final article validates LLM annotation of caregiver health-information communities; no care decisions made by this model.
Caregiver information-needs research rather than an AI decision or delivered care-support system; exclude in direct clinical-endpoint sensitivity.</ns0:t>
        </ns0:is>
      </ns0:c>
      <ns0:c r="F1694" s="21" t="inlineStr">
        <ns0:is>
          <ns0:t>https://www.jmir.org/2026/1/e85290</ns0:t>
        </ns0:is>
      </ns0:c>
      <ns0:c r="G1694" s="21" t="inlineStr">
        <ns0:is>
          <ns0:t>ChatGPT-assisted evidence recharting, 2026-09-08</ns0:t>
        </ns0:is>
      </ns0:c>
    </ns0:row>
    <ns0:row r="1695" ht="57" customHeight="1">
      <ns0:c r="A1695" s="19" t="inlineStr">
        <ns0:is>
          <ns0:t>new_160</ns0:t>
        </ns0:is>
      </ns0:c>
      <ns0:c r="B1695" s="19" t="inlineStr">
        <ns0:is>
          <ns0:t>title</ns0:t>
        </ns0:is>
      </ns0:c>
      <ns0:c r="C1695" s="19" t="inlineStr">
        <ns0:is>
          <ns0:t>LLM-Assisted Annotation Framework for Cross Platform Analysis of Autism Online Communities: Implications for Parent Education and Digital Support (Preprint)</ns0:t>
        </ns0:is>
      </ns0:c>
      <ns0:c r="D1695" s="19" t="inlineStr">
        <ns0:is>
          <ns0:t>Large Language Model-Assisted Annotation Framework for Cross-Platform Analysis of Online Autism Communities: Implications for Parent Education and Digital Support</ns0:t>
        </ns0:is>
      </ns0:c>
      <ns0:c r="E1695" s="19" t="inlineStr">
        <ns0:is>
          <ns0:t>Published final article validates LLM annotation of caregiver health-information communities; no care decisions made by this model.
Caregiver information-needs research rather than an AI decision or delivered care-support system; exclude in direct clinical-endpoint sensitivity.</ns0:t>
        </ns0:is>
      </ns0:c>
      <ns0:c r="F1695" s="19" t="inlineStr">
        <ns0:is>
          <ns0:t>https://www.jmir.org/2026/1/e85290</ns0:t>
        </ns0:is>
      </ns0:c>
      <ns0:c r="G1695" s="19" t="inlineStr">
        <ns0:is>
          <ns0:t>ChatGPT-assisted evidence recharting, 2026-09-08</ns0:t>
        </ns0:is>
      </ns0:c>
    </ns0:row>
    <ns0:row r="1696" ht="57" customHeight="1">
      <ns0:c r="A1696" s="21" t="inlineStr">
        <ns0:is>
          <ns0:t>new_160</ns0:t>
        </ns0:is>
      </ns0:c>
      <ns0:c r="B1696" s="21" t="inlineStr">
        <ns0:is>
          <ns0:t>integrity_status</ns0:t>
        </ns0:is>
      </ns0:c>
      <ns0:c r="C1696" s="21" t="inlineStr"/>
      <ns0:c r="D1696" s="21" t="inlineStr">
        <ns0:is>
          <ns0:t>Not recorded</ns0:t>
        </ns0:is>
      </ns0:c>
      <ns0:c r="E1696" s="21" t="inlineStr">
        <ns0:is>
          <ns0:t>Published final article validates LLM annotation of caregiver health-information communities; no care decisions made by this model.
Caregiver information-needs research rather than an AI decision or delivered care-support system; exclude in direct clinical-endpoint sensitivity.</ns0:t>
        </ns0:is>
      </ns0:c>
      <ns0:c r="F1696" s="21" t="inlineStr">
        <ns0:is>
          <ns0:t>https://www.jmir.org/2026/1/e85290</ns0:t>
        </ns0:is>
      </ns0:c>
      <ns0:c r="G1696" s="21" t="inlineStr">
        <ns0:is>
          <ns0:t>ChatGPT-assisted evidence recharting, 2026-09-08</ns0:t>
        </ns0:is>
      </ns0:c>
    </ns0:row>
    <ns0:row r="1697" ht="42" customHeight="1">
      <ns0:c r="A1697" s="19" t="inlineStr">
        <ns0:is>
          <ns0:t>new_169</ns0:t>
        </ns0:is>
      </ns0:c>
      <ns0:c r="B1697" s="19" t="inlineStr">
        <ns0:is>
          <ns0:t>data_source_primary</ns0:t>
        </ns0:is>
      </ns0:c>
      <ns0:c r="C1697" s="19" t="inlineStr">
        <ns0:is>
          <ns0:t>Multiple modalities (as coded)</ns0:t>
        </ns0:is>
      </ns0:c>
      <ns0:c r="D1697" s="19" t="inlineStr">
        <ns0:is>
          <ns0:t>Text/language</ns0:t>
        </ns0:is>
      </ns0:c>
      <ns0:c r="E1697" s="19" t="inlineStr">
        <ns0:is>
          <ns0:t>GPT chatbot delivers positive-psychology intervention to ASD caregivers. Well-being scales and interviews evaluate outcomes rather than establish multimodal AI input.</ns0:t>
        </ns0:is>
      </ns0:c>
      <ns0:c r="F1697" s="19" t="inlineStr">
        <ns0:is>
          <ns0:t>https://doi.org/10.2196/85060</ns0:t>
        </ns0:is>
      </ns0:c>
      <ns0:c r="G1697" s="19" t="inlineStr">
        <ns0:is>
          <ns0:t>ChatGPT-assisted evidence recharting, 2026-09-08</ns0:t>
        </ns0:is>
      </ns0:c>
    </ns0:row>
    <ns0:row r="1698" ht="42" customHeight="1">
      <ns0:c r="A1698" s="21" t="inlineStr">
        <ns0:is>
          <ns0:t>new_169</ns0:t>
        </ns0:is>
      </ns0:c>
      <ns0:c r="B1698" s="21" t="inlineStr">
        <ns0:is>
          <ns0:t>algorithm_main</ns0:t>
        </ns0:is>
      </ns0:c>
      <ns0:c r="C1698" s="21" t="inlineStr">
        <ns0:is>
          <ns0:t>GPT-powered chatbot</ns0:t>
        </ns0:is>
      </ns0:c>
      <ns0:c r="D1698" s="21" t="inlineStr">
        <ns0:is>
          <ns0:t>Transformer</ns0:t>
        </ns0:is>
      </ns0:c>
      <ns0:c r="E1698" s="21" t="inlineStr">
        <ns0:is>
          <ns0:t>GPT chatbot delivers positive-psychology intervention to ASD caregivers. Well-being scales and interviews evaluate outcomes rather than establish multimodal AI input.</ns0:t>
        </ns0:is>
      </ns0:c>
      <ns0:c r="F1698" s="21" t="inlineStr">
        <ns0:is>
          <ns0:t>https://doi.org/10.2196/85060</ns0:t>
        </ns0:is>
      </ns0:c>
      <ns0:c r="G1698" s="21" t="inlineStr">
        <ns0:is>
          <ns0:t>ChatGPT-assisted evidence recharting, 2026-09-08</ns0:t>
        </ns0:is>
      </ns0:c>
    </ns0:row>
    <ns0:row r="1699" ht="42" customHeight="1">
      <ns0:c r="A1699" s="19" t="inlineStr">
        <ns0:is>
          <ns0:t>new_169</ns0:t>
        </ns0:is>
      </ns0:c>
      <ns0:c r="B1699" s="19" t="inlineStr">
        <ns0:is>
          <ns0:t>rq2_status</ns0:t>
        </ns0:is>
      </ns0:c>
      <ns0:c r="C1699" s="19" t="inlineStr">
        <ns0:is>
          <ns0:t>Confirmed in intervention</ns0:t>
        </ns0:is>
      </ns0:c>
      <ns0:c r="D1699" s="19" t="inlineStr">
        <ns0:is>
          <ns0:t>Evaluated AI-supported intervention</ns0:t>
        </ns0:is>
      </ns0:c>
      <ns0:c r="E1699" s="19" t="inlineStr">
        <ns0:is>
          <ns0:t>GPT chatbot delivers positive-psychology intervention to ASD caregivers. Well-being scales and interviews evaluate outcomes rather than establish multimodal AI input.</ns0:t>
        </ns0:is>
      </ns0:c>
      <ns0:c r="F1699" s="19" t="inlineStr">
        <ns0:is>
          <ns0:t>https://doi.org/10.2196/85060</ns0:t>
        </ns0:is>
      </ns0:c>
      <ns0:c r="G1699" s="19" t="inlineStr">
        <ns0:is>
          <ns0:t>ChatGPT-assisted evidence recharting, 2026-09-08</ns0:t>
        </ns0:is>
      </ns0:c>
    </ns0:row>
    <ns0:row r="1700" ht="42" customHeight="1">
      <ns0:c r="A1700" s="21" t="inlineStr">
        <ns0:is>
          <ns0:t>new_169</ns0:t>
        </ns0:is>
      </ns0:c>
      <ns0:c r="B1700" s="21" t="inlineStr">
        <ns0:is>
          <ns0:t>rq2_role</ns0:t>
        </ns0:is>
      </ns0:c>
      <ns0:c r="C1700" s="21" t="inlineStr">
        <ns0:is>
          <ns0:t>Evaluated caregiver intervention</ns0:t>
        </ns0:is>
      </ns0:c>
      <ns0:c r="D1700" s="21" t="inlineStr">
        <ns0:is>
          <ns0:t>Adaptive intervention</ns0:t>
        </ns0:is>
      </ns0:c>
      <ns0:c r="E1700" s="21" t="inlineStr">
        <ns0:is>
          <ns0:t>GPT chatbot delivers positive-psychology intervention to ASD caregivers. Well-being scales and interviews evaluate outcomes rather than establish multimodal AI input.</ns0:t>
        </ns0:is>
      </ns0:c>
      <ns0:c r="F1700" s="21" t="inlineStr">
        <ns0:is>
          <ns0:t>https://doi.org/10.2196/85060</ns0:t>
        </ns0:is>
      </ns0:c>
      <ns0:c r="G1700" s="21" t="inlineStr">
        <ns0:is>
          <ns0:t>ChatGPT-assisted evidence recharting, 2026-09-08</ns0:t>
        </ns0:is>
      </ns0:c>
    </ns0:row>
    <ns0:row r="1701" ht="42" customHeight="1">
      <ns0:c r="A1701" s="19" t="inlineStr">
        <ns0:is>
          <ns0:t>new_169</ns0:t>
        </ns0:is>
      </ns0:c>
      <ns0:c r="B1701" s="19" t="inlineStr">
        <ns0:is>
          <ns0:t>decision_timing</ns0:t>
        </ns0:is>
      </ns0:c>
      <ns0:c r="C1701" s="19" t="inlineStr"/>
      <ns0:c r="D1701" s="19" t="inlineStr">
        <ns0:is>
          <ns0:t>Post-decision</ns0:t>
        </ns0:is>
      </ns0:c>
      <ns0:c r="E1701" s="19" t="inlineStr">
        <ns0:is>
          <ns0:t>GPT chatbot delivers positive-psychology intervention to ASD caregivers. Well-being scales and interviews evaluate outcomes rather than establish multimodal AI input.</ns0:t>
        </ns0:is>
      </ns0:c>
      <ns0:c r="F1701" s="19" t="inlineStr">
        <ns0:is>
          <ns0:t>https://doi.org/10.2196/85060</ns0:t>
        </ns0:is>
      </ns0:c>
      <ns0:c r="G1701" s="19" t="inlineStr">
        <ns0:is>
          <ns0:t>ChatGPT-assisted evidence recharting, 2026-09-08</ns0:t>
        </ns0:is>
      </ns0:c>
    </ns0:row>
    <ns0:row r="1702" ht="42" customHeight="1">
      <ns0:c r="A1702" s="21" t="inlineStr">
        <ns0:is>
          <ns0:t>new_169</ns0:t>
        </ns0:is>
      </ns0:c>
      <ns0:c r="B1702" s="21" t="inlineStr">
        <ns0:is>
          <ns0:t>multisource_data</ns0:t>
        </ns0:is>
      </ns0:c>
      <ns0:c r="C1702" s="21" t="inlineStr">
        <ns0:is>
          <ns0:t>Reported</ns0:t>
        </ns0:is>
      </ns0:c>
      <ns0:c r="D1702" s="21" t="inlineStr">
        <ns0:is>
          <ns0:t>Not reported in assessed sources</ns0:t>
        </ns0:is>
      </ns0:c>
      <ns0:c r="E1702" s="21" t="inlineStr">
        <ns0:is>
          <ns0:t>GPT chatbot delivers positive-psychology intervention to ASD caregivers. Well-being scales and interviews evaluate outcomes rather than establish multimodal AI input.</ns0:t>
        </ns0:is>
      </ns0:c>
      <ns0:c r="F1702" s="21" t="inlineStr">
        <ns0:is>
          <ns0:t>https://doi.org/10.2196/85060</ns0:t>
        </ns0:is>
      </ns0:c>
      <ns0:c r="G1702" s="21" t="inlineStr">
        <ns0:is>
          <ns0:t>ChatGPT-assisted evidence recharting, 2026-09-08</ns0:t>
        </ns0:is>
      </ns0:c>
    </ns0:row>
    <ns0:row r="1703" ht="42" customHeight="1">
      <ns0:c r="A1703" s="19" t="inlineStr">
        <ns0:is>
          <ns0:t>new_169</ns0:t>
        </ns0:is>
      </ns0:c>
      <ns0:c r="B1703" s="19" t="inlineStr">
        <ns0:is>
          <ns0:t>integrity_status</ns0:t>
        </ns0:is>
      </ns0:c>
      <ns0:c r="C1703" s="19" t="inlineStr"/>
      <ns0:c r="D1703" s="19" t="inlineStr">
        <ns0:is>
          <ns0:t>Not recorded</ns0:t>
        </ns0:is>
      </ns0:c>
      <ns0:c r="E1703" s="19" t="inlineStr">
        <ns0:is>
          <ns0:t>GPT chatbot delivers positive-psychology intervention to ASD caregivers. Well-being scales and interviews evaluate outcomes rather than establish multimodal AI input.</ns0:t>
        </ns0:is>
      </ns0:c>
      <ns0:c r="F1703" s="19" t="inlineStr">
        <ns0:is>
          <ns0:t>https://doi.org/10.2196/85060</ns0:t>
        </ns0:is>
      </ns0:c>
      <ns0:c r="G1703" s="19" t="inlineStr">
        <ns0:is>
          <ns0:t>ChatGPT-assisted evidence recharting, 2026-09-08</ns0:t>
        </ns0:is>
      </ns0:c>
    </ns0:row>
    <ns0:row r="1704" ht="42" customHeight="1">
      <ns0:c r="A1704" s="21" t="inlineStr">
        <ns0:is>
          <ns0:t>new_171</ns0:t>
        </ns0:is>
      </ns0:c>
      <ns0:c r="B1704" s="21" t="inlineStr">
        <ns0:is>
          <ns0:t>ai_type</ns0:t>
        </ns0:is>
      </ns0:c>
      <ns0:c r="C1704" s="21" t="inlineStr">
        <ns0:is>
          <ns0:t>Hybrid</ns0:t>
        </ns0:is>
      </ns0:c>
      <ns0:c r="D1704" s="21" t="inlineStr">
        <ns0:is>
          <ns0:t>Deep Learning</ns0:t>
        </ns0:is>
      </ns0:c>
      <ns0:c r="E1704" s="21" t="inlineStr">
        <ns0:is>
          <ns0:t>Published final article evaluates few-shot LLM prediction of individual mindfulness response in a secondary RCT analysis; not AI-assigned treatment.</ns0:t>
        </ns0:is>
      </ns0:c>
      <ns0:c r="F1704" s="21" t="inlineStr">
        <ns0:is>
          <ns0:t>https://ai.jmir.org/2026/1/e89054</ns0:t>
        </ns0:is>
      </ns0:c>
      <ns0:c r="G1704" s="21" t="inlineStr">
        <ns0:is>
          <ns0:t>ChatGPT-assisted evidence recharting, 2026-09-08</ns0:t>
        </ns0:is>
      </ns0:c>
    </ns0:row>
    <ns0:row r="1705" ht="42" customHeight="1">
      <ns0:c r="A1705" s="19" t="inlineStr">
        <ns0:is>
          <ns0:t>new_171</ns0:t>
        </ns0:is>
      </ns0:c>
      <ns0:c r="B1705" s="19" t="inlineStr">
        <ns0:is>
          <ns0:t>data_source_primary</ns0:t>
        </ns0:is>
      </ns0:c>
      <ns0:c r="C1705" s="19" t="inlineStr">
        <ns0:is>
          <ns0:t>Structured / tabular data</ns0:t>
        </ns0:is>
      </ns0:c>
      <ns0:c r="D1705" s="19" t="inlineStr">
        <ns0:is>
          <ns0:t>Structured clinical/questionnaire data</ns0:t>
        </ns0:is>
      </ns0:c>
      <ns0:c r="E1705" s="19" t="inlineStr">
        <ns0:is>
          <ns0:t>Published final article evaluates few-shot LLM prediction of individual mindfulness response in a secondary RCT analysis; not AI-assigned treatment.</ns0:t>
        </ns0:is>
      </ns0:c>
      <ns0:c r="F1705" s="19" t="inlineStr">
        <ns0:is>
          <ns0:t>https://ai.jmir.org/2026/1/e89054</ns0:t>
        </ns0:is>
      </ns0:c>
      <ns0:c r="G1705" s="19" t="inlineStr">
        <ns0:is>
          <ns0:t>ChatGPT-assisted evidence recharting, 2026-09-08</ns0:t>
        </ns0:is>
      </ns0:c>
    </ns0:row>
    <ns0:row r="1706" ht="42" customHeight="1">
      <ns0:c r="A1706" s="21" t="inlineStr">
        <ns0:is>
          <ns0:t>new_171</ns0:t>
        </ns0:is>
      </ns0:c>
      <ns0:c r="B1706" s="21" t="inlineStr">
        <ns0:is>
          <ns0:t>algorithm_main</ns0:t>
        </ns0:is>
      </ns0:c>
      <ns0:c r="C1706" s="21" t="inlineStr">
        <ns0:is>
          <ns0:t>RF/XGBoost/TabNet/TabPFN + GPT-4o</ns0:t>
        </ns0:is>
      </ns0:c>
      <ns0:c r="D1706" s="21" t="inlineStr">
        <ns0:is>
          <ns0:t>Transformer</ns0:t>
        </ns0:is>
      </ns0:c>
      <ns0:c r="E1706" s="21" t="inlineStr">
        <ns0:is>
          <ns0:t>Published final article evaluates few-shot LLM prediction of individual mindfulness response in a secondary RCT analysis; not AI-assigned treatment.</ns0:t>
        </ns0:is>
      </ns0:c>
      <ns0:c r="F1706" s="21" t="inlineStr">
        <ns0:is>
          <ns0:t>https://ai.jmir.org/2026/1/e89054</ns0:t>
        </ns0:is>
      </ns0:c>
      <ns0:c r="G1706" s="21" t="inlineStr">
        <ns0:is>
          <ns0:t>ChatGPT-assisted evidence recharting, 2026-09-08</ns0:t>
        </ns0:is>
      </ns0:c>
    </ns0:row>
    <ns0:row r="1707" ht="42" customHeight="1">
      <ns0:c r="A1707" s="19" t="inlineStr">
        <ns0:is>
          <ns0:t>new_171</ns0:t>
        </ns0:is>
      </ns0:c>
      <ns0:c r="B1707" s="19" t="inlineStr">
        <ns0:is>
          <ns0:t>rq2_status</ns0:t>
        </ns0:is>
      </ns0:c>
      <ns0:c r="C1707" s="19" t="inlineStr">
        <ns0:is>
          <ns0:t>Proposed only</ns0:t>
        </ns0:is>
      </ns0:c>
      <ns0:c r="D1707" s="19" t="inlineStr">
        <ns0:is>
          <ns0:t>Research only</ns0:t>
        </ns0:is>
      </ns0:c>
      <ns0:c r="E1707" s="19" t="inlineStr">
        <ns0:is>
          <ns0:t>Published final article evaluates few-shot LLM prediction of individual mindfulness response in a secondary RCT analysis; not AI-assigned treatment.</ns0:t>
        </ns0:is>
      </ns0:c>
      <ns0:c r="F1707" s="19" t="inlineStr">
        <ns0:is>
          <ns0:t>https://ai.jmir.org/2026/1/e89054</ns0:t>
        </ns0:is>
      </ns0:c>
      <ns0:c r="G1707" s="19" t="inlineStr">
        <ns0:is>
          <ns0:t>ChatGPT-assisted evidence recharting, 2026-09-08</ns0:t>
        </ns0:is>
      </ns0:c>
    </ns0:row>
    <ns0:row r="1708" ht="42" customHeight="1">
      <ns0:c r="A1708" s="21" t="inlineStr">
        <ns0:is>
          <ns0:t>new_171</ns0:t>
        </ns0:is>
      </ns0:c>
      <ns0:c r="B1708" s="21" t="inlineStr">
        <ns0:is>
          <ns0:t>rq2_role</ns0:t>
        </ns0:is>
      </ns0:c>
      <ns0:c r="C1708" s="21" t="inlineStr">
        <ns0:is>
          <ns0:t>Secondary RCT analysis</ns0:t>
        </ns0:is>
      </ns0:c>
      <ns0:c r="D1708" s="21" t="inlineStr">
        <ns0:is>
          <ns0:t>Risk/trajectory estimation</ns0:t>
        </ns0:is>
      </ns0:c>
      <ns0:c r="E1708" s="21" t="inlineStr">
        <ns0:is>
          <ns0:t>Published final article evaluates few-shot LLM prediction of individual mindfulness response in a secondary RCT analysis; not AI-assigned treatment.</ns0:t>
        </ns0:is>
      </ns0:c>
      <ns0:c r="F1708" s="21" t="inlineStr">
        <ns0:is>
          <ns0:t>https://ai.jmir.org/2026/1/e89054</ns0:t>
        </ns0:is>
      </ns0:c>
      <ns0:c r="G1708" s="21" t="inlineStr">
        <ns0:is>
          <ns0:t>ChatGPT-assisted evidence recharting, 2026-09-08</ns0:t>
        </ns0:is>
      </ns0:c>
    </ns0:row>
    <ns0:row r="1709" ht="42" customHeight="1">
      <ns0:c r="A1709" s="19" t="inlineStr">
        <ns0:is>
          <ns0:t>new_171</ns0:t>
        </ns0:is>
      </ns0:c>
      <ns0:c r="B1709" s="19" t="inlineStr">
        <ns0:is>
          <ns0:t>decision_timing</ns0:t>
        </ns0:is>
      </ns0:c>
      <ns0:c r="C1709" s="19" t="inlineStr"/>
      <ns0:c r="D1709" s="19" t="inlineStr">
        <ns0:is>
          <ns0:t>Not observed in assessed sources</ns0:t>
        </ns0:is>
      </ns0:c>
      <ns0:c r="E1709" s="19" t="inlineStr">
        <ns0:is>
          <ns0:t>Published final article evaluates few-shot LLM prediction of individual mindfulness response in a secondary RCT analysis; not AI-assigned treatment.</ns0:t>
        </ns0:is>
      </ns0:c>
      <ns0:c r="F1709" s="19" t="inlineStr">
        <ns0:is>
          <ns0:t>https://ai.jmir.org/2026/1/e89054</ns0:t>
        </ns0:is>
      </ns0:c>
      <ns0:c r="G1709" s="19" t="inlineStr">
        <ns0:is>
          <ns0:t>ChatGPT-assisted evidence recharting, 2026-09-08</ns0:t>
        </ns0:is>
      </ns0:c>
    </ns0:row>
    <ns0:row r="1710" ht="57" customHeight="1">
      <ns0:c r="A1710" s="21" t="inlineStr">
        <ns0:is>
          <ns0:t>new_171</ns0:t>
        </ns0:is>
      </ns0:c>
      <ns0:c r="B1710" s="21" t="inlineStr">
        <ns0:is>
          <ns0:t>title</ns0:t>
        </ns0:is>
      </ns0:c>
      <ns0:c r="C1710" s="21" t="inlineStr">
        <ns0:is>
          <ns0:t>Artificial Intelligence Prediction of Individual Treatment Response to Smartphone-Based Mindfulness in Autistic Adults with Anxiety Symptoms: A Randomized Controlled Trial Analysis (Preprint)</ns0:t>
        </ns0:is>
      </ns0:c>
      <ns0:c r="D1710" s="21" t="inlineStr">
        <ns0:is>
          <ns0:t>Large Language Model Few-Shot Learning for Predicting Individual Treatment Response to Smartphone-Based Mindfulness in Autistic Adults With Anxiety: Secondary Analysis of a Randomized Controlled Trial</ns0:t>
        </ns0:is>
      </ns0:c>
      <ns0:c r="E1710" s="21" t="inlineStr">
        <ns0:is>
          <ns0:t>Published final article evaluates few-shot LLM prediction of individual mindfulness response in a secondary RCT analysis; not AI-assigned treatment.</ns0:t>
        </ns0:is>
      </ns0:c>
      <ns0:c r="F1710" s="21" t="inlineStr">
        <ns0:is>
          <ns0:t>https://ai.jmir.org/2026/1/e89054</ns0:t>
        </ns0:is>
      </ns0:c>
      <ns0:c r="G1710" s="21" t="inlineStr">
        <ns0:is>
          <ns0:t>ChatGPT-assisted evidence recharting, 2026-09-08</ns0:t>
        </ns0:is>
      </ns0:c>
    </ns0:row>
    <ns0:row r="1711" ht="42" customHeight="1">
      <ns0:c r="A1711" s="19" t="inlineStr">
        <ns0:is>
          <ns0:t>new_171</ns0:t>
        </ns0:is>
      </ns0:c>
      <ns0:c r="B1711" s="19" t="inlineStr">
        <ns0:is>
          <ns0:t>integrity_status</ns0:t>
        </ns0:is>
      </ns0:c>
      <ns0:c r="C1711" s="19" t="inlineStr"/>
      <ns0:c r="D1711" s="19" t="inlineStr">
        <ns0:is>
          <ns0:t>Not recorded</ns0:t>
        </ns0:is>
      </ns0:c>
      <ns0:c r="E1711" s="19" t="inlineStr">
        <ns0:is>
          <ns0:t>Published final article evaluates few-shot LLM prediction of individual mindfulness response in a secondary RCT analysis; not AI-assigned treatment.</ns0:t>
        </ns0:is>
      </ns0:c>
      <ns0:c r="F1711" s="19" t="inlineStr">
        <ns0:is>
          <ns0:t>https://ai.jmir.org/2026/1/e89054</ns0:t>
        </ns0:is>
      </ns0:c>
      <ns0:c r="G1711" s="19" t="inlineStr">
        <ns0:is>
          <ns0:t>ChatGPT-assisted evidence recharting, 2026-09-08</ns0:t>
        </ns0:is>
      </ns0:c>
    </ns0:row>
    <ns0:row r="1712" ht="42" customHeight="1">
      <ns0:c r="A1712" s="21" t="inlineStr">
        <ns0:is>
          <ns0:t>new_172</ns0:t>
        </ns0:is>
      </ns0:c>
      <ns0:c r="B1712" s="21" t="inlineStr">
        <ns0:is>
          <ns0:t>eligibility</ns0:t>
        </ns0:is>
      </ns0:c>
      <ns0:c r="C1712" s="21" t="inlineStr">
        <ns0:is>
          <ns0:t>Include</ns0:t>
        </ns0:is>
      </ns0:c>
      <ns0:c r="D1712" s="21" t="inlineStr">
        <ns0:is>
          <ns0:t>Exclude</ns0:t>
        </ns0:is>
      </ns0:c>
      <ns0:c r="E1712" s="21" t="inlineStr">
        <ns0:is>
          <ns0:t>Public sentiment comparison of ADHD/ASD and other diagnoses on X; computational discourse analysis without an evaluated ASD clinical or care-support model.</ns0:t>
        </ns0:is>
      </ns0:c>
      <ns0:c r="F1712" s="21" t="inlineStr">
        <ns0:is>
          <ns0:t>https://doi.org/10.2196/74440</ns0:t>
        </ns0:is>
      </ns0:c>
      <ns0:c r="G1712" s="21" t="inlineStr">
        <ns0:is>
          <ns0:t>ChatGPT-assisted evidence recharting, 2026-09-08</ns0:t>
        </ns0:is>
      </ns0:c>
    </ns0:row>
    <ns0:row r="1713" ht="42" customHeight="1">
      <ns0:c r="A1713" s="19" t="inlineStr">
        <ns0:is>
          <ns0:t>new_172</ns0:t>
        </ns0:is>
      </ns0:c>
      <ns0:c r="B1713" s="19" t="inlineStr">
        <ns0:is>
          <ns0:t>stage_primary</ns0:t>
        </ns0:is>
      </ns0:c>
      <ns0:c r="C1713" s="19" t="inlineStr">
        <ns0:is>
          <ns0:t>Not specified</ns0:t>
        </ns0:is>
      </ns0:c>
      <ns0:c r="D1713" s="19" t="inlineStr">
        <ns0:is>
          <ns0:t>Excluded</ns0:t>
        </ns0:is>
      </ns0:c>
      <ns0:c r="E1713" s="19" t="inlineStr">
        <ns0:is>
          <ns0:t>Public sentiment comparison of ADHD/ASD and other diagnoses on X; computational discourse analysis without an evaluated ASD clinical or care-support model.</ns0:t>
        </ns0:is>
      </ns0:c>
      <ns0:c r="F1713" s="19" t="inlineStr">
        <ns0:is>
          <ns0:t>https://doi.org/10.2196/74440</ns0:t>
        </ns0:is>
      </ns0:c>
      <ns0:c r="G1713" s="19" t="inlineStr">
        <ns0:is>
          <ns0:t>ChatGPT-assisted evidence recharting, 2026-09-08</ns0:t>
        </ns0:is>
      </ns0:c>
    </ns0:row>
    <ns0:row r="1714" ht="42" customHeight="1">
      <ns0:c r="A1714" s="21" t="inlineStr">
        <ns0:is>
          <ns0:t>new_172</ns0:t>
        </ns0:is>
      </ns0:c>
      <ns0:c r="B1714" s="21" t="inlineStr">
        <ns0:is>
          <ns0:t>ai_type</ns0:t>
        </ns0:is>
      </ns0:c>
      <ns0:c r="C1714" s="21" t="inlineStr">
        <ns0:is>
          <ns0:t>Machine Learning</ns0:t>
        </ns0:is>
      </ns0:c>
      <ns0:c r="D1714" s="21" t="inlineStr">
        <ns0:is>
          <ns0:t>Excluded</ns0:t>
        </ns0:is>
      </ns0:c>
      <ns0:c r="E1714" s="21" t="inlineStr">
        <ns0:is>
          <ns0:t>Public sentiment comparison of ADHD/ASD and other diagnoses on X; computational discourse analysis without an evaluated ASD clinical or care-support model.</ns0:t>
        </ns0:is>
      </ns0:c>
      <ns0:c r="F1714" s="21" t="inlineStr">
        <ns0:is>
          <ns0:t>https://doi.org/10.2196/74440</ns0:t>
        </ns0:is>
      </ns0:c>
      <ns0:c r="G1714" s="21" t="inlineStr">
        <ns0:is>
          <ns0:t>ChatGPT-assisted evidence recharting, 2026-09-08</ns0:t>
        </ns0:is>
      </ns0:c>
    </ns0:row>
    <ns0:row r="1715" ht="42" customHeight="1">
      <ns0:c r="A1715" s="19" t="inlineStr">
        <ns0:is>
          <ns0:t>new_172</ns0:t>
        </ns0:is>
      </ns0:c>
      <ns0:c r="B1715" s="19" t="inlineStr">
        <ns0:is>
          <ns0:t>data_source_primary</ns0:t>
        </ns0:is>
      </ns0:c>
      <ns0:c r="C1715" s="19" t="inlineStr">
        <ns0:is>
          <ns0:t>Text / language</ns0:t>
        </ns0:is>
      </ns0:c>
      <ns0:c r="D1715" s="19" t="inlineStr">
        <ns0:is>
          <ns0:t>Excluded</ns0:t>
        </ns0:is>
      </ns0:c>
      <ns0:c r="E1715" s="19" t="inlineStr">
        <ns0:is>
          <ns0:t>Public sentiment comparison of ADHD/ASD and other diagnoses on X; computational discourse analysis without an evaluated ASD clinical or care-support model.</ns0:t>
        </ns0:is>
      </ns0:c>
      <ns0:c r="F1715" s="19" t="inlineStr">
        <ns0:is>
          <ns0:t>https://doi.org/10.2196/74440</ns0:t>
        </ns0:is>
      </ns0:c>
      <ns0:c r="G1715" s="19" t="inlineStr">
        <ns0:is>
          <ns0:t>ChatGPT-assisted evidence recharting, 2026-09-08</ns0:t>
        </ns0:is>
      </ns0:c>
    </ns0:row>
    <ns0:row r="1716" ht="42" customHeight="1">
      <ns0:c r="A1716" s="21" t="inlineStr">
        <ns0:is>
          <ns0:t>new_172</ns0:t>
        </ns0:is>
      </ns0:c>
      <ns0:c r="B1716" s="21" t="inlineStr">
        <ns0:is>
          <ns0:t>rq2_status</ns0:t>
        </ns0:is>
      </ns0:c>
      <ns0:c r="C1716" s="21" t="inlineStr">
        <ns0:is>
          <ns0:t>Research only</ns0:t>
        </ns0:is>
      </ns0:c>
      <ns0:c r="D1716" s="21" t="inlineStr">
        <ns0:is>
          <ns0:t>Excluded</ns0:t>
        </ns0:is>
      </ns0:c>
      <ns0:c r="E1716" s="21" t="inlineStr">
        <ns0:is>
          <ns0:t>Public sentiment comparison of ADHD/ASD and other diagnoses on X; computational discourse analysis without an evaluated ASD clinical or care-support model.</ns0:t>
        </ns0:is>
      </ns0:c>
      <ns0:c r="F1716" s="21" t="inlineStr">
        <ns0:is>
          <ns0:t>https://doi.org/10.2196/74440</ns0:t>
        </ns0:is>
      </ns0:c>
      <ns0:c r="G1716" s="21" t="inlineStr">
        <ns0:is>
          <ns0:t>ChatGPT-assisted evidence recharting, 2026-09-08</ns0:t>
        </ns0:is>
      </ns0:c>
    </ns0:row>
    <ns0:row r="1717" ht="42" customHeight="1">
      <ns0:c r="A1717" s="19" t="inlineStr">
        <ns0:is>
          <ns0:t>new_172</ns0:t>
        </ns0:is>
      </ns0:c>
      <ns0:c r="B1717" s="19" t="inlineStr">
        <ns0:is>
          <ns0:t>rq2_role</ns0:t>
        </ns0:is>
      </ns0:c>
      <ns0:c r="C1717" s="19" t="inlineStr">
        <ns0:is>
          <ns0:t>Population discourse analysis</ns0:t>
        </ns0:is>
      </ns0:c>
      <ns0:c r="D1717" s="19" t="inlineStr">
        <ns0:is>
          <ns0:t>Excluded</ns0:t>
        </ns0:is>
      </ns0:c>
      <ns0:c r="E1717" s="19" t="inlineStr">
        <ns0:is>
          <ns0:t>Public sentiment comparison of ADHD/ASD and other diagnoses on X; computational discourse analysis without an evaluated ASD clinical or care-support model.</ns0:t>
        </ns0:is>
      </ns0:c>
      <ns0:c r="F1717" s="19" t="inlineStr">
        <ns0:is>
          <ns0:t>https://doi.org/10.2196/74440</ns0:t>
        </ns0:is>
      </ns0:c>
      <ns0:c r="G1717" s="19" t="inlineStr">
        <ns0:is>
          <ns0:t>ChatGPT-assisted evidence recharting, 2026-09-08</ns0:t>
        </ns0:is>
      </ns0:c>
    </ns0:row>
    <ns0:row r="1718" ht="42" customHeight="1">
      <ns0:c r="A1718" s="21" t="inlineStr">
        <ns0:is>
          <ns0:t>new_172</ns0:t>
        </ns0:is>
      </ns0:c>
      <ns0:c r="B1718" s="21" t="inlineStr">
        <ns0:is>
          <ns0:t>decision_timing</ns0:t>
        </ns0:is>
      </ns0:c>
      <ns0:c r="C1718" s="21" t="inlineStr"/>
      <ns0:c r="D1718" s="21" t="inlineStr">
        <ns0:is>
          <ns0:t>Not applicable - excluded</ns0:t>
        </ns0:is>
      </ns0:c>
      <ns0:c r="E1718" s="21" t="inlineStr">
        <ns0:is>
          <ns0:t>Public sentiment comparison of ADHD/ASD and other diagnoses on X; computational discourse analysis without an evaluated ASD clinical or care-support model.</ns0:t>
        </ns0:is>
      </ns0:c>
      <ns0:c r="F1718" s="21" t="inlineStr">
        <ns0:is>
          <ns0:t>https://doi.org/10.2196/74440</ns0:t>
        </ns0:is>
      </ns0:c>
      <ns0:c r="G1718" s="21" t="inlineStr">
        <ns0:is>
          <ns0:t>ChatGPT-assisted evidence recharting, 2026-09-08</ns0:t>
        </ns0:is>
      </ns0:c>
    </ns0:row>
    <ns0:row r="1719" ht="42" customHeight="1">
      <ns0:c r="A1719" s="19" t="inlineStr">
        <ns0:is>
          <ns0:t>new_172</ns0:t>
        </ns0:is>
      </ns0:c>
      <ns0:c r="B1719" s="19" t="inlineStr">
        <ns0:is>
          <ns0:t>integrity_status</ns0:t>
        </ns0:is>
      </ns0:c>
      <ns0:c r="C1719" s="19" t="inlineStr"/>
      <ns0:c r="D1719" s="19" t="inlineStr">
        <ns0:is>
          <ns0:t>Not recorded</ns0:t>
        </ns0:is>
      </ns0:c>
      <ns0:c r="E1719" s="19" t="inlineStr">
        <ns0:is>
          <ns0:t>Public sentiment comparison of ADHD/ASD and other diagnoses on X; computational discourse analysis without an evaluated ASD clinical or care-support model.</ns0:t>
        </ns0:is>
      </ns0:c>
      <ns0:c r="F1719" s="19" t="inlineStr">
        <ns0:is>
          <ns0:t>https://doi.org/10.2196/74440</ns0:t>
        </ns0:is>
      </ns0:c>
      <ns0:c r="G1719" s="19" t="inlineStr">
        <ns0:is>
          <ns0:t>ChatGPT-assisted evidence recharting, 2026-09-08</ns0:t>
        </ns0:is>
      </ns0:c>
    </ns0:row>
    <ns0:row r="1720" ht="42" customHeight="1">
      <ns0:c r="A1720" s="21" t="inlineStr">
        <ns0:is>
          <ns0:t>new_173</ns0:t>
        </ns0:is>
      </ns0:c>
      <ns0:c r="B1720" s="21" t="inlineStr">
        <ns0:is>
          <ns0:t>stage_primary</ns0:t>
        </ns0:is>
      </ns0:c>
      <ns0:c r="C1720" s="21" t="inlineStr">
        <ns0:is>
          <ns0:t>Not specified</ns0:t>
        </ns0:is>
      </ns0:c>
      <ns0:c r="D1720" s="21" t="inlineStr">
        <ns0:is>
          <ns0:t>Monitoring/intervention</ns0:t>
        </ns0:is>
      </ns0:c>
      <ns0:c r="E1720" s="21" t="inlineStr">
        <ns0:is>
          <ns0:t>Peer-reviewed final article benchmarks ASD information quality of general-purpose chatbots; no caregiver-outcome or clinical-use study.</ns0:t>
        </ns0:is>
      </ns0:c>
      <ns0:c r="F1720" s="21" t="inlineStr">
        <ns0:is>
          <ns0:t>https://preprints.jmir.org/preprint/85196</ns0:t>
        </ns0:is>
      </ns0:c>
      <ns0:c r="G1720" s="21" t="inlineStr">
        <ns0:is>
          <ns0:t>ChatGPT-assisted evidence recharting, 2026-09-08</ns0:t>
        </ns0:is>
      </ns0:c>
    </ns0:row>
    <ns0:row r="1721" ht="42" customHeight="1">
      <ns0:c r="A1721" s="19" t="inlineStr">
        <ns0:is>
          <ns0:t>new_173</ns0:t>
        </ns0:is>
      </ns0:c>
      <ns0:c r="B1721" s="19" t="inlineStr">
        <ns0:is>
          <ns0:t>data_source_primary</ns0:t>
        </ns0:is>
      </ns0:c>
      <ns0:c r="C1721" s="19" t="inlineStr">
        <ns0:is>
          <ns0:t>Text / language</ns0:t>
        </ns0:is>
      </ns0:c>
      <ns0:c r="D1721" s="19" t="inlineStr">
        <ns0:is>
          <ns0:t>Text/language</ns0:t>
        </ns0:is>
      </ns0:c>
      <ns0:c r="E1721" s="19" t="inlineStr">
        <ns0:is>
          <ns0:t>Peer-reviewed final article benchmarks ASD information quality of general-purpose chatbots; no caregiver-outcome or clinical-use study.</ns0:t>
        </ns0:is>
      </ns0:c>
      <ns0:c r="F1721" s="19" t="inlineStr">
        <ns0:is>
          <ns0:t>https://preprints.jmir.org/preprint/85196</ns0:t>
        </ns0:is>
      </ns0:c>
      <ns0:c r="G1721" s="19" t="inlineStr">
        <ns0:is>
          <ns0:t>ChatGPT-assisted evidence recharting, 2026-09-08</ns0:t>
        </ns0:is>
      </ns0:c>
    </ns0:row>
    <ns0:row r="1722" ht="42" customHeight="1">
      <ns0:c r="A1722" s="21" t="inlineStr">
        <ns0:is>
          <ns0:t>new_173</ns0:t>
        </ns0:is>
      </ns0:c>
      <ns0:c r="B1722" s="21" t="inlineStr">
        <ns0:is>
          <ns0:t>algorithm_main</ns0:t>
        </ns0:is>
      </ns0:c>
      <ns0:c r="C1722" s="21" t="inlineStr">
        <ns0:is>
          <ns0:t>General-purpose chatbots</ns0:t>
        </ns0:is>
      </ns0:c>
      <ns0:c r="D1722" s="21" t="inlineStr">
        <ns0:is>
          <ns0:t>Transformer</ns0:t>
        </ns0:is>
      </ns0:c>
      <ns0:c r="E1722" s="21" t="inlineStr">
        <ns0:is>
          <ns0:t>Peer-reviewed final article benchmarks ASD information quality of general-purpose chatbots; no caregiver-outcome or clinical-use study.</ns0:t>
        </ns0:is>
      </ns0:c>
      <ns0:c r="F1722" s="21" t="inlineStr">
        <ns0:is>
          <ns0:t>https://preprints.jmir.org/preprint/85196</ns0:t>
        </ns0:is>
      </ns0:c>
      <ns0:c r="G1722" s="21" t="inlineStr">
        <ns0:is>
          <ns0:t>ChatGPT-assisted evidence recharting, 2026-09-08</ns0:t>
        </ns0:is>
      </ns0:c>
    </ns0:row>
    <ns0:row r="1723" ht="42" customHeight="1">
      <ns0:c r="A1723" s="19" t="inlineStr">
        <ns0:is>
          <ns0:t>new_173</ns0:t>
        </ns0:is>
      </ns0:c>
      <ns0:c r="B1723" s="19" t="inlineStr">
        <ns0:is>
          <ns0:t>rq2_role</ns0:t>
        </ns0:is>
      </ns0:c>
      <ns0:c r="C1723" s="19" t="inlineStr">
        <ns0:is>
          <ns0:t>No care workflow</ns0:t>
        </ns0:is>
      </ns0:c>
      <ns0:c r="D1723" s="19" t="inlineStr">
        <ns0:is>
          <ns0:t>Assistive support</ns0:t>
        </ns0:is>
      </ns0:c>
      <ns0:c r="E1723" s="19" t="inlineStr">
        <ns0:is>
          <ns0:t>Peer-reviewed final article benchmarks ASD information quality of general-purpose chatbots; no caregiver-outcome or clinical-use study.</ns0:t>
        </ns0:is>
      </ns0:c>
      <ns0:c r="F1723" s="19" t="inlineStr">
        <ns0:is>
          <ns0:t>https://preprints.jmir.org/preprint/85196</ns0:t>
        </ns0:is>
      </ns0:c>
      <ns0:c r="G1723" s="19" t="inlineStr">
        <ns0:is>
          <ns0:t>ChatGPT-assisted evidence recharting, 2026-09-08</ns0:t>
        </ns0:is>
      </ns0:c>
    </ns0:row>
    <ns0:row r="1724" ht="42" customHeight="1">
      <ns0:c r="A1724" s="21" t="inlineStr">
        <ns0:is>
          <ns0:t>new_173</ns0:t>
        </ns0:is>
      </ns0:c>
      <ns0:c r="B1724" s="21" t="inlineStr">
        <ns0:is>
          <ns0:t>decision_timing</ns0:t>
        </ns0:is>
      </ns0:c>
      <ns0:c r="C1724" s="21" t="inlineStr"/>
      <ns0:c r="D1724" s="21" t="inlineStr">
        <ns0:is>
          <ns0:t>Not observed in assessed sources</ns0:t>
        </ns0:is>
      </ns0:c>
      <ns0:c r="E1724" s="21" t="inlineStr">
        <ns0:is>
          <ns0:t>Peer-reviewed final article benchmarks ASD information quality of general-purpose chatbots; no caregiver-outcome or clinical-use study.</ns0:t>
        </ns0:is>
      </ns0:c>
      <ns0:c r="F1724" s="21" t="inlineStr">
        <ns0:is>
          <ns0:t>https://preprints.jmir.org/preprint/85196</ns0:t>
        </ns0:is>
      </ns0:c>
      <ns0:c r="G1724" s="21" t="inlineStr">
        <ns0:is>
          <ns0:t>ChatGPT-assisted evidence recharting, 2026-09-08</ns0:t>
        </ns0:is>
      </ns0:c>
    </ns0:row>
    <ns0:row r="1725" ht="45" customHeight="1">
      <ns0:c r="A1725" s="19" t="inlineStr">
        <ns0:is>
          <ns0:t>new_173</ns0:t>
        </ns0:is>
      </ns0:c>
      <ns0:c r="B1725" s="19" t="inlineStr">
        <ns0:is>
          <ns0:t>title</ns0:t>
        </ns0:is>
      </ns0:c>
      <ns0:c r="C1725" s="19" t="inlineStr">
        <ns0:is>
          <ns0:t>From Click to Chat: A Comparative, Bilingual Study of Autism-Related Information on Websites and General-Purpose AI Chatbots (Preprint)</ns0:t>
        </ns0:is>
      </ns0:c>
      <ns0:c r="D1725" s="19" t="inlineStr">
        <ns0:is>
          <ns0:t>Autism-Related Information on Websites and General-Purpose Artificial Intelligence Chatbots: Comparative, Bilingual Study</ns0:t>
        </ns0:is>
      </ns0:c>
      <ns0:c r="E1725" s="19" t="inlineStr">
        <ns0:is>
          <ns0:t>Peer-reviewed final article benchmarks ASD information quality of general-purpose chatbots; no caregiver-outcome or clinical-use study.</ns0:t>
        </ns0:is>
      </ns0:c>
      <ns0:c r="F1725" s="19" t="inlineStr">
        <ns0:is>
          <ns0:t>https://preprints.jmir.org/preprint/85196</ns0:t>
        </ns0:is>
      </ns0:c>
      <ns0:c r="G1725" s="19" t="inlineStr">
        <ns0:is>
          <ns0:t>ChatGPT-assisted evidence recharting, 2026-09-08</ns0:t>
        </ns0:is>
      </ns0:c>
    </ns0:row>
    <ns0:row r="1726" ht="42" customHeight="1">
      <ns0:c r="A1726" s="21" t="inlineStr">
        <ns0:is>
          <ns0:t>new_173</ns0:t>
        </ns0:is>
      </ns0:c>
      <ns0:c r="B1726" s="21" t="inlineStr">
        <ns0:is>
          <ns0:t>integrity_status</ns0:t>
        </ns0:is>
      </ns0:c>
      <ns0:c r="C1726" s="21" t="inlineStr"/>
      <ns0:c r="D1726" s="21" t="inlineStr">
        <ns0:is>
          <ns0:t>Not recorded</ns0:t>
        </ns0:is>
      </ns0:c>
      <ns0:c r="E1726" s="21" t="inlineStr">
        <ns0:is>
          <ns0:t>Peer-reviewed final article benchmarks ASD information quality of general-purpose chatbots; no caregiver-outcome or clinical-use study.</ns0:t>
        </ns0:is>
      </ns0:c>
      <ns0:c r="F1726" s="21" t="inlineStr">
        <ns0:is>
          <ns0:t>https://preprints.jmir.org/preprint/85196</ns0:t>
        </ns0:is>
      </ns0:c>
      <ns0:c r="G1726" s="21" t="inlineStr">
        <ns0:is>
          <ns0:t>ChatGPT-assisted evidence recharting, 2026-09-08</ns0:t>
        </ns0:is>
      </ns0:c>
    </ns0:row>
    <ns0:row r="1727" ht="42" customHeight="1">
      <ns0:c r="A1727" s="19" t="inlineStr">
        <ns0:is>
          <ns0:t>new_179</ns0:t>
        </ns0:is>
      </ns0:c>
      <ns0:c r="B1727" s="19" t="inlineStr">
        <ns0:is>
          <ns0:t>algorithm_main</ns0:t>
        </ns0:is>
      </ns0:c>
      <ns0:c r="C1727" s="19" t="inlineStr">
        <ns0:is>
          <ns0:t>Atlas-based ML tract segmentation</ns0:t>
        </ns0:is>
      </ns0:c>
      <ns0:c r="D1727" s="19" t="inlineStr">
        <ns0:is>
          <ns0:t>Segmentation; family unspecified</ns0:t>
        </ns0:is>
      </ns0:c>
      <ns0:c r="E1727" s="19" t="inlineStr">
        <ns0:is>
          <ns0:t>Diffusion microstructure comparison using tract segmentation. Healthy controls are not an independent external validation cohort for an ASD prediction model.</ns0:t>
        </ns0:is>
      </ns0:c>
      <ns0:c r="F1727" s="19" t="inlineStr">
        <ns0:is>
          <ns0:t>https://doi.org/10.1002/hbm.70435</ns0:t>
        </ns0:is>
      </ns0:c>
      <ns0:c r="G1727" s="19" t="inlineStr">
        <ns0:is>
          <ns0:t>ChatGPT-assisted evidence recharting, 2026-09-08</ns0:t>
        </ns0:is>
      </ns0:c>
    </ns0:row>
    <ns0:row r="1728" ht="42" customHeight="1">
      <ns0:c r="A1728" s="21" t="inlineStr">
        <ns0:is>
          <ns0:t>new_179</ns0:t>
        </ns0:is>
      </ns0:c>
      <ns0:c r="B1728" s="21" t="inlineStr">
        <ns0:is>
          <ns0:t>rq2_role</ns0:t>
        </ns0:is>
      </ns0:c>
      <ns0:c r="C1728" s="21" t="inlineStr">
        <ns0:is>
          <ns0:t>Research imaging analysis</ns0:t>
        </ns0:is>
      </ns0:c>
      <ns0:c r="D1728" s="21" t="inlineStr">
        <ns0:is>
          <ns0:t>Automated measurement/classification</ns0:t>
        </ns0:is>
      </ns0:c>
      <ns0:c r="E1728" s="21" t="inlineStr">
        <ns0:is>
          <ns0:t>Diffusion microstructure comparison using tract segmentation. Healthy controls are not an independent external validation cohort for an ASD prediction model.</ns0:t>
        </ns0:is>
      </ns0:c>
      <ns0:c r="F1728" s="21" t="inlineStr">
        <ns0:is>
          <ns0:t>https://doi.org/10.1002/hbm.70435</ns0:t>
        </ns0:is>
      </ns0:c>
      <ns0:c r="G1728" s="21" t="inlineStr">
        <ns0:is>
          <ns0:t>ChatGPT-assisted evidence recharting, 2026-09-08</ns0:t>
        </ns0:is>
      </ns0:c>
    </ns0:row>
    <ns0:row r="1729" ht="42" customHeight="1">
      <ns0:c r="A1729" s="19" t="inlineStr">
        <ns0:is>
          <ns0:t>new_179</ns0:t>
        </ns0:is>
      </ns0:c>
      <ns0:c r="B1729" s="19" t="inlineStr">
        <ns0:is>
          <ns0:t>decision_timing</ns0:t>
        </ns0:is>
      </ns0:c>
      <ns0:c r="C1729" s="19" t="inlineStr"/>
      <ns0:c r="D1729" s="19" t="inlineStr">
        <ns0:is>
          <ns0:t>Not observed in assessed sources</ns0:t>
        </ns0:is>
      </ns0:c>
      <ns0:c r="E1729" s="19" t="inlineStr">
        <ns0:is>
          <ns0:t>Diffusion microstructure comparison using tract segmentation. Healthy controls are not an independent external validation cohort for an ASD prediction model.</ns0:t>
        </ns0:is>
      </ns0:c>
      <ns0:c r="F1729" s="19" t="inlineStr">
        <ns0:is>
          <ns0:t>https://doi.org/10.1002/hbm.70435</ns0:t>
        </ns0:is>
      </ns0:c>
      <ns0:c r="G1729" s="19" t="inlineStr">
        <ns0:is>
          <ns0:t>ChatGPT-assisted evidence recharting, 2026-09-08</ns0:t>
        </ns0:is>
      </ns0:c>
    </ns0:row>
    <ns0:row r="1730" ht="42" customHeight="1">
      <ns0:c r="A1730" s="21" t="inlineStr">
        <ns0:is>
          <ns0:t>new_179</ns0:t>
        </ns0:is>
      </ns0:c>
      <ns0:c r="B1730" s="21" t="inlineStr">
        <ns0:is>
          <ns0:t>external_validation</ns0:t>
        </ns0:is>
      </ns0:c>
      <ns0:c r="C1730" s="21" t="inlineStr">
        <ns0:is>
          <ns0:t>Reported</ns0:t>
        </ns0:is>
      </ns0:c>
      <ns0:c r="D1730" s="21" t="inlineStr">
        <ns0:is>
          <ns0:t>Not reported in assessed sources</ns0:t>
        </ns0:is>
      </ns0:c>
      <ns0:c r="E1730" s="21" t="inlineStr">
        <ns0:is>
          <ns0:t>Diffusion microstructure comparison using tract segmentation. Healthy controls are not an independent external validation cohort for an ASD prediction model.</ns0:t>
        </ns0:is>
      </ns0:c>
      <ns0:c r="F1730" s="21" t="inlineStr">
        <ns0:is>
          <ns0:t>https://doi.org/10.1002/hbm.70435</ns0:t>
        </ns0:is>
      </ns0:c>
      <ns0:c r="G1730" s="21" t="inlineStr">
        <ns0:is>
          <ns0:t>ChatGPT-assisted evidence recharting, 2026-09-08</ns0:t>
        </ns0:is>
      </ns0:c>
    </ns0:row>
    <ns0:row r="1731" ht="42" customHeight="1">
      <ns0:c r="A1731" s="19" t="inlineStr">
        <ns0:is>
          <ns0:t>new_179</ns0:t>
        </ns0:is>
      </ns0:c>
      <ns0:c r="B1731" s="19" t="inlineStr">
        <ns0:is>
          <ns0:t>integrity_status</ns0:t>
        </ns0:is>
      </ns0:c>
      <ns0:c r="C1731" s="19" t="inlineStr"/>
      <ns0:c r="D1731" s="19" t="inlineStr">
        <ns0:is>
          <ns0:t>Not recorded</ns0:t>
        </ns0:is>
      </ns0:c>
      <ns0:c r="E1731" s="19" t="inlineStr">
        <ns0:is>
          <ns0:t>Diffusion microstructure comparison using tract segmentation. Healthy controls are not an independent external validation cohort for an ASD prediction model.</ns0:t>
        </ns0:is>
      </ns0:c>
      <ns0:c r="F1731" s="19" t="inlineStr">
        <ns0:is>
          <ns0:t>https://doi.org/10.1002/hbm.70435</ns0:t>
        </ns0:is>
      </ns0:c>
      <ns0:c r="G1731" s="19" t="inlineStr">
        <ns0:is>
          <ns0:t>ChatGPT-assisted evidence recharting, 2026-09-08</ns0:t>
        </ns0:is>
      </ns0:c>
    </ns0:row>
    <ns0:row r="1732" ht="42" customHeight="1">
      <ns0:c r="A1732" s="21" t="inlineStr">
        <ns0:is>
          <ns0:t>new_182</ns0:t>
        </ns0:is>
      </ns0:c>
      <ns0:c r="B1732" s="21" t="inlineStr">
        <ns0:is>
          <ns0:t>ai_type</ns0:t>
        </ns0:is>
      </ns0:c>
      <ns0:c r="C1732" s="21" t="inlineStr">
        <ns0:is>
          <ns0:t>Hybrid</ns0:t>
        </ns0:is>
      </ns0:c>
      <ns0:c r="D1732" s="21" t="inlineStr">
        <ns0:is>
          <ns0:t>Machine Learning</ns0:t>
        </ns0:is>
      </ns0:c>
      <ns0:c r="E1732" s="21" t="inlineStr">
        <ns0:is>
          <ns0:t>Model-family comparison audits rule-derived screening labels; gradient boosting leads the leakage-free scenario. Comparing deep and classical models is not a Hybrid pipeline.</ns0:t>
        </ns0:is>
      </ns0:c>
      <ns0:c r="F1732" s="21" t="inlineStr">
        <ns0:is>
          <ns0:t>https://doi.org/10.3389/fpubh.2026.1881829</ns0:t>
        </ns0:is>
      </ns0:c>
      <ns0:c r="G1732" s="21" t="inlineStr">
        <ns0:is>
          <ns0:t>ChatGPT-assisted evidence recharting, 2026-09-08</ns0:t>
        </ns0:is>
      </ns0:c>
    </ns0:row>
    <ns0:row r="1733" ht="42" customHeight="1">
      <ns0:c r="A1733" s="19" t="inlineStr">
        <ns0:is>
          <ns0:t>new_182</ns0:t>
        </ns0:is>
      </ns0:c>
      <ns0:c r="B1733" s="19" t="inlineStr">
        <ns0:is>
          <ns0:t>data_source_primary</ns0:t>
        </ns0:is>
      </ns0:c>
      <ns0:c r="C1733" s="19" t="inlineStr">
        <ns0:is>
          <ns0:t>Structured / tabular data</ns0:t>
        </ns0:is>
      </ns0:c>
      <ns0:c r="D1733" s="19" t="inlineStr">
        <ns0:is>
          <ns0:t>Structured clinical/questionnaire data</ns0:t>
        </ns0:is>
      </ns0:c>
      <ns0:c r="E1733" s="19" t="inlineStr">
        <ns0:is>
          <ns0:t>Model-family comparison audits rule-derived screening labels; gradient boosting leads the leakage-free scenario. Comparing deep and classical models is not a Hybrid pipeline.</ns0:t>
        </ns0:is>
      </ns0:c>
      <ns0:c r="F1733" s="19" t="inlineStr">
        <ns0:is>
          <ns0:t>https://doi.org/10.3389/fpubh.2026.1881829</ns0:t>
        </ns0:is>
      </ns0:c>
      <ns0:c r="G1733" s="19" t="inlineStr">
        <ns0:is>
          <ns0:t>ChatGPT-assisted evidence recharting, 2026-09-08</ns0:t>
        </ns0:is>
      </ns0:c>
    </ns0:row>
    <ns0:row r="1734" ht="42" customHeight="1">
      <ns0:c r="A1734" s="21" t="inlineStr">
        <ns0:is>
          <ns0:t>new_182</ns0:t>
        </ns0:is>
      </ns0:c>
      <ns0:c r="B1734" s="21" t="inlineStr">
        <ns0:is>
          <ns0:t>algorithm_main</ns0:t>
        </ns0:is>
      </ns0:c>
      <ns0:c r="C1734" s="21" t="inlineStr">
        <ns0:is>
          <ns0:t>Classical/deep-tabular/prompt models</ns0:t>
        </ns0:is>
      </ns0:c>
      <ns0:c r="D1734" s="21" t="inlineStr">
        <ns0:is>
          <ns0:t>Gradient boosting</ns0:t>
        </ns0:is>
      </ns0:c>
      <ns0:c r="E1734" s="21" t="inlineStr">
        <ns0:is>
          <ns0:t>Model-family comparison audits rule-derived screening labels; gradient boosting leads the leakage-free scenario. Comparing deep and classical models is not a Hybrid pipeline.</ns0:t>
        </ns0:is>
      </ns0:c>
      <ns0:c r="F1734" s="21" t="inlineStr">
        <ns0:is>
          <ns0:t>https://doi.org/10.3389/fpubh.2026.1881829</ns0:t>
        </ns0:is>
      </ns0:c>
      <ns0:c r="G1734" s="21" t="inlineStr">
        <ns0:is>
          <ns0:t>ChatGPT-assisted evidence recharting, 2026-09-08</ns0:t>
        </ns0:is>
      </ns0:c>
    </ns0:row>
    <ns0:row r="1735" ht="42" customHeight="1">
      <ns0:c r="A1735" s="19" t="inlineStr">
        <ns0:is>
          <ns0:t>new_182</ns0:t>
        </ns0:is>
      </ns0:c>
      <ns0:c r="B1735" s="19" t="inlineStr">
        <ns0:is>
          <ns0:t>rq2_role</ns0:t>
        </ns0:is>
      </ns0:c>
      <ns0:c r="C1735" s="19" t="inlineStr">
        <ns0:is>
          <ns0:t>Audit; models not clinically deployable</ns0:t>
        </ns0:is>
      </ns0:c>
      <ns0:c r="D1735" s="19" t="inlineStr">
        <ns0:is>
          <ns0:t>Automated measurement/classification</ns0:t>
        </ns0:is>
      </ns0:c>
      <ns0:c r="E1735" s="19" t="inlineStr">
        <ns0:is>
          <ns0:t>Model-family comparison audits rule-derived screening labels; gradient boosting leads the leakage-free scenario. Comparing deep and classical models is not a Hybrid pipeline.</ns0:t>
        </ns0:is>
      </ns0:c>
      <ns0:c r="F1735" s="19" t="inlineStr">
        <ns0:is>
          <ns0:t>https://doi.org/10.3389/fpubh.2026.1881829</ns0:t>
        </ns0:is>
      </ns0:c>
      <ns0:c r="G1735" s="19" t="inlineStr">
        <ns0:is>
          <ns0:t>ChatGPT-assisted evidence recharting, 2026-09-08</ns0:t>
        </ns0:is>
      </ns0:c>
    </ns0:row>
    <ns0:row r="1736" ht="42" customHeight="1">
      <ns0:c r="A1736" s="21" t="inlineStr">
        <ns0:is>
          <ns0:t>new_182</ns0:t>
        </ns0:is>
      </ns0:c>
      <ns0:c r="B1736" s="21" t="inlineStr">
        <ns0:is>
          <ns0:t>decision_timing</ns0:t>
        </ns0:is>
      </ns0:c>
      <ns0:c r="C1736" s="21" t="inlineStr"/>
      <ns0:c r="D1736" s="21" t="inlineStr">
        <ns0:is>
          <ns0:t>Not observed in assessed sources</ns0:t>
        </ns0:is>
      </ns0:c>
      <ns0:c r="E1736" s="21" t="inlineStr">
        <ns0:is>
          <ns0:t>Model-family comparison audits rule-derived screening labels; gradient boosting leads the leakage-free scenario. Comparing deep and classical models is not a Hybrid pipeline.</ns0:t>
        </ns0:is>
      </ns0:c>
      <ns0:c r="F1736" s="21" t="inlineStr">
        <ns0:is>
          <ns0:t>https://doi.org/10.3389/fpubh.2026.1881829</ns0:t>
        </ns0:is>
      </ns0:c>
      <ns0:c r="G1736" s="21" t="inlineStr">
        <ns0:is>
          <ns0:t>ChatGPT-assisted evidence recharting, 2026-09-08</ns0:t>
        </ns0:is>
      </ns0:c>
    </ns0:row>
    <ns0:row r="1737" ht="42" customHeight="1">
      <ns0:c r="A1737" s="19" t="inlineStr">
        <ns0:is>
          <ns0:t>new_182</ns0:t>
        </ns0:is>
      </ns0:c>
      <ns0:c r="B1737" s="19" t="inlineStr">
        <ns0:is>
          <ns0:t>integrity_status</ns0:t>
        </ns0:is>
      </ns0:c>
      <ns0:c r="C1737" s="19" t="inlineStr"/>
      <ns0:c r="D1737" s="19" t="inlineStr">
        <ns0:is>
          <ns0:t>Not recorded</ns0:t>
        </ns0:is>
      </ns0:c>
      <ns0:c r="E1737" s="19" t="inlineStr">
        <ns0:is>
          <ns0:t>Model-family comparison audits rule-derived screening labels; gradient boosting leads the leakage-free scenario. Comparing deep and classical models is not a Hybrid pipeline.</ns0:t>
        </ns0:is>
      </ns0:c>
      <ns0:c r="F1737" s="19" t="inlineStr">
        <ns0:is>
          <ns0:t>https://doi.org/10.3389/fpubh.2026.1881829</ns0:t>
        </ns0:is>
      </ns0:c>
      <ns0:c r="G1737" s="19" t="inlineStr">
        <ns0:is>
          <ns0:t>ChatGPT-assisted evidence recharting, 2026-09-08</ns0:t>
        </ns0:is>
      </ns0:c>
    </ns0:row>
    <ns0:row r="1738" ht="42" customHeight="1">
      <ns0:c r="A1738" s="21" t="inlineStr">
        <ns0:is>
          <ns0:t>new_185</ns0:t>
        </ns0:is>
      </ns0:c>
      <ns0:c r="B1738" s="21" t="inlineStr">
        <ns0:is>
          <ns0:t>data_source_primary</ns0:t>
        </ns0:is>
      </ns0:c>
      <ns0:c r="C1738" s="21" t="inlineStr">
        <ns0:is>
          <ns0:t>Multiple modalities (as coded)</ns0:t>
        </ns0:is>
      </ns0:c>
      <ns0:c r="D1738" s="21" t="inlineStr">
        <ns0:is>
          <ns0:t>Structured clinical/questionnaire data</ns0:t>
        </ns0:is>
      </ns0:c>
      <ns0:c r="E1738" s="21" t="inlineStr">
        <ns0:is>
          <ns0:t>Microanalytically coded behavioral frequencies feed logistic regression; multiple behaviors from one coded observation do not automatically establish multimodal input fusion.</ns0:t>
        </ns0:is>
      </ns0:c>
      <ns0:c r="F1738" s="21" t="inlineStr">
        <ns0:is>
          <ns0:t>https://doi.org/10.1016/j.ijchp.2026.100664</ns0:t>
        </ns0:is>
      </ns0:c>
      <ns0:c r="G1738" s="21" t="inlineStr">
        <ns0:is>
          <ns0:t>ChatGPT-assisted evidence recharting, 2026-09-08</ns0:t>
        </ns0:is>
      </ns0:c>
    </ns0:row>
    <ns0:row r="1739" ht="42" customHeight="1">
      <ns0:c r="A1739" s="19" t="inlineStr">
        <ns0:is>
          <ns0:t>new_185</ns0:t>
        </ns0:is>
      </ns0:c>
      <ns0:c r="B1739" s="19" t="inlineStr">
        <ns0:is>
          <ns0:t>algorithm_main</ns0:t>
        </ns0:is>
      </ns0:c>
      <ns0:c r="C1739" s="19" t="inlineStr">
        <ns0:is>
          <ns0:t>Logistic regression with feature selection</ns0:t>
        </ns0:is>
      </ns0:c>
      <ns0:c r="D1739" s="19" t="inlineStr">
        <ns0:is>
          <ns0:t>Logistic regression</ns0:t>
        </ns0:is>
      </ns0:c>
      <ns0:c r="E1739" s="19" t="inlineStr">
        <ns0:is>
          <ns0:t>Microanalytically coded behavioral frequencies feed logistic regression; multiple behaviors from one coded observation do not automatically establish multimodal input fusion.</ns0:t>
        </ns0:is>
      </ns0:c>
      <ns0:c r="F1739" s="19" t="inlineStr">
        <ns0:is>
          <ns0:t>https://doi.org/10.1016/j.ijchp.2026.100664</ns0:t>
        </ns0:is>
      </ns0:c>
      <ns0:c r="G1739" s="19" t="inlineStr">
        <ns0:is>
          <ns0:t>ChatGPT-assisted evidence recharting, 2026-09-08</ns0:t>
        </ns0:is>
      </ns0:c>
    </ns0:row>
    <ns0:row r="1740" ht="42" customHeight="1">
      <ns0:c r="A1740" s="21" t="inlineStr">
        <ns0:is>
          <ns0:t>new_185</ns0:t>
        </ns0:is>
      </ns0:c>
      <ns0:c r="B1740" s="21" t="inlineStr">
        <ns0:is>
          <ns0:t>rq2_status</ns0:t>
        </ns0:is>
      </ns0:c>
      <ns0:c r="C1740" s="21" t="inlineStr">
        <ns0:is>
          <ns0:t>Proposed only</ns0:t>
        </ns0:is>
      </ns0:c>
      <ns0:c r="D1740" s="21" t="inlineStr">
        <ns0:is>
          <ns0:t>Research only</ns0:t>
        </ns0:is>
      </ns0:c>
      <ns0:c r="E1740" s="21" t="inlineStr">
        <ns0:is>
          <ns0:t>Microanalytically coded behavioral frequencies feed logistic regression; multiple behaviors from one coded observation do not automatically establish multimodal input fusion.</ns0:t>
        </ns0:is>
      </ns0:c>
      <ns0:c r="F1740" s="21" t="inlineStr">
        <ns0:is>
          <ns0:t>https://doi.org/10.1016/j.ijchp.2026.100664</ns0:t>
        </ns0:is>
      </ns0:c>
      <ns0:c r="G1740" s="21" t="inlineStr">
        <ns0:is>
          <ns0:t>ChatGPT-assisted evidence recharting, 2026-09-08</ns0:t>
        </ns0:is>
      </ns0:c>
    </ns0:row>
    <ns0:row r="1741" ht="42" customHeight="1">
      <ns0:c r="A1741" s="19" t="inlineStr">
        <ns0:is>
          <ns0:t>new_185</ns0:t>
        </ns0:is>
      </ns0:c>
      <ns0:c r="B1741" s="19" t="inlineStr">
        <ns0:is>
          <ns0:t>rq2_role</ns0:t>
        </ns0:is>
      </ns0:c>
      <ns0:c r="C1741" s="19" t="inlineStr">
        <ns0:is>
          <ns0:t>Early behavioral-marker research</ns0:t>
        </ns0:is>
      </ns0:c>
      <ns0:c r="D1741" s="19" t="inlineStr">
        <ns0:is>
          <ns0:t>Automated measurement/classification</ns0:t>
        </ns0:is>
      </ns0:c>
      <ns0:c r="E1741" s="19" t="inlineStr">
        <ns0:is>
          <ns0:t>Microanalytically coded behavioral frequencies feed logistic regression; multiple behaviors from one coded observation do not automatically establish multimodal input fusion.</ns0:t>
        </ns0:is>
      </ns0:c>
      <ns0:c r="F1741" s="19" t="inlineStr">
        <ns0:is>
          <ns0:t>https://doi.org/10.1016/j.ijchp.2026.100664</ns0:t>
        </ns0:is>
      </ns0:c>
      <ns0:c r="G1741" s="19" t="inlineStr">
        <ns0:is>
          <ns0:t>ChatGPT-assisted evidence recharting, 2026-09-08</ns0:t>
        </ns0:is>
      </ns0:c>
    </ns0:row>
    <ns0:row r="1742" ht="42" customHeight="1">
      <ns0:c r="A1742" s="21" t="inlineStr">
        <ns0:is>
          <ns0:t>new_185</ns0:t>
        </ns0:is>
      </ns0:c>
      <ns0:c r="B1742" s="21" t="inlineStr">
        <ns0:is>
          <ns0:t>decision_timing</ns0:t>
        </ns0:is>
      </ns0:c>
      <ns0:c r="C1742" s="21" t="inlineStr"/>
      <ns0:c r="D1742" s="21" t="inlineStr">
        <ns0:is>
          <ns0:t>Not observed in assessed sources</ns0:t>
        </ns0:is>
      </ns0:c>
      <ns0:c r="E1742" s="21" t="inlineStr">
        <ns0:is>
          <ns0:t>Microanalytically coded behavioral frequencies feed logistic regression; multiple behaviors from one coded observation do not automatically establish multimodal input fusion.</ns0:t>
        </ns0:is>
      </ns0:c>
      <ns0:c r="F1742" s="21" t="inlineStr">
        <ns0:is>
          <ns0:t>https://doi.org/10.1016/j.ijchp.2026.100664</ns0:t>
        </ns0:is>
      </ns0:c>
      <ns0:c r="G1742" s="21" t="inlineStr">
        <ns0:is>
          <ns0:t>ChatGPT-assisted evidence recharting, 2026-09-08</ns0:t>
        </ns0:is>
      </ns0:c>
    </ns0:row>
    <ns0:row r="1743" ht="42" customHeight="1">
      <ns0:c r="A1743" s="19" t="inlineStr">
        <ns0:is>
          <ns0:t>new_185</ns0:t>
        </ns0:is>
      </ns0:c>
      <ns0:c r="B1743" s="19" t="inlineStr">
        <ns0:is>
          <ns0:t>xai_strict</ns0:t>
        </ns0:is>
      </ns0:c>
      <ns0:c r="C1743" s="19" t="inlineStr">
        <ns0:is>
          <ns0:t>Reported</ns0:t>
        </ns0:is>
      </ns0:c>
      <ns0:c r="D1743" s="19" t="inlineStr">
        <ns0:is>
          <ns0:t>Not reported in assessed sources</ns0:t>
        </ns0:is>
      </ns0:c>
      <ns0:c r="E1743" s="19" t="inlineStr">
        <ns0:is>
          <ns0:t>Microanalytically coded behavioral frequencies feed logistic regression; multiple behaviors from one coded observation do not automatically establish multimodal input fusion.</ns0:t>
        </ns0:is>
      </ns0:c>
      <ns0:c r="F1743" s="19" t="inlineStr">
        <ns0:is>
          <ns0:t>https://doi.org/10.1016/j.ijchp.2026.100664</ns0:t>
        </ns0:is>
      </ns0:c>
      <ns0:c r="G1743" s="19" t="inlineStr">
        <ns0:is>
          <ns0:t>ChatGPT-assisted evidence recharting, 2026-09-08</ns0:t>
        </ns0:is>
      </ns0:c>
    </ns0:row>
    <ns0:row r="1744" ht="42" customHeight="1">
      <ns0:c r="A1744" s="21" t="inlineStr">
        <ns0:is>
          <ns0:t>new_185</ns0:t>
        </ns0:is>
      </ns0:c>
      <ns0:c r="B1744" s="21" t="inlineStr">
        <ns0:is>
          <ns0:t>xai_partial</ns0:t>
        </ns0:is>
      </ns0:c>
      <ns0:c r="C1744" s="21" t="inlineStr">
        <ns0:is>
          <ns0:t>Not reported in assessed sources</ns0:t>
        </ns0:is>
      </ns0:c>
      <ns0:c r="D1744" s="21" t="inlineStr">
        <ns0:is>
          <ns0:t>Reported</ns0:t>
        </ns0:is>
      </ns0:c>
      <ns0:c r="E1744" s="21" t="inlineStr">
        <ns0:is>
          <ns0:t>Microanalytically coded behavioral frequencies feed logistic regression; multiple behaviors from one coded observation do not automatically establish multimodal input fusion.</ns0:t>
        </ns0:is>
      </ns0:c>
      <ns0:c r="F1744" s="21" t="inlineStr">
        <ns0:is>
          <ns0:t>https://doi.org/10.1016/j.ijchp.2026.100664</ns0:t>
        </ns0:is>
      </ns0:c>
      <ns0:c r="G1744" s="21" t="inlineStr">
        <ns0:is>
          <ns0:t>ChatGPT-assisted evidence recharting, 2026-09-08</ns0:t>
        </ns0:is>
      </ns0:c>
    </ns0:row>
    <ns0:row r="1745" ht="42" customHeight="1">
      <ns0:c r="A1745" s="19" t="inlineStr">
        <ns0:is>
          <ns0:t>new_185</ns0:t>
        </ns0:is>
      </ns0:c>
      <ns0:c r="B1745" s="19" t="inlineStr">
        <ns0:is>
          <ns0:t>multisource_data</ns0:t>
        </ns0:is>
      </ns0:c>
      <ns0:c r="C1745" s="19" t="inlineStr">
        <ns0:is>
          <ns0:t>Reported</ns0:t>
        </ns0:is>
      </ns0:c>
      <ns0:c r="D1745" s="19" t="inlineStr">
        <ns0:is>
          <ns0:t>Not reported in assessed sources</ns0:t>
        </ns0:is>
      </ns0:c>
      <ns0:c r="E1745" s="19" t="inlineStr">
        <ns0:is>
          <ns0:t>Microanalytically coded behavioral frequencies feed logistic regression; multiple behaviors from one coded observation do not automatically establish multimodal input fusion.</ns0:t>
        </ns0:is>
      </ns0:c>
      <ns0:c r="F1745" s="19" t="inlineStr">
        <ns0:is>
          <ns0:t>https://doi.org/10.1016/j.ijchp.2026.100664</ns0:t>
        </ns0:is>
      </ns0:c>
      <ns0:c r="G1745" s="19" t="inlineStr">
        <ns0:is>
          <ns0:t>ChatGPT-assisted evidence recharting, 2026-09-08</ns0:t>
        </ns0:is>
      </ns0:c>
    </ns0:row>
    <ns0:row r="1746" ht="42" customHeight="1">
      <ns0:c r="A1746" s="21" t="inlineStr">
        <ns0:is>
          <ns0:t>new_185</ns0:t>
        </ns0:is>
      </ns0:c>
      <ns0:c r="B1746" s="21" t="inlineStr">
        <ns0:is>
          <ns0:t>integrity_status</ns0:t>
        </ns0:is>
      </ns0:c>
      <ns0:c r="C1746" s="21" t="inlineStr"/>
      <ns0:c r="D1746" s="21" t="inlineStr">
        <ns0:is>
          <ns0:t>Not recorded</ns0:t>
        </ns0:is>
      </ns0:c>
      <ns0:c r="E1746" s="21" t="inlineStr">
        <ns0:is>
          <ns0:t>Microanalytically coded behavioral frequencies feed logistic regression; multiple behaviors from one coded observation do not automatically establish multimodal input fusion.</ns0:t>
        </ns0:is>
      </ns0:c>
      <ns0:c r="F1746" s="21" t="inlineStr">
        <ns0:is>
          <ns0:t>https://doi.org/10.1016/j.ijchp.2026.100664</ns0:t>
        </ns0:is>
      </ns0:c>
      <ns0:c r="G1746" s="21" t="inlineStr">
        <ns0:is>
          <ns0:t>ChatGPT-assisted evidence recharting, 2026-09-08</ns0:t>
        </ns0:is>
      </ns0:c>
    </ns0:row>
    <ns0:row r="1747" ht="42" customHeight="1">
      <ns0:c r="A1747" s="19" t="inlineStr">
        <ns0:is>
          <ns0:t>new_186</ns0:t>
        </ns0:is>
      </ns0:c>
      <ns0:c r="B1747" s="19" t="inlineStr">
        <ns0:is>
          <ns0:t>stage_primary</ns0:t>
        </ns0:is>
      </ns0:c>
      <ns0:c r="C1747" s="19" t="inlineStr">
        <ns0:is>
          <ns0:t>Monitoring/intervention</ns0:t>
        </ns0:is>
      </ns0:c>
      <ns0:c r="D1747" s="19" t="inlineStr">
        <ns0:is>
          <ns0:t>Prognosis</ns0:t>
        </ns0:is>
      </ns0:c>
      <ns0:c r="E1747" s="19" t="inlineStr">
        <ns0:is>
          <ns0:t>Baseline NLP-derived mood instability and structured covariates model subsequent service use/time to discharge; observational prognosis, not deployed monitoring.</ns0:t>
        </ns0:is>
      </ns0:c>
      <ns0:c r="F1747" s="19" t="inlineStr">
        <ns0:is>
          <ns0:t>https://doi.org/10.1136/bmjment-2026-302488</ns0:t>
        </ns0:is>
      </ns0:c>
      <ns0:c r="G1747" s="19" t="inlineStr">
        <ns0:is>
          <ns0:t>ChatGPT-assisted evidence recharting, 2026-09-08</ns0:t>
        </ns0:is>
      </ns0:c>
    </ns0:row>
    <ns0:row r="1748" ht="42" customHeight="1">
      <ns0:c r="A1748" s="21" t="inlineStr">
        <ns0:is>
          <ns0:t>new_186</ns0:t>
        </ns0:is>
      </ns0:c>
      <ns0:c r="B1748" s="21" t="inlineStr">
        <ns0:is>
          <ns0:t>data_source_primary</ns0:t>
        </ns0:is>
      </ns0:c>
      <ns0:c r="C1748" s="21" t="inlineStr">
        <ns0:is>
          <ns0:t>Text / language</ns0:t>
        </ns0:is>
      </ns0:c>
      <ns0:c r="D1748" s="21" t="inlineStr">
        <ns0:is>
          <ns0:t>Multiple source categories</ns0:t>
        </ns0:is>
      </ns0:c>
      <ns0:c r="E1748" s="21" t="inlineStr">
        <ns0:is>
          <ns0:t>Baseline NLP-derived mood instability and structured covariates model subsequent service use/time to discharge; observational prognosis, not deployed monitoring.</ns0:t>
        </ns0:is>
      </ns0:c>
      <ns0:c r="F1748" s="21" t="inlineStr">
        <ns0:is>
          <ns0:t>https://doi.org/10.1136/bmjment-2026-302488</ns0:t>
        </ns0:is>
      </ns0:c>
      <ns0:c r="G1748" s="21" t="inlineStr">
        <ns0:is>
          <ns0:t>ChatGPT-assisted evidence recharting, 2026-09-08</ns0:t>
        </ns0:is>
      </ns0:c>
    </ns0:row>
    <ns0:row r="1749" ht="42" customHeight="1">
      <ns0:c r="A1749" s="19" t="inlineStr">
        <ns0:is>
          <ns0:t>new_186</ns0:t>
        </ns0:is>
      </ns0:c>
      <ns0:c r="B1749" s="19" t="inlineStr">
        <ns0:is>
          <ns0:t>algorithm_main</ns0:t>
        </ns0:is>
      </ns0:c>
      <ns0:c r="C1749" s="19" t="inlineStr">
        <ns0:is>
          <ns0:t>NLP extraction + regression models</ns0:t>
        </ns0:is>
      </ns0:c>
      <ns0:c r="D1749" s="19" t="inlineStr">
        <ns0:is>
          <ns0:t>NLP + regression</ns0:t>
        </ns0:is>
      </ns0:c>
      <ns0:c r="E1749" s="19" t="inlineStr">
        <ns0:is>
          <ns0:t>Baseline NLP-derived mood instability and structured covariates model subsequent service use/time to discharge; observational prognosis, not deployed monitoring.</ns0:t>
        </ns0:is>
      </ns0:c>
      <ns0:c r="F1749" s="19" t="inlineStr">
        <ns0:is>
          <ns0:t>https://doi.org/10.1136/bmjment-2026-302488</ns0:t>
        </ns0:is>
      </ns0:c>
      <ns0:c r="G1749" s="19" t="inlineStr">
        <ns0:is>
          <ns0:t>ChatGPT-assisted evidence recharting, 2026-09-08</ns0:t>
        </ns0:is>
      </ns0:c>
    </ns0:row>
    <ns0:row r="1750" ht="42" customHeight="1">
      <ns0:c r="A1750" s="21" t="inlineStr">
        <ns0:is>
          <ns0:t>new_186</ns0:t>
        </ns0:is>
      </ns0:c>
      <ns0:c r="B1750" s="21" t="inlineStr">
        <ns0:is>
          <ns0:t>rq2_status</ns0:t>
        </ns0:is>
      </ns0:c>
      <ns0:c r="C1750" s="21" t="inlineStr">
        <ns0:is>
          <ns0:t>Proposed only</ns0:t>
        </ns0:is>
      </ns0:c>
      <ns0:c r="D1750" s="21" t="inlineStr">
        <ns0:is>
          <ns0:t>Research only</ns0:t>
        </ns0:is>
      </ns0:c>
      <ns0:c r="E1750" s="21" t="inlineStr">
        <ns0:is>
          <ns0:t>Baseline NLP-derived mood instability and structured covariates model subsequent service use/time to discharge; observational prognosis, not deployed monitoring.</ns0:t>
        </ns0:is>
      </ns0:c>
      <ns0:c r="F1750" s="21" t="inlineStr">
        <ns0:is>
          <ns0:t>https://doi.org/10.1136/bmjment-2026-302488</ns0:t>
        </ns0:is>
      </ns0:c>
      <ns0:c r="G1750" s="21" t="inlineStr">
        <ns0:is>
          <ns0:t>ChatGPT-assisted evidence recharting, 2026-09-08</ns0:t>
        </ns0:is>
      </ns0:c>
    </ns0:row>
    <ns0:row r="1751" ht="42" customHeight="1">
      <ns0:c r="A1751" s="19" t="inlineStr">
        <ns0:is>
          <ns0:t>new_186</ns0:t>
        </ns0:is>
      </ns0:c>
      <ns0:c r="B1751" s="19" t="inlineStr">
        <ns0:is>
          <ns0:t>rq2_role</ns0:t>
        </ns0:is>
      </ns0:c>
      <ns0:c r="C1751" s="19" t="inlineStr">
        <ns0:is>
          <ns0:t>Retrospective EHR analysis</ns0:t>
        </ns0:is>
      </ns0:c>
      <ns0:c r="D1751" s="19" t="inlineStr">
        <ns0:is>
          <ns0:t>Risk/trajectory estimation</ns0:t>
        </ns0:is>
      </ns0:c>
      <ns0:c r="E1751" s="19" t="inlineStr">
        <ns0:is>
          <ns0:t>Baseline NLP-derived mood instability and structured covariates model subsequent service use/time to discharge; observational prognosis, not deployed monitoring.</ns0:t>
        </ns0:is>
      </ns0:c>
      <ns0:c r="F1751" s="19" t="inlineStr">
        <ns0:is>
          <ns0:t>https://doi.org/10.1136/bmjment-2026-302488</ns0:t>
        </ns0:is>
      </ns0:c>
      <ns0:c r="G1751" s="19" t="inlineStr">
        <ns0:is>
          <ns0:t>ChatGPT-assisted evidence recharting, 2026-09-08</ns0:t>
        </ns0:is>
      </ns0:c>
    </ns0:row>
    <ns0:row r="1752" ht="42" customHeight="1">
      <ns0:c r="A1752" s="21" t="inlineStr">
        <ns0:is>
          <ns0:t>new_186</ns0:t>
        </ns0:is>
      </ns0:c>
      <ns0:c r="B1752" s="21" t="inlineStr">
        <ns0:is>
          <ns0:t>decision_timing</ns0:t>
        </ns0:is>
      </ns0:c>
      <ns0:c r="C1752" s="21" t="inlineStr"/>
      <ns0:c r="D1752" s="21" t="inlineStr">
        <ns0:is>
          <ns0:t>Not observed in assessed sources</ns0:t>
        </ns0:is>
      </ns0:c>
      <ns0:c r="E1752" s="21" t="inlineStr">
        <ns0:is>
          <ns0:t>Baseline NLP-derived mood instability and structured covariates model subsequent service use/time to discharge; observational prognosis, not deployed monitoring.</ns0:t>
        </ns0:is>
      </ns0:c>
      <ns0:c r="F1752" s="21" t="inlineStr">
        <ns0:is>
          <ns0:t>https://doi.org/10.1136/bmjment-2026-302488</ns0:t>
        </ns0:is>
      </ns0:c>
      <ns0:c r="G1752" s="21" t="inlineStr">
        <ns0:is>
          <ns0:t>ChatGPT-assisted evidence recharting, 2026-09-08</ns0:t>
        </ns0:is>
      </ns0:c>
    </ns0:row>
    <ns0:row r="1753" ht="42" customHeight="1">
      <ns0:c r="A1753" s="19" t="inlineStr">
        <ns0:is>
          <ns0:t>new_186</ns0:t>
        </ns0:is>
      </ns0:c>
      <ns0:c r="B1753" s="19" t="inlineStr">
        <ns0:is>
          <ns0:t>multisource_data</ns0:t>
        </ns0:is>
      </ns0:c>
      <ns0:c r="C1753" s="19" t="inlineStr">
        <ns0:is>
          <ns0:t>Not reported in assessed sources</ns0:t>
        </ns0:is>
      </ns0:c>
      <ns0:c r="D1753" s="19" t="inlineStr">
        <ns0:is>
          <ns0:t>Reported</ns0:t>
        </ns0:is>
      </ns0:c>
      <ns0:c r="E1753" s="19" t="inlineStr">
        <ns0:is>
          <ns0:t>Baseline NLP-derived mood instability and structured covariates model subsequent service use/time to discharge; observational prognosis, not deployed monitoring.</ns0:t>
        </ns0:is>
      </ns0:c>
      <ns0:c r="F1753" s="19" t="inlineStr">
        <ns0:is>
          <ns0:t>https://doi.org/10.1136/bmjment-2026-302488</ns0:t>
        </ns0:is>
      </ns0:c>
      <ns0:c r="G1753" s="19" t="inlineStr">
        <ns0:is>
          <ns0:t>ChatGPT-assisted evidence recharting, 2026-09-08</ns0:t>
        </ns0:is>
      </ns0:c>
    </ns0:row>
    <ns0:row r="1754" ht="42" customHeight="1">
      <ns0:c r="A1754" s="21" t="inlineStr">
        <ns0:is>
          <ns0:t>new_186</ns0:t>
        </ns0:is>
      </ns0:c>
      <ns0:c r="B1754" s="21" t="inlineStr">
        <ns0:is>
          <ns0:t>integrity_status</ns0:t>
        </ns0:is>
      </ns0:c>
      <ns0:c r="C1754" s="21" t="inlineStr"/>
      <ns0:c r="D1754" s="21" t="inlineStr">
        <ns0:is>
          <ns0:t>Not recorded</ns0:t>
        </ns0:is>
      </ns0:c>
      <ns0:c r="E1754" s="21" t="inlineStr">
        <ns0:is>
          <ns0:t>Baseline NLP-derived mood instability and structured covariates model subsequent service use/time to discharge; observational prognosis, not deployed monitoring.</ns0:t>
        </ns0:is>
      </ns0:c>
      <ns0:c r="F1754" s="21" t="inlineStr">
        <ns0:is>
          <ns0:t>https://doi.org/10.1136/bmjment-2026-302488</ns0:t>
        </ns0:is>
      </ns0:c>
      <ns0:c r="G1754" s="21" t="inlineStr">
        <ns0:is>
          <ns0:t>ChatGPT-assisted evidence recharting, 2026-09-08</ns0:t>
        </ns0:is>
      </ns0:c>
    </ns0:row>
    <ns0:row r="1755" ht="42" customHeight="1">
      <ns0:c r="A1755" s="19" t="inlineStr">
        <ns0:is>
          <ns0:t>new_191</ns0:t>
        </ns0:is>
      </ns0:c>
      <ns0:c r="B1755" s="19" t="inlineStr">
        <ns0:is>
          <ns0:t>algorithm_main</ns0:t>
        </ns0:is>
      </ns0:c>
      <ns0:c r="C1755" s="19" t="inlineStr">
        <ns0:is>
          <ns0:t>Functional system-informed graph neural network</ns0:t>
        </ns0:is>
      </ns0:c>
      <ns0:c r="D1755" s="19" t="inlineStr">
        <ns0:is>
          <ns0:t>Graph neural network</ns0:t>
        </ns0:is>
      </ns0:c>
      <ns0:c r="E1755" s="19" t="inlineStr">
        <ns0:is>
          <ns0:t>Functional-system GNN on retrospective multisite fMRI; interpretive biomarker analysis but no tested clinical workflow.</ns0:t>
        </ns0:is>
      </ns0:c>
      <ns0:c r="F1755" s="19" t="inlineStr">
        <ns0:is>
          <ns0:t>https://doi.org/10.1016/j.neunet.2025.108295</ns0:t>
        </ns0:is>
      </ns0:c>
      <ns0:c r="G1755" s="19" t="inlineStr">
        <ns0:is>
          <ns0:t>ChatGPT-assisted evidence recharting, 2026-09-08</ns0:t>
        </ns0:is>
      </ns0:c>
    </ns0:row>
    <ns0:row r="1756" ht="42" customHeight="1">
      <ns0:c r="A1756" s="21" t="inlineStr">
        <ns0:is>
          <ns0:t>new_191</ns0:t>
        </ns0:is>
      </ns0:c>
      <ns0:c r="B1756" s="21" t="inlineStr">
        <ns0:is>
          <ns0:t>rq2_status</ns0:t>
        </ns0:is>
      </ns0:c>
      <ns0:c r="C1756" s="21" t="inlineStr">
        <ns0:is>
          <ns0:t>Proposed only</ns0:t>
        </ns0:is>
      </ns0:c>
      <ns0:c r="D1756" s="21" t="inlineStr">
        <ns0:is>
          <ns0:t>Research only</ns0:t>
        </ns0:is>
      </ns0:c>
      <ns0:c r="E1756" s="21" t="inlineStr">
        <ns0:is>
          <ns0:t>Functional-system GNN on retrospective multisite fMRI; interpretive biomarker analysis but no tested clinical workflow.</ns0:t>
        </ns0:is>
      </ns0:c>
      <ns0:c r="F1756" s="21" t="inlineStr">
        <ns0:is>
          <ns0:t>https://doi.org/10.1016/j.neunet.2025.108295</ns0:t>
        </ns0:is>
      </ns0:c>
      <ns0:c r="G1756" s="21" t="inlineStr">
        <ns0:is>
          <ns0:t>ChatGPT-assisted evidence recharting, 2026-09-08</ns0:t>
        </ns0:is>
      </ns0:c>
    </ns0:row>
    <ns0:row r="1757" ht="42" customHeight="1">
      <ns0:c r="A1757" s="19" t="inlineStr">
        <ns0:is>
          <ns0:t>new_191</ns0:t>
        </ns0:is>
      </ns0:c>
      <ns0:c r="B1757" s="19" t="inlineStr">
        <ns0:is>
          <ns0:t>rq2_role</ns0:t>
        </ns0:is>
      </ns0:c>
      <ns0:c r="C1757" s="19" t="inlineStr">
        <ns0:is>
          <ns0:t>Retrospective diagnostic research</ns0:t>
        </ns0:is>
      </ns0:c>
      <ns0:c r="D1757" s="19" t="inlineStr">
        <ns0:is>
          <ns0:t>Automated measurement/classification</ns0:t>
        </ns0:is>
      </ns0:c>
      <ns0:c r="E1757" s="19" t="inlineStr">
        <ns0:is>
          <ns0:t>Functional-system GNN on retrospective multisite fMRI; interpretive biomarker analysis but no tested clinical workflow.</ns0:t>
        </ns0:is>
      </ns0:c>
      <ns0:c r="F1757" s="19" t="inlineStr">
        <ns0:is>
          <ns0:t>https://doi.org/10.1016/j.neunet.2025.108295</ns0:t>
        </ns0:is>
      </ns0:c>
      <ns0:c r="G1757" s="19" t="inlineStr">
        <ns0:is>
          <ns0:t>ChatGPT-assisted evidence recharting, 2026-09-08</ns0:t>
        </ns0:is>
      </ns0:c>
    </ns0:row>
    <ns0:row r="1758" ht="42" customHeight="1">
      <ns0:c r="A1758" s="21" t="inlineStr">
        <ns0:is>
          <ns0:t>new_191</ns0:t>
        </ns0:is>
      </ns0:c>
      <ns0:c r="B1758" s="21" t="inlineStr">
        <ns0:is>
          <ns0:t>decision_timing</ns0:t>
        </ns0:is>
      </ns0:c>
      <ns0:c r="C1758" s="21" t="inlineStr"/>
      <ns0:c r="D1758" s="21" t="inlineStr">
        <ns0:is>
          <ns0:t>Not observed in assessed sources</ns0:t>
        </ns0:is>
      </ns0:c>
      <ns0:c r="E1758" s="21" t="inlineStr">
        <ns0:is>
          <ns0:t>Functional-system GNN on retrospective multisite fMRI; interpretive biomarker analysis but no tested clinical workflow.</ns0:t>
        </ns0:is>
      </ns0:c>
      <ns0:c r="F1758" s="21" t="inlineStr">
        <ns0:is>
          <ns0:t>https://doi.org/10.1016/j.neunet.2025.108295</ns0:t>
        </ns0:is>
      </ns0:c>
      <ns0:c r="G1758" s="21" t="inlineStr">
        <ns0:is>
          <ns0:t>ChatGPT-assisted evidence recharting, 2026-09-08</ns0:t>
        </ns0:is>
      </ns0:c>
    </ns0:row>
    <ns0:row r="1759" ht="42" customHeight="1">
      <ns0:c r="A1759" s="19" t="inlineStr">
        <ns0:is>
          <ns0:t>new_191</ns0:t>
        </ns0:is>
      </ns0:c>
      <ns0:c r="B1759" s="19" t="inlineStr">
        <ns0:is>
          <ns0:t>integrity_status</ns0:t>
        </ns0:is>
      </ns0:c>
      <ns0:c r="C1759" s="19" t="inlineStr"/>
      <ns0:c r="D1759" s="19" t="inlineStr">
        <ns0:is>
          <ns0:t>Not recorded</ns0:t>
        </ns0:is>
      </ns0:c>
      <ns0:c r="E1759" s="19" t="inlineStr">
        <ns0:is>
          <ns0:t>Functional-system GNN on retrospective multisite fMRI; interpretive biomarker analysis but no tested clinical workflow.</ns0:t>
        </ns0:is>
      </ns0:c>
      <ns0:c r="F1759" s="19" t="inlineStr">
        <ns0:is>
          <ns0:t>https://doi.org/10.1016/j.neunet.2025.108295</ns0:t>
        </ns0:is>
      </ns0:c>
      <ns0:c r="G1759" s="19" t="inlineStr">
        <ns0:is>
          <ns0:t>ChatGPT-assisted evidence recharting, 2026-09-08</ns0:t>
        </ns0:is>
      </ns0:c>
    </ns0:row>
    <ns0:row r="1760" ht="45" customHeight="1">
      <ns0:c r="A1760" s="21" t="inlineStr">
        <ns0:is>
          <ns0:t>new_197</ns0:t>
        </ns0:is>
      </ns0:c>
      <ns0:c r="B1760" s="21" t="inlineStr">
        <ns0:is>
          <ns0:t>data_source_primary</ns0:t>
        </ns0:is>
      </ns0:c>
      <ns0:c r="C1760" s="21" t="inlineStr">
        <ns0:is>
          <ns0:t>Text / language</ns0:t>
        </ns0:is>
      </ns0:c>
      <ns0:c r="D1760" s="21" t="inlineStr">
        <ns0:is>
          <ns0:t>Text/language</ns0:t>
        </ns0:is>
      </ns0:c>
      <ns0:c r="E1760" s="21" t="inlineStr">
        <ns0:is>
          <ns0:t>BioBERT clinical-note transfer experiments train sequentially or jointly on two datasets; untouched external validation is not established in available abstract.
Sequential/mixed-dataset transfer; training-test independence of an untouched external cohort not established</ns0:t>
        </ns0:is>
      </ns0:c>
      <ns0:c r="F1760" s="21" t="inlineStr">
        <ns0:is>
          <ns0:t>https://doi.org/10.1016/j.artmed.2025.103318</ns0:t>
        </ns0:is>
      </ns0:c>
      <ns0:c r="G1760" s="21" t="inlineStr">
        <ns0:is>
          <ns0:t>ChatGPT-assisted evidence recharting, 2026-09-08</ns0:t>
        </ns0:is>
      </ns0:c>
    </ns0:row>
    <ns0:row r="1761" ht="45" customHeight="1">
      <ns0:c r="A1761" s="19" t="inlineStr">
        <ns0:is>
          <ns0:t>new_197</ns0:t>
        </ns0:is>
      </ns0:c>
      <ns0:c r="B1761" s="19" t="inlineStr">
        <ns0:is>
          <ns0:t>algorithm_main</ns0:t>
        </ns0:is>
      </ns0:c>
      <ns0:c r="C1761" s="19" t="inlineStr">
        <ns0:is>
          <ns0:t>BioBERT models</ns0:t>
        </ns0:is>
      </ns0:c>
      <ns0:c r="D1761" s="19" t="inlineStr">
        <ns0:is>
          <ns0:t>Transformer</ns0:t>
        </ns0:is>
      </ns0:c>
      <ns0:c r="E1761" s="19" t="inlineStr">
        <ns0:is>
          <ns0:t>BioBERT clinical-note transfer experiments train sequentially or jointly on two datasets; untouched external validation is not established in available abstract.
Sequential/mixed-dataset transfer; training-test independence of an untouched external cohort not established</ns0:t>
        </ns0:is>
      </ns0:c>
      <ns0:c r="F1761" s="19" t="inlineStr">
        <ns0:is>
          <ns0:t>https://doi.org/10.1016/j.artmed.2025.103318</ns0:t>
        </ns0:is>
      </ns0:c>
      <ns0:c r="G1761" s="19" t="inlineStr">
        <ns0:is>
          <ns0:t>ChatGPT-assisted evidence recharting, 2026-09-08</ns0:t>
        </ns0:is>
      </ns0:c>
    </ns0:row>
    <ns0:row r="1762" ht="45" customHeight="1">
      <ns0:c r="A1762" s="21" t="inlineStr">
        <ns0:is>
          <ns0:t>new_197</ns0:t>
        </ns0:is>
      </ns0:c>
      <ns0:c r="B1762" s="21" t="inlineStr">
        <ns0:is>
          <ns0:t>rq2_status</ns0:t>
        </ns0:is>
      </ns0:c>
      <ns0:c r="C1762" s="21" t="inlineStr">
        <ns0:is>
          <ns0:t>Proposed only</ns0:t>
        </ns0:is>
      </ns0:c>
      <ns0:c r="D1762" s="21" t="inlineStr">
        <ns0:is>
          <ns0:t>Research only</ns0:t>
        </ns0:is>
      </ns0:c>
      <ns0:c r="E1762" s="21" t="inlineStr">
        <ns0:is>
          <ns0:t>BioBERT clinical-note transfer experiments train sequentially or jointly on two datasets; untouched external validation is not established in available abstract.
Sequential/mixed-dataset transfer; training-test independence of an untouched external cohort not established</ns0:t>
        </ns0:is>
      </ns0:c>
      <ns0:c r="F1762" s="21" t="inlineStr">
        <ns0:is>
          <ns0:t>https://doi.org/10.1016/j.artmed.2025.103318</ns0:t>
        </ns0:is>
      </ns0:c>
      <ns0:c r="G1762" s="21" t="inlineStr">
        <ns0:is>
          <ns0:t>ChatGPT-assisted evidence recharting, 2026-09-08</ns0:t>
        </ns0:is>
      </ns0:c>
    </ns0:row>
    <ns0:row r="1763" ht="45" customHeight="1">
      <ns0:c r="A1763" s="19" t="inlineStr">
        <ns0:is>
          <ns0:t>new_197</ns0:t>
        </ns0:is>
      </ns0:c>
      <ns0:c r="B1763" s="19" t="inlineStr">
        <ns0:is>
          <ns0:t>rq2_role</ns0:t>
        </ns0:is>
      </ns0:c>
      <ns0:c r="C1763" s="19" t="inlineStr">
        <ns0:is>
          <ns0:t>Real-world records, not deployed</ns0:t>
        </ns0:is>
      </ns0:c>
      <ns0:c r="D1763" s="19" t="inlineStr">
        <ns0:is>
          <ns0:t>Automated measurement/classification</ns0:t>
        </ns0:is>
      </ns0:c>
      <ns0:c r="E1763" s="19" t="inlineStr">
        <ns0:is>
          <ns0:t>BioBERT clinical-note transfer experiments train sequentially or jointly on two datasets; untouched external validation is not established in available abstract.
Sequential/mixed-dataset transfer; training-test independence of an untouched external cohort not established</ns0:t>
        </ns0:is>
      </ns0:c>
      <ns0:c r="F1763" s="19" t="inlineStr">
        <ns0:is>
          <ns0:t>https://doi.org/10.1016/j.artmed.2025.103318</ns0:t>
        </ns0:is>
      </ns0:c>
      <ns0:c r="G1763" s="19" t="inlineStr">
        <ns0:is>
          <ns0:t>ChatGPT-assisted evidence recharting, 2026-09-08</ns0:t>
        </ns0:is>
      </ns0:c>
    </ns0:row>
    <ns0:row r="1764" ht="45" customHeight="1">
      <ns0:c r="A1764" s="21" t="inlineStr">
        <ns0:is>
          <ns0:t>new_197</ns0:t>
        </ns0:is>
      </ns0:c>
      <ns0:c r="B1764" s="21" t="inlineStr">
        <ns0:is>
          <ns0:t>decision_timing</ns0:t>
        </ns0:is>
      </ns0:c>
      <ns0:c r="C1764" s="21" t="inlineStr"/>
      <ns0:c r="D1764" s="21" t="inlineStr">
        <ns0:is>
          <ns0:t>Not observed in assessed sources</ns0:t>
        </ns0:is>
      </ns0:c>
      <ns0:c r="E1764" s="21" t="inlineStr">
        <ns0:is>
          <ns0:t>BioBERT clinical-note transfer experiments train sequentially or jointly on two datasets; untouched external validation is not established in available abstract.
Sequential/mixed-dataset transfer; training-test independence of an untouched external cohort not established</ns0:t>
        </ns0:is>
      </ns0:c>
      <ns0:c r="F1764" s="21" t="inlineStr">
        <ns0:is>
          <ns0:t>https://doi.org/10.1016/j.artmed.2025.103318</ns0:t>
        </ns0:is>
      </ns0:c>
      <ns0:c r="G1764" s="21" t="inlineStr">
        <ns0:is>
          <ns0:t>ChatGPT-assisted evidence recharting, 2026-09-08</ns0:t>
        </ns0:is>
      </ns0:c>
    </ns0:row>
    <ns0:row r="1765" ht="45" customHeight="1">
      <ns0:c r="A1765" s="19" t="inlineStr">
        <ns0:is>
          <ns0:t>new_197</ns0:t>
        </ns0:is>
      </ns0:c>
      <ns0:c r="B1765" s="19" t="inlineStr">
        <ns0:is>
          <ns0:t>external_validation</ns0:t>
        </ns0:is>
      </ns0:c>
      <ns0:c r="C1765" s="19" t="inlineStr">
        <ns0:is>
          <ns0:t>Reported</ns0:t>
        </ns0:is>
      </ns0:c>
      <ns0:c r="D1765" s="19" t="inlineStr">
        <ns0:is>
          <ns0:t>Not ascertainable</ns0:t>
        </ns0:is>
      </ns0:c>
      <ns0:c r="E1765" s="19" t="inlineStr">
        <ns0:is>
          <ns0:t>BioBERT clinical-note transfer experiments train sequentially or jointly on two datasets; untouched external validation is not established in available abstract.
Sequential/mixed-dataset transfer; training-test independence of an untouched external cohort not established</ns0:t>
        </ns0:is>
      </ns0:c>
      <ns0:c r="F1765" s="19" t="inlineStr">
        <ns0:is>
          <ns0:t>https://doi.org/10.1016/j.artmed.2025.103318</ns0:t>
        </ns0:is>
      </ns0:c>
      <ns0:c r="G1765" s="19" t="inlineStr">
        <ns0:is>
          <ns0:t>ChatGPT-assisted evidence recharting, 2026-09-08</ns0:t>
        </ns0:is>
      </ns0:c>
    </ns0:row>
    <ns0:row r="1766" ht="45" customHeight="1">
      <ns0:c r="A1766" s="21" t="inlineStr">
        <ns0:is>
          <ns0:t>new_197</ns0:t>
        </ns0:is>
      </ns0:c>
      <ns0:c r="B1766" s="21" t="inlineStr">
        <ns0:is>
          <ns0:t>integrity_status</ns0:t>
        </ns0:is>
      </ns0:c>
      <ns0:c r="C1766" s="21" t="inlineStr"/>
      <ns0:c r="D1766" s="21" t="inlineStr">
        <ns0:is>
          <ns0:t>Not recorded</ns0:t>
        </ns0:is>
      </ns0:c>
      <ns0:c r="E1766" s="21" t="inlineStr">
        <ns0:is>
          <ns0:t>BioBERT clinical-note transfer experiments train sequentially or jointly on two datasets; untouched external validation is not established in available abstract.
Sequential/mixed-dataset transfer; training-test independence of an untouched external cohort not established</ns0:t>
        </ns0:is>
      </ns0:c>
      <ns0:c r="F1766" s="21" t="inlineStr">
        <ns0:is>
          <ns0:t>https://doi.org/10.1016/j.artmed.2025.103318</ns0:t>
        </ns0:is>
      </ns0:c>
      <ns0:c r="G1766" s="21" t="inlineStr">
        <ns0:is>
          <ns0:t>ChatGPT-assisted evidence recharting, 2026-09-08</ns0:t>
        </ns0:is>
      </ns0:c>
    </ns0:row>
    <ns0:row r="1767" ht="42" customHeight="1">
      <ns0:c r="A1767" s="19" t="inlineStr">
        <ns0:is>
          <ns0:t>new_200</ns0:t>
        </ns0:is>
      </ns0:c>
      <ns0:c r="B1767" s="19" t="inlineStr">
        <ns0:is>
          <ns0:t>data_source_primary</ns0:t>
        </ns0:is>
      </ns0:c>
      <ns0:c r="C1767" s="19" t="inlineStr">
        <ns0:is>
          <ns0:t>Structured / tabular data</ns0:t>
        </ns0:is>
      </ns0:c>
      <ns0:c r="D1767" s="19" t="inlineStr">
        <ns0:is>
          <ns0:t>Structured clinical/questionnaire data</ns0:t>
        </ns0:is>
      </ns0:c>
      <ns0:c r="E1767" s="19" t="inlineStr">
        <ns0:is>
          <ns0:t>Online cognitive task scores combined with a screening questionnaire; explicit intended screening tool but no demonstrated clinical deployment.</ns0:t>
        </ns0:is>
      </ns0:c>
      <ns0:c r="F1767" s="19" t="inlineStr">
        <ns0:is>
          <ns0:t>https://doi.org/10.1038/s41398-026-03823-y</ns0:t>
        </ns0:is>
      </ns0:c>
      <ns0:c r="G1767" s="19" t="inlineStr">
        <ns0:is>
          <ns0:t>ChatGPT-assisted evidence recharting, 2026-09-08</ns0:t>
        </ns0:is>
      </ns0:c>
    </ns0:row>
    <ns0:row r="1768" ht="42" customHeight="1">
      <ns0:c r="A1768" s="21" t="inlineStr">
        <ns0:is>
          <ns0:t>new_200</ns0:t>
        </ns0:is>
      </ns0:c>
      <ns0:c r="B1768" s="21" t="inlineStr">
        <ns0:is>
          <ns0:t>rq2_role</ns0:t>
        </ns0:is>
      </ns0:c>
      <ns0:c r="C1768" s="21" t="inlineStr">
        <ns0:is>
          <ns0:t>Online screening augmentation</ns0:t>
        </ns0:is>
      </ns0:c>
      <ns0:c r="D1768" s="21" t="inlineStr">
        <ns0:is>
          <ns0:t>Triage/questionnaire assessment</ns0:t>
        </ns0:is>
      </ns0:c>
      <ns0:c r="E1768" s="21" t="inlineStr">
        <ns0:is>
          <ns0:t>Online cognitive task scores combined with a screening questionnaire; explicit intended screening tool but no demonstrated clinical deployment.</ns0:t>
        </ns0:is>
      </ns0:c>
      <ns0:c r="F1768" s="21" t="inlineStr">
        <ns0:is>
          <ns0:t>https://doi.org/10.1038/s41398-026-03823-y</ns0:t>
        </ns0:is>
      </ns0:c>
      <ns0:c r="G1768" s="21" t="inlineStr">
        <ns0:is>
          <ns0:t>ChatGPT-assisted evidence recharting, 2026-09-08</ns0:t>
        </ns0:is>
      </ns0:c>
    </ns0:row>
    <ns0:row r="1769" ht="42" customHeight="1">
      <ns0:c r="A1769" s="19" t="inlineStr">
        <ns0:is>
          <ns0:t>new_200</ns0:t>
        </ns0:is>
      </ns0:c>
      <ns0:c r="B1769" s="19" t="inlineStr">
        <ns0:is>
          <ns0:t>decision_timing</ns0:t>
        </ns0:is>
      </ns0:c>
      <ns0:c r="C1769" s="19" t="inlineStr"/>
      <ns0:c r="D1769" s="19" t="inlineStr">
        <ns0:is>
          <ns0:t>Pre-decision</ns0:t>
        </ns0:is>
      </ns0:c>
      <ns0:c r="E1769" s="19" t="inlineStr">
        <ns0:is>
          <ns0:t>Online cognitive task scores combined with a screening questionnaire; explicit intended screening tool but no demonstrated clinical deployment.</ns0:t>
        </ns0:is>
      </ns0:c>
      <ns0:c r="F1769" s="19" t="inlineStr">
        <ns0:is>
          <ns0:t>https://doi.org/10.1038/s41398-026-03823-y</ns0:t>
        </ns0:is>
      </ns0:c>
      <ns0:c r="G1769" s="19" t="inlineStr">
        <ns0:is>
          <ns0:t>ChatGPT-assisted evidence recharting, 2026-09-08</ns0:t>
        </ns0:is>
      </ns0:c>
    </ns0:row>
    <ns0:row r="1770" ht="42" customHeight="1">
      <ns0:c r="A1770" s="21" t="inlineStr">
        <ns0:is>
          <ns0:t>new_200</ns0:t>
        </ns0:is>
      </ns0:c>
      <ns0:c r="B1770" s="21" t="inlineStr">
        <ns0:is>
          <ns0:t>multisource_data</ns0:t>
        </ns0:is>
      </ns0:c>
      <ns0:c r="C1770" s="21" t="inlineStr">
        <ns0:is>
          <ns0:t>Not reported in assessed sources</ns0:t>
        </ns0:is>
      </ns0:c>
      <ns0:c r="D1770" s="21" t="inlineStr">
        <ns0:is>
          <ns0:t>Reported</ns0:t>
        </ns0:is>
      </ns0:c>
      <ns0:c r="E1770" s="21" t="inlineStr">
        <ns0:is>
          <ns0:t>Online cognitive task scores combined with a screening questionnaire; explicit intended screening tool but no demonstrated clinical deployment.</ns0:t>
        </ns0:is>
      </ns0:c>
      <ns0:c r="F1770" s="21" t="inlineStr">
        <ns0:is>
          <ns0:t>https://doi.org/10.1038/s41398-026-03823-y</ns0:t>
        </ns0:is>
      </ns0:c>
      <ns0:c r="G1770" s="21" t="inlineStr">
        <ns0:is>
          <ns0:t>ChatGPT-assisted evidence recharting, 2026-09-08</ns0:t>
        </ns0:is>
      </ns0:c>
    </ns0:row>
    <ns0:row r="1771" ht="42" customHeight="1">
      <ns0:c r="A1771" s="19" t="inlineStr">
        <ns0:is>
          <ns0:t>new_200</ns0:t>
        </ns0:is>
      </ns0:c>
      <ns0:c r="B1771" s="19" t="inlineStr">
        <ns0:is>
          <ns0:t>integrity_status</ns0:t>
        </ns0:is>
      </ns0:c>
      <ns0:c r="C1771" s="19" t="inlineStr"/>
      <ns0:c r="D1771" s="19" t="inlineStr">
        <ns0:is>
          <ns0:t>Not recorded</ns0:t>
        </ns0:is>
      </ns0:c>
      <ns0:c r="E1771" s="19" t="inlineStr">
        <ns0:is>
          <ns0:t>Online cognitive task scores combined with a screening questionnaire; explicit intended screening tool but no demonstrated clinical deployment.</ns0:t>
        </ns0:is>
      </ns0:c>
      <ns0:c r="F1771" s="19" t="inlineStr">
        <ns0:is>
          <ns0:t>https://doi.org/10.1038/s41398-026-03823-y</ns0:t>
        </ns0:is>
      </ns0:c>
      <ns0:c r="G1771" s="19" t="inlineStr">
        <ns0:is>
          <ns0:t>ChatGPT-assisted evidence recharting, 2026-09-08</ns0:t>
        </ns0:is>
      </ns0:c>
    </ns0:row>
    <ns0:row r="1772" ht="42" customHeight="1">
      <ns0:c r="A1772" s="21" t="inlineStr">
        <ns0:is>
          <ns0:t>new_210</ns0:t>
        </ns0:is>
      </ns0:c>
      <ns0:c r="B1772" s="21" t="inlineStr">
        <ns0:is>
          <ns0:t>algorithm_main</ns0:t>
        </ns0:is>
      </ns0:c>
      <ns0:c r="C1772" s="21" t="inlineStr">
        <ns0:is>
          <ns0:t>HCTSA + SVM/MLP/random forest</ns0:t>
        </ns0:is>
      </ns0:c>
      <ns0:c r="D1772" s="21" t="inlineStr">
        <ns0:is>
          <ns0:t>Multiple classifiers; primary unspecified</ns0:t>
        </ns0:is>
      </ns0:c>
      <ns0:c r="E1772" s="21" t="inlineStr">
        <ns0:is>
          <ns0:t>EEG HCTSA features and conventional classifiers with Shapley explanations; single small dataset, not externally validated.</ns0:t>
        </ns0:is>
      </ns0:c>
      <ns0:c r="F1772" s="21" t="inlineStr">
        <ns0:is>
          <ns0:t>https://doi.org/10.3390/s26061862</ns0:t>
        </ns0:is>
      </ns0:c>
      <ns0:c r="G1772" s="21" t="inlineStr">
        <ns0:is>
          <ns0:t>ChatGPT-assisted evidence recharting, 2026-09-08</ns0:t>
        </ns0:is>
      </ns0:c>
    </ns0:row>
    <ns0:row r="1773" ht="42" customHeight="1">
      <ns0:c r="A1773" s="19" t="inlineStr">
        <ns0:is>
          <ns0:t>new_210</ns0:t>
        </ns0:is>
      </ns0:c>
      <ns0:c r="B1773" s="19" t="inlineStr">
        <ns0:is>
          <ns0:t>rq2_status</ns0:t>
        </ns0:is>
      </ns0:c>
      <ns0:c r="C1773" s="19" t="inlineStr">
        <ns0:is>
          <ns0:t>Proposed only</ns0:t>
        </ns0:is>
      </ns0:c>
      <ns0:c r="D1773" s="19" t="inlineStr">
        <ns0:is>
          <ns0:t>Research only</ns0:t>
        </ns0:is>
      </ns0:c>
      <ns0:c r="E1773" s="19" t="inlineStr">
        <ns0:is>
          <ns0:t>EEG HCTSA features and conventional classifiers with Shapley explanations; single small dataset, not externally validated.</ns0:t>
        </ns0:is>
      </ns0:c>
      <ns0:c r="F1773" s="19" t="inlineStr">
        <ns0:is>
          <ns0:t>https://doi.org/10.3390/s26061862</ns0:t>
        </ns0:is>
      </ns0:c>
      <ns0:c r="G1773" s="19" t="inlineStr">
        <ns0:is>
          <ns0:t>ChatGPT-assisted evidence recharting, 2026-09-08</ns0:t>
        </ns0:is>
      </ns0:c>
    </ns0:row>
    <ns0:row r="1774" ht="42" customHeight="1">
      <ns0:c r="A1774" s="21" t="inlineStr">
        <ns0:is>
          <ns0:t>new_210</ns0:t>
        </ns0:is>
      </ns0:c>
      <ns0:c r="B1774" s="21" t="inlineStr">
        <ns0:is>
          <ns0:t>rq2_role</ns0:t>
        </ns0:is>
      </ns0:c>
      <ns0:c r="C1774" s="21" t="inlineStr">
        <ns0:is>
          <ns0:t>Research biomarker model</ns0:t>
        </ns0:is>
      </ns0:c>
      <ns0:c r="D1774" s="21" t="inlineStr">
        <ns0:is>
          <ns0:t>Automated measurement/classification</ns0:t>
        </ns0:is>
      </ns0:c>
      <ns0:c r="E1774" s="21" t="inlineStr">
        <ns0:is>
          <ns0:t>EEG HCTSA features and conventional classifiers with Shapley explanations; single small dataset, not externally validated.</ns0:t>
        </ns0:is>
      </ns0:c>
      <ns0:c r="F1774" s="21" t="inlineStr">
        <ns0:is>
          <ns0:t>https://doi.org/10.3390/s26061862</ns0:t>
        </ns0:is>
      </ns0:c>
      <ns0:c r="G1774" s="21" t="inlineStr">
        <ns0:is>
          <ns0:t>ChatGPT-assisted evidence recharting, 2026-09-08</ns0:t>
        </ns0:is>
      </ns0:c>
    </ns0:row>
    <ns0:row r="1775" ht="42" customHeight="1">
      <ns0:c r="A1775" s="19" t="inlineStr">
        <ns0:is>
          <ns0:t>new_210</ns0:t>
        </ns0:is>
      </ns0:c>
      <ns0:c r="B1775" s="19" t="inlineStr">
        <ns0:is>
          <ns0:t>decision_timing</ns0:t>
        </ns0:is>
      </ns0:c>
      <ns0:c r="C1775" s="19" t="inlineStr"/>
      <ns0:c r="D1775" s="19" t="inlineStr">
        <ns0:is>
          <ns0:t>Not observed in assessed sources</ns0:t>
        </ns0:is>
      </ns0:c>
      <ns0:c r="E1775" s="19" t="inlineStr">
        <ns0:is>
          <ns0:t>EEG HCTSA features and conventional classifiers with Shapley explanations; single small dataset, not externally validated.</ns0:t>
        </ns0:is>
      </ns0:c>
      <ns0:c r="F1775" s="19" t="inlineStr">
        <ns0:is>
          <ns0:t>https://doi.org/10.3390/s26061862</ns0:t>
        </ns0:is>
      </ns0:c>
      <ns0:c r="G1775" s="19" t="inlineStr">
        <ns0:is>
          <ns0:t>ChatGPT-assisted evidence recharting, 2026-09-08</ns0:t>
        </ns0:is>
      </ns0:c>
    </ns0:row>
    <ns0:row r="1776" ht="42" customHeight="1">
      <ns0:c r="A1776" s="21" t="inlineStr">
        <ns0:is>
          <ns0:t>new_210</ns0:t>
        </ns0:is>
      </ns0:c>
      <ns0:c r="B1776" s="21" t="inlineStr">
        <ns0:is>
          <ns0:t>integrity_status</ns0:t>
        </ns0:is>
      </ns0:c>
      <ns0:c r="C1776" s="21" t="inlineStr"/>
      <ns0:c r="D1776" s="21" t="inlineStr">
        <ns0:is>
          <ns0:t>Not recorded</ns0:t>
        </ns0:is>
      </ns0:c>
      <ns0:c r="E1776" s="21" t="inlineStr">
        <ns0:is>
          <ns0:t>EEG HCTSA features and conventional classifiers with Shapley explanations; single small dataset, not externally validated.</ns0:t>
        </ns0:is>
      </ns0:c>
      <ns0:c r="F1776" s="21" t="inlineStr">
        <ns0:is>
          <ns0:t>https://doi.org/10.3390/s26061862</ns0:t>
        </ns0:is>
      </ns0:c>
      <ns0:c r="G1776" s="21" t="inlineStr">
        <ns0:is>
          <ns0:t>ChatGPT-assisted evidence recharting, 2026-09-08</ns0:t>
        </ns0:is>
      </ns0:c>
    </ns0:row>
    <ns0:row r="1777" ht="42" customHeight="1">
      <ns0:c r="A1777" s="19" t="inlineStr">
        <ns0:is>
          <ns0:t>new_212</ns0:t>
        </ns0:is>
      </ns0:c>
      <ns0:c r="B1777" s="19" t="inlineStr">
        <ns0:is>
          <ns0:t>data_source_primary</ns0:t>
        </ns0:is>
      </ns0:c>
      <ns0:c r="C1777" s="19" t="inlineStr">
        <ns0:is>
          <ns0:t>Structured / tabular data</ns0:t>
        </ns0:is>
      </ns0:c>
      <ns0:c r="D1777" s="19" t="inlineStr">
        <ns0:is>
          <ns0:t>Structured clinical/questionnaire data</ns0:t>
        </ns0:is>
      </ns0:c>
      <ns0:c r="E1777" s="19" t="inlineStr">
        <ns0:is>
          <ns0:t>Wechsler cognitive profiles in ASD versus ADHD; exploratory cognitive characterization.</ns0:t>
        </ns0:is>
      </ns0:c>
      <ns0:c r="F1777" s="19" t="inlineStr">
        <ns0:is>
          <ns0:t>https://doi.org/10.1371/journal.pone.0345522</ns0:t>
        </ns0:is>
      </ns0:c>
      <ns0:c r="G1777" s="19" t="inlineStr">
        <ns0:is>
          <ns0:t>ChatGPT-assisted evidence recharting, 2026-09-08</ns0:t>
        </ns0:is>
      </ns0:c>
    </ns0:row>
    <ns0:row r="1778" ht="42" customHeight="1">
      <ns0:c r="A1778" s="21" t="inlineStr">
        <ns0:is>
          <ns0:t>new_212</ns0:t>
        </ns0:is>
      </ns0:c>
      <ns0:c r="B1778" s="21" t="inlineStr">
        <ns0:is>
          <ns0:t>algorithm_main</ns0:t>
        </ns0:is>
      </ns0:c>
      <ns0:c r="C1778" s="21" t="inlineStr">
        <ns0:is>
          <ns0:t>Classifier + Gaussian-mixture clustering</ns0:t>
        </ns0:is>
      </ns0:c>
      <ns0:c r="D1778" s="21" t="inlineStr">
        <ns0:is>
          <ns0:t>Clustering / classifier unspecified</ns0:t>
        </ns0:is>
      </ns0:c>
      <ns0:c r="E1778" s="21" t="inlineStr">
        <ns0:is>
          <ns0:t>Wechsler cognitive profiles in ASD versus ADHD; exploratory cognitive characterization.</ns0:t>
        </ns0:is>
      </ns0:c>
      <ns0:c r="F1778" s="21" t="inlineStr">
        <ns0:is>
          <ns0:t>https://doi.org/10.1371/journal.pone.0345522</ns0:t>
        </ns0:is>
      </ns0:c>
      <ns0:c r="G1778" s="21" t="inlineStr">
        <ns0:is>
          <ns0:t>ChatGPT-assisted evidence recharting, 2026-09-08</ns0:t>
        </ns0:is>
      </ns0:c>
    </ns0:row>
    <ns0:row r="1779" ht="42" customHeight="1">
      <ns0:c r="A1779" s="19" t="inlineStr">
        <ns0:is>
          <ns0:t>new_212</ns0:t>
        </ns0:is>
      </ns0:c>
      <ns0:c r="B1779" s="19" t="inlineStr">
        <ns0:is>
          <ns0:t>rq2_role</ns0:t>
        </ns0:is>
      </ns0:c>
      <ns0:c r="C1779" s="19" t="inlineStr">
        <ns0:is>
          <ns0:t>ASD/ADHD cognitive profiling</ns0:t>
        </ns0:is>
      </ns0:c>
      <ns0:c r="D1779" s="19" t="inlineStr">
        <ns0:is>
          <ns0:t>Automated measurement/classification</ns0:t>
        </ns0:is>
      </ns0:c>
      <ns0:c r="E1779" s="19" t="inlineStr">
        <ns0:is>
          <ns0:t>Wechsler cognitive profiles in ASD versus ADHD; exploratory cognitive characterization.</ns0:t>
        </ns0:is>
      </ns0:c>
      <ns0:c r="F1779" s="19" t="inlineStr">
        <ns0:is>
          <ns0:t>https://doi.org/10.1371/journal.pone.0345522</ns0:t>
        </ns0:is>
      </ns0:c>
      <ns0:c r="G1779" s="19" t="inlineStr">
        <ns0:is>
          <ns0:t>ChatGPT-assisted evidence recharting, 2026-09-08</ns0:t>
        </ns0:is>
      </ns0:c>
    </ns0:row>
    <ns0:row r="1780" ht="42" customHeight="1">
      <ns0:c r="A1780" s="21" t="inlineStr">
        <ns0:is>
          <ns0:t>new_212</ns0:t>
        </ns0:is>
      </ns0:c>
      <ns0:c r="B1780" s="21" t="inlineStr">
        <ns0:is>
          <ns0:t>decision_timing</ns0:t>
        </ns0:is>
      </ns0:c>
      <ns0:c r="C1780" s="21" t="inlineStr"/>
      <ns0:c r="D1780" s="21" t="inlineStr">
        <ns0:is>
          <ns0:t>Not observed in assessed sources</ns0:t>
        </ns0:is>
      </ns0:c>
      <ns0:c r="E1780" s="21" t="inlineStr">
        <ns0:is>
          <ns0:t>Wechsler cognitive profiles in ASD versus ADHD; exploratory cognitive characterization.</ns0:t>
        </ns0:is>
      </ns0:c>
      <ns0:c r="F1780" s="21" t="inlineStr">
        <ns0:is>
          <ns0:t>https://doi.org/10.1371/journal.pone.0345522</ns0:t>
        </ns0:is>
      </ns0:c>
      <ns0:c r="G1780" s="21" t="inlineStr">
        <ns0:is>
          <ns0:t>ChatGPT-assisted evidence recharting, 2026-09-08</ns0:t>
        </ns0:is>
      </ns0:c>
    </ns0:row>
    <ns0:row r="1781" ht="42" customHeight="1">
      <ns0:c r="A1781" s="19" t="inlineStr">
        <ns0:is>
          <ns0:t>new_212</ns0:t>
        </ns0:is>
      </ns0:c>
      <ns0:c r="B1781" s="19" t="inlineStr">
        <ns0:is>
          <ns0:t>integrity_status</ns0:t>
        </ns0:is>
      </ns0:c>
      <ns0:c r="C1781" s="19" t="inlineStr"/>
      <ns0:c r="D1781" s="19" t="inlineStr">
        <ns0:is>
          <ns0:t>Not recorded</ns0:t>
        </ns0:is>
      </ns0:c>
      <ns0:c r="E1781" s="19" t="inlineStr">
        <ns0:is>
          <ns0:t>Wechsler cognitive profiles in ASD versus ADHD; exploratory cognitive characterization.</ns0:t>
        </ns0:is>
      </ns0:c>
      <ns0:c r="F1781" s="19" t="inlineStr">
        <ns0:is>
          <ns0:t>https://doi.org/10.1371/journal.pone.0345522</ns0:t>
        </ns0:is>
      </ns0:c>
      <ns0:c r="G1781" s="19" t="inlineStr">
        <ns0:is>
          <ns0:t>ChatGPT-assisted evidence recharting, 2026-09-08</ns0:t>
        </ns0:is>
      </ns0:c>
    </ns0:row>
    <ns0:row r="1782" ht="42" customHeight="1">
      <ns0:c r="A1782" s="21" t="inlineStr">
        <ns0:is>
          <ns0:t>new_214</ns0:t>
        </ns0:is>
      </ns0:c>
      <ns0:c r="B1782" s="21" t="inlineStr">
        <ns0:is>
          <ns0:t>algorithm_main</ns0:t>
        </ns0:is>
      </ns0:c>
      <ns0:c r="C1782" s="21" t="inlineStr">
        <ns0:is>
          <ns0:t>Random forest + SVM/logistic regression</ns0:t>
        </ns0:is>
      </ns0:c>
      <ns0:c r="D1782" s="21" t="inlineStr">
        <ns0:is>
          <ns0:t>Random forest / classifier comparison</ns0:t>
        </ns0:is>
      </ns0:c>
      <ns0:c r="E1782" s="21" t="inlineStr">
        <ns0:is>
          <ns0:t>Hippocampal fMRI classifier comparison and clinical associations; research use only.</ns0:t>
        </ns0:is>
      </ns0:c>
      <ns0:c r="F1782" s="21" t="inlineStr">
        <ns0:is>
          <ns0:t>https://doi.org/10.1002/aur.70124</ns0:t>
        </ns0:is>
      </ns0:c>
      <ns0:c r="G1782" s="21" t="inlineStr">
        <ns0:is>
          <ns0:t>ChatGPT-assisted evidence recharting, 2026-09-08</ns0:t>
        </ns0:is>
      </ns0:c>
    </ns0:row>
    <ns0:row r="1783" ht="42" customHeight="1">
      <ns0:c r="A1783" s="19" t="inlineStr">
        <ns0:is>
          <ns0:t>new_214</ns0:t>
        </ns0:is>
      </ns0:c>
      <ns0:c r="B1783" s="19" t="inlineStr">
        <ns0:is>
          <ns0:t>rq2_role</ns0:t>
        </ns0:is>
      </ns0:c>
      <ns0:c r="C1783" s="19" t="inlineStr">
        <ns0:is>
          <ns0:t>Retrospective ABIDE analysis</ns0:t>
        </ns0:is>
      </ns0:c>
      <ns0:c r="D1783" s="19" t="inlineStr">
        <ns0:is>
          <ns0:t>Automated measurement/classification</ns0:t>
        </ns0:is>
      </ns0:c>
      <ns0:c r="E1783" s="19" t="inlineStr">
        <ns0:is>
          <ns0:t>Hippocampal fMRI classifier comparison and clinical associations; research use only.</ns0:t>
        </ns0:is>
      </ns0:c>
      <ns0:c r="F1783" s="19" t="inlineStr">
        <ns0:is>
          <ns0:t>https://doi.org/10.1002/aur.70124</ns0:t>
        </ns0:is>
      </ns0:c>
      <ns0:c r="G1783" s="19" t="inlineStr">
        <ns0:is>
          <ns0:t>ChatGPT-assisted evidence recharting, 2026-09-08</ns0:t>
        </ns0:is>
      </ns0:c>
    </ns0:row>
    <ns0:row r="1784" ht="42" customHeight="1">
      <ns0:c r="A1784" s="21" t="inlineStr">
        <ns0:is>
          <ns0:t>new_214</ns0:t>
        </ns0:is>
      </ns0:c>
      <ns0:c r="B1784" s="21" t="inlineStr">
        <ns0:is>
          <ns0:t>decision_timing</ns0:t>
        </ns0:is>
      </ns0:c>
      <ns0:c r="C1784" s="21" t="inlineStr"/>
      <ns0:c r="D1784" s="21" t="inlineStr">
        <ns0:is>
          <ns0:t>Not observed in assessed sources</ns0:t>
        </ns0:is>
      </ns0:c>
      <ns0:c r="E1784" s="21" t="inlineStr">
        <ns0:is>
          <ns0:t>Hippocampal fMRI classifier comparison and clinical associations; research use only.</ns0:t>
        </ns0:is>
      </ns0:c>
      <ns0:c r="F1784" s="21" t="inlineStr">
        <ns0:is>
          <ns0:t>https://doi.org/10.1002/aur.70124</ns0:t>
        </ns0:is>
      </ns0:c>
      <ns0:c r="G1784" s="21" t="inlineStr">
        <ns0:is>
          <ns0:t>ChatGPT-assisted evidence recharting, 2026-09-08</ns0:t>
        </ns0:is>
      </ns0:c>
    </ns0:row>
    <ns0:row r="1785" ht="42" customHeight="1">
      <ns0:c r="A1785" s="19" t="inlineStr">
        <ns0:is>
          <ns0:t>new_214</ns0:t>
        </ns0:is>
      </ns0:c>
      <ns0:c r="B1785" s="19" t="inlineStr">
        <ns0:is>
          <ns0:t>integrity_status</ns0:t>
        </ns0:is>
      </ns0:c>
      <ns0:c r="C1785" s="19" t="inlineStr"/>
      <ns0:c r="D1785" s="19" t="inlineStr">
        <ns0:is>
          <ns0:t>Not recorded</ns0:t>
        </ns0:is>
      </ns0:c>
      <ns0:c r="E1785" s="19" t="inlineStr">
        <ns0:is>
          <ns0:t>Hippocampal fMRI classifier comparison and clinical associations; research use only.</ns0:t>
        </ns0:is>
      </ns0:c>
      <ns0:c r="F1785" s="19" t="inlineStr">
        <ns0:is>
          <ns0:t>https://doi.org/10.1002/aur.70124</ns0:t>
        </ns0:is>
      </ns0:c>
      <ns0:c r="G1785" s="19" t="inlineStr">
        <ns0:is>
          <ns0:t>ChatGPT-assisted evidence recharting, 2026-09-08</ns0:t>
        </ns0:is>
      </ns0:c>
    </ns0:row>
    <ns0:row r="1786" ht="42" customHeight="1">
      <ns0:c r="A1786" s="21" t="inlineStr">
        <ns0:is>
          <ns0:t>new_216</ns0:t>
        </ns0:is>
      </ns0:c>
      <ns0:c r="B1786" s="21" t="inlineStr">
        <ns0:is>
          <ns0:t>data_source_primary</ns0:t>
        </ns0:is>
      </ns0:c>
      <ns0:c r="C1786" s="21" t="inlineStr">
        <ns0:is>
          <ns0:t>Audio / voice</ns0:t>
        </ns0:is>
      </ns0:c>
      <ns0:c r="D1786" s="21" t="inlineStr">
        <ns0:is>
          <ns0:t>Audio/voice</ns0:t>
        </ns0:is>
      </ns0:c>
      <ns0:c r="E1786" s="21" t="inlineStr">
        <ns0:is>
          <ns0:t>Deep acoustic segmentation and subsequent prosodic-synchrony analysis over two time points, without live care decisions.</ns0:t>
        </ns0:is>
      </ns0:c>
      <ns0:c r="F1786" s="21" t="inlineStr">
        <ns0:is>
          <ns0:t>https://doi.org/10.1002/aur.70189</ns0:t>
        </ns0:is>
      </ns0:c>
      <ns0:c r="G1786" s="21" t="inlineStr">
        <ns0:is>
          <ns0:t>ChatGPT-assisted evidence recharting, 2026-09-08</ns0:t>
        </ns0:is>
      </ns0:c>
    </ns0:row>
    <ns0:row r="1787" ht="42" customHeight="1">
      <ns0:c r="A1787" s="19" t="inlineStr">
        <ns0:is>
          <ns0:t>new_216</ns0:t>
        </ns0:is>
      </ns0:c>
      <ns0:c r="B1787" s="19" t="inlineStr">
        <ns0:is>
          <ns0:t>algorithm_main</ns0:t>
        </ns0:is>
      </ns0:c>
      <ns0:c r="C1787" s="19" t="inlineStr">
        <ns0:is>
          <ns0:t>Speech segmentation + CRQA</ns0:t>
        </ns0:is>
      </ns0:c>
      <ns0:c r="D1787" s="19" t="inlineStr">
        <ns0:is>
          <ns0:t>Speech-segmentation network; unspecified</ns0:t>
        </ns0:is>
      </ns0:c>
      <ns0:c r="E1787" s="19" t="inlineStr">
        <ns0:is>
          <ns0:t>Deep acoustic segmentation and subsequent prosodic-synchrony analysis over two time points, without live care decisions.</ns0:t>
        </ns0:is>
      </ns0:c>
      <ns0:c r="F1787" s="19" t="inlineStr">
        <ns0:is>
          <ns0:t>https://doi.org/10.1002/aur.70189</ns0:t>
        </ns0:is>
      </ns0:c>
      <ns0:c r="G1787" s="19" t="inlineStr">
        <ns0:is>
          <ns0:t>ChatGPT-assisted evidence recharting, 2026-09-08</ns0:t>
        </ns0:is>
      </ns0:c>
    </ns0:row>
    <ns0:row r="1788" ht="42" customHeight="1">
      <ns0:c r="A1788" s="21" t="inlineStr">
        <ns0:is>
          <ns0:t>new_216</ns0:t>
        </ns0:is>
      </ns0:c>
      <ns0:c r="B1788" s="21" t="inlineStr">
        <ns0:is>
          <ns0:t>rq2_role</ns0:t>
        </ns0:is>
      </ns0:c>
      <ns0:c r="C1788" s="21" t="inlineStr">
        <ns0:is>
          <ns0:t>Longitudinal interaction analysis</ns0:t>
        </ns0:is>
      </ns0:c>
      <ns0:c r="D1788" s="21" t="inlineStr">
        <ns0:is>
          <ns0:t>Monitoring/longitudinal analysis</ns0:t>
        </ns0:is>
      </ns0:c>
      <ns0:c r="E1788" s="21" t="inlineStr">
        <ns0:is>
          <ns0:t>Deep acoustic segmentation and subsequent prosodic-synchrony analysis over two time points, without live care decisions.</ns0:t>
        </ns0:is>
      </ns0:c>
      <ns0:c r="F1788" s="21" t="inlineStr">
        <ns0:is>
          <ns0:t>https://doi.org/10.1002/aur.70189</ns0:t>
        </ns0:is>
      </ns0:c>
      <ns0:c r="G1788" s="21" t="inlineStr">
        <ns0:is>
          <ns0:t>ChatGPT-assisted evidence recharting, 2026-09-08</ns0:t>
        </ns0:is>
      </ns0:c>
    </ns0:row>
    <ns0:row r="1789" ht="42" customHeight="1">
      <ns0:c r="A1789" s="19" t="inlineStr">
        <ns0:is>
          <ns0:t>new_216</ns0:t>
        </ns0:is>
      </ns0:c>
      <ns0:c r="B1789" s="19" t="inlineStr">
        <ns0:is>
          <ns0:t>decision_timing</ns0:t>
        </ns0:is>
      </ns0:c>
      <ns0:c r="C1789" s="19" t="inlineStr"/>
      <ns0:c r="D1789" s="19" t="inlineStr">
        <ns0:is>
          <ns0:t>Not observed in assessed sources</ns0:t>
        </ns0:is>
      </ns0:c>
      <ns0:c r="E1789" s="19" t="inlineStr">
        <ns0:is>
          <ns0:t>Deep acoustic segmentation and subsequent prosodic-synchrony analysis over two time points, without live care decisions.</ns0:t>
        </ns0:is>
      </ns0:c>
      <ns0:c r="F1789" s="19" t="inlineStr">
        <ns0:is>
          <ns0:t>https://doi.org/10.1002/aur.70189</ns0:t>
        </ns0:is>
      </ns0:c>
      <ns0:c r="G1789" s="19" t="inlineStr">
        <ns0:is>
          <ns0:t>ChatGPT-assisted evidence recharting, 2026-09-08</ns0:t>
        </ns0:is>
      </ns0:c>
    </ns0:row>
    <ns0:row r="1790" ht="42" customHeight="1">
      <ns0:c r="A1790" s="21" t="inlineStr">
        <ns0:is>
          <ns0:t>new_216</ns0:t>
        </ns0:is>
      </ns0:c>
      <ns0:c r="B1790" s="21" t="inlineStr">
        <ns0:is>
          <ns0:t>integrity_status</ns0:t>
        </ns0:is>
      </ns0:c>
      <ns0:c r="C1790" s="21" t="inlineStr"/>
      <ns0:c r="D1790" s="21" t="inlineStr">
        <ns0:is>
          <ns0:t>Not recorded</ns0:t>
        </ns0:is>
      </ns0:c>
      <ns0:c r="E1790" s="21" t="inlineStr">
        <ns0:is>
          <ns0:t>Deep acoustic segmentation and subsequent prosodic-synchrony analysis over two time points, without live care decisions.</ns0:t>
        </ns0:is>
      </ns0:c>
      <ns0:c r="F1790" s="21" t="inlineStr">
        <ns0:is>
          <ns0:t>https://doi.org/10.1002/aur.70189</ns0:t>
        </ns0:is>
      </ns0:c>
      <ns0:c r="G1790" s="21" t="inlineStr">
        <ns0:is>
          <ns0:t>ChatGPT-assisted evidence recharting, 2026-09-08</ns0:t>
        </ns0:is>
      </ns0:c>
    </ns0:row>
    <ns0:row r="1791" ht="45" customHeight="1">
      <ns0:c r="A1791" s="19" t="inlineStr">
        <ns0:is>
          <ns0:t>new_217</ns0:t>
        </ns0:is>
      </ns0:c>
      <ns0:c r="B1791" s="19" t="inlineStr">
        <ns0:is>
          <ns0:t>stage_primary</ns0:t>
        </ns0:is>
      </ns0:c>
      <ns0:c r="C1791" s="19" t="inlineStr">
        <ns0:is>
          <ns0:t>Prognosis</ns0:t>
        </ns0:is>
      </ns0:c>
      <ns0:c r="D1791" s="19" t="inlineStr">
        <ns0:is>
          <ns0:t>Not specified</ns0:t>
        </ns0:is>
      </ns0:c>
      <ns0:c r="E1791" s="19" t="inlineStr">
        <ns0:is>
          <ns0:t>Predicts current brain age from T1/T2 MRI, not future clinical trajectory. Application to ASD participants does not itself establish external study-level validation.
Normative TDC-to-ASD application; independent acquisition cohort versus same-study held-out group unresolved</ns0:t>
        </ns0:is>
      </ns0:c>
      <ns0:c r="F1791" s="19" t="inlineStr">
        <ns0:is>
          <ns0:t>https://doi.org/10.1002/ped4.70064</ns0:t>
        </ns0:is>
      </ns0:c>
      <ns0:c r="G1791" s="19" t="inlineStr">
        <ns0:is>
          <ns0:t>ChatGPT-assisted evidence recharting, 2026-09-08</ns0:t>
        </ns0:is>
      </ns0:c>
    </ns0:row>
    <ns0:row r="1792" ht="45" customHeight="1">
      <ns0:c r="A1792" s="21" t="inlineStr">
        <ns0:is>
          <ns0:t>new_217</ns0:t>
        </ns0:is>
      </ns0:c>
      <ns0:c r="B1792" s="21" t="inlineStr">
        <ns0:is>
          <ns0:t>algorithm_main</ns0:t>
        </ns0:is>
      </ns0:c>
      <ns0:c r="C1792" s="21" t="inlineStr">
        <ns0:is>
          <ns0:t>Ridge-regression brain-age model</ns0:t>
        </ns0:is>
      </ns0:c>
      <ns0:c r="D1792" s="21" t="inlineStr">
        <ns0:is>
          <ns0:t>Ridge regression</ns0:t>
        </ns0:is>
      </ns0:c>
      <ns0:c r="E1792" s="21" t="inlineStr">
        <ns0:is>
          <ns0:t>Predicts current brain age from T1/T2 MRI, not future clinical trajectory. Application to ASD participants does not itself establish external study-level validation.
Normative TDC-to-ASD application; independent acquisition cohort versus same-study held-out group unresolved</ns0:t>
        </ns0:is>
      </ns0:c>
      <ns0:c r="F1792" s="21" t="inlineStr">
        <ns0:is>
          <ns0:t>https://doi.org/10.1002/ped4.70064</ns0:t>
        </ns0:is>
      </ns0:c>
      <ns0:c r="G1792" s="21" t="inlineStr">
        <ns0:is>
          <ns0:t>ChatGPT-assisted evidence recharting, 2026-09-08</ns0:t>
        </ns0:is>
      </ns0:c>
    </ns0:row>
    <ns0:row r="1793" ht="45" customHeight="1">
      <ns0:c r="A1793" s="19" t="inlineStr">
        <ns0:is>
          <ns0:t>new_217</ns0:t>
        </ns0:is>
      </ns0:c>
      <ns0:c r="B1793" s="19" t="inlineStr">
        <ns0:is>
          <ns0:t>rq2_role</ns0:t>
        </ns0:is>
      </ns0:c>
      <ns0:c r="C1793" s="19" t="inlineStr">
        <ns0:is>
          <ns0:t>Developmental characterization</ns0:t>
        </ns0:is>
      </ns0:c>
      <ns0:c r="D1793" s="19" t="inlineStr">
        <ns0:is>
          <ns0:t>Research characterization</ns0:t>
        </ns0:is>
      </ns0:c>
      <ns0:c r="E1793" s="19" t="inlineStr">
        <ns0:is>
          <ns0:t>Predicts current brain age from T1/T2 MRI, not future clinical trajectory. Application to ASD participants does not itself establish external study-level validation.
Normative TDC-to-ASD application; independent acquisition cohort versus same-study held-out group unresolved</ns0:t>
        </ns0:is>
      </ns0:c>
      <ns0:c r="F1793" s="19" t="inlineStr">
        <ns0:is>
          <ns0:t>https://doi.org/10.1002/ped4.70064</ns0:t>
        </ns0:is>
      </ns0:c>
      <ns0:c r="G1793" s="19" t="inlineStr">
        <ns0:is>
          <ns0:t>ChatGPT-assisted evidence recharting, 2026-09-08</ns0:t>
        </ns0:is>
      </ns0:c>
    </ns0:row>
    <ns0:row r="1794" ht="45" customHeight="1">
      <ns0:c r="A1794" s="21" t="inlineStr">
        <ns0:is>
          <ns0:t>new_217</ns0:t>
        </ns0:is>
      </ns0:c>
      <ns0:c r="B1794" s="21" t="inlineStr">
        <ns0:is>
          <ns0:t>decision_timing</ns0:t>
        </ns0:is>
      </ns0:c>
      <ns0:c r="C1794" s="21" t="inlineStr"/>
      <ns0:c r="D1794" s="21" t="inlineStr">
        <ns0:is>
          <ns0:t>Not observed in assessed sources</ns0:t>
        </ns0:is>
      </ns0:c>
      <ns0:c r="E1794" s="21" t="inlineStr">
        <ns0:is>
          <ns0:t>Predicts current brain age from T1/T2 MRI, not future clinical trajectory. Application to ASD participants does not itself establish external study-level validation.
Normative TDC-to-ASD application; independent acquisition cohort versus same-study held-out group unresolved</ns0:t>
        </ns0:is>
      </ns0:c>
      <ns0:c r="F1794" s="21" t="inlineStr">
        <ns0:is>
          <ns0:t>https://doi.org/10.1002/ped4.70064</ns0:t>
        </ns0:is>
      </ns0:c>
      <ns0:c r="G1794" s="21" t="inlineStr">
        <ns0:is>
          <ns0:t>ChatGPT-assisted evidence recharting, 2026-09-08</ns0:t>
        </ns0:is>
      </ns0:c>
    </ns0:row>
    <ns0:row r="1795" ht="45" customHeight="1">
      <ns0:c r="A1795" s="19" t="inlineStr">
        <ns0:is>
          <ns0:t>new_217</ns0:t>
        </ns0:is>
      </ns0:c>
      <ns0:c r="B1795" s="19" t="inlineStr">
        <ns0:is>
          <ns0:t>external_validation</ns0:t>
        </ns0:is>
      </ns0:c>
      <ns0:c r="C1795" s="19" t="inlineStr">
        <ns0:is>
          <ns0:t>Reported</ns0:t>
        </ns0:is>
      </ns0:c>
      <ns0:c r="D1795" s="19" t="inlineStr">
        <ns0:is>
          <ns0:t>Not ascertainable</ns0:t>
        </ns0:is>
      </ns0:c>
      <ns0:c r="E1795" s="19" t="inlineStr">
        <ns0:is>
          <ns0:t>Predicts current brain age from T1/T2 MRI, not future clinical trajectory. Application to ASD participants does not itself establish external study-level validation.
Normative TDC-to-ASD application; independent acquisition cohort versus same-study held-out group unresolved</ns0:t>
        </ns0:is>
      </ns0:c>
      <ns0:c r="F1795" s="19" t="inlineStr">
        <ns0:is>
          <ns0:t>https://doi.org/10.1002/ped4.70064</ns0:t>
        </ns0:is>
      </ns0:c>
      <ns0:c r="G1795" s="19" t="inlineStr">
        <ns0:is>
          <ns0:t>ChatGPT-assisted evidence recharting, 2026-09-08</ns0:t>
        </ns0:is>
      </ns0:c>
    </ns0:row>
    <ns0:row r="1796" ht="45" customHeight="1">
      <ns0:c r="A1796" s="21" t="inlineStr">
        <ns0:is>
          <ns0:t>new_217</ns0:t>
        </ns0:is>
      </ns0:c>
      <ns0:c r="B1796" s="21" t="inlineStr">
        <ns0:is>
          <ns0:t>multisource_data</ns0:t>
        </ns0:is>
      </ns0:c>
      <ns0:c r="C1796" s="21" t="inlineStr">
        <ns0:is>
          <ns0:t>Not reported in assessed sources</ns0:t>
        </ns0:is>
      </ns0:c>
      <ns0:c r="D1796" s="21" t="inlineStr">
        <ns0:is>
          <ns0:t>Reported</ns0:t>
        </ns0:is>
      </ns0:c>
      <ns0:c r="E1796" s="21" t="inlineStr">
        <ns0:is>
          <ns0:t>Predicts current brain age from T1/T2 MRI, not future clinical trajectory. Application to ASD participants does not itself establish external study-level validation.
Normative TDC-to-ASD application; independent acquisition cohort versus same-study held-out group unresolved</ns0:t>
        </ns0:is>
      </ns0:c>
      <ns0:c r="F1796" s="21" t="inlineStr">
        <ns0:is>
          <ns0:t>https://doi.org/10.1002/ped4.70064</ns0:t>
        </ns0:is>
      </ns0:c>
      <ns0:c r="G1796" s="21" t="inlineStr">
        <ns0:is>
          <ns0:t>ChatGPT-assisted evidence recharting, 2026-09-08</ns0:t>
        </ns0:is>
      </ns0:c>
    </ns0:row>
    <ns0:row r="1797" ht="45" customHeight="1">
      <ns0:c r="A1797" s="19" t="inlineStr">
        <ns0:is>
          <ns0:t>new_217</ns0:t>
        </ns0:is>
      </ns0:c>
      <ns0:c r="B1797" s="19" t="inlineStr">
        <ns0:is>
          <ns0:t>integrity_status</ns0:t>
        </ns0:is>
      </ns0:c>
      <ns0:c r="C1797" s="19" t="inlineStr"/>
      <ns0:c r="D1797" s="19" t="inlineStr">
        <ns0:is>
          <ns0:t>Not recorded</ns0:t>
        </ns0:is>
      </ns0:c>
      <ns0:c r="E1797" s="19" t="inlineStr">
        <ns0:is>
          <ns0:t>Predicts current brain age from T1/T2 MRI, not future clinical trajectory. Application to ASD participants does not itself establish external study-level validation.
Normative TDC-to-ASD application; independent acquisition cohort versus same-study held-out group unresolved</ns0:t>
        </ns0:is>
      </ns0:c>
      <ns0:c r="F1797" s="19" t="inlineStr">
        <ns0:is>
          <ns0:t>https://doi.org/10.1002/ped4.70064</ns0:t>
        </ns0:is>
      </ns0:c>
      <ns0:c r="G1797" s="19" t="inlineStr">
        <ns0:is>
          <ns0:t>ChatGPT-assisted evidence recharting, 2026-09-08</ns0:t>
        </ns0:is>
      </ns0:c>
    </ns0:row>
    <ns0:row r="1798" ht="42" customHeight="1">
      <ns0:c r="A1798" s="21" t="inlineStr">
        <ns0:is>
          <ns0:t>new_228</ns0:t>
        </ns0:is>
      </ns0:c>
      <ns0:c r="B1798" s="21" t="inlineStr">
        <ns0:is>
          <ns0:t>stage_primary</ns0:t>
        </ns0:is>
      </ns0:c>
      <ns0:c r="C1798" s="21" t="inlineStr">
        <ns0:is>
          <ns0:t>Not specified</ns0:t>
        </ns0:is>
      </ns0:c>
      <ns0:c r="D1798" s="21" t="inlineStr">
        <ns0:is>
          <ns0:t>Diagnosis</ns0:t>
        </ns0:is>
      </ns0:c>
      <ns0:c r="E1798" s="21" t="inlineStr">
        <ns0:is>
          <ns0:t>Human serum proteomes are included alongside mouse proteomics, so not a mouse-only study. XGBoost biomarker classification reported.</ns0:t>
        </ns0:is>
      </ns0:c>
      <ns0:c r="F1798" s="21" t="inlineStr">
        <ns0:is>
          <ns0:t>https://doi.org/10.3390/biom16030340</ns0:t>
        </ns0:is>
      </ns0:c>
      <ns0:c r="G1798" s="21" t="inlineStr">
        <ns0:is>
          <ns0:t>ChatGPT-assisted evidence recharting, 2026-09-08</ns0:t>
        </ns0:is>
      </ns0:c>
    </ns0:row>
    <ns0:row r="1799" ht="42" customHeight="1">
      <ns0:c r="A1799" s="19" t="inlineStr">
        <ns0:is>
          <ns0:t>new_228</ns0:t>
        </ns0:is>
      </ns0:c>
      <ns0:c r="B1799" s="19" t="inlineStr">
        <ns0:is>
          <ns0:t>algorithm_main</ns0:t>
        </ns0:is>
      </ns0:c>
      <ns0:c r="C1799" s="19" t="inlineStr">
        <ns0:is>
          <ns0:t>Extra Trees + XGBoost</ns0:t>
        </ns0:is>
      </ns0:c>
      <ns0:c r="D1799" s="19" t="inlineStr">
        <ns0:is>
          <ns0:t>Gradient boosting</ns0:t>
        </ns0:is>
      </ns0:c>
      <ns0:c r="E1799" s="19" t="inlineStr">
        <ns0:is>
          <ns0:t>Human serum proteomes are included alongside mouse proteomics, so not a mouse-only study. XGBoost biomarker classification reported.</ns0:t>
        </ns0:is>
      </ns0:c>
      <ns0:c r="F1799" s="19" t="inlineStr">
        <ns0:is>
          <ns0:t>https://doi.org/10.3390/biom16030340</ns0:t>
        </ns0:is>
      </ns0:c>
      <ns0:c r="G1799" s="19" t="inlineStr">
        <ns0:is>
          <ns0:t>ChatGPT-assisted evidence recharting, 2026-09-08</ns0:t>
        </ns0:is>
      </ns0:c>
    </ns0:row>
    <ns0:row r="1800" ht="42" customHeight="1">
      <ns0:c r="A1800" s="21" t="inlineStr">
        <ns0:is>
          <ns0:t>new_228</ns0:t>
        </ns0:is>
      </ns0:c>
      <ns0:c r="B1800" s="21" t="inlineStr">
        <ns0:is>
          <ns0:t>rq2_role</ns0:t>
        </ns0:is>
      </ns0:c>
      <ns0:c r="C1800" s="21" t="inlineStr">
        <ns0:is>
          <ns0:t>Cross-species biomarker research</ns0:t>
        </ns0:is>
      </ns0:c>
      <ns0:c r="D1800" s="21" t="inlineStr">
        <ns0:is>
          <ns0:t>Automated measurement/classification</ns0:t>
        </ns0:is>
      </ns0:c>
      <ns0:c r="E1800" s="21" t="inlineStr">
        <ns0:is>
          <ns0:t>Human serum proteomes are included alongside mouse proteomics, so not a mouse-only study. XGBoost biomarker classification reported.</ns0:t>
        </ns0:is>
      </ns0:c>
      <ns0:c r="F1800" s="21" t="inlineStr">
        <ns0:is>
          <ns0:t>https://doi.org/10.3390/biom16030340</ns0:t>
        </ns0:is>
      </ns0:c>
      <ns0:c r="G1800" s="21" t="inlineStr">
        <ns0:is>
          <ns0:t>ChatGPT-assisted evidence recharting, 2026-09-08</ns0:t>
        </ns0:is>
      </ns0:c>
    </ns0:row>
    <ns0:row r="1801" ht="42" customHeight="1">
      <ns0:c r="A1801" s="19" t="inlineStr">
        <ns0:is>
          <ns0:t>new_228</ns0:t>
        </ns0:is>
      </ns0:c>
      <ns0:c r="B1801" s="19" t="inlineStr">
        <ns0:is>
          <ns0:t>decision_timing</ns0:t>
        </ns0:is>
      </ns0:c>
      <ns0:c r="C1801" s="19" t="inlineStr"/>
      <ns0:c r="D1801" s="19" t="inlineStr">
        <ns0:is>
          <ns0:t>Not observed in assessed sources</ns0:t>
        </ns0:is>
      </ns0:c>
      <ns0:c r="E1801" s="19" t="inlineStr">
        <ns0:is>
          <ns0:t>Human serum proteomes are included alongside mouse proteomics, so not a mouse-only study. XGBoost biomarker classification reported.</ns0:t>
        </ns0:is>
      </ns0:c>
      <ns0:c r="F1801" s="19" t="inlineStr">
        <ns0:is>
          <ns0:t>https://doi.org/10.3390/biom16030340</ns0:t>
        </ns0:is>
      </ns0:c>
      <ns0:c r="G1801" s="19" t="inlineStr">
        <ns0:is>
          <ns0:t>ChatGPT-assisted evidence recharting, 2026-09-08</ns0:t>
        </ns0:is>
      </ns0:c>
    </ns0:row>
    <ns0:row r="1802" ht="42" customHeight="1">
      <ns0:c r="A1802" s="21" t="inlineStr">
        <ns0:is>
          <ns0:t>new_228</ns0:t>
        </ns0:is>
      </ns0:c>
      <ns0:c r="B1802" s="21" t="inlineStr">
        <ns0:is>
          <ns0:t>external_validation</ns0:t>
        </ns0:is>
      </ns0:c>
      <ns0:c r="C1802" s="21" t="inlineStr">
        <ns0:is>
          <ns0:t>Not reported in assessed sources</ns0:t>
        </ns0:is>
      </ns0:c>
      <ns0:c r="D1802" s="21" t="inlineStr">
        <ns0:is>
          <ns0:t>Not ascertainable</ns0:t>
        </ns0:is>
      </ns0:c>
      <ns0:c r="E1802" s="21" t="inlineStr">
        <ns0:is>
          <ns0:t>Human serum proteomes are included alongside mouse proteomics, so not a mouse-only study. XGBoost biomarker classification reported.</ns0:t>
        </ns0:is>
      </ns0:c>
      <ns0:c r="F1802" s="21" t="inlineStr">
        <ns0:is>
          <ns0:t>https://doi.org/10.3390/biom16030340</ns0:t>
        </ns0:is>
      </ns0:c>
      <ns0:c r="G1802" s="21" t="inlineStr">
        <ns0:is>
          <ns0:t>ChatGPT-assisted evidence recharting, 2026-09-08</ns0:t>
        </ns0:is>
      </ns0:c>
    </ns0:row>
    <ns0:row r="1803" ht="42" customHeight="1">
      <ns0:c r="A1803" s="19" t="inlineStr">
        <ns0:is>
          <ns0:t>new_228</ns0:t>
        </ns0:is>
      </ns0:c>
      <ns0:c r="B1803" s="19" t="inlineStr">
        <ns0:is>
          <ns0:t>integrity_status</ns0:t>
        </ns0:is>
      </ns0:c>
      <ns0:c r="C1803" s="19" t="inlineStr"/>
      <ns0:c r="D1803" s="19" t="inlineStr">
        <ns0:is>
          <ns0:t>Not recorded</ns0:t>
        </ns0:is>
      </ns0:c>
      <ns0:c r="E1803" s="19" t="inlineStr">
        <ns0:is>
          <ns0:t>Human serum proteomes are included alongside mouse proteomics, so not a mouse-only study. XGBoost biomarker classification reported.</ns0:t>
        </ns0:is>
      </ns0:c>
      <ns0:c r="F1803" s="19" t="inlineStr">
        <ns0:is>
          <ns0:t>https://doi.org/10.3390/biom16030340</ns0:t>
        </ns0:is>
      </ns0:c>
      <ns0:c r="G1803" s="19" t="inlineStr">
        <ns0:is>
          <ns0:t>ChatGPT-assisted evidence recharting, 2026-09-08</ns0:t>
        </ns0:is>
      </ns0:c>
    </ns0:row>
    <ns0:row r="1804" ht="42" customHeight="1">
      <ns0:c r="A1804" s="21" t="inlineStr">
        <ns0:is>
          <ns0:t>new_237</ns0:t>
        </ns0:is>
      </ns0:c>
      <ns0:c r="B1804" s="21" t="inlineStr">
        <ns0:is>
          <ns0:t>data_source_primary</ns0:t>
        </ns0:is>
      </ns0:c>
      <ns0:c r="C1804" s="21" t="inlineStr">
        <ns0:is>
          <ns0:t>Multiple modalities (as coded)</ns0:t>
        </ns0:is>
      </ns0:c>
      <ns0:c r="D1804" s="21" t="inlineStr">
        <ns0:is>
          <ns0:t>Multiple source categories</ns0:t>
        </ns0:is>
      </ns0:c>
      <ns0:c r="E1804" s="21" t="inlineStr">
        <ns0:is>
          <ns0:t>Explicit fusion of facial expression and EDA/temperature/heart rate on EMBOA recordings, not demonstrated robot-feedback deployment.</ns0:t>
        </ns0:is>
      </ns0:c>
      <ns0:c r="F1804" s="21" t="inlineStr">
        <ns0:is>
          <ns0:t>https://doi.org/10.3390/s25247485</ns0:t>
        </ns0:is>
      </ns0:c>
      <ns0:c r="G1804" s="21" t="inlineStr">
        <ns0:is>
          <ns0:t>ChatGPT-assisted evidence recharting, 2026-09-08</ns0:t>
        </ns0:is>
      </ns0:c>
    </ns0:row>
    <ns0:row r="1805" ht="42" customHeight="1">
      <ns0:c r="A1805" s="19" t="inlineStr">
        <ns0:is>
          <ns0:t>new_237</ns0:t>
        </ns0:is>
      </ns0:c>
      <ns0:c r="B1805" s="19" t="inlineStr">
        <ns0:is>
          <ns0:t>algorithm_main</ns0:t>
        </ns0:is>
      </ns0:c>
      <ns0:c r="C1805" s="19" t="inlineStr">
        <ns0:is>
          <ns0:t>Modality-specific models + late fusion</ns0:t>
        </ns0:is>
      </ns0:c>
      <ns0:c r="D1805" s="19" t="inlineStr">
        <ns0:is>
          <ns0:t>Late-fusion ensemble</ns0:t>
        </ns0:is>
      </ns0:c>
      <ns0:c r="E1805" s="19" t="inlineStr">
        <ns0:is>
          <ns0:t>Explicit fusion of facial expression and EDA/temperature/heart rate on EMBOA recordings, not demonstrated robot-feedback deployment.</ns0:t>
        </ns0:is>
      </ns0:c>
      <ns0:c r="F1805" s="19" t="inlineStr">
        <ns0:is>
          <ns0:t>https://doi.org/10.3390/s25247485</ns0:t>
        </ns0:is>
      </ns0:c>
      <ns0:c r="G1805" s="19" t="inlineStr">
        <ns0:is>
          <ns0:t>ChatGPT-assisted evidence recharting, 2026-09-08</ns0:t>
        </ns0:is>
      </ns0:c>
    </ns0:row>
    <ns0:row r="1806" ht="42" customHeight="1">
      <ns0:c r="A1806" s="21" t="inlineStr">
        <ns0:is>
          <ns0:t>new_237</ns0:t>
        </ns0:is>
      </ns0:c>
      <ns0:c r="B1806" s="21" t="inlineStr">
        <ns0:is>
          <ns0:t>rq2_role</ns0:t>
        </ns0:is>
      </ns0:c>
      <ns0:c r="C1806" s="21" t="inlineStr">
        <ns0:is>
          <ns0:t>Assistive-robotics research</ns0:t>
        </ns0:is>
      </ns0:c>
      <ns0:c r="D1806" s="21" t="inlineStr">
        <ns0:is>
          <ns0:t>Automated measurement/classification</ns0:t>
        </ns0:is>
      </ns0:c>
      <ns0:c r="E1806" s="21" t="inlineStr">
        <ns0:is>
          <ns0:t>Explicit fusion of facial expression and EDA/temperature/heart rate on EMBOA recordings, not demonstrated robot-feedback deployment.</ns0:t>
        </ns0:is>
      </ns0:c>
      <ns0:c r="F1806" s="21" t="inlineStr">
        <ns0:is>
          <ns0:t>https://doi.org/10.3390/s25247485</ns0:t>
        </ns0:is>
      </ns0:c>
      <ns0:c r="G1806" s="21" t="inlineStr">
        <ns0:is>
          <ns0:t>ChatGPT-assisted evidence recharting, 2026-09-08</ns0:t>
        </ns0:is>
      </ns0:c>
    </ns0:row>
    <ns0:row r="1807" ht="42" customHeight="1">
      <ns0:c r="A1807" s="19" t="inlineStr">
        <ns0:is>
          <ns0:t>new_237</ns0:t>
        </ns0:is>
      </ns0:c>
      <ns0:c r="B1807" s="19" t="inlineStr">
        <ns0:is>
          <ns0:t>decision_timing</ns0:t>
        </ns0:is>
      </ns0:c>
      <ns0:c r="C1807" s="19" t="inlineStr"/>
      <ns0:c r="D1807" s="19" t="inlineStr">
        <ns0:is>
          <ns0:t>Not observed in assessed sources</ns0:t>
        </ns0:is>
      </ns0:c>
      <ns0:c r="E1807" s="19" t="inlineStr">
        <ns0:is>
          <ns0:t>Explicit fusion of facial expression and EDA/temperature/heart rate on EMBOA recordings, not demonstrated robot-feedback deployment.</ns0:t>
        </ns0:is>
      </ns0:c>
      <ns0:c r="F1807" s="19" t="inlineStr">
        <ns0:is>
          <ns0:t>https://doi.org/10.3390/s25247485</ns0:t>
        </ns0:is>
      </ns0:c>
      <ns0:c r="G1807" s="19" t="inlineStr">
        <ns0:is>
          <ns0:t>ChatGPT-assisted evidence recharting, 2026-09-08</ns0:t>
        </ns0:is>
      </ns0:c>
    </ns0:row>
    <ns0:row r="1808" ht="42" customHeight="1">
      <ns0:c r="A1808" s="21" t="inlineStr">
        <ns0:is>
          <ns0:t>new_237</ns0:t>
        </ns0:is>
      </ns0:c>
      <ns0:c r="B1808" s="21" t="inlineStr">
        <ns0:is>
          <ns0:t>integrity_status</ns0:t>
        </ns0:is>
      </ns0:c>
      <ns0:c r="C1808" s="21" t="inlineStr"/>
      <ns0:c r="D1808" s="21" t="inlineStr">
        <ns0:is>
          <ns0:t>Not recorded</ns0:t>
        </ns0:is>
      </ns0:c>
      <ns0:c r="E1808" s="21" t="inlineStr">
        <ns0:is>
          <ns0:t>Explicit fusion of facial expression and EDA/temperature/heart rate on EMBOA recordings, not demonstrated robot-feedback deployment.</ns0:t>
        </ns0:is>
      </ns0:c>
      <ns0:c r="F1808" s="21" t="inlineStr">
        <ns0:is>
          <ns0:t>https://doi.org/10.3390/s25247485</ns0:t>
        </ns0:is>
      </ns0:c>
      <ns0:c r="G1808" s="21" t="inlineStr">
        <ns0:is>
          <ns0:t>ChatGPT-assisted evidence recharting, 2026-09-08</ns0:t>
        </ns0:is>
      </ns0:c>
    </ns0:row>
    <ns0:row r="1809" ht="45" customHeight="1">
      <ns0:c r="A1809" s="19" t="inlineStr">
        <ns0:is>
          <ns0:t>new_247</ns0:t>
        </ns0:is>
      </ns0:c>
      <ns0:c r="B1809" s="19" t="inlineStr">
        <ns0:is>
          <ns0:t>data_source_primary</ns0:t>
        </ns0:is>
      </ns0:c>
      <ns0:c r="C1809" s="19" t="inlineStr">
        <ns0:is>
          <ns0:t>Multiple modalities (as coded)</ns0:t>
        </ns0:is>
      </ns0:c>
      <ns0:c r="D1809" s="19" t="inlineStr">
        <ns0:is>
          <ns0:t>Behavioral images/video/gaze/movement</ns0:t>
        </ns0:is>
      </ns0:c>
      <ns0:c r="E1809" s="19" t="inlineStr">
        <ns0:is>
          <ns0:t>Emotion-video model linked to music therapy with reported pre/post evaluation in 182 families. Questionnaire outcomes are not additional AI inputs.
Reported uncontrolled pre/post study; it does not establish causal efficacy or external diagnostic validation.</ns0:t>
        </ns0:is>
      </ns0:c>
      <ns0:c r="F1809" s="19" t="inlineStr">
        <ns0:is>
          <ns0:t>https://doi.org/10.1038/s41598-025-26307-3</ns0:t>
        </ns0:is>
      </ns0:c>
      <ns0:c r="G1809" s="19" t="inlineStr">
        <ns0:is>
          <ns0:t>ChatGPT-assisted evidence recharting, 2026-09-08</ns0:t>
        </ns0:is>
      </ns0:c>
    </ns0:row>
    <ns0:row r="1810" ht="45" customHeight="1">
      <ns0:c r="A1810" s="21" t="inlineStr">
        <ns0:is>
          <ns0:t>new_247</ns0:t>
        </ns0:is>
      </ns0:c>
      <ns0:c r="B1810" s="21" t="inlineStr">
        <ns0:is>
          <ns0:t>algorithm_main</ns0:t>
        </ns0:is>
      </ns0:c>
      <ns0:c r="C1810" s="21" t="inlineStr">
        <ns0:is>
          <ns0:t>Transformer + transfer-learning GCN</ns0:t>
        </ns0:is>
      </ns0:c>
      <ns0:c r="D1810" s="21" t="inlineStr">
        <ns0:is>
          <ns0:t>Transformer + graph neural network</ns0:t>
        </ns0:is>
      </ns0:c>
      <ns0:c r="E1810" s="21" t="inlineStr">
        <ns0:is>
          <ns0:t>Emotion-video model linked to music therapy with reported pre/post evaluation in 182 families. Questionnaire outcomes are not additional AI inputs.
Reported uncontrolled pre/post study; it does not establish causal efficacy or external diagnostic validation.</ns0:t>
        </ns0:is>
      </ns0:c>
      <ns0:c r="F1810" s="21" t="inlineStr">
        <ns0:is>
          <ns0:t>https://doi.org/10.1038/s41598-025-26307-3</ns0:t>
        </ns0:is>
      </ns0:c>
      <ns0:c r="G1810" s="21" t="inlineStr">
        <ns0:is>
          <ns0:t>ChatGPT-assisted evidence recharting, 2026-09-08</ns0:t>
        </ns0:is>
      </ns0:c>
    </ns0:row>
    <ns0:row r="1811" ht="45" customHeight="1">
      <ns0:c r="A1811" s="19" t="inlineStr">
        <ns0:is>
          <ns0:t>new_247</ns0:t>
        </ns0:is>
      </ns0:c>
      <ns0:c r="B1811" s="19" t="inlineStr">
        <ns0:is>
          <ns0:t>rq2_status</ns0:t>
        </ns0:is>
      </ns0:c>
      <ns0:c r="C1811" s="19" t="inlineStr">
        <ns0:is>
          <ns0:t>Confirmed in intervention</ns0:t>
        </ns0:is>
      </ns0:c>
      <ns0:c r="D1811" s="19" t="inlineStr">
        <ns0:is>
          <ns0:t>Evaluated AI-supported intervention</ns0:t>
        </ns0:is>
      </ns0:c>
      <ns0:c r="E1811" s="19" t="inlineStr">
        <ns0:is>
          <ns0:t>Emotion-video model linked to music therapy with reported pre/post evaluation in 182 families. Questionnaire outcomes are not additional AI inputs.
Reported uncontrolled pre/post study; it does not establish causal efficacy or external diagnostic validation.</ns0:t>
        </ns0:is>
      </ns0:c>
      <ns0:c r="F1811" s="19" t="inlineStr">
        <ns0:is>
          <ns0:t>https://doi.org/10.1038/s41598-025-26307-3</ns0:t>
        </ns0:is>
      </ns0:c>
      <ns0:c r="G1811" s="19" t="inlineStr">
        <ns0:is>
          <ns0:t>ChatGPT-assisted evidence recharting, 2026-09-08</ns0:t>
        </ns0:is>
      </ns0:c>
    </ns0:row>
    <ns0:row r="1812" ht="45" customHeight="1">
      <ns0:c r="A1812" s="21" t="inlineStr">
        <ns0:is>
          <ns0:t>new_247</ns0:t>
        </ns0:is>
      </ns0:c>
      <ns0:c r="B1812" s="21" t="inlineStr">
        <ns0:is>
          <ns0:t>rq2_role</ns0:t>
        </ns0:is>
      </ns0:c>
      <ns0:c r="C1812" s="21" t="inlineStr">
        <ns0:is>
          <ns0:t>Evaluated real-world intervention</ns0:t>
        </ns0:is>
      </ns0:c>
      <ns0:c r="D1812" s="21" t="inlineStr">
        <ns0:is>
          <ns0:t>Adaptive intervention</ns0:t>
        </ns0:is>
      </ns0:c>
      <ns0:c r="E1812" s="21" t="inlineStr">
        <ns0:is>
          <ns0:t>Emotion-video model linked to music therapy with reported pre/post evaluation in 182 families. Questionnaire outcomes are not additional AI inputs.
Reported uncontrolled pre/post study; it does not establish causal efficacy or external diagnostic validation.</ns0:t>
        </ns0:is>
      </ns0:c>
      <ns0:c r="F1812" s="21" t="inlineStr">
        <ns0:is>
          <ns0:t>https://doi.org/10.1038/s41598-025-26307-3</ns0:t>
        </ns0:is>
      </ns0:c>
      <ns0:c r="G1812" s="21" t="inlineStr">
        <ns0:is>
          <ns0:t>ChatGPT-assisted evidence recharting, 2026-09-08</ns0:t>
        </ns0:is>
      </ns0:c>
    </ns0:row>
    <ns0:row r="1813" ht="45" customHeight="1">
      <ns0:c r="A1813" s="19" t="inlineStr">
        <ns0:is>
          <ns0:t>new_247</ns0:t>
        </ns0:is>
      </ns0:c>
      <ns0:c r="B1813" s="19" t="inlineStr">
        <ns0:is>
          <ns0:t>decision_timing</ns0:t>
        </ns0:is>
      </ns0:c>
      <ns0:c r="C1813" s="19" t="inlineStr"/>
      <ns0:c r="D1813" s="19" t="inlineStr">
        <ns0:is>
          <ns0:t>Post-decision</ns0:t>
        </ns0:is>
      </ns0:c>
      <ns0:c r="E1813" s="19" t="inlineStr">
        <ns0:is>
          <ns0:t>Emotion-video model linked to music therapy with reported pre/post evaluation in 182 families. Questionnaire outcomes are not additional AI inputs.
Reported uncontrolled pre/post study; it does not establish causal efficacy or external diagnostic validation.</ns0:t>
        </ns0:is>
      </ns0:c>
      <ns0:c r="F1813" s="19" t="inlineStr">
        <ns0:is>
          <ns0:t>https://doi.org/10.1038/s41598-025-26307-3</ns0:t>
        </ns0:is>
      </ns0:c>
      <ns0:c r="G1813" s="19" t="inlineStr">
        <ns0:is>
          <ns0:t>ChatGPT-assisted evidence recharting, 2026-09-08</ns0:t>
        </ns0:is>
      </ns0:c>
    </ns0:row>
    <ns0:row r="1814" ht="45" customHeight="1">
      <ns0:c r="A1814" s="21" t="inlineStr">
        <ns0:is>
          <ns0:t>new_247</ns0:t>
        </ns0:is>
      </ns0:c>
      <ns0:c r="B1814" s="21" t="inlineStr">
        <ns0:is>
          <ns0:t>multisource_data</ns0:t>
        </ns0:is>
      </ns0:c>
      <ns0:c r="C1814" s="21" t="inlineStr">
        <ns0:is>
          <ns0:t>Reported</ns0:t>
        </ns0:is>
      </ns0:c>
      <ns0:c r="D1814" s="21" t="inlineStr">
        <ns0:is>
          <ns0:t>Not reported in assessed sources</ns0:t>
        </ns0:is>
      </ns0:c>
      <ns0:c r="E1814" s="21" t="inlineStr">
        <ns0:is>
          <ns0:t>Emotion-video model linked to music therapy with reported pre/post evaluation in 182 families. Questionnaire outcomes are not additional AI inputs.
Reported uncontrolled pre/post study; it does not establish causal efficacy or external diagnostic validation.</ns0:t>
        </ns0:is>
      </ns0:c>
      <ns0:c r="F1814" s="21" t="inlineStr">
        <ns0:is>
          <ns0:t>https://doi.org/10.1038/s41598-025-26307-3</ns0:t>
        </ns0:is>
      </ns0:c>
      <ns0:c r="G1814" s="21" t="inlineStr">
        <ns0:is>
          <ns0:t>ChatGPT-assisted evidence recharting, 2026-09-08</ns0:t>
        </ns0:is>
      </ns0:c>
    </ns0:row>
    <ns0:row r="1815" ht="45" customHeight="1">
      <ns0:c r="A1815" s="19" t="inlineStr">
        <ns0:is>
          <ns0:t>new_247</ns0:t>
        </ns0:is>
      </ns0:c>
      <ns0:c r="B1815" s="19" t="inlineStr">
        <ns0:is>
          <ns0:t>integrity_status</ns0:t>
        </ns0:is>
      </ns0:c>
      <ns0:c r="C1815" s="19" t="inlineStr"/>
      <ns0:c r="D1815" s="19" t="inlineStr">
        <ns0:is>
          <ns0:t>Not recorded</ns0:t>
        </ns0:is>
      </ns0:c>
      <ns0:c r="E1815" s="19" t="inlineStr">
        <ns0:is>
          <ns0:t>Emotion-video model linked to music therapy with reported pre/post evaluation in 182 families. Questionnaire outcomes are not additional AI inputs.
Reported uncontrolled pre/post study; it does not establish causal efficacy or external diagnostic validation.</ns0:t>
        </ns0:is>
      </ns0:c>
      <ns0:c r="F1815" s="19" t="inlineStr">
        <ns0:is>
          <ns0:t>https://doi.org/10.1038/s41598-025-26307-3</ns0:t>
        </ns0:is>
      </ns0:c>
      <ns0:c r="G1815" s="19" t="inlineStr">
        <ns0:is>
          <ns0:t>ChatGPT-assisted evidence recharting, 2026-09-08</ns0:t>
        </ns0:is>
      </ns0:c>
    </ns0:row>
    <ns0:row r="1816" ht="42" customHeight="1">
      <ns0:c r="A1816" s="21" t="inlineStr">
        <ns0:is>
          <ns0:t>new_257</ns0:t>
        </ns0:is>
      </ns0:c>
      <ns0:c r="B1816" s="21" t="inlineStr">
        <ns0:is>
          <ns0:t>data_source_primary</ns0:t>
        </ns0:is>
      </ns0:c>
      <ns0:c r="C1816" s="21" t="inlineStr">
        <ns0:is>
          <ns0:t>Digital / robot interaction</ns0:t>
        </ns0:is>
      </ns0:c>
      <ns0:c r="D1816" s="21" t="inlineStr">
        <ns0:is>
          <ns0:t>Other biomedical/digital data</ns0:t>
        </ns0:is>
      </ns0:c>
      <ns0:c r="E1816" s="21" t="inlineStr">
        <ns0:is>
          <ns0:t>LOVOT interaction sessions tested in four ASD children; actual assistive use, but AI architecture and causal efficacy remain unspecified.</ns0:t>
        </ns0:is>
      </ns0:c>
      <ns0:c r="F1816" s="21" t="inlineStr">
        <ns0:is>
          <ns0:t>https://doi.org/10.3233/shti251499</ns0:t>
        </ns0:is>
      </ns0:c>
      <ns0:c r="G1816" s="21" t="inlineStr">
        <ns0:is>
          <ns0:t>ChatGPT-assisted evidence recharting, 2026-09-08</ns0:t>
        </ns0:is>
      </ns0:c>
    </ns0:row>
    <ns0:row r="1817" ht="42" customHeight="1">
      <ns0:c r="A1817" s="19" t="inlineStr">
        <ns0:is>
          <ns0:t>new_257</ns0:t>
        </ns0:is>
      </ns0:c>
      <ns0:c r="B1817" s="19" t="inlineStr">
        <ns0:is>
          <ns0:t>algorithm_main</ns0:t>
        </ns0:is>
      </ns0:c>
      <ns0:c r="C1817" s="19" t="inlineStr">
        <ns0:is>
          <ns0:t>LOVOT social robot</ns0:t>
        </ns0:is>
      </ns0:c>
      <ns0:c r="D1817" s="19" t="inlineStr">
        <ns0:is>
          <ns0:t>Proprietary robot AI; unspecified</ns0:t>
        </ns0:is>
      </ns0:c>
      <ns0:c r="E1817" s="19" t="inlineStr">
        <ns0:is>
          <ns0:t>LOVOT interaction sessions tested in four ASD children; actual assistive use, but AI architecture and causal efficacy remain unspecified.</ns0:t>
        </ns0:is>
      </ns0:c>
      <ns0:c r="F1817" s="19" t="inlineStr">
        <ns0:is>
          <ns0:t>https://doi.org/10.3233/shti251499</ns0:t>
        </ns0:is>
      </ns0:c>
      <ns0:c r="G1817" s="19" t="inlineStr">
        <ns0:is>
          <ns0:t>ChatGPT-assisted evidence recharting, 2026-09-08</ns0:t>
        </ns0:is>
      </ns0:c>
    </ns0:row>
    <ns0:row r="1818" ht="42" customHeight="1">
      <ns0:c r="A1818" s="21" t="inlineStr">
        <ns0:is>
          <ns0:t>new_257</ns0:t>
        </ns0:is>
      </ns0:c>
      <ns0:c r="B1818" s="21" t="inlineStr">
        <ns0:is>
          <ns0:t>rq2_status</ns0:t>
        </ns0:is>
      </ns0:c>
      <ns0:c r="C1818" s="21" t="inlineStr">
        <ns0:is>
          <ns0:t>Confirmed in intervention</ns0:t>
        </ns0:is>
      </ns0:c>
      <ns0:c r="D1818" s="21" t="inlineStr">
        <ns0:is>
          <ns0:t>Evaluated AI-supported intervention</ns0:t>
        </ns0:is>
      </ns0:c>
      <ns0:c r="E1818" s="21" t="inlineStr">
        <ns0:is>
          <ns0:t>LOVOT interaction sessions tested in four ASD children; actual assistive use, but AI architecture and causal efficacy remain unspecified.</ns0:t>
        </ns0:is>
      </ns0:c>
      <ns0:c r="F1818" s="21" t="inlineStr">
        <ns0:is>
          <ns0:t>https://doi.org/10.3233/shti251499</ns0:t>
        </ns0:is>
      </ns0:c>
      <ns0:c r="G1818" s="21" t="inlineStr">
        <ns0:is>
          <ns0:t>ChatGPT-assisted evidence recharting, 2026-09-08</ns0:t>
        </ns0:is>
      </ns0:c>
    </ns0:row>
    <ns0:row r="1819" ht="42" customHeight="1">
      <ns0:c r="A1819" s="19" t="inlineStr">
        <ns0:is>
          <ns0:t>new_257</ns0:t>
        </ns0:is>
      </ns0:c>
      <ns0:c r="B1819" s="19" t="inlineStr">
        <ns0:is>
          <ns0:t>rq2_role</ns0:t>
        </ns0:is>
      </ns0:c>
      <ns0:c r="C1819" s="19" t="inlineStr">
        <ns0:is>
          <ns0:t>Feasibility study in special education</ns0:t>
        </ns0:is>
      </ns0:c>
      <ns0:c r="D1819" s="19" t="inlineStr">
        <ns0:is>
          <ns0:t>Assistive support</ns0:t>
        </ns0:is>
      </ns0:c>
      <ns0:c r="E1819" s="19" t="inlineStr">
        <ns0:is>
          <ns0:t>LOVOT interaction sessions tested in four ASD children; actual assistive use, but AI architecture and causal efficacy remain unspecified.</ns0:t>
        </ns0:is>
      </ns0:c>
      <ns0:c r="F1819" s="19" t="inlineStr">
        <ns0:is>
          <ns0:t>https://doi.org/10.3233/shti251499</ns0:t>
        </ns0:is>
      </ns0:c>
      <ns0:c r="G1819" s="19" t="inlineStr">
        <ns0:is>
          <ns0:t>ChatGPT-assisted evidence recharting, 2026-09-08</ns0:t>
        </ns0:is>
      </ns0:c>
    </ns0:row>
    <ns0:row r="1820" ht="42" customHeight="1">
      <ns0:c r="A1820" s="21" t="inlineStr">
        <ns0:is>
          <ns0:t>new_257</ns0:t>
        </ns0:is>
      </ns0:c>
      <ns0:c r="B1820" s="21" t="inlineStr">
        <ns0:is>
          <ns0:t>decision_timing</ns0:t>
        </ns0:is>
      </ns0:c>
      <ns0:c r="C1820" s="21" t="inlineStr"/>
      <ns0:c r="D1820" s="21" t="inlineStr">
        <ns0:is>
          <ns0:t>Post-decision</ns0:t>
        </ns0:is>
      </ns0:c>
      <ns0:c r="E1820" s="21" t="inlineStr">
        <ns0:is>
          <ns0:t>LOVOT interaction sessions tested in four ASD children; actual assistive use, but AI architecture and causal efficacy remain unspecified.</ns0:t>
        </ns0:is>
      </ns0:c>
      <ns0:c r="F1820" s="21" t="inlineStr">
        <ns0:is>
          <ns0:t>https://doi.org/10.3233/shti251499</ns0:t>
        </ns0:is>
      </ns0:c>
      <ns0:c r="G1820" s="21" t="inlineStr">
        <ns0:is>
          <ns0:t>ChatGPT-assisted evidence recharting, 2026-09-08</ns0:t>
        </ns0:is>
      </ns0:c>
    </ns0:row>
    <ns0:row r="1821" ht="42" customHeight="1">
      <ns0:c r="A1821" s="19" t="inlineStr">
        <ns0:is>
          <ns0:t>new_257</ns0:t>
        </ns0:is>
      </ns0:c>
      <ns0:c r="B1821" s="19" t="inlineStr">
        <ns0:is>
          <ns0:t>integrity_status</ns0:t>
        </ns0:is>
      </ns0:c>
      <ns0:c r="C1821" s="19" t="inlineStr"/>
      <ns0:c r="D1821" s="19" t="inlineStr">
        <ns0:is>
          <ns0:t>Not recorded</ns0:t>
        </ns0:is>
      </ns0:c>
      <ns0:c r="E1821" s="19" t="inlineStr">
        <ns0:is>
          <ns0:t>LOVOT interaction sessions tested in four ASD children; actual assistive use, but AI architecture and causal efficacy remain unspecified.</ns0:t>
        </ns0:is>
      </ns0:c>
      <ns0:c r="F1821" s="19" t="inlineStr">
        <ns0:is>
          <ns0:t>https://doi.org/10.3233/shti251499</ns0:t>
        </ns0:is>
      </ns0:c>
      <ns0:c r="G1821" s="19" t="inlineStr">
        <ns0:is>
          <ns0:t>ChatGPT-assisted evidence recharting, 2026-09-08</ns0:t>
        </ns0:is>
      </ns0:c>
    </ns0:row>
    <ns0:row r="1822" ht="42" customHeight="1">
      <ns0:c r="A1822" s="21" t="inlineStr">
        <ns0:is>
          <ns0:t>new_259</ns0:t>
        </ns0:is>
      </ns0:c>
      <ns0:c r="B1822" s="21" t="inlineStr">
        <ns0:is>
          <ns0:t>data_source_primary</ns0:t>
        </ns0:is>
      </ns0:c>
      <ns0:c r="C1822" s="21" t="inlineStr">
        <ns0:is>
          <ns0:t>Structured / tabular data</ns0:t>
        </ns0:is>
      </ns0:c>
      <ns0:c r="D1822" s="21" t="inlineStr">
        <ns0:is>
          <ns0:t>Structured clinical/questionnaire data</ns0:t>
        </ns0:is>
      </ns0:c>
      <ns0:c r="E1822" s="21" t="inlineStr">
        <ns0:is>
          <ns0:t>Interpretable C4.5 screening-pattern analysis across age datasets; no workflow evaluation.</ns0:t>
        </ns0:is>
      </ns0:c>
      <ns0:c r="F1822" s="21" t="inlineStr">
        <ns0:is>
          <ns0:t>https://doi.org/10.1155/hbe2/1923339</ns0:t>
        </ns0:is>
      </ns0:c>
      <ns0:c r="G1822" s="21" t="inlineStr">
        <ns0:is>
          <ns0:t>ChatGPT-assisted evidence recharting, 2026-09-08</ns0:t>
        </ns0:is>
      </ns0:c>
    </ns0:row>
    <ns0:row r="1823" ht="42" customHeight="1">
      <ns0:c r="A1823" s="19" t="inlineStr">
        <ns0:is>
          <ns0:t>new_259</ns0:t>
        </ns0:is>
      </ns0:c>
      <ns0:c r="B1823" s="19" t="inlineStr">
        <ns0:is>
          <ns0:t>algorithm_main</ns0:t>
        </ns0:is>
      </ns0:c>
      <ns0:c r="C1823" s="19" t="inlineStr">
        <ns0:is>
          <ns0:t>C4.5 decision tree</ns0:t>
        </ns0:is>
      </ns0:c>
      <ns0:c r="D1823" s="19" t="inlineStr">
        <ns0:is>
          <ns0:t>Decision tree</ns0:t>
        </ns0:is>
      </ns0:c>
      <ns0:c r="E1823" s="19" t="inlineStr">
        <ns0:is>
          <ns0:t>Interpretable C4.5 screening-pattern analysis across age datasets; no workflow evaluation.</ns0:t>
        </ns0:is>
      </ns0:c>
      <ns0:c r="F1823" s="19" t="inlineStr">
        <ns0:is>
          <ns0:t>https://doi.org/10.1155/hbe2/1923339</ns0:t>
        </ns0:is>
      </ns0:c>
      <ns0:c r="G1823" s="19" t="inlineStr">
        <ns0:is>
          <ns0:t>ChatGPT-assisted evidence recharting, 2026-09-08</ns0:t>
        </ns0:is>
      </ns0:c>
    </ns0:row>
    <ns0:row r="1824" ht="42" customHeight="1">
      <ns0:c r="A1824" s="21" t="inlineStr">
        <ns0:is>
          <ns0:t>new_259</ns0:t>
        </ns0:is>
      </ns0:c>
      <ns0:c r="B1824" s="21" t="inlineStr">
        <ns0:is>
          <ns0:t>rq2_status</ns0:t>
        </ns0:is>
      </ns0:c>
      <ns0:c r="C1824" s="21" t="inlineStr">
        <ns0:is>
          <ns0:t>Proposed only</ns0:t>
        </ns0:is>
      </ns0:c>
      <ns0:c r="D1824" s="21" t="inlineStr">
        <ns0:is>
          <ns0:t>Research only</ns0:t>
        </ns0:is>
      </ns0:c>
      <ns0:c r="E1824" s="21" t="inlineStr">
        <ns0:is>
          <ns0:t>Interpretable C4.5 screening-pattern analysis across age datasets; no workflow evaluation.</ns0:t>
        </ns0:is>
      </ns0:c>
      <ns0:c r="F1824" s="21" t="inlineStr">
        <ns0:is>
          <ns0:t>https://doi.org/10.1155/hbe2/1923339</ns0:t>
        </ns0:is>
      </ns0:c>
      <ns0:c r="G1824" s="21" t="inlineStr">
        <ns0:is>
          <ns0:t>ChatGPT-assisted evidence recharting, 2026-09-08</ns0:t>
        </ns0:is>
      </ns0:c>
    </ns0:row>
    <ns0:row r="1825" ht="42" customHeight="1">
      <ns0:c r="A1825" s="19" t="inlineStr">
        <ns0:is>
          <ns0:t>new_259</ns0:t>
        </ns0:is>
      </ns0:c>
      <ns0:c r="B1825" s="19" t="inlineStr">
        <ns0:is>
          <ns0:t>rq2_role</ns0:t>
        </ns0:is>
      </ns0:c>
      <ns0:c r="C1825" s="19" t="inlineStr">
        <ns0:is>
          <ns0:t>Interpretable screening model</ns0:t>
        </ns0:is>
      </ns0:c>
      <ns0:c r="D1825" s="19" t="inlineStr">
        <ns0:is>
          <ns0:t>Automated measurement/classification</ns0:t>
        </ns0:is>
      </ns0:c>
      <ns0:c r="E1825" s="19" t="inlineStr">
        <ns0:is>
          <ns0:t>Interpretable C4.5 screening-pattern analysis across age datasets; no workflow evaluation.</ns0:t>
        </ns0:is>
      </ns0:c>
      <ns0:c r="F1825" s="19" t="inlineStr">
        <ns0:is>
          <ns0:t>https://doi.org/10.1155/hbe2/1923339</ns0:t>
        </ns0:is>
      </ns0:c>
      <ns0:c r="G1825" s="19" t="inlineStr">
        <ns0:is>
          <ns0:t>ChatGPT-assisted evidence recharting, 2026-09-08</ns0:t>
        </ns0:is>
      </ns0:c>
    </ns0:row>
    <ns0:row r="1826" ht="42" customHeight="1">
      <ns0:c r="A1826" s="21" t="inlineStr">
        <ns0:is>
          <ns0:t>new_259</ns0:t>
        </ns0:is>
      </ns0:c>
      <ns0:c r="B1826" s="21" t="inlineStr">
        <ns0:is>
          <ns0:t>decision_timing</ns0:t>
        </ns0:is>
      </ns0:c>
      <ns0:c r="C1826" s="21" t="inlineStr"/>
      <ns0:c r="D1826" s="21" t="inlineStr">
        <ns0:is>
          <ns0:t>Not observed in assessed sources</ns0:t>
        </ns0:is>
      </ns0:c>
      <ns0:c r="E1826" s="21" t="inlineStr">
        <ns0:is>
          <ns0:t>Interpretable C4.5 screening-pattern analysis across age datasets; no workflow evaluation.</ns0:t>
        </ns0:is>
      </ns0:c>
      <ns0:c r="F1826" s="21" t="inlineStr">
        <ns0:is>
          <ns0:t>https://doi.org/10.1155/hbe2/1923339</ns0:t>
        </ns0:is>
      </ns0:c>
      <ns0:c r="G1826" s="21" t="inlineStr">
        <ns0:is>
          <ns0:t>ChatGPT-assisted evidence recharting, 2026-09-08</ns0:t>
        </ns0:is>
      </ns0:c>
    </ns0:row>
    <ns0:row r="1827" ht="42" customHeight="1">
      <ns0:c r="A1827" s="19" t="inlineStr">
        <ns0:is>
          <ns0:t>new_259</ns0:t>
        </ns0:is>
      </ns0:c>
      <ns0:c r="B1827" s="19" t="inlineStr">
        <ns0:is>
          <ns0:t>integrity_status</ns0:t>
        </ns0:is>
      </ns0:c>
      <ns0:c r="C1827" s="19" t="inlineStr"/>
      <ns0:c r="D1827" s="19" t="inlineStr">
        <ns0:is>
          <ns0:t>Not recorded</ns0:t>
        </ns0:is>
      </ns0:c>
      <ns0:c r="E1827" s="19" t="inlineStr">
        <ns0:is>
          <ns0:t>Interpretable C4.5 screening-pattern analysis across age datasets; no workflow evaluation.</ns0:t>
        </ns0:is>
      </ns0:c>
      <ns0:c r="F1827" s="19" t="inlineStr">
        <ns0:is>
          <ns0:t>https://doi.org/10.1155/hbe2/1923339</ns0:t>
        </ns0:is>
      </ns0:c>
      <ns0:c r="G1827" s="19" t="inlineStr">
        <ns0:is>
          <ns0:t>ChatGPT-assisted evidence recharting, 2026-09-08</ns0:t>
        </ns0:is>
      </ns0:c>
    </ns0:row>
    <ns0:row r="1828" ht="42" customHeight="1">
      <ns0:c r="A1828" s="21" t="inlineStr">
        <ns0:is>
          <ns0:t>new_261</ns0:t>
        </ns0:is>
      </ns0:c>
      <ns0:c r="B1828" s="21" t="inlineStr">
        <ns0:is>
          <ns0:t>data_source_primary</ns0:t>
        </ns0:is>
      </ns0:c>
      <ns0:c r="C1828" s="21" t="inlineStr">
        <ns0:is>
          <ns0:t>Other images</ns0:t>
        </ns0:is>
      </ns0:c>
      <ns0:c r="D1828" s="21" t="inlineStr">
        <ns0:is>
          <ns0:t>Other biomedical/digital data</ns0:t>
        </ns0:is>
      </ns0:c>
      <ns0:c r="E1828" s="21" t="inlineStr">
        <ns0:is>
          <ns0:t>Postmortem human histopathology image classification; tissue regions are not distinct acquired modalities.</ns0:t>
        </ns0:is>
      </ns0:c>
      <ns0:c r="F1828" s="21" t="inlineStr">
        <ns0:is>
          <ns0:t>https://doi.org/10.1002/aur.70135</ns0:t>
        </ns0:is>
      </ns0:c>
      <ns0:c r="G1828" s="21" t="inlineStr">
        <ns0:is>
          <ns0:t>ChatGPT-assisted evidence recharting, 2026-09-08</ns0:t>
        </ns0:is>
      </ns0:c>
    </ns0:row>
    <ns0:row r="1829" ht="42" customHeight="1">
      <ns0:c r="A1829" s="19" t="inlineStr">
        <ns0:is>
          <ns0:t>new_261</ns0:t>
        </ns0:is>
      </ns0:c>
      <ns0:c r="B1829" s="19" t="inlineStr">
        <ns0:is>
          <ns0:t>algorithm_main</ns0:t>
        </ns0:is>
      </ns0:c>
      <ns0:c r="C1829" s="19" t="inlineStr">
        <ns0:is>
          <ns0:t>Convolutional/deep neural network</ns0:t>
        </ns0:is>
      </ns0:c>
      <ns0:c r="D1829" s="19" t="inlineStr">
        <ns0:is>
          <ns0:t>CNN</ns0:t>
        </ns0:is>
      </ns0:c>
      <ns0:c r="E1829" s="19" t="inlineStr">
        <ns0:is>
          <ns0:t>Postmortem human histopathology image classification; tissue regions are not distinct acquired modalities.</ns0:t>
        </ns0:is>
      </ns0:c>
      <ns0:c r="F1829" s="19" t="inlineStr">
        <ns0:is>
          <ns0:t>https://doi.org/10.1002/aur.70135</ns0:t>
        </ns0:is>
      </ns0:c>
      <ns0:c r="G1829" s="19" t="inlineStr">
        <ns0:is>
          <ns0:t>ChatGPT-assisted evidence recharting, 2026-09-08</ns0:t>
        </ns0:is>
      </ns0:c>
    </ns0:row>
    <ns0:row r="1830" ht="42" customHeight="1">
      <ns0:c r="A1830" s="21" t="inlineStr">
        <ns0:is>
          <ns0:t>new_261</ns0:t>
        </ns0:is>
      </ns0:c>
      <ns0:c r="B1830" s="21" t="inlineStr">
        <ns0:is>
          <ns0:t>rq2_role</ns0:t>
        </ns0:is>
      </ns0:c>
      <ns0:c r="C1830" s="21" t="inlineStr">
        <ns0:is>
          <ns0:t>Postmortem pathology research</ns0:t>
        </ns0:is>
      </ns0:c>
      <ns0:c r="D1830" s="21" t="inlineStr">
        <ns0:is>
          <ns0:t>Automated measurement/classification</ns0:t>
        </ns0:is>
      </ns0:c>
      <ns0:c r="E1830" s="21" t="inlineStr">
        <ns0:is>
          <ns0:t>Postmortem human histopathology image classification; tissue regions are not distinct acquired modalities.</ns0:t>
        </ns0:is>
      </ns0:c>
      <ns0:c r="F1830" s="21" t="inlineStr">
        <ns0:is>
          <ns0:t>https://doi.org/10.1002/aur.70135</ns0:t>
        </ns0:is>
      </ns0:c>
      <ns0:c r="G1830" s="21" t="inlineStr">
        <ns0:is>
          <ns0:t>ChatGPT-assisted evidence recharting, 2026-09-08</ns0:t>
        </ns0:is>
      </ns0:c>
    </ns0:row>
    <ns0:row r="1831" ht="42" customHeight="1">
      <ns0:c r="A1831" s="19" t="inlineStr">
        <ns0:is>
          <ns0:t>new_261</ns0:t>
        </ns0:is>
      </ns0:c>
      <ns0:c r="B1831" s="19" t="inlineStr">
        <ns0:is>
          <ns0:t>decision_timing</ns0:t>
        </ns0:is>
      </ns0:c>
      <ns0:c r="C1831" s="19" t="inlineStr"/>
      <ns0:c r="D1831" s="19" t="inlineStr">
        <ns0:is>
          <ns0:t>Not observed in assessed sources</ns0:t>
        </ns0:is>
      </ns0:c>
      <ns0:c r="E1831" s="19" t="inlineStr">
        <ns0:is>
          <ns0:t>Postmortem human histopathology image classification; tissue regions are not distinct acquired modalities.</ns0:t>
        </ns0:is>
      </ns0:c>
      <ns0:c r="F1831" s="19" t="inlineStr">
        <ns0:is>
          <ns0:t>https://doi.org/10.1002/aur.70135</ns0:t>
        </ns0:is>
      </ns0:c>
      <ns0:c r="G1831" s="19" t="inlineStr">
        <ns0:is>
          <ns0:t>ChatGPT-assisted evidence recharting, 2026-09-08</ns0:t>
        </ns0:is>
      </ns0:c>
    </ns0:row>
    <ns0:row r="1832" ht="42" customHeight="1">
      <ns0:c r="A1832" s="21" t="inlineStr">
        <ns0:is>
          <ns0:t>new_261</ns0:t>
        </ns0:is>
      </ns0:c>
      <ns0:c r="B1832" s="21" t="inlineStr">
        <ns0:is>
          <ns0:t>multisource_data</ns0:t>
        </ns0:is>
      </ns0:c>
      <ns0:c r="C1832" s="21" t="inlineStr">
        <ns0:is>
          <ns0:t>Reported</ns0:t>
        </ns0:is>
      </ns0:c>
      <ns0:c r="D1832" s="21" t="inlineStr">
        <ns0:is>
          <ns0:t>Not reported in assessed sources</ns0:t>
        </ns0:is>
      </ns0:c>
      <ns0:c r="E1832" s="21" t="inlineStr">
        <ns0:is>
          <ns0:t>Postmortem human histopathology image classification; tissue regions are not distinct acquired modalities.</ns0:t>
        </ns0:is>
      </ns0:c>
      <ns0:c r="F1832" s="21" t="inlineStr">
        <ns0:is>
          <ns0:t>https://doi.org/10.1002/aur.70135</ns0:t>
        </ns0:is>
      </ns0:c>
      <ns0:c r="G1832" s="21" t="inlineStr">
        <ns0:is>
          <ns0:t>ChatGPT-assisted evidence recharting, 2026-09-08</ns0:t>
        </ns0:is>
      </ns0:c>
    </ns0:row>
    <ns0:row r="1833" ht="42" customHeight="1">
      <ns0:c r="A1833" s="19" t="inlineStr">
        <ns0:is>
          <ns0:t>new_261</ns0:t>
        </ns0:is>
      </ns0:c>
      <ns0:c r="B1833" s="19" t="inlineStr">
        <ns0:is>
          <ns0:t>integrity_status</ns0:t>
        </ns0:is>
      </ns0:c>
      <ns0:c r="C1833" s="19" t="inlineStr"/>
      <ns0:c r="D1833" s="19" t="inlineStr">
        <ns0:is>
          <ns0:t>Not recorded</ns0:t>
        </ns0:is>
      </ns0:c>
      <ns0:c r="E1833" s="19" t="inlineStr">
        <ns0:is>
          <ns0:t>Postmortem human histopathology image classification; tissue regions are not distinct acquired modalities.</ns0:t>
        </ns0:is>
      </ns0:c>
      <ns0:c r="F1833" s="19" t="inlineStr">
        <ns0:is>
          <ns0:t>https://doi.org/10.1002/aur.70135</ns0:t>
        </ns0:is>
      </ns0:c>
      <ns0:c r="G1833" s="19" t="inlineStr">
        <ns0:is>
          <ns0:t>ChatGPT-assisted evidence recharting, 2026-09-08</ns0:t>
        </ns0:is>
      </ns0:c>
    </ns0:row>
    <ns0:row r="1834" ht="42" customHeight="1">
      <ns0:c r="A1834" s="21" t="inlineStr">
        <ns0:is>
          <ns0:t>new_262</ns0:t>
        </ns0:is>
      </ns0:c>
      <ns0:c r="B1834" s="21" t="inlineStr">
        <ns0:is>
          <ns0:t>data_source_primary</ns0:t>
        </ns0:is>
      </ns0:c>
      <ns0:c r="C1834" s="21" t="inlineStr">
        <ns0:is>
          <ns0:t>Structured / tabular data</ns0:t>
        </ns0:is>
      </ns0:c>
      <ns0:c r="D1834" s="21" t="inlineStr">
        <ns0:is>
          <ns0:t>Structured clinical/questionnaire data</ns0:t>
        </ns0:is>
      </ns0:c>
      <ns0:c r="E1834" s="21" t="inlineStr">
        <ns0:is>
          <ns0:t>Cognitive and psychosocial scores jointly define transdiagnostic child clusters; substantive ASD-related sample but not an operational diagnosis system.</ns0:t>
        </ns0:is>
      </ns0:c>
      <ns0:c r="F1834" s="21" t="inlineStr">
        <ns0:is>
          <ns0:t>https://doi.org/10.1186/s12888-025-07754-8</ns0:t>
        </ns0:is>
      </ns0:c>
      <ns0:c r="G1834" s="21" t="inlineStr">
        <ns0:is>
          <ns0:t>ChatGPT-assisted evidence recharting, 2026-09-08</ns0:t>
        </ns0:is>
      </ns0:c>
    </ns0:row>
    <ns0:row r="1835" ht="42" customHeight="1">
      <ns0:c r="A1835" s="19" t="inlineStr">
        <ns0:is>
          <ns0:t>new_262</ns0:t>
        </ns0:is>
      </ns0:c>
      <ns0:c r="B1835" s="19" t="inlineStr">
        <ns0:is>
          <ns0:t>algorithm_main</ns0:t>
        </ns0:is>
      </ns0:c>
      <ns0:c r="C1835" s="19" t="inlineStr">
        <ns0:is>
          <ns0:t>k-means clustering</ns0:t>
        </ns0:is>
      </ns0:c>
      <ns0:c r="D1835" s="19" t="inlineStr">
        <ns0:is>
          <ns0:t>Clustering</ns0:t>
        </ns0:is>
      </ns0:c>
      <ns0:c r="E1835" s="19" t="inlineStr">
        <ns0:is>
          <ns0:t>Cognitive and psychosocial scores jointly define transdiagnostic child clusters; substantive ASD-related sample but not an operational diagnosis system.</ns0:t>
        </ns0:is>
      </ns0:c>
      <ns0:c r="F1835" s="19" t="inlineStr">
        <ns0:is>
          <ns0:t>https://doi.org/10.1186/s12888-025-07754-8</ns0:t>
        </ns0:is>
      </ns0:c>
      <ns0:c r="G1835" s="19" t="inlineStr">
        <ns0:is>
          <ns0:t>ChatGPT-assisted evidence recharting, 2026-09-08</ns0:t>
        </ns0:is>
      </ns0:c>
    </ns0:row>
    <ns0:row r="1836" ht="42" customHeight="1">
      <ns0:c r="A1836" s="21" t="inlineStr">
        <ns0:is>
          <ns0:t>new_262</ns0:t>
        </ns0:is>
      </ns0:c>
      <ns0:c r="B1836" s="21" t="inlineStr">
        <ns0:is>
          <ns0:t>rq2_role</ns0:t>
        </ns0:is>
      </ns0:c>
      <ns0:c r="C1836" s="21" t="inlineStr">
        <ns0:is>
          <ns0:t>Research profiling</ns0:t>
        </ns0:is>
      </ns0:c>
      <ns0:c r="D1836" s="21" t="inlineStr">
        <ns0:is>
          <ns0:t>Research characterization</ns0:t>
        </ns0:is>
      </ns0:c>
      <ns0:c r="E1836" s="21" t="inlineStr">
        <ns0:is>
          <ns0:t>Cognitive and psychosocial scores jointly define transdiagnostic child clusters; substantive ASD-related sample but not an operational diagnosis system.</ns0:t>
        </ns0:is>
      </ns0:c>
      <ns0:c r="F1836" s="21" t="inlineStr">
        <ns0:is>
          <ns0:t>https://doi.org/10.1186/s12888-025-07754-8</ns0:t>
        </ns0:is>
      </ns0:c>
      <ns0:c r="G1836" s="21" t="inlineStr">
        <ns0:is>
          <ns0:t>ChatGPT-assisted evidence recharting, 2026-09-08</ns0:t>
        </ns0:is>
      </ns0:c>
    </ns0:row>
    <ns0:row r="1837" ht="42" customHeight="1">
      <ns0:c r="A1837" s="19" t="inlineStr">
        <ns0:is>
          <ns0:t>new_262</ns0:t>
        </ns0:is>
      </ns0:c>
      <ns0:c r="B1837" s="19" t="inlineStr">
        <ns0:is>
          <ns0:t>decision_timing</ns0:t>
        </ns0:is>
      </ns0:c>
      <ns0:c r="C1837" s="19" t="inlineStr"/>
      <ns0:c r="D1837" s="19" t="inlineStr">
        <ns0:is>
          <ns0:t>Not observed in assessed sources</ns0:t>
        </ns0:is>
      </ns0:c>
      <ns0:c r="E1837" s="19" t="inlineStr">
        <ns0:is>
          <ns0:t>Cognitive and psychosocial scores jointly define transdiagnostic child clusters; substantive ASD-related sample but not an operational diagnosis system.</ns0:t>
        </ns0:is>
      </ns0:c>
      <ns0:c r="F1837" s="19" t="inlineStr">
        <ns0:is>
          <ns0:t>https://doi.org/10.1186/s12888-025-07754-8</ns0:t>
        </ns0:is>
      </ns0:c>
      <ns0:c r="G1837" s="19" t="inlineStr">
        <ns0:is>
          <ns0:t>ChatGPT-assisted evidence recharting, 2026-09-08</ns0:t>
        </ns0:is>
      </ns0:c>
    </ns0:row>
    <ns0:row r="1838" ht="42" customHeight="1">
      <ns0:c r="A1838" s="21" t="inlineStr">
        <ns0:is>
          <ns0:t>new_262</ns0:t>
        </ns0:is>
      </ns0:c>
      <ns0:c r="B1838" s="21" t="inlineStr">
        <ns0:is>
          <ns0:t>multisource_data</ns0:t>
        </ns0:is>
      </ns0:c>
      <ns0:c r="C1838" s="21" t="inlineStr">
        <ns0:is>
          <ns0:t>Not reported in assessed sources</ns0:t>
        </ns0:is>
      </ns0:c>
      <ns0:c r="D1838" s="21" t="inlineStr">
        <ns0:is>
          <ns0:t>Reported</ns0:t>
        </ns0:is>
      </ns0:c>
      <ns0:c r="E1838" s="21" t="inlineStr">
        <ns0:is>
          <ns0:t>Cognitive and psychosocial scores jointly define transdiagnostic child clusters; substantive ASD-related sample but not an operational diagnosis system.</ns0:t>
        </ns0:is>
      </ns0:c>
      <ns0:c r="F1838" s="21" t="inlineStr">
        <ns0:is>
          <ns0:t>https://doi.org/10.1186/s12888-025-07754-8</ns0:t>
        </ns0:is>
      </ns0:c>
      <ns0:c r="G1838" s="21" t="inlineStr">
        <ns0:is>
          <ns0:t>ChatGPT-assisted evidence recharting, 2026-09-08</ns0:t>
        </ns0:is>
      </ns0:c>
    </ns0:row>
    <ns0:row r="1839" ht="42" customHeight="1">
      <ns0:c r="A1839" s="19" t="inlineStr">
        <ns0:is>
          <ns0:t>new_262</ns0:t>
        </ns0:is>
      </ns0:c>
      <ns0:c r="B1839" s="19" t="inlineStr">
        <ns0:is>
          <ns0:t>integrity_status</ns0:t>
        </ns0:is>
      </ns0:c>
      <ns0:c r="C1839" s="19" t="inlineStr"/>
      <ns0:c r="D1839" s="19" t="inlineStr">
        <ns0:is>
          <ns0:t>Not recorded</ns0:t>
        </ns0:is>
      </ns0:c>
      <ns0:c r="E1839" s="19" t="inlineStr">
        <ns0:is>
          <ns0:t>Cognitive and psychosocial scores jointly define transdiagnostic child clusters; substantive ASD-related sample but not an operational diagnosis system.</ns0:t>
        </ns0:is>
      </ns0:c>
      <ns0:c r="F1839" s="19" t="inlineStr">
        <ns0:is>
          <ns0:t>https://doi.org/10.1186/s12888-025-07754-8</ns0:t>
        </ns0:is>
      </ns0:c>
      <ns0:c r="G1839" s="19" t="inlineStr">
        <ns0:is>
          <ns0:t>ChatGPT-assisted evidence recharting, 2026-09-08</ns0:t>
        </ns0:is>
      </ns0:c>
    </ns0:row>
    <ns0:row r="1840" ht="42" customHeight="1">
      <ns0:c r="A1840" s="21" t="inlineStr">
        <ns0:is>
          <ns0:t>new_263</ns0:t>
        </ns0:is>
      </ns0:c>
      <ns0:c r="B1840" s="21" t="inlineStr">
        <ns0:is>
          <ns0:t>data_source_primary</ns0:t>
        </ns0:is>
      </ns0:c>
      <ns0:c r="C1840" s="21" t="inlineStr">
        <ns0:is>
          <ns0:t>Text / language</ns0:t>
        </ns0:is>
      </ns0:c>
      <ns0:c r="D1840" s="21" t="inlineStr">
        <ns0:is>
          <ns0:t>Text/language</ns0:t>
        </ns0:is>
      </ns0:c>
      <ns0:c r="E1840" s="21" t="inlineStr">
        <ns0:is>
          <ns0:t>Open-ended questionnaire responses are free text; model/embedding comparisons and interpretability, not closed-item tabular input.</ns0:t>
        </ns0:is>
      </ns0:c>
      <ns0:c r="F1840" s="21" t="inlineStr">
        <ns0:is>
          <ns0:t>https://doi.org/10.1109/jbhi.2025.3599643</ns0:t>
        </ns0:is>
      </ns0:c>
      <ns0:c r="G1840" s="21" t="inlineStr">
        <ns0:is>
          <ns0:t>ChatGPT-assisted evidence recharting, 2026-09-08</ns0:t>
        </ns0:is>
      </ns0:c>
    </ns0:row>
    <ns0:row r="1841" ht="42" customHeight="1">
      <ns0:c r="A1841" s="19" t="inlineStr">
        <ns0:is>
          <ns0:t>new_263</ns0:t>
        </ns0:is>
      </ns0:c>
      <ns0:c r="B1841" s="19" t="inlineStr">
        <ns0:is>
          <ns0:t>algorithm_main</ns0:t>
        </ns0:is>
      </ns0:c>
      <ns0:c r="C1841" s="19" t="inlineStr">
        <ns0:is>
          <ns0:t>Fine-tuned LLMs, embeddings and GPT-4o</ns0:t>
        </ns0:is>
      </ns0:c>
      <ns0:c r="D1841" s="19" t="inlineStr">
        <ns0:is>
          <ns0:t>Transformer</ns0:t>
        </ns0:is>
      </ns0:c>
      <ns0:c r="E1841" s="19" t="inlineStr">
        <ns0:is>
          <ns0:t>Open-ended questionnaire responses are free text; model/embedding comparisons and interpretability, not closed-item tabular input.</ns0:t>
        </ns0:is>
      </ns0:c>
      <ns0:c r="F1841" s="19" t="inlineStr">
        <ns0:is>
          <ns0:t>https://doi.org/10.1109/jbhi.2025.3599643</ns0:t>
        </ns0:is>
      </ns0:c>
      <ns0:c r="G1841" s="19" t="inlineStr">
        <ns0:is>
          <ns0:t>ChatGPT-assisted evidence recharting, 2026-09-08</ns0:t>
        </ns0:is>
      </ns0:c>
    </ns0:row>
    <ns0:row r="1842" ht="42" customHeight="1">
      <ns0:c r="A1842" s="21" t="inlineStr">
        <ns0:is>
          <ns0:t>new_263</ns0:t>
        </ns0:is>
      </ns0:c>
      <ns0:c r="B1842" s="21" t="inlineStr">
        <ns0:is>
          <ns0:t>rq2_status</ns0:t>
        </ns0:is>
      </ns0:c>
      <ns0:c r="C1842" s="21" t="inlineStr">
        <ns0:is>
          <ns0:t>Proposed only</ns0:t>
        </ns0:is>
      </ns0:c>
      <ns0:c r="D1842" s="21" t="inlineStr">
        <ns0:is>
          <ns0:t>Research only</ns0:t>
        </ns0:is>
      </ns0:c>
      <ns0:c r="E1842" s="21" t="inlineStr">
        <ns0:is>
          <ns0:t>Open-ended questionnaire responses are free text; model/embedding comparisons and interpretability, not closed-item tabular input.</ns0:t>
        </ns0:is>
      </ns0:c>
      <ns0:c r="F1842" s="21" t="inlineStr">
        <ns0:is>
          <ns0:t>https://doi.org/10.1109/jbhi.2025.3599643</ns0:t>
        </ns0:is>
      </ns0:c>
      <ns0:c r="G1842" s="21" t="inlineStr">
        <ns0:is>
          <ns0:t>ChatGPT-assisted evidence recharting, 2026-09-08</ns0:t>
        </ns0:is>
      </ns0:c>
    </ns0:row>
    <ns0:row r="1843" ht="42" customHeight="1">
      <ns0:c r="A1843" s="19" t="inlineStr">
        <ns0:is>
          <ns0:t>new_263</ns0:t>
        </ns0:is>
      </ns0:c>
      <ns0:c r="B1843" s="19" t="inlineStr">
        <ns0:is>
          <ns0:t>rq2_role</ns0:t>
        </ns0:is>
      </ns0:c>
      <ns0:c r="C1843" s="19" t="inlineStr">
        <ns0:is>
          <ns0:t>Research assessment model</ns0:t>
        </ns0:is>
      </ns0:c>
      <ns0:c r="D1843" s="19" t="inlineStr">
        <ns0:is>
          <ns0:t>Automated measurement/classification</ns0:t>
        </ns0:is>
      </ns0:c>
      <ns0:c r="E1843" s="19" t="inlineStr">
        <ns0:is>
          <ns0:t>Open-ended questionnaire responses are free text; model/embedding comparisons and interpretability, not closed-item tabular input.</ns0:t>
        </ns0:is>
      </ns0:c>
      <ns0:c r="F1843" s="19" t="inlineStr">
        <ns0:is>
          <ns0:t>https://doi.org/10.1109/jbhi.2025.3599643</ns0:t>
        </ns0:is>
      </ns0:c>
      <ns0:c r="G1843" s="19" t="inlineStr">
        <ns0:is>
          <ns0:t>ChatGPT-assisted evidence recharting, 2026-09-08</ns0:t>
        </ns0:is>
      </ns0:c>
    </ns0:row>
    <ns0:row r="1844" ht="42" customHeight="1">
      <ns0:c r="A1844" s="21" t="inlineStr">
        <ns0:is>
          <ns0:t>new_263</ns0:t>
        </ns0:is>
      </ns0:c>
      <ns0:c r="B1844" s="21" t="inlineStr">
        <ns0:is>
          <ns0:t>decision_timing</ns0:t>
        </ns0:is>
      </ns0:c>
      <ns0:c r="C1844" s="21" t="inlineStr"/>
      <ns0:c r="D1844" s="21" t="inlineStr">
        <ns0:is>
          <ns0:t>Not observed in assessed sources</ns0:t>
        </ns0:is>
      </ns0:c>
      <ns0:c r="E1844" s="21" t="inlineStr">
        <ns0:is>
          <ns0:t>Open-ended questionnaire responses are free text; model/embedding comparisons and interpretability, not closed-item tabular input.</ns0:t>
        </ns0:is>
      </ns0:c>
      <ns0:c r="F1844" s="21" t="inlineStr">
        <ns0:is>
          <ns0:t>https://doi.org/10.1109/jbhi.2025.3599643</ns0:t>
        </ns0:is>
      </ns0:c>
      <ns0:c r="G1844" s="21" t="inlineStr">
        <ns0:is>
          <ns0:t>ChatGPT-assisted evidence recharting, 2026-09-08</ns0:t>
        </ns0:is>
      </ns0:c>
    </ns0:row>
    <ns0:row r="1845" ht="42" customHeight="1">
      <ns0:c r="A1845" s="19" t="inlineStr">
        <ns0:is>
          <ns0:t>new_263</ns0:t>
        </ns0:is>
      </ns0:c>
      <ns0:c r="B1845" s="19" t="inlineStr">
        <ns0:is>
          <ns0:t>integrity_status</ns0:t>
        </ns0:is>
      </ns0:c>
      <ns0:c r="C1845" s="19" t="inlineStr"/>
      <ns0:c r="D1845" s="19" t="inlineStr">
        <ns0:is>
          <ns0:t>Not recorded</ns0:t>
        </ns0:is>
      </ns0:c>
      <ns0:c r="E1845" s="19" t="inlineStr">
        <ns0:is>
          <ns0:t>Open-ended questionnaire responses are free text; model/embedding comparisons and interpretability, not closed-item tabular input.</ns0:t>
        </ns0:is>
      </ns0:c>
      <ns0:c r="F1845" s="19" t="inlineStr">
        <ns0:is>
          <ns0:t>https://doi.org/10.1109/jbhi.2025.3599643</ns0:t>
        </ns0:is>
      </ns0:c>
      <ns0:c r="G1845" s="19" t="inlineStr">
        <ns0:is>
          <ns0:t>ChatGPT-assisted evidence recharting, 2026-09-08</ns0:t>
        </ns0:is>
      </ns0:c>
    </ns0:row>
    <ns0:row r="1846" ht="42" customHeight="1">
      <ns0:c r="A1846" s="21" t="inlineStr">
        <ns0:is>
          <ns0:t>new_268</ns0:t>
        </ns0:is>
      </ns0:c>
      <ns0:c r="B1846" s="21" t="inlineStr">
        <ns0:is>
          <ns0:t>data_source_primary</ns0:t>
        </ns0:is>
      </ns0:c>
      <ns0:c r="C1846" s="21" t="inlineStr">
        <ns0:is>
          <ns0:t>Structured / tabular data</ns0:t>
        </ns0:is>
      </ns0:c>
      <ns0:c r="D1846" s="21" t="inlineStr">
        <ns0:is>
          <ns0:t>Structured clinical/questionnaire data</ns0:t>
        </ns0:is>
      </ns0:c>
      <ns0:c r="E1846" s="21" t="inlineStr">
        <ns0:is>
          <ns0:t>QCHAT models trained in New Zealand/Saudi Arabia are explicitly tested on independent Polish clinical diagnoses; genuine cross-setting evaluation.</ns0:t>
        </ns0:is>
      </ns0:c>
      <ns0:c r="F1846" s="21" t="inlineStr">
        <ns0:is>
          <ns0:t>https://doi.org/10.1038/s41598-025-26131-9</ns0:t>
        </ns0:is>
      </ns0:c>
      <ns0:c r="G1846" s="21" t="inlineStr">
        <ns0:is>
          <ns0:t>ChatGPT-assisted evidence recharting, 2026-09-08</ns0:t>
        </ns0:is>
      </ns0:c>
    </ns0:row>
    <ns0:row r="1847" ht="42" customHeight="1">
      <ns0:c r="A1847" s="19" t="inlineStr">
        <ns0:is>
          <ns0:t>new_268</ns0:t>
        </ns0:is>
      </ns0:c>
      <ns0:c r="B1847" s="19" t="inlineStr">
        <ns0:is>
          <ns0:t>algorithm_main</ns0:t>
        </ns0:is>
      </ns0:c>
      <ns0:c r="C1847" s="19" t="inlineStr">
        <ns0:is>
          <ns0:t>XGBoost/RF/decision tree + RFE</ns0:t>
        </ns0:is>
      </ns0:c>
      <ns0:c r="D1847" s="19" t="inlineStr">
        <ns0:is>
          <ns0:t>Gradient boosting / random forest</ns0:t>
        </ns0:is>
      </ns0:c>
      <ns0:c r="E1847" s="19" t="inlineStr">
        <ns0:is>
          <ns0:t>QCHAT models trained in New Zealand/Saudi Arabia are explicitly tested on independent Polish clinical diagnoses; genuine cross-setting evaluation.</ns0:t>
        </ns0:is>
      </ns0:c>
      <ns0:c r="F1847" s="19" t="inlineStr">
        <ns0:is>
          <ns0:t>https://doi.org/10.1038/s41598-025-26131-9</ns0:t>
        </ns0:is>
      </ns0:c>
      <ns0:c r="G1847" s="19" t="inlineStr">
        <ns0:is>
          <ns0:t>ChatGPT-assisted evidence recharting, 2026-09-08</ns0:t>
        </ns0:is>
      </ns0:c>
    </ns0:row>
    <ns0:row r="1848" ht="42" customHeight="1">
      <ns0:c r="A1848" s="21" t="inlineStr">
        <ns0:is>
          <ns0:t>new_268</ns0:t>
        </ns0:is>
      </ns0:c>
      <ns0:c r="B1848" s="21" t="inlineStr">
        <ns0:is>
          <ns0:t>rq2_role</ns0:t>
        </ns0:is>
      </ns0:c>
      <ns0:c r="C1848" s="21" t="inlineStr">
        <ns0:is>
          <ns0:t>Externally tested screening model</ns0:t>
        </ns0:is>
      </ns0:c>
      <ns0:c r="D1848" s="21" t="inlineStr">
        <ns0:is>
          <ns0:t>Triage/questionnaire assessment</ns0:t>
        </ns0:is>
      </ns0:c>
      <ns0:c r="E1848" s="21" t="inlineStr">
        <ns0:is>
          <ns0:t>QCHAT models trained in New Zealand/Saudi Arabia are explicitly tested on independent Polish clinical diagnoses; genuine cross-setting evaluation.</ns0:t>
        </ns0:is>
      </ns0:c>
      <ns0:c r="F1848" s="21" t="inlineStr">
        <ns0:is>
          <ns0:t>https://doi.org/10.1038/s41598-025-26131-9</ns0:t>
        </ns0:is>
      </ns0:c>
      <ns0:c r="G1848" s="21" t="inlineStr">
        <ns0:is>
          <ns0:t>ChatGPT-assisted evidence recharting, 2026-09-08</ns0:t>
        </ns0:is>
      </ns0:c>
    </ns0:row>
    <ns0:row r="1849" ht="42" customHeight="1">
      <ns0:c r="A1849" s="19" t="inlineStr">
        <ns0:is>
          <ns0:t>new_268</ns0:t>
        </ns0:is>
      </ns0:c>
      <ns0:c r="B1849" s="19" t="inlineStr">
        <ns0:is>
          <ns0:t>decision_timing</ns0:t>
        </ns0:is>
      </ns0:c>
      <ns0:c r="C1849" s="19" t="inlineStr"/>
      <ns0:c r="D1849" s="19" t="inlineStr">
        <ns0:is>
          <ns0:t>Pre-decision</ns0:t>
        </ns0:is>
      </ns0:c>
      <ns0:c r="E1849" s="19" t="inlineStr">
        <ns0:is>
          <ns0:t>QCHAT models trained in New Zealand/Saudi Arabia are explicitly tested on independent Polish clinical diagnoses; genuine cross-setting evaluation.</ns0:t>
        </ns0:is>
      </ns0:c>
      <ns0:c r="F1849" s="19" t="inlineStr">
        <ns0:is>
          <ns0:t>https://doi.org/10.1038/s41598-025-26131-9</ns0:t>
        </ns0:is>
      </ns0:c>
      <ns0:c r="G1849" s="19" t="inlineStr">
        <ns0:is>
          <ns0:t>ChatGPT-assisted evidence recharting, 2026-09-08</ns0:t>
        </ns0:is>
      </ns0:c>
    </ns0:row>
    <ns0:row r="1850" ht="42" customHeight="1">
      <ns0:c r="A1850" s="21" t="inlineStr">
        <ns0:is>
          <ns0:t>new_268</ns0:t>
        </ns0:is>
      </ns0:c>
      <ns0:c r="B1850" s="21" t="inlineStr">
        <ns0:is>
          <ns0:t>multisite_dataset</ns0:t>
        </ns0:is>
      </ns0:c>
      <ns0:c r="C1850" s="21" t="inlineStr">
        <ns0:is>
          <ns0:t>Not reported in assessed sources</ns0:t>
        </ns0:is>
      </ns0:c>
      <ns0:c r="D1850" s="21" t="inlineStr">
        <ns0:is>
          <ns0:t>Reported</ns0:t>
        </ns0:is>
      </ns0:c>
      <ns0:c r="E1850" s="21" t="inlineStr">
        <ns0:is>
          <ns0:t>QCHAT models trained in New Zealand/Saudi Arabia are explicitly tested on independent Polish clinical diagnoses; genuine cross-setting evaluation.</ns0:t>
        </ns0:is>
      </ns0:c>
      <ns0:c r="F1850" s="21" t="inlineStr">
        <ns0:is>
          <ns0:t>https://doi.org/10.1038/s41598-025-26131-9</ns0:t>
        </ns0:is>
      </ns0:c>
      <ns0:c r="G1850" s="21" t="inlineStr">
        <ns0:is>
          <ns0:t>ChatGPT-assisted evidence recharting, 2026-09-08</ns0:t>
        </ns0:is>
      </ns0:c>
    </ns0:row>
    <ns0:row r="1851" ht="42" customHeight="1">
      <ns0:c r="A1851" s="19" t="inlineStr">
        <ns0:is>
          <ns0:t>new_268</ns0:t>
        </ns0:is>
      </ns0:c>
      <ns0:c r="B1851" s="19" t="inlineStr">
        <ns0:is>
          <ns0:t>cross_site_robustness</ns0:t>
        </ns0:is>
      </ns0:c>
      <ns0:c r="C1851" s="19" t="inlineStr">
        <ns0:is>
          <ns0:t>Not reported in assessed sources</ns0:t>
        </ns0:is>
      </ns0:c>
      <ns0:c r="D1851" s="19" t="inlineStr">
        <ns0:is>
          <ns0:t>Reported</ns0:t>
        </ns0:is>
      </ns0:c>
      <ns0:c r="E1851" s="19" t="inlineStr">
        <ns0:is>
          <ns0:t>QCHAT models trained in New Zealand/Saudi Arabia are explicitly tested on independent Polish clinical diagnoses; genuine cross-setting evaluation.</ns0:t>
        </ns0:is>
      </ns0:c>
      <ns0:c r="F1851" s="19" t="inlineStr">
        <ns0:is>
          <ns0:t>https://doi.org/10.1038/s41598-025-26131-9</ns0:t>
        </ns0:is>
      </ns0:c>
      <ns0:c r="G1851" s="19" t="inlineStr">
        <ns0:is>
          <ns0:t>ChatGPT-assisted evidence recharting, 2026-09-08</ns0:t>
        </ns0:is>
      </ns0:c>
    </ns0:row>
    <ns0:row r="1852" ht="42" customHeight="1">
      <ns0:c r="A1852" s="21" t="inlineStr">
        <ns0:is>
          <ns0:t>new_268</ns0:t>
        </ns0:is>
      </ns0:c>
      <ns0:c r="B1852" s="21" t="inlineStr">
        <ns0:is>
          <ns0:t>integrity_status</ns0:t>
        </ns0:is>
      </ns0:c>
      <ns0:c r="C1852" s="21" t="inlineStr"/>
      <ns0:c r="D1852" s="21" t="inlineStr">
        <ns0:is>
          <ns0:t>Not recorded</ns0:t>
        </ns0:is>
      </ns0:c>
      <ns0:c r="E1852" s="21" t="inlineStr">
        <ns0:is>
          <ns0:t>QCHAT models trained in New Zealand/Saudi Arabia are explicitly tested on independent Polish clinical diagnoses; genuine cross-setting evaluation.</ns0:t>
        </ns0:is>
      </ns0:c>
      <ns0:c r="F1852" s="21" t="inlineStr">
        <ns0:is>
          <ns0:t>https://doi.org/10.1038/s41598-025-26131-9</ns0:t>
        </ns0:is>
      </ns0:c>
      <ns0:c r="G1852" s="21" t="inlineStr">
        <ns0:is>
          <ns0:t>ChatGPT-assisted evidence recharting, 2026-09-08</ns0:t>
        </ns0:is>
      </ns0:c>
    </ns0:row>
    <ns0:row r="1853" ht="42" customHeight="1">
      <ns0:c r="A1853" s="19" t="inlineStr">
        <ns0:is>
          <ns0:t>new_288</ns0:t>
        </ns0:is>
      </ns0:c>
      <ns0:c r="B1853" s="19" t="inlineStr">
        <ns0:is>
          <ns0:t>algorithm_main</ns0:t>
        </ns0:is>
      </ns0:c>
      <ns0:c r="C1853" s="19" t="inlineStr">
        <ns0:is>
          <ns0:t>Super Learner / highly adaptive lasso</ns0:t>
        </ns0:is>
      </ns0:c>
      <ns0:c r="D1853" s="19" t="inlineStr">
        <ns0:is>
          <ns0:t>Super Learner</ns0:t>
        </ns0:is>
      </ns0:c>
      <ns0:c r="E1853" s="19" t="inlineStr">
        <ns0:is>
          <ns0:t>Motion-adjusted functional-connectivity estimation; methodological research, not direct clinical prediction or generic cross-site robustness.</ns0:t>
        </ns0:is>
      </ns0:c>
      <ns0:c r="F1853" s="19" t="inlineStr">
        <ns0:is>
          <ns0:t>https://doi.org/10.1093/biomtc/ujag099</ns0:t>
        </ns0:is>
      </ns0:c>
      <ns0:c r="G1853" s="19" t="inlineStr">
        <ns0:is>
          <ns0:t>ChatGPT-assisted evidence recharting, 2026-09-08</ns0:t>
        </ns0:is>
      </ns0:c>
    </ns0:row>
    <ns0:row r="1854" ht="42" customHeight="1">
      <ns0:c r="A1854" s="21" t="inlineStr">
        <ns0:is>
          <ns0:t>new_288</ns0:t>
        </ns0:is>
      </ns0:c>
      <ns0:c r="B1854" s="21" t="inlineStr">
        <ns0:is>
          <ns0:t>rq2_role</ns0:t>
        </ns0:is>
      </ns0:c>
      <ns0:c r="C1854" s="21" t="inlineStr">
        <ns0:is>
          <ns0:t>Methodological neuroimaging analysis</ns0:t>
        </ns0:is>
      </ns0:c>
      <ns0:c r="D1854" s="21" t="inlineStr">
        <ns0:is>
          <ns0:t>Automated measurement/classification</ns0:t>
        </ns0:is>
      </ns0:c>
      <ns0:c r="E1854" s="21" t="inlineStr">
        <ns0:is>
          <ns0:t>Motion-adjusted functional-connectivity estimation; methodological research, not direct clinical prediction or generic cross-site robustness.</ns0:t>
        </ns0:is>
      </ns0:c>
      <ns0:c r="F1854" s="21" t="inlineStr">
        <ns0:is>
          <ns0:t>https://doi.org/10.1093/biomtc/ujag099</ns0:t>
        </ns0:is>
      </ns0:c>
      <ns0:c r="G1854" s="21" t="inlineStr">
        <ns0:is>
          <ns0:t>ChatGPT-assisted evidence recharting, 2026-09-08</ns0:t>
        </ns0:is>
      </ns0:c>
    </ns0:row>
    <ns0:row r="1855" ht="42" customHeight="1">
      <ns0:c r="A1855" s="19" t="inlineStr">
        <ns0:is>
          <ns0:t>new_288</ns0:t>
        </ns0:is>
      </ns0:c>
      <ns0:c r="B1855" s="19" t="inlineStr">
        <ns0:is>
          <ns0:t>decision_timing</ns0:t>
        </ns0:is>
      </ns0:c>
      <ns0:c r="C1855" s="19" t="inlineStr"/>
      <ns0:c r="D1855" s="19" t="inlineStr">
        <ns0:is>
          <ns0:t>Not observed in assessed sources</ns0:t>
        </ns0:is>
      </ns0:c>
      <ns0:c r="E1855" s="19" t="inlineStr">
        <ns0:is>
          <ns0:t>Motion-adjusted functional-connectivity estimation; methodological research, not direct clinical prediction or generic cross-site robustness.</ns0:t>
        </ns0:is>
      </ns0:c>
      <ns0:c r="F1855" s="19" t="inlineStr">
        <ns0:is>
          <ns0:t>https://doi.org/10.1093/biomtc/ujag099</ns0:t>
        </ns0:is>
      </ns0:c>
      <ns0:c r="G1855" s="19" t="inlineStr">
        <ns0:is>
          <ns0:t>ChatGPT-assisted evidence recharting, 2026-09-08</ns0:t>
        </ns0:is>
      </ns0:c>
    </ns0:row>
    <ns0:row r="1856" ht="42" customHeight="1">
      <ns0:c r="A1856" s="21" t="inlineStr">
        <ns0:is>
          <ns0:t>new_288</ns0:t>
        </ns0:is>
      </ns0:c>
      <ns0:c r="B1856" s="21" t="inlineStr">
        <ns0:is>
          <ns0:t>integrity_status</ns0:t>
        </ns0:is>
      </ns0:c>
      <ns0:c r="C1856" s="21" t="inlineStr"/>
      <ns0:c r="D1856" s="21" t="inlineStr">
        <ns0:is>
          <ns0:t>Not recorded</ns0:t>
        </ns0:is>
      </ns0:c>
      <ns0:c r="E1856" s="21" t="inlineStr">
        <ns0:is>
          <ns0:t>Motion-adjusted functional-connectivity estimation; methodological research, not direct clinical prediction or generic cross-site robustness.</ns0:t>
        </ns0:is>
      </ns0:c>
      <ns0:c r="F1856" s="21" t="inlineStr">
        <ns0:is>
          <ns0:t>https://doi.org/10.1093/biomtc/ujag099</ns0:t>
        </ns0:is>
      </ns0:c>
      <ns0:c r="G1856" s="21" t="inlineStr">
        <ns0:is>
          <ns0:t>ChatGPT-assisted evidence recharting, 2026-09-08</ns0:t>
        </ns0:is>
      </ns0:c>
    </ns0:row>
    <ns0:row r="1857" ht="42" customHeight="1">
      <ns0:c r="A1857" s="19" t="inlineStr">
        <ns0:is>
          <ns0:t>new_305</ns0:t>
        </ns0:is>
      </ns0:c>
      <ns0:c r="B1857" s="19" t="inlineStr">
        <ns0:is>
          <ns0:t>data_source_primary</ns0:t>
        </ns0:is>
      </ns0:c>
      <ns0:c r="C1857" s="19" t="inlineStr">
        <ns0:is>
          <ns0:t>Multiple modalities (as coded)</ns0:t>
        </ns0:is>
      </ns0:c>
      <ns0:c r="D1857" s="19" t="inlineStr">
        <ns0:is>
          <ns0:t>Multiple source categories</ns0:t>
        </ns0:is>
      </ns0:c>
      <ns0:c r="E1857" s="19" t="inlineStr">
        <ns0:is>
          <ns0:t>Multimodal MRI combined with physical-health markers from ABCD; stratified internal cross-validation.</ns0:t>
        </ns0:is>
      </ns0:c>
      <ns0:c r="F1857" s="19" t="inlineStr">
        <ns0:is>
          <ns0:t>https://doi.org/10.31083/jin48212</ns0:t>
        </ns0:is>
      </ns0:c>
      <ns0:c r="G1857" s="19" t="inlineStr">
        <ns0:is>
          <ns0:t>ChatGPT-assisted evidence recharting, 2026-09-08</ns0:t>
        </ns0:is>
      </ns0:c>
    </ns0:row>
    <ns0:row r="1858" ht="42" customHeight="1">
      <ns0:c r="A1858" s="21" t="inlineStr">
        <ns0:is>
          <ns0:t>new_305</ns0:t>
        </ns0:is>
      </ns0:c>
      <ns0:c r="B1858" s="21" t="inlineStr">
        <ns0:is>
          <ns0:t>algorithm_main</ns0:t>
        </ns0:is>
      </ns0:c>
      <ns0:c r="C1858" s="21" t="inlineStr">
        <ns0:is>
          <ns0:t>Multimodal ML classifiers</ns0:t>
        </ns0:is>
      </ns0:c>
      <ns0:c r="D1858" s="21" t="inlineStr">
        <ns0:is>
          <ns0:t>Not specified</ns0:t>
        </ns0:is>
      </ns0:c>
      <ns0:c r="E1858" s="21" t="inlineStr">
        <ns0:is>
          <ns0:t>Multimodal MRI combined with physical-health markers from ABCD; stratified internal cross-validation.</ns0:t>
        </ns0:is>
      </ns0:c>
      <ns0:c r="F1858" s="21" t="inlineStr">
        <ns0:is>
          <ns0:t>https://doi.org/10.31083/jin48212</ns0:t>
        </ns0:is>
      </ns0:c>
      <ns0:c r="G1858" s="21" t="inlineStr">
        <ns0:is>
          <ns0:t>ChatGPT-assisted evidence recharting, 2026-09-08</ns0:t>
        </ns0:is>
      </ns0:c>
    </ns0:row>
    <ns0:row r="1859" ht="42" customHeight="1">
      <ns0:c r="A1859" s="19" t="inlineStr">
        <ns0:is>
          <ns0:t>new_305</ns0:t>
        </ns0:is>
      </ns0:c>
      <ns0:c r="B1859" s="19" t="inlineStr">
        <ns0:is>
          <ns0:t>rq2_role</ns0:t>
        </ns0:is>
      </ns0:c>
      <ns0:c r="C1859" s="19" t="inlineStr">
        <ns0:is>
          <ns0:t>Population-cohort proof of concept</ns0:t>
        </ns0:is>
      </ns0:c>
      <ns0:c r="D1859" s="19" t="inlineStr">
        <ns0:is>
          <ns0:t>Automated measurement/classification</ns0:t>
        </ns0:is>
      </ns0:c>
      <ns0:c r="E1859" s="19" t="inlineStr">
        <ns0:is>
          <ns0:t>Multimodal MRI combined with physical-health markers from ABCD; stratified internal cross-validation.</ns0:t>
        </ns0:is>
      </ns0:c>
      <ns0:c r="F1859" s="19" t="inlineStr">
        <ns0:is>
          <ns0:t>https://doi.org/10.31083/jin48212</ns0:t>
        </ns0:is>
      </ns0:c>
      <ns0:c r="G1859" s="19" t="inlineStr">
        <ns0:is>
          <ns0:t>ChatGPT-assisted evidence recharting, 2026-09-08</ns0:t>
        </ns0:is>
      </ns0:c>
    </ns0:row>
    <ns0:row r="1860" ht="42" customHeight="1">
      <ns0:c r="A1860" s="21" t="inlineStr">
        <ns0:is>
          <ns0:t>new_305</ns0:t>
        </ns0:is>
      </ns0:c>
      <ns0:c r="B1860" s="21" t="inlineStr">
        <ns0:is>
          <ns0:t>decision_timing</ns0:t>
        </ns0:is>
      </ns0:c>
      <ns0:c r="C1860" s="21" t="inlineStr"/>
      <ns0:c r="D1860" s="21" t="inlineStr">
        <ns0:is>
          <ns0:t>Not observed in assessed sources</ns0:t>
        </ns0:is>
      </ns0:c>
      <ns0:c r="E1860" s="21" t="inlineStr">
        <ns0:is>
          <ns0:t>Multimodal MRI combined with physical-health markers from ABCD; stratified internal cross-validation.</ns0:t>
        </ns0:is>
      </ns0:c>
      <ns0:c r="F1860" s="21" t="inlineStr">
        <ns0:is>
          <ns0:t>https://doi.org/10.31083/jin48212</ns0:t>
        </ns0:is>
      </ns0:c>
      <ns0:c r="G1860" s="21" t="inlineStr">
        <ns0:is>
          <ns0:t>ChatGPT-assisted evidence recharting, 2026-09-08</ns0:t>
        </ns0:is>
      </ns0:c>
    </ns0:row>
    <ns0:row r="1861" ht="42" customHeight="1">
      <ns0:c r="A1861" s="19" t="inlineStr">
        <ns0:is>
          <ns0:t>new_305</ns0:t>
        </ns0:is>
      </ns0:c>
      <ns0:c r="B1861" s="19" t="inlineStr">
        <ns0:is>
          <ns0:t>integrity_status</ns0:t>
        </ns0:is>
      </ns0:c>
      <ns0:c r="C1861" s="19" t="inlineStr"/>
      <ns0:c r="D1861" s="19" t="inlineStr">
        <ns0:is>
          <ns0:t>Not recorded</ns0:t>
        </ns0:is>
      </ns0:c>
      <ns0:c r="E1861" s="19" t="inlineStr">
        <ns0:is>
          <ns0:t>Multimodal MRI combined with physical-health markers from ABCD; stratified internal cross-validation.</ns0:t>
        </ns0:is>
      </ns0:c>
      <ns0:c r="F1861" s="19" t="inlineStr">
        <ns0:is>
          <ns0:t>https://doi.org/10.31083/jin48212</ns0:t>
        </ns0:is>
      </ns0:c>
      <ns0:c r="G1861" s="19" t="inlineStr">
        <ns0:is>
          <ns0:t>ChatGPT-assisted evidence recharting, 2026-09-08</ns0:t>
        </ns0:is>
      </ns0:c>
    </ns0:row>
    <ns0:row r="1862" ht="45" customHeight="1">
      <ns0:c r="A1862" s="21" t="inlineStr">
        <ns0:is>
          <ns0:t>new_307</ns0:t>
        </ns0:is>
      </ns0:c>
      <ns0:c r="B1862" s="21" t="inlineStr">
        <ns0:is>
          <ns0:t>algorithm_main</ns0:t>
        </ns0:is>
      </ns0:c>
      <ns0:c r="C1862" s="21" t="inlineStr">
        <ns0:is>
          <ns0:t>SSFFN graph model + LSTM</ns0:t>
        </ns0:is>
      </ns0:c>
      <ns0:c r="D1862" s="21" t="inlineStr">
        <ns0:is>
          <ns0:t>Graph network + LSTM</ns0:t>
        </ns0:is>
      </ns0:c>
      <ns0:c r="E1862" s="21" t="inlineStr">
        <ns0:is>
          <ns0:t>EEG spatial/functional features from a single signal; two datasets evaluated, but external transfer design not established in available evidence.
Sheffield and KAU benchmark evaluations; train-on-one/test-on-the-other not established by abstract</ns0:t>
        </ns0:is>
      </ns0:c>
      <ns0:c r="F1862" s="21" t="inlineStr">
        <ns0:is>
          <ns0:t>https://doi.org/10.1038/s41598-026-48562-8</ns0:t>
        </ns0:is>
      </ns0:c>
      <ns0:c r="G1862" s="21" t="inlineStr">
        <ns0:is>
          <ns0:t>ChatGPT-assisted evidence recharting, 2026-09-08</ns0:t>
        </ns0:is>
      </ns0:c>
    </ns0:row>
    <ns0:row r="1863" ht="45" customHeight="1">
      <ns0:c r="A1863" s="19" t="inlineStr">
        <ns0:is>
          <ns0:t>new_307</ns0:t>
        </ns0:is>
      </ns0:c>
      <ns0:c r="B1863" s="19" t="inlineStr">
        <ns0:is>
          <ns0:t>rq2_status</ns0:t>
        </ns0:is>
      </ns0:c>
      <ns0:c r="C1863" s="19" t="inlineStr">
        <ns0:is>
          <ns0:t>Proposed only</ns0:t>
        </ns0:is>
      </ns0:c>
      <ns0:c r="D1863" s="19" t="inlineStr">
        <ns0:is>
          <ns0:t>Research only</ns0:t>
        </ns0:is>
      </ns0:c>
      <ns0:c r="E1863" s="19" t="inlineStr">
        <ns0:is>
          <ns0:t>EEG spatial/functional features from a single signal; two datasets evaluated, but external transfer design not established in available evidence.
Sheffield and KAU benchmark evaluations; train-on-one/test-on-the-other not established by abstract</ns0:t>
        </ns0:is>
      </ns0:c>
      <ns0:c r="F1863" s="19" t="inlineStr">
        <ns0:is>
          <ns0:t>https://doi.org/10.1038/s41598-026-48562-8</ns0:t>
        </ns0:is>
      </ns0:c>
      <ns0:c r="G1863" s="19" t="inlineStr">
        <ns0:is>
          <ns0:t>ChatGPT-assisted evidence recharting, 2026-09-08</ns0:t>
        </ns0:is>
      </ns0:c>
    </ns0:row>
    <ns0:row r="1864" ht="45" customHeight="1">
      <ns0:c r="A1864" s="21" t="inlineStr">
        <ns0:is>
          <ns0:t>new_307</ns0:t>
        </ns0:is>
      </ns0:c>
      <ns0:c r="B1864" s="21" t="inlineStr">
        <ns0:is>
          <ns0:t>rq2_role</ns0:t>
        </ns0:is>
      </ns0:c>
      <ns0:c r="C1864" s="21" t="inlineStr">
        <ns0:is>
          <ns0:t>Diagnostic-support research</ns0:t>
        </ns0:is>
      </ns0:c>
      <ns0:c r="D1864" s="21" t="inlineStr">
        <ns0:is>
          <ns0:t>Automated measurement/classification</ns0:t>
        </ns0:is>
      </ns0:c>
      <ns0:c r="E1864" s="21" t="inlineStr">
        <ns0:is>
          <ns0:t>EEG spatial/functional features from a single signal; two datasets evaluated, but external transfer design not established in available evidence.
Sheffield and KAU benchmark evaluations; train-on-one/test-on-the-other not established by abstract</ns0:t>
        </ns0:is>
      </ns0:c>
      <ns0:c r="F1864" s="21" t="inlineStr">
        <ns0:is>
          <ns0:t>https://doi.org/10.1038/s41598-026-48562-8</ns0:t>
        </ns0:is>
      </ns0:c>
      <ns0:c r="G1864" s="21" t="inlineStr">
        <ns0:is>
          <ns0:t>ChatGPT-assisted evidence recharting, 2026-09-08</ns0:t>
        </ns0:is>
      </ns0:c>
    </ns0:row>
    <ns0:row r="1865" ht="45" customHeight="1">
      <ns0:c r="A1865" s="19" t="inlineStr">
        <ns0:is>
          <ns0:t>new_307</ns0:t>
        </ns0:is>
      </ns0:c>
      <ns0:c r="B1865" s="19" t="inlineStr">
        <ns0:is>
          <ns0:t>decision_timing</ns0:t>
        </ns0:is>
      </ns0:c>
      <ns0:c r="C1865" s="19" t="inlineStr"/>
      <ns0:c r="D1865" s="19" t="inlineStr">
        <ns0:is>
          <ns0:t>Not observed in assessed sources</ns0:t>
        </ns0:is>
      </ns0:c>
      <ns0:c r="E1865" s="19" t="inlineStr">
        <ns0:is>
          <ns0:t>EEG spatial/functional features from a single signal; two datasets evaluated, but external transfer design not established in available evidence.
Sheffield and KAU benchmark evaluations; train-on-one/test-on-the-other not established by abstract</ns0:t>
        </ns0:is>
      </ns0:c>
      <ns0:c r="F1865" s="19" t="inlineStr">
        <ns0:is>
          <ns0:t>https://doi.org/10.1038/s41598-026-48562-8</ns0:t>
        </ns0:is>
      </ns0:c>
      <ns0:c r="G1865" s="19" t="inlineStr">
        <ns0:is>
          <ns0:t>ChatGPT-assisted evidence recharting, 2026-09-08</ns0:t>
        </ns0:is>
      </ns0:c>
    </ns0:row>
    <ns0:row r="1866" ht="45" customHeight="1">
      <ns0:c r="A1866" s="21" t="inlineStr">
        <ns0:is>
          <ns0:t>new_307</ns0:t>
        </ns0:is>
      </ns0:c>
      <ns0:c r="B1866" s="21" t="inlineStr">
        <ns0:is>
          <ns0:t>external_validation</ns0:t>
        </ns0:is>
      </ns0:c>
      <ns0:c r="C1866" s="21" t="inlineStr">
        <ns0:is>
          <ns0:t>Reported</ns0:t>
        </ns0:is>
      </ns0:c>
      <ns0:c r="D1866" s="21" t="inlineStr">
        <ns0:is>
          <ns0:t>Not ascertainable</ns0:t>
        </ns0:is>
      </ns0:c>
      <ns0:c r="E1866" s="21" t="inlineStr">
        <ns0:is>
          <ns0:t>EEG spatial/functional features from a single signal; two datasets evaluated, but external transfer design not established in available evidence.
Sheffield and KAU benchmark evaluations; train-on-one/test-on-the-other not established by abstract</ns0:t>
        </ns0:is>
      </ns0:c>
      <ns0:c r="F1866" s="21" t="inlineStr">
        <ns0:is>
          <ns0:t>https://doi.org/10.1038/s41598-026-48562-8</ns0:t>
        </ns0:is>
      </ns0:c>
      <ns0:c r="G1866" s="21" t="inlineStr">
        <ns0:is>
          <ns0:t>ChatGPT-assisted evidence recharting, 2026-09-08</ns0:t>
        </ns0:is>
      </ns0:c>
    </ns0:row>
    <ns0:row r="1867" ht="45" customHeight="1">
      <ns0:c r="A1867" s="19" t="inlineStr">
        <ns0:is>
          <ns0:t>new_307</ns0:t>
        </ns0:is>
      </ns0:c>
      <ns0:c r="B1867" s="19" t="inlineStr">
        <ns0:is>
          <ns0:t>integrity_status</ns0:t>
        </ns0:is>
      </ns0:c>
      <ns0:c r="C1867" s="19" t="inlineStr"/>
      <ns0:c r="D1867" s="19" t="inlineStr">
        <ns0:is>
          <ns0:t>Not recorded</ns0:t>
        </ns0:is>
      </ns0:c>
      <ns0:c r="E1867" s="19" t="inlineStr">
        <ns0:is>
          <ns0:t>EEG spatial/functional features from a single signal; two datasets evaluated, but external transfer design not established in available evidence.
Sheffield and KAU benchmark evaluations; train-on-one/test-on-the-other not established by abstract</ns0:t>
        </ns0:is>
      </ns0:c>
      <ns0:c r="F1867" s="19" t="inlineStr">
        <ns0:is>
          <ns0:t>https://doi.org/10.1038/s41598-026-48562-8</ns0:t>
        </ns0:is>
      </ns0:c>
      <ns0:c r="G1867" s="19" t="inlineStr">
        <ns0:is>
          <ns0:t>ChatGPT-assisted evidence recharting, 2026-09-08</ns0:t>
        </ns0:is>
      </ns0:c>
    </ns0:row>
    <ns0:row r="1868" ht="42" customHeight="1">
      <ns0:c r="A1868" s="21" t="inlineStr">
        <ns0:is>
          <ns0:t>new_313</ns0:t>
        </ns0:is>
      </ns0:c>
      <ns0:c r="B1868" s="21" t="inlineStr">
        <ns0:is>
          <ns0:t>algorithm_main</ns0:t>
        </ns0:is>
      </ns0:c>
      <ns0:c r="C1868" s="21" t="inlineStr">
        <ns0:is>
          <ns0:t>CNN optimized with OptABC</ns0:t>
        </ns0:is>
      </ns0:c>
      <ns0:c r="D1868" s="21" t="inlineStr">
        <ns0:is>
          <ns0:t>CNN</ns0:t>
        </ns0:is>
      </ns0:c>
      <ns0:c r="E1868" s="21" t="inlineStr">
        <ns0:is>
          <ns0:t>Demographic-aware sMRI CNNs with internal five-fold validation; independent-data evaluation explicitly left for future work.</ns0:t>
        </ns0:is>
      </ns0:c>
      <ns0:c r="F1868" s="21" t="inlineStr">
        <ns0:is>
          <ns0:t>https://doi.org/10.1038/s41598-026-58789-0</ns0:t>
        </ns0:is>
      </ns0:c>
      <ns0:c r="G1868" s="21" t="inlineStr">
        <ns0:is>
          <ns0:t>ChatGPT-assisted evidence recharting, 2026-09-08</ns0:t>
        </ns0:is>
      </ns0:c>
    </ns0:row>
    <ns0:row r="1869" ht="42" customHeight="1">
      <ns0:c r="A1869" s="19" t="inlineStr">
        <ns0:is>
          <ns0:t>new_313</ns0:t>
        </ns0:is>
      </ns0:c>
      <ns0:c r="B1869" s="19" t="inlineStr">
        <ns0:is>
          <ns0:t>rq2_role</ns0:t>
        </ns0:is>
      </ns0:c>
      <ns0:c r="C1869" s="19" t="inlineStr">
        <ns0:is>
          <ns0:t>Retrospective ABIDE model</ns0:t>
        </ns0:is>
      </ns0:c>
      <ns0:c r="D1869" s="19" t="inlineStr">
        <ns0:is>
          <ns0:t>Automated measurement/classification</ns0:t>
        </ns0:is>
      </ns0:c>
      <ns0:c r="E1869" s="19" t="inlineStr">
        <ns0:is>
          <ns0:t>Demographic-aware sMRI CNNs with internal five-fold validation; independent-data evaluation explicitly left for future work.</ns0:t>
        </ns0:is>
      </ns0:c>
      <ns0:c r="F1869" s="19" t="inlineStr">
        <ns0:is>
          <ns0:t>https://doi.org/10.1038/s41598-026-58789-0</ns0:t>
        </ns0:is>
      </ns0:c>
      <ns0:c r="G1869" s="19" t="inlineStr">
        <ns0:is>
          <ns0:t>ChatGPT-assisted evidence recharting, 2026-09-08</ns0:t>
        </ns0:is>
      </ns0:c>
    </ns0:row>
    <ns0:row r="1870" ht="42" customHeight="1">
      <ns0:c r="A1870" s="21" t="inlineStr">
        <ns0:is>
          <ns0:t>new_313</ns0:t>
        </ns0:is>
      </ns0:c>
      <ns0:c r="B1870" s="21" t="inlineStr">
        <ns0:is>
          <ns0:t>decision_timing</ns0:t>
        </ns0:is>
      </ns0:c>
      <ns0:c r="C1870" s="21" t="inlineStr"/>
      <ns0:c r="D1870" s="21" t="inlineStr">
        <ns0:is>
          <ns0:t>Not observed in assessed sources</ns0:t>
        </ns0:is>
      </ns0:c>
      <ns0:c r="E1870" s="21" t="inlineStr">
        <ns0:is>
          <ns0:t>Demographic-aware sMRI CNNs with internal five-fold validation; independent-data evaluation explicitly left for future work.</ns0:t>
        </ns0:is>
      </ns0:c>
      <ns0:c r="F1870" s="21" t="inlineStr">
        <ns0:is>
          <ns0:t>https://doi.org/10.1038/s41598-026-58789-0</ns0:t>
        </ns0:is>
      </ns0:c>
      <ns0:c r="G1870" s="21" t="inlineStr">
        <ns0:is>
          <ns0:t>ChatGPT-assisted evidence recharting, 2026-09-08</ns0:t>
        </ns0:is>
      </ns0:c>
    </ns0:row>
    <ns0:row r="1871" ht="42" customHeight="1">
      <ns0:c r="A1871" s="19" t="inlineStr">
        <ns0:is>
          <ns0:t>new_313</ns0:t>
        </ns0:is>
      </ns0:c>
      <ns0:c r="B1871" s="19" t="inlineStr">
        <ns0:is>
          <ns0:t>integrity_status</ns0:t>
        </ns0:is>
      </ns0:c>
      <ns0:c r="C1871" s="19" t="inlineStr"/>
      <ns0:c r="D1871" s="19" t="inlineStr">
        <ns0:is>
          <ns0:t>Not recorded</ns0:t>
        </ns0:is>
      </ns0:c>
      <ns0:c r="E1871" s="19" t="inlineStr">
        <ns0:is>
          <ns0:t>Demographic-aware sMRI CNNs with internal five-fold validation; independent-data evaluation explicitly left for future work.</ns0:t>
        </ns0:is>
      </ns0:c>
      <ns0:c r="F1871" s="19" t="inlineStr">
        <ns0:is>
          <ns0:t>https://doi.org/10.1038/s41598-026-58789-0</ns0:t>
        </ns0:is>
      </ns0:c>
      <ns0:c r="G1871" s="19" t="inlineStr">
        <ns0:is>
          <ns0:t>ChatGPT-assisted evidence recharting, 2026-09-08</ns0:t>
        </ns0:is>
      </ns0:c>
    </ns0:row>
    <ns0:row r="1872" ht="42" customHeight="1">
      <ns0:c r="A1872" s="21" t="inlineStr">
        <ns0:is>
          <ns0:t>new_321</ns0:t>
        </ns0:is>
      </ns0:c>
      <ns0:c r="B1872" s="21" t="inlineStr">
        <ns0:is>
          <ns0:t>eligibility</ns0:t>
        </ns0:is>
      </ns0:c>
      <ns0:c r="C1872" s="21" t="inlineStr">
        <ns0:is>
          <ns0:t>Include</ns0:t>
        </ns0:is>
      </ns0:c>
      <ns0:c r="D1872" s="21" t="inlineStr">
        <ns0:is>
          <ns0:t>Exclude</ns0:t>
        </ns0:is>
      </ns0:c>
      <ns0:c r="E1872" s="21" t="inlineStr">
        <ns0:is>
          <ns0:t>Publisher labels the original article retracted on 2025-12-05; retraction DOI 10.1038/s41598-025-31337-y.</ns0:t>
        </ns0:is>
      </ns0:c>
      <ns0:c r="F1872" s="21" t="inlineStr">
        <ns0:is>
          <ns0:t>https://www.nature.com/articles/s41598-025-24662-9</ns0:t>
        </ns0:is>
      </ns0:c>
      <ns0:c r="G1872" s="21" t="inlineStr">
        <ns0:is>
          <ns0:t>ChatGPT-assisted evidence recharting, 2026-09-08</ns0:t>
        </ns0:is>
      </ns0:c>
    </ns0:row>
    <ns0:row r="1873" ht="42" customHeight="1">
      <ns0:c r="A1873" s="19" t="inlineStr">
        <ns0:is>
          <ns0:t>new_321</ns0:t>
        </ns0:is>
      </ns0:c>
      <ns0:c r="B1873" s="19" t="inlineStr">
        <ns0:is>
          <ns0:t>stage_primary</ns0:t>
        </ns0:is>
      </ns0:c>
      <ns0:c r="C1873" s="19" t="inlineStr">
        <ns0:is>
          <ns0:t>Screening</ns0:t>
        </ns0:is>
      </ns0:c>
      <ns0:c r="D1873" s="19" t="inlineStr">
        <ns0:is>
          <ns0:t>Excluded</ns0:t>
        </ns0:is>
      </ns0:c>
      <ns0:c r="E1873" s="19" t="inlineStr">
        <ns0:is>
          <ns0:t>Publisher labels the original article retracted on 2025-12-05; retraction DOI 10.1038/s41598-025-31337-y.</ns0:t>
        </ns0:is>
      </ns0:c>
      <ns0:c r="F1873" s="19" t="inlineStr">
        <ns0:is>
          <ns0:t>https://www.nature.com/articles/s41598-025-24662-9</ns0:t>
        </ns0:is>
      </ns0:c>
      <ns0:c r="G1873" s="19" t="inlineStr">
        <ns0:is>
          <ns0:t>ChatGPT-assisted evidence recharting, 2026-09-08</ns0:t>
        </ns0:is>
      </ns0:c>
    </ns0:row>
    <ns0:row r="1874" ht="42" customHeight="1">
      <ns0:c r="A1874" s="21" t="inlineStr">
        <ns0:is>
          <ns0:t>new_321</ns0:t>
        </ns0:is>
      </ns0:c>
      <ns0:c r="B1874" s="21" t="inlineStr">
        <ns0:is>
          <ns0:t>ai_type</ns0:t>
        </ns0:is>
      </ns0:c>
      <ns0:c r="C1874" s="21" t="inlineStr">
        <ns0:is>
          <ns0:t>Hybrid</ns0:t>
        </ns0:is>
      </ns0:c>
      <ns0:c r="D1874" s="21" t="inlineStr">
        <ns0:is>
          <ns0:t>Excluded</ns0:t>
        </ns0:is>
      </ns0:c>
      <ns0:c r="E1874" s="21" t="inlineStr">
        <ns0:is>
          <ns0:t>Publisher labels the original article retracted on 2025-12-05; retraction DOI 10.1038/s41598-025-31337-y.</ns0:t>
        </ns0:is>
      </ns0:c>
      <ns0:c r="F1874" s="21" t="inlineStr">
        <ns0:is>
          <ns0:t>https://www.nature.com/articles/s41598-025-24662-9</ns0:t>
        </ns0:is>
      </ns0:c>
      <ns0:c r="G1874" s="21" t="inlineStr">
        <ns0:is>
          <ns0:t>ChatGPT-assisted evidence recharting, 2026-09-08</ns0:t>
        </ns0:is>
      </ns0:c>
    </ns0:row>
    <ns0:row r="1875" ht="42" customHeight="1">
      <ns0:c r="A1875" s="19" t="inlineStr">
        <ns0:is>
          <ns0:t>new_321</ns0:t>
        </ns0:is>
      </ns0:c>
      <ns0:c r="B1875" s="19" t="inlineStr">
        <ns0:is>
          <ns0:t>data_source_primary</ns0:t>
        </ns0:is>
      </ns0:c>
      <ns0:c r="C1875" s="19" t="inlineStr">
        <ns0:is>
          <ns0:t>Structured / tabular data</ns0:t>
        </ns0:is>
      </ns0:c>
      <ns0:c r="D1875" s="19" t="inlineStr">
        <ns0:is>
          <ns0:t>Excluded</ns0:t>
        </ns0:is>
      </ns0:c>
      <ns0:c r="E1875" s="19" t="inlineStr">
        <ns0:is>
          <ns0:t>Publisher labels the original article retracted on 2025-12-05; retraction DOI 10.1038/s41598-025-31337-y.</ns0:t>
        </ns0:is>
      </ns0:c>
      <ns0:c r="F1875" s="19" t="inlineStr">
        <ns0:is>
          <ns0:t>https://www.nature.com/articles/s41598-025-24662-9</ns0:t>
        </ns0:is>
      </ns0:c>
      <ns0:c r="G1875" s="19" t="inlineStr">
        <ns0:is>
          <ns0:t>ChatGPT-assisted evidence recharting, 2026-09-08</ns0:t>
        </ns0:is>
      </ns0:c>
    </ns0:row>
    <ns0:row r="1876" ht="42" customHeight="1">
      <ns0:c r="A1876" s="21" t="inlineStr">
        <ns0:is>
          <ns0:t>new_321</ns0:t>
        </ns0:is>
      </ns0:c>
      <ns0:c r="B1876" s="21" t="inlineStr">
        <ns0:is>
          <ns0:t>rq2_status</ns0:t>
        </ns0:is>
      </ns0:c>
      <ns0:c r="C1876" s="21" t="inlineStr">
        <ns0:is>
          <ns0:t>Proposed only</ns0:t>
        </ns0:is>
      </ns0:c>
      <ns0:c r="D1876" s="21" t="inlineStr">
        <ns0:is>
          <ns0:t>Excluded</ns0:t>
        </ns0:is>
      </ns0:c>
      <ns0:c r="E1876" s="21" t="inlineStr">
        <ns0:is>
          <ns0:t>Publisher labels the original article retracted on 2025-12-05; retraction DOI 10.1038/s41598-025-31337-y.</ns0:t>
        </ns0:is>
      </ns0:c>
      <ns0:c r="F1876" s="21" t="inlineStr">
        <ns0:is>
          <ns0:t>https://www.nature.com/articles/s41598-025-24662-9</ns0:t>
        </ns0:is>
      </ns0:c>
      <ns0:c r="G1876" s="21" t="inlineStr">
        <ns0:is>
          <ns0:t>ChatGPT-assisted evidence recharting, 2026-09-08</ns0:t>
        </ns0:is>
      </ns0:c>
    </ns0:row>
    <ns0:row r="1877" ht="42" customHeight="1">
      <ns0:c r="A1877" s="19" t="inlineStr">
        <ns0:is>
          <ns0:t>new_321</ns0:t>
        </ns0:is>
      </ns0:c>
      <ns0:c r="B1877" s="19" t="inlineStr">
        <ns0:is>
          <ns0:t>rq2_role</ns0:t>
        </ns0:is>
      </ns0:c>
      <ns0:c r="C1877" s="19" t="inlineStr">
        <ns0:is>
          <ns0:t>Research prototype</ns0:t>
        </ns0:is>
      </ns0:c>
      <ns0:c r="D1877" s="19" t="inlineStr">
        <ns0:is>
          <ns0:t>Excluded</ns0:t>
        </ns0:is>
      </ns0:c>
      <ns0:c r="E1877" s="19" t="inlineStr">
        <ns0:is>
          <ns0:t>Publisher labels the original article retracted on 2025-12-05; retraction DOI 10.1038/s41598-025-31337-y.</ns0:t>
        </ns0:is>
      </ns0:c>
      <ns0:c r="F1877" s="19" t="inlineStr">
        <ns0:is>
          <ns0:t>https://www.nature.com/articles/s41598-025-24662-9</ns0:t>
        </ns0:is>
      </ns0:c>
      <ns0:c r="G1877" s="19" t="inlineStr">
        <ns0:is>
          <ns0:t>ChatGPT-assisted evidence recharting, 2026-09-08</ns0:t>
        </ns0:is>
      </ns0:c>
    </ns0:row>
    <ns0:row r="1878" ht="42" customHeight="1">
      <ns0:c r="A1878" s="21" t="inlineStr">
        <ns0:is>
          <ns0:t>new_321</ns0:t>
        </ns0:is>
      </ns0:c>
      <ns0:c r="B1878" s="21" t="inlineStr">
        <ns0:is>
          <ns0:t>decision_timing</ns0:t>
        </ns0:is>
      </ns0:c>
      <ns0:c r="C1878" s="21" t="inlineStr"/>
      <ns0:c r="D1878" s="21" t="inlineStr">
        <ns0:is>
          <ns0:t>Not applicable - excluded</ns0:t>
        </ns0:is>
      </ns0:c>
      <ns0:c r="E1878" s="21" t="inlineStr">
        <ns0:is>
          <ns0:t>Publisher labels the original article retracted on 2025-12-05; retraction DOI 10.1038/s41598-025-31337-y.</ns0:t>
        </ns0:is>
      </ns0:c>
      <ns0:c r="F1878" s="21" t="inlineStr">
        <ns0:is>
          <ns0:t>https://www.nature.com/articles/s41598-025-24662-9</ns0:t>
        </ns0:is>
      </ns0:c>
      <ns0:c r="G1878" s="21" t="inlineStr">
        <ns0:is>
          <ns0:t>ChatGPT-assisted evidence recharting, 2026-09-08</ns0:t>
        </ns0:is>
      </ns0:c>
    </ns0:row>
    <ns0:row r="1879" ht="42" customHeight="1">
      <ns0:c r="A1879" s="19" t="inlineStr">
        <ns0:is>
          <ns0:t>new_321</ns0:t>
        </ns0:is>
      </ns0:c>
      <ns0:c r="B1879" s="19" t="inlineStr">
        <ns0:is>
          <ns0:t>integrity_status</ns0:t>
        </ns0:is>
      </ns0:c>
      <ns0:c r="C1879" s="19" t="inlineStr"/>
      <ns0:c r="D1879" s="19" t="inlineStr">
        <ns0:is>
          <ns0:t>Retracted; verified 2026-09-08</ns0:t>
        </ns0:is>
      </ns0:c>
      <ns0:c r="E1879" s="19" t="inlineStr">
        <ns0:is>
          <ns0:t>Publisher labels the original article retracted on 2025-12-05; retraction DOI 10.1038/s41598-025-31337-y.</ns0:t>
        </ns0:is>
      </ns0:c>
      <ns0:c r="F1879" s="19" t="inlineStr">
        <ns0:is>
          <ns0:t>https://www.nature.com/articles/s41598-025-24662-9</ns0:t>
        </ns0:is>
      </ns0:c>
      <ns0:c r="G1879" s="19" t="inlineStr">
        <ns0:is>
          <ns0:t>ChatGPT-assisted evidence recharting, 2026-09-08</ns0:t>
        </ns0:is>
      </ns0:c>
    </ns0:row>
    <ns0:row r="1880" ht="42" customHeight="1">
      <ns0:c r="A1880" s="21" t="inlineStr">
        <ns0:is>
          <ns0:t>new_331</ns0:t>
        </ns0:is>
      </ns0:c>
      <ns0:c r="B1880" s="21" t="inlineStr">
        <ns0:is>
          <ns0:t>eligibility</ns0:t>
        </ns0:is>
      </ns0:c>
      <ns0:c r="C1880" s="21" t="inlineStr">
        <ns0:is>
          <ns0:t>Include</ns0:t>
        </ns0:is>
      </ns0:c>
      <ns0:c r="D1880" s="21" t="inlineStr">
        <ns0:is>
          <ns0:t>Exclude</ns0:t>
        </ns0:is>
      </ns0:c>
      <ns0:c r="E1880" s="21" t="inlineStr">
        <ns0:is>
          <ns0:t>The PLOS One Editors retracted the original DOI 10.1371/journal.pone.0339921 on 27 July 2026 over result reliability and policy concerns. This is a primary notice, not a title-based integrity suspicion.</ns0:t>
        </ns0:is>
      </ns0:c>
      <ns0:c r="F1880" s="21" t="inlineStr">
        <ns0:is>
          <ns0:t>https://journals.plos.org/plosone/article?id=10.1371/journal.pone.0354652</ns0:t>
        </ns0:is>
      </ns0:c>
      <ns0:c r="G1880" s="21" t="inlineStr">
        <ns0:is>
          <ns0:t>ChatGPT-assisted evidence recharting, 2026-09-08</ns0:t>
        </ns0:is>
      </ns0:c>
    </ns0:row>
    <ns0:row r="1881" ht="42" customHeight="1">
      <ns0:c r="A1881" s="19" t="inlineStr">
        <ns0:is>
          <ns0:t>new_331</ns0:t>
        </ns0:is>
      </ns0:c>
      <ns0:c r="B1881" s="19" t="inlineStr">
        <ns0:is>
          <ns0:t>stage_primary</ns0:t>
        </ns0:is>
      </ns0:c>
      <ns0:c r="C1881" s="19" t="inlineStr">
        <ns0:is>
          <ns0:t>Diagnosis</ns0:t>
        </ns0:is>
      </ns0:c>
      <ns0:c r="D1881" s="19" t="inlineStr">
        <ns0:is>
          <ns0:t>Excluded</ns0:t>
        </ns0:is>
      </ns0:c>
      <ns0:c r="E1881" s="19" t="inlineStr">
        <ns0:is>
          <ns0:t>The PLOS One Editors retracted the original DOI 10.1371/journal.pone.0339921 on 27 July 2026 over result reliability and policy concerns. This is a primary notice, not a title-based integrity suspicion.</ns0:t>
        </ns0:is>
      </ns0:c>
      <ns0:c r="F1881" s="19" t="inlineStr">
        <ns0:is>
          <ns0:t>https://journals.plos.org/plosone/article?id=10.1371/journal.pone.0354652</ns0:t>
        </ns0:is>
      </ns0:c>
      <ns0:c r="G1881" s="19" t="inlineStr">
        <ns0:is>
          <ns0:t>ChatGPT-assisted evidence recharting, 2026-09-08</ns0:t>
        </ns0:is>
      </ns0:c>
    </ns0:row>
    <ns0:row r="1882" ht="42" customHeight="1">
      <ns0:c r="A1882" s="21" t="inlineStr">
        <ns0:is>
          <ns0:t>new_331</ns0:t>
        </ns0:is>
      </ns0:c>
      <ns0:c r="B1882" s="21" t="inlineStr">
        <ns0:is>
          <ns0:t>ai_type</ns0:t>
        </ns0:is>
      </ns0:c>
      <ns0:c r="C1882" s="21" t="inlineStr">
        <ns0:is>
          <ns0:t>Deep Learning</ns0:t>
        </ns0:is>
      </ns0:c>
      <ns0:c r="D1882" s="21" t="inlineStr">
        <ns0:is>
          <ns0:t>Excluded</ns0:t>
        </ns0:is>
      </ns0:c>
      <ns0:c r="E1882" s="21" t="inlineStr">
        <ns0:is>
          <ns0:t>The PLOS One Editors retracted the original DOI 10.1371/journal.pone.0339921 on 27 July 2026 over result reliability and policy concerns. This is a primary notice, not a title-based integrity suspicion.</ns0:t>
        </ns0:is>
      </ns0:c>
      <ns0:c r="F1882" s="21" t="inlineStr">
        <ns0:is>
          <ns0:t>https://journals.plos.org/plosone/article?id=10.1371/journal.pone.0354652</ns0:t>
        </ns0:is>
      </ns0:c>
      <ns0:c r="G1882" s="21" t="inlineStr">
        <ns0:is>
          <ns0:t>ChatGPT-assisted evidence recharting, 2026-09-08</ns0:t>
        </ns0:is>
      </ns0:c>
    </ns0:row>
    <ns0:row r="1883" ht="42" customHeight="1">
      <ns0:c r="A1883" s="19" t="inlineStr">
        <ns0:is>
          <ns0:t>new_331</ns0:t>
        </ns0:is>
      </ns0:c>
      <ns0:c r="B1883" s="19" t="inlineStr">
        <ns0:is>
          <ns0:t>data_source_primary</ns0:t>
        </ns0:is>
      </ns0:c>
      <ns0:c r="C1883" s="19" t="inlineStr">
        <ns0:is>
          <ns0:t>Neuroimaging</ns0:t>
        </ns0:is>
      </ns0:c>
      <ns0:c r="D1883" s="19" t="inlineStr">
        <ns0:is>
          <ns0:t>Excluded</ns0:t>
        </ns0:is>
      </ns0:c>
      <ns0:c r="E1883" s="19" t="inlineStr">
        <ns0:is>
          <ns0:t>The PLOS One Editors retracted the original DOI 10.1371/journal.pone.0339921 on 27 July 2026 over result reliability and policy concerns. This is a primary notice, not a title-based integrity suspicion.</ns0:t>
        </ns0:is>
      </ns0:c>
      <ns0:c r="F1883" s="19" t="inlineStr">
        <ns0:is>
          <ns0:t>https://journals.plos.org/plosone/article?id=10.1371/journal.pone.0354652</ns0:t>
        </ns0:is>
      </ns0:c>
      <ns0:c r="G1883" s="19" t="inlineStr">
        <ns0:is>
          <ns0:t>ChatGPT-assisted evidence recharting, 2026-09-08</ns0:t>
        </ns0:is>
      </ns0:c>
    </ns0:row>
    <ns0:row r="1884" ht="42" customHeight="1">
      <ns0:c r="A1884" s="21" t="inlineStr">
        <ns0:is>
          <ns0:t>new_331</ns0:t>
        </ns0:is>
      </ns0:c>
      <ns0:c r="B1884" s="21" t="inlineStr">
        <ns0:is>
          <ns0:t>rq2_status</ns0:t>
        </ns0:is>
      </ns0:c>
      <ns0:c r="C1884" s="21" t="inlineStr">
        <ns0:is>
          <ns0:t>Research only</ns0:t>
        </ns0:is>
      </ns0:c>
      <ns0:c r="D1884" s="21" t="inlineStr">
        <ns0:is>
          <ns0:t>Excluded</ns0:t>
        </ns0:is>
      </ns0:c>
      <ns0:c r="E1884" s="21" t="inlineStr">
        <ns0:is>
          <ns0:t>The PLOS One Editors retracted the original DOI 10.1371/journal.pone.0339921 on 27 July 2026 over result reliability and policy concerns. This is a primary notice, not a title-based integrity suspicion.</ns0:t>
        </ns0:is>
      </ns0:c>
      <ns0:c r="F1884" s="21" t="inlineStr">
        <ns0:is>
          <ns0:t>https://journals.plos.org/plosone/article?id=10.1371/journal.pone.0354652</ns0:t>
        </ns0:is>
      </ns0:c>
      <ns0:c r="G1884" s="21" t="inlineStr">
        <ns0:is>
          <ns0:t>ChatGPT-assisted evidence recharting, 2026-09-08</ns0:t>
        </ns0:is>
      </ns0:c>
    </ns0:row>
    <ns0:row r="1885" ht="42" customHeight="1">
      <ns0:c r="A1885" s="19" t="inlineStr">
        <ns0:is>
          <ns0:t>new_331</ns0:t>
        </ns0:is>
      </ns0:c>
      <ns0:c r="B1885" s="19" t="inlineStr">
        <ns0:is>
          <ns0:t>rq2_role</ns0:t>
        </ns0:is>
      </ns0:c>
      <ns0:c r="C1885" s="19" t="inlineStr">
        <ns0:is>
          <ns0:t>Retrospective fMRI model</ns0:t>
        </ns0:is>
      </ns0:c>
      <ns0:c r="D1885" s="19" t="inlineStr">
        <ns0:is>
          <ns0:t>Excluded</ns0:t>
        </ns0:is>
      </ns0:c>
      <ns0:c r="E1885" s="19" t="inlineStr">
        <ns0:is>
          <ns0:t>The PLOS One Editors retracted the original DOI 10.1371/journal.pone.0339921 on 27 July 2026 over result reliability and policy concerns. This is a primary notice, not a title-based integrity suspicion.</ns0:t>
        </ns0:is>
      </ns0:c>
      <ns0:c r="F1885" s="19" t="inlineStr">
        <ns0:is>
          <ns0:t>https://journals.plos.org/plosone/article?id=10.1371/journal.pone.0354652</ns0:t>
        </ns0:is>
      </ns0:c>
      <ns0:c r="G1885" s="19" t="inlineStr">
        <ns0:is>
          <ns0:t>ChatGPT-assisted evidence recharting, 2026-09-08</ns0:t>
        </ns0:is>
      </ns0:c>
    </ns0:row>
    <ns0:row r="1886" ht="42" customHeight="1">
      <ns0:c r="A1886" s="21" t="inlineStr">
        <ns0:is>
          <ns0:t>new_331</ns0:t>
        </ns0:is>
      </ns0:c>
      <ns0:c r="B1886" s="21" t="inlineStr">
        <ns0:is>
          <ns0:t>decision_timing</ns0:t>
        </ns0:is>
      </ns0:c>
      <ns0:c r="C1886" s="21" t="inlineStr"/>
      <ns0:c r="D1886" s="21" t="inlineStr">
        <ns0:is>
          <ns0:t>Not applicable - excluded</ns0:t>
        </ns0:is>
      </ns0:c>
      <ns0:c r="E1886" s="21" t="inlineStr">
        <ns0:is>
          <ns0:t>The PLOS One Editors retracted the original DOI 10.1371/journal.pone.0339921 on 27 July 2026 over result reliability and policy concerns. This is a primary notice, not a title-based integrity suspicion.</ns0:t>
        </ns0:is>
      </ns0:c>
      <ns0:c r="F1886" s="21" t="inlineStr">
        <ns0:is>
          <ns0:t>https://journals.plos.org/plosone/article?id=10.1371/journal.pone.0354652</ns0:t>
        </ns0:is>
      </ns0:c>
      <ns0:c r="G1886" s="21" t="inlineStr">
        <ns0:is>
          <ns0:t>ChatGPT-assisted evidence recharting, 2026-09-08</ns0:t>
        </ns0:is>
      </ns0:c>
    </ns0:row>
    <ns0:row r="1887" ht="42" customHeight="1">
      <ns0:c r="A1887" s="19" t="inlineStr">
        <ns0:is>
          <ns0:t>new_331</ns0:t>
        </ns0:is>
      </ns0:c>
      <ns0:c r="B1887" s="19" t="inlineStr">
        <ns0:is>
          <ns0:t>integrity_status</ns0:t>
        </ns0:is>
      </ns0:c>
      <ns0:c r="C1887" s="19" t="inlineStr"/>
      <ns0:c r="D1887" s="19" t="inlineStr">
        <ns0:is>
          <ns0:t>Retracted</ns0:t>
        </ns0:is>
      </ns0:c>
      <ns0:c r="E1887" s="19" t="inlineStr">
        <ns0:is>
          <ns0:t>The PLOS One Editors retracted the original DOI 10.1371/journal.pone.0339921 on 27 July 2026 over result reliability and policy concerns. This is a primary notice, not a title-based integrity suspicion.</ns0:t>
        </ns0:is>
      </ns0:c>
      <ns0:c r="F1887" s="19" t="inlineStr">
        <ns0:is>
          <ns0:t>https://journals.plos.org/plosone/article?id=10.1371/journal.pone.0354652</ns0:t>
        </ns0:is>
      </ns0:c>
      <ns0:c r="G1887" s="19" t="inlineStr">
        <ns0:is>
          <ns0:t>ChatGPT-assisted evidence recharting, 2026-09-08</ns0:t>
        </ns0:is>
      </ns0:c>
    </ns0:row>
    <ns0:row r="1888" ht="42" customHeight="1">
      <ns0:c r="A1888" s="21" t="inlineStr">
        <ns0:is>
          <ns0:t>new_335</ns0:t>
        </ns0:is>
      </ns0:c>
      <ns0:c r="B1888" s="21" t="inlineStr">
        <ns0:is>
          <ns0:t>algorithm_main</ns0:t>
        </ns0:is>
      </ns0:c>
      <ns0:c r="C1888" s="21" t="inlineStr">
        <ns0:is>
          <ns0:t>Frequency-domain connectivity classifiers</ns0:t>
        </ns0:is>
      </ns0:c>
      <ns0:c r="D1888" s="21" t="inlineStr">
        <ns0:is>
          <ns0:t>Frequency-domain classifiers; family unspecified</ns0:t>
        </ns0:is>
      </ns0:c>
      <ns0:c r="E1888" s="21" t="inlineStr">
        <ns0:is>
          <ns0:t>Frequency-domain rs-fMRI offline classifier; CAD motivation does not establish clinical use.</ns0:t>
        </ns0:is>
      </ns0:c>
      <ns0:c r="F1888" s="21" t="inlineStr">
        <ns0:is>
          <ns0:t>https://doi.org/10.1007/s12021-026-09782-5</ns0:t>
        </ns0:is>
      </ns0:c>
      <ns0:c r="G1888" s="21" t="inlineStr">
        <ns0:is>
          <ns0:t>ChatGPT-assisted evidence recharting, 2026-09-08</ns0:t>
        </ns0:is>
      </ns0:c>
    </ns0:row>
    <ns0:row r="1889" ht="42" customHeight="1">
      <ns0:c r="A1889" s="19" t="inlineStr">
        <ns0:is>
          <ns0:t>new_335</ns0:t>
        </ns0:is>
      </ns0:c>
      <ns0:c r="B1889" s="19" t="inlineStr">
        <ns0:is>
          <ns0:t>rq2_role</ns0:t>
        </ns0:is>
      </ns0:c>
      <ns0:c r="C1889" s="19" t="inlineStr">
        <ns0:is>
          <ns0:t>Retrospective fMRI model</ns0:t>
        </ns0:is>
      </ns0:c>
      <ns0:c r="D1889" s="19" t="inlineStr">
        <ns0:is>
          <ns0:t>Automated measurement/classification</ns0:t>
        </ns0:is>
      </ns0:c>
      <ns0:c r="E1889" s="19" t="inlineStr">
        <ns0:is>
          <ns0:t>Frequency-domain rs-fMRI offline classifier; CAD motivation does not establish clinical use.</ns0:t>
        </ns0:is>
      </ns0:c>
      <ns0:c r="F1889" s="19" t="inlineStr">
        <ns0:is>
          <ns0:t>https://doi.org/10.1007/s12021-026-09782-5</ns0:t>
        </ns0:is>
      </ns0:c>
      <ns0:c r="G1889" s="19" t="inlineStr">
        <ns0:is>
          <ns0:t>ChatGPT-assisted evidence recharting, 2026-09-08</ns0:t>
        </ns0:is>
      </ns0:c>
    </ns0:row>
    <ns0:row r="1890" ht="42" customHeight="1">
      <ns0:c r="A1890" s="21" t="inlineStr">
        <ns0:is>
          <ns0:t>new_335</ns0:t>
        </ns0:is>
      </ns0:c>
      <ns0:c r="B1890" s="21" t="inlineStr">
        <ns0:is>
          <ns0:t>decision_timing</ns0:t>
        </ns0:is>
      </ns0:c>
      <ns0:c r="C1890" s="21" t="inlineStr"/>
      <ns0:c r="D1890" s="21" t="inlineStr">
        <ns0:is>
          <ns0:t>Not observed in assessed sources</ns0:t>
        </ns0:is>
      </ns0:c>
      <ns0:c r="E1890" s="21" t="inlineStr">
        <ns0:is>
          <ns0:t>Frequency-domain rs-fMRI offline classifier; CAD motivation does not establish clinical use.</ns0:t>
        </ns0:is>
      </ns0:c>
      <ns0:c r="F1890" s="21" t="inlineStr">
        <ns0:is>
          <ns0:t>https://doi.org/10.1007/s12021-026-09782-5</ns0:t>
        </ns0:is>
      </ns0:c>
      <ns0:c r="G1890" s="21" t="inlineStr">
        <ns0:is>
          <ns0:t>ChatGPT-assisted evidence recharting, 2026-09-08</ns0:t>
        </ns0:is>
      </ns0:c>
    </ns0:row>
    <ns0:row r="1891" ht="42" customHeight="1">
      <ns0:c r="A1891" s="19" t="inlineStr">
        <ns0:is>
          <ns0:t>new_335</ns0:t>
        </ns0:is>
      </ns0:c>
      <ns0:c r="B1891" s="19" t="inlineStr">
        <ns0:is>
          <ns0:t>integrity_status</ns0:t>
        </ns0:is>
      </ns0:c>
      <ns0:c r="C1891" s="19" t="inlineStr"/>
      <ns0:c r="D1891" s="19" t="inlineStr">
        <ns0:is>
          <ns0:t>Not recorded</ns0:t>
        </ns0:is>
      </ns0:c>
      <ns0:c r="E1891" s="19" t="inlineStr">
        <ns0:is>
          <ns0:t>Frequency-domain rs-fMRI offline classifier; CAD motivation does not establish clinical use.</ns0:t>
        </ns0:is>
      </ns0:c>
      <ns0:c r="F1891" s="19" t="inlineStr">
        <ns0:is>
          <ns0:t>https://doi.org/10.1007/s12021-026-09782-5</ns0:t>
        </ns0:is>
      </ns0:c>
      <ns0:c r="G1891" s="19" t="inlineStr">
        <ns0:is>
          <ns0:t>ChatGPT-assisted evidence recharting, 2026-09-08</ns0:t>
        </ns0:is>
      </ns0:c>
    </ns0:row>
    <ns0:row r="1892" ht="42" customHeight="1">
      <ns0:c r="A1892" s="21" t="inlineStr">
        <ns0:is>
          <ns0:t>new_352</ns0:t>
        </ns0:is>
      </ns0:c>
      <ns0:c r="B1892" s="21" t="inlineStr">
        <ns0:is>
          <ns0:t>algorithm_main</ns0:t>
        </ns0:is>
      </ns0:c>
      <ns0:c r="C1892" s="21" t="inlineStr">
        <ns0:is>
          <ns0:t>Kulczynski + KNN/XGBoost/RF/SVM/DT</ns0:t>
        </ns0:is>
      </ns0:c>
      <ns0:c r="D1892" s="21" t="inlineStr">
        <ns0:is>
          <ns0:t>Multiple classifiers; no single primary family</ns0:t>
        </ns0:is>
      </ns0:c>
      <ns0:c r="E1892" s="21" t="inlineStr">
        <ns0:is>
          <ns0:t>Fog/cloud diagnostic architecture proposed; feature selection alone does not demonstrate model explanation.</ns0:t>
        </ns0:is>
      </ns0:c>
      <ns0:c r="F1892" s="21" t="inlineStr">
        <ns0:is>
          <ns0:t>https://doi.org/10.1007/s41870-025-02987-y</ns0:t>
        </ns0:is>
      </ns0:c>
      <ns0:c r="G1892" s="21" t="inlineStr">
        <ns0:is>
          <ns0:t>ChatGPT-assisted evidence recharting, 2026-09-08</ns0:t>
        </ns0:is>
      </ns0:c>
    </ns0:row>
    <ns0:row r="1893" ht="42" customHeight="1">
      <ns0:c r="A1893" s="19" t="inlineStr">
        <ns0:is>
          <ns0:t>new_352</ns0:t>
        </ns0:is>
      </ns0:c>
      <ns0:c r="B1893" s="19" t="inlineStr">
        <ns0:is>
          <ns0:t>rq2_role</ns0:t>
        </ns0:is>
      </ns0:c>
      <ns0:c r="C1893" s="19" t="inlineStr">
        <ns0:is>
          <ns0:t>Prospective diagnostic-system research</ns0:t>
        </ns0:is>
      </ns0:c>
      <ns0:c r="D1893" s="19" t="inlineStr">
        <ns0:is>
          <ns0:t>Diagnostic decision support</ns0:t>
        </ns0:is>
      </ns0:c>
      <ns0:c r="E1893" s="19" t="inlineStr">
        <ns0:is>
          <ns0:t>Fog/cloud diagnostic architecture proposed; feature selection alone does not demonstrate model explanation.</ns0:t>
        </ns0:is>
      </ns0:c>
      <ns0:c r="F1893" s="19" t="inlineStr">
        <ns0:is>
          <ns0:t>https://doi.org/10.1007/s41870-025-02987-y</ns0:t>
        </ns0:is>
      </ns0:c>
      <ns0:c r="G1893" s="19" t="inlineStr">
        <ns0:is>
          <ns0:t>ChatGPT-assisted evidence recharting, 2026-09-08</ns0:t>
        </ns0:is>
      </ns0:c>
    </ns0:row>
    <ns0:row r="1894" ht="42" customHeight="1">
      <ns0:c r="A1894" s="21" t="inlineStr">
        <ns0:is>
          <ns0:t>new_352</ns0:t>
        </ns0:is>
      </ns0:c>
      <ns0:c r="B1894" s="21" t="inlineStr">
        <ns0:is>
          <ns0:t>decision_timing</ns0:t>
        </ns0:is>
      </ns0:c>
      <ns0:c r="C1894" s="21" t="inlineStr"/>
      <ns0:c r="D1894" s="21" t="inlineStr">
        <ns0:is>
          <ns0:t>In-decision</ns0:t>
        </ns0:is>
      </ns0:c>
      <ns0:c r="E1894" s="21" t="inlineStr">
        <ns0:is>
          <ns0:t>Fog/cloud diagnostic architecture proposed; feature selection alone does not demonstrate model explanation.</ns0:t>
        </ns0:is>
      </ns0:c>
      <ns0:c r="F1894" s="21" t="inlineStr">
        <ns0:is>
          <ns0:t>https://doi.org/10.1007/s41870-025-02987-y</ns0:t>
        </ns0:is>
      </ns0:c>
      <ns0:c r="G1894" s="21" t="inlineStr">
        <ns0:is>
          <ns0:t>ChatGPT-assisted evidence recharting, 2026-09-08</ns0:t>
        </ns0:is>
      </ns0:c>
    </ns0:row>
    <ns0:row r="1895" ht="42" customHeight="1">
      <ns0:c r="A1895" s="19" t="inlineStr">
        <ns0:is>
          <ns0:t>new_352</ns0:t>
        </ns0:is>
      </ns0:c>
      <ns0:c r="B1895" s="19" t="inlineStr">
        <ns0:is>
          <ns0:t>xai_partial</ns0:t>
        </ns0:is>
      </ns0:c>
      <ns0:c r="C1895" s="19" t="inlineStr">
        <ns0:is>
          <ns0:t>Reported</ns0:t>
        </ns0:is>
      </ns0:c>
      <ns0:c r="D1895" s="19" t="inlineStr">
        <ns0:is>
          <ns0:t>Not ascertainable</ns0:t>
        </ns0:is>
      </ns0:c>
      <ns0:c r="E1895" s="19" t="inlineStr">
        <ns0:is>
          <ns0:t>Fog/cloud diagnostic architecture proposed; feature selection alone does not demonstrate model explanation.</ns0:t>
        </ns0:is>
      </ns0:c>
      <ns0:c r="F1895" s="19" t="inlineStr">
        <ns0:is>
          <ns0:t>https://doi.org/10.1007/s41870-025-02987-y</ns0:t>
        </ns0:is>
      </ns0:c>
      <ns0:c r="G1895" s="19" t="inlineStr">
        <ns0:is>
          <ns0:t>ChatGPT-assisted evidence recharting, 2026-09-08</ns0:t>
        </ns0:is>
      </ns0:c>
    </ns0:row>
    <ns0:row r="1896" ht="42" customHeight="1">
      <ns0:c r="A1896" s="21" t="inlineStr">
        <ns0:is>
          <ns0:t>new_352</ns0:t>
        </ns0:is>
      </ns0:c>
      <ns0:c r="B1896" s="21" t="inlineStr">
        <ns0:is>
          <ns0:t>integrity_status</ns0:t>
        </ns0:is>
      </ns0:c>
      <ns0:c r="C1896" s="21" t="inlineStr"/>
      <ns0:c r="D1896" s="21" t="inlineStr">
        <ns0:is>
          <ns0:t>Not recorded</ns0:t>
        </ns0:is>
      </ns0:c>
      <ns0:c r="E1896" s="21" t="inlineStr">
        <ns0:is>
          <ns0:t>Fog/cloud diagnostic architecture proposed; feature selection alone does not demonstrate model explanation.</ns0:t>
        </ns0:is>
      </ns0:c>
      <ns0:c r="F1896" s="21" t="inlineStr">
        <ns0:is>
          <ns0:t>https://doi.org/10.1007/s41870-025-02987-y</ns0:t>
        </ns0:is>
      </ns0:c>
      <ns0:c r="G1896" s="21" t="inlineStr">
        <ns0:is>
          <ns0:t>ChatGPT-assisted evidence recharting, 2026-09-08</ns0:t>
        </ns0:is>
      </ns0:c>
    </ns0:row>
    <ns0:row r="1897" ht="42" customHeight="1">
      <ns0:c r="A1897" s="19" t="inlineStr">
        <ns0:is>
          <ns0:t>new_359</ns0:t>
        </ns0:is>
      </ns0:c>
      <ns0:c r="B1897" s="19" t="inlineStr">
        <ns0:is>
          <ns0:t>data_source_primary</ns0:t>
        </ns0:is>
      </ns0:c>
      <ns0:c r="C1897" s="19" t="inlineStr">
        <ns0:is>
          <ns0:t>Structured / tabular data</ns0:t>
        </ns0:is>
      </ns0:c>
      <ns0:c r="D1897" s="19" t="inlineStr">
        <ns0:is>
          <ns0:t>Structured clinical/questionnaire data</ns0:t>
        </ns0:is>
      </ns0:c>
      <ns0:c r="E1897" s="19" t="inlineStr">
        <ns0:is>
          <ns0:t>Federated simulation with artificial clients; not observed multisite clinical evaluation or demonstrated privacy guarantee.</ns0:t>
        </ns0:is>
      </ns0:c>
      <ns0:c r="F1897" s="19" t="inlineStr">
        <ns0:is>
          <ns0:t>https://doi.org/10.1007/s44163-026-01103-8</ns0:t>
        </ns0:is>
      </ns0:c>
      <ns0:c r="G1897" s="19" t="inlineStr">
        <ns0:is>
          <ns0:t>ChatGPT-assisted evidence recharting, 2026-09-08</ns0:t>
        </ns0:is>
      </ns0:c>
    </ns0:row>
    <ns0:row r="1898" ht="42" customHeight="1">
      <ns0:c r="A1898" s="21" t="inlineStr">
        <ns0:is>
          <ns0:t>new_359</ns0:t>
        </ns0:is>
      </ns0:c>
      <ns0:c r="B1898" s="21" t="inlineStr">
        <ns0:is>
          <ns0:t>algorithm_main</ns0:t>
        </ns0:is>
      </ns0:c>
      <ns0:c r="C1898" s="21" t="inlineStr">
        <ns0:is>
          <ns0:t>Federated stacking + federated deep network</ns0:t>
        </ns0:is>
      </ns0:c>
      <ns0:c r="D1898" s="21" t="inlineStr">
        <ns0:is>
          <ns0:t>Federated stacking and deep network</ns0:t>
        </ns0:is>
      </ns0:c>
      <ns0:c r="E1898" s="21" t="inlineStr">
        <ns0:is>
          <ns0:t>Federated simulation with artificial clients; not observed multisite clinical evaluation or demonstrated privacy guarantee.</ns0:t>
        </ns0:is>
      </ns0:c>
      <ns0:c r="F1898" s="21" t="inlineStr">
        <ns0:is>
          <ns0:t>https://doi.org/10.1007/s44163-026-01103-8</ns0:t>
        </ns0:is>
      </ns0:c>
      <ns0:c r="G1898" s="21" t="inlineStr">
        <ns0:is>
          <ns0:t>ChatGPT-assisted evidence recharting, 2026-09-08</ns0:t>
        </ns0:is>
      </ns0:c>
    </ns0:row>
    <ns0:row r="1899" ht="42" customHeight="1">
      <ns0:c r="A1899" s="19" t="inlineStr">
        <ns0:is>
          <ns0:t>new_359</ns0:t>
        </ns0:is>
      </ns0:c>
      <ns0:c r="B1899" s="19" t="inlineStr">
        <ns0:is>
          <ns0:t>rq2_role</ns0:t>
        </ns0:is>
      </ns0:c>
      <ns0:c r="C1899" s="19" t="inlineStr">
        <ns0:is>
          <ns0:t>Federated-learning simulation</ns0:t>
        </ns0:is>
      </ns0:c>
      <ns0:c r="D1899" s="19" t="inlineStr">
        <ns0:is>
          <ns0:t>Triage/questionnaire assessment</ns0:t>
        </ns0:is>
      </ns0:c>
      <ns0:c r="E1899" s="19" t="inlineStr">
        <ns0:is>
          <ns0:t>Federated simulation with artificial clients; not observed multisite clinical evaluation or demonstrated privacy guarantee.</ns0:t>
        </ns0:is>
      </ns0:c>
      <ns0:c r="F1899" s="19" t="inlineStr">
        <ns0:is>
          <ns0:t>https://doi.org/10.1007/s44163-026-01103-8</ns0:t>
        </ns0:is>
      </ns0:c>
      <ns0:c r="G1899" s="19" t="inlineStr">
        <ns0:is>
          <ns0:t>ChatGPT-assisted evidence recharting, 2026-09-08</ns0:t>
        </ns0:is>
      </ns0:c>
    </ns0:row>
    <ns0:row r="1900" ht="42" customHeight="1">
      <ns0:c r="A1900" s="21" t="inlineStr">
        <ns0:is>
          <ns0:t>new_359</ns0:t>
        </ns0:is>
      </ns0:c>
      <ns0:c r="B1900" s="21" t="inlineStr">
        <ns0:is>
          <ns0:t>decision_timing</ns0:t>
        </ns0:is>
      </ns0:c>
      <ns0:c r="C1900" s="21" t="inlineStr"/>
      <ns0:c r="D1900" s="21" t="inlineStr">
        <ns0:is>
          <ns0:t>Pre-decision</ns0:t>
        </ns0:is>
      </ns0:c>
      <ns0:c r="E1900" s="21" t="inlineStr">
        <ns0:is>
          <ns0:t>Federated simulation with artificial clients; not observed multisite clinical evaluation or demonstrated privacy guarantee.</ns0:t>
        </ns0:is>
      </ns0:c>
      <ns0:c r="F1900" s="21" t="inlineStr">
        <ns0:is>
          <ns0:t>https://doi.org/10.1007/s44163-026-01103-8</ns0:t>
        </ns0:is>
      </ns0:c>
      <ns0:c r="G1900" s="21" t="inlineStr">
        <ns0:is>
          <ns0:t>ChatGPT-assisted evidence recharting, 2026-09-08</ns0:t>
        </ns0:is>
      </ns0:c>
    </ns0:row>
    <ns0:row r="1901" ht="42" customHeight="1">
      <ns0:c r="A1901" s="19" t="inlineStr">
        <ns0:is>
          <ns0:t>new_359</ns0:t>
        </ns0:is>
      </ns0:c>
      <ns0:c r="B1901" s="19" t="inlineStr">
        <ns0:is>
          <ns0:t>xai_partial</ns0:t>
        </ns0:is>
      </ns0:c>
      <ns0:c r="C1901" s="19" t="inlineStr">
        <ns0:is>
          <ns0:t>Reported</ns0:t>
        </ns0:is>
      </ns0:c>
      <ns0:c r="D1901" s="19" t="inlineStr">
        <ns0:is>
          <ns0:t>Not ascertainable</ns0:t>
        </ns0:is>
      </ns0:c>
      <ns0:c r="E1901" s="19" t="inlineStr">
        <ns0:is>
          <ns0:t>Federated simulation with artificial clients; not observed multisite clinical evaluation or demonstrated privacy guarantee.</ns0:t>
        </ns0:is>
      </ns0:c>
      <ns0:c r="F1901" s="19" t="inlineStr">
        <ns0:is>
          <ns0:t>https://doi.org/10.1007/s44163-026-01103-8</ns0:t>
        </ns0:is>
      </ns0:c>
      <ns0:c r="G1901" s="19" t="inlineStr">
        <ns0:is>
          <ns0:t>ChatGPT-assisted evidence recharting, 2026-09-08</ns0:t>
        </ns0:is>
      </ns0:c>
    </ns0:row>
    <ns0:row r="1902" ht="42" customHeight="1">
      <ns0:c r="A1902" s="21" t="inlineStr">
        <ns0:is>
          <ns0:t>new_359</ns0:t>
        </ns0:is>
      </ns0:c>
      <ns0:c r="B1902" s="21" t="inlineStr">
        <ns0:is>
          <ns0:t>integrity_status</ns0:t>
        </ns0:is>
      </ns0:c>
      <ns0:c r="C1902" s="21" t="inlineStr"/>
      <ns0:c r="D1902" s="21" t="inlineStr">
        <ns0:is>
          <ns0:t>Not recorded</ns0:t>
        </ns0:is>
      </ns0:c>
      <ns0:c r="E1902" s="21" t="inlineStr">
        <ns0:is>
          <ns0:t>Federated simulation with artificial clients; not observed multisite clinical evaluation or demonstrated privacy guarantee.</ns0:t>
        </ns0:is>
      </ns0:c>
      <ns0:c r="F1902" s="21" t="inlineStr">
        <ns0:is>
          <ns0:t>https://doi.org/10.1007/s44163-026-01103-8</ns0:t>
        </ns0:is>
      </ns0:c>
      <ns0:c r="G1902" s="21" t="inlineStr">
        <ns0:is>
          <ns0:t>ChatGPT-assisted evidence recharting, 2026-09-08</ns0:t>
        </ns0:is>
      </ns0:c>
    </ns0:row>
    <ns0:row r="1903" ht="42" customHeight="1">
      <ns0:c r="A1903" s="19" t="inlineStr">
        <ns0:is>
          <ns0:t>new_372</ns0:t>
        </ns0:is>
      </ns0:c>
      <ns0:c r="B1903" s="19" t="inlineStr">
        <ns0:is>
          <ns0:t>ai_type</ns0:t>
        </ns0:is>
      </ns0:c>
      <ns0:c r="C1903" s="19" t="inlineStr">
        <ns0:is>
          <ns0:t>Hybrid</ns0:t>
        </ns0:is>
      </ns0:c>
      <ns0:c r="D1903" s="19" t="inlineStr">
        <ns0:is>
          <ns0:t>Deep Learning</ns0:t>
        </ns0:is>
      </ns0:c>
      <ns0:c r="E1903" s="19" t="inlineStr">
        <ns0:is>
          <ns0:t>Screening model uses ADI-R phenotypes; transcriptomic subgroup characterization is secondary, not necessarily joint predictive input.</ns0:t>
        </ns0:is>
      </ns0:c>
      <ns0:c r="F1903" s="19" t="inlineStr">
        <ns0:is>
          <ns0:t>https://doi.org/10.1038/s41598-025-95291-5</ns0:t>
        </ns0:is>
      </ns0:c>
      <ns0:c r="G1903" s="19" t="inlineStr">
        <ns0:is>
          <ns0:t>ChatGPT-assisted evidence recharting, 2026-09-08</ns0:t>
        </ns0:is>
      </ns0:c>
    </ns0:row>
    <ns0:row r="1904" ht="42" customHeight="1">
      <ns0:c r="A1904" s="21" t="inlineStr">
        <ns0:is>
          <ns0:t>new_372</ns0:t>
        </ns0:is>
      </ns0:c>
      <ns0:c r="B1904" s="21" t="inlineStr">
        <ns0:is>
          <ns0:t>data_source_primary</ns0:t>
        </ns0:is>
      </ns0:c>
      <ns0:c r="C1904" s="21" t="inlineStr">
        <ns0:is>
          <ns0:t>Multiple modalities (as coded)</ns0:t>
        </ns0:is>
      </ns0:c>
      <ns0:c r="D1904" s="21" t="inlineStr">
        <ns0:is>
          <ns0:t>Structured clinical/questionnaire data</ns0:t>
        </ns0:is>
      </ns0:c>
      <ns0:c r="E1904" s="21" t="inlineStr">
        <ns0:is>
          <ns0:t>Screening model uses ADI-R phenotypes; transcriptomic subgroup characterization is secondary, not necessarily joint predictive input.</ns0:t>
        </ns0:is>
      </ns0:c>
      <ns0:c r="F1904" s="21" t="inlineStr">
        <ns0:is>
          <ns0:t>https://doi.org/10.1038/s41598-025-95291-5</ns0:t>
        </ns0:is>
      </ns0:c>
      <ns0:c r="G1904" s="21" t="inlineStr">
        <ns0:is>
          <ns0:t>ChatGPT-assisted evidence recharting, 2026-09-08</ns0:t>
        </ns0:is>
      </ns0:c>
    </ns0:row>
    <ns0:row r="1905" ht="42" customHeight="1">
      <ns0:c r="A1905" s="19" t="inlineStr">
        <ns0:is>
          <ns0:t>new_372</ns0:t>
        </ns0:is>
      </ns0:c>
      <ns0:c r="B1905" s="19" t="inlineStr">
        <ns0:is>
          <ns0:t>algorithm_main</ns0:t>
        </ns0:is>
      </ns0:c>
      <ns0:c r="C1905" s="19" t="inlineStr">
        <ns0:is>
          <ns0:t>Deep classifier + clinical/transcriptomic clustering</ns0:t>
        </ns0:is>
      </ns0:c>
      <ns0:c r="D1905" s="19" t="inlineStr">
        <ns0:is>
          <ns0:t>Deep classifier; family unspecified</ns0:t>
        </ns0:is>
      </ns0:c>
      <ns0:c r="E1905" s="19" t="inlineStr">
        <ns0:is>
          <ns0:t>Screening model uses ADI-R phenotypes; transcriptomic subgroup characterization is secondary, not necessarily joint predictive input.</ns0:t>
        </ns0:is>
      </ns0:c>
      <ns0:c r="F1905" s="19" t="inlineStr">
        <ns0:is>
          <ns0:t>https://doi.org/10.1038/s41598-025-95291-5</ns0:t>
        </ns0:is>
      </ns0:c>
      <ns0:c r="G1905" s="19" t="inlineStr">
        <ns0:is>
          <ns0:t>ChatGPT-assisted evidence recharting, 2026-09-08</ns0:t>
        </ns0:is>
      </ns0:c>
    </ns0:row>
    <ns0:row r="1906" ht="42" customHeight="1">
      <ns0:c r="A1906" s="21" t="inlineStr">
        <ns0:is>
          <ns0:t>new_372</ns0:t>
        </ns0:is>
      </ns0:c>
      <ns0:c r="B1906" s="21" t="inlineStr">
        <ns0:is>
          <ns0:t>rq2_status</ns0:t>
        </ns0:is>
      </ns0:c>
      <ns0:c r="C1906" s="21" t="inlineStr">
        <ns0:is>
          <ns0:t>Proposed only</ns0:t>
        </ns0:is>
      </ns0:c>
      <ns0:c r="D1906" s="21" t="inlineStr">
        <ns0:is>
          <ns0:t>Research only</ns0:t>
        </ns0:is>
      </ns0:c>
      <ns0:c r="E1906" s="21" t="inlineStr">
        <ns0:is>
          <ns0:t>Screening model uses ADI-R phenotypes; transcriptomic subgroup characterization is secondary, not necessarily joint predictive input.</ns0:t>
        </ns0:is>
      </ns0:c>
      <ns0:c r="F1906" s="21" t="inlineStr">
        <ns0:is>
          <ns0:t>https://doi.org/10.1038/s41598-025-95291-5</ns0:t>
        </ns0:is>
      </ns0:c>
      <ns0:c r="G1906" s="21" t="inlineStr">
        <ns0:is>
          <ns0:t>ChatGPT-assisted evidence recharting, 2026-09-08</ns0:t>
        </ns0:is>
      </ns0:c>
    </ns0:row>
    <ns0:row r="1907" ht="42" customHeight="1">
      <ns0:c r="A1907" s="19" t="inlineStr">
        <ns0:is>
          <ns0:t>new_372</ns0:t>
        </ns0:is>
      </ns0:c>
      <ns0:c r="B1907" s="19" t="inlineStr">
        <ns0:is>
          <ns0:t>rq2_role</ns0:t>
        </ns0:is>
      </ns0:c>
      <ns0:c r="C1907" s="19" t="inlineStr">
        <ns0:is>
          <ns0:t>Research framework</ns0:t>
        </ns0:is>
      </ns0:c>
      <ns0:c r="D1907" s="19" t="inlineStr">
        <ns0:is>
          <ns0:t>Triage/questionnaire assessment</ns0:t>
        </ns0:is>
      </ns0:c>
      <ns0:c r="E1907" s="19" t="inlineStr">
        <ns0:is>
          <ns0:t>Screening model uses ADI-R phenotypes; transcriptomic subgroup characterization is secondary, not necessarily joint predictive input.</ns0:t>
        </ns0:is>
      </ns0:c>
      <ns0:c r="F1907" s="19" t="inlineStr">
        <ns0:is>
          <ns0:t>https://doi.org/10.1038/s41598-025-95291-5</ns0:t>
        </ns0:is>
      </ns0:c>
      <ns0:c r="G1907" s="19" t="inlineStr">
        <ns0:is>
          <ns0:t>ChatGPT-assisted evidence recharting, 2026-09-08</ns0:t>
        </ns0:is>
      </ns0:c>
    </ns0:row>
    <ns0:row r="1908" ht="42" customHeight="1">
      <ns0:c r="A1908" s="21" t="inlineStr">
        <ns0:is>
          <ns0:t>new_372</ns0:t>
        </ns0:is>
      </ns0:c>
      <ns0:c r="B1908" s="21" t="inlineStr">
        <ns0:is>
          <ns0:t>decision_timing</ns0:t>
        </ns0:is>
      </ns0:c>
      <ns0:c r="C1908" s="21" t="inlineStr"/>
      <ns0:c r="D1908" s="21" t="inlineStr">
        <ns0:is>
          <ns0:t>Not observed in assessed sources</ns0:t>
        </ns0:is>
      </ns0:c>
      <ns0:c r="E1908" s="21" t="inlineStr">
        <ns0:is>
          <ns0:t>Screening model uses ADI-R phenotypes; transcriptomic subgroup characterization is secondary, not necessarily joint predictive input.</ns0:t>
        </ns0:is>
      </ns0:c>
      <ns0:c r="F1908" s="21" t="inlineStr">
        <ns0:is>
          <ns0:t>https://doi.org/10.1038/s41598-025-95291-5</ns0:t>
        </ns0:is>
      </ns0:c>
      <ns0:c r="G1908" s="21" t="inlineStr">
        <ns0:is>
          <ns0:t>ChatGPT-assisted evidence recharting, 2026-09-08</ns0:t>
        </ns0:is>
      </ns0:c>
    </ns0:row>
    <ns0:row r="1909" ht="42" customHeight="1">
      <ns0:c r="A1909" s="19" t="inlineStr">
        <ns0:is>
          <ns0:t>new_372</ns0:t>
        </ns0:is>
      </ns0:c>
      <ns0:c r="B1909" s="19" t="inlineStr">
        <ns0:is>
          <ns0:t>integrity_status</ns0:t>
        </ns0:is>
      </ns0:c>
      <ns0:c r="C1909" s="19" t="inlineStr"/>
      <ns0:c r="D1909" s="19" t="inlineStr">
        <ns0:is>
          <ns0:t>Not recorded</ns0:t>
        </ns0:is>
      </ns0:c>
      <ns0:c r="E1909" s="19" t="inlineStr">
        <ns0:is>
          <ns0:t>Screening model uses ADI-R phenotypes; transcriptomic subgroup characterization is secondary, not necessarily joint predictive input.</ns0:t>
        </ns0:is>
      </ns0:c>
      <ns0:c r="F1909" s="19" t="inlineStr">
        <ns0:is>
          <ns0:t>https://doi.org/10.1038/s41598-025-95291-5</ns0:t>
        </ns0:is>
      </ns0:c>
      <ns0:c r="G1909" s="19" t="inlineStr">
        <ns0:is>
          <ns0:t>ChatGPT-assisted evidence recharting, 2026-09-08</ns0:t>
        </ns0:is>
      </ns0:c>
    </ns0:row>
    <ns0:row r="1910" ht="42" customHeight="1">
      <ns0:c r="A1910" s="21" t="inlineStr">
        <ns0:is>
          <ns0:t>new_378</ns0:t>
        </ns0:is>
      </ns0:c>
      <ns0:c r="B1910" s="21" t="inlineStr">
        <ns0:is>
          <ns0:t>algorithm_main</ns0:t>
        </ns0:is>
      </ns0:c>
      <ns0:c r="C1910" s="21" t="inlineStr">
        <ns0:is>
          <ns0:t>Random forest + network analysis</ns0:t>
        </ns0:is>
      </ns0:c>
      <ns0:c r="D1910" s="21" t="inlineStr">
        <ns0:is>
          <ns0:t>Random forest</ns0:t>
        </ns0:is>
      </ns0:c>
      <ns0:c r="E1910" s="21" t="inlineStr">
        <ns0:is>
          <ns0:t>Gene prioritization endpoint, not patient diagnostic prediction.</ns0:t>
        </ns0:is>
      </ns0:c>
      <ns0:c r="F1910" s="21" t="inlineStr">
        <ns0:is>
          <ns0:t>https://doi.org/10.3390/genes16091109</ns0:t>
        </ns0:is>
      </ns0:c>
      <ns0:c r="G1910" s="21" t="inlineStr">
        <ns0:is>
          <ns0:t>ChatGPT-assisted evidence recharting, 2026-09-08</ns0:t>
        </ns0:is>
      </ns0:c>
    </ns0:row>
    <ns0:row r="1911" ht="42" customHeight="1">
      <ns0:c r="A1911" s="19" t="inlineStr">
        <ns0:is>
          <ns0:t>new_378</ns0:t>
        </ns0:is>
      </ns0:c>
      <ns0:c r="B1911" s="19" t="inlineStr">
        <ns0:is>
          <ns0:t>rq2_role</ns0:t>
        </ns0:is>
      </ns0:c>
      <ns0:c r="C1911" s="19" t="inlineStr">
        <ns0:is>
          <ns0:t>Biomarker discovery</ns0:t>
        </ns0:is>
      </ns0:c>
      <ns0:c r="D1911" s="19" t="inlineStr">
        <ns0:is>
          <ns0:t>Research characterization</ns0:t>
        </ns0:is>
      </ns0:c>
      <ns0:c r="E1911" s="19" t="inlineStr">
        <ns0:is>
          <ns0:t>Gene prioritization endpoint, not patient diagnostic prediction.</ns0:t>
        </ns0:is>
      </ns0:c>
      <ns0:c r="F1911" s="19" t="inlineStr">
        <ns0:is>
          <ns0:t>https://doi.org/10.3390/genes16091109</ns0:t>
        </ns0:is>
      </ns0:c>
      <ns0:c r="G1911" s="19" t="inlineStr">
        <ns0:is>
          <ns0:t>ChatGPT-assisted evidence recharting, 2026-09-08</ns0:t>
        </ns0:is>
      </ns0:c>
    </ns0:row>
    <ns0:row r="1912" ht="42" customHeight="1">
      <ns0:c r="A1912" s="21" t="inlineStr">
        <ns0:is>
          <ns0:t>new_378</ns0:t>
        </ns0:is>
      </ns0:c>
      <ns0:c r="B1912" s="21" t="inlineStr">
        <ns0:is>
          <ns0:t>decision_timing</ns0:t>
        </ns0:is>
      </ns0:c>
      <ns0:c r="C1912" s="21" t="inlineStr"/>
      <ns0:c r="D1912" s="21" t="inlineStr">
        <ns0:is>
          <ns0:t>Not observed in assessed sources</ns0:t>
        </ns0:is>
      </ns0:c>
      <ns0:c r="E1912" s="21" t="inlineStr">
        <ns0:is>
          <ns0:t>Gene prioritization endpoint, not patient diagnostic prediction.</ns0:t>
        </ns0:is>
      </ns0:c>
      <ns0:c r="F1912" s="21" t="inlineStr">
        <ns0:is>
          <ns0:t>https://doi.org/10.3390/genes16091109</ns0:t>
        </ns0:is>
      </ns0:c>
      <ns0:c r="G1912" s="21" t="inlineStr">
        <ns0:is>
          <ns0:t>ChatGPT-assisted evidence recharting, 2026-09-08</ns0:t>
        </ns0:is>
      </ns0:c>
    </ns0:row>
    <ns0:row r="1913" ht="42" customHeight="1">
      <ns0:c r="A1913" s="19" t="inlineStr">
        <ns0:is>
          <ns0:t>new_378</ns0:t>
        </ns0:is>
      </ns0:c>
      <ns0:c r="B1913" s="19" t="inlineStr">
        <ns0:is>
          <ns0:t>integrity_status</ns0:t>
        </ns0:is>
      </ns0:c>
      <ns0:c r="C1913" s="19" t="inlineStr"/>
      <ns0:c r="D1913" s="19" t="inlineStr">
        <ns0:is>
          <ns0:t>Not recorded</ns0:t>
        </ns0:is>
      </ns0:c>
      <ns0:c r="E1913" s="19" t="inlineStr">
        <ns0:is>
          <ns0:t>Gene prioritization endpoint, not patient diagnostic prediction.</ns0:t>
        </ns0:is>
      </ns0:c>
      <ns0:c r="F1913" s="19" t="inlineStr">
        <ns0:is>
          <ns0:t>https://doi.org/10.3390/genes16091109</ns0:t>
        </ns0:is>
      </ns0:c>
      <ns0:c r="G1913" s="19" t="inlineStr">
        <ns0:is>
          <ns0:t>ChatGPT-assisted evidence recharting, 2026-09-08</ns0:t>
        </ns0:is>
      </ns0:c>
    </ns0:row>
    <ns0:row r="1914" ht="42" customHeight="1">
      <ns0:c r="A1914" s="21" t="inlineStr">
        <ns0:is>
          <ns0:t>new_384</ns0:t>
        </ns0:is>
      </ns0:c>
      <ns0:c r="B1914" s="21" t="inlineStr">
        <ns0:is>
          <ns0:t>stage_primary</ns0:t>
        </ns0:is>
      </ns0:c>
      <ns0:c r="C1914" s="21" t="inlineStr">
        <ns0:is>
          <ns0:t>Prognosis</ns0:t>
        </ns0:is>
      </ns0:c>
      <ns0:c r="D1914" s="21" t="inlineStr">
        <ns0:is>
          <ns0:t>Not specified</ns0:t>
        </ns0:is>
      </ns0:c>
      <ns0:c r="E1914" s="21" t="inlineStr">
        <ns0:is>
          <ns0:t>ML exposure reconstruction plus ASD-trait epidemiology; not a prospectively evaluated ASD prognosis tool.
Indirect ASD relevance: ML estimates exposure, not the clinical outcome.</ns0:t>
        </ns0:is>
      </ns0:c>
      <ns0:c r="F1914" s="21" t="inlineStr">
        <ns0:is>
          <ns0:t>https://doi.org/10.1016/j.envres.2026.125213</ns0:t>
        </ns0:is>
      </ns0:c>
      <ns0:c r="G1914" s="21" t="inlineStr">
        <ns0:is>
          <ns0:t>ChatGPT-assisted evidence recharting, 2026-09-08</ns0:t>
        </ns0:is>
      </ns0:c>
    </ns0:row>
    <ns0:row r="1915" ht="42" customHeight="1">
      <ns0:c r="A1915" s="19" t="inlineStr">
        <ns0:is>
          <ns0:t>new_384</ns0:t>
        </ns0:is>
      </ns0:c>
      <ns0:c r="B1915" s="19" t="inlineStr">
        <ns0:is>
          <ns0:t>data_source_primary</ns0:t>
        </ns0:is>
      </ns0:c>
      <ns0:c r="C1915" s="19" t="inlineStr">
        <ns0:is>
          <ns0:t>Structured / tabular data</ns0:t>
        </ns0:is>
      </ns0:c>
      <ns0:c r="D1915" s="19" t="inlineStr">
        <ns0:is>
          <ns0:t>Multiple source categories</ns0:t>
        </ns0:is>
      </ns0:c>
      <ns0:c r="E1915" s="19" t="inlineStr">
        <ns0:is>
          <ns0:t>ML exposure reconstruction plus ASD-trait epidemiology; not a prospectively evaluated ASD prognosis tool.
Indirect ASD relevance: ML estimates exposure, not the clinical outcome.</ns0:t>
        </ns0:is>
      </ns0:c>
      <ns0:c r="F1915" s="19" t="inlineStr">
        <ns0:is>
          <ns0:t>https://doi.org/10.1016/j.envres.2026.125213</ns0:t>
        </ns0:is>
      </ns0:c>
      <ns0:c r="G1915" s="19" t="inlineStr">
        <ns0:is>
          <ns0:t>ChatGPT-assisted evidence recharting, 2026-09-08</ns0:t>
        </ns0:is>
      </ns0:c>
    </ns0:row>
    <ns0:row r="1916" ht="42" customHeight="1">
      <ns0:c r="A1916" s="21" t="inlineStr">
        <ns0:is>
          <ns0:t>new_384</ns0:t>
        </ns0:is>
      </ns0:c>
      <ns0:c r="B1916" s="21" t="inlineStr">
        <ns0:is>
          <ns0:t>algorithm_main</ns0:t>
        </ns0:is>
      </ns0:c>
      <ns0:c r="C1916" s="21" t="inlineStr">
        <ns0:is>
          <ns0:t>Neural network/RF/gradient boosting</ns0:t>
        </ns0:is>
      </ns0:c>
      <ns0:c r="D1916" s="21" t="inlineStr">
        <ns0:is>
          <ns0:t>Exposure estimation: neural network/RF/boosting</ns0:t>
        </ns0:is>
      </ns0:c>
      <ns0:c r="E1916" s="21" t="inlineStr">
        <ns0:is>
          <ns0:t>ML exposure reconstruction plus ASD-trait epidemiology; not a prospectively evaluated ASD prognosis tool.
Indirect ASD relevance: ML estimates exposure, not the clinical outcome.</ns0:t>
        </ns0:is>
      </ns0:c>
      <ns0:c r="F1916" s="21" t="inlineStr">
        <ns0:is>
          <ns0:t>https://doi.org/10.1016/j.envres.2026.125213</ns0:t>
        </ns0:is>
      </ns0:c>
      <ns0:c r="G1916" s="21" t="inlineStr">
        <ns0:is>
          <ns0:t>ChatGPT-assisted evidence recharting, 2026-09-08</ns0:t>
        </ns0:is>
      </ns0:c>
    </ns0:row>
    <ns0:row r="1917" ht="42" customHeight="1">
      <ns0:c r="A1917" s="19" t="inlineStr">
        <ns0:is>
          <ns0:t>new_384</ns0:t>
        </ns0:is>
      </ns0:c>
      <ns0:c r="B1917" s="19" t="inlineStr">
        <ns0:is>
          <ns0:t>rq2_role</ns0:t>
        </ns0:is>
      </ns0:c>
      <ns0:c r="C1917" s="19" t="inlineStr">
        <ns0:is>
          <ns0:t>Epidemiologic risk analysis</ns0:t>
        </ns0:is>
      </ns0:c>
      <ns0:c r="D1917" s="19" t="inlineStr">
        <ns0:is>
          <ns0:t>Research characterization</ns0:t>
        </ns0:is>
      </ns0:c>
      <ns0:c r="E1917" s="19" t="inlineStr">
        <ns0:is>
          <ns0:t>ML exposure reconstruction plus ASD-trait epidemiology; not a prospectively evaluated ASD prognosis tool.
Indirect ASD relevance: ML estimates exposure, not the clinical outcome.</ns0:t>
        </ns0:is>
      </ns0:c>
      <ns0:c r="F1917" s="19" t="inlineStr">
        <ns0:is>
          <ns0:t>https://doi.org/10.1016/j.envres.2026.125213</ns0:t>
        </ns0:is>
      </ns0:c>
      <ns0:c r="G1917" s="19" t="inlineStr">
        <ns0:is>
          <ns0:t>ChatGPT-assisted evidence recharting, 2026-09-08</ns0:t>
        </ns0:is>
      </ns0:c>
    </ns0:row>
    <ns0:row r="1918" ht="42" customHeight="1">
      <ns0:c r="A1918" s="21" t="inlineStr">
        <ns0:is>
          <ns0:t>new_384</ns0:t>
        </ns0:is>
      </ns0:c>
      <ns0:c r="B1918" s="21" t="inlineStr">
        <ns0:is>
          <ns0:t>decision_timing</ns0:t>
        </ns0:is>
      </ns0:c>
      <ns0:c r="C1918" s="21" t="inlineStr"/>
      <ns0:c r="D1918" s="21" t="inlineStr">
        <ns0:is>
          <ns0:t>Not observed in assessed sources</ns0:t>
        </ns0:is>
      </ns0:c>
      <ns0:c r="E1918" s="21" t="inlineStr">
        <ns0:is>
          <ns0:t>ML exposure reconstruction plus ASD-trait epidemiology; not a prospectively evaluated ASD prognosis tool.
Indirect ASD relevance: ML estimates exposure, not the clinical outcome.</ns0:t>
        </ns0:is>
      </ns0:c>
      <ns0:c r="F1918" s="21" t="inlineStr">
        <ns0:is>
          <ns0:t>https://doi.org/10.1016/j.envres.2026.125213</ns0:t>
        </ns0:is>
      </ns0:c>
      <ns0:c r="G1918" s="21" t="inlineStr">
        <ns0:is>
          <ns0:t>ChatGPT-assisted evidence recharting, 2026-09-08</ns0:t>
        </ns0:is>
      </ns0:c>
    </ns0:row>
    <ns0:row r="1919" ht="42" customHeight="1">
      <ns0:c r="A1919" s="19" t="inlineStr">
        <ns0:is>
          <ns0:t>new_384</ns0:t>
        </ns0:is>
      </ns0:c>
      <ns0:c r="B1919" s="19" t="inlineStr">
        <ns0:is>
          <ns0:t>integrity_status</ns0:t>
        </ns0:is>
      </ns0:c>
      <ns0:c r="C1919" s="19" t="inlineStr"/>
      <ns0:c r="D1919" s="19" t="inlineStr">
        <ns0:is>
          <ns0:t>Not recorded</ns0:t>
        </ns0:is>
      </ns0:c>
      <ns0:c r="E1919" s="19" t="inlineStr">
        <ns0:is>
          <ns0:t>ML exposure reconstruction plus ASD-trait epidemiology; not a prospectively evaluated ASD prognosis tool.
Indirect ASD relevance: ML estimates exposure, not the clinical outcome.</ns0:t>
        </ns0:is>
      </ns0:c>
      <ns0:c r="F1919" s="19" t="inlineStr">
        <ns0:is>
          <ns0:t>https://doi.org/10.1016/j.envres.2026.125213</ns0:t>
        </ns0:is>
      </ns0:c>
      <ns0:c r="G1919" s="19" t="inlineStr">
        <ns0:is>
          <ns0:t>ChatGPT-assisted evidence recharting, 2026-09-08</ns0:t>
        </ns0:is>
      </ns0:c>
    </ns0:row>
    <ns0:row r="1920" ht="45" customHeight="1">
      <ns0:c r="A1920" s="21" t="inlineStr">
        <ns0:is>
          <ns0:t>new_395</ns0:t>
        </ns0:is>
      </ns0:c>
      <ns0:c r="B1920" s="21" t="inlineStr">
        <ns0:is>
          <ns0:t>data_source_primary</ns0:t>
        </ns0:is>
      </ns0:c>
      <ns0:c r="C1920" s="21" t="inlineStr">
        <ns0:is>
          <ns0:t>Multiple modalities (as coded)</ns0:t>
        </ns0:is>
      </ns0:c>
      <ns0:c r="D1920" s="21" t="inlineStr">
        <ns0:is>
          <ns0:t>Multiple source categories</ns0:t>
        </ns0:is>
      </ns0:c>
      <ns0:c r="E1920" s="21" t="inlineStr">
        <ns0:is>
          <ns0:t>Birth-available phenotype/genetic features predict later ASD; model uses nested CV, SSC validation is for association analyses rather than the ML model.
Nested cross-validation of ML model; SSC replication of associations is not external ML validation.</ns0:t>
        </ns0:is>
      </ns0:c>
      <ns0:c r="F1920" s="21" t="inlineStr">
        <ns0:is>
          <ns0:t>https://link.springer.com/article/10.1186/s13073-025-01552-3</ns0:t>
        </ns0:is>
      </ns0:c>
      <ns0:c r="G1920" s="21" t="inlineStr">
        <ns0:is>
          <ns0:t>ChatGPT-assisted evidence recharting, 2026-09-08</ns0:t>
        </ns0:is>
      </ns0:c>
    </ns0:row>
    <ns0:row r="1921" ht="45" customHeight="1">
      <ns0:c r="A1921" s="19" t="inlineStr">
        <ns0:is>
          <ns0:t>new_395</ns0:t>
        </ns0:is>
      </ns0:c>
      <ns0:c r="B1921" s="19" t="inlineStr">
        <ns0:is>
          <ns0:t>algorithm_main</ns0:t>
        </ns0:is>
      </ns0:c>
      <ns0:c r="C1921" s="19" t="inlineStr">
        <ns0:is>
          <ns0:t>XGBoost/random forest + SHAP</ns0:t>
        </ns0:is>
      </ns0:c>
      <ns0:c r="D1921" s="19" t="inlineStr">
        <ns0:is>
          <ns0:t>XGBoost / random forest / SVM comparison</ns0:t>
        </ns0:is>
      </ns0:c>
      <ns0:c r="E1921" s="19" t="inlineStr">
        <ns0:is>
          <ns0:t>Birth-available phenotype/genetic features predict later ASD; model uses nested CV, SSC validation is for association analyses rather than the ML model.
Nested cross-validation of ML model; SSC replication of associations is not external ML validation.</ns0:t>
        </ns0:is>
      </ns0:c>
      <ns0:c r="F1921" s="19" t="inlineStr">
        <ns0:is>
          <ns0:t>https://link.springer.com/article/10.1186/s13073-025-01552-3</ns0:t>
        </ns0:is>
      </ns0:c>
      <ns0:c r="G1921" s="19" t="inlineStr">
        <ns0:is>
          <ns0:t>ChatGPT-assisted evidence recharting, 2026-09-08</ns0:t>
        </ns0:is>
      </ns0:c>
    </ns0:row>
    <ns0:row r="1922" ht="45" customHeight="1">
      <ns0:c r="A1922" s="21" t="inlineStr">
        <ns0:is>
          <ns0:t>new_395</ns0:t>
        </ns0:is>
      </ns0:c>
      <ns0:c r="B1922" s="21" t="inlineStr">
        <ns0:is>
          <ns0:t>rq2_role</ns0:t>
        </ns0:is>
      </ns0:c>
      <ns0:c r="C1922" s="21" t="inlineStr">
        <ns0:is>
          <ns0:t>Research risk model</ns0:t>
        </ns0:is>
      </ns0:c>
      <ns0:c r="D1922" s="21" t="inlineStr">
        <ns0:is>
          <ns0:t>Risk/trajectory estimation</ns0:t>
        </ns0:is>
      </ns0:c>
      <ns0:c r="E1922" s="21" t="inlineStr">
        <ns0:is>
          <ns0:t>Birth-available phenotype/genetic features predict later ASD; model uses nested CV, SSC validation is for association analyses rather than the ML model.
Nested cross-validation of ML model; SSC replication of associations is not external ML validation.</ns0:t>
        </ns0:is>
      </ns0:c>
      <ns0:c r="F1922" s="21" t="inlineStr">
        <ns0:is>
          <ns0:t>https://link.springer.com/article/10.1186/s13073-025-01552-3</ns0:t>
        </ns0:is>
      </ns0:c>
      <ns0:c r="G1922" s="21" t="inlineStr">
        <ns0:is>
          <ns0:t>ChatGPT-assisted evidence recharting, 2026-09-08</ns0:t>
        </ns0:is>
      </ns0:c>
    </ns0:row>
    <ns0:row r="1923" ht="45" customHeight="1">
      <ns0:c r="A1923" s="19" t="inlineStr">
        <ns0:is>
          <ns0:t>new_395</ns0:t>
        </ns0:is>
      </ns0:c>
      <ns0:c r="B1923" s="19" t="inlineStr">
        <ns0:is>
          <ns0:t>decision_timing</ns0:t>
        </ns0:is>
      </ns0:c>
      <ns0:c r="C1923" s="19" t="inlineStr"/>
      <ns0:c r="D1923" s="19" t="inlineStr">
        <ns0:is>
          <ns0:t>Not observed in assessed sources</ns0:t>
        </ns0:is>
      </ns0:c>
      <ns0:c r="E1923" s="19" t="inlineStr">
        <ns0:is>
          <ns0:t>Birth-available phenotype/genetic features predict later ASD; model uses nested CV, SSC validation is for association analyses rather than the ML model.
Nested cross-validation of ML model; SSC replication of associations is not external ML validation.</ns0:t>
        </ns0:is>
      </ns0:c>
      <ns0:c r="F1923" s="19" t="inlineStr">
        <ns0:is>
          <ns0:t>https://link.springer.com/article/10.1186/s13073-025-01552-3</ns0:t>
        </ns0:is>
      </ns0:c>
      <ns0:c r="G1923" s="19" t="inlineStr">
        <ns0:is>
          <ns0:t>ChatGPT-assisted evidence recharting, 2026-09-08</ns0:t>
        </ns0:is>
      </ns0:c>
    </ns0:row>
    <ns0:row r="1924" ht="45" customHeight="1">
      <ns0:c r="A1924" s="21" t="inlineStr">
        <ns0:is>
          <ns0:t>new_395</ns0:t>
        </ns0:is>
      </ns0:c>
      <ns0:c r="B1924" s="21" t="inlineStr">
        <ns0:is>
          <ns0:t>external_validation</ns0:t>
        </ns0:is>
      </ns0:c>
      <ns0:c r="C1924" s="21" t="inlineStr">
        <ns0:is>
          <ns0:t>Reported</ns0:t>
        </ns0:is>
      </ns0:c>
      <ns0:c r="D1924" s="21" t="inlineStr">
        <ns0:is>
          <ns0:t>Not reported in assessed sources</ns0:t>
        </ns0:is>
      </ns0:c>
      <ns0:c r="E1924" s="21" t="inlineStr">
        <ns0:is>
          <ns0:t>Birth-available phenotype/genetic features predict later ASD; model uses nested CV, SSC validation is for association analyses rather than the ML model.
Nested cross-validation of ML model; SSC replication of associations is not external ML validation.</ns0:t>
        </ns0:is>
      </ns0:c>
      <ns0:c r="F1924" s="21" t="inlineStr">
        <ns0:is>
          <ns0:t>https://link.springer.com/article/10.1186/s13073-025-01552-3</ns0:t>
        </ns0:is>
      </ns0:c>
      <ns0:c r="G1924" s="21" t="inlineStr">
        <ns0:is>
          <ns0:t>ChatGPT-assisted evidence recharting, 2026-09-08</ns0:t>
        </ns0:is>
      </ns0:c>
    </ns0:row>
    <ns0:row r="1925" ht="45" customHeight="1">
      <ns0:c r="A1925" s="19" t="inlineStr">
        <ns0:is>
          <ns0:t>new_395</ns0:t>
        </ns0:is>
      </ns0:c>
      <ns0:c r="B1925" s="19" t="inlineStr">
        <ns0:is>
          <ns0:t>integrity_status</ns0:t>
        </ns0:is>
      </ns0:c>
      <ns0:c r="C1925" s="19" t="inlineStr"/>
      <ns0:c r="D1925" s="19" t="inlineStr">
        <ns0:is>
          <ns0:t>Not recorded</ns0:t>
        </ns0:is>
      </ns0:c>
      <ns0:c r="E1925" s="19" t="inlineStr">
        <ns0:is>
          <ns0:t>Birth-available phenotype/genetic features predict later ASD; model uses nested CV, SSC validation is for association analyses rather than the ML model.
Nested cross-validation of ML model; SSC replication of associations is not external ML validation.</ns0:t>
        </ns0:is>
      </ns0:c>
      <ns0:c r="F1925" s="19" t="inlineStr">
        <ns0:is>
          <ns0:t>https://link.springer.com/article/10.1186/s13073-025-01552-3</ns0:t>
        </ns0:is>
      </ns0:c>
      <ns0:c r="G1925" s="19" t="inlineStr">
        <ns0:is>
          <ns0:t>ChatGPT-assisted evidence recharting, 2026-09-08</ns0:t>
        </ns0:is>
      </ns0:c>
    </ns0:row>
    <ns0:row r="1926" ht="42" customHeight="1">
      <ns0:c r="A1926" s="21" t="inlineStr">
        <ns0:is>
          <ns0:t>new_406</ns0:t>
        </ns0:is>
      </ns0:c>
      <ns0:c r="B1926" s="21" t="inlineStr">
        <ns0:is>
          <ns0:t>data_source_primary</ns0:t>
        </ns0:is>
      </ns0:c>
      <ns0:c r="C1926" s="21" t="inlineStr">
        <ns0:is>
          <ns0:t>Multiple modalities (as coded)</ns0:t>
        </ns0:is>
      </ns0:c>
      <ns0:c r="D1926" s="21" t="inlineStr">
        <ns0:is>
          <ns0:t>Structured clinical/questionnaire data</ns0:t>
        </ns0:is>
      </ns0:c>
      <ns0:c r="E1926" s="21" t="inlineStr">
        <ns0:is>
          <ns0:t>Questionnaire-derived graph is a representation of the same input, not an independent modality; NLP interface is not evidence of new input data.</ns0:t>
        </ns0:is>
      </ns0:c>
      <ns0:c r="F1926" s="21" t="inlineStr">
        <ns0:is>
          <ns0:t>https://doi.org/10.1007/s41666-026-00243-x</ns0:t>
        </ns0:is>
      </ns0:c>
      <ns0:c r="G1926" s="21" t="inlineStr">
        <ns0:is>
          <ns0:t>ChatGPT-assisted evidence recharting, 2026-09-08</ns0:t>
        </ns0:is>
      </ns0:c>
    </ns0:row>
    <ns0:row r="1927" ht="42" customHeight="1">
      <ns0:c r="A1927" s="19" t="inlineStr">
        <ns0:is>
          <ns0:t>new_406</ns0:t>
        </ns0:is>
      </ns0:c>
      <ns0:c r="B1927" s="19" t="inlineStr">
        <ns0:is>
          <ns0:t>algorithm_main</ns0:t>
        </ns0:is>
      </ns0:c>
      <ns0:c r="C1927" s="19" t="inlineStr">
        <ns0:is>
          <ns0:t>Tabular ML + knowledge graph + NLP interface</ns0:t>
        </ns0:is>
      </ns0:c>
      <ns0:c r="D1927" s="19" t="inlineStr">
        <ns0:is>
          <ns0:t>Tabular ML and graph representation</ns0:t>
        </ns0:is>
      </ns0:c>
      <ns0:c r="E1927" s="19" t="inlineStr">
        <ns0:is>
          <ns0:t>Questionnaire-derived graph is a representation of the same input, not an independent modality; NLP interface is not evidence of new input data.</ns0:t>
        </ns0:is>
      </ns0:c>
      <ns0:c r="F1927" s="19" t="inlineStr">
        <ns0:is>
          <ns0:t>https://doi.org/10.1007/s41666-026-00243-x</ns0:t>
        </ns0:is>
      </ns0:c>
      <ns0:c r="G1927" s="19" t="inlineStr">
        <ns0:is>
          <ns0:t>ChatGPT-assisted evidence recharting, 2026-09-08</ns0:t>
        </ns0:is>
      </ns0:c>
    </ns0:row>
    <ns0:row r="1928" ht="42" customHeight="1">
      <ns0:c r="A1928" s="21" t="inlineStr">
        <ns0:is>
          <ns0:t>new_406</ns0:t>
        </ns0:is>
      </ns0:c>
      <ns0:c r="B1928" s="21" t="inlineStr">
        <ns0:is>
          <ns0:t>rq2_role</ns0:t>
        </ns0:is>
      </ns0:c>
      <ns0:c r="C1928" s="21" t="inlineStr">
        <ns0:is>
          <ns0:t>Clinician/educator-facing prototype</ns0:t>
        </ns0:is>
      </ns0:c>
      <ns0:c r="D1928" s="21" t="inlineStr">
        <ns0:is>
          <ns0:t>Triage/questionnaire assessment</ns0:t>
        </ns0:is>
      </ns0:c>
      <ns0:c r="E1928" s="21" t="inlineStr">
        <ns0:is>
          <ns0:t>Questionnaire-derived graph is a representation of the same input, not an independent modality; NLP interface is not evidence of new input data.</ns0:t>
        </ns0:is>
      </ns0:c>
      <ns0:c r="F1928" s="21" t="inlineStr">
        <ns0:is>
          <ns0:t>https://doi.org/10.1007/s41666-026-00243-x</ns0:t>
        </ns0:is>
      </ns0:c>
      <ns0:c r="G1928" s="21" t="inlineStr">
        <ns0:is>
          <ns0:t>ChatGPT-assisted evidence recharting, 2026-09-08</ns0:t>
        </ns0:is>
      </ns0:c>
    </ns0:row>
    <ns0:row r="1929" ht="42" customHeight="1">
      <ns0:c r="A1929" s="19" t="inlineStr">
        <ns0:is>
          <ns0:t>new_406</ns0:t>
        </ns0:is>
      </ns0:c>
      <ns0:c r="B1929" s="19" t="inlineStr">
        <ns0:is>
          <ns0:t>decision_timing</ns0:t>
        </ns0:is>
      </ns0:c>
      <ns0:c r="C1929" s="19" t="inlineStr"/>
      <ns0:c r="D1929" s="19" t="inlineStr">
        <ns0:is>
          <ns0:t>Pre-decision</ns0:t>
        </ns0:is>
      </ns0:c>
      <ns0:c r="E1929" s="19" t="inlineStr">
        <ns0:is>
          <ns0:t>Questionnaire-derived graph is a representation of the same input, not an independent modality; NLP interface is not evidence of new input data.</ns0:t>
        </ns0:is>
      </ns0:c>
      <ns0:c r="F1929" s="19" t="inlineStr">
        <ns0:is>
          <ns0:t>https://doi.org/10.1007/s41666-026-00243-x</ns0:t>
        </ns0:is>
      </ns0:c>
      <ns0:c r="G1929" s="19" t="inlineStr">
        <ns0:is>
          <ns0:t>ChatGPT-assisted evidence recharting, 2026-09-08</ns0:t>
        </ns0:is>
      </ns0:c>
    </ns0:row>
    <ns0:row r="1930" ht="42" customHeight="1">
      <ns0:c r="A1930" s="21" t="inlineStr">
        <ns0:is>
          <ns0:t>new_406</ns0:t>
        </ns0:is>
      </ns0:c>
      <ns0:c r="B1930" s="21" t="inlineStr">
        <ns0:is>
          <ns0:t>multisource_data</ns0:t>
        </ns0:is>
      </ns0:c>
      <ns0:c r="C1930" s="21" t="inlineStr">
        <ns0:is>
          <ns0:t>Reported</ns0:t>
        </ns0:is>
      </ns0:c>
      <ns0:c r="D1930" s="21" t="inlineStr">
        <ns0:is>
          <ns0:t>Not reported in assessed sources</ns0:t>
        </ns0:is>
      </ns0:c>
      <ns0:c r="E1930" s="21" t="inlineStr">
        <ns0:is>
          <ns0:t>Questionnaire-derived graph is a representation of the same input, not an independent modality; NLP interface is not evidence of new input data.</ns0:t>
        </ns0:is>
      </ns0:c>
      <ns0:c r="F1930" s="21" t="inlineStr">
        <ns0:is>
          <ns0:t>https://doi.org/10.1007/s41666-026-00243-x</ns0:t>
        </ns0:is>
      </ns0:c>
      <ns0:c r="G1930" s="21" t="inlineStr">
        <ns0:is>
          <ns0:t>ChatGPT-assisted evidence recharting, 2026-09-08</ns0:t>
        </ns0:is>
      </ns0:c>
    </ns0:row>
    <ns0:row r="1931" ht="42" customHeight="1">
      <ns0:c r="A1931" s="19" t="inlineStr">
        <ns0:is>
          <ns0:t>new_406</ns0:t>
        </ns0:is>
      </ns0:c>
      <ns0:c r="B1931" s="19" t="inlineStr">
        <ns0:is>
          <ns0:t>integrity_status</ns0:t>
        </ns0:is>
      </ns0:c>
      <ns0:c r="C1931" s="19" t="inlineStr"/>
      <ns0:c r="D1931" s="19" t="inlineStr">
        <ns0:is>
          <ns0:t>Not recorded</ns0:t>
        </ns0:is>
      </ns0:c>
      <ns0:c r="E1931" s="19" t="inlineStr">
        <ns0:is>
          <ns0:t>Questionnaire-derived graph is a representation of the same input, not an independent modality; NLP interface is not evidence of new input data.</ns0:t>
        </ns0:is>
      </ns0:c>
      <ns0:c r="F1931" s="19" t="inlineStr">
        <ns0:is>
          <ns0:t>https://doi.org/10.1007/s41666-026-00243-x</ns0:t>
        </ns0:is>
      </ns0:c>
      <ns0:c r="G1931" s="19" t="inlineStr">
        <ns0:is>
          <ns0:t>ChatGPT-assisted evidence recharting, 2026-09-08</ns0:t>
        </ns0:is>
      </ns0:c>
    </ns0:row>
    <ns0:row r="1932" ht="42" customHeight="1">
      <ns0:c r="A1932" s="21" t="inlineStr">
        <ns0:is>
          <ns0:t>new_410</ns0:t>
        </ns0:is>
      </ns0:c>
      <ns0:c r="B1932" s="21" t="inlineStr">
        <ns0:is>
          <ns0:t>data_source_primary</ns0:t>
        </ns0:is>
      </ns0:c>
      <ns0:c r="C1932" s="21" t="inlineStr">
        <ns0:is>
          <ns0:t>Multiple modalities (as coded)</ns0:t>
        </ns0:is>
      </ns0:c>
      <ns0:c r="D1932" s="21" t="inlineStr">
        <ns0:is>
          <ns0:t>Multiple source categories</ns0:t>
        </ns0:is>
      </ns0:c>
      <ns0:c r="E1932" s="21" t="inlineStr">
        <ns0:is>
          <ns0:t>Proposed MRI/demographic triage pipeline; no actual clinical workflow evaluation established.</ns0:t>
        </ns0:is>
      </ns0:c>
      <ns0:c r="F1932" s="21" t="inlineStr">
        <ns0:is>
          <ns0:t>https://doi.org/10.1007/s44163-026-01299-9</ns0:t>
        </ns0:is>
      </ns0:c>
      <ns0:c r="G1932" s="21" t="inlineStr">
        <ns0:is>
          <ns0:t>ChatGPT-assisted evidence recharting, 2026-09-08</ns0:t>
        </ns0:is>
      </ns0:c>
    </ns0:row>
    <ns0:row r="1933" ht="42" customHeight="1">
      <ns0:c r="A1933" s="19" t="inlineStr">
        <ns0:is>
          <ns0:t>new_410</ns0:t>
        </ns0:is>
      </ns0:c>
      <ns0:c r="B1933" s="19" t="inlineStr">
        <ns0:is>
          <ns0:t>algorithm_main</ns0:t>
        </ns0:is>
      </ns0:c>
      <ns0:c r="C1933" s="19" t="inlineStr">
        <ns0:is>
          <ns0:t>3D deep networks + Lasso GLM</ns0:t>
        </ns0:is>
      </ns0:c>
      <ns0:c r="D1933" s="19" t="inlineStr">
        <ns0:is>
          <ns0:t>3D neural networks and Lasso GLM</ns0:t>
        </ns0:is>
      </ns0:c>
      <ns0:c r="E1933" s="19" t="inlineStr">
        <ns0:is>
          <ns0:t>Proposed MRI/demographic triage pipeline; no actual clinical workflow evaluation established.</ns0:t>
        </ns0:is>
      </ns0:c>
      <ns0:c r="F1933" s="19" t="inlineStr">
        <ns0:is>
          <ns0:t>https://doi.org/10.1007/s44163-026-01299-9</ns0:t>
        </ns0:is>
      </ns0:c>
      <ns0:c r="G1933" s="19" t="inlineStr">
        <ns0:is>
          <ns0:t>ChatGPT-assisted evidence recharting, 2026-09-08</ns0:t>
        </ns0:is>
      </ns0:c>
    </ns0:row>
    <ns0:row r="1934" ht="42" customHeight="1">
      <ns0:c r="A1934" s="21" t="inlineStr">
        <ns0:is>
          <ns0:t>new_410</ns0:t>
        </ns0:is>
      </ns0:c>
      <ns0:c r="B1934" s="21" t="inlineStr">
        <ns0:is>
          <ns0:t>rq2_role</ns0:t>
        </ns0:is>
      </ns0:c>
      <ns0:c r="C1934" s="21" t="inlineStr">
        <ns0:is>
          <ns0:t>Proposed triage pipeline</ns0:t>
        </ns0:is>
      </ns0:c>
      <ns0:c r="D1934" s="21" t="inlineStr">
        <ns0:is>
          <ns0:t>Triage/questionnaire assessment</ns0:t>
        </ns0:is>
      </ns0:c>
      <ns0:c r="E1934" s="21" t="inlineStr">
        <ns0:is>
          <ns0:t>Proposed MRI/demographic triage pipeline; no actual clinical workflow evaluation established.</ns0:t>
        </ns0:is>
      </ns0:c>
      <ns0:c r="F1934" s="21" t="inlineStr">
        <ns0:is>
          <ns0:t>https://doi.org/10.1007/s44163-026-01299-9</ns0:t>
        </ns0:is>
      </ns0:c>
      <ns0:c r="G1934" s="21" t="inlineStr">
        <ns0:is>
          <ns0:t>ChatGPT-assisted evidence recharting, 2026-09-08</ns0:t>
        </ns0:is>
      </ns0:c>
    </ns0:row>
    <ns0:row r="1935" ht="42" customHeight="1">
      <ns0:c r="A1935" s="19" t="inlineStr">
        <ns0:is>
          <ns0:t>new_410</ns0:t>
        </ns0:is>
      </ns0:c>
      <ns0:c r="B1935" s="19" t="inlineStr">
        <ns0:is>
          <ns0:t>decision_timing</ns0:t>
        </ns0:is>
      </ns0:c>
      <ns0:c r="C1935" s="19" t="inlineStr"/>
      <ns0:c r="D1935" s="19" t="inlineStr">
        <ns0:is>
          <ns0:t>Pre-decision</ns0:t>
        </ns0:is>
      </ns0:c>
      <ns0:c r="E1935" s="19" t="inlineStr">
        <ns0:is>
          <ns0:t>Proposed MRI/demographic triage pipeline; no actual clinical workflow evaluation established.</ns0:t>
        </ns0:is>
      </ns0:c>
      <ns0:c r="F1935" s="19" t="inlineStr">
        <ns0:is>
          <ns0:t>https://doi.org/10.1007/s44163-026-01299-9</ns0:t>
        </ns0:is>
      </ns0:c>
      <ns0:c r="G1935" s="19" t="inlineStr">
        <ns0:is>
          <ns0:t>ChatGPT-assisted evidence recharting, 2026-09-08</ns0:t>
        </ns0:is>
      </ns0:c>
    </ns0:row>
    <ns0:row r="1936" ht="42" customHeight="1">
      <ns0:c r="A1936" s="21" t="inlineStr">
        <ns0:is>
          <ns0:t>new_410</ns0:t>
        </ns0:is>
      </ns0:c>
      <ns0:c r="B1936" s="21" t="inlineStr">
        <ns0:is>
          <ns0:t>integrity_status</ns0:t>
        </ns0:is>
      </ns0:c>
      <ns0:c r="C1936" s="21" t="inlineStr"/>
      <ns0:c r="D1936" s="21" t="inlineStr">
        <ns0:is>
          <ns0:t>Not recorded</ns0:t>
        </ns0:is>
      </ns0:c>
      <ns0:c r="E1936" s="21" t="inlineStr">
        <ns0:is>
          <ns0:t>Proposed MRI/demographic triage pipeline; no actual clinical workflow evaluation established.</ns0:t>
        </ns0:is>
      </ns0:c>
      <ns0:c r="F1936" s="21" t="inlineStr">
        <ns0:is>
          <ns0:t>https://doi.org/10.1007/s44163-026-01299-9</ns0:t>
        </ns0:is>
      </ns0:c>
      <ns0:c r="G1936" s="21" t="inlineStr">
        <ns0:is>
          <ns0:t>ChatGPT-assisted evidence recharting, 2026-09-08</ns0:t>
        </ns0:is>
      </ns0:c>
    </ns0:row>
    <ns0:row r="1937" ht="42" customHeight="1">
      <ns0:c r="A1937" s="19" t="inlineStr">
        <ns0:is>
          <ns0:t>new_417</ns0:t>
        </ns0:is>
      </ns0:c>
      <ns0:c r="B1937" s="19" t="inlineStr">
        <ns0:is>
          <ns0:t>algorithm_main</ns0:t>
        </ns0:is>
      </ns0:c>
      <ns0:c r="C1937" s="19" t="inlineStr">
        <ns0:is>
          <ns0:t>Weakly supervised PVS segmentation</ns0:t>
        </ns0:is>
      </ns0:c>
      <ns0:c r="D1937" s="19" t="inlineStr">
        <ns0:is>
          <ns0:t>Weakly supervised segmentation network</ns0:t>
        </ns0:is>
      </ns0:c>
      <ns0:c r="E1937" s="19" t="inlineStr">
        <ns0:is>
          <ns0:t>Retrospective segmentation and concurrent severity association, not future prognosis.</ns0:t>
        </ns0:is>
      </ns0:c>
      <ns0:c r="F1937" s="19" t="inlineStr">
        <ns0:is>
          <ns0:t>https://doi.org/10.1002/jmri.70023</ns0:t>
        </ns0:is>
      </ns0:c>
      <ns0:c r="G1937" s="19" t="inlineStr">
        <ns0:is>
          <ns0:t>ChatGPT-assisted evidence recharting, 2026-09-08</ns0:t>
        </ns0:is>
      </ns0:c>
    </ns0:row>
    <ns0:row r="1938" ht="42" customHeight="1">
      <ns0:c r="A1938" s="21" t="inlineStr">
        <ns0:is>
          <ns0:t>new_417</ns0:t>
        </ns0:is>
      </ns0:c>
      <ns0:c r="B1938" s="21" t="inlineStr">
        <ns0:is>
          <ns0:t>rq2_role</ns0:t>
        </ns0:is>
      </ns0:c>
      <ns0:c r="C1938" s="21" t="inlineStr">
        <ns0:is>
          <ns0:t>Retrospective MRI analysis</ns0:t>
        </ns0:is>
      </ns0:c>
      <ns0:c r="D1938" s="21" t="inlineStr">
        <ns0:is>
          <ns0:t>Research characterization</ns0:t>
        </ns0:is>
      </ns0:c>
      <ns0:c r="E1938" s="21" t="inlineStr">
        <ns0:is>
          <ns0:t>Retrospective segmentation and concurrent severity association, not future prognosis.</ns0:t>
        </ns0:is>
      </ns0:c>
      <ns0:c r="F1938" s="21" t="inlineStr">
        <ns0:is>
          <ns0:t>https://doi.org/10.1002/jmri.70023</ns0:t>
        </ns0:is>
      </ns0:c>
      <ns0:c r="G1938" s="21" t="inlineStr">
        <ns0:is>
          <ns0:t>ChatGPT-assisted evidence recharting, 2026-09-08</ns0:t>
        </ns0:is>
      </ns0:c>
    </ns0:row>
    <ns0:row r="1939" ht="42" customHeight="1">
      <ns0:c r="A1939" s="19" t="inlineStr">
        <ns0:is>
          <ns0:t>new_417</ns0:t>
        </ns0:is>
      </ns0:c>
      <ns0:c r="B1939" s="19" t="inlineStr">
        <ns0:is>
          <ns0:t>decision_timing</ns0:t>
        </ns0:is>
      </ns0:c>
      <ns0:c r="C1939" s="19" t="inlineStr"/>
      <ns0:c r="D1939" s="19" t="inlineStr">
        <ns0:is>
          <ns0:t>Not observed in assessed sources</ns0:t>
        </ns0:is>
      </ns0:c>
      <ns0:c r="E1939" s="19" t="inlineStr">
        <ns0:is>
          <ns0:t>Retrospective segmentation and concurrent severity association, not future prognosis.</ns0:t>
        </ns0:is>
      </ns0:c>
      <ns0:c r="F1939" s="19" t="inlineStr">
        <ns0:is>
          <ns0:t>https://doi.org/10.1002/jmri.70023</ns0:t>
        </ns0:is>
      </ns0:c>
      <ns0:c r="G1939" s="19" t="inlineStr">
        <ns0:is>
          <ns0:t>ChatGPT-assisted evidence recharting, 2026-09-08</ns0:t>
        </ns0:is>
      </ns0:c>
    </ns0:row>
    <ns0:row r="1940" ht="42" customHeight="1">
      <ns0:c r="A1940" s="21" t="inlineStr">
        <ns0:is>
          <ns0:t>new_417</ns0:t>
        </ns0:is>
      </ns0:c>
      <ns0:c r="B1940" s="21" t="inlineStr">
        <ns0:is>
          <ns0:t>integrity_status</ns0:t>
        </ns0:is>
      </ns0:c>
      <ns0:c r="C1940" s="21" t="inlineStr"/>
      <ns0:c r="D1940" s="21" t="inlineStr">
        <ns0:is>
          <ns0:t>Not recorded</ns0:t>
        </ns0:is>
      </ns0:c>
      <ns0:c r="E1940" s="21" t="inlineStr">
        <ns0:is>
          <ns0:t>Retrospective segmentation and concurrent severity association, not future prognosis.</ns0:t>
        </ns0:is>
      </ns0:c>
      <ns0:c r="F1940" s="21" t="inlineStr">
        <ns0:is>
          <ns0:t>https://doi.org/10.1002/jmri.70023</ns0:t>
        </ns0:is>
      </ns0:c>
      <ns0:c r="G1940" s="21" t="inlineStr">
        <ns0:is>
          <ns0:t>ChatGPT-assisted evidence recharting, 2026-09-08</ns0:t>
        </ns0:is>
      </ns0:c>
    </ns0:row>
    <ns0:row r="1941" ht="42" customHeight="1">
      <ns0:c r="A1941" s="19" t="inlineStr">
        <ns0:is>
          <ns0:t>new_420</ns0:t>
        </ns0:is>
      </ns0:c>
      <ns0:c r="B1941" s="19" t="inlineStr">
        <ns0:is>
          <ns0:t>data_source_primary</ns0:t>
        </ns0:is>
      </ns0:c>
      <ns0:c r="C1941" s="19" t="inlineStr">
        <ns0:is>
          <ns0:t>Structured / tabular data</ns0:t>
        </ns0:is>
      </ns0:c>
      <ns0:c r="D1941" s="19" t="inlineStr">
        <ns0:is>
          <ns0:t>Structured clinical/questionnaire data</ns0:t>
        </ns0:is>
      </ns0:c>
      <ns0:c r="E1941" s="19" t="inlineStr">
        <ns0:is>
          <ns0:t>Public-data simulation; ensemble architecture is not clinical deployment.</ns0:t>
        </ns0:is>
      </ns0:c>
      <ns0:c r="F1941" s="19" t="inlineStr">
        <ns0:is>
          <ns0:t>https://doi.org/10.1038/s41598-025-93802-y</ns0:t>
        </ns0:is>
      </ns0:c>
      <ns0:c r="G1941" s="19" t="inlineStr">
        <ns0:is>
          <ns0:t>ChatGPT-assisted evidence recharting, 2026-09-08</ns0:t>
        </ns0:is>
      </ns0:c>
    </ns0:row>
    <ns0:row r="1942" ht="42" customHeight="1">
      <ns0:c r="A1942" s="21" t="inlineStr">
        <ns0:is>
          <ns0:t>new_420</ns0:t>
        </ns0:is>
      </ns0:c>
      <ns0:c r="B1942" s="21" t="inlineStr">
        <ns0:is>
          <ns0:t>algorithm_main</ns0:t>
        </ns0:is>
      </ns0:c>
      <ns0:c r="C1942" s="21" t="inlineStr">
        <ns0:is>
          <ns0:t>Autoencoder + LSTM + DBN ensemble</ns0:t>
        </ns0:is>
      </ns0:c>
      <ns0:c r="D1942" s="21" t="inlineStr">
        <ns0:is>
          <ns0:t>Autoencoder / LSTM / DBN ensemble</ns0:t>
        </ns0:is>
      </ns0:c>
      <ns0:c r="E1942" s="21" t="inlineStr">
        <ns0:is>
          <ns0:t>Public-data simulation; ensemble architecture is not clinical deployment.</ns0:t>
        </ns0:is>
      </ns0:c>
      <ns0:c r="F1942" s="21" t="inlineStr">
        <ns0:is>
          <ns0:t>https://doi.org/10.1038/s41598-025-93802-y</ns0:t>
        </ns0:is>
      </ns0:c>
      <ns0:c r="G1942" s="21" t="inlineStr">
        <ns0:is>
          <ns0:t>ChatGPT-assisted evidence recharting, 2026-09-08</ns0:t>
        </ns0:is>
      </ns0:c>
    </ns0:row>
    <ns0:row r="1943" ht="42" customHeight="1">
      <ns0:c r="A1943" s="19" t="inlineStr">
        <ns0:is>
          <ns0:t>new_420</ns0:t>
        </ns0:is>
      </ns0:c>
      <ns0:c r="B1943" s="19" t="inlineStr">
        <ns0:is>
          <ns0:t>rq2_status</ns0:t>
        </ns0:is>
      </ns0:c>
      <ns0:c r="C1943" s="19" t="inlineStr">
        <ns0:is>
          <ns0:t>Proposed only</ns0:t>
        </ns0:is>
      </ns0:c>
      <ns0:c r="D1943" s="19" t="inlineStr">
        <ns0:is>
          <ns0:t>Research only</ns0:t>
        </ns0:is>
      </ns0:c>
      <ns0:c r="E1943" s="19" t="inlineStr">
        <ns0:is>
          <ns0:t>Public-data simulation; ensemble architecture is not clinical deployment.</ns0:t>
        </ns0:is>
      </ns0:c>
      <ns0:c r="F1943" s="19" t="inlineStr">
        <ns0:is>
          <ns0:t>https://doi.org/10.1038/s41598-025-93802-y</ns0:t>
        </ns0:is>
      </ns0:c>
      <ns0:c r="G1943" s="19" t="inlineStr">
        <ns0:is>
          <ns0:t>ChatGPT-assisted evidence recharting, 2026-09-08</ns0:t>
        </ns0:is>
      </ns0:c>
    </ns0:row>
    <ns0:row r="1944" ht="42" customHeight="1">
      <ns0:c r="A1944" s="21" t="inlineStr">
        <ns0:is>
          <ns0:t>new_420</ns0:t>
        </ns0:is>
      </ns0:c>
      <ns0:c r="B1944" s="21" t="inlineStr">
        <ns0:is>
          <ns0:t>rq2_role</ns0:t>
        </ns0:is>
      </ns0:c>
      <ns0:c r="C1944" s="21" t="inlineStr">
        <ns0:is>
          <ns0:t>Simulation on public datasets</ns0:t>
        </ns0:is>
      </ns0:c>
      <ns0:c r="D1944" s="21" t="inlineStr">
        <ns0:is>
          <ns0:t>Automated measurement/classification</ns0:t>
        </ns0:is>
      </ns0:c>
      <ns0:c r="E1944" s="21" t="inlineStr">
        <ns0:is>
          <ns0:t>Public-data simulation; ensemble architecture is not clinical deployment.</ns0:t>
        </ns0:is>
      </ns0:c>
      <ns0:c r="F1944" s="21" t="inlineStr">
        <ns0:is>
          <ns0:t>https://doi.org/10.1038/s41598-025-93802-y</ns0:t>
        </ns0:is>
      </ns0:c>
      <ns0:c r="G1944" s="21" t="inlineStr">
        <ns0:is>
          <ns0:t>ChatGPT-assisted evidence recharting, 2026-09-08</ns0:t>
        </ns0:is>
      </ns0:c>
    </ns0:row>
    <ns0:row r="1945" ht="42" customHeight="1">
      <ns0:c r="A1945" s="19" t="inlineStr">
        <ns0:is>
          <ns0:t>new_420</ns0:t>
        </ns0:is>
      </ns0:c>
      <ns0:c r="B1945" s="19" t="inlineStr">
        <ns0:is>
          <ns0:t>decision_timing</ns0:t>
        </ns0:is>
      </ns0:c>
      <ns0:c r="C1945" s="19" t="inlineStr"/>
      <ns0:c r="D1945" s="19" t="inlineStr">
        <ns0:is>
          <ns0:t>Not observed in assessed sources</ns0:t>
        </ns0:is>
      </ns0:c>
      <ns0:c r="E1945" s="19" t="inlineStr">
        <ns0:is>
          <ns0:t>Public-data simulation; ensemble architecture is not clinical deployment.</ns0:t>
        </ns0:is>
      </ns0:c>
      <ns0:c r="F1945" s="19" t="inlineStr">
        <ns0:is>
          <ns0:t>https://doi.org/10.1038/s41598-025-93802-y</ns0:t>
        </ns0:is>
      </ns0:c>
      <ns0:c r="G1945" s="19" t="inlineStr">
        <ns0:is>
          <ns0:t>ChatGPT-assisted evidence recharting, 2026-09-08</ns0:t>
        </ns0:is>
      </ns0:c>
    </ns0:row>
    <ns0:row r="1946" ht="42" customHeight="1">
      <ns0:c r="A1946" s="21" t="inlineStr">
        <ns0:is>
          <ns0:t>new_420</ns0:t>
        </ns0:is>
      </ns0:c>
      <ns0:c r="B1946" s="21" t="inlineStr">
        <ns0:is>
          <ns0:t>integrity_status</ns0:t>
        </ns0:is>
      </ns0:c>
      <ns0:c r="C1946" s="21" t="inlineStr"/>
      <ns0:c r="D1946" s="21" t="inlineStr">
        <ns0:is>
          <ns0:t>Not recorded</ns0:t>
        </ns0:is>
      </ns0:c>
      <ns0:c r="E1946" s="21" t="inlineStr">
        <ns0:is>
          <ns0:t>Public-data simulation; ensemble architecture is not clinical deployment.</ns0:t>
        </ns0:is>
      </ns0:c>
      <ns0:c r="F1946" s="21" t="inlineStr">
        <ns0:is>
          <ns0:t>https://doi.org/10.1038/s41598-025-93802-y</ns0:t>
        </ns0:is>
      </ns0:c>
      <ns0:c r="G1946" s="21" t="inlineStr">
        <ns0:is>
          <ns0:t>ChatGPT-assisted evidence recharting, 2026-09-08</ns0:t>
        </ns0:is>
      </ns0:c>
    </ns0:row>
    <ns0:row r="1947" ht="57" customHeight="1">
      <ns0:c r="A1947" s="19" t="inlineStr">
        <ns0:is>
          <ns0:t>new_422</ns0:t>
        </ns0:is>
      </ns0:c>
      <ns0:c r="B1947" s="19" t="inlineStr">
        <ns0:is>
          <ns0:t>data_source_primary</ns0:t>
        </ns0:is>
      </ns0:c>
      <ns0:c r="C1947" s="19" t="inlineStr">
        <ns0:is>
          <ns0:t>Multiple modalities (as coded)</ns0:t>
        </ns0:is>
      </ns0:c>
      <ns0:c r="D1947" s="19" t="inlineStr">
        <ns0:is>
          <ns0:t>Multiple source categories</ns0:t>
        </ns0:is>
      </ns0:c>
      <ns0:c r="E1947" s="19" t="inlineStr">
        <ns0:is>
          <ns0:t>Explicit zero-shot ABIDE I to ABIDE II evaluation supports external testing; site-stratified internal CV alone would not. Clinical text provenance remains a caveat.
Zero-shot ABIDE I to ABIDE II; external accuracy 52.3% author-reported.
Clinical text origin and independence from labels require caution; not verified from full text in this pass.</ns0:t>
        </ns0:is>
      </ns0:c>
      <ns0:c r="F1947" s="19" t="inlineStr">
        <ns0:is>
          <ns0:t>https://doi.org/10.1109/access.2026.3688987</ns0:t>
        </ns0:is>
      </ns0:c>
      <ns0:c r="G1947" s="19" t="inlineStr">
        <ns0:is>
          <ns0:t>ChatGPT-assisted evidence recharting, 2026-09-08</ns0:t>
        </ns0:is>
      </ns0:c>
    </ns0:row>
    <ns0:row r="1948" ht="57" customHeight="1">
      <ns0:c r="A1948" s="21" t="inlineStr">
        <ns0:is>
          <ns0:t>new_422</ns0:t>
        </ns0:is>
      </ns0:c>
      <ns0:c r="B1948" s="21" t="inlineStr">
        <ns0:is>
          <ns0:t>algorithm_main</ns0:t>
        </ns0:is>
      </ns0:c>
      <ns0:c r="C1948" s="21" t="inlineStr">
        <ns0:is>
          <ns0:t>MIND-TEA multi-agent/meta-learning</ns0:t>
        </ns0:is>
      </ns0:c>
      <ns0:c r="D1948" s="21" t="inlineStr">
        <ns0:is>
          <ns0:t>Multi-agent neural meta-learning</ns0:t>
        </ns0:is>
      </ns0:c>
      <ns0:c r="E1948" s="21" t="inlineStr">
        <ns0:is>
          <ns0:t>Explicit zero-shot ABIDE I to ABIDE II evaluation supports external testing; site-stratified internal CV alone would not. Clinical text provenance remains a caveat.
Zero-shot ABIDE I to ABIDE II; external accuracy 52.3% author-reported.
Clinical text origin and independence from labels require caution; not verified from full text in this pass.</ns0:t>
        </ns0:is>
      </ns0:c>
      <ns0:c r="F1948" s="21" t="inlineStr">
        <ns0:is>
          <ns0:t>https://doi.org/10.1109/access.2026.3688987</ns0:t>
        </ns0:is>
      </ns0:c>
      <ns0:c r="G1948" s="21" t="inlineStr">
        <ns0:is>
          <ns0:t>ChatGPT-assisted evidence recharting, 2026-09-08</ns0:t>
        </ns0:is>
      </ns0:c>
    </ns0:row>
    <ns0:row r="1949" ht="57" customHeight="1">
      <ns0:c r="A1949" s="19" t="inlineStr">
        <ns0:is>
          <ns0:t>new_422</ns0:t>
        </ns0:is>
      </ns0:c>
      <ns0:c r="B1949" s="19" t="inlineStr">
        <ns0:is>
          <ns0:t>rq2_role</ns0:t>
        </ns0:is>
      </ns0:c>
      <ns0:c r="C1949" s="19" t="inlineStr">
        <ns0:is>
          <ns0:t>Research framework</ns0:t>
        </ns0:is>
      </ns0:c>
      <ns0:c r="D1949" s="19" t="inlineStr">
        <ns0:is>
          <ns0:t>Diagnostic decision support</ns0:t>
        </ns0:is>
      </ns0:c>
      <ns0:c r="E1949" s="19" t="inlineStr">
        <ns0:is>
          <ns0:t>Explicit zero-shot ABIDE I to ABIDE II evaluation supports external testing; site-stratified internal CV alone would not. Clinical text provenance remains a caveat.
Zero-shot ABIDE I to ABIDE II; external accuracy 52.3% author-reported.
Clinical text origin and independence from labels require caution; not verified from full text in this pass.</ns0:t>
        </ns0:is>
      </ns0:c>
      <ns0:c r="F1949" s="19" t="inlineStr">
        <ns0:is>
          <ns0:t>https://doi.org/10.1109/access.2026.3688987</ns0:t>
        </ns0:is>
      </ns0:c>
      <ns0:c r="G1949" s="19" t="inlineStr">
        <ns0:is>
          <ns0:t>ChatGPT-assisted evidence recharting, 2026-09-08</ns0:t>
        </ns0:is>
      </ns0:c>
    </ns0:row>
    <ns0:row r="1950" ht="57" customHeight="1">
      <ns0:c r="A1950" s="21" t="inlineStr">
        <ns0:is>
          <ns0:t>new_422</ns0:t>
        </ns0:is>
      </ns0:c>
      <ns0:c r="B1950" s="21" t="inlineStr">
        <ns0:is>
          <ns0:t>decision_timing</ns0:t>
        </ns0:is>
      </ns0:c>
      <ns0:c r="C1950" s="21" t="inlineStr"/>
      <ns0:c r="D1950" s="21" t="inlineStr">
        <ns0:is>
          <ns0:t>In-decision</ns0:t>
        </ns0:is>
      </ns0:c>
      <ns0:c r="E1950" s="21" t="inlineStr">
        <ns0:is>
          <ns0:t>Explicit zero-shot ABIDE I to ABIDE II evaluation supports external testing; site-stratified internal CV alone would not. Clinical text provenance remains a caveat.
Zero-shot ABIDE I to ABIDE II; external accuracy 52.3% author-reported.
Clinical text origin and independence from labels require caution; not verified from full text in this pass.</ns0:t>
        </ns0:is>
      </ns0:c>
      <ns0:c r="F1950" s="21" t="inlineStr">
        <ns0:is>
          <ns0:t>https://doi.org/10.1109/access.2026.3688987</ns0:t>
        </ns0:is>
      </ns0:c>
      <ns0:c r="G1950" s="21" t="inlineStr">
        <ns0:is>
          <ns0:t>ChatGPT-assisted evidence recharting, 2026-09-08</ns0:t>
        </ns0:is>
      </ns0:c>
    </ns0:row>
    <ns0:row r="1951" ht="57" customHeight="1">
      <ns0:c r="A1951" s="19" t="inlineStr">
        <ns0:is>
          <ns0:t>new_422</ns0:t>
        </ns0:is>
      </ns0:c>
      <ns0:c r="B1951" s="19" t="inlineStr">
        <ns0:is>
          <ns0:t>integrity_status</ns0:t>
        </ns0:is>
      </ns0:c>
      <ns0:c r="C1951" s="19" t="inlineStr"/>
      <ns0:c r="D1951" s="19" t="inlineStr">
        <ns0:is>
          <ns0:t>Not recorded</ns0:t>
        </ns0:is>
      </ns0:c>
      <ns0:c r="E1951" s="19" t="inlineStr">
        <ns0:is>
          <ns0:t>Explicit zero-shot ABIDE I to ABIDE II evaluation supports external testing; site-stratified internal CV alone would not. Clinical text provenance remains a caveat.
Zero-shot ABIDE I to ABIDE II; external accuracy 52.3% author-reported.
Clinical text origin and independence from labels require caution; not verified from full text in this pass.</ns0:t>
        </ns0:is>
      </ns0:c>
      <ns0:c r="F1951" s="19" t="inlineStr">
        <ns0:is>
          <ns0:t>https://doi.org/10.1109/access.2026.3688987</ns0:t>
        </ns0:is>
      </ns0:c>
      <ns0:c r="G1951" s="19" t="inlineStr">
        <ns0:is>
          <ns0:t>ChatGPT-assisted evidence recharting, 2026-09-08</ns0:t>
        </ns0:is>
      </ns0:c>
    </ns0:row>
    <ns0:row r="1952" ht="42" customHeight="1">
      <ns0:c r="A1952" s="21" t="inlineStr">
        <ns0:is>
          <ns0:t>new_424</ns0:t>
        </ns0:is>
      </ns0:c>
      <ns0:c r="B1952" s="21" t="inlineStr">
        <ns0:is>
          <ns0:t>data_source_primary</ns0:t>
        </ns0:is>
      </ns0:c>
      <ns0:c r="C1952" s="21" t="inlineStr">
        <ns0:is>
          <ns0:t>Other images</ns0:t>
        </ns0:is>
      </ns0:c>
      <ns0:c r="D1952" s="21" t="inlineStr">
        <ns0:is>
          <ns0:t>Behavioral images/video/gaze/movement</ns0:t>
        </ns0:is>
      </ns0:c>
      <ns0:c r="E1952" s="21" t="inlineStr">
        <ns0:is>
          <ns0:t>Drawing-based developmental screening benchmark with LRP explanations, not clinical deployment.</ns0:t>
        </ns0:is>
      </ns0:c>
      <ns0:c r="F1952" s="21" t="inlineStr">
        <ns0:is>
          <ns0:t>https://doi.org/10.1109/access.2025.3642950</ns0:t>
        </ns0:is>
      </ns0:c>
      <ns0:c r="G1952" s="21" t="inlineStr">
        <ns0:is>
          <ns0:t>ChatGPT-assisted evidence recharting, 2026-09-08</ns0:t>
        </ns0:is>
      </ns0:c>
    </ns0:row>
    <ns0:row r="1953" ht="42" customHeight="1">
      <ns0:c r="A1953" s="19" t="inlineStr">
        <ns0:is>
          <ns0:t>new_424</ns0:t>
        </ns0:is>
      </ns0:c>
      <ns0:c r="B1953" s="19" t="inlineStr">
        <ns0:is>
          <ns0:t>algorithm_main</ns0:t>
        </ns0:is>
      </ns0:c>
      <ns0:c r="C1953" s="19" t="inlineStr">
        <ns0:is>
          <ns0:t>Vision Transformer + LRP</ns0:t>
        </ns0:is>
      </ns0:c>
      <ns0:c r="D1953" s="19" t="inlineStr">
        <ns0:is>
          <ns0:t>Vision Transformer</ns0:t>
        </ns0:is>
      </ns0:c>
      <ns0:c r="E1953" s="19" t="inlineStr">
        <ns0:is>
          <ns0:t>Drawing-based developmental screening benchmark with LRP explanations, not clinical deployment.</ns0:t>
        </ns0:is>
      </ns0:c>
      <ns0:c r="F1953" s="19" t="inlineStr">
        <ns0:is>
          <ns0:t>https://doi.org/10.1109/access.2025.3642950</ns0:t>
        </ns0:is>
      </ns0:c>
      <ns0:c r="G1953" s="19" t="inlineStr">
        <ns0:is>
          <ns0:t>ChatGPT-assisted evidence recharting, 2026-09-08</ns0:t>
        </ns0:is>
      </ns0:c>
    </ns0:row>
    <ns0:row r="1954" ht="42" customHeight="1">
      <ns0:c r="A1954" s="21" t="inlineStr">
        <ns0:is>
          <ns0:t>new_424</ns0:t>
        </ns0:is>
      </ns0:c>
      <ns0:c r="B1954" s="21" t="inlineStr">
        <ns0:is>
          <ns0:t>rq2_status</ns0:t>
        </ns0:is>
      </ns0:c>
      <ns0:c r="C1954" s="21" t="inlineStr">
        <ns0:is>
          <ns0:t>Proposed only</ns0:t>
        </ns0:is>
      </ns0:c>
      <ns0:c r="D1954" s="21" t="inlineStr">
        <ns0:is>
          <ns0:t>Research only</ns0:t>
        </ns0:is>
      </ns0:c>
      <ns0:c r="E1954" s="21" t="inlineStr">
        <ns0:is>
          <ns0:t>Drawing-based developmental screening benchmark with LRP explanations, not clinical deployment.</ns0:t>
        </ns0:is>
      </ns0:c>
      <ns0:c r="F1954" s="21" t="inlineStr">
        <ns0:is>
          <ns0:t>https://doi.org/10.1109/access.2025.3642950</ns0:t>
        </ns0:is>
      </ns0:c>
      <ns0:c r="G1954" s="21" t="inlineStr">
        <ns0:is>
          <ns0:t>ChatGPT-assisted evidence recharting, 2026-09-08</ns0:t>
        </ns0:is>
      </ns0:c>
    </ns0:row>
    <ns0:row r="1955" ht="42" customHeight="1">
      <ns0:c r="A1955" s="19" t="inlineStr">
        <ns0:is>
          <ns0:t>new_424</ns0:t>
        </ns0:is>
      </ns0:c>
      <ns0:c r="B1955" s="19" t="inlineStr">
        <ns0:is>
          <ns0:t>rq2_role</ns0:t>
        </ns0:is>
      </ns0:c>
      <ns0:c r="C1955" s="19" t="inlineStr">
        <ns0:is>
          <ns0:t>Developmental-assessment research</ns0:t>
        </ns0:is>
      </ns0:c>
      <ns0:c r="D1955" s="19" t="inlineStr">
        <ns0:is>
          <ns0:t>Automated measurement/classification</ns0:t>
        </ns0:is>
      </ns0:c>
      <ns0:c r="E1955" s="19" t="inlineStr">
        <ns0:is>
          <ns0:t>Drawing-based developmental screening benchmark with LRP explanations, not clinical deployment.</ns0:t>
        </ns0:is>
      </ns0:c>
      <ns0:c r="F1955" s="19" t="inlineStr">
        <ns0:is>
          <ns0:t>https://doi.org/10.1109/access.2025.3642950</ns0:t>
        </ns0:is>
      </ns0:c>
      <ns0:c r="G1955" s="19" t="inlineStr">
        <ns0:is>
          <ns0:t>ChatGPT-assisted evidence recharting, 2026-09-08</ns0:t>
        </ns0:is>
      </ns0:c>
    </ns0:row>
    <ns0:row r="1956" ht="42" customHeight="1">
      <ns0:c r="A1956" s="21" t="inlineStr">
        <ns0:is>
          <ns0:t>new_424</ns0:t>
        </ns0:is>
      </ns0:c>
      <ns0:c r="B1956" s="21" t="inlineStr">
        <ns0:is>
          <ns0:t>decision_timing</ns0:t>
        </ns0:is>
      </ns0:c>
      <ns0:c r="C1956" s="21" t="inlineStr"/>
      <ns0:c r="D1956" s="21" t="inlineStr">
        <ns0:is>
          <ns0:t>Not observed in assessed sources</ns0:t>
        </ns0:is>
      </ns0:c>
      <ns0:c r="E1956" s="21" t="inlineStr">
        <ns0:is>
          <ns0:t>Drawing-based developmental screening benchmark with LRP explanations, not clinical deployment.</ns0:t>
        </ns0:is>
      </ns0:c>
      <ns0:c r="F1956" s="21" t="inlineStr">
        <ns0:is>
          <ns0:t>https://doi.org/10.1109/access.2025.3642950</ns0:t>
        </ns0:is>
      </ns0:c>
      <ns0:c r="G1956" s="21" t="inlineStr">
        <ns0:is>
          <ns0:t>ChatGPT-assisted evidence recharting, 2026-09-08</ns0:t>
        </ns0:is>
      </ns0:c>
    </ns0:row>
    <ns0:row r="1957" ht="42" customHeight="1">
      <ns0:c r="A1957" s="19" t="inlineStr">
        <ns0:is>
          <ns0:t>new_424</ns0:t>
        </ns0:is>
      </ns0:c>
      <ns0:c r="B1957" s="19" t="inlineStr">
        <ns0:is>
          <ns0:t>integrity_status</ns0:t>
        </ns0:is>
      </ns0:c>
      <ns0:c r="C1957" s="19" t="inlineStr"/>
      <ns0:c r="D1957" s="19" t="inlineStr">
        <ns0:is>
          <ns0:t>Not recorded</ns0:t>
        </ns0:is>
      </ns0:c>
      <ns0:c r="E1957" s="19" t="inlineStr">
        <ns0:is>
          <ns0:t>Drawing-based developmental screening benchmark with LRP explanations, not clinical deployment.</ns0:t>
        </ns0:is>
      </ns0:c>
      <ns0:c r="F1957" s="19" t="inlineStr">
        <ns0:is>
          <ns0:t>https://doi.org/10.1109/access.2025.3642950</ns0:t>
        </ns0:is>
      </ns0:c>
      <ns0:c r="G1957" s="19" t="inlineStr">
        <ns0:is>
          <ns0:t>ChatGPT-assisted evidence recharting, 2026-09-08</ns0:t>
        </ns0:is>
      </ns0:c>
    </ns0:row>
    <ns0:row r="1958" ht="57" customHeight="1">
      <ns0:c r="A1958" s="21" t="inlineStr">
        <ns0:is>
          <ns0:t>new_425</ns0:t>
        </ns0:is>
      </ns0:c>
      <ns0:c r="B1958" s="21" t="inlineStr">
        <ns0:is>
          <ns0:t>algorithm_main</ns0:t>
        </ns0:is>
      </ns0:c>
      <ns0:c r="C1958" s="21" t="inlineStr">
        <ns0:is>
          <ns0:t>Transformer + quantum neural network</ns0:t>
        </ns0:is>
      </ns0:c>
      <ns0:c r="D1958" s="21" t="inlineStr">
        <ns0:is>
          <ns0:t>Transformer and quantum neural network</ns0:t>
        </ns0:is>
      </ns0:c>
      <ns0:c r="E1958" s="21" t="inlineStr">
        <ns0:is>
          <ns0:t>Offline P300 target-response classifier; hybrid quantum-classical architecture kept explicit, not conventional ML plus DL.
Quantum-classical hybrid; not conventional ML-DL hybrid.
EEG P300</ns0:t>
        </ns0:is>
      </ns0:c>
      <ns0:c r="F1958" s="21" t="inlineStr">
        <ns0:is>
          <ns0:t>https://doi.org/10.1109/access.2025.3646589</ns0:t>
        </ns0:is>
      </ns0:c>
      <ns0:c r="G1958" s="21" t="inlineStr">
        <ns0:is>
          <ns0:t>ChatGPT-assisted evidence recharting, 2026-09-08</ns0:t>
        </ns0:is>
      </ns0:c>
    </ns0:row>
    <ns0:row r="1959" ht="57" customHeight="1">
      <ns0:c r="A1959" s="19" t="inlineStr">
        <ns0:is>
          <ns0:t>new_425</ns0:t>
        </ns0:is>
      </ns0:c>
      <ns0:c r="B1959" s="19" t="inlineStr">
        <ns0:is>
          <ns0:t>rq2_role</ns0:t>
        </ns0:is>
      </ns0:c>
      <ns0:c r="C1959" s="19" t="inlineStr">
        <ns0:is>
          <ns0:t>BCI-response research</ns0:t>
        </ns0:is>
      </ns0:c>
      <ns0:c r="D1959" s="19" t="inlineStr">
        <ns0:is>
          <ns0:t>Automated measurement/classification</ns0:t>
        </ns0:is>
      </ns0:c>
      <ns0:c r="E1959" s="19" t="inlineStr">
        <ns0:is>
          <ns0:t>Offline P300 target-response classifier; hybrid quantum-classical architecture kept explicit, not conventional ML plus DL.
Quantum-classical hybrid; not conventional ML-DL hybrid.
EEG P300</ns0:t>
        </ns0:is>
      </ns0:c>
      <ns0:c r="F1959" s="19" t="inlineStr">
        <ns0:is>
          <ns0:t>https://doi.org/10.1109/access.2025.3646589</ns0:t>
        </ns0:is>
      </ns0:c>
      <ns0:c r="G1959" s="19" t="inlineStr">
        <ns0:is>
          <ns0:t>ChatGPT-assisted evidence recharting, 2026-09-08</ns0:t>
        </ns0:is>
      </ns0:c>
    </ns0:row>
    <ns0:row r="1960" ht="57" customHeight="1">
      <ns0:c r="A1960" s="21" t="inlineStr">
        <ns0:is>
          <ns0:t>new_425</ns0:t>
        </ns0:is>
      </ns0:c>
      <ns0:c r="B1960" s="21" t="inlineStr">
        <ns0:is>
          <ns0:t>decision_timing</ns0:t>
        </ns0:is>
      </ns0:c>
      <ns0:c r="C1960" s="21" t="inlineStr"/>
      <ns0:c r="D1960" s="21" t="inlineStr">
        <ns0:is>
          <ns0:t>Not observed in assessed sources</ns0:t>
        </ns0:is>
      </ns0:c>
      <ns0:c r="E1960" s="21" t="inlineStr">
        <ns0:is>
          <ns0:t>Offline P300 target-response classifier; hybrid quantum-classical architecture kept explicit, not conventional ML plus DL.
Quantum-classical hybrid; not conventional ML-DL hybrid.
EEG P300</ns0:t>
        </ns0:is>
      </ns0:c>
      <ns0:c r="F1960" s="21" t="inlineStr">
        <ns0:is>
          <ns0:t>https://doi.org/10.1109/access.2025.3646589</ns0:t>
        </ns0:is>
      </ns0:c>
      <ns0:c r="G1960" s="21" t="inlineStr">
        <ns0:is>
          <ns0:t>ChatGPT-assisted evidence recharting, 2026-09-08</ns0:t>
        </ns0:is>
      </ns0:c>
    </ns0:row>
    <ns0:row r="1961" ht="57" customHeight="1">
      <ns0:c r="A1961" s="19" t="inlineStr">
        <ns0:is>
          <ns0:t>new_425</ns0:t>
        </ns0:is>
      </ns0:c>
      <ns0:c r="B1961" s="19" t="inlineStr">
        <ns0:is>
          <ns0:t>xai_partial</ns0:t>
        </ns0:is>
      </ns0:c>
      <ns0:c r="C1961" s="19" t="inlineStr">
        <ns0:is>
          <ns0:t>Reported</ns0:t>
        </ns0:is>
      </ns0:c>
      <ns0:c r="D1961" s="19" t="inlineStr">
        <ns0:is>
          <ns0:t>Not ascertainable</ns0:t>
        </ns0:is>
      </ns0:c>
      <ns0:c r="E1961" s="19" t="inlineStr">
        <ns0:is>
          <ns0:t>Offline P300 target-response classifier; hybrid quantum-classical architecture kept explicit, not conventional ML plus DL.
Quantum-classical hybrid; not conventional ML-DL hybrid.
EEG P300</ns0:t>
        </ns0:is>
      </ns0:c>
      <ns0:c r="F1961" s="19" t="inlineStr">
        <ns0:is>
          <ns0:t>https://doi.org/10.1109/access.2025.3646589</ns0:t>
        </ns0:is>
      </ns0:c>
      <ns0:c r="G1961" s="19" t="inlineStr">
        <ns0:is>
          <ns0:t>ChatGPT-assisted evidence recharting, 2026-09-08</ns0:t>
        </ns0:is>
      </ns0:c>
    </ns0:row>
    <ns0:row r="1962" ht="57" customHeight="1">
      <ns0:c r="A1962" s="21" t="inlineStr">
        <ns0:is>
          <ns0:t>new_425</ns0:t>
        </ns0:is>
      </ns0:c>
      <ns0:c r="B1962" s="21" t="inlineStr">
        <ns0:is>
          <ns0:t>integrity_status</ns0:t>
        </ns0:is>
      </ns0:c>
      <ns0:c r="C1962" s="21" t="inlineStr"/>
      <ns0:c r="D1962" s="21" t="inlineStr">
        <ns0:is>
          <ns0:t>Not recorded</ns0:t>
        </ns0:is>
      </ns0:c>
      <ns0:c r="E1962" s="21" t="inlineStr">
        <ns0:is>
          <ns0:t>Offline P300 target-response classifier; hybrid quantum-classical architecture kept explicit, not conventional ML plus DL.
Quantum-classical hybrid; not conventional ML-DL hybrid.
EEG P300</ns0:t>
        </ns0:is>
      </ns0:c>
      <ns0:c r="F1962" s="21" t="inlineStr">
        <ns0:is>
          <ns0:t>https://doi.org/10.1109/access.2025.3646589</ns0:t>
        </ns0:is>
      </ns0:c>
      <ns0:c r="G1962" s="21" t="inlineStr">
        <ns0:is>
          <ns0:t>ChatGPT-assisted evidence recharting, 2026-09-08</ns0:t>
        </ns0:is>
      </ns0:c>
    </ns0:row>
    <ns0:row r="1963" ht="42" customHeight="1">
      <ns0:c r="A1963" s="19" t="inlineStr">
        <ns0:is>
          <ns0:t>new_427</ns0:t>
        </ns0:is>
      </ns0:c>
      <ns0:c r="B1963" s="19" t="inlineStr">
        <ns0:is>
          <ns0:t>data_source_primary</ns0:t>
        </ns0:is>
      </ns0:c>
      <ns0:c r="C1963" s="19" t="inlineStr">
        <ns0:is>
          <ns0:t>Behavioral video / movement</ns0:t>
        </ns0:is>
      </ns0:c>
      <ns0:c r="D1963" s="19" t="inlineStr">
        <ns0:is>
          <ns0:t>Behavioral images/video/gaze/movement</ns0:t>
        </ns0:is>
      </ns0:c>
      <ns0:c r="E1963" s="19" t="inlineStr">
        <ns0:is>
          <ns0:t>Gait classification benchmark; all-neural branches do not imply conventional ML-DL hybrid.</ns0:t>
        </ns0:is>
      </ns0:c>
      <ns0:c r="F1963" s="19" t="inlineStr">
        <ns0:is>
          <ns0:t>https://doi.org/10.1109/access.2026.3704046</ns0:t>
        </ns0:is>
      </ns0:c>
      <ns0:c r="G1963" s="19" t="inlineStr">
        <ns0:is>
          <ns0:t>ChatGPT-assisted evidence recharting, 2026-09-08</ns0:t>
        </ns0:is>
      </ns0:c>
    </ns0:row>
    <ns0:row r="1964" ht="42" customHeight="1">
      <ns0:c r="A1964" s="21" t="inlineStr">
        <ns0:is>
          <ns0:t>new_427</ns0:t>
        </ns0:is>
      </ns0:c>
      <ns0:c r="B1964" s="21" t="inlineStr">
        <ns0:is>
          <ns0:t>algorithm_main</ns0:t>
        </ns0:is>
      </ns0:c>
      <ns0:c r="C1964" s="21" t="inlineStr">
        <ns0:is>
          <ns0:t>Transformer + CNN-BiLSTM/BiGRU</ns0:t>
        </ns0:is>
      </ns0:c>
      <ns0:c r="D1964" s="21" t="inlineStr">
        <ns0:is>
          <ns0:t>Transformer / CNN / recurrent multi-branch network</ns0:t>
        </ns0:is>
      </ns0:c>
      <ns0:c r="E1964" s="21" t="inlineStr">
        <ns0:is>
          <ns0:t>Gait classification benchmark; all-neural branches do not imply conventional ML-DL hybrid.</ns0:t>
        </ns0:is>
      </ns0:c>
      <ns0:c r="F1964" s="21" t="inlineStr">
        <ns0:is>
          <ns0:t>https://doi.org/10.1109/access.2026.3704046</ns0:t>
        </ns0:is>
      </ns0:c>
      <ns0:c r="G1964" s="21" t="inlineStr">
        <ns0:is>
          <ns0:t>ChatGPT-assisted evidence recharting, 2026-09-08</ns0:t>
        </ns0:is>
      </ns0:c>
    </ns0:row>
    <ns0:row r="1965" ht="42" customHeight="1">
      <ns0:c r="A1965" s="19" t="inlineStr">
        <ns0:is>
          <ns0:t>new_427</ns0:t>
        </ns0:is>
      </ns0:c>
      <ns0:c r="B1965" s="19" t="inlineStr">
        <ns0:is>
          <ns0:t>rq2_status</ns0:t>
        </ns0:is>
      </ns0:c>
      <ns0:c r="C1965" s="19" t="inlineStr">
        <ns0:is>
          <ns0:t>Proposed only</ns0:t>
        </ns0:is>
      </ns0:c>
      <ns0:c r="D1965" s="19" t="inlineStr">
        <ns0:is>
          <ns0:t>Research only</ns0:t>
        </ns0:is>
      </ns0:c>
      <ns0:c r="E1965" s="19" t="inlineStr">
        <ns0:is>
          <ns0:t>Gait classification benchmark; all-neural branches do not imply conventional ML-DL hybrid.</ns0:t>
        </ns0:is>
      </ns0:c>
      <ns0:c r="F1965" s="19" t="inlineStr">
        <ns0:is>
          <ns0:t>https://doi.org/10.1109/access.2026.3704046</ns0:t>
        </ns0:is>
      </ns0:c>
      <ns0:c r="G1965" s="19" t="inlineStr">
        <ns0:is>
          <ns0:t>ChatGPT-assisted evidence recharting, 2026-09-08</ns0:t>
        </ns0:is>
      </ns0:c>
    </ns0:row>
    <ns0:row r="1966" ht="42" customHeight="1">
      <ns0:c r="A1966" s="21" t="inlineStr">
        <ns0:is>
          <ns0:t>new_427</ns0:t>
        </ns0:is>
      </ns0:c>
      <ns0:c r="B1966" s="21" t="inlineStr">
        <ns0:is>
          <ns0:t>rq2_role</ns0:t>
        </ns0:is>
      </ns0:c>
      <ns0:c r="C1966" s="21" t="inlineStr">
        <ns0:is>
          <ns0:t>Motor-biomarker research</ns0:t>
        </ns0:is>
      </ns0:c>
      <ns0:c r="D1966" s="21" t="inlineStr">
        <ns0:is>
          <ns0:t>Automated measurement/classification</ns0:t>
        </ns0:is>
      </ns0:c>
      <ns0:c r="E1966" s="21" t="inlineStr">
        <ns0:is>
          <ns0:t>Gait classification benchmark; all-neural branches do not imply conventional ML-DL hybrid.</ns0:t>
        </ns0:is>
      </ns0:c>
      <ns0:c r="F1966" s="21" t="inlineStr">
        <ns0:is>
          <ns0:t>https://doi.org/10.1109/access.2026.3704046</ns0:t>
        </ns0:is>
      </ns0:c>
      <ns0:c r="G1966" s="21" t="inlineStr">
        <ns0:is>
          <ns0:t>ChatGPT-assisted evidence recharting, 2026-09-08</ns0:t>
        </ns0:is>
      </ns0:c>
    </ns0:row>
    <ns0:row r="1967" ht="42" customHeight="1">
      <ns0:c r="A1967" s="19" t="inlineStr">
        <ns0:is>
          <ns0:t>new_427</ns0:t>
        </ns0:is>
      </ns0:c>
      <ns0:c r="B1967" s="19" t="inlineStr">
        <ns0:is>
          <ns0:t>decision_timing</ns0:t>
        </ns0:is>
      </ns0:c>
      <ns0:c r="C1967" s="19" t="inlineStr"/>
      <ns0:c r="D1967" s="19" t="inlineStr">
        <ns0:is>
          <ns0:t>Not observed in assessed sources</ns0:t>
        </ns0:is>
      </ns0:c>
      <ns0:c r="E1967" s="19" t="inlineStr">
        <ns0:is>
          <ns0:t>Gait classification benchmark; all-neural branches do not imply conventional ML-DL hybrid.</ns0:t>
        </ns0:is>
      </ns0:c>
      <ns0:c r="F1967" s="19" t="inlineStr">
        <ns0:is>
          <ns0:t>https://doi.org/10.1109/access.2026.3704046</ns0:t>
        </ns0:is>
      </ns0:c>
      <ns0:c r="G1967" s="19" t="inlineStr">
        <ns0:is>
          <ns0:t>ChatGPT-assisted evidence recharting, 2026-09-08</ns0:t>
        </ns0:is>
      </ns0:c>
    </ns0:row>
    <ns0:row r="1968" ht="42" customHeight="1">
      <ns0:c r="A1968" s="21" t="inlineStr">
        <ns0:is>
          <ns0:t>new_427</ns0:t>
        </ns0:is>
      </ns0:c>
      <ns0:c r="B1968" s="21" t="inlineStr">
        <ns0:is>
          <ns0:t>integrity_status</ns0:t>
        </ns0:is>
      </ns0:c>
      <ns0:c r="C1968" s="21" t="inlineStr"/>
      <ns0:c r="D1968" s="21" t="inlineStr">
        <ns0:is>
          <ns0:t>Not recorded</ns0:t>
        </ns0:is>
      </ns0:c>
      <ns0:c r="E1968" s="21" t="inlineStr">
        <ns0:is>
          <ns0:t>Gait classification benchmark; all-neural branches do not imply conventional ML-DL hybrid.</ns0:t>
        </ns0:is>
      </ns0:c>
      <ns0:c r="F1968" s="21" t="inlineStr">
        <ns0:is>
          <ns0:t>https://doi.org/10.1109/access.2026.3704046</ns0:t>
        </ns0:is>
      </ns0:c>
      <ns0:c r="G1968" s="21" t="inlineStr">
        <ns0:is>
          <ns0:t>ChatGPT-assisted evidence recharting, 2026-09-08</ns0:t>
        </ns0:is>
      </ns0:c>
    </ns0:row>
    <ns0:row r="1969" ht="42" customHeight="1">
      <ns0:c r="A1969" s="19" t="inlineStr">
        <ns0:is>
          <ns0:t>new_428</ns0:t>
        </ns0:is>
      </ns0:c>
      <ns0:c r="B1969" s="19" t="inlineStr">
        <ns0:is>
          <ns0:t>data_source_primary</ns0:t>
        </ns0:is>
      </ns0:c>
      <ns0:c r="C1969" s="19" t="inlineStr">
        <ns0:is>
          <ns0:t>Behavioral video / movement</ns0:t>
        </ns0:is>
      </ns0:c>
      <ns0:c r="D1969" s="19" t="inlineStr">
        <ns0:is>
          <ns0:t>Behavioral images/video/gaze/movement</ns0:t>
        </ns0:is>
      </ns0:c>
      <ns0:c r="E1969" s="19" t="inlineStr">
        <ns0:is>
          <ns0:t>Behavioral action dataset benchmark; no primary winning family inferred.</ns0:t>
        </ns0:is>
      </ns0:c>
      <ns0:c r="F1969" s="19" t="inlineStr">
        <ns0:is>
          <ns0:t>https://doi.org/10.1109/access.2026.3686583</ns0:t>
        </ns0:is>
      </ns0:c>
      <ns0:c r="G1969" s="19" t="inlineStr">
        <ns0:is>
          <ns0:t>ChatGPT-assisted evidence recharting, 2026-09-08</ns0:t>
        </ns0:is>
      </ns0:c>
    </ns0:row>
    <ns0:row r="1970" ht="42" customHeight="1">
      <ns0:c r="A1970" s="21" t="inlineStr">
        <ns0:is>
          <ns0:t>new_428</ns0:t>
        </ns0:is>
      </ns0:c>
      <ns0:c r="B1970" s="21" t="inlineStr">
        <ns0:is>
          <ns0:t>algorithm_main</ns0:t>
        </ns0:is>
      </ns0:c>
      <ns0:c r="C1970" s="21" t="inlineStr">
        <ns0:is>
          <ns0:t>CNN-LSTM/I3D/SlowFast/X3D/ViViT/MViT</ns0:t>
        </ns0:is>
      </ns0:c>
      <ns0:c r="D1970" s="21" t="inlineStr">
        <ns0:is>
          <ns0:t>Multiple deep video models</ns0:t>
        </ns0:is>
      </ns0:c>
      <ns0:c r="E1970" s="21" t="inlineStr">
        <ns0:is>
          <ns0:t>Behavioral action dataset benchmark; no primary winning family inferred.</ns0:t>
        </ns0:is>
      </ns0:c>
      <ns0:c r="F1970" s="21" t="inlineStr">
        <ns0:is>
          <ns0:t>https://doi.org/10.1109/access.2026.3686583</ns0:t>
        </ns0:is>
      </ns0:c>
      <ns0:c r="G1970" s="21" t="inlineStr">
        <ns0:is>
          <ns0:t>ChatGPT-assisted evidence recharting, 2026-09-08</ns0:t>
        </ns0:is>
      </ns0:c>
    </ns0:row>
    <ns0:row r="1971" ht="42" customHeight="1">
      <ns0:c r="A1971" s="19" t="inlineStr">
        <ns0:is>
          <ns0:t>new_428</ns0:t>
        </ns0:is>
      </ns0:c>
      <ns0:c r="B1971" s="19" t="inlineStr">
        <ns0:is>
          <ns0:t>rq2_role</ns0:t>
        </ns0:is>
      </ns0:c>
      <ns0:c r="C1971" s="19" t="inlineStr">
        <ns0:is>
          <ns0:t>Dataset benchmark</ns0:t>
        </ns0:is>
      </ns0:c>
      <ns0:c r="D1971" s="19" t="inlineStr">
        <ns0:is>
          <ns0:t>Monitoring/longitudinal analysis</ns0:t>
        </ns0:is>
      </ns0:c>
      <ns0:c r="E1971" s="19" t="inlineStr">
        <ns0:is>
          <ns0:t>Behavioral action dataset benchmark; no primary winning family inferred.</ns0:t>
        </ns0:is>
      </ns0:c>
      <ns0:c r="F1971" s="19" t="inlineStr">
        <ns0:is>
          <ns0:t>https://doi.org/10.1109/access.2026.3686583</ns0:t>
        </ns0:is>
      </ns0:c>
      <ns0:c r="G1971" s="19" t="inlineStr">
        <ns0:is>
          <ns0:t>ChatGPT-assisted evidence recharting, 2026-09-08</ns0:t>
        </ns0:is>
      </ns0:c>
    </ns0:row>
    <ns0:row r="1972" ht="42" customHeight="1">
      <ns0:c r="A1972" s="21" t="inlineStr">
        <ns0:is>
          <ns0:t>new_428</ns0:t>
        </ns0:is>
      </ns0:c>
      <ns0:c r="B1972" s="21" t="inlineStr">
        <ns0:is>
          <ns0:t>decision_timing</ns0:t>
        </ns0:is>
      </ns0:c>
      <ns0:c r="C1972" s="21" t="inlineStr"/>
      <ns0:c r="D1972" s="21" t="inlineStr">
        <ns0:is>
          <ns0:t>Not observed in assessed sources</ns0:t>
        </ns0:is>
      </ns0:c>
      <ns0:c r="E1972" s="21" t="inlineStr">
        <ns0:is>
          <ns0:t>Behavioral action dataset benchmark; no primary winning family inferred.</ns0:t>
        </ns0:is>
      </ns0:c>
      <ns0:c r="F1972" s="21" t="inlineStr">
        <ns0:is>
          <ns0:t>https://doi.org/10.1109/access.2026.3686583</ns0:t>
        </ns0:is>
      </ns0:c>
      <ns0:c r="G1972" s="21" t="inlineStr">
        <ns0:is>
          <ns0:t>ChatGPT-assisted evidence recharting, 2026-09-08</ns0:t>
        </ns0:is>
      </ns0:c>
    </ns0:row>
    <ns0:row r="1973" ht="42" customHeight="1">
      <ns0:c r="A1973" s="19" t="inlineStr">
        <ns0:is>
          <ns0:t>new_428</ns0:t>
        </ns0:is>
      </ns0:c>
      <ns0:c r="B1973" s="19" t="inlineStr">
        <ns0:is>
          <ns0:t>integrity_status</ns0:t>
        </ns0:is>
      </ns0:c>
      <ns0:c r="C1973" s="19" t="inlineStr"/>
      <ns0:c r="D1973" s="19" t="inlineStr">
        <ns0:is>
          <ns0:t>Not recorded</ns0:t>
        </ns0:is>
      </ns0:c>
      <ns0:c r="E1973" s="19" t="inlineStr">
        <ns0:is>
          <ns0:t>Behavioral action dataset benchmark; no primary winning family inferred.</ns0:t>
        </ns0:is>
      </ns0:c>
      <ns0:c r="F1973" s="19" t="inlineStr">
        <ns0:is>
          <ns0:t>https://doi.org/10.1109/access.2026.3686583</ns0:t>
        </ns0:is>
      </ns0:c>
      <ns0:c r="G1973" s="19" t="inlineStr">
        <ns0:is>
          <ns0:t>ChatGPT-assisted evidence recharting, 2026-09-08</ns0:t>
        </ns0:is>
      </ns0:c>
    </ns0:row>
    <ns0:row r="1974" ht="45" customHeight="1">
      <ns0:c r="A1974" s="21" t="inlineStr">
        <ns0:is>
          <ns0:t>new_429</ns0:t>
        </ns0:is>
      </ns0:c>
      <ns0:c r="B1974" s="21" t="inlineStr">
        <ns0:is>
          <ns0:t>data_source_primary</ns0:t>
        </ns0:is>
      </ns0:c>
      <ns0:c r="C1974" s="21" t="inlineStr">
        <ns0:is>
          <ns0:t>Structured / tabular data</ns0:t>
        </ns0:is>
      </ns0:c>
      <ns0:c r="D1974" s="21" t="inlineStr">
        <ns0:is>
          <ns0:t>Structured clinical/questionnaire data</ns0:t>
        </ns0:is>
      </ns0:c>
      <ns0:c r="E1974" s="21" t="inlineStr">
        <ns0:is>
          <ns0:t>Abstract explicitly reports operation at a healthcare provider; deployment is author-reported, clinical benefit is not independently established.
Operational-use claim from abstract; no independently verified causal improvement in diagnostic outcomes.</ns0:t>
        </ns0:is>
      </ns0:c>
      <ns0:c r="F1974" s="21" t="inlineStr">
        <ns0:is>
          <ns0:t>https://doi.org/10.1109/access.2026.3650856</ns0:t>
        </ns0:is>
      </ns0:c>
      <ns0:c r="G1974" s="21" t="inlineStr">
        <ns0:is>
          <ns0:t>ChatGPT-assisted evidence recharting, 2026-09-08</ns0:t>
        </ns0:is>
      </ns0:c>
    </ns0:row>
    <ns0:row r="1975" ht="45" customHeight="1">
      <ns0:c r="A1975" s="19" t="inlineStr">
        <ns0:is>
          <ns0:t>new_429</ns0:t>
        </ns0:is>
      </ns0:c>
      <ns0:c r="B1975" s="19" t="inlineStr">
        <ns0:is>
          <ns0:t>algorithm_main</ns0:t>
        </ns0:is>
      </ns0:c>
      <ns0:c r="C1975" s="19" t="inlineStr">
        <ns0:is>
          <ns0:t>RF/XGBoost/CatBoost + stacking</ns0:t>
        </ns0:is>
      </ns0:c>
      <ns0:c r="D1975" s="19" t="inlineStr">
        <ns0:is>
          <ns0:t>RF / XGBoost / CatBoost stacking</ns0:t>
        </ns0:is>
      </ns0:c>
      <ns0:c r="E1975" s="19" t="inlineStr">
        <ns0:is>
          <ns0:t>Abstract explicitly reports operation at a healthcare provider; deployment is author-reported, clinical benefit is not independently established.
Operational-use claim from abstract; no independently verified causal improvement in diagnostic outcomes.</ns0:t>
        </ns0:is>
      </ns0:c>
      <ns0:c r="F1975" s="19" t="inlineStr">
        <ns0:is>
          <ns0:t>https://doi.org/10.1109/access.2026.3650856</ns0:t>
        </ns0:is>
      </ns0:c>
      <ns0:c r="G1975" s="19" t="inlineStr">
        <ns0:is>
          <ns0:t>ChatGPT-assisted evidence recharting, 2026-09-08</ns0:t>
        </ns0:is>
      </ns0:c>
    </ns0:row>
    <ns0:row r="1976" ht="45" customHeight="1">
      <ns0:c r="A1976" s="21" t="inlineStr">
        <ns0:is>
          <ns0:t>new_429</ns0:t>
        </ns0:is>
      </ns0:c>
      <ns0:c r="B1976" s="21" t="inlineStr">
        <ns0:is>
          <ns0:t>rq2_status</ns0:t>
        </ns0:is>
      </ns0:c>
      <ns0:c r="C1976" s="21" t="inlineStr">
        <ns0:is>
          <ns0:t>Confirmed in workflow</ns0:t>
        </ns0:is>
      </ns0:c>
      <ns0:c r="D1976" s="21" t="inlineStr">
        <ns0:is>
          <ns0:t>Evaluated at point of use</ns0:t>
        </ns0:is>
      </ns0:c>
      <ns0:c r="E1976" s="21" t="inlineStr">
        <ns0:is>
          <ns0:t>Abstract explicitly reports operation at a healthcare provider; deployment is author-reported, clinical benefit is not independently established.
Operational-use claim from abstract; no independently verified causal improvement in diagnostic outcomes.</ns0:t>
        </ns0:is>
      </ns0:c>
      <ns0:c r="F1976" s="21" t="inlineStr">
        <ns0:is>
          <ns0:t>https://doi.org/10.1109/access.2026.3650856</ns0:t>
        </ns0:is>
      </ns0:c>
      <ns0:c r="G1976" s="21" t="inlineStr">
        <ns0:is>
          <ns0:t>ChatGPT-assisted evidence recharting, 2026-09-08</ns0:t>
        </ns0:is>
      </ns0:c>
    </ns0:row>
    <ns0:row r="1977" ht="45" customHeight="1">
      <ns0:c r="A1977" s="19" t="inlineStr">
        <ns0:is>
          <ns0:t>new_429</ns0:t>
        </ns0:is>
      </ns0:c>
      <ns0:c r="B1977" s="19" t="inlineStr">
        <ns0:is>
          <ns0:t>rq2_role</ns0:t>
        </ns0:is>
      </ns0:c>
      <ns0:c r="C1977" s="19" t="inlineStr">
        <ns0:is>
          <ns0:t>Operating in a healthcare provider</ns0:t>
        </ns0:is>
      </ns0:c>
      <ns0:c r="D1977" s="19" t="inlineStr">
        <ns0:is>
          <ns0:t>Triage/questionnaire assessment</ns0:t>
        </ns0:is>
      </ns0:c>
      <ns0:c r="E1977" s="19" t="inlineStr">
        <ns0:is>
          <ns0:t>Abstract explicitly reports operation at a healthcare provider; deployment is author-reported, clinical benefit is not independently established.
Operational-use claim from abstract; no independently verified causal improvement in diagnostic outcomes.</ns0:t>
        </ns0:is>
      </ns0:c>
      <ns0:c r="F1977" s="19" t="inlineStr">
        <ns0:is>
          <ns0:t>https://doi.org/10.1109/access.2026.3650856</ns0:t>
        </ns0:is>
      </ns0:c>
      <ns0:c r="G1977" s="19" t="inlineStr">
        <ns0:is>
          <ns0:t>ChatGPT-assisted evidence recharting, 2026-09-08</ns0:t>
        </ns0:is>
      </ns0:c>
    </ns0:row>
    <ns0:row r="1978" ht="45" customHeight="1">
      <ns0:c r="A1978" s="21" t="inlineStr">
        <ns0:is>
          <ns0:t>new_429</ns0:t>
        </ns0:is>
      </ns0:c>
      <ns0:c r="B1978" s="21" t="inlineStr">
        <ns0:is>
          <ns0:t>decision_timing</ns0:t>
        </ns0:is>
      </ns0:c>
      <ns0:c r="C1978" s="21" t="inlineStr"/>
      <ns0:c r="D1978" s="21" t="inlineStr">
        <ns0:is>
          <ns0:t>Pre-decision</ns0:t>
        </ns0:is>
      </ns0:c>
      <ns0:c r="E1978" s="21" t="inlineStr">
        <ns0:is>
          <ns0:t>Abstract explicitly reports operation at a healthcare provider; deployment is author-reported, clinical benefit is not independently established.
Operational-use claim from abstract; no independently verified causal improvement in diagnostic outcomes.</ns0:t>
        </ns0:is>
      </ns0:c>
      <ns0:c r="F1978" s="21" t="inlineStr">
        <ns0:is>
          <ns0:t>https://doi.org/10.1109/access.2026.3650856</ns0:t>
        </ns0:is>
      </ns0:c>
      <ns0:c r="G1978" s="21" t="inlineStr">
        <ns0:is>
          <ns0:t>ChatGPT-assisted evidence recharting, 2026-09-08</ns0:t>
        </ns0:is>
      </ns0:c>
    </ns0:row>
    <ns0:row r="1979" ht="45" customHeight="1">
      <ns0:c r="A1979" s="19" t="inlineStr">
        <ns0:is>
          <ns0:t>new_429</ns0:t>
        </ns0:is>
      </ns0:c>
      <ns0:c r="B1979" s="19" t="inlineStr">
        <ns0:is>
          <ns0:t>integrity_status</ns0:t>
        </ns0:is>
      </ns0:c>
      <ns0:c r="C1979" s="19" t="inlineStr"/>
      <ns0:c r="D1979" s="19" t="inlineStr">
        <ns0:is>
          <ns0:t>Not recorded</ns0:t>
        </ns0:is>
      </ns0:c>
      <ns0:c r="E1979" s="19" t="inlineStr">
        <ns0:is>
          <ns0:t>Abstract explicitly reports operation at a healthcare provider; deployment is author-reported, clinical benefit is not independently established.
Operational-use claim from abstract; no independently verified causal improvement in diagnostic outcomes.</ns0:t>
        </ns0:is>
      </ns0:c>
      <ns0:c r="F1979" s="19" t="inlineStr">
        <ns0:is>
          <ns0:t>https://doi.org/10.1109/access.2026.3650856</ns0:t>
        </ns0:is>
      </ns0:c>
      <ns0:c r="G1979" s="19" t="inlineStr">
        <ns0:is>
          <ns0:t>ChatGPT-assisted evidence recharting, 2026-09-08</ns0:t>
        </ns0:is>
      </ns0:c>
    </ns0:row>
    <ns0:row r="1980" ht="42" customHeight="1">
      <ns0:c r="A1980" s="21" t="inlineStr">
        <ns0:is>
          <ns0:t>new_1</ns0:t>
        </ns0:is>
      </ns0:c>
      <ns0:c r="B1980" s="21" t="inlineStr">
        <ns0:is>
          <ns0:t>data_source_primary</ns0:t>
        </ns0:is>
      </ns0:c>
      <ns0:c r="C1980" s="21" t="inlineStr">
        <ns0:is>
          <ns0:t>Thermal imaging / physiology</ns0:t>
        </ns0:is>
      </ns0:c>
      <ns0:c r="D1980" s="21" t="inlineStr">
        <ns0:is>
          <ns0:t>Other biomedical/digital data</ns0:t>
        </ns0:is>
      </ns0:c>
      <ns0:c r="E1980" s="21" t="inlineStr">
        <ns0:is>
          <ns0:t>Thermal facial monitoring prototype; proposed medication adjustment is not evidence of actual treatment decisions.</ns0:t>
        </ns0:is>
      </ns0:c>
      <ns0:c r="F1980" s="21" t="inlineStr">
        <ns0:is>
          <ns0:t>https://doi.org/10.1016/j.bspc.2024.107009</ns0:t>
        </ns0:is>
      </ns0:c>
      <ns0:c r="G1980" s="21" t="inlineStr">
        <ns0:is>
          <ns0:t>ChatGPT-assisted evidence recharting, 2026-09-08</ns0:t>
        </ns0:is>
      </ns0:c>
    </ns0:row>
    <ns0:row r="1981" ht="42" customHeight="1">
      <ns0:c r="A1981" s="19" t="inlineStr">
        <ns0:is>
          <ns0:t>new_1</ns0:t>
        </ns0:is>
      </ns0:c>
      <ns0:c r="B1981" s="19" t="inlineStr">
        <ns0:is>
          <ns0:t>algorithm_main</ns0:t>
        </ns0:is>
      </ns0:c>
      <ns0:c r="C1981" s="19" t="inlineStr">
        <ns0:is>
          <ns0:t>DN-FME + Random Forest/SVM severity classifiers</ns0:t>
        </ns0:is>
      </ns0:c>
      <ns0:c r="D1981" s="19" t="inlineStr">
        <ns0:is>
          <ns0:t>Thermal feature encoder plus RF / SVM</ns0:t>
        </ns0:is>
      </ns0:c>
      <ns0:c r="E1981" s="19" t="inlineStr">
        <ns0:is>
          <ns0:t>Thermal facial monitoring prototype; proposed medication adjustment is not evidence of actual treatment decisions.</ns0:t>
        </ns0:is>
      </ns0:c>
      <ns0:c r="F1981" s="19" t="inlineStr">
        <ns0:is>
          <ns0:t>https://doi.org/10.1016/j.bspc.2024.107009</ns0:t>
        </ns0:is>
      </ns0:c>
      <ns0:c r="G1981" s="19" t="inlineStr">
        <ns0:is>
          <ns0:t>ChatGPT-assisted evidence recharting, 2026-09-08</ns0:t>
        </ns0:is>
      </ns0:c>
    </ns0:row>
    <ns0:row r="1982" ht="42" customHeight="1">
      <ns0:c r="A1982" s="21" t="inlineStr">
        <ns0:is>
          <ns0:t>new_1</ns0:t>
        </ns0:is>
      </ns0:c>
      <ns0:c r="B1982" s="21" t="inlineStr">
        <ns0:is>
          <ns0:t>rq2_role</ns0:t>
        </ns0:is>
      </ns0:c>
      <ns0:c r="C1982" s="21" t="inlineStr">
        <ns0:is>
          <ns0:t>Proposed continuous thermal monitoring to inform ASD severity and medication adjustment</ns0:t>
        </ns0:is>
      </ns0:c>
      <ns0:c r="D1982" s="21" t="inlineStr">
        <ns0:is>
          <ns0:t>Monitoring/longitudinal analysis</ns0:t>
        </ns0:is>
      </ns0:c>
      <ns0:c r="E1982" s="21" t="inlineStr">
        <ns0:is>
          <ns0:t>Thermal facial monitoring prototype; proposed medication adjustment is not evidence of actual treatment decisions.</ns0:t>
        </ns0:is>
      </ns0:c>
      <ns0:c r="F1982" s="21" t="inlineStr">
        <ns0:is>
          <ns0:t>https://doi.org/10.1016/j.bspc.2024.107009</ns0:t>
        </ns0:is>
      </ns0:c>
      <ns0:c r="G1982" s="21" t="inlineStr">
        <ns0:is>
          <ns0:t>ChatGPT-assisted evidence recharting, 2026-09-08</ns0:t>
        </ns0:is>
      </ns0:c>
    </ns0:row>
    <ns0:row r="1983" ht="42" customHeight="1">
      <ns0:c r="A1983" s="19" t="inlineStr">
        <ns0:is>
          <ns0:t>new_1</ns0:t>
        </ns0:is>
      </ns0:c>
      <ns0:c r="B1983" s="19" t="inlineStr">
        <ns0:is>
          <ns0:t>decision_timing</ns0:t>
        </ns0:is>
      </ns0:c>
      <ns0:c r="C1983" s="19" t="inlineStr"/>
      <ns0:c r="D1983" s="19" t="inlineStr">
        <ns0:is>
          <ns0:t>Post-decision</ns0:t>
        </ns0:is>
      </ns0:c>
      <ns0:c r="E1983" s="19" t="inlineStr">
        <ns0:is>
          <ns0:t>Thermal facial monitoring prototype; proposed medication adjustment is not evidence of actual treatment decisions.</ns0:t>
        </ns0:is>
      </ns0:c>
      <ns0:c r="F1983" s="19" t="inlineStr">
        <ns0:is>
          <ns0:t>https://doi.org/10.1016/j.bspc.2024.107009</ns0:t>
        </ns0:is>
      </ns0:c>
      <ns0:c r="G1983" s="19" t="inlineStr">
        <ns0:is>
          <ns0:t>ChatGPT-assisted evidence recharting, 2026-09-08</ns0:t>
        </ns0:is>
      </ns0:c>
    </ns0:row>
    <ns0:row r="1984" ht="42" customHeight="1">
      <ns0:c r="A1984" s="21" t="inlineStr">
        <ns0:is>
          <ns0:t>new_1</ns0:t>
        </ns0:is>
      </ns0:c>
      <ns0:c r="B1984" s="21" t="inlineStr">
        <ns0:is>
          <ns0:t>integrity_status</ns0:t>
        </ns0:is>
      </ns0:c>
      <ns0:c r="C1984" s="21" t="inlineStr"/>
      <ns0:c r="D1984" s="21" t="inlineStr">
        <ns0:is>
          <ns0:t>Not recorded</ns0:t>
        </ns0:is>
      </ns0:c>
      <ns0:c r="E1984" s="21" t="inlineStr">
        <ns0:is>
          <ns0:t>Thermal facial monitoring prototype; proposed medication adjustment is not evidence of actual treatment decisions.</ns0:t>
        </ns0:is>
      </ns0:c>
      <ns0:c r="F1984" s="21" t="inlineStr">
        <ns0:is>
          <ns0:t>https://doi.org/10.1016/j.bspc.2024.107009</ns0:t>
        </ns0:is>
      </ns0:c>
      <ns0:c r="G1984" s="21" t="inlineStr">
        <ns0:is>
          <ns0:t>ChatGPT-assisted evidence recharting, 2026-09-08</ns0:t>
        </ns0:is>
      </ns0:c>
    </ns0:row>
    <ns0:row r="1985" ht="69" customHeight="1">
      <ns0:c r="A1985" s="19" t="inlineStr">
        <ns0:is>
          <ns0:t>new_3</ns0:t>
        </ns0:is>
      </ns0:c>
      <ns0:c r="B1985" s="19" t="inlineStr">
        <ns0:is>
          <ns0:t>data_source_primary</ns0:t>
        </ns0:is>
      </ns0:c>
      <ns0:c r="C1985" s="19" t="inlineStr">
        <ns0:is>
          <ns0:t>Structured / tabular data</ns0:t>
        </ns0:is>
      </ns0:c>
      <ns0:c r="D1985" s="19" t="inlineStr">
        <ns0:is>
          <ns0:t>Structured clinical/questionnaire data</ns0:t>
        </ns0:is>
      </ns0:c>
      <ns0:c r="E1985" s="19" t="inlineStr">
        <ns0:is>
          <ns0:t>Retained source-specific coding after review of the supplied extraction notes; not a new full-text retrieval. ASDD evalúa 27 modelos y herramientas AutoML sobre siete datasets y un dataset combinado; varios resultados llegan a 100% de accuracy/F1. Los resultados perfectos exigen cautela. No se identificó una validación externa fija en un cohort/dataset independiente del proceso de desarrollo; múltiples datasets no equivalen automáticamente a external validation.</ns0:t>
        </ns0:is>
      </ns0:c>
      <ns0:c r="F1985" s="19" t="inlineStr">
        <ns0:is>
          <ns0:t>https://doi.org/10.1016/j.bspc.2024.106949</ns0:t>
        </ns0:is>
      </ns0:c>
      <ns0:c r="G1985" s="19" t="inlineStr">
        <ns0:is>
          <ns0:t>ChatGPT-assisted evidence recharting, 2026-09-08</ns0:t>
        </ns0:is>
      </ns0:c>
    </ns0:row>
    <ns0:row r="1986" ht="69" customHeight="1">
      <ns0:c r="A1986" s="21" t="inlineStr">
        <ns0:is>
          <ns0:t>new_3</ns0:t>
        </ns0:is>
      </ns0:c>
      <ns0:c r="B1986" s="21" t="inlineStr">
        <ns0:is>
          <ns0:t>rq2_role</ns0:t>
        </ns0:is>
      </ns0:c>
      <ns0:c r="C1986" s="21" t="inlineStr">
        <ns0:is>
          <ns0:t>Experimental AutoML framework for ASD screening/classification</ns0:t>
        </ns0:is>
      </ns0:c>
      <ns0:c r="D1986" s="21" t="inlineStr">
        <ns0:is>
          <ns0:t>Triage/questionnaire assessment</ns0:t>
        </ns0:is>
      </ns0:c>
      <ns0:c r="E1986" s="21" t="inlineStr">
        <ns0:is>
          <ns0:t>Retained source-specific coding after review of the supplied extraction notes; not a new full-text retrieval. ASDD evalúa 27 modelos y herramientas AutoML sobre siete datasets y un dataset combinado; varios resultados llegan a 100% de accuracy/F1. Los resultados perfectos exigen cautela. No se identificó una validación externa fija en un cohort/dataset independiente del proceso de desarrollo; múltiples datasets no equivalen automáticamente a external validation.</ns0:t>
        </ns0:is>
      </ns0:c>
      <ns0:c r="F1986" s="21" t="inlineStr">
        <ns0:is>
          <ns0:t>https://doi.org/10.1016/j.bspc.2024.106949</ns0:t>
        </ns0:is>
      </ns0:c>
      <ns0:c r="G1986" s="21" t="inlineStr">
        <ns0:is>
          <ns0:t>ChatGPT-assisted evidence recharting, 2026-09-08</ns0:t>
        </ns0:is>
      </ns0:c>
    </ns0:row>
    <ns0:row r="1987" ht="69" customHeight="1">
      <ns0:c r="A1987" s="19" t="inlineStr">
        <ns0:is>
          <ns0:t>new_3</ns0:t>
        </ns0:is>
      </ns0:c>
      <ns0:c r="B1987" s="19" t="inlineStr">
        <ns0:is>
          <ns0:t>decision_timing</ns0:t>
        </ns0:is>
      </ns0:c>
      <ns0:c r="C1987" s="19" t="inlineStr"/>
      <ns0:c r="D1987" s="19" t="inlineStr">
        <ns0:is>
          <ns0:t>Not observed in assessed sources</ns0:t>
        </ns0:is>
      </ns0:c>
      <ns0:c r="E1987" s="19" t="inlineStr">
        <ns0:is>
          <ns0:t>Retained source-specific coding after review of the supplied extraction notes; not a new full-text retrieval. ASDD evalúa 27 modelos y herramientas AutoML sobre siete datasets y un dataset combinado; varios resultados llegan a 100% de accuracy/F1. Los resultados perfectos exigen cautela. No se identificó una validación externa fija en un cohort/dataset independiente del proceso de desarrollo; múltiples datasets no equivalen automáticamente a external validation.</ns0:t>
        </ns0:is>
      </ns0:c>
      <ns0:c r="F1987" s="19" t="inlineStr">
        <ns0:is>
          <ns0:t>https://doi.org/10.1016/j.bspc.2024.106949</ns0:t>
        </ns0:is>
      </ns0:c>
      <ns0:c r="G1987" s="19" t="inlineStr">
        <ns0:is>
          <ns0:t>ChatGPT-assisted evidence recharting, 2026-09-08</ns0:t>
        </ns0:is>
      </ns0:c>
    </ns0:row>
    <ns0:row r="1988" ht="69" customHeight="1">
      <ns0:c r="A1988" s="21" t="inlineStr">
        <ns0:is>
          <ns0:t>new_3</ns0:t>
        </ns0:is>
      </ns0:c>
      <ns0:c r="B1988" s="21" t="inlineStr">
        <ns0:is>
          <ns0:t>integrity_status</ns0:t>
        </ns0:is>
      </ns0:c>
      <ns0:c r="C1988" s="21" t="inlineStr"/>
      <ns0:c r="D1988" s="21" t="inlineStr">
        <ns0:is>
          <ns0:t>Not recorded</ns0:t>
        </ns0:is>
      </ns0:c>
      <ns0:c r="E1988" s="21" t="inlineStr">
        <ns0:is>
          <ns0:t>Retained source-specific coding after review of the supplied extraction notes; not a new full-text retrieval. ASDD evalúa 27 modelos y herramientas AutoML sobre siete datasets y un dataset combinado; varios resultados llegan a 100% de accuracy/F1. Los resultados perfectos exigen cautela. No se identificó una validación externa fija en un cohort/dataset independiente del proceso de desarrollo; múltiples datasets no equivalen automáticamente a external validation.</ns0:t>
        </ns0:is>
      </ns0:c>
      <ns0:c r="F1988" s="21" t="inlineStr">
        <ns0:is>
          <ns0:t>https://doi.org/10.1016/j.bspc.2024.106949</ns0:t>
        </ns0:is>
      </ns0:c>
      <ns0:c r="G1988" s="21" t="inlineStr">
        <ns0:is>
          <ns0:t>ChatGPT-assisted evidence recharting, 2026-09-08</ns0:t>
        </ns0:is>
      </ns0:c>
    </ns0:row>
    <ns0:row r="1989" ht="57" customHeight="1">
      <ns0:c r="A1989" s="19" t="inlineStr">
        <ns0:is>
          <ns0:t>new_4</ns0:t>
        </ns0:is>
      </ns0:c>
      <ns0:c r="B1989" s="19" t="inlineStr">
        <ns0:is>
          <ns0:t>data_source_primary</ns0:t>
        </ns0:is>
      </ns0:c>
      <ns0:c r="C1989" s="19" t="inlineStr">
        <ns0:is>
          <ns0:t>Behavioral video / movement</ns0:t>
        </ns0:is>
      </ns0:c>
      <ns0:c r="D1989" s="19" t="inlineStr">
        <ns0:is>
          <ns0:t>Behavioral images/video/gaze/movement</ns0:t>
        </ns0:is>
      </ns0:c>
      <ns0:c r="E1989" s="19" t="inlineStr">
        <ns0:is>
          <ns0:t>Retained source-specific coding after review of the supplied extraction notes; not a new full-text retrieval. Evaluación de campo de 3 semanas en escuela especial: 12 niños con ASD, 5 tutores, 330 clips revisados; el módulo de feedback afectivo reporta 97.6% de acierto. Muestra pequeña y evaluación breve. La precisión del módulo de feedback no debe confundirse con eficacia clínica de largo plazo.</ns0:t>
        </ns0:is>
      </ns0:c>
      <ns0:c r="F1989" s="19" t="inlineStr">
        <ns0:is>
          <ns0:t>https://doi.org/10.1016/j.ijhcs.2025.103486</ns0:t>
        </ns0:is>
      </ns0:c>
      <ns0:c r="G1989" s="19" t="inlineStr">
        <ns0:is>
          <ns0:t>ChatGPT-assisted evidence recharting, 2026-09-08</ns0:t>
        </ns0:is>
      </ns0:c>
    </ns0:row>
    <ns0:row r="1990" ht="57" customHeight="1">
      <ns0:c r="A1990" s="21" t="inlineStr">
        <ns0:is>
          <ns0:t>new_4</ns0:t>
        </ns0:is>
      </ns0:c>
      <ns0:c r="B1990" s="21" t="inlineStr">
        <ns0:is>
          <ns0:t>rq2_status</ns0:t>
        </ns0:is>
      </ns0:c>
      <ns0:c r="C1990" s="21" t="inlineStr">
        <ns0:is>
          <ns0:t>Confirmed in care delivery</ns0:t>
        </ns0:is>
      </ns0:c>
      <ns0:c r="D1990" s="21" t="inlineStr">
        <ns0:is>
          <ns0:t>Evaluated AI-supported intervention</ns0:t>
        </ns0:is>
      </ns0:c>
      <ns0:c r="E1990" s="21" t="inlineStr">
        <ns0:is>
          <ns0:t>Retained source-specific coding after review of the supplied extraction notes; not a new full-text retrieval. Evaluación de campo de 3 semanas en escuela especial: 12 niños con ASD, 5 tutores, 330 clips revisados; el módulo de feedback afectivo reporta 97.6% de acierto. Muestra pequeña y evaluación breve. La precisión del módulo de feedback no debe confundirse con eficacia clínica de largo plazo.</ns0:t>
        </ns0:is>
      </ns0:c>
      <ns0:c r="F1990" s="21" t="inlineStr">
        <ns0:is>
          <ns0:t>https://doi.org/10.1016/j.ijhcs.2025.103486</ns0:t>
        </ns0:is>
      </ns0:c>
      <ns0:c r="G1990" s="21" t="inlineStr">
        <ns0:is>
          <ns0:t>ChatGPT-assisted evidence recharting, 2026-09-08</ns0:t>
        </ns0:is>
      </ns0:c>
    </ns0:row>
    <ns0:row r="1991" ht="57" customHeight="1">
      <ns0:c r="A1991" s="19" t="inlineStr">
        <ns0:is>
          <ns0:t>new_4</ns0:t>
        </ns0:is>
      </ns0:c>
      <ns0:c r="B1991" s="19" t="inlineStr">
        <ns0:is>
          <ns0:t>rq2_role</ns0:t>
        </ns0:is>
      </ns0:c>
      <ns0:c r="C1991" s="19" t="inlineStr">
        <ns0:is>
          <ns0:t>AI facial-expression feedback embedded in an emotion-learning intervention</ns0:t>
        </ns0:is>
      </ns0:c>
      <ns0:c r="D1991" s="19" t="inlineStr">
        <ns0:is>
          <ns0:t>Adaptive intervention</ns0:t>
        </ns0:is>
      </ns0:c>
      <ns0:c r="E1991" s="19" t="inlineStr">
        <ns0:is>
          <ns0:t>Retained source-specific coding after review of the supplied extraction notes; not a new full-text retrieval. Evaluación de campo de 3 semanas en escuela especial: 12 niños con ASD, 5 tutores, 330 clips revisados; el módulo de feedback afectivo reporta 97.6% de acierto. Muestra pequeña y evaluación breve. La precisión del módulo de feedback no debe confundirse con eficacia clínica de largo plazo.</ns0:t>
        </ns0:is>
      </ns0:c>
      <ns0:c r="F1991" s="19" t="inlineStr">
        <ns0:is>
          <ns0:t>https://doi.org/10.1016/j.ijhcs.2025.103486</ns0:t>
        </ns0:is>
      </ns0:c>
      <ns0:c r="G1991" s="19" t="inlineStr">
        <ns0:is>
          <ns0:t>ChatGPT-assisted evidence recharting, 2026-09-08</ns0:t>
        </ns0:is>
      </ns0:c>
    </ns0:row>
    <ns0:row r="1992" ht="57" customHeight="1">
      <ns0:c r="A1992" s="21" t="inlineStr">
        <ns0:is>
          <ns0:t>new_4</ns0:t>
        </ns0:is>
      </ns0:c>
      <ns0:c r="B1992" s="21" t="inlineStr">
        <ns0:is>
          <ns0:t>decision_timing</ns0:t>
        </ns0:is>
      </ns0:c>
      <ns0:c r="C1992" s="21" t="inlineStr"/>
      <ns0:c r="D1992" s="21" t="inlineStr">
        <ns0:is>
          <ns0:t>Post-decision</ns0:t>
        </ns0:is>
      </ns0:c>
      <ns0:c r="E1992" s="21" t="inlineStr">
        <ns0:is>
          <ns0:t>Retained source-specific coding after review of the supplied extraction notes; not a new full-text retrieval. Evaluación de campo de 3 semanas en escuela especial: 12 niños con ASD, 5 tutores, 330 clips revisados; el módulo de feedback afectivo reporta 97.6% de acierto. Muestra pequeña y evaluación breve. La precisión del módulo de feedback no debe confundirse con eficacia clínica de largo plazo.</ns0:t>
        </ns0:is>
      </ns0:c>
      <ns0:c r="F1992" s="21" t="inlineStr">
        <ns0:is>
          <ns0:t>https://doi.org/10.1016/j.ijhcs.2025.103486</ns0:t>
        </ns0:is>
      </ns0:c>
      <ns0:c r="G1992" s="21" t="inlineStr">
        <ns0:is>
          <ns0:t>ChatGPT-assisted evidence recharting, 2026-09-08</ns0:t>
        </ns0:is>
      </ns0:c>
    </ns0:row>
    <ns0:row r="1993" ht="57" customHeight="1">
      <ns0:c r="A1993" s="19" t="inlineStr">
        <ns0:is>
          <ns0:t>new_4</ns0:t>
        </ns0:is>
      </ns0:c>
      <ns0:c r="B1993" s="19" t="inlineStr">
        <ns0:is>
          <ns0:t>integrity_status</ns0:t>
        </ns0:is>
      </ns0:c>
      <ns0:c r="C1993" s="19" t="inlineStr"/>
      <ns0:c r="D1993" s="19" t="inlineStr">
        <ns0:is>
          <ns0:t>Not recorded</ns0:t>
        </ns0:is>
      </ns0:c>
      <ns0:c r="E1993" s="19" t="inlineStr">
        <ns0:is>
          <ns0:t>Retained source-specific coding after review of the supplied extraction notes; not a new full-text retrieval. Evaluación de campo de 3 semanas en escuela especial: 12 niños con ASD, 5 tutores, 330 clips revisados; el módulo de feedback afectivo reporta 97.6% de acierto. Muestra pequeña y evaluación breve. La precisión del módulo de feedback no debe confundirse con eficacia clínica de largo plazo.</ns0:t>
        </ns0:is>
      </ns0:c>
      <ns0:c r="F1993" s="19" t="inlineStr">
        <ns0:is>
          <ns0:t>https://doi.org/10.1016/j.ijhcs.2025.103486</ns0:t>
        </ns0:is>
      </ns0:c>
      <ns0:c r="G1993" s="19" t="inlineStr">
        <ns0:is>
          <ns0:t>ChatGPT-assisted evidence recharting, 2026-09-08</ns0:t>
        </ns0:is>
      </ns0:c>
    </ns0:row>
    <ns0:row r="1994" ht="69" customHeight="1">
      <ns0:c r="A1994" s="21" t="inlineStr">
        <ns0:is>
          <ns0:t>new_7</ns0:t>
        </ns0:is>
      </ns0:c>
      <ns0:c r="B1994" s="21" t="inlineStr">
        <ns0:is>
          <ns0:t>rq2_role</ns0:t>
        </ns0:is>
      </ns0:c>
      <ns0:c r="C1994" s="21" t="inlineStr">
        <ns0:is>
          <ns0:t>Experimental MRI-based ASD classifier</ns0:t>
        </ns0:is>
      </ns0:c>
      <ns0:c r="D1994" s="21" t="inlineStr">
        <ns0:is>
          <ns0:t>Automated measurement/classification</ns0:t>
        </ns0:is>
      </ns0:c>
      <ns0:c r="E1994" s="21" t="inlineStr">
        <ns0:is>
          <ns0:t>Retained source-specific coding after review of the supplied extraction notes; not a new full-text retrieval. Pipeline con preprocesamiento MRI, extracción ROI/rasgos y DenseNet optimizado con JSTO; reporta accuracy de 94.8%. No se identificó validación externa independiente. Además, el texto indexado reporta FNR/FPR que parecen incompatibles con TPR/TNR simultáneamente reportados bajo definiciones estándar; requiere comprobación de tabla en verificación independiente.</ns0:t>
        </ns0:is>
      </ns0:c>
      <ns0:c r="F1994" s="21" t="inlineStr">
        <ns0:is>
          <ns0:t>https://doi.org/10.1016/j.compbiolchem.2024.108335</ns0:t>
        </ns0:is>
      </ns0:c>
      <ns0:c r="G1994" s="21" t="inlineStr">
        <ns0:is>
          <ns0:t>ChatGPT-assisted evidence recharting, 2026-09-08</ns0:t>
        </ns0:is>
      </ns0:c>
    </ns0:row>
    <ns0:row r="1995" ht="69" customHeight="1">
      <ns0:c r="A1995" s="19" t="inlineStr">
        <ns0:is>
          <ns0:t>new_7</ns0:t>
        </ns0:is>
      </ns0:c>
      <ns0:c r="B1995" s="19" t="inlineStr">
        <ns0:is>
          <ns0:t>decision_timing</ns0:t>
        </ns0:is>
      </ns0:c>
      <ns0:c r="C1995" s="19" t="inlineStr"/>
      <ns0:c r="D1995" s="19" t="inlineStr">
        <ns0:is>
          <ns0:t>Not observed in assessed sources</ns0:t>
        </ns0:is>
      </ns0:c>
      <ns0:c r="E1995" s="19" t="inlineStr">
        <ns0:is>
          <ns0:t>Retained source-specific coding after review of the supplied extraction notes; not a new full-text retrieval. Pipeline con preprocesamiento MRI, extracción ROI/rasgos y DenseNet optimizado con JSTO; reporta accuracy de 94.8%. No se identificó validación externa independiente. Además, el texto indexado reporta FNR/FPR que parecen incompatibles con TPR/TNR simultáneamente reportados bajo definiciones estándar; requiere comprobación de tabla en verificación independiente.</ns0:t>
        </ns0:is>
      </ns0:c>
      <ns0:c r="F1995" s="19" t="inlineStr">
        <ns0:is>
          <ns0:t>https://doi.org/10.1016/j.compbiolchem.2024.108335</ns0:t>
        </ns0:is>
      </ns0:c>
      <ns0:c r="G1995" s="19" t="inlineStr">
        <ns0:is>
          <ns0:t>ChatGPT-assisted evidence recharting, 2026-09-08</ns0:t>
        </ns0:is>
      </ns0:c>
    </ns0:row>
    <ns0:row r="1996" ht="69" customHeight="1">
      <ns0:c r="A1996" s="21" t="inlineStr">
        <ns0:is>
          <ns0:t>new_7</ns0:t>
        </ns0:is>
      </ns0:c>
      <ns0:c r="B1996" s="21" t="inlineStr">
        <ns0:is>
          <ns0:t>integrity_status</ns0:t>
        </ns0:is>
      </ns0:c>
      <ns0:c r="C1996" s="21" t="inlineStr"/>
      <ns0:c r="D1996" s="21" t="inlineStr">
        <ns0:is>
          <ns0:t>Not recorded</ns0:t>
        </ns0:is>
      </ns0:c>
      <ns0:c r="E1996" s="21" t="inlineStr">
        <ns0:is>
          <ns0:t>Retained source-specific coding after review of the supplied extraction notes; not a new full-text retrieval. Pipeline con preprocesamiento MRI, extracción ROI/rasgos y DenseNet optimizado con JSTO; reporta accuracy de 94.8%. No se identificó validación externa independiente. Además, el texto indexado reporta FNR/FPR que parecen incompatibles con TPR/TNR simultáneamente reportados bajo definiciones estándar; requiere comprobación de tabla en verificación independiente.</ns0:t>
        </ns0:is>
      </ns0:c>
      <ns0:c r="F1996" s="21" t="inlineStr">
        <ns0:is>
          <ns0:t>https://doi.org/10.1016/j.compbiolchem.2024.108335</ns0:t>
        </ns0:is>
      </ns0:c>
      <ns0:c r="G1996" s="21" t="inlineStr">
        <ns0:is>
          <ns0:t>ChatGPT-assisted evidence recharting, 2026-09-08</ns0:t>
        </ns0:is>
      </ns0:c>
    </ns0:row>
    <ns0:row r="1997" ht="57" customHeight="1">
      <ns0:c r="A1997" s="19" t="inlineStr">
        <ns0:is>
          <ns0:t>new_15</ns0:t>
        </ns0:is>
      </ns0:c>
      <ns0:c r="B1997" s="19" t="inlineStr">
        <ns0:is>
          <ns0:t>data_source_primary</ns0:t>
        </ns0:is>
      </ns0:c>
      <ns0:c r="C1997" s="19" t="inlineStr">
        <ns0:is>
          <ns0:t>Multiple modalities (as coded)</ns0:t>
        </ns0:is>
      </ns0:c>
      <ns0:c r="D1997" s="19" t="inlineStr">
        <ns0:is>
          <ns0:t>Multiple source categories</ns0:t>
        </ns0:is>
      </ns0:c>
      <ns0:c r="E1997" s="19" t="inlineStr">
        <ns0:is>
          <ns0:t>Retained source-specific coding after review of the supplied extraction notes; not a new full-text retrieval. MCBERT fusiona MRI y meta-features en ABIDE-I y usa leave-one-site-out; se reporta accuracy máxima de 93.4%. LOSO sí aporta evaluación entre sitios y se codifica como external/site-held-out validation. El uso de atención arquitectónica no se contabilizó como XAI porque no se identificó una evaluación explícita de explicaciones.</ns0:t>
        </ns0:is>
      </ns0:c>
      <ns0:c r="F1997" s="19" t="inlineStr">
        <ns0:is>
          <ns0:t>https://doi.org/10.1016/j.biopsycho.2024.108976</ns0:t>
        </ns0:is>
      </ns0:c>
      <ns0:c r="G1997" s="19" t="inlineStr">
        <ns0:is>
          <ns0:t>ChatGPT-assisted evidence recharting, 2026-09-08</ns0:t>
        </ns0:is>
      </ns0:c>
    </ns0:row>
    <ns0:row r="1998" ht="57" customHeight="1">
      <ns0:c r="A1998" s="21" t="inlineStr">
        <ns0:is>
          <ns0:t>new_15</ns0:t>
        </ns0:is>
      </ns0:c>
      <ns0:c r="B1998" s="21" t="inlineStr">
        <ns0:is>
          <ns0:t>rq2_role</ns0:t>
        </ns0:is>
      </ns0:c>
      <ns0:c r="C1998" s="21" t="inlineStr">
        <ns0:is>
          <ns0:t>Experimental multimodal diagnostic classifier</ns0:t>
        </ns0:is>
      </ns0:c>
      <ns0:c r="D1998" s="21" t="inlineStr">
        <ns0:is>
          <ns0:t>Automated measurement/classification</ns0:t>
        </ns0:is>
      </ns0:c>
      <ns0:c r="E1998" s="21" t="inlineStr">
        <ns0:is>
          <ns0:t>Retained source-specific coding after review of the supplied extraction notes; not a new full-text retrieval. MCBERT fusiona MRI y meta-features en ABIDE-I y usa leave-one-site-out; se reporta accuracy máxima de 93.4%. LOSO sí aporta evaluación entre sitios y se codifica como external/site-held-out validation. El uso de atención arquitectónica no se contabilizó como XAI porque no se identificó una evaluación explícita de explicaciones.</ns0:t>
        </ns0:is>
      </ns0:c>
      <ns0:c r="F1998" s="21" t="inlineStr">
        <ns0:is>
          <ns0:t>https://doi.org/10.1016/j.biopsycho.2024.108976</ns0:t>
        </ns0:is>
      </ns0:c>
      <ns0:c r="G1998" s="21" t="inlineStr">
        <ns0:is>
          <ns0:t>ChatGPT-assisted evidence recharting, 2026-09-08</ns0:t>
        </ns0:is>
      </ns0:c>
    </ns0:row>
    <ns0:row r="1999" ht="57" customHeight="1">
      <ns0:c r="A1999" s="19" t="inlineStr">
        <ns0:is>
          <ns0:t>new_15</ns0:t>
        </ns0:is>
      </ns0:c>
      <ns0:c r="B1999" s="19" t="inlineStr">
        <ns0:is>
          <ns0:t>decision_timing</ns0:t>
        </ns0:is>
      </ns0:c>
      <ns0:c r="C1999" s="19" t="inlineStr"/>
      <ns0:c r="D1999" s="19" t="inlineStr">
        <ns0:is>
          <ns0:t>Not observed in assessed sources</ns0:t>
        </ns0:is>
      </ns0:c>
      <ns0:c r="E1999" s="19" t="inlineStr">
        <ns0:is>
          <ns0:t>Retained source-specific coding after review of the supplied extraction notes; not a new full-text retrieval. MCBERT fusiona MRI y meta-features en ABIDE-I y usa leave-one-site-out; se reporta accuracy máxima de 93.4%. LOSO sí aporta evaluación entre sitios y se codifica como external/site-held-out validation. El uso de atención arquitectónica no se contabilizó como XAI porque no se identificó una evaluación explícita de explicaciones.</ns0:t>
        </ns0:is>
      </ns0:c>
      <ns0:c r="F1999" s="19" t="inlineStr">
        <ns0:is>
          <ns0:t>https://doi.org/10.1016/j.biopsycho.2024.108976</ns0:t>
        </ns0:is>
      </ns0:c>
      <ns0:c r="G1999" s="19" t="inlineStr">
        <ns0:is>
          <ns0:t>ChatGPT-assisted evidence recharting, 2026-09-08</ns0:t>
        </ns0:is>
      </ns0:c>
    </ns0:row>
    <ns0:row r="2000" ht="57" customHeight="1">
      <ns0:c r="A2000" s="21" t="inlineStr">
        <ns0:is>
          <ns0:t>new_15</ns0:t>
        </ns0:is>
      </ns0:c>
      <ns0:c r="B2000" s="21" t="inlineStr">
        <ns0:is>
          <ns0:t>integrity_status</ns0:t>
        </ns0:is>
      </ns0:c>
      <ns0:c r="C2000" s="21" t="inlineStr"/>
      <ns0:c r="D2000" s="21" t="inlineStr">
        <ns0:is>
          <ns0:t>Not recorded</ns0:t>
        </ns0:is>
      </ns0:c>
      <ns0:c r="E2000" s="21" t="inlineStr">
        <ns0:is>
          <ns0:t>Retained source-specific coding after review of the supplied extraction notes; not a new full-text retrieval. MCBERT fusiona MRI y meta-features en ABIDE-I y usa leave-one-site-out; se reporta accuracy máxima de 93.4%. LOSO sí aporta evaluación entre sitios y se codifica como external/site-held-out validation. El uso de atención arquitectónica no se contabilizó como XAI porque no se identificó una evaluación explícita de explicaciones.</ns0:t>
        </ns0:is>
      </ns0:c>
      <ns0:c r="F2000" s="21" t="inlineStr">
        <ns0:is>
          <ns0:t>https://doi.org/10.1016/j.biopsycho.2024.108976</ns0:t>
        </ns0:is>
      </ns0:c>
      <ns0:c r="G2000" s="21" t="inlineStr">
        <ns0:is>
          <ns0:t>ChatGPT-assisted evidence recharting, 2026-09-08</ns0:t>
        </ns0:is>
      </ns0:c>
    </ns0:row>
    <ns0:row r="2001" ht="57" customHeight="1">
      <ns0:c r="A2001" s="19" t="inlineStr">
        <ns0:is>
          <ns0:t>new_21</ns0:t>
        </ns0:is>
      </ns0:c>
      <ns0:c r="B2001" s="19" t="inlineStr">
        <ns0:is>
          <ns0:t>rq2_role</ns0:t>
        </ns0:is>
      </ns0:c>
      <ns0:c r="C2001" s="19" t="inlineStr">
        <ns0:is>
          <ns0:t>Experimental blood-biomarker screening panel</ns0:t>
        </ns0:is>
      </ns0:c>
      <ns0:c r="D2001" s="19" t="inlineStr">
        <ns0:is>
          <ns0:t>Triage/questionnaire assessment</ns0:t>
        </ns0:is>
      </ns0:c>
      <ns0:c r="E2001" s="19" t="inlineStr">
        <ns0:is>
          <ns0:t>Retained source-specific coding after review of the supplied extraction notes; not a new full-text retrieval. SWATH-MS en 30 ASD vs controles seleccionó biomarcadores mediante ML; un grupo independiente adicional de 30 ASD vs controles fue validado por MRM. Panel de 4 proteínas: AUC 0.8087. La validación independiente fortalece el biomarcador, pero parece provenir del mismo entorno institucional y no demuestra generalización cross-site.</ns0:t>
        </ns0:is>
      </ns0:c>
      <ns0:c r="F2001" s="19" t="inlineStr">
        <ns0:is>
          <ns0:t>https://doi.org/10.1016/j.cca.2024.120018</ns0:t>
        </ns0:is>
      </ns0:c>
      <ns0:c r="G2001" s="19" t="inlineStr">
        <ns0:is>
          <ns0:t>ChatGPT-assisted evidence recharting, 2026-09-08</ns0:t>
        </ns0:is>
      </ns0:c>
    </ns0:row>
    <ns0:row r="2002" ht="57" customHeight="1">
      <ns0:c r="A2002" s="21" t="inlineStr">
        <ns0:is>
          <ns0:t>new_21</ns0:t>
        </ns0:is>
      </ns0:c>
      <ns0:c r="B2002" s="21" t="inlineStr">
        <ns0:is>
          <ns0:t>decision_timing</ns0:t>
        </ns0:is>
      </ns0:c>
      <ns0:c r="C2002" s="21" t="inlineStr"/>
      <ns0:c r="D2002" s="21" t="inlineStr">
        <ns0:is>
          <ns0:t>Not observed in assessed sources</ns0:t>
        </ns0:is>
      </ns0:c>
      <ns0:c r="E2002" s="21" t="inlineStr">
        <ns0:is>
          <ns0:t>Retained source-specific coding after review of the supplied extraction notes; not a new full-text retrieval. SWATH-MS en 30 ASD vs controles seleccionó biomarcadores mediante ML; un grupo independiente adicional de 30 ASD vs controles fue validado por MRM. Panel de 4 proteínas: AUC 0.8087. La validación independiente fortalece el biomarcador, pero parece provenir del mismo entorno institucional y no demuestra generalización cross-site.</ns0:t>
        </ns0:is>
      </ns0:c>
      <ns0:c r="F2002" s="21" t="inlineStr">
        <ns0:is>
          <ns0:t>https://doi.org/10.1016/j.cca.2024.120018</ns0:t>
        </ns0:is>
      </ns0:c>
      <ns0:c r="G2002" s="21" t="inlineStr">
        <ns0:is>
          <ns0:t>ChatGPT-assisted evidence recharting, 2026-09-08</ns0:t>
        </ns0:is>
      </ns0:c>
    </ns0:row>
    <ns0:row r="2003" ht="57" customHeight="1">
      <ns0:c r="A2003" s="19" t="inlineStr">
        <ns0:is>
          <ns0:t>new_21</ns0:t>
        </ns0:is>
      </ns0:c>
      <ns0:c r="B2003" s="19" t="inlineStr">
        <ns0:is>
          <ns0:t>integrity_status</ns0:t>
        </ns0:is>
      </ns0:c>
      <ns0:c r="C2003" s="19" t="inlineStr"/>
      <ns0:c r="D2003" s="19" t="inlineStr">
        <ns0:is>
          <ns0:t>Not recorded</ns0:t>
        </ns0:is>
      </ns0:c>
      <ns0:c r="E2003" s="19" t="inlineStr">
        <ns0:is>
          <ns0:t>Retained source-specific coding after review of the supplied extraction notes; not a new full-text retrieval. SWATH-MS en 30 ASD vs controles seleccionó biomarcadores mediante ML; un grupo independiente adicional de 30 ASD vs controles fue validado por MRM. Panel de 4 proteínas: AUC 0.8087. La validación independiente fortalece el biomarcador, pero parece provenir del mismo entorno institucional y no demuestra generalización cross-site.</ns0:t>
        </ns0:is>
      </ns0:c>
      <ns0:c r="F2003" s="19" t="inlineStr">
        <ns0:is>
          <ns0:t>https://doi.org/10.1016/j.cca.2024.120018</ns0:t>
        </ns0:is>
      </ns0:c>
      <ns0:c r="G2003" s="19" t="inlineStr">
        <ns0:is>
          <ns0:t>ChatGPT-assisted evidence recharting, 2026-09-08</ns0:t>
        </ns0:is>
      </ns0:c>
    </ns0:row>
    <ns0:row r="2004" ht="57" customHeight="1">
      <ns0:c r="A2004" s="21" t="inlineStr">
        <ns0:is>
          <ns0:t>new_23</ns0:t>
        </ns0:is>
      </ns0:c>
      <ns0:c r="B2004" s="21" t="inlineStr">
        <ns0:is>
          <ns0:t>data_source_primary</ns0:t>
        </ns0:is>
      </ns0:c>
      <ns0:c r="C2004" s="21" t="inlineStr">
        <ns0:is>
          <ns0:t>Behavioral video / movement</ns0:t>
        </ns0:is>
      </ns0:c>
      <ns0:c r="D2004" s="21" t="inlineStr">
        <ns0:is>
          <ns0:t>Behavioral images/video/gaze/movement</ns0:t>
        </ns0:is>
      </ns0:c>
      <ns0:c r="E2004" s="21" t="inlineStr">
        <ns0:is>
          <ns0:t>Retained source-specific coding after review of the supplied extraction notes; not a new full-text retrieval. n=81 (42 TD, 39 ASD); validación anidada repetida separada por sujeto; compara modelos end-to-end 3D CNN-ResNet con rasgos manuales y aplica SHAP. La validación interna está bien protegida contra mezcla de sujetos, pero el tamaño muestral sigue siendo pequeño y no existe cohorte externa independiente.</ns0:t>
        </ns0:is>
      </ns0:c>
      <ns0:c r="F2004" s="21" t="inlineStr">
        <ns0:is>
          <ns0:t>https://doi.org/10.1016/j.eswa.2024.126295</ns0:t>
        </ns0:is>
      </ns0:c>
      <ns0:c r="G2004" s="21" t="inlineStr">
        <ns0:is>
          <ns0:t>ChatGPT-assisted evidence recharting, 2026-09-08</ns0:t>
        </ns0:is>
      </ns0:c>
    </ns0:row>
    <ns0:row r="2005" ht="57" customHeight="1">
      <ns0:c r="A2005" s="19" t="inlineStr">
        <ns0:is>
          <ns0:t>new_23</ns0:t>
        </ns0:is>
      </ns0:c>
      <ns0:c r="B2005" s="19" t="inlineStr">
        <ns0:is>
          <ns0:t>rq2_role</ns0:t>
        </ns0:is>
      </ns0:c>
      <ns0:c r="C2005" s="19" t="inlineStr">
        <ns0:is>
          <ns0:t>Experimental motor-kinematic ASD assessment</ns0:t>
        </ns0:is>
      </ns0:c>
      <ns0:c r="D2005" s="19" t="inlineStr">
        <ns0:is>
          <ns0:t>Automated measurement/classification</ns0:t>
        </ns0:is>
      </ns0:c>
      <ns0:c r="E2005" s="19" t="inlineStr">
        <ns0:is>
          <ns0:t>Retained source-specific coding after review of the supplied extraction notes; not a new full-text retrieval. n=81 (42 TD, 39 ASD); validación anidada repetida separada por sujeto; compara modelos end-to-end 3D CNN-ResNet con rasgos manuales y aplica SHAP. La validación interna está bien protegida contra mezcla de sujetos, pero el tamaño muestral sigue siendo pequeño y no existe cohorte externa independiente.</ns0:t>
        </ns0:is>
      </ns0:c>
      <ns0:c r="F2005" s="19" t="inlineStr">
        <ns0:is>
          <ns0:t>https://doi.org/10.1016/j.eswa.2024.126295</ns0:t>
        </ns0:is>
      </ns0:c>
      <ns0:c r="G2005" s="19" t="inlineStr">
        <ns0:is>
          <ns0:t>ChatGPT-assisted evidence recharting, 2026-09-08</ns0:t>
        </ns0:is>
      </ns0:c>
    </ns0:row>
    <ns0:row r="2006" ht="57" customHeight="1">
      <ns0:c r="A2006" s="21" t="inlineStr">
        <ns0:is>
          <ns0:t>new_23</ns0:t>
        </ns0:is>
      </ns0:c>
      <ns0:c r="B2006" s="21" t="inlineStr">
        <ns0:is>
          <ns0:t>decision_timing</ns0:t>
        </ns0:is>
      </ns0:c>
      <ns0:c r="C2006" s="21" t="inlineStr"/>
      <ns0:c r="D2006" s="21" t="inlineStr">
        <ns0:is>
          <ns0:t>Not observed in assessed sources</ns0:t>
        </ns0:is>
      </ns0:c>
      <ns0:c r="E2006" s="21" t="inlineStr">
        <ns0:is>
          <ns0:t>Retained source-specific coding after review of the supplied extraction notes; not a new full-text retrieval. n=81 (42 TD, 39 ASD); validación anidada repetida separada por sujeto; compara modelos end-to-end 3D CNN-ResNet con rasgos manuales y aplica SHAP. La validación interna está bien protegida contra mezcla de sujetos, pero el tamaño muestral sigue siendo pequeño y no existe cohorte externa independiente.</ns0:t>
        </ns0:is>
      </ns0:c>
      <ns0:c r="F2006" s="21" t="inlineStr">
        <ns0:is>
          <ns0:t>https://doi.org/10.1016/j.eswa.2024.126295</ns0:t>
        </ns0:is>
      </ns0:c>
      <ns0:c r="G2006" s="21" t="inlineStr">
        <ns0:is>
          <ns0:t>ChatGPT-assisted evidence recharting, 2026-09-08</ns0:t>
        </ns0:is>
      </ns0:c>
    </ns0:row>
    <ns0:row r="2007" ht="57" customHeight="1">
      <ns0:c r="A2007" s="19" t="inlineStr">
        <ns0:is>
          <ns0:t>new_23</ns0:t>
        </ns0:is>
      </ns0:c>
      <ns0:c r="B2007" s="19" t="inlineStr">
        <ns0:is>
          <ns0:t>integrity_status</ns0:t>
        </ns0:is>
      </ns0:c>
      <ns0:c r="C2007" s="19" t="inlineStr"/>
      <ns0:c r="D2007" s="19" t="inlineStr">
        <ns0:is>
          <ns0:t>Not recorded</ns0:t>
        </ns0:is>
      </ns0:c>
      <ns0:c r="E2007" s="19" t="inlineStr">
        <ns0:is>
          <ns0:t>Retained source-specific coding after review of the supplied extraction notes; not a new full-text retrieval. n=81 (42 TD, 39 ASD); validación anidada repetida separada por sujeto; compara modelos end-to-end 3D CNN-ResNet con rasgos manuales y aplica SHAP. La validación interna está bien protegida contra mezcla de sujetos, pero el tamaño muestral sigue siendo pequeño y no existe cohorte externa independiente.</ns0:t>
        </ns0:is>
      </ns0:c>
      <ns0:c r="F2007" s="19" t="inlineStr">
        <ns0:is>
          <ns0:t>https://doi.org/10.1016/j.eswa.2024.126295</ns0:t>
        </ns0:is>
      </ns0:c>
      <ns0:c r="G2007" s="19" t="inlineStr">
        <ns0:is>
          <ns0:t>ChatGPT-assisted evidence recharting, 2026-09-08</ns0:t>
        </ns0:is>
      </ns0:c>
    </ns0:row>
    <ns0:row r="2008" ht="69" customHeight="1">
      <ns0:c r="A2008" s="21" t="inlineStr">
        <ns0:is>
          <ns0:t>new_37</ns0:t>
        </ns0:is>
      </ns0:c>
      <ns0:c r="B2008" s="21" t="inlineStr">
        <ns0:is>
          <ns0:t>rq2_role</ns0:t>
        </ns0:is>
      </ns0:c>
      <ns0:c r="C2008" s="21" t="inlineStr">
        <ns0:is>
          <ns0:t>Proposed adaptive recommendation/intervention support for autistic children</ns0:t>
        </ns0:is>
      </ns0:c>
      <ns0:c r="D2008" s="21" t="inlineStr">
        <ns0:is>
          <ns0:t>Monitoring/longitudinal analysis</ns0:t>
        </ns0:is>
      </ns0:c>
      <ns0:c r="E2008" s="21" t="inlineStr">
        <ns0:is>
          <ns0:t>Retained source-specific coding after review of the supplied extraction notes; not a new full-text retrieval. Sistema adaptativo con selección/optimización MGSOA y red dilated 1DCNN-LSTM con atención para detectar estados y recomendar acciones; la evaluación descrita es computacional/simulada. No se identificó despliegue real ni evaluación clínica prospectiva; la modalidad primaria de datos no quedó suficientemente especificada para codificarla sin inferencia.</ns0:t>
        </ns0:is>
      </ns0:c>
      <ns0:c r="F2008" s="21" t="inlineStr">
        <ns0:is>
          <ns0:t>https://doi.org/10.1016/j.eswa.2024.125399</ns0:t>
        </ns0:is>
      </ns0:c>
      <ns0:c r="G2008" s="21" t="inlineStr">
        <ns0:is>
          <ns0:t>ChatGPT-assisted evidence recharting, 2026-09-08</ns0:t>
        </ns0:is>
      </ns0:c>
    </ns0:row>
    <ns0:row r="2009" ht="69" customHeight="1">
      <ns0:c r="A2009" s="19" t="inlineStr">
        <ns0:is>
          <ns0:t>new_37</ns0:t>
        </ns0:is>
      </ns0:c>
      <ns0:c r="B2009" s="19" t="inlineStr">
        <ns0:is>
          <ns0:t>decision_timing</ns0:t>
        </ns0:is>
      </ns0:c>
      <ns0:c r="C2009" s="19" t="inlineStr"/>
      <ns0:c r="D2009" s="19" t="inlineStr">
        <ns0:is>
          <ns0:t>Post-decision</ns0:t>
        </ns0:is>
      </ns0:c>
      <ns0:c r="E2009" s="19" t="inlineStr">
        <ns0:is>
          <ns0:t>Retained source-specific coding after review of the supplied extraction notes; not a new full-text retrieval. Sistema adaptativo con selección/optimización MGSOA y red dilated 1DCNN-LSTM con atención para detectar estados y recomendar acciones; la evaluación descrita es computacional/simulada. No se identificó despliegue real ni evaluación clínica prospectiva; la modalidad primaria de datos no quedó suficientemente especificada para codificarla sin inferencia.</ns0:t>
        </ns0:is>
      </ns0:c>
      <ns0:c r="F2009" s="19" t="inlineStr">
        <ns0:is>
          <ns0:t>https://doi.org/10.1016/j.eswa.2024.125399</ns0:t>
        </ns0:is>
      </ns0:c>
      <ns0:c r="G2009" s="19" t="inlineStr">
        <ns0:is>
          <ns0:t>ChatGPT-assisted evidence recharting, 2026-09-08</ns0:t>
        </ns0:is>
      </ns0:c>
    </ns0:row>
    <ns0:row r="2010" ht="69" customHeight="1">
      <ns0:c r="A2010" s="21" t="inlineStr">
        <ns0:is>
          <ns0:t>new_37</ns0:t>
        </ns0:is>
      </ns0:c>
      <ns0:c r="B2010" s="21" t="inlineStr">
        <ns0:is>
          <ns0:t>integrity_status</ns0:t>
        </ns0:is>
      </ns0:c>
      <ns0:c r="C2010" s="21" t="inlineStr"/>
      <ns0:c r="D2010" s="21" t="inlineStr">
        <ns0:is>
          <ns0:t>Not recorded</ns0:t>
        </ns0:is>
      </ns0:c>
      <ns0:c r="E2010" s="21" t="inlineStr">
        <ns0:is>
          <ns0:t>Retained source-specific coding after review of the supplied extraction notes; not a new full-text retrieval. Sistema adaptativo con selección/optimización MGSOA y red dilated 1DCNN-LSTM con atención para detectar estados y recomendar acciones; la evaluación descrita es computacional/simulada. No se identificó despliegue real ni evaluación clínica prospectiva; la modalidad primaria de datos no quedó suficientemente especificada para codificarla sin inferencia.</ns0:t>
        </ns0:is>
      </ns0:c>
      <ns0:c r="F2010" s="21" t="inlineStr">
        <ns0:is>
          <ns0:t>https://doi.org/10.1016/j.eswa.2024.125399</ns0:t>
        </ns0:is>
      </ns0:c>
      <ns0:c r="G2010" s="21" t="inlineStr">
        <ns0:is>
          <ns0:t>ChatGPT-assisted evidence recharting, 2026-09-08</ns0:t>
        </ns0:is>
      </ns0:c>
    </ns0:row>
    <ns0:row r="2011" ht="69" customHeight="1">
      <ns0:c r="A2011" s="19" t="inlineStr">
        <ns0:is>
          <ns0:t>new_38</ns0:t>
        </ns0:is>
      </ns0:c>
      <ns0:c r="B2011" s="19" t="inlineStr">
        <ns0:is>
          <ns0:t>data_source_primary</ns0:t>
        </ns0:is>
      </ns0:c>
      <ns0:c r="C2011" s="19" t="inlineStr">
        <ns0:is>
          <ns0:t>Structured / tabular data</ns0:t>
        </ns0:is>
      </ns0:c>
      <ns0:c r="D2011" s="19" t="inlineStr">
        <ns0:is>
          <ns0:t>Structured clinical/questionnaire data</ns0:t>
        </ns0:is>
      </ns0:c>
      <ns0:c r="E2011" s="19" t="inlineStr">
        <ns0:is>
          <ns0:t>Retained source-specific coding after review of the supplied extraction notes; not a new full-text retrieval. Combina dos datasets de toddlers, usa split 80:20, SMOTE, tres métodos de selección y ensamble LR-SVM; reporta 94% para ASD y 99.29% para estrategia docente. Aunque el título usa “explainable AI”, no se identificó SHAP/LIME u otro método XAI formal en el texto recuperado; se codificó solo interpretabilidad parcial por selección de rasgos. No hay validación externa independiente.</ns0:t>
        </ns0:is>
      </ns0:c>
      <ns0:c r="F2011" s="19" t="inlineStr">
        <ns0:is>
          <ns0:t>https://doi.org/10.1016/j.jneumeth.2024.110315</ns0:t>
        </ns0:is>
      </ns0:c>
      <ns0:c r="G2011" s="19" t="inlineStr">
        <ns0:is>
          <ns0:t>ChatGPT-assisted evidence recharting, 2026-09-08</ns0:t>
        </ns0:is>
      </ns0:c>
    </ns0:row>
    <ns0:row r="2012" ht="69" customHeight="1">
      <ns0:c r="A2012" s="21" t="inlineStr">
        <ns0:is>
          <ns0:t>new_38</ns0:t>
        </ns0:is>
      </ns0:c>
      <ns0:c r="B2012" s="21" t="inlineStr">
        <ns0:is>
          <ns0:t>rq2_role</ns0:t>
        </ns0:is>
      </ns0:c>
      <ns0:c r="C2012" s="21" t="inlineStr">
        <ns0:is>
          <ns0:t>Proposed early-screening classifier with post-screening teaching recommendation</ns0:t>
        </ns0:is>
      </ns0:c>
      <ns0:c r="D2012" s="21" t="inlineStr">
        <ns0:is>
          <ns0:t>Triage/questionnaire assessment</ns0:t>
        </ns0:is>
      </ns0:c>
      <ns0:c r="E2012" s="21" t="inlineStr">
        <ns0:is>
          <ns0:t>Retained source-specific coding after review of the supplied extraction notes; not a new full-text retrieval. Combina dos datasets de toddlers, usa split 80:20, SMOTE, tres métodos de selección y ensamble LR-SVM; reporta 94% para ASD y 99.29% para estrategia docente. Aunque el título usa “explainable AI”, no se identificó SHAP/LIME u otro método XAI formal en el texto recuperado; se codificó solo interpretabilidad parcial por selección de rasgos. No hay validación externa independiente.</ns0:t>
        </ns0:is>
      </ns0:c>
      <ns0:c r="F2012" s="21" t="inlineStr">
        <ns0:is>
          <ns0:t>https://doi.org/10.1016/j.jneumeth.2024.110315</ns0:t>
        </ns0:is>
      </ns0:c>
      <ns0:c r="G2012" s="21" t="inlineStr">
        <ns0:is>
          <ns0:t>ChatGPT-assisted evidence recharting, 2026-09-08</ns0:t>
        </ns0:is>
      </ns0:c>
    </ns0:row>
    <ns0:row r="2013" ht="69" customHeight="1">
      <ns0:c r="A2013" s="19" t="inlineStr">
        <ns0:is>
          <ns0:t>new_38</ns0:t>
        </ns0:is>
      </ns0:c>
      <ns0:c r="B2013" s="19" t="inlineStr">
        <ns0:is>
          <ns0:t>decision_timing</ns0:t>
        </ns0:is>
      </ns0:c>
      <ns0:c r="C2013" s="19" t="inlineStr"/>
      <ns0:c r="D2013" s="19" t="inlineStr">
        <ns0:is>
          <ns0:t>Pre-decision</ns0:t>
        </ns0:is>
      </ns0:c>
      <ns0:c r="E2013" s="19" t="inlineStr">
        <ns0:is>
          <ns0:t>Retained source-specific coding after review of the supplied extraction notes; not a new full-text retrieval. Combina dos datasets de toddlers, usa split 80:20, SMOTE, tres métodos de selección y ensamble LR-SVM; reporta 94% para ASD y 99.29% para estrategia docente. Aunque el título usa “explainable AI”, no se identificó SHAP/LIME u otro método XAI formal en el texto recuperado; se codificó solo interpretabilidad parcial por selección de rasgos. No hay validación externa independiente.</ns0:t>
        </ns0:is>
      </ns0:c>
      <ns0:c r="F2013" s="19" t="inlineStr">
        <ns0:is>
          <ns0:t>https://doi.org/10.1016/j.jneumeth.2024.110315</ns0:t>
        </ns0:is>
      </ns0:c>
      <ns0:c r="G2013" s="19" t="inlineStr">
        <ns0:is>
          <ns0:t>ChatGPT-assisted evidence recharting, 2026-09-08</ns0:t>
        </ns0:is>
      </ns0:c>
    </ns0:row>
    <ns0:row r="2014" ht="69" customHeight="1">
      <ns0:c r="A2014" s="21" t="inlineStr">
        <ns0:is>
          <ns0:t>new_38</ns0:t>
        </ns0:is>
      </ns0:c>
      <ns0:c r="B2014" s="21" t="inlineStr">
        <ns0:is>
          <ns0:t>xai_partial</ns0:t>
        </ns0:is>
      </ns0:c>
      <ns0:c r="C2014" s="21" t="inlineStr">
        <ns0:is>
          <ns0:t>Reported</ns0:t>
        </ns0:is>
      </ns0:c>
      <ns0:c r="D2014" s="21" t="inlineStr">
        <ns0:is>
          <ns0:t>Not ascertainable</ns0:t>
        </ns0:is>
      </ns0:c>
      <ns0:c r="E2014" s="21" t="inlineStr">
        <ns0:is>
          <ns0:t>Retained source-specific coding after review of the supplied extraction notes; not a new full-text retrieval. Combina dos datasets de toddlers, usa split 80:20, SMOTE, tres métodos de selección y ensamble LR-SVM; reporta 94% para ASD y 99.29% para estrategia docente. Aunque el título usa “explainable AI”, no se identificó SHAP/LIME u otro método XAI formal en el texto recuperado; se codificó solo interpretabilidad parcial por selección de rasgos. No hay validación externa independiente.</ns0:t>
        </ns0:is>
      </ns0:c>
      <ns0:c r="F2014" s="21" t="inlineStr">
        <ns0:is>
          <ns0:t>https://doi.org/10.1016/j.jneumeth.2024.110315</ns0:t>
        </ns0:is>
      </ns0:c>
      <ns0:c r="G2014" s="21" t="inlineStr">
        <ns0:is>
          <ns0:t>ChatGPT-assisted evidence recharting, 2026-09-08</ns0:t>
        </ns0:is>
      </ns0:c>
    </ns0:row>
    <ns0:row r="2015" ht="69" customHeight="1">
      <ns0:c r="A2015" s="19" t="inlineStr">
        <ns0:is>
          <ns0:t>new_38</ns0:t>
        </ns0:is>
      </ns0:c>
      <ns0:c r="B2015" s="19" t="inlineStr">
        <ns0:is>
          <ns0:t>integrity_status</ns0:t>
        </ns0:is>
      </ns0:c>
      <ns0:c r="C2015" s="19" t="inlineStr"/>
      <ns0:c r="D2015" s="19" t="inlineStr">
        <ns0:is>
          <ns0:t>Not recorded</ns0:t>
        </ns0:is>
      </ns0:c>
      <ns0:c r="E2015" s="19" t="inlineStr">
        <ns0:is>
          <ns0:t>Retained source-specific coding after review of the supplied extraction notes; not a new full-text retrieval. Combina dos datasets de toddlers, usa split 80:20, SMOTE, tres métodos de selección y ensamble LR-SVM; reporta 94% para ASD y 99.29% para estrategia docente. Aunque el título usa “explainable AI”, no se identificó SHAP/LIME u otro método XAI formal en el texto recuperado; se codificó solo interpretabilidad parcial por selección de rasgos. No hay validación externa independiente.</ns0:t>
        </ns0:is>
      </ns0:c>
      <ns0:c r="F2015" s="19" t="inlineStr">
        <ns0:is>
          <ns0:t>https://doi.org/10.1016/j.jneumeth.2024.110315</ns0:t>
        </ns0:is>
      </ns0:c>
      <ns0:c r="G2015" s="19" t="inlineStr">
        <ns0:is>
          <ns0:t>ChatGPT-assisted evidence recharting, 2026-09-08</ns0:t>
        </ns0:is>
      </ns0:c>
    </ns0:row>
    <ns0:row r="2016" ht="69" customHeight="1">
      <ns0:c r="A2016" s="21" t="inlineStr">
        <ns0:is>
          <ns0:t>new_41</ns0:t>
        </ns0:is>
      </ns0:c>
      <ns0:c r="B2016" s="21" t="inlineStr">
        <ns0:is>
          <ns0:t>data_source_primary</ns0:t>
        </ns0:is>
      </ns0:c>
      <ns0:c r="C2016" s="21" t="inlineStr">
        <ns0:is>
          <ns0:t>Behavioral gaze / eye tracking</ns0:t>
        </ns0:is>
      </ns0:c>
      <ns0:c r="D2016" s="21" t="inlineStr">
        <ns0:is>
          <ns0:t>Behavioral images/video/gaze/movement</ns0:t>
        </ns0:is>
      </ns0:c>
      <ns0:c r="E2016" s="21" t="inlineStr">
        <ns0:is>
          <ns0:t>Retained source-specific coding after review of the supplied extraction notes; not a new full-text retrieval. Evalúa STA en tres datasets de eye-tracking y diferentes páginas/tareas; obtiene ~60% de éxito, con menor variación que comparadores ML. La repetición en tres datasets muestra consistencia del algoritmo, pero no se identificó un esquema de entrenamiento fijo en una cohorte y validación externa en otra; no se codifica external validation.</ns0:t>
        </ns0:is>
      </ns0:c>
      <ns0:c r="F2016" s="21" t="inlineStr">
        <ns0:is>
          <ns0:t>https://doi.org/10.1016/j.bspc.2024.107414</ns0:t>
        </ns0:is>
      </ns0:c>
      <ns0:c r="G2016" s="21" t="inlineStr">
        <ns0:is>
          <ns0:t>ChatGPT-assisted evidence recharting, 2026-09-08</ns0:t>
        </ns0:is>
      </ns0:c>
    </ns0:row>
    <ns0:row r="2017" ht="69" customHeight="1">
      <ns0:c r="A2017" s="19" t="inlineStr">
        <ns0:is>
          <ns0:t>new_41</ns0:t>
        </ns0:is>
      </ns0:c>
      <ns0:c r="B2017" s="19" t="inlineStr">
        <ns0:is>
          <ns0:t>rq2_role</ns0:t>
        </ns0:is>
      </ns0:c>
      <ns0:c r="C2017" s="19" t="inlineStr">
        <ns0:is>
          <ns0:t>Experimental eye-tracking screening classifier</ns0:t>
        </ns0:is>
      </ns0:c>
      <ns0:c r="D2017" s="19" t="inlineStr">
        <ns0:is>
          <ns0:t>Triage/questionnaire assessment</ns0:t>
        </ns0:is>
      </ns0:c>
      <ns0:c r="E2017" s="19" t="inlineStr">
        <ns0:is>
          <ns0:t>Retained source-specific coding after review of the supplied extraction notes; not a new full-text retrieval. Evalúa STA en tres datasets de eye-tracking y diferentes páginas/tareas; obtiene ~60% de éxito, con menor variación que comparadores ML. La repetición en tres datasets muestra consistencia del algoritmo, pero no se identificó un esquema de entrenamiento fijo en una cohorte y validación externa en otra; no se codifica external validation.</ns0:t>
        </ns0:is>
      </ns0:c>
      <ns0:c r="F2017" s="19" t="inlineStr">
        <ns0:is>
          <ns0:t>https://doi.org/10.1016/j.bspc.2024.107414</ns0:t>
        </ns0:is>
      </ns0:c>
      <ns0:c r="G2017" s="19" t="inlineStr">
        <ns0:is>
          <ns0:t>ChatGPT-assisted evidence recharting, 2026-09-08</ns0:t>
        </ns0:is>
      </ns0:c>
    </ns0:row>
    <ns0:row r="2018" ht="69" customHeight="1">
      <ns0:c r="A2018" s="21" t="inlineStr">
        <ns0:is>
          <ns0:t>new_41</ns0:t>
        </ns0:is>
      </ns0:c>
      <ns0:c r="B2018" s="21" t="inlineStr">
        <ns0:is>
          <ns0:t>decision_timing</ns0:t>
        </ns0:is>
      </ns0:c>
      <ns0:c r="C2018" s="21" t="inlineStr"/>
      <ns0:c r="D2018" s="21" t="inlineStr">
        <ns0:is>
          <ns0:t>Not observed in assessed sources</ns0:t>
        </ns0:is>
      </ns0:c>
      <ns0:c r="E2018" s="21" t="inlineStr">
        <ns0:is>
          <ns0:t>Retained source-specific coding after review of the supplied extraction notes; not a new full-text retrieval. Evalúa STA en tres datasets de eye-tracking y diferentes páginas/tareas; obtiene ~60% de éxito, con menor variación que comparadores ML. La repetición en tres datasets muestra consistencia del algoritmo, pero no se identificó un esquema de entrenamiento fijo en una cohorte y validación externa en otra; no se codifica external validation.</ns0:t>
        </ns0:is>
      </ns0:c>
      <ns0:c r="F2018" s="21" t="inlineStr">
        <ns0:is>
          <ns0:t>https://doi.org/10.1016/j.bspc.2024.107414</ns0:t>
        </ns0:is>
      </ns0:c>
      <ns0:c r="G2018" s="21" t="inlineStr">
        <ns0:is>
          <ns0:t>ChatGPT-assisted evidence recharting, 2026-09-08</ns0:t>
        </ns0:is>
      </ns0:c>
    </ns0:row>
    <ns0:row r="2019" ht="69" customHeight="1">
      <ns0:c r="A2019" s="19" t="inlineStr">
        <ns0:is>
          <ns0:t>new_41</ns0:t>
        </ns0:is>
      </ns0:c>
      <ns0:c r="B2019" s="19" t="inlineStr">
        <ns0:is>
          <ns0:t>integrity_status</ns0:t>
        </ns0:is>
      </ns0:c>
      <ns0:c r="C2019" s="19" t="inlineStr"/>
      <ns0:c r="D2019" s="19" t="inlineStr">
        <ns0:is>
          <ns0:t>Not recorded</ns0:t>
        </ns0:is>
      </ns0:c>
      <ns0:c r="E2019" s="19" t="inlineStr">
        <ns0:is>
          <ns0:t>Retained source-specific coding after review of the supplied extraction notes; not a new full-text retrieval. Evalúa STA en tres datasets de eye-tracking y diferentes páginas/tareas; obtiene ~60% de éxito, con menor variación que comparadores ML. La repetición en tres datasets muestra consistencia del algoritmo, pero no se identificó un esquema de entrenamiento fijo en una cohorte y validación externa en otra; no se codifica external validation.</ns0:t>
        </ns0:is>
      </ns0:c>
      <ns0:c r="F2019" s="19" t="inlineStr">
        <ns0:is>
          <ns0:t>https://doi.org/10.1016/j.bspc.2024.107414</ns0:t>
        </ns0:is>
      </ns0:c>
      <ns0:c r="G2019" s="19" t="inlineStr">
        <ns0:is>
          <ns0:t>ChatGPT-assisted evidence recharting, 2026-09-08</ns0:t>
        </ns0:is>
      </ns0:c>
    </ns0:row>
    <ns0:row r="2020" ht="57" customHeight="1">
      <ns0:c r="A2020" s="21" t="inlineStr">
        <ns0:is>
          <ns0:t>new_46</ns0:t>
        </ns0:is>
      </ns0:c>
      <ns0:c r="B2020" s="21" t="inlineStr">
        <ns0:is>
          <ns0:t>rq2_role</ns0:t>
        </ns0:is>
      </ns0:c>
      <ns0:c r="C2020" s="21" t="inlineStr">
        <ns0:is>
          <ns0:t>Experimental neuroimaging diagnostic classifier</ns0:t>
        </ns0:is>
      </ns0:c>
      <ns0:c r="D2020" s="21" t="inlineStr">
        <ns0:is>
          <ns0:t>Automated measurement/classification</ns0:t>
        </ns0:is>
      </ns0:c>
      <ns0:c r="E2020" s="21" t="inlineStr">
        <ns0:is>
          <ns0:t>Retained source-specific coding after review of the supplied extraction notes; not a new full-text retrieval. Usa ABIDE-II, autoencoder 3D para representación/selección regional y Siamese CNN; la selección MI alcanza accuracy máxima reportada cercana a 0.66. ABIDE-II es multisitio, pero no se identificó validación site-held-out. La selección de regiones aporta interpretabilidad anatómica parcial, no XAI formal.</ns0:t>
        </ns0:is>
      </ns0:c>
      <ns0:c r="F2020" s="21" t="inlineStr">
        <ns0:is>
          <ns0:t>https://doi.org/10.1016/j.ijmedinf.2024.105707</ns0:t>
        </ns0:is>
      </ns0:c>
      <ns0:c r="G2020" s="21" t="inlineStr">
        <ns0:is>
          <ns0:t>ChatGPT-assisted evidence recharting, 2026-09-08</ns0:t>
        </ns0:is>
      </ns0:c>
    </ns0:row>
    <ns0:row r="2021" ht="57" customHeight="1">
      <ns0:c r="A2021" s="19" t="inlineStr">
        <ns0:is>
          <ns0:t>new_46</ns0:t>
        </ns0:is>
      </ns0:c>
      <ns0:c r="B2021" s="19" t="inlineStr">
        <ns0:is>
          <ns0:t>decision_timing</ns0:t>
        </ns0:is>
      </ns0:c>
      <ns0:c r="C2021" s="19" t="inlineStr"/>
      <ns0:c r="D2021" s="19" t="inlineStr">
        <ns0:is>
          <ns0:t>Not observed in assessed sources</ns0:t>
        </ns0:is>
      </ns0:c>
      <ns0:c r="E2021" s="19" t="inlineStr">
        <ns0:is>
          <ns0:t>Retained source-specific coding after review of the supplied extraction notes; not a new full-text retrieval. Usa ABIDE-II, autoencoder 3D para representación/selección regional y Siamese CNN; la selección MI alcanza accuracy máxima reportada cercana a 0.66. ABIDE-II es multisitio, pero no se identificó validación site-held-out. La selección de regiones aporta interpretabilidad anatómica parcial, no XAI formal.</ns0:t>
        </ns0:is>
      </ns0:c>
      <ns0:c r="F2021" s="19" t="inlineStr">
        <ns0:is>
          <ns0:t>https://doi.org/10.1016/j.ijmedinf.2024.105707</ns0:t>
        </ns0:is>
      </ns0:c>
      <ns0:c r="G2021" s="19" t="inlineStr">
        <ns0:is>
          <ns0:t>ChatGPT-assisted evidence recharting, 2026-09-08</ns0:t>
        </ns0:is>
      </ns0:c>
    </ns0:row>
    <ns0:row r="2022" ht="57" customHeight="1">
      <ns0:c r="A2022" s="21" t="inlineStr">
        <ns0:is>
          <ns0:t>new_46</ns0:t>
        </ns0:is>
      </ns0:c>
      <ns0:c r="B2022" s="21" t="inlineStr">
        <ns0:is>
          <ns0:t>integrity_status</ns0:t>
        </ns0:is>
      </ns0:c>
      <ns0:c r="C2022" s="21" t="inlineStr"/>
      <ns0:c r="D2022" s="21" t="inlineStr">
        <ns0:is>
          <ns0:t>Not recorded</ns0:t>
        </ns0:is>
      </ns0:c>
      <ns0:c r="E2022" s="21" t="inlineStr">
        <ns0:is>
          <ns0:t>Retained source-specific coding after review of the supplied extraction notes; not a new full-text retrieval. Usa ABIDE-II, autoencoder 3D para representación/selección regional y Siamese CNN; la selección MI alcanza accuracy máxima reportada cercana a 0.66. ABIDE-II es multisitio, pero no se identificó validación site-held-out. La selección de regiones aporta interpretabilidad anatómica parcial, no XAI formal.</ns0:t>
        </ns0:is>
      </ns0:c>
      <ns0:c r="F2022" s="21" t="inlineStr">
        <ns0:is>
          <ns0:t>https://doi.org/10.1016/j.ijmedinf.2024.105707</ns0:t>
        </ns0:is>
      </ns0:c>
      <ns0:c r="G2022" s="21" t="inlineStr">
        <ns0:is>
          <ns0:t>ChatGPT-assisted evidence recharting, 2026-09-08</ns0:t>
        </ns0:is>
      </ns0:c>
    </ns0:row>
    <ns0:row r="2023" ht="57" customHeight="1">
      <ns0:c r="A2023" s="19" t="inlineStr">
        <ns0:is>
          <ns0:t>new_47</ns0:t>
        </ns0:is>
      </ns0:c>
      <ns0:c r="B2023" s="19" t="inlineStr">
        <ns0:is>
          <ns0:t>data_source_primary</ns0:t>
        </ns0:is>
      </ns0:c>
      <ns0:c r="C2023" s="19" t="inlineStr">
        <ns0:is>
          <ns0:t>Multiple modalities (as coded)</ns0:t>
        </ns0:is>
      </ns0:c>
      <ns0:c r="D2023" s="19" t="inlineStr">
        <ns0:is>
          <ns0:t>Multiple source categories</ns0:t>
        </ns0:is>
      </ns0:c>
      <ns0:c r="E2023" s="19" t="inlineStr">
        <ns0:is>
          <ns0:t>Retained source-specific coding after review of the supplied extraction notes; not a new full-text retrieval. ABIDE (n≈1112) con conectividad rs-fMRI + datos fenotípicos; CNN-BiLSTM con atención y split interno 70/30. El conjunto es multisitio y multifuente, pero la evaluación reportada es un split interno; no se identificó site-held-out/cross-site validation. Atención arquitectónica no se contó como XAI sin análisis de explicación.</ns0:t>
        </ns0:is>
      </ns0:c>
      <ns0:c r="F2023" s="19" t="inlineStr">
        <ns0:is>
          <ns0:t>https://doi.org/10.1016/j.rineng.2025.104444</ns0:t>
        </ns0:is>
      </ns0:c>
      <ns0:c r="G2023" s="19" t="inlineStr">
        <ns0:is>
          <ns0:t>ChatGPT-assisted evidence recharting, 2026-09-08</ns0:t>
        </ns0:is>
      </ns0:c>
    </ns0:row>
    <ns0:row r="2024" ht="57" customHeight="1">
      <ns0:c r="A2024" s="21" t="inlineStr">
        <ns0:is>
          <ns0:t>new_47</ns0:t>
        </ns0:is>
      </ns0:c>
      <ns0:c r="B2024" s="21" t="inlineStr">
        <ns0:is>
          <ns0:t>rq2_role</ns0:t>
        </ns0:is>
      </ns0:c>
      <ns0:c r="C2024" s="21" t="inlineStr">
        <ns0:is>
          <ns0:t>Proposed neuroimaging/phenotypic diagnostic decision-support classifier</ns0:t>
        </ns0:is>
      </ns0:c>
      <ns0:c r="D2024" s="21" t="inlineStr">
        <ns0:is>
          <ns0:t>Automated measurement/classification</ns0:t>
        </ns0:is>
      </ns0:c>
      <ns0:c r="E2024" s="21" t="inlineStr">
        <ns0:is>
          <ns0:t>Retained source-specific coding after review of the supplied extraction notes; not a new full-text retrieval. ABIDE (n≈1112) con conectividad rs-fMRI + datos fenotípicos; CNN-BiLSTM con atención y split interno 70/30. El conjunto es multisitio y multifuente, pero la evaluación reportada es un split interno; no se identificó site-held-out/cross-site validation. Atención arquitectónica no se contó como XAI sin análisis de explicación.</ns0:t>
        </ns0:is>
      </ns0:c>
      <ns0:c r="F2024" s="21" t="inlineStr">
        <ns0:is>
          <ns0:t>https://doi.org/10.1016/j.rineng.2025.104444</ns0:t>
        </ns0:is>
      </ns0:c>
      <ns0:c r="G2024" s="21" t="inlineStr">
        <ns0:is>
          <ns0:t>ChatGPT-assisted evidence recharting, 2026-09-08</ns0:t>
        </ns0:is>
      </ns0:c>
    </ns0:row>
    <ns0:row r="2025" ht="57" customHeight="1">
      <ns0:c r="A2025" s="19" t="inlineStr">
        <ns0:is>
          <ns0:t>new_47</ns0:t>
        </ns0:is>
      </ns0:c>
      <ns0:c r="B2025" s="19" t="inlineStr">
        <ns0:is>
          <ns0:t>decision_timing</ns0:t>
        </ns0:is>
      </ns0:c>
      <ns0:c r="C2025" s="19" t="inlineStr"/>
      <ns0:c r="D2025" s="19" t="inlineStr">
        <ns0:is>
          <ns0:t>In-decision</ns0:t>
        </ns0:is>
      </ns0:c>
      <ns0:c r="E2025" s="19" t="inlineStr">
        <ns0:is>
          <ns0:t>Retained source-specific coding after review of the supplied extraction notes; not a new full-text retrieval. ABIDE (n≈1112) con conectividad rs-fMRI + datos fenotípicos; CNN-BiLSTM con atención y split interno 70/30. El conjunto es multisitio y multifuente, pero la evaluación reportada es un split interno; no se identificó site-held-out/cross-site validation. Atención arquitectónica no se contó como XAI sin análisis de explicación.</ns0:t>
        </ns0:is>
      </ns0:c>
      <ns0:c r="F2025" s="19" t="inlineStr">
        <ns0:is>
          <ns0:t>https://doi.org/10.1016/j.rineng.2025.104444</ns0:t>
        </ns0:is>
      </ns0:c>
      <ns0:c r="G2025" s="19" t="inlineStr">
        <ns0:is>
          <ns0:t>ChatGPT-assisted evidence recharting, 2026-09-08</ns0:t>
        </ns0:is>
      </ns0:c>
    </ns0:row>
    <ns0:row r="2026" ht="57" customHeight="1">
      <ns0:c r="A2026" s="21" t="inlineStr">
        <ns0:is>
          <ns0:t>new_47</ns0:t>
        </ns0:is>
      </ns0:c>
      <ns0:c r="B2026" s="21" t="inlineStr">
        <ns0:is>
          <ns0:t>integrity_status</ns0:t>
        </ns0:is>
      </ns0:c>
      <ns0:c r="C2026" s="21" t="inlineStr"/>
      <ns0:c r="D2026" s="21" t="inlineStr">
        <ns0:is>
          <ns0:t>Not recorded</ns0:t>
        </ns0:is>
      </ns0:c>
      <ns0:c r="E2026" s="21" t="inlineStr">
        <ns0:is>
          <ns0:t>Retained source-specific coding after review of the supplied extraction notes; not a new full-text retrieval. ABIDE (n≈1112) con conectividad rs-fMRI + datos fenotípicos; CNN-BiLSTM con atención y split interno 70/30. El conjunto es multisitio y multifuente, pero la evaluación reportada es un split interno; no se identificó site-held-out/cross-site validation. Atención arquitectónica no se contó como XAI sin análisis de explicación.</ns0:t>
        </ns0:is>
      </ns0:c>
      <ns0:c r="F2026" s="21" t="inlineStr">
        <ns0:is>
          <ns0:t>https://doi.org/10.1016/j.rineng.2025.104444</ns0:t>
        </ns0:is>
      </ns0:c>
      <ns0:c r="G2026" s="21" t="inlineStr">
        <ns0:is>
          <ns0:t>ChatGPT-assisted evidence recharting, 2026-09-08</ns0:t>
        </ns0:is>
      </ns0:c>
    </ns0:row>
    <ns0:row r="2027" ht="69" customHeight="1">
      <ns0:c r="A2027" s="19" t="inlineStr">
        <ns0:is>
          <ns0:t>new_51</ns0:t>
        </ns0:is>
      </ns0:c>
      <ns0:c r="B2027" s="19" t="inlineStr">
        <ns0:is>
          <ns0:t>data_source_primary</ns0:t>
        </ns0:is>
      </ns0:c>
      <ns0:c r="C2027" s="19" t="inlineStr">
        <ns0:is>
          <ns0:t>Behavioral gaze / eye tracking</ns0:t>
        </ns0:is>
      </ns0:c>
      <ns0:c r="D2027" s="19" t="inlineStr">
        <ns0:is>
          <ns0:t>Behavioral images/video/gaze/movement</ns0:t>
        </ns0:is>
      </ns0:c>
      <ns0:c r="E2027" s="19" t="inlineStr">
        <ns0:is>
          <ns0:t>Retained source-specific coding after review of the supplied extraction notes; not a new full-text retrieval. Evalúa involution+convolution en dos datasets de eye-tracking y su combinación; el modelo IC con tres capas de involution supera comparadores. Se usa partición aleatoria tras combinar/aumentar imágenes. Esto plantea un riesgo potencial de dependencia entre imágenes/sujetos si la partición no fue totalmente subject-wise; no se afirma leakage porque el texto no lo demuestra.</ns0:t>
        </ns0:is>
      </ns0:c>
      <ns0:c r="F2027" s="19" t="inlineStr">
        <ns0:is>
          <ns0:t>https://doi.org/10.1016/j.engappai.2024.109475</ns0:t>
        </ns0:is>
      </ns0:c>
      <ns0:c r="G2027" s="19" t="inlineStr">
        <ns0:is>
          <ns0:t>ChatGPT-assisted evidence recharting, 2026-09-08</ns0:t>
        </ns0:is>
      </ns0:c>
    </ns0:row>
    <ns0:row r="2028" ht="69" customHeight="1">
      <ns0:c r="A2028" s="21" t="inlineStr">
        <ns0:is>
          <ns0:t>new_51</ns0:t>
        </ns0:is>
      </ns0:c>
      <ns0:c r="B2028" s="21" t="inlineStr">
        <ns0:is>
          <ns0:t>rq2_role</ns0:t>
        </ns0:is>
      </ns0:c>
      <ns0:c r="C2028" s="21" t="inlineStr">
        <ns0:is>
          <ns0:t>Experimental eye-tracking classifier for ASD screening/detection</ns0:t>
        </ns0:is>
      </ns0:c>
      <ns0:c r="D2028" s="21" t="inlineStr">
        <ns0:is>
          <ns0:t>Triage/questionnaire assessment</ns0:t>
        </ns0:is>
      </ns0:c>
      <ns0:c r="E2028" s="21" t="inlineStr">
        <ns0:is>
          <ns0:t>Retained source-specific coding after review of the supplied extraction notes; not a new full-text retrieval. Evalúa involution+convolution en dos datasets de eye-tracking y su combinación; el modelo IC con tres capas de involution supera comparadores. Se usa partición aleatoria tras combinar/aumentar imágenes. Esto plantea un riesgo potencial de dependencia entre imágenes/sujetos si la partición no fue totalmente subject-wise; no se afirma leakage porque el texto no lo demuestra.</ns0:t>
        </ns0:is>
      </ns0:c>
      <ns0:c r="F2028" s="21" t="inlineStr">
        <ns0:is>
          <ns0:t>https://doi.org/10.1016/j.engappai.2024.109475</ns0:t>
        </ns0:is>
      </ns0:c>
      <ns0:c r="G2028" s="21" t="inlineStr">
        <ns0:is>
          <ns0:t>ChatGPT-assisted evidence recharting, 2026-09-08</ns0:t>
        </ns0:is>
      </ns0:c>
    </ns0:row>
    <ns0:row r="2029" ht="69" customHeight="1">
      <ns0:c r="A2029" s="19" t="inlineStr">
        <ns0:is>
          <ns0:t>new_51</ns0:t>
        </ns0:is>
      </ns0:c>
      <ns0:c r="B2029" s="19" t="inlineStr">
        <ns0:is>
          <ns0:t>decision_timing</ns0:t>
        </ns0:is>
      </ns0:c>
      <ns0:c r="C2029" s="19" t="inlineStr"/>
      <ns0:c r="D2029" s="19" t="inlineStr">
        <ns0:is>
          <ns0:t>Not observed in assessed sources</ns0:t>
        </ns0:is>
      </ns0:c>
      <ns0:c r="E2029" s="19" t="inlineStr">
        <ns0:is>
          <ns0:t>Retained source-specific coding after review of the supplied extraction notes; not a new full-text retrieval. Evalúa involution+convolution en dos datasets de eye-tracking y su combinación; el modelo IC con tres capas de involution supera comparadores. Se usa partición aleatoria tras combinar/aumentar imágenes. Esto plantea un riesgo potencial de dependencia entre imágenes/sujetos si la partición no fue totalmente subject-wise; no se afirma leakage porque el texto no lo demuestra.</ns0:t>
        </ns0:is>
      </ns0:c>
      <ns0:c r="F2029" s="19" t="inlineStr">
        <ns0:is>
          <ns0:t>https://doi.org/10.1016/j.engappai.2024.109475</ns0:t>
        </ns0:is>
      </ns0:c>
      <ns0:c r="G2029" s="19" t="inlineStr">
        <ns0:is>
          <ns0:t>ChatGPT-assisted evidence recharting, 2026-09-08</ns0:t>
        </ns0:is>
      </ns0:c>
    </ns0:row>
    <ns0:row r="2030" ht="69" customHeight="1">
      <ns0:c r="A2030" s="21" t="inlineStr">
        <ns0:is>
          <ns0:t>new_51</ns0:t>
        </ns0:is>
      </ns0:c>
      <ns0:c r="B2030" s="21" t="inlineStr">
        <ns0:is>
          <ns0:t>integrity_status</ns0:t>
        </ns0:is>
      </ns0:c>
      <ns0:c r="C2030" s="21" t="inlineStr"/>
      <ns0:c r="D2030" s="21" t="inlineStr">
        <ns0:is>
          <ns0:t>Not recorded</ns0:t>
        </ns0:is>
      </ns0:c>
      <ns0:c r="E2030" s="21" t="inlineStr">
        <ns0:is>
          <ns0:t>Retained source-specific coding after review of the supplied extraction notes; not a new full-text retrieval. Evalúa involution+convolution en dos datasets de eye-tracking y su combinación; el modelo IC con tres capas de involution supera comparadores. Se usa partición aleatoria tras combinar/aumentar imágenes. Esto plantea un riesgo potencial de dependencia entre imágenes/sujetos si la partición no fue totalmente subject-wise; no se afirma leakage porque el texto no lo demuestra.</ns0:t>
        </ns0:is>
      </ns0:c>
      <ns0:c r="F2030" s="21" t="inlineStr">
        <ns0:is>
          <ns0:t>https://doi.org/10.1016/j.engappai.2024.109475</ns0:t>
        </ns0:is>
      </ns0:c>
      <ns0:c r="G2030" s="21" t="inlineStr">
        <ns0:is>
          <ns0:t>ChatGPT-assisted evidence recharting, 2026-09-08</ns0:t>
        </ns0:is>
      </ns0:c>
    </ns0:row>
    <ns0:row r="2031" ht="57" customHeight="1">
      <ns0:c r="A2031" s="19" t="inlineStr">
        <ns0:is>
          <ns0:t>new_59</ns0:t>
        </ns0:is>
      </ns0:c>
      <ns0:c r="B2031" s="19" t="inlineStr">
        <ns0:is>
          <ns0:t>rq2_role</ns0:t>
        </ns0:is>
      </ns0:c>
      <ns0:c r="C2031" s="19" t="inlineStr">
        <ns0:is>
          <ns0:t>Clinic-based experimental fNIRS classifier proposed for objective ASD diagnostic support</ns0:t>
        </ns0:is>
      </ns0:c>
      <ns0:c r="D2031" s="19" t="inlineStr">
        <ns0:is>
          <ns0:t>Automated measurement/classification</ns0:t>
        </ns0:is>
      </ns0:c>
      <ns0:c r="E2031" s="19" t="inlineStr">
        <ns0:is>
          <ns0:t>Retained source-specific coding after review of the supplied extraction notes; not a new full-text retrieval. Estudio clínico prospectivo con 24 ASD y 27 TD, fNIRS de 41 canales y XGBoost con validación anidada (outer 10, inner 5); reporta accuracy 96%. La validación es interna. Los autores reconocen muestra pequeña y ausencia de ADI-R/ADOS como gold-standard; no hay cohorte externa.</ns0:t>
        </ns0:is>
      </ns0:c>
      <ns0:c r="F2031" s="19" t="inlineStr">
        <ns0:is>
          <ns0:t>https://doi.org/10.1016/j.eswa.2025.127013</ns0:t>
        </ns0:is>
      </ns0:c>
      <ns0:c r="G2031" s="19" t="inlineStr">
        <ns0:is>
          <ns0:t>ChatGPT-assisted evidence recharting, 2026-09-08</ns0:t>
        </ns0:is>
      </ns0:c>
    </ns0:row>
    <ns0:row r="2032" ht="57" customHeight="1">
      <ns0:c r="A2032" s="21" t="inlineStr">
        <ns0:is>
          <ns0:t>new_59</ns0:t>
        </ns0:is>
      </ns0:c>
      <ns0:c r="B2032" s="21" t="inlineStr">
        <ns0:is>
          <ns0:t>decision_timing</ns0:t>
        </ns0:is>
      </ns0:c>
      <ns0:c r="C2032" s="21" t="inlineStr"/>
      <ns0:c r="D2032" s="21" t="inlineStr">
        <ns0:is>
          <ns0:t>Not observed in assessed sources</ns0:t>
        </ns0:is>
      </ns0:c>
      <ns0:c r="E2032" s="21" t="inlineStr">
        <ns0:is>
          <ns0:t>Retained source-specific coding after review of the supplied extraction notes; not a new full-text retrieval. Estudio clínico prospectivo con 24 ASD y 27 TD, fNIRS de 41 canales y XGBoost con validación anidada (outer 10, inner 5); reporta accuracy 96%. La validación es interna. Los autores reconocen muestra pequeña y ausencia de ADI-R/ADOS como gold-standard; no hay cohorte externa.</ns0:t>
        </ns0:is>
      </ns0:c>
      <ns0:c r="F2032" s="21" t="inlineStr">
        <ns0:is>
          <ns0:t>https://doi.org/10.1016/j.eswa.2025.127013</ns0:t>
        </ns0:is>
      </ns0:c>
      <ns0:c r="G2032" s="21" t="inlineStr">
        <ns0:is>
          <ns0:t>ChatGPT-assisted evidence recharting, 2026-09-08</ns0:t>
        </ns0:is>
      </ns0:c>
    </ns0:row>
    <ns0:row r="2033" ht="57" customHeight="1">
      <ns0:c r="A2033" s="19" t="inlineStr">
        <ns0:is>
          <ns0:t>new_59</ns0:t>
        </ns0:is>
      </ns0:c>
      <ns0:c r="B2033" s="19" t="inlineStr">
        <ns0:is>
          <ns0:t>prospective_evaluation</ns0:t>
        </ns0:is>
      </ns0:c>
      <ns0:c r="C2033" s="19" t="inlineStr">
        <ns0:is>
          <ns0:t>Reported</ns0:t>
        </ns0:is>
      </ns0:c>
      <ns0:c r="D2033" s="19" t="inlineStr">
        <ns0:is>
          <ns0:t>Not reported in assessed sources</ns0:t>
        </ns0:is>
      </ns0:c>
      <ns0:c r="E2033" s="19" t="inlineStr">
        <ns0:is>
          <ns0:t>Retained source-specific coding after review of the supplied extraction notes; not a new full-text retrieval. Estudio clínico prospectivo con 24 ASD y 27 TD, fNIRS de 41 canales y XGBoost con validación anidada (outer 10, inner 5); reporta accuracy 96%. La validación es interna. Los autores reconocen muestra pequeña y ausencia de ADI-R/ADOS como gold-standard; no hay cohorte externa.</ns0:t>
        </ns0:is>
      </ns0:c>
      <ns0:c r="F2033" s="19" t="inlineStr">
        <ns0:is>
          <ns0:t>https://doi.org/10.1016/j.eswa.2025.127013</ns0:t>
        </ns0:is>
      </ns0:c>
      <ns0:c r="G2033" s="19" t="inlineStr">
        <ns0:is>
          <ns0:t>ChatGPT-assisted evidence recharting, 2026-09-08</ns0:t>
        </ns0:is>
      </ns0:c>
    </ns0:row>
    <ns0:row r="2034" ht="57" customHeight="1">
      <ns0:c r="A2034" s="21" t="inlineStr">
        <ns0:is>
          <ns0:t>new_59</ns0:t>
        </ns0:is>
      </ns0:c>
      <ns0:c r="B2034" s="21" t="inlineStr">
        <ns0:is>
          <ns0:t>integrity_status</ns0:t>
        </ns0:is>
      </ns0:c>
      <ns0:c r="C2034" s="21" t="inlineStr"/>
      <ns0:c r="D2034" s="21" t="inlineStr">
        <ns0:is>
          <ns0:t>Not recorded</ns0:t>
        </ns0:is>
      </ns0:c>
      <ns0:c r="E2034" s="21" t="inlineStr">
        <ns0:is>
          <ns0:t>Retained source-specific coding after review of the supplied extraction notes; not a new full-text retrieval. Estudio clínico prospectivo con 24 ASD y 27 TD, fNIRS de 41 canales y XGBoost con validación anidada (outer 10, inner 5); reporta accuracy 96%. La validación es interna. Los autores reconocen muestra pequeña y ausencia de ADI-R/ADOS como gold-standard; no hay cohorte externa.</ns0:t>
        </ns0:is>
      </ns0:c>
      <ns0:c r="F2034" s="21" t="inlineStr">
        <ns0:is>
          <ns0:t>https://doi.org/10.1016/j.eswa.2025.127013</ns0:t>
        </ns0:is>
      </ns0:c>
      <ns0:c r="G2034" s="21" t="inlineStr">
        <ns0:is>
          <ns0:t>ChatGPT-assisted evidence recharting, 2026-09-08</ns0:t>
        </ns0:is>
      </ns0:c>
    </ns0:row>
    <ns0:row r="2035" ht="69" customHeight="1">
      <ns0:c r="A2035" s="19" t="inlineStr">
        <ns0:is>
          <ns0:t>new_60</ns0:t>
        </ns0:is>
      </ns0:c>
      <ns0:c r="B2035" s="19" t="inlineStr">
        <ns0:is>
          <ns0:t>data_source_primary</ns0:t>
        </ns0:is>
      </ns0:c>
      <ns0:c r="C2035" s="19" t="inlineStr">
        <ns0:is>
          <ns0:t>Multiple modalities (as coded)</ns0:t>
        </ns0:is>
      </ns0:c>
      <ns0:c r="D2035" s="19" t="inlineStr">
        <ns0:is>
          <ns0:t>Multiple source categories</ns0:t>
        </ns0:is>
      </ns0:c>
      <ns0:c r="E2035" s="19" t="inlineStr">
        <ns0:is>
          <ns0:t>Retained source-specific coding after review of the supplied extraction notes; not a new full-text retrieval. Combina conectividad rs-fMRI y variables fenotípicas de ABIDE-I en un GCN multiescala con inferencia difusa; usa 11-fold CV interno. Aunque ABIDE-I es multisitio, no se identificó site-held-out validation. El sitio de adquisición aparece entre rasgos fenotípicos, lo que puede introducir dependencia del sitio; se requiere análisis específico antes de afirmar robustez cross-site.</ns0:t>
        </ns0:is>
      </ns0:c>
      <ns0:c r="F2035" s="19" t="inlineStr">
        <ns0:is>
          <ns0:t>https://doi.org/10.1016/j.ibmed.2025.100213</ns0:t>
        </ns0:is>
      </ns0:c>
      <ns0:c r="G2035" s="19" t="inlineStr">
        <ns0:is>
          <ns0:t>ChatGPT-assisted evidence recharting, 2026-09-08</ns0:t>
        </ns0:is>
      </ns0:c>
    </ns0:row>
    <ns0:row r="2036" ht="69" customHeight="1">
      <ns0:c r="A2036" s="21" t="inlineStr">
        <ns0:is>
          <ns0:t>new_60</ns0:t>
        </ns0:is>
      </ns0:c>
      <ns0:c r="B2036" s="21" t="inlineStr">
        <ns0:is>
          <ns0:t>rq2_role</ns0:t>
        </ns0:is>
      </ns0:c>
      <ns0:c r="C2036" s="21" t="inlineStr">
        <ns0:is>
          <ns0:t>Experimental multimodal graph-based ASD diagnostic classifier</ns0:t>
        </ns0:is>
      </ns0:c>
      <ns0:c r="D2036" s="21" t="inlineStr">
        <ns0:is>
          <ns0:t>Automated measurement/classification</ns0:t>
        </ns0:is>
      </ns0:c>
      <ns0:c r="E2036" s="21" t="inlineStr">
        <ns0:is>
          <ns0:t>Retained source-specific coding after review of the supplied extraction notes; not a new full-text retrieval. Combina conectividad rs-fMRI y variables fenotípicas de ABIDE-I en un GCN multiescala con inferencia difusa; usa 11-fold CV interno. Aunque ABIDE-I es multisitio, no se identificó site-held-out validation. El sitio de adquisición aparece entre rasgos fenotípicos, lo que puede introducir dependencia del sitio; se requiere análisis específico antes de afirmar robustez cross-site.</ns0:t>
        </ns0:is>
      </ns0:c>
      <ns0:c r="F2036" s="21" t="inlineStr">
        <ns0:is>
          <ns0:t>https://doi.org/10.1016/j.ibmed.2025.100213</ns0:t>
        </ns0:is>
      </ns0:c>
      <ns0:c r="G2036" s="21" t="inlineStr">
        <ns0:is>
          <ns0:t>ChatGPT-assisted evidence recharting, 2026-09-08</ns0:t>
        </ns0:is>
      </ns0:c>
    </ns0:row>
    <ns0:row r="2037" ht="69" customHeight="1">
      <ns0:c r="A2037" s="19" t="inlineStr">
        <ns0:is>
          <ns0:t>new_60</ns0:t>
        </ns0:is>
      </ns0:c>
      <ns0:c r="B2037" s="19" t="inlineStr">
        <ns0:is>
          <ns0:t>decision_timing</ns0:t>
        </ns0:is>
      </ns0:c>
      <ns0:c r="C2037" s="19" t="inlineStr"/>
      <ns0:c r="D2037" s="19" t="inlineStr">
        <ns0:is>
          <ns0:t>Not observed in assessed sources</ns0:t>
        </ns0:is>
      </ns0:c>
      <ns0:c r="E2037" s="19" t="inlineStr">
        <ns0:is>
          <ns0:t>Retained source-specific coding after review of the supplied extraction notes; not a new full-text retrieval. Combina conectividad rs-fMRI y variables fenotípicas de ABIDE-I en un GCN multiescala con inferencia difusa; usa 11-fold CV interno. Aunque ABIDE-I es multisitio, no se identificó site-held-out validation. El sitio de adquisición aparece entre rasgos fenotípicos, lo que puede introducir dependencia del sitio; se requiere análisis específico antes de afirmar robustez cross-site.</ns0:t>
        </ns0:is>
      </ns0:c>
      <ns0:c r="F2037" s="19" t="inlineStr">
        <ns0:is>
          <ns0:t>https://doi.org/10.1016/j.ibmed.2025.100213</ns0:t>
        </ns0:is>
      </ns0:c>
      <ns0:c r="G2037" s="19" t="inlineStr">
        <ns0:is>
          <ns0:t>ChatGPT-assisted evidence recharting, 2026-09-08</ns0:t>
        </ns0:is>
      </ns0:c>
    </ns0:row>
    <ns0:row r="2038" ht="69" customHeight="1">
      <ns0:c r="A2038" s="21" t="inlineStr">
        <ns0:is>
          <ns0:t>new_60</ns0:t>
        </ns0:is>
      </ns0:c>
      <ns0:c r="B2038" s="21" t="inlineStr">
        <ns0:is>
          <ns0:t>integrity_status</ns0:t>
        </ns0:is>
      </ns0:c>
      <ns0:c r="C2038" s="21" t="inlineStr"/>
      <ns0:c r="D2038" s="21" t="inlineStr">
        <ns0:is>
          <ns0:t>Not recorded</ns0:t>
        </ns0:is>
      </ns0:c>
      <ns0:c r="E2038" s="21" t="inlineStr">
        <ns0:is>
          <ns0:t>Retained source-specific coding after review of the supplied extraction notes; not a new full-text retrieval. Combina conectividad rs-fMRI y variables fenotípicas de ABIDE-I en un GCN multiescala con inferencia difusa; usa 11-fold CV interno. Aunque ABIDE-I es multisitio, no se identificó site-held-out validation. El sitio de adquisición aparece entre rasgos fenotípicos, lo que puede introducir dependencia del sitio; se requiere análisis específico antes de afirmar robustez cross-site.</ns0:t>
        </ns0:is>
      </ns0:c>
      <ns0:c r="F2038" s="21" t="inlineStr">
        <ns0:is>
          <ns0:t>https://doi.org/10.1016/j.ibmed.2025.100213</ns0:t>
        </ns0:is>
      </ns0:c>
      <ns0:c r="G2038" s="21" t="inlineStr">
        <ns0:is>
          <ns0:t>ChatGPT-assisted evidence recharting, 2026-09-08</ns0:t>
        </ns0:is>
      </ns0:c>
    </ns0:row>
    <ns0:row r="2039" ht="69" customHeight="1">
      <ns0:c r="A2039" s="19" t="inlineStr">
        <ns0:is>
          <ns0:t>new_63</ns0:t>
        </ns0:is>
      </ns0:c>
      <ns0:c r="B2039" s="19" t="inlineStr">
        <ns0:is>
          <ns0:t>data_source_primary</ns0:t>
        </ns0:is>
      </ns0:c>
      <ns0:c r="C2039" s="19" t="inlineStr">
        <ns0:is>
          <ns0:t>Behavioral video / movement</ns0:t>
        </ns0:is>
      </ns0:c>
      <ns0:c r="D2039" s="19" t="inlineStr">
        <ns0:is>
          <ns0:t>Behavioral images/video/gaze/movement</ns0:t>
        </ns0:is>
      </ns0:c>
      <ns0:c r="E2039" s="19" t="inlineStr">
        <ns0:is>
          <ns0:t>Retained source-specific coding after review of the supplied extraction notes; not a new full-text retrieval. Protocolo de block-play parent-child con 40 ASD y 89 TD; cámara RGB, pose con Faster R-CNN+HRNet y clasificador 2sGCN-AxLSTM; accuracy reportada 89.6%. Datos recogidos prospectivamente en un único entorno y n=129; no hay validación externa independiente. El módulo de atención no se contó como XAI porque no se presentó como explicación clínica.</ns0:t>
        </ns0:is>
      </ns0:c>
      <ns0:c r="F2039" s="19" t="inlineStr">
        <ns0:is>
          <ns0:t>https://doi.org/10.1016/j.engappai.2025.110430</ns0:t>
        </ns0:is>
      </ns0:c>
      <ns0:c r="G2039" s="19" t="inlineStr">
        <ns0:is>
          <ns0:t>ChatGPT-assisted evidence recharting, 2026-09-08</ns0:t>
        </ns0:is>
      </ns0:c>
    </ns0:row>
    <ns0:row r="2040" ht="69" customHeight="1">
      <ns0:c r="A2040" s="21" t="inlineStr">
        <ns0:is>
          <ns0:t>new_63</ns0:t>
        </ns0:is>
      </ns0:c>
      <ns0:c r="B2040" s="21" t="inlineStr">
        <ns0:is>
          <ns0:t>rq2_role</ns0:t>
        </ns0:is>
      </ns0:c>
      <ns0:c r="C2040" s="21" t="inlineStr">
        <ns0:is>
          <ns0:t>Experimental video-based early ASD screening during parent-child block play</ns0:t>
        </ns0:is>
      </ns0:c>
      <ns0:c r="D2040" s="21" t="inlineStr">
        <ns0:is>
          <ns0:t>Triage/questionnaire assessment</ns0:t>
        </ns0:is>
      </ns0:c>
      <ns0:c r="E2040" s="21" t="inlineStr">
        <ns0:is>
          <ns0:t>Retained source-specific coding after review of the supplied extraction notes; not a new full-text retrieval. Protocolo de block-play parent-child con 40 ASD y 89 TD; cámara RGB, pose con Faster R-CNN+HRNet y clasificador 2sGCN-AxLSTM; accuracy reportada 89.6%. Datos recogidos prospectivamente en un único entorno y n=129; no hay validación externa independiente. El módulo de atención no se contó como XAI porque no se presentó como explicación clínica.</ns0:t>
        </ns0:is>
      </ns0:c>
      <ns0:c r="F2040" s="21" t="inlineStr">
        <ns0:is>
          <ns0:t>https://doi.org/10.1016/j.engappai.2025.110430</ns0:t>
        </ns0:is>
      </ns0:c>
      <ns0:c r="G2040" s="21" t="inlineStr">
        <ns0:is>
          <ns0:t>ChatGPT-assisted evidence recharting, 2026-09-08</ns0:t>
        </ns0:is>
      </ns0:c>
    </ns0:row>
    <ns0:row r="2041" ht="69" customHeight="1">
      <ns0:c r="A2041" s="19" t="inlineStr">
        <ns0:is>
          <ns0:t>new_63</ns0:t>
        </ns0:is>
      </ns0:c>
      <ns0:c r="B2041" s="19" t="inlineStr">
        <ns0:is>
          <ns0:t>decision_timing</ns0:t>
        </ns0:is>
      </ns0:c>
      <ns0:c r="C2041" s="19" t="inlineStr"/>
      <ns0:c r="D2041" s="19" t="inlineStr">
        <ns0:is>
          <ns0:t>Not observed in assessed sources</ns0:t>
        </ns0:is>
      </ns0:c>
      <ns0:c r="E2041" s="19" t="inlineStr">
        <ns0:is>
          <ns0:t>Retained source-specific coding after review of the supplied extraction notes; not a new full-text retrieval. Protocolo de block-play parent-child con 40 ASD y 89 TD; cámara RGB, pose con Faster R-CNN+HRNet y clasificador 2sGCN-AxLSTM; accuracy reportada 89.6%. Datos recogidos prospectivamente en un único entorno y n=129; no hay validación externa independiente. El módulo de atención no se contó como XAI porque no se presentó como explicación clínica.</ns0:t>
        </ns0:is>
      </ns0:c>
      <ns0:c r="F2041" s="19" t="inlineStr">
        <ns0:is>
          <ns0:t>https://doi.org/10.1016/j.engappai.2025.110430</ns0:t>
        </ns0:is>
      </ns0:c>
      <ns0:c r="G2041" s="19" t="inlineStr">
        <ns0:is>
          <ns0:t>ChatGPT-assisted evidence recharting, 2026-09-08</ns0:t>
        </ns0:is>
      </ns0:c>
    </ns0:row>
    <ns0:row r="2042" ht="69" customHeight="1">
      <ns0:c r="A2042" s="21" t="inlineStr">
        <ns0:is>
          <ns0:t>new_63</ns0:t>
        </ns0:is>
      </ns0:c>
      <ns0:c r="B2042" s="21" t="inlineStr">
        <ns0:is>
          <ns0:t>prospective_evaluation</ns0:t>
        </ns0:is>
      </ns0:c>
      <ns0:c r="C2042" s="21" t="inlineStr">
        <ns0:is>
          <ns0:t>Reported</ns0:t>
        </ns0:is>
      </ns0:c>
      <ns0:c r="D2042" s="21" t="inlineStr">
        <ns0:is>
          <ns0:t>Not reported in assessed sources</ns0:t>
        </ns0:is>
      </ns0:c>
      <ns0:c r="E2042" s="21" t="inlineStr">
        <ns0:is>
          <ns0:t>Retained source-specific coding after review of the supplied extraction notes; not a new full-text retrieval. Protocolo de block-play parent-child con 40 ASD y 89 TD; cámara RGB, pose con Faster R-CNN+HRNet y clasificador 2sGCN-AxLSTM; accuracy reportada 89.6%. Datos recogidos prospectivamente en un único entorno y n=129; no hay validación externa independiente. El módulo de atención no se contó como XAI porque no se presentó como explicación clínica.</ns0:t>
        </ns0:is>
      </ns0:c>
      <ns0:c r="F2042" s="21" t="inlineStr">
        <ns0:is>
          <ns0:t>https://doi.org/10.1016/j.engappai.2025.110430</ns0:t>
        </ns0:is>
      </ns0:c>
      <ns0:c r="G2042" s="21" t="inlineStr">
        <ns0:is>
          <ns0:t>ChatGPT-assisted evidence recharting, 2026-09-08</ns0:t>
        </ns0:is>
      </ns0:c>
    </ns0:row>
    <ns0:row r="2043" ht="69" customHeight="1">
      <ns0:c r="A2043" s="19" t="inlineStr">
        <ns0:is>
          <ns0:t>new_63</ns0:t>
        </ns0:is>
      </ns0:c>
      <ns0:c r="B2043" s="19" t="inlineStr">
        <ns0:is>
          <ns0:t>integrity_status</ns0:t>
        </ns0:is>
      </ns0:c>
      <ns0:c r="C2043" s="19" t="inlineStr"/>
      <ns0:c r="D2043" s="19" t="inlineStr">
        <ns0:is>
          <ns0:t>Not recorded</ns0:t>
        </ns0:is>
      </ns0:c>
      <ns0:c r="E2043" s="19" t="inlineStr">
        <ns0:is>
          <ns0:t>Retained source-specific coding after review of the supplied extraction notes; not a new full-text retrieval. Protocolo de block-play parent-child con 40 ASD y 89 TD; cámara RGB, pose con Faster R-CNN+HRNet y clasificador 2sGCN-AxLSTM; accuracy reportada 89.6%. Datos recogidos prospectivamente en un único entorno y n=129; no hay validación externa independiente. El módulo de atención no se contó como XAI porque no se presentó como explicación clínica.</ns0:t>
        </ns0:is>
      </ns0:c>
      <ns0:c r="F2043" s="19" t="inlineStr">
        <ns0:is>
          <ns0:t>https://doi.org/10.1016/j.engappai.2025.110430</ns0:t>
        </ns0:is>
      </ns0:c>
      <ns0:c r="G2043" s="19" t="inlineStr">
        <ns0:is>
          <ns0:t>ChatGPT-assisted evidence recharting, 2026-09-08</ns0:t>
        </ns0:is>
      </ns0:c>
    </ns0:row>
    <ns0:row r="2044" ht="57" customHeight="1">
      <ns0:c r="A2044" s="21" t="inlineStr">
        <ns0:is>
          <ns0:t>new_64</ns0:t>
        </ns0:is>
      </ns0:c>
      <ns0:c r="B2044" s="21" t="inlineStr">
        <ns0:is>
          <ns0:t>rq2_role</ns0:t>
        </ns0:is>
      </ns0:c>
      <ns0:c r="C2044" s="21" t="inlineStr">
        <ns0:is>
          <ns0:t>Research biomarker model; no demonstrated clinical workflow deployment</ns0:t>
        </ns0:is>
      </ns0:c>
      <ns0:c r="D2044" s="21" t="inlineStr">
        <ns0:is>
          <ns0:t>Research characterization</ns0:t>
        </ns0:is>
      </ns0:c>
      <ns0:c r="E2044" s="21" t="inlineStr">
        <ns0:is>
          <ns0:t>Retained source-specific coding after review of the supplied extraction notes; not a new full-text retrieval. Identifies seven disulfidptosis-related genes and reports a predictive model (AUC 0.759) with external validation (AUC 0.811), plus animal follow-up. The paper is primarily mechanistic/biomarker research. External datasets support validation, but no real clinical workflow or site-held-out evaluation was demonstrated.</ns0:t>
        </ns0:is>
      </ns0:c>
      <ns0:c r="F2044" s="21" t="inlineStr">
        <ns0:is>
          <ns0:t>https://doi.org/10.1016/j.lfs.2025.123531</ns0:t>
        </ns0:is>
      </ns0:c>
      <ns0:c r="G2044" s="21" t="inlineStr">
        <ns0:is>
          <ns0:t>ChatGPT-assisted evidence recharting, 2026-09-08</ns0:t>
        </ns0:is>
      </ns0:c>
    </ns0:row>
    <ns0:row r="2045" ht="57" customHeight="1">
      <ns0:c r="A2045" s="19" t="inlineStr">
        <ns0:is>
          <ns0:t>new_64</ns0:t>
        </ns0:is>
      </ns0:c>
      <ns0:c r="B2045" s="19" t="inlineStr">
        <ns0:is>
          <ns0:t>decision_timing</ns0:t>
        </ns0:is>
      </ns0:c>
      <ns0:c r="C2045" s="19" t="inlineStr"/>
      <ns0:c r="D2045" s="19" t="inlineStr">
        <ns0:is>
          <ns0:t>Not observed in assessed sources</ns0:t>
        </ns0:is>
      </ns0:c>
      <ns0:c r="E2045" s="19" t="inlineStr">
        <ns0:is>
          <ns0:t>Retained source-specific coding after review of the supplied extraction notes; not a new full-text retrieval. Identifies seven disulfidptosis-related genes and reports a predictive model (AUC 0.759) with external validation (AUC 0.811), plus animal follow-up. The paper is primarily mechanistic/biomarker research. External datasets support validation, but no real clinical workflow or site-held-out evaluation was demonstrated.</ns0:t>
        </ns0:is>
      </ns0:c>
      <ns0:c r="F2045" s="19" t="inlineStr">
        <ns0:is>
          <ns0:t>https://doi.org/10.1016/j.lfs.2025.123531</ns0:t>
        </ns0:is>
      </ns0:c>
      <ns0:c r="G2045" s="19" t="inlineStr">
        <ns0:is>
          <ns0:t>ChatGPT-assisted evidence recharting, 2026-09-08</ns0:t>
        </ns0:is>
      </ns0:c>
    </ns0:row>
    <ns0:row r="2046" ht="57" customHeight="1">
      <ns0:c r="A2046" s="21" t="inlineStr">
        <ns0:is>
          <ns0:t>new_64</ns0:t>
        </ns0:is>
      </ns0:c>
      <ns0:c r="B2046" s="21" t="inlineStr">
        <ns0:is>
          <ns0:t>integrity_status</ns0:t>
        </ns0:is>
      </ns0:c>
      <ns0:c r="C2046" s="21" t="inlineStr"/>
      <ns0:c r="D2046" s="21" t="inlineStr">
        <ns0:is>
          <ns0:t>Not recorded</ns0:t>
        </ns0:is>
      </ns0:c>
      <ns0:c r="E2046" s="21" t="inlineStr">
        <ns0:is>
          <ns0:t>Retained source-specific coding after review of the supplied extraction notes; not a new full-text retrieval. Identifies seven disulfidptosis-related genes and reports a predictive model (AUC 0.759) with external validation (AUC 0.811), plus animal follow-up. The paper is primarily mechanistic/biomarker research. External datasets support validation, but no real clinical workflow or site-held-out evaluation was demonstrated.</ns0:t>
        </ns0:is>
      </ns0:c>
      <ns0:c r="F2046" s="21" t="inlineStr">
        <ns0:is>
          <ns0:t>https://doi.org/10.1016/j.lfs.2025.123531</ns0:t>
        </ns0:is>
      </ns0:c>
      <ns0:c r="G2046" s="21" t="inlineStr">
        <ns0:is>
          <ns0:t>ChatGPT-assisted evidence recharting, 2026-09-08</ns0:t>
        </ns0:is>
      </ns0:c>
    </ns0:row>
    <ns0:row r="2047" ht="57" customHeight="1">
      <ns0:c r="A2047" s="19" t="inlineStr">
        <ns0:is>
          <ns0:t>new_67</ns0:t>
        </ns0:is>
      </ns0:c>
      <ns0:c r="B2047" s="19" t="inlineStr">
        <ns0:is>
          <ns0:t>data_source_primary</ns0:t>
        </ns0:is>
      </ns0:c>
      <ns0:c r="C2047" s="19" t="inlineStr">
        <ns0:is>
          <ns0:t>Facial images</ns0:t>
        </ns0:is>
      </ns0:c>
      <ns0:c r="D2047" s="19" t="inlineStr">
        <ns0:is>
          <ns0:t>Behavioral images/video/gaze/movement</ns0:t>
        </ns0:is>
      </ns0:c>
      <ns0:c r="E2047" s="19" t="inlineStr">
        <ns0:is>
          <ns0:t>Retained source-specific coding after review of the supplied extraction notes; not a new full-text retrieval. DenseResNet combines DenseNet and ResNet transfer learning on facial images; 2526 training and 200 test images; reported accuracy 97.07%. Internal dataset evaluation only. No independent external cohort, prospective clinical workflow, cross-site test, or formal XAI was identified.</ns0:t>
        </ns0:is>
      </ns0:c>
      <ns0:c r="F2047" s="19" t="inlineStr">
        <ns0:is>
          <ns0:t>https://doi.org/10.1016/j.bspc.2024.107433</ns0:t>
        </ns0:is>
      </ns0:c>
      <ns0:c r="G2047" s="19" t="inlineStr">
        <ns0:is>
          <ns0:t>ChatGPT-assisted evidence recharting, 2026-09-08</ns0:t>
        </ns0:is>
      </ns0:c>
    </ns0:row>
    <ns0:row r="2048" ht="57" customHeight="1">
      <ns0:c r="A2048" s="21" t="inlineStr">
        <ns0:is>
          <ns0:t>new_67</ns0:t>
        </ns0:is>
      </ns0:c>
      <ns0:c r="B2048" s="21" t="inlineStr">
        <ns0:is>
          <ns0:t>rq2_role</ns0:t>
        </ns0:is>
      </ns0:c>
      <ns0:c r="C2048" s="21" t="inlineStr">
        <ns0:is>
          <ns0:t>Proposed facial-image support for early ASD identification</ns0:t>
        </ns0:is>
      </ns0:c>
      <ns0:c r="D2048" s="21" t="inlineStr">
        <ns0:is>
          <ns0:t>Triage/questionnaire assessment</ns0:t>
        </ns0:is>
      </ns0:c>
      <ns0:c r="E2048" s="21" t="inlineStr">
        <ns0:is>
          <ns0:t>Retained source-specific coding after review of the supplied extraction notes; not a new full-text retrieval. DenseResNet combines DenseNet and ResNet transfer learning on facial images; 2526 training and 200 test images; reported accuracy 97.07%. Internal dataset evaluation only. No independent external cohort, prospective clinical workflow, cross-site test, or formal XAI was identified.</ns0:t>
        </ns0:is>
      </ns0:c>
      <ns0:c r="F2048" s="21" t="inlineStr">
        <ns0:is>
          <ns0:t>https://doi.org/10.1016/j.bspc.2024.107433</ns0:t>
        </ns0:is>
      </ns0:c>
      <ns0:c r="G2048" s="21" t="inlineStr">
        <ns0:is>
          <ns0:t>ChatGPT-assisted evidence recharting, 2026-09-08</ns0:t>
        </ns0:is>
      </ns0:c>
    </ns0:row>
    <ns0:row r="2049" ht="57" customHeight="1">
      <ns0:c r="A2049" s="19" t="inlineStr">
        <ns0:is>
          <ns0:t>new_67</ns0:t>
        </ns0:is>
      </ns0:c>
      <ns0:c r="B2049" s="19" t="inlineStr">
        <ns0:is>
          <ns0:t>decision_timing</ns0:t>
        </ns0:is>
      </ns0:c>
      <ns0:c r="C2049" s="19" t="inlineStr"/>
      <ns0:c r="D2049" s="19" t="inlineStr">
        <ns0:is>
          <ns0:t>Pre-decision</ns0:t>
        </ns0:is>
      </ns0:c>
      <ns0:c r="E2049" s="19" t="inlineStr">
        <ns0:is>
          <ns0:t>Retained source-specific coding after review of the supplied extraction notes; not a new full-text retrieval. DenseResNet combines DenseNet and ResNet transfer learning on facial images; 2526 training and 200 test images; reported accuracy 97.07%. Internal dataset evaluation only. No independent external cohort, prospective clinical workflow, cross-site test, or formal XAI was identified.</ns0:t>
        </ns0:is>
      </ns0:c>
      <ns0:c r="F2049" s="19" t="inlineStr">
        <ns0:is>
          <ns0:t>https://doi.org/10.1016/j.bspc.2024.107433</ns0:t>
        </ns0:is>
      </ns0:c>
      <ns0:c r="G2049" s="19" t="inlineStr">
        <ns0:is>
          <ns0:t>ChatGPT-assisted evidence recharting, 2026-09-08</ns0:t>
        </ns0:is>
      </ns0:c>
    </ns0:row>
    <ns0:row r="2050" ht="57" customHeight="1">
      <ns0:c r="A2050" s="21" t="inlineStr">
        <ns0:is>
          <ns0:t>new_67</ns0:t>
        </ns0:is>
      </ns0:c>
      <ns0:c r="B2050" s="21" t="inlineStr">
        <ns0:is>
          <ns0:t>integrity_status</ns0:t>
        </ns0:is>
      </ns0:c>
      <ns0:c r="C2050" s="21" t="inlineStr"/>
      <ns0:c r="D2050" s="21" t="inlineStr">
        <ns0:is>
          <ns0:t>Not recorded</ns0:t>
        </ns0:is>
      </ns0:c>
      <ns0:c r="E2050" s="21" t="inlineStr">
        <ns0:is>
          <ns0:t>Retained source-specific coding after review of the supplied extraction notes; not a new full-text retrieval. DenseResNet combines DenseNet and ResNet transfer learning on facial images; 2526 training and 200 test images; reported accuracy 97.07%. Internal dataset evaluation only. No independent external cohort, prospective clinical workflow, cross-site test, or formal XAI was identified.</ns0:t>
        </ns0:is>
      </ns0:c>
      <ns0:c r="F2050" s="21" t="inlineStr">
        <ns0:is>
          <ns0:t>https://doi.org/10.1016/j.bspc.2024.107433</ns0:t>
        </ns0:is>
      </ns0:c>
      <ns0:c r="G2050" s="21" t="inlineStr">
        <ns0:is>
          <ns0:t>ChatGPT-assisted evidence recharting, 2026-09-08</ns0:t>
        </ns0:is>
      </ns0:c>
    </ns0:row>
    <ns0:row r="2051" ht="57" customHeight="1">
      <ns0:c r="A2051" s="19" t="inlineStr">
        <ns0:is>
          <ns0:t>new_74</ns0:t>
        </ns0:is>
      </ns0:c>
      <ns0:c r="B2051" s="19" t="inlineStr">
        <ns0:is>
          <ns0:t>rq2_role</ns0:t>
        </ns0:is>
      </ns0:c>
      <ns0:c r="C2051" s="19" t="inlineStr">
        <ns0:is>
          <ns0:t>Experimental EEG diagnostic classifier</ns0:t>
        </ns0:is>
      </ns0:c>
      <ns0:c r="D2051" s="19" t="inlineStr">
        <ns0:is>
          <ns0:t>Automated measurement/classification</ns0:t>
        </ns0:is>
      </ns0:c>
      <ns0:c r="E2051" s="19" t="inlineStr">
        <ns0:is>
          <ns0:t>Retained source-specific coding after review of the supplied extraction notes; not a new full-text retrieval. EEFM fuses time/frequency EEG features using an LSTM autoencoder, XGBoost and linear regression; reported ASD-vs-TD accuracy is 93%. Multiple EEG collections do not by themselves establish independent external validation or cross-site robustness; no formal XAI was reported.</ns0:t>
        </ns0:is>
      </ns0:c>
      <ns0:c r="F2051" s="19" t="inlineStr">
        <ns0:is>
          <ns0:t>https://doi.org/10.1016/j.neucom.2025.130353</ns0:t>
        </ns0:is>
      </ns0:c>
      <ns0:c r="G2051" s="19" t="inlineStr">
        <ns0:is>
          <ns0:t>ChatGPT-assisted evidence recharting, 2026-09-08</ns0:t>
        </ns0:is>
      </ns0:c>
    </ns0:row>
    <ns0:row r="2052" ht="57" customHeight="1">
      <ns0:c r="A2052" s="21" t="inlineStr">
        <ns0:is>
          <ns0:t>new_74</ns0:t>
        </ns0:is>
      </ns0:c>
      <ns0:c r="B2052" s="21" t="inlineStr">
        <ns0:is>
          <ns0:t>decision_timing</ns0:t>
        </ns0:is>
      </ns0:c>
      <ns0:c r="C2052" s="21" t="inlineStr"/>
      <ns0:c r="D2052" s="21" t="inlineStr">
        <ns0:is>
          <ns0:t>Not observed in assessed sources</ns0:t>
        </ns0:is>
      </ns0:c>
      <ns0:c r="E2052" s="21" t="inlineStr">
        <ns0:is>
          <ns0:t>Retained source-specific coding after review of the supplied extraction notes; not a new full-text retrieval. EEFM fuses time/frequency EEG features using an LSTM autoencoder, XGBoost and linear regression; reported ASD-vs-TD accuracy is 93%. Multiple EEG collections do not by themselves establish independent external validation or cross-site robustness; no formal XAI was reported.</ns0:t>
        </ns0:is>
      </ns0:c>
      <ns0:c r="F2052" s="21" t="inlineStr">
        <ns0:is>
          <ns0:t>https://doi.org/10.1016/j.neucom.2025.130353</ns0:t>
        </ns0:is>
      </ns0:c>
      <ns0:c r="G2052" s="21" t="inlineStr">
        <ns0:is>
          <ns0:t>ChatGPT-assisted evidence recharting, 2026-09-08</ns0:t>
        </ns0:is>
      </ns0:c>
    </ns0:row>
    <ns0:row r="2053" ht="57" customHeight="1">
      <ns0:c r="A2053" s="19" t="inlineStr">
        <ns0:is>
          <ns0:t>new_74</ns0:t>
        </ns0:is>
      </ns0:c>
      <ns0:c r="B2053" s="19" t="inlineStr">
        <ns0:is>
          <ns0:t>integrity_status</ns0:t>
        </ns0:is>
      </ns0:c>
      <ns0:c r="C2053" s="19" t="inlineStr"/>
      <ns0:c r="D2053" s="19" t="inlineStr">
        <ns0:is>
          <ns0:t>Not recorded</ns0:t>
        </ns0:is>
      </ns0:c>
      <ns0:c r="E2053" s="19" t="inlineStr">
        <ns0:is>
          <ns0:t>Retained source-specific coding after review of the supplied extraction notes; not a new full-text retrieval. EEFM fuses time/frequency EEG features using an LSTM autoencoder, XGBoost and linear regression; reported ASD-vs-TD accuracy is 93%. Multiple EEG collections do not by themselves establish independent external validation or cross-site robustness; no formal XAI was reported.</ns0:t>
        </ns0:is>
      </ns0:c>
      <ns0:c r="F2053" s="19" t="inlineStr">
        <ns0:is>
          <ns0:t>https://doi.org/10.1016/j.neucom.2025.130353</ns0:t>
        </ns0:is>
      </ns0:c>
      <ns0:c r="G2053" s="19" t="inlineStr">
        <ns0:is>
          <ns0:t>ChatGPT-assisted evidence recharting, 2026-09-08</ns0:t>
        </ns0:is>
      </ns0:c>
    </ns0:row>
    <ns0:row r="2054" ht="57" customHeight="1">
      <ns0:c r="A2054" s="21" t="inlineStr">
        <ns0:is>
          <ns0:t>new_76</ns0:t>
        </ns0:is>
      </ns0:c>
      <ns0:c r="B2054" s="21" t="inlineStr">
        <ns0:is>
          <ns0:t>rq2_role</ns0:t>
        </ns0:is>
      </ns0:c>
      <ns0:c r="C2054" s="21" t="inlineStr">
        <ns0:is>
          <ns0:t>Experimental female-specific neuroimaging diagnostic classifier</ns0:t>
        </ns0:is>
      </ns0:c>
      <ns0:c r="D2054" s="21" t="inlineStr">
        <ns0:is>
          <ns0:t>Automated measurement/classification</ns0:t>
        </ns0:is>
      </ns0:c>
      <ns0:c r="E2054" s="21" t="inlineStr">
        <ns0:is>
          <ns0:t>Retained source-specific coding after review of the supplied extraction notes; not a new full-text retrieval. NeuroNet57 extracts ABIDE-I/II features, ACO selects features, and FineKNN reports 92.21% accuracy on ABIDE-I and 93.49% on ABIDE-II. ABIDE is multisite, but the recovered text did not document site-held-out testing or a fixed development-versus-external validation design.</ns0:t>
        </ns0:is>
      </ns0:c>
      <ns0:c r="F2054" s="21" t="inlineStr">
        <ns0:is>
          <ns0:t>https://doi.org/10.1016/j.compbiomed.2025.109926</ns0:t>
        </ns0:is>
      </ns0:c>
      <ns0:c r="G2054" s="21" t="inlineStr">
        <ns0:is>
          <ns0:t>ChatGPT-assisted evidence recharting, 2026-09-08</ns0:t>
        </ns0:is>
      </ns0:c>
    </ns0:row>
    <ns0:row r="2055" ht="57" customHeight="1">
      <ns0:c r="A2055" s="19" t="inlineStr">
        <ns0:is>
          <ns0:t>new_76</ns0:t>
        </ns0:is>
      </ns0:c>
      <ns0:c r="B2055" s="19" t="inlineStr">
        <ns0:is>
          <ns0:t>decision_timing</ns0:t>
        </ns0:is>
      </ns0:c>
      <ns0:c r="C2055" s="19" t="inlineStr"/>
      <ns0:c r="D2055" s="19" t="inlineStr">
        <ns0:is>
          <ns0:t>Not observed in assessed sources</ns0:t>
        </ns0:is>
      </ns0:c>
      <ns0:c r="E2055" s="19" t="inlineStr">
        <ns0:is>
          <ns0:t>Retained source-specific coding after review of the supplied extraction notes; not a new full-text retrieval. NeuroNet57 extracts ABIDE-I/II features, ACO selects features, and FineKNN reports 92.21% accuracy on ABIDE-I and 93.49% on ABIDE-II. ABIDE is multisite, but the recovered text did not document site-held-out testing or a fixed development-versus-external validation design.</ns0:t>
        </ns0:is>
      </ns0:c>
      <ns0:c r="F2055" s="19" t="inlineStr">
        <ns0:is>
          <ns0:t>https://doi.org/10.1016/j.compbiomed.2025.109926</ns0:t>
        </ns0:is>
      </ns0:c>
      <ns0:c r="G2055" s="19" t="inlineStr">
        <ns0:is>
          <ns0:t>ChatGPT-assisted evidence recharting, 2026-09-08</ns0:t>
        </ns0:is>
      </ns0:c>
    </ns0:row>
    <ns0:row r="2056" ht="57" customHeight="1">
      <ns0:c r="A2056" s="21" t="inlineStr">
        <ns0:is>
          <ns0:t>new_76</ns0:t>
        </ns0:is>
      </ns0:c>
      <ns0:c r="B2056" s="21" t="inlineStr">
        <ns0:is>
          <ns0:t>integrity_status</ns0:t>
        </ns0:is>
      </ns0:c>
      <ns0:c r="C2056" s="21" t="inlineStr"/>
      <ns0:c r="D2056" s="21" t="inlineStr">
        <ns0:is>
          <ns0:t>Not recorded</ns0:t>
        </ns0:is>
      </ns0:c>
      <ns0:c r="E2056" s="21" t="inlineStr">
        <ns0:is>
          <ns0:t>Retained source-specific coding after review of the supplied extraction notes; not a new full-text retrieval. NeuroNet57 extracts ABIDE-I/II features, ACO selects features, and FineKNN reports 92.21% accuracy on ABIDE-I and 93.49% on ABIDE-II. ABIDE is multisite, but the recovered text did not document site-held-out testing or a fixed development-versus-external validation design.</ns0:t>
        </ns0:is>
      </ns0:c>
      <ns0:c r="F2056" s="21" t="inlineStr">
        <ns0:is>
          <ns0:t>https://doi.org/10.1016/j.compbiomed.2025.109926</ns0:t>
        </ns0:is>
      </ns0:c>
      <ns0:c r="G2056" s="21" t="inlineStr">
        <ns0:is>
          <ns0:t>ChatGPT-assisted evidence recharting, 2026-09-08</ns0:t>
        </ns0:is>
      </ns0:c>
    </ns0:row>
    <ns0:row r="2057" ht="93" customHeight="1">
      <ns0:c r="A2057" s="19" t="inlineStr">
        <ns0:is>
          <ns0:t>new_78</ns0:t>
        </ns0:is>
      </ns0:c>
      <ns0:c r="B2057" s="19" t="inlineStr">
        <ns0:is>
          <ns0:t>ai_type</ns0:t>
        </ns0:is>
      </ns0:c>
      <ns0:c r="C2057" s="19" t="inlineStr">
        <ns0:is>
          <ns0:t>Hybrid</ns0:t>
        </ns0:is>
      </ns0:c>
      <ns0:c r="D2057" s="19" t="inlineStr">
        <ns0:is>
          <ns0:t>Deep Learning</ns0:t>
        </ns0:is>
      </ns0:c>
      <ns0:c r="E2057" s="19" t="inlineStr">
        <ns0:is>
          <ns0:t>Retained source-specific coding after review of the supplied extraction notes; not a new full-text retrieval. Uses Capsule DenseNet++ with optimization for ASD screening on two public datasets and a PPO component for lifestyle recommendation; reported accuracies are about 99.2-99.3%. The two datasets were not documented as a fixed independent external-validation scheme, and the recommendation component was not evaluated in a prospective care workflow.
All-neural/optimization pipeline in recovered evidence; hybrid title is not sufficient for mixed conventional-ML/DL classification.</ns0:t>
        </ns0:is>
      </ns0:c>
      <ns0:c r="F2057" s="19" t="inlineStr">
        <ns0:is>
          <ns0:t>https://doi.org/10.1016/j.compbiomed.2025.110038</ns0:t>
        </ns0:is>
      </ns0:c>
      <ns0:c r="G2057" s="19" t="inlineStr">
        <ns0:is>
          <ns0:t>ChatGPT-assisted evidence recharting, 2026-09-08</ns0:t>
        </ns0:is>
      </ns0:c>
    </ns0:row>
    <ns0:row r="2058" ht="93" customHeight="1">
      <ns0:c r="A2058" s="21" t="inlineStr">
        <ns0:is>
          <ns0:t>new_78</ns0:t>
        </ns0:is>
      </ns0:c>
      <ns0:c r="B2058" s="21" t="inlineStr">
        <ns0:is>
          <ns0:t>data_source_primary</ns0:t>
        </ns0:is>
      </ns0:c>
      <ns0:c r="C2058" s="21" t="inlineStr">
        <ns0:is>
          <ns0:t>Structured / tabular data</ns0:t>
        </ns0:is>
      </ns0:c>
      <ns0:c r="D2058" s="21" t="inlineStr">
        <ns0:is>
          <ns0:t>Structured clinical/questionnaire data</ns0:t>
        </ns0:is>
      </ns0:c>
      <ns0:c r="E2058" s="21" t="inlineStr">
        <ns0:is>
          <ns0:t>Retained source-specific coding after review of the supplied extraction notes; not a new full-text retrieval. Uses Capsule DenseNet++ with optimization for ASD screening on two public datasets and a PPO component for lifestyle recommendation; reported accuracies are about 99.2-99.3%. The two datasets were not documented as a fixed independent external-validation scheme, and the recommendation component was not evaluated in a prospective care workflow.
All-neural/optimization pipeline in recovered evidence; hybrid title is not sufficient for mixed conventional-ML/DL classification.</ns0:t>
        </ns0:is>
      </ns0:c>
      <ns0:c r="F2058" s="21" t="inlineStr">
        <ns0:is>
          <ns0:t>https://doi.org/10.1016/j.compbiomed.2025.110038</ns0:t>
        </ns0:is>
      </ns0:c>
      <ns0:c r="G2058" s="21" t="inlineStr">
        <ns0:is>
          <ns0:t>ChatGPT-assisted evidence recharting, 2026-09-08</ns0:t>
        </ns0:is>
      </ns0:c>
    </ns0:row>
    <ns0:row r="2059" ht="93" customHeight="1">
      <ns0:c r="A2059" s="19" t="inlineStr">
        <ns0:is>
          <ns0:t>new_78</ns0:t>
        </ns0:is>
      </ns0:c>
      <ns0:c r="B2059" s="19" t="inlineStr">
        <ns0:is>
          <ns0:t>rq2_role</ns0:t>
        </ns0:is>
      </ns0:c>
      <ns0:c r="C2059" s="19" t="inlineStr">
        <ns0:is>
          <ns0:t>Proposed screening classifier with post-screening lifestyle recommendation</ns0:t>
        </ns0:is>
      </ns0:c>
      <ns0:c r="D2059" s="19" t="inlineStr">
        <ns0:is>
          <ns0:t>Triage/questionnaire assessment</ns0:t>
        </ns0:is>
      </ns0:c>
      <ns0:c r="E2059" s="19" t="inlineStr">
        <ns0:is>
          <ns0:t>Retained source-specific coding after review of the supplied extraction notes; not a new full-text retrieval. Uses Capsule DenseNet++ with optimization for ASD screening on two public datasets and a PPO component for lifestyle recommendation; reported accuracies are about 99.2-99.3%. The two datasets were not documented as a fixed independent external-validation scheme, and the recommendation component was not evaluated in a prospective care workflow.
All-neural/optimization pipeline in recovered evidence; hybrid title is not sufficient for mixed conventional-ML/DL classification.</ns0:t>
        </ns0:is>
      </ns0:c>
      <ns0:c r="F2059" s="19" t="inlineStr">
        <ns0:is>
          <ns0:t>https://doi.org/10.1016/j.compbiomed.2025.110038</ns0:t>
        </ns0:is>
      </ns0:c>
      <ns0:c r="G2059" s="19" t="inlineStr">
        <ns0:is>
          <ns0:t>ChatGPT-assisted evidence recharting, 2026-09-08</ns0:t>
        </ns0:is>
      </ns0:c>
    </ns0:row>
    <ns0:row r="2060" ht="93" customHeight="1">
      <ns0:c r="A2060" s="21" t="inlineStr">
        <ns0:is>
          <ns0:t>new_78</ns0:t>
        </ns0:is>
      </ns0:c>
      <ns0:c r="B2060" s="21" t="inlineStr">
        <ns0:is>
          <ns0:t>decision_timing</ns0:t>
        </ns0:is>
      </ns0:c>
      <ns0:c r="C2060" s="21" t="inlineStr"/>
      <ns0:c r="D2060" s="21" t="inlineStr">
        <ns0:is>
          <ns0:t>Pre-decision</ns0:t>
        </ns0:is>
      </ns0:c>
      <ns0:c r="E2060" s="21" t="inlineStr">
        <ns0:is>
          <ns0:t>Retained source-specific coding after review of the supplied extraction notes; not a new full-text retrieval. Uses Capsule DenseNet++ with optimization for ASD screening on two public datasets and a PPO component for lifestyle recommendation; reported accuracies are about 99.2-99.3%. The two datasets were not documented as a fixed independent external-validation scheme, and the recommendation component was not evaluated in a prospective care workflow.
All-neural/optimization pipeline in recovered evidence; hybrid title is not sufficient for mixed conventional-ML/DL classification.</ns0:t>
        </ns0:is>
      </ns0:c>
      <ns0:c r="F2060" s="21" t="inlineStr">
        <ns0:is>
          <ns0:t>https://doi.org/10.1016/j.compbiomed.2025.110038</ns0:t>
        </ns0:is>
      </ns0:c>
      <ns0:c r="G2060" s="21" t="inlineStr">
        <ns0:is>
          <ns0:t>ChatGPT-assisted evidence recharting, 2026-09-08</ns0:t>
        </ns0:is>
      </ns0:c>
    </ns0:row>
    <ns0:row r="2061" ht="93" customHeight="1">
      <ns0:c r="A2061" s="19" t="inlineStr">
        <ns0:is>
          <ns0:t>new_78</ns0:t>
        </ns0:is>
      </ns0:c>
      <ns0:c r="B2061" s="19" t="inlineStr">
        <ns0:is>
          <ns0:t>integrity_status</ns0:t>
        </ns0:is>
      </ns0:c>
      <ns0:c r="C2061" s="19" t="inlineStr"/>
      <ns0:c r="D2061" s="19" t="inlineStr">
        <ns0:is>
          <ns0:t>Not recorded</ns0:t>
        </ns0:is>
      </ns0:c>
      <ns0:c r="E2061" s="19" t="inlineStr">
        <ns0:is>
          <ns0:t>Retained source-specific coding after review of the supplied extraction notes; not a new full-text retrieval. Uses Capsule DenseNet++ with optimization for ASD screening on two public datasets and a PPO component for lifestyle recommendation; reported accuracies are about 99.2-99.3%. The two datasets were not documented as a fixed independent external-validation scheme, and the recommendation component was not evaluated in a prospective care workflow.
All-neural/optimization pipeline in recovered evidence; hybrid title is not sufficient for mixed conventional-ML/DL classification.</ns0:t>
        </ns0:is>
      </ns0:c>
      <ns0:c r="F2061" s="19" t="inlineStr">
        <ns0:is>
          <ns0:t>https://doi.org/10.1016/j.compbiomed.2025.110038</ns0:t>
        </ns0:is>
      </ns0:c>
      <ns0:c r="G2061" s="19" t="inlineStr">
        <ns0:is>
          <ns0:t>ChatGPT-assisted evidence recharting, 2026-09-08</ns0:t>
        </ns0:is>
      </ns0:c>
    </ns0:row>
    <ns0:row r="2062" ht="57" customHeight="1">
      <ns0:c r="A2062" s="21" t="inlineStr">
        <ns0:is>
          <ns0:t>new_81</ns0:t>
        </ns0:is>
      </ns0:c>
      <ns0:c r="B2062" s="21" t="inlineStr">
        <ns0:is>
          <ns0:t>rq2_role</ns0:t>
        </ns0:is>
      </ns0:c>
      <ns0:c r="C2062" s="21" t="inlineStr">
        <ns0:is>
          <ns0:t>Experimental semi-supervised EEG classifier</ns0:t>
        </ns0:is>
      </ns0:c>
      <ns0:c r="D2062" s="21" t="inlineStr">
        <ns0:is>
          <ns0:t>Automated measurement/classification</ns0:t>
        </ns0:is>
      </ns0:c>
      <ns0:c r="E2062" s="21" t="inlineStr">
        <ns0:is>
          <ns0:t>Retained source-specific coding after review of the supplied extraction notes; not a new full-text retrieval. STEM combines an autoencoder, depthwise-separable convolution, BiGRU and pseudo-label self-training across EEG data; reported accuracy is 88.33% and F1 87.24%. Use of several EEG datasets does not automatically prove external validation; no explicit site-held-out or prospective clinical evaluation was identified.</ns0:t>
        </ns0:is>
      </ns0:c>
      <ns0:c r="F2062" s="21" t="inlineStr">
        <ns0:is>
          <ns0:t>https://doi.org/10.1016/j.neunet.2025.107337</ns0:t>
        </ns0:is>
      </ns0:c>
      <ns0:c r="G2062" s="21" t="inlineStr">
        <ns0:is>
          <ns0:t>ChatGPT-assisted evidence recharting, 2026-09-08</ns0:t>
        </ns0:is>
      </ns0:c>
    </ns0:row>
    <ns0:row r="2063" ht="57" customHeight="1">
      <ns0:c r="A2063" s="19" t="inlineStr">
        <ns0:is>
          <ns0:t>new_81</ns0:t>
        </ns0:is>
      </ns0:c>
      <ns0:c r="B2063" s="19" t="inlineStr">
        <ns0:is>
          <ns0:t>decision_timing</ns0:t>
        </ns0:is>
      </ns0:c>
      <ns0:c r="C2063" s="19" t="inlineStr"/>
      <ns0:c r="D2063" s="19" t="inlineStr">
        <ns0:is>
          <ns0:t>Not observed in assessed sources</ns0:t>
        </ns0:is>
      </ns0:c>
      <ns0:c r="E2063" s="19" t="inlineStr">
        <ns0:is>
          <ns0:t>Retained source-specific coding after review of the supplied extraction notes; not a new full-text retrieval. STEM combines an autoencoder, depthwise-separable convolution, BiGRU and pseudo-label self-training across EEG data; reported accuracy is 88.33% and F1 87.24%. Use of several EEG datasets does not automatically prove external validation; no explicit site-held-out or prospective clinical evaluation was identified.</ns0:t>
        </ns0:is>
      </ns0:c>
      <ns0:c r="F2063" s="19" t="inlineStr">
        <ns0:is>
          <ns0:t>https://doi.org/10.1016/j.neunet.2025.107337</ns0:t>
        </ns0:is>
      </ns0:c>
      <ns0:c r="G2063" s="19" t="inlineStr">
        <ns0:is>
          <ns0:t>ChatGPT-assisted evidence recharting, 2026-09-08</ns0:t>
        </ns0:is>
      </ns0:c>
    </ns0:row>
    <ns0:row r="2064" ht="57" customHeight="1">
      <ns0:c r="A2064" s="21" t="inlineStr">
        <ns0:is>
          <ns0:t>new_81</ns0:t>
        </ns0:is>
      </ns0:c>
      <ns0:c r="B2064" s="21" t="inlineStr">
        <ns0:is>
          <ns0:t>integrity_status</ns0:t>
        </ns0:is>
      </ns0:c>
      <ns0:c r="C2064" s="21" t="inlineStr"/>
      <ns0:c r="D2064" s="21" t="inlineStr">
        <ns0:is>
          <ns0:t>Not recorded</ns0:t>
        </ns0:is>
      </ns0:c>
      <ns0:c r="E2064" s="21" t="inlineStr">
        <ns0:is>
          <ns0:t>Retained source-specific coding after review of the supplied extraction notes; not a new full-text retrieval. STEM combines an autoencoder, depthwise-separable convolution, BiGRU and pseudo-label self-training across EEG data; reported accuracy is 88.33% and F1 87.24%. Use of several EEG datasets does not automatically prove external validation; no explicit site-held-out or prospective clinical evaluation was identified.</ns0:t>
        </ns0:is>
      </ns0:c>
      <ns0:c r="F2064" s="21" t="inlineStr">
        <ns0:is>
          <ns0:t>https://doi.org/10.1016/j.neunet.2025.107337</ns0:t>
        </ns0:is>
      </ns0:c>
      <ns0:c r="G2064" s="21" t="inlineStr">
        <ns0:is>
          <ns0:t>ChatGPT-assisted evidence recharting, 2026-09-08</ns0:t>
        </ns0:is>
      </ns0:c>
    </ns0:row>
    <ns0:row r="2065" ht="57" customHeight="1">
      <ns0:c r="A2065" s="19" t="inlineStr">
        <ns0:is>
          <ns0:t>new_84</ns0:t>
        </ns0:is>
      </ns0:c>
      <ns0:c r="B2065" s="19" t="inlineStr">
        <ns0:is>
          <ns0:t>data_source_primary</ns0:t>
        </ns0:is>
      </ns0:c>
      <ns0:c r="C2065" s="19" t="inlineStr">
        <ns0:is>
          <ns0:t>Digital / robot interaction</ns0:t>
        </ns0:is>
      </ns0:c>
      <ns0:c r="D2065" s="19" t="inlineStr">
        <ns0:is>
          <ns0:t>Other biomedical/digital data</ns0:t>
        </ns0:is>
      </ns0:c>
      <ns0:c r="E2065" s="19" t="inlineStr">
        <ns0:is>
          <ns0:t>Retained source-specific coding after review of the supplied extraction notes; not a new full-text retrieval. Three teachers supervised 12 children (6 ASD, 6 TD) over three months and 640 game sessions; Random Forest was best, with reported accuracy near 96%. Very small single-context sample. Data collection was prospective, but the classifier was not shown to operate as an independent deployed screening decision in routine practice.</ns0:t>
        </ns0:is>
      </ns0:c>
      <ns0:c r="F2065" s="19" t="inlineStr">
        <ns0:is>
          <ns0:t>https://doi.org/10.1016/j.eswa.2025.128884</ns0:t>
        </ns0:is>
      </ns0:c>
      <ns0:c r="G2065" s="19" t="inlineStr">
        <ns0:is>
          <ns0:t>ChatGPT-assisted evidence recharting, 2026-09-08</ns0:t>
        </ns0:is>
      </ns0:c>
    </ns0:row>
    <ns0:row r="2066" ht="57" customHeight="1">
      <ns0:c r="A2066" s="21" t="inlineStr">
        <ns0:is>
          <ns0:t>new_84</ns0:t>
        </ns0:is>
      </ns0:c>
      <ns0:c r="B2066" s="21" t="inlineStr">
        <ns0:is>
          <ns0:t>rq2_role</ns0:t>
        </ns0:is>
      </ns0:c>
      <ns0:c r="C2066" s="21" t="inlineStr">
        <ns0:is>
          <ns0:t>School-based experimental screening model using serious-game data</ns0:t>
        </ns0:is>
      </ns0:c>
      <ns0:c r="D2066" s="21" t="inlineStr">
        <ns0:is>
          <ns0:t>Triage/questionnaire assessment</ns0:t>
        </ns0:is>
      </ns0:c>
      <ns0:c r="E2066" s="21" t="inlineStr">
        <ns0:is>
          <ns0:t>Retained source-specific coding after review of the supplied extraction notes; not a new full-text retrieval. Three teachers supervised 12 children (6 ASD, 6 TD) over three months and 640 game sessions; Random Forest was best, with reported accuracy near 96%. Very small single-context sample. Data collection was prospective, but the classifier was not shown to operate as an independent deployed screening decision in routine practice.</ns0:t>
        </ns0:is>
      </ns0:c>
      <ns0:c r="F2066" s="21" t="inlineStr">
        <ns0:is>
          <ns0:t>https://doi.org/10.1016/j.eswa.2025.128884</ns0:t>
        </ns0:is>
      </ns0:c>
      <ns0:c r="G2066" s="21" t="inlineStr">
        <ns0:is>
          <ns0:t>ChatGPT-assisted evidence recharting, 2026-09-08</ns0:t>
        </ns0:is>
      </ns0:c>
    </ns0:row>
    <ns0:row r="2067" ht="57" customHeight="1">
      <ns0:c r="A2067" s="19" t="inlineStr">
        <ns0:is>
          <ns0:t>new_84</ns0:t>
        </ns0:is>
      </ns0:c>
      <ns0:c r="B2067" s="19" t="inlineStr">
        <ns0:is>
          <ns0:t>decision_timing</ns0:t>
        </ns0:is>
      </ns0:c>
      <ns0:c r="C2067" s="19" t="inlineStr"/>
      <ns0:c r="D2067" s="19" t="inlineStr">
        <ns0:is>
          <ns0:t>Not observed in assessed sources</ns0:t>
        </ns0:is>
      </ns0:c>
      <ns0:c r="E2067" s="19" t="inlineStr">
        <ns0:is>
          <ns0:t>Retained source-specific coding after review of the supplied extraction notes; not a new full-text retrieval. Three teachers supervised 12 children (6 ASD, 6 TD) over three months and 640 game sessions; Random Forest was best, with reported accuracy near 96%. Very small single-context sample. Data collection was prospective, but the classifier was not shown to operate as an independent deployed screening decision in routine practice.</ns0:t>
        </ns0:is>
      </ns0:c>
      <ns0:c r="F2067" s="19" t="inlineStr">
        <ns0:is>
          <ns0:t>https://doi.org/10.1016/j.eswa.2025.128884</ns0:t>
        </ns0:is>
      </ns0:c>
      <ns0:c r="G2067" s="19" t="inlineStr">
        <ns0:is>
          <ns0:t>ChatGPT-assisted evidence recharting, 2026-09-08</ns0:t>
        </ns0:is>
      </ns0:c>
    </ns0:row>
    <ns0:row r="2068" ht="57" customHeight="1">
      <ns0:c r="A2068" s="21" t="inlineStr">
        <ns0:is>
          <ns0:t>new_84</ns0:t>
        </ns0:is>
      </ns0:c>
      <ns0:c r="B2068" s="21" t="inlineStr">
        <ns0:is>
          <ns0:t>prospective_evaluation</ns0:t>
        </ns0:is>
      </ns0:c>
      <ns0:c r="C2068" s="21" t="inlineStr">
        <ns0:is>
          <ns0:t>Reported</ns0:t>
        </ns0:is>
      </ns0:c>
      <ns0:c r="D2068" s="21" t="inlineStr">
        <ns0:is>
          <ns0:t>Not reported in assessed sources</ns0:t>
        </ns0:is>
      </ns0:c>
      <ns0:c r="E2068" s="21" t="inlineStr">
        <ns0:is>
          <ns0:t>Retained source-specific coding after review of the supplied extraction notes; not a new full-text retrieval. Three teachers supervised 12 children (6 ASD, 6 TD) over three months and 640 game sessions; Random Forest was best, with reported accuracy near 96%. Very small single-context sample. Data collection was prospective, but the classifier was not shown to operate as an independent deployed screening decision in routine practice.</ns0:t>
        </ns0:is>
      </ns0:c>
      <ns0:c r="F2068" s="21" t="inlineStr">
        <ns0:is>
          <ns0:t>https://doi.org/10.1016/j.eswa.2025.128884</ns0:t>
        </ns0:is>
      </ns0:c>
      <ns0:c r="G2068" s="21" t="inlineStr">
        <ns0:is>
          <ns0:t>ChatGPT-assisted evidence recharting, 2026-09-08</ns0:t>
        </ns0:is>
      </ns0:c>
    </ns0:row>
    <ns0:row r="2069" ht="57" customHeight="1">
      <ns0:c r="A2069" s="19" t="inlineStr">
        <ns0:is>
          <ns0:t>new_84</ns0:t>
        </ns0:is>
      </ns0:c>
      <ns0:c r="B2069" s="19" t="inlineStr">
        <ns0:is>
          <ns0:t>integrity_status</ns0:t>
        </ns0:is>
      </ns0:c>
      <ns0:c r="C2069" s="19" t="inlineStr"/>
      <ns0:c r="D2069" s="19" t="inlineStr">
        <ns0:is>
          <ns0:t>Not recorded</ns0:t>
        </ns0:is>
      </ns0:c>
      <ns0:c r="E2069" s="19" t="inlineStr">
        <ns0:is>
          <ns0:t>Retained source-specific coding after review of the supplied extraction notes; not a new full-text retrieval. Three teachers supervised 12 children (6 ASD, 6 TD) over three months and 640 game sessions; Random Forest was best, with reported accuracy near 96%. Very small single-context sample. Data collection was prospective, but the classifier was not shown to operate as an independent deployed screening decision in routine practice.</ns0:t>
        </ns0:is>
      </ns0:c>
      <ns0:c r="F2069" s="19" t="inlineStr">
        <ns0:is>
          <ns0:t>https://doi.org/10.1016/j.eswa.2025.128884</ns0:t>
        </ns0:is>
      </ns0:c>
      <ns0:c r="G2069" s="19" t="inlineStr">
        <ns0:is>
          <ns0:t>ChatGPT-assisted evidence recharting, 2026-09-08</ns0:t>
        </ns0:is>
      </ns0:c>
    </ns0:row>
    <ns0:row r="2070" ht="57" customHeight="1">
      <ns0:c r="A2070" s="21" t="inlineStr">
        <ns0:is>
          <ns0:t>new_86</ns0:t>
        </ns0:is>
      </ns0:c>
      <ns0:c r="B2070" s="21" t="inlineStr">
        <ns0:is>
          <ns0:t>rq2_role</ns0:t>
        </ns0:is>
      </ns0:c>
      <ns0:c r="C2070" s="21" t="inlineStr">
        <ns0:is>
          <ns0:t>Experimental MRI diagnostic classifier with region localization</ns0:t>
        </ns0:is>
      </ns0:c>
      <ns0:c r="D2070" s="21" t="inlineStr">
        <ns0:is>
          <ns0:t>Automated measurement/classification</ns0:t>
        </ns0:is>
      </ns0:c>
      <ns0:c r="E2070" s="21" t="inlineStr">
        <ns0:is>
          <ns0:t>Retained source-specific coding after review of the supplied extraction notes; not a new full-text retrieval. An optimized attention-enhanced MRI pipeline classifies ASD and localizes abnormal regions; reported accuracy is 97.29% on ABIDE-derived data. ABIDE provides multisite data, but no site-held-out validation was identified. Region localization was coded as partial interpretability, not formal XAI.</ns0:t>
        </ns0:is>
      </ns0:c>
      <ns0:c r="F2070" s="21" t="inlineStr">
        <ns0:is>
          <ns0:t>https://doi.org/10.1016/j.pscychresns.2025.111970</ns0:t>
        </ns0:is>
      </ns0:c>
      <ns0:c r="G2070" s="21" t="inlineStr">
        <ns0:is>
          <ns0:t>ChatGPT-assisted evidence recharting, 2026-09-08</ns0:t>
        </ns0:is>
      </ns0:c>
    </ns0:row>
    <ns0:row r="2071" ht="57" customHeight="1">
      <ns0:c r="A2071" s="19" t="inlineStr">
        <ns0:is>
          <ns0:t>new_86</ns0:t>
        </ns0:is>
      </ns0:c>
      <ns0:c r="B2071" s="19" t="inlineStr">
        <ns0:is>
          <ns0:t>decision_timing</ns0:t>
        </ns0:is>
      </ns0:c>
      <ns0:c r="C2071" s="19" t="inlineStr"/>
      <ns0:c r="D2071" s="19" t="inlineStr">
        <ns0:is>
          <ns0:t>Not observed in assessed sources</ns0:t>
        </ns0:is>
      </ns0:c>
      <ns0:c r="E2071" s="19" t="inlineStr">
        <ns0:is>
          <ns0:t>Retained source-specific coding after review of the supplied extraction notes; not a new full-text retrieval. An optimized attention-enhanced MRI pipeline classifies ASD and localizes abnormal regions; reported accuracy is 97.29% on ABIDE-derived data. ABIDE provides multisite data, but no site-held-out validation was identified. Region localization was coded as partial interpretability, not formal XAI.</ns0:t>
        </ns0:is>
      </ns0:c>
      <ns0:c r="F2071" s="19" t="inlineStr">
        <ns0:is>
          <ns0:t>https://doi.org/10.1016/j.pscychresns.2025.111970</ns0:t>
        </ns0:is>
      </ns0:c>
      <ns0:c r="G2071" s="19" t="inlineStr">
        <ns0:is>
          <ns0:t>ChatGPT-assisted evidence recharting, 2026-09-08</ns0:t>
        </ns0:is>
      </ns0:c>
    </ns0:row>
    <ns0:row r="2072" ht="57" customHeight="1">
      <ns0:c r="A2072" s="21" t="inlineStr">
        <ns0:is>
          <ns0:t>new_86</ns0:t>
        </ns0:is>
      </ns0:c>
      <ns0:c r="B2072" s="21" t="inlineStr">
        <ns0:is>
          <ns0:t>integrity_status</ns0:t>
        </ns0:is>
      </ns0:c>
      <ns0:c r="C2072" s="21" t="inlineStr"/>
      <ns0:c r="D2072" s="21" t="inlineStr">
        <ns0:is>
          <ns0:t>Not recorded</ns0:t>
        </ns0:is>
      </ns0:c>
      <ns0:c r="E2072" s="21" t="inlineStr">
        <ns0:is>
          <ns0:t>Retained source-specific coding after review of the supplied extraction notes; not a new full-text retrieval. An optimized attention-enhanced MRI pipeline classifies ASD and localizes abnormal regions; reported accuracy is 97.29% on ABIDE-derived data. ABIDE provides multisite data, but no site-held-out validation was identified. Region localization was coded as partial interpretability, not formal XAI.</ns0:t>
        </ns0:is>
      </ns0:c>
      <ns0:c r="F2072" s="21" t="inlineStr">
        <ns0:is>
          <ns0:t>https://doi.org/10.1016/j.pscychresns.2025.111970</ns0:t>
        </ns0:is>
      </ns0:c>
      <ns0:c r="G2072" s="21" t="inlineStr">
        <ns0:is>
          <ns0:t>ChatGPT-assisted evidence recharting, 2026-09-08</ns0:t>
        </ns0:is>
      </ns0:c>
    </ns0:row>
    <ns0:row r="2073" ht="57" customHeight="1">
      <ns0:c r="A2073" s="19" t="inlineStr">
        <ns0:is>
          <ns0:t>new_97</ns0:t>
        </ns0:is>
      </ns0:c>
      <ns0:c r="B2073" s="19" t="inlineStr">
        <ns0:is>
          <ns0:t>ai_type</ns0:t>
        </ns0:is>
      </ns0:c>
      <ns0:c r="C2073" s="19" t="inlineStr">
        <ns0:is>
          <ns0:t>Hybrid</ns0:t>
        </ns0:is>
      </ns0:c>
      <ns0:c r="D2073" s="19" t="inlineStr">
        <ns0:is>
          <ns0:t>Not specified</ns0:t>
        </ns0:is>
      </ns0:c>
      <ns0:c r="E2073" s="19" t="inlineStr">
        <ns0:is>
          <ns0:t>Retained source-specific coding after review of the supplied extraction notes; not a new full-text retrieval. Follows 25 autistic preschoolers over one year of NDBI; 75 intervention videos are analyzed with automatic speech segmentation and CRQA acoustic synchrony. Prospective longitudinal data support monitoring research, but the AI output was analyzed as a research measure rather than used to alter therapy decisions in real time.</ns0:t>
        </ns0:is>
      </ns0:c>
      <ns0:c r="F2073" s="19" t="inlineStr">
        <ns0:is>
          <ns0:t>https://doi.org/10.1016/j.etdah.2025.100176</ns0:t>
        </ns0:is>
      </ns0:c>
      <ns0:c r="G2073" s="19" t="inlineStr">
        <ns0:is>
          <ns0:t>ChatGPT-assisted evidence recharting, 2026-09-08</ns0:t>
        </ns0:is>
      </ns0:c>
    </ns0:row>
    <ns0:row r="2074" ht="57" customHeight="1">
      <ns0:c r="A2074" s="21" t="inlineStr">
        <ns0:is>
          <ns0:t>new_97</ns0:t>
        </ns0:is>
      </ns0:c>
      <ns0:c r="B2074" s="21" t="inlineStr">
        <ns0:is>
          <ns0:t>data_source_primary</ns0:t>
        </ns0:is>
      </ns0:c>
      <ns0:c r="C2074" s="21" t="inlineStr">
        <ns0:is>
          <ns0:t>Audio / voice</ns0:t>
        </ns0:is>
      </ns0:c>
      <ns0:c r="D2074" s="21" t="inlineStr">
        <ns0:is>
          <ns0:t>Audio/voice</ns0:t>
        </ns0:is>
      </ns0:c>
      <ns0:c r="E2074" s="21" t="inlineStr">
        <ns0:is>
          <ns0:t>Retained source-specific coding after review of the supplied extraction notes; not a new full-text retrieval. Follows 25 autistic preschoolers over one year of NDBI; 75 intervention videos are analyzed with automatic speech segmentation and CRQA acoustic synchrony. Prospective longitudinal data support monitoring research, but the AI output was analyzed as a research measure rather than used to alter therapy decisions in real time.</ns0:t>
        </ns0:is>
      </ns0:c>
      <ns0:c r="F2074" s="21" t="inlineStr">
        <ns0:is>
          <ns0:t>https://doi.org/10.1016/j.etdah.2025.100176</ns0:t>
        </ns0:is>
      </ns0:c>
      <ns0:c r="G2074" s="21" t="inlineStr">
        <ns0:is>
          <ns0:t>ChatGPT-assisted evidence recharting, 2026-09-08</ns0:t>
        </ns0:is>
      </ns0:c>
    </ns0:row>
    <ns0:row r="2075" ht="57" customHeight="1">
      <ns0:c r="A2075" s="19" t="inlineStr">
        <ns0:is>
          <ns0:t>new_97</ns0:t>
        </ns0:is>
      </ns0:c>
      <ns0:c r="B2075" s="19" t="inlineStr">
        <ns0:is>
          <ns0:t>algorithm_main</ns0:t>
        </ns0:is>
      </ns0:c>
      <ns0:c r="C2075" s="19" t="inlineStr">
        <ns0:is>
          <ns0:t>Automated AI speech segmentation + CRQA acoustic-synchrony pipeline</ns0:t>
        </ns0:is>
      </ns0:c>
      <ns0:c r="D2075" s="19" t="inlineStr">
        <ns0:is>
          <ns0:t>Speech-segmentation AI; underlying family unspecified</ns0:t>
        </ns0:is>
      </ns0:c>
      <ns0:c r="E2075" s="19" t="inlineStr">
        <ns0:is>
          <ns0:t>Retained source-specific coding after review of the supplied extraction notes; not a new full-text retrieval. Follows 25 autistic preschoolers over one year of NDBI; 75 intervention videos are analyzed with automatic speech segmentation and CRQA acoustic synchrony. Prospective longitudinal data support monitoring research, but the AI output was analyzed as a research measure rather than used to alter therapy decisions in real time.</ns0:t>
        </ns0:is>
      </ns0:c>
      <ns0:c r="F2075" s="19" t="inlineStr">
        <ns0:is>
          <ns0:t>https://doi.org/10.1016/j.etdah.2025.100176</ns0:t>
        </ns0:is>
      </ns0:c>
      <ns0:c r="G2075" s="19" t="inlineStr">
        <ns0:is>
          <ns0:t>ChatGPT-assisted evidence recharting, 2026-09-08</ns0:t>
        </ns0:is>
      </ns0:c>
    </ns0:row>
    <ns0:row r="2076" ht="57" customHeight="1">
      <ns0:c r="A2076" s="21" t="inlineStr">
        <ns0:is>
          <ns0:t>new_97</ns0:t>
        </ns0:is>
      </ns0:c>
      <ns0:c r="B2076" s="21" t="inlineStr">
        <ns0:is>
          <ns0:t>rq2_role</ns0:t>
        </ns0:is>
      </ns0:c>
      <ns0:c r="C2076" s="21" t="inlineStr">
        <ns0:is>
          <ns0:t>Longitudinal computational monitoring of therapist-child interaction during intervention</ns0:t>
        </ns0:is>
      </ns0:c>
      <ns0:c r="D2076" s="21" t="inlineStr">
        <ns0:is>
          <ns0:t>Monitoring/longitudinal analysis</ns0:t>
        </ns0:is>
      </ns0:c>
      <ns0:c r="E2076" s="21" t="inlineStr">
        <ns0:is>
          <ns0:t>Retained source-specific coding after review of the supplied extraction notes; not a new full-text retrieval. Follows 25 autistic preschoolers over one year of NDBI; 75 intervention videos are analyzed with automatic speech segmentation and CRQA acoustic synchrony. Prospective longitudinal data support monitoring research, but the AI output was analyzed as a research measure rather than used to alter therapy decisions in real time.</ns0:t>
        </ns0:is>
      </ns0:c>
      <ns0:c r="F2076" s="21" t="inlineStr">
        <ns0:is>
          <ns0:t>https://doi.org/10.1016/j.etdah.2025.100176</ns0:t>
        </ns0:is>
      </ns0:c>
      <ns0:c r="G2076" s="21" t="inlineStr">
        <ns0:is>
          <ns0:t>ChatGPT-assisted evidence recharting, 2026-09-08</ns0:t>
        </ns0:is>
      </ns0:c>
    </ns0:row>
    <ns0:row r="2077" ht="57" customHeight="1">
      <ns0:c r="A2077" s="19" t="inlineStr">
        <ns0:is>
          <ns0:t>new_97</ns0:t>
        </ns0:is>
      </ns0:c>
      <ns0:c r="B2077" s="19" t="inlineStr">
        <ns0:is>
          <ns0:t>decision_timing</ns0:t>
        </ns0:is>
      </ns0:c>
      <ns0:c r="C2077" s="19" t="inlineStr"/>
      <ns0:c r="D2077" s="19" t="inlineStr">
        <ns0:is>
          <ns0:t>Not observed in assessed sources</ns0:t>
        </ns0:is>
      </ns0:c>
      <ns0:c r="E2077" s="19" t="inlineStr">
        <ns0:is>
          <ns0:t>Retained source-specific coding after review of the supplied extraction notes; not a new full-text retrieval. Follows 25 autistic preschoolers over one year of NDBI; 75 intervention videos are analyzed with automatic speech segmentation and CRQA acoustic synchrony. Prospective longitudinal data support monitoring research, but the AI output was analyzed as a research measure rather than used to alter therapy decisions in real time.</ns0:t>
        </ns0:is>
      </ns0:c>
      <ns0:c r="F2077" s="19" t="inlineStr">
        <ns0:is>
          <ns0:t>https://doi.org/10.1016/j.etdah.2025.100176</ns0:t>
        </ns0:is>
      </ns0:c>
      <ns0:c r="G2077" s="19" t="inlineStr">
        <ns0:is>
          <ns0:t>ChatGPT-assisted evidence recharting, 2026-09-08</ns0:t>
        </ns0:is>
      </ns0:c>
    </ns0:row>
    <ns0:row r="2078" ht="57" customHeight="1">
      <ns0:c r="A2078" s="21" t="inlineStr">
        <ns0:is>
          <ns0:t>new_97</ns0:t>
        </ns0:is>
      </ns0:c>
      <ns0:c r="B2078" s="21" t="inlineStr">
        <ns0:is>
          <ns0:t>prospective_evaluation</ns0:t>
        </ns0:is>
      </ns0:c>
      <ns0:c r="C2078" s="21" t="inlineStr">
        <ns0:is>
          <ns0:t>Reported</ns0:t>
        </ns0:is>
      </ns0:c>
      <ns0:c r="D2078" s="21" t="inlineStr">
        <ns0:is>
          <ns0:t>Not reported in assessed sources</ns0:t>
        </ns0:is>
      </ns0:c>
      <ns0:c r="E2078" s="21" t="inlineStr">
        <ns0:is>
          <ns0:t>Retained source-specific coding after review of the supplied extraction notes; not a new full-text retrieval. Follows 25 autistic preschoolers over one year of NDBI; 75 intervention videos are analyzed with automatic speech segmentation and CRQA acoustic synchrony. Prospective longitudinal data support monitoring research, but the AI output was analyzed as a research measure rather than used to alter therapy decisions in real time.</ns0:t>
        </ns0:is>
      </ns0:c>
      <ns0:c r="F2078" s="21" t="inlineStr">
        <ns0:is>
          <ns0:t>https://doi.org/10.1016/j.etdah.2025.100176</ns0:t>
        </ns0:is>
      </ns0:c>
      <ns0:c r="G2078" s="21" t="inlineStr">
        <ns0:is>
          <ns0:t>ChatGPT-assisted evidence recharting, 2026-09-08</ns0:t>
        </ns0:is>
      </ns0:c>
    </ns0:row>
    <ns0:row r="2079" ht="57" customHeight="1">
      <ns0:c r="A2079" s="19" t="inlineStr">
        <ns0:is>
          <ns0:t>new_97</ns0:t>
        </ns0:is>
      </ns0:c>
      <ns0:c r="B2079" s="19" t="inlineStr">
        <ns0:is>
          <ns0:t>integrity_status</ns0:t>
        </ns0:is>
      </ns0:c>
      <ns0:c r="C2079" s="19" t="inlineStr"/>
      <ns0:c r="D2079" s="19" t="inlineStr">
        <ns0:is>
          <ns0:t>Not recorded</ns0:t>
        </ns0:is>
      </ns0:c>
      <ns0:c r="E2079" s="19" t="inlineStr">
        <ns0:is>
          <ns0:t>Retained source-specific coding after review of the supplied extraction notes; not a new full-text retrieval. Follows 25 autistic preschoolers over one year of NDBI; 75 intervention videos are analyzed with automatic speech segmentation and CRQA acoustic synchrony. Prospective longitudinal data support monitoring research, but the AI output was analyzed as a research measure rather than used to alter therapy decisions in real time.</ns0:t>
        </ns0:is>
      </ns0:c>
      <ns0:c r="F2079" s="19" t="inlineStr">
        <ns0:is>
          <ns0:t>https://doi.org/10.1016/j.etdah.2025.100176</ns0:t>
        </ns0:is>
      </ns0:c>
      <ns0:c r="G2079" s="19" t="inlineStr">
        <ns0:is>
          <ns0:t>ChatGPT-assisted evidence recharting, 2026-09-08</ns0:t>
        </ns0:is>
      </ns0:c>
    </ns0:row>
    <ns0:row r="2080" ht="57" customHeight="1">
      <ns0:c r="A2080" s="21" t="inlineStr">
        <ns0:is>
          <ns0:t>new_103</ns0:t>
        </ns0:is>
      </ns0:c>
      <ns0:c r="B2080" s="21" t="inlineStr">
        <ns0:is>
          <ns0:t>data_source_primary</ns0:t>
        </ns0:is>
      </ns0:c>
      <ns0:c r="C2080" s="21" t="inlineStr">
        <ns0:is>
          <ns0:t>Multiple modalities (as coded)</ns0:t>
        </ns0:is>
      </ns0:c>
      <ns0:c r="D2080" s="21" t="inlineStr">
        <ns0:is>
          <ns0:t>Multiple source categories</ns0:t>
        </ns0:is>
      </ns0:c>
      <ns0:c r="E2080" s="21" t="inlineStr">
        <ns0:is>
          <ns0:t>Retained source-specific coding after review of the supplied extraction notes; not a new full-text retrieval. Early fusion combines rs-fMRI and phenotypic features; the study reports explainable biomarker analysis and leave-one-site-out evaluation on multisite ABIDE data. LOSO is strong evidence of site-level generalization but performance remains moderate; it is still retrospective research rather than prospective clinical deployment.</ns0:t>
        </ns0:is>
      </ns0:c>
      <ns0:c r="F2080" s="21" t="inlineStr">
        <ns0:is>
          <ns0:t>https://doi.org/10.1016/j.bspc.2025.108020</ns0:t>
        </ns0:is>
      </ns0:c>
      <ns0:c r="G2080" s="21" t="inlineStr">
        <ns0:is>
          <ns0:t>ChatGPT-assisted evidence recharting, 2026-09-08</ns0:t>
        </ns0:is>
      </ns0:c>
    </ns0:row>
    <ns0:row r="2081" ht="57" customHeight="1">
      <ns0:c r="A2081" s="19" t="inlineStr">
        <ns0:is>
          <ns0:t>new_103</ns0:t>
        </ns0:is>
      </ns0:c>
      <ns0:c r="B2081" s="19" t="inlineStr">
        <ns0:is>
          <ns0:t>rq2_role</ns0:t>
        </ns0:is>
      </ns0:c>
      <ns0:c r="C2081" s="19" t="inlineStr">
        <ns0:is>
          <ns0:t>Experimental multimodal ASD diagnostic classifier and biomarker analysis</ns0:t>
        </ns0:is>
      </ns0:c>
      <ns0:c r="D2081" s="19" t="inlineStr">
        <ns0:is>
          <ns0:t>Automated measurement/classification</ns0:t>
        </ns0:is>
      </ns0:c>
      <ns0:c r="E2081" s="19" t="inlineStr">
        <ns0:is>
          <ns0:t>Retained source-specific coding after review of the supplied extraction notes; not a new full-text retrieval. Early fusion combines rs-fMRI and phenotypic features; the study reports explainable biomarker analysis and leave-one-site-out evaluation on multisite ABIDE data. LOSO is strong evidence of site-level generalization but performance remains moderate; it is still retrospective research rather than prospective clinical deployment.</ns0:t>
        </ns0:is>
      </ns0:c>
      <ns0:c r="F2081" s="19" t="inlineStr">
        <ns0:is>
          <ns0:t>https://doi.org/10.1016/j.bspc.2025.108020</ns0:t>
        </ns0:is>
      </ns0:c>
      <ns0:c r="G2081" s="19" t="inlineStr">
        <ns0:is>
          <ns0:t>ChatGPT-assisted evidence recharting, 2026-09-08</ns0:t>
        </ns0:is>
      </ns0:c>
    </ns0:row>
    <ns0:row r="2082" ht="57" customHeight="1">
      <ns0:c r="A2082" s="21" t="inlineStr">
        <ns0:is>
          <ns0:t>new_103</ns0:t>
        </ns0:is>
      </ns0:c>
      <ns0:c r="B2082" s="21" t="inlineStr">
        <ns0:is>
          <ns0:t>decision_timing</ns0:t>
        </ns0:is>
      </ns0:c>
      <ns0:c r="C2082" s="21" t="inlineStr"/>
      <ns0:c r="D2082" s="21" t="inlineStr">
        <ns0:is>
          <ns0:t>Not observed in assessed sources</ns0:t>
        </ns0:is>
      </ns0:c>
      <ns0:c r="E2082" s="21" t="inlineStr">
        <ns0:is>
          <ns0:t>Retained source-specific coding after review of the supplied extraction notes; not a new full-text retrieval. Early fusion combines rs-fMRI and phenotypic features; the study reports explainable biomarker analysis and leave-one-site-out evaluation on multisite ABIDE data. LOSO is strong evidence of site-level generalization but performance remains moderate; it is still retrospective research rather than prospective clinical deployment.</ns0:t>
        </ns0:is>
      </ns0:c>
      <ns0:c r="F2082" s="21" t="inlineStr">
        <ns0:is>
          <ns0:t>https://doi.org/10.1016/j.bspc.2025.108020</ns0:t>
        </ns0:is>
      </ns0:c>
      <ns0:c r="G2082" s="21" t="inlineStr">
        <ns0:is>
          <ns0:t>ChatGPT-assisted evidence recharting, 2026-09-08</ns0:t>
        </ns0:is>
      </ns0:c>
    </ns0:row>
    <ns0:row r="2083" ht="57" customHeight="1">
      <ns0:c r="A2083" s="19" t="inlineStr">
        <ns0:is>
          <ns0:t>new_103</ns0:t>
        </ns0:is>
      </ns0:c>
      <ns0:c r="B2083" s="19" t="inlineStr">
        <ns0:is>
          <ns0:t>integrity_status</ns0:t>
        </ns0:is>
      </ns0:c>
      <ns0:c r="C2083" s="19" t="inlineStr"/>
      <ns0:c r="D2083" s="19" t="inlineStr">
        <ns0:is>
          <ns0:t>Not recorded</ns0:t>
        </ns0:is>
      </ns0:c>
      <ns0:c r="E2083" s="19" t="inlineStr">
        <ns0:is>
          <ns0:t>Retained source-specific coding after review of the supplied extraction notes; not a new full-text retrieval. Early fusion combines rs-fMRI and phenotypic features; the study reports explainable biomarker analysis and leave-one-site-out evaluation on multisite ABIDE data. LOSO is strong evidence of site-level generalization but performance remains moderate; it is still retrospective research rather than prospective clinical deployment.</ns0:t>
        </ns0:is>
      </ns0:c>
      <ns0:c r="F2083" s="19" t="inlineStr">
        <ns0:is>
          <ns0:t>https://doi.org/10.1016/j.bspc.2025.108020</ns0:t>
        </ns0:is>
      </ns0:c>
      <ns0:c r="G2083" s="19" t="inlineStr">
        <ns0:is>
          <ns0:t>ChatGPT-assisted evidence recharting, 2026-09-08</ns0:t>
        </ns0:is>
      </ns0:c>
    </ns0:row>
    <ns0:row r="2084" ht="57" customHeight="1">
      <ns0:c r="A2084" s="21" t="inlineStr">
        <ns0:is>
          <ns0:t>new_110</ns0:t>
        </ns0:is>
      </ns0:c>
      <ns0:c r="B2084" s="21" t="inlineStr">
        <ns0:is>
          <ns0:t>rq2_role</ns0:t>
        </ns0:is>
      </ns0:c>
      <ns0:c r="C2084" s="21" t="inlineStr">
        <ns0:is>
          <ns0:t>Experimental rs-fMRI diagnostic classifier</ns0:t>
        </ns0:is>
      </ns0:c>
      <ns0:c r="D2084" s="21" t="inlineStr">
        <ns0:is>
          <ns0:t>Automated measurement/classification</ns0:t>
        </ns0:is>
      </ns0:c>
      <ns0:c r="E2084" s="21" t="inlineStr">
        <ns0:is>
          <ns0:t>Retained source-specific coding after review of the supplied extraction notes; not a new full-text retrieval. Uses ABIDE brain time series with an LSTM-attention architecture; evaluation uses an internal subject split and cross-validation, with no separate external test set. ABIDE is multisite, but the recovered evaluation is not site-held-out. Architectural attention was not counted as XAI without explicit explanation analysis.</ns0:t>
        </ns0:is>
      </ns0:c>
      <ns0:c r="F2084" s="21" t="inlineStr">
        <ns0:is>
          <ns0:t>https://doi.org/10.1016/j.neuroscience.2025.08.001</ns0:t>
        </ns0:is>
      </ns0:c>
      <ns0:c r="G2084" s="21" t="inlineStr">
        <ns0:is>
          <ns0:t>ChatGPT-assisted evidence recharting, 2026-09-08</ns0:t>
        </ns0:is>
      </ns0:c>
    </ns0:row>
    <ns0:row r="2085" ht="57" customHeight="1">
      <ns0:c r="A2085" s="19" t="inlineStr">
        <ns0:is>
          <ns0:t>new_110</ns0:t>
        </ns0:is>
      </ns0:c>
      <ns0:c r="B2085" s="19" t="inlineStr">
        <ns0:is>
          <ns0:t>decision_timing</ns0:t>
        </ns0:is>
      </ns0:c>
      <ns0:c r="C2085" s="19" t="inlineStr"/>
      <ns0:c r="D2085" s="19" t="inlineStr">
        <ns0:is>
          <ns0:t>Not observed in assessed sources</ns0:t>
        </ns0:is>
      </ns0:c>
      <ns0:c r="E2085" s="19" t="inlineStr">
        <ns0:is>
          <ns0:t>Retained source-specific coding after review of the supplied extraction notes; not a new full-text retrieval. Uses ABIDE brain time series with an LSTM-attention architecture; evaluation uses an internal subject split and cross-validation, with no separate external test set. ABIDE is multisite, but the recovered evaluation is not site-held-out. Architectural attention was not counted as XAI without explicit explanation analysis.</ns0:t>
        </ns0:is>
      </ns0:c>
      <ns0:c r="F2085" s="19" t="inlineStr">
        <ns0:is>
          <ns0:t>https://doi.org/10.1016/j.neuroscience.2025.08.001</ns0:t>
        </ns0:is>
      </ns0:c>
      <ns0:c r="G2085" s="19" t="inlineStr">
        <ns0:is>
          <ns0:t>ChatGPT-assisted evidence recharting, 2026-09-08</ns0:t>
        </ns0:is>
      </ns0:c>
    </ns0:row>
    <ns0:row r="2086" ht="57" customHeight="1">
      <ns0:c r="A2086" s="21" t="inlineStr">
        <ns0:is>
          <ns0:t>new_110</ns0:t>
        </ns0:is>
      </ns0:c>
      <ns0:c r="B2086" s="21" t="inlineStr">
        <ns0:is>
          <ns0:t>integrity_status</ns0:t>
        </ns0:is>
      </ns0:c>
      <ns0:c r="C2086" s="21" t="inlineStr"/>
      <ns0:c r="D2086" s="21" t="inlineStr">
        <ns0:is>
          <ns0:t>Not recorded</ns0:t>
        </ns0:is>
      </ns0:c>
      <ns0:c r="E2086" s="21" t="inlineStr">
        <ns0:is>
          <ns0:t>Retained source-specific coding after review of the supplied extraction notes; not a new full-text retrieval. Uses ABIDE brain time series with an LSTM-attention architecture; evaluation uses an internal subject split and cross-validation, with no separate external test set. ABIDE is multisite, but the recovered evaluation is not site-held-out. Architectural attention was not counted as XAI without explicit explanation analysis.</ns0:t>
        </ns0:is>
      </ns0:c>
      <ns0:c r="F2086" s="21" t="inlineStr">
        <ns0:is>
          <ns0:t>https://doi.org/10.1016/j.neuroscience.2025.08.001</ns0:t>
        </ns0:is>
      </ns0:c>
      <ns0:c r="G2086" s="21" t="inlineStr">
        <ns0:is>
          <ns0:t>ChatGPT-assisted evidence recharting, 2026-09-08</ns0:t>
        </ns0:is>
      </ns0:c>
    </ns0:row>
    <ns0:row r="2087" ht="57" customHeight="1">
      <ns0:c r="A2087" s="19" t="inlineStr">
        <ns0:is>
          <ns0:t>new_118</ns0:t>
        </ns0:is>
      </ns0:c>
      <ns0:c r="B2087" s="19" t="inlineStr">
        <ns0:is>
          <ns0:t>rq2_role</ns0:t>
        </ns0:is>
      </ns0:c>
      <ns0:c r="C2087" s="19" t="inlineStr">
        <ns0:is>
          <ns0:t>Research-only genomic prioritization and functional characterization</ns0:t>
        </ns0:is>
      </ns0:c>
      <ns0:c r="D2087" s="19" t="inlineStr">
        <ns0:is>
          <ns0:t>Research characterization</ns0:t>
        </ns0:is>
      </ns0:c>
      <ns0:c r="E2087" s="19" t="inlineStr">
        <ns0:is>
          <ns0:t>Retained source-specific coding after review of the supplied extraction notes; not a new full-text retrieval. Analyzes ncDNMs from SSC and MSSNG using a cell-specific variant-effect model and MPRA follow-up, prioritizing ASD-risk regulatory mutations. This is mechanistic genomic research rather than a clinical-stage decision tool. Multiple cohorts/assays were not coded as formal multisource model fusion or cross-site validation.</ns0:t>
        </ns0:is>
      </ns0:c>
      <ns0:c r="F2087" s="19" t="inlineStr">
        <ns0:is>
          <ns0:t>https://doi.org/10.1016/j.jgg.2025.07.008</ns0:t>
        </ns0:is>
      </ns0:c>
      <ns0:c r="G2087" s="19" t="inlineStr">
        <ns0:is>
          <ns0:t>ChatGPT-assisted evidence recharting, 2026-09-08</ns0:t>
        </ns0:is>
      </ns0:c>
    </ns0:row>
    <ns0:row r="2088" ht="57" customHeight="1">
      <ns0:c r="A2088" s="21" t="inlineStr">
        <ns0:is>
          <ns0:t>new_118</ns0:t>
        </ns0:is>
      </ns0:c>
      <ns0:c r="B2088" s="21" t="inlineStr">
        <ns0:is>
          <ns0:t>decision_timing</ns0:t>
        </ns0:is>
      </ns0:c>
      <ns0:c r="C2088" s="21" t="inlineStr"/>
      <ns0:c r="D2088" s="21" t="inlineStr">
        <ns0:is>
          <ns0:t>Not observed in assessed sources</ns0:t>
        </ns0:is>
      </ns0:c>
      <ns0:c r="E2088" s="21" t="inlineStr">
        <ns0:is>
          <ns0:t>Retained source-specific coding after review of the supplied extraction notes; not a new full-text retrieval. Analyzes ncDNMs from SSC and MSSNG using a cell-specific variant-effect model and MPRA follow-up, prioritizing ASD-risk regulatory mutations. This is mechanistic genomic research rather than a clinical-stage decision tool. Multiple cohorts/assays were not coded as formal multisource model fusion or cross-site validation.</ns0:t>
        </ns0:is>
      </ns0:c>
      <ns0:c r="F2088" s="21" t="inlineStr">
        <ns0:is>
          <ns0:t>https://doi.org/10.1016/j.jgg.2025.07.008</ns0:t>
        </ns0:is>
      </ns0:c>
      <ns0:c r="G2088" s="21" t="inlineStr">
        <ns0:is>
          <ns0:t>ChatGPT-assisted evidence recharting, 2026-09-08</ns0:t>
        </ns0:is>
      </ns0:c>
    </ns0:row>
    <ns0:row r="2089" ht="57" customHeight="1">
      <ns0:c r="A2089" s="19" t="inlineStr">
        <ns0:is>
          <ns0:t>new_118</ns0:t>
        </ns0:is>
      </ns0:c>
      <ns0:c r="B2089" s="19" t="inlineStr">
        <ns0:is>
          <ns0:t>integrity_status</ns0:t>
        </ns0:is>
      </ns0:c>
      <ns0:c r="C2089" s="19" t="inlineStr"/>
      <ns0:c r="D2089" s="19" t="inlineStr">
        <ns0:is>
          <ns0:t>Not recorded</ns0:t>
        </ns0:is>
      </ns0:c>
      <ns0:c r="E2089" s="19" t="inlineStr">
        <ns0:is>
          <ns0:t>Retained source-specific coding after review of the supplied extraction notes; not a new full-text retrieval. Analyzes ncDNMs from SSC and MSSNG using a cell-specific variant-effect model and MPRA follow-up, prioritizing ASD-risk regulatory mutations. This is mechanistic genomic research rather than a clinical-stage decision tool. Multiple cohorts/assays were not coded as formal multisource model fusion or cross-site validation.</ns0:t>
        </ns0:is>
      </ns0:c>
      <ns0:c r="F2089" s="19" t="inlineStr">
        <ns0:is>
          <ns0:t>https://doi.org/10.1016/j.jgg.2025.07.008</ns0:t>
        </ns0:is>
      </ns0:c>
      <ns0:c r="G2089" s="19" t="inlineStr">
        <ns0:is>
          <ns0:t>ChatGPT-assisted evidence recharting, 2026-09-08</ns0:t>
        </ns0:is>
      </ns0:c>
    </ns0:row>
    <ns0:row r="2090" ht="81" customHeight="1">
      <ns0:c r="A2090" s="21" t="inlineStr">
        <ns0:is>
          <ns0:t>new_122</ns0:t>
        </ns0:is>
      </ns0:c>
      <ns0:c r="B2090" s="21" t="inlineStr">
        <ns0:is>
          <ns0:t>ai_type</ns0:t>
        </ns0:is>
      </ns0:c>
      <ns0:c r="C2090" s="21" t="inlineStr">
        <ns0:is>
          <ns0:t>Hybrid</ns0:t>
        </ns0:is>
      </ns0:c>
      <ns0:c r="D2090" s="21" t="inlineStr">
        <ns0:is>
          <ns0:t>Deep Learning</ns0:t>
        </ns0:is>
      </ns0:c>
      <ns0:c r="E2090" s="21" t="inlineStr">
        <ns0:is>
          <ns0:t>Retained source-specific coding after review of the supplied extraction notes; not a new full-text retrieval. Proposes MEResNeXt with feature selection for ASD detection on a structured toddler screening dataset and reports high classification performance. No independent external cohort, prospective workflow, cross-site test or formal XAI was identified in the recovered article text.
All-neural/optimization pipeline in recovered evidence; hybrid title is not sufficient for mixed conventional-ML/DL classification.</ns0:t>
        </ns0:is>
      </ns0:c>
      <ns0:c r="F2090" s="21" t="inlineStr">
        <ns0:is>
          <ns0:t>https://doi.org/10.1016/j.compbiolchem.2025.108619</ns0:t>
        </ns0:is>
      </ns0:c>
      <ns0:c r="G2090" s="21" t="inlineStr">
        <ns0:is>
          <ns0:t>ChatGPT-assisted evidence recharting, 2026-09-08</ns0:t>
        </ns0:is>
      </ns0:c>
    </ns0:row>
    <ns0:row r="2091" ht="81" customHeight="1">
      <ns0:c r="A2091" s="19" t="inlineStr">
        <ns0:is>
          <ns0:t>new_122</ns0:t>
        </ns0:is>
      </ns0:c>
      <ns0:c r="B2091" s="19" t="inlineStr">
        <ns0:is>
          <ns0:t>data_source_primary</ns0:t>
        </ns0:is>
      </ns0:c>
      <ns0:c r="C2091" s="19" t="inlineStr">
        <ns0:is>
          <ns0:t>Structured / tabular data</ns0:t>
        </ns0:is>
      </ns0:c>
      <ns0:c r="D2091" s="19" t="inlineStr">
        <ns0:is>
          <ns0:t>Structured clinical/questionnaire data</ns0:t>
        </ns0:is>
      </ns0:c>
      <ns0:c r="E2091" s="19" t="inlineStr">
        <ns0:is>
          <ns0:t>Retained source-specific coding after review of the supplied extraction notes; not a new full-text retrieval. Proposes MEResNeXt with feature selection for ASD detection on a structured toddler screening dataset and reports high classification performance. No independent external cohort, prospective workflow, cross-site test or formal XAI was identified in the recovered article text.
All-neural/optimization pipeline in recovered evidence; hybrid title is not sufficient for mixed conventional-ML/DL classification.</ns0:t>
        </ns0:is>
      </ns0:c>
      <ns0:c r="F2091" s="19" t="inlineStr">
        <ns0:is>
          <ns0:t>https://doi.org/10.1016/j.compbiolchem.2025.108619</ns0:t>
        </ns0:is>
      </ns0:c>
      <ns0:c r="G2091" s="19" t="inlineStr">
        <ns0:is>
          <ns0:t>ChatGPT-assisted evidence recharting, 2026-09-08</ns0:t>
        </ns0:is>
      </ns0:c>
    </ns0:row>
    <ns0:row r="2092" ht="81" customHeight="1">
      <ns0:c r="A2092" s="21" t="inlineStr">
        <ns0:is>
          <ns0:t>new_122</ns0:t>
        </ns0:is>
      </ns0:c>
      <ns0:c r="B2092" s="21" t="inlineStr">
        <ns0:is>
          <ns0:t>rq2_role</ns0:t>
        </ns0:is>
      </ns0:c>
      <ns0:c r="C2092" s="21" t="inlineStr">
        <ns0:is>
          <ns0:t>Experimental questionnaire-based ASD screening classifier</ns0:t>
        </ns0:is>
      </ns0:c>
      <ns0:c r="D2092" s="21" t="inlineStr">
        <ns0:is>
          <ns0:t>Triage/questionnaire assessment</ns0:t>
        </ns0:is>
      </ns0:c>
      <ns0:c r="E2092" s="21" t="inlineStr">
        <ns0:is>
          <ns0:t>Retained source-specific coding after review of the supplied extraction notes; not a new full-text retrieval. Proposes MEResNeXt with feature selection for ASD detection on a structured toddler screening dataset and reports high classification performance. No independent external cohort, prospective workflow, cross-site test or formal XAI was identified in the recovered article text.
All-neural/optimization pipeline in recovered evidence; hybrid title is not sufficient for mixed conventional-ML/DL classification.</ns0:t>
        </ns0:is>
      </ns0:c>
      <ns0:c r="F2092" s="21" t="inlineStr">
        <ns0:is>
          <ns0:t>https://doi.org/10.1016/j.compbiolchem.2025.108619</ns0:t>
        </ns0:is>
      </ns0:c>
      <ns0:c r="G2092" s="21" t="inlineStr">
        <ns0:is>
          <ns0:t>ChatGPT-assisted evidence recharting, 2026-09-08</ns0:t>
        </ns0:is>
      </ns0:c>
    </ns0:row>
    <ns0:row r="2093" ht="81" customHeight="1">
      <ns0:c r="A2093" s="19" t="inlineStr">
        <ns0:is>
          <ns0:t>new_122</ns0:t>
        </ns0:is>
      </ns0:c>
      <ns0:c r="B2093" s="19" t="inlineStr">
        <ns0:is>
          <ns0:t>decision_timing</ns0:t>
        </ns0:is>
      </ns0:c>
      <ns0:c r="C2093" s="19" t="inlineStr"/>
      <ns0:c r="D2093" s="19" t="inlineStr">
        <ns0:is>
          <ns0:t>Not observed in assessed sources</ns0:t>
        </ns0:is>
      </ns0:c>
      <ns0:c r="E2093" s="19" t="inlineStr">
        <ns0:is>
          <ns0:t>Retained source-specific coding after review of the supplied extraction notes; not a new full-text retrieval. Proposes MEResNeXt with feature selection for ASD detection on a structured toddler screening dataset and reports high classification performance. No independent external cohort, prospective workflow, cross-site test or formal XAI was identified in the recovered article text.
All-neural/optimization pipeline in recovered evidence; hybrid title is not sufficient for mixed conventional-ML/DL classification.</ns0:t>
        </ns0:is>
      </ns0:c>
      <ns0:c r="F2093" s="19" t="inlineStr">
        <ns0:is>
          <ns0:t>https://doi.org/10.1016/j.compbiolchem.2025.108619</ns0:t>
        </ns0:is>
      </ns0:c>
      <ns0:c r="G2093" s="19" t="inlineStr">
        <ns0:is>
          <ns0:t>ChatGPT-assisted evidence recharting, 2026-09-08</ns0:t>
        </ns0:is>
      </ns0:c>
    </ns0:row>
    <ns0:row r="2094" ht="81" customHeight="1">
      <ns0:c r="A2094" s="21" t="inlineStr">
        <ns0:is>
          <ns0:t>new_122</ns0:t>
        </ns0:is>
      </ns0:c>
      <ns0:c r="B2094" s="21" t="inlineStr">
        <ns0:is>
          <ns0:t>integrity_status</ns0:t>
        </ns0:is>
      </ns0:c>
      <ns0:c r="C2094" s="21" t="inlineStr"/>
      <ns0:c r="D2094" s="21" t="inlineStr">
        <ns0:is>
          <ns0:t>Not recorded</ns0:t>
        </ns0:is>
      </ns0:c>
      <ns0:c r="E2094" s="21" t="inlineStr">
        <ns0:is>
          <ns0:t>Retained source-specific coding after review of the supplied extraction notes; not a new full-text retrieval. Proposes MEResNeXt with feature selection for ASD detection on a structured toddler screening dataset and reports high classification performance. No independent external cohort, prospective workflow, cross-site test or formal XAI was identified in the recovered article text.
All-neural/optimization pipeline in recovered evidence; hybrid title is not sufficient for mixed conventional-ML/DL classification.</ns0:t>
        </ns0:is>
      </ns0:c>
      <ns0:c r="F2094" s="21" t="inlineStr">
        <ns0:is>
          <ns0:t>https://doi.org/10.1016/j.compbiolchem.2025.108619</ns0:t>
        </ns0:is>
      </ns0:c>
      <ns0:c r="G2094" s="21" t="inlineStr">
        <ns0:is>
          <ns0:t>ChatGPT-assisted evidence recharting, 2026-09-08</ns0:t>
        </ns0:is>
      </ns0:c>
    </ns0:row>
    <ns0:row r="2095" ht="57" customHeight="1">
      <ns0:c r="A2095" s="19" t="inlineStr">
        <ns0:is>
          <ns0:t>new_123</ns0:t>
        </ns0:is>
      </ns0:c>
      <ns0:c r="B2095" s="19" t="inlineStr">
        <ns0:is>
          <ns0:t>rq2_role</ns0:t>
        </ns0:is>
      </ns0:c>
      <ns0:c r="C2095" s="19" t="inlineStr">
        <ns0:is>
          <ns0:t>Experimental explainable sMRI diagnostic classifier</ns0:t>
        </ns0:is>
      </ns0:c>
      <ns0:c r="D2095" s="19" t="inlineStr">
        <ns0:is>
          <ns0:t>Automated measurement/classification</ns0:t>
        </ns0:is>
      </ns0:c>
      <ns0:c r="E2095" s="19" t="inlineStr">
        <ns0:is>
          <ns0:t>Retained source-specific coding after review of the supplied extraction notes; not a new full-text retrieval. FaithfulNet classifies ABIDE-II sMRI and Faith_CAM combines Grad-CAM with SHAP for explanation/region localization; very high internal performance is reported. ABIDE-II is multisite, but no site-held-out or independent external validation was identified. Very high performance warrants leakage/partition review during human verification.</ns0:t>
        </ns0:is>
      </ns0:c>
      <ns0:c r="F2095" s="19" t="inlineStr">
        <ns0:is>
          <ns0:t>https://doi.org/10.1016/j.brainres.2025.149904</ns0:t>
        </ns0:is>
      </ns0:c>
      <ns0:c r="G2095" s="19" t="inlineStr">
        <ns0:is>
          <ns0:t>ChatGPT-assisted evidence recharting, 2026-09-08</ns0:t>
        </ns0:is>
      </ns0:c>
    </ns0:row>
    <ns0:row r="2096" ht="57" customHeight="1">
      <ns0:c r="A2096" s="21" t="inlineStr">
        <ns0:is>
          <ns0:t>new_123</ns0:t>
        </ns0:is>
      </ns0:c>
      <ns0:c r="B2096" s="21" t="inlineStr">
        <ns0:is>
          <ns0:t>decision_timing</ns0:t>
        </ns0:is>
      </ns0:c>
      <ns0:c r="C2096" s="21" t="inlineStr"/>
      <ns0:c r="D2096" s="21" t="inlineStr">
        <ns0:is>
          <ns0:t>Not observed in assessed sources</ns0:t>
        </ns0:is>
      </ns0:c>
      <ns0:c r="E2096" s="21" t="inlineStr">
        <ns0:is>
          <ns0:t>Retained source-specific coding after review of the supplied extraction notes; not a new full-text retrieval. FaithfulNet classifies ABIDE-II sMRI and Faith_CAM combines Grad-CAM with SHAP for explanation/region localization; very high internal performance is reported. ABIDE-II is multisite, but no site-held-out or independent external validation was identified. Very high performance warrants leakage/partition review during human verification.</ns0:t>
        </ns0:is>
      </ns0:c>
      <ns0:c r="F2096" s="21" t="inlineStr">
        <ns0:is>
          <ns0:t>https://doi.org/10.1016/j.brainres.2025.149904</ns0:t>
        </ns0:is>
      </ns0:c>
      <ns0:c r="G2096" s="21" t="inlineStr">
        <ns0:is>
          <ns0:t>ChatGPT-assisted evidence recharting, 2026-09-08</ns0:t>
        </ns0:is>
      </ns0:c>
    </ns0:row>
    <ns0:row r="2097" ht="57" customHeight="1">
      <ns0:c r="A2097" s="19" t="inlineStr">
        <ns0:is>
          <ns0:t>new_123</ns0:t>
        </ns0:is>
      </ns0:c>
      <ns0:c r="B2097" s="19" t="inlineStr">
        <ns0:is>
          <ns0:t>integrity_status</ns0:t>
        </ns0:is>
      </ns0:c>
      <ns0:c r="C2097" s="19" t="inlineStr"/>
      <ns0:c r="D2097" s="19" t="inlineStr">
        <ns0:is>
          <ns0:t>Not recorded</ns0:t>
        </ns0:is>
      </ns0:c>
      <ns0:c r="E2097" s="19" t="inlineStr">
        <ns0:is>
          <ns0:t>Retained source-specific coding after review of the supplied extraction notes; not a new full-text retrieval. FaithfulNet classifies ABIDE-II sMRI and Faith_CAM combines Grad-CAM with SHAP for explanation/region localization; very high internal performance is reported. ABIDE-II is multisite, but no site-held-out or independent external validation was identified. Very high performance warrants leakage/partition review during human verification.</ns0:t>
        </ns0:is>
      </ns0:c>
      <ns0:c r="F2097" s="19" t="inlineStr">
        <ns0:is>
          <ns0:t>https://doi.org/10.1016/j.brainres.2025.149904</ns0:t>
        </ns0:is>
      </ns0:c>
      <ns0:c r="G2097" s="19" t="inlineStr">
        <ns0:is>
          <ns0:t>ChatGPT-assisted evidence recharting, 2026-09-08</ns0:t>
        </ns0:is>
      </ns0:c>
    </ns0:row>
    <ns0:row r="2098" ht="57" customHeight="1">
      <ns0:c r="A2098" s="21" t="inlineStr">
        <ns0:is>
          <ns0:t>new_126</ns0:t>
        </ns0:is>
      </ns0:c>
      <ns0:c r="B2098" s="21" t="inlineStr">
        <ns0:is>
          <ns0:t>data_source_primary</ns0:t>
        </ns0:is>
      </ns0:c>
      <ns0:c r="C2098" s="21" t="inlineStr">
        <ns0:is>
          <ns0:t>Structured / tabular data</ns0:t>
        </ns0:is>
      </ns0:c>
      <ns0:c r="D2098" s="21" t="inlineStr">
        <ns0:is>
          <ns0:t>Structured clinical/questionnaire data</ns0:t>
        </ns0:is>
      </ns0:c>
      <ns0:c r="E2098" s="21" t="inlineStr">
        <ns0:is>
          <ns0:t>Retained source-specific coding after review of the supplied extraction notes; not a new full-text retrieval. CARE evaluates AutoML/CatBoost on a pediatric ASD-traits dataset and uses SHAP for explicit feature-level explanation. Retrospective/public structured-data modeling only; no independent external cohort or prospective pediatric workflow evaluation was demonstrated.</ns0:t>
        </ns0:is>
      </ns0:c>
      <ns0:c r="F2098" s="21" t="inlineStr">
        <ns0:is>
          <ns0:t>https://doi.org/10.32604/cmc.2025.067784</ns0:t>
        </ns0:is>
      </ns0:c>
      <ns0:c r="G2098" s="21" t="inlineStr">
        <ns0:is>
          <ns0:t>ChatGPT-assisted evidence recharting, 2026-09-08</ns0:t>
        </ns0:is>
      </ns0:c>
    </ns0:row>
    <ns0:row r="2099" ht="57" customHeight="1">
      <ns0:c r="A2099" s="19" t="inlineStr">
        <ns0:is>
          <ns0:t>new_126</ns0:t>
        </ns0:is>
      </ns0:c>
      <ns0:c r="B2099" s="19" t="inlineStr">
        <ns0:is>
          <ns0:t>rq2_role</ns0:t>
        </ns0:is>
      </ns0:c>
      <ns0:c r="C2099" s="19" t="inlineStr">
        <ns0:is>
          <ns0:t>Proposed explainable pediatric ASD screening support</ns0:t>
        </ns0:is>
      </ns0:c>
      <ns0:c r="D2099" s="19" t="inlineStr">
        <ns0:is>
          <ns0:t>Triage/questionnaire assessment</ns0:t>
        </ns0:is>
      </ns0:c>
      <ns0:c r="E2099" s="19" t="inlineStr">
        <ns0:is>
          <ns0:t>Retained source-specific coding after review of the supplied extraction notes; not a new full-text retrieval. CARE evaluates AutoML/CatBoost on a pediatric ASD-traits dataset and uses SHAP for explicit feature-level explanation. Retrospective/public structured-data modeling only; no independent external cohort or prospective pediatric workflow evaluation was demonstrated.</ns0:t>
        </ns0:is>
      </ns0:c>
      <ns0:c r="F2099" s="19" t="inlineStr">
        <ns0:is>
          <ns0:t>https://doi.org/10.32604/cmc.2025.067784</ns0:t>
        </ns0:is>
      </ns0:c>
      <ns0:c r="G2099" s="19" t="inlineStr">
        <ns0:is>
          <ns0:t>ChatGPT-assisted evidence recharting, 2026-09-08</ns0:t>
        </ns0:is>
      </ns0:c>
    </ns0:row>
    <ns0:row r="2100" ht="57" customHeight="1">
      <ns0:c r="A2100" s="21" t="inlineStr">
        <ns0:is>
          <ns0:t>new_126</ns0:t>
        </ns0:is>
      </ns0:c>
      <ns0:c r="B2100" s="21" t="inlineStr">
        <ns0:is>
          <ns0:t>decision_timing</ns0:t>
        </ns0:is>
      </ns0:c>
      <ns0:c r="C2100" s="21" t="inlineStr"/>
      <ns0:c r="D2100" s="21" t="inlineStr">
        <ns0:is>
          <ns0:t>Pre-decision</ns0:t>
        </ns0:is>
      </ns0:c>
      <ns0:c r="E2100" s="21" t="inlineStr">
        <ns0:is>
          <ns0:t>Retained source-specific coding after review of the supplied extraction notes; not a new full-text retrieval. CARE evaluates AutoML/CatBoost on a pediatric ASD-traits dataset and uses SHAP for explicit feature-level explanation. Retrospective/public structured-data modeling only; no independent external cohort or prospective pediatric workflow evaluation was demonstrated.</ns0:t>
        </ns0:is>
      </ns0:c>
      <ns0:c r="F2100" s="21" t="inlineStr">
        <ns0:is>
          <ns0:t>https://doi.org/10.32604/cmc.2025.067784</ns0:t>
        </ns0:is>
      </ns0:c>
      <ns0:c r="G2100" s="21" t="inlineStr">
        <ns0:is>
          <ns0:t>ChatGPT-assisted evidence recharting, 2026-09-08</ns0:t>
        </ns0:is>
      </ns0:c>
    </ns0:row>
    <ns0:row r="2101" ht="57" customHeight="1">
      <ns0:c r="A2101" s="19" t="inlineStr">
        <ns0:is>
          <ns0:t>new_126</ns0:t>
        </ns0:is>
      </ns0:c>
      <ns0:c r="B2101" s="19" t="inlineStr">
        <ns0:is>
          <ns0:t>integrity_status</ns0:t>
        </ns0:is>
      </ns0:c>
      <ns0:c r="C2101" s="19" t="inlineStr"/>
      <ns0:c r="D2101" s="19" t="inlineStr">
        <ns0:is>
          <ns0:t>Not recorded</ns0:t>
        </ns0:is>
      </ns0:c>
      <ns0:c r="E2101" s="19" t="inlineStr">
        <ns0:is>
          <ns0:t>Retained source-specific coding after review of the supplied extraction notes; not a new full-text retrieval. CARE evaluates AutoML/CatBoost on a pediatric ASD-traits dataset and uses SHAP for explicit feature-level explanation. Retrospective/public structured-data modeling only; no independent external cohort or prospective pediatric workflow evaluation was demonstrated.</ns0:t>
        </ns0:is>
      </ns0:c>
      <ns0:c r="F2101" s="19" t="inlineStr">
        <ns0:is>
          <ns0:t>https://doi.org/10.32604/cmc.2025.067784</ns0:t>
        </ns0:is>
      </ns0:c>
      <ns0:c r="G2101" s="19" t="inlineStr">
        <ns0:is>
          <ns0:t>ChatGPT-assisted evidence recharting, 2026-09-08</ns0:t>
        </ns0:is>
      </ns0:c>
    </ns0:row>
    <ns0:row r="2102" ht="57" customHeight="1">
      <ns0:c r="A2102" s="21" t="inlineStr">
        <ns0:is>
          <ns0:t>new_134</ns0:t>
        </ns0:is>
      </ns0:c>
      <ns0:c r="B2102" s="21" t="inlineStr">
        <ns0:is>
          <ns0:t>rq2_role</ns0:t>
        </ns0:is>
      </ns0:c>
      <ns0:c r="C2102" s="21" t="inlineStr">
        <ns0:is>
          <ns0:t>Experimental rs-fMRI diagnostic classifier</ns0:t>
        </ns0:is>
      </ns0:c>
      <ns0:c r="D2102" s="21" t="inlineStr">
        <ns0:is>
          <ns0:t>Automated measurement/classification</ns0:t>
        </ns0:is>
      </ns0:c>
      <ns0:c r="E2102" s="21" t="inlineStr">
        <ns0:is>
          <ns0:t>Retained source-specific coding after review of the supplied extraction notes; not a new full-text retrieval. ASD-HybridNet fuses ROI time-series and functional-connectivity representations from ABIDE-I; reported accuracy is about 71.87%. The fused inputs are representations of the same rs-fMRI source, so q3_multisource_data remains 0. ABIDE-I is multisite but no site-held-out test was identified.</ns0:t>
        </ns0:is>
      </ns0:c>
      <ns0:c r="F2102" s="21" t="inlineStr">
        <ns0:is>
          <ns0:t>https://doi.org/10.1016/j.mri.2025.110492</ns0:t>
        </ns0:is>
      </ns0:c>
      <ns0:c r="G2102" s="21" t="inlineStr">
        <ns0:is>
          <ns0:t>ChatGPT-assisted evidence recharting, 2026-09-08</ns0:t>
        </ns0:is>
      </ns0:c>
    </ns0:row>
    <ns0:row r="2103" ht="57" customHeight="1">
      <ns0:c r="A2103" s="19" t="inlineStr">
        <ns0:is>
          <ns0:t>new_134</ns0:t>
        </ns0:is>
      </ns0:c>
      <ns0:c r="B2103" s="19" t="inlineStr">
        <ns0:is>
          <ns0:t>decision_timing</ns0:t>
        </ns0:is>
      </ns0:c>
      <ns0:c r="C2103" s="19" t="inlineStr"/>
      <ns0:c r="D2103" s="19" t="inlineStr">
        <ns0:is>
          <ns0:t>Not observed in assessed sources</ns0:t>
        </ns0:is>
      </ns0:c>
      <ns0:c r="E2103" s="19" t="inlineStr">
        <ns0:is>
          <ns0:t>Retained source-specific coding after review of the supplied extraction notes; not a new full-text retrieval. ASD-HybridNet fuses ROI time-series and functional-connectivity representations from ABIDE-I; reported accuracy is about 71.87%. The fused inputs are representations of the same rs-fMRI source, so q3_multisource_data remains 0. ABIDE-I is multisite but no site-held-out test was identified.</ns0:t>
        </ns0:is>
      </ns0:c>
      <ns0:c r="F2103" s="19" t="inlineStr">
        <ns0:is>
          <ns0:t>https://doi.org/10.1016/j.mri.2025.110492</ns0:t>
        </ns0:is>
      </ns0:c>
      <ns0:c r="G2103" s="19" t="inlineStr">
        <ns0:is>
          <ns0:t>ChatGPT-assisted evidence recharting, 2026-09-08</ns0:t>
        </ns0:is>
      </ns0:c>
    </ns0:row>
    <ns0:row r="2104" ht="57" customHeight="1">
      <ns0:c r="A2104" s="21" t="inlineStr">
        <ns0:is>
          <ns0:t>new_134</ns0:t>
        </ns0:is>
      </ns0:c>
      <ns0:c r="B2104" s="21" t="inlineStr">
        <ns0:is>
          <ns0:t>integrity_status</ns0:t>
        </ns0:is>
      </ns0:c>
      <ns0:c r="C2104" s="21" t="inlineStr"/>
      <ns0:c r="D2104" s="21" t="inlineStr">
        <ns0:is>
          <ns0:t>Not recorded</ns0:t>
        </ns0:is>
      </ns0:c>
      <ns0:c r="E2104" s="21" t="inlineStr">
        <ns0:is>
          <ns0:t>Retained source-specific coding after review of the supplied extraction notes; not a new full-text retrieval. ASD-HybridNet fuses ROI time-series and functional-connectivity representations from ABIDE-I; reported accuracy is about 71.87%. The fused inputs are representations of the same rs-fMRI source, so q3_multisource_data remains 0. ABIDE-I is multisite but no site-held-out test was identified.</ns0:t>
        </ns0:is>
      </ns0:c>
      <ns0:c r="F2104" s="21" t="inlineStr">
        <ns0:is>
          <ns0:t>https://doi.org/10.1016/j.mri.2025.110492</ns0:t>
        </ns0:is>
      </ns0:c>
      <ns0:c r="G2104" s="21" t="inlineStr">
        <ns0:is>
          <ns0:t>ChatGPT-assisted evidence recharting, 2026-09-08</ns0:t>
        </ns0:is>
      </ns0:c>
    </ns0:row>
    <ns0:row r="2105" ht="57" customHeight="1">
      <ns0:c r="A2105" s="19" t="inlineStr">
        <ns0:is>
          <ns0:t>new_146</ns0:t>
        </ns0:is>
      </ns0:c>
      <ns0:c r="B2105" s="19" t="inlineStr">
        <ns0:is>
          <ns0:t>data_source_primary</ns0:t>
        </ns0:is>
      </ns0:c>
      <ns0:c r="C2105" s="19" t="inlineStr">
        <ns0:is>
          <ns0:t>Facial images</ns0:t>
        </ns0:is>
      </ns0:c>
      <ns0:c r="D2105" s="19" t="inlineStr">
        <ns0:is>
          <ns0:t>Behavioral images/video/gaze/movement</ns0:t>
        </ns0:is>
      </ns0:c>
      <ns0:c r="E2105" s="19" t="inlineStr">
        <ns0:is>
          <ns0:t>Retained source-specific coding after review of the supplied extraction notes; not a new full-text retrieval. Combines deep CNN architectures for child facial ASD detection and emotion recognition on public image datasets; ASD accuracy is reported near 95%. No external clinical cohort, prospective workflow or formal XAI was identified; explainability/multimodal extensions are presented as future directions.</ns0:t>
        </ns0:is>
      </ns0:c>
      <ns0:c r="F2105" s="19" t="inlineStr">
        <ns0:is>
          <ns0:t>https://doi.org/10.1016/j.patcog.2025.112906</ns0:t>
        </ns0:is>
      </ns0:c>
      <ns0:c r="G2105" s="19" t="inlineStr">
        <ns0:is>
          <ns0:t>ChatGPT-assisted evidence recharting, 2026-09-08</ns0:t>
        </ns0:is>
      </ns0:c>
    </ns0:row>
    <ns0:row r="2106" ht="57" customHeight="1">
      <ns0:c r="A2106" s="21" t="inlineStr">
        <ns0:is>
          <ns0:t>new_146</ns0:t>
        </ns0:is>
      </ns0:c>
      <ns0:c r="B2106" s="21" t="inlineStr">
        <ns0:is>
          <ns0:t>rq2_role</ns0:t>
        </ns0:is>
      </ns0:c>
      <ns0:c r="C2106" s="21" t="inlineStr">
        <ns0:is>
          <ns0:t>Proposed facial-image ASD screening and emotion-recognition support</ns0:t>
        </ns0:is>
      </ns0:c>
      <ns0:c r="D2106" s="21" t="inlineStr">
        <ns0:is>
          <ns0:t>Triage/questionnaire assessment</ns0:t>
        </ns0:is>
      </ns0:c>
      <ns0:c r="E2106" s="21" t="inlineStr">
        <ns0:is>
          <ns0:t>Retained source-specific coding after review of the supplied extraction notes; not a new full-text retrieval. Combines deep CNN architectures for child facial ASD detection and emotion recognition on public image datasets; ASD accuracy is reported near 95%. No external clinical cohort, prospective workflow or formal XAI was identified; explainability/multimodal extensions are presented as future directions.</ns0:t>
        </ns0:is>
      </ns0:c>
      <ns0:c r="F2106" s="21" t="inlineStr">
        <ns0:is>
          <ns0:t>https://doi.org/10.1016/j.patcog.2025.112906</ns0:t>
        </ns0:is>
      </ns0:c>
      <ns0:c r="G2106" s="21" t="inlineStr">
        <ns0:is>
          <ns0:t>ChatGPT-assisted evidence recharting, 2026-09-08</ns0:t>
        </ns0:is>
      </ns0:c>
    </ns0:row>
    <ns0:row r="2107" ht="57" customHeight="1">
      <ns0:c r="A2107" s="19" t="inlineStr">
        <ns0:is>
          <ns0:t>new_146</ns0:t>
        </ns0:is>
      </ns0:c>
      <ns0:c r="B2107" s="19" t="inlineStr">
        <ns0:is>
          <ns0:t>decision_timing</ns0:t>
        </ns0:is>
      </ns0:c>
      <ns0:c r="C2107" s="19" t="inlineStr"/>
      <ns0:c r="D2107" s="19" t="inlineStr">
        <ns0:is>
          <ns0:t>Pre-decision</ns0:t>
        </ns0:is>
      </ns0:c>
      <ns0:c r="E2107" s="19" t="inlineStr">
        <ns0:is>
          <ns0:t>Retained source-specific coding after review of the supplied extraction notes; not a new full-text retrieval. Combines deep CNN architectures for child facial ASD detection and emotion recognition on public image datasets; ASD accuracy is reported near 95%. No external clinical cohort, prospective workflow or formal XAI was identified; explainability/multimodal extensions are presented as future directions.</ns0:t>
        </ns0:is>
      </ns0:c>
      <ns0:c r="F2107" s="19" t="inlineStr">
        <ns0:is>
          <ns0:t>https://doi.org/10.1016/j.patcog.2025.112906</ns0:t>
        </ns0:is>
      </ns0:c>
      <ns0:c r="G2107" s="19" t="inlineStr">
        <ns0:is>
          <ns0:t>ChatGPT-assisted evidence recharting, 2026-09-08</ns0:t>
        </ns0:is>
      </ns0:c>
    </ns0:row>
    <ns0:row r="2108" ht="57" customHeight="1">
      <ns0:c r="A2108" s="21" t="inlineStr">
        <ns0:is>
          <ns0:t>new_146</ns0:t>
        </ns0:is>
      </ns0:c>
      <ns0:c r="B2108" s="21" t="inlineStr">
        <ns0:is>
          <ns0:t>integrity_status</ns0:t>
        </ns0:is>
      </ns0:c>
      <ns0:c r="C2108" s="21" t="inlineStr"/>
      <ns0:c r="D2108" s="21" t="inlineStr">
        <ns0:is>
          <ns0:t>Not recorded</ns0:t>
        </ns0:is>
      </ns0:c>
      <ns0:c r="E2108" s="21" t="inlineStr">
        <ns0:is>
          <ns0:t>Retained source-specific coding after review of the supplied extraction notes; not a new full-text retrieval. Combines deep CNN architectures for child facial ASD detection and emotion recognition on public image datasets; ASD accuracy is reported near 95%. No external clinical cohort, prospective workflow or formal XAI was identified; explainability/multimodal extensions are presented as future directions.</ns0:t>
        </ns0:is>
      </ns0:c>
      <ns0:c r="F2108" s="21" t="inlineStr">
        <ns0:is>
          <ns0:t>https://doi.org/10.1016/j.patcog.2025.112906</ns0:t>
        </ns0:is>
      </ns0:c>
      <ns0:c r="G2108" s="21" t="inlineStr">
        <ns0:is>
          <ns0:t>ChatGPT-assisted evidence recharting, 2026-09-08</ns0:t>
        </ns0:is>
      </ns0:c>
    </ns0:row>
    <ns0:row r="2109" ht="69" customHeight="1">
      <ns0:c r="A2109" s="19" t="inlineStr">
        <ns0:is>
          <ns0:t>new_149</ns0:t>
        </ns0:is>
      </ns0:c>
      <ns0:c r="B2109" s="19" t="inlineStr">
        <ns0:is>
          <ns0:t>ai_type</ns0:t>
        </ns0:is>
      </ns0:c>
      <ns0:c r="C2109" s="19" t="inlineStr">
        <ns0:is>
          <ns0:t>Machine Learning</ns0:t>
        </ns0:is>
      </ns0:c>
      <ns0:c r="D2109" s="19" t="inlineStr">
        <ns0:is>
          <ns0:t>Hybrid</ns0:t>
        </ns0:is>
      </ns0:c>
      <ns0:c r="E2109" s="19" t="inlineStr">
        <ns0:is>
          <ns0:t>Retained source-specific coding after review of the supplied extraction notes; not a new full-text retrieval. Uses examiner-worn POV glasses with 29 ASD and 27 non-ASD children aged 17-36 months; CV features feed AdaBoost/decision trees, with reported AUC about 0.95. Prospective participant data were collected, but the model was not validated in an independent site/cohort or used to determine real clinical decisions during care.
Learned OpenFace/MediaPipe vision pipeline combined with conventional AdaBoost/tree classifier.</ns0:t>
        </ns0:is>
      </ns0:c>
      <ns0:c r="F2109" s="19" t="inlineStr">
        <ns0:is>
          <ns0:t>https://doi.org/10.1016/j.ajp.2025.104798</ns0:t>
        </ns0:is>
      </ns0:c>
      <ns0:c r="G2109" s="19" t="inlineStr">
        <ns0:is>
          <ns0:t>ChatGPT-assisted evidence recharting, 2026-09-08</ns0:t>
        </ns0:is>
      </ns0:c>
    </ns0:row>
    <ns0:row r="2110" ht="69" customHeight="1">
      <ns0:c r="A2110" s="21" t="inlineStr">
        <ns0:is>
          <ns0:t>new_149</ns0:t>
        </ns0:is>
      </ns0:c>
      <ns0:c r="B2110" s="21" t="inlineStr">
        <ns0:is>
          <ns0:t>data_source_primary</ns0:t>
        </ns0:is>
      </ns0:c>
      <ns0:c r="C2110" s="21" t="inlineStr">
        <ns0:is>
          <ns0:t>Behavioral video / movement</ns0:t>
        </ns0:is>
      </ns0:c>
      <ns0:c r="D2110" s="21" t="inlineStr">
        <ns0:is>
          <ns0:t>Behavioral images/video/gaze/movement</ns0:t>
        </ns0:is>
      </ns0:c>
      <ns0:c r="E2110" s="21" t="inlineStr">
        <ns0:is>
          <ns0:t>Retained source-specific coding after review of the supplied extraction notes; not a new full-text retrieval. Uses examiner-worn POV glasses with 29 ASD and 27 non-ASD children aged 17-36 months; CV features feed AdaBoost/decision trees, with reported AUC about 0.95. Prospective participant data were collected, but the model was not validated in an independent site/cohort or used to determine real clinical decisions during care.
Learned OpenFace/MediaPipe vision pipeline combined with conventional AdaBoost/tree classifier.</ns0:t>
        </ns0:is>
      </ns0:c>
      <ns0:c r="F2110" s="21" t="inlineStr">
        <ns0:is>
          <ns0:t>https://doi.org/10.1016/j.ajp.2025.104798</ns0:t>
        </ns0:is>
      </ns0:c>
      <ns0:c r="G2110" s="21" t="inlineStr">
        <ns0:is>
          <ns0:t>ChatGPT-assisted evidence recharting, 2026-09-08</ns0:t>
        </ns0:is>
      </ns0:c>
    </ns0:row>
    <ns0:row r="2111" ht="69" customHeight="1">
      <ns0:c r="A2111" s="19" t="inlineStr">
        <ns0:is>
          <ns0:t>new_149</ns0:t>
        </ns0:is>
      </ns0:c>
      <ns0:c r="B2111" s="19" t="inlineStr">
        <ns0:is>
          <ns0:t>rq2_role</ns0:t>
        </ns0:is>
      </ns0:c>
      <ns0:c r="C2111" s="19" t="inlineStr">
        <ns0:is>
          <ns0:t>Experimental diagnostic classification during semi-structured naturalistic interaction</ns0:t>
        </ns0:is>
      </ns0:c>
      <ns0:c r="D2111" s="19" t="inlineStr">
        <ns0:is>
          <ns0:t>Automated measurement/classification</ns0:t>
        </ns0:is>
      </ns0:c>
      <ns0:c r="E2111" s="19" t="inlineStr">
        <ns0:is>
          <ns0:t>Retained source-specific coding after review of the supplied extraction notes; not a new full-text retrieval. Uses examiner-worn POV glasses with 29 ASD and 27 non-ASD children aged 17-36 months; CV features feed AdaBoost/decision trees, with reported AUC about 0.95. Prospective participant data were collected, but the model was not validated in an independent site/cohort or used to determine real clinical decisions during care.
Learned OpenFace/MediaPipe vision pipeline combined with conventional AdaBoost/tree classifier.</ns0:t>
        </ns0:is>
      </ns0:c>
      <ns0:c r="F2111" s="19" t="inlineStr">
        <ns0:is>
          <ns0:t>https://doi.org/10.1016/j.ajp.2025.104798</ns0:t>
        </ns0:is>
      </ns0:c>
      <ns0:c r="G2111" s="19" t="inlineStr">
        <ns0:is>
          <ns0:t>ChatGPT-assisted evidence recharting, 2026-09-08</ns0:t>
        </ns0:is>
      </ns0:c>
    </ns0:row>
    <ns0:row r="2112" ht="69" customHeight="1">
      <ns0:c r="A2112" s="21" t="inlineStr">
        <ns0:is>
          <ns0:t>new_149</ns0:t>
        </ns0:is>
      </ns0:c>
      <ns0:c r="B2112" s="21" t="inlineStr">
        <ns0:is>
          <ns0:t>decision_timing</ns0:t>
        </ns0:is>
      </ns0:c>
      <ns0:c r="C2112" s="21" t="inlineStr"/>
      <ns0:c r="D2112" s="21" t="inlineStr">
        <ns0:is>
          <ns0:t>Not observed in assessed sources</ns0:t>
        </ns0:is>
      </ns0:c>
      <ns0:c r="E2112" s="21" t="inlineStr">
        <ns0:is>
          <ns0:t>Retained source-specific coding after review of the supplied extraction notes; not a new full-text retrieval. Uses examiner-worn POV glasses with 29 ASD and 27 non-ASD children aged 17-36 months; CV features feed AdaBoost/decision trees, with reported AUC about 0.95. Prospective participant data were collected, but the model was not validated in an independent site/cohort or used to determine real clinical decisions during care.
Learned OpenFace/MediaPipe vision pipeline combined with conventional AdaBoost/tree classifier.</ns0:t>
        </ns0:is>
      </ns0:c>
      <ns0:c r="F2112" s="21" t="inlineStr">
        <ns0:is>
          <ns0:t>https://doi.org/10.1016/j.ajp.2025.104798</ns0:t>
        </ns0:is>
      </ns0:c>
      <ns0:c r="G2112" s="21" t="inlineStr">
        <ns0:is>
          <ns0:t>ChatGPT-assisted evidence recharting, 2026-09-08</ns0:t>
        </ns0:is>
      </ns0:c>
    </ns0:row>
    <ns0:row r="2113" ht="69" customHeight="1">
      <ns0:c r="A2113" s="19" t="inlineStr">
        <ns0:is>
          <ns0:t>new_149</ns0:t>
        </ns0:is>
      </ns0:c>
      <ns0:c r="B2113" s="19" t="inlineStr">
        <ns0:is>
          <ns0:t>prospective_evaluation</ns0:t>
        </ns0:is>
      </ns0:c>
      <ns0:c r="C2113" s="19" t="inlineStr">
        <ns0:is>
          <ns0:t>Reported</ns0:t>
        </ns0:is>
      </ns0:c>
      <ns0:c r="D2113" s="19" t="inlineStr">
        <ns0:is>
          <ns0:t>Not reported in assessed sources</ns0:t>
        </ns0:is>
      </ns0:c>
      <ns0:c r="E2113" s="19" t="inlineStr">
        <ns0:is>
          <ns0:t>Retained source-specific coding after review of the supplied extraction notes; not a new full-text retrieval. Uses examiner-worn POV glasses with 29 ASD and 27 non-ASD children aged 17-36 months; CV features feed AdaBoost/decision trees, with reported AUC about 0.95. Prospective participant data were collected, but the model was not validated in an independent site/cohort or used to determine real clinical decisions during care.
Learned OpenFace/MediaPipe vision pipeline combined with conventional AdaBoost/tree classifier.</ns0:t>
        </ns0:is>
      </ns0:c>
      <ns0:c r="F2113" s="19" t="inlineStr">
        <ns0:is>
          <ns0:t>https://doi.org/10.1016/j.ajp.2025.104798</ns0:t>
        </ns0:is>
      </ns0:c>
      <ns0:c r="G2113" s="19" t="inlineStr">
        <ns0:is>
          <ns0:t>ChatGPT-assisted evidence recharting, 2026-09-08</ns0:t>
        </ns0:is>
      </ns0:c>
    </ns0:row>
    <ns0:row r="2114" ht="69" customHeight="1">
      <ns0:c r="A2114" s="21" t="inlineStr">
        <ns0:is>
          <ns0:t>new_149</ns0:t>
        </ns0:is>
      </ns0:c>
      <ns0:c r="B2114" s="21" t="inlineStr">
        <ns0:is>
          <ns0:t>integrity_status</ns0:t>
        </ns0:is>
      </ns0:c>
      <ns0:c r="C2114" s="21" t="inlineStr"/>
      <ns0:c r="D2114" s="21" t="inlineStr">
        <ns0:is>
          <ns0:t>Not recorded</ns0:t>
        </ns0:is>
      </ns0:c>
      <ns0:c r="E2114" s="21" t="inlineStr">
        <ns0:is>
          <ns0:t>Retained source-specific coding after review of the supplied extraction notes; not a new full-text retrieval. Uses examiner-worn POV glasses with 29 ASD and 27 non-ASD children aged 17-36 months; CV features feed AdaBoost/decision trees, with reported AUC about 0.95. Prospective participant data were collected, but the model was not validated in an independent site/cohort or used to determine real clinical decisions during care.
Learned OpenFace/MediaPipe vision pipeline combined with conventional AdaBoost/tree classifier.</ns0:t>
        </ns0:is>
      </ns0:c>
      <ns0:c r="F2114" s="21" t="inlineStr">
        <ns0:is>
          <ns0:t>https://doi.org/10.1016/j.ajp.2025.104798</ns0:t>
        </ns0:is>
      </ns0:c>
      <ns0:c r="G2114" s="21" t="inlineStr">
        <ns0:is>
          <ns0:t>ChatGPT-assisted evidence recharting, 2026-09-08</ns0:t>
        </ns0:is>
      </ns0:c>
    </ns0:row>
    <ns0:row r="2115" ht="69" customHeight="1">
      <ns0:c r="A2115" s="19" t="inlineStr">
        <ns0:is>
          <ns0:t>new_154</ns0:t>
        </ns0:is>
      </ns0:c>
      <ns0:c r="B2115" s="19" t="inlineStr">
        <ns0:is>
          <ns0:t>data_source_primary</ns0:t>
        </ns0:is>
      </ns0:c>
      <ns0:c r="C2115" s="19" t="inlineStr">
        <ns0:is>
          <ns0:t>Multiple modalities (as coded)</ns0:t>
        </ns0:is>
      </ns0:c>
      <ns0:c r="D2115" s="19" t="inlineStr">
        <ns0:is>
          <ns0:t>Multiple source categories</ns0:t>
        </ns0:is>
      </ns0:c>
      <ns0:c r="E2115" s="19" t="inlineStr">
        <ns0:is>
          <ns0:t>Retained source-specific coding after review of the supplied extraction notes; not a new full-text retrieval. TACERN is a prospective longitudinal multisite study; DTI plus behavioral features from 93 children predict 36-month ASD diagnosis, with regularized logistic regression AUC about 0.808-0.831. Although the cohort is multisite and prospective, the recovered evaluation uses repeated train-test procedures rather than an explicit site-held-out or independent external validation cohort.</ns0:t>
        </ns0:is>
      </ns0:c>
      <ns0:c r="F2115" s="19" t="inlineStr">
        <ns0:is>
          <ns0:t>https://doi.org/10.1016/j.compbiomed.2026.111719</ns0:t>
        </ns0:is>
      </ns0:c>
      <ns0:c r="G2115" s="19" t="inlineStr">
        <ns0:is>
          <ns0:t>ChatGPT-assisted evidence recharting, 2026-09-08</ns0:t>
        </ns0:is>
      </ns0:c>
    </ns0:row>
    <ns0:row r="2116" ht="69" customHeight="1">
      <ns0:c r="A2116" s="21" t="inlineStr">
        <ns0:is>
          <ns0:t>new_154</ns0:t>
        </ns0:is>
      </ns0:c>
      <ns0:c r="B2116" s="21" t="inlineStr">
        <ns0:is>
          <ns0:t>rq2_role</ns0:t>
        </ns0:is>
      </ns0:c>
      <ns0:c r="C2116" s="21" t="inlineStr">
        <ns0:is>
          <ns0:t>Prospective longitudinal ASD-risk prediction in a high-risk TSC cohort</ns0:t>
        </ns0:is>
      </ns0:c>
      <ns0:c r="D2116" s="21" t="inlineStr">
        <ns0:is>
          <ns0:t>Risk/trajectory estimation</ns0:t>
        </ns0:is>
      </ns0:c>
      <ns0:c r="E2116" s="21" t="inlineStr">
        <ns0:is>
          <ns0:t>Retained source-specific coding after review of the supplied extraction notes; not a new full-text retrieval. TACERN is a prospective longitudinal multisite study; DTI plus behavioral features from 93 children predict 36-month ASD diagnosis, with regularized logistic regression AUC about 0.808-0.831. Although the cohort is multisite and prospective, the recovered evaluation uses repeated train-test procedures rather than an explicit site-held-out or independent external validation cohort.</ns0:t>
        </ns0:is>
      </ns0:c>
      <ns0:c r="F2116" s="21" t="inlineStr">
        <ns0:is>
          <ns0:t>https://doi.org/10.1016/j.compbiomed.2026.111719</ns0:t>
        </ns0:is>
      </ns0:c>
      <ns0:c r="G2116" s="21" t="inlineStr">
        <ns0:is>
          <ns0:t>ChatGPT-assisted evidence recharting, 2026-09-08</ns0:t>
        </ns0:is>
      </ns0:c>
    </ns0:row>
    <ns0:row r="2117" ht="69" customHeight="1">
      <ns0:c r="A2117" s="19" t="inlineStr">
        <ns0:is>
          <ns0:t>new_154</ns0:t>
        </ns0:is>
      </ns0:c>
      <ns0:c r="B2117" s="19" t="inlineStr">
        <ns0:is>
          <ns0:t>decision_timing</ns0:t>
        </ns0:is>
      </ns0:c>
      <ns0:c r="C2117" s="19" t="inlineStr"/>
      <ns0:c r="D2117" s="19" t="inlineStr">
        <ns0:is>
          <ns0:t>Not observed in assessed sources</ns0:t>
        </ns0:is>
      </ns0:c>
      <ns0:c r="E2117" s="19" t="inlineStr">
        <ns0:is>
          <ns0:t>Retained source-specific coding after review of the supplied extraction notes; not a new full-text retrieval. TACERN is a prospective longitudinal multisite study; DTI plus behavioral features from 93 children predict 36-month ASD diagnosis, with regularized logistic regression AUC about 0.808-0.831. Although the cohort is multisite and prospective, the recovered evaluation uses repeated train-test procedures rather than an explicit site-held-out or independent external validation cohort.</ns0:t>
        </ns0:is>
      </ns0:c>
      <ns0:c r="F2117" s="19" t="inlineStr">
        <ns0:is>
          <ns0:t>https://doi.org/10.1016/j.compbiomed.2026.111719</ns0:t>
        </ns0:is>
      </ns0:c>
      <ns0:c r="G2117" s="19" t="inlineStr">
        <ns0:is>
          <ns0:t>ChatGPT-assisted evidence recharting, 2026-09-08</ns0:t>
        </ns0:is>
      </ns0:c>
    </ns0:row>
    <ns0:row r="2118" ht="69" customHeight="1">
      <ns0:c r="A2118" s="21" t="inlineStr">
        <ns0:is>
          <ns0:t>new_154</ns0:t>
        </ns0:is>
      </ns0:c>
      <ns0:c r="B2118" s="21" t="inlineStr">
        <ns0:is>
          <ns0:t>prospective_evaluation</ns0:t>
        </ns0:is>
      </ns0:c>
      <ns0:c r="C2118" s="21" t="inlineStr">
        <ns0:is>
          <ns0:t>Reported</ns0:t>
        </ns0:is>
      </ns0:c>
      <ns0:c r="D2118" s="21" t="inlineStr">
        <ns0:is>
          <ns0:t>Not reported in assessed sources</ns0:t>
        </ns0:is>
      </ns0:c>
      <ns0:c r="E2118" s="21" t="inlineStr">
        <ns0:is>
          <ns0:t>Retained source-specific coding after review of the supplied extraction notes; not a new full-text retrieval. TACERN is a prospective longitudinal multisite study; DTI plus behavioral features from 93 children predict 36-month ASD diagnosis, with regularized logistic regression AUC about 0.808-0.831. Although the cohort is multisite and prospective, the recovered evaluation uses repeated train-test procedures rather than an explicit site-held-out or independent external validation cohort.</ns0:t>
        </ns0:is>
      </ns0:c>
      <ns0:c r="F2118" s="21" t="inlineStr">
        <ns0:is>
          <ns0:t>https://doi.org/10.1016/j.compbiomed.2026.111719</ns0:t>
        </ns0:is>
      </ns0:c>
      <ns0:c r="G2118" s="21" t="inlineStr">
        <ns0:is>
          <ns0:t>ChatGPT-assisted evidence recharting, 2026-09-08</ns0:t>
        </ns0:is>
      </ns0:c>
    </ns0:row>
    <ns0:row r="2119" ht="69" customHeight="1">
      <ns0:c r="A2119" s="19" t="inlineStr">
        <ns0:is>
          <ns0:t>new_154</ns0:t>
        </ns0:is>
      </ns0:c>
      <ns0:c r="B2119" s="19" t="inlineStr">
        <ns0:is>
          <ns0:t>integrity_status</ns0:t>
        </ns0:is>
      </ns0:c>
      <ns0:c r="C2119" s="19" t="inlineStr"/>
      <ns0:c r="D2119" s="19" t="inlineStr">
        <ns0:is>
          <ns0:t>Not recorded</ns0:t>
        </ns0:is>
      </ns0:c>
      <ns0:c r="E2119" s="19" t="inlineStr">
        <ns0:is>
          <ns0:t>Retained source-specific coding after review of the supplied extraction notes; not a new full-text retrieval. TACERN is a prospective longitudinal multisite study; DTI plus behavioral features from 93 children predict 36-month ASD diagnosis, with regularized logistic regression AUC about 0.808-0.831. Although the cohort is multisite and prospective, the recovered evaluation uses repeated train-test procedures rather than an explicit site-held-out or independent external validation cohort.</ns0:t>
        </ns0:is>
      </ns0:c>
      <ns0:c r="F2119" s="19" t="inlineStr">
        <ns0:is>
          <ns0:t>https://doi.org/10.1016/j.compbiomed.2026.111719</ns0:t>
        </ns0:is>
      </ns0:c>
      <ns0:c r="G2119" s="19" t="inlineStr">
        <ns0:is>
          <ns0:t>ChatGPT-assisted evidence recharting, 2026-09-08</ns0:t>
        </ns0:is>
      </ns0:c>
    </ns0:row>
    <ns0:row r="2120" ht="57" customHeight="1">
      <ns0:c r="A2120" s="21" t="inlineStr">
        <ns0:is>
          <ns0:t>new_162</ns0:t>
        </ns0:is>
      </ns0:c>
      <ns0:c r="B2120" s="21" t="inlineStr">
        <ns0:is>
          <ns0:t>rq2_role</ns0:t>
        </ns0:is>
      </ns0:c>
      <ns0:c r="C2120" s="21" t="inlineStr">
        <ns0:is>
          <ns0:t>Experimental EEG diagnostic classifier</ns0:t>
        </ns0:is>
      </ns0:c>
      <ns0:c r="D2120" s="21" t="inlineStr">
        <ns0:is>
          <ns0:t>Automated measurement/classification</ns0:t>
        </ns0:is>
      </ns0:c>
      <ns0:c r="E2120" s="21" t="inlineStr">
        <ns0:is>
          <ns0:t>Retained source-specific coding after review of the supplied extraction notes; not a new full-text retrieval. EMLF-Net fuses time- and frequency-domain EEG features; KAU results are 99.20% subject-dependent and 92.09% subject-independent; topographic analysis shows channel importance. Single small public dataset (12 ASD, 5 TD). Topographic/channel-importance visualization was coded as partial interpretability, not formal XAI.</ns0:t>
        </ns0:is>
      </ns0:c>
      <ns0:c r="F2120" s="21" t="inlineStr">
        <ns0:is>
          <ns0:t>https://doi.org/10.1016/j.bspc.2025.109180</ns0:t>
        </ns0:is>
      </ns0:c>
      <ns0:c r="G2120" s="21" t="inlineStr">
        <ns0:is>
          <ns0:t>ChatGPT-assisted evidence recharting, 2026-09-08</ns0:t>
        </ns0:is>
      </ns0:c>
    </ns0:row>
    <ns0:row r="2121" ht="57" customHeight="1">
      <ns0:c r="A2121" s="19" t="inlineStr">
        <ns0:is>
          <ns0:t>new_162</ns0:t>
        </ns0:is>
      </ns0:c>
      <ns0:c r="B2121" s="19" t="inlineStr">
        <ns0:is>
          <ns0:t>decision_timing</ns0:t>
        </ns0:is>
      </ns0:c>
      <ns0:c r="C2121" s="19" t="inlineStr"/>
      <ns0:c r="D2121" s="19" t="inlineStr">
        <ns0:is>
          <ns0:t>Not observed in assessed sources</ns0:t>
        </ns0:is>
      </ns0:c>
      <ns0:c r="E2121" s="19" t="inlineStr">
        <ns0:is>
          <ns0:t>Retained source-specific coding after review of the supplied extraction notes; not a new full-text retrieval. EMLF-Net fuses time- and frequency-domain EEG features; KAU results are 99.20% subject-dependent and 92.09% subject-independent; topographic analysis shows channel importance. Single small public dataset (12 ASD, 5 TD). Topographic/channel-importance visualization was coded as partial interpretability, not formal XAI.</ns0:t>
        </ns0:is>
      </ns0:c>
      <ns0:c r="F2121" s="19" t="inlineStr">
        <ns0:is>
          <ns0:t>https://doi.org/10.1016/j.bspc.2025.109180</ns0:t>
        </ns0:is>
      </ns0:c>
      <ns0:c r="G2121" s="19" t="inlineStr">
        <ns0:is>
          <ns0:t>ChatGPT-assisted evidence recharting, 2026-09-08</ns0:t>
        </ns0:is>
      </ns0:c>
    </ns0:row>
    <ns0:row r="2122" ht="57" customHeight="1">
      <ns0:c r="A2122" s="21" t="inlineStr">
        <ns0:is>
          <ns0:t>new_162</ns0:t>
        </ns0:is>
      </ns0:c>
      <ns0:c r="B2122" s="21" t="inlineStr">
        <ns0:is>
          <ns0:t>integrity_status</ns0:t>
        </ns0:is>
      </ns0:c>
      <ns0:c r="C2122" s="21" t="inlineStr"/>
      <ns0:c r="D2122" s="21" t="inlineStr">
        <ns0:is>
          <ns0:t>Not recorded</ns0:t>
        </ns0:is>
      </ns0:c>
      <ns0:c r="E2122" s="21" t="inlineStr">
        <ns0:is>
          <ns0:t>Retained source-specific coding after review of the supplied extraction notes; not a new full-text retrieval. EMLF-Net fuses time- and frequency-domain EEG features; KAU results are 99.20% subject-dependent and 92.09% subject-independent; topographic analysis shows channel importance. Single small public dataset (12 ASD, 5 TD). Topographic/channel-importance visualization was coded as partial interpretability, not formal XAI.</ns0:t>
        </ns0:is>
      </ns0:c>
      <ns0:c r="F2122" s="21" t="inlineStr">
        <ns0:is>
          <ns0:t>https://doi.org/10.1016/j.bspc.2025.109180</ns0:t>
        </ns0:is>
      </ns0:c>
      <ns0:c r="G2122" s="21" t="inlineStr">
        <ns0:is>
          <ns0:t>ChatGPT-assisted evidence recharting, 2026-09-08</ns0:t>
        </ns0:is>
      </ns0:c>
    </ns0:row>
    <ns0:row r="2123" ht="57" customHeight="1">
      <ns0:c r="A2123" s="19" t="inlineStr">
        <ns0:is>
          <ns0:t>new_180</ns0:t>
        </ns0:is>
      </ns0:c>
      <ns0:c r="B2123" s="19" t="inlineStr">
        <ns0:is>
          <ns0:t>rq2_role</ns0:t>
        </ns0:is>
      </ns0:c>
      <ns0:c r="C2123" s="19" t="inlineStr">
        <ns0:is>
          <ns0:t>Experimental sMRI diagnostic classifier and augmentation study</ns0:t>
        </ns0:is>
      </ns0:c>
      <ns0:c r="D2123" s="19" t="inlineStr">
        <ns0:is>
          <ns0:t>Automated measurement/classification</ns0:t>
        </ns0:is>
      </ns0:c>
      <ns0:c r="E2123" s="19" t="inlineStr">
        <ns0:is>
          <ns0:t>Retained source-specific coding after review of the supplied extraction notes; not a new full-text retrieval. Systematically evaluates spatial and intensity augmentation on structural MRI with ResNet34; combined augmentation improves reported AUC to 0.7433. ABIDE data are multisite, but no site-held-out cross-site evaluation was identified. The study evaluates augmentation robustness, not external clinical generalization.</ns0:t>
        </ns0:is>
      </ns0:c>
      <ns0:c r="F2123" s="19" t="inlineStr">
        <ns0:is>
          <ns0:t>https://doi.org/10.1016/j.ajp.2026.104830</ns0:t>
        </ns0:is>
      </ns0:c>
      <ns0:c r="G2123" s="19" t="inlineStr">
        <ns0:is>
          <ns0:t>ChatGPT-assisted evidence recharting, 2026-09-08</ns0:t>
        </ns0:is>
      </ns0:c>
    </ns0:row>
    <ns0:row r="2124" ht="57" customHeight="1">
      <ns0:c r="A2124" s="21" t="inlineStr">
        <ns0:is>
          <ns0:t>new_180</ns0:t>
        </ns0:is>
      </ns0:c>
      <ns0:c r="B2124" s="21" t="inlineStr">
        <ns0:is>
          <ns0:t>decision_timing</ns0:t>
        </ns0:is>
      </ns0:c>
      <ns0:c r="C2124" s="21" t="inlineStr"/>
      <ns0:c r="D2124" s="21" t="inlineStr">
        <ns0:is>
          <ns0:t>Not observed in assessed sources</ns0:t>
        </ns0:is>
      </ns0:c>
      <ns0:c r="E2124" s="21" t="inlineStr">
        <ns0:is>
          <ns0:t>Retained source-specific coding after review of the supplied extraction notes; not a new full-text retrieval. Systematically evaluates spatial and intensity augmentation on structural MRI with ResNet34; combined augmentation improves reported AUC to 0.7433. ABIDE data are multisite, but no site-held-out cross-site evaluation was identified. The study evaluates augmentation robustness, not external clinical generalization.</ns0:t>
        </ns0:is>
      </ns0:c>
      <ns0:c r="F2124" s="21" t="inlineStr">
        <ns0:is>
          <ns0:t>https://doi.org/10.1016/j.ajp.2026.104830</ns0:t>
        </ns0:is>
      </ns0:c>
      <ns0:c r="G2124" s="21" t="inlineStr">
        <ns0:is>
          <ns0:t>ChatGPT-assisted evidence recharting, 2026-09-08</ns0:t>
        </ns0:is>
      </ns0:c>
    </ns0:row>
    <ns0:row r="2125" ht="57" customHeight="1">
      <ns0:c r="A2125" s="19" t="inlineStr">
        <ns0:is>
          <ns0:t>new_180</ns0:t>
        </ns0:is>
      </ns0:c>
      <ns0:c r="B2125" s="19" t="inlineStr">
        <ns0:is>
          <ns0:t>integrity_status</ns0:t>
        </ns0:is>
      </ns0:c>
      <ns0:c r="C2125" s="19" t="inlineStr"/>
      <ns0:c r="D2125" s="19" t="inlineStr">
        <ns0:is>
          <ns0:t>Not recorded</ns0:t>
        </ns0:is>
      </ns0:c>
      <ns0:c r="E2125" s="19" t="inlineStr">
        <ns0:is>
          <ns0:t>Retained source-specific coding after review of the supplied extraction notes; not a new full-text retrieval. Systematically evaluates spatial and intensity augmentation on structural MRI with ResNet34; combined augmentation improves reported AUC to 0.7433. ABIDE data are multisite, but no site-held-out cross-site evaluation was identified. The study evaluates augmentation robustness, not external clinical generalization.</ns0:t>
        </ns0:is>
      </ns0:c>
      <ns0:c r="F2125" s="19" t="inlineStr">
        <ns0:is>
          <ns0:t>https://doi.org/10.1016/j.ajp.2026.104830</ns0:t>
        </ns0:is>
      </ns0:c>
      <ns0:c r="G2125" s="19" t="inlineStr">
        <ns0:is>
          <ns0:t>ChatGPT-assisted evidence recharting, 2026-09-08</ns0:t>
        </ns0:is>
      </ns0:c>
    </ns0:row>
    <ns0:row r="2126" ht="81" customHeight="1">
      <ns0:c r="A2126" s="21" t="inlineStr">
        <ns0:is>
          <ns0:t>new_181</ns0:t>
        </ns0:is>
      </ns0:c>
      <ns0:c r="B2126" s="21" t="inlineStr">
        <ns0:is>
          <ns0:t>data_source_primary</ns0:t>
        </ns0:is>
      </ns0:c>
      <ns0:c r="C2126" s="21" t="inlineStr">
        <ns0:is>
          <ns0:t>Digital / robot interaction</ns0:t>
        </ns0:is>
      </ns0:c>
      <ns0:c r="D2126" s="21" t="inlineStr">
        <ns0:is>
          <ns0:t>Other biomedical/digital data</ns0:t>
        </ns0:is>
      </ns0:c>
      <ns0:c r="E2126" s="21" t="inlineStr">
        <ns0:is>
          <ns0:t>Retained source-specific coding after review of the supplied extraction notes; not a new full-text retrieval. CARES is a human-centered AI trip planner tested with 14 autistic adults, designed to reduce information overload while preserving user decision autonomy. The paper demonstrates an assistive user-facing intervention, not a clinical diagnostic workflow. The exact algorithm family does not map cleanly to ML/DL and is therefore left Not specified.
Assistive travel-planning user evaluation, not clinical treatment efficacy.</ns0:t>
        </ns0:is>
      </ns0:c>
      <ns0:c r="F2126" s="21" t="inlineStr">
        <ns0:is>
          <ns0:t>https://doi.org/10.1016/j.ijhcs.2025.103696</ns0:t>
        </ns0:is>
      </ns0:c>
      <ns0:c r="G2126" s="21" t="inlineStr">
        <ns0:is>
          <ns0:t>ChatGPT-assisted evidence recharting, 2026-09-08</ns0:t>
        </ns0:is>
      </ns0:c>
    </ns0:row>
    <ns0:row r="2127" ht="81" customHeight="1">
      <ns0:c r="A2127" s="19" t="inlineStr">
        <ns0:is>
          <ns0:t>new_181</ns0:t>
        </ns0:is>
      </ns0:c>
      <ns0:c r="B2127" s="19" t="inlineStr">
        <ns0:is>
          <ns0:t>rq2_status</ns0:t>
        </ns0:is>
      </ns0:c>
      <ns0:c r="C2127" s="19" t="inlineStr">
        <ns0:is>
          <ns0:t>Confirmed in intervention</ns0:t>
        </ns0:is>
      </ns0:c>
      <ns0:c r="D2127" s="19" t="inlineStr">
        <ns0:is>
          <ns0:t>Evaluated AI-supported intervention</ns0:t>
        </ns0:is>
      </ns0:c>
      <ns0:c r="E2127" s="19" t="inlineStr">
        <ns0:is>
          <ns0:t>Retained source-specific coding after review of the supplied extraction notes; not a new full-text retrieval. CARES is a human-centered AI trip planner tested with 14 autistic adults, designed to reduce information overload while preserving user decision autonomy. The paper demonstrates an assistive user-facing intervention, not a clinical diagnostic workflow. The exact algorithm family does not map cleanly to ML/DL and is therefore left Not specified.
Assistive travel-planning user evaluation, not clinical treatment efficacy.</ns0:t>
        </ns0:is>
      </ns0:c>
      <ns0:c r="F2127" s="19" t="inlineStr">
        <ns0:is>
          <ns0:t>https://doi.org/10.1016/j.ijhcs.2025.103696</ns0:t>
        </ns0:is>
      </ns0:c>
      <ns0:c r="G2127" s="19" t="inlineStr">
        <ns0:is>
          <ns0:t>ChatGPT-assisted evidence recharting, 2026-09-08</ns0:t>
        </ns0:is>
      </ns0:c>
    </ns0:row>
    <ns0:row r="2128" ht="81" customHeight="1">
      <ns0:c r="A2128" s="21" t="inlineStr">
        <ns0:is>
          <ns0:t>new_181</ns0:t>
        </ns0:is>
      </ns0:c>
      <ns0:c r="B2128" s="21" t="inlineStr">
        <ns0:is>
          <ns0:t>rq2_role</ns0:t>
        </ns0:is>
      </ns0:c>
      <ns0:c r="C2128" s="21" t="inlineStr">
        <ns0:is>
          <ns0:t>User-tested assistive AI trip planner for autistic adults</ns0:t>
        </ns0:is>
      </ns0:c>
      <ns0:c r="D2128" s="21" t="inlineStr">
        <ns0:is>
          <ns0:t>Assistive support</ns0:t>
        </ns0:is>
      </ns0:c>
      <ns0:c r="E2128" s="21" t="inlineStr">
        <ns0:is>
          <ns0:t>Retained source-specific coding after review of the supplied extraction notes; not a new full-text retrieval. CARES is a human-centered AI trip planner tested with 14 autistic adults, designed to reduce information overload while preserving user decision autonomy. The paper demonstrates an assistive user-facing intervention, not a clinical diagnostic workflow. The exact algorithm family does not map cleanly to ML/DL and is therefore left Not specified.
Assistive travel-planning user evaluation, not clinical treatment efficacy.</ns0:t>
        </ns0:is>
      </ns0:c>
      <ns0:c r="F2128" s="21" t="inlineStr">
        <ns0:is>
          <ns0:t>https://doi.org/10.1016/j.ijhcs.2025.103696</ns0:t>
        </ns0:is>
      </ns0:c>
      <ns0:c r="G2128" s="21" t="inlineStr">
        <ns0:is>
          <ns0:t>ChatGPT-assisted evidence recharting, 2026-09-08</ns0:t>
        </ns0:is>
      </ns0:c>
    </ns0:row>
    <ns0:row r="2129" ht="81" customHeight="1">
      <ns0:c r="A2129" s="19" t="inlineStr">
        <ns0:is>
          <ns0:t>new_181</ns0:t>
        </ns0:is>
      </ns0:c>
      <ns0:c r="B2129" s="19" t="inlineStr">
        <ns0:is>
          <ns0:t>decision_timing</ns0:t>
        </ns0:is>
      </ns0:c>
      <ns0:c r="C2129" s="19" t="inlineStr"/>
      <ns0:c r="D2129" s="19" t="inlineStr">
        <ns0:is>
          <ns0:t>Post-decision</ns0:t>
        </ns0:is>
      </ns0:c>
      <ns0:c r="E2129" s="19" t="inlineStr">
        <ns0:is>
          <ns0:t>Retained source-specific coding after review of the supplied extraction notes; not a new full-text retrieval. CARES is a human-centered AI trip planner tested with 14 autistic adults, designed to reduce information overload while preserving user decision autonomy. The paper demonstrates an assistive user-facing intervention, not a clinical diagnostic workflow. The exact algorithm family does not map cleanly to ML/DL and is therefore left Not specified.
Assistive travel-planning user evaluation, not clinical treatment efficacy.</ns0:t>
        </ns0:is>
      </ns0:c>
      <ns0:c r="F2129" s="19" t="inlineStr">
        <ns0:is>
          <ns0:t>https://doi.org/10.1016/j.ijhcs.2025.103696</ns0:t>
        </ns0:is>
      </ns0:c>
      <ns0:c r="G2129" s="19" t="inlineStr">
        <ns0:is>
          <ns0:t>ChatGPT-assisted evidence recharting, 2026-09-08</ns0:t>
        </ns0:is>
      </ns0:c>
    </ns0:row>
    <ns0:row r="2130" ht="81" customHeight="1">
      <ns0:c r="A2130" s="21" t="inlineStr">
        <ns0:is>
          <ns0:t>new_181</ns0:t>
        </ns0:is>
      </ns0:c>
      <ns0:c r="B2130" s="21" t="inlineStr">
        <ns0:is>
          <ns0:t>integrity_status</ns0:t>
        </ns0:is>
      </ns0:c>
      <ns0:c r="C2130" s="21" t="inlineStr"/>
      <ns0:c r="D2130" s="21" t="inlineStr">
        <ns0:is>
          <ns0:t>Not recorded</ns0:t>
        </ns0:is>
      </ns0:c>
      <ns0:c r="E2130" s="21" t="inlineStr">
        <ns0:is>
          <ns0:t>Retained source-specific coding after review of the supplied extraction notes; not a new full-text retrieval. CARES is a human-centered AI trip planner tested with 14 autistic adults, designed to reduce information overload while preserving user decision autonomy. The paper demonstrates an assistive user-facing intervention, not a clinical diagnostic workflow. The exact algorithm family does not map cleanly to ML/DL and is therefore left Not specified.
Assistive travel-planning user evaluation, not clinical treatment efficacy.</ns0:t>
        </ns0:is>
      </ns0:c>
      <ns0:c r="F2130" s="21" t="inlineStr">
        <ns0:is>
          <ns0:t>https://doi.org/10.1016/j.ijhcs.2025.103696</ns0:t>
        </ns0:is>
      </ns0:c>
      <ns0:c r="G2130" s="21" t="inlineStr">
        <ns0:is>
          <ns0:t>ChatGPT-assisted evidence recharting, 2026-09-08</ns0:t>
        </ns0:is>
      </ns0:c>
    </ns0:row>
    <ns0:row r="2131" ht="81" customHeight="1">
      <ns0:c r="A2131" s="19" t="inlineStr">
        <ns0:is>
          <ns0:t>new_187</ns0:t>
        </ns0:is>
      </ns0:c>
      <ns0:c r="B2131" s="19" t="inlineStr">
        <ns0:is>
          <ns0:t>ai_type</ns0:t>
        </ns0:is>
      </ns0:c>
      <ns0:c r="C2131" s="19" t="inlineStr">
        <ns0:is>
          <ns0:t>Hybrid</ns0:t>
        </ns0:is>
      </ns0:c>
      <ns0:c r="D2131" s="19" t="inlineStr">
        <ns0:is>
          <ns0:t>Deep Learning</ns0:t>
        </ns0:is>
      </ns0:c>
      <ns0:c r="E2131" s="19" t="inlineStr">
        <ns0:is>
          <ns0:t>Retained source-specific coding after review of the supplied extraction notes; not a new full-text retrieval. Combines handwriting and behavioral questionnaire data with a Mamba-enabled multimodal architecture; reported screening accuracy is 95%. Evaluation is experimental and the article itself describes uncertain/limited datasets; no independent external cohort, prospective deployment, site-held-out robustness, or formal XAI was identified.
All-neural/optimization pipeline in recovered evidence; hybrid title is not sufficient for mixed conventional-ML/DL classification.</ns0:t>
        </ns0:is>
      </ns0:c>
      <ns0:c r="F2131" s="19" t="inlineStr">
        <ns0:is>
          <ns0:t>https://doi.org/10.1016/j.procs.2026.06.363</ns0:t>
        </ns0:is>
      </ns0:c>
      <ns0:c r="G2131" s="19" t="inlineStr">
        <ns0:is>
          <ns0:t>ChatGPT-assisted evidence recharting, 2026-09-08</ns0:t>
        </ns0:is>
      </ns0:c>
    </ns0:row>
    <ns0:row r="2132" ht="81" customHeight="1">
      <ns0:c r="A2132" s="21" t="inlineStr">
        <ns0:is>
          <ns0:t>new_187</ns0:t>
        </ns0:is>
      </ns0:c>
      <ns0:c r="B2132" s="21" t="inlineStr">
        <ns0:is>
          <ns0:t>data_source_primary</ns0:t>
        </ns0:is>
      </ns0:c>
      <ns0:c r="C2132" s="21" t="inlineStr">
        <ns0:is>
          <ns0:t>Multiple modalities (as coded)</ns0:t>
        </ns0:is>
      </ns0:c>
      <ns0:c r="D2132" s="21" t="inlineStr">
        <ns0:is>
          <ns0:t>Multiple source categories</ns0:t>
        </ns0:is>
      </ns0:c>
      <ns0:c r="E2132" s="21" t="inlineStr">
        <ns0:is>
          <ns0:t>Retained source-specific coding after review of the supplied extraction notes; not a new full-text retrieval. Combines handwriting and behavioral questionnaire data with a Mamba-enabled multimodal architecture; reported screening accuracy is 95%. Evaluation is experimental and the article itself describes uncertain/limited datasets; no independent external cohort, prospective deployment, site-held-out robustness, or formal XAI was identified.
All-neural/optimization pipeline in recovered evidence; hybrid title is not sufficient for mixed conventional-ML/DL classification.</ns0:t>
        </ns0:is>
      </ns0:c>
      <ns0:c r="F2132" s="21" t="inlineStr">
        <ns0:is>
          <ns0:t>https://doi.org/10.1016/j.procs.2026.06.363</ns0:t>
        </ns0:is>
      </ns0:c>
      <ns0:c r="G2132" s="21" t="inlineStr">
        <ns0:is>
          <ns0:t>ChatGPT-assisted evidence recharting, 2026-09-08</ns0:t>
        </ns0:is>
      </ns0:c>
    </ns0:row>
    <ns0:row r="2133" ht="81" customHeight="1">
      <ns0:c r="A2133" s="19" t="inlineStr">
        <ns0:is>
          <ns0:t>new_187</ns0:t>
        </ns0:is>
      </ns0:c>
      <ns0:c r="B2133" s="19" t="inlineStr">
        <ns0:is>
          <ns0:t>rq2_role</ns0:t>
        </ns0:is>
      </ns0:c>
      <ns0:c r="C2133" s="19" t="inlineStr">
        <ns0:is>
          <ns0:t>Proposed automated screening system for clinical/educational deployment; no live workflow evaluation</ns0:t>
        </ns0:is>
      </ns0:c>
      <ns0:c r="D2133" s="19" t="inlineStr">
        <ns0:is>
          <ns0:t>Triage/questionnaire assessment</ns0:t>
        </ns0:is>
      </ns0:c>
      <ns0:c r="E2133" s="19" t="inlineStr">
        <ns0:is>
          <ns0:t>Retained source-specific coding after review of the supplied extraction notes; not a new full-text retrieval. Combines handwriting and behavioral questionnaire data with a Mamba-enabled multimodal architecture; reported screening accuracy is 95%. Evaluation is experimental and the article itself describes uncertain/limited datasets; no independent external cohort, prospective deployment, site-held-out robustness, or formal XAI was identified.
All-neural/optimization pipeline in recovered evidence; hybrid title is not sufficient for mixed conventional-ML/DL classification.</ns0:t>
        </ns0:is>
      </ns0:c>
      <ns0:c r="F2133" s="19" t="inlineStr">
        <ns0:is>
          <ns0:t>https://doi.org/10.1016/j.procs.2026.06.363</ns0:t>
        </ns0:is>
      </ns0:c>
      <ns0:c r="G2133" s="19" t="inlineStr">
        <ns0:is>
          <ns0:t>ChatGPT-assisted evidence recharting, 2026-09-08</ns0:t>
        </ns0:is>
      </ns0:c>
    </ns0:row>
    <ns0:row r="2134" ht="81" customHeight="1">
      <ns0:c r="A2134" s="21" t="inlineStr">
        <ns0:is>
          <ns0:t>new_187</ns0:t>
        </ns0:is>
      </ns0:c>
      <ns0:c r="B2134" s="21" t="inlineStr">
        <ns0:is>
          <ns0:t>decision_timing</ns0:t>
        </ns0:is>
      </ns0:c>
      <ns0:c r="C2134" s="21" t="inlineStr"/>
      <ns0:c r="D2134" s="21" t="inlineStr">
        <ns0:is>
          <ns0:t>Pre-decision</ns0:t>
        </ns0:is>
      </ns0:c>
      <ns0:c r="E2134" s="21" t="inlineStr">
        <ns0:is>
          <ns0:t>Retained source-specific coding after review of the supplied extraction notes; not a new full-text retrieval. Combines handwriting and behavioral questionnaire data with a Mamba-enabled multimodal architecture; reported screening accuracy is 95%. Evaluation is experimental and the article itself describes uncertain/limited datasets; no independent external cohort, prospective deployment, site-held-out robustness, or formal XAI was identified.
All-neural/optimization pipeline in recovered evidence; hybrid title is not sufficient for mixed conventional-ML/DL classification.</ns0:t>
        </ns0:is>
      </ns0:c>
      <ns0:c r="F2134" s="21" t="inlineStr">
        <ns0:is>
          <ns0:t>https://doi.org/10.1016/j.procs.2026.06.363</ns0:t>
        </ns0:is>
      </ns0:c>
      <ns0:c r="G2134" s="21" t="inlineStr">
        <ns0:is>
          <ns0:t>ChatGPT-assisted evidence recharting, 2026-09-08</ns0:t>
        </ns0:is>
      </ns0:c>
    </ns0:row>
    <ns0:row r="2135" ht="81" customHeight="1">
      <ns0:c r="A2135" s="19" t="inlineStr">
        <ns0:is>
          <ns0:t>new_187</ns0:t>
        </ns0:is>
      </ns0:c>
      <ns0:c r="B2135" s="19" t="inlineStr">
        <ns0:is>
          <ns0:t>integrity_status</ns0:t>
        </ns0:is>
      </ns0:c>
      <ns0:c r="C2135" s="19" t="inlineStr"/>
      <ns0:c r="D2135" s="19" t="inlineStr">
        <ns0:is>
          <ns0:t>Not recorded</ns0:t>
        </ns0:is>
      </ns0:c>
      <ns0:c r="E2135" s="19" t="inlineStr">
        <ns0:is>
          <ns0:t>Retained source-specific coding after review of the supplied extraction notes; not a new full-text retrieval. Combines handwriting and behavioral questionnaire data with a Mamba-enabled multimodal architecture; reported screening accuracy is 95%. Evaluation is experimental and the article itself describes uncertain/limited datasets; no independent external cohort, prospective deployment, site-held-out robustness, or formal XAI was identified.
All-neural/optimization pipeline in recovered evidence; hybrid title is not sufficient for mixed conventional-ML/DL classification.</ns0:t>
        </ns0:is>
      </ns0:c>
      <ns0:c r="F2135" s="19" t="inlineStr">
        <ns0:is>
          <ns0:t>https://doi.org/10.1016/j.procs.2026.06.363</ns0:t>
        </ns0:is>
      </ns0:c>
      <ns0:c r="G2135" s="19" t="inlineStr">
        <ns0:is>
          <ns0:t>ChatGPT-assisted evidence recharting, 2026-09-08</ns0:t>
        </ns0:is>
      </ns0:c>
    </ns0:row>
    <ns0:row r="2136" ht="69" customHeight="1">
      <ns0:c r="A2136" s="21" t="inlineStr">
        <ns0:is>
          <ns0:t>new_188</ns0:t>
        </ns0:is>
      </ns0:c>
      <ns0:c r="B2136" s="21" t="inlineStr">
        <ns0:is>
          <ns0:t>data_source_primary</ns0:t>
        </ns0:is>
      </ns0:c>
      <ns0:c r="C2136" s="21" t="inlineStr">
        <ns0:is>
          <ns0:t>Structured / tabular data</ns0:t>
        </ns0:is>
      </ns0:c>
      <ns0:c r="D2136" s="21" t="inlineStr">
        <ns0:is>
          <ns0:t>Structured clinical/questionnaire data</ns0:t>
        </ns0:is>
      </ns0:c>
      <ns0:c r="E2136" s="21" t="inlineStr">
        <ns0:is>
          <ns0:t>Retained source-specific coding after review of the supplied extraction notes; not a new full-text retrieval. Baseline ADI-R features were used to distinguish tDCS responders; SHAP linked lower verbal communication severity to greater RRB reduction and a model-derived threshold of 19.6 was reported. Exploratory analysis from a registered intervention protocol. The article explicitly calls for replication in larger independent cohorts; the exact base learner was not recoverable from the indexed text.</ns0:t>
        </ns0:is>
      </ns0:c>
      <ns0:c r="F2136" s="21" t="inlineStr">
        <ns0:is>
          <ns0:t>https://doi.org/10.1016/j.jpsychires.2026.03.043</ns0:t>
        </ns0:is>
      </ns0:c>
      <ns0:c r="G2136" s="21" t="inlineStr">
        <ns0:is>
          <ns0:t>ChatGPT-assisted evidence recharting, 2026-09-08</ns0:t>
        </ns0:is>
      </ns0:c>
    </ns0:row>
    <ns0:row r="2137" ht="69" customHeight="1">
      <ns0:c r="A2137" s="19" t="inlineStr">
        <ns0:is>
          <ns0:t>new_188</ns0:t>
        </ns0:is>
      </ns0:c>
      <ns0:c r="B2137" s="19" t="inlineStr">
        <ns0:is>
          <ns0:t>rq2_role</ns0:t>
        </ns0:is>
      </ns0:c>
      <ns0:c r="C2137" s="19" t="inlineStr">
        <ns0:is>
          <ns0:t>Exploratory post hoc treatment-response stratification; model not used to allocate treatment</ns0:t>
        </ns0:is>
      </ns0:c>
      <ns0:c r="D2137" s="19" t="inlineStr">
        <ns0:is>
          <ns0:t>Risk/trajectory estimation</ns0:t>
        </ns0:is>
      </ns0:c>
      <ns0:c r="E2137" s="19" t="inlineStr">
        <ns0:is>
          <ns0:t>Retained source-specific coding after review of the supplied extraction notes; not a new full-text retrieval. Baseline ADI-R features were used to distinguish tDCS responders; SHAP linked lower verbal communication severity to greater RRB reduction and a model-derived threshold of 19.6 was reported. Exploratory analysis from a registered intervention protocol. The article explicitly calls for replication in larger independent cohorts; the exact base learner was not recoverable from the indexed text.</ns0:t>
        </ns0:is>
      </ns0:c>
      <ns0:c r="F2137" s="19" t="inlineStr">
        <ns0:is>
          <ns0:t>https://doi.org/10.1016/j.jpsychires.2026.03.043</ns0:t>
        </ns0:is>
      </ns0:c>
      <ns0:c r="G2137" s="19" t="inlineStr">
        <ns0:is>
          <ns0:t>ChatGPT-assisted evidence recharting, 2026-09-08</ns0:t>
        </ns0:is>
      </ns0:c>
    </ns0:row>
    <ns0:row r="2138" ht="69" customHeight="1">
      <ns0:c r="A2138" s="21" t="inlineStr">
        <ns0:is>
          <ns0:t>new_188</ns0:t>
        </ns0:is>
      </ns0:c>
      <ns0:c r="B2138" s="21" t="inlineStr">
        <ns0:is>
          <ns0:t>decision_timing</ns0:t>
        </ns0:is>
      </ns0:c>
      <ns0:c r="C2138" s="21" t="inlineStr"/>
      <ns0:c r="D2138" s="21" t="inlineStr">
        <ns0:is>
          <ns0:t>Not observed in assessed sources</ns0:t>
        </ns0:is>
      </ns0:c>
      <ns0:c r="E2138" s="21" t="inlineStr">
        <ns0:is>
          <ns0:t>Retained source-specific coding after review of the supplied extraction notes; not a new full-text retrieval. Baseline ADI-R features were used to distinguish tDCS responders; SHAP linked lower verbal communication severity to greater RRB reduction and a model-derived threshold of 19.6 was reported. Exploratory analysis from a registered intervention protocol. The article explicitly calls for replication in larger independent cohorts; the exact base learner was not recoverable from the indexed text.</ns0:t>
        </ns0:is>
      </ns0:c>
      <ns0:c r="F2138" s="21" t="inlineStr">
        <ns0:is>
          <ns0:t>https://doi.org/10.1016/j.jpsychires.2026.03.043</ns0:t>
        </ns0:is>
      </ns0:c>
      <ns0:c r="G2138" s="21" t="inlineStr">
        <ns0:is>
          <ns0:t>ChatGPT-assisted evidence recharting, 2026-09-08</ns0:t>
        </ns0:is>
      </ns0:c>
    </ns0:row>
    <ns0:row r="2139" ht="69" customHeight="1">
      <ns0:c r="A2139" s="19" t="inlineStr">
        <ns0:is>
          <ns0:t>new_188</ns0:t>
        </ns0:is>
      </ns0:c>
      <ns0:c r="B2139" s="19" t="inlineStr">
        <ns0:is>
          <ns0:t>prospective_evaluation</ns0:t>
        </ns0:is>
      </ns0:c>
      <ns0:c r="C2139" s="19" t="inlineStr">
        <ns0:is>
          <ns0:t>Reported</ns0:t>
        </ns0:is>
      </ns0:c>
      <ns0:c r="D2139" s="19" t="inlineStr">
        <ns0:is>
          <ns0:t>Not reported in assessed sources</ns0:t>
        </ns0:is>
      </ns0:c>
      <ns0:c r="E2139" s="19" t="inlineStr">
        <ns0:is>
          <ns0:t>Retained source-specific coding after review of the supplied extraction notes; not a new full-text retrieval. Baseline ADI-R features were used to distinguish tDCS responders; SHAP linked lower verbal communication severity to greater RRB reduction and a model-derived threshold of 19.6 was reported. Exploratory analysis from a registered intervention protocol. The article explicitly calls for replication in larger independent cohorts; the exact base learner was not recoverable from the indexed text.</ns0:t>
        </ns0:is>
      </ns0:c>
      <ns0:c r="F2139" s="19" t="inlineStr">
        <ns0:is>
          <ns0:t>https://doi.org/10.1016/j.jpsychires.2026.03.043</ns0:t>
        </ns0:is>
      </ns0:c>
      <ns0:c r="G2139" s="19" t="inlineStr">
        <ns0:is>
          <ns0:t>ChatGPT-assisted evidence recharting, 2026-09-08</ns0:t>
        </ns0:is>
      </ns0:c>
    </ns0:row>
    <ns0:row r="2140" ht="69" customHeight="1">
      <ns0:c r="A2140" s="21" t="inlineStr">
        <ns0:is>
          <ns0:t>new_188</ns0:t>
        </ns0:is>
      </ns0:c>
      <ns0:c r="B2140" s="21" t="inlineStr">
        <ns0:is>
          <ns0:t>integrity_status</ns0:t>
        </ns0:is>
      </ns0:c>
      <ns0:c r="C2140" s="21" t="inlineStr"/>
      <ns0:c r="D2140" s="21" t="inlineStr">
        <ns0:is>
          <ns0:t>Not recorded</ns0:t>
        </ns0:is>
      </ns0:c>
      <ns0:c r="E2140" s="21" t="inlineStr">
        <ns0:is>
          <ns0:t>Retained source-specific coding after review of the supplied extraction notes; not a new full-text retrieval. Baseline ADI-R features were used to distinguish tDCS responders; SHAP linked lower verbal communication severity to greater RRB reduction and a model-derived threshold of 19.6 was reported. Exploratory analysis from a registered intervention protocol. The article explicitly calls for replication in larger independent cohorts; the exact base learner was not recoverable from the indexed text.</ns0:t>
        </ns0:is>
      </ns0:c>
      <ns0:c r="F2140" s="21" t="inlineStr">
        <ns0:is>
          <ns0:t>https://doi.org/10.1016/j.jpsychires.2026.03.043</ns0:t>
        </ns0:is>
      </ns0:c>
      <ns0:c r="G2140" s="21" t="inlineStr">
        <ns0:is>
          <ns0:t>ChatGPT-assisted evidence recharting, 2026-09-08</ns0:t>
        </ns0:is>
      </ns0:c>
    </ns0:row>
    <ns0:row r="2141" ht="81" customHeight="1">
      <ns0:c r="A2141" s="19" t="inlineStr">
        <ns0:is>
          <ns0:t>new_190</ns0:t>
        </ns0:is>
      </ns0:c>
      <ns0:c r="B2141" s="19" t="inlineStr">
        <ns0:is>
          <ns0:t>ai_type</ns0:t>
        </ns0:is>
      </ns0:c>
      <ns0:c r="C2141" s="19" t="inlineStr">
        <ns0:is>
          <ns0:t>Hybrid</ns0:t>
        </ns0:is>
      </ns0:c>
      <ns0:c r="D2141" s="19" t="inlineStr">
        <ns0:is>
          <ns0:t>Deep Learning</ns0:t>
        </ns0:is>
      </ns0:c>
      <ns0:c r="E2141" s="19" t="inlineStr">
        <ns0:is>
          <ns0:t>Retained source-specific coding after review of the supplied extraction notes; not a new full-text retrieval. Uses Acerta-ABIDE brain MRI with Wiener filtering, ROI extraction, fractional hiking optimization and Dense WideResNet; reported accuracy is about 91%. ABIDE is multisite, but no explicit site-held-out or independent external validation design was identified; no prospective clinical evaluation or formal XAI was reported.
All-neural/optimization pipeline in recovered evidence; hybrid title is not sufficient for mixed conventional-ML/DL classification.</ns0:t>
        </ns0:is>
      </ns0:c>
      <ns0:c r="F2141" s="19" t="inlineStr">
        <ns0:is>
          <ns0:t>https://doi.org/10.1016/j.bspc.2025.108976</ns0:t>
        </ns0:is>
      </ns0:c>
      <ns0:c r="G2141" s="19" t="inlineStr">
        <ns0:is>
          <ns0:t>ChatGPT-assisted evidence recharting, 2026-09-08</ns0:t>
        </ns0:is>
      </ns0:c>
    </ns0:row>
    <ns0:row r="2142" ht="81" customHeight="1">
      <ns0:c r="A2142" s="21" t="inlineStr">
        <ns0:is>
          <ns0:t>new_190</ns0:t>
        </ns0:is>
      </ns0:c>
      <ns0:c r="B2142" s="21" t="inlineStr">
        <ns0:is>
          <ns0:t>rq2_role</ns0:t>
        </ns0:is>
      </ns0:c>
      <ns0:c r="C2142" s="21" t="inlineStr">
        <ns0:is>
          <ns0:t>Experimental MRI classifier; no demonstrated clinical workflow integration</ns0:t>
        </ns0:is>
      </ns0:c>
      <ns0:c r="D2142" s="21" t="inlineStr">
        <ns0:is>
          <ns0:t>Automated measurement/classification</ns0:t>
        </ns0:is>
      </ns0:c>
      <ns0:c r="E2142" s="21" t="inlineStr">
        <ns0:is>
          <ns0:t>Retained source-specific coding after review of the supplied extraction notes; not a new full-text retrieval. Uses Acerta-ABIDE brain MRI with Wiener filtering, ROI extraction, fractional hiking optimization and Dense WideResNet; reported accuracy is about 91%. ABIDE is multisite, but no explicit site-held-out or independent external validation design was identified; no prospective clinical evaluation or formal XAI was reported.
All-neural/optimization pipeline in recovered evidence; hybrid title is not sufficient for mixed conventional-ML/DL classification.</ns0:t>
        </ns0:is>
      </ns0:c>
      <ns0:c r="F2142" s="21" t="inlineStr">
        <ns0:is>
          <ns0:t>https://doi.org/10.1016/j.bspc.2025.108976</ns0:t>
        </ns0:is>
      </ns0:c>
      <ns0:c r="G2142" s="21" t="inlineStr">
        <ns0:is>
          <ns0:t>ChatGPT-assisted evidence recharting, 2026-09-08</ns0:t>
        </ns0:is>
      </ns0:c>
    </ns0:row>
    <ns0:row r="2143" ht="81" customHeight="1">
      <ns0:c r="A2143" s="19" t="inlineStr">
        <ns0:is>
          <ns0:t>new_190</ns0:t>
        </ns0:is>
      </ns0:c>
      <ns0:c r="B2143" s="19" t="inlineStr">
        <ns0:is>
          <ns0:t>decision_timing</ns0:t>
        </ns0:is>
      </ns0:c>
      <ns0:c r="C2143" s="19" t="inlineStr"/>
      <ns0:c r="D2143" s="19" t="inlineStr">
        <ns0:is>
          <ns0:t>Not observed in assessed sources</ns0:t>
        </ns0:is>
      </ns0:c>
      <ns0:c r="E2143" s="19" t="inlineStr">
        <ns0:is>
          <ns0:t>Retained source-specific coding after review of the supplied extraction notes; not a new full-text retrieval. Uses Acerta-ABIDE brain MRI with Wiener filtering, ROI extraction, fractional hiking optimization and Dense WideResNet; reported accuracy is about 91%. ABIDE is multisite, but no explicit site-held-out or independent external validation design was identified; no prospective clinical evaluation or formal XAI was reported.
All-neural/optimization pipeline in recovered evidence; hybrid title is not sufficient for mixed conventional-ML/DL classification.</ns0:t>
        </ns0:is>
      </ns0:c>
      <ns0:c r="F2143" s="19" t="inlineStr">
        <ns0:is>
          <ns0:t>https://doi.org/10.1016/j.bspc.2025.108976</ns0:t>
        </ns0:is>
      </ns0:c>
      <ns0:c r="G2143" s="19" t="inlineStr">
        <ns0:is>
          <ns0:t>ChatGPT-assisted evidence recharting, 2026-09-08</ns0:t>
        </ns0:is>
      </ns0:c>
    </ns0:row>
    <ns0:row r="2144" ht="81" customHeight="1">
      <ns0:c r="A2144" s="21" t="inlineStr">
        <ns0:is>
          <ns0:t>new_190</ns0:t>
        </ns0:is>
      </ns0:c>
      <ns0:c r="B2144" s="21" t="inlineStr">
        <ns0:is>
          <ns0:t>integrity_status</ns0:t>
        </ns0:is>
      </ns0:c>
      <ns0:c r="C2144" s="21" t="inlineStr"/>
      <ns0:c r="D2144" s="21" t="inlineStr">
        <ns0:is>
          <ns0:t>Not recorded</ns0:t>
        </ns0:is>
      </ns0:c>
      <ns0:c r="E2144" s="21" t="inlineStr">
        <ns0:is>
          <ns0:t>Retained source-specific coding after review of the supplied extraction notes; not a new full-text retrieval. Uses Acerta-ABIDE brain MRI with Wiener filtering, ROI extraction, fractional hiking optimization and Dense WideResNet; reported accuracy is about 91%. ABIDE is multisite, but no explicit site-held-out or independent external validation design was identified; no prospective clinical evaluation or formal XAI was reported.
All-neural/optimization pipeline in recovered evidence; hybrid title is not sufficient for mixed conventional-ML/DL classification.</ns0:t>
        </ns0:is>
      </ns0:c>
      <ns0:c r="F2144" s="21" t="inlineStr">
        <ns0:is>
          <ns0:t>https://doi.org/10.1016/j.bspc.2025.108976</ns0:t>
        </ns0:is>
      </ns0:c>
      <ns0:c r="G2144" s="21" t="inlineStr">
        <ns0:is>
          <ns0:t>ChatGPT-assisted evidence recharting, 2026-09-08</ns0:t>
        </ns0:is>
      </ns0:c>
    </ns0:row>
    <ns0:row r="2145" ht="81" customHeight="1">
      <ns0:c r="A2145" s="19" t="inlineStr">
        <ns0:is>
          <ns0:t>new_199</ns0:t>
        </ns0:is>
      </ns0:c>
      <ns0:c r="B2145" s="19" t="inlineStr">
        <ns0:is>
          <ns0:t>data_source_primary</ns0:t>
        </ns0:is>
      </ns0:c>
      <ns0:c r="C2145" s="19" t="inlineStr">
        <ns0:is>
          <ns0:t>Facial images</ns0:t>
        </ns0:is>
      </ns0:c>
      <ns0:c r="D2145" s="19" t="inlineStr">
        <ns0:is>
          <ns0:t>Behavioral images/video/gaze/movement</ns0:t>
        </ns0:is>
      </ns0:c>
      <ns0:c r="E2145" s="19" t="inlineStr">
        <ns0:is>
          <ns0:t>Retained source-specific coding after review of the supplied extraction notes; not a new full-text retrieval. Twelve neurotypical children and four autistic children completed imitation and semispontaneous emotion tasks using DeepFace with individualized calibration; provisional accuracy and user experience were reported. Very small ASD subgroup and no active AAC users. The study is preliminary; multimodal inputs, broader populations and real-world AAC deployment remain future work.
Small emotion-task feasibility study, no active AAC users; not an integrated AAC clinical evaluation.</ns0:t>
        </ns0:is>
      </ns0:c>
      <ns0:c r="F2145" s="19" t="inlineStr">
        <ns0:is>
          <ns0:t>https://doi.org/10.1044/2026_ajslp-25-00469</ns0:t>
        </ns0:is>
      </ns0:c>
      <ns0:c r="G2145" s="19" t="inlineStr">
        <ns0:is>
          <ns0:t>ChatGPT-assisted evidence recharting, 2026-09-08</ns0:t>
        </ns0:is>
      </ns0:c>
    </ns0:row>
    <ns0:row r="2146" ht="81" customHeight="1">
      <ns0:c r="A2146" s="21" t="inlineStr">
        <ns0:is>
          <ns0:t>new_199</ns0:t>
        </ns0:is>
      </ns0:c>
      <ns0:c r="B2146" s="21" t="inlineStr">
        <ns0:is>
          <ns0:t>rq2_role</ns0:t>
        </ns0:is>
      </ns0:c>
      <ns0:c r="C2146" s="21" t="inlineStr">
        <ns0:is>
          <ns0:t>User-tested precursor for emotion-aware AAC; not yet integrated into an active AAC system</ns0:t>
        </ns0:is>
      </ns0:c>
      <ns0:c r="D2146" s="21" t="inlineStr">
        <ns0:is>
          <ns0:t>Assistive support</ns0:t>
        </ns0:is>
      </ns0:c>
      <ns0:c r="E2146" s="21" t="inlineStr">
        <ns0:is>
          <ns0:t>Retained source-specific coding after review of the supplied extraction notes; not a new full-text retrieval. Twelve neurotypical children and four autistic children completed imitation and semispontaneous emotion tasks using DeepFace with individualized calibration; provisional accuracy and user experience were reported. Very small ASD subgroup and no active AAC users. The study is preliminary; multimodal inputs, broader populations and real-world AAC deployment remain future work.
Small emotion-task feasibility study, no active AAC users; not an integrated AAC clinical evaluation.</ns0:t>
        </ns0:is>
      </ns0:c>
      <ns0:c r="F2146" s="21" t="inlineStr">
        <ns0:is>
          <ns0:t>https://doi.org/10.1044/2026_ajslp-25-00469</ns0:t>
        </ns0:is>
      </ns0:c>
      <ns0:c r="G2146" s="21" t="inlineStr">
        <ns0:is>
          <ns0:t>ChatGPT-assisted evidence recharting, 2026-09-08</ns0:t>
        </ns0:is>
      </ns0:c>
    </ns0:row>
    <ns0:row r="2147" ht="81" customHeight="1">
      <ns0:c r="A2147" s="19" t="inlineStr">
        <ns0:is>
          <ns0:t>new_199</ns0:t>
        </ns0:is>
      </ns0:c>
      <ns0:c r="B2147" s="19" t="inlineStr">
        <ns0:is>
          <ns0:t>decision_timing</ns0:t>
        </ns0:is>
      </ns0:c>
      <ns0:c r="C2147" s="19" t="inlineStr"/>
      <ns0:c r="D2147" s="19" t="inlineStr">
        <ns0:is>
          <ns0:t>Post-decision</ns0:t>
        </ns0:is>
      </ns0:c>
      <ns0:c r="E2147" s="19" t="inlineStr">
        <ns0:is>
          <ns0:t>Retained source-specific coding after review of the supplied extraction notes; not a new full-text retrieval. Twelve neurotypical children and four autistic children completed imitation and semispontaneous emotion tasks using DeepFace with individualized calibration; provisional accuracy and user experience were reported. Very small ASD subgroup and no active AAC users. The study is preliminary; multimodal inputs, broader populations and real-world AAC deployment remain future work.
Small emotion-task feasibility study, no active AAC users; not an integrated AAC clinical evaluation.</ns0:t>
        </ns0:is>
      </ns0:c>
      <ns0:c r="F2147" s="19" t="inlineStr">
        <ns0:is>
          <ns0:t>https://doi.org/10.1044/2026_ajslp-25-00469</ns0:t>
        </ns0:is>
      </ns0:c>
      <ns0:c r="G2147" s="19" t="inlineStr">
        <ns0:is>
          <ns0:t>ChatGPT-assisted evidence recharting, 2026-09-08</ns0:t>
        </ns0:is>
      </ns0:c>
    </ns0:row>
    <ns0:row r="2148" ht="81" customHeight="1">
      <ns0:c r="A2148" s="21" t="inlineStr">
        <ns0:is>
          <ns0:t>new_199</ns0:t>
        </ns0:is>
      </ns0:c>
      <ns0:c r="B2148" s="21" t="inlineStr">
        <ns0:is>
          <ns0:t>prospective_evaluation</ns0:t>
        </ns0:is>
      </ns0:c>
      <ns0:c r="C2148" s="21" t="inlineStr">
        <ns0:is>
          <ns0:t>Reported</ns0:t>
        </ns0:is>
      </ns0:c>
      <ns0:c r="D2148" s="21" t="inlineStr">
        <ns0:is>
          <ns0:t>Not ascertainable</ns0:t>
        </ns0:is>
      </ns0:c>
      <ns0:c r="E2148" s="21" t="inlineStr">
        <ns0:is>
          <ns0:t>Retained source-specific coding after review of the supplied extraction notes; not a new full-text retrieval. Twelve neurotypical children and four autistic children completed imitation and semispontaneous emotion tasks using DeepFace with individualized calibration; provisional accuracy and user experience were reported. Very small ASD subgroup and no active AAC users. The study is preliminary; multimodal inputs, broader populations and real-world AAC deployment remain future work.
Small emotion-task feasibility study, no active AAC users; not an integrated AAC clinical evaluation.</ns0:t>
        </ns0:is>
      </ns0:c>
      <ns0:c r="F2148" s="21" t="inlineStr">
        <ns0:is>
          <ns0:t>https://doi.org/10.1044/2026_ajslp-25-00469</ns0:t>
        </ns0:is>
      </ns0:c>
      <ns0:c r="G2148" s="21" t="inlineStr">
        <ns0:is>
          <ns0:t>ChatGPT-assisted evidence recharting, 2026-09-08</ns0:t>
        </ns0:is>
      </ns0:c>
    </ns0:row>
    <ns0:row r="2149" ht="81" customHeight="1">
      <ns0:c r="A2149" s="19" t="inlineStr">
        <ns0:is>
          <ns0:t>new_199</ns0:t>
        </ns0:is>
      </ns0:c>
      <ns0:c r="B2149" s="19" t="inlineStr">
        <ns0:is>
          <ns0:t>integrity_status</ns0:t>
        </ns0:is>
      </ns0:c>
      <ns0:c r="C2149" s="19" t="inlineStr"/>
      <ns0:c r="D2149" s="19" t="inlineStr">
        <ns0:is>
          <ns0:t>Not recorded</ns0:t>
        </ns0:is>
      </ns0:c>
      <ns0:c r="E2149" s="19" t="inlineStr">
        <ns0:is>
          <ns0:t>Retained source-specific coding after review of the supplied extraction notes; not a new full-text retrieval. Twelve neurotypical children and four autistic children completed imitation and semispontaneous emotion tasks using DeepFace with individualized calibration; provisional accuracy and user experience were reported. Very small ASD subgroup and no active AAC users. The study is preliminary; multimodal inputs, broader populations and real-world AAC deployment remain future work.
Small emotion-task feasibility study, no active AAC users; not an integrated AAC clinical evaluation.</ns0:t>
        </ns0:is>
      </ns0:c>
      <ns0:c r="F2149" s="19" t="inlineStr">
        <ns0:is>
          <ns0:t>https://doi.org/10.1044/2026_ajslp-25-00469</ns0:t>
        </ns0:is>
      </ns0:c>
      <ns0:c r="G2149" s="19" t="inlineStr">
        <ns0:is>
          <ns0:t>ChatGPT-assisted evidence recharting, 2026-09-08</ns0:t>
        </ns0:is>
      </ns0:c>
    </ns0:row>
    <ns0:row r="2150" ht="81" customHeight="1">
      <ns0:c r="A2150" s="21" t="inlineStr">
        <ns0:is>
          <ns0:t>new_203</ns0:t>
        </ns0:is>
      </ns0:c>
      <ns0:c r="B2150" s="21" t="inlineStr">
        <ns0:is>
          <ns0:t>data_source_primary</ns0:t>
        </ns0:is>
      </ns0:c>
      <ns0:c r="C2150" s="21" t="inlineStr">
        <ns0:is>
          <ns0:t>Multiple modalities (as coded)</ns0:t>
        </ns0:is>
      </ns0:c>
      <ns0:c r="D2150" s="21" t="inlineStr">
        <ns0:is>
          <ns0:t>Neuroimaging</ns0:t>
        </ns0:is>
      </ns0:c>
      <ns0:c r="E2150" s="21" t="inlineStr">
        <ns0:is>
          <ns0:t>Retained source-specific coding after review of the supplied extraction notes; not a new full-text retrieval. CT/MRI morphometry and a binary tree classifier identified tentorium angle as a potential predictor of postsurgical ASD symptom improvement in children with Chiari I malformation. Narrow comorbid pediatric population and retrospective/small-cohort design limit generalizability. The tree/cutoff is interpretable, but no external or prospective validation was identified.
CT and MRI morphometry</ns0:t>
        </ns0:is>
      </ns0:c>
      <ns0:c r="F2150" s="21" t="inlineStr">
        <ns0:is>
          <ns0:t>https://doi.org/10.1007/s00381-025-07119-2</ns0:t>
        </ns0:is>
      </ns0:c>
      <ns0:c r="G2150" s="21" t="inlineStr">
        <ns0:is>
          <ns0:t>ChatGPT-assisted evidence recharting, 2026-09-08</ns0:t>
        </ns0:is>
      </ns0:c>
    </ns0:row>
    <ns0:row r="2151" ht="81" customHeight="1">
      <ns0:c r="A2151" s="19" t="inlineStr">
        <ns0:is>
          <ns0:t>new_203</ns0:t>
        </ns0:is>
      </ns0:c>
      <ns0:c r="B2151" s="19" t="inlineStr">
        <ns0:is>
          <ns0:t>rq2_role</ns0:t>
        </ns0:is>
      </ns0:c>
      <ns0:c r="C2151" s="19" t="inlineStr">
        <ns0:is>
          <ns0:t>Retrospective surgical-outcome prediction; not used prospectively for clinical allocation</ns0:t>
        </ns0:is>
      </ns0:c>
      <ns0:c r="D2151" s="19" t="inlineStr">
        <ns0:is>
          <ns0:t>Risk/trajectory estimation</ns0:t>
        </ns0:is>
      </ns0:c>
      <ns0:c r="E2151" s="19" t="inlineStr">
        <ns0:is>
          <ns0:t>Retained source-specific coding after review of the supplied extraction notes; not a new full-text retrieval. CT/MRI morphometry and a binary tree classifier identified tentorium angle as a potential predictor of postsurgical ASD symptom improvement in children with Chiari I malformation. Narrow comorbid pediatric population and retrospective/small-cohort design limit generalizability. The tree/cutoff is interpretable, but no external or prospective validation was identified.
CT and MRI morphometry</ns0:t>
        </ns0:is>
      </ns0:c>
      <ns0:c r="F2151" s="19" t="inlineStr">
        <ns0:is>
          <ns0:t>https://doi.org/10.1007/s00381-025-07119-2</ns0:t>
        </ns0:is>
      </ns0:c>
      <ns0:c r="G2151" s="19" t="inlineStr">
        <ns0:is>
          <ns0:t>ChatGPT-assisted evidence recharting, 2026-09-08</ns0:t>
        </ns0:is>
      </ns0:c>
    </ns0:row>
    <ns0:row r="2152" ht="81" customHeight="1">
      <ns0:c r="A2152" s="21" t="inlineStr">
        <ns0:is>
          <ns0:t>new_203</ns0:t>
        </ns0:is>
      </ns0:c>
      <ns0:c r="B2152" s="21" t="inlineStr">
        <ns0:is>
          <ns0:t>decision_timing</ns0:t>
        </ns0:is>
      </ns0:c>
      <ns0:c r="C2152" s="21" t="inlineStr"/>
      <ns0:c r="D2152" s="21" t="inlineStr">
        <ns0:is>
          <ns0:t>Not observed in assessed sources</ns0:t>
        </ns0:is>
      </ns0:c>
      <ns0:c r="E2152" s="21" t="inlineStr">
        <ns0:is>
          <ns0:t>Retained source-specific coding after review of the supplied extraction notes; not a new full-text retrieval. CT/MRI morphometry and a binary tree classifier identified tentorium angle as a potential predictor of postsurgical ASD symptom improvement in children with Chiari I malformation. Narrow comorbid pediatric population and retrospective/small-cohort design limit generalizability. The tree/cutoff is interpretable, but no external or prospective validation was identified.
CT and MRI morphometry</ns0:t>
        </ns0:is>
      </ns0:c>
      <ns0:c r="F2152" s="21" t="inlineStr">
        <ns0:is>
          <ns0:t>https://doi.org/10.1007/s00381-025-07119-2</ns0:t>
        </ns0:is>
      </ns0:c>
      <ns0:c r="G2152" s="21" t="inlineStr">
        <ns0:is>
          <ns0:t>ChatGPT-assisted evidence recharting, 2026-09-08</ns0:t>
        </ns0:is>
      </ns0:c>
    </ns0:row>
    <ns0:row r="2153" ht="81" customHeight="1">
      <ns0:c r="A2153" s="19" t="inlineStr">
        <ns0:is>
          <ns0:t>new_203</ns0:t>
        </ns0:is>
      </ns0:c>
      <ns0:c r="B2153" s="19" t="inlineStr">
        <ns0:is>
          <ns0:t>integrity_status</ns0:t>
        </ns0:is>
      </ns0:c>
      <ns0:c r="C2153" s="19" t="inlineStr"/>
      <ns0:c r="D2153" s="19" t="inlineStr">
        <ns0:is>
          <ns0:t>Not recorded</ns0:t>
        </ns0:is>
      </ns0:c>
      <ns0:c r="E2153" s="19" t="inlineStr">
        <ns0:is>
          <ns0:t>Retained source-specific coding after review of the supplied extraction notes; not a new full-text retrieval. CT/MRI morphometry and a binary tree classifier identified tentorium angle as a potential predictor of postsurgical ASD symptom improvement in children with Chiari I malformation. Narrow comorbid pediatric population and retrospective/small-cohort design limit generalizability. The tree/cutoff is interpretable, but no external or prospective validation was identified.
CT and MRI morphometry</ns0:t>
        </ns0:is>
      </ns0:c>
      <ns0:c r="F2153" s="19" t="inlineStr">
        <ns0:is>
          <ns0:t>https://doi.org/10.1007/s00381-025-07119-2</ns0:t>
        </ns0:is>
      </ns0:c>
      <ns0:c r="G2153" s="19" t="inlineStr">
        <ns0:is>
          <ns0:t>ChatGPT-assisted evidence recharting, 2026-09-08</ns0:t>
        </ns0:is>
      </ns0:c>
    </ns0:row>
    <ns0:row r="2154" ht="81" customHeight="1">
      <ns0:c r="A2154" s="21" t="inlineStr">
        <ns0:is>
          <ns0:t>new_204</ns0:t>
        </ns0:is>
      </ns0:c>
      <ns0:c r="B2154" s="21" t="inlineStr">
        <ns0:is>
          <ns0:t>ai_type</ns0:t>
        </ns0:is>
      </ns0:c>
      <ns0:c r="C2154" s="21" t="inlineStr">
        <ns0:is>
          <ns0:t>Hybrid</ns0:t>
        </ns0:is>
      </ns0:c>
      <ns0:c r="D2154" s="21" t="inlineStr">
        <ns0:is>
          <ns0:t>Deep Learning</ns0:t>
        </ns0:is>
      </ns0:c>
      <ns0:c r="E2154" s="21" t="inlineStr">
        <ns0:is>
          <ns0:t>Retained source-specific coding after review of the supplied extraction notes; not a new full-text retrieval. Combines MResNet feature extraction, adaptive cascaded-attention LSTM with Bayesian learning and metaheuristic optimization on ABIDE brain images. Public multisite dataset use does not establish independent external or site-held-out validation. Attention is architectural and was not counted as formal XAI.
All-neural/optimization pipeline in recovered evidence; hybrid title is not sufficient for mixed conventional-ML/DL classification.</ns0:t>
        </ns0:is>
      </ns0:c>
      <ns0:c r="F2154" s="21" t="inlineStr">
        <ns0:is>
          <ns0:t>https://doi.org/10.1007/s13246-025-01681-4</ns0:t>
        </ns0:is>
      </ns0:c>
      <ns0:c r="G2154" s="21" t="inlineStr">
        <ns0:is>
          <ns0:t>ChatGPT-assisted evidence recharting, 2026-09-08</ns0:t>
        </ns0:is>
      </ns0:c>
    </ns0:row>
    <ns0:row r="2155" ht="81" customHeight="1">
      <ns0:c r="A2155" s="19" t="inlineStr">
        <ns0:is>
          <ns0:t>new_204</ns0:t>
        </ns0:is>
      </ns0:c>
      <ns0:c r="B2155" s="19" t="inlineStr">
        <ns0:is>
          <ns0:t>rq2_role</ns0:t>
        </ns0:is>
      </ns0:c>
      <ns0:c r="C2155" s="19" t="inlineStr">
        <ns0:is>
          <ns0:t>Experimental diagnostic classifier on public neuroimaging data</ns0:t>
        </ns0:is>
      </ns0:c>
      <ns0:c r="D2155" s="19" t="inlineStr">
        <ns0:is>
          <ns0:t>Automated measurement/classification</ns0:t>
        </ns0:is>
      </ns0:c>
      <ns0:c r="E2155" s="19" t="inlineStr">
        <ns0:is>
          <ns0:t>Retained source-specific coding after review of the supplied extraction notes; not a new full-text retrieval. Combines MResNet feature extraction, adaptive cascaded-attention LSTM with Bayesian learning and metaheuristic optimization on ABIDE brain images. Public multisite dataset use does not establish independent external or site-held-out validation. Attention is architectural and was not counted as formal XAI.
All-neural/optimization pipeline in recovered evidence; hybrid title is not sufficient for mixed conventional-ML/DL classification.</ns0:t>
        </ns0:is>
      </ns0:c>
      <ns0:c r="F2155" s="19" t="inlineStr">
        <ns0:is>
          <ns0:t>https://doi.org/10.1007/s13246-025-01681-4</ns0:t>
        </ns0:is>
      </ns0:c>
      <ns0:c r="G2155" s="19" t="inlineStr">
        <ns0:is>
          <ns0:t>ChatGPT-assisted evidence recharting, 2026-09-08</ns0:t>
        </ns0:is>
      </ns0:c>
    </ns0:row>
    <ns0:row r="2156" ht="81" customHeight="1">
      <ns0:c r="A2156" s="21" t="inlineStr">
        <ns0:is>
          <ns0:t>new_204</ns0:t>
        </ns0:is>
      </ns0:c>
      <ns0:c r="B2156" s="21" t="inlineStr">
        <ns0:is>
          <ns0:t>decision_timing</ns0:t>
        </ns0:is>
      </ns0:c>
      <ns0:c r="C2156" s="21" t="inlineStr"/>
      <ns0:c r="D2156" s="21" t="inlineStr">
        <ns0:is>
          <ns0:t>Not observed in assessed sources</ns0:t>
        </ns0:is>
      </ns0:c>
      <ns0:c r="E2156" s="21" t="inlineStr">
        <ns0:is>
          <ns0:t>Retained source-specific coding after review of the supplied extraction notes; not a new full-text retrieval. Combines MResNet feature extraction, adaptive cascaded-attention LSTM with Bayesian learning and metaheuristic optimization on ABIDE brain images. Public multisite dataset use does not establish independent external or site-held-out validation. Attention is architectural and was not counted as formal XAI.
All-neural/optimization pipeline in recovered evidence; hybrid title is not sufficient for mixed conventional-ML/DL classification.</ns0:t>
        </ns0:is>
      </ns0:c>
      <ns0:c r="F2156" s="21" t="inlineStr">
        <ns0:is>
          <ns0:t>https://doi.org/10.1007/s13246-025-01681-4</ns0:t>
        </ns0:is>
      </ns0:c>
      <ns0:c r="G2156" s="21" t="inlineStr">
        <ns0:is>
          <ns0:t>ChatGPT-assisted evidence recharting, 2026-09-08</ns0:t>
        </ns0:is>
      </ns0:c>
    </ns0:row>
    <ns0:row r="2157" ht="81" customHeight="1">
      <ns0:c r="A2157" s="19" t="inlineStr">
        <ns0:is>
          <ns0:t>new_204</ns0:t>
        </ns0:is>
      </ns0:c>
      <ns0:c r="B2157" s="19" t="inlineStr">
        <ns0:is>
          <ns0:t>integrity_status</ns0:t>
        </ns0:is>
      </ns0:c>
      <ns0:c r="C2157" s="19" t="inlineStr"/>
      <ns0:c r="D2157" s="19" t="inlineStr">
        <ns0:is>
          <ns0:t>Not recorded</ns0:t>
        </ns0:is>
      </ns0:c>
      <ns0:c r="E2157" s="19" t="inlineStr">
        <ns0:is>
          <ns0:t>Retained source-specific coding after review of the supplied extraction notes; not a new full-text retrieval. Combines MResNet feature extraction, adaptive cascaded-attention LSTM with Bayesian learning and metaheuristic optimization on ABIDE brain images. Public multisite dataset use does not establish independent external or site-held-out validation. Attention is architectural and was not counted as formal XAI.
All-neural/optimization pipeline in recovered evidence; hybrid title is not sufficient for mixed conventional-ML/DL classification.</ns0:t>
        </ns0:is>
      </ns0:c>
      <ns0:c r="F2157" s="19" t="inlineStr">
        <ns0:is>
          <ns0:t>https://doi.org/10.1007/s13246-025-01681-4</ns0:t>
        </ns0:is>
      </ns0:c>
      <ns0:c r="G2157" s="19" t="inlineStr">
        <ns0:is>
          <ns0:t>ChatGPT-assisted evidence recharting, 2026-09-08</ns0:t>
        </ns0:is>
      </ns0:c>
    </ns0:row>
    <ns0:row r="2158" ht="81" customHeight="1">
      <ns0:c r="A2158" s="21" t="inlineStr">
        <ns0:is>
          <ns0:t>new_208</ns0:t>
        </ns0:is>
      </ns0:c>
      <ns0:c r="B2158" s="21" t="inlineStr">
        <ns0:is>
          <ns0:t>rq2_role</ns0:t>
        </ns0:is>
      </ns0:c>
      <ns0:c r="C2158" s="21" t="inlineStr">
        <ns0:is>
          <ns0:t>Research classifier; potential patient assessment only after further validation</ns0:t>
        </ns0:is>
      </ns0:c>
      <ns0:c r="D2158" s="21" t="inlineStr">
        <ns0:is>
          <ns0:t>Automated measurement/classification</ns0:t>
        </ns0:is>
      </ns0:c>
      <ns0:c r="E2158" s="21" t="inlineStr">
        <ns0:is>
          <ns0:t>Retained source-specific coding after review of the supplied extraction notes; not a new full-text retrieval. ADBrainNet uses rs-fMRI from ABIDE and ADHD-200 and reports an independent external testing set; LIME was used to identify influential features. The abstract describes the external test together with five-fold cross-validation, so the exact independence of the external evaluation should be checked manually. No explicit site-held-out robustness analysis was identified.
External-test claim and five-fold CV are not sufficiently disambiguated in recovered evidence.</ns0:t>
        </ns0:is>
      </ns0:c>
      <ns0:c r="F2158" s="21" t="inlineStr">
        <ns0:is>
          <ns0:t>https://doi.org/10.1007/s11517-026-03530-2</ns0:t>
        </ns0:is>
      </ns0:c>
      <ns0:c r="G2158" s="21" t="inlineStr">
        <ns0:is>
          <ns0:t>ChatGPT-assisted evidence recharting, 2026-09-08</ns0:t>
        </ns0:is>
      </ns0:c>
    </ns0:row>
    <ns0:row r="2159" ht="81" customHeight="1">
      <ns0:c r="A2159" s="19" t="inlineStr">
        <ns0:is>
          <ns0:t>new_208</ns0:t>
        </ns0:is>
      </ns0:c>
      <ns0:c r="B2159" s="19" t="inlineStr">
        <ns0:is>
          <ns0:t>decision_timing</ns0:t>
        </ns0:is>
      </ns0:c>
      <ns0:c r="C2159" s="19" t="inlineStr"/>
      <ns0:c r="D2159" s="19" t="inlineStr">
        <ns0:is>
          <ns0:t>Not observed in assessed sources</ns0:t>
        </ns0:is>
      </ns0:c>
      <ns0:c r="E2159" s="19" t="inlineStr">
        <ns0:is>
          <ns0:t>Retained source-specific coding after review of the supplied extraction notes; not a new full-text retrieval. ADBrainNet uses rs-fMRI from ABIDE and ADHD-200 and reports an independent external testing set; LIME was used to identify influential features. The abstract describes the external test together with five-fold cross-validation, so the exact independence of the external evaluation should be checked manually. No explicit site-held-out robustness analysis was identified.
External-test claim and five-fold CV are not sufficiently disambiguated in recovered evidence.</ns0:t>
        </ns0:is>
      </ns0:c>
      <ns0:c r="F2159" s="19" t="inlineStr">
        <ns0:is>
          <ns0:t>https://doi.org/10.1007/s11517-026-03530-2</ns0:t>
        </ns0:is>
      </ns0:c>
      <ns0:c r="G2159" s="19" t="inlineStr">
        <ns0:is>
          <ns0:t>ChatGPT-assisted evidence recharting, 2026-09-08</ns0:t>
        </ns0:is>
      </ns0:c>
    </ns0:row>
    <ns0:row r="2160" ht="81" customHeight="1">
      <ns0:c r="A2160" s="21" t="inlineStr">
        <ns0:is>
          <ns0:t>new_208</ns0:t>
        </ns0:is>
      </ns0:c>
      <ns0:c r="B2160" s="21" t="inlineStr">
        <ns0:is>
          <ns0:t>external_validation</ns0:t>
        </ns0:is>
      </ns0:c>
      <ns0:c r="C2160" s="21" t="inlineStr">
        <ns0:is>
          <ns0:t>Reported</ns0:t>
        </ns0:is>
      </ns0:c>
      <ns0:c r="D2160" s="21" t="inlineStr">
        <ns0:is>
          <ns0:t>Not ascertainable</ns0:t>
        </ns0:is>
      </ns0:c>
      <ns0:c r="E2160" s="21" t="inlineStr">
        <ns0:is>
          <ns0:t>Retained source-specific coding after review of the supplied extraction notes; not a new full-text retrieval. ADBrainNet uses rs-fMRI from ABIDE and ADHD-200 and reports an independent external testing set; LIME was used to identify influential features. The abstract describes the external test together with five-fold cross-validation, so the exact independence of the external evaluation should be checked manually. No explicit site-held-out robustness analysis was identified.
External-test claim and five-fold CV are not sufficiently disambiguated in recovered evidence.</ns0:t>
        </ns0:is>
      </ns0:c>
      <ns0:c r="F2160" s="21" t="inlineStr">
        <ns0:is>
          <ns0:t>https://doi.org/10.1007/s11517-026-03530-2</ns0:t>
        </ns0:is>
      </ns0:c>
      <ns0:c r="G2160" s="21" t="inlineStr">
        <ns0:is>
          <ns0:t>ChatGPT-assisted evidence recharting, 2026-09-08</ns0:t>
        </ns0:is>
      </ns0:c>
    </ns0:row>
    <ns0:row r="2161" ht="81" customHeight="1">
      <ns0:c r="A2161" s="19" t="inlineStr">
        <ns0:is>
          <ns0:t>new_208</ns0:t>
        </ns0:is>
      </ns0:c>
      <ns0:c r="B2161" s="19" t="inlineStr">
        <ns0:is>
          <ns0:t>integrity_status</ns0:t>
        </ns0:is>
      </ns0:c>
      <ns0:c r="C2161" s="19" t="inlineStr"/>
      <ns0:c r="D2161" s="19" t="inlineStr">
        <ns0:is>
          <ns0:t>Not recorded</ns0:t>
        </ns0:is>
      </ns0:c>
      <ns0:c r="E2161" s="19" t="inlineStr">
        <ns0:is>
          <ns0:t>Retained source-specific coding after review of the supplied extraction notes; not a new full-text retrieval. ADBrainNet uses rs-fMRI from ABIDE and ADHD-200 and reports an independent external testing set; LIME was used to identify influential features. The abstract describes the external test together with five-fold cross-validation, so the exact independence of the external evaluation should be checked manually. No explicit site-held-out robustness analysis was identified.
External-test claim and five-fold CV are not sufficiently disambiguated in recovered evidence.</ns0:t>
        </ns0:is>
      </ns0:c>
      <ns0:c r="F2161" s="19" t="inlineStr">
        <ns0:is>
          <ns0:t>https://doi.org/10.1007/s11517-026-03530-2</ns0:t>
        </ns0:is>
      </ns0:c>
      <ns0:c r="G2161" s="19" t="inlineStr">
        <ns0:is>
          <ns0:t>ChatGPT-assisted evidence recharting, 2026-09-08</ns0:t>
        </ns0:is>
      </ns0:c>
    </ns0:row>
    <ns0:row r="2162" ht="57" customHeight="1">
      <ns0:c r="A2162" s="21" t="inlineStr">
        <ns0:is>
          <ns0:t>new_209</ns0:t>
        </ns0:is>
      </ns0:c>
      <ns0:c r="B2162" s="21" t="inlineStr">
        <ns0:is>
          <ns0:t>rq2_role</ns0:t>
        </ns0:is>
      </ns0:c>
      <ns0:c r="C2162" s="21" t="inlineStr">
        <ns0:is>
          <ns0:t>Experimental EEG diagnostic classifier</ns0:t>
        </ns0:is>
      </ns0:c>
      <ns0:c r="D2162" s="21" t="inlineStr">
        <ns0:is>
          <ns0:t>Automated measurement/classification</ns0:t>
        </ns0:is>
      </ns0:c>
      <ns0:c r="E2162" s="21" t="inlineStr">
        <ns0:is>
          <ns0:t>Retained source-specific coding after review of the supplied extraction notes; not a new full-text retrieval. A stacked Random Forest ensemble integrates spectral/connectivity/complexity features with microstate and HMM dynamics, reaching 96.3% accuracy under GroupKFold validation. Validation is internal GroupKFold; no independent external cohort, multisite/site-held-out robustness, prospective evaluation, or formal XAI was identified.</ns0:t>
        </ns0:is>
      </ns0:c>
      <ns0:c r="F2162" s="21" t="inlineStr">
        <ns0:is>
          <ns0:t>https://doi.org/10.1016/j.bbr.2026.116220</ns0:t>
        </ns0:is>
      </ns0:c>
      <ns0:c r="G2162" s="21" t="inlineStr">
        <ns0:is>
          <ns0:t>ChatGPT-assisted evidence recharting, 2026-09-08</ns0:t>
        </ns0:is>
      </ns0:c>
    </ns0:row>
    <ns0:row r="2163" ht="57" customHeight="1">
      <ns0:c r="A2163" s="19" t="inlineStr">
        <ns0:is>
          <ns0:t>new_209</ns0:t>
        </ns0:is>
      </ns0:c>
      <ns0:c r="B2163" s="19" t="inlineStr">
        <ns0:is>
          <ns0:t>decision_timing</ns0:t>
        </ns0:is>
      </ns0:c>
      <ns0:c r="C2163" s="19" t="inlineStr"/>
      <ns0:c r="D2163" s="19" t="inlineStr">
        <ns0:is>
          <ns0:t>Not observed in assessed sources</ns0:t>
        </ns0:is>
      </ns0:c>
      <ns0:c r="E2163" s="19" t="inlineStr">
        <ns0:is>
          <ns0:t>Retained source-specific coding after review of the supplied extraction notes; not a new full-text retrieval. A stacked Random Forest ensemble integrates spectral/connectivity/complexity features with microstate and HMM dynamics, reaching 96.3% accuracy under GroupKFold validation. Validation is internal GroupKFold; no independent external cohort, multisite/site-held-out robustness, prospective evaluation, or formal XAI was identified.</ns0:t>
        </ns0:is>
      </ns0:c>
      <ns0:c r="F2163" s="19" t="inlineStr">
        <ns0:is>
          <ns0:t>https://doi.org/10.1016/j.bbr.2026.116220</ns0:t>
        </ns0:is>
      </ns0:c>
      <ns0:c r="G2163" s="19" t="inlineStr">
        <ns0:is>
          <ns0:t>ChatGPT-assisted evidence recharting, 2026-09-08</ns0:t>
        </ns0:is>
      </ns0:c>
    </ns0:row>
    <ns0:row r="2164" ht="57" customHeight="1">
      <ns0:c r="A2164" s="21" t="inlineStr">
        <ns0:is>
          <ns0:t>new_209</ns0:t>
        </ns0:is>
      </ns0:c>
      <ns0:c r="B2164" s="21" t="inlineStr">
        <ns0:is>
          <ns0:t>integrity_status</ns0:t>
        </ns0:is>
      </ns0:c>
      <ns0:c r="C2164" s="21" t="inlineStr"/>
      <ns0:c r="D2164" s="21" t="inlineStr">
        <ns0:is>
          <ns0:t>Not recorded</ns0:t>
        </ns0:is>
      </ns0:c>
      <ns0:c r="E2164" s="21" t="inlineStr">
        <ns0:is>
          <ns0:t>Retained source-specific coding after review of the supplied extraction notes; not a new full-text retrieval. A stacked Random Forest ensemble integrates spectral/connectivity/complexity features with microstate and HMM dynamics, reaching 96.3% accuracy under GroupKFold validation. Validation is internal GroupKFold; no independent external cohort, multisite/site-held-out robustness, prospective evaluation, or formal XAI was identified.</ns0:t>
        </ns0:is>
      </ns0:c>
      <ns0:c r="F2164" s="21" t="inlineStr">
        <ns0:is>
          <ns0:t>https://doi.org/10.1016/j.bbr.2026.116220</ns0:t>
        </ns0:is>
      </ns0:c>
      <ns0:c r="G2164" s="21" t="inlineStr">
        <ns0:is>
          <ns0:t>ChatGPT-assisted evidence recharting, 2026-09-08</ns0:t>
        </ns0:is>
      </ns0:c>
    </ns0:row>
    <ns0:row r="2165" ht="57" customHeight="1">
      <ns0:c r="A2165" s="19" t="inlineStr">
        <ns0:is>
          <ns0:t>new_213</ns0:t>
        </ns0:is>
      </ns0:c>
      <ns0:c r="B2165" s="19" t="inlineStr">
        <ns0:is>
          <ns0:t>rq2_role</ns0:t>
        </ns0:is>
      </ns0:c>
      <ns0:c r="C2165" s="19" t="inlineStr">
        <ns0:is>
          <ns0:t>Experimental neurodiagnostic classifier</ns0:t>
        </ns0:is>
      </ns0:c>
      <ns0:c r="D2165" s="19" t="inlineStr">
        <ns0:is>
          <ns0:t>Automated measurement/classification</ns0:t>
        </ns0:is>
      </ns0:c>
      <ns0:c r="E2165" s="19" t="inlineStr">
        <ns0:is>
          <ns0:t>Retained source-specific coding after review of the supplied extraction notes; not a new full-text retrieval. TF-HDC classifies resting-state EEG from 120 age-matched male participants (60 ASD, 60 TD) and reports about 90.9% accuracy while benchmarking conventional ML/DL models. Small single-cohort evaluation with no independent external dataset, site-held-out test, prospective clinical workflow, or formal XAI identified.</ns0:t>
        </ns0:is>
      </ns0:c>
      <ns0:c r="F2165" s="19" t="inlineStr">
        <ns0:is>
          <ns0:t>https://doi.org/10.1016/j.eswa.2025.130671</ns0:t>
        </ns0:is>
      </ns0:c>
      <ns0:c r="G2165" s="19" t="inlineStr">
        <ns0:is>
          <ns0:t>ChatGPT-assisted evidence recharting, 2026-09-08</ns0:t>
        </ns0:is>
      </ns0:c>
    </ns0:row>
    <ns0:row r="2166" ht="57" customHeight="1">
      <ns0:c r="A2166" s="21" t="inlineStr">
        <ns0:is>
          <ns0:t>new_213</ns0:t>
        </ns0:is>
      </ns0:c>
      <ns0:c r="B2166" s="21" t="inlineStr">
        <ns0:is>
          <ns0:t>decision_timing</ns0:t>
        </ns0:is>
      </ns0:c>
      <ns0:c r="C2166" s="21" t="inlineStr"/>
      <ns0:c r="D2166" s="21" t="inlineStr">
        <ns0:is>
          <ns0:t>Not observed in assessed sources</ns0:t>
        </ns0:is>
      </ns0:c>
      <ns0:c r="E2166" s="21" t="inlineStr">
        <ns0:is>
          <ns0:t>Retained source-specific coding after review of the supplied extraction notes; not a new full-text retrieval. TF-HDC classifies resting-state EEG from 120 age-matched male participants (60 ASD, 60 TD) and reports about 90.9% accuracy while benchmarking conventional ML/DL models. Small single-cohort evaluation with no independent external dataset, site-held-out test, prospective clinical workflow, or formal XAI identified.</ns0:t>
        </ns0:is>
      </ns0:c>
      <ns0:c r="F2166" s="21" t="inlineStr">
        <ns0:is>
          <ns0:t>https://doi.org/10.1016/j.eswa.2025.130671</ns0:t>
        </ns0:is>
      </ns0:c>
      <ns0:c r="G2166" s="21" t="inlineStr">
        <ns0:is>
          <ns0:t>ChatGPT-assisted evidence recharting, 2026-09-08</ns0:t>
        </ns0:is>
      </ns0:c>
    </ns0:row>
    <ns0:row r="2167" ht="57" customHeight="1">
      <ns0:c r="A2167" s="19" t="inlineStr">
        <ns0:is>
          <ns0:t>new_213</ns0:t>
        </ns0:is>
      </ns0:c>
      <ns0:c r="B2167" s="19" t="inlineStr">
        <ns0:is>
          <ns0:t>integrity_status</ns0:t>
        </ns0:is>
      </ns0:c>
      <ns0:c r="C2167" s="19" t="inlineStr"/>
      <ns0:c r="D2167" s="19" t="inlineStr">
        <ns0:is>
          <ns0:t>Not recorded</ns0:t>
        </ns0:is>
      </ns0:c>
      <ns0:c r="E2167" s="19" t="inlineStr">
        <ns0:is>
          <ns0:t>Retained source-specific coding after review of the supplied extraction notes; not a new full-text retrieval. TF-HDC classifies resting-state EEG from 120 age-matched male participants (60 ASD, 60 TD) and reports about 90.9% accuracy while benchmarking conventional ML/DL models. Small single-cohort evaluation with no independent external dataset, site-held-out test, prospective clinical workflow, or formal XAI identified.</ns0:t>
        </ns0:is>
      </ns0:c>
      <ns0:c r="F2167" s="19" t="inlineStr">
        <ns0:is>
          <ns0:t>https://doi.org/10.1016/j.eswa.2025.130671</ns0:t>
        </ns0:is>
      </ns0:c>
      <ns0:c r="G2167" s="19" t="inlineStr">
        <ns0:is>
          <ns0:t>ChatGPT-assisted evidence recharting, 2026-09-08</ns0:t>
        </ns0:is>
      </ns0:c>
    </ns0:row>
    <ns0:row r="2168" ht="69" customHeight="1">
      <ns0:c r="A2168" s="21" t="inlineStr">
        <ns0:is>
          <ns0:t>new_215</ns0:t>
        </ns0:is>
      </ns0:c>
      <ns0:c r="B2168" s="21" t="inlineStr">
        <ns0:is>
          <ns0:t>data_source_primary</ns0:t>
        </ns0:is>
      </ns0:c>
      <ns0:c r="C2168" s="21" t="inlineStr">
        <ns0:is>
          <ns0:t>Multiple modalities (as coded)</ns0:t>
        </ns0:is>
      </ns0:c>
      <ns0:c r="D2168" s="21" t="inlineStr">
        <ns0:is>
          <ns0:t>Multiple source categories</ns0:t>
        </ns0:is>
      </ns0:c>
      <ns0:c r="E2168" s="21" t="inlineStr">
        <ns0:is>
          <ns0:t>Retained source-specific coding after review of the supplied extraction notes; not a new full-text retrieval. Transcriptomic profiling (150 ASD/70 TD) and clinical data (200 ASD/110 TD) were analyzed with clustering, integrative modeling and clinical ML; a 17-transcript panel showed discriminative performance. Screening performance is explicitly within-cohort and no external/site-held-out validation was reported in the accessible text. Molecular clusters only partially corresponded to clinical phenotype.</ns0:t>
        </ns0:is>
      </ns0:c>
      <ns0:c r="F2168" s="21" t="inlineStr">
        <ns0:is>
          <ns0:t>https://doi.org/10.1111/pcn.70065</ns0:t>
        </ns0:is>
      </ns0:c>
      <ns0:c r="G2168" s="21" t="inlineStr">
        <ns0:is>
          <ns0:t>ChatGPT-assisted evidence recharting, 2026-09-08</ns0:t>
        </ns0:is>
      </ns0:c>
    </ns0:row>
    <ns0:row r="2169" ht="69" customHeight="1">
      <ns0:c r="A2169" s="19" t="inlineStr">
        <ns0:is>
          <ns0:t>new_215</ns0:t>
        </ns0:is>
      </ns0:c>
      <ns0:c r="B2169" s="19" t="inlineStr">
        <ns0:is>
          <ns0:t>rq2_role</ns0:t>
        </ns0:is>
      </ns0:c>
      <ns0:c r="C2169" s="19" t="inlineStr">
        <ns0:is>
          <ns0:t>Within-cohort screening and stratification research; not deployed in a clinical workflow</ns0:t>
        </ns0:is>
      </ns0:c>
      <ns0:c r="D2169" s="19" t="inlineStr">
        <ns0:is>
          <ns0:t>Triage/questionnaire assessment</ns0:t>
        </ns0:is>
      </ns0:c>
      <ns0:c r="E2169" s="19" t="inlineStr">
        <ns0:is>
          <ns0:t>Retained source-specific coding after review of the supplied extraction notes; not a new full-text retrieval. Transcriptomic profiling (150 ASD/70 TD) and clinical data (200 ASD/110 TD) were analyzed with clustering, integrative modeling and clinical ML; a 17-transcript panel showed discriminative performance. Screening performance is explicitly within-cohort and no external/site-held-out validation was reported in the accessible text. Molecular clusters only partially corresponded to clinical phenotype.</ns0:t>
        </ns0:is>
      </ns0:c>
      <ns0:c r="F2169" s="19" t="inlineStr">
        <ns0:is>
          <ns0:t>https://doi.org/10.1111/pcn.70065</ns0:t>
        </ns0:is>
      </ns0:c>
      <ns0:c r="G2169" s="19" t="inlineStr">
        <ns0:is>
          <ns0:t>ChatGPT-assisted evidence recharting, 2026-09-08</ns0:t>
        </ns0:is>
      </ns0:c>
    </ns0:row>
    <ns0:row r="2170" ht="69" customHeight="1">
      <ns0:c r="A2170" s="21" t="inlineStr">
        <ns0:is>
          <ns0:t>new_215</ns0:t>
        </ns0:is>
      </ns0:c>
      <ns0:c r="B2170" s="21" t="inlineStr">
        <ns0:is>
          <ns0:t>decision_timing</ns0:t>
        </ns0:is>
      </ns0:c>
      <ns0:c r="C2170" s="21" t="inlineStr"/>
      <ns0:c r="D2170" s="21" t="inlineStr">
        <ns0:is>
          <ns0:t>Not observed in assessed sources</ns0:t>
        </ns0:is>
      </ns0:c>
      <ns0:c r="E2170" s="21" t="inlineStr">
        <ns0:is>
          <ns0:t>Retained source-specific coding after review of the supplied extraction notes; not a new full-text retrieval. Transcriptomic profiling (150 ASD/70 TD) and clinical data (200 ASD/110 TD) were analyzed with clustering, integrative modeling and clinical ML; a 17-transcript panel showed discriminative performance. Screening performance is explicitly within-cohort and no external/site-held-out validation was reported in the accessible text. Molecular clusters only partially corresponded to clinical phenotype.</ns0:t>
        </ns0:is>
      </ns0:c>
      <ns0:c r="F2170" s="21" t="inlineStr">
        <ns0:is>
          <ns0:t>https://doi.org/10.1111/pcn.70065</ns0:t>
        </ns0:is>
      </ns0:c>
      <ns0:c r="G2170" s="21" t="inlineStr">
        <ns0:is>
          <ns0:t>ChatGPT-assisted evidence recharting, 2026-09-08</ns0:t>
        </ns0:is>
      </ns0:c>
    </ns0:row>
    <ns0:row r="2171" ht="69" customHeight="1">
      <ns0:c r="A2171" s="19" t="inlineStr">
        <ns0:is>
          <ns0:t>new_215</ns0:t>
        </ns0:is>
      </ns0:c>
      <ns0:c r="B2171" s="19" t="inlineStr">
        <ns0:is>
          <ns0:t>integrity_status</ns0:t>
        </ns0:is>
      </ns0:c>
      <ns0:c r="C2171" s="19" t="inlineStr"/>
      <ns0:c r="D2171" s="19" t="inlineStr">
        <ns0:is>
          <ns0:t>Not recorded</ns0:t>
        </ns0:is>
      </ns0:c>
      <ns0:c r="E2171" s="19" t="inlineStr">
        <ns0:is>
          <ns0:t>Retained source-specific coding after review of the supplied extraction notes; not a new full-text retrieval. Transcriptomic profiling (150 ASD/70 TD) and clinical data (200 ASD/110 TD) were analyzed with clustering, integrative modeling and clinical ML; a 17-transcript panel showed discriminative performance. Screening performance is explicitly within-cohort and no external/site-held-out validation was reported in the accessible text. Molecular clusters only partially corresponded to clinical phenotype.</ns0:t>
        </ns0:is>
      </ns0:c>
      <ns0:c r="F2171" s="19" t="inlineStr">
        <ns0:is>
          <ns0:t>https://doi.org/10.1111/pcn.70065</ns0:t>
        </ns0:is>
      </ns0:c>
      <ns0:c r="G2171" s="19" t="inlineStr">
        <ns0:is>
          <ns0:t>ChatGPT-assisted evidence recharting, 2026-09-08</ns0:t>
        </ns0:is>
      </ns0:c>
    </ns0:row>
    <ns0:row r="2172" ht="93" customHeight="1">
      <ns0:c r="A2172" s="21" t="inlineStr">
        <ns0:is>
          <ns0:t>new_218</ns0:t>
        </ns0:is>
      </ns0:c>
      <ns0:c r="B2172" s="21" t="inlineStr">
        <ns0:is>
          <ns0:t>data_source_primary</ns0:t>
        </ns0:is>
      </ns0:c>
      <ns0:c r="C2172" s="21" t="inlineStr">
        <ns0:is>
          <ns0:t>Multiple datasets (fusion unverified)</ns0:t>
        </ns0:is>
      </ns0:c>
      <ns0:c r="D2172" s="21" t="inlineStr">
        <ns0:is>
          <ns0:t>Not specified</ns0:t>
        </ns0:is>
      </ns0:c>
      <ns0:c r="E2172" s="21" t="inlineStr">
        <ns0:is>
          <ns0:t>Retained source-specific coding after review of the supplied extraction notes; not a new full-text retrieval. The hybrid pipeline was tested on AID, structured ASD screening data and ABIDE and reports very high performance (accuracy 99.95%). The accessible report does not establish a fixed development-versus-independent-external design or cross-site evaluation. Heterogeneous public datasets are evaluated, but explicit multisource fusion is not demonstrated.
Multiple datasets are described but the recovered evidence does not establish a single primary source or participant-linked multisource fusion.</ns0:t>
        </ns0:is>
      </ns0:c>
      <ns0:c r="F2172" s="21" t="inlineStr">
        <ns0:is>
          <ns0:t>https://doi.org/10.1002/dneu.70028</ns0:t>
        </ns0:is>
      </ns0:c>
      <ns0:c r="G2172" s="21" t="inlineStr">
        <ns0:is>
          <ns0:t>ChatGPT-assisted evidence recharting, 2026-09-08</ns0:t>
        </ns0:is>
      </ns0:c>
    </ns0:row>
    <ns0:row r="2173" ht="93" customHeight="1">
      <ns0:c r="A2173" s="19" t="inlineStr">
        <ns0:is>
          <ns0:t>new_218</ns0:t>
        </ns0:is>
      </ns0:c>
      <ns0:c r="B2173" s="19" t="inlineStr">
        <ns0:is>
          <ns0:t>rq2_role</ns0:t>
        </ns0:is>
      </ns0:c>
      <ns0:c r="C2173" s="19" t="inlineStr">
        <ns0:is>
          <ns0:t>Proposed computational screening/identification framework; no real workflow deployment</ns0:t>
        </ns0:is>
      </ns0:c>
      <ns0:c r="D2173" s="19" t="inlineStr">
        <ns0:is>
          <ns0:t>Triage/questionnaire assessment</ns0:t>
        </ns0:is>
      </ns0:c>
      <ns0:c r="E2173" s="19" t="inlineStr">
        <ns0:is>
          <ns0:t>Retained source-specific coding after review of the supplied extraction notes; not a new full-text retrieval. The hybrid pipeline was tested on AID, structured ASD screening data and ABIDE and reports very high performance (accuracy 99.95%). The accessible report does not establish a fixed development-versus-independent-external design or cross-site evaluation. Heterogeneous public datasets are evaluated, but explicit multisource fusion is not demonstrated.
Multiple datasets are described but the recovered evidence does not establish a single primary source or participant-linked multisource fusion.</ns0:t>
        </ns0:is>
      </ns0:c>
      <ns0:c r="F2173" s="19" t="inlineStr">
        <ns0:is>
          <ns0:t>https://doi.org/10.1002/dneu.70028</ns0:t>
        </ns0:is>
      </ns0:c>
      <ns0:c r="G2173" s="19" t="inlineStr">
        <ns0:is>
          <ns0:t>ChatGPT-assisted evidence recharting, 2026-09-08</ns0:t>
        </ns0:is>
      </ns0:c>
    </ns0:row>
    <ns0:row r="2174" ht="93" customHeight="1">
      <ns0:c r="A2174" s="21" t="inlineStr">
        <ns0:is>
          <ns0:t>new_218</ns0:t>
        </ns0:is>
      </ns0:c>
      <ns0:c r="B2174" s="21" t="inlineStr">
        <ns0:is>
          <ns0:t>decision_timing</ns0:t>
        </ns0:is>
      </ns0:c>
      <ns0:c r="C2174" s="21" t="inlineStr"/>
      <ns0:c r="D2174" s="21" t="inlineStr">
        <ns0:is>
          <ns0:t>Pre-decision</ns0:t>
        </ns0:is>
      </ns0:c>
      <ns0:c r="E2174" s="21" t="inlineStr">
        <ns0:is>
          <ns0:t>Retained source-specific coding after review of the supplied extraction notes; not a new full-text retrieval. The hybrid pipeline was tested on AID, structured ASD screening data and ABIDE and reports very high performance (accuracy 99.95%). The accessible report does not establish a fixed development-versus-independent-external design or cross-site evaluation. Heterogeneous public datasets are evaluated, but explicit multisource fusion is not demonstrated.
Multiple datasets are described but the recovered evidence does not establish a single primary source or participant-linked multisource fusion.</ns0:t>
        </ns0:is>
      </ns0:c>
      <ns0:c r="F2174" s="21" t="inlineStr">
        <ns0:is>
          <ns0:t>https://doi.org/10.1002/dneu.70028</ns0:t>
        </ns0:is>
      </ns0:c>
      <ns0:c r="G2174" s="21" t="inlineStr">
        <ns0:is>
          <ns0:t>ChatGPT-assisted evidence recharting, 2026-09-08</ns0:t>
        </ns0:is>
      </ns0:c>
    </ns0:row>
    <ns0:row r="2175" ht="93" customHeight="1">
      <ns0:c r="A2175" s="19" t="inlineStr">
        <ns0:is>
          <ns0:t>new_218</ns0:t>
        </ns0:is>
      </ns0:c>
      <ns0:c r="B2175" s="19" t="inlineStr">
        <ns0:is>
          <ns0:t>integrity_status</ns0:t>
        </ns0:is>
      </ns0:c>
      <ns0:c r="C2175" s="19" t="inlineStr"/>
      <ns0:c r="D2175" s="19" t="inlineStr">
        <ns0:is>
          <ns0:t>Not recorded</ns0:t>
        </ns0:is>
      </ns0:c>
      <ns0:c r="E2175" s="19" t="inlineStr">
        <ns0:is>
          <ns0:t>Retained source-specific coding after review of the supplied extraction notes; not a new full-text retrieval. The hybrid pipeline was tested on AID, structured ASD screening data and ABIDE and reports very high performance (accuracy 99.95%). The accessible report does not establish a fixed development-versus-independent-external design or cross-site evaluation. Heterogeneous public datasets are evaluated, but explicit multisource fusion is not demonstrated.
Multiple datasets are described but the recovered evidence does not establish a single primary source or participant-linked multisource fusion.</ns0:t>
        </ns0:is>
      </ns0:c>
      <ns0:c r="F2175" s="19" t="inlineStr">
        <ns0:is>
          <ns0:t>https://doi.org/10.1002/dneu.70028</ns0:t>
        </ns0:is>
      </ns0:c>
      <ns0:c r="G2175" s="19" t="inlineStr">
        <ns0:is>
          <ns0:t>ChatGPT-assisted evidence recharting, 2026-09-08</ns0:t>
        </ns0:is>
      </ns0:c>
    </ns0:row>
    <ns0:row r="2176" ht="69" customHeight="1">
      <ns0:c r="A2176" s="21" t="inlineStr">
        <ns0:is>
          <ns0:t>new_222</ns0:t>
        </ns0:is>
      </ns0:c>
      <ns0:c r="B2176" s="21" t="inlineStr">
        <ns0:is>
          <ns0:t>rq2_role</ns0:t>
        </ns0:is>
      </ns0:c>
      <ns0:c r="C2176" s="21" t="inlineStr">
        <ns0:is>
          <ns0:t>Experimental neuroimaging diagnostic classifier</ns0:t>
        </ns0:is>
      </ns0:c>
      <ns0:c r="D2176" s="21" t="inlineStr">
        <ns0:is>
          <ns0:t>Automated measurement/classification</ns0:t>
        </ns0:is>
      </ns0:c>
      <ns0:c r="E2176" s="21" t="inlineStr">
        <ns0:is>
          <ns0:t>Retained source-specific coding after review of the supplied extraction notes; not a new full-text retrieval. ANFIS-EffNet combines fuzzy inference and EfficientNet with optimization-based pivotal-region extraction; reported accuracy is about 93.2% on ABIDE-related imaging. ABIDE-I/II use was treated as multisite evidence only; no explicit train-on-one/test-on-another or site-held-out robustness design was identified. Pivotal-region extraction was not counted as formal XAI.</ns0:t>
        </ns0:is>
      </ns0:c>
      <ns0:c r="F2176" s="21" t="inlineStr">
        <ns0:is>
          <ns0:t>https://doi.org/10.1016/j.pscychresns.2025.112109</ns0:t>
        </ns0:is>
      </ns0:c>
      <ns0:c r="G2176" s="21" t="inlineStr">
        <ns0:is>
          <ns0:t>ChatGPT-assisted evidence recharting, 2026-09-08</ns0:t>
        </ns0:is>
      </ns0:c>
    </ns0:row>
    <ns0:row r="2177" ht="69" customHeight="1">
      <ns0:c r="A2177" s="19" t="inlineStr">
        <ns0:is>
          <ns0:t>new_222</ns0:t>
        </ns0:is>
      </ns0:c>
      <ns0:c r="B2177" s="19" t="inlineStr">
        <ns0:is>
          <ns0:t>decision_timing</ns0:t>
        </ns0:is>
      </ns0:c>
      <ns0:c r="C2177" s="19" t="inlineStr"/>
      <ns0:c r="D2177" s="19" t="inlineStr">
        <ns0:is>
          <ns0:t>Not observed in assessed sources</ns0:t>
        </ns0:is>
      </ns0:c>
      <ns0:c r="E2177" s="19" t="inlineStr">
        <ns0:is>
          <ns0:t>Retained source-specific coding after review of the supplied extraction notes; not a new full-text retrieval. ANFIS-EffNet combines fuzzy inference and EfficientNet with optimization-based pivotal-region extraction; reported accuracy is about 93.2% on ABIDE-related imaging. ABIDE-I/II use was treated as multisite evidence only; no explicit train-on-one/test-on-another or site-held-out robustness design was identified. Pivotal-region extraction was not counted as formal XAI.</ns0:t>
        </ns0:is>
      </ns0:c>
      <ns0:c r="F2177" s="19" t="inlineStr">
        <ns0:is>
          <ns0:t>https://doi.org/10.1016/j.pscychresns.2025.112109</ns0:t>
        </ns0:is>
      </ns0:c>
      <ns0:c r="G2177" s="19" t="inlineStr">
        <ns0:is>
          <ns0:t>ChatGPT-assisted evidence recharting, 2026-09-08</ns0:t>
        </ns0:is>
      </ns0:c>
    </ns0:row>
    <ns0:row r="2178" ht="69" customHeight="1">
      <ns0:c r="A2178" s="21" t="inlineStr">
        <ns0:is>
          <ns0:t>new_222</ns0:t>
        </ns0:is>
      </ns0:c>
      <ns0:c r="B2178" s="21" t="inlineStr">
        <ns0:is>
          <ns0:t>integrity_status</ns0:t>
        </ns0:is>
      </ns0:c>
      <ns0:c r="C2178" s="21" t="inlineStr"/>
      <ns0:c r="D2178" s="21" t="inlineStr">
        <ns0:is>
          <ns0:t>Not recorded</ns0:t>
        </ns0:is>
      </ns0:c>
      <ns0:c r="E2178" s="21" t="inlineStr">
        <ns0:is>
          <ns0:t>Retained source-specific coding after review of the supplied extraction notes; not a new full-text retrieval. ANFIS-EffNet combines fuzzy inference and EfficientNet with optimization-based pivotal-region extraction; reported accuracy is about 93.2% on ABIDE-related imaging. ABIDE-I/II use was treated as multisite evidence only; no explicit train-on-one/test-on-another or site-held-out robustness design was identified. Pivotal-region extraction was not counted as formal XAI.</ns0:t>
        </ns0:is>
      </ns0:c>
      <ns0:c r="F2178" s="21" t="inlineStr">
        <ns0:is>
          <ns0:t>https://doi.org/10.1016/j.pscychresns.2025.112109</ns0:t>
        </ns0:is>
      </ns0:c>
      <ns0:c r="G2178" s="21" t="inlineStr">
        <ns0:is>
          <ns0:t>ChatGPT-assisted evidence recharting, 2026-09-08</ns0:t>
        </ns0:is>
      </ns0:c>
    </ns0:row>
    <ns0:row r="2179" ht="69" customHeight="1">
      <ns0:c r="A2179" s="19" t="inlineStr">
        <ns0:is>
          <ns0:t>new_223</ns0:t>
        </ns0:is>
      </ns0:c>
      <ns0:c r="B2179" s="19" t="inlineStr">
        <ns0:is>
          <ns0:t>rq2_role</ns0:t>
        </ns0:is>
      </ns0:c>
      <ns0:c r="C2179" s="19" t="inlineStr">
        <ns0:is>
          <ns0:t>Experimental EEG diagnostic classifier</ns0:t>
        </ns0:is>
      </ns0:c>
      <ns0:c r="D2179" s="19" t="inlineStr">
        <ns0:is>
          <ns0:t>Automated measurement/classification</ns0:t>
        </ns0:is>
      </ns0:c>
      <ns0:c r="E2179" s="19" t="inlineStr">
        <ns0:is>
          <ns0:t>Retained source-specific coding after review of the supplied extraction notes; not a new full-text retrieval. Five fractal-dimension measures from 16 EEG channels feed several classifiers; BO-ANN reached 97.38% accuracy and XGBoost feature importance identified influential channels/features. Small sample (29 ASD, 30 TD) and no independent external/site-held-out validation. Feature importance supports XAI coding but does not establish clinical interpretability or utility.</ns0:t>
        </ns0:is>
      </ns0:c>
      <ns0:c r="F2179" s="19" t="inlineStr">
        <ns0:is>
          <ns0:t>https://doi.org/10.1002/ima.70326</ns0:t>
        </ns0:is>
      </ns0:c>
      <ns0:c r="G2179" s="19" t="inlineStr">
        <ns0:is>
          <ns0:t>ChatGPT-assisted evidence recharting, 2026-09-08</ns0:t>
        </ns0:is>
      </ns0:c>
    </ns0:row>
    <ns0:row r="2180" ht="69" customHeight="1">
      <ns0:c r="A2180" s="21" t="inlineStr">
        <ns0:is>
          <ns0:t>new_223</ns0:t>
        </ns0:is>
      </ns0:c>
      <ns0:c r="B2180" s="21" t="inlineStr">
        <ns0:is>
          <ns0:t>decision_timing</ns0:t>
        </ns0:is>
      </ns0:c>
      <ns0:c r="C2180" s="21" t="inlineStr"/>
      <ns0:c r="D2180" s="21" t="inlineStr">
        <ns0:is>
          <ns0:t>Not observed in assessed sources</ns0:t>
        </ns0:is>
      </ns0:c>
      <ns0:c r="E2180" s="21" t="inlineStr">
        <ns0:is>
          <ns0:t>Retained source-specific coding after review of the supplied extraction notes; not a new full-text retrieval. Five fractal-dimension measures from 16 EEG channels feed several classifiers; BO-ANN reached 97.38% accuracy and XGBoost feature importance identified influential channels/features. Small sample (29 ASD, 30 TD) and no independent external/site-held-out validation. Feature importance supports XAI coding but does not establish clinical interpretability or utility.</ns0:t>
        </ns0:is>
      </ns0:c>
      <ns0:c r="F2180" s="21" t="inlineStr">
        <ns0:is>
          <ns0:t>https://doi.org/10.1002/ima.70326</ns0:t>
        </ns0:is>
      </ns0:c>
      <ns0:c r="G2180" s="21" t="inlineStr">
        <ns0:is>
          <ns0:t>ChatGPT-assisted evidence recharting, 2026-09-08</ns0:t>
        </ns0:is>
      </ns0:c>
    </ns0:row>
    <ns0:row r="2181" ht="69" customHeight="1">
      <ns0:c r="A2181" s="19" t="inlineStr">
        <ns0:is>
          <ns0:t>new_223</ns0:t>
        </ns0:is>
      </ns0:c>
      <ns0:c r="B2181" s="19" t="inlineStr">
        <ns0:is>
          <ns0:t>xai_strict</ns0:t>
        </ns0:is>
      </ns0:c>
      <ns0:c r="C2181" s="19" t="inlineStr">
        <ns0:is>
          <ns0:t>Reported</ns0:t>
        </ns0:is>
      </ns0:c>
      <ns0:c r="D2181" s="19" t="inlineStr">
        <ns0:is>
          <ns0:t>Not reported in assessed sources</ns0:t>
        </ns0:is>
      </ns0:c>
      <ns0:c r="E2181" s="19" t="inlineStr">
        <ns0:is>
          <ns0:t>Retained source-specific coding after review of the supplied extraction notes; not a new full-text retrieval. Five fractal-dimension measures from 16 EEG channels feed several classifiers; BO-ANN reached 97.38% accuracy and XGBoost feature importance identified influential channels/features. Small sample (29 ASD, 30 TD) and no independent external/site-held-out validation. Feature importance supports XAI coding but does not establish clinical interpretability or utility.</ns0:t>
        </ns0:is>
      </ns0:c>
      <ns0:c r="F2181" s="19" t="inlineStr">
        <ns0:is>
          <ns0:t>https://doi.org/10.1002/ima.70326</ns0:t>
        </ns0:is>
      </ns0:c>
      <ns0:c r="G2181" s="19" t="inlineStr">
        <ns0:is>
          <ns0:t>ChatGPT-assisted evidence recharting, 2026-09-08</ns0:t>
        </ns0:is>
      </ns0:c>
    </ns0:row>
    <ns0:row r="2182" ht="69" customHeight="1">
      <ns0:c r="A2182" s="21" t="inlineStr">
        <ns0:is>
          <ns0:t>new_223</ns0:t>
        </ns0:is>
      </ns0:c>
      <ns0:c r="B2182" s="21" t="inlineStr">
        <ns0:is>
          <ns0:t>xai_partial</ns0:t>
        </ns0:is>
      </ns0:c>
      <ns0:c r="C2182" s="21" t="inlineStr">
        <ns0:is>
          <ns0:t>Not reported in assessed sources</ns0:t>
        </ns0:is>
      </ns0:c>
      <ns0:c r="D2182" s="21" t="inlineStr">
        <ns0:is>
          <ns0:t>Reported</ns0:t>
        </ns0:is>
      </ns0:c>
      <ns0:c r="E2182" s="21" t="inlineStr">
        <ns0:is>
          <ns0:t>Retained source-specific coding after review of the supplied extraction notes; not a new full-text retrieval. Five fractal-dimension measures from 16 EEG channels feed several classifiers; BO-ANN reached 97.38% accuracy and XGBoost feature importance identified influential channels/features. Small sample (29 ASD, 30 TD) and no independent external/site-held-out validation. Feature importance supports XAI coding but does not establish clinical interpretability or utility.</ns0:t>
        </ns0:is>
      </ns0:c>
      <ns0:c r="F2182" s="21" t="inlineStr">
        <ns0:is>
          <ns0:t>https://doi.org/10.1002/ima.70326</ns0:t>
        </ns0:is>
      </ns0:c>
      <ns0:c r="G2182" s="21" t="inlineStr">
        <ns0:is>
          <ns0:t>ChatGPT-assisted evidence recharting, 2026-09-08</ns0:t>
        </ns0:is>
      </ns0:c>
    </ns0:row>
    <ns0:row r="2183" ht="69" customHeight="1">
      <ns0:c r="A2183" s="19" t="inlineStr">
        <ns0:is>
          <ns0:t>new_223</ns0:t>
        </ns0:is>
      </ns0:c>
      <ns0:c r="B2183" s="19" t="inlineStr">
        <ns0:is>
          <ns0:t>integrity_status</ns0:t>
        </ns0:is>
      </ns0:c>
      <ns0:c r="C2183" s="19" t="inlineStr"/>
      <ns0:c r="D2183" s="19" t="inlineStr">
        <ns0:is>
          <ns0:t>Not recorded</ns0:t>
        </ns0:is>
      </ns0:c>
      <ns0:c r="E2183" s="19" t="inlineStr">
        <ns0:is>
          <ns0:t>Retained source-specific coding after review of the supplied extraction notes; not a new full-text retrieval. Five fractal-dimension measures from 16 EEG channels feed several classifiers; BO-ANN reached 97.38% accuracy and XGBoost feature importance identified influential channels/features. Small sample (29 ASD, 30 TD) and no independent external/site-held-out validation. Feature importance supports XAI coding but does not establish clinical interpretability or utility.</ns0:t>
        </ns0:is>
      </ns0:c>
      <ns0:c r="F2183" s="19" t="inlineStr">
        <ns0:is>
          <ns0:t>https://doi.org/10.1002/ima.70326</ns0:t>
        </ns0:is>
      </ns0:c>
      <ns0:c r="G2183" s="19" t="inlineStr">
        <ns0:is>
          <ns0:t>ChatGPT-assisted evidence recharting, 2026-09-08</ns0:t>
        </ns0:is>
      </ns0:c>
    </ns0:row>
    <ns0:row r="2184" ht="57" customHeight="1">
      <ns0:c r="A2184" s="21" t="inlineStr">
        <ns0:is>
          <ns0:t>new_231</ns0:t>
        </ns0:is>
      </ns0:c>
      <ns0:c r="B2184" s="21" t="inlineStr">
        <ns0:is>
          <ns0:t>data_source_primary</ns0:t>
        </ns0:is>
      </ns0:c>
      <ns0:c r="C2184" s="21" t="inlineStr">
        <ns0:is>
          <ns0:t>Text / language</ns0:t>
        </ns0:is>
      </ns0:c>
      <ns0:c r="D2184" s="21" t="inlineStr">
        <ns0:is>
          <ns0:t>Text/language</ns0:t>
        </ns0:is>
      </ns0:c>
      <ns0:c r="E2184" s="21" t="inlineStr">
        <ns0:is>
          <ns0:t>Retained source-specific coding after review of the supplied extraction notes; not a new full-text retrieval. Integrated Gradients token attributions from HerBERT are mapped to syntactic and psycholinguistic variables and linked to feature importance and selected clinical tests. The indexed text does not expose the full sampling/validation design or evidence of independent external testing; data are restricted and available on request.</ns0:t>
        </ns0:is>
      </ns0:c>
      <ns0:c r="F2184" s="21" t="inlineStr">
        <ns0:is>
          <ns0:t>https://doi.org/10.1111/coin.70158</ns0:t>
        </ns0:is>
      </ns0:c>
      <ns0:c r="G2184" s="21" t="inlineStr">
        <ns0:is>
          <ns0:t>ChatGPT-assisted evidence recharting, 2026-09-08</ns0:t>
        </ns0:is>
      </ns0:c>
    </ns0:row>
    <ns0:row r="2185" ht="57" customHeight="1">
      <ns0:c r="A2185" s="19" t="inlineStr">
        <ns0:is>
          <ns0:t>new_231</ns0:t>
        </ns0:is>
      </ns0:c>
      <ns0:c r="B2185" s="19" t="inlineStr">
        <ns0:is>
          <ns0:t>rq2_role</ns0:t>
        </ns0:is>
      </ns0:c>
      <ns0:c r="C2185" s="19" t="inlineStr">
        <ns0:is>
          <ns0:t>Research detection/explanation framework; not evaluated in a live diagnostic workflow</ns0:t>
        </ns0:is>
      </ns0:c>
      <ns0:c r="D2185" s="19" t="inlineStr">
        <ns0:is>
          <ns0:t>Automated measurement/classification</ns0:t>
        </ns0:is>
      </ns0:c>
      <ns0:c r="E2185" s="19" t="inlineStr">
        <ns0:is>
          <ns0:t>Retained source-specific coding after review of the supplied extraction notes; not a new full-text retrieval. Integrated Gradients token attributions from HerBERT are mapped to syntactic and psycholinguistic variables and linked to feature importance and selected clinical tests. The indexed text does not expose the full sampling/validation design or evidence of independent external testing; data are restricted and available on request.</ns0:t>
        </ns0:is>
      </ns0:c>
      <ns0:c r="F2185" s="19" t="inlineStr">
        <ns0:is>
          <ns0:t>https://doi.org/10.1111/coin.70158</ns0:t>
        </ns0:is>
      </ns0:c>
      <ns0:c r="G2185" s="19" t="inlineStr">
        <ns0:is>
          <ns0:t>ChatGPT-assisted evidence recharting, 2026-09-08</ns0:t>
        </ns0:is>
      </ns0:c>
    </ns0:row>
    <ns0:row r="2186" ht="57" customHeight="1">
      <ns0:c r="A2186" s="21" t="inlineStr">
        <ns0:is>
          <ns0:t>new_231</ns0:t>
        </ns0:is>
      </ns0:c>
      <ns0:c r="B2186" s="21" t="inlineStr">
        <ns0:is>
          <ns0:t>decision_timing</ns0:t>
        </ns0:is>
      </ns0:c>
      <ns0:c r="C2186" s="21" t="inlineStr"/>
      <ns0:c r="D2186" s="21" t="inlineStr">
        <ns0:is>
          <ns0:t>Not observed in assessed sources</ns0:t>
        </ns0:is>
      </ns0:c>
      <ns0:c r="E2186" s="21" t="inlineStr">
        <ns0:is>
          <ns0:t>Retained source-specific coding after review of the supplied extraction notes; not a new full-text retrieval. Integrated Gradients token attributions from HerBERT are mapped to syntactic and psycholinguistic variables and linked to feature importance and selected clinical tests. The indexed text does not expose the full sampling/validation design or evidence of independent external testing; data are restricted and available on request.</ns0:t>
        </ns0:is>
      </ns0:c>
      <ns0:c r="F2186" s="21" t="inlineStr">
        <ns0:is>
          <ns0:t>https://doi.org/10.1111/coin.70158</ns0:t>
        </ns0:is>
      </ns0:c>
      <ns0:c r="G2186" s="21" t="inlineStr">
        <ns0:is>
          <ns0:t>ChatGPT-assisted evidence recharting, 2026-09-08</ns0:t>
        </ns0:is>
      </ns0:c>
    </ns0:row>
    <ns0:row r="2187" ht="57" customHeight="1">
      <ns0:c r="A2187" s="19" t="inlineStr">
        <ns0:is>
          <ns0:t>new_231</ns0:t>
        </ns0:is>
      </ns0:c>
      <ns0:c r="B2187" s="19" t="inlineStr">
        <ns0:is>
          <ns0:t>integrity_status</ns0:t>
        </ns0:is>
      </ns0:c>
      <ns0:c r="C2187" s="19" t="inlineStr"/>
      <ns0:c r="D2187" s="19" t="inlineStr">
        <ns0:is>
          <ns0:t>Not recorded</ns0:t>
        </ns0:is>
      </ns0:c>
      <ns0:c r="E2187" s="19" t="inlineStr">
        <ns0:is>
          <ns0:t>Retained source-specific coding after review of the supplied extraction notes; not a new full-text retrieval. Integrated Gradients token attributions from HerBERT are mapped to syntactic and psycholinguistic variables and linked to feature importance and selected clinical tests. The indexed text does not expose the full sampling/validation design or evidence of independent external testing; data are restricted and available on request.</ns0:t>
        </ns0:is>
      </ns0:c>
      <ns0:c r="F2187" s="19" t="inlineStr">
        <ns0:is>
          <ns0:t>https://doi.org/10.1111/coin.70158</ns0:t>
        </ns0:is>
      </ns0:c>
      <ns0:c r="G2187" s="19" t="inlineStr">
        <ns0:is>
          <ns0:t>ChatGPT-assisted evidence recharting, 2026-09-08</ns0:t>
        </ns0:is>
      </ns0:c>
    </ns0:row>
    <ns0:row r="2188" ht="57" customHeight="1">
      <ns0:c r="A2188" s="21" t="inlineStr">
        <ns0:is>
          <ns0:t>new_233</ns0:t>
        </ns0:is>
      </ns0:c>
      <ns0:c r="B2188" s="21" t="inlineStr">
        <ns0:is>
          <ns0:t>data_source_primary</ns0:t>
        </ns0:is>
      </ns0:c>
      <ns0:c r="C2188" s="21" t="inlineStr">
        <ns0:is>
          <ns0:t>Behavioral gaze / eye tracking</ns0:t>
        </ns0:is>
      </ns0:c>
      <ns0:c r="D2188" s="21" t="inlineStr">
        <ns0:is>
          <ns0:t>Behavioral images/video/gaze/movement</ns0:t>
        </ns0:is>
      </ns0:c>
      <ns0:c r="E2188" s="21" t="inlineStr">
        <ns0:is>
          <ns0:t>Retained source-specific coding after review of the supplied extraction notes; not a new full-text retrieval. ET-ASDNet analyzes eye-movement trajectories and reports 85.19% and 72.67% accuracy on two public datasets. Use of two public datasets does not by itself establish external validation unless a fixed development/external design is shown. Attention/fusion modules were not counted as formal XAI.</ns0:t>
        </ns0:is>
      </ns0:c>
      <ns0:c r="F2188" s="21" t="inlineStr">
        <ns0:is>
          <ns0:t>https://doi.org/10.1049/cvi2.70078</ns0:t>
        </ns0:is>
      </ns0:c>
      <ns0:c r="G2188" s="21" t="inlineStr">
        <ns0:is>
          <ns0:t>ChatGPT-assisted evidence recharting, 2026-09-08</ns0:t>
        </ns0:is>
      </ns0:c>
    </ns0:row>
    <ns0:row r="2189" ht="57" customHeight="1">
      <ns0:c r="A2189" s="19" t="inlineStr">
        <ns0:is>
          <ns0:t>new_233</ns0:t>
        </ns0:is>
      </ns0:c>
      <ns0:c r="B2189" s="19" t="inlineStr">
        <ns0:is>
          <ns0:t>rq2_role</ns0:t>
        </ns0:is>
      </ns0:c>
      <ns0:c r="C2189" s="19" t="inlineStr">
        <ns0:is>
          <ns0:t>Proposed screening framework evaluated on public eye-tracking datasets</ns0:t>
        </ns0:is>
      </ns0:c>
      <ns0:c r="D2189" s="19" t="inlineStr">
        <ns0:is>
          <ns0:t>Triage/questionnaire assessment</ns0:t>
        </ns0:is>
      </ns0:c>
      <ns0:c r="E2189" s="19" t="inlineStr">
        <ns0:is>
          <ns0:t>Retained source-specific coding after review of the supplied extraction notes; not a new full-text retrieval. ET-ASDNet analyzes eye-movement trajectories and reports 85.19% and 72.67% accuracy on two public datasets. Use of two public datasets does not by itself establish external validation unless a fixed development/external design is shown. Attention/fusion modules were not counted as formal XAI.</ns0:t>
        </ns0:is>
      </ns0:c>
      <ns0:c r="F2189" s="19" t="inlineStr">
        <ns0:is>
          <ns0:t>https://doi.org/10.1049/cvi2.70078</ns0:t>
        </ns0:is>
      </ns0:c>
      <ns0:c r="G2189" s="19" t="inlineStr">
        <ns0:is>
          <ns0:t>ChatGPT-assisted evidence recharting, 2026-09-08</ns0:t>
        </ns0:is>
      </ns0:c>
    </ns0:row>
    <ns0:row r="2190" ht="57" customHeight="1">
      <ns0:c r="A2190" s="21" t="inlineStr">
        <ns0:is>
          <ns0:t>new_233</ns0:t>
        </ns0:is>
      </ns0:c>
      <ns0:c r="B2190" s="21" t="inlineStr">
        <ns0:is>
          <ns0:t>decision_timing</ns0:t>
        </ns0:is>
      </ns0:c>
      <ns0:c r="C2190" s="21" t="inlineStr"/>
      <ns0:c r="D2190" s="21" t="inlineStr">
        <ns0:is>
          <ns0:t>Pre-decision</ns0:t>
        </ns0:is>
      </ns0:c>
      <ns0:c r="E2190" s="21" t="inlineStr">
        <ns0:is>
          <ns0:t>Retained source-specific coding after review of the supplied extraction notes; not a new full-text retrieval. ET-ASDNet analyzes eye-movement trajectories and reports 85.19% and 72.67% accuracy on two public datasets. Use of two public datasets does not by itself establish external validation unless a fixed development/external design is shown. Attention/fusion modules were not counted as formal XAI.</ns0:t>
        </ns0:is>
      </ns0:c>
      <ns0:c r="F2190" s="21" t="inlineStr">
        <ns0:is>
          <ns0:t>https://doi.org/10.1049/cvi2.70078</ns0:t>
        </ns0:is>
      </ns0:c>
      <ns0:c r="G2190" s="21" t="inlineStr">
        <ns0:is>
          <ns0:t>ChatGPT-assisted evidence recharting, 2026-09-08</ns0:t>
        </ns0:is>
      </ns0:c>
    </ns0:row>
    <ns0:row r="2191" ht="57" customHeight="1">
      <ns0:c r="A2191" s="19" t="inlineStr">
        <ns0:is>
          <ns0:t>new_233</ns0:t>
        </ns0:is>
      </ns0:c>
      <ns0:c r="B2191" s="19" t="inlineStr">
        <ns0:is>
          <ns0:t>integrity_status</ns0:t>
        </ns0:is>
      </ns0:c>
      <ns0:c r="C2191" s="19" t="inlineStr"/>
      <ns0:c r="D2191" s="19" t="inlineStr">
        <ns0:is>
          <ns0:t>Not recorded</ns0:t>
        </ns0:is>
      </ns0:c>
      <ns0:c r="E2191" s="19" t="inlineStr">
        <ns0:is>
          <ns0:t>Retained source-specific coding after review of the supplied extraction notes; not a new full-text retrieval. ET-ASDNet analyzes eye-movement trajectories and reports 85.19% and 72.67% accuracy on two public datasets. Use of two public datasets does not by itself establish external validation unless a fixed development/external design is shown. Attention/fusion modules were not counted as formal XAI.</ns0:t>
        </ns0:is>
      </ns0:c>
      <ns0:c r="F2191" s="19" t="inlineStr">
        <ns0:is>
          <ns0:t>https://doi.org/10.1049/cvi2.70078</ns0:t>
        </ns0:is>
      </ns0:c>
      <ns0:c r="G2191" s="19" t="inlineStr">
        <ns0:is>
          <ns0:t>ChatGPT-assisted evidence recharting, 2026-09-08</ns0:t>
        </ns0:is>
      </ns0:c>
    </ns0:row>
    <ns0:row r="2192" ht="69" customHeight="1">
      <ns0:c r="A2192" s="21" t="inlineStr">
        <ns0:is>
          <ns0:t>new_235</ns0:t>
        </ns0:is>
      </ns0:c>
      <ns0:c r="B2192" s="21" t="inlineStr">
        <ns0:is>
          <ns0:t>data_source_primary</ns0:t>
        </ns0:is>
      </ns0:c>
      <ns0:c r="C2192" s="21" t="inlineStr">
        <ns0:is>
          <ns0:t>Behavioral video / movement</ns0:t>
        </ns0:is>
      </ns0:c>
      <ns0:c r="D2192" s="21" t="inlineStr">
        <ns0:is>
          <ns0:t>Behavioral images/video/gaze/movement</ns0:t>
        </ns0:is>
      </ns0:c>
      <ns0:c r="E2192" s="21" t="inlineStr">
        <ns0:is>
          <ns0:t>Retained source-specific coding after review of the supplied extraction notes; not a new full-text retrieval. Videos from 46 autistic and 36 neurotypical participants were used to train an automatic gaze detector; granular gaze features correlated with ADOS-2 Social Affect and classified ASD vs NT at 73%. Cross-validation is internal and no independent cohort/site test was reported. Human-defined gaze features are interpretable, but no formal post-hoc XAI method was used.</ns0:t>
        </ns0:is>
      </ns0:c>
      <ns0:c r="F2192" s="21" t="inlineStr">
        <ns0:is>
          <ns0:t>https://doi.org/10.1016/j.jpsychires.2026.05.015</ns0:t>
        </ns0:is>
      </ns0:c>
      <ns0:c r="G2192" s="21" t="inlineStr">
        <ns0:is>
          <ns0:t>ChatGPT-assisted evidence recharting, 2026-09-08</ns0:t>
        </ns0:is>
      </ns0:c>
    </ns0:row>
    <ns0:row r="2193" ht="69" customHeight="1">
      <ns0:c r="A2193" s="19" t="inlineStr">
        <ns0:is>
          <ns0:t>new_235</ns0:t>
        </ns0:is>
      </ns0:c>
      <ns0:c r="B2193" s="19" t="inlineStr">
        <ns0:is>
          <ns0:t>rq2_role</ns0:t>
        </ns0:is>
      </ns0:c>
      <ns0:c r="C2193" s="19" t="inlineStr">
        <ns0:is>
          <ns0:t>Research measurement/classification framework; potential tracking use not yet clinically deployed</ns0:t>
        </ns0:is>
      </ns0:c>
      <ns0:c r="D2193" s="19" t="inlineStr">
        <ns0:is>
          <ns0:t>Automated measurement/classification</ns0:t>
        </ns0:is>
      </ns0:c>
      <ns0:c r="E2193" s="19" t="inlineStr">
        <ns0:is>
          <ns0:t>Retained source-specific coding after review of the supplied extraction notes; not a new full-text retrieval. Videos from 46 autistic and 36 neurotypical participants were used to train an automatic gaze detector; granular gaze features correlated with ADOS-2 Social Affect and classified ASD vs NT at 73%. Cross-validation is internal and no independent cohort/site test was reported. Human-defined gaze features are interpretable, but no formal post-hoc XAI method was used.</ns0:t>
        </ns0:is>
      </ns0:c>
      <ns0:c r="F2193" s="19" t="inlineStr">
        <ns0:is>
          <ns0:t>https://doi.org/10.1016/j.jpsychires.2026.05.015</ns0:t>
        </ns0:is>
      </ns0:c>
      <ns0:c r="G2193" s="19" t="inlineStr">
        <ns0:is>
          <ns0:t>ChatGPT-assisted evidence recharting, 2026-09-08</ns0:t>
        </ns0:is>
      </ns0:c>
    </ns0:row>
    <ns0:row r="2194" ht="69" customHeight="1">
      <ns0:c r="A2194" s="21" t="inlineStr">
        <ns0:is>
          <ns0:t>new_235</ns0:t>
        </ns0:is>
      </ns0:c>
      <ns0:c r="B2194" s="21" t="inlineStr">
        <ns0:is>
          <ns0:t>decision_timing</ns0:t>
        </ns0:is>
      </ns0:c>
      <ns0:c r="C2194" s="21" t="inlineStr"/>
      <ns0:c r="D2194" s="21" t="inlineStr">
        <ns0:is>
          <ns0:t>Not observed in assessed sources</ns0:t>
        </ns0:is>
      </ns0:c>
      <ns0:c r="E2194" s="21" t="inlineStr">
        <ns0:is>
          <ns0:t>Retained source-specific coding after review of the supplied extraction notes; not a new full-text retrieval. Videos from 46 autistic and 36 neurotypical participants were used to train an automatic gaze detector; granular gaze features correlated with ADOS-2 Social Affect and classified ASD vs NT at 73%. Cross-validation is internal and no independent cohort/site test was reported. Human-defined gaze features are interpretable, but no formal post-hoc XAI method was used.</ns0:t>
        </ns0:is>
      </ns0:c>
      <ns0:c r="F2194" s="21" t="inlineStr">
        <ns0:is>
          <ns0:t>https://doi.org/10.1016/j.jpsychires.2026.05.015</ns0:t>
        </ns0:is>
      </ns0:c>
      <ns0:c r="G2194" s="21" t="inlineStr">
        <ns0:is>
          <ns0:t>ChatGPT-assisted evidence recharting, 2026-09-08</ns0:t>
        </ns0:is>
      </ns0:c>
    </ns0:row>
    <ns0:row r="2195" ht="69" customHeight="1">
      <ns0:c r="A2195" s="19" t="inlineStr">
        <ns0:is>
          <ns0:t>new_235</ns0:t>
        </ns0:is>
      </ns0:c>
      <ns0:c r="B2195" s="19" t="inlineStr">
        <ns0:is>
          <ns0:t>prospective_evaluation</ns0:t>
        </ns0:is>
      </ns0:c>
      <ns0:c r="C2195" s="19" t="inlineStr">
        <ns0:is>
          <ns0:t>Reported</ns0:t>
        </ns0:is>
      </ns0:c>
      <ns0:c r="D2195" s="19" t="inlineStr">
        <ns0:is>
          <ns0:t>Not reported in assessed sources</ns0:t>
        </ns0:is>
      </ns0:c>
      <ns0:c r="E2195" s="19" t="inlineStr">
        <ns0:is>
          <ns0:t>Retained source-specific coding after review of the supplied extraction notes; not a new full-text retrieval. Videos from 46 autistic and 36 neurotypical participants were used to train an automatic gaze detector; granular gaze features correlated with ADOS-2 Social Affect and classified ASD vs NT at 73%. Cross-validation is internal and no independent cohort/site test was reported. Human-defined gaze features are interpretable, but no formal post-hoc XAI method was used.</ns0:t>
        </ns0:is>
      </ns0:c>
      <ns0:c r="F2195" s="19" t="inlineStr">
        <ns0:is>
          <ns0:t>https://doi.org/10.1016/j.jpsychires.2026.05.015</ns0:t>
        </ns0:is>
      </ns0:c>
      <ns0:c r="G2195" s="19" t="inlineStr">
        <ns0:is>
          <ns0:t>ChatGPT-assisted evidence recharting, 2026-09-08</ns0:t>
        </ns0:is>
      </ns0:c>
    </ns0:row>
    <ns0:row r="2196" ht="69" customHeight="1">
      <ns0:c r="A2196" s="21" t="inlineStr">
        <ns0:is>
          <ns0:t>new_235</ns0:t>
        </ns0:is>
      </ns0:c>
      <ns0:c r="B2196" s="21" t="inlineStr">
        <ns0:is>
          <ns0:t>integrity_status</ns0:t>
        </ns0:is>
      </ns0:c>
      <ns0:c r="C2196" s="21" t="inlineStr"/>
      <ns0:c r="D2196" s="21" t="inlineStr">
        <ns0:is>
          <ns0:t>Not recorded</ns0:t>
        </ns0:is>
      </ns0:c>
      <ns0:c r="E2196" s="21" t="inlineStr">
        <ns0:is>
          <ns0:t>Retained source-specific coding after review of the supplied extraction notes; not a new full-text retrieval. Videos from 46 autistic and 36 neurotypical participants were used to train an automatic gaze detector; granular gaze features correlated with ADOS-2 Social Affect and classified ASD vs NT at 73%. Cross-validation is internal and no independent cohort/site test was reported. Human-defined gaze features are interpretable, but no formal post-hoc XAI method was used.</ns0:t>
        </ns0:is>
      </ns0:c>
      <ns0:c r="F2196" s="21" t="inlineStr">
        <ns0:is>
          <ns0:t>https://doi.org/10.1016/j.jpsychires.2026.05.015</ns0:t>
        </ns0:is>
      </ns0:c>
      <ns0:c r="G2196" s="21" t="inlineStr">
        <ns0:is>
          <ns0:t>ChatGPT-assisted evidence recharting, 2026-09-08</ns0:t>
        </ns0:is>
      </ns0:c>
    </ns0:row>
    <ns0:row r="2197" ht="57" customHeight="1">
      <ns0:c r="A2197" s="19" t="inlineStr">
        <ns0:is>
          <ns0:t>new_236</ns0:t>
        </ns0:is>
      </ns0:c>
      <ns0:c r="B2197" s="19" t="inlineStr">
        <ns0:is>
          <ns0:t>data_source_primary</ns0:t>
        </ns0:is>
      </ns0:c>
      <ns0:c r="C2197" s="19" t="inlineStr">
        <ns0:is>
          <ns0:t>Behavioral gaze / eye tracking</ns0:t>
        </ns0:is>
      </ns0:c>
      <ns0:c r="D2197" s="19" t="inlineStr">
        <ns0:is>
          <ns0:t>Behavioral images/video/gaze/movement</ns0:t>
        </ns0:is>
      </ns0:c>
      <ns0:c r="E2197" s="19" t="inlineStr">
        <ns0:is>
          <ns0:t>Retained source-specific coding after review of the supplied extraction notes; not a new full-text retrieval. GazeScan converts gaze trajectories into grayscale scanpath images and uses a lightweight CNN; five-fold CV on ETSP reports 97.01% accuracy and AUC 0.98. Public single-dataset internal cross-validation only; no independent external cohort, multisite robustness, prospective clinical evaluation, or formal XAI identified.</ns0:t>
        </ns0:is>
      </ns0:c>
      <ns0:c r="F2197" s="19" t="inlineStr">
        <ns0:is>
          <ns0:t>https://doi.org/10.1016/j.health.2025.100439</ns0:t>
        </ns0:is>
      </ns0:c>
      <ns0:c r="G2197" s="19" t="inlineStr">
        <ns0:is>
          <ns0:t>ChatGPT-assisted evidence recharting, 2026-09-08</ns0:t>
        </ns0:is>
      </ns0:c>
    </ns0:row>
    <ns0:row r="2198" ht="57" customHeight="1">
      <ns0:c r="A2198" s="21" t="inlineStr">
        <ns0:is>
          <ns0:t>new_236</ns0:t>
        </ns0:is>
      </ns0:c>
      <ns0:c r="B2198" s="21" t="inlineStr">
        <ns0:is>
          <ns0:t>rq2_role</ns0:t>
        </ns0:is>
      </ns0:c>
      <ns0:c r="C2198" s="21" t="inlineStr">
        <ns0:is>
          <ns0:t>Proposed mobile-compatible screening framework; not prospectively deployed</ns0:t>
        </ns0:is>
      </ns0:c>
      <ns0:c r="D2198" s="21" t="inlineStr">
        <ns0:is>
          <ns0:t>Triage/questionnaire assessment</ns0:t>
        </ns0:is>
      </ns0:c>
      <ns0:c r="E2198" s="21" t="inlineStr">
        <ns0:is>
          <ns0:t>Retained source-specific coding after review of the supplied extraction notes; not a new full-text retrieval. GazeScan converts gaze trajectories into grayscale scanpath images and uses a lightweight CNN; five-fold CV on ETSP reports 97.01% accuracy and AUC 0.98. Public single-dataset internal cross-validation only; no independent external cohort, multisite robustness, prospective clinical evaluation, or formal XAI identified.</ns0:t>
        </ns0:is>
      </ns0:c>
      <ns0:c r="F2198" s="21" t="inlineStr">
        <ns0:is>
          <ns0:t>https://doi.org/10.1016/j.health.2025.100439</ns0:t>
        </ns0:is>
      </ns0:c>
      <ns0:c r="G2198" s="21" t="inlineStr">
        <ns0:is>
          <ns0:t>ChatGPT-assisted evidence recharting, 2026-09-08</ns0:t>
        </ns0:is>
      </ns0:c>
    </ns0:row>
    <ns0:row r="2199" ht="57" customHeight="1">
      <ns0:c r="A2199" s="19" t="inlineStr">
        <ns0:is>
          <ns0:t>new_236</ns0:t>
        </ns0:is>
      </ns0:c>
      <ns0:c r="B2199" s="19" t="inlineStr">
        <ns0:is>
          <ns0:t>decision_timing</ns0:t>
        </ns0:is>
      </ns0:c>
      <ns0:c r="C2199" s="19" t="inlineStr"/>
      <ns0:c r="D2199" s="19" t="inlineStr">
        <ns0:is>
          <ns0:t>Pre-decision</ns0:t>
        </ns0:is>
      </ns0:c>
      <ns0:c r="E2199" s="19" t="inlineStr">
        <ns0:is>
          <ns0:t>Retained source-specific coding after review of the supplied extraction notes; not a new full-text retrieval. GazeScan converts gaze trajectories into grayscale scanpath images and uses a lightweight CNN; five-fold CV on ETSP reports 97.01% accuracy and AUC 0.98. Public single-dataset internal cross-validation only; no independent external cohort, multisite robustness, prospective clinical evaluation, or formal XAI identified.</ns0:t>
        </ns0:is>
      </ns0:c>
      <ns0:c r="F2199" s="19" t="inlineStr">
        <ns0:is>
          <ns0:t>https://doi.org/10.1016/j.health.2025.100439</ns0:t>
        </ns0:is>
      </ns0:c>
      <ns0:c r="G2199" s="19" t="inlineStr">
        <ns0:is>
          <ns0:t>ChatGPT-assisted evidence recharting, 2026-09-08</ns0:t>
        </ns0:is>
      </ns0:c>
    </ns0:row>
    <ns0:row r="2200" ht="57" customHeight="1">
      <ns0:c r="A2200" s="21" t="inlineStr">
        <ns0:is>
          <ns0:t>new_236</ns0:t>
        </ns0:is>
      </ns0:c>
      <ns0:c r="B2200" s="21" t="inlineStr">
        <ns0:is>
          <ns0:t>integrity_status</ns0:t>
        </ns0:is>
      </ns0:c>
      <ns0:c r="C2200" s="21" t="inlineStr"/>
      <ns0:c r="D2200" s="21" t="inlineStr">
        <ns0:is>
          <ns0:t>Not recorded</ns0:t>
        </ns0:is>
      </ns0:c>
      <ns0:c r="E2200" s="21" t="inlineStr">
        <ns0:is>
          <ns0:t>Retained source-specific coding after review of the supplied extraction notes; not a new full-text retrieval. GazeScan converts gaze trajectories into grayscale scanpath images and uses a lightweight CNN; five-fold CV on ETSP reports 97.01% accuracy and AUC 0.98. Public single-dataset internal cross-validation only; no independent external cohort, multisite robustness, prospective clinical evaluation, or formal XAI identified.</ns0:t>
        </ns0:is>
      </ns0:c>
      <ns0:c r="F2200" s="21" t="inlineStr">
        <ns0:is>
          <ns0:t>https://doi.org/10.1016/j.health.2025.100439</ns0:t>
        </ns0:is>
      </ns0:c>
      <ns0:c r="G2200" s="21" t="inlineStr">
        <ns0:is>
          <ns0:t>ChatGPT-assisted evidence recharting, 2026-09-08</ns0:t>
        </ns0:is>
      </ns0:c>
    </ns0:row>
    <ns0:row r="2201" ht="57" customHeight="1">
      <ns0:c r="A2201" s="19" t="inlineStr">
        <ns0:is>
          <ns0:t>new_242</ns0:t>
        </ns0:is>
      </ns0:c>
      <ns0:c r="B2201" s="19" t="inlineStr">
        <ns0:is>
          <ns0:t>rq2_role</ns0:t>
        </ns0:is>
      </ns0:c>
      <ns0:c r="C2201" s="19" t="inlineStr">
        <ns0:is>
          <ns0:t>Preliminary neurophysiological diagnostic classifier</ns0:t>
        </ns0:is>
      </ns0:c>
      <ns0:c r="D2201" s="19" t="inlineStr">
        <ns0:is>
          <ns0:t>Automated measurement/classification</ns0:t>
        </ns0:is>
      </ns0:c>
      <ns0:c r="E2201" s="19" t="inlineStr">
        <ns0:is>
          <ns0:t>Retained source-specific coding after review of the supplied extraction notes; not a new full-text retrieval. DWT features from 15 EEG electrodes were benchmarked across 21 models; Logistic Regression performed best at 88.57% accuracy, and explainability identified delta/theta power as key features. Preliminary small-cohort study with internal validation; the authors explicitly state that larger independent cohorts are needed.</ns0:t>
        </ns0:is>
      </ns0:c>
      <ns0:c r="F2201" s="19" t="inlineStr">
        <ns0:is>
          <ns0:t>https://doi.org/10.1096/fj.202600019r</ns0:t>
        </ns0:is>
      </ns0:c>
      <ns0:c r="G2201" s="19" t="inlineStr">
        <ns0:is>
          <ns0:t>ChatGPT-assisted evidence recharting, 2026-09-08</ns0:t>
        </ns0:is>
      </ns0:c>
    </ns0:row>
    <ns0:row r="2202" ht="57" customHeight="1">
      <ns0:c r="A2202" s="21" t="inlineStr">
        <ns0:is>
          <ns0:t>new_242</ns0:t>
        </ns0:is>
      </ns0:c>
      <ns0:c r="B2202" s="21" t="inlineStr">
        <ns0:is>
          <ns0:t>decision_timing</ns0:t>
        </ns0:is>
      </ns0:c>
      <ns0:c r="C2202" s="21" t="inlineStr"/>
      <ns0:c r="D2202" s="21" t="inlineStr">
        <ns0:is>
          <ns0:t>Not observed in assessed sources</ns0:t>
        </ns0:is>
      </ns0:c>
      <ns0:c r="E2202" s="21" t="inlineStr">
        <ns0:is>
          <ns0:t>Retained source-specific coding after review of the supplied extraction notes; not a new full-text retrieval. DWT features from 15 EEG electrodes were benchmarked across 21 models; Logistic Regression performed best at 88.57% accuracy, and explainability identified delta/theta power as key features. Preliminary small-cohort study with internal validation; the authors explicitly state that larger independent cohorts are needed.</ns0:t>
        </ns0:is>
      </ns0:c>
      <ns0:c r="F2202" s="21" t="inlineStr">
        <ns0:is>
          <ns0:t>https://doi.org/10.1096/fj.202600019r</ns0:t>
        </ns0:is>
      </ns0:c>
      <ns0:c r="G2202" s="21" t="inlineStr">
        <ns0:is>
          <ns0:t>ChatGPT-assisted evidence recharting, 2026-09-08</ns0:t>
        </ns0:is>
      </ns0:c>
    </ns0:row>
    <ns0:row r="2203" ht="57" customHeight="1">
      <ns0:c r="A2203" s="19" t="inlineStr">
        <ns0:is>
          <ns0:t>new_242</ns0:t>
        </ns0:is>
      </ns0:c>
      <ns0:c r="B2203" s="19" t="inlineStr">
        <ns0:is>
          <ns0:t>integrity_status</ns0:t>
        </ns0:is>
      </ns0:c>
      <ns0:c r="C2203" s="19" t="inlineStr"/>
      <ns0:c r="D2203" s="19" t="inlineStr">
        <ns0:is>
          <ns0:t>Not recorded</ns0:t>
        </ns0:is>
      </ns0:c>
      <ns0:c r="E2203" s="19" t="inlineStr">
        <ns0:is>
          <ns0:t>Retained source-specific coding after review of the supplied extraction notes; not a new full-text retrieval. DWT features from 15 EEG electrodes were benchmarked across 21 models; Logistic Regression performed best at 88.57% accuracy, and explainability identified delta/theta power as key features. Preliminary small-cohort study with internal validation; the authors explicitly state that larger independent cohorts are needed.</ns0:t>
        </ns0:is>
      </ns0:c>
      <ns0:c r="F2203" s="19" t="inlineStr">
        <ns0:is>
          <ns0:t>https://doi.org/10.1096/fj.202600019r</ns0:t>
        </ns0:is>
      </ns0:c>
      <ns0:c r="G2203" s="19" t="inlineStr">
        <ns0:is>
          <ns0:t>ChatGPT-assisted evidence recharting, 2026-09-08</ns0:t>
        </ns0:is>
      </ns0:c>
    </ns0:row>
    <ns0:row r="2204" ht="69" customHeight="1">
      <ns0:c r="A2204" s="21" t="inlineStr">
        <ns0:is>
          <ns0:t>new_244</ns0:t>
        </ns0:is>
      </ns0:c>
      <ns0:c r="B2204" s="21" t="inlineStr">
        <ns0:is>
          <ns0:t>data_source_primary</ns0:t>
        </ns0:is>
      </ns0:c>
      <ns0:c r="C2204" s="21" t="inlineStr">
        <ns0:is>
          <ns0:t>Facial images</ns0:t>
        </ns0:is>
      </ns0:c>
      <ns0:c r="D2204" s="21" t="inlineStr">
        <ns0:is>
          <ns0:t>Behavioral images/video/gaze/movement</ns0:t>
        </ns0:is>
      </ns0:c>
      <ns0:c r="E2204" s="21" t="inlineStr">
        <ns0:is>
          <ns0:t>Retained source-specific coding after review of the supplied extraction notes; not a new full-text retrieval. DHCA-Net was tested on 2,936 facial images using train/test/validation splits and achieved 93.7% accuracy, F1 0.9365 and AUC 0.9887. Despite the word explainable in the title, the accessible report describes attention mechanisms but no explicit explanation method/output satisfying strict XAI criteria. Broader demographic generalization remains future work.</ns0:t>
        </ns0:is>
      </ns0:c>
      <ns0:c r="F2204" s="21" t="inlineStr">
        <ns0:is>
          <ns0:t>https://doi.org/10.1002/jdn.70158</ns0:t>
        </ns0:is>
      </ns0:c>
      <ns0:c r="G2204" s="21" t="inlineStr">
        <ns0:is>
          <ns0:t>ChatGPT-assisted evidence recharting, 2026-09-08</ns0:t>
        </ns0:is>
      </ns0:c>
    </ns0:row>
    <ns0:row r="2205" ht="69" customHeight="1">
      <ns0:c r="A2205" s="19" t="inlineStr">
        <ns0:is>
          <ns0:t>new_244</ns0:t>
        </ns0:is>
      </ns0:c>
      <ns0:c r="B2205" s="19" t="inlineStr">
        <ns0:is>
          <ns0:t>rq2_role</ns0:t>
        </ns0:is>
      </ns0:c>
      <ns0:c r="C2205" s="19" t="inlineStr">
        <ns0:is>
          <ns0:t>Proposed scalable screening framework; no real clinical workflow evaluation</ns0:t>
        </ns0:is>
      </ns0:c>
      <ns0:c r="D2205" s="19" t="inlineStr">
        <ns0:is>
          <ns0:t>Triage/questionnaire assessment</ns0:t>
        </ns0:is>
      </ns0:c>
      <ns0:c r="E2205" s="19" t="inlineStr">
        <ns0:is>
          <ns0:t>Retained source-specific coding after review of the supplied extraction notes; not a new full-text retrieval. DHCA-Net was tested on 2,936 facial images using train/test/validation splits and achieved 93.7% accuracy, F1 0.9365 and AUC 0.9887. Despite the word explainable in the title, the accessible report describes attention mechanisms but no explicit explanation method/output satisfying strict XAI criteria. Broader demographic generalization remains future work.</ns0:t>
        </ns0:is>
      </ns0:c>
      <ns0:c r="F2205" s="19" t="inlineStr">
        <ns0:is>
          <ns0:t>https://doi.org/10.1002/jdn.70158</ns0:t>
        </ns0:is>
      </ns0:c>
      <ns0:c r="G2205" s="19" t="inlineStr">
        <ns0:is>
          <ns0:t>ChatGPT-assisted evidence recharting, 2026-09-08</ns0:t>
        </ns0:is>
      </ns0:c>
    </ns0:row>
    <ns0:row r="2206" ht="69" customHeight="1">
      <ns0:c r="A2206" s="21" t="inlineStr">
        <ns0:is>
          <ns0:t>new_244</ns0:t>
        </ns0:is>
      </ns0:c>
      <ns0:c r="B2206" s="21" t="inlineStr">
        <ns0:is>
          <ns0:t>decision_timing</ns0:t>
        </ns0:is>
      </ns0:c>
      <ns0:c r="C2206" s="21" t="inlineStr"/>
      <ns0:c r="D2206" s="21" t="inlineStr">
        <ns0:is>
          <ns0:t>Pre-decision</ns0:t>
        </ns0:is>
      </ns0:c>
      <ns0:c r="E2206" s="21" t="inlineStr">
        <ns0:is>
          <ns0:t>Retained source-specific coding after review of the supplied extraction notes; not a new full-text retrieval. DHCA-Net was tested on 2,936 facial images using train/test/validation splits and achieved 93.7% accuracy, F1 0.9365 and AUC 0.9887. Despite the word explainable in the title, the accessible report describes attention mechanisms but no explicit explanation method/output satisfying strict XAI criteria. Broader demographic generalization remains future work.</ns0:t>
        </ns0:is>
      </ns0:c>
      <ns0:c r="F2206" s="21" t="inlineStr">
        <ns0:is>
          <ns0:t>https://doi.org/10.1002/jdn.70158</ns0:t>
        </ns0:is>
      </ns0:c>
      <ns0:c r="G2206" s="21" t="inlineStr">
        <ns0:is>
          <ns0:t>ChatGPT-assisted evidence recharting, 2026-09-08</ns0:t>
        </ns0:is>
      </ns0:c>
    </ns0:row>
    <ns0:row r="2207" ht="69" customHeight="1">
      <ns0:c r="A2207" s="19" t="inlineStr">
        <ns0:is>
          <ns0:t>new_244</ns0:t>
        </ns0:is>
      </ns0:c>
      <ns0:c r="B2207" s="19" t="inlineStr">
        <ns0:is>
          <ns0:t>integrity_status</ns0:t>
        </ns0:is>
      </ns0:c>
      <ns0:c r="C2207" s="19" t="inlineStr"/>
      <ns0:c r="D2207" s="19" t="inlineStr">
        <ns0:is>
          <ns0:t>Not recorded</ns0:t>
        </ns0:is>
      </ns0:c>
      <ns0:c r="E2207" s="19" t="inlineStr">
        <ns0:is>
          <ns0:t>Retained source-specific coding after review of the supplied extraction notes; not a new full-text retrieval. DHCA-Net was tested on 2,936 facial images using train/test/validation splits and achieved 93.7% accuracy, F1 0.9365 and AUC 0.9887. Despite the word explainable in the title, the accessible report describes attention mechanisms but no explicit explanation method/output satisfying strict XAI criteria. Broader demographic generalization remains future work.</ns0:t>
        </ns0:is>
      </ns0:c>
      <ns0:c r="F2207" s="19" t="inlineStr">
        <ns0:is>
          <ns0:t>https://doi.org/10.1002/jdn.70158</ns0:t>
        </ns0:is>
      </ns0:c>
      <ns0:c r="G2207" s="19" t="inlineStr">
        <ns0:is>
          <ns0:t>ChatGPT-assisted evidence recharting, 2026-09-08</ns0:t>
        </ns0:is>
      </ns0:c>
    </ns0:row>
    <ns0:row r="2208" ht="57" customHeight="1">
      <ns0:c r="A2208" s="21" t="inlineStr">
        <ns0:is>
          <ns0:t>new_246</ns0:t>
        </ns0:is>
      </ns0:c>
      <ns0:c r="B2208" s="21" t="inlineStr">
        <ns0:is>
          <ns0:t>rq2_role</ns0:t>
        </ns0:is>
      </ns0:c>
      <ns0:c r="C2208" s="21" t="inlineStr">
        <ns0:is>
          <ns0:t>Proposed auxiliary diagnostic model; not evaluated in a live clinical workflow</ns0:t>
        </ns0:is>
      </ns0:c>
      <ns0:c r="D2208" s="21" t="inlineStr">
        <ns0:is>
          <ns0:t>Automated measurement/classification</ns0:t>
        </ns0:is>
      </ns0:c>
      <ns0:c r="E2208" s="21" t="inlineStr">
        <ns0:is>
          <ns0:t>Retained source-specific coding after review of the supplied extraction notes; not a new full-text retrieval. MTT uses resting-state infant EEG baseline power, SMOTE, transfer learning and feature/self/cross-attention; reported accuracy is 0.91 and AUC 0.97. No independent external/site-held-out evaluation is identified. Interpretability is attention-based only, so it was coded as partial rather than strict XAI.</ns0:t>
        </ns0:is>
      </ns0:c>
      <ns0:c r="F2208" s="21" t="inlineStr">
        <ns0:is>
          <ns0:t>https://doi.org/10.1111/coin.70131</ns0:t>
        </ns0:is>
      </ns0:c>
      <ns0:c r="G2208" s="21" t="inlineStr">
        <ns0:is>
          <ns0:t>ChatGPT-assisted evidence recharting, 2026-09-08</ns0:t>
        </ns0:is>
      </ns0:c>
    </ns0:row>
    <ns0:row r="2209" ht="57" customHeight="1">
      <ns0:c r="A2209" s="19" t="inlineStr">
        <ns0:is>
          <ns0:t>new_246</ns0:t>
        </ns0:is>
      </ns0:c>
      <ns0:c r="B2209" s="19" t="inlineStr">
        <ns0:is>
          <ns0:t>decision_timing</ns0:t>
        </ns0:is>
      </ns0:c>
      <ns0:c r="C2209" s="19" t="inlineStr"/>
      <ns0:c r="D2209" s="19" t="inlineStr">
        <ns0:is>
          <ns0:t>In-decision</ns0:t>
        </ns0:is>
      </ns0:c>
      <ns0:c r="E2209" s="19" t="inlineStr">
        <ns0:is>
          <ns0:t>Retained source-specific coding after review of the supplied extraction notes; not a new full-text retrieval. MTT uses resting-state infant EEG baseline power, SMOTE, transfer learning and feature/self/cross-attention; reported accuracy is 0.91 and AUC 0.97. No independent external/site-held-out evaluation is identified. Interpretability is attention-based only, so it was coded as partial rather than strict XAI.</ns0:t>
        </ns0:is>
      </ns0:c>
      <ns0:c r="F2209" s="19" t="inlineStr">
        <ns0:is>
          <ns0:t>https://doi.org/10.1111/coin.70131</ns0:t>
        </ns0:is>
      </ns0:c>
      <ns0:c r="G2209" s="19" t="inlineStr">
        <ns0:is>
          <ns0:t>ChatGPT-assisted evidence recharting, 2026-09-08</ns0:t>
        </ns0:is>
      </ns0:c>
    </ns0:row>
    <ns0:row r="2210" ht="57" customHeight="1">
      <ns0:c r="A2210" s="21" t="inlineStr">
        <ns0:is>
          <ns0:t>new_246</ns0:t>
        </ns0:is>
      </ns0:c>
      <ns0:c r="B2210" s="21" t="inlineStr">
        <ns0:is>
          <ns0:t>xai_partial</ns0:t>
        </ns0:is>
      </ns0:c>
      <ns0:c r="C2210" s="21" t="inlineStr">
        <ns0:is>
          <ns0:t>Reported</ns0:t>
        </ns0:is>
      </ns0:c>
      <ns0:c r="D2210" s="21" t="inlineStr">
        <ns0:is>
          <ns0:t>Not ascertainable</ns0:t>
        </ns0:is>
      </ns0:c>
      <ns0:c r="E2210" s="21" t="inlineStr">
        <ns0:is>
          <ns0:t>Retained source-specific coding after review of the supplied extraction notes; not a new full-text retrieval. MTT uses resting-state infant EEG baseline power, SMOTE, transfer learning and feature/self/cross-attention; reported accuracy is 0.91 and AUC 0.97. No independent external/site-held-out evaluation is identified. Interpretability is attention-based only, so it was coded as partial rather than strict XAI.</ns0:t>
        </ns0:is>
      </ns0:c>
      <ns0:c r="F2210" s="21" t="inlineStr">
        <ns0:is>
          <ns0:t>https://doi.org/10.1111/coin.70131</ns0:t>
        </ns0:is>
      </ns0:c>
      <ns0:c r="G2210" s="21" t="inlineStr">
        <ns0:is>
          <ns0:t>ChatGPT-assisted evidence recharting, 2026-09-08</ns0:t>
        </ns0:is>
      </ns0:c>
    </ns0:row>
    <ns0:row r="2211" ht="57" customHeight="1">
      <ns0:c r="A2211" s="19" t="inlineStr">
        <ns0:is>
          <ns0:t>new_246</ns0:t>
        </ns0:is>
      </ns0:c>
      <ns0:c r="B2211" s="19" t="inlineStr">
        <ns0:is>
          <ns0:t>integrity_status</ns0:t>
        </ns0:is>
      </ns0:c>
      <ns0:c r="C2211" s="19" t="inlineStr"/>
      <ns0:c r="D2211" s="19" t="inlineStr">
        <ns0:is>
          <ns0:t>Not recorded</ns0:t>
        </ns0:is>
      </ns0:c>
      <ns0:c r="E2211" s="19" t="inlineStr">
        <ns0:is>
          <ns0:t>Retained source-specific coding after review of the supplied extraction notes; not a new full-text retrieval. MTT uses resting-state infant EEG baseline power, SMOTE, transfer learning and feature/self/cross-attention; reported accuracy is 0.91 and AUC 0.97. No independent external/site-held-out evaluation is identified. Interpretability is attention-based only, so it was coded as partial rather than strict XAI.</ns0:t>
        </ns0:is>
      </ns0:c>
      <ns0:c r="F2211" s="19" t="inlineStr">
        <ns0:is>
          <ns0:t>https://doi.org/10.1111/coin.70131</ns0:t>
        </ns0:is>
      </ns0:c>
      <ns0:c r="G2211" s="19" t="inlineStr">
        <ns0:is>
          <ns0:t>ChatGPT-assisted evidence recharting, 2026-09-08</ns0:t>
        </ns0:is>
      </ns0:c>
    </ns0:row>
    <ns0:row r="2212" ht="93" customHeight="1">
      <ns0:c r="A2212" s="21" t="inlineStr">
        <ns0:is>
          <ns0:t>new_248</ns0:t>
        </ns0:is>
      </ns0:c>
      <ns0:c r="B2212" s="21" t="inlineStr">
        <ns0:is>
          <ns0:t>ai_type</ns0:t>
        </ns0:is>
      </ns0:c>
      <ns0:c r="C2212" s="21" t="inlineStr">
        <ns0:is>
          <ns0:t>Hybrid</ns0:t>
        </ns0:is>
      </ns0:c>
      <ns0:c r="D2212" s="21" t="inlineStr">
        <ns0:is>
          <ns0:t>Deep Learning</ns0:t>
        </ns0:is>
      </ns0:c>
      <ns0:c r="E2212" s="21" t="inlineStr">
        <ns0:is>
          <ns0:t>Retained source-specific coding after review of the supplied extraction notes; not a new full-text retrieval. Uses two facial-image datasets, AMGF preprocessing, GAN augmentation, DMM-AND feature extraction and an optimized convolutional multi-scale vision transformer; reported accuracies are 97.96% and 98.04%. Evaluation on two datasets is not documented as an independent external-validation design or site-held-out test in the accessible material; very high performance warrants independent replication.
All-neural/optimization pipeline in recovered evidence; hybrid title is not sufficient for mixed conventional-ML/DL classification.</ns0:t>
        </ns0:is>
      </ns0:c>
      <ns0:c r="F2212" s="21" t="inlineStr">
        <ns0:is>
          <ns0:t>https://doi.org/10.1016/j.pscychresns.2026.112251</ns0:t>
        </ns0:is>
      </ns0:c>
      <ns0:c r="G2212" s="21" t="inlineStr">
        <ns0:is>
          <ns0:t>ChatGPT-assisted evidence recharting, 2026-09-08</ns0:t>
        </ns0:is>
      </ns0:c>
    </ns0:row>
    <ns0:row r="2213" ht="93" customHeight="1">
      <ns0:c r="A2213" s="19" t="inlineStr">
        <ns0:is>
          <ns0:t>new_248</ns0:t>
        </ns0:is>
      </ns0:c>
      <ns0:c r="B2213" s="19" t="inlineStr">
        <ns0:is>
          <ns0:t>data_source_primary</ns0:t>
        </ns0:is>
      </ns0:c>
      <ns0:c r="C2213" s="19" t="inlineStr">
        <ns0:is>
          <ns0:t>Facial images</ns0:t>
        </ns0:is>
      </ns0:c>
      <ns0:c r="D2213" s="19" t="inlineStr">
        <ns0:is>
          <ns0:t>Behavioral images/video/gaze/movement</ns0:t>
        </ns0:is>
      </ns0:c>
      <ns0:c r="E2213" s="19" t="inlineStr">
        <ns0:is>
          <ns0:t>Retained source-specific coding after review of the supplied extraction notes; not a new full-text retrieval. Uses two facial-image datasets, AMGF preprocessing, GAN augmentation, DMM-AND feature extraction and an optimized convolutional multi-scale vision transformer; reported accuracies are 97.96% and 98.04%. Evaluation on two datasets is not documented as an independent external-validation design or site-held-out test in the accessible material; very high performance warrants independent replication.
All-neural/optimization pipeline in recovered evidence; hybrid title is not sufficient for mixed conventional-ML/DL classification.</ns0:t>
        </ns0:is>
      </ns0:c>
      <ns0:c r="F2213" s="19" t="inlineStr">
        <ns0:is>
          <ns0:t>https://doi.org/10.1016/j.pscychresns.2026.112251</ns0:t>
        </ns0:is>
      </ns0:c>
      <ns0:c r="G2213" s="19" t="inlineStr">
        <ns0:is>
          <ns0:t>ChatGPT-assisted evidence recharting, 2026-09-08</ns0:t>
        </ns0:is>
      </ns0:c>
    </ns0:row>
    <ns0:row r="2214" ht="93" customHeight="1">
      <ns0:c r="A2214" s="21" t="inlineStr">
        <ns0:is>
          <ns0:t>new_248</ns0:t>
        </ns0:is>
      </ns0:c>
      <ns0:c r="B2214" s="21" t="inlineStr">
        <ns0:is>
          <ns0:t>rq2_role</ns0:t>
        </ns0:is>
      </ns0:c>
      <ns0:c r="C2214" s="21" t="inlineStr">
        <ns0:is>
          <ns0:t>Proposed facial-image diagnostic classifier; no live clinical workflow evaluation</ns0:t>
        </ns0:is>
      </ns0:c>
      <ns0:c r="D2214" s="21" t="inlineStr">
        <ns0:is>
          <ns0:t>Automated measurement/classification</ns0:t>
        </ns0:is>
      </ns0:c>
      <ns0:c r="E2214" s="21" t="inlineStr">
        <ns0:is>
          <ns0:t>Retained source-specific coding after review of the supplied extraction notes; not a new full-text retrieval. Uses two facial-image datasets, AMGF preprocessing, GAN augmentation, DMM-AND feature extraction and an optimized convolutional multi-scale vision transformer; reported accuracies are 97.96% and 98.04%. Evaluation on two datasets is not documented as an independent external-validation design or site-held-out test in the accessible material; very high performance warrants independent replication.
All-neural/optimization pipeline in recovered evidence; hybrid title is not sufficient for mixed conventional-ML/DL classification.</ns0:t>
        </ns0:is>
      </ns0:c>
      <ns0:c r="F2214" s="21" t="inlineStr">
        <ns0:is>
          <ns0:t>https://doi.org/10.1016/j.pscychresns.2026.112251</ns0:t>
        </ns0:is>
      </ns0:c>
      <ns0:c r="G2214" s="21" t="inlineStr">
        <ns0:is>
          <ns0:t>ChatGPT-assisted evidence recharting, 2026-09-08</ns0:t>
        </ns0:is>
      </ns0:c>
    </ns0:row>
    <ns0:row r="2215" ht="93" customHeight="1">
      <ns0:c r="A2215" s="19" t="inlineStr">
        <ns0:is>
          <ns0:t>new_248</ns0:t>
        </ns0:is>
      </ns0:c>
      <ns0:c r="B2215" s="19" t="inlineStr">
        <ns0:is>
          <ns0:t>decision_timing</ns0:t>
        </ns0:is>
      </ns0:c>
      <ns0:c r="C2215" s="19" t="inlineStr"/>
      <ns0:c r="D2215" s="19" t="inlineStr">
        <ns0:is>
          <ns0:t>In-decision</ns0:t>
        </ns0:is>
      </ns0:c>
      <ns0:c r="E2215" s="19" t="inlineStr">
        <ns0:is>
          <ns0:t>Retained source-specific coding after review of the supplied extraction notes; not a new full-text retrieval. Uses two facial-image datasets, AMGF preprocessing, GAN augmentation, DMM-AND feature extraction and an optimized convolutional multi-scale vision transformer; reported accuracies are 97.96% and 98.04%. Evaluation on two datasets is not documented as an independent external-validation design or site-held-out test in the accessible material; very high performance warrants independent replication.
All-neural/optimization pipeline in recovered evidence; hybrid title is not sufficient for mixed conventional-ML/DL classification.</ns0:t>
        </ns0:is>
      </ns0:c>
      <ns0:c r="F2215" s="19" t="inlineStr">
        <ns0:is>
          <ns0:t>https://doi.org/10.1016/j.pscychresns.2026.112251</ns0:t>
        </ns0:is>
      </ns0:c>
      <ns0:c r="G2215" s="19" t="inlineStr">
        <ns0:is>
          <ns0:t>ChatGPT-assisted evidence recharting, 2026-09-08</ns0:t>
        </ns0:is>
      </ns0:c>
    </ns0:row>
    <ns0:row r="2216" ht="93" customHeight="1">
      <ns0:c r="A2216" s="21" t="inlineStr">
        <ns0:is>
          <ns0:t>new_248</ns0:t>
        </ns0:is>
      </ns0:c>
      <ns0:c r="B2216" s="21" t="inlineStr">
        <ns0:is>
          <ns0:t>integrity_status</ns0:t>
        </ns0:is>
      </ns0:c>
      <ns0:c r="C2216" s="21" t="inlineStr"/>
      <ns0:c r="D2216" s="21" t="inlineStr">
        <ns0:is>
          <ns0:t>Not recorded</ns0:t>
        </ns0:is>
      </ns0:c>
      <ns0:c r="E2216" s="21" t="inlineStr">
        <ns0:is>
          <ns0:t>Retained source-specific coding after review of the supplied extraction notes; not a new full-text retrieval. Uses two facial-image datasets, AMGF preprocessing, GAN augmentation, DMM-AND feature extraction and an optimized convolutional multi-scale vision transformer; reported accuracies are 97.96% and 98.04%. Evaluation on two datasets is not documented as an independent external-validation design or site-held-out test in the accessible material; very high performance warrants independent replication.
All-neural/optimization pipeline in recovered evidence; hybrid title is not sufficient for mixed conventional-ML/DL classification.</ns0:t>
        </ns0:is>
      </ns0:c>
      <ns0:c r="F2216" s="21" t="inlineStr">
        <ns0:is>
          <ns0:t>https://doi.org/10.1016/j.pscychresns.2026.112251</ns0:t>
        </ns0:is>
      </ns0:c>
      <ns0:c r="G2216" s="21" t="inlineStr">
        <ns0:is>
          <ns0:t>ChatGPT-assisted evidence recharting, 2026-09-08</ns0:t>
        </ns0:is>
      </ns0:c>
    </ns0:row>
    <ns0:row r="2217" ht="57" customHeight="1">
      <ns0:c r="A2217" s="19" t="inlineStr">
        <ns0:is>
          <ns0:t>new_249</ns0:t>
        </ns0:is>
      </ns0:c>
      <ns0:c r="B2217" s="19" t="inlineStr">
        <ns0:is>
          <ns0:t>rq2_role</ns0:t>
        </ns0:is>
      </ns0:c>
      <ns0:c r="C2217" s="19" t="inlineStr">
        <ns0:is>
          <ns0:t>Proposed EEG-based early-screening classifier; no clinical workflow deployment evaluated</ns0:t>
        </ns0:is>
      </ns0:c>
      <ns0:c r="D2217" s="19" t="inlineStr">
        <ns0:is>
          <ns0:t>Triage/questionnaire assessment</ns0:t>
        </ns0:is>
      </ns0:c>
      <ns0:c r="E2217" s="19" t="inlineStr">
        <ns0:is>
          <ns0:t>Retained source-specific coding after review of the supplied extraction notes; not a new full-text retrieval. Baseline infant EEG power features were analyzed with DT, RF and SVM; SVM reached AUC 0.93 and SHAP was used to explain the best-performing model. The accessible record does not establish an independent external cohort, multisite evaluation or prospective clinical deployment.</ns0:t>
        </ns0:is>
      </ns0:c>
      <ns0:c r="F2217" s="19" t="inlineStr">
        <ns0:is>
          <ns0:t>https://doi.org/10.1016/j.compbiomed.2025.111238</ns0:t>
        </ns0:is>
      </ns0:c>
      <ns0:c r="G2217" s="19" t="inlineStr">
        <ns0:is>
          <ns0:t>ChatGPT-assisted evidence recharting, 2026-09-08</ns0:t>
        </ns0:is>
      </ns0:c>
    </ns0:row>
    <ns0:row r="2218" ht="57" customHeight="1">
      <ns0:c r="A2218" s="21" t="inlineStr">
        <ns0:is>
          <ns0:t>new_249</ns0:t>
        </ns0:is>
      </ns0:c>
      <ns0:c r="B2218" s="21" t="inlineStr">
        <ns0:is>
          <ns0:t>decision_timing</ns0:t>
        </ns0:is>
      </ns0:c>
      <ns0:c r="C2218" s="21" t="inlineStr"/>
      <ns0:c r="D2218" s="21" t="inlineStr">
        <ns0:is>
          <ns0:t>Pre-decision</ns0:t>
        </ns0:is>
      </ns0:c>
      <ns0:c r="E2218" s="21" t="inlineStr">
        <ns0:is>
          <ns0:t>Retained source-specific coding after review of the supplied extraction notes; not a new full-text retrieval. Baseline infant EEG power features were analyzed with DT, RF and SVM; SVM reached AUC 0.93 and SHAP was used to explain the best-performing model. The accessible record does not establish an independent external cohort, multisite evaluation or prospective clinical deployment.</ns0:t>
        </ns0:is>
      </ns0:c>
      <ns0:c r="F2218" s="21" t="inlineStr">
        <ns0:is>
          <ns0:t>https://doi.org/10.1016/j.compbiomed.2025.111238</ns0:t>
        </ns0:is>
      </ns0:c>
      <ns0:c r="G2218" s="21" t="inlineStr">
        <ns0:is>
          <ns0:t>ChatGPT-assisted evidence recharting, 2026-09-08</ns0:t>
        </ns0:is>
      </ns0:c>
    </ns0:row>
    <ns0:row r="2219" ht="57" customHeight="1">
      <ns0:c r="A2219" s="19" t="inlineStr">
        <ns0:is>
          <ns0:t>new_249</ns0:t>
        </ns0:is>
      </ns0:c>
      <ns0:c r="B2219" s="19" t="inlineStr">
        <ns0:is>
          <ns0:t>integrity_status</ns0:t>
        </ns0:is>
      </ns0:c>
      <ns0:c r="C2219" s="19" t="inlineStr"/>
      <ns0:c r="D2219" s="19" t="inlineStr">
        <ns0:is>
          <ns0:t>Not recorded</ns0:t>
        </ns0:is>
      </ns0:c>
      <ns0:c r="E2219" s="19" t="inlineStr">
        <ns0:is>
          <ns0:t>Retained source-specific coding after review of the supplied extraction notes; not a new full-text retrieval. Baseline infant EEG power features were analyzed with DT, RF and SVM; SVM reached AUC 0.93 and SHAP was used to explain the best-performing model. The accessible record does not establish an independent external cohort, multisite evaluation or prospective clinical deployment.</ns0:t>
        </ns0:is>
      </ns0:c>
      <ns0:c r="F2219" s="19" t="inlineStr">
        <ns0:is>
          <ns0:t>https://doi.org/10.1016/j.compbiomed.2025.111238</ns0:t>
        </ns0:is>
      </ns0:c>
      <ns0:c r="G2219" s="19" t="inlineStr">
        <ns0:is>
          <ns0:t>ChatGPT-assisted evidence recharting, 2026-09-08</ns0:t>
        </ns0:is>
      </ns0:c>
    </ns0:row>
    <ns0:row r="2220" ht="81" customHeight="1">
      <ns0:c r="A2220" s="21" t="inlineStr">
        <ns0:is>
          <ns0:t>new_250</ns0:t>
        </ns0:is>
      </ns0:c>
      <ns0:c r="B2220" s="21" t="inlineStr">
        <ns0:is>
          <ns0:t>ai_type</ns0:t>
        </ns0:is>
      </ns0:c>
      <ns0:c r="C2220" s="21" t="inlineStr">
        <ns0:is>
          <ns0:t>Hybrid</ns0:t>
        </ns0:is>
      </ns0:c>
      <ns0:c r="D2220" s="21" t="inlineStr">
        <ns0:is>
          <ns0:t>Deep Learning</ns0:t>
        </ns0:is>
      </ns0:c>
      <ns0:c r="E2220" s="21" t="inlineStr">
        <ns0:is>
          <ns0:t>Retained source-specific coding after review of the supplied extraction notes; not a new full-text retrieval. Combines EEG and fMRI after modality-specific preprocessing and feature extraction, followed by DFGAO feature selection and LRSF-DLNN classification; reported accuracy is 98.8%. No independent external validation, site-held-out robustness or explicit XAI method is established in the accessible material.
All-neural/optimization pipeline in recovered evidence; hybrid title is not sufficient for mixed conventional-ML/DL classification.</ns0:t>
        </ns0:is>
      </ns0:c>
      <ns0:c r="F2220" s="21" t="inlineStr">
        <ns0:is>
          <ns0:t>https://doi.org/10.1002/dneu.70047</ns0:t>
        </ns0:is>
      </ns0:c>
      <ns0:c r="G2220" s="21" t="inlineStr">
        <ns0:is>
          <ns0:t>ChatGPT-assisted evidence recharting, 2026-09-08</ns0:t>
        </ns0:is>
      </ns0:c>
    </ns0:row>
    <ns0:row r="2221" ht="81" customHeight="1">
      <ns0:c r="A2221" s="19" t="inlineStr">
        <ns0:is>
          <ns0:t>new_250</ns0:t>
        </ns0:is>
      </ns0:c>
      <ns0:c r="B2221" s="19" t="inlineStr">
        <ns0:is>
          <ns0:t>data_source_primary</ns0:t>
        </ns0:is>
      </ns0:c>
      <ns0:c r="C2221" s="19" t="inlineStr">
        <ns0:is>
          <ns0:t>Multiple modalities (as coded)</ns0:t>
        </ns0:is>
      </ns0:c>
      <ns0:c r="D2221" s="19" t="inlineStr">
        <ns0:is>
          <ns0:t>Multiple source categories</ns0:t>
        </ns0:is>
      </ns0:c>
      <ns0:c r="E2221" s="19" t="inlineStr">
        <ns0:is>
          <ns0:t>Retained source-specific coding after review of the supplied extraction notes; not a new full-text retrieval. Combines EEG and fMRI after modality-specific preprocessing and feature extraction, followed by DFGAO feature selection and LRSF-DLNN classification; reported accuracy is 98.8%. No independent external validation, site-held-out robustness or explicit XAI method is established in the accessible material.
All-neural/optimization pipeline in recovered evidence; hybrid title is not sufficient for mixed conventional-ML/DL classification.</ns0:t>
        </ns0:is>
      </ns0:c>
      <ns0:c r="F2221" s="19" t="inlineStr">
        <ns0:is>
          <ns0:t>https://doi.org/10.1002/dneu.70047</ns0:t>
        </ns0:is>
      </ns0:c>
      <ns0:c r="G2221" s="19" t="inlineStr">
        <ns0:is>
          <ns0:t>ChatGPT-assisted evidence recharting, 2026-09-08</ns0:t>
        </ns0:is>
      </ns0:c>
    </ns0:row>
    <ns0:row r="2222" ht="81" customHeight="1">
      <ns0:c r="A2222" s="21" t="inlineStr">
        <ns0:is>
          <ns0:t>new_250</ns0:t>
        </ns0:is>
      </ns0:c>
      <ns0:c r="B2222" s="21" t="inlineStr">
        <ns0:is>
          <ns0:t>rq2_role</ns0:t>
        </ns0:is>
      </ns0:c>
      <ns0:c r="C2222" s="21" t="inlineStr">
        <ns0:is>
          <ns0:t>Proposed multimodal diagnostic classifier; no workflow deployment evaluated</ns0:t>
        </ns0:is>
      </ns0:c>
      <ns0:c r="D2222" s="21" t="inlineStr">
        <ns0:is>
          <ns0:t>Automated measurement/classification</ns0:t>
        </ns0:is>
      </ns0:c>
      <ns0:c r="E2222" s="21" t="inlineStr">
        <ns0:is>
          <ns0:t>Retained source-specific coding after review of the supplied extraction notes; not a new full-text retrieval. Combines EEG and fMRI after modality-specific preprocessing and feature extraction, followed by DFGAO feature selection and LRSF-DLNN classification; reported accuracy is 98.8%. No independent external validation, site-held-out robustness or explicit XAI method is established in the accessible material.
All-neural/optimization pipeline in recovered evidence; hybrid title is not sufficient for mixed conventional-ML/DL classification.</ns0:t>
        </ns0:is>
      </ns0:c>
      <ns0:c r="F2222" s="21" t="inlineStr">
        <ns0:is>
          <ns0:t>https://doi.org/10.1002/dneu.70047</ns0:t>
        </ns0:is>
      </ns0:c>
      <ns0:c r="G2222" s="21" t="inlineStr">
        <ns0:is>
          <ns0:t>ChatGPT-assisted evidence recharting, 2026-09-08</ns0:t>
        </ns0:is>
      </ns0:c>
    </ns0:row>
    <ns0:row r="2223" ht="81" customHeight="1">
      <ns0:c r="A2223" s="19" t="inlineStr">
        <ns0:is>
          <ns0:t>new_250</ns0:t>
        </ns0:is>
      </ns0:c>
      <ns0:c r="B2223" s="19" t="inlineStr">
        <ns0:is>
          <ns0:t>decision_timing</ns0:t>
        </ns0:is>
      </ns0:c>
      <ns0:c r="C2223" s="19" t="inlineStr"/>
      <ns0:c r="D2223" s="19" t="inlineStr">
        <ns0:is>
          <ns0:t>In-decision</ns0:t>
        </ns0:is>
      </ns0:c>
      <ns0:c r="E2223" s="19" t="inlineStr">
        <ns0:is>
          <ns0:t>Retained source-specific coding after review of the supplied extraction notes; not a new full-text retrieval. Combines EEG and fMRI after modality-specific preprocessing and feature extraction, followed by DFGAO feature selection and LRSF-DLNN classification; reported accuracy is 98.8%. No independent external validation, site-held-out robustness or explicit XAI method is established in the accessible material.
All-neural/optimization pipeline in recovered evidence; hybrid title is not sufficient for mixed conventional-ML/DL classification.</ns0:t>
        </ns0:is>
      </ns0:c>
      <ns0:c r="F2223" s="19" t="inlineStr">
        <ns0:is>
          <ns0:t>https://doi.org/10.1002/dneu.70047</ns0:t>
        </ns0:is>
      </ns0:c>
      <ns0:c r="G2223" s="19" t="inlineStr">
        <ns0:is>
          <ns0:t>ChatGPT-assisted evidence recharting, 2026-09-08</ns0:t>
        </ns0:is>
      </ns0:c>
    </ns0:row>
    <ns0:row r="2224" ht="81" customHeight="1">
      <ns0:c r="A2224" s="21" t="inlineStr">
        <ns0:is>
          <ns0:t>new_250</ns0:t>
        </ns0:is>
      </ns0:c>
      <ns0:c r="B2224" s="21" t="inlineStr">
        <ns0:is>
          <ns0:t>integrity_status</ns0:t>
        </ns0:is>
      </ns0:c>
      <ns0:c r="C2224" s="21" t="inlineStr"/>
      <ns0:c r="D2224" s="21" t="inlineStr">
        <ns0:is>
          <ns0:t>Not recorded</ns0:t>
        </ns0:is>
      </ns0:c>
      <ns0:c r="E2224" s="21" t="inlineStr">
        <ns0:is>
          <ns0:t>Retained source-specific coding after review of the supplied extraction notes; not a new full-text retrieval. Combines EEG and fMRI after modality-specific preprocessing and feature extraction, followed by DFGAO feature selection and LRSF-DLNN classification; reported accuracy is 98.8%. No independent external validation, site-held-out robustness or explicit XAI method is established in the accessible material.
All-neural/optimization pipeline in recovered evidence; hybrid title is not sufficient for mixed conventional-ML/DL classification.</ns0:t>
        </ns0:is>
      </ns0:c>
      <ns0:c r="F2224" s="21" t="inlineStr">
        <ns0:is>
          <ns0:t>https://doi.org/10.1002/dneu.70047</ns0:t>
        </ns0:is>
      </ns0:c>
      <ns0:c r="G2224" s="21" t="inlineStr">
        <ns0:is>
          <ns0:t>ChatGPT-assisted evidence recharting, 2026-09-08</ns0:t>
        </ns0:is>
      </ns0:c>
    </ns0:row>
    <ns0:row r="2225" ht="69" customHeight="1">
      <ns0:c r="A2225" s="19" t="inlineStr">
        <ns0:is>
          <ns0:t>new_252</ns0:t>
        </ns0:is>
      </ns0:c>
      <ns0:c r="B2225" s="19" t="inlineStr">
        <ns0:is>
          <ns0:t>rq2_role</ns0:t>
        </ns0:is>
      </ns0:c>
      <ns0:c r="C2225" s="19" t="inlineStr">
        <ns0:is>
          <ns0:t>Research analysis of EEG semantic processing with potential auxiliary diagnostic value; no deployed workflow</ns0:t>
        </ns0:is>
      </ns0:c>
      <ns0:c r="D2225" s="19" t="inlineStr">
        <ns0:is>
          <ns0:t>Automated measurement/classification</ns0:t>
        </ns0:is>
      </ns0:c>
      <ns0:c r="E2225" s="19" t="inlineStr">
        <ns0:is>
          <ns0:t>Retained source-specific coding after review of the supplied extraction notes; not a new full-text retrieval. EEG recorded during naturalistic cartoon viewing was linked to semantic representations derived from pretrained language models; the study reports ASD/TD discrimination and a validation analysis. The accessible description does not establish that the reported validation analysis used an independent external cohort; semantic annotations are stimulus descriptors rather than a second human data modality.</ns0:t>
        </ns0:is>
      </ns0:c>
      <ns0:c r="F2225" s="19" t="inlineStr">
        <ns0:is>
          <ns0:t>https://doi.org/10.1002/aur.70105</ns0:t>
        </ns0:is>
      </ns0:c>
      <ns0:c r="G2225" s="19" t="inlineStr">
        <ns0:is>
          <ns0:t>ChatGPT-assisted evidence recharting, 2026-09-08</ns0:t>
        </ns0:is>
      </ns0:c>
    </ns0:row>
    <ns0:row r="2226" ht="69" customHeight="1">
      <ns0:c r="A2226" s="21" t="inlineStr">
        <ns0:is>
          <ns0:t>new_252</ns0:t>
        </ns0:is>
      </ns0:c>
      <ns0:c r="B2226" s="21" t="inlineStr">
        <ns0:is>
          <ns0:t>decision_timing</ns0:t>
        </ns0:is>
      </ns0:c>
      <ns0:c r="C2226" s="21" t="inlineStr"/>
      <ns0:c r="D2226" s="21" t="inlineStr">
        <ns0:is>
          <ns0:t>Not observed in assessed sources</ns0:t>
        </ns0:is>
      </ns0:c>
      <ns0:c r="E2226" s="21" t="inlineStr">
        <ns0:is>
          <ns0:t>Retained source-specific coding after review of the supplied extraction notes; not a new full-text retrieval. EEG recorded during naturalistic cartoon viewing was linked to semantic representations derived from pretrained language models; the study reports ASD/TD discrimination and a validation analysis. The accessible description does not establish that the reported validation analysis used an independent external cohort; semantic annotations are stimulus descriptors rather than a second human data modality.</ns0:t>
        </ns0:is>
      </ns0:c>
      <ns0:c r="F2226" s="21" t="inlineStr">
        <ns0:is>
          <ns0:t>https://doi.org/10.1002/aur.70105</ns0:t>
        </ns0:is>
      </ns0:c>
      <ns0:c r="G2226" s="21" t="inlineStr">
        <ns0:is>
          <ns0:t>ChatGPT-assisted evidence recharting, 2026-09-08</ns0:t>
        </ns0:is>
      </ns0:c>
    </ns0:row>
    <ns0:row r="2227" ht="69" customHeight="1">
      <ns0:c r="A2227" s="19" t="inlineStr">
        <ns0:is>
          <ns0:t>new_252</ns0:t>
        </ns0:is>
      </ns0:c>
      <ns0:c r="B2227" s="19" t="inlineStr">
        <ns0:is>
          <ns0:t>integrity_status</ns0:t>
        </ns0:is>
      </ns0:c>
      <ns0:c r="C2227" s="19" t="inlineStr"/>
      <ns0:c r="D2227" s="19" t="inlineStr">
        <ns0:is>
          <ns0:t>Not recorded</ns0:t>
        </ns0:is>
      </ns0:c>
      <ns0:c r="E2227" s="19" t="inlineStr">
        <ns0:is>
          <ns0:t>Retained source-specific coding after review of the supplied extraction notes; not a new full-text retrieval. EEG recorded during naturalistic cartoon viewing was linked to semantic representations derived from pretrained language models; the study reports ASD/TD discrimination and a validation analysis. The accessible description does not establish that the reported validation analysis used an independent external cohort; semantic annotations are stimulus descriptors rather than a second human data modality.</ns0:t>
        </ns0:is>
      </ns0:c>
      <ns0:c r="F2227" s="19" t="inlineStr">
        <ns0:is>
          <ns0:t>https://doi.org/10.1002/aur.70105</ns0:t>
        </ns0:is>
      </ns0:c>
      <ns0:c r="G2227" s="19" t="inlineStr">
        <ns0:is>
          <ns0:t>ChatGPT-assisted evidence recharting, 2026-09-08</ns0:t>
        </ns0:is>
      </ns0:c>
    </ns0:row>
    <ns0:row r="2228" ht="81" customHeight="1">
      <ns0:c r="A2228" s="21" t="inlineStr">
        <ns0:is>
          <ns0:t>new_254</ns0:t>
        </ns0:is>
      </ns0:c>
      <ns0:c r="B2228" s="21" t="inlineStr">
        <ns0:is>
          <ns0:t>ai_type</ns0:t>
        </ns0:is>
      </ns0:c>
      <ns0:c r="C2228" s="21" t="inlineStr">
        <ns0:is>
          <ns0:t>Hybrid</ns0:t>
        </ns0:is>
      </ns0:c>
      <ns0:c r="D2228" s="21" t="inlineStr">
        <ns0:is>
          <ns0:t>Deep Learning</ns0:t>
        </ns0:is>
      </ns0:c>
      <ns0:c r="E2228" s="21" t="inlineStr">
        <ns0:is>
          <ns0:t>Retained source-specific coding after review of the supplied extraction notes; not a new full-text retrieval. Integrates MRI-derived features with phenotypic variables, applies feature selection/optimization and DRNet classification; reported accuracy is 92.77%. No independent external validation, prospective evaluation or explicit site-held-out robustness is established in the accessible record.
All-neural/optimization pipeline in recovered evidence; hybrid title is not sufficient for mixed conventional-ML/DL classification.</ns0:t>
        </ns0:is>
      </ns0:c>
      <ns0:c r="F2228" s="21" t="inlineStr">
        <ns0:is>
          <ns0:t>https://doi.org/10.1016/j.pscychresns.2026.112204</ns0:t>
        </ns0:is>
      </ns0:c>
      <ns0:c r="G2228" s="21" t="inlineStr">
        <ns0:is>
          <ns0:t>ChatGPT-assisted evidence recharting, 2026-09-08</ns0:t>
        </ns0:is>
      </ns0:c>
    </ns0:row>
    <ns0:row r="2229" ht="81" customHeight="1">
      <ns0:c r="A2229" s="19" t="inlineStr">
        <ns0:is>
          <ns0:t>new_254</ns0:t>
        </ns0:is>
      </ns0:c>
      <ns0:c r="B2229" s="19" t="inlineStr">
        <ns0:is>
          <ns0:t>data_source_primary</ns0:t>
        </ns0:is>
      </ns0:c>
      <ns0:c r="C2229" s="19" t="inlineStr">
        <ns0:is>
          <ns0:t>Multiple modalities (as coded)</ns0:t>
        </ns0:is>
      </ns0:c>
      <ns0:c r="D2229" s="19" t="inlineStr">
        <ns0:is>
          <ns0:t>Multiple source categories</ns0:t>
        </ns0:is>
      </ns0:c>
      <ns0:c r="E2229" s="19" t="inlineStr">
        <ns0:is>
          <ns0:t>Retained source-specific coding after review of the supplied extraction notes; not a new full-text retrieval. Integrates MRI-derived features with phenotypic variables, applies feature selection/optimization and DRNet classification; reported accuracy is 92.77%. No independent external validation, prospective evaluation or explicit site-held-out robustness is established in the accessible record.
All-neural/optimization pipeline in recovered evidence; hybrid title is not sufficient for mixed conventional-ML/DL classification.</ns0:t>
        </ns0:is>
      </ns0:c>
      <ns0:c r="F2229" s="19" t="inlineStr">
        <ns0:is>
          <ns0:t>https://doi.org/10.1016/j.pscychresns.2026.112204</ns0:t>
        </ns0:is>
      </ns0:c>
      <ns0:c r="G2229" s="19" t="inlineStr">
        <ns0:is>
          <ns0:t>ChatGPT-assisted evidence recharting, 2026-09-08</ns0:t>
        </ns0:is>
      </ns0:c>
    </ns0:row>
    <ns0:row r="2230" ht="81" customHeight="1">
      <ns0:c r="A2230" s="21" t="inlineStr">
        <ns0:is>
          <ns0:t>new_254</ns0:t>
        </ns0:is>
      </ns0:c>
      <ns0:c r="B2230" s="21" t="inlineStr">
        <ns0:is>
          <ns0:t>rq2_role</ns0:t>
        </ns0:is>
      </ns0:c>
      <ns0:c r="C2230" s="21" t="inlineStr">
        <ns0:is>
          <ns0:t>Proposed multimodal diagnostic classifier; no clinical deployment evaluated</ns0:t>
        </ns0:is>
      </ns0:c>
      <ns0:c r="D2230" s="21" t="inlineStr">
        <ns0:is>
          <ns0:t>Automated measurement/classification</ns0:t>
        </ns0:is>
      </ns0:c>
      <ns0:c r="E2230" s="21" t="inlineStr">
        <ns0:is>
          <ns0:t>Retained source-specific coding after review of the supplied extraction notes; not a new full-text retrieval. Integrates MRI-derived features with phenotypic variables, applies feature selection/optimization and DRNet classification; reported accuracy is 92.77%. No independent external validation, prospective evaluation or explicit site-held-out robustness is established in the accessible record.
All-neural/optimization pipeline in recovered evidence; hybrid title is not sufficient for mixed conventional-ML/DL classification.</ns0:t>
        </ns0:is>
      </ns0:c>
      <ns0:c r="F2230" s="21" t="inlineStr">
        <ns0:is>
          <ns0:t>https://doi.org/10.1016/j.pscychresns.2026.112204</ns0:t>
        </ns0:is>
      </ns0:c>
      <ns0:c r="G2230" s="21" t="inlineStr">
        <ns0:is>
          <ns0:t>ChatGPT-assisted evidence recharting, 2026-09-08</ns0:t>
        </ns0:is>
      </ns0:c>
    </ns0:row>
    <ns0:row r="2231" ht="81" customHeight="1">
      <ns0:c r="A2231" s="19" t="inlineStr">
        <ns0:is>
          <ns0:t>new_254</ns0:t>
        </ns0:is>
      </ns0:c>
      <ns0:c r="B2231" s="19" t="inlineStr">
        <ns0:is>
          <ns0:t>decision_timing</ns0:t>
        </ns0:is>
      </ns0:c>
      <ns0:c r="C2231" s="19" t="inlineStr"/>
      <ns0:c r="D2231" s="19" t="inlineStr">
        <ns0:is>
          <ns0:t>In-decision</ns0:t>
        </ns0:is>
      </ns0:c>
      <ns0:c r="E2231" s="19" t="inlineStr">
        <ns0:is>
          <ns0:t>Retained source-specific coding after review of the supplied extraction notes; not a new full-text retrieval. Integrates MRI-derived features with phenotypic variables, applies feature selection/optimization and DRNet classification; reported accuracy is 92.77%. No independent external validation, prospective evaluation or explicit site-held-out robustness is established in the accessible record.
All-neural/optimization pipeline in recovered evidence; hybrid title is not sufficient for mixed conventional-ML/DL classification.</ns0:t>
        </ns0:is>
      </ns0:c>
      <ns0:c r="F2231" s="19" t="inlineStr">
        <ns0:is>
          <ns0:t>https://doi.org/10.1016/j.pscychresns.2026.112204</ns0:t>
        </ns0:is>
      </ns0:c>
      <ns0:c r="G2231" s="19" t="inlineStr">
        <ns0:is>
          <ns0:t>ChatGPT-assisted evidence recharting, 2026-09-08</ns0:t>
        </ns0:is>
      </ns0:c>
    </ns0:row>
    <ns0:row r="2232" ht="81" customHeight="1">
      <ns0:c r="A2232" s="21" t="inlineStr">
        <ns0:is>
          <ns0:t>new_254</ns0:t>
        </ns0:is>
      </ns0:c>
      <ns0:c r="B2232" s="21" t="inlineStr">
        <ns0:is>
          <ns0:t>integrity_status</ns0:t>
        </ns0:is>
      </ns0:c>
      <ns0:c r="C2232" s="21" t="inlineStr"/>
      <ns0:c r="D2232" s="21" t="inlineStr">
        <ns0:is>
          <ns0:t>Not recorded</ns0:t>
        </ns0:is>
      </ns0:c>
      <ns0:c r="E2232" s="21" t="inlineStr">
        <ns0:is>
          <ns0:t>Retained source-specific coding after review of the supplied extraction notes; not a new full-text retrieval. Integrates MRI-derived features with phenotypic variables, applies feature selection/optimization and DRNet classification; reported accuracy is 92.77%. No independent external validation, prospective evaluation or explicit site-held-out robustness is established in the accessible record.
All-neural/optimization pipeline in recovered evidence; hybrid title is not sufficient for mixed conventional-ML/DL classification.</ns0:t>
        </ns0:is>
      </ns0:c>
      <ns0:c r="F2232" s="21" t="inlineStr">
        <ns0:is>
          <ns0:t>https://doi.org/10.1016/j.pscychresns.2026.112204</ns0:t>
        </ns0:is>
      </ns0:c>
      <ns0:c r="G2232" s="21" t="inlineStr">
        <ns0:is>
          <ns0:t>ChatGPT-assisted evidence recharting, 2026-09-08</ns0:t>
        </ns0:is>
      </ns0:c>
    </ns0:row>
    <ns0:row r="2233" ht="69" customHeight="1">
      <ns0:c r="A2233" s="19" t="inlineStr">
        <ns0:is>
          <ns0:t>new_266</ns0:t>
        </ns0:is>
      </ns0:c>
      <ns0:c r="B2233" s="19" t="inlineStr">
        <ns0:is>
          <ns0:t>data_source_primary</ns0:t>
        </ns0:is>
      </ns0:c>
      <ns0:c r="C2233" s="19" t="inlineStr">
        <ns0:is>
          <ns0:t>Audio / voice</ns0:t>
        </ns0:is>
      </ns0:c>
      <ns0:c r="D2233" s="19" t="inlineStr">
        <ns0:is>
          <ns0:t>Audio/voice</ns0:t>
        </ns0:is>
      </ns0:c>
      <ns0:c r="E2233" s="19" t="inlineStr">
        <ns0:is>
          <ns0:t>Retained source-specific coding after review of the supplied extraction notes; not a new full-text retrieval. In a prospective infant-sibling cohort, vocalizations at 9-18 months were parameterized into thousands of acoustic features, reduced with LASSO, and classified with SVM against ASD outcome confirmed at 36 months. The cohort is relatively small and the accessible record does not establish independent external validation; LASSO-based feature reduction is treated as partial interpretability rather than strict XAI.</ns0:t>
        </ns0:is>
      </ns0:c>
      <ns0:c r="F2233" s="19" t="inlineStr">
        <ns0:is>
          <ns0:t>https://doi.org/10.1002/aur.70179</ns0:t>
        </ns0:is>
      </ns0:c>
      <ns0:c r="G2233" s="19" t="inlineStr">
        <ns0:is>
          <ns0:t>ChatGPT-assisted evidence recharting, 2026-09-08</ns0:t>
        </ns0:is>
      </ns0:c>
    </ns0:row>
    <ns0:row r="2234" ht="69" customHeight="1">
      <ns0:c r="A2234" s="21" t="inlineStr">
        <ns0:is>
          <ns0:t>new_266</ns0:t>
        </ns0:is>
      </ns0:c>
      <ns0:c r="B2234" s="21" t="inlineStr">
        <ns0:is>
          <ns0:t>rq2_role</ns0:t>
        </ns0:is>
      </ns0:c>
      <ns0:c r="C2234" s="21" t="inlineStr">
        <ns0:is>
          <ns0:t>Prospective risk-prediction research; no deployed clinical workflow evaluated</ns0:t>
        </ns0:is>
      </ns0:c>
      <ns0:c r="D2234" s="21" t="inlineStr">
        <ns0:is>
          <ns0:t>Risk/trajectory estimation</ns0:t>
        </ns0:is>
      </ns0:c>
      <ns0:c r="E2234" s="21" t="inlineStr">
        <ns0:is>
          <ns0:t>Retained source-specific coding after review of the supplied extraction notes; not a new full-text retrieval. In a prospective infant-sibling cohort, vocalizations at 9-18 months were parameterized into thousands of acoustic features, reduced with LASSO, and classified with SVM against ASD outcome confirmed at 36 months. The cohort is relatively small and the accessible record does not establish independent external validation; LASSO-based feature reduction is treated as partial interpretability rather than strict XAI.</ns0:t>
        </ns0:is>
      </ns0:c>
      <ns0:c r="F2234" s="21" t="inlineStr">
        <ns0:is>
          <ns0:t>https://doi.org/10.1002/aur.70179</ns0:t>
        </ns0:is>
      </ns0:c>
      <ns0:c r="G2234" s="21" t="inlineStr">
        <ns0:is>
          <ns0:t>ChatGPT-assisted evidence recharting, 2026-09-08</ns0:t>
        </ns0:is>
      </ns0:c>
    </ns0:row>
    <ns0:row r="2235" ht="69" customHeight="1">
      <ns0:c r="A2235" s="19" t="inlineStr">
        <ns0:is>
          <ns0:t>new_266</ns0:t>
        </ns0:is>
      </ns0:c>
      <ns0:c r="B2235" s="19" t="inlineStr">
        <ns0:is>
          <ns0:t>decision_timing</ns0:t>
        </ns0:is>
      </ns0:c>
      <ns0:c r="C2235" s="19" t="inlineStr"/>
      <ns0:c r="D2235" s="19" t="inlineStr">
        <ns0:is>
          <ns0:t>Not observed in assessed sources</ns0:t>
        </ns0:is>
      </ns0:c>
      <ns0:c r="E2235" s="19" t="inlineStr">
        <ns0:is>
          <ns0:t>Retained source-specific coding after review of the supplied extraction notes; not a new full-text retrieval. In a prospective infant-sibling cohort, vocalizations at 9-18 months were parameterized into thousands of acoustic features, reduced with LASSO, and classified with SVM against ASD outcome confirmed at 36 months. The cohort is relatively small and the accessible record does not establish independent external validation; LASSO-based feature reduction is treated as partial interpretability rather than strict XAI.</ns0:t>
        </ns0:is>
      </ns0:c>
      <ns0:c r="F2235" s="19" t="inlineStr">
        <ns0:is>
          <ns0:t>https://doi.org/10.1002/aur.70179</ns0:t>
        </ns0:is>
      </ns0:c>
      <ns0:c r="G2235" s="19" t="inlineStr">
        <ns0:is>
          <ns0:t>ChatGPT-assisted evidence recharting, 2026-09-08</ns0:t>
        </ns0:is>
      </ns0:c>
    </ns0:row>
    <ns0:row r="2236" ht="69" customHeight="1">
      <ns0:c r="A2236" s="21" t="inlineStr">
        <ns0:is>
          <ns0:t>new_266</ns0:t>
        </ns0:is>
      </ns0:c>
      <ns0:c r="B2236" s="21" t="inlineStr">
        <ns0:is>
          <ns0:t>prospective_evaluation</ns0:t>
        </ns0:is>
      </ns0:c>
      <ns0:c r="C2236" s="21" t="inlineStr">
        <ns0:is>
          <ns0:t>Reported</ns0:t>
        </ns0:is>
      </ns0:c>
      <ns0:c r="D2236" s="21" t="inlineStr">
        <ns0:is>
          <ns0:t>Not reported in assessed sources</ns0:t>
        </ns0:is>
      </ns0:c>
      <ns0:c r="E2236" s="21" t="inlineStr">
        <ns0:is>
          <ns0:t>Retained source-specific coding after review of the supplied extraction notes; not a new full-text retrieval. In a prospective infant-sibling cohort, vocalizations at 9-18 months were parameterized into thousands of acoustic features, reduced with LASSO, and classified with SVM against ASD outcome confirmed at 36 months. The cohort is relatively small and the accessible record does not establish independent external validation; LASSO-based feature reduction is treated as partial interpretability rather than strict XAI.</ns0:t>
        </ns0:is>
      </ns0:c>
      <ns0:c r="F2236" s="21" t="inlineStr">
        <ns0:is>
          <ns0:t>https://doi.org/10.1002/aur.70179</ns0:t>
        </ns0:is>
      </ns0:c>
      <ns0:c r="G2236" s="21" t="inlineStr">
        <ns0:is>
          <ns0:t>ChatGPT-assisted evidence recharting, 2026-09-08</ns0:t>
        </ns0:is>
      </ns0:c>
    </ns0:row>
    <ns0:row r="2237" ht="69" customHeight="1">
      <ns0:c r="A2237" s="19" t="inlineStr">
        <ns0:is>
          <ns0:t>new_266</ns0:t>
        </ns0:is>
      </ns0:c>
      <ns0:c r="B2237" s="19" t="inlineStr">
        <ns0:is>
          <ns0:t>xai_partial</ns0:t>
        </ns0:is>
      </ns0:c>
      <ns0:c r="C2237" s="19" t="inlineStr">
        <ns0:is>
          <ns0:t>Reported</ns0:t>
        </ns0:is>
      </ns0:c>
      <ns0:c r="D2237" s="19" t="inlineStr">
        <ns0:is>
          <ns0:t>Not ascertainable</ns0:t>
        </ns0:is>
      </ns0:c>
      <ns0:c r="E2237" s="19" t="inlineStr">
        <ns0:is>
          <ns0:t>Retained source-specific coding after review of the supplied extraction notes; not a new full-text retrieval. In a prospective infant-sibling cohort, vocalizations at 9-18 months were parameterized into thousands of acoustic features, reduced with LASSO, and classified with SVM against ASD outcome confirmed at 36 months. The cohort is relatively small and the accessible record does not establish independent external validation; LASSO-based feature reduction is treated as partial interpretability rather than strict XAI.</ns0:t>
        </ns0:is>
      </ns0:c>
      <ns0:c r="F2237" s="19" t="inlineStr">
        <ns0:is>
          <ns0:t>https://doi.org/10.1002/aur.70179</ns0:t>
        </ns0:is>
      </ns0:c>
      <ns0:c r="G2237" s="19" t="inlineStr">
        <ns0:is>
          <ns0:t>ChatGPT-assisted evidence recharting, 2026-09-08</ns0:t>
        </ns0:is>
      </ns0:c>
    </ns0:row>
    <ns0:row r="2238" ht="69" customHeight="1">
      <ns0:c r="A2238" s="21" t="inlineStr">
        <ns0:is>
          <ns0:t>new_266</ns0:t>
        </ns0:is>
      </ns0:c>
      <ns0:c r="B2238" s="21" t="inlineStr">
        <ns0:is>
          <ns0:t>integrity_status</ns0:t>
        </ns0:is>
      </ns0:c>
      <ns0:c r="C2238" s="21" t="inlineStr"/>
      <ns0:c r="D2238" s="21" t="inlineStr">
        <ns0:is>
          <ns0:t>Not recorded</ns0:t>
        </ns0:is>
      </ns0:c>
      <ns0:c r="E2238" s="21" t="inlineStr">
        <ns0:is>
          <ns0:t>Retained source-specific coding after review of the supplied extraction notes; not a new full-text retrieval. In a prospective infant-sibling cohort, vocalizations at 9-18 months were parameterized into thousands of acoustic features, reduced with LASSO, and classified with SVM against ASD outcome confirmed at 36 months. The cohort is relatively small and the accessible record does not establish independent external validation; LASSO-based feature reduction is treated as partial interpretability rather than strict XAI.</ns0:t>
        </ns0:is>
      </ns0:c>
      <ns0:c r="F2238" s="21" t="inlineStr">
        <ns0:is>
          <ns0:t>https://doi.org/10.1002/aur.70179</ns0:t>
        </ns0:is>
      </ns0:c>
      <ns0:c r="G2238" s="21" t="inlineStr">
        <ns0:is>
          <ns0:t>ChatGPT-assisted evidence recharting, 2026-09-08</ns0:t>
        </ns0:is>
      </ns0:c>
    </ns0:row>
    <ns0:row r="2239" ht="93" customHeight="1">
      <ns0:c r="A2239" s="19" t="inlineStr">
        <ns0:is>
          <ns0:t>new_269</ns0:t>
        </ns0:is>
      </ns0:c>
      <ns0:c r="B2239" s="19" t="inlineStr">
        <ns0:is>
          <ns0:t>data_source_primary</ns0:t>
        </ns0:is>
      </ns0:c>
      <ns0:c r="C2239" s="19" t="inlineStr">
        <ns0:is>
          <ns0:t>Multiple modalities (as coded)</ns0:t>
        </ns0:is>
      </ns0:c>
      <ns0:c r="D2239" s="19" t="inlineStr">
        <ns0:is>
          <ns0:t>Multiple source categories</ns0:t>
        </ns0:is>
      </ns0:c>
      <ns0:c r="E2239" s="19" t="inlineStr">
        <ns0:is>
          <ns0:t>Retained source-specific coding after review of the supplied extraction notes; not a new full-text retrieval. The publisher article contains participant recruitment, data collection, Methods and Results. It integrates QEEG, Finger Tapping, Hand-Eye Coordination, Visual Memory and AQ-10 variables; logistic regression was the best model and RF Gini plots were used for feature interpretation. PubMed labels the record as Review, but the publisher full article is clearly an original empirical study with recruited participants and primary data collection. The metadata conflict should be checked independently; stage is left Not specified because the AI endpoint is fine-motor deficit rather than a unique ASD screening/diagnostic stage.</ns0:t>
        </ns0:is>
      </ns0:c>
      <ns0:c r="F2239" s="19" t="inlineStr">
        <ns0:is>
          <ns0:t>https://doi.org/10.1016/j.compbiomed.2026.111470</ns0:t>
        </ns0:is>
      </ns0:c>
      <ns0:c r="G2239" s="19" t="inlineStr">
        <ns0:is>
          <ns0:t>ChatGPT-assisted evidence recharting, 2026-09-08</ns0:t>
        </ns0:is>
      </ns0:c>
    </ns0:row>
    <ns0:row r="2240" ht="93" customHeight="1">
      <ns0:c r="A2240" s="21" t="inlineStr">
        <ns0:is>
          <ns0:t>new_269</ns0:t>
        </ns0:is>
      </ns0:c>
      <ns0:c r="B2240" s="21" t="inlineStr">
        <ns0:is>
          <ns0:t>rq2_role</ns0:t>
        </ns0:is>
      </ns0:c>
      <ns0:c r="C2240" s="21" t="inlineStr">
        <ns0:is>
          <ns0:t>Research classification of motor impairment in ASD; no ASD clinical workflow deployment evaluated</ns0:t>
        </ns0:is>
      </ns0:c>
      <ns0:c r="D2240" s="21" t="inlineStr">
        <ns0:is>
          <ns0:t>Research characterization</ns0:t>
        </ns0:is>
      </ns0:c>
      <ns0:c r="E2240" s="21" t="inlineStr">
        <ns0:is>
          <ns0:t>Retained source-specific coding after review of the supplied extraction notes; not a new full-text retrieval. The publisher article contains participant recruitment, data collection, Methods and Results. It integrates QEEG, Finger Tapping, Hand-Eye Coordination, Visual Memory and AQ-10 variables; logistic regression was the best model and RF Gini plots were used for feature interpretation. PubMed labels the record as Review, but the publisher full article is clearly an original empirical study with recruited participants and primary data collection. The metadata conflict should be checked independently; stage is left Not specified because the AI endpoint is fine-motor deficit rather than a unique ASD screening/diagnostic stage.</ns0:t>
        </ns0:is>
      </ns0:c>
      <ns0:c r="F2240" s="21" t="inlineStr">
        <ns0:is>
          <ns0:t>https://doi.org/10.1016/j.compbiomed.2026.111470</ns0:t>
        </ns0:is>
      </ns0:c>
      <ns0:c r="G2240" s="21" t="inlineStr">
        <ns0:is>
          <ns0:t>ChatGPT-assisted evidence recharting, 2026-09-08</ns0:t>
        </ns0:is>
      </ns0:c>
    </ns0:row>
    <ns0:row r="2241" ht="93" customHeight="1">
      <ns0:c r="A2241" s="19" t="inlineStr">
        <ns0:is>
          <ns0:t>new_269</ns0:t>
        </ns0:is>
      </ns0:c>
      <ns0:c r="B2241" s="19" t="inlineStr">
        <ns0:is>
          <ns0:t>decision_timing</ns0:t>
        </ns0:is>
      </ns0:c>
      <ns0:c r="C2241" s="19" t="inlineStr"/>
      <ns0:c r="D2241" s="19" t="inlineStr">
        <ns0:is>
          <ns0:t>Not observed in assessed sources</ns0:t>
        </ns0:is>
      </ns0:c>
      <ns0:c r="E2241" s="19" t="inlineStr">
        <ns0:is>
          <ns0:t>Retained source-specific coding after review of the supplied extraction notes; not a new full-text retrieval. The publisher article contains participant recruitment, data collection, Methods and Results. It integrates QEEG, Finger Tapping, Hand-Eye Coordination, Visual Memory and AQ-10 variables; logistic regression was the best model and RF Gini plots were used for feature interpretation. PubMed labels the record as Review, but the publisher full article is clearly an original empirical study with recruited participants and primary data collection. The metadata conflict should be checked independently; stage is left Not specified because the AI endpoint is fine-motor deficit rather than a unique ASD screening/diagnostic stage.</ns0:t>
        </ns0:is>
      </ns0:c>
      <ns0:c r="F2241" s="19" t="inlineStr">
        <ns0:is>
          <ns0:t>https://doi.org/10.1016/j.compbiomed.2026.111470</ns0:t>
        </ns0:is>
      </ns0:c>
      <ns0:c r="G2241" s="19" t="inlineStr">
        <ns0:is>
          <ns0:t>ChatGPT-assisted evidence recharting, 2026-09-08</ns0:t>
        </ns0:is>
      </ns0:c>
    </ns0:row>
    <ns0:row r="2242" ht="93" customHeight="1">
      <ns0:c r="A2242" s="21" t="inlineStr">
        <ns0:is>
          <ns0:t>new_269</ns0:t>
        </ns0:is>
      </ns0:c>
      <ns0:c r="B2242" s="21" t="inlineStr">
        <ns0:is>
          <ns0:t>integrity_status</ns0:t>
        </ns0:is>
      </ns0:c>
      <ns0:c r="C2242" s="21" t="inlineStr"/>
      <ns0:c r="D2242" s="21" t="inlineStr">
        <ns0:is>
          <ns0:t>Not recorded</ns0:t>
        </ns0:is>
      </ns0:c>
      <ns0:c r="E2242" s="21" t="inlineStr">
        <ns0:is>
          <ns0:t>Retained source-specific coding after review of the supplied extraction notes; not a new full-text retrieval. The publisher article contains participant recruitment, data collection, Methods and Results. It integrates QEEG, Finger Tapping, Hand-Eye Coordination, Visual Memory and AQ-10 variables; logistic regression was the best model and RF Gini plots were used for feature interpretation. PubMed labels the record as Review, but the publisher full article is clearly an original empirical study with recruited participants and primary data collection. The metadata conflict should be checked independently; stage is left Not specified because the AI endpoint is fine-motor deficit rather than a unique ASD screening/diagnostic stage.</ns0:t>
        </ns0:is>
      </ns0:c>
      <ns0:c r="F2242" s="21" t="inlineStr">
        <ns0:is>
          <ns0:t>https://doi.org/10.1016/j.compbiomed.2026.111470</ns0:t>
        </ns0:is>
      </ns0:c>
      <ns0:c r="G2242" s="21" t="inlineStr">
        <ns0:is>
          <ns0:t>ChatGPT-assisted evidence recharting, 2026-09-08</ns0:t>
        </ns0:is>
      </ns0:c>
    </ns0:row>
    <ns0:row r="2243" ht="81" customHeight="1">
      <ns0:c r="A2243" s="19" t="inlineStr">
        <ns0:is>
          <ns0:t>new_270</ns0:t>
        </ns0:is>
      </ns0:c>
      <ns0:c r="B2243" s="19" t="inlineStr">
        <ns0:is>
          <ns0:t>ai_type</ns0:t>
        </ns0:is>
      </ns0:c>
      <ns0:c r="C2243" s="19" t="inlineStr">
        <ns0:is>
          <ns0:t>Hybrid</ns0:t>
        </ns0:is>
      </ns0:c>
      <ns0:c r="D2243" s="19" t="inlineStr">
        <ns0:is>
          <ns0:t>Deep Learning</ns0:t>
        </ns0:is>
      </ns0:c>
      <ns0:c r="E2243" s="19" t="inlineStr">
        <ns0:is>
          <ns0:t>Retained source-specific coding after review of the supplied extraction notes; not a new full-text retrieval. Uses an ensemble CNN feature extractor, optimized weighted feature fusion and ARLSTM classification for MRI-based ASD diagnosis. Attention/recurrent architecture alone is not coded as XAI; no independent external, prospective or site-held-out evaluation is established in the accessible material.
All-neural/optimization pipeline in recovered evidence; hybrid title is not sufficient for mixed conventional-ML/DL classification.</ns0:t>
        </ns0:is>
      </ns0:c>
      <ns0:c r="F2243" s="19" t="inlineStr">
        <ns0:is>
          <ns0:t>https://doi.org/10.1016/j.pscychresns.2026.112230</ns0:t>
        </ns0:is>
      </ns0:c>
      <ns0:c r="G2243" s="19" t="inlineStr">
        <ns0:is>
          <ns0:t>ChatGPT-assisted evidence recharting, 2026-09-08</ns0:t>
        </ns0:is>
      </ns0:c>
    </ns0:row>
    <ns0:row r="2244" ht="81" customHeight="1">
      <ns0:c r="A2244" s="21" t="inlineStr">
        <ns0:is>
          <ns0:t>new_270</ns0:t>
        </ns0:is>
      </ns0:c>
      <ns0:c r="B2244" s="21" t="inlineStr">
        <ns0:is>
          <ns0:t>rq2_role</ns0:t>
        </ns0:is>
      </ns0:c>
      <ns0:c r="C2244" s="21" t="inlineStr">
        <ns0:is>
          <ns0:t>Proposed MRI-based diagnostic classifier; no live workflow evaluation</ns0:t>
        </ns0:is>
      </ns0:c>
      <ns0:c r="D2244" s="21" t="inlineStr">
        <ns0:is>
          <ns0:t>Automated measurement/classification</ns0:t>
        </ns0:is>
      </ns0:c>
      <ns0:c r="E2244" s="21" t="inlineStr">
        <ns0:is>
          <ns0:t>Retained source-specific coding after review of the supplied extraction notes; not a new full-text retrieval. Uses an ensemble CNN feature extractor, optimized weighted feature fusion and ARLSTM classification for MRI-based ASD diagnosis. Attention/recurrent architecture alone is not coded as XAI; no independent external, prospective or site-held-out evaluation is established in the accessible material.
All-neural/optimization pipeline in recovered evidence; hybrid title is not sufficient for mixed conventional-ML/DL classification.</ns0:t>
        </ns0:is>
      </ns0:c>
      <ns0:c r="F2244" s="21" t="inlineStr">
        <ns0:is>
          <ns0:t>https://doi.org/10.1016/j.pscychresns.2026.112230</ns0:t>
        </ns0:is>
      </ns0:c>
      <ns0:c r="G2244" s="21" t="inlineStr">
        <ns0:is>
          <ns0:t>ChatGPT-assisted evidence recharting, 2026-09-08</ns0:t>
        </ns0:is>
      </ns0:c>
    </ns0:row>
    <ns0:row r="2245" ht="81" customHeight="1">
      <ns0:c r="A2245" s="19" t="inlineStr">
        <ns0:is>
          <ns0:t>new_270</ns0:t>
        </ns0:is>
      </ns0:c>
      <ns0:c r="B2245" s="19" t="inlineStr">
        <ns0:is>
          <ns0:t>decision_timing</ns0:t>
        </ns0:is>
      </ns0:c>
      <ns0:c r="C2245" s="19" t="inlineStr"/>
      <ns0:c r="D2245" s="19" t="inlineStr">
        <ns0:is>
          <ns0:t>In-decision</ns0:t>
        </ns0:is>
      </ns0:c>
      <ns0:c r="E2245" s="19" t="inlineStr">
        <ns0:is>
          <ns0:t>Retained source-specific coding after review of the supplied extraction notes; not a new full-text retrieval. Uses an ensemble CNN feature extractor, optimized weighted feature fusion and ARLSTM classification for MRI-based ASD diagnosis. Attention/recurrent architecture alone is not coded as XAI; no independent external, prospective or site-held-out evaluation is established in the accessible material.
All-neural/optimization pipeline in recovered evidence; hybrid title is not sufficient for mixed conventional-ML/DL classification.</ns0:t>
        </ns0:is>
      </ns0:c>
      <ns0:c r="F2245" s="19" t="inlineStr">
        <ns0:is>
          <ns0:t>https://doi.org/10.1016/j.pscychresns.2026.112230</ns0:t>
        </ns0:is>
      </ns0:c>
      <ns0:c r="G2245" s="19" t="inlineStr">
        <ns0:is>
          <ns0:t>ChatGPT-assisted evidence recharting, 2026-09-08</ns0:t>
        </ns0:is>
      </ns0:c>
    </ns0:row>
    <ns0:row r="2246" ht="81" customHeight="1">
      <ns0:c r="A2246" s="21" t="inlineStr">
        <ns0:is>
          <ns0:t>new_270</ns0:t>
        </ns0:is>
      </ns0:c>
      <ns0:c r="B2246" s="21" t="inlineStr">
        <ns0:is>
          <ns0:t>integrity_status</ns0:t>
        </ns0:is>
      </ns0:c>
      <ns0:c r="C2246" s="21" t="inlineStr"/>
      <ns0:c r="D2246" s="21" t="inlineStr">
        <ns0:is>
          <ns0:t>Not recorded</ns0:t>
        </ns0:is>
      </ns0:c>
      <ns0:c r="E2246" s="21" t="inlineStr">
        <ns0:is>
          <ns0:t>Retained source-specific coding after review of the supplied extraction notes; not a new full-text retrieval. Uses an ensemble CNN feature extractor, optimized weighted feature fusion and ARLSTM classification for MRI-based ASD diagnosis. Attention/recurrent architecture alone is not coded as XAI; no independent external, prospective or site-held-out evaluation is established in the accessible material.
All-neural/optimization pipeline in recovered evidence; hybrid title is not sufficient for mixed conventional-ML/DL classification.</ns0:t>
        </ns0:is>
      </ns0:c>
      <ns0:c r="F2246" s="21" t="inlineStr">
        <ns0:is>
          <ns0:t>https://doi.org/10.1016/j.pscychresns.2026.112230</ns0:t>
        </ns0:is>
      </ns0:c>
      <ns0:c r="G2246" s="21" t="inlineStr">
        <ns0:is>
          <ns0:t>ChatGPT-assisted evidence recharting, 2026-09-08</ns0:t>
        </ns0:is>
      </ns0:c>
    </ns0:row>
    <ns0:row r="2247" ht="57" customHeight="1">
      <ns0:c r="A2247" s="19" t="inlineStr">
        <ns0:is>
          <ns0:t>new_271</ns0:t>
        </ns0:is>
      </ns0:c>
      <ns0:c r="B2247" s="19" t="inlineStr">
        <ns0:is>
          <ns0:t>data_source_primary</ns0:t>
        </ns0:is>
      </ns0:c>
      <ns0:c r="C2247" s="19" t="inlineStr">
        <ns0:is>
          <ns0:t>Structured / tabular data</ns0:t>
        </ns0:is>
      </ns0:c>
      <ns0:c r="D2247" s="19" t="inlineStr">
        <ns0:is>
          <ns0:t>Structured clinical/questionnaire data</ns0:t>
        </ns0:is>
      </ns0:c>
      <ns0:c r="E2247" s="19" t="inlineStr">
        <ns0:is>
          <ns0:t>Retained source-specific coding after review of the supplied extraction notes; not a new full-text retrieval. Uses a public toddler-autism behavioral dataset with SMOTE and a 1D-CNN; evaluation is based on train/test splitting and internal cross-validation. Internal validation does not constitute external validation; no prospective workflow, multisite robustness or explicit XAI is reported.</ns0:t>
        </ns0:is>
      </ns0:c>
      <ns0:c r="F2247" s="19" t="inlineStr">
        <ns0:is>
          <ns0:t>https://doi.org/10.1155/ahci/1316854</ns0:t>
        </ns0:is>
      </ns0:c>
      <ns0:c r="G2247" s="19" t="inlineStr">
        <ns0:is>
          <ns0:t>ChatGPT-assisted evidence recharting, 2026-09-08</ns0:t>
        </ns0:is>
      </ns0:c>
    </ns0:row>
    <ns0:row r="2248" ht="57" customHeight="1">
      <ns0:c r="A2248" s="21" t="inlineStr">
        <ns0:is>
          <ns0:t>new_271</ns0:t>
        </ns0:is>
      </ns0:c>
      <ns0:c r="B2248" s="21" t="inlineStr">
        <ns0:is>
          <ns0:t>rq2_role</ns0:t>
        </ns0:is>
      </ns0:c>
      <ns0:c r="C2248" s="21" t="inlineStr">
        <ns0:is>
          <ns0:t>Proposed questionnaire-based screening classifier; no clinical deployment evaluated</ns0:t>
        </ns0:is>
      </ns0:c>
      <ns0:c r="D2248" s="21" t="inlineStr">
        <ns0:is>
          <ns0:t>Triage/questionnaire assessment</ns0:t>
        </ns0:is>
      </ns0:c>
      <ns0:c r="E2248" s="21" t="inlineStr">
        <ns0:is>
          <ns0:t>Retained source-specific coding after review of the supplied extraction notes; not a new full-text retrieval. Uses a public toddler-autism behavioral dataset with SMOTE and a 1D-CNN; evaluation is based on train/test splitting and internal cross-validation. Internal validation does not constitute external validation; no prospective workflow, multisite robustness or explicit XAI is reported.</ns0:t>
        </ns0:is>
      </ns0:c>
      <ns0:c r="F2248" s="21" t="inlineStr">
        <ns0:is>
          <ns0:t>https://doi.org/10.1155/ahci/1316854</ns0:t>
        </ns0:is>
      </ns0:c>
      <ns0:c r="G2248" s="21" t="inlineStr">
        <ns0:is>
          <ns0:t>ChatGPT-assisted evidence recharting, 2026-09-08</ns0:t>
        </ns0:is>
      </ns0:c>
    </ns0:row>
    <ns0:row r="2249" ht="57" customHeight="1">
      <ns0:c r="A2249" s="19" t="inlineStr">
        <ns0:is>
          <ns0:t>new_271</ns0:t>
        </ns0:is>
      </ns0:c>
      <ns0:c r="B2249" s="19" t="inlineStr">
        <ns0:is>
          <ns0:t>decision_timing</ns0:t>
        </ns0:is>
      </ns0:c>
      <ns0:c r="C2249" s="19" t="inlineStr"/>
      <ns0:c r="D2249" s="19" t="inlineStr">
        <ns0:is>
          <ns0:t>Pre-decision</ns0:t>
        </ns0:is>
      </ns0:c>
      <ns0:c r="E2249" s="19" t="inlineStr">
        <ns0:is>
          <ns0:t>Retained source-specific coding after review of the supplied extraction notes; not a new full-text retrieval. Uses a public toddler-autism behavioral dataset with SMOTE and a 1D-CNN; evaluation is based on train/test splitting and internal cross-validation. Internal validation does not constitute external validation; no prospective workflow, multisite robustness or explicit XAI is reported.</ns0:t>
        </ns0:is>
      </ns0:c>
      <ns0:c r="F2249" s="19" t="inlineStr">
        <ns0:is>
          <ns0:t>https://doi.org/10.1155/ahci/1316854</ns0:t>
        </ns0:is>
      </ns0:c>
      <ns0:c r="G2249" s="19" t="inlineStr">
        <ns0:is>
          <ns0:t>ChatGPT-assisted evidence recharting, 2026-09-08</ns0:t>
        </ns0:is>
      </ns0:c>
    </ns0:row>
    <ns0:row r="2250" ht="57" customHeight="1">
      <ns0:c r="A2250" s="21" t="inlineStr">
        <ns0:is>
          <ns0:t>new_271</ns0:t>
        </ns0:is>
      </ns0:c>
      <ns0:c r="B2250" s="21" t="inlineStr">
        <ns0:is>
          <ns0:t>integrity_status</ns0:t>
        </ns0:is>
      </ns0:c>
      <ns0:c r="C2250" s="21" t="inlineStr"/>
      <ns0:c r="D2250" s="21" t="inlineStr">
        <ns0:is>
          <ns0:t>Not recorded</ns0:t>
        </ns0:is>
      </ns0:c>
      <ns0:c r="E2250" s="21" t="inlineStr">
        <ns0:is>
          <ns0:t>Retained source-specific coding after review of the supplied extraction notes; not a new full-text retrieval. Uses a public toddler-autism behavioral dataset with SMOTE and a 1D-CNN; evaluation is based on train/test splitting and internal cross-validation. Internal validation does not constitute external validation; no prospective workflow, multisite robustness or explicit XAI is reported.</ns0:t>
        </ns0:is>
      </ns0:c>
      <ns0:c r="F2250" s="21" t="inlineStr">
        <ns0:is>
          <ns0:t>https://doi.org/10.1155/ahci/1316854</ns0:t>
        </ns0:is>
      </ns0:c>
      <ns0:c r="G2250" s="21" t="inlineStr">
        <ns0:is>
          <ns0:t>ChatGPT-assisted evidence recharting, 2026-09-08</ns0:t>
        </ns0:is>
      </ns0:c>
    </ns0:row>
    <ns0:row r="2251" ht="57" customHeight="1">
      <ns0:c r="A2251" s="19" t="inlineStr">
        <ns0:is>
          <ns0:t>new_273</ns0:t>
        </ns0:is>
      </ns0:c>
      <ns0:c r="B2251" s="19" t="inlineStr">
        <ns0:is>
          <ns0:t>data_source_primary</ns0:t>
        </ns0:is>
      </ns0:c>
      <ns0:c r="C2251" s="19" t="inlineStr">
        <ns0:is>
          <ns0:t>Facial images</ns0:t>
        </ns0:is>
      </ns0:c>
      <ns0:c r="D2251" s="19" t="inlineStr">
        <ns0:is>
          <ns0:t>Behavioral images/video/gaze/movement</ns0:t>
        </ns0:is>
      </ns0:c>
      <ns0:c r="E2251" s="19" t="inlineStr">
        <ns0:is>
          <ns0:t>Retained source-specific coding after review of the supplied extraction notes; not a new full-text retrieval. Applies VGG16 to a Kaggle facial-image dataset of autistic and non-autistic children and reports 98.1% classification accuracy. Single public image dataset and no independent external/prospective evaluation are established; performance may be sensitive to dataset leakage or source bias.</ns0:t>
        </ns0:is>
      </ns0:c>
      <ns0:c r="F2251" s="19" t="inlineStr">
        <ns0:is>
          <ns0:t>https://doi.org/10.1016/j.procs.2026.06.483</ns0:t>
        </ns0:is>
      </ns0:c>
      <ns0:c r="G2251" s="19" t="inlineStr">
        <ns0:is>
          <ns0:t>ChatGPT-assisted evidence recharting, 2026-09-08</ns0:t>
        </ns0:is>
      </ns0:c>
    </ns0:row>
    <ns0:row r="2252" ht="57" customHeight="1">
      <ns0:c r="A2252" s="21" t="inlineStr">
        <ns0:is>
          <ns0:t>new_273</ns0:t>
        </ns0:is>
      </ns0:c>
      <ns0:c r="B2252" s="21" t="inlineStr">
        <ns0:is>
          <ns0:t>rq2_role</ns0:t>
        </ns0:is>
      </ns0:c>
      <ns0:c r="C2252" s="21" t="inlineStr">
        <ns0:is>
          <ns0:t>Proposed facial-image early-screening classifier; no clinical workflow deployment evaluated</ns0:t>
        </ns0:is>
      </ns0:c>
      <ns0:c r="D2252" s="21" t="inlineStr">
        <ns0:is>
          <ns0:t>Triage/questionnaire assessment</ns0:t>
        </ns0:is>
      </ns0:c>
      <ns0:c r="E2252" s="21" t="inlineStr">
        <ns0:is>
          <ns0:t>Retained source-specific coding after review of the supplied extraction notes; not a new full-text retrieval. Applies VGG16 to a Kaggle facial-image dataset of autistic and non-autistic children and reports 98.1% classification accuracy. Single public image dataset and no independent external/prospective evaluation are established; performance may be sensitive to dataset leakage or source bias.</ns0:t>
        </ns0:is>
      </ns0:c>
      <ns0:c r="F2252" s="21" t="inlineStr">
        <ns0:is>
          <ns0:t>https://doi.org/10.1016/j.procs.2026.06.483</ns0:t>
        </ns0:is>
      </ns0:c>
      <ns0:c r="G2252" s="21" t="inlineStr">
        <ns0:is>
          <ns0:t>ChatGPT-assisted evidence recharting, 2026-09-08</ns0:t>
        </ns0:is>
      </ns0:c>
    </ns0:row>
    <ns0:row r="2253" ht="57" customHeight="1">
      <ns0:c r="A2253" s="19" t="inlineStr">
        <ns0:is>
          <ns0:t>new_273</ns0:t>
        </ns0:is>
      </ns0:c>
      <ns0:c r="B2253" s="19" t="inlineStr">
        <ns0:is>
          <ns0:t>decision_timing</ns0:t>
        </ns0:is>
      </ns0:c>
      <ns0:c r="C2253" s="19" t="inlineStr"/>
      <ns0:c r="D2253" s="19" t="inlineStr">
        <ns0:is>
          <ns0:t>Pre-decision</ns0:t>
        </ns0:is>
      </ns0:c>
      <ns0:c r="E2253" s="19" t="inlineStr">
        <ns0:is>
          <ns0:t>Retained source-specific coding after review of the supplied extraction notes; not a new full-text retrieval. Applies VGG16 to a Kaggle facial-image dataset of autistic and non-autistic children and reports 98.1% classification accuracy. Single public image dataset and no independent external/prospective evaluation are established; performance may be sensitive to dataset leakage or source bias.</ns0:t>
        </ns0:is>
      </ns0:c>
      <ns0:c r="F2253" s="19" t="inlineStr">
        <ns0:is>
          <ns0:t>https://doi.org/10.1016/j.procs.2026.06.483</ns0:t>
        </ns0:is>
      </ns0:c>
      <ns0:c r="G2253" s="19" t="inlineStr">
        <ns0:is>
          <ns0:t>ChatGPT-assisted evidence recharting, 2026-09-08</ns0:t>
        </ns0:is>
      </ns0:c>
    </ns0:row>
    <ns0:row r="2254" ht="57" customHeight="1">
      <ns0:c r="A2254" s="21" t="inlineStr">
        <ns0:is>
          <ns0:t>new_273</ns0:t>
        </ns0:is>
      </ns0:c>
      <ns0:c r="B2254" s="21" t="inlineStr">
        <ns0:is>
          <ns0:t>integrity_status</ns0:t>
        </ns0:is>
      </ns0:c>
      <ns0:c r="C2254" s="21" t="inlineStr"/>
      <ns0:c r="D2254" s="21" t="inlineStr">
        <ns0:is>
          <ns0:t>Not recorded</ns0:t>
        </ns0:is>
      </ns0:c>
      <ns0:c r="E2254" s="21" t="inlineStr">
        <ns0:is>
          <ns0:t>Retained source-specific coding after review of the supplied extraction notes; not a new full-text retrieval. Applies VGG16 to a Kaggle facial-image dataset of autistic and non-autistic children and reports 98.1% classification accuracy. Single public image dataset and no independent external/prospective evaluation are established; performance may be sensitive to dataset leakage or source bias.</ns0:t>
        </ns0:is>
      </ns0:c>
      <ns0:c r="F2254" s="21" t="inlineStr">
        <ns0:is>
          <ns0:t>https://doi.org/10.1016/j.procs.2026.06.483</ns0:t>
        </ns0:is>
      </ns0:c>
      <ns0:c r="G2254" s="21" t="inlineStr">
        <ns0:is>
          <ns0:t>ChatGPT-assisted evidence recharting, 2026-09-08</ns0:t>
        </ns0:is>
      </ns0:c>
    </ns0:row>
    <ns0:row r="2255" ht="69" customHeight="1">
      <ns0:c r="A2255" s="19" t="inlineStr">
        <ns0:is>
          <ns0:t>new_275</ns0:t>
        </ns0:is>
      </ns0:c>
      <ns0:c r="B2255" s="19" t="inlineStr">
        <ns0:is>
          <ns0:t>data_source_primary</ns0:t>
        </ns0:is>
      </ns0:c>
      <ns0:c r="C2255" s="19" t="inlineStr">
        <ns0:is>
          <ns0:t>Structured / tabular data</ns0:t>
        </ns0:is>
      </ns0:c>
      <ns0:c r="D2255" s="19" t="inlineStr">
        <ns0:is>
          <ns0:t>Structured clinical/questionnaire data</ns0:t>
        </ns0:is>
      </ns0:c>
      <ns0:c r="E2255" s="19" t="inlineStr">
        <ns0:is>
          <ns0:t>Retained source-specific coding after review of the supplied extraction notes; not a new full-text retrieval. Analyzes a Bangladesh dataset collected across multiple geographic locations; compares eight classifiers after feature selection, with decision tree reported as best, and identifies interpretable sociodemographic/perinatal predictors. The reported test/CV is internal and geographic sources are pooled rather than site-held-out; regional sampling limits generalizability.</ns0:t>
        </ns0:is>
      </ns0:c>
      <ns0:c r="F2255" s="19" t="inlineStr">
        <ns0:is>
          <ns0:t>https://doi.org/10.1155/acis/6410913</ns0:t>
        </ns0:is>
      </ns0:c>
      <ns0:c r="G2255" s="19" t="inlineStr">
        <ns0:is>
          <ns0:t>ChatGPT-assisted evidence recharting, 2026-09-08</ns0:t>
        </ns0:is>
      </ns0:c>
    </ns0:row>
    <ns0:row r="2256" ht="69" customHeight="1">
      <ns0:c r="A2256" s="21" t="inlineStr">
        <ns0:is>
          <ns0:t>new_275</ns0:t>
        </ns0:is>
      </ns0:c>
      <ns0:c r="B2256" s="21" t="inlineStr">
        <ns0:is>
          <ns0:t>rq2_role</ns0:t>
        </ns0:is>
      </ns0:c>
      <ns0:c r="C2256" s="21" t="inlineStr">
        <ns0:is>
          <ns0:t>Risk-factor research for low-burden prescreening; no deployed workflow evaluated</ns0:t>
        </ns0:is>
      </ns0:c>
      <ns0:c r="D2256" s="21" t="inlineStr">
        <ns0:is>
          <ns0:t>Risk/trajectory estimation</ns0:t>
        </ns0:is>
      </ns0:c>
      <ns0:c r="E2256" s="21" t="inlineStr">
        <ns0:is>
          <ns0:t>Retained source-specific coding after review of the supplied extraction notes; not a new full-text retrieval. Analyzes a Bangladesh dataset collected across multiple geographic locations; compares eight classifiers after feature selection, with decision tree reported as best, and identifies interpretable sociodemographic/perinatal predictors. The reported test/CV is internal and geographic sources are pooled rather than site-held-out; regional sampling limits generalizability.</ns0:t>
        </ns0:is>
      </ns0:c>
      <ns0:c r="F2256" s="21" t="inlineStr">
        <ns0:is>
          <ns0:t>https://doi.org/10.1155/acis/6410913</ns0:t>
        </ns0:is>
      </ns0:c>
      <ns0:c r="G2256" s="21" t="inlineStr">
        <ns0:is>
          <ns0:t>ChatGPT-assisted evidence recharting, 2026-09-08</ns0:t>
        </ns0:is>
      </ns0:c>
    </ns0:row>
    <ns0:row r="2257" ht="69" customHeight="1">
      <ns0:c r="A2257" s="19" t="inlineStr">
        <ns0:is>
          <ns0:t>new_275</ns0:t>
        </ns0:is>
      </ns0:c>
      <ns0:c r="B2257" s="19" t="inlineStr">
        <ns0:is>
          <ns0:t>decision_timing</ns0:t>
        </ns0:is>
      </ns0:c>
      <ns0:c r="C2257" s="19" t="inlineStr"/>
      <ns0:c r="D2257" s="19" t="inlineStr">
        <ns0:is>
          <ns0:t>Not observed in assessed sources</ns0:t>
        </ns0:is>
      </ns0:c>
      <ns0:c r="E2257" s="19" t="inlineStr">
        <ns0:is>
          <ns0:t>Retained source-specific coding after review of the supplied extraction notes; not a new full-text retrieval. Analyzes a Bangladesh dataset collected across multiple geographic locations; compares eight classifiers after feature selection, with decision tree reported as best, and identifies interpretable sociodemographic/perinatal predictors. The reported test/CV is internal and geographic sources are pooled rather than site-held-out; regional sampling limits generalizability.</ns0:t>
        </ns0:is>
      </ns0:c>
      <ns0:c r="F2257" s="19" t="inlineStr">
        <ns0:is>
          <ns0:t>https://doi.org/10.1155/acis/6410913</ns0:t>
        </ns0:is>
      </ns0:c>
      <ns0:c r="G2257" s="19" t="inlineStr">
        <ns0:is>
          <ns0:t>ChatGPT-assisted evidence recharting, 2026-09-08</ns0:t>
        </ns0:is>
      </ns0:c>
    </ns0:row>
    <ns0:row r="2258" ht="69" customHeight="1">
      <ns0:c r="A2258" s="21" t="inlineStr">
        <ns0:is>
          <ns0:t>new_275</ns0:t>
        </ns0:is>
      </ns0:c>
      <ns0:c r="B2258" s="21" t="inlineStr">
        <ns0:is>
          <ns0:t>integrity_status</ns0:t>
        </ns0:is>
      </ns0:c>
      <ns0:c r="C2258" s="21" t="inlineStr"/>
      <ns0:c r="D2258" s="21" t="inlineStr">
        <ns0:is>
          <ns0:t>Not recorded</ns0:t>
        </ns0:is>
      </ns0:c>
      <ns0:c r="E2258" s="21" t="inlineStr">
        <ns0:is>
          <ns0:t>Retained source-specific coding after review of the supplied extraction notes; not a new full-text retrieval. Analyzes a Bangladesh dataset collected across multiple geographic locations; compares eight classifiers after feature selection, with decision tree reported as best, and identifies interpretable sociodemographic/perinatal predictors. The reported test/CV is internal and geographic sources are pooled rather than site-held-out; regional sampling limits generalizability.</ns0:t>
        </ns0:is>
      </ns0:c>
      <ns0:c r="F2258" s="21" t="inlineStr">
        <ns0:is>
          <ns0:t>https://doi.org/10.1155/acis/6410913</ns0:t>
        </ns0:is>
      </ns0:c>
      <ns0:c r="G2258" s="21" t="inlineStr">
        <ns0:is>
          <ns0:t>ChatGPT-assisted evidence recharting, 2026-09-08</ns0:t>
        </ns0:is>
      </ns0:c>
    </ns0:row>
    <ns0:row r="2259" ht="42" customHeight="1">
      <ns0:c r="A2259" s="19" t="inlineStr">
        <ns0:is>
          <ns0:t>new_277</ns0:t>
        </ns0:is>
      </ns0:c>
      <ns0:c r="B2259" s="19" t="inlineStr">
        <ns0:is>
          <ns0:t>data_source_primary</ns0:t>
        </ns0:is>
      </ns0:c>
      <ns0:c r="C2259" s="19" t="inlineStr">
        <ns0:is>
          <ns0:t>Biological/omics</ns0:t>
        </ns0:is>
      </ns0:c>
      <ns0:c r="D2259" s="19" t="inlineStr">
        <ns0:is>
          <ns0:t>Structured clinical/questionnaire data</ns0:t>
        </ns0:is>
      </ns0:c>
      <ns0:c r="E2259" s="19" t="inlineStr">
        <ns0:is>
          <ns0:t>National Survey of Children Health contains reported chronic/genetic conditions; these are survey variables, not measured genomic input.</ns0:t>
        </ns0:is>
      </ns0:c>
      <ns0:c r="F2259" s="19" t="inlineStr">
        <ns0:is>
          <ns0:t>https://doi.org/10.1016/j.reia.2026.202826</ns0:t>
        </ns0:is>
      </ns0:c>
      <ns0:c r="G2259" s="19" t="inlineStr">
        <ns0:is>
          <ns0:t>ChatGPT-assisted evidence recharting, 2026-09-08</ns0:t>
        </ns0:is>
      </ns0:c>
    </ns0:row>
    <ns0:row r="2260" ht="42" customHeight="1">
      <ns0:c r="A2260" s="21" t="inlineStr">
        <ns0:is>
          <ns0:t>new_277</ns0:t>
        </ns0:is>
      </ns0:c>
      <ns0:c r="B2260" s="21" t="inlineStr">
        <ns0:is>
          <ns0:t>rq2_role</ns0:t>
        </ns0:is>
      </ns0:c>
      <ns0:c r="C2260" s="21" t="inlineStr">
        <ns0:is>
          <ns0:t>Population-level risk stratification research; no deployed screening workflow evaluated</ns0:t>
        </ns0:is>
      </ns0:c>
      <ns0:c r="D2260" s="21" t="inlineStr">
        <ns0:is>
          <ns0:t>Risk/trajectory estimation</ns0:t>
        </ns0:is>
      </ns0:c>
      <ns0:c r="E2260" s="21" t="inlineStr">
        <ns0:is>
          <ns0:t>National Survey of Children Health contains reported chronic/genetic conditions; these are survey variables, not measured genomic input.</ns0:t>
        </ns0:is>
      </ns0:c>
      <ns0:c r="F2260" s="21" t="inlineStr">
        <ns0:is>
          <ns0:t>https://doi.org/10.1016/j.reia.2026.202826</ns0:t>
        </ns0:is>
      </ns0:c>
      <ns0:c r="G2260" s="21" t="inlineStr">
        <ns0:is>
          <ns0:t>ChatGPT-assisted evidence recharting, 2026-09-08</ns0:t>
        </ns0:is>
      </ns0:c>
    </ns0:row>
    <ns0:row r="2261" ht="42" customHeight="1">
      <ns0:c r="A2261" s="19" t="inlineStr">
        <ns0:is>
          <ns0:t>new_277</ns0:t>
        </ns0:is>
      </ns0:c>
      <ns0:c r="B2261" s="19" t="inlineStr">
        <ns0:is>
          <ns0:t>decision_timing</ns0:t>
        </ns0:is>
      </ns0:c>
      <ns0:c r="C2261" s="19" t="inlineStr"/>
      <ns0:c r="D2261" s="19" t="inlineStr">
        <ns0:is>
          <ns0:t>Not observed in assessed sources</ns0:t>
        </ns0:is>
      </ns0:c>
      <ns0:c r="E2261" s="19" t="inlineStr">
        <ns0:is>
          <ns0:t>National Survey of Children Health contains reported chronic/genetic conditions; these are survey variables, not measured genomic input.</ns0:t>
        </ns0:is>
      </ns0:c>
      <ns0:c r="F2261" s="19" t="inlineStr">
        <ns0:is>
          <ns0:t>https://doi.org/10.1016/j.reia.2026.202826</ns0:t>
        </ns0:is>
      </ns0:c>
      <ns0:c r="G2261" s="19" t="inlineStr">
        <ns0:is>
          <ns0:t>ChatGPT-assisted evidence recharting, 2026-09-08</ns0:t>
        </ns0:is>
      </ns0:c>
    </ns0:row>
    <ns0:row r="2262" ht="42" customHeight="1">
      <ns0:c r="A2262" s="21" t="inlineStr">
        <ns0:is>
          <ns0:t>new_277</ns0:t>
        </ns0:is>
      </ns0:c>
      <ns0:c r="B2262" s="21" t="inlineStr">
        <ns0:is>
          <ns0:t>integrity_status</ns0:t>
        </ns0:is>
      </ns0:c>
      <ns0:c r="C2262" s="21" t="inlineStr"/>
      <ns0:c r="D2262" s="21" t="inlineStr">
        <ns0:is>
          <ns0:t>Not recorded</ns0:t>
        </ns0:is>
      </ns0:c>
      <ns0:c r="E2262" s="21" t="inlineStr">
        <ns0:is>
          <ns0:t>National Survey of Children Health contains reported chronic/genetic conditions; these are survey variables, not measured genomic input.</ns0:t>
        </ns0:is>
      </ns0:c>
      <ns0:c r="F2262" s="21" t="inlineStr">
        <ns0:is>
          <ns0:t>https://doi.org/10.1016/j.reia.2026.202826</ns0:t>
        </ns0:is>
      </ns0:c>
      <ns0:c r="G2262" s="21" t="inlineStr">
        <ns0:is>
          <ns0:t>ChatGPT-assisted evidence recharting, 2026-09-08</ns0:t>
        </ns0:is>
      </ns0:c>
    </ns0:row>
    <ns0:row r="2263" ht="69" customHeight="1">
      <ns0:c r="A2263" s="19" t="inlineStr">
        <ns0:is>
          <ns0:t>new_280</ns0:t>
        </ns0:is>
      </ns0:c>
      <ns0:c r="B2263" s="19" t="inlineStr">
        <ns0:is>
          <ns0:t>data_source_primary</ns0:t>
        </ns0:is>
      </ns0:c>
      <ns0:c r="C2263" s="19" t="inlineStr">
        <ns0:is>
          <ns0:t>Structured / tabular data</ns0:t>
        </ns0:is>
      </ns0:c>
      <ns0:c r="D2263" s="19" t="inlineStr">
        <ns0:is>
          <ns0:t>Structured clinical/questionnaire data</ns0:t>
        </ns0:is>
      </ns0:c>
      <ns0:c r="E2263" s="19" t="inlineStr">
        <ns0:is>
          <ns0:t>Retained source-specific coding after review of the supplied extraction notes; not a new full-text retrieval. Analyzes 63,866 children from the 2022-2023 NSCH using sleep routines, demographics and comorbidities with regression/ML to identify ASD-associated risk profiles and high-risk subgroups. Cross-sectional survey prediction does not establish prospective or external validation; interpretable risk profiles are coded as partial rather than strict XAI.</ns0:t>
        </ns0:is>
      </ns0:c>
      <ns0:c r="F2263" s="19" t="inlineStr">
        <ns0:is>
          <ns0:t>https://doi.org/10.1016/j.ridd.2025.105201</ns0:t>
        </ns0:is>
      </ns0:c>
      <ns0:c r="G2263" s="19" t="inlineStr">
        <ns0:is>
          <ns0:t>ChatGPT-assisted evidence recharting, 2026-09-08</ns0:t>
        </ns0:is>
      </ns0:c>
    </ns0:row>
    <ns0:row r="2264" ht="69" customHeight="1">
      <ns0:c r="A2264" s="21" t="inlineStr">
        <ns0:is>
          <ns0:t>new_280</ns0:t>
        </ns0:is>
      </ns0:c>
      <ns0:c r="B2264" s="21" t="inlineStr">
        <ns0:is>
          <ns0:t>rq2_role</ns0:t>
        </ns0:is>
      </ns0:c>
      <ns0:c r="C2264" s="21" t="inlineStr">
        <ns0:is>
          <ns0:t>Population-level risk-profile research; no deployed screening workflow evaluated</ns0:t>
        </ns0:is>
      </ns0:c>
      <ns0:c r="D2264" s="21" t="inlineStr">
        <ns0:is>
          <ns0:t>Risk/trajectory estimation</ns0:t>
        </ns0:is>
      </ns0:c>
      <ns0:c r="E2264" s="21" t="inlineStr">
        <ns0:is>
          <ns0:t>Retained source-specific coding after review of the supplied extraction notes; not a new full-text retrieval. Analyzes 63,866 children from the 2022-2023 NSCH using sleep routines, demographics and comorbidities with regression/ML to identify ASD-associated risk profiles and high-risk subgroups. Cross-sectional survey prediction does not establish prospective or external validation; interpretable risk profiles are coded as partial rather than strict XAI.</ns0:t>
        </ns0:is>
      </ns0:c>
      <ns0:c r="F2264" s="21" t="inlineStr">
        <ns0:is>
          <ns0:t>https://doi.org/10.1016/j.ridd.2025.105201</ns0:t>
        </ns0:is>
      </ns0:c>
      <ns0:c r="G2264" s="21" t="inlineStr">
        <ns0:is>
          <ns0:t>ChatGPT-assisted evidence recharting, 2026-09-08</ns0:t>
        </ns0:is>
      </ns0:c>
    </ns0:row>
    <ns0:row r="2265" ht="69" customHeight="1">
      <ns0:c r="A2265" s="19" t="inlineStr">
        <ns0:is>
          <ns0:t>new_280</ns0:t>
        </ns0:is>
      </ns0:c>
      <ns0:c r="B2265" s="19" t="inlineStr">
        <ns0:is>
          <ns0:t>decision_timing</ns0:t>
        </ns0:is>
      </ns0:c>
      <ns0:c r="C2265" s="19" t="inlineStr"/>
      <ns0:c r="D2265" s="19" t="inlineStr">
        <ns0:is>
          <ns0:t>Not observed in assessed sources</ns0:t>
        </ns0:is>
      </ns0:c>
      <ns0:c r="E2265" s="19" t="inlineStr">
        <ns0:is>
          <ns0:t>Retained source-specific coding after review of the supplied extraction notes; not a new full-text retrieval. Analyzes 63,866 children from the 2022-2023 NSCH using sleep routines, demographics and comorbidities with regression/ML to identify ASD-associated risk profiles and high-risk subgroups. Cross-sectional survey prediction does not establish prospective or external validation; interpretable risk profiles are coded as partial rather than strict XAI.</ns0:t>
        </ns0:is>
      </ns0:c>
      <ns0:c r="F2265" s="19" t="inlineStr">
        <ns0:is>
          <ns0:t>https://doi.org/10.1016/j.ridd.2025.105201</ns0:t>
        </ns0:is>
      </ns0:c>
      <ns0:c r="G2265" s="19" t="inlineStr">
        <ns0:is>
          <ns0:t>ChatGPT-assisted evidence recharting, 2026-09-08</ns0:t>
        </ns0:is>
      </ns0:c>
    </ns0:row>
    <ns0:row r="2266" ht="69" customHeight="1">
      <ns0:c r="A2266" s="21" t="inlineStr">
        <ns0:is>
          <ns0:t>new_280</ns0:t>
        </ns0:is>
      </ns0:c>
      <ns0:c r="B2266" s="21" t="inlineStr">
        <ns0:is>
          <ns0:t>integrity_status</ns0:t>
        </ns0:is>
      </ns0:c>
      <ns0:c r="C2266" s="21" t="inlineStr"/>
      <ns0:c r="D2266" s="21" t="inlineStr">
        <ns0:is>
          <ns0:t>Not recorded</ns0:t>
        </ns0:is>
      </ns0:c>
      <ns0:c r="E2266" s="21" t="inlineStr">
        <ns0:is>
          <ns0:t>Retained source-specific coding after review of the supplied extraction notes; not a new full-text retrieval. Analyzes 63,866 children from the 2022-2023 NSCH using sleep routines, demographics and comorbidities with regression/ML to identify ASD-associated risk profiles and high-risk subgroups. Cross-sectional survey prediction does not establish prospective or external validation; interpretable risk profiles are coded as partial rather than strict XAI.</ns0:t>
        </ns0:is>
      </ns0:c>
      <ns0:c r="F2266" s="21" t="inlineStr">
        <ns0:is>
          <ns0:t>https://doi.org/10.1016/j.ridd.2025.105201</ns0:t>
        </ns0:is>
      </ns0:c>
      <ns0:c r="G2266" s="21" t="inlineStr">
        <ns0:is>
          <ns0:t>ChatGPT-assisted evidence recharting, 2026-09-08</ns0:t>
        </ns0:is>
      </ns0:c>
    </ns0:row>
    <ns0:row r="2267" ht="57" customHeight="1">
      <ns0:c r="A2267" s="19" t="inlineStr">
        <ns0:is>
          <ns0:t>new_286</ns0:t>
        </ns0:is>
      </ns0:c>
      <ns0:c r="B2267" s="19" t="inlineStr">
        <ns0:is>
          <ns0:t>rq2_role</ns0:t>
        </ns0:is>
      </ns0:c>
      <ns0:c r="C2267" s="19" t="inlineStr">
        <ns0:is>
          <ns0:t>Biomarker discovery for potential screening; no clinical workflow deployment evaluated</ns0:t>
        </ns0:is>
      </ns0:c>
      <ns0:c r="D2267" s="19" t="inlineStr">
        <ns0:is>
          <ns0:t>Triage/questionnaire assessment</ns0:t>
        </ns0:is>
      </ns0:c>
      <ns0:c r="E2267" s="19" t="inlineStr">
        <ns0:is>
          <ns0:t>Retained source-specific coding after review of the supplied extraction notes; not a new full-text retrieval. Uses RNA-seq gene-expression data from NCBI GEO, compares RF and XGBoost with fivefold CV, and ranks a compact set of candidate transcriptomic biomarkers. Small dataset and internal CV only; ranked biomarkers are treated as partial interpretability, not strict XAI or external validation.</ns0:t>
        </ns0:is>
      </ns0:c>
      <ns0:c r="F2267" s="19" t="inlineStr">
        <ns0:is>
          <ns0:t>https://doi.org/10.3233/shti260609</ns0:t>
        </ns0:is>
      </ns0:c>
      <ns0:c r="G2267" s="19" t="inlineStr">
        <ns0:is>
          <ns0:t>ChatGPT-assisted evidence recharting, 2026-09-08</ns0:t>
        </ns0:is>
      </ns0:c>
    </ns0:row>
    <ns0:row r="2268" ht="57" customHeight="1">
      <ns0:c r="A2268" s="21" t="inlineStr">
        <ns0:is>
          <ns0:t>new_286</ns0:t>
        </ns0:is>
      </ns0:c>
      <ns0:c r="B2268" s="21" t="inlineStr">
        <ns0:is>
          <ns0:t>decision_timing</ns0:t>
        </ns0:is>
      </ns0:c>
      <ns0:c r="C2268" s="21" t="inlineStr"/>
      <ns0:c r="D2268" s="21" t="inlineStr">
        <ns0:is>
          <ns0:t>Not observed in assessed sources</ns0:t>
        </ns0:is>
      </ns0:c>
      <ns0:c r="E2268" s="21" t="inlineStr">
        <ns0:is>
          <ns0:t>Retained source-specific coding after review of the supplied extraction notes; not a new full-text retrieval. Uses RNA-seq gene-expression data from NCBI GEO, compares RF and XGBoost with fivefold CV, and ranks a compact set of candidate transcriptomic biomarkers. Small dataset and internal CV only; ranked biomarkers are treated as partial interpretability, not strict XAI or external validation.</ns0:t>
        </ns0:is>
      </ns0:c>
      <ns0:c r="F2268" s="21" t="inlineStr">
        <ns0:is>
          <ns0:t>https://doi.org/10.3233/shti260609</ns0:t>
        </ns0:is>
      </ns0:c>
      <ns0:c r="G2268" s="21" t="inlineStr">
        <ns0:is>
          <ns0:t>ChatGPT-assisted evidence recharting, 2026-09-08</ns0:t>
        </ns0:is>
      </ns0:c>
    </ns0:row>
    <ns0:row r="2269" ht="57" customHeight="1">
      <ns0:c r="A2269" s="19" t="inlineStr">
        <ns0:is>
          <ns0:t>new_286</ns0:t>
        </ns0:is>
      </ns0:c>
      <ns0:c r="B2269" s="19" t="inlineStr">
        <ns0:is>
          <ns0:t>integrity_status</ns0:t>
        </ns0:is>
      </ns0:c>
      <ns0:c r="C2269" s="19" t="inlineStr"/>
      <ns0:c r="D2269" s="19" t="inlineStr">
        <ns0:is>
          <ns0:t>Not recorded</ns0:t>
        </ns0:is>
      </ns0:c>
      <ns0:c r="E2269" s="19" t="inlineStr">
        <ns0:is>
          <ns0:t>Retained source-specific coding after review of the supplied extraction notes; not a new full-text retrieval. Uses RNA-seq gene-expression data from NCBI GEO, compares RF and XGBoost with fivefold CV, and ranks a compact set of candidate transcriptomic biomarkers. Small dataset and internal CV only; ranked biomarkers are treated as partial interpretability, not strict XAI or external validation.</ns0:t>
        </ns0:is>
      </ns0:c>
      <ns0:c r="F2269" s="19" t="inlineStr">
        <ns0:is>
          <ns0:t>https://doi.org/10.3233/shti260609</ns0:t>
        </ns0:is>
      </ns0:c>
      <ns0:c r="G2269" s="19" t="inlineStr">
        <ns0:is>
          <ns0:t>ChatGPT-assisted evidence recharting, 2026-09-08</ns0:t>
        </ns0:is>
      </ns0:c>
    </ns0:row>
    <ns0:row r="2270" ht="57" customHeight="1">
      <ns0:c r="A2270" s="21" t="inlineStr">
        <ns0:is>
          <ns0:t>new_287</ns0:t>
        </ns0:is>
      </ns0:c>
      <ns0:c r="B2270" s="21" t="inlineStr">
        <ns0:is>
          <ns0:t>rq2_role</ns0:t>
        </ns0:is>
      </ns0:c>
      <ns0:c r="C2270" s="21" t="inlineStr">
        <ns0:is>
          <ns0:t>Retrospective physiological-marker research; no deployed diagnostic workflow evaluated</ns0:t>
        </ns0:is>
      </ns0:c>
      <ns0:c r="D2270" s="21" t="inlineStr">
        <ns0:is>
          <ns0:t>Automated measurement/classification</ns0:t>
        </ns0:is>
      </ns0:c>
      <ns0:c r="E2270" s="21" t="inlineStr">
        <ns0:is>
          <ns0:t>Retained source-specific coding after review of the supplied extraction notes; not a new full-text retrieval. Matched ASD and non-ASD participants from the NCH Sleep Databank, compared ML models on REM-sleep features, and used SHAP to identify discriminative predictors. Single databank analysis without independent external or prospective validation; SHAP supports strict XAI coding.</ns0:t>
        </ns0:is>
      </ns0:c>
      <ns0:c r="F2270" s="21" t="inlineStr">
        <ns0:is>
          <ns0:t>https://doi.org/10.1002/aur.70222</ns0:t>
        </ns0:is>
      </ns0:c>
      <ns0:c r="G2270" s="21" t="inlineStr">
        <ns0:is>
          <ns0:t>ChatGPT-assisted evidence recharting, 2026-09-08</ns0:t>
        </ns0:is>
      </ns0:c>
    </ns0:row>
    <ns0:row r="2271" ht="57" customHeight="1">
      <ns0:c r="A2271" s="19" t="inlineStr">
        <ns0:is>
          <ns0:t>new_287</ns0:t>
        </ns0:is>
      </ns0:c>
      <ns0:c r="B2271" s="19" t="inlineStr">
        <ns0:is>
          <ns0:t>decision_timing</ns0:t>
        </ns0:is>
      </ns0:c>
      <ns0:c r="C2271" s="19" t="inlineStr"/>
      <ns0:c r="D2271" s="19" t="inlineStr">
        <ns0:is>
          <ns0:t>Not observed in assessed sources</ns0:t>
        </ns0:is>
      </ns0:c>
      <ns0:c r="E2271" s="19" t="inlineStr">
        <ns0:is>
          <ns0:t>Retained source-specific coding after review of the supplied extraction notes; not a new full-text retrieval. Matched ASD and non-ASD participants from the NCH Sleep Databank, compared ML models on REM-sleep features, and used SHAP to identify discriminative predictors. Single databank analysis without independent external or prospective validation; SHAP supports strict XAI coding.</ns0:t>
        </ns0:is>
      </ns0:c>
      <ns0:c r="F2271" s="19" t="inlineStr">
        <ns0:is>
          <ns0:t>https://doi.org/10.1002/aur.70222</ns0:t>
        </ns0:is>
      </ns0:c>
      <ns0:c r="G2271" s="19" t="inlineStr">
        <ns0:is>
          <ns0:t>ChatGPT-assisted evidence recharting, 2026-09-08</ns0:t>
        </ns0:is>
      </ns0:c>
    </ns0:row>
    <ns0:row r="2272" ht="57" customHeight="1">
      <ns0:c r="A2272" s="21" t="inlineStr">
        <ns0:is>
          <ns0:t>new_287</ns0:t>
        </ns0:is>
      </ns0:c>
      <ns0:c r="B2272" s="21" t="inlineStr">
        <ns0:is>
          <ns0:t>integrity_status</ns0:t>
        </ns0:is>
      </ns0:c>
      <ns0:c r="C2272" s="21" t="inlineStr"/>
      <ns0:c r="D2272" s="21" t="inlineStr">
        <ns0:is>
          <ns0:t>Not recorded</ns0:t>
        </ns0:is>
      </ns0:c>
      <ns0:c r="E2272" s="21" t="inlineStr">
        <ns0:is>
          <ns0:t>Retained source-specific coding after review of the supplied extraction notes; not a new full-text retrieval. Matched ASD and non-ASD participants from the NCH Sleep Databank, compared ML models on REM-sleep features, and used SHAP to identify discriminative predictors. Single databank analysis without independent external or prospective validation; SHAP supports strict XAI coding.</ns0:t>
        </ns0:is>
      </ns0:c>
      <ns0:c r="F2272" s="21" t="inlineStr">
        <ns0:is>
          <ns0:t>https://doi.org/10.1002/aur.70222</ns0:t>
        </ns0:is>
      </ns0:c>
      <ns0:c r="G2272" s="21" t="inlineStr">
        <ns0:is>
          <ns0:t>ChatGPT-assisted evidence recharting, 2026-09-08</ns0:t>
        </ns0:is>
      </ns0:c>
    </ns0:row>
    <ns0:row r="2273" ht="105" customHeight="1">
      <ns0:c r="A2273" s="19" t="inlineStr">
        <ns0:is>
          <ns0:t>new_289</ns0:t>
        </ns0:is>
      </ns0:c>
      <ns0:c r="B2273" s="19" t="inlineStr">
        <ns0:is>
          <ns0:t>ai_type</ns0:t>
        </ns0:is>
      </ns0:c>
      <ns0:c r="C2273" s="19" t="inlineStr">
        <ns0:is>
          <ns0:t>Hybrid</ns0:t>
        </ns0:is>
      </ns0:c>
      <ns0:c r="D2273" s="19" t="inlineStr">
        <ns0:is>
          <ns0:t>Deep Learning</ns0:t>
        </ns0:is>
      </ns0:c>
      <ns0:c r="E2273" s="19" t="inlineStr">
        <ns0:is>
          <ns0:t>Retained source-specific coding after review of the supplied extraction notes; not a new full-text retrieval. HYMA combines axis-specific YOLO experts, attention and expert fusion; the publisher explicitly reports subject-wise and cross-site evaluations on ABIDE I/II and interprets attention maps over clinically relevant brain regions. The 99.3% accuracy is unusually high for ABIDE and merits independent replication. Cross-site robustness is counted because the paper explicitly reports cross-site evaluation, but external validation is kept at 0 because the exact independent train/external-test relationship is not unambiguously established.
All-neural/optimization pipeline in recovered evidence; hybrid title is not sufficient for mixed conventional-ML/DL classification.</ns0:t>
        </ns0:is>
      </ns0:c>
      <ns0:c r="F2273" s="19" t="inlineStr">
        <ns0:is>
          <ns0:t>https://doi.org/10.1016/j.asoc.2026.114655</ns0:t>
        </ns0:is>
      </ns0:c>
      <ns0:c r="G2273" s="19" t="inlineStr">
        <ns0:is>
          <ns0:t>ChatGPT-assisted evidence recharting, 2026-09-08</ns0:t>
        </ns0:is>
      </ns0:c>
    </ns0:row>
    <ns0:row r="2274" ht="105" customHeight="1">
      <ns0:c r="A2274" s="21" t="inlineStr">
        <ns0:is>
          <ns0:t>new_289</ns0:t>
        </ns0:is>
      </ns0:c>
      <ns0:c r="B2274" s="21" t="inlineStr">
        <ns0:is>
          <ns0:t>rq2_role</ns0:t>
        </ns0:is>
      </ns0:c>
      <ns0:c r="C2274" s="21" t="inlineStr">
        <ns0:is>
          <ns0:t>Retrospective neuroimaging diagnostic research; no clinical workflow deployment evaluated</ns0:t>
        </ns0:is>
      </ns0:c>
      <ns0:c r="D2274" s="21" t="inlineStr">
        <ns0:is>
          <ns0:t>Automated measurement/classification</ns0:t>
        </ns0:is>
      </ns0:c>
      <ns0:c r="E2274" s="21" t="inlineStr">
        <ns0:is>
          <ns0:t>Retained source-specific coding after review of the supplied extraction notes; not a new full-text retrieval. HYMA combines axis-specific YOLO experts, attention and expert fusion; the publisher explicitly reports subject-wise and cross-site evaluations on ABIDE I/II and interprets attention maps over clinically relevant brain regions. The 99.3% accuracy is unusually high for ABIDE and merits independent replication. Cross-site robustness is counted because the paper explicitly reports cross-site evaluation, but external validation is kept at 0 because the exact independent train/external-test relationship is not unambiguously established.
All-neural/optimization pipeline in recovered evidence; hybrid title is not sufficient for mixed conventional-ML/DL classification.</ns0:t>
        </ns0:is>
      </ns0:c>
      <ns0:c r="F2274" s="21" t="inlineStr">
        <ns0:is>
          <ns0:t>https://doi.org/10.1016/j.asoc.2026.114655</ns0:t>
        </ns0:is>
      </ns0:c>
      <ns0:c r="G2274" s="21" t="inlineStr">
        <ns0:is>
          <ns0:t>ChatGPT-assisted evidence recharting, 2026-09-08</ns0:t>
        </ns0:is>
      </ns0:c>
    </ns0:row>
    <ns0:row r="2275" ht="105" customHeight="1">
      <ns0:c r="A2275" s="19" t="inlineStr">
        <ns0:is>
          <ns0:t>new_289</ns0:t>
        </ns0:is>
      </ns0:c>
      <ns0:c r="B2275" s="19" t="inlineStr">
        <ns0:is>
          <ns0:t>decision_timing</ns0:t>
        </ns0:is>
      </ns0:c>
      <ns0:c r="C2275" s="19" t="inlineStr"/>
      <ns0:c r="D2275" s="19" t="inlineStr">
        <ns0:is>
          <ns0:t>Not observed in assessed sources</ns0:t>
        </ns0:is>
      </ns0:c>
      <ns0:c r="E2275" s="19" t="inlineStr">
        <ns0:is>
          <ns0:t>Retained source-specific coding after review of the supplied extraction notes; not a new full-text retrieval. HYMA combines axis-specific YOLO experts, attention and expert fusion; the publisher explicitly reports subject-wise and cross-site evaluations on ABIDE I/II and interprets attention maps over clinically relevant brain regions. The 99.3% accuracy is unusually high for ABIDE and merits independent replication. Cross-site robustness is counted because the paper explicitly reports cross-site evaluation, but external validation is kept at 0 because the exact independent train/external-test relationship is not unambiguously established.
All-neural/optimization pipeline in recovered evidence; hybrid title is not sufficient for mixed conventional-ML/DL classification.</ns0:t>
        </ns0:is>
      </ns0:c>
      <ns0:c r="F2275" s="19" t="inlineStr">
        <ns0:is>
          <ns0:t>https://doi.org/10.1016/j.asoc.2026.114655</ns0:t>
        </ns0:is>
      </ns0:c>
      <ns0:c r="G2275" s="19" t="inlineStr">
        <ns0:is>
          <ns0:t>ChatGPT-assisted evidence recharting, 2026-09-08</ns0:t>
        </ns0:is>
      </ns0:c>
    </ns0:row>
    <ns0:row r="2276" ht="105" customHeight="1">
      <ns0:c r="A2276" s="21" t="inlineStr">
        <ns0:is>
          <ns0:t>new_289</ns0:t>
        </ns0:is>
      </ns0:c>
      <ns0:c r="B2276" s="21" t="inlineStr">
        <ns0:is>
          <ns0:t>integrity_status</ns0:t>
        </ns0:is>
      </ns0:c>
      <ns0:c r="C2276" s="21" t="inlineStr"/>
      <ns0:c r="D2276" s="21" t="inlineStr">
        <ns0:is>
          <ns0:t>Not recorded</ns0:t>
        </ns0:is>
      </ns0:c>
      <ns0:c r="E2276" s="21" t="inlineStr">
        <ns0:is>
          <ns0:t>Retained source-specific coding after review of the supplied extraction notes; not a new full-text retrieval. HYMA combines axis-specific YOLO experts, attention and expert fusion; the publisher explicitly reports subject-wise and cross-site evaluations on ABIDE I/II and interprets attention maps over clinically relevant brain regions. The 99.3% accuracy is unusually high for ABIDE and merits independent replication. Cross-site robustness is counted because the paper explicitly reports cross-site evaluation, but external validation is kept at 0 because the exact independent train/external-test relationship is not unambiguously established.
All-neural/optimization pipeline in recovered evidence; hybrid title is not sufficient for mixed conventional-ML/DL classification.</ns0:t>
        </ns0:is>
      </ns0:c>
      <ns0:c r="F2276" s="21" t="inlineStr">
        <ns0:is>
          <ns0:t>https://doi.org/10.1016/j.asoc.2026.114655</ns0:t>
        </ns0:is>
      </ns0:c>
      <ns0:c r="G2276" s="21" t="inlineStr">
        <ns0:is>
          <ns0:t>ChatGPT-assisted evidence recharting, 2026-09-08</ns0:t>
        </ns0:is>
      </ns0:c>
    </ns0:row>
    <ns0:row r="2277" ht="57" customHeight="1">
      <ns0:c r="A2277" s="19" t="inlineStr">
        <ns0:is>
          <ns0:t>new_295</ns0:t>
        </ns0:is>
      </ns0:c>
      <ns0:c r="B2277" s="19" t="inlineStr">
        <ns0:is>
          <ns0:t>rq2_role</ns0:t>
        </ns0:is>
      </ns0:c>
      <ns0:c r="C2277" s="19" t="inlineStr">
        <ns0:is>
          <ns0:t>Proposed physiological screening classifier; no deployed clinical workflow evaluated</ns0:t>
        </ns0:is>
      </ns0:c>
      <ns0:c r="D2277" s="19" t="inlineStr">
        <ns0:is>
          <ns0:t>Triage/questionnaire assessment</ns0:t>
        </ns0:is>
      </ns0:c>
      <ns0:c r="E2277" s="19" t="inlineStr">
        <ns0:is>
          <ns0:t>Retained source-specific coding after review of the supplied extraction notes; not a new full-text retrieval. Compares conventional classifiers and a DNN on pupillary-light-reflex features from ASD and typically developing children; the DNN gives the strongest test performance. Small sample and no independent external/prospective validation or explicit explainability analysis.</ns0:t>
        </ns0:is>
      </ns0:c>
      <ns0:c r="F2277" s="19" t="inlineStr">
        <ns0:is>
          <ns0:t>https://doi.org/10.1155/acis/1906938</ns0:t>
        </ns0:is>
      </ns0:c>
      <ns0:c r="G2277" s="19" t="inlineStr">
        <ns0:is>
          <ns0:t>ChatGPT-assisted evidence recharting, 2026-09-08</ns0:t>
        </ns0:is>
      </ns0:c>
    </ns0:row>
    <ns0:row r="2278" ht="57" customHeight="1">
      <ns0:c r="A2278" s="21" t="inlineStr">
        <ns0:is>
          <ns0:t>new_295</ns0:t>
        </ns0:is>
      </ns0:c>
      <ns0:c r="B2278" s="21" t="inlineStr">
        <ns0:is>
          <ns0:t>decision_timing</ns0:t>
        </ns0:is>
      </ns0:c>
      <ns0:c r="C2278" s="21" t="inlineStr"/>
      <ns0:c r="D2278" s="21" t="inlineStr">
        <ns0:is>
          <ns0:t>Pre-decision</ns0:t>
        </ns0:is>
      </ns0:c>
      <ns0:c r="E2278" s="21" t="inlineStr">
        <ns0:is>
          <ns0:t>Retained source-specific coding after review of the supplied extraction notes; not a new full-text retrieval. Compares conventional classifiers and a DNN on pupillary-light-reflex features from ASD and typically developing children; the DNN gives the strongest test performance. Small sample and no independent external/prospective validation or explicit explainability analysis.</ns0:t>
        </ns0:is>
      </ns0:c>
      <ns0:c r="F2278" s="21" t="inlineStr">
        <ns0:is>
          <ns0:t>https://doi.org/10.1155/acis/1906938</ns0:t>
        </ns0:is>
      </ns0:c>
      <ns0:c r="G2278" s="21" t="inlineStr">
        <ns0:is>
          <ns0:t>ChatGPT-assisted evidence recharting, 2026-09-08</ns0:t>
        </ns0:is>
      </ns0:c>
    </ns0:row>
    <ns0:row r="2279" ht="57" customHeight="1">
      <ns0:c r="A2279" s="19" t="inlineStr">
        <ns0:is>
          <ns0:t>new_295</ns0:t>
        </ns0:is>
      </ns0:c>
      <ns0:c r="B2279" s="19" t="inlineStr">
        <ns0:is>
          <ns0:t>integrity_status</ns0:t>
        </ns0:is>
      </ns0:c>
      <ns0:c r="C2279" s="19" t="inlineStr"/>
      <ns0:c r="D2279" s="19" t="inlineStr">
        <ns0:is>
          <ns0:t>Not recorded</ns0:t>
        </ns0:is>
      </ns0:c>
      <ns0:c r="E2279" s="19" t="inlineStr">
        <ns0:is>
          <ns0:t>Retained source-specific coding after review of the supplied extraction notes; not a new full-text retrieval. Compares conventional classifiers and a DNN on pupillary-light-reflex features from ASD and typically developing children; the DNN gives the strongest test performance. Small sample and no independent external/prospective validation or explicit explainability analysis.</ns0:t>
        </ns0:is>
      </ns0:c>
      <ns0:c r="F2279" s="19" t="inlineStr">
        <ns0:is>
          <ns0:t>https://doi.org/10.1155/acis/1906938</ns0:t>
        </ns0:is>
      </ns0:c>
      <ns0:c r="G2279" s="19" t="inlineStr">
        <ns0:is>
          <ns0:t>ChatGPT-assisted evidence recharting, 2026-09-08</ns0:t>
        </ns0:is>
      </ns0:c>
    </ns0:row>
    <ns0:row r="2280" ht="57" customHeight="1">
      <ns0:c r="A2280" s="21" t="inlineStr">
        <ns0:is>
          <ns0:t>new_296</ns0:t>
        </ns0:is>
      </ns0:c>
      <ns0:c r="B2280" s="21" t="inlineStr">
        <ns0:is>
          <ns0:t>rq2_role</ns0:t>
        </ns0:is>
      </ns0:c>
      <ns0:c r="C2280" s="21" t="inlineStr">
        <ns0:is>
          <ns0:t>Experimental EEG diagnostic research; no deployed clinical workflow evaluated</ns0:t>
        </ns0:is>
      </ns0:c>
      <ns0:c r="D2280" s="21" t="inlineStr">
        <ns0:is>
          <ns0:t>Automated measurement/classification</ns0:t>
        </ns0:is>
      </ns0:c>
      <ns0:c r="E2280" s="21" t="inlineStr">
        <ns0:is>
          <ns0:t>Retained source-specific coding after review of the supplied extraction notes; not a new full-text retrieval. Uses raw EEG recorded from ASD and TD children during upright/inverted face-processing tasks and evaluates lightweight one-dimensional CNN architectures for classification. Accessible material does not establish prospective enrollment, independent external validation, site-held-out robustness or formal XAI.</ns0:t>
        </ns0:is>
      </ns0:c>
      <ns0:c r="F2280" s="21" t="inlineStr">
        <ns0:is>
          <ns0:t>https://doi.org/10.1016/j.bspc.2026.109655</ns0:t>
        </ns0:is>
      </ns0:c>
      <ns0:c r="G2280" s="21" t="inlineStr">
        <ns0:is>
          <ns0:t>ChatGPT-assisted evidence recharting, 2026-09-08</ns0:t>
        </ns0:is>
      </ns0:c>
    </ns0:row>
    <ns0:row r="2281" ht="57" customHeight="1">
      <ns0:c r="A2281" s="19" t="inlineStr">
        <ns0:is>
          <ns0:t>new_296</ns0:t>
        </ns0:is>
      </ns0:c>
      <ns0:c r="B2281" s="19" t="inlineStr">
        <ns0:is>
          <ns0:t>decision_timing</ns0:t>
        </ns0:is>
      </ns0:c>
      <ns0:c r="C2281" s="19" t="inlineStr"/>
      <ns0:c r="D2281" s="19" t="inlineStr">
        <ns0:is>
          <ns0:t>Not observed in assessed sources</ns0:t>
        </ns0:is>
      </ns0:c>
      <ns0:c r="E2281" s="19" t="inlineStr">
        <ns0:is>
          <ns0:t>Retained source-specific coding after review of the supplied extraction notes; not a new full-text retrieval. Uses raw EEG recorded from ASD and TD children during upright/inverted face-processing tasks and evaluates lightweight one-dimensional CNN architectures for classification. Accessible material does not establish prospective enrollment, independent external validation, site-held-out robustness or formal XAI.</ns0:t>
        </ns0:is>
      </ns0:c>
      <ns0:c r="F2281" s="19" t="inlineStr">
        <ns0:is>
          <ns0:t>https://doi.org/10.1016/j.bspc.2026.109655</ns0:t>
        </ns0:is>
      </ns0:c>
      <ns0:c r="G2281" s="19" t="inlineStr">
        <ns0:is>
          <ns0:t>ChatGPT-assisted evidence recharting, 2026-09-08</ns0:t>
        </ns0:is>
      </ns0:c>
    </ns0:row>
    <ns0:row r="2282" ht="57" customHeight="1">
      <ns0:c r="A2282" s="21" t="inlineStr">
        <ns0:is>
          <ns0:t>new_296</ns0:t>
        </ns0:is>
      </ns0:c>
      <ns0:c r="B2282" s="21" t="inlineStr">
        <ns0:is>
          <ns0:t>integrity_status</ns0:t>
        </ns0:is>
      </ns0:c>
      <ns0:c r="C2282" s="21" t="inlineStr"/>
      <ns0:c r="D2282" s="21" t="inlineStr">
        <ns0:is>
          <ns0:t>Not recorded</ns0:t>
        </ns0:is>
      </ns0:c>
      <ns0:c r="E2282" s="21" t="inlineStr">
        <ns0:is>
          <ns0:t>Retained source-specific coding after review of the supplied extraction notes; not a new full-text retrieval. Uses raw EEG recorded from ASD and TD children during upright/inverted face-processing tasks and evaluates lightweight one-dimensional CNN architectures for classification. Accessible material does not establish prospective enrollment, independent external validation, site-held-out robustness or formal XAI.</ns0:t>
        </ns0:is>
      </ns0:c>
      <ns0:c r="F2282" s="21" t="inlineStr">
        <ns0:is>
          <ns0:t>https://doi.org/10.1016/j.bspc.2026.109655</ns0:t>
        </ns0:is>
      </ns0:c>
      <ns0:c r="G2282" s="21" t="inlineStr">
        <ns0:is>
          <ns0:t>ChatGPT-assisted evidence recharting, 2026-09-08</ns0:t>
        </ns0:is>
      </ns0:c>
    </ns0:row>
    <ns0:row r="2283" ht="69" customHeight="1">
      <ns0:c r="A2283" s="19" t="inlineStr">
        <ns0:is>
          <ns0:t>new_298</ns0:t>
        </ns0:is>
      </ns0:c>
      <ns0:c r="B2283" s="19" t="inlineStr">
        <ns0:is>
          <ns0:t>data_source_primary</ns0:t>
        </ns0:is>
      </ns0:c>
      <ns0:c r="C2283" s="19" t="inlineStr">
        <ns0:is>
          <ns0:t>Text / language</ns0:t>
        </ns0:is>
      </ns0:c>
      <ns0:c r="D2283" s="19" t="inlineStr">
        <ns0:is>
          <ns0:t>Text/language</ns0:t>
        </ns0:is>
      </ns0:c>
      <ns0:c r="E2283" s="19" t="inlineStr">
        <ns0:is>
          <ns0:t>Retained source-specific coding after review of the supplied extraction notes; not a new full-text retrieval. A multiple-probe/alternating-treatment intervention compares conversational-AI-enhanced peer mediation with peer-mediated instruction alone and reports gains in initiations, responses, lexical diversity and generalization. The underlying conversational model is not technically specified in the accessible material; the small single-case design limits generalizability despite real intervention deployment.</ns0:t>
        </ns0:is>
      </ns0:c>
      <ns0:c r="F2283" s="19" t="inlineStr">
        <ns0:is>
          <ns0:t>https://doi.org/10.1016/j.ridd.2026.105249</ns0:t>
        </ns0:is>
      </ns0:c>
      <ns0:c r="G2283" s="19" t="inlineStr">
        <ns0:is>
          <ns0:t>ChatGPT-assisted evidence recharting, 2026-09-08</ns0:t>
        </ns0:is>
      </ns0:c>
    </ns0:row>
    <ns0:row r="2284" ht="69" customHeight="1">
      <ns0:c r="A2284" s="21" t="inlineStr">
        <ns0:is>
          <ns0:t>new_298</ns0:t>
        </ns0:is>
      </ns0:c>
      <ns0:c r="B2284" s="21" t="inlineStr">
        <ns0:is>
          <ns0:t>rq2_status</ns0:t>
        </ns0:is>
      </ns0:c>
      <ns0:c r="C2284" s="21" t="inlineStr">
        <ns0:is>
          <ns0:t>Confirmed in intervention</ns0:t>
        </ns0:is>
      </ns0:c>
      <ns0:c r="D2284" s="21" t="inlineStr">
        <ns0:is>
          <ns0:t>Evaluated AI-supported intervention</ns0:t>
        </ns0:is>
      </ns0:c>
      <ns0:c r="E2284" s="21" t="inlineStr">
        <ns0:is>
          <ns0:t>Retained source-specific coding after review of the supplied extraction notes; not a new full-text retrieval. A multiple-probe/alternating-treatment intervention compares conversational-AI-enhanced peer mediation with peer-mediated instruction alone and reports gains in initiations, responses, lexical diversity and generalization. The underlying conversational model is not technically specified in the accessible material; the small single-case design limits generalizability despite real intervention deployment.</ns0:t>
        </ns0:is>
      </ns0:c>
      <ns0:c r="F2284" s="21" t="inlineStr">
        <ns0:is>
          <ns0:t>https://doi.org/10.1016/j.ridd.2026.105249</ns0:t>
        </ns0:is>
      </ns0:c>
      <ns0:c r="G2284" s="21" t="inlineStr">
        <ns0:is>
          <ns0:t>ChatGPT-assisted evidence recharting, 2026-09-08</ns0:t>
        </ns0:is>
      </ns0:c>
    </ns0:row>
    <ns0:row r="2285" ht="69" customHeight="1">
      <ns0:c r="A2285" s="19" t="inlineStr">
        <ns0:is>
          <ns0:t>new_298</ns0:t>
        </ns0:is>
      </ns0:c>
      <ns0:c r="B2285" s="19" t="inlineStr">
        <ns0:is>
          <ns0:t>rq2_role</ns0:t>
        </ns0:is>
      </ns0:c>
      <ns0:c r="C2285" s="19" t="inlineStr">
        <ns0:is>
          <ns0:t>Conversational AI embedded in peer-mediated intervention and experimentally compared with PMI-ID-only</ns0:t>
        </ns0:is>
      </ns0:c>
      <ns0:c r="D2285" s="19" t="inlineStr">
        <ns0:is>
          <ns0:t>Adaptive intervention</ns0:t>
        </ns0:is>
      </ns0:c>
      <ns0:c r="E2285" s="19" t="inlineStr">
        <ns0:is>
          <ns0:t>Retained source-specific coding after review of the supplied extraction notes; not a new full-text retrieval. A multiple-probe/alternating-treatment intervention compares conversational-AI-enhanced peer mediation with peer-mediated instruction alone and reports gains in initiations, responses, lexical diversity and generalization. The underlying conversational model is not technically specified in the accessible material; the small single-case design limits generalizability despite real intervention deployment.</ns0:t>
        </ns0:is>
      </ns0:c>
      <ns0:c r="F2285" s="19" t="inlineStr">
        <ns0:is>
          <ns0:t>https://doi.org/10.1016/j.ridd.2026.105249</ns0:t>
        </ns0:is>
      </ns0:c>
      <ns0:c r="G2285" s="19" t="inlineStr">
        <ns0:is>
          <ns0:t>ChatGPT-assisted evidence recharting, 2026-09-08</ns0:t>
        </ns0:is>
      </ns0:c>
    </ns0:row>
    <ns0:row r="2286" ht="69" customHeight="1">
      <ns0:c r="A2286" s="21" t="inlineStr">
        <ns0:is>
          <ns0:t>new_298</ns0:t>
        </ns0:is>
      </ns0:c>
      <ns0:c r="B2286" s="21" t="inlineStr">
        <ns0:is>
          <ns0:t>decision_timing</ns0:t>
        </ns0:is>
      </ns0:c>
      <ns0:c r="C2286" s="21" t="inlineStr"/>
      <ns0:c r="D2286" s="21" t="inlineStr">
        <ns0:is>
          <ns0:t>Post-decision</ns0:t>
        </ns0:is>
      </ns0:c>
      <ns0:c r="E2286" s="21" t="inlineStr">
        <ns0:is>
          <ns0:t>Retained source-specific coding after review of the supplied extraction notes; not a new full-text retrieval. A multiple-probe/alternating-treatment intervention compares conversational-AI-enhanced peer mediation with peer-mediated instruction alone and reports gains in initiations, responses, lexical diversity and generalization. The underlying conversational model is not technically specified in the accessible material; the small single-case design limits generalizability despite real intervention deployment.</ns0:t>
        </ns0:is>
      </ns0:c>
      <ns0:c r="F2286" s="21" t="inlineStr">
        <ns0:is>
          <ns0:t>https://doi.org/10.1016/j.ridd.2026.105249</ns0:t>
        </ns0:is>
      </ns0:c>
      <ns0:c r="G2286" s="21" t="inlineStr">
        <ns0:is>
          <ns0:t>ChatGPT-assisted evidence recharting, 2026-09-08</ns0:t>
        </ns0:is>
      </ns0:c>
    </ns0:row>
    <ns0:row r="2287" ht="69" customHeight="1">
      <ns0:c r="A2287" s="19" t="inlineStr">
        <ns0:is>
          <ns0:t>new_298</ns0:t>
        </ns0:is>
      </ns0:c>
      <ns0:c r="B2287" s="19" t="inlineStr">
        <ns0:is>
          <ns0:t>integrity_status</ns0:t>
        </ns0:is>
      </ns0:c>
      <ns0:c r="C2287" s="19" t="inlineStr"/>
      <ns0:c r="D2287" s="19" t="inlineStr">
        <ns0:is>
          <ns0:t>Not recorded</ns0:t>
        </ns0:is>
      </ns0:c>
      <ns0:c r="E2287" s="19" t="inlineStr">
        <ns0:is>
          <ns0:t>Retained source-specific coding after review of the supplied extraction notes; not a new full-text retrieval. A multiple-probe/alternating-treatment intervention compares conversational-AI-enhanced peer mediation with peer-mediated instruction alone and reports gains in initiations, responses, lexical diversity and generalization. The underlying conversational model is not technically specified in the accessible material; the small single-case design limits generalizability despite real intervention deployment.</ns0:t>
        </ns0:is>
      </ns0:c>
      <ns0:c r="F2287" s="19" t="inlineStr">
        <ns0:is>
          <ns0:t>https://doi.org/10.1016/j.ridd.2026.105249</ns0:t>
        </ns0:is>
      </ns0:c>
      <ns0:c r="G2287" s="19" t="inlineStr">
        <ns0:is>
          <ns0:t>ChatGPT-assisted evidence recharting, 2026-09-08</ns0:t>
        </ns0:is>
      </ns0:c>
    </ns0:row>
    <ns0:row r="2288" ht="69" customHeight="1">
      <ns0:c r="A2288" s="21" t="inlineStr">
        <ns0:is>
          <ns0:t>new_299</ns0:t>
        </ns0:is>
      </ns0:c>
      <ns0:c r="B2288" s="21" t="inlineStr">
        <ns0:is>
          <ns0:t>rq2_role</ns0:t>
        </ns0:is>
      </ns0:c>
      <ns0:c r="C2288" s="21" t="inlineStr">
        <ns0:is>
          <ns0:t>Within-ASD sensory-phenotype characterization; no unique ASD clinical-stage workflow evaluated</ns0:t>
        </ns0:is>
      </ns0:c>
      <ns0:c r="D2288" s="21" t="inlineStr">
        <ns0:is>
          <ns0:t>Research characterization</ns0:t>
        </ns0:is>
      </ns0:c>
      <ns0:c r="E2288" s="21" t="inlineStr">
        <ns0:is>
          <ns0:t>Retained source-specific coding after review of the supplied extraction notes; not a new full-text retrieval. Uses POND Network data to derive sensory phenotypes from Short Sensory Profile scores and classify phenotype pairs using graph-theoretical rs-fMRI features and linear SVC. POND is multisite, but no site-held-out generalization analysis is reported. SSP is used to define labels rather than fused as a second model-input modality, so multisource integration is not counted.</ns0:t>
        </ns0:is>
      </ns0:c>
      <ns0:c r="F2288" s="21" t="inlineStr">
        <ns0:is>
          <ns0:t>https://doi.org/10.1016/j.bpsc.2025.12.013</ns0:t>
        </ns0:is>
      </ns0:c>
      <ns0:c r="G2288" s="21" t="inlineStr">
        <ns0:is>
          <ns0:t>ChatGPT-assisted evidence recharting, 2026-09-08</ns0:t>
        </ns0:is>
      </ns0:c>
    </ns0:row>
    <ns0:row r="2289" ht="69" customHeight="1">
      <ns0:c r="A2289" s="19" t="inlineStr">
        <ns0:is>
          <ns0:t>new_299</ns0:t>
        </ns0:is>
      </ns0:c>
      <ns0:c r="B2289" s="19" t="inlineStr">
        <ns0:is>
          <ns0:t>decision_timing</ns0:t>
        </ns0:is>
      </ns0:c>
      <ns0:c r="C2289" s="19" t="inlineStr"/>
      <ns0:c r="D2289" s="19" t="inlineStr">
        <ns0:is>
          <ns0:t>Not observed in assessed sources</ns0:t>
        </ns0:is>
      </ns0:c>
      <ns0:c r="E2289" s="19" t="inlineStr">
        <ns0:is>
          <ns0:t>Retained source-specific coding after review of the supplied extraction notes; not a new full-text retrieval. Uses POND Network data to derive sensory phenotypes from Short Sensory Profile scores and classify phenotype pairs using graph-theoretical rs-fMRI features and linear SVC. POND is multisite, but no site-held-out generalization analysis is reported. SSP is used to define labels rather than fused as a second model-input modality, so multisource integration is not counted.</ns0:t>
        </ns0:is>
      </ns0:c>
      <ns0:c r="F2289" s="19" t="inlineStr">
        <ns0:is>
          <ns0:t>https://doi.org/10.1016/j.bpsc.2025.12.013</ns0:t>
        </ns0:is>
      </ns0:c>
      <ns0:c r="G2289" s="19" t="inlineStr">
        <ns0:is>
          <ns0:t>ChatGPT-assisted evidence recharting, 2026-09-08</ns0:t>
        </ns0:is>
      </ns0:c>
    </ns0:row>
    <ns0:row r="2290" ht="69" customHeight="1">
      <ns0:c r="A2290" s="21" t="inlineStr">
        <ns0:is>
          <ns0:t>new_299</ns0:t>
        </ns0:is>
      </ns0:c>
      <ns0:c r="B2290" s="21" t="inlineStr">
        <ns0:is>
          <ns0:t>integrity_status</ns0:t>
        </ns0:is>
      </ns0:c>
      <ns0:c r="C2290" s="21" t="inlineStr"/>
      <ns0:c r="D2290" s="21" t="inlineStr">
        <ns0:is>
          <ns0:t>Not recorded</ns0:t>
        </ns0:is>
      </ns0:c>
      <ns0:c r="E2290" s="21" t="inlineStr">
        <ns0:is>
          <ns0:t>Retained source-specific coding after review of the supplied extraction notes; not a new full-text retrieval. Uses POND Network data to derive sensory phenotypes from Short Sensory Profile scores and classify phenotype pairs using graph-theoretical rs-fMRI features and linear SVC. POND is multisite, but no site-held-out generalization analysis is reported. SSP is used to define labels rather than fused as a second model-input modality, so multisource integration is not counted.</ns0:t>
        </ns0:is>
      </ns0:c>
      <ns0:c r="F2290" s="21" t="inlineStr">
        <ns0:is>
          <ns0:t>https://doi.org/10.1016/j.bpsc.2025.12.013</ns0:t>
        </ns0:is>
      </ns0:c>
      <ns0:c r="G2290" s="21" t="inlineStr">
        <ns0:is>
          <ns0:t>ChatGPT-assisted evidence recharting, 2026-09-08</ns0:t>
        </ns0:is>
      </ns0:c>
    </ns0:row>
    <ns0:row r="2291" ht="69" customHeight="1">
      <ns0:c r="A2291" s="19" t="inlineStr">
        <ns0:is>
          <ns0:t>new_306</ns0:t>
        </ns0:is>
      </ns0:c>
      <ns0:c r="B2291" s="19" t="inlineStr">
        <ns0:is>
          <ns0:t>data_source_primary</ns0:t>
        </ns0:is>
      </ns0:c>
      <ns0:c r="C2291" s="19" t="inlineStr">
        <ns0:is>
          <ns0:t>Behavioral gaze / eye tracking</ns0:t>
        </ns0:is>
      </ns0:c>
      <ns0:c r="D2291" s="19" t="inlineStr">
        <ns0:is>
          <ns0:t>Behavioral images/video/gaze/movement</ns0:t>
        </ns0:is>
      </ns0:c>
      <ns0:c r="E2291" s="19" t="inlineStr">
        <ns0:is>
          <ns0:t>Retained source-specific coding after review of the supplied extraction notes; not a new full-text retrieval. Benchmarks bagging, boosting and stacking on eye-tracking scanpaths; stacking reaches about 0.96 accuracy and the article explicitly argues that raw scanpath representation improves interpretability. Very small benchmark sample and internal fivefold CV; the interpretability claim lacks a formal attribution method and is therefore coded only as partial XAI.</ns0:t>
        </ns0:is>
      </ns0:c>
      <ns0:c r="F2291" s="19" t="inlineStr">
        <ns0:is>
          <ns0:t>https://doi.org/10.1016/j.array.2026.100753</ns0:t>
        </ns0:is>
      </ns0:c>
      <ns0:c r="G2291" s="19" t="inlineStr">
        <ns0:is>
          <ns0:t>ChatGPT-assisted evidence recharting, 2026-09-08</ns0:t>
        </ns0:is>
      </ns0:c>
    </ns0:row>
    <ns0:row r="2292" ht="69" customHeight="1">
      <ns0:c r="A2292" s="21" t="inlineStr">
        <ns0:is>
          <ns0:t>new_306</ns0:t>
        </ns0:is>
      </ns0:c>
      <ns0:c r="B2292" s="21" t="inlineStr">
        <ns0:is>
          <ns0:t>rq2_role</ns0:t>
        </ns0:is>
      </ns0:c>
      <ns0:c r="C2292" s="21" t="inlineStr">
        <ns0:is>
          <ns0:t>Proposed eye-tracking screening classifier; no deployed workflow evaluated</ns0:t>
        </ns0:is>
      </ns0:c>
      <ns0:c r="D2292" s="21" t="inlineStr">
        <ns0:is>
          <ns0:t>Triage/questionnaire assessment</ns0:t>
        </ns0:is>
      </ns0:c>
      <ns0:c r="E2292" s="21" t="inlineStr">
        <ns0:is>
          <ns0:t>Retained source-specific coding after review of the supplied extraction notes; not a new full-text retrieval. Benchmarks bagging, boosting and stacking on eye-tracking scanpaths; stacking reaches about 0.96 accuracy and the article explicitly argues that raw scanpath representation improves interpretability. Very small benchmark sample and internal fivefold CV; the interpretability claim lacks a formal attribution method and is therefore coded only as partial XAI.</ns0:t>
        </ns0:is>
      </ns0:c>
      <ns0:c r="F2292" s="21" t="inlineStr">
        <ns0:is>
          <ns0:t>https://doi.org/10.1016/j.array.2026.100753</ns0:t>
        </ns0:is>
      </ns0:c>
      <ns0:c r="G2292" s="21" t="inlineStr">
        <ns0:is>
          <ns0:t>ChatGPT-assisted evidence recharting, 2026-09-08</ns0:t>
        </ns0:is>
      </ns0:c>
    </ns0:row>
    <ns0:row r="2293" ht="69" customHeight="1">
      <ns0:c r="A2293" s="19" t="inlineStr">
        <ns0:is>
          <ns0:t>new_306</ns0:t>
        </ns0:is>
      </ns0:c>
      <ns0:c r="B2293" s="19" t="inlineStr">
        <ns0:is>
          <ns0:t>decision_timing</ns0:t>
        </ns0:is>
      </ns0:c>
      <ns0:c r="C2293" s="19" t="inlineStr"/>
      <ns0:c r="D2293" s="19" t="inlineStr">
        <ns0:is>
          <ns0:t>Pre-decision</ns0:t>
        </ns0:is>
      </ns0:c>
      <ns0:c r="E2293" s="19" t="inlineStr">
        <ns0:is>
          <ns0:t>Retained source-specific coding after review of the supplied extraction notes; not a new full-text retrieval. Benchmarks bagging, boosting and stacking on eye-tracking scanpaths; stacking reaches about 0.96 accuracy and the article explicitly argues that raw scanpath representation improves interpretability. Very small benchmark sample and internal fivefold CV; the interpretability claim lacks a formal attribution method and is therefore coded only as partial XAI.</ns0:t>
        </ns0:is>
      </ns0:c>
      <ns0:c r="F2293" s="19" t="inlineStr">
        <ns0:is>
          <ns0:t>https://doi.org/10.1016/j.array.2026.100753</ns0:t>
        </ns0:is>
      </ns0:c>
      <ns0:c r="G2293" s="19" t="inlineStr">
        <ns0:is>
          <ns0:t>ChatGPT-assisted evidence recharting, 2026-09-08</ns0:t>
        </ns0:is>
      </ns0:c>
    </ns0:row>
    <ns0:row r="2294" ht="69" customHeight="1">
      <ns0:c r="A2294" s="21" t="inlineStr">
        <ns0:is>
          <ns0:t>new_306</ns0:t>
        </ns0:is>
      </ns0:c>
      <ns0:c r="B2294" s="21" t="inlineStr">
        <ns0:is>
          <ns0:t>xai_partial</ns0:t>
        </ns0:is>
      </ns0:c>
      <ns0:c r="C2294" s="21" t="inlineStr">
        <ns0:is>
          <ns0:t>Reported</ns0:t>
        </ns0:is>
      </ns0:c>
      <ns0:c r="D2294" s="21" t="inlineStr">
        <ns0:is>
          <ns0:t>Not ascertainable</ns0:t>
        </ns0:is>
      </ns0:c>
      <ns0:c r="E2294" s="21" t="inlineStr">
        <ns0:is>
          <ns0:t>Retained source-specific coding after review of the supplied extraction notes; not a new full-text retrieval. Benchmarks bagging, boosting and stacking on eye-tracking scanpaths; stacking reaches about 0.96 accuracy and the article explicitly argues that raw scanpath representation improves interpretability. Very small benchmark sample and internal fivefold CV; the interpretability claim lacks a formal attribution method and is therefore coded only as partial XAI.</ns0:t>
        </ns0:is>
      </ns0:c>
      <ns0:c r="F2294" s="21" t="inlineStr">
        <ns0:is>
          <ns0:t>https://doi.org/10.1016/j.array.2026.100753</ns0:t>
        </ns0:is>
      </ns0:c>
      <ns0:c r="G2294" s="21" t="inlineStr">
        <ns0:is>
          <ns0:t>ChatGPT-assisted evidence recharting, 2026-09-08</ns0:t>
        </ns0:is>
      </ns0:c>
    </ns0:row>
    <ns0:row r="2295" ht="69" customHeight="1">
      <ns0:c r="A2295" s="19" t="inlineStr">
        <ns0:is>
          <ns0:t>new_306</ns0:t>
        </ns0:is>
      </ns0:c>
      <ns0:c r="B2295" s="19" t="inlineStr">
        <ns0:is>
          <ns0:t>integrity_status</ns0:t>
        </ns0:is>
      </ns0:c>
      <ns0:c r="C2295" s="19" t="inlineStr"/>
      <ns0:c r="D2295" s="19" t="inlineStr">
        <ns0:is>
          <ns0:t>Not recorded</ns0:t>
        </ns0:is>
      </ns0:c>
      <ns0:c r="E2295" s="19" t="inlineStr">
        <ns0:is>
          <ns0:t>Retained source-specific coding after review of the supplied extraction notes; not a new full-text retrieval. Benchmarks bagging, boosting and stacking on eye-tracking scanpaths; stacking reaches about 0.96 accuracy and the article explicitly argues that raw scanpath representation improves interpretability. Very small benchmark sample and internal fivefold CV; the interpretability claim lacks a formal attribution method and is therefore coded only as partial XAI.</ns0:t>
        </ns0:is>
      </ns0:c>
      <ns0:c r="F2295" s="19" t="inlineStr">
        <ns0:is>
          <ns0:t>https://doi.org/10.1016/j.array.2026.100753</ns0:t>
        </ns0:is>
      </ns0:c>
      <ns0:c r="G2295" s="19" t="inlineStr">
        <ns0:is>
          <ns0:t>ChatGPT-assisted evidence recharting, 2026-09-08</ns0:t>
        </ns0:is>
      </ns0:c>
    </ns0:row>
    <ns0:row r="2296" ht="69" customHeight="1">
      <ns0:c r="A2296" s="21" t="inlineStr">
        <ns0:is>
          <ns0:t>new_316</ns0:t>
        </ns0:is>
      </ns0:c>
      <ns0:c r="B2296" s="21" t="inlineStr">
        <ns0:is>
          <ns0:t>rq2_role</ns0:t>
        </ns0:is>
      </ns0:c>
      <ns0:c r="C2296" s="21" t="inlineStr">
        <ns0:is>
          <ns0:t>Biomarker research for diagnostic support; no deployed workflow evaluated</ns0:t>
        </ns0:is>
      </ns0:c>
      <ns0:c r="D2296" s="21" t="inlineStr">
        <ns0:is>
          <ns0:t>Automated measurement/classification</ns0:t>
        </ns0:is>
      </ns0:c>
      <ns0:c r="E2296" s="21" t="inlineStr">
        <ns0:is>
          <ns0:t>Retained source-specific coding after review of the supplied extraction notes; not a new full-text retrieval. Serum proteomics in ASD and age-matched controls yielded an immune-related protein panel modeled with logistic regression; the biomarker panel is also checked using an orthogonal ELISA assay. Accessible material does not establish that ELISA validation used an independent cohort, so external validation is not counted. The compact biomarker panel supports partial interpretability.</ns0:t>
        </ns0:is>
      </ns0:c>
      <ns0:c r="F2296" s="21" t="inlineStr">
        <ns0:is>
          <ns0:t>https://doi.org/10.3791/68949</ns0:t>
        </ns0:is>
      </ns0:c>
      <ns0:c r="G2296" s="21" t="inlineStr">
        <ns0:is>
          <ns0:t>ChatGPT-assisted evidence recharting, 2026-09-08</ns0:t>
        </ns0:is>
      </ns0:c>
    </ns0:row>
    <ns0:row r="2297" ht="69" customHeight="1">
      <ns0:c r="A2297" s="19" t="inlineStr">
        <ns0:is>
          <ns0:t>new_316</ns0:t>
        </ns0:is>
      </ns0:c>
      <ns0:c r="B2297" s="19" t="inlineStr">
        <ns0:is>
          <ns0:t>decision_timing</ns0:t>
        </ns0:is>
      </ns0:c>
      <ns0:c r="C2297" s="19" t="inlineStr"/>
      <ns0:c r="D2297" s="19" t="inlineStr">
        <ns0:is>
          <ns0:t>Not observed in assessed sources</ns0:t>
        </ns0:is>
      </ns0:c>
      <ns0:c r="E2297" s="19" t="inlineStr">
        <ns0:is>
          <ns0:t>Retained source-specific coding after review of the supplied extraction notes; not a new full-text retrieval. Serum proteomics in ASD and age-matched controls yielded an immune-related protein panel modeled with logistic regression; the biomarker panel is also checked using an orthogonal ELISA assay. Accessible material does not establish that ELISA validation used an independent cohort, so external validation is not counted. The compact biomarker panel supports partial interpretability.</ns0:t>
        </ns0:is>
      </ns0:c>
      <ns0:c r="F2297" s="19" t="inlineStr">
        <ns0:is>
          <ns0:t>https://doi.org/10.3791/68949</ns0:t>
        </ns0:is>
      </ns0:c>
      <ns0:c r="G2297" s="19" t="inlineStr">
        <ns0:is>
          <ns0:t>ChatGPT-assisted evidence recharting, 2026-09-08</ns0:t>
        </ns0:is>
      </ns0:c>
    </ns0:row>
    <ns0:row r="2298" ht="69" customHeight="1">
      <ns0:c r="A2298" s="21" t="inlineStr">
        <ns0:is>
          <ns0:t>new_316</ns0:t>
        </ns0:is>
      </ns0:c>
      <ns0:c r="B2298" s="21" t="inlineStr">
        <ns0:is>
          <ns0:t>integrity_status</ns0:t>
        </ns0:is>
      </ns0:c>
      <ns0:c r="C2298" s="21" t="inlineStr"/>
      <ns0:c r="D2298" s="21" t="inlineStr">
        <ns0:is>
          <ns0:t>Not recorded</ns0:t>
        </ns0:is>
      </ns0:c>
      <ns0:c r="E2298" s="21" t="inlineStr">
        <ns0:is>
          <ns0:t>Retained source-specific coding after review of the supplied extraction notes; not a new full-text retrieval. Serum proteomics in ASD and age-matched controls yielded an immune-related protein panel modeled with logistic regression; the biomarker panel is also checked using an orthogonal ELISA assay. Accessible material does not establish that ELISA validation used an independent cohort, so external validation is not counted. The compact biomarker panel supports partial interpretability.</ns0:t>
        </ns0:is>
      </ns0:c>
      <ns0:c r="F2298" s="21" t="inlineStr">
        <ns0:is>
          <ns0:t>https://doi.org/10.3791/68949</ns0:t>
        </ns0:is>
      </ns0:c>
      <ns0:c r="G2298" s="21" t="inlineStr">
        <ns0:is>
          <ns0:t>ChatGPT-assisted evidence recharting, 2026-09-08</ns0:t>
        </ns0:is>
      </ns0:c>
    </ns0:row>
    <ns0:row r="2299" ht="81" customHeight="1">
      <ns0:c r="A2299" s="19" t="inlineStr">
        <ns0:is>
          <ns0:t>new_319</ns0:t>
        </ns0:is>
      </ns0:c>
      <ns0:c r="B2299" s="19" t="inlineStr">
        <ns0:is>
          <ns0:t>data_source_primary</ns0:t>
        </ns0:is>
      </ns0:c>
      <ns0:c r="C2299" s="19" t="inlineStr">
        <ns0:is>
          <ns0:t>Multiple modalities (as coded)</ns0:t>
        </ns0:is>
      </ns0:c>
      <ns0:c r="D2299" s="19" t="inlineStr">
        <ns0:is>
          <ns0:t>Neuroimaging</ns0:t>
        </ns0:is>
      </ns0:c>
      <ns0:c r="E2299" s="19" t="inlineStr">
        <ns0:is>
          <ns0:t>Retained source-specific coding after review of the supplied extraction notes; not a new full-text retrieval. Combines structural and functional MRI from ABIDE I and II with conventional classifiers, stacking and modified VGG-19 features; performance is reported separately for both datasets. ABIDE is multisite and the model is multimodal, but the accessible description does not establish site-held-out robustness or a strict independent external-validation design.
Structural and functional MRI combined</ns0:t>
        </ns0:is>
      </ns0:c>
      <ns0:c r="F2299" s="19" t="inlineStr">
        <ns0:is>
          <ns0:t>https://doi.org/10.1177/02841851251333974</ns0:t>
        </ns0:is>
      </ns0:c>
      <ns0:c r="G2299" s="19" t="inlineStr">
        <ns0:is>
          <ns0:t>ChatGPT-assisted evidence recharting, 2026-09-08</ns0:t>
        </ns0:is>
      </ns0:c>
    </ns0:row>
    <ns0:row r="2300" ht="81" customHeight="1">
      <ns0:c r="A2300" s="21" t="inlineStr">
        <ns0:is>
          <ns0:t>new_319</ns0:t>
        </ns0:is>
      </ns0:c>
      <ns0:c r="B2300" s="21" t="inlineStr">
        <ns0:is>
          <ns0:t>rq2_role</ns0:t>
        </ns0:is>
      </ns0:c>
      <ns0:c r="C2300" s="21" t="inlineStr">
        <ns0:is>
          <ns0:t>Retrospective multimodal neuroimaging classification; no clinical workflow deployment evaluated</ns0:t>
        </ns0:is>
      </ns0:c>
      <ns0:c r="D2300" s="21" t="inlineStr">
        <ns0:is>
          <ns0:t>Automated measurement/classification</ns0:t>
        </ns0:is>
      </ns0:c>
      <ns0:c r="E2300" s="21" t="inlineStr">
        <ns0:is>
          <ns0:t>Retained source-specific coding after review of the supplied extraction notes; not a new full-text retrieval. Combines structural and functional MRI from ABIDE I and II with conventional classifiers, stacking and modified VGG-19 features; performance is reported separately for both datasets. ABIDE is multisite and the model is multimodal, but the accessible description does not establish site-held-out robustness or a strict independent external-validation design.
Structural and functional MRI combined</ns0:t>
        </ns0:is>
      </ns0:c>
      <ns0:c r="F2300" s="21" t="inlineStr">
        <ns0:is>
          <ns0:t>https://doi.org/10.1177/02841851251333974</ns0:t>
        </ns0:is>
      </ns0:c>
      <ns0:c r="G2300" s="21" t="inlineStr">
        <ns0:is>
          <ns0:t>ChatGPT-assisted evidence recharting, 2026-09-08</ns0:t>
        </ns0:is>
      </ns0:c>
    </ns0:row>
    <ns0:row r="2301" ht="81" customHeight="1">
      <ns0:c r="A2301" s="19" t="inlineStr">
        <ns0:is>
          <ns0:t>new_319</ns0:t>
        </ns0:is>
      </ns0:c>
      <ns0:c r="B2301" s="19" t="inlineStr">
        <ns0:is>
          <ns0:t>decision_timing</ns0:t>
        </ns0:is>
      </ns0:c>
      <ns0:c r="C2301" s="19" t="inlineStr"/>
      <ns0:c r="D2301" s="19" t="inlineStr">
        <ns0:is>
          <ns0:t>Not observed in assessed sources</ns0:t>
        </ns0:is>
      </ns0:c>
      <ns0:c r="E2301" s="19" t="inlineStr">
        <ns0:is>
          <ns0:t>Retained source-specific coding after review of the supplied extraction notes; not a new full-text retrieval. Combines structural and functional MRI from ABIDE I and II with conventional classifiers, stacking and modified VGG-19 features; performance is reported separately for both datasets. ABIDE is multisite and the model is multimodal, but the accessible description does not establish site-held-out robustness or a strict independent external-validation design.
Structural and functional MRI combined</ns0:t>
        </ns0:is>
      </ns0:c>
      <ns0:c r="F2301" s="19" t="inlineStr">
        <ns0:is>
          <ns0:t>https://doi.org/10.1177/02841851251333974</ns0:t>
        </ns0:is>
      </ns0:c>
      <ns0:c r="G2301" s="19" t="inlineStr">
        <ns0:is>
          <ns0:t>ChatGPT-assisted evidence recharting, 2026-09-08</ns0:t>
        </ns0:is>
      </ns0:c>
    </ns0:row>
    <ns0:row r="2302" ht="81" customHeight="1">
      <ns0:c r="A2302" s="21" t="inlineStr">
        <ns0:is>
          <ns0:t>new_319</ns0:t>
        </ns0:is>
      </ns0:c>
      <ns0:c r="B2302" s="21" t="inlineStr">
        <ns0:is>
          <ns0:t>integrity_status</ns0:t>
        </ns0:is>
      </ns0:c>
      <ns0:c r="C2302" s="21" t="inlineStr"/>
      <ns0:c r="D2302" s="21" t="inlineStr">
        <ns0:is>
          <ns0:t>Not recorded</ns0:t>
        </ns0:is>
      </ns0:c>
      <ns0:c r="E2302" s="21" t="inlineStr">
        <ns0:is>
          <ns0:t>Retained source-specific coding after review of the supplied extraction notes; not a new full-text retrieval. Combines structural and functional MRI from ABIDE I and II with conventional classifiers, stacking and modified VGG-19 features; performance is reported separately for both datasets. ABIDE is multisite and the model is multimodal, but the accessible description does not establish site-held-out robustness or a strict independent external-validation design.
Structural and functional MRI combined</ns0:t>
        </ns0:is>
      </ns0:c>
      <ns0:c r="F2302" s="21" t="inlineStr">
        <ns0:is>
          <ns0:t>https://doi.org/10.1177/02841851251333974</ns0:t>
        </ns0:is>
      </ns0:c>
      <ns0:c r="G2302" s="21" t="inlineStr">
        <ns0:is>
          <ns0:t>ChatGPT-assisted evidence recharting, 2026-09-08</ns0:t>
        </ns0:is>
      </ns0:c>
    </ns0:row>
    <ns0:row r="2303" ht="69" customHeight="1">
      <ns0:c r="A2303" s="19" t="inlineStr">
        <ns0:is>
          <ns0:t>new_323</ns0:t>
        </ns0:is>
      </ns0:c>
      <ns0:c r="B2303" s="19" t="inlineStr">
        <ns0:is>
          <ns0:t>rq2_role</ns0:t>
        </ns0:is>
      </ns0:c>
      <ns0:c r="C2303" s="19" t="inlineStr">
        <ns0:is>
          <ns0:t>Proposed wearable/on-node EEG diagnostic classifier; no clinical workflow deployment evaluated</ns0:t>
        </ns0:is>
      </ns0:c>
      <ns0:c r="D2303" s="19" t="inlineStr">
        <ns0:is>
          <ns0:t>Automated measurement/classification</ns0:t>
        </ns0:is>
      </ns0:c>
      <ns0:c r="E2303" s="19" t="inlineStr">
        <ns0:is>
          <ns0:t>Retained source-specific coding after review of the supplied extraction notes; not a new full-text retrieval. EEG is denoised and transformed with DT-DWT, features are selected with Parrot Optimization, and HyperCrossNet with Pied Kingfisher Optimization is used for ASD classification; the abstract reports 99.92% accuracy. Public benchmark evaluation with extremely high performance; no independent external cohort, site-held-out analysis, prospective evaluation, or formal XAI was established in the accessible evidence.</ns0:t>
        </ns0:is>
      </ns0:c>
      <ns0:c r="F2303" s="19" t="inlineStr">
        <ns0:is>
          <ns0:t>https://doi.org/10.1002/dneu.70011</ns0:t>
        </ns0:is>
      </ns0:c>
      <ns0:c r="G2303" s="19" t="inlineStr">
        <ns0:is>
          <ns0:t>ChatGPT-assisted evidence recharting, 2026-09-08</ns0:t>
        </ns0:is>
      </ns0:c>
    </ns0:row>
    <ns0:row r="2304" ht="69" customHeight="1">
      <ns0:c r="A2304" s="21" t="inlineStr">
        <ns0:is>
          <ns0:t>new_323</ns0:t>
        </ns0:is>
      </ns0:c>
      <ns0:c r="B2304" s="21" t="inlineStr">
        <ns0:is>
          <ns0:t>decision_timing</ns0:t>
        </ns0:is>
      </ns0:c>
      <ns0:c r="C2304" s="21" t="inlineStr"/>
      <ns0:c r="D2304" s="21" t="inlineStr">
        <ns0:is>
          <ns0:t>In-decision</ns0:t>
        </ns0:is>
      </ns0:c>
      <ns0:c r="E2304" s="21" t="inlineStr">
        <ns0:is>
          <ns0:t>Retained source-specific coding after review of the supplied extraction notes; not a new full-text retrieval. EEG is denoised and transformed with DT-DWT, features are selected with Parrot Optimization, and HyperCrossNet with Pied Kingfisher Optimization is used for ASD classification; the abstract reports 99.92% accuracy. Public benchmark evaluation with extremely high performance; no independent external cohort, site-held-out analysis, prospective evaluation, or formal XAI was established in the accessible evidence.</ns0:t>
        </ns0:is>
      </ns0:c>
      <ns0:c r="F2304" s="21" t="inlineStr">
        <ns0:is>
          <ns0:t>https://doi.org/10.1002/dneu.70011</ns0:t>
        </ns0:is>
      </ns0:c>
      <ns0:c r="G2304" s="21" t="inlineStr">
        <ns0:is>
          <ns0:t>ChatGPT-assisted evidence recharting, 2026-09-08</ns0:t>
        </ns0:is>
      </ns0:c>
    </ns0:row>
    <ns0:row r="2305" ht="69" customHeight="1">
      <ns0:c r="A2305" s="19" t="inlineStr">
        <ns0:is>
          <ns0:t>new_323</ns0:t>
        </ns0:is>
      </ns0:c>
      <ns0:c r="B2305" s="19" t="inlineStr">
        <ns0:is>
          <ns0:t>integrity_status</ns0:t>
        </ns0:is>
      </ns0:c>
      <ns0:c r="C2305" s="19" t="inlineStr"/>
      <ns0:c r="D2305" s="19" t="inlineStr">
        <ns0:is>
          <ns0:t>Not recorded</ns0:t>
        </ns0:is>
      </ns0:c>
      <ns0:c r="E2305" s="19" t="inlineStr">
        <ns0:is>
          <ns0:t>Retained source-specific coding after review of the supplied extraction notes; not a new full-text retrieval. EEG is denoised and transformed with DT-DWT, features are selected with Parrot Optimization, and HyperCrossNet with Pied Kingfisher Optimization is used for ASD classification; the abstract reports 99.92% accuracy. Public benchmark evaluation with extremely high performance; no independent external cohort, site-held-out analysis, prospective evaluation, or formal XAI was established in the accessible evidence.</ns0:t>
        </ns0:is>
      </ns0:c>
      <ns0:c r="F2305" s="19" t="inlineStr">
        <ns0:is>
          <ns0:t>https://doi.org/10.1002/dneu.70011</ns0:t>
        </ns0:is>
      </ns0:c>
      <ns0:c r="G2305" s="19" t="inlineStr">
        <ns0:is>
          <ns0:t>ChatGPT-assisted evidence recharting, 2026-09-08</ns0:t>
        </ns0:is>
      </ns0:c>
    </ns0:row>
    <ns0:row r="2306" ht="57" customHeight="1">
      <ns0:c r="A2306" s="21" t="inlineStr">
        <ns0:is>
          <ns0:t>new_326</ns0:t>
        </ns0:is>
      </ns0:c>
      <ns0:c r="B2306" s="21" t="inlineStr">
        <ns0:is>
          <ns0:t>rq2_role</ns0:t>
        </ns0:is>
      </ns0:c>
      <ns0:c r="C2306" s="21" t="inlineStr">
        <ns0:is>
          <ns0:t>Experimental fNIRS diagnostic classifier</ns0:t>
        </ns0:is>
      </ns0:c>
      <ns0:c r="D2306" s="21" t="inlineStr">
        <ns0:is>
          <ns0:t>Automated measurement/classification</ns0:t>
        </ns0:is>
      </ns0:c>
      <ns0:c r="E2306" s="21" t="inlineStr">
        <ns0:is>
          <ns0:t>Retained source-specific coding after review of the supplied extraction notes; not a new full-text retrieval. Resting-state fNIRS from 22 TD and 25 ASD children was represented with HbO/Hb node and edge features and classified using EWE-GAT; reported accuracy was 97.92%. Very small single cohort; no independent external validation, prospective workflow evaluation, or explicit site-robustness analysis was established.</ns0:t>
        </ns0:is>
      </ns0:c>
      <ns0:c r="F2306" s="21" t="inlineStr">
        <ns0:is>
          <ns0:t>https://doi.org/10.1002/jbio.202500138</ns0:t>
        </ns0:is>
      </ns0:c>
      <ns0:c r="G2306" s="21" t="inlineStr">
        <ns0:is>
          <ns0:t>ChatGPT-assisted evidence recharting, 2026-09-08</ns0:t>
        </ns0:is>
      </ns0:c>
    </ns0:row>
    <ns0:row r="2307" ht="57" customHeight="1">
      <ns0:c r="A2307" s="19" t="inlineStr">
        <ns0:is>
          <ns0:t>new_326</ns0:t>
        </ns0:is>
      </ns0:c>
      <ns0:c r="B2307" s="19" t="inlineStr">
        <ns0:is>
          <ns0:t>decision_timing</ns0:t>
        </ns0:is>
      </ns0:c>
      <ns0:c r="C2307" s="19" t="inlineStr"/>
      <ns0:c r="D2307" s="19" t="inlineStr">
        <ns0:is>
          <ns0:t>Not observed in assessed sources</ns0:t>
        </ns0:is>
      </ns0:c>
      <ns0:c r="E2307" s="19" t="inlineStr">
        <ns0:is>
          <ns0:t>Retained source-specific coding after review of the supplied extraction notes; not a new full-text retrieval. Resting-state fNIRS from 22 TD and 25 ASD children was represented with HbO/Hb node and edge features and classified using EWE-GAT; reported accuracy was 97.92%. Very small single cohort; no independent external validation, prospective workflow evaluation, or explicit site-robustness analysis was established.</ns0:t>
        </ns0:is>
      </ns0:c>
      <ns0:c r="F2307" s="19" t="inlineStr">
        <ns0:is>
          <ns0:t>https://doi.org/10.1002/jbio.202500138</ns0:t>
        </ns0:is>
      </ns0:c>
      <ns0:c r="G2307" s="19" t="inlineStr">
        <ns0:is>
          <ns0:t>ChatGPT-assisted evidence recharting, 2026-09-08</ns0:t>
        </ns0:is>
      </ns0:c>
    </ns0:row>
    <ns0:row r="2308" ht="57" customHeight="1">
      <ns0:c r="A2308" s="21" t="inlineStr">
        <ns0:is>
          <ns0:t>new_326</ns0:t>
        </ns0:is>
      </ns0:c>
      <ns0:c r="B2308" s="21" t="inlineStr">
        <ns0:is>
          <ns0:t>integrity_status</ns0:t>
        </ns0:is>
      </ns0:c>
      <ns0:c r="C2308" s="21" t="inlineStr"/>
      <ns0:c r="D2308" s="21" t="inlineStr">
        <ns0:is>
          <ns0:t>Not recorded</ns0:t>
        </ns0:is>
      </ns0:c>
      <ns0:c r="E2308" s="21" t="inlineStr">
        <ns0:is>
          <ns0:t>Retained source-specific coding after review of the supplied extraction notes; not a new full-text retrieval. Resting-state fNIRS from 22 TD and 25 ASD children was represented with HbO/Hb node and edge features and classified using EWE-GAT; reported accuracy was 97.92%. Very small single cohort; no independent external validation, prospective workflow evaluation, or explicit site-robustness analysis was established.</ns0:t>
        </ns0:is>
      </ns0:c>
      <ns0:c r="F2308" s="21" t="inlineStr">
        <ns0:is>
          <ns0:t>https://doi.org/10.1002/jbio.202500138</ns0:t>
        </ns0:is>
      </ns0:c>
      <ns0:c r="G2308" s="21" t="inlineStr">
        <ns0:is>
          <ns0:t>ChatGPT-assisted evidence recharting, 2026-09-08</ns0:t>
        </ns0:is>
      </ns0:c>
    </ns0:row>
    <ns0:row r="2309" ht="105" customHeight="1">
      <ns0:c r="A2309" s="19" t="inlineStr">
        <ns0:is>
          <ns0:t>new_334</ns0:t>
        </ns0:is>
      </ns0:c>
      <ns0:c r="B2309" s="19" t="inlineStr">
        <ns0:is>
          <ns0:t>data_source_primary</ns0:t>
        </ns0:is>
      </ns0:c>
      <ns0:c r="C2309" s="19" t="inlineStr">
        <ns0:is>
          <ns0:t>Multiple modalities (as coded)</ns0:t>
        </ns0:is>
      </ns0:c>
      <ns0:c r="D2309" s="19" t="inlineStr">
        <ns0:is>
          <ns0:t>Multiple source categories</ns0:t>
        </ns0:is>
      </ns0:c>
      <ns0:c r="E2309" s="19" t="inlineStr">
        <ns0:is>
          <ns0:t>Retained source-specific coding after review of the supplied extraction notes; not a new full-text retrieval. Whole-brain structural-MRI radiomics and VIQ were modeled in 223 ABIDE participants, with an independent external set of 87 participants from Georgetown and Miami; the decision-tree joint model achieved AUCs 0.87/0.84/0.83 in training/test/external sets. External validation is present, but the accessible report does not describe an explicit leave-site-out robustness design. The radiomics signature and VIQ provide feature-level interpretability rather than a formal post-hoc XAI method.
Independent external sample from Georgetown and Miami supports cross-site testing; LOSO is not the only valid cross-site design.</ns0:t>
        </ns0:is>
      </ns0:c>
      <ns0:c r="F2309" s="19" t="inlineStr">
        <ns0:is>
          <ns0:t>https://doi.org/10.3174/ajnr.a8939</ns0:t>
        </ns0:is>
      </ns0:c>
      <ns0:c r="G2309" s="19" t="inlineStr">
        <ns0:is>
          <ns0:t>ChatGPT-assisted evidence recharting, 2026-09-08</ns0:t>
        </ns0:is>
      </ns0:c>
    </ns0:row>
    <ns0:row r="2310" ht="105" customHeight="1">
      <ns0:c r="A2310" s="21" t="inlineStr">
        <ns0:is>
          <ns0:t>new_334</ns0:t>
        </ns0:is>
      </ns0:c>
      <ns0:c r="B2310" s="21" t="inlineStr">
        <ns0:is>
          <ns0:t>rq2_role</ns0:t>
        </ns0:is>
      </ns0:c>
      <ns0:c r="C2310" s="21" t="inlineStr">
        <ns0:is>
          <ns0:t>Retrospective diagnostic prediction model with external cohort validation</ns0:t>
        </ns0:is>
      </ns0:c>
      <ns0:c r="D2310" s="21" t="inlineStr">
        <ns0:is>
          <ns0:t>Automated measurement/classification</ns0:t>
        </ns0:is>
      </ns0:c>
      <ns0:c r="E2310" s="21" t="inlineStr">
        <ns0:is>
          <ns0:t>Retained source-specific coding after review of the supplied extraction notes; not a new full-text retrieval. Whole-brain structural-MRI radiomics and VIQ were modeled in 223 ABIDE participants, with an independent external set of 87 participants from Georgetown and Miami; the decision-tree joint model achieved AUCs 0.87/0.84/0.83 in training/test/external sets. External validation is present, but the accessible report does not describe an explicit leave-site-out robustness design. The radiomics signature and VIQ provide feature-level interpretability rather than a formal post-hoc XAI method.
Independent external sample from Georgetown and Miami supports cross-site testing; LOSO is not the only valid cross-site design.</ns0:t>
        </ns0:is>
      </ns0:c>
      <ns0:c r="F2310" s="21" t="inlineStr">
        <ns0:is>
          <ns0:t>https://doi.org/10.3174/ajnr.a8939</ns0:t>
        </ns0:is>
      </ns0:c>
      <ns0:c r="G2310" s="21" t="inlineStr">
        <ns0:is>
          <ns0:t>ChatGPT-assisted evidence recharting, 2026-09-08</ns0:t>
        </ns0:is>
      </ns0:c>
    </ns0:row>
    <ns0:row r="2311" ht="105" customHeight="1">
      <ns0:c r="A2311" s="19" t="inlineStr">
        <ns0:is>
          <ns0:t>new_334</ns0:t>
        </ns0:is>
      </ns0:c>
      <ns0:c r="B2311" s="19" t="inlineStr">
        <ns0:is>
          <ns0:t>decision_timing</ns0:t>
        </ns0:is>
      </ns0:c>
      <ns0:c r="C2311" s="19" t="inlineStr"/>
      <ns0:c r="D2311" s="19" t="inlineStr">
        <ns0:is>
          <ns0:t>Not observed in assessed sources</ns0:t>
        </ns0:is>
      </ns0:c>
      <ns0:c r="E2311" s="19" t="inlineStr">
        <ns0:is>
          <ns0:t>Retained source-specific coding after review of the supplied extraction notes; not a new full-text retrieval. Whole-brain structural-MRI radiomics and VIQ were modeled in 223 ABIDE participants, with an independent external set of 87 participants from Georgetown and Miami; the decision-tree joint model achieved AUCs 0.87/0.84/0.83 in training/test/external sets. External validation is present, but the accessible report does not describe an explicit leave-site-out robustness design. The radiomics signature and VIQ provide feature-level interpretability rather than a formal post-hoc XAI method.
Independent external sample from Georgetown and Miami supports cross-site testing; LOSO is not the only valid cross-site design.</ns0:t>
        </ns0:is>
      </ns0:c>
      <ns0:c r="F2311" s="19" t="inlineStr">
        <ns0:is>
          <ns0:t>https://doi.org/10.3174/ajnr.a8939</ns0:t>
        </ns0:is>
      </ns0:c>
      <ns0:c r="G2311" s="19" t="inlineStr">
        <ns0:is>
          <ns0:t>ChatGPT-assisted evidence recharting, 2026-09-08</ns0:t>
        </ns0:is>
      </ns0:c>
    </ns0:row>
    <ns0:row r="2312" ht="105" customHeight="1">
      <ns0:c r="A2312" s="21" t="inlineStr">
        <ns0:is>
          <ns0:t>new_334</ns0:t>
        </ns0:is>
      </ns0:c>
      <ns0:c r="B2312" s="21" t="inlineStr">
        <ns0:is>
          <ns0:t>cross_site_robustness</ns0:t>
        </ns0:is>
      </ns0:c>
      <ns0:c r="C2312" s="21" t="inlineStr">
        <ns0:is>
          <ns0:t>Not reported in assessed sources</ns0:t>
        </ns0:is>
      </ns0:c>
      <ns0:c r="D2312" s="21" t="inlineStr">
        <ns0:is>
          <ns0:t>Reported</ns0:t>
        </ns0:is>
      </ns0:c>
      <ns0:c r="E2312" s="21" t="inlineStr">
        <ns0:is>
          <ns0:t>Retained source-specific coding after review of the supplied extraction notes; not a new full-text retrieval. Whole-brain structural-MRI radiomics and VIQ were modeled in 223 ABIDE participants, with an independent external set of 87 participants from Georgetown and Miami; the decision-tree joint model achieved AUCs 0.87/0.84/0.83 in training/test/external sets. External validation is present, but the accessible report does not describe an explicit leave-site-out robustness design. The radiomics signature and VIQ provide feature-level interpretability rather than a formal post-hoc XAI method.
Independent external sample from Georgetown and Miami supports cross-site testing; LOSO is not the only valid cross-site design.</ns0:t>
        </ns0:is>
      </ns0:c>
      <ns0:c r="F2312" s="21" t="inlineStr">
        <ns0:is>
          <ns0:t>https://doi.org/10.3174/ajnr.a8939</ns0:t>
        </ns0:is>
      </ns0:c>
      <ns0:c r="G2312" s="21" t="inlineStr">
        <ns0:is>
          <ns0:t>ChatGPT-assisted evidence recharting, 2026-09-08</ns0:t>
        </ns0:is>
      </ns0:c>
    </ns0:row>
    <ns0:row r="2313" ht="105" customHeight="1">
      <ns0:c r="A2313" s="19" t="inlineStr">
        <ns0:is>
          <ns0:t>new_334</ns0:t>
        </ns0:is>
      </ns0:c>
      <ns0:c r="B2313" s="19" t="inlineStr">
        <ns0:is>
          <ns0:t>integrity_status</ns0:t>
        </ns0:is>
      </ns0:c>
      <ns0:c r="C2313" s="19" t="inlineStr"/>
      <ns0:c r="D2313" s="19" t="inlineStr">
        <ns0:is>
          <ns0:t>Not recorded</ns0:t>
        </ns0:is>
      </ns0:c>
      <ns0:c r="E2313" s="19" t="inlineStr">
        <ns0:is>
          <ns0:t>Retained source-specific coding after review of the supplied extraction notes; not a new full-text retrieval. Whole-brain structural-MRI radiomics and VIQ were modeled in 223 ABIDE participants, with an independent external set of 87 participants from Georgetown and Miami; the decision-tree joint model achieved AUCs 0.87/0.84/0.83 in training/test/external sets. External validation is present, but the accessible report does not describe an explicit leave-site-out robustness design. The radiomics signature and VIQ provide feature-level interpretability rather than a formal post-hoc XAI method.
Independent external sample from Georgetown and Miami supports cross-site testing; LOSO is not the only valid cross-site design.</ns0:t>
        </ns0:is>
      </ns0:c>
      <ns0:c r="F2313" s="19" t="inlineStr">
        <ns0:is>
          <ns0:t>https://doi.org/10.3174/ajnr.a8939</ns0:t>
        </ns0:is>
      </ns0:c>
      <ns0:c r="G2313" s="19" t="inlineStr">
        <ns0:is>
          <ns0:t>ChatGPT-assisted evidence recharting, 2026-09-08</ns0:t>
        </ns0:is>
      </ns0:c>
    </ns0:row>
    <ns0:row r="2314" ht="93" customHeight="1">
      <ns0:c r="A2314" s="21" t="inlineStr">
        <ns0:is>
          <ns0:t>new_342</ns0:t>
        </ns0:is>
      </ns0:c>
      <ns0:c r="B2314" s="21" t="inlineStr">
        <ns0:is>
          <ns0:t>ai_type</ns0:t>
        </ns0:is>
      </ns0:c>
      <ns0:c r="C2314" s="21" t="inlineStr">
        <ns0:is>
          <ns0:t>Hybrid</ns0:t>
        </ns0:is>
      </ns0:c>
      <ns0:c r="D2314" s="21" t="inlineStr">
        <ns0:is>
          <ns0:t>Deep Learning</ns0:t>
        </ns0:is>
      </ns0:c>
      <ns0:c r="E2314" s="21" t="inlineStr">
        <ns0:is>
          <ns0:t>Retained source-specific coding after review of the supplied extraction notes; not a new full-text retrieval. A dual-branch TF-TBN combines raw ABR waveforms and CWT spectrograms from 1,209 recordings; reported accuracy was 96.62%, and interpretability analysis linked decisions to wave III/V and interpeak latency abnormalities. No independent external cohort, site-held-out evaluation, or prospective clinical deployment was identified in the accessible material.
All-neural/optimization pipeline in recovered evidence; hybrid title is not sufficient for mixed conventional-ML/DL classification.</ns0:t>
        </ns0:is>
      </ns0:c>
      <ns0:c r="F2314" s="21" t="inlineStr">
        <ns0:is>
          <ns0:t>https://doi.org/10.1016/j.heares.2026.109654</ns0:t>
        </ns0:is>
      </ns0:c>
      <ns0:c r="G2314" s="21" t="inlineStr">
        <ns0:is>
          <ns0:t>ChatGPT-assisted evidence recharting, 2026-09-08</ns0:t>
        </ns0:is>
      </ns0:c>
    </ns0:row>
    <ns0:row r="2315" ht="93" customHeight="1">
      <ns0:c r="A2315" s="19" t="inlineStr">
        <ns0:is>
          <ns0:t>new_342</ns0:t>
        </ns0:is>
      </ns0:c>
      <ns0:c r="B2315" s="19" t="inlineStr">
        <ns0:is>
          <ns0:t>rq2_role</ns0:t>
        </ns0:is>
      </ns0:c>
      <ns0:c r="C2315" s="19" t="inlineStr">
        <ns0:is>
          <ns0:t>Experimental ABR early-screening classifier with model-interpretability analysis</ns0:t>
        </ns0:is>
      </ns0:c>
      <ns0:c r="D2315" s="19" t="inlineStr">
        <ns0:is>
          <ns0:t>Triage/questionnaire assessment</ns0:t>
        </ns0:is>
      </ns0:c>
      <ns0:c r="E2315" s="19" t="inlineStr">
        <ns0:is>
          <ns0:t>Retained source-specific coding after review of the supplied extraction notes; not a new full-text retrieval. A dual-branch TF-TBN combines raw ABR waveforms and CWT spectrograms from 1,209 recordings; reported accuracy was 96.62%, and interpretability analysis linked decisions to wave III/V and interpeak latency abnormalities. No independent external cohort, site-held-out evaluation, or prospective clinical deployment was identified in the accessible material.
All-neural/optimization pipeline in recovered evidence; hybrid title is not sufficient for mixed conventional-ML/DL classification.</ns0:t>
        </ns0:is>
      </ns0:c>
      <ns0:c r="F2315" s="19" t="inlineStr">
        <ns0:is>
          <ns0:t>https://doi.org/10.1016/j.heares.2026.109654</ns0:t>
        </ns0:is>
      </ns0:c>
      <ns0:c r="G2315" s="19" t="inlineStr">
        <ns0:is>
          <ns0:t>ChatGPT-assisted evidence recharting, 2026-09-08</ns0:t>
        </ns0:is>
      </ns0:c>
    </ns0:row>
    <ns0:row r="2316" ht="93" customHeight="1">
      <ns0:c r="A2316" s="21" t="inlineStr">
        <ns0:is>
          <ns0:t>new_342</ns0:t>
        </ns0:is>
      </ns0:c>
      <ns0:c r="B2316" s="21" t="inlineStr">
        <ns0:is>
          <ns0:t>decision_timing</ns0:t>
        </ns0:is>
      </ns0:c>
      <ns0:c r="C2316" s="21" t="inlineStr"/>
      <ns0:c r="D2316" s="21" t="inlineStr">
        <ns0:is>
          <ns0:t>Not observed in assessed sources</ns0:t>
        </ns0:is>
      </ns0:c>
      <ns0:c r="E2316" s="21" t="inlineStr">
        <ns0:is>
          <ns0:t>Retained source-specific coding after review of the supplied extraction notes; not a new full-text retrieval. A dual-branch TF-TBN combines raw ABR waveforms and CWT spectrograms from 1,209 recordings; reported accuracy was 96.62%, and interpretability analysis linked decisions to wave III/V and interpeak latency abnormalities. No independent external cohort, site-held-out evaluation, or prospective clinical deployment was identified in the accessible material.
All-neural/optimization pipeline in recovered evidence; hybrid title is not sufficient for mixed conventional-ML/DL classification.</ns0:t>
        </ns0:is>
      </ns0:c>
      <ns0:c r="F2316" s="21" t="inlineStr">
        <ns0:is>
          <ns0:t>https://doi.org/10.1016/j.heares.2026.109654</ns0:t>
        </ns0:is>
      </ns0:c>
      <ns0:c r="G2316" s="21" t="inlineStr">
        <ns0:is>
          <ns0:t>ChatGPT-assisted evidence recharting, 2026-09-08</ns0:t>
        </ns0:is>
      </ns0:c>
    </ns0:row>
    <ns0:row r="2317" ht="93" customHeight="1">
      <ns0:c r="A2317" s="19" t="inlineStr">
        <ns0:is>
          <ns0:t>new_342</ns0:t>
        </ns0:is>
      </ns0:c>
      <ns0:c r="B2317" s="19" t="inlineStr">
        <ns0:is>
          <ns0:t>integrity_status</ns0:t>
        </ns0:is>
      </ns0:c>
      <ns0:c r="C2317" s="19" t="inlineStr"/>
      <ns0:c r="D2317" s="19" t="inlineStr">
        <ns0:is>
          <ns0:t>Not recorded</ns0:t>
        </ns0:is>
      </ns0:c>
      <ns0:c r="E2317" s="19" t="inlineStr">
        <ns0:is>
          <ns0:t>Retained source-specific coding after review of the supplied extraction notes; not a new full-text retrieval. A dual-branch TF-TBN combines raw ABR waveforms and CWT spectrograms from 1,209 recordings; reported accuracy was 96.62%, and interpretability analysis linked decisions to wave III/V and interpeak latency abnormalities. No independent external cohort, site-held-out evaluation, or prospective clinical deployment was identified in the accessible material.
All-neural/optimization pipeline in recovered evidence; hybrid title is not sufficient for mixed conventional-ML/DL classification.</ns0:t>
        </ns0:is>
      </ns0:c>
      <ns0:c r="F2317" s="19" t="inlineStr">
        <ns0:is>
          <ns0:t>https://doi.org/10.1016/j.heares.2026.109654</ns0:t>
        </ns0:is>
      </ns0:c>
      <ns0:c r="G2317" s="19" t="inlineStr">
        <ns0:is>
          <ns0:t>ChatGPT-assisted evidence recharting, 2026-09-08</ns0:t>
        </ns0:is>
      </ns0:c>
    </ns0:row>
    <ns0:row r="2318" ht="93" customHeight="1">
      <ns0:c r="A2318" s="21" t="inlineStr">
        <ns0:is>
          <ns0:t>new_343</ns0:t>
        </ns0:is>
      </ns0:c>
      <ns0:c r="B2318" s="21" t="inlineStr">
        <ns0:is>
          <ns0:t>data_source_primary</ns0:t>
        </ns0:is>
      </ns0:c>
      <ns0:c r="C2318" s="21" t="inlineStr">
        <ns0:is>
          <ns0:t>Multiple modalities (as coded)</ns0:t>
        </ns0:is>
      </ns0:c>
      <ns0:c r="D2318" s="21" t="inlineStr">
        <ns0:is>
          <ns0:t>Not specified</ns0:t>
        </ns0:is>
      </ns0:c>
      <ns0:c r="E2318" s="21" t="inlineStr">
        <ns0:is>
          <ns0:t>Retained source-specific coding after review of the supplied extraction notes; not a new full-text retrieval. MUXAI-ASDBD combines CNN-based modeling, partition-oriented explainability and machine unlearning across screening, MRI and EEG benchmark datasets; the paper reports strong classification performance. Benchmark-based evaluation across heterogeneous tasks/datasets does not establish prospective clinical deployment or an independent external/site-held-out validation protocol.
Multiple datasets are described but the recovered evidence does not establish a single primary source or participant-linked multisource fusion.</ns0:t>
        </ns0:is>
      </ns0:c>
      <ns0:c r="F2318" s="21" t="inlineStr">
        <ns0:is>
          <ns0:t>https://doi.org/10.1016/j.aej.2026.04.002</ns0:t>
        </ns0:is>
      </ns0:c>
      <ns0:c r="G2318" s="21" t="inlineStr">
        <ns0:is>
          <ns0:t>ChatGPT-assisted evidence recharting, 2026-09-08</ns0:t>
        </ns0:is>
      </ns0:c>
    </ns0:row>
    <ns0:row r="2319" ht="93" customHeight="1">
      <ns0:c r="A2319" s="19" t="inlineStr">
        <ns0:is>
          <ns0:t>new_343</ns0:t>
        </ns0:is>
      </ns0:c>
      <ns0:c r="B2319" s="19" t="inlineStr">
        <ns0:is>
          <ns0:t>rq2_role</ns0:t>
        </ns0:is>
      </ns0:c>
      <ns0:c r="C2319" s="19" t="inlineStr">
        <ns0:is>
          <ns0:t>Proposed early-screening framework evaluated on public benchmark datasets</ns0:t>
        </ns0:is>
      </ns0:c>
      <ns0:c r="D2319" s="19" t="inlineStr">
        <ns0:is>
          <ns0:t>Triage/questionnaire assessment</ns0:t>
        </ns0:is>
      </ns0:c>
      <ns0:c r="E2319" s="19" t="inlineStr">
        <ns0:is>
          <ns0:t>Retained source-specific coding after review of the supplied extraction notes; not a new full-text retrieval. MUXAI-ASDBD combines CNN-based modeling, partition-oriented explainability and machine unlearning across screening, MRI and EEG benchmark datasets; the paper reports strong classification performance. Benchmark-based evaluation across heterogeneous tasks/datasets does not establish prospective clinical deployment or an independent external/site-held-out validation protocol.
Multiple datasets are described but the recovered evidence does not establish a single primary source or participant-linked multisource fusion.</ns0:t>
        </ns0:is>
      </ns0:c>
      <ns0:c r="F2319" s="19" t="inlineStr">
        <ns0:is>
          <ns0:t>https://doi.org/10.1016/j.aej.2026.04.002</ns0:t>
        </ns0:is>
      </ns0:c>
      <ns0:c r="G2319" s="19" t="inlineStr">
        <ns0:is>
          <ns0:t>ChatGPT-assisted evidence recharting, 2026-09-08</ns0:t>
        </ns0:is>
      </ns0:c>
    </ns0:row>
    <ns0:row r="2320" ht="93" customHeight="1">
      <ns0:c r="A2320" s="21" t="inlineStr">
        <ns0:is>
          <ns0:t>new_343</ns0:t>
        </ns0:is>
      </ns0:c>
      <ns0:c r="B2320" s="21" t="inlineStr">
        <ns0:is>
          <ns0:t>decision_timing</ns0:t>
        </ns0:is>
      </ns0:c>
      <ns0:c r="C2320" s="21" t="inlineStr"/>
      <ns0:c r="D2320" s="21" t="inlineStr">
        <ns0:is>
          <ns0:t>Pre-decision</ns0:t>
        </ns0:is>
      </ns0:c>
      <ns0:c r="E2320" s="21" t="inlineStr">
        <ns0:is>
          <ns0:t>Retained source-specific coding after review of the supplied extraction notes; not a new full-text retrieval. MUXAI-ASDBD combines CNN-based modeling, partition-oriented explainability and machine unlearning across screening, MRI and EEG benchmark datasets; the paper reports strong classification performance. Benchmark-based evaluation across heterogeneous tasks/datasets does not establish prospective clinical deployment or an independent external/site-held-out validation protocol.
Multiple datasets are described but the recovered evidence does not establish a single primary source or participant-linked multisource fusion.</ns0:t>
        </ns0:is>
      </ns0:c>
      <ns0:c r="F2320" s="21" t="inlineStr">
        <ns0:is>
          <ns0:t>https://doi.org/10.1016/j.aej.2026.04.002</ns0:t>
        </ns0:is>
      </ns0:c>
      <ns0:c r="G2320" s="21" t="inlineStr">
        <ns0:is>
          <ns0:t>ChatGPT-assisted evidence recharting, 2026-09-08</ns0:t>
        </ns0:is>
      </ns0:c>
    </ns0:row>
    <ns0:row r="2321" ht="93" customHeight="1">
      <ns0:c r="A2321" s="19" t="inlineStr">
        <ns0:is>
          <ns0:t>new_343</ns0:t>
        </ns0:is>
      </ns0:c>
      <ns0:c r="B2321" s="19" t="inlineStr">
        <ns0:is>
          <ns0:t>integrity_status</ns0:t>
        </ns0:is>
      </ns0:c>
      <ns0:c r="C2321" s="19" t="inlineStr"/>
      <ns0:c r="D2321" s="19" t="inlineStr">
        <ns0:is>
          <ns0:t>Not recorded</ns0:t>
        </ns0:is>
      </ns0:c>
      <ns0:c r="E2321" s="19" t="inlineStr">
        <ns0:is>
          <ns0:t>Retained source-specific coding after review of the supplied extraction notes; not a new full-text retrieval. MUXAI-ASDBD combines CNN-based modeling, partition-oriented explainability and machine unlearning across screening, MRI and EEG benchmark datasets; the paper reports strong classification performance. Benchmark-based evaluation across heterogeneous tasks/datasets does not establish prospective clinical deployment or an independent external/site-held-out validation protocol.
Multiple datasets are described but the recovered evidence does not establish a single primary source or participant-linked multisource fusion.</ns0:t>
        </ns0:is>
      </ns0:c>
      <ns0:c r="F2321" s="19" t="inlineStr">
        <ns0:is>
          <ns0:t>https://doi.org/10.1016/j.aej.2026.04.002</ns0:t>
        </ns0:is>
      </ns0:c>
      <ns0:c r="G2321" s="19" t="inlineStr">
        <ns0:is>
          <ns0:t>ChatGPT-assisted evidence recharting, 2026-09-08</ns0:t>
        </ns0:is>
      </ns0:c>
    </ns0:row>
    <ns0:row r="2322" ht="69" customHeight="1">
      <ns0:c r="A2322" s="21" t="inlineStr">
        <ns0:is>
          <ns0:t>new_347</ns0:t>
        </ns0:is>
      </ns0:c>
      <ns0:c r="B2322" s="21" t="inlineStr">
        <ns0:is>
          <ns0:t>rq2_role</ns0:t>
        </ns0:is>
      </ns0:c>
      <ns0:c r="C2322" s="21" t="inlineStr">
        <ns0:is>
          <ns0:t>Retrospective ABIDE structural-MRI diagnostic classifier</ns0:t>
        </ns0:is>
      </ns0:c>
      <ns0:c r="D2322" s="21" t="inlineStr">
        <ns0:is>
          <ns0:t>Automated measurement/classification</ns0:t>
        </ns0:is>
      </ns0:c>
      <ns0:c r="E2322" s="21" t="inlineStr">
        <ns0:is>
          <ns0:t>Retained source-specific coding after review of the supplied extraction notes; not a new full-text retrieval. T1 structural MRI from ABIDE was analyzed using complex-network analysis and Vision Transformer features across multiple federated combinations; the CNA(KNN)-ViT(NN) configuration reported accuracy 0.951 and AUC 0.98. ABIDE is multisite, but the reported evaluation is internal five-fold validation rather than an explicit site-held-out or independent external robustness test.</ns0:t>
        </ns0:is>
      </ns0:c>
      <ns0:c r="F2322" s="21" t="inlineStr">
        <ns0:is>
          <ns0:t>https://doi.org/10.1007/s11604-025-01832-3</ns0:t>
        </ns0:is>
      </ns0:c>
      <ns0:c r="G2322" s="21" t="inlineStr">
        <ns0:is>
          <ns0:t>ChatGPT-assisted evidence recharting, 2026-09-08</ns0:t>
        </ns0:is>
      </ns0:c>
    </ns0:row>
    <ns0:row r="2323" ht="69" customHeight="1">
      <ns0:c r="A2323" s="19" t="inlineStr">
        <ns0:is>
          <ns0:t>new_347</ns0:t>
        </ns0:is>
      </ns0:c>
      <ns0:c r="B2323" s="19" t="inlineStr">
        <ns0:is>
          <ns0:t>decision_timing</ns0:t>
        </ns0:is>
      </ns0:c>
      <ns0:c r="C2323" s="19" t="inlineStr"/>
      <ns0:c r="D2323" s="19" t="inlineStr">
        <ns0:is>
          <ns0:t>Not observed in assessed sources</ns0:t>
        </ns0:is>
      </ns0:c>
      <ns0:c r="E2323" s="19" t="inlineStr">
        <ns0:is>
          <ns0:t>Retained source-specific coding after review of the supplied extraction notes; not a new full-text retrieval. T1 structural MRI from ABIDE was analyzed using complex-network analysis and Vision Transformer features across multiple federated combinations; the CNA(KNN)-ViT(NN) configuration reported accuracy 0.951 and AUC 0.98. ABIDE is multisite, but the reported evaluation is internal five-fold validation rather than an explicit site-held-out or independent external robustness test.</ns0:t>
        </ns0:is>
      </ns0:c>
      <ns0:c r="F2323" s="19" t="inlineStr">
        <ns0:is>
          <ns0:t>https://doi.org/10.1007/s11604-025-01832-3</ns0:t>
        </ns0:is>
      </ns0:c>
      <ns0:c r="G2323" s="19" t="inlineStr">
        <ns0:is>
          <ns0:t>ChatGPT-assisted evidence recharting, 2026-09-08</ns0:t>
        </ns0:is>
      </ns0:c>
    </ns0:row>
    <ns0:row r="2324" ht="69" customHeight="1">
      <ns0:c r="A2324" s="21" t="inlineStr">
        <ns0:is>
          <ns0:t>new_347</ns0:t>
        </ns0:is>
      </ns0:c>
      <ns0:c r="B2324" s="21" t="inlineStr">
        <ns0:is>
          <ns0:t>integrity_status</ns0:t>
        </ns0:is>
      </ns0:c>
      <ns0:c r="C2324" s="21" t="inlineStr"/>
      <ns0:c r="D2324" s="21" t="inlineStr">
        <ns0:is>
          <ns0:t>Not recorded</ns0:t>
        </ns0:is>
      </ns0:c>
      <ns0:c r="E2324" s="21" t="inlineStr">
        <ns0:is>
          <ns0:t>Retained source-specific coding after review of the supplied extraction notes; not a new full-text retrieval. T1 structural MRI from ABIDE was analyzed using complex-network analysis and Vision Transformer features across multiple federated combinations; the CNA(KNN)-ViT(NN) configuration reported accuracy 0.951 and AUC 0.98. ABIDE is multisite, but the reported evaluation is internal five-fold validation rather than an explicit site-held-out or independent external robustness test.</ns0:t>
        </ns0:is>
      </ns0:c>
      <ns0:c r="F2324" s="21" t="inlineStr">
        <ns0:is>
          <ns0:t>https://doi.org/10.1007/s11604-025-01832-3</ns0:t>
        </ns0:is>
      </ns0:c>
      <ns0:c r="G2324" s="21" t="inlineStr">
        <ns0:is>
          <ns0:t>ChatGPT-assisted evidence recharting, 2026-09-08</ns0:t>
        </ns0:is>
      </ns0:c>
    </ns0:row>
    <ns0:row r="2325" ht="93" customHeight="1">
      <ns0:c r="A2325" s="19" t="inlineStr">
        <ns0:is>
          <ns0:t>new_349</ns0:t>
        </ns0:is>
      </ns0:c>
      <ns0:c r="B2325" s="19" t="inlineStr">
        <ns0:is>
          <ns0:t>ai_type</ns0:t>
        </ns0:is>
      </ns0:c>
      <ns0:c r="C2325" s="19" t="inlineStr">
        <ns0:is>
          <ns0:t>Hybrid</ns0:t>
        </ns0:is>
      </ns0:c>
      <ns0:c r="D2325" s="19" t="inlineStr">
        <ns0:is>
          <ns0:t>Deep Learning</ns0:t>
        </ns0:is>
      </ns0:c>
      <ns0:c r="E2325" s="19" t="inlineStr">
        <ns0:is>
          <ns0:t>Retained source-specific coding after review of the supplied extraction notes; not a new full-text retrieval. The study applies dominant cross-frequency EEG analysis, FRHIS/CRBM-based feature processing and a DSTCNN classifier for pediatric ASD; the abstract reports 99.03% accuracy. The very high reported performance is not accompanied by an independent external cohort, prospective evaluation, or explicit cross-site robustness analysis in the accessible source.
All-neural/optimization pipeline in recovered evidence; hybrid title is not sufficient for mixed conventional-ML/DL classification.</ns0:t>
        </ns0:is>
      </ns0:c>
      <ns0:c r="F2325" s="19" t="inlineStr">
        <ns0:is>
          <ns0:t>https://doi.org/10.1016/j.pscychresns.2026.112270</ns0:t>
        </ns0:is>
      </ns0:c>
      <ns0:c r="G2325" s="19" t="inlineStr">
        <ns0:is>
          <ns0:t>ChatGPT-assisted evidence recharting, 2026-09-08</ns0:t>
        </ns0:is>
      </ns0:c>
    </ns0:row>
    <ns0:row r="2326" ht="93" customHeight="1">
      <ns0:c r="A2326" s="21" t="inlineStr">
        <ns0:is>
          <ns0:t>new_349</ns0:t>
        </ns0:is>
      </ns0:c>
      <ns0:c r="B2326" s="21" t="inlineStr">
        <ns0:is>
          <ns0:t>rq2_role</ns0:t>
        </ns0:is>
      </ns0:c>
      <ns0:c r="C2326" s="21" t="inlineStr">
        <ns0:is>
          <ns0:t>Experimental pediatric EEG diagnostic classifier</ns0:t>
        </ns0:is>
      </ns0:c>
      <ns0:c r="D2326" s="21" t="inlineStr">
        <ns0:is>
          <ns0:t>Automated measurement/classification</ns0:t>
        </ns0:is>
      </ns0:c>
      <ns0:c r="E2326" s="21" t="inlineStr">
        <ns0:is>
          <ns0:t>Retained source-specific coding after review of the supplied extraction notes; not a new full-text retrieval. The study applies dominant cross-frequency EEG analysis, FRHIS/CRBM-based feature processing and a DSTCNN classifier for pediatric ASD; the abstract reports 99.03% accuracy. The very high reported performance is not accompanied by an independent external cohort, prospective evaluation, or explicit cross-site robustness analysis in the accessible source.
All-neural/optimization pipeline in recovered evidence; hybrid title is not sufficient for mixed conventional-ML/DL classification.</ns0:t>
        </ns0:is>
      </ns0:c>
      <ns0:c r="F2326" s="21" t="inlineStr">
        <ns0:is>
          <ns0:t>https://doi.org/10.1016/j.pscychresns.2026.112270</ns0:t>
        </ns0:is>
      </ns0:c>
      <ns0:c r="G2326" s="21" t="inlineStr">
        <ns0:is>
          <ns0:t>ChatGPT-assisted evidence recharting, 2026-09-08</ns0:t>
        </ns0:is>
      </ns0:c>
    </ns0:row>
    <ns0:row r="2327" ht="93" customHeight="1">
      <ns0:c r="A2327" s="19" t="inlineStr">
        <ns0:is>
          <ns0:t>new_349</ns0:t>
        </ns0:is>
      </ns0:c>
      <ns0:c r="B2327" s="19" t="inlineStr">
        <ns0:is>
          <ns0:t>decision_timing</ns0:t>
        </ns0:is>
      </ns0:c>
      <ns0:c r="C2327" s="19" t="inlineStr"/>
      <ns0:c r="D2327" s="19" t="inlineStr">
        <ns0:is>
          <ns0:t>Not observed in assessed sources</ns0:t>
        </ns0:is>
      </ns0:c>
      <ns0:c r="E2327" s="19" t="inlineStr">
        <ns0:is>
          <ns0:t>Retained source-specific coding after review of the supplied extraction notes; not a new full-text retrieval. The study applies dominant cross-frequency EEG analysis, FRHIS/CRBM-based feature processing and a DSTCNN classifier for pediatric ASD; the abstract reports 99.03% accuracy. The very high reported performance is not accompanied by an independent external cohort, prospective evaluation, or explicit cross-site robustness analysis in the accessible source.
All-neural/optimization pipeline in recovered evidence; hybrid title is not sufficient for mixed conventional-ML/DL classification.</ns0:t>
        </ns0:is>
      </ns0:c>
      <ns0:c r="F2327" s="19" t="inlineStr">
        <ns0:is>
          <ns0:t>https://doi.org/10.1016/j.pscychresns.2026.112270</ns0:t>
        </ns0:is>
      </ns0:c>
      <ns0:c r="G2327" s="19" t="inlineStr">
        <ns0:is>
          <ns0:t>ChatGPT-assisted evidence recharting, 2026-09-08</ns0:t>
        </ns0:is>
      </ns0:c>
    </ns0:row>
    <ns0:row r="2328" ht="93" customHeight="1">
      <ns0:c r="A2328" s="21" t="inlineStr">
        <ns0:is>
          <ns0:t>new_349</ns0:t>
        </ns0:is>
      </ns0:c>
      <ns0:c r="B2328" s="21" t="inlineStr">
        <ns0:is>
          <ns0:t>integrity_status</ns0:t>
        </ns0:is>
      </ns0:c>
      <ns0:c r="C2328" s="21" t="inlineStr"/>
      <ns0:c r="D2328" s="21" t="inlineStr">
        <ns0:is>
          <ns0:t>Not recorded</ns0:t>
        </ns0:is>
      </ns0:c>
      <ns0:c r="E2328" s="21" t="inlineStr">
        <ns0:is>
          <ns0:t>Retained source-specific coding after review of the supplied extraction notes; not a new full-text retrieval. The study applies dominant cross-frequency EEG analysis, FRHIS/CRBM-based feature processing and a DSTCNN classifier for pediatric ASD; the abstract reports 99.03% accuracy. The very high reported performance is not accompanied by an independent external cohort, prospective evaluation, or explicit cross-site robustness analysis in the accessible source.
All-neural/optimization pipeline in recovered evidence; hybrid title is not sufficient for mixed conventional-ML/DL classification.</ns0:t>
        </ns0:is>
      </ns0:c>
      <ns0:c r="F2328" s="21" t="inlineStr">
        <ns0:is>
          <ns0:t>https://doi.org/10.1016/j.pscychresns.2026.112270</ns0:t>
        </ns0:is>
      </ns0:c>
      <ns0:c r="G2328" s="21" t="inlineStr">
        <ns0:is>
          <ns0:t>ChatGPT-assisted evidence recharting, 2026-09-08</ns0:t>
        </ns0:is>
      </ns0:c>
    </ns0:row>
    <ns0:row r="2329" ht="93" customHeight="1">
      <ns0:c r="A2329" s="19" t="inlineStr">
        <ns0:is>
          <ns0:t>new_354</ns0:t>
        </ns0:is>
      </ns0:c>
      <ns0:c r="B2329" s="19" t="inlineStr">
        <ns0:is>
          <ns0:t>ai_type</ns0:t>
        </ns0:is>
      </ns0:c>
      <ns0:c r="C2329" s="19" t="inlineStr">
        <ns0:is>
          <ns0:t>Hybrid</ns0:t>
        </ns0:is>
      </ns0:c>
      <ns0:c r="D2329" s="19" t="inlineStr">
        <ns0:is>
          <ns0:t>Deep Learning</ns0:t>
        </ns0:is>
      </ns0:c>
      <ns0:c r="E2329" s="19" t="inlineStr">
        <ns0:is>
          <ns0:t>Retained source-specific coding after review of the supplied extraction notes; not a new full-text retrieval. CoNA-Net combines contrastive graph representation learning, diffusion-based augmentation and brain-node attention to address domain shift across ABIDE sites and to identify influential brain regions. Cross-site/domain-adaptation testing supports robustness but is not equivalent to an independent prospective external clinical validation cohort.
All-neural/optimization pipeline in recovered evidence; hybrid title is not sufficient for mixed conventional-ML/DL classification.</ns0:t>
        </ns0:is>
      </ns0:c>
      <ns0:c r="F2329" s="19" t="inlineStr">
        <ns0:is>
          <ns0:t>https://doi.org/10.1016/j.asoc.2026.115959</ns0:t>
        </ns0:is>
      </ns0:c>
      <ns0:c r="G2329" s="19" t="inlineStr">
        <ns0:is>
          <ns0:t>ChatGPT-assisted evidence recharting, 2026-09-08</ns0:t>
        </ns0:is>
      </ns0:c>
    </ns0:row>
    <ns0:row r="2330" ht="93" customHeight="1">
      <ns0:c r="A2330" s="21" t="inlineStr">
        <ns0:is>
          <ns0:t>new_354</ns0:t>
        </ns0:is>
      </ns0:c>
      <ns0:c r="B2330" s="21" t="inlineStr">
        <ns0:is>
          <ns0:t>rq2_role</ns0:t>
        </ns0:is>
      </ns0:c>
      <ns0:c r="C2330" s="21" t="inlineStr">
        <ns0:is>
          <ns0:t>Retrospective cross-site rs-fMRI domain-adaptation classifier</ns0:t>
        </ns0:is>
      </ns0:c>
      <ns0:c r="D2330" s="21" t="inlineStr">
        <ns0:is>
          <ns0:t>Automated measurement/classification</ns0:t>
        </ns0:is>
      </ns0:c>
      <ns0:c r="E2330" s="21" t="inlineStr">
        <ns0:is>
          <ns0:t>Retained source-specific coding after review of the supplied extraction notes; not a new full-text retrieval. CoNA-Net combines contrastive graph representation learning, diffusion-based augmentation and brain-node attention to address domain shift across ABIDE sites and to identify influential brain regions. Cross-site/domain-adaptation testing supports robustness but is not equivalent to an independent prospective external clinical validation cohort.
All-neural/optimization pipeline in recovered evidence; hybrid title is not sufficient for mixed conventional-ML/DL classification.</ns0:t>
        </ns0:is>
      </ns0:c>
      <ns0:c r="F2330" s="21" t="inlineStr">
        <ns0:is>
          <ns0:t>https://doi.org/10.1016/j.asoc.2026.115959</ns0:t>
        </ns0:is>
      </ns0:c>
      <ns0:c r="G2330" s="21" t="inlineStr">
        <ns0:is>
          <ns0:t>ChatGPT-assisted evidence recharting, 2026-09-08</ns0:t>
        </ns0:is>
      </ns0:c>
    </ns0:row>
    <ns0:row r="2331" ht="93" customHeight="1">
      <ns0:c r="A2331" s="19" t="inlineStr">
        <ns0:is>
          <ns0:t>new_354</ns0:t>
        </ns0:is>
      </ns0:c>
      <ns0:c r="B2331" s="19" t="inlineStr">
        <ns0:is>
          <ns0:t>decision_timing</ns0:t>
        </ns0:is>
      </ns0:c>
      <ns0:c r="C2331" s="19" t="inlineStr"/>
      <ns0:c r="D2331" s="19" t="inlineStr">
        <ns0:is>
          <ns0:t>Not observed in assessed sources</ns0:t>
        </ns0:is>
      </ns0:c>
      <ns0:c r="E2331" s="19" t="inlineStr">
        <ns0:is>
          <ns0:t>Retained source-specific coding after review of the supplied extraction notes; not a new full-text retrieval. CoNA-Net combines contrastive graph representation learning, diffusion-based augmentation and brain-node attention to address domain shift across ABIDE sites and to identify influential brain regions. Cross-site/domain-adaptation testing supports robustness but is not equivalent to an independent prospective external clinical validation cohort.
All-neural/optimization pipeline in recovered evidence; hybrid title is not sufficient for mixed conventional-ML/DL classification.</ns0:t>
        </ns0:is>
      </ns0:c>
      <ns0:c r="F2331" s="19" t="inlineStr">
        <ns0:is>
          <ns0:t>https://doi.org/10.1016/j.asoc.2026.115959</ns0:t>
        </ns0:is>
      </ns0:c>
      <ns0:c r="G2331" s="19" t="inlineStr">
        <ns0:is>
          <ns0:t>ChatGPT-assisted evidence recharting, 2026-09-08</ns0:t>
        </ns0:is>
      </ns0:c>
    </ns0:row>
    <ns0:row r="2332" ht="93" customHeight="1">
      <ns0:c r="A2332" s="21" t="inlineStr">
        <ns0:is>
          <ns0:t>new_354</ns0:t>
        </ns0:is>
      </ns0:c>
      <ns0:c r="B2332" s="21" t="inlineStr">
        <ns0:is>
          <ns0:t>integrity_status</ns0:t>
        </ns0:is>
      </ns0:c>
      <ns0:c r="C2332" s="21" t="inlineStr"/>
      <ns0:c r="D2332" s="21" t="inlineStr">
        <ns0:is>
          <ns0:t>Not recorded</ns0:t>
        </ns0:is>
      </ns0:c>
      <ns0:c r="E2332" s="21" t="inlineStr">
        <ns0:is>
          <ns0:t>Retained source-specific coding after review of the supplied extraction notes; not a new full-text retrieval. CoNA-Net combines contrastive graph representation learning, diffusion-based augmentation and brain-node attention to address domain shift across ABIDE sites and to identify influential brain regions. Cross-site/domain-adaptation testing supports robustness but is not equivalent to an independent prospective external clinical validation cohort.
All-neural/optimization pipeline in recovered evidence; hybrid title is not sufficient for mixed conventional-ML/DL classification.</ns0:t>
        </ns0:is>
      </ns0:c>
      <ns0:c r="F2332" s="21" t="inlineStr">
        <ns0:is>
          <ns0:t>https://doi.org/10.1016/j.asoc.2026.115959</ns0:t>
        </ns0:is>
      </ns0:c>
      <ns0:c r="G2332" s="21" t="inlineStr">
        <ns0:is>
          <ns0:t>ChatGPT-assisted evidence recharting, 2026-09-08</ns0:t>
        </ns0:is>
      </ns0:c>
    </ns0:row>
    <ns0:row r="2333" ht="69" customHeight="1">
      <ns0:c r="A2333" s="19" t="inlineStr">
        <ns0:is>
          <ns0:t>new_355</ns0:t>
        </ns0:is>
      </ns0:c>
      <ns0:c r="B2333" s="19" t="inlineStr">
        <ns0:is>
          <ns0:t>ai_type</ns0:t>
        </ns0:is>
      </ns0:c>
      <ns0:c r="C2333" s="19" t="inlineStr">
        <ns0:is>
          <ns0:t>Hybrid</ns0:t>
        </ns0:is>
      </ns0:c>
      <ns0:c r="D2333" s="19" t="inlineStr">
        <ns0:is>
          <ns0:t>Deep Learning</ns0:t>
        </ns0:is>
      </ns0:c>
      <ns0:c r="E2333" s="19" t="inlineStr">
        <ns0:is>
          <ns0:t>Retained source-specific coding after review of the supplied extraction notes; not a new full-text retrieval. The study combines HOG descriptors with ResNet50V2 transfer learning for ASD classification from facial images. The accessible material does not establish independent external validation, prospective deployment, cross-site robustness, or an explicit XAI method.
HOG is a hand-crafted descriptor, not a learned conventional ML classifier; classifier is ResNet50V2.</ns0:t>
        </ns0:is>
      </ns0:c>
      <ns0:c r="F2333" s="19" t="inlineStr">
        <ns0:is>
          <ns0:t>https://doi.org/10.1016/j.array.2026.100936</ns0:t>
        </ns0:is>
      </ns0:c>
      <ns0:c r="G2333" s="19" t="inlineStr">
        <ns0:is>
          <ns0:t>ChatGPT-assisted evidence recharting, 2026-09-08</ns0:t>
        </ns0:is>
      </ns0:c>
    </ns0:row>
    <ns0:row r="2334" ht="69" customHeight="1">
      <ns0:c r="A2334" s="21" t="inlineStr">
        <ns0:is>
          <ns0:t>new_355</ns0:t>
        </ns0:is>
      </ns0:c>
      <ns0:c r="B2334" s="21" t="inlineStr">
        <ns0:is>
          <ns0:t>data_source_primary</ns0:t>
        </ns0:is>
      </ns0:c>
      <ns0:c r="C2334" s="21" t="inlineStr">
        <ns0:is>
          <ns0:t>Facial images</ns0:t>
        </ns0:is>
      </ns0:c>
      <ns0:c r="D2334" s="21" t="inlineStr">
        <ns0:is>
          <ns0:t>Behavioral images/video/gaze/movement</ns0:t>
        </ns0:is>
      </ns0:c>
      <ns0:c r="E2334" s="21" t="inlineStr">
        <ns0:is>
          <ns0:t>Retained source-specific coding after review of the supplied extraction notes; not a new full-text retrieval. The study combines HOG descriptors with ResNet50V2 transfer learning for ASD classification from facial images. The accessible material does not establish independent external validation, prospective deployment, cross-site robustness, or an explicit XAI method.
HOG is a hand-crafted descriptor, not a learned conventional ML classifier; classifier is ResNet50V2.</ns0:t>
        </ns0:is>
      </ns0:c>
      <ns0:c r="F2334" s="21" t="inlineStr">
        <ns0:is>
          <ns0:t>https://doi.org/10.1016/j.array.2026.100936</ns0:t>
        </ns0:is>
      </ns0:c>
      <ns0:c r="G2334" s="21" t="inlineStr">
        <ns0:is>
          <ns0:t>ChatGPT-assisted evidence recharting, 2026-09-08</ns0:t>
        </ns0:is>
      </ns0:c>
    </ns0:row>
    <ns0:row r="2335" ht="69" customHeight="1">
      <ns0:c r="A2335" s="19" t="inlineStr">
        <ns0:is>
          <ns0:t>new_355</ns0:t>
        </ns0:is>
      </ns0:c>
      <ns0:c r="B2335" s="19" t="inlineStr">
        <ns0:is>
          <ns0:t>rq2_role</ns0:t>
        </ns0:is>
      </ns0:c>
      <ns0:c r="C2335" s="19" t="inlineStr">
        <ns0:is>
          <ns0:t>Proposed facial-image screening classifier</ns0:t>
        </ns0:is>
      </ns0:c>
      <ns0:c r="D2335" s="19" t="inlineStr">
        <ns0:is>
          <ns0:t>Triage/questionnaire assessment</ns0:t>
        </ns0:is>
      </ns0:c>
      <ns0:c r="E2335" s="19" t="inlineStr">
        <ns0:is>
          <ns0:t>Retained source-specific coding after review of the supplied extraction notes; not a new full-text retrieval. The study combines HOG descriptors with ResNet50V2 transfer learning for ASD classification from facial images. The accessible material does not establish independent external validation, prospective deployment, cross-site robustness, or an explicit XAI method.
HOG is a hand-crafted descriptor, not a learned conventional ML classifier; classifier is ResNet50V2.</ns0:t>
        </ns0:is>
      </ns0:c>
      <ns0:c r="F2335" s="19" t="inlineStr">
        <ns0:is>
          <ns0:t>https://doi.org/10.1016/j.array.2026.100936</ns0:t>
        </ns0:is>
      </ns0:c>
      <ns0:c r="G2335" s="19" t="inlineStr">
        <ns0:is>
          <ns0:t>ChatGPT-assisted evidence recharting, 2026-09-08</ns0:t>
        </ns0:is>
      </ns0:c>
    </ns0:row>
    <ns0:row r="2336" ht="69" customHeight="1">
      <ns0:c r="A2336" s="21" t="inlineStr">
        <ns0:is>
          <ns0:t>new_355</ns0:t>
        </ns0:is>
      </ns0:c>
      <ns0:c r="B2336" s="21" t="inlineStr">
        <ns0:is>
          <ns0:t>decision_timing</ns0:t>
        </ns0:is>
      </ns0:c>
      <ns0:c r="C2336" s="21" t="inlineStr"/>
      <ns0:c r="D2336" s="21" t="inlineStr">
        <ns0:is>
          <ns0:t>Pre-decision</ns0:t>
        </ns0:is>
      </ns0:c>
      <ns0:c r="E2336" s="21" t="inlineStr">
        <ns0:is>
          <ns0:t>Retained source-specific coding after review of the supplied extraction notes; not a new full-text retrieval. The study combines HOG descriptors with ResNet50V2 transfer learning for ASD classification from facial images. The accessible material does not establish independent external validation, prospective deployment, cross-site robustness, or an explicit XAI method.
HOG is a hand-crafted descriptor, not a learned conventional ML classifier; classifier is ResNet50V2.</ns0:t>
        </ns0:is>
      </ns0:c>
      <ns0:c r="F2336" s="21" t="inlineStr">
        <ns0:is>
          <ns0:t>https://doi.org/10.1016/j.array.2026.100936</ns0:t>
        </ns0:is>
      </ns0:c>
      <ns0:c r="G2336" s="21" t="inlineStr">
        <ns0:is>
          <ns0:t>ChatGPT-assisted evidence recharting, 2026-09-08</ns0:t>
        </ns0:is>
      </ns0:c>
    </ns0:row>
    <ns0:row r="2337" ht="69" customHeight="1">
      <ns0:c r="A2337" s="19" t="inlineStr">
        <ns0:is>
          <ns0:t>new_355</ns0:t>
        </ns0:is>
      </ns0:c>
      <ns0:c r="B2337" s="19" t="inlineStr">
        <ns0:is>
          <ns0:t>integrity_status</ns0:t>
        </ns0:is>
      </ns0:c>
      <ns0:c r="C2337" s="19" t="inlineStr"/>
      <ns0:c r="D2337" s="19" t="inlineStr">
        <ns0:is>
          <ns0:t>Not recorded</ns0:t>
        </ns0:is>
      </ns0:c>
      <ns0:c r="E2337" s="19" t="inlineStr">
        <ns0:is>
          <ns0:t>Retained source-specific coding after review of the supplied extraction notes; not a new full-text retrieval. The study combines HOG descriptors with ResNet50V2 transfer learning for ASD classification from facial images. The accessible material does not establish independent external validation, prospective deployment, cross-site robustness, or an explicit XAI method.
HOG is a hand-crafted descriptor, not a learned conventional ML classifier; classifier is ResNet50V2.</ns0:t>
        </ns0:is>
      </ns0:c>
      <ns0:c r="F2337" s="19" t="inlineStr">
        <ns0:is>
          <ns0:t>https://doi.org/10.1016/j.array.2026.100936</ns0:t>
        </ns0:is>
      </ns0:c>
      <ns0:c r="G2337" s="19" t="inlineStr">
        <ns0:is>
          <ns0:t>ChatGPT-assisted evidence recharting, 2026-09-08</ns0:t>
        </ns0:is>
      </ns0:c>
    </ns0:row>
    <ns0:row r="2338" ht="153" customHeight="1">
      <ns0:c r="A2338" s="21" t="inlineStr">
        <ns0:is>
          <ns0:t>new_364</ns0:t>
        </ns0:is>
      </ns0:c>
      <ns0:c r="B2338" s="21" t="inlineStr">
        <ns0:is>
          <ns0:t>data_source_primary</ns0:t>
        </ns0:is>
      </ns0:c>
      <ns0:c r="C2338" s="21" t="inlineStr">
        <ns0:is>
          <ns0:t>Multiple datasets (fusion unverified)</ns0:t>
        </ns0:is>
      </ns0:c>
      <ns0:c r="D2338" s="21" t="inlineStr">
        <ns0:is>
          <ns0:t>Not specified</ns0:t>
        </ns0:is>
      </ns0:c>
      <ns0:c r="E2338" s="21" t="inlineStr">
        <ns0:is>
          <ns0:t>Retained source-specific coding after review of the supplied extraction notes; not a new full-text retrieval. The full text describes experiments on the Reddit Mental Health Dataset and ASD Screening Dataset, including stratified 70/15/15 train/validation/test splits and reported performance near 99%. Material reporting contradiction: the Methods/Results explicitly analyze two datasets, while the Data Availability statement says no datasets were generated or analysed. Inclusion is retained provisionally, but this requires high-priority human verification before final synthesis.
The full text describes experiments on the Reddit Mental Health Dataset and ASD Screening Dataset, including stratified 70/15/15 train/validation/test splits and reported performance near 99%. Material reporting contradiction: the Methods/Results explicitly analyze two datasets, while the Data Availability statement says no datasets were generated or analysed. Inclusion is retained provisionally, but this requires high-priority human verification before final synthesis.
Material reporting/source-lineage inconsistency preserved; excluded in conservative sensitivity analysis.</ns0:t>
        </ns0:is>
      </ns0:c>
      <ns0:c r="F2338" s="21" t="inlineStr">
        <ns0:is>
          <ns0:t>https://doi.org/10.1007/s12065-026-01162-x</ns0:t>
        </ns0:is>
      </ns0:c>
      <ns0:c r="G2338" s="21" t="inlineStr">
        <ns0:is>
          <ns0:t>ChatGPT-assisted evidence recharting, 2026-09-08</ns0:t>
        </ns0:is>
      </ns0:c>
    </ns0:row>
    <ns0:row r="2339" ht="153" customHeight="1">
      <ns0:c r="A2339" s="19" t="inlineStr">
        <ns0:is>
          <ns0:t>new_364</ns0:t>
        </ns0:is>
      </ns0:c>
      <ns0:c r="B2339" s="19" t="inlineStr">
        <ns0:is>
          <ns0:t>rq2_role</ns0:t>
        </ns0:is>
      </ns0:c>
      <ns0:c r="C2339" s="19" t="inlineStr">
        <ns0:is>
          <ns0:t>Proposed early-screening classifier evaluated on separate structured and text datasets</ns0:t>
        </ns0:is>
      </ns0:c>
      <ns0:c r="D2339" s="19" t="inlineStr">
        <ns0:is>
          <ns0:t>Triage/questionnaire assessment</ns0:t>
        </ns0:is>
      </ns0:c>
      <ns0:c r="E2339" s="19" t="inlineStr">
        <ns0:is>
          <ns0:t>Retained source-specific coding after review of the supplied extraction notes; not a new full-text retrieval. The full text describes experiments on the Reddit Mental Health Dataset and ASD Screening Dataset, including stratified 70/15/15 train/validation/test splits and reported performance near 99%. Material reporting contradiction: the Methods/Results explicitly analyze two datasets, while the Data Availability statement says no datasets were generated or analysed. Inclusion is retained provisionally, but this requires high-priority human verification before final synthesis.
The full text describes experiments on the Reddit Mental Health Dataset and ASD Screening Dataset, including stratified 70/15/15 train/validation/test splits and reported performance near 99%. Material reporting contradiction: the Methods/Results explicitly analyze two datasets, while the Data Availability statement says no datasets were generated or analysed. Inclusion is retained provisionally, but this requires high-priority human verification before final synthesis.
Material reporting/source-lineage inconsistency preserved; excluded in conservative sensitivity analysis.</ns0:t>
        </ns0:is>
      </ns0:c>
      <ns0:c r="F2339" s="19" t="inlineStr">
        <ns0:is>
          <ns0:t>https://doi.org/10.1007/s12065-026-01162-x</ns0:t>
        </ns0:is>
      </ns0:c>
      <ns0:c r="G2339" s="19" t="inlineStr">
        <ns0:is>
          <ns0:t>ChatGPT-assisted evidence recharting, 2026-09-08</ns0:t>
        </ns0:is>
      </ns0:c>
    </ns0:row>
    <ns0:row r="2340" ht="153" customHeight="1">
      <ns0:c r="A2340" s="21" t="inlineStr">
        <ns0:is>
          <ns0:t>new_364</ns0:t>
        </ns0:is>
      </ns0:c>
      <ns0:c r="B2340" s="21" t="inlineStr">
        <ns0:is>
          <ns0:t>decision_timing</ns0:t>
        </ns0:is>
      </ns0:c>
      <ns0:c r="C2340" s="21" t="inlineStr"/>
      <ns0:c r="D2340" s="21" t="inlineStr">
        <ns0:is>
          <ns0:t>Pre-decision</ns0:t>
        </ns0:is>
      </ns0:c>
      <ns0:c r="E2340" s="21" t="inlineStr">
        <ns0:is>
          <ns0:t>Retained source-specific coding after review of the supplied extraction notes; not a new full-text retrieval. The full text describes experiments on the Reddit Mental Health Dataset and ASD Screening Dataset, including stratified 70/15/15 train/validation/test splits and reported performance near 99%. Material reporting contradiction: the Methods/Results explicitly analyze two datasets, while the Data Availability statement says no datasets were generated or analysed. Inclusion is retained provisionally, but this requires high-priority human verification before final synthesis.
The full text describes experiments on the Reddit Mental Health Dataset and ASD Screening Dataset, including stratified 70/15/15 train/validation/test splits and reported performance near 99%. Material reporting contradiction: the Methods/Results explicitly analyze two datasets, while the Data Availability statement says no datasets were generated or analysed. Inclusion is retained provisionally, but this requires high-priority human verification before final synthesis.
Material reporting/source-lineage inconsistency preserved; excluded in conservative sensitivity analysis.</ns0:t>
        </ns0:is>
      </ns0:c>
      <ns0:c r="F2340" s="21" t="inlineStr">
        <ns0:is>
          <ns0:t>https://doi.org/10.1007/s12065-026-01162-x</ns0:t>
        </ns0:is>
      </ns0:c>
      <ns0:c r="G2340" s="21" t="inlineStr">
        <ns0:is>
          <ns0:t>ChatGPT-assisted evidence recharting, 2026-09-08</ns0:t>
        </ns0:is>
      </ns0:c>
    </ns0:row>
    <ns0:row r="2341" ht="153" customHeight="1">
      <ns0:c r="A2341" s="19" t="inlineStr">
        <ns0:is>
          <ns0:t>new_364</ns0:t>
        </ns0:is>
      </ns0:c>
      <ns0:c r="B2341" s="19" t="inlineStr">
        <ns0:is>
          <ns0:t>integrity_status</ns0:t>
        </ns0:is>
      </ns0:c>
      <ns0:c r="C2341" s="19" t="inlineStr"/>
      <ns0:c r="D2341" s="19" t="inlineStr">
        <ns0:is>
          <ns0:t>Not recorded</ns0:t>
        </ns0:is>
      </ns0:c>
      <ns0:c r="E2341" s="19" t="inlineStr">
        <ns0:is>
          <ns0:t>Retained source-specific coding after review of the supplied extraction notes; not a new full-text retrieval. The full text describes experiments on the Reddit Mental Health Dataset and ASD Screening Dataset, including stratified 70/15/15 train/validation/test splits and reported performance near 99%. Material reporting contradiction: the Methods/Results explicitly analyze two datasets, while the Data Availability statement says no datasets were generated or analysed. Inclusion is retained provisionally, but this requires high-priority human verification before final synthesis.
The full text describes experiments on the Reddit Mental Health Dataset and ASD Screening Dataset, including stratified 70/15/15 train/validation/test splits and reported performance near 99%. Material reporting contradiction: the Methods/Results explicitly analyze two datasets, while the Data Availability statement says no datasets were generated or analysed. Inclusion is retained provisionally, but this requires high-priority human verification before final synthesis.
Material reporting/source-lineage inconsistency preserved; excluded in conservative sensitivity analysis.</ns0:t>
        </ns0:is>
      </ns0:c>
      <ns0:c r="F2341" s="19" t="inlineStr">
        <ns0:is>
          <ns0:t>https://doi.org/10.1007/s12065-026-01162-x</ns0:t>
        </ns0:is>
      </ns0:c>
      <ns0:c r="G2341" s="19" t="inlineStr">
        <ns0:is>
          <ns0:t>ChatGPT-assisted evidence recharting, 2026-09-08</ns0:t>
        </ns0:is>
      </ns0:c>
    </ns0:row>
    <ns0:row r="2342" ht="177" customHeight="1">
      <ns0:c r="A2342" s="21" t="inlineStr">
        <ns0:is>
          <ns0:t>new_366</ns0:t>
        </ns0:is>
      </ns0:c>
      <ns0:c r="B2342" s="21" t="inlineStr">
        <ns0:is>
          <ns0:t>ai_type</ns0:t>
        </ns0:is>
      </ns0:c>
      <ns0:c r="C2342" s="21" t="inlineStr">
        <ns0:is>
          <ns0:t>Hybrid</ns0:t>
        </ns0:is>
      </ns0:c>
      <ns0:c r="D2342" s="21" t="inlineStr">
        <ns0:is>
          <ns0:t>Deep Learning</ns0:t>
        </ns0:is>
      </ns0:c>
      <ns0:c r="E2342" s="21" t="inlineStr">
        <ns0:is>
          <ns0:t>Retained source-specific coding after review of the supplied extraction notes; not a new full-text retrieval. A hybrid ResNet-152-CBAM/ViT-Large model with bidirectional cross-attention, weighted ensemble and test-time augmentation is evaluated on 2,940 public facial images; Grad-CAM highlights periocular regions and the ensemble reports 92% accuracy. The article reports a fixed 86.4%/3.4%/10.2% train/validation/test partition while the abstract also reports mean±SD across 5-fold cross-validation, creating an evaluation-protocol inconsistency that should be reconciled manually. No independent external dataset was used.
A hybrid ResNet-152-CBAM/ViT-Large model with bidirectional cross-attention, weighted ensemble and test-time augmentation is evaluated on 2,940 public facial images; Grad-CAM highlights periocular regions and the ensemble reports 92% accuracy. The article reports a fixed 86.4%/3.4%/10.2% train/validation/test partition while the abstract also reports mean±SD across 5-fold cross-validation, creating an evaluation-protocol inconsistency that should be reconciled manually. No independent external dataset was used.
Material reporting/source-lineage inconsistency preserved; excluded in conservative sensitivity analysis.
All-neural/optimization pipeline in recovered evidence; hybrid title is not sufficient for mixed conventional-ML/DL classification.</ns0:t>
        </ns0:is>
      </ns0:c>
      <ns0:c r="F2342" s="21" t="inlineStr">
        <ns0:is>
          <ns0:t>https://doi.org/10.1016/j.ibmed.2026.100421</ns0:t>
        </ns0:is>
      </ns0:c>
      <ns0:c r="G2342" s="21" t="inlineStr">
        <ns0:is>
          <ns0:t>ChatGPT-assisted evidence recharting, 2026-09-08</ns0:t>
        </ns0:is>
      </ns0:c>
    </ns0:row>
    <ns0:row r="2343" ht="177" customHeight="1">
      <ns0:c r="A2343" s="19" t="inlineStr">
        <ns0:is>
          <ns0:t>new_366</ns0:t>
        </ns0:is>
      </ns0:c>
      <ns0:c r="B2343" s="19" t="inlineStr">
        <ns0:is>
          <ns0:t>data_source_primary</ns0:t>
        </ns0:is>
      </ns0:c>
      <ns0:c r="C2343" s="19" t="inlineStr">
        <ns0:is>
          <ns0:t>Facial images</ns0:t>
        </ns0:is>
      </ns0:c>
      <ns0:c r="D2343" s="19" t="inlineStr">
        <ns0:is>
          <ns0:t>Behavioral images/video/gaze/movement</ns0:t>
        </ns0:is>
      </ns0:c>
      <ns0:c r="E2343" s="19" t="inlineStr">
        <ns0:is>
          <ns0:t>Retained source-specific coding after review of the supplied extraction notes; not a new full-text retrieval. A hybrid ResNet-152-CBAM/ViT-Large model with bidirectional cross-attention, weighted ensemble and test-time augmentation is evaluated on 2,940 public facial images; Grad-CAM highlights periocular regions and the ensemble reports 92% accuracy. The article reports a fixed 86.4%/3.4%/10.2% train/validation/test partition while the abstract also reports mean±SD across 5-fold cross-validation, creating an evaluation-protocol inconsistency that should be reconciled manually. No independent external dataset was used.
A hybrid ResNet-152-CBAM/ViT-Large model with bidirectional cross-attention, weighted ensemble and test-time augmentation is evaluated on 2,940 public facial images; Grad-CAM highlights periocular regions and the ensemble reports 92% accuracy. The article reports a fixed 86.4%/3.4%/10.2% train/validation/test partition while the abstract also reports mean±SD across 5-fold cross-validation, creating an evaluation-protocol inconsistency that should be reconciled manually. No independent external dataset was used.
Material reporting/source-lineage inconsistency preserved; excluded in conservative sensitivity analysis.
All-neural/optimization pipeline in recovered evidence; hybrid title is not sufficient for mixed conventional-ML/DL classification.</ns0:t>
        </ns0:is>
      </ns0:c>
      <ns0:c r="F2343" s="19" t="inlineStr">
        <ns0:is>
          <ns0:t>https://doi.org/10.1016/j.ibmed.2026.100421</ns0:t>
        </ns0:is>
      </ns0:c>
      <ns0:c r="G2343" s="19" t="inlineStr">
        <ns0:is>
          <ns0:t>ChatGPT-assisted evidence recharting, 2026-09-08</ns0:t>
        </ns0:is>
      </ns0:c>
    </ns0:row>
    <ns0:row r="2344" ht="177" customHeight="1">
      <ns0:c r="A2344" s="21" t="inlineStr">
        <ns0:is>
          <ns0:t>new_366</ns0:t>
        </ns0:is>
      </ns0:c>
      <ns0:c r="B2344" s="21" t="inlineStr">
        <ns0:is>
          <ns0:t>rq2_role</ns0:t>
        </ns0:is>
      </ns0:c>
      <ns0:c r="C2344" s="21" t="inlineStr">
        <ns0:is>
          <ns0:t>Proposed AI-assisted facial-image screening tool</ns0:t>
        </ns0:is>
      </ns0:c>
      <ns0:c r="D2344" s="21" t="inlineStr">
        <ns0:is>
          <ns0:t>Triage/questionnaire assessment</ns0:t>
        </ns0:is>
      </ns0:c>
      <ns0:c r="E2344" s="21" t="inlineStr">
        <ns0:is>
          <ns0:t>Retained source-specific coding after review of the supplied extraction notes; not a new full-text retrieval. A hybrid ResNet-152-CBAM/ViT-Large model with bidirectional cross-attention, weighted ensemble and test-time augmentation is evaluated on 2,940 public facial images; Grad-CAM highlights periocular regions and the ensemble reports 92% accuracy. The article reports a fixed 86.4%/3.4%/10.2% train/validation/test partition while the abstract also reports mean±SD across 5-fold cross-validation, creating an evaluation-protocol inconsistency that should be reconciled manually. No independent external dataset was used.
A hybrid ResNet-152-CBAM/ViT-Large model with bidirectional cross-attention, weighted ensemble and test-time augmentation is evaluated on 2,940 public facial images; Grad-CAM highlights periocular regions and the ensemble reports 92% accuracy. The article reports a fixed 86.4%/3.4%/10.2% train/validation/test partition while the abstract also reports mean±SD across 5-fold cross-validation, creating an evaluation-protocol inconsistency that should be reconciled manually. No independent external dataset was used.
Material reporting/source-lineage inconsistency preserved; excluded in conservative sensitivity analysis.
All-neural/optimization pipeline in recovered evidence; hybrid title is not sufficient for mixed conventional-ML/DL classification.</ns0:t>
        </ns0:is>
      </ns0:c>
      <ns0:c r="F2344" s="21" t="inlineStr">
        <ns0:is>
          <ns0:t>https://doi.org/10.1016/j.ibmed.2026.100421</ns0:t>
        </ns0:is>
      </ns0:c>
      <ns0:c r="G2344" s="21" t="inlineStr">
        <ns0:is>
          <ns0:t>ChatGPT-assisted evidence recharting, 2026-09-08</ns0:t>
        </ns0:is>
      </ns0:c>
    </ns0:row>
    <ns0:row r="2345" ht="177" customHeight="1">
      <ns0:c r="A2345" s="19" t="inlineStr">
        <ns0:is>
          <ns0:t>new_366</ns0:t>
        </ns0:is>
      </ns0:c>
      <ns0:c r="B2345" s="19" t="inlineStr">
        <ns0:is>
          <ns0:t>decision_timing</ns0:t>
        </ns0:is>
      </ns0:c>
      <ns0:c r="C2345" s="19" t="inlineStr"/>
      <ns0:c r="D2345" s="19" t="inlineStr">
        <ns0:is>
          <ns0:t>Pre-decision</ns0:t>
        </ns0:is>
      </ns0:c>
      <ns0:c r="E2345" s="19" t="inlineStr">
        <ns0:is>
          <ns0:t>Retained source-specific coding after review of the supplied extraction notes; not a new full-text retrieval. A hybrid ResNet-152-CBAM/ViT-Large model with bidirectional cross-attention, weighted ensemble and test-time augmentation is evaluated on 2,940 public facial images; Grad-CAM highlights periocular regions and the ensemble reports 92% accuracy. The article reports a fixed 86.4%/3.4%/10.2% train/validation/test partition while the abstract also reports mean±SD across 5-fold cross-validation, creating an evaluation-protocol inconsistency that should be reconciled manually. No independent external dataset was used.
A hybrid ResNet-152-CBAM/ViT-Large model with bidirectional cross-attention, weighted ensemble and test-time augmentation is evaluated on 2,940 public facial images; Grad-CAM highlights periocular regions and the ensemble reports 92% accuracy. The article reports a fixed 86.4%/3.4%/10.2% train/validation/test partition while the abstract also reports mean±SD across 5-fold cross-validation, creating an evaluation-protocol inconsistency that should be reconciled manually. No independent external dataset was used.
Material reporting/source-lineage inconsistency preserved; excluded in conservative sensitivity analysis.
All-neural/optimization pipeline in recovered evidence; hybrid title is not sufficient for mixed conventional-ML/DL classification.</ns0:t>
        </ns0:is>
      </ns0:c>
      <ns0:c r="F2345" s="19" t="inlineStr">
        <ns0:is>
          <ns0:t>https://doi.org/10.1016/j.ibmed.2026.100421</ns0:t>
        </ns0:is>
      </ns0:c>
      <ns0:c r="G2345" s="19" t="inlineStr">
        <ns0:is>
          <ns0:t>ChatGPT-assisted evidence recharting, 2026-09-08</ns0:t>
        </ns0:is>
      </ns0:c>
    </ns0:row>
    <ns0:row r="2346" ht="177" customHeight="1">
      <ns0:c r="A2346" s="21" t="inlineStr">
        <ns0:is>
          <ns0:t>new_366</ns0:t>
        </ns0:is>
      </ns0:c>
      <ns0:c r="B2346" s="21" t="inlineStr">
        <ns0:is>
          <ns0:t>integrity_status</ns0:t>
        </ns0:is>
      </ns0:c>
      <ns0:c r="C2346" s="21" t="inlineStr"/>
      <ns0:c r="D2346" s="21" t="inlineStr">
        <ns0:is>
          <ns0:t>Not recorded</ns0:t>
        </ns0:is>
      </ns0:c>
      <ns0:c r="E2346" s="21" t="inlineStr">
        <ns0:is>
          <ns0:t>Retained source-specific coding after review of the supplied extraction notes; not a new full-text retrieval. A hybrid ResNet-152-CBAM/ViT-Large model with bidirectional cross-attention, weighted ensemble and test-time augmentation is evaluated on 2,940 public facial images; Grad-CAM highlights periocular regions and the ensemble reports 92% accuracy. The article reports a fixed 86.4%/3.4%/10.2% train/validation/test partition while the abstract also reports mean±SD across 5-fold cross-validation, creating an evaluation-protocol inconsistency that should be reconciled manually. No independent external dataset was used.
A hybrid ResNet-152-CBAM/ViT-Large model with bidirectional cross-attention, weighted ensemble and test-time augmentation is evaluated on 2,940 public facial images; Grad-CAM highlights periocular regions and the ensemble reports 92% accuracy. The article reports a fixed 86.4%/3.4%/10.2% train/validation/test partition while the abstract also reports mean±SD across 5-fold cross-validation, creating an evaluation-protocol inconsistency that should be reconciled manually. No independent external dataset was used.
Material reporting/source-lineage inconsistency preserved; excluded in conservative sensitivity analysis.
All-neural/optimization pipeline in recovered evidence; hybrid title is not sufficient for mixed conventional-ML/DL classification.</ns0:t>
        </ns0:is>
      </ns0:c>
      <ns0:c r="F2346" s="21" t="inlineStr">
        <ns0:is>
          <ns0:t>https://doi.org/10.1016/j.ibmed.2026.100421</ns0:t>
        </ns0:is>
      </ns0:c>
      <ns0:c r="G2346" s="21" t="inlineStr">
        <ns0:is>
          <ns0:t>ChatGPT-assisted evidence recharting, 2026-09-08</ns0:t>
        </ns0:is>
      </ns0:c>
    </ns0:row>
    <ns0:row r="2347" ht="69" customHeight="1">
      <ns0:c r="A2347" s="19" t="inlineStr">
        <ns0:is>
          <ns0:t>new_371</ns0:t>
        </ns0:is>
      </ns0:c>
      <ns0:c r="B2347" s="19" t="inlineStr">
        <ns0:is>
          <ns0:t>rq2_role</ns0:t>
        </ns0:is>
      </ns0:c>
      <ns0:c r="C2347" s="19" t="inlineStr">
        <ns0:is>
          <ns0:t>Proposed MRI-based screening/decision-support model; no clinical deployment evaluated</ns0:t>
        </ns0:is>
      </ns0:c>
      <ns0:c r="D2347" s="19" t="inlineStr">
        <ns0:is>
          <ns0:t>Triage/questionnaire assessment</ns0:t>
        </ns0:is>
      </ns0:c>
      <ns0:c r="E2347" s="19" t="inlineStr">
        <ns0:is>
          <ns0:t>Retained source-specific coding after review of the supplied extraction notes; not a new full-text retrieval. Springer identifies this as a full conference paper in peer-reviewed MIND 2024 proceedings. The study proposes a hybrid CNN-GAT on publicly accessible MRI data and reports 88% ASD versus non-ASD classification accuracy. GAT attention is used to identify critical brain regions/connections. No independent external cohort, prospective clinical evaluation, or explicit cross-site robustness was established from the accessible evidence.</ns0:t>
        </ns0:is>
      </ns0:c>
      <ns0:c r="F2347" s="19" t="inlineStr">
        <ns0:is>
          <ns0:t>https://doi.org/10.1007/978-3-032-14531-4_4</ns0:t>
        </ns0:is>
      </ns0:c>
      <ns0:c r="G2347" s="19" t="inlineStr">
        <ns0:is>
          <ns0:t>ChatGPT-assisted evidence recharting, 2026-09-08</ns0:t>
        </ns0:is>
      </ns0:c>
    </ns0:row>
    <ns0:row r="2348" ht="69" customHeight="1">
      <ns0:c r="A2348" s="21" t="inlineStr">
        <ns0:is>
          <ns0:t>new_371</ns0:t>
        </ns0:is>
      </ns0:c>
      <ns0:c r="B2348" s="21" t="inlineStr">
        <ns0:is>
          <ns0:t>decision_timing</ns0:t>
        </ns0:is>
      </ns0:c>
      <ns0:c r="C2348" s="21" t="inlineStr"/>
      <ns0:c r="D2348" s="21" t="inlineStr">
        <ns0:is>
          <ns0:t>Pre-decision</ns0:t>
        </ns0:is>
      </ns0:c>
      <ns0:c r="E2348" s="21" t="inlineStr">
        <ns0:is>
          <ns0:t>Retained source-specific coding after review of the supplied extraction notes; not a new full-text retrieval. Springer identifies this as a full conference paper in peer-reviewed MIND 2024 proceedings. The study proposes a hybrid CNN-GAT on publicly accessible MRI data and reports 88% ASD versus non-ASD classification accuracy. GAT attention is used to identify critical brain regions/connections. No independent external cohort, prospective clinical evaluation, or explicit cross-site robustness was established from the accessible evidence.</ns0:t>
        </ns0:is>
      </ns0:c>
      <ns0:c r="F2348" s="21" t="inlineStr">
        <ns0:is>
          <ns0:t>https://doi.org/10.1007/978-3-032-14531-4_4</ns0:t>
        </ns0:is>
      </ns0:c>
      <ns0:c r="G2348" s="21" t="inlineStr">
        <ns0:is>
          <ns0:t>ChatGPT-assisted evidence recharting, 2026-09-08</ns0:t>
        </ns0:is>
      </ns0:c>
    </ns0:row>
    <ns0:row r="2349" ht="69" customHeight="1">
      <ns0:c r="A2349" s="19" t="inlineStr">
        <ns0:is>
          <ns0:t>new_371</ns0:t>
        </ns0:is>
      </ns0:c>
      <ns0:c r="B2349" s="19" t="inlineStr">
        <ns0:is>
          <ns0:t>integrity_status</ns0:t>
        </ns0:is>
      </ns0:c>
      <ns0:c r="C2349" s="19" t="inlineStr"/>
      <ns0:c r="D2349" s="19" t="inlineStr">
        <ns0:is>
          <ns0:t>Not recorded</ns0:t>
        </ns0:is>
      </ns0:c>
      <ns0:c r="E2349" s="19" t="inlineStr">
        <ns0:is>
          <ns0:t>Retained source-specific coding after review of the supplied extraction notes; not a new full-text retrieval. Springer identifies this as a full conference paper in peer-reviewed MIND 2024 proceedings. The study proposes a hybrid CNN-GAT on publicly accessible MRI data and reports 88% ASD versus non-ASD classification accuracy. GAT attention is used to identify critical brain regions/connections. No independent external cohort, prospective clinical evaluation, or explicit cross-site robustness was established from the accessible evidence.</ns0:t>
        </ns0:is>
      </ns0:c>
      <ns0:c r="F2349" s="19" t="inlineStr">
        <ns0:is>
          <ns0:t>https://doi.org/10.1007/978-3-032-14531-4_4</ns0:t>
        </ns0:is>
      </ns0:c>
      <ns0:c r="G2349" s="19" t="inlineStr">
        <ns0:is>
          <ns0:t>ChatGPT-assisted evidence recharting, 2026-09-08</ns0:t>
        </ns0:is>
      </ns0:c>
    </ns0:row>
    <ns0:row r="2350" ht="93" customHeight="1">
      <ns0:c r="A2350" s="21" t="inlineStr">
        <ns0:is>
          <ns0:t>new_373</ns0:t>
        </ns0:is>
      </ns0:c>
      <ns0:c r="B2350" s="21" t="inlineStr">
        <ns0:is>
          <ns0:t>data_source_primary</ns0:t>
        </ns0:is>
      </ns0:c>
      <ns0:c r="C2350" s="21" t="inlineStr">
        <ns0:is>
          <ns0:t>Facial images</ns0:t>
        </ns0:is>
      </ns0:c>
      <ns0:c r="D2350" s="21" t="inlineStr">
        <ns0:is>
          <ns0:t>Behavioral images/video/gaze/movement</ns0:t>
        </ns0:is>
      </ns0:c>
      <ns0:c r="E2350" s="21" t="inlineStr">
        <ns0:is>
          <ns0:t>Retained source-specific coding after review of the supplied extraction notes; not a new full-text retrieval. MACFUT fuses facial-image features with landmark geometry, is trained on AFID with 10-fold CV, and is tested on an independent Bangladesh dataset (BACFED), reporting 86.51% external accuracy/AUC 94.78%; attention maps and facial anthropometry support interpretation. External cross-dataset testing strengthens generalization evidence, but the system is not prospectively deployed and image-source/demographic biases remain possible. Landmarks are derived from the same image source, so this was not counted as multisource data.
AFID development followed by BACFED independent Bangladesh image dataset test.</ns0:t>
        </ns0:is>
      </ns0:c>
      <ns0:c r="F2350" s="21" t="inlineStr">
        <ns0:is>
          <ns0:t>https://doi.org/10.1016/j.bspc.2026.110970</ns0:t>
        </ns0:is>
      </ns0:c>
      <ns0:c r="G2350" s="21" t="inlineStr">
        <ns0:is>
          <ns0:t>ChatGPT-assisted evidence recharting, 2026-09-08</ns0:t>
        </ns0:is>
      </ns0:c>
    </ns0:row>
    <ns0:row r="2351" ht="93" customHeight="1">
      <ns0:c r="A2351" s="19" t="inlineStr">
        <ns0:is>
          <ns0:t>new_373</ns0:t>
        </ns0:is>
      </ns0:c>
      <ns0:c r="B2351" s="19" t="inlineStr">
        <ns0:is>
          <ns0:t>rq2_role</ns0:t>
        </ns0:is>
      </ns0:c>
      <ns0:c r="C2351" s="19" t="inlineStr">
        <ns0:is>
          <ns0:t>Proposed interpretable facial-image screening tool</ns0:t>
        </ns0:is>
      </ns0:c>
      <ns0:c r="D2351" s="19" t="inlineStr">
        <ns0:is>
          <ns0:t>Triage/questionnaire assessment</ns0:t>
        </ns0:is>
      </ns0:c>
      <ns0:c r="E2351" s="19" t="inlineStr">
        <ns0:is>
          <ns0:t>Retained source-specific coding after review of the supplied extraction notes; not a new full-text retrieval. MACFUT fuses facial-image features with landmark geometry, is trained on AFID with 10-fold CV, and is tested on an independent Bangladesh dataset (BACFED), reporting 86.51% external accuracy/AUC 94.78%; attention maps and facial anthropometry support interpretation. External cross-dataset testing strengthens generalization evidence, but the system is not prospectively deployed and image-source/demographic biases remain possible. Landmarks are derived from the same image source, so this was not counted as multisource data.
AFID development followed by BACFED independent Bangladesh image dataset test.</ns0:t>
        </ns0:is>
      </ns0:c>
      <ns0:c r="F2351" s="19" t="inlineStr">
        <ns0:is>
          <ns0:t>https://doi.org/10.1016/j.bspc.2026.110970</ns0:t>
        </ns0:is>
      </ns0:c>
      <ns0:c r="G2351" s="19" t="inlineStr">
        <ns0:is>
          <ns0:t>ChatGPT-assisted evidence recharting, 2026-09-08</ns0:t>
        </ns0:is>
      </ns0:c>
    </ns0:row>
    <ns0:row r="2352" ht="93" customHeight="1">
      <ns0:c r="A2352" s="21" t="inlineStr">
        <ns0:is>
          <ns0:t>new_373</ns0:t>
        </ns0:is>
      </ns0:c>
      <ns0:c r="B2352" s="21" t="inlineStr">
        <ns0:is>
          <ns0:t>decision_timing</ns0:t>
        </ns0:is>
      </ns0:c>
      <ns0:c r="C2352" s="21" t="inlineStr"/>
      <ns0:c r="D2352" s="21" t="inlineStr">
        <ns0:is>
          <ns0:t>Pre-decision</ns0:t>
        </ns0:is>
      </ns0:c>
      <ns0:c r="E2352" s="21" t="inlineStr">
        <ns0:is>
          <ns0:t>Retained source-specific coding after review of the supplied extraction notes; not a new full-text retrieval. MACFUT fuses facial-image features with landmark geometry, is trained on AFID with 10-fold CV, and is tested on an independent Bangladesh dataset (BACFED), reporting 86.51% external accuracy/AUC 94.78%; attention maps and facial anthropometry support interpretation. External cross-dataset testing strengthens generalization evidence, but the system is not prospectively deployed and image-source/demographic biases remain possible. Landmarks are derived from the same image source, so this was not counted as multisource data.
AFID development followed by BACFED independent Bangladesh image dataset test.</ns0:t>
        </ns0:is>
      </ns0:c>
      <ns0:c r="F2352" s="21" t="inlineStr">
        <ns0:is>
          <ns0:t>https://doi.org/10.1016/j.bspc.2026.110970</ns0:t>
        </ns0:is>
      </ns0:c>
      <ns0:c r="G2352" s="21" t="inlineStr">
        <ns0:is>
          <ns0:t>ChatGPT-assisted evidence recharting, 2026-09-08</ns0:t>
        </ns0:is>
      </ns0:c>
    </ns0:row>
    <ns0:row r="2353" ht="93" customHeight="1">
      <ns0:c r="A2353" s="19" t="inlineStr">
        <ns0:is>
          <ns0:t>new_373</ns0:t>
        </ns0:is>
      </ns0:c>
      <ns0:c r="B2353" s="19" t="inlineStr">
        <ns0:is>
          <ns0:t>multisite_dataset</ns0:t>
        </ns0:is>
      </ns0:c>
      <ns0:c r="C2353" s="19" t="inlineStr">
        <ns0:is>
          <ns0:t>Not reported in assessed sources</ns0:t>
        </ns0:is>
      </ns0:c>
      <ns0:c r="D2353" s="19" t="inlineStr">
        <ns0:is>
          <ns0:t>Reported</ns0:t>
        </ns0:is>
      </ns0:c>
      <ns0:c r="E2353" s="19" t="inlineStr">
        <ns0:is>
          <ns0:t>Retained source-specific coding after review of the supplied extraction notes; not a new full-text retrieval. MACFUT fuses facial-image features with landmark geometry, is trained on AFID with 10-fold CV, and is tested on an independent Bangladesh dataset (BACFED), reporting 86.51% external accuracy/AUC 94.78%; attention maps and facial anthropometry support interpretation. External cross-dataset testing strengthens generalization evidence, but the system is not prospectively deployed and image-source/demographic biases remain possible. Landmarks are derived from the same image source, so this was not counted as multisource data.
AFID development followed by BACFED independent Bangladesh image dataset test.</ns0:t>
        </ns0:is>
      </ns0:c>
      <ns0:c r="F2353" s="19" t="inlineStr">
        <ns0:is>
          <ns0:t>https://doi.org/10.1016/j.bspc.2026.110970</ns0:t>
        </ns0:is>
      </ns0:c>
      <ns0:c r="G2353" s="19" t="inlineStr">
        <ns0:is>
          <ns0:t>ChatGPT-assisted evidence recharting, 2026-09-08</ns0:t>
        </ns0:is>
      </ns0:c>
    </ns0:row>
    <ns0:row r="2354" ht="93" customHeight="1">
      <ns0:c r="A2354" s="21" t="inlineStr">
        <ns0:is>
          <ns0:t>new_373</ns0:t>
        </ns0:is>
      </ns0:c>
      <ns0:c r="B2354" s="21" t="inlineStr">
        <ns0:is>
          <ns0:t>integrity_status</ns0:t>
        </ns0:is>
      </ns0:c>
      <ns0:c r="C2354" s="21" t="inlineStr"/>
      <ns0:c r="D2354" s="21" t="inlineStr">
        <ns0:is>
          <ns0:t>Not recorded</ns0:t>
        </ns0:is>
      </ns0:c>
      <ns0:c r="E2354" s="21" t="inlineStr">
        <ns0:is>
          <ns0:t>Retained source-specific coding after review of the supplied extraction notes; not a new full-text retrieval. MACFUT fuses facial-image features with landmark geometry, is trained on AFID with 10-fold CV, and is tested on an independent Bangladesh dataset (BACFED), reporting 86.51% external accuracy/AUC 94.78%; attention maps and facial anthropometry support interpretation. External cross-dataset testing strengthens generalization evidence, but the system is not prospectively deployed and image-source/demographic biases remain possible. Landmarks are derived from the same image source, so this was not counted as multisource data.
AFID development followed by BACFED independent Bangladesh image dataset test.</ns0:t>
        </ns0:is>
      </ns0:c>
      <ns0:c r="F2354" s="21" t="inlineStr">
        <ns0:is>
          <ns0:t>https://doi.org/10.1016/j.bspc.2026.110970</ns0:t>
        </ns0:is>
      </ns0:c>
      <ns0:c r="G2354" s="21" t="inlineStr">
        <ns0:is>
          <ns0:t>ChatGPT-assisted evidence recharting, 2026-09-08</ns0:t>
        </ns0:is>
      </ns0:c>
    </ns0:row>
    <ns0:row r="2355" ht="93" customHeight="1">
      <ns0:c r="A2355" s="19" t="inlineStr">
        <ns0:is>
          <ns0:t>new_383</ns0:t>
        </ns0:is>
      </ns0:c>
      <ns0:c r="B2355" s="19" t="inlineStr">
        <ns0:is>
          <ns0:t>data_source_primary</ns0:t>
        </ns0:is>
      </ns0:c>
      <ns0:c r="C2355" s="19" t="inlineStr">
        <ns0:is>
          <ns0:t>Multiple modalities (as coded)</ns0:t>
        </ns0:is>
      </ns0:c>
      <ns0:c r="D2355" s="19" t="inlineStr">
        <ns0:is>
          <ns0:t>Biological/omics</ns0:t>
        </ns0:is>
      </ns0:c>
      <ns0:c r="E2355" s="19" t="inlineStr">
        <ns0:is>
          <ns0:t>Retained source-specific coding after review of the supplied extraction notes; not a new full-text retrieval. Within the BASELINE birth cohort, cord-blood proteomics/metabolomics from children later diagnosed with autism were analyzed and followed with childhood serum profiling; ML prediction models reported AUROC 0.82-0.85. The omics case numbers are small (22 future ASD cases in cord blood; 24 in follow-up), and the accessible report does not identify an independent external validation cohort or the specific ML family. Longitudinal collection supports prospective-evidence coding, not prospective clinical deployment.
Proteomics and metabolomics combined</ns0:t>
        </ns0:is>
      </ns0:c>
      <ns0:c r="F2355" s="19" t="inlineStr">
        <ns0:is>
          <ns0:t>https://doi.org/10.1038/s41380-025-03157-z</ns0:t>
        </ns0:is>
      </ns0:c>
      <ns0:c r="G2355" s="19" t="inlineStr">
        <ns0:is>
          <ns0:t>ChatGPT-assisted evidence recharting, 2026-09-08</ns0:t>
        </ns0:is>
      </ns0:c>
    </ns0:row>
    <ns0:row r="2356" ht="93" customHeight="1">
      <ns0:c r="A2356" s="21" t="inlineStr">
        <ns0:is>
          <ns0:t>new_383</ns0:t>
        </ns0:is>
      </ns0:c>
      <ns0:c r="B2356" s="21" t="inlineStr">
        <ns0:is>
          <ns0:t>rq2_role</ns0:t>
        </ns0:is>
      </ns0:c>
      <ns0:c r="C2356" s="21" t="inlineStr">
        <ns0:is>
          <ns0:t>Longitudinal prognostic biomarker research; not a deployed clinical risk tool</ns0:t>
        </ns0:is>
      </ns0:c>
      <ns0:c r="D2356" s="21" t="inlineStr">
        <ns0:is>
          <ns0:t>Risk/trajectory estimation</ns0:t>
        </ns0:is>
      </ns0:c>
      <ns0:c r="E2356" s="21" t="inlineStr">
        <ns0:is>
          <ns0:t>Retained source-specific coding after review of the supplied extraction notes; not a new full-text retrieval. Within the BASELINE birth cohort, cord-blood proteomics/metabolomics from children later diagnosed with autism were analyzed and followed with childhood serum profiling; ML prediction models reported AUROC 0.82-0.85. The omics case numbers are small (22 future ASD cases in cord blood; 24 in follow-up), and the accessible report does not identify an independent external validation cohort or the specific ML family. Longitudinal collection supports prospective-evidence coding, not prospective clinical deployment.
Proteomics and metabolomics combined</ns0:t>
        </ns0:is>
      </ns0:c>
      <ns0:c r="F2356" s="21" t="inlineStr">
        <ns0:is>
          <ns0:t>https://doi.org/10.1038/s41380-025-03157-z</ns0:t>
        </ns0:is>
      </ns0:c>
      <ns0:c r="G2356" s="21" t="inlineStr">
        <ns0:is>
          <ns0:t>ChatGPT-assisted evidence recharting, 2026-09-08</ns0:t>
        </ns0:is>
      </ns0:c>
    </ns0:row>
    <ns0:row r="2357" ht="93" customHeight="1">
      <ns0:c r="A2357" s="19" t="inlineStr">
        <ns0:is>
          <ns0:t>new_383</ns0:t>
        </ns0:is>
      </ns0:c>
      <ns0:c r="B2357" s="19" t="inlineStr">
        <ns0:is>
          <ns0:t>decision_timing</ns0:t>
        </ns0:is>
      </ns0:c>
      <ns0:c r="C2357" s="19" t="inlineStr"/>
      <ns0:c r="D2357" s="19" t="inlineStr">
        <ns0:is>
          <ns0:t>Not observed in assessed sources</ns0:t>
        </ns0:is>
      </ns0:c>
      <ns0:c r="E2357" s="19" t="inlineStr">
        <ns0:is>
          <ns0:t>Retained source-specific coding after review of the supplied extraction notes; not a new full-text retrieval. Within the BASELINE birth cohort, cord-blood proteomics/metabolomics from children later diagnosed with autism were analyzed and followed with childhood serum profiling; ML prediction models reported AUROC 0.82-0.85. The omics case numbers are small (22 future ASD cases in cord blood; 24 in follow-up), and the accessible report does not identify an independent external validation cohort or the specific ML family. Longitudinal collection supports prospective-evidence coding, not prospective clinical deployment.
Proteomics and metabolomics combined</ns0:t>
        </ns0:is>
      </ns0:c>
      <ns0:c r="F2357" s="19" t="inlineStr">
        <ns0:is>
          <ns0:t>https://doi.org/10.1038/s41380-025-03157-z</ns0:t>
        </ns0:is>
      </ns0:c>
      <ns0:c r="G2357" s="19" t="inlineStr">
        <ns0:is>
          <ns0:t>ChatGPT-assisted evidence recharting, 2026-09-08</ns0:t>
        </ns0:is>
      </ns0:c>
    </ns0:row>
    <ns0:row r="2358" ht="93" customHeight="1">
      <ns0:c r="A2358" s="21" t="inlineStr">
        <ns0:is>
          <ns0:t>new_383</ns0:t>
        </ns0:is>
      </ns0:c>
      <ns0:c r="B2358" s="21" t="inlineStr">
        <ns0:is>
          <ns0:t>prospective_evaluation</ns0:t>
        </ns0:is>
      </ns0:c>
      <ns0:c r="C2358" s="21" t="inlineStr">
        <ns0:is>
          <ns0:t>Reported</ns0:t>
        </ns0:is>
      </ns0:c>
      <ns0:c r="D2358" s="21" t="inlineStr">
        <ns0:is>
          <ns0:t>Not reported in assessed sources</ns0:t>
        </ns0:is>
      </ns0:c>
      <ns0:c r="E2358" s="21" t="inlineStr">
        <ns0:is>
          <ns0:t>Retained source-specific coding after review of the supplied extraction notes; not a new full-text retrieval. Within the BASELINE birth cohort, cord-blood proteomics/metabolomics from children later diagnosed with autism were analyzed and followed with childhood serum profiling; ML prediction models reported AUROC 0.82-0.85. The omics case numbers are small (22 future ASD cases in cord blood; 24 in follow-up), and the accessible report does not identify an independent external validation cohort or the specific ML family. Longitudinal collection supports prospective-evidence coding, not prospective clinical deployment.
Proteomics and metabolomics combined</ns0:t>
        </ns0:is>
      </ns0:c>
      <ns0:c r="F2358" s="21" t="inlineStr">
        <ns0:is>
          <ns0:t>https://doi.org/10.1038/s41380-025-03157-z</ns0:t>
        </ns0:is>
      </ns0:c>
      <ns0:c r="G2358" s="21" t="inlineStr">
        <ns0:is>
          <ns0:t>ChatGPT-assisted evidence recharting, 2026-09-08</ns0:t>
        </ns0:is>
      </ns0:c>
    </ns0:row>
    <ns0:row r="2359" ht="93" customHeight="1">
      <ns0:c r="A2359" s="19" t="inlineStr">
        <ns0:is>
          <ns0:t>new_383</ns0:t>
        </ns0:is>
      </ns0:c>
      <ns0:c r="B2359" s="19" t="inlineStr">
        <ns0:is>
          <ns0:t>integrity_status</ns0:t>
        </ns0:is>
      </ns0:c>
      <ns0:c r="C2359" s="19" t="inlineStr"/>
      <ns0:c r="D2359" s="19" t="inlineStr">
        <ns0:is>
          <ns0:t>Not recorded</ns0:t>
        </ns0:is>
      </ns0:c>
      <ns0:c r="E2359" s="19" t="inlineStr">
        <ns0:is>
          <ns0:t>Retained source-specific coding after review of the supplied extraction notes; not a new full-text retrieval. Within the BASELINE birth cohort, cord-blood proteomics/metabolomics from children later diagnosed with autism were analyzed and followed with childhood serum profiling; ML prediction models reported AUROC 0.82-0.85. The omics case numbers are small (22 future ASD cases in cord blood; 24 in follow-up), and the accessible report does not identify an independent external validation cohort or the specific ML family. Longitudinal collection supports prospective-evidence coding, not prospective clinical deployment.
Proteomics and metabolomics combined</ns0:t>
        </ns0:is>
      </ns0:c>
      <ns0:c r="F2359" s="19" t="inlineStr">
        <ns0:is>
          <ns0:t>https://doi.org/10.1038/s41380-025-03157-z</ns0:t>
        </ns0:is>
      </ns0:c>
      <ns0:c r="G2359" s="19" t="inlineStr">
        <ns0:is>
          <ns0:t>ChatGPT-assisted evidence recharting, 2026-09-08</ns0:t>
        </ns0:is>
      </ns0:c>
    </ns0:row>
    <ns0:row r="2360" ht="57" customHeight="1">
      <ns0:c r="A2360" s="21" t="inlineStr">
        <ns0:is>
          <ns0:t>new_386</ns0:t>
        </ns0:is>
      </ns0:c>
      <ns0:c r="B2360" s="21" t="inlineStr">
        <ns0:is>
          <ns0:t>rq2_role</ns0:t>
        </ns0:is>
      </ns0:c>
      <ns0:c r="C2360" s="21" t="inlineStr">
        <ns0:is>
          <ns0:t>Experimental rs-fMRI diagnostic classifier</ns0:t>
        </ns0:is>
      </ns0:c>
      <ns0:c r="D2360" s="21" t="inlineStr">
        <ns0:is>
          <ns0:t>Automated measurement/classification</ns0:t>
        </ns0:is>
      </ns0:c>
      <ns0:c r="E2360" s="21" t="inlineStr">
        <ns0:is>
          <ns0:t>Retained source-specific coding after review of the supplied extraction notes; not a new full-text retrieval. 3T-DINet combines dilated inception, ResNet components and optimization and is evaluated across five ASD rs-fMRI datasets. Use of multiple ASD datasets was coded as multisite/multidataset evidence, but the accessible report does not establish an explicit leave-site-out or independent prospective external-validation design.</ns0:t>
        </ns0:is>
      </ns0:c>
      <ns0:c r="F2360" s="21" t="inlineStr">
        <ns0:is>
          <ns0:t>https://doi.org/10.1007/s11571-024-10202-0</ns0:t>
        </ns0:is>
      </ns0:c>
      <ns0:c r="G2360" s="21" t="inlineStr">
        <ns0:is>
          <ns0:t>ChatGPT-assisted evidence recharting, 2026-09-08</ns0:t>
        </ns0:is>
      </ns0:c>
    </ns0:row>
    <ns0:row r="2361" ht="57" customHeight="1">
      <ns0:c r="A2361" s="19" t="inlineStr">
        <ns0:is>
          <ns0:t>new_386</ns0:t>
        </ns0:is>
      </ns0:c>
      <ns0:c r="B2361" s="19" t="inlineStr">
        <ns0:is>
          <ns0:t>decision_timing</ns0:t>
        </ns0:is>
      </ns0:c>
      <ns0:c r="C2361" s="19" t="inlineStr"/>
      <ns0:c r="D2361" s="19" t="inlineStr">
        <ns0:is>
          <ns0:t>Not observed in assessed sources</ns0:t>
        </ns0:is>
      </ns0:c>
      <ns0:c r="E2361" s="19" t="inlineStr">
        <ns0:is>
          <ns0:t>Retained source-specific coding after review of the supplied extraction notes; not a new full-text retrieval. 3T-DINet combines dilated inception, ResNet components and optimization and is evaluated across five ASD rs-fMRI datasets. Use of multiple ASD datasets was coded as multisite/multidataset evidence, but the accessible report does not establish an explicit leave-site-out or independent prospective external-validation design.</ns0:t>
        </ns0:is>
      </ns0:c>
      <ns0:c r="F2361" s="19" t="inlineStr">
        <ns0:is>
          <ns0:t>https://doi.org/10.1007/s11571-024-10202-0</ns0:t>
        </ns0:is>
      </ns0:c>
      <ns0:c r="G2361" s="19" t="inlineStr">
        <ns0:is>
          <ns0:t>ChatGPT-assisted evidence recharting, 2026-09-08</ns0:t>
        </ns0:is>
      </ns0:c>
    </ns0:row>
    <ns0:row r="2362" ht="57" customHeight="1">
      <ns0:c r="A2362" s="21" t="inlineStr">
        <ns0:is>
          <ns0:t>new_386</ns0:t>
        </ns0:is>
      </ns0:c>
      <ns0:c r="B2362" s="21" t="inlineStr">
        <ns0:is>
          <ns0:t>integrity_status</ns0:t>
        </ns0:is>
      </ns0:c>
      <ns0:c r="C2362" s="21" t="inlineStr"/>
      <ns0:c r="D2362" s="21" t="inlineStr">
        <ns0:is>
          <ns0:t>Not recorded</ns0:t>
        </ns0:is>
      </ns0:c>
      <ns0:c r="E2362" s="21" t="inlineStr">
        <ns0:is>
          <ns0:t>Retained source-specific coding after review of the supplied extraction notes; not a new full-text retrieval. 3T-DINet combines dilated inception, ResNet components and optimization and is evaluated across five ASD rs-fMRI datasets. Use of multiple ASD datasets was coded as multisite/multidataset evidence, but the accessible report does not establish an explicit leave-site-out or independent prospective external-validation design.</ns0:t>
        </ns0:is>
      </ns0:c>
      <ns0:c r="F2362" s="21" t="inlineStr">
        <ns0:is>
          <ns0:t>https://doi.org/10.1007/s11571-024-10202-0</ns0:t>
        </ns0:is>
      </ns0:c>
      <ns0:c r="G2362" s="21" t="inlineStr">
        <ns0:is>
          <ns0:t>ChatGPT-assisted evidence recharting, 2026-09-08</ns0:t>
        </ns0:is>
      </ns0:c>
    </ns0:row>
    <ns0:row r="2363" ht="81" customHeight="1">
      <ns0:c r="A2363" s="19" t="inlineStr">
        <ns0:is>
          <ns0:t>new_387</ns0:t>
        </ns0:is>
      </ns0:c>
      <ns0:c r="B2363" s="19" t="inlineStr">
        <ns0:is>
          <ns0:t>rq2_role</ns0:t>
        </ns0:is>
      </ns0:c>
      <ns0:c r="C2363" s="19" t="inlineStr">
        <ns0:is>
          <ns0:t>Research structural-connectome classifier; also predicts pragmatic-language phenotype</ns0:t>
        </ns0:is>
      </ns0:c>
      <ns0:c r="D2363" s="19" t="inlineStr">
        <ns0:is>
          <ns0:t>Automated measurement/classification</ns0:t>
        </ns0:is>
      </ns0:c>
      <ns0:c r="E2363" s="19" t="inlineStr">
        <ns0:is>
          <ns0:t>Retained source-specific coding after review of the supplied extraction notes; not a new full-text retrieval. In 92 preschool children with ASD and 52 TD controls, NBS-Predict identified a 42-connection structural subnetwork; an LDA classifier reported 79.4% ASD/TD accuracy and the network also showed a modest association with pragmatic-language ability. Single-center/cross-sectional evidence with no independent external validation. Diagnosis is used as the primary stage because the qualifying ASD/TD classifier is explicit; the paper also emphasizes pragmatic-language characterization.</ns0:t>
        </ns0:is>
      </ns0:c>
      <ns0:c r="F2363" s="19" t="inlineStr">
        <ns0:is>
          <ns0:t>https://doi.org/10.1007/s00787-025-02775-w</ns0:t>
        </ns0:is>
      </ns0:c>
      <ns0:c r="G2363" s="19" t="inlineStr">
        <ns0:is>
          <ns0:t>ChatGPT-assisted evidence recharting, 2026-09-08</ns0:t>
        </ns0:is>
      </ns0:c>
    </ns0:row>
    <ns0:row r="2364" ht="81" customHeight="1">
      <ns0:c r="A2364" s="21" t="inlineStr">
        <ns0:is>
          <ns0:t>new_387</ns0:t>
        </ns0:is>
      </ns0:c>
      <ns0:c r="B2364" s="21" t="inlineStr">
        <ns0:is>
          <ns0:t>decision_timing</ns0:t>
        </ns0:is>
      </ns0:c>
      <ns0:c r="C2364" s="21" t="inlineStr"/>
      <ns0:c r="D2364" s="21" t="inlineStr">
        <ns0:is>
          <ns0:t>Not observed in assessed sources</ns0:t>
        </ns0:is>
      </ns0:c>
      <ns0:c r="E2364" s="21" t="inlineStr">
        <ns0:is>
          <ns0:t>Retained source-specific coding after review of the supplied extraction notes; not a new full-text retrieval. In 92 preschool children with ASD and 52 TD controls, NBS-Predict identified a 42-connection structural subnetwork; an LDA classifier reported 79.4% ASD/TD accuracy and the network also showed a modest association with pragmatic-language ability. Single-center/cross-sectional evidence with no independent external validation. Diagnosis is used as the primary stage because the qualifying ASD/TD classifier is explicit; the paper also emphasizes pragmatic-language characterization.</ns0:t>
        </ns0:is>
      </ns0:c>
      <ns0:c r="F2364" s="21" t="inlineStr">
        <ns0:is>
          <ns0:t>https://doi.org/10.1007/s00787-025-02775-w</ns0:t>
        </ns0:is>
      </ns0:c>
      <ns0:c r="G2364" s="21" t="inlineStr">
        <ns0:is>
          <ns0:t>ChatGPT-assisted evidence recharting, 2026-09-08</ns0:t>
        </ns0:is>
      </ns0:c>
    </ns0:row>
    <ns0:row r="2365" ht="81" customHeight="1">
      <ns0:c r="A2365" s="19" t="inlineStr">
        <ns0:is>
          <ns0:t>new_387</ns0:t>
        </ns0:is>
      </ns0:c>
      <ns0:c r="B2365" s="19" t="inlineStr">
        <ns0:is>
          <ns0:t>integrity_status</ns0:t>
        </ns0:is>
      </ns0:c>
      <ns0:c r="C2365" s="19" t="inlineStr"/>
      <ns0:c r="D2365" s="19" t="inlineStr">
        <ns0:is>
          <ns0:t>Not recorded</ns0:t>
        </ns0:is>
      </ns0:c>
      <ns0:c r="E2365" s="19" t="inlineStr">
        <ns0:is>
          <ns0:t>Retained source-specific coding after review of the supplied extraction notes; not a new full-text retrieval. In 92 preschool children with ASD and 52 TD controls, NBS-Predict identified a 42-connection structural subnetwork; an LDA classifier reported 79.4% ASD/TD accuracy and the network also showed a modest association with pragmatic-language ability. Single-center/cross-sectional evidence with no independent external validation. Diagnosis is used as the primary stage because the qualifying ASD/TD classifier is explicit; the paper also emphasizes pragmatic-language characterization.</ns0:t>
        </ns0:is>
      </ns0:c>
      <ns0:c r="F2365" s="19" t="inlineStr">
        <ns0:is>
          <ns0:t>https://doi.org/10.1007/s00787-025-02775-w</ns0:t>
        </ns0:is>
      </ns0:c>
      <ns0:c r="G2365" s="19" t="inlineStr">
        <ns0:is>
          <ns0:t>ChatGPT-assisted evidence recharting, 2026-09-08</ns0:t>
        </ns0:is>
      </ns0:c>
    </ns0:row>
    <ns0:row r="2366" ht="69" customHeight="1">
      <ns0:c r="A2366" s="21" t="inlineStr">
        <ns0:is>
          <ns0:t>new_391</ns0:t>
        </ns0:is>
      </ns0:c>
      <ns0:c r="B2366" s="21" t="inlineStr">
        <ns0:is>
          <ns0:t>rq2_role</ns0:t>
        </ns0:is>
      </ns0:c>
      <ns0:c r="C2366" s="21" t="inlineStr">
        <ns0:is>
          <ns0:t>Research blood-biomarker diagnostic model</ns0:t>
        </ns0:is>
      </ns0:c>
      <ns0:c r="D2366" s="21" t="inlineStr">
        <ns0:is>
          <ns0:t>Automated measurement/classification</ns0:t>
        </ns0:is>
      </ns0:c>
      <ns0:c r="E2366" s="21" t="inlineStr">
        <ns0:is>
          <ns0:t>Retained source-specific coding after review of the supplied extraction notes; not a new full-text retrieval. Six ML algorithms and WGCNA were used to derive a six-gene diagnostic panel; KNN performed best, with external human blood GSE42133 AUC 0.722 and local-sample AUC 0.781. External human validation is present but discrimination is moderate; mouse prefrontal-cortex validation is not counted as clinical external validation, and real-world replication remains needed.</ns0:t>
        </ns0:is>
      </ns0:c>
      <ns0:c r="F2366" s="21" t="inlineStr">
        <ns0:is>
          <ns0:t>https://doi.org/10.1007/s10495-025-02201-1</ns0:t>
        </ns0:is>
      </ns0:c>
      <ns0:c r="G2366" s="21" t="inlineStr">
        <ns0:is>
          <ns0:t>ChatGPT-assisted evidence recharting, 2026-09-08</ns0:t>
        </ns0:is>
      </ns0:c>
    </ns0:row>
    <ns0:row r="2367" ht="69" customHeight="1">
      <ns0:c r="A2367" s="19" t="inlineStr">
        <ns0:is>
          <ns0:t>new_391</ns0:t>
        </ns0:is>
      </ns0:c>
      <ns0:c r="B2367" s="19" t="inlineStr">
        <ns0:is>
          <ns0:t>decision_timing</ns0:t>
        </ns0:is>
      </ns0:c>
      <ns0:c r="C2367" s="19" t="inlineStr"/>
      <ns0:c r="D2367" s="19" t="inlineStr">
        <ns0:is>
          <ns0:t>Not observed in assessed sources</ns0:t>
        </ns0:is>
      </ns0:c>
      <ns0:c r="E2367" s="19" t="inlineStr">
        <ns0:is>
          <ns0:t>Retained source-specific coding after review of the supplied extraction notes; not a new full-text retrieval. Six ML algorithms and WGCNA were used to derive a six-gene diagnostic panel; KNN performed best, with external human blood GSE42133 AUC 0.722 and local-sample AUC 0.781. External human validation is present but discrimination is moderate; mouse prefrontal-cortex validation is not counted as clinical external validation, and real-world replication remains needed.</ns0:t>
        </ns0:is>
      </ns0:c>
      <ns0:c r="F2367" s="19" t="inlineStr">
        <ns0:is>
          <ns0:t>https://doi.org/10.1007/s10495-025-02201-1</ns0:t>
        </ns0:is>
      </ns0:c>
      <ns0:c r="G2367" s="19" t="inlineStr">
        <ns0:is>
          <ns0:t>ChatGPT-assisted evidence recharting, 2026-09-08</ns0:t>
        </ns0:is>
      </ns0:c>
    </ns0:row>
    <ns0:row r="2368" ht="69" customHeight="1">
      <ns0:c r="A2368" s="21" t="inlineStr">
        <ns0:is>
          <ns0:t>new_391</ns0:t>
        </ns0:is>
      </ns0:c>
      <ns0:c r="B2368" s="21" t="inlineStr">
        <ns0:is>
          <ns0:t>integrity_status</ns0:t>
        </ns0:is>
      </ns0:c>
      <ns0:c r="C2368" s="21" t="inlineStr"/>
      <ns0:c r="D2368" s="21" t="inlineStr">
        <ns0:is>
          <ns0:t>Not recorded</ns0:t>
        </ns0:is>
      </ns0:c>
      <ns0:c r="E2368" s="21" t="inlineStr">
        <ns0:is>
          <ns0:t>Retained source-specific coding after review of the supplied extraction notes; not a new full-text retrieval. Six ML algorithms and WGCNA were used to derive a six-gene diagnostic panel; KNN performed best, with external human blood GSE42133 AUC 0.722 and local-sample AUC 0.781. External human validation is present but discrimination is moderate; mouse prefrontal-cortex validation is not counted as clinical external validation, and real-world replication remains needed.</ns0:t>
        </ns0:is>
      </ns0:c>
      <ns0:c r="F2368" s="21" t="inlineStr">
        <ns0:is>
          <ns0:t>https://doi.org/10.1007/s10495-025-02201-1</ns0:t>
        </ns0:is>
      </ns0:c>
      <ns0:c r="G2368" s="21" t="inlineStr">
        <ns0:is>
          <ns0:t>ChatGPT-assisted evidence recharting, 2026-09-08</ns0:t>
        </ns0:is>
      </ns0:c>
    </ns0:row>
    <ns0:row r="2369" ht="69" customHeight="1">
      <ns0:c r="A2369" s="19" t="inlineStr">
        <ns0:is>
          <ns0:t>new_393</ns0:t>
        </ns0:is>
      </ns0:c>
      <ns0:c r="B2369" s="19" t="inlineStr">
        <ns0:is>
          <ns0:t>data_source_primary</ns0:t>
        </ns0:is>
      </ns0:c>
      <ns0:c r="C2369" s="19" t="inlineStr">
        <ns0:is>
          <ns0:t>Structured / tabular data</ns0:t>
        </ns0:is>
      </ns0:c>
      <ns0:c r="D2369" s="19" t="inlineStr">
        <ns0:is>
          <ns0:t>Structured clinical/questionnaire data</ns0:t>
        </ns0:is>
      </ns0:c>
      <ns0:c r="E2369" s="19" t="inlineStr">
        <ns0:is>
          <ns0:t>Retained source-specific coding after review of the supplied extraction notes; not a new full-text retrieval. The study compares LR, DT, RF, SVM, KNN, CNN and XGBoost on structured toddler/child/adult ASD screening data; XGBoost is reported as best and explanations are generated with LIME and SHAP. Very high reported performance is based on benchmark/combined structured screening data; no independent external cohort, site-held-out analysis or prospective clinical deployment was established in the accessible full text.</ns0:t>
        </ns0:is>
      </ns0:c>
      <ns0:c r="F2369" s="19" t="inlineStr">
        <ns0:is>
          <ns0:t>https://doi.org/10.1007/s42454-025-00087-7</ns0:t>
        </ns0:is>
      </ns0:c>
      <ns0:c r="G2369" s="19" t="inlineStr">
        <ns0:is>
          <ns0:t>ChatGPT-assisted evidence recharting, 2026-09-08</ns0:t>
        </ns0:is>
      </ns0:c>
    </ns0:row>
    <ns0:row r="2370" ht="69" customHeight="1">
      <ns0:c r="A2370" s="21" t="inlineStr">
        <ns0:is>
          <ns0:t>new_393</ns0:t>
        </ns0:is>
      </ns0:c>
      <ns0:c r="B2370" s="21" t="inlineStr">
        <ns0:is>
          <ns0:t>rq2_role</ns0:t>
        </ns0:is>
      </ns0:c>
      <ns0:c r="C2370" s="21" t="inlineStr">
        <ns0:is>
          <ns0:t>Proposed explainable structured-data screening classifier</ns0:t>
        </ns0:is>
      </ns0:c>
      <ns0:c r="D2370" s="21" t="inlineStr">
        <ns0:is>
          <ns0:t>Triage/questionnaire assessment</ns0:t>
        </ns0:is>
      </ns0:c>
      <ns0:c r="E2370" s="21" t="inlineStr">
        <ns0:is>
          <ns0:t>Retained source-specific coding after review of the supplied extraction notes; not a new full-text retrieval. The study compares LR, DT, RF, SVM, KNN, CNN and XGBoost on structured toddler/child/adult ASD screening data; XGBoost is reported as best and explanations are generated with LIME and SHAP. Very high reported performance is based on benchmark/combined structured screening data; no independent external cohort, site-held-out analysis or prospective clinical deployment was established in the accessible full text.</ns0:t>
        </ns0:is>
      </ns0:c>
      <ns0:c r="F2370" s="21" t="inlineStr">
        <ns0:is>
          <ns0:t>https://doi.org/10.1007/s42454-025-00087-7</ns0:t>
        </ns0:is>
      </ns0:c>
      <ns0:c r="G2370" s="21" t="inlineStr">
        <ns0:is>
          <ns0:t>ChatGPT-assisted evidence recharting, 2026-09-08</ns0:t>
        </ns0:is>
      </ns0:c>
    </ns0:row>
    <ns0:row r="2371" ht="69" customHeight="1">
      <ns0:c r="A2371" s="19" t="inlineStr">
        <ns0:is>
          <ns0:t>new_393</ns0:t>
        </ns0:is>
      </ns0:c>
      <ns0:c r="B2371" s="19" t="inlineStr">
        <ns0:is>
          <ns0:t>decision_timing</ns0:t>
        </ns0:is>
      </ns0:c>
      <ns0:c r="C2371" s="19" t="inlineStr"/>
      <ns0:c r="D2371" s="19" t="inlineStr">
        <ns0:is>
          <ns0:t>Pre-decision</ns0:t>
        </ns0:is>
      </ns0:c>
      <ns0:c r="E2371" s="19" t="inlineStr">
        <ns0:is>
          <ns0:t>Retained source-specific coding after review of the supplied extraction notes; not a new full-text retrieval. The study compares LR, DT, RF, SVM, KNN, CNN and XGBoost on structured toddler/child/adult ASD screening data; XGBoost is reported as best and explanations are generated with LIME and SHAP. Very high reported performance is based on benchmark/combined structured screening data; no independent external cohort, site-held-out analysis or prospective clinical deployment was established in the accessible full text.</ns0:t>
        </ns0:is>
      </ns0:c>
      <ns0:c r="F2371" s="19" t="inlineStr">
        <ns0:is>
          <ns0:t>https://doi.org/10.1007/s42454-025-00087-7</ns0:t>
        </ns0:is>
      </ns0:c>
      <ns0:c r="G2371" s="19" t="inlineStr">
        <ns0:is>
          <ns0:t>ChatGPT-assisted evidence recharting, 2026-09-08</ns0:t>
        </ns0:is>
      </ns0:c>
    </ns0:row>
    <ns0:row r="2372" ht="69" customHeight="1">
      <ns0:c r="A2372" s="21" t="inlineStr">
        <ns0:is>
          <ns0:t>new_393</ns0:t>
        </ns0:is>
      </ns0:c>
      <ns0:c r="B2372" s="21" t="inlineStr">
        <ns0:is>
          <ns0:t>integrity_status</ns0:t>
        </ns0:is>
      </ns0:c>
      <ns0:c r="C2372" s="21" t="inlineStr"/>
      <ns0:c r="D2372" s="21" t="inlineStr">
        <ns0:is>
          <ns0:t>Not recorded</ns0:t>
        </ns0:is>
      </ns0:c>
      <ns0:c r="E2372" s="21" t="inlineStr">
        <ns0:is>
          <ns0:t>Retained source-specific coding after review of the supplied extraction notes; not a new full-text retrieval. The study compares LR, DT, RF, SVM, KNN, CNN and XGBoost on structured toddler/child/adult ASD screening data; XGBoost is reported as best and explanations are generated with LIME and SHAP. Very high reported performance is based on benchmark/combined structured screening data; no independent external cohort, site-held-out analysis or prospective clinical deployment was established in the accessible full text.</ns0:t>
        </ns0:is>
      </ns0:c>
      <ns0:c r="F2372" s="21" t="inlineStr">
        <ns0:is>
          <ns0:t>https://doi.org/10.1007/s42454-025-00087-7</ns0:t>
        </ns0:is>
      </ns0:c>
      <ns0:c r="G2372" s="21" t="inlineStr">
        <ns0:is>
          <ns0:t>ChatGPT-assisted evidence recharting, 2026-09-08</ns0:t>
        </ns0:is>
      </ns0:c>
    </ns0:row>
    <ns0:row r="2373" ht="69" customHeight="1">
      <ns0:c r="A2373" s="19" t="inlineStr">
        <ns0:is>
          <ns0:t>new_398</ns0:t>
        </ns0:is>
      </ns0:c>
      <ns0:c r="B2373" s="19" t="inlineStr">
        <ns0:is>
          <ns0:t>rq2_role</ns0:t>
        </ns0:is>
      </ns0:c>
      <ns0:c r="C2373" s="19" t="inlineStr">
        <ns0:is>
          <ns0:t>Retrospective ABIDE rs-fMRI diagnostic classifier</ns0:t>
        </ns0:is>
      </ns0:c>
      <ns0:c r="D2373" s="19" t="inlineStr">
        <ns0:is>
          <ns0:t>Automated measurement/classification</ns0:t>
        </ns0:is>
      </ns0:c>
      <ns0:c r="E2373" s="19" t="inlineStr">
        <ns0:is>
          <ns0:t>Retained source-specific coding after review of the supplied extraction notes; not a new full-text retrieval. 3D SD maps from ABIDE-I/II rs-fMRI were converted to 110 features and evaluated with LR, ridge, gradient boosting and XGBoost using 5-fold nested CV; LR achieved mean accuracy 70.71%. Nested cross-validation is methodologically stronger than a simple split but does not establish an independent/site-held-out external validation. Feature-contribution analysis was coded as partial interpretability, not strict XAI.</ns0:t>
        </ns0:is>
      </ns0:c>
      <ns0:c r="F2373" s="19" t="inlineStr">
        <ns0:is>
          <ns0:t>https://doi.org/10.1007/s40846-026-01044-8</ns0:t>
        </ns0:is>
      </ns0:c>
      <ns0:c r="G2373" s="19" t="inlineStr">
        <ns0:is>
          <ns0:t>ChatGPT-assisted evidence recharting, 2026-09-08</ns0:t>
        </ns0:is>
      </ns0:c>
    </ns0:row>
    <ns0:row r="2374" ht="69" customHeight="1">
      <ns0:c r="A2374" s="21" t="inlineStr">
        <ns0:is>
          <ns0:t>new_398</ns0:t>
        </ns0:is>
      </ns0:c>
      <ns0:c r="B2374" s="21" t="inlineStr">
        <ns0:is>
          <ns0:t>decision_timing</ns0:t>
        </ns0:is>
      </ns0:c>
      <ns0:c r="C2374" s="21" t="inlineStr"/>
      <ns0:c r="D2374" s="21" t="inlineStr">
        <ns0:is>
          <ns0:t>Not observed in assessed sources</ns0:t>
        </ns0:is>
      </ns0:c>
      <ns0:c r="E2374" s="21" t="inlineStr">
        <ns0:is>
          <ns0:t>Retained source-specific coding after review of the supplied extraction notes; not a new full-text retrieval. 3D SD maps from ABIDE-I/II rs-fMRI were converted to 110 features and evaluated with LR, ridge, gradient boosting and XGBoost using 5-fold nested CV; LR achieved mean accuracy 70.71%. Nested cross-validation is methodologically stronger than a simple split but does not establish an independent/site-held-out external validation. Feature-contribution analysis was coded as partial interpretability, not strict XAI.</ns0:t>
        </ns0:is>
      </ns0:c>
      <ns0:c r="F2374" s="21" t="inlineStr">
        <ns0:is>
          <ns0:t>https://doi.org/10.1007/s40846-026-01044-8</ns0:t>
        </ns0:is>
      </ns0:c>
      <ns0:c r="G2374" s="21" t="inlineStr">
        <ns0:is>
          <ns0:t>ChatGPT-assisted evidence recharting, 2026-09-08</ns0:t>
        </ns0:is>
      </ns0:c>
    </ns0:row>
    <ns0:row r="2375" ht="69" customHeight="1">
      <ns0:c r="A2375" s="19" t="inlineStr">
        <ns0:is>
          <ns0:t>new_398</ns0:t>
        </ns0:is>
      </ns0:c>
      <ns0:c r="B2375" s="19" t="inlineStr">
        <ns0:is>
          <ns0:t>integrity_status</ns0:t>
        </ns0:is>
      </ns0:c>
      <ns0:c r="C2375" s="19" t="inlineStr"/>
      <ns0:c r="D2375" s="19" t="inlineStr">
        <ns0:is>
          <ns0:t>Not recorded</ns0:t>
        </ns0:is>
      </ns0:c>
      <ns0:c r="E2375" s="19" t="inlineStr">
        <ns0:is>
          <ns0:t>Retained source-specific coding after review of the supplied extraction notes; not a new full-text retrieval. 3D SD maps from ABIDE-I/II rs-fMRI were converted to 110 features and evaluated with LR, ridge, gradient boosting and XGBoost using 5-fold nested CV; LR achieved mean accuracy 70.71%. Nested cross-validation is methodologically stronger than a simple split but does not establish an independent/site-held-out external validation. Feature-contribution analysis was coded as partial interpretability, not strict XAI.</ns0:t>
        </ns0:is>
      </ns0:c>
      <ns0:c r="F2375" s="19" t="inlineStr">
        <ns0:is>
          <ns0:t>https://doi.org/10.1007/s40846-026-01044-8</ns0:t>
        </ns0:is>
      </ns0:c>
      <ns0:c r="G2375" s="19" t="inlineStr">
        <ns0:is>
          <ns0:t>ChatGPT-assisted evidence recharting, 2026-09-08</ns0:t>
        </ns0:is>
      </ns0:c>
    </ns0:row>
    <ns0:row r="2376" ht="42" customHeight="1">
      <ns0:c r="A2376" s="21" t="inlineStr">
        <ns0:is>
          <ns0:t>new_5</ns0:t>
        </ns0:is>
      </ns0:c>
      <ns0:c r="B2376" s="21" t="inlineStr">
        <ns0:is>
          <ns0:t>data_source_primary</ns0:t>
        </ns0:is>
      </ns0:c>
      <ns0:c r="C2376" s="21" t="inlineStr">
        <ns0:is>
          <ns0:t>Structured / tabular data</ns0:t>
        </ns0:is>
      </ns0:c>
      <ns0:c r="D2376" s="21" t="inlineStr">
        <ns0:is>
          <ns0:t>Structured clinical/questionnaire data</ns0:t>
        </ns0:is>
      </ns0:c>
      <ns0:c r="E2376" s="21" t="inlineStr">
        <ns0:is>
          <ns0:t>Child/toddler public datasets are not necessarily distinct clinical sites; geographic multisite provenance is not established.</ns0:t>
        </ns0:is>
      </ns0:c>
      <ns0:c r="F2376" s="21" t="inlineStr">
        <ns0:is>
          <ns0:t>https://doi.org/10.1016/j.health.2024.100379</ns0:t>
        </ns0:is>
      </ns0:c>
      <ns0:c r="G2376" s="21" t="inlineStr">
        <ns0:is>
          <ns0:t>ChatGPT-assisted evidence recharting, 2026-09-08</ns0:t>
        </ns0:is>
      </ns0:c>
    </ns0:row>
    <ns0:row r="2377" ht="42" customHeight="1">
      <ns0:c r="A2377" s="19" t="inlineStr">
        <ns0:is>
          <ns0:t>new_5</ns0:t>
        </ns0:is>
      </ns0:c>
      <ns0:c r="B2377" s="19" t="inlineStr">
        <ns0:is>
          <ns0:t>rq2_role</ns0:t>
        </ns0:is>
      </ns0:c>
      <ns0:c r="C2377" s="19" t="inlineStr">
        <ns0:is>
          <ns0:t>Proposed early-screening classifier evaluated across public/real-world child datasets</ns0:t>
        </ns0:is>
      </ns0:c>
      <ns0:c r="D2377" s="19" t="inlineStr">
        <ns0:is>
          <ns0:t>Triage/questionnaire assessment</ns0:t>
        </ns0:is>
      </ns0:c>
      <ns0:c r="E2377" s="19" t="inlineStr">
        <ns0:is>
          <ns0:t>Child/toddler public datasets are not necessarily distinct clinical sites; geographic multisite provenance is not established.</ns0:t>
        </ns0:is>
      </ns0:c>
      <ns0:c r="F2377" s="19" t="inlineStr">
        <ns0:is>
          <ns0:t>https://doi.org/10.1016/j.health.2024.100379</ns0:t>
        </ns0:is>
      </ns0:c>
      <ns0:c r="G2377" s="19" t="inlineStr">
        <ns0:is>
          <ns0:t>ChatGPT-assisted evidence recharting, 2026-09-08</ns0:t>
        </ns0:is>
      </ns0:c>
    </ns0:row>
    <ns0:row r="2378" ht="42" customHeight="1">
      <ns0:c r="A2378" s="21" t="inlineStr">
        <ns0:is>
          <ns0:t>new_5</ns0:t>
        </ns0:is>
      </ns0:c>
      <ns0:c r="B2378" s="21" t="inlineStr">
        <ns0:is>
          <ns0:t>decision_timing</ns0:t>
        </ns0:is>
      </ns0:c>
      <ns0:c r="C2378" s="21" t="inlineStr"/>
      <ns0:c r="D2378" s="21" t="inlineStr">
        <ns0:is>
          <ns0:t>Pre-decision</ns0:t>
        </ns0:is>
      </ns0:c>
      <ns0:c r="E2378" s="21" t="inlineStr">
        <ns0:is>
          <ns0:t>Child/toddler public datasets are not necessarily distinct clinical sites; geographic multisite provenance is not established.</ns0:t>
        </ns0:is>
      </ns0:c>
      <ns0:c r="F2378" s="21" t="inlineStr">
        <ns0:is>
          <ns0:t>https://doi.org/10.1016/j.health.2024.100379</ns0:t>
        </ns0:is>
      </ns0:c>
      <ns0:c r="G2378" s="21" t="inlineStr">
        <ns0:is>
          <ns0:t>ChatGPT-assisted evidence recharting, 2026-09-08</ns0:t>
        </ns0:is>
      </ns0:c>
    </ns0:row>
    <ns0:row r="2379" ht="42" customHeight="1">
      <ns0:c r="A2379" s="19" t="inlineStr">
        <ns0:is>
          <ns0:t>new_5</ns0:t>
        </ns0:is>
      </ns0:c>
      <ns0:c r="B2379" s="19" t="inlineStr">
        <ns0:is>
          <ns0:t>multisite_dataset</ns0:t>
        </ns0:is>
      </ns0:c>
      <ns0:c r="C2379" s="19" t="inlineStr">
        <ns0:is>
          <ns0:t>Reported</ns0:t>
        </ns0:is>
      </ns0:c>
      <ns0:c r="D2379" s="19" t="inlineStr">
        <ns0:is>
          <ns0:t>Not ascertainable</ns0:t>
        </ns0:is>
      </ns0:c>
      <ns0:c r="E2379" s="19" t="inlineStr">
        <ns0:is>
          <ns0:t>Child/toddler public datasets are not necessarily distinct clinical sites; geographic multisite provenance is not established.</ns0:t>
        </ns0:is>
      </ns0:c>
      <ns0:c r="F2379" s="19" t="inlineStr">
        <ns0:is>
          <ns0:t>https://doi.org/10.1016/j.health.2024.100379</ns0:t>
        </ns0:is>
      </ns0:c>
      <ns0:c r="G2379" s="19" t="inlineStr">
        <ns0:is>
          <ns0:t>ChatGPT-assisted evidence recharting, 2026-09-08</ns0:t>
        </ns0:is>
      </ns0:c>
    </ns0:row>
    <ns0:row r="2380" ht="42" customHeight="1">
      <ns0:c r="A2380" s="21" t="inlineStr">
        <ns0:is>
          <ns0:t>new_5</ns0:t>
        </ns0:is>
      </ns0:c>
      <ns0:c r="B2380" s="21" t="inlineStr">
        <ns0:is>
          <ns0:t>integrity_status</ns0:t>
        </ns0:is>
      </ns0:c>
      <ns0:c r="C2380" s="21" t="inlineStr"/>
      <ns0:c r="D2380" s="21" t="inlineStr">
        <ns0:is>
          <ns0:t>Not recorded</ns0:t>
        </ns0:is>
      </ns0:c>
      <ns0:c r="E2380" s="21" t="inlineStr">
        <ns0:is>
          <ns0:t>Child/toddler public datasets are not necessarily distinct clinical sites; geographic multisite provenance is not established.</ns0:t>
        </ns0:is>
      </ns0:c>
      <ns0:c r="F2380" s="21" t="inlineStr">
        <ns0:is>
          <ns0:t>https://doi.org/10.1016/j.health.2024.100379</ns0:t>
        </ns0:is>
      </ns0:c>
      <ns0:c r="G2380" s="21" t="inlineStr">
        <ns0:is>
          <ns0:t>ChatGPT-assisted evidence recharting, 2026-09-08</ns0:t>
        </ns0:is>
      </ns0:c>
    </ns0:row>
    <ns0:row r="2381" ht="81" customHeight="1">
      <ns0:c r="A2381" s="19" t="inlineStr">
        <ns0:is>
          <ns0:t>new_11</ns0:t>
        </ns0:is>
      </ns0:c>
      <ns0:c r="B2381" s="19" t="inlineStr">
        <ns0:is>
          <ns0:t>ai_type</ns0:t>
        </ns0:is>
      </ns0:c>
      <ns0:c r="C2381" s="19" t="inlineStr">
        <ns0:is>
          <ns0:t>Hybrid</ns0:t>
        </ns0:is>
      </ns0:c>
      <ns0:c r="D2381" s="19" t="inlineStr">
        <ns0:is>
          <ns0:t>Not specified</ns0:t>
        </ns0:is>
      </ns0:c>
      <ns0:c r="E2381" s="19" t="inlineStr">
        <ns0:is>
          <ns0:t>Retained source-specific coding after review of the supplied extraction notes; not a new full-text retrieval. Ensembler_fMRI combines multiple AI techniques on fMRI data from ABIDE and ADHD-200 to distinguish ASD from ADHD; the abstract reports 98% accuracy. Use of multisite/multidataset repositories does not itself demonstrate held-out cross-site robustness or external validation; component model details are incomplete in the accessible abstract.
Do not infer mixed ML/DL from ensemble terminology.</ns0:t>
        </ns0:is>
      </ns0:c>
      <ns0:c r="F2381" s="19" t="inlineStr">
        <ns0:is>
          <ns0:t>https://doi.org/10.1016/j.procs.2025.04.142</ns0:t>
        </ns0:is>
      </ns0:c>
      <ns0:c r="G2381" s="19" t="inlineStr">
        <ns0:is>
          <ns0:t>ChatGPT-assisted evidence recharting, 2026-09-08</ns0:t>
        </ns0:is>
      </ns0:c>
    </ns0:row>
    <ns0:row r="2382" ht="81" customHeight="1">
      <ns0:c r="A2382" s="21" t="inlineStr">
        <ns0:is>
          <ns0:t>new_11</ns0:t>
        </ns0:is>
      </ns0:c>
      <ns0:c r="B2382" s="21" t="inlineStr">
        <ns0:is>
          <ns0:t>algorithm_main</ns0:t>
        </ns0:is>
      </ns0:c>
      <ns0:c r="C2382" s="21" t="inlineStr">
        <ns0:is>
          <ns0:t>Ensembler_fMRI ensemble of multiple AI techniques (specific component families not fully specified in accessible source)</ns0:t>
        </ns0:is>
      </ns0:c>
      <ns0:c r="D2382" s="21" t="inlineStr">
        <ns0:is>
          <ns0:t>Ensemble; component families not specified</ns0:t>
        </ns0:is>
      </ns0:c>
      <ns0:c r="E2382" s="21" t="inlineStr">
        <ns0:is>
          <ns0:t>Retained source-specific coding after review of the supplied extraction notes; not a new full-text retrieval. Ensembler_fMRI combines multiple AI techniques on fMRI data from ABIDE and ADHD-200 to distinguish ASD from ADHD; the abstract reports 98% accuracy. Use of multisite/multidataset repositories does not itself demonstrate held-out cross-site robustness or external validation; component model details are incomplete in the accessible abstract.
Do not infer mixed ML/DL from ensemble terminology.</ns0:t>
        </ns0:is>
      </ns0:c>
      <ns0:c r="F2382" s="21" t="inlineStr">
        <ns0:is>
          <ns0:t>https://doi.org/10.1016/j.procs.2025.04.142</ns0:t>
        </ns0:is>
      </ns0:c>
      <ns0:c r="G2382" s="21" t="inlineStr">
        <ns0:is>
          <ns0:t>ChatGPT-assisted evidence recharting, 2026-09-08</ns0:t>
        </ns0:is>
      </ns0:c>
    </ns0:row>
    <ns0:row r="2383" ht="81" customHeight="1">
      <ns0:c r="A2383" s="19" t="inlineStr">
        <ns0:is>
          <ns0:t>new_11</ns0:t>
        </ns0:is>
      </ns0:c>
      <ns0:c r="B2383" s="19" t="inlineStr">
        <ns0:is>
          <ns0:t>rq2_role</ns0:t>
        </ns0:is>
      </ns0:c>
      <ns0:c r="C2383" s="19" t="inlineStr">
        <ns0:is>
          <ns0:t>Experimental differential neuroimaging classifier; no demonstrated clinical deployment</ns0:t>
        </ns0:is>
      </ns0:c>
      <ns0:c r="D2383" s="19" t="inlineStr">
        <ns0:is>
          <ns0:t>Automated measurement/classification</ns0:t>
        </ns0:is>
      </ns0:c>
      <ns0:c r="E2383" s="19" t="inlineStr">
        <ns0:is>
          <ns0:t>Retained source-specific coding after review of the supplied extraction notes; not a new full-text retrieval. Ensembler_fMRI combines multiple AI techniques on fMRI data from ABIDE and ADHD-200 to distinguish ASD from ADHD; the abstract reports 98% accuracy. Use of multisite/multidataset repositories does not itself demonstrate held-out cross-site robustness or external validation; component model details are incomplete in the accessible abstract.
Do not infer mixed ML/DL from ensemble terminology.</ns0:t>
        </ns0:is>
      </ns0:c>
      <ns0:c r="F2383" s="19" t="inlineStr">
        <ns0:is>
          <ns0:t>https://doi.org/10.1016/j.procs.2025.04.142</ns0:t>
        </ns0:is>
      </ns0:c>
      <ns0:c r="G2383" s="19" t="inlineStr">
        <ns0:is>
          <ns0:t>ChatGPT-assisted evidence recharting, 2026-09-08</ns0:t>
        </ns0:is>
      </ns0:c>
    </ns0:row>
    <ns0:row r="2384" ht="81" customHeight="1">
      <ns0:c r="A2384" s="21" t="inlineStr">
        <ns0:is>
          <ns0:t>new_11</ns0:t>
        </ns0:is>
      </ns0:c>
      <ns0:c r="B2384" s="21" t="inlineStr">
        <ns0:is>
          <ns0:t>decision_timing</ns0:t>
        </ns0:is>
      </ns0:c>
      <ns0:c r="C2384" s="21" t="inlineStr"/>
      <ns0:c r="D2384" s="21" t="inlineStr">
        <ns0:is>
          <ns0:t>Not observed in assessed sources</ns0:t>
        </ns0:is>
      </ns0:c>
      <ns0:c r="E2384" s="21" t="inlineStr">
        <ns0:is>
          <ns0:t>Retained source-specific coding after review of the supplied extraction notes; not a new full-text retrieval. Ensembler_fMRI combines multiple AI techniques on fMRI data from ABIDE and ADHD-200 to distinguish ASD from ADHD; the abstract reports 98% accuracy. Use of multisite/multidataset repositories does not itself demonstrate held-out cross-site robustness or external validation; component model details are incomplete in the accessible abstract.
Do not infer mixed ML/DL from ensemble terminology.</ns0:t>
        </ns0:is>
      </ns0:c>
      <ns0:c r="F2384" s="21" t="inlineStr">
        <ns0:is>
          <ns0:t>https://doi.org/10.1016/j.procs.2025.04.142</ns0:t>
        </ns0:is>
      </ns0:c>
      <ns0:c r="G2384" s="21" t="inlineStr">
        <ns0:is>
          <ns0:t>ChatGPT-assisted evidence recharting, 2026-09-08</ns0:t>
        </ns0:is>
      </ns0:c>
    </ns0:row>
    <ns0:row r="2385" ht="81" customHeight="1">
      <ns0:c r="A2385" s="19" t="inlineStr">
        <ns0:is>
          <ns0:t>new_11</ns0:t>
        </ns0:is>
      </ns0:c>
      <ns0:c r="B2385" s="19" t="inlineStr">
        <ns0:is>
          <ns0:t>integrity_status</ns0:t>
        </ns0:is>
      </ns0:c>
      <ns0:c r="C2385" s="19" t="inlineStr"/>
      <ns0:c r="D2385" s="19" t="inlineStr">
        <ns0:is>
          <ns0:t>Not recorded</ns0:t>
        </ns0:is>
      </ns0:c>
      <ns0:c r="E2385" s="19" t="inlineStr">
        <ns0:is>
          <ns0:t>Retained source-specific coding after review of the supplied extraction notes; not a new full-text retrieval. Ensembler_fMRI combines multiple AI techniques on fMRI data from ABIDE and ADHD-200 to distinguish ASD from ADHD; the abstract reports 98% accuracy. Use of multisite/multidataset repositories does not itself demonstrate held-out cross-site robustness or external validation; component model details are incomplete in the accessible abstract.
Do not infer mixed ML/DL from ensemble terminology.</ns0:t>
        </ns0:is>
      </ns0:c>
      <ns0:c r="F2385" s="19" t="inlineStr">
        <ns0:is>
          <ns0:t>https://doi.org/10.1016/j.procs.2025.04.142</ns0:t>
        </ns0:is>
      </ns0:c>
      <ns0:c r="G2385" s="19" t="inlineStr">
        <ns0:is>
          <ns0:t>ChatGPT-assisted evidence recharting, 2026-09-08</ns0:t>
        </ns0:is>
      </ns0:c>
    </ns0:row>
    <ns0:row r="2386" ht="69" customHeight="1">
      <ns0:c r="A2386" s="21" t="inlineStr">
        <ns0:is>
          <ns0:t>new_16</ns0:t>
        </ns0:is>
      </ns0:c>
      <ns0:c r="B2386" s="21" t="inlineStr">
        <ns0:is>
          <ns0:t>rq2_role</ns0:t>
        </ns0:is>
      </ns0:c>
      <ns0:c r="C2386" s="21" t="inlineStr">
        <ns0:is>
          <ns0:t>Research biomarker/pathogenesis model; no deployed clinical diagnostic workflow</ns0:t>
        </ns0:is>
      </ns0:c>
      <ns0:c r="D2386" s="21" t="inlineStr">
        <ns0:is>
          <ns0:t>Automated measurement/classification</ns0:t>
        </ns0:is>
      </ns0:c>
      <ns0:c r="E2386" s="21" t="inlineStr">
        <ns0:is>
          <ns0:t>Retained source-specific coding after review of the supplied extraction notes; not a new full-text retrieval. Human GEO transcriptomic data are used to identify HIF1A-related hub genes with ML; single-cell analysis and MIA mouse/cell experiments support mechanistic interpretation. Human data therefore prevent an animal-only exclusion. Animal/cell validation is mechanistic, not independent clinical external validation; the accessible abstract does not identify a site-held-out human validation design or the exact ML family used for hub-gene selection.</ns0:t>
        </ns0:is>
      </ns0:c>
      <ns0:c r="F2386" s="21" t="inlineStr">
        <ns0:is>
          <ns0:t>https://doi.org/10.1016/j.nbd.2024.106763</ns0:t>
        </ns0:is>
      </ns0:c>
      <ns0:c r="G2386" s="21" t="inlineStr">
        <ns0:is>
          <ns0:t>ChatGPT-assisted evidence recharting, 2026-09-08</ns0:t>
        </ns0:is>
      </ns0:c>
    </ns0:row>
    <ns0:row r="2387" ht="69" customHeight="1">
      <ns0:c r="A2387" s="19" t="inlineStr">
        <ns0:is>
          <ns0:t>new_16</ns0:t>
        </ns0:is>
      </ns0:c>
      <ns0:c r="B2387" s="19" t="inlineStr">
        <ns0:is>
          <ns0:t>decision_timing</ns0:t>
        </ns0:is>
      </ns0:c>
      <ns0:c r="C2387" s="19" t="inlineStr"/>
      <ns0:c r="D2387" s="19" t="inlineStr">
        <ns0:is>
          <ns0:t>Not observed in assessed sources</ns0:t>
        </ns0:is>
      </ns0:c>
      <ns0:c r="E2387" s="19" t="inlineStr">
        <ns0:is>
          <ns0:t>Retained source-specific coding after review of the supplied extraction notes; not a new full-text retrieval. Human GEO transcriptomic data are used to identify HIF1A-related hub genes with ML; single-cell analysis and MIA mouse/cell experiments support mechanistic interpretation. Human data therefore prevent an animal-only exclusion. Animal/cell validation is mechanistic, not independent clinical external validation; the accessible abstract does not identify a site-held-out human validation design or the exact ML family used for hub-gene selection.</ns0:t>
        </ns0:is>
      </ns0:c>
      <ns0:c r="F2387" s="19" t="inlineStr">
        <ns0:is>
          <ns0:t>https://doi.org/10.1016/j.nbd.2024.106763</ns0:t>
        </ns0:is>
      </ns0:c>
      <ns0:c r="G2387" s="19" t="inlineStr">
        <ns0:is>
          <ns0:t>ChatGPT-assisted evidence recharting, 2026-09-08</ns0:t>
        </ns0:is>
      </ns0:c>
    </ns0:row>
    <ns0:row r="2388" ht="69" customHeight="1">
      <ns0:c r="A2388" s="21" t="inlineStr">
        <ns0:is>
          <ns0:t>new_16</ns0:t>
        </ns0:is>
      </ns0:c>
      <ns0:c r="B2388" s="21" t="inlineStr">
        <ns0:is>
          <ns0:t>integrity_status</ns0:t>
        </ns0:is>
      </ns0:c>
      <ns0:c r="C2388" s="21" t="inlineStr"/>
      <ns0:c r="D2388" s="21" t="inlineStr">
        <ns0:is>
          <ns0:t>Not recorded</ns0:t>
        </ns0:is>
      </ns0:c>
      <ns0:c r="E2388" s="21" t="inlineStr">
        <ns0:is>
          <ns0:t>Retained source-specific coding after review of the supplied extraction notes; not a new full-text retrieval. Human GEO transcriptomic data are used to identify HIF1A-related hub genes with ML; single-cell analysis and MIA mouse/cell experiments support mechanistic interpretation. Human data therefore prevent an animal-only exclusion. Animal/cell validation is mechanistic, not independent clinical external validation; the accessible abstract does not identify a site-held-out human validation design or the exact ML family used for hub-gene selection.</ns0:t>
        </ns0:is>
      </ns0:c>
      <ns0:c r="F2388" s="21" t="inlineStr">
        <ns0:is>
          <ns0:t>https://doi.org/10.1016/j.nbd.2024.106763</ns0:t>
        </ns0:is>
      </ns0:c>
      <ns0:c r="G2388" s="21" t="inlineStr">
        <ns0:is>
          <ns0:t>ChatGPT-assisted evidence recharting, 2026-09-08</ns0:t>
        </ns0:is>
      </ns0:c>
    </ns0:row>
    <ns0:row r="2389" ht="81" customHeight="1">
      <ns0:c r="A2389" s="19" t="inlineStr">
        <ns0:is>
          <ns0:t>new_27</ns0:t>
        </ns0:is>
      </ns0:c>
      <ns0:c r="B2389" s="19" t="inlineStr">
        <ns0:is>
          <ns0:t>data_source_primary</ns0:t>
        </ns0:is>
      </ns0:c>
      <ns0:c r="C2389" s="19" t="inlineStr">
        <ns0:is>
          <ns0:t>Structured / tabular data</ns0:t>
        </ns0:is>
      </ns0:c>
      <ns0:c r="D2389" s="19" t="inlineStr">
        <ns0:is>
          <ns0:t>Structured clinical/questionnaire data</ns0:t>
        </ns0:is>
      </ns0:c>
      <ns0:c r="E2389" s="19" t="inlineStr">
        <ns0:is>
          <ns0:t>Retained source-specific coding after review of the supplied extraction notes; not a new full-text retrieval. Retrospective analysis of 6,049 Chinese toddlers combines M-CHAT-R items with 17 sociodemographic/environmental factors, uses multiple feature-selection methods and six ML models, and derives a shortened screening measure. Derived from an existing validation cohort and not independently externally validated; strong sensitivity/specificity can coexist with low PPV in low-prevalence screening, so clinical utility should not be inferred from discrimination alone.</ns0:t>
        </ns0:is>
      </ns0:c>
      <ns0:c r="F2389" s="19" t="inlineStr">
        <ns0:is>
          <ns0:t>https://doi.org/10.1016/j.psychres.2025.116353</ns0:t>
        </ns0:is>
      </ns0:c>
      <ns0:c r="G2389" s="19" t="inlineStr">
        <ns0:is>
          <ns0:t>ChatGPT-assisted evidence recharting, 2026-09-08</ns0:t>
        </ns0:is>
      </ns0:c>
    </ns0:row>
    <ns0:row r="2390" ht="81" customHeight="1">
      <ns0:c r="A2390" s="21" t="inlineStr">
        <ns0:is>
          <ns0:t>new_27</ns0:t>
        </ns0:is>
      </ns0:c>
      <ns0:c r="B2390" s="21" t="inlineStr">
        <ns0:is>
          <ns0:t>rq2_role</ns0:t>
        </ns0:is>
      </ns0:c>
      <ns0:c r="C2390" s="21" t="inlineStr">
        <ns0:is>
          <ns0:t>Proposed abbreviated M-CHAT-R screening support; no live primary-care deployment evaluated</ns0:t>
        </ns0:is>
      </ns0:c>
      <ns0:c r="D2390" s="21" t="inlineStr">
        <ns0:is>
          <ns0:t>Triage/questionnaire assessment</ns0:t>
        </ns0:is>
      </ns0:c>
      <ns0:c r="E2390" s="21" t="inlineStr">
        <ns0:is>
          <ns0:t>Retained source-specific coding after review of the supplied extraction notes; not a new full-text retrieval. Retrospective analysis of 6,049 Chinese toddlers combines M-CHAT-R items with 17 sociodemographic/environmental factors, uses multiple feature-selection methods and six ML models, and derives a shortened screening measure. Derived from an existing validation cohort and not independently externally validated; strong sensitivity/specificity can coexist with low PPV in low-prevalence screening, so clinical utility should not be inferred from discrimination alone.</ns0:t>
        </ns0:is>
      </ns0:c>
      <ns0:c r="F2390" s="21" t="inlineStr">
        <ns0:is>
          <ns0:t>https://doi.org/10.1016/j.psychres.2025.116353</ns0:t>
        </ns0:is>
      </ns0:c>
      <ns0:c r="G2390" s="21" t="inlineStr">
        <ns0:is>
          <ns0:t>ChatGPT-assisted evidence recharting, 2026-09-08</ns0:t>
        </ns0:is>
      </ns0:c>
    </ns0:row>
    <ns0:row r="2391" ht="81" customHeight="1">
      <ns0:c r="A2391" s="19" t="inlineStr">
        <ns0:is>
          <ns0:t>new_27</ns0:t>
        </ns0:is>
      </ns0:c>
      <ns0:c r="B2391" s="19" t="inlineStr">
        <ns0:is>
          <ns0:t>decision_timing</ns0:t>
        </ns0:is>
      </ns0:c>
      <ns0:c r="C2391" s="19" t="inlineStr"/>
      <ns0:c r="D2391" s="19" t="inlineStr">
        <ns0:is>
          <ns0:t>Pre-decision</ns0:t>
        </ns0:is>
      </ns0:c>
      <ns0:c r="E2391" s="19" t="inlineStr">
        <ns0:is>
          <ns0:t>Retained source-specific coding after review of the supplied extraction notes; not a new full-text retrieval. Retrospective analysis of 6,049 Chinese toddlers combines M-CHAT-R items with 17 sociodemographic/environmental factors, uses multiple feature-selection methods and six ML models, and derives a shortened screening measure. Derived from an existing validation cohort and not independently externally validated; strong sensitivity/specificity can coexist with low PPV in low-prevalence screening, so clinical utility should not be inferred from discrimination alone.</ns0:t>
        </ns0:is>
      </ns0:c>
      <ns0:c r="F2391" s="19" t="inlineStr">
        <ns0:is>
          <ns0:t>https://doi.org/10.1016/j.psychres.2025.116353</ns0:t>
        </ns0:is>
      </ns0:c>
      <ns0:c r="G2391" s="19" t="inlineStr">
        <ns0:is>
          <ns0:t>ChatGPT-assisted evidence recharting, 2026-09-08</ns0:t>
        </ns0:is>
      </ns0:c>
    </ns0:row>
    <ns0:row r="2392" ht="81" customHeight="1">
      <ns0:c r="A2392" s="21" t="inlineStr">
        <ns0:is>
          <ns0:t>new_27</ns0:t>
        </ns0:is>
      </ns0:c>
      <ns0:c r="B2392" s="21" t="inlineStr">
        <ns0:is>
          <ns0:t>integrity_status</ns0:t>
        </ns0:is>
      </ns0:c>
      <ns0:c r="C2392" s="21" t="inlineStr"/>
      <ns0:c r="D2392" s="21" t="inlineStr">
        <ns0:is>
          <ns0:t>Not recorded</ns0:t>
        </ns0:is>
      </ns0:c>
      <ns0:c r="E2392" s="21" t="inlineStr">
        <ns0:is>
          <ns0:t>Retained source-specific coding after review of the supplied extraction notes; not a new full-text retrieval. Retrospective analysis of 6,049 Chinese toddlers combines M-CHAT-R items with 17 sociodemographic/environmental factors, uses multiple feature-selection methods and six ML models, and derives a shortened screening measure. Derived from an existing validation cohort and not independently externally validated; strong sensitivity/specificity can coexist with low PPV in low-prevalence screening, so clinical utility should not be inferred from discrimination alone.</ns0:t>
        </ns0:is>
      </ns0:c>
      <ns0:c r="F2392" s="21" t="inlineStr">
        <ns0:is>
          <ns0:t>https://doi.org/10.1016/j.psychres.2025.116353</ns0:t>
        </ns0:is>
      </ns0:c>
      <ns0:c r="G2392" s="21" t="inlineStr">
        <ns0:is>
          <ns0:t>ChatGPT-assisted evidence recharting, 2026-09-08</ns0:t>
        </ns0:is>
      </ns0:c>
    </ns0:row>
    <ns0:row r="2393" ht="69" customHeight="1">
      <ns0:c r="A2393" s="19" t="inlineStr">
        <ns0:is>
          <ns0:t>new_31</ns0:t>
        </ns0:is>
      </ns0:c>
      <ns0:c r="B2393" s="19" t="inlineStr">
        <ns0:is>
          <ns0:t>data_source_primary</ns0:t>
        </ns0:is>
      </ns0:c>
      <ns0:c r="C2393" s="19" t="inlineStr">
        <ns0:is>
          <ns0:t>Biological/omics</ns0:t>
        </ns0:is>
      </ns0:c>
      <ns0:c r="D2393" s="19" t="inlineStr">
        <ns0:is>
          <ns0:t>Multiple source categories</ns0:t>
        </ns0:is>
      </ns0:c>
      <ns0:c r="E2393" s="19" t="inlineStr">
        <ns0:is>
          <ns0:t>Retained source-specific coding after review of the supplied extraction notes; not a new full-text retrieval. A Polish-origin ASD/control cohort is analyzed with Boruta and Random Forest to prioritize genetic and phenotypic markers, including replication of rs10099100-related risk evidence. Single ancestry-specific cohort with no independent external validation; association/feature importance is not equivalent to prospective screening performance.</ns0:t>
        </ns0:is>
      </ns0:c>
      <ns0:c r="F2393" s="19" t="inlineStr">
        <ns0:is>
          <ns0:t>https://doi.org/10.1016/j.reia.2025.202542</ns0:t>
        </ns0:is>
      </ns0:c>
      <ns0:c r="G2393" s="19" t="inlineStr">
        <ns0:is>
          <ns0:t>ChatGPT-assisted evidence recharting, 2026-09-08</ns0:t>
        </ns0:is>
      </ns0:c>
    </ns0:row>
    <ns0:row r="2394" ht="69" customHeight="1">
      <ns0:c r="A2394" s="21" t="inlineStr">
        <ns0:is>
          <ns0:t>new_31</ns0:t>
        </ns0:is>
      </ns0:c>
      <ns0:c r="B2394" s="21" t="inlineStr">
        <ns0:is>
          <ns0:t>rq2_role</ns0:t>
        </ns0:is>
      </ns0:c>
      <ns0:c r="C2394" s="21" t="inlineStr">
        <ns0:is>
          <ns0:t>Genetic biomarker research; no clinical screening workflow evaluated</ns0:t>
        </ns0:is>
      </ns0:c>
      <ns0:c r="D2394" s="21" t="inlineStr">
        <ns0:is>
          <ns0:t>Automated measurement/classification</ns0:t>
        </ns0:is>
      </ns0:c>
      <ns0:c r="E2394" s="21" t="inlineStr">
        <ns0:is>
          <ns0:t>Retained source-specific coding after review of the supplied extraction notes; not a new full-text retrieval. A Polish-origin ASD/control cohort is analyzed with Boruta and Random Forest to prioritize genetic and phenotypic markers, including replication of rs10099100-related risk evidence. Single ancestry-specific cohort with no independent external validation; association/feature importance is not equivalent to prospective screening performance.</ns0:t>
        </ns0:is>
      </ns0:c>
      <ns0:c r="F2394" s="21" t="inlineStr">
        <ns0:is>
          <ns0:t>https://doi.org/10.1016/j.reia.2025.202542</ns0:t>
        </ns0:is>
      </ns0:c>
      <ns0:c r="G2394" s="21" t="inlineStr">
        <ns0:is>
          <ns0:t>ChatGPT-assisted evidence recharting, 2026-09-08</ns0:t>
        </ns0:is>
      </ns0:c>
    </ns0:row>
    <ns0:row r="2395" ht="69" customHeight="1">
      <ns0:c r="A2395" s="19" t="inlineStr">
        <ns0:is>
          <ns0:t>new_31</ns0:t>
        </ns0:is>
      </ns0:c>
      <ns0:c r="B2395" s="19" t="inlineStr">
        <ns0:is>
          <ns0:t>decision_timing</ns0:t>
        </ns0:is>
      </ns0:c>
      <ns0:c r="C2395" s="19" t="inlineStr"/>
      <ns0:c r="D2395" s="19" t="inlineStr">
        <ns0:is>
          <ns0:t>Not observed in assessed sources</ns0:t>
        </ns0:is>
      </ns0:c>
      <ns0:c r="E2395" s="19" t="inlineStr">
        <ns0:is>
          <ns0:t>Retained source-specific coding after review of the supplied extraction notes; not a new full-text retrieval. A Polish-origin ASD/control cohort is analyzed with Boruta and Random Forest to prioritize genetic and phenotypic markers, including replication of rs10099100-related risk evidence. Single ancestry-specific cohort with no independent external validation; association/feature importance is not equivalent to prospective screening performance.</ns0:t>
        </ns0:is>
      </ns0:c>
      <ns0:c r="F2395" s="19" t="inlineStr">
        <ns0:is>
          <ns0:t>https://doi.org/10.1016/j.reia.2025.202542</ns0:t>
        </ns0:is>
      </ns0:c>
      <ns0:c r="G2395" s="19" t="inlineStr">
        <ns0:is>
          <ns0:t>ChatGPT-assisted evidence recharting, 2026-09-08</ns0:t>
        </ns0:is>
      </ns0:c>
    </ns0:row>
    <ns0:row r="2396" ht="69" customHeight="1">
      <ns0:c r="A2396" s="21" t="inlineStr">
        <ns0:is>
          <ns0:t>new_31</ns0:t>
        </ns0:is>
      </ns0:c>
      <ns0:c r="B2396" s="21" t="inlineStr">
        <ns0:is>
          <ns0:t>integrity_status</ns0:t>
        </ns0:is>
      </ns0:c>
      <ns0:c r="C2396" s="21" t="inlineStr"/>
      <ns0:c r="D2396" s="21" t="inlineStr">
        <ns0:is>
          <ns0:t>Not recorded</ns0:t>
        </ns0:is>
      </ns0:c>
      <ns0:c r="E2396" s="21" t="inlineStr">
        <ns0:is>
          <ns0:t>Retained source-specific coding after review of the supplied extraction notes; not a new full-text retrieval. A Polish-origin ASD/control cohort is analyzed with Boruta and Random Forest to prioritize genetic and phenotypic markers, including replication of rs10099100-related risk evidence. Single ancestry-specific cohort with no independent external validation; association/feature importance is not equivalent to prospective screening performance.</ns0:t>
        </ns0:is>
      </ns0:c>
      <ns0:c r="F2396" s="21" t="inlineStr">
        <ns0:is>
          <ns0:t>https://doi.org/10.1016/j.reia.2025.202542</ns0:t>
        </ns0:is>
      </ns0:c>
      <ns0:c r="G2396" s="21" t="inlineStr">
        <ns0:is>
          <ns0:t>ChatGPT-assisted evidence recharting, 2026-09-08</ns0:t>
        </ns0:is>
      </ns0:c>
    </ns0:row>
    <ns0:row r="2397" ht="69" customHeight="1">
      <ns0:c r="A2397" s="19" t="inlineStr">
        <ns0:is>
          <ns0:t>new_42</ns0:t>
        </ns0:is>
      </ns0:c>
      <ns0:c r="B2397" s="19" t="inlineStr">
        <ns0:is>
          <ns0:t>data_source_primary</ns0:t>
        </ns0:is>
      </ns0:c>
      <ns0:c r="C2397" s="19" t="inlineStr">
        <ns0:is>
          <ns0:t>Structured / tabular data</ns0:t>
        </ns0:is>
      </ns0:c>
      <ns0:c r="D2397" s="19" t="inlineStr">
        <ns0:is>
          <ns0:t>Structured clinical/questionnaire data</ns0:t>
        </ns0:is>
      </ns0:c>
      <ns0:c r="E2397" s="19" t="inlineStr">
        <ns0:is>
          <ns0:t>Retained source-specific coding after review of the supplied extraction notes; not a new full-text retrieval. Uses Bayesian optimization to tune a Random Forest on behavioral, cognitive and demographic ASD variables; the paper reports very high classification performance. No independent external cohort, prospective deployment, or explicit explanation method was established; near-ceiling performance on structured ASD datasets requires careful leakage/selection-bias checks.</ns0:t>
        </ns0:is>
      </ns0:c>
      <ns0:c r="F2397" s="19" t="inlineStr">
        <ns0:is>
          <ns0:t>https://doi.org/10.1016/j.procs.2025.04.389</ns0:t>
        </ns0:is>
      </ns0:c>
      <ns0:c r="G2397" s="19" t="inlineStr">
        <ns0:is>
          <ns0:t>ChatGPT-assisted evidence recharting, 2026-09-08</ns0:t>
        </ns0:is>
      </ns0:c>
    </ns0:row>
    <ns0:row r="2398" ht="69" customHeight="1">
      <ns0:c r="A2398" s="21" t="inlineStr">
        <ns0:is>
          <ns0:t>new_42</ns0:t>
        </ns0:is>
      </ns0:c>
      <ns0:c r="B2398" s="21" t="inlineStr">
        <ns0:is>
          <ns0:t>rq2_role</ns0:t>
        </ns0:is>
      </ns0:c>
      <ns0:c r="C2398" s="21" t="inlineStr">
        <ns0:is>
          <ns0:t>Proposed optimized tabular screening classifier; no live clinical workflow evaluation</ns0:t>
        </ns0:is>
      </ns0:c>
      <ns0:c r="D2398" s="21" t="inlineStr">
        <ns0:is>
          <ns0:t>Triage/questionnaire assessment</ns0:t>
        </ns0:is>
      </ns0:c>
      <ns0:c r="E2398" s="21" t="inlineStr">
        <ns0:is>
          <ns0:t>Retained source-specific coding after review of the supplied extraction notes; not a new full-text retrieval. Uses Bayesian optimization to tune a Random Forest on behavioral, cognitive and demographic ASD variables; the paper reports very high classification performance. No independent external cohort, prospective deployment, or explicit explanation method was established; near-ceiling performance on structured ASD datasets requires careful leakage/selection-bias checks.</ns0:t>
        </ns0:is>
      </ns0:c>
      <ns0:c r="F2398" s="21" t="inlineStr">
        <ns0:is>
          <ns0:t>https://doi.org/10.1016/j.procs.2025.04.389</ns0:t>
        </ns0:is>
      </ns0:c>
      <ns0:c r="G2398" s="21" t="inlineStr">
        <ns0:is>
          <ns0:t>ChatGPT-assisted evidence recharting, 2026-09-08</ns0:t>
        </ns0:is>
      </ns0:c>
    </ns0:row>
    <ns0:row r="2399" ht="69" customHeight="1">
      <ns0:c r="A2399" s="19" t="inlineStr">
        <ns0:is>
          <ns0:t>new_42</ns0:t>
        </ns0:is>
      </ns0:c>
      <ns0:c r="B2399" s="19" t="inlineStr">
        <ns0:is>
          <ns0:t>decision_timing</ns0:t>
        </ns0:is>
      </ns0:c>
      <ns0:c r="C2399" s="19" t="inlineStr"/>
      <ns0:c r="D2399" s="19" t="inlineStr">
        <ns0:is>
          <ns0:t>Pre-decision</ns0:t>
        </ns0:is>
      </ns0:c>
      <ns0:c r="E2399" s="19" t="inlineStr">
        <ns0:is>
          <ns0:t>Retained source-specific coding after review of the supplied extraction notes; not a new full-text retrieval. Uses Bayesian optimization to tune a Random Forest on behavioral, cognitive and demographic ASD variables; the paper reports very high classification performance. No independent external cohort, prospective deployment, or explicit explanation method was established; near-ceiling performance on structured ASD datasets requires careful leakage/selection-bias checks.</ns0:t>
        </ns0:is>
      </ns0:c>
      <ns0:c r="F2399" s="19" t="inlineStr">
        <ns0:is>
          <ns0:t>https://doi.org/10.1016/j.procs.2025.04.389</ns0:t>
        </ns0:is>
      </ns0:c>
      <ns0:c r="G2399" s="19" t="inlineStr">
        <ns0:is>
          <ns0:t>ChatGPT-assisted evidence recharting, 2026-09-08</ns0:t>
        </ns0:is>
      </ns0:c>
    </ns0:row>
    <ns0:row r="2400" ht="69" customHeight="1">
      <ns0:c r="A2400" s="21" t="inlineStr">
        <ns0:is>
          <ns0:t>new_42</ns0:t>
        </ns0:is>
      </ns0:c>
      <ns0:c r="B2400" s="21" t="inlineStr">
        <ns0:is>
          <ns0:t>integrity_status</ns0:t>
        </ns0:is>
      </ns0:c>
      <ns0:c r="C2400" s="21" t="inlineStr"/>
      <ns0:c r="D2400" s="21" t="inlineStr">
        <ns0:is>
          <ns0:t>Not recorded</ns0:t>
        </ns0:is>
      </ns0:c>
      <ns0:c r="E2400" s="21" t="inlineStr">
        <ns0:is>
          <ns0:t>Retained source-specific coding after review of the supplied extraction notes; not a new full-text retrieval. Uses Bayesian optimization to tune a Random Forest on behavioral, cognitive and demographic ASD variables; the paper reports very high classification performance. No independent external cohort, prospective deployment, or explicit explanation method was established; near-ceiling performance on structured ASD datasets requires careful leakage/selection-bias checks.</ns0:t>
        </ns0:is>
      </ns0:c>
      <ns0:c r="F2400" s="21" t="inlineStr">
        <ns0:is>
          <ns0:t>https://doi.org/10.1016/j.procs.2025.04.389</ns0:t>
        </ns0:is>
      </ns0:c>
      <ns0:c r="G2400" s="21" t="inlineStr">
        <ns0:is>
          <ns0:t>ChatGPT-assisted evidence recharting, 2026-09-08</ns0:t>
        </ns0:is>
      </ns0:c>
    </ns0:row>
    <ns0:row r="2401" ht="69" customHeight="1">
      <ns0:c r="A2401" s="19" t="inlineStr">
        <ns0:is>
          <ns0:t>new_45</ns0:t>
        </ns0:is>
      </ns0:c>
      <ns0:c r="B2401" s="19" t="inlineStr">
        <ns0:is>
          <ns0:t>rq2_role</ns0:t>
        </ns0:is>
      </ns0:c>
      <ns0:c r="C2401" s="19" t="inlineStr">
        <ns0:is>
          <ns0:t>Retrospective ABIDE diagnostic classifier; no live clinical deployment</ns0:t>
        </ns0:is>
      </ns0:c>
      <ns0:c r="D2401" s="19" t="inlineStr">
        <ns0:is>
          <ns0:t>Automated measurement/classification</ns0:t>
        </ns0:is>
      </ns0:c>
      <ns0:c r="E2401" s="19" t="inlineStr">
        <ns0:is>
          <ns0:t>Retained source-specific coding after review of the supplied extraction notes; not a new full-text retrieval. An attention-based CNN/Squeeze-and-Excitation pipeline extracts fMRI features and feeds ML classifiers for ASD detection on ABIDE; very high accuracy is reported. ABIDE is multisite, but no explicit site-held-out or independent external evaluation was established. Architectural attention was not counted as XAI because no explanation analysis was demonstrated.</ns0:t>
        </ns0:is>
      </ns0:c>
      <ns0:c r="F2401" s="19" t="inlineStr">
        <ns0:is>
          <ns0:t>https://doi.org/10.1016/j.procs.2025.04.671</ns0:t>
        </ns0:is>
      </ns0:c>
      <ns0:c r="G2401" s="19" t="inlineStr">
        <ns0:is>
          <ns0:t>ChatGPT-assisted evidence recharting, 2026-09-08</ns0:t>
        </ns0:is>
      </ns0:c>
    </ns0:row>
    <ns0:row r="2402" ht="69" customHeight="1">
      <ns0:c r="A2402" s="21" t="inlineStr">
        <ns0:is>
          <ns0:t>new_45</ns0:t>
        </ns0:is>
      </ns0:c>
      <ns0:c r="B2402" s="21" t="inlineStr">
        <ns0:is>
          <ns0:t>decision_timing</ns0:t>
        </ns0:is>
      </ns0:c>
      <ns0:c r="C2402" s="21" t="inlineStr"/>
      <ns0:c r="D2402" s="21" t="inlineStr">
        <ns0:is>
          <ns0:t>Not observed in assessed sources</ns0:t>
        </ns0:is>
      </ns0:c>
      <ns0:c r="E2402" s="21" t="inlineStr">
        <ns0:is>
          <ns0:t>Retained source-specific coding after review of the supplied extraction notes; not a new full-text retrieval. An attention-based CNN/Squeeze-and-Excitation pipeline extracts fMRI features and feeds ML classifiers for ASD detection on ABIDE; very high accuracy is reported. ABIDE is multisite, but no explicit site-held-out or independent external evaluation was established. Architectural attention was not counted as XAI because no explanation analysis was demonstrated.</ns0:t>
        </ns0:is>
      </ns0:c>
      <ns0:c r="F2402" s="21" t="inlineStr">
        <ns0:is>
          <ns0:t>https://doi.org/10.1016/j.procs.2025.04.671</ns0:t>
        </ns0:is>
      </ns0:c>
      <ns0:c r="G2402" s="21" t="inlineStr">
        <ns0:is>
          <ns0:t>ChatGPT-assisted evidence recharting, 2026-09-08</ns0:t>
        </ns0:is>
      </ns0:c>
    </ns0:row>
    <ns0:row r="2403" ht="69" customHeight="1">
      <ns0:c r="A2403" s="19" t="inlineStr">
        <ns0:is>
          <ns0:t>new_45</ns0:t>
        </ns0:is>
      </ns0:c>
      <ns0:c r="B2403" s="19" t="inlineStr">
        <ns0:is>
          <ns0:t>integrity_status</ns0:t>
        </ns0:is>
      </ns0:c>
      <ns0:c r="C2403" s="19" t="inlineStr"/>
      <ns0:c r="D2403" s="19" t="inlineStr">
        <ns0:is>
          <ns0:t>Not recorded</ns0:t>
        </ns0:is>
      </ns0:c>
      <ns0:c r="E2403" s="19" t="inlineStr">
        <ns0:is>
          <ns0:t>Retained source-specific coding after review of the supplied extraction notes; not a new full-text retrieval. An attention-based CNN/Squeeze-and-Excitation pipeline extracts fMRI features and feeds ML classifiers for ASD detection on ABIDE; very high accuracy is reported. ABIDE is multisite, but no explicit site-held-out or independent external evaluation was established. Architectural attention was not counted as XAI because no explanation analysis was demonstrated.</ns0:t>
        </ns0:is>
      </ns0:c>
      <ns0:c r="F2403" s="19" t="inlineStr">
        <ns0:is>
          <ns0:t>https://doi.org/10.1016/j.procs.2025.04.671</ns0:t>
        </ns0:is>
      </ns0:c>
      <ns0:c r="G2403" s="19" t="inlineStr">
        <ns0:is>
          <ns0:t>ChatGPT-assisted evidence recharting, 2026-09-08</ns0:t>
        </ns0:is>
      </ns0:c>
    </ns0:row>
    <ns0:row r="2404" ht="42" customHeight="1">
      <ns0:c r="A2404" s="21" t="inlineStr">
        <ns0:is>
          <ns0:t>new_56</ns0:t>
        </ns0:is>
      </ns0:c>
      <ns0:c r="B2404" s="21" t="inlineStr">
        <ns0:is>
          <ns0:t>stage_primary</ns0:t>
        </ns0:is>
      </ns0:c>
      <ns0:c r="C2404" s="21" t="inlineStr">
        <ns0:is>
          <ns0:t>Prognosis</ns0:t>
        </ns0:is>
      </ns0:c>
      <ns0:c r="D2404" s="21" t="inlineStr">
        <ns0:is>
          <ns0:t>Prescreening</ns0:t>
        </ns0:is>
      </ns0:c>
      <ns0:c r="E2404" s="21" t="inlineStr">
        <ns0:is>
          <ns0:t>Risk-factor identification without a demonstrated temporal forecast; genetic/environmental sources reported but predictive fusion not established.</ns0:t>
        </ns0:is>
      </ns0:c>
      <ns0:c r="F2404" s="21" t="inlineStr">
        <ns0:is>
          <ns0:t>https://doi.org/10.1016/j.procs.2025.10.018</ns0:t>
        </ns0:is>
      </ns0:c>
      <ns0:c r="G2404" s="21" t="inlineStr">
        <ns0:is>
          <ns0:t>ChatGPT-assisted evidence recharting, 2026-09-08</ns0:t>
        </ns0:is>
      </ns0:c>
    </ns0:row>
    <ns0:row r="2405" ht="42" customHeight="1">
      <ns0:c r="A2405" s="19" t="inlineStr">
        <ns0:is>
          <ns0:t>new_56</ns0:t>
        </ns0:is>
      </ns0:c>
      <ns0:c r="B2405" s="19" t="inlineStr">
        <ns0:is>
          <ns0:t>data_source_primary</ns0:t>
        </ns0:is>
      </ns0:c>
      <ns0:c r="C2405" s="19" t="inlineStr">
        <ns0:is>
          <ns0:t>Structured / tabular data</ns0:t>
        </ns0:is>
      </ns0:c>
      <ns0:c r="D2405" s="19" t="inlineStr">
        <ns0:is>
          <ns0:t>Multiple source categories</ns0:t>
        </ns0:is>
      </ns0:c>
      <ns0:c r="E2405" s="19" t="inlineStr">
        <ns0:is>
          <ns0:t>Risk-factor identification without a demonstrated temporal forecast; genetic/environmental sources reported but predictive fusion not established.</ns0:t>
        </ns0:is>
      </ns0:c>
      <ns0:c r="F2405" s="19" t="inlineStr">
        <ns0:is>
          <ns0:t>https://doi.org/10.1016/j.procs.2025.10.018</ns0:t>
        </ns0:is>
      </ns0:c>
      <ns0:c r="G2405" s="19" t="inlineStr">
        <ns0:is>
          <ns0:t>ChatGPT-assisted evidence recharting, 2026-09-08</ns0:t>
        </ns0:is>
      </ns0:c>
    </ns0:row>
    <ns0:row r="2406" ht="42" customHeight="1">
      <ns0:c r="A2406" s="21" t="inlineStr">
        <ns0:is>
          <ns0:t>new_56</ns0:t>
        </ns0:is>
      </ns0:c>
      <ns0:c r="B2406" s="21" t="inlineStr">
        <ns0:is>
          <ns0:t>rq2_role</ns0:t>
        </ns0:is>
      </ns0:c>
      <ns0:c r="C2406" s="21" t="inlineStr">
        <ns0:is>
          <ns0:t>Risk-factor research; no deployed prospective risk-stratification workflow</ns0:t>
        </ns0:is>
      </ns0:c>
      <ns0:c r="D2406" s="21" t="inlineStr">
        <ns0:is>
          <ns0:t>Risk/trajectory estimation</ns0:t>
        </ns0:is>
      </ns0:c>
      <ns0:c r="E2406" s="21" t="inlineStr">
        <ns0:is>
          <ns0:t>Risk-factor identification without a demonstrated temporal forecast; genetic/environmental sources reported but predictive fusion not established.</ns0:t>
        </ns0:is>
      </ns0:c>
      <ns0:c r="F2406" s="21" t="inlineStr">
        <ns0:is>
          <ns0:t>https://doi.org/10.1016/j.procs.2025.10.018</ns0:t>
        </ns0:is>
      </ns0:c>
      <ns0:c r="G2406" s="21" t="inlineStr">
        <ns0:is>
          <ns0:t>ChatGPT-assisted evidence recharting, 2026-09-08</ns0:t>
        </ns0:is>
      </ns0:c>
    </ns0:row>
    <ns0:row r="2407" ht="42" customHeight="1">
      <ns0:c r="A2407" s="19" t="inlineStr">
        <ns0:is>
          <ns0:t>new_56</ns0:t>
        </ns0:is>
      </ns0:c>
      <ns0:c r="B2407" s="19" t="inlineStr">
        <ns0:is>
          <ns0:t>decision_timing</ns0:t>
        </ns0:is>
      </ns0:c>
      <ns0:c r="C2407" s="19" t="inlineStr"/>
      <ns0:c r="D2407" s="19" t="inlineStr">
        <ns0:is>
          <ns0:t>Not observed in assessed sources</ns0:t>
        </ns0:is>
      </ns0:c>
      <ns0:c r="E2407" s="19" t="inlineStr">
        <ns0:is>
          <ns0:t>Risk-factor identification without a demonstrated temporal forecast; genetic/environmental sources reported but predictive fusion not established.</ns0:t>
        </ns0:is>
      </ns0:c>
      <ns0:c r="F2407" s="19" t="inlineStr">
        <ns0:is>
          <ns0:t>https://doi.org/10.1016/j.procs.2025.10.018</ns0:t>
        </ns0:is>
      </ns0:c>
      <ns0:c r="G2407" s="19" t="inlineStr">
        <ns0:is>
          <ns0:t>ChatGPT-assisted evidence recharting, 2026-09-08</ns0:t>
        </ns0:is>
      </ns0:c>
    </ns0:row>
    <ns0:row r="2408" ht="42" customHeight="1">
      <ns0:c r="A2408" s="21" t="inlineStr">
        <ns0:is>
          <ns0:t>new_56</ns0:t>
        </ns0:is>
      </ns0:c>
      <ns0:c r="B2408" s="21" t="inlineStr">
        <ns0:is>
          <ns0:t>integrity_status</ns0:t>
        </ns0:is>
      </ns0:c>
      <ns0:c r="C2408" s="21" t="inlineStr"/>
      <ns0:c r="D2408" s="21" t="inlineStr">
        <ns0:is>
          <ns0:t>Not recorded</ns0:t>
        </ns0:is>
      </ns0:c>
      <ns0:c r="E2408" s="21" t="inlineStr">
        <ns0:is>
          <ns0:t>Risk-factor identification without a demonstrated temporal forecast; genetic/environmental sources reported but predictive fusion not established.</ns0:t>
        </ns0:is>
      </ns0:c>
      <ns0:c r="F2408" s="21" t="inlineStr">
        <ns0:is>
          <ns0:t>https://doi.org/10.1016/j.procs.2025.10.018</ns0:t>
        </ns0:is>
      </ns0:c>
      <ns0:c r="G2408" s="21" t="inlineStr">
        <ns0:is>
          <ns0:t>ChatGPT-assisted evidence recharting, 2026-09-08</ns0:t>
        </ns0:is>
      </ns0:c>
    </ns0:row>
    <ns0:row r="2409" ht="69" customHeight="1">
      <ns0:c r="A2409" s="19" t="inlineStr">
        <ns0:is>
          <ns0:t>new_92</ns0:t>
        </ns0:is>
      </ns0:c>
      <ns0:c r="B2409" s="19" t="inlineStr">
        <ns0:is>
          <ns0:t>rq2_role</ns0:t>
        </ns0:is>
      </ns0:c>
      <ns0:c r="C2409" s="19" t="inlineStr">
        <ns0:is>
          <ns0:t>Research serum-biomarker diagnostic model; no deployed workflow</ns0:t>
        </ns0:is>
      </ns0:c>
      <ns0:c r="D2409" s="19" t="inlineStr">
        <ns0:is>
          <ns0:t>Automated measurement/classification</ns0:t>
        </ns0:is>
      </ns0:c>
      <ns0:c r="E2409" s="19" t="inlineStr">
        <ns0:is>
          <ns0:t>Retained source-specific coding after review of the supplied extraction notes; not a new full-text retrieval. DIA serum proteomics in 99 ASD and 70 control children yields an eight-protein ML model after bidirectional feature screening; ELISA follow-up is reported for LYZ. Leave-one-out validation is internal; ELISA confirmation of selected proteins is not an independent external cohort test. The sample is geographically limited and biomarker selection can be optimistic without nested external replication.</ns0:t>
        </ns0:is>
      </ns0:c>
      <ns0:c r="F2409" s="19" t="inlineStr">
        <ns0:is>
          <ns0:t>https://doi.org/10.1016/j.cca.2025.120238</ns0:t>
        </ns0:is>
      </ns0:c>
      <ns0:c r="G2409" s="19" t="inlineStr">
        <ns0:is>
          <ns0:t>ChatGPT-assisted evidence recharting, 2026-09-08</ns0:t>
        </ns0:is>
      </ns0:c>
    </ns0:row>
    <ns0:row r="2410" ht="69" customHeight="1">
      <ns0:c r="A2410" s="21" t="inlineStr">
        <ns0:is>
          <ns0:t>new_92</ns0:t>
        </ns0:is>
      </ns0:c>
      <ns0:c r="B2410" s="21" t="inlineStr">
        <ns0:is>
          <ns0:t>decision_timing</ns0:t>
        </ns0:is>
      </ns0:c>
      <ns0:c r="C2410" s="21" t="inlineStr"/>
      <ns0:c r="D2410" s="21" t="inlineStr">
        <ns0:is>
          <ns0:t>Not observed in assessed sources</ns0:t>
        </ns0:is>
      </ns0:c>
      <ns0:c r="E2410" s="21" t="inlineStr">
        <ns0:is>
          <ns0:t>Retained source-specific coding after review of the supplied extraction notes; not a new full-text retrieval. DIA serum proteomics in 99 ASD and 70 control children yields an eight-protein ML model after bidirectional feature screening; ELISA follow-up is reported for LYZ. Leave-one-out validation is internal; ELISA confirmation of selected proteins is not an independent external cohort test. The sample is geographically limited and biomarker selection can be optimistic without nested external replication.</ns0:t>
        </ns0:is>
      </ns0:c>
      <ns0:c r="F2410" s="21" t="inlineStr">
        <ns0:is>
          <ns0:t>https://doi.org/10.1016/j.cca.2025.120238</ns0:t>
        </ns0:is>
      </ns0:c>
      <ns0:c r="G2410" s="21" t="inlineStr">
        <ns0:is>
          <ns0:t>ChatGPT-assisted evidence recharting, 2026-09-08</ns0:t>
        </ns0:is>
      </ns0:c>
    </ns0:row>
    <ns0:row r="2411" ht="69" customHeight="1">
      <ns0:c r="A2411" s="19" t="inlineStr">
        <ns0:is>
          <ns0:t>new_92</ns0:t>
        </ns0:is>
      </ns0:c>
      <ns0:c r="B2411" s="19" t="inlineStr">
        <ns0:is>
          <ns0:t>integrity_status</ns0:t>
        </ns0:is>
      </ns0:c>
      <ns0:c r="C2411" s="19" t="inlineStr"/>
      <ns0:c r="D2411" s="19" t="inlineStr">
        <ns0:is>
          <ns0:t>Not recorded</ns0:t>
        </ns0:is>
      </ns0:c>
      <ns0:c r="E2411" s="19" t="inlineStr">
        <ns0:is>
          <ns0:t>Retained source-specific coding after review of the supplied extraction notes; not a new full-text retrieval. DIA serum proteomics in 99 ASD and 70 control children yields an eight-protein ML model after bidirectional feature screening; ELISA follow-up is reported for LYZ. Leave-one-out validation is internal; ELISA confirmation of selected proteins is not an independent external cohort test. The sample is geographically limited and biomarker selection can be optimistic without nested external replication.</ns0:t>
        </ns0:is>
      </ns0:c>
      <ns0:c r="F2411" s="19" t="inlineStr">
        <ns0:is>
          <ns0:t>https://doi.org/10.1016/j.cca.2025.120238</ns0:t>
        </ns0:is>
      </ns0:c>
      <ns0:c r="G2411" s="19" t="inlineStr">
        <ns0:is>
          <ns0:t>ChatGPT-assisted evidence recharting, 2026-09-08</ns0:t>
        </ns0:is>
      </ns0:c>
    </ns0:row>
    <ns0:row r="2412" ht="69" customHeight="1">
      <ns0:c r="A2412" s="21" t="inlineStr">
        <ns0:is>
          <ns0:t>new_183</ns0:t>
        </ns0:is>
      </ns0:c>
      <ns0:c r="B2412" s="21" t="inlineStr">
        <ns0:is>
          <ns0:t>rq2_role</ns0:t>
        </ns0:is>
      </ns0:c>
      <ns0:c r="C2412" s="21" t="inlineStr">
        <ns0:is>
          <ns0:t>Retrospective ABIDE graph-learning diagnostic classifier</ns0:t>
        </ns0:is>
      </ns0:c>
      <ns0:c r="D2412" s="21" t="inlineStr">
        <ns0:is>
          <ns0:t>Automated measurement/classification</ns0:t>
        </ns0:is>
      </ns0:c>
      <ns0:c r="E2412" s="21" t="inlineStr">
        <ns0:is>
          <ns0:t>Retained source-specific coding after review of the supplied extraction notes; not a new full-text retrieval. Ada-MST learns adaptive multi-scale dynamic graph representations from ABIDE-I/II rs-fMRI and includes community-aware readout/visualization for ASD classification. ABIDE-I/II are multisite datasets, but no explicit held-out-site robustness design was established in the accessible report. Visualization was treated as partial interpretability, not strict XAI.</ns0:t>
        </ns0:is>
      </ns0:c>
      <ns0:c r="F2412" s="21" t="inlineStr">
        <ns0:is>
          <ns0:t>https://doi.org/10.1109/jbhi.2025.3622540</ns0:t>
        </ns0:is>
      </ns0:c>
      <ns0:c r="G2412" s="21" t="inlineStr">
        <ns0:is>
          <ns0:t>ChatGPT-assisted evidence recharting, 2026-09-08</ns0:t>
        </ns0:is>
      </ns0:c>
    </ns0:row>
    <ns0:row r="2413" ht="69" customHeight="1">
      <ns0:c r="A2413" s="19" t="inlineStr">
        <ns0:is>
          <ns0:t>new_183</ns0:t>
        </ns0:is>
      </ns0:c>
      <ns0:c r="B2413" s="19" t="inlineStr">
        <ns0:is>
          <ns0:t>decision_timing</ns0:t>
        </ns0:is>
      </ns0:c>
      <ns0:c r="C2413" s="19" t="inlineStr"/>
      <ns0:c r="D2413" s="19" t="inlineStr">
        <ns0:is>
          <ns0:t>Not observed in assessed sources</ns0:t>
        </ns0:is>
      </ns0:c>
      <ns0:c r="E2413" s="19" t="inlineStr">
        <ns0:is>
          <ns0:t>Retained source-specific coding after review of the supplied extraction notes; not a new full-text retrieval. Ada-MST learns adaptive multi-scale dynamic graph representations from ABIDE-I/II rs-fMRI and includes community-aware readout/visualization for ASD classification. ABIDE-I/II are multisite datasets, but no explicit held-out-site robustness design was established in the accessible report. Visualization was treated as partial interpretability, not strict XAI.</ns0:t>
        </ns0:is>
      </ns0:c>
      <ns0:c r="F2413" s="19" t="inlineStr">
        <ns0:is>
          <ns0:t>https://doi.org/10.1109/jbhi.2025.3622540</ns0:t>
        </ns0:is>
      </ns0:c>
      <ns0:c r="G2413" s="19" t="inlineStr">
        <ns0:is>
          <ns0:t>ChatGPT-assisted evidence recharting, 2026-09-08</ns0:t>
        </ns0:is>
      </ns0:c>
    </ns0:row>
    <ns0:row r="2414" ht="69" customHeight="1">
      <ns0:c r="A2414" s="21" t="inlineStr">
        <ns0:is>
          <ns0:t>new_183</ns0:t>
        </ns0:is>
      </ns0:c>
      <ns0:c r="B2414" s="21" t="inlineStr">
        <ns0:is>
          <ns0:t>integrity_status</ns0:t>
        </ns0:is>
      </ns0:c>
      <ns0:c r="C2414" s="21" t="inlineStr"/>
      <ns0:c r="D2414" s="21" t="inlineStr">
        <ns0:is>
          <ns0:t>Not recorded</ns0:t>
        </ns0:is>
      </ns0:c>
      <ns0:c r="E2414" s="21" t="inlineStr">
        <ns0:is>
          <ns0:t>Retained source-specific coding after review of the supplied extraction notes; not a new full-text retrieval. Ada-MST learns adaptive multi-scale dynamic graph representations from ABIDE-I/II rs-fMRI and includes community-aware readout/visualization for ASD classification. ABIDE-I/II are multisite datasets, but no explicit held-out-site robustness design was established in the accessible report. Visualization was treated as partial interpretability, not strict XAI.</ns0:t>
        </ns0:is>
      </ns0:c>
      <ns0:c r="F2414" s="21" t="inlineStr">
        <ns0:is>
          <ns0:t>https://doi.org/10.1109/jbhi.2025.3622540</ns0:t>
        </ns0:is>
      </ns0:c>
      <ns0:c r="G2414" s="21" t="inlineStr">
        <ns0:is>
          <ns0:t>ChatGPT-assisted evidence recharting, 2026-09-08</ns0:t>
        </ns0:is>
      </ns0:c>
    </ns0:row>
    <ns0:row r="2415" ht="129" customHeight="1">
      <ns0:c r="A2415" s="19" t="inlineStr">
        <ns0:is>
          <ns0:t>new_198</ns0:t>
        </ns0:is>
      </ns0:c>
      <ns0:c r="B2415" s="19" t="inlineStr">
        <ns0:is>
          <ns0:t>data_source_primary</ns0:t>
        </ns0:is>
      </ns0:c>
      <ns0:c r="C2415" s="19" t="inlineStr">
        <ns0:is>
          <ns0:t>Multiple modalities (as coded)</ns0:t>
        </ns0:is>
      </ns0:c>
      <ns0:c r="D2415" s="19" t="inlineStr">
        <ns0:is>
          <ns0:t>Multiple source categories</ns0:t>
        </ns0:is>
      </ns0:c>
      <ns0:c r="E2415" s="19" t="inlineStr">
        <ns0:is>
          <ns0:t>Retained source-specific coding after review of the supplied extraction notes; not a new full-text retrieval. AutiScan fuses facial-expression, eye-gaze, speech-prosody and behavioral cues using CbRNN-EM and NCIAPPF temporal processing for early ASD identification. High-priority reporting inconsistency: the article describes experimental multimodal analyses, while the publisher Data Availability Statement says that no datasets were generated or analyzed. Independent source/sample and validation verification is required.
AutiScan fuses facial-expression, eye-gaze, speech-prosody and behavioral cues using CbRNN-EM and NCIAPPF temporal processing for early ASD identification. High-priority reporting inconsistency: the article describes experimental multimodal analyses, while the publisher Data Availability Statement says that no datasets were generated or analyzed. Independent source/sample and validation verification is required.
Material reporting/source-lineage inconsistency preserved; excluded in conservative sensitivity analysis.</ns0:t>
        </ns0:is>
      </ns0:c>
      <ns0:c r="F2415" s="19" t="inlineStr">
        <ns0:is>
          <ns0:t>https://doi.org/10.1002/jdn.70117</ns0:t>
        </ns0:is>
      </ns0:c>
      <ns0:c r="G2415" s="19" t="inlineStr">
        <ns0:is>
          <ns0:t>ChatGPT-assisted evidence recharting, 2026-09-08</ns0:t>
        </ns0:is>
      </ns0:c>
    </ns0:row>
    <ns0:row r="2416" ht="129" customHeight="1">
      <ns0:c r="A2416" s="21" t="inlineStr">
        <ns0:is>
          <ns0:t>new_198</ns0:t>
        </ns0:is>
      </ns0:c>
      <ns0:c r="B2416" s="21" t="inlineStr">
        <ns0:is>
          <ns0:t>rq2_role</ns0:t>
        </ns0:is>
      </ns0:c>
      <ns0:c r="C2416" s="21" t="inlineStr">
        <ns0:is>
          <ns0:t>Proposed multimodal early-screening framework; no independently validated clinical workflow</ns0:t>
        </ns0:is>
      </ns0:c>
      <ns0:c r="D2416" s="21" t="inlineStr">
        <ns0:is>
          <ns0:t>Triage/questionnaire assessment</ns0:t>
        </ns0:is>
      </ns0:c>
      <ns0:c r="E2416" s="21" t="inlineStr">
        <ns0:is>
          <ns0:t>Retained source-specific coding after review of the supplied extraction notes; not a new full-text retrieval. AutiScan fuses facial-expression, eye-gaze, speech-prosody and behavioral cues using CbRNN-EM and NCIAPPF temporal processing for early ASD identification. High-priority reporting inconsistency: the article describes experimental multimodal analyses, while the publisher Data Availability Statement says that no datasets were generated or analyzed. Independent source/sample and validation verification is required.
AutiScan fuses facial-expression, eye-gaze, speech-prosody and behavioral cues using CbRNN-EM and NCIAPPF temporal processing for early ASD identification. High-priority reporting inconsistency: the article describes experimental multimodal analyses, while the publisher Data Availability Statement says that no datasets were generated or analyzed. Independent source/sample and validation verification is required.
Material reporting/source-lineage inconsistency preserved; excluded in conservative sensitivity analysis.</ns0:t>
        </ns0:is>
      </ns0:c>
      <ns0:c r="F2416" s="21" t="inlineStr">
        <ns0:is>
          <ns0:t>https://doi.org/10.1002/jdn.70117</ns0:t>
        </ns0:is>
      </ns0:c>
      <ns0:c r="G2416" s="21" t="inlineStr">
        <ns0:is>
          <ns0:t>ChatGPT-assisted evidence recharting, 2026-09-08</ns0:t>
        </ns0:is>
      </ns0:c>
    </ns0:row>
    <ns0:row r="2417" ht="129" customHeight="1">
      <ns0:c r="A2417" s="19" t="inlineStr">
        <ns0:is>
          <ns0:t>new_198</ns0:t>
        </ns0:is>
      </ns0:c>
      <ns0:c r="B2417" s="19" t="inlineStr">
        <ns0:is>
          <ns0:t>decision_timing</ns0:t>
        </ns0:is>
      </ns0:c>
      <ns0:c r="C2417" s="19" t="inlineStr"/>
      <ns0:c r="D2417" s="19" t="inlineStr">
        <ns0:is>
          <ns0:t>Pre-decision</ns0:t>
        </ns0:is>
      </ns0:c>
      <ns0:c r="E2417" s="19" t="inlineStr">
        <ns0:is>
          <ns0:t>Retained source-specific coding after review of the supplied extraction notes; not a new full-text retrieval. AutiScan fuses facial-expression, eye-gaze, speech-prosody and behavioral cues using CbRNN-EM and NCIAPPF temporal processing for early ASD identification. High-priority reporting inconsistency: the article describes experimental multimodal analyses, while the publisher Data Availability Statement says that no datasets were generated or analyzed. Independent source/sample and validation verification is required.
AutiScan fuses facial-expression, eye-gaze, speech-prosody and behavioral cues using CbRNN-EM and NCIAPPF temporal processing for early ASD identification. High-priority reporting inconsistency: the article describes experimental multimodal analyses, while the publisher Data Availability Statement says that no datasets were generated or analyzed. Independent source/sample and validation verification is required.
Material reporting/source-lineage inconsistency preserved; excluded in conservative sensitivity analysis.</ns0:t>
        </ns0:is>
      </ns0:c>
      <ns0:c r="F2417" s="19" t="inlineStr">
        <ns0:is>
          <ns0:t>https://doi.org/10.1002/jdn.70117</ns0:t>
        </ns0:is>
      </ns0:c>
      <ns0:c r="G2417" s="19" t="inlineStr">
        <ns0:is>
          <ns0:t>ChatGPT-assisted evidence recharting, 2026-09-08</ns0:t>
        </ns0:is>
      </ns0:c>
    </ns0:row>
    <ns0:row r="2418" ht="129" customHeight="1">
      <ns0:c r="A2418" s="21" t="inlineStr">
        <ns0:is>
          <ns0:t>new_198</ns0:t>
        </ns0:is>
      </ns0:c>
      <ns0:c r="B2418" s="21" t="inlineStr">
        <ns0:is>
          <ns0:t>integrity_status</ns0:t>
        </ns0:is>
      </ns0:c>
      <ns0:c r="C2418" s="21" t="inlineStr"/>
      <ns0:c r="D2418" s="21" t="inlineStr">
        <ns0:is>
          <ns0:t>Not recorded</ns0:t>
        </ns0:is>
      </ns0:c>
      <ns0:c r="E2418" s="21" t="inlineStr">
        <ns0:is>
          <ns0:t>Retained source-specific coding after review of the supplied extraction notes; not a new full-text retrieval. AutiScan fuses facial-expression, eye-gaze, speech-prosody and behavioral cues using CbRNN-EM and NCIAPPF temporal processing for early ASD identification. High-priority reporting inconsistency: the article describes experimental multimodal analyses, while the publisher Data Availability Statement says that no datasets were generated or analyzed. Independent source/sample and validation verification is required.
AutiScan fuses facial-expression, eye-gaze, speech-prosody and behavioral cues using CbRNN-EM and NCIAPPF temporal processing for early ASD identification. High-priority reporting inconsistency: the article describes experimental multimodal analyses, while the publisher Data Availability Statement says that no datasets were generated or analyzed. Independent source/sample and validation verification is required.
Material reporting/source-lineage inconsistency preserved; excluded in conservative sensitivity analysis.</ns0:t>
        </ns0:is>
      </ns0:c>
      <ns0:c r="F2418" s="21" t="inlineStr">
        <ns0:is>
          <ns0:t>https://doi.org/10.1002/jdn.70117</ns0:t>
        </ns0:is>
      </ns0:c>
      <ns0:c r="G2418" s="21" t="inlineStr">
        <ns0:is>
          <ns0:t>ChatGPT-assisted evidence recharting, 2026-09-08</ns0:t>
        </ns0:is>
      </ns0:c>
    </ns0:row>
    <ns0:row r="2419" ht="153" customHeight="1">
      <ns0:c r="A2419" s="19" t="inlineStr">
        <ns0:is>
          <ns0:t>new_239</ns0:t>
        </ns0:is>
      </ns0:c>
      <ns0:c r="B2419" s="19" t="inlineStr">
        <ns0:is>
          <ns0:t>ai_type</ns0:t>
        </ns0:is>
      </ns0:c>
      <ns0:c r="C2419" s="19" t="inlineStr">
        <ns0:is>
          <ns0:t>Hybrid</ns0:t>
        </ns0:is>
      </ns0:c>
      <ns0:c r="D2419" s="19" t="inlineStr">
        <ns0:is>
          <ns0:t>Deep Learning</ns0:t>
        </ns0:is>
      </ns0:c>
      <ns0:c r="E2419" s="19" t="inlineStr">
        <ns0:is>
          <ns0:t>Retained source-specific coding after review of the supplied extraction notes; not a new full-text retrieval. EEG from 60 children (30 ASD/30 TD) is processed with STFT/ICA and classified using CNN-LSTM; the paper reports 87.5% accuracy, while a ResNet baseline reports 89.1%. High-priority internal inconsistency: the abstract states that a 60-child EEG dataset was analyzed, while the publisher Data Availability Statement says no datasets were generated or analyzed. No external cohort or real-time prospective deployment was established.
EEG from 60 children (30 ASD/30 TD) is processed with STFT/ICA and classified using CNN-LSTM; the paper reports 87.5% accuracy, while a ResNet baseline reports 89.1%. High-priority internal inconsistency: the abstract states that a 60-child EEG dataset was analyzed, while the publisher Data Availability Statement says no datasets were generated or analyzed. No external cohort or real-time prospective deployment was established.
Material reporting/source-lineage inconsistency preserved; excluded in conservative sensitivity analysis.
All-neural/optimization pipeline in recovered evidence; hybrid title is not sufficient for mixed conventional-ML/DL classification.</ns0:t>
        </ns0:is>
      </ns0:c>
      <ns0:c r="F2419" s="19" t="inlineStr">
        <ns0:is>
          <ns0:t>https://doi.org/10.1002/dneu.23009</ns0:t>
        </ns0:is>
      </ns0:c>
      <ns0:c r="G2419" s="19" t="inlineStr">
        <ns0:is>
          <ns0:t>ChatGPT-assisted evidence recharting, 2026-09-08</ns0:t>
        </ns0:is>
      </ns0:c>
    </ns0:row>
    <ns0:row r="2420" ht="153" customHeight="1">
      <ns0:c r="A2420" s="21" t="inlineStr">
        <ns0:is>
          <ns0:t>new_239</ns0:t>
        </ns0:is>
      </ns0:c>
      <ns0:c r="B2420" s="21" t="inlineStr">
        <ns0:is>
          <ns0:t>rq2_role</ns0:t>
        </ns0:is>
      </ns0:c>
      <ns0:c r="C2420" s="21" t="inlineStr">
        <ns0:is>
          <ns0:t>Experimental pediatric EEG diagnostic classifier; no deployed real-time clinical workflow</ns0:t>
        </ns0:is>
      </ns0:c>
      <ns0:c r="D2420" s="21" t="inlineStr">
        <ns0:is>
          <ns0:t>Automated measurement/classification</ns0:t>
        </ns0:is>
      </ns0:c>
      <ns0:c r="E2420" s="21" t="inlineStr">
        <ns0:is>
          <ns0:t>Retained source-specific coding after review of the supplied extraction notes; not a new full-text retrieval. EEG from 60 children (30 ASD/30 TD) is processed with STFT/ICA and classified using CNN-LSTM; the paper reports 87.5% accuracy, while a ResNet baseline reports 89.1%. High-priority internal inconsistency: the abstract states that a 60-child EEG dataset was analyzed, while the publisher Data Availability Statement says no datasets were generated or analyzed. No external cohort or real-time prospective deployment was established.
EEG from 60 children (30 ASD/30 TD) is processed with STFT/ICA and classified using CNN-LSTM; the paper reports 87.5% accuracy, while a ResNet baseline reports 89.1%. High-priority internal inconsistency: the abstract states that a 60-child EEG dataset was analyzed, while the publisher Data Availability Statement says no datasets were generated or analyzed. No external cohort or real-time prospective deployment was established.
Material reporting/source-lineage inconsistency preserved; excluded in conservative sensitivity analysis.
All-neural/optimization pipeline in recovered evidence; hybrid title is not sufficient for mixed conventional-ML/DL classification.</ns0:t>
        </ns0:is>
      </ns0:c>
      <ns0:c r="F2420" s="21" t="inlineStr">
        <ns0:is>
          <ns0:t>https://doi.org/10.1002/dneu.23009</ns0:t>
        </ns0:is>
      </ns0:c>
      <ns0:c r="G2420" s="21" t="inlineStr">
        <ns0:is>
          <ns0:t>ChatGPT-assisted evidence recharting, 2026-09-08</ns0:t>
        </ns0:is>
      </ns0:c>
    </ns0:row>
    <ns0:row r="2421" ht="153" customHeight="1">
      <ns0:c r="A2421" s="19" t="inlineStr">
        <ns0:is>
          <ns0:t>new_239</ns0:t>
        </ns0:is>
      </ns0:c>
      <ns0:c r="B2421" s="19" t="inlineStr">
        <ns0:is>
          <ns0:t>decision_timing</ns0:t>
        </ns0:is>
      </ns0:c>
      <ns0:c r="C2421" s="19" t="inlineStr"/>
      <ns0:c r="D2421" s="19" t="inlineStr">
        <ns0:is>
          <ns0:t>Not observed in assessed sources</ns0:t>
        </ns0:is>
      </ns0:c>
      <ns0:c r="E2421" s="19" t="inlineStr">
        <ns0:is>
          <ns0:t>Retained source-specific coding after review of the supplied extraction notes; not a new full-text retrieval. EEG from 60 children (30 ASD/30 TD) is processed with STFT/ICA and classified using CNN-LSTM; the paper reports 87.5% accuracy, while a ResNet baseline reports 89.1%. High-priority internal inconsistency: the abstract states that a 60-child EEG dataset was analyzed, while the publisher Data Availability Statement says no datasets were generated or analyzed. No external cohort or real-time prospective deployment was established.
EEG from 60 children (30 ASD/30 TD) is processed with STFT/ICA and classified using CNN-LSTM; the paper reports 87.5% accuracy, while a ResNet baseline reports 89.1%. High-priority internal inconsistency: the abstract states that a 60-child EEG dataset was analyzed, while the publisher Data Availability Statement says no datasets were generated or analyzed. No external cohort or real-time prospective deployment was established.
Material reporting/source-lineage inconsistency preserved; excluded in conservative sensitivity analysis.
All-neural/optimization pipeline in recovered evidence; hybrid title is not sufficient for mixed conventional-ML/DL classification.</ns0:t>
        </ns0:is>
      </ns0:c>
      <ns0:c r="F2421" s="19" t="inlineStr">
        <ns0:is>
          <ns0:t>https://doi.org/10.1002/dneu.23009</ns0:t>
        </ns0:is>
      </ns0:c>
      <ns0:c r="G2421" s="19" t="inlineStr">
        <ns0:is>
          <ns0:t>ChatGPT-assisted evidence recharting, 2026-09-08</ns0:t>
        </ns0:is>
      </ns0:c>
    </ns0:row>
    <ns0:row r="2422" ht="153" customHeight="1">
      <ns0:c r="A2422" s="21" t="inlineStr">
        <ns0:is>
          <ns0:t>new_239</ns0:t>
        </ns0:is>
      </ns0:c>
      <ns0:c r="B2422" s="21" t="inlineStr">
        <ns0:is>
          <ns0:t>integrity_status</ns0:t>
        </ns0:is>
      </ns0:c>
      <ns0:c r="C2422" s="21" t="inlineStr"/>
      <ns0:c r="D2422" s="21" t="inlineStr">
        <ns0:is>
          <ns0:t>Not recorded</ns0:t>
        </ns0:is>
      </ns0:c>
      <ns0:c r="E2422" s="21" t="inlineStr">
        <ns0:is>
          <ns0:t>Retained source-specific coding after review of the supplied extraction notes; not a new full-text retrieval. EEG from 60 children (30 ASD/30 TD) is processed with STFT/ICA and classified using CNN-LSTM; the paper reports 87.5% accuracy, while a ResNet baseline reports 89.1%. High-priority internal inconsistency: the abstract states that a 60-child EEG dataset was analyzed, while the publisher Data Availability Statement says no datasets were generated or analyzed. No external cohort or real-time prospective deployment was established.
EEG from 60 children (30 ASD/30 TD) is processed with STFT/ICA and classified using CNN-LSTM; the paper reports 87.5% accuracy, while a ResNet baseline reports 89.1%. High-priority internal inconsistency: the abstract states that a 60-child EEG dataset was analyzed, while the publisher Data Availability Statement says no datasets were generated or analyzed. No external cohort or real-time prospective deployment was established.
Material reporting/source-lineage inconsistency preserved; excluded in conservative sensitivity analysis.
All-neural/optimization pipeline in recovered evidence; hybrid title is not sufficient for mixed conventional-ML/DL classification.</ns0:t>
        </ns0:is>
      </ns0:c>
      <ns0:c r="F2422" s="21" t="inlineStr">
        <ns0:is>
          <ns0:t>https://doi.org/10.1002/dneu.23009</ns0:t>
        </ns0:is>
      </ns0:c>
      <ns0:c r="G2422" s="21" t="inlineStr">
        <ns0:is>
          <ns0:t>ChatGPT-assisted evidence recharting, 2026-09-08</ns0:t>
        </ns0:is>
      </ns0:c>
    </ns0:row>
    <ns0:row r="2423" ht="69" customHeight="1">
      <ns0:c r="A2423" s="19" t="inlineStr">
        <ns0:is>
          <ns0:t>new_400</ns0:t>
        </ns0:is>
      </ns0:c>
      <ns0:c r="B2423" s="19" t="inlineStr">
        <ns0:is>
          <ns0:t>rq2_role</ns0:t>
        </ns0:is>
      </ns0:c>
      <ns0:c r="C2423" s="19" t="inlineStr">
        <ns0:is>
          <ns0:t>Research transcriptomic biomarker model; no clinical deployment</ns0:t>
        </ns0:is>
      </ns0:c>
      <ns0:c r="D2423" s="19" t="inlineStr">
        <ns0:is>
          <ns0:t>Automated measurement/classification</ns0:t>
        </ns0:is>
      </ns0:c>
      <ns0:c r="E2423" s="19" t="inlineStr">
        <ns0:is>
          <ns0:t>Retained source-specific coding after review of the supplied extraction notes; not a new full-text retrieval. Mitochondrial-gene signatures are selected from GSE28521 using LASSO/RF/SVM-RFE and evaluated in GSE64018; ANN/linear/nomogram models are reported, with separate mouse qPCR support. External validation is dataset-level but remains retrospective transcriptomic validation; postmortem cortex limits direct clinical deployability, and mouse qPCR is not human clinical validation.</ns0:t>
        </ns0:is>
      </ns0:c>
      <ns0:c r="F2423" s="19" t="inlineStr">
        <ns0:is>
          <ns0:t>https://doi.org/10.1007/s12035-026-05911-y</ns0:t>
        </ns0:is>
      </ns0:c>
      <ns0:c r="G2423" s="19" t="inlineStr">
        <ns0:is>
          <ns0:t>ChatGPT-assisted evidence recharting, 2026-09-08</ns0:t>
        </ns0:is>
      </ns0:c>
    </ns0:row>
    <ns0:row r="2424" ht="69" customHeight="1">
      <ns0:c r="A2424" s="21" t="inlineStr">
        <ns0:is>
          <ns0:t>new_400</ns0:t>
        </ns0:is>
      </ns0:c>
      <ns0:c r="B2424" s="21" t="inlineStr">
        <ns0:is>
          <ns0:t>decision_timing</ns0:t>
        </ns0:is>
      </ns0:c>
      <ns0:c r="C2424" s="21" t="inlineStr"/>
      <ns0:c r="D2424" s="21" t="inlineStr">
        <ns0:is>
          <ns0:t>Not observed in assessed sources</ns0:t>
        </ns0:is>
      </ns0:c>
      <ns0:c r="E2424" s="21" t="inlineStr">
        <ns0:is>
          <ns0:t>Retained source-specific coding after review of the supplied extraction notes; not a new full-text retrieval. Mitochondrial-gene signatures are selected from GSE28521 using LASSO/RF/SVM-RFE and evaluated in GSE64018; ANN/linear/nomogram models are reported, with separate mouse qPCR support. External validation is dataset-level but remains retrospective transcriptomic validation; postmortem cortex limits direct clinical deployability, and mouse qPCR is not human clinical validation.</ns0:t>
        </ns0:is>
      </ns0:c>
      <ns0:c r="F2424" s="21" t="inlineStr">
        <ns0:is>
          <ns0:t>https://doi.org/10.1007/s12035-026-05911-y</ns0:t>
        </ns0:is>
      </ns0:c>
      <ns0:c r="G2424" s="21" t="inlineStr">
        <ns0:is>
          <ns0:t>ChatGPT-assisted evidence recharting, 2026-09-08</ns0:t>
        </ns0:is>
      </ns0:c>
    </ns0:row>
    <ns0:row r="2425" ht="69" customHeight="1">
      <ns0:c r="A2425" s="19" t="inlineStr">
        <ns0:is>
          <ns0:t>new_400</ns0:t>
        </ns0:is>
      </ns0:c>
      <ns0:c r="B2425" s="19" t="inlineStr">
        <ns0:is>
          <ns0:t>integrity_status</ns0:t>
        </ns0:is>
      </ns0:c>
      <ns0:c r="C2425" s="19" t="inlineStr"/>
      <ns0:c r="D2425" s="19" t="inlineStr">
        <ns0:is>
          <ns0:t>Not recorded</ns0:t>
        </ns0:is>
      </ns0:c>
      <ns0:c r="E2425" s="19" t="inlineStr">
        <ns0:is>
          <ns0:t>Retained source-specific coding after review of the supplied extraction notes; not a new full-text retrieval. Mitochondrial-gene signatures are selected from GSE28521 using LASSO/RF/SVM-RFE and evaluated in GSE64018; ANN/linear/nomogram models are reported, with separate mouse qPCR support. External validation is dataset-level but remains retrospective transcriptomic validation; postmortem cortex limits direct clinical deployability, and mouse qPCR is not human clinical validation.</ns0:t>
        </ns0:is>
      </ns0:c>
      <ns0:c r="F2425" s="19" t="inlineStr">
        <ns0:is>
          <ns0:t>https://doi.org/10.1007/s12035-026-05911-y</ns0:t>
        </ns0:is>
      </ns0:c>
      <ns0:c r="G2425" s="19" t="inlineStr">
        <ns0:is>
          <ns0:t>ChatGPT-assisted evidence recharting, 2026-09-08</ns0:t>
        </ns0:is>
      </ns0:c>
    </ns0:row>
    <ns0:row r="2426" ht="69" customHeight="1">
      <ns0:c r="A2426" s="21" t="inlineStr">
        <ns0:is>
          <ns0:t>new_411</ns0:t>
        </ns0:is>
      </ns0:c>
      <ns0:c r="B2426" s="21" t="inlineStr">
        <ns0:is>
          <ns0:t>rq2_role</ns0:t>
        </ns0:is>
      </ns0:c>
      <ns0:c r="C2426" s="21" t="inlineStr">
        <ns0:is>
          <ns0:t>Research blood-methylation biomarker model; no deployed workflow</ns0:t>
        </ns0:is>
      </ns0:c>
      <ns0:c r="D2426" s="21" t="inlineStr">
        <ns0:is>
          <ns0:t>Automated measurement/classification</ns0:t>
        </ns0:is>
      </ns0:c>
      <ns0:c r="E2426" s="21" t="inlineStr">
        <ns0:is>
          <ns0:t>Retained source-specific coding after review of the supplied extraction notes; not a new full-text retrieval. Whole-blood DNA methylation data (52 ASD, 48 TD) are reduced using SVM-RFECV and classified with RF/XGBoost/DT; RF and XGBoost are reported as best-performing. Small single public dataset with no independent external cohort; feature selection and model evaluation on the same source can inflate biomarker optimism without external replication.</ns0:t>
        </ns0:is>
      </ns0:c>
      <ns0:c r="F2426" s="21" t="inlineStr">
        <ns0:is>
          <ns0:t>https://doi.org/10.1080/17501911.2025.2557186</ns0:t>
        </ns0:is>
      </ns0:c>
      <ns0:c r="G2426" s="21" t="inlineStr">
        <ns0:is>
          <ns0:t>ChatGPT-assisted evidence recharting, 2026-09-08</ns0:t>
        </ns0:is>
      </ns0:c>
    </ns0:row>
    <ns0:row r="2427" ht="69" customHeight="1">
      <ns0:c r="A2427" s="19" t="inlineStr">
        <ns0:is>
          <ns0:t>new_411</ns0:t>
        </ns0:is>
      </ns0:c>
      <ns0:c r="B2427" s="19" t="inlineStr">
        <ns0:is>
          <ns0:t>decision_timing</ns0:t>
        </ns0:is>
      </ns0:c>
      <ns0:c r="C2427" s="19" t="inlineStr"/>
      <ns0:c r="D2427" s="19" t="inlineStr">
        <ns0:is>
          <ns0:t>Not observed in assessed sources</ns0:t>
        </ns0:is>
      </ns0:c>
      <ns0:c r="E2427" s="19" t="inlineStr">
        <ns0:is>
          <ns0:t>Retained source-specific coding after review of the supplied extraction notes; not a new full-text retrieval. Whole-blood DNA methylation data (52 ASD, 48 TD) are reduced using SVM-RFECV and classified with RF/XGBoost/DT; RF and XGBoost are reported as best-performing. Small single public dataset with no independent external cohort; feature selection and model evaluation on the same source can inflate biomarker optimism without external replication.</ns0:t>
        </ns0:is>
      </ns0:c>
      <ns0:c r="F2427" s="19" t="inlineStr">
        <ns0:is>
          <ns0:t>https://doi.org/10.1080/17501911.2025.2557186</ns0:t>
        </ns0:is>
      </ns0:c>
      <ns0:c r="G2427" s="19" t="inlineStr">
        <ns0:is>
          <ns0:t>ChatGPT-assisted evidence recharting, 2026-09-08</ns0:t>
        </ns0:is>
      </ns0:c>
    </ns0:row>
    <ns0:row r="2428" ht="69" customHeight="1">
      <ns0:c r="A2428" s="21" t="inlineStr">
        <ns0:is>
          <ns0:t>new_411</ns0:t>
        </ns0:is>
      </ns0:c>
      <ns0:c r="B2428" s="21" t="inlineStr">
        <ns0:is>
          <ns0:t>xai_partial</ns0:t>
        </ns0:is>
      </ns0:c>
      <ns0:c r="C2428" s="21" t="inlineStr">
        <ns0:is>
          <ns0:t>Reported</ns0:t>
        </ns0:is>
      </ns0:c>
      <ns0:c r="D2428" s="21" t="inlineStr">
        <ns0:is>
          <ns0:t>Not ascertainable</ns0:t>
        </ns0:is>
      </ns0:c>
      <ns0:c r="E2428" s="21" t="inlineStr">
        <ns0:is>
          <ns0:t>Retained source-specific coding after review of the supplied extraction notes; not a new full-text retrieval. Whole-blood DNA methylation data (52 ASD, 48 TD) are reduced using SVM-RFECV and classified with RF/XGBoost/DT; RF and XGBoost are reported as best-performing. Small single public dataset with no independent external cohort; feature selection and model evaluation on the same source can inflate biomarker optimism without external replication.</ns0:t>
        </ns0:is>
      </ns0:c>
      <ns0:c r="F2428" s="21" t="inlineStr">
        <ns0:is>
          <ns0:t>https://doi.org/10.1080/17501911.2025.2557186</ns0:t>
        </ns0:is>
      </ns0:c>
      <ns0:c r="G2428" s="21" t="inlineStr">
        <ns0:is>
          <ns0:t>ChatGPT-assisted evidence recharting, 2026-09-08</ns0:t>
        </ns0:is>
      </ns0:c>
    </ns0:row>
    <ns0:row r="2429" ht="69" customHeight="1">
      <ns0:c r="A2429" s="19" t="inlineStr">
        <ns0:is>
          <ns0:t>new_411</ns0:t>
        </ns0:is>
      </ns0:c>
      <ns0:c r="B2429" s="19" t="inlineStr">
        <ns0:is>
          <ns0:t>integrity_status</ns0:t>
        </ns0:is>
      </ns0:c>
      <ns0:c r="C2429" s="19" t="inlineStr"/>
      <ns0:c r="D2429" s="19" t="inlineStr">
        <ns0:is>
          <ns0:t>Not recorded</ns0:t>
        </ns0:is>
      </ns0:c>
      <ns0:c r="E2429" s="19" t="inlineStr">
        <ns0:is>
          <ns0:t>Retained source-specific coding after review of the supplied extraction notes; not a new full-text retrieval. Whole-blood DNA methylation data (52 ASD, 48 TD) are reduced using SVM-RFECV and classified with RF/XGBoost/DT; RF and XGBoost are reported as best-performing. Small single public dataset with no independent external cohort; feature selection and model evaluation on the same source can inflate biomarker optimism without external replication.</ns0:t>
        </ns0:is>
      </ns0:c>
      <ns0:c r="F2429" s="19" t="inlineStr">
        <ns0:is>
          <ns0:t>https://doi.org/10.1080/17501911.2025.2557186</ns0:t>
        </ns0:is>
      </ns0:c>
      <ns0:c r="G2429" s="19" t="inlineStr">
        <ns0:is>
          <ns0:t>ChatGPT-assisted evidence recharting, 2026-09-08</ns0:t>
        </ns0:is>
      </ns0:c>
    </ns0:row>
    <ns0:row r="2430" ht="93" customHeight="1">
      <ns0:c r="A2430" s="21" t="inlineStr">
        <ns0:is>
          <ns0:t>new_412</ns0:t>
        </ns0:is>
      </ns0:c>
      <ns0:c r="B2430" s="21" t="inlineStr">
        <ns0:is>
          <ns0:t>data_source_primary</ns0:t>
        </ns0:is>
      </ns0:c>
      <ns0:c r="C2430" s="21" t="inlineStr">
        <ns0:is>
          <ns0:t>Multiple datasets (fusion unverified)</ns0:t>
        </ns0:is>
      </ns0:c>
      <ns0:c r="D2430" s="21" t="inlineStr">
        <ns0:is>
          <ns0:t>Not specified</ns0:t>
        </ns0:is>
      </ns0:c>
      <ns0:c r="E2430" s="21" t="inlineStr">
        <ns0:is>
          <ns0:t>Retained source-specific coding after review of the supplied extraction notes; not a new full-text retrieval. A federated Transformer framework is evaluated on ABIDE- and SPARK-derived data with secure aggregation and model compression, reporting very high classification accuracy. Federated/multisite training is not equivalent to a held-out-site robustness test. The accessible evidence does not establish independent external or prospective clinical validation, and near-ceiling accuracy requires leakage/partition checks.
Multiple datasets are described but the recovered evidence does not establish a single primary source or participant-linked multisource fusion.</ns0:t>
        </ns0:is>
      </ns0:c>
      <ns0:c r="F2430" s="21" t="inlineStr">
        <ns0:is>
          <ns0:t>https://doi.org/10.1007/s42979-026-04806-y</ns0:t>
        </ns0:is>
      </ns0:c>
      <ns0:c r="G2430" s="21" t="inlineStr">
        <ns0:is>
          <ns0:t>ChatGPT-assisted evidence recharting, 2026-09-08</ns0:t>
        </ns0:is>
      </ns0:c>
    </ns0:row>
    <ns0:row r="2431" ht="93" customHeight="1">
      <ns0:c r="A2431" s="19" t="inlineStr">
        <ns0:is>
          <ns0:t>new_412</ns0:t>
        </ns0:is>
      </ns0:c>
      <ns0:c r="B2431" s="19" t="inlineStr">
        <ns0:is>
          <ns0:t>rq2_role</ns0:t>
        </ns0:is>
      </ns0:c>
      <ns0:c r="C2431" s="19" t="inlineStr">
        <ns0:is>
          <ns0:t>Federated-learning diagnostic framework across distributed datasets/locations; no prospective clinical deployment</ns0:t>
        </ns0:is>
      </ns0:c>
      <ns0:c r="D2431" s="19" t="inlineStr">
        <ns0:is>
          <ns0:t>Automated measurement/classification</ns0:t>
        </ns0:is>
      </ns0:c>
      <ns0:c r="E2431" s="19" t="inlineStr">
        <ns0:is>
          <ns0:t>Retained source-specific coding after review of the supplied extraction notes; not a new full-text retrieval. A federated Transformer framework is evaluated on ABIDE- and SPARK-derived data with secure aggregation and model compression, reporting very high classification accuracy. Federated/multisite training is not equivalent to a held-out-site robustness test. The accessible evidence does not establish independent external or prospective clinical validation, and near-ceiling accuracy requires leakage/partition checks.
Multiple datasets are described but the recovered evidence does not establish a single primary source or participant-linked multisource fusion.</ns0:t>
        </ns0:is>
      </ns0:c>
      <ns0:c r="F2431" s="19" t="inlineStr">
        <ns0:is>
          <ns0:t>https://doi.org/10.1007/s42979-026-04806-y</ns0:t>
        </ns0:is>
      </ns0:c>
      <ns0:c r="G2431" s="19" t="inlineStr">
        <ns0:is>
          <ns0:t>ChatGPT-assisted evidence recharting, 2026-09-08</ns0:t>
        </ns0:is>
      </ns0:c>
    </ns0:row>
    <ns0:row r="2432" ht="93" customHeight="1">
      <ns0:c r="A2432" s="21" t="inlineStr">
        <ns0:is>
          <ns0:t>new_412</ns0:t>
        </ns0:is>
      </ns0:c>
      <ns0:c r="B2432" s="21" t="inlineStr">
        <ns0:is>
          <ns0:t>decision_timing</ns0:t>
        </ns0:is>
      </ns0:c>
      <ns0:c r="C2432" s="21" t="inlineStr"/>
      <ns0:c r="D2432" s="21" t="inlineStr">
        <ns0:is>
          <ns0:t>In-decision</ns0:t>
        </ns0:is>
      </ns0:c>
      <ns0:c r="E2432" s="21" t="inlineStr">
        <ns0:is>
          <ns0:t>Retained source-specific coding after review of the supplied extraction notes; not a new full-text retrieval. A federated Transformer framework is evaluated on ABIDE- and SPARK-derived data with secure aggregation and model compression, reporting very high classification accuracy. Federated/multisite training is not equivalent to a held-out-site robustness test. The accessible evidence does not establish independent external or prospective clinical validation, and near-ceiling accuracy requires leakage/partition checks.
Multiple datasets are described but the recovered evidence does not establish a single primary source or participant-linked multisource fusion.</ns0:t>
        </ns0:is>
      </ns0:c>
      <ns0:c r="F2432" s="21" t="inlineStr">
        <ns0:is>
          <ns0:t>https://doi.org/10.1007/s42979-026-04806-y</ns0:t>
        </ns0:is>
      </ns0:c>
      <ns0:c r="G2432" s="21" t="inlineStr">
        <ns0:is>
          <ns0:t>ChatGPT-assisted evidence recharting, 2026-09-08</ns0:t>
        </ns0:is>
      </ns0:c>
    </ns0:row>
    <ns0:row r="2433" ht="93" customHeight="1">
      <ns0:c r="A2433" s="19" t="inlineStr">
        <ns0:is>
          <ns0:t>new_412</ns0:t>
        </ns0:is>
      </ns0:c>
      <ns0:c r="B2433" s="19" t="inlineStr">
        <ns0:is>
          <ns0:t>integrity_status</ns0:t>
        </ns0:is>
      </ns0:c>
      <ns0:c r="C2433" s="19" t="inlineStr"/>
      <ns0:c r="D2433" s="19" t="inlineStr">
        <ns0:is>
          <ns0:t>Not recorded</ns0:t>
        </ns0:is>
      </ns0:c>
      <ns0:c r="E2433" s="19" t="inlineStr">
        <ns0:is>
          <ns0:t>Retained source-specific coding after review of the supplied extraction notes; not a new full-text retrieval. A federated Transformer framework is evaluated on ABIDE- and SPARK-derived data with secure aggregation and model compression, reporting very high classification accuracy. Federated/multisite training is not equivalent to a held-out-site robustness test. The accessible evidence does not establish independent external or prospective clinical validation, and near-ceiling accuracy requires leakage/partition checks.
Multiple datasets are described but the recovered evidence does not establish a single primary source or participant-linked multisource fusion.</ns0:t>
        </ns0:is>
      </ns0:c>
      <ns0:c r="F2433" s="19" t="inlineStr">
        <ns0:is>
          <ns0:t>https://doi.org/10.1007/s42979-026-04806-y</ns0:t>
        </ns0:is>
      </ns0:c>
      <ns0:c r="G2433" s="19" t="inlineStr">
        <ns0:is>
          <ns0:t>ChatGPT-assisted evidence recharting, 2026-09-08</ns0:t>
        </ns0:is>
      </ns0:c>
    </ns0:row>
    <ns0:row r="2434" ht="129" customHeight="1">
      <ns0:c r="A2434" s="21" t="inlineStr">
        <ns0:is>
          <ns0:t>new_415</ns0:t>
        </ns0:is>
      </ns0:c>
      <ns0:c r="B2434" s="21" t="inlineStr">
        <ns0:is>
          <ns0:t>data_source_primary</ns0:t>
        </ns0:is>
      </ns0:c>
      <ns0:c r="C2434" s="21" t="inlineStr">
        <ns0:is>
          <ns0:t>Multiple datasets (fusion unverified)</ns0:t>
        </ns0:is>
      </ns0:c>
      <ns0:c r="D2434" s="21" t="inlineStr">
        <ns0:is>
          <ns0:t>Not specified</ns0:t>
        </ns0:is>
      </ns0:c>
      <ns0:c r="E2434" s="21" t="inlineStr">
        <ns0:is>
          <ns0:t>Retained source-specific coding after review of the supplied extraction notes; not a new full-text retrieval. The ASA framework combines information-gain/Genetic-Algorithm feature selection with an optimized DNN and reports approximately 99% accuracy. 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
The ASA framework combines information-gain/Genetic-Algorithm feature selection with an optimized DNN and reports approximately 99% accuracy. 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
Material reporting/source-lineage inconsistency preserved; excluded in conservative sensitivity analysis.</ns0:t>
        </ns0:is>
      </ns0:c>
      <ns0:c r="F2434" s="21" t="inlineStr">
        <ns0:is>
          <ns0:t>https://doi.org/10.1007/s00521-025-11553-3</ns0:t>
        </ns0:is>
      </ns0:c>
      <ns0:c r="G2434" s="21" t="inlineStr">
        <ns0:is>
          <ns0:t>ChatGPT-assisted evidence recharting, 2026-09-08</ns0:t>
        </ns0:is>
      </ns0:c>
    </ns0:row>
    <ns0:row r="2435" ht="129" customHeight="1">
      <ns0:c r="A2435" s="19" t="inlineStr">
        <ns0:is>
          <ns0:t>new_415</ns0:t>
        </ns0:is>
      </ns0:c>
      <ns0:c r="B2435" s="19" t="inlineStr">
        <ns0:is>
          <ns0:t>rq2_role</ns0:t>
        </ns0:is>
      </ns0:c>
      <ns0:c r="C2435" s="19" t="inlineStr">
        <ns0:is>
          <ns0:t>Proposed automatic ASD screening model; exact dataset lineage requires verification</ns0:t>
        </ns0:is>
      </ns0:c>
      <ns0:c r="D2435" s="19" t="inlineStr">
        <ns0:is>
          <ns0:t>Triage/questionnaire assessment</ns0:t>
        </ns0:is>
      </ns0:c>
      <ns0:c r="E2435" s="19" t="inlineStr">
        <ns0:is>
          <ns0:t>Retained source-specific coding after review of the supplied extraction notes; not a new full-text retrieval. The ASA framework combines information-gain/Genetic-Algorithm feature selection with an optimized DNN and reports approximately 99% accuracy. 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
The ASA framework combines information-gain/Genetic-Algorithm feature selection with an optimized DNN and reports approximately 99% accuracy. 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
Material reporting/source-lineage inconsistency preserved; excluded in conservative sensitivity analysis.</ns0:t>
        </ns0:is>
      </ns0:c>
      <ns0:c r="F2435" s="19" t="inlineStr">
        <ns0:is>
          <ns0:t>https://doi.org/10.1007/s00521-025-11553-3</ns0:t>
        </ns0:is>
      </ns0:c>
      <ns0:c r="G2435" s="19" t="inlineStr">
        <ns0:is>
          <ns0:t>ChatGPT-assisted evidence recharting, 2026-09-08</ns0:t>
        </ns0:is>
      </ns0:c>
    </ns0:row>
    <ns0:row r="2436" ht="129" customHeight="1">
      <ns0:c r="A2436" s="21" t="inlineStr">
        <ns0:is>
          <ns0:t>new_415</ns0:t>
        </ns0:is>
      </ns0:c>
      <ns0:c r="B2436" s="21" t="inlineStr">
        <ns0:is>
          <ns0:t>decision_timing</ns0:t>
        </ns0:is>
      </ns0:c>
      <ns0:c r="C2436" s="21" t="inlineStr"/>
      <ns0:c r="D2436" s="21" t="inlineStr">
        <ns0:is>
          <ns0:t>Pre-decision</ns0:t>
        </ns0:is>
      </ns0:c>
      <ns0:c r="E2436" s="21" t="inlineStr">
        <ns0:is>
          <ns0:t>Retained source-specific coding after review of the supplied extraction notes; not a new full-text retrieval. The ASA framework combines information-gain/Genetic-Algorithm feature selection with an optimized DNN and reports approximately 99% accuracy. 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
The ASA framework combines information-gain/Genetic-Algorithm feature selection with an optimized DNN and reports approximately 99% accuracy. 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
Material reporting/source-lineage inconsistency preserved; excluded in conservative sensitivity analysis.</ns0:t>
        </ns0:is>
      </ns0:c>
      <ns0:c r="F2436" s="21" t="inlineStr">
        <ns0:is>
          <ns0:t>https://doi.org/10.1007/s00521-025-11553-3</ns0:t>
        </ns0:is>
      </ns0:c>
      <ns0:c r="G2436" s="21" t="inlineStr">
        <ns0:is>
          <ns0:t>ChatGPT-assisted evidence recharting, 2026-09-08</ns0:t>
        </ns0:is>
      </ns0:c>
    </ns0:row>
    <ns0:row r="2437" ht="129" customHeight="1">
      <ns0:c r="A2437" s="19" t="inlineStr">
        <ns0:is>
          <ns0:t>new_415</ns0:t>
        </ns0:is>
      </ns0:c>
      <ns0:c r="B2437" s="19" t="inlineStr">
        <ns0:is>
          <ns0:t>multisite_dataset</ns0:t>
        </ns0:is>
      </ns0:c>
      <ns0:c r="C2437" s="19" t="inlineStr">
        <ns0:is>
          <ns0:t>Reported</ns0:t>
        </ns0:is>
      </ns0:c>
      <ns0:c r="D2437" s="19" t="inlineStr">
        <ns0:is>
          <ns0:t>Not ascertainable</ns0:t>
        </ns0:is>
      </ns0:c>
      <ns0:c r="E2437" s="19" t="inlineStr">
        <ns0:is>
          <ns0:t>Retained source-specific coding after review of the supplied extraction notes; not a new full-text retrieval. The ASA framework combines information-gain/Genetic-Algorithm feature selection with an optimized DNN and reports approximately 99% accuracy. 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
The ASA framework combines information-gain/Genetic-Algorithm feature selection with an optimized DNN and reports approximately 99% accuracy. 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
Material reporting/source-lineage inconsistency preserved; excluded in conservative sensitivity analysis.</ns0:t>
        </ns0:is>
      </ns0:c>
      <ns0:c r="F2437" s="19" t="inlineStr">
        <ns0:is>
          <ns0:t>https://doi.org/10.1007/s00521-025-11553-3</ns0:t>
        </ns0:is>
      </ns0:c>
      <ns0:c r="G2437" s="19" t="inlineStr">
        <ns0:is>
          <ns0:t>ChatGPT-assisted evidence recharting, 2026-09-08</ns0:t>
        </ns0:is>
      </ns0:c>
    </ns0:row>
    <ns0:row r="2438" ht="129" customHeight="1">
      <ns0:c r="A2438" s="21" t="inlineStr">
        <ns0:is>
          <ns0:t>new_415</ns0:t>
        </ns0:is>
      </ns0:c>
      <ns0:c r="B2438" s="21" t="inlineStr">
        <ns0:is>
          <ns0:t>integrity_status</ns0:t>
        </ns0:is>
      </ns0:c>
      <ns0:c r="C2438" s="21" t="inlineStr"/>
      <ns0:c r="D2438" s="21" t="inlineStr">
        <ns0:is>
          <ns0:t>Not recorded</ns0:t>
        </ns0:is>
      </ns0:c>
      <ns0:c r="E2438" s="21" t="inlineStr">
        <ns0:is>
          <ns0:t>Retained source-specific coding after review of the supplied extraction notes; not a new full-text retrieval. The ASA framework combines information-gain/Genetic-Algorithm feature selection with an optimized DNN and reports approximately 99% accuracy. 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
The ASA framework combines information-gain/Genetic-Algorithm feature selection with an optimized DNN and reports approximately 99% accuracy. 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
Material reporting/source-lineage inconsistency preserved; excluded in conservative sensitivity analysis.</ns0:t>
        </ns0:is>
      </ns0:c>
      <ns0:c r="F2438" s="21" t="inlineStr">
        <ns0:is>
          <ns0:t>https://doi.org/10.1007/s00521-025-11553-3</ns0:t>
        </ns0:is>
      </ns0:c>
      <ns0:c r="G2438" s="21" t="inlineStr">
        <ns0:is>
          <ns0:t>ChatGPT-assisted evidence recharting, 2026-09-08</ns0:t>
        </ns0:is>
      </ns0:c>
    </ns0:row>
    <ns0:row r="2439" ht="81" customHeight="1">
      <ns0:c r="A2439" s="19" t="inlineStr">
        <ns0:is>
          <ns0:t>new_416</ns0:t>
        </ns0:is>
      </ns0:c>
      <ns0:c r="B2439" s="19" t="inlineStr">
        <ns0:is>
          <ns0:t>data_source_primary</ns0:t>
        </ns0:is>
      </ns0:c>
      <ns0:c r="C2439" s="19" t="inlineStr">
        <ns0:is>
          <ns0:t>Structured / tabular data</ns0:t>
        </ns0:is>
      </ns0:c>
      <ns0:c r="D2439" s="19" t="inlineStr">
        <ns0:is>
          <ns0:t>Structured clinical/questionnaire data</ns0:t>
        </ns0:is>
      </ns0:c>
      <ns0:c r="E2439" s="19" t="inlineStr">
        <ns0:is>
          <ns0:t>Retained source-specific coding after review of the supplied extraction notes; not a new full-text retrieval. BiLSTM-CGBO is trained on harmonized Kaggle/UCI behavioral screening data and uses SHAP for feature-level explanations of screening/severity outputs. The severity target is closely tied to deterministic behavioral scoring and is not an independently clinician-annotated diagnostic endpoint; no independent external clinical cohort is provided.
Harmonized Kaggle/UCI datasets do not establish distinct clinical sites; target tied to deterministic scoring.</ns0:t>
        </ns0:is>
      </ns0:c>
      <ns0:c r="F2439" s="19" t="inlineStr">
        <ns0:is>
          <ns0:t>https://doi.org/10.1007/s42452-026-08352-3</ns0:t>
        </ns0:is>
      </ns0:c>
      <ns0:c r="G2439" s="19" t="inlineStr">
        <ns0:is>
          <ns0:t>ChatGPT-assisted evidence recharting, 2026-09-08</ns0:t>
        </ns0:is>
      </ns0:c>
    </ns0:row>
    <ns0:row r="2440" ht="81" customHeight="1">
      <ns0:c r="A2440" s="21" t="inlineStr">
        <ns0:is>
          <ns0:t>new_416</ns0:t>
        </ns0:is>
      </ns0:c>
      <ns0:c r="B2440" s="21" t="inlineStr">
        <ns0:is>
          <ns0:t>rq2_role</ns0:t>
        </ns0:is>
      </ns0:c>
      <ns0:c r="C2440" s="21" t="inlineStr">
        <ns0:is>
          <ns0:t>Proposed explainable structured-data screening classifier; no independent clinical validation</ns0:t>
        </ns0:is>
      </ns0:c>
      <ns0:c r="D2440" s="21" t="inlineStr">
        <ns0:is>
          <ns0:t>Triage/questionnaire assessment</ns0:t>
        </ns0:is>
      </ns0:c>
      <ns0:c r="E2440" s="21" t="inlineStr">
        <ns0:is>
          <ns0:t>Retained source-specific coding after review of the supplied extraction notes; not a new full-text retrieval. BiLSTM-CGBO is trained on harmonized Kaggle/UCI behavioral screening data and uses SHAP for feature-level explanations of screening/severity outputs. The severity target is closely tied to deterministic behavioral scoring and is not an independently clinician-annotated diagnostic endpoint; no independent external clinical cohort is provided.
Harmonized Kaggle/UCI datasets do not establish distinct clinical sites; target tied to deterministic scoring.</ns0:t>
        </ns0:is>
      </ns0:c>
      <ns0:c r="F2440" s="21" t="inlineStr">
        <ns0:is>
          <ns0:t>https://doi.org/10.1007/s42452-026-08352-3</ns0:t>
        </ns0:is>
      </ns0:c>
      <ns0:c r="G2440" s="21" t="inlineStr">
        <ns0:is>
          <ns0:t>ChatGPT-assisted evidence recharting, 2026-09-08</ns0:t>
        </ns0:is>
      </ns0:c>
    </ns0:row>
    <ns0:row r="2441" ht="81" customHeight="1">
      <ns0:c r="A2441" s="19" t="inlineStr">
        <ns0:is>
          <ns0:t>new_416</ns0:t>
        </ns0:is>
      </ns0:c>
      <ns0:c r="B2441" s="19" t="inlineStr">
        <ns0:is>
          <ns0:t>decision_timing</ns0:t>
        </ns0:is>
      </ns0:c>
      <ns0:c r="C2441" s="19" t="inlineStr"/>
      <ns0:c r="D2441" s="19" t="inlineStr">
        <ns0:is>
          <ns0:t>Pre-decision</ns0:t>
        </ns0:is>
      </ns0:c>
      <ns0:c r="E2441" s="19" t="inlineStr">
        <ns0:is>
          <ns0:t>Retained source-specific coding after review of the supplied extraction notes; not a new full-text retrieval. BiLSTM-CGBO is trained on harmonized Kaggle/UCI behavioral screening data and uses SHAP for feature-level explanations of screening/severity outputs. The severity target is closely tied to deterministic behavioral scoring and is not an independently clinician-annotated diagnostic endpoint; no independent external clinical cohort is provided.
Harmonized Kaggle/UCI datasets do not establish distinct clinical sites; target tied to deterministic scoring.</ns0:t>
        </ns0:is>
      </ns0:c>
      <ns0:c r="F2441" s="19" t="inlineStr">
        <ns0:is>
          <ns0:t>https://doi.org/10.1007/s42452-026-08352-3</ns0:t>
        </ns0:is>
      </ns0:c>
      <ns0:c r="G2441" s="19" t="inlineStr">
        <ns0:is>
          <ns0:t>ChatGPT-assisted evidence recharting, 2026-09-08</ns0:t>
        </ns0:is>
      </ns0:c>
    </ns0:row>
    <ns0:row r="2442" ht="81" customHeight="1">
      <ns0:c r="A2442" s="21" t="inlineStr">
        <ns0:is>
          <ns0:t>new_416</ns0:t>
        </ns0:is>
      </ns0:c>
      <ns0:c r="B2442" s="21" t="inlineStr">
        <ns0:is>
          <ns0:t>multisite_dataset</ns0:t>
        </ns0:is>
      </ns0:c>
      <ns0:c r="C2442" s="21" t="inlineStr">
        <ns0:is>
          <ns0:t>Reported</ns0:t>
        </ns0:is>
      </ns0:c>
      <ns0:c r="D2442" s="21" t="inlineStr">
        <ns0:is>
          <ns0:t>Not ascertainable</ns0:t>
        </ns0:is>
      </ns0:c>
      <ns0:c r="E2442" s="21" t="inlineStr">
        <ns0:is>
          <ns0:t>Retained source-specific coding after review of the supplied extraction notes; not a new full-text retrieval. BiLSTM-CGBO is trained on harmonized Kaggle/UCI behavioral screening data and uses SHAP for feature-level explanations of screening/severity outputs. The severity target is closely tied to deterministic behavioral scoring and is not an independently clinician-annotated diagnostic endpoint; no independent external clinical cohort is provided.
Harmonized Kaggle/UCI datasets do not establish distinct clinical sites; target tied to deterministic scoring.</ns0:t>
        </ns0:is>
      </ns0:c>
      <ns0:c r="F2442" s="21" t="inlineStr">
        <ns0:is>
          <ns0:t>https://doi.org/10.1007/s42452-026-08352-3</ns0:t>
        </ns0:is>
      </ns0:c>
      <ns0:c r="G2442" s="21" t="inlineStr">
        <ns0:is>
          <ns0:t>ChatGPT-assisted evidence recharting, 2026-09-08</ns0:t>
        </ns0:is>
      </ns0:c>
    </ns0:row>
    <ns0:row r="2443" ht="81" customHeight="1">
      <ns0:c r="A2443" s="19" t="inlineStr">
        <ns0:is>
          <ns0:t>new_416</ns0:t>
        </ns0:is>
      </ns0:c>
      <ns0:c r="B2443" s="19" t="inlineStr">
        <ns0:is>
          <ns0:t>integrity_status</ns0:t>
        </ns0:is>
      </ns0:c>
      <ns0:c r="C2443" s="19" t="inlineStr"/>
      <ns0:c r="D2443" s="19" t="inlineStr">
        <ns0:is>
          <ns0:t>Not recorded</ns0:t>
        </ns0:is>
      </ns0:c>
      <ns0:c r="E2443" s="19" t="inlineStr">
        <ns0:is>
          <ns0:t>Retained source-specific coding after review of the supplied extraction notes; not a new full-text retrieval. BiLSTM-CGBO is trained on harmonized Kaggle/UCI behavioral screening data and uses SHAP for feature-level explanations of screening/severity outputs. The severity target is closely tied to deterministic behavioral scoring and is not an independently clinician-annotated diagnostic endpoint; no independent external clinical cohort is provided.
Harmonized Kaggle/UCI datasets do not establish distinct clinical sites; target tied to deterministic scoring.</ns0:t>
        </ns0:is>
      </ns0:c>
      <ns0:c r="F2443" s="19" t="inlineStr">
        <ns0:is>
          <ns0:t>https://doi.org/10.1007/s42452-026-08352-3</ns0:t>
        </ns0:is>
      </ns0:c>
      <ns0:c r="G2443" s="19" t="inlineStr">
        <ns0:is>
          <ns0:t>ChatGPT-assisted evidence recharting, 2026-09-08</ns0:t>
        </ns0:is>
      </ns0:c>
    </ns0:row>
    <ns0:row r="2444" ht="105" customHeight="1">
      <ns0:c r="A2444" s="21" t="inlineStr">
        <ns0:is>
          <ns0:t>new_421</ns0:t>
        </ns0:is>
      </ns0:c>
      <ns0:c r="B2444" s="21" t="inlineStr">
        <ns0:is>
          <ns0:t>data_source_primary</ns0:t>
        </ns0:is>
      </ns0:c>
      <ns0:c r="C2444" s="21" t="inlineStr">
        <ns0:is>
          <ns0:t>Behavioral video / movement</ns0:t>
        </ns0:is>
      </ns0:c>
      <ns0:c r="D2444" s="21" t="inlineStr">
        <ns0:is>
          <ns0:t>Behavioral images/video/gaze/movement</ns0:t>
        </ns0:is>
      </ns0:c>
      <ns0:c r="E2444" s="21" t="inlineStr">
        <ns0:is>
          <ns0:t>Retained source-specific coding after review of the supplied extraction notes; not a new full-text retrieval. CARAT uses MediaPipe landmarks, hybrid keyframe selection, 1D convolution and contrastive learning for real-time gesture recognition/correction; data were collected with healthy and autistic children and ASD recognition accuracy is reported at 96.42%. The study validates gesture-recognition performance, not therapeutic efficacy or durable social-skill improvement. Therefore the system is intervention-oriented but not coded as confirmed clinical intervention effectiveness.
Real-time robot prototype tested with ASD participants; point-of-use technical evaluation, not established treatment efficacy.</ns0:t>
        </ns0:is>
      </ns0:c>
      <ns0:c r="F2444" s="21" t="inlineStr">
        <ns0:is>
          <ns0:t>https://doi.org/10.1109/tmrb.2026.3680976</ns0:t>
        </ns0:is>
      </ns0:c>
      <ns0:c r="G2444" s="21" t="inlineStr">
        <ns0:is>
          <ns0:t>ChatGPT-assisted evidence recharting, 2026-09-08</ns0:t>
        </ns0:is>
      </ns0:c>
    </ns0:row>
    <ns0:row r="2445" ht="105" customHeight="1">
      <ns0:c r="A2445" s="19" t="inlineStr">
        <ns0:is>
          <ns0:t>new_421</ns0:t>
        </ns0:is>
      </ns0:c>
      <ns0:c r="B2445" s="19" t="inlineStr">
        <ns0:is>
          <ns0:t>rq2_status</ns0:t>
        </ns0:is>
      </ns0:c>
      <ns0:c r="C2445" s="19" t="inlineStr">
        <ns0:is>
          <ns0:t>Proposed only</ns0:t>
        </ns0:is>
      </ns0:c>
      <ns0:c r="D2445" s="19" t="inlineStr">
        <ns0:is>
          <ns0:t>Evaluated at point of use</ns0:t>
        </ns0:is>
      </ns0:c>
      <ns0:c r="E2445" s="19" t="inlineStr">
        <ns0:is>
          <ns0:t>Retained source-specific coding after review of the supplied extraction notes; not a new full-text retrieval. CARAT uses MediaPipe landmarks, hybrid keyframe selection, 1D convolution and contrastive learning for real-time gesture recognition/correction; data were collected with healthy and autistic children and ASD recognition accuracy is reported at 96.42%. The study validates gesture-recognition performance, not therapeutic efficacy or durable social-skill improvement. Therefore the system is intervention-oriented but not coded as confirmed clinical intervention effectiveness.
Real-time robot prototype tested with ASD participants; point-of-use technical evaluation, not established treatment efficacy.</ns0:t>
        </ns0:is>
      </ns0:c>
      <ns0:c r="F2445" s="19" t="inlineStr">
        <ns0:is>
          <ns0:t>https://doi.org/10.1109/tmrb.2026.3680976</ns0:t>
        </ns0:is>
      </ns0:c>
      <ns0:c r="G2445" s="19" t="inlineStr">
        <ns0:is>
          <ns0:t>ChatGPT-assisted evidence recharting, 2026-09-08</ns0:t>
        </ns0:is>
      </ns0:c>
    </ns0:row>
    <ns0:row r="2446" ht="105" customHeight="1">
      <ns0:c r="A2446" s="21" t="inlineStr">
        <ns0:is>
          <ns0:t>new_421</ns0:t>
        </ns0:is>
      </ns0:c>
      <ns0:c r="B2446" s="21" t="inlineStr">
        <ns0:is>
          <ns0:t>rq2_role</ns0:t>
        </ns0:is>
      </ns0:c>
      <ns0:c r="C2446" s="21" t="inlineStr">
        <ns0:is>
          <ns0:t>Edge-deployed robot-assisted gesture-learning prototype evaluated with autistic children; intervention efficacy not established</ns0:t>
        </ns0:is>
      </ns0:c>
      <ns0:c r="D2446" s="21" t="inlineStr">
        <ns0:is>
          <ns0:t>Adaptive intervention</ns0:t>
        </ns0:is>
      </ns0:c>
      <ns0:c r="E2446" s="21" t="inlineStr">
        <ns0:is>
          <ns0:t>Retained source-specific coding after review of the supplied extraction notes; not a new full-text retrieval. CARAT uses MediaPipe landmarks, hybrid keyframe selection, 1D convolution and contrastive learning for real-time gesture recognition/correction; data were collected with healthy and autistic children and ASD recognition accuracy is reported at 96.42%. The study validates gesture-recognition performance, not therapeutic efficacy or durable social-skill improvement. Therefore the system is intervention-oriented but not coded as confirmed clinical intervention effectiveness.
Real-time robot prototype tested with ASD participants; point-of-use technical evaluation, not established treatment efficacy.</ns0:t>
        </ns0:is>
      </ns0:c>
      <ns0:c r="F2446" s="21" t="inlineStr">
        <ns0:is>
          <ns0:t>https://doi.org/10.1109/tmrb.2026.3680976</ns0:t>
        </ns0:is>
      </ns0:c>
      <ns0:c r="G2446" s="21" t="inlineStr">
        <ns0:is>
          <ns0:t>ChatGPT-assisted evidence recharting, 2026-09-08</ns0:t>
        </ns0:is>
      </ns0:c>
    </ns0:row>
    <ns0:row r="2447" ht="105" customHeight="1">
      <ns0:c r="A2447" s="19" t="inlineStr">
        <ns0:is>
          <ns0:t>new_421</ns0:t>
        </ns0:is>
      </ns0:c>
      <ns0:c r="B2447" s="19" t="inlineStr">
        <ns0:is>
          <ns0:t>decision_timing</ns0:t>
        </ns0:is>
      </ns0:c>
      <ns0:c r="C2447" s="19" t="inlineStr"/>
      <ns0:c r="D2447" s="19" t="inlineStr">
        <ns0:is>
          <ns0:t>Post-decision</ns0:t>
        </ns0:is>
      </ns0:c>
      <ns0:c r="E2447" s="19" t="inlineStr">
        <ns0:is>
          <ns0:t>Retained source-specific coding after review of the supplied extraction notes; not a new full-text retrieval. CARAT uses MediaPipe landmarks, hybrid keyframe selection, 1D convolution and contrastive learning for real-time gesture recognition/correction; data were collected with healthy and autistic children and ASD recognition accuracy is reported at 96.42%. The study validates gesture-recognition performance, not therapeutic efficacy or durable social-skill improvement. Therefore the system is intervention-oriented but not coded as confirmed clinical intervention effectiveness.
Real-time robot prototype tested with ASD participants; point-of-use technical evaluation, not established treatment efficacy.</ns0:t>
        </ns0:is>
      </ns0:c>
      <ns0:c r="F2447" s="19" t="inlineStr">
        <ns0:is>
          <ns0:t>https://doi.org/10.1109/tmrb.2026.3680976</ns0:t>
        </ns0:is>
      </ns0:c>
      <ns0:c r="G2447" s="19" t="inlineStr">
        <ns0:is>
          <ns0:t>ChatGPT-assisted evidence recharting, 2026-09-08</ns0:t>
        </ns0:is>
      </ns0:c>
    </ns0:row>
    <ns0:row r="2448" ht="105" customHeight="1">
      <ns0:c r="A2448" s="21" t="inlineStr">
        <ns0:is>
          <ns0:t>new_421</ns0:t>
        </ns0:is>
      </ns0:c>
      <ns0:c r="B2448" s="21" t="inlineStr">
        <ns0:is>
          <ns0:t>integrity_status</ns0:t>
        </ns0:is>
      </ns0:c>
      <ns0:c r="C2448" s="21" t="inlineStr"/>
      <ns0:c r="D2448" s="21" t="inlineStr">
        <ns0:is>
          <ns0:t>Not recorded</ns0:t>
        </ns0:is>
      </ns0:c>
      <ns0:c r="E2448" s="21" t="inlineStr">
        <ns0:is>
          <ns0:t>Retained source-specific coding after review of the supplied extraction notes; not a new full-text retrieval. CARAT uses MediaPipe landmarks, hybrid keyframe selection, 1D convolution and contrastive learning for real-time gesture recognition/correction; data were collected with healthy and autistic children and ASD recognition accuracy is reported at 96.42%. The study validates gesture-recognition performance, not therapeutic efficacy or durable social-skill improvement. Therefore the system is intervention-oriented but not coded as confirmed clinical intervention effectiveness.
Real-time robot prototype tested with ASD participants; point-of-use technical evaluation, not established treatment efficacy.</ns0:t>
        </ns0:is>
      </ns0:c>
      <ns0:c r="F2448" s="21" t="inlineStr">
        <ns0:is>
          <ns0:t>https://doi.org/10.1109/tmrb.2026.3680976</ns0:t>
        </ns0:is>
      </ns0:c>
      <ns0:c r="G2448" s="21" t="inlineStr">
        <ns0:is>
          <ns0:t>ChatGPT-assisted evidence recharting, 2026-09-08</ns0:t>
        </ns0:is>
      </ns0:c>
    </ns0:row>
    <ns0:row r="2449" ht="69" customHeight="1">
      <ns0:c r="A2449" s="19" t="inlineStr">
        <ns0:is>
          <ns0:t>new_423</ns0:t>
        </ns0:is>
      </ns0:c>
      <ns0:c r="B2449" s="19" t="inlineStr">
        <ns0:is>
          <ns0:t>data_source_primary</ns0:t>
        </ns0:is>
      </ns0:c>
      <ns0:c r="C2449" s="19" t="inlineStr">
        <ns0:is>
          <ns0:t>Multiple modalities (as coded)</ns0:t>
        </ns0:is>
      </ns0:c>
      <ns0:c r="D2449" s="19" t="inlineStr">
        <ns0:is>
          <ns0:t>Multiple source categories</ns0:t>
        </ns0:is>
      </ns0:c>
      <ns0:c r="E2449" s="19" t="inlineStr">
        <ns0:is>
          <ns0:t>Retained source-specific coding after review of the supplied extraction notes; not a new full-text retrieval. A smartwatch/cloud system combines deep-learning speaker diarization with heart-rate data; it was tested with formally diagnosed ASD participants and in naturalistic social-interaction recordings, supporting an actual monitoring workflow. Sample sizes are small and staged, and the work evaluates measurement/diarization rather than downstream clinical outcomes. Generalization across acoustic contexts, ages, devices and sites remains unproven.</ns0:t>
        </ns0:is>
      </ns0:c>
      <ns0:c r="F2449" s="19" t="inlineStr">
        <ns0:is>
          <ns0:t>https://doi.org/10.1109/access.2026.3674057</ns0:t>
        </ns0:is>
      </ns0:c>
      <ns0:c r="G2449" s="19" t="inlineStr">
        <ns0:is>
          <ns0:t>ChatGPT-assisted evidence recharting, 2026-09-08</ns0:t>
        </ns0:is>
      </ns0:c>
    </ns0:row>
    <ns0:row r="2450" ht="69" customHeight="1">
      <ns0:c r="A2450" s="21" t="inlineStr">
        <ns0:is>
          <ns0:t>new_423</ns0:t>
        </ns0:is>
      </ns0:c>
      <ns0:c r="B2450" s="21" t="inlineStr">
        <ns0:is>
          <ns0:t>rq2_status</ns0:t>
        </ns0:is>
      </ns0:c>
      <ns0:c r="C2450" s="21" t="inlineStr">
        <ns0:is>
          <ns0:t>Confirmed in workflow</ns0:t>
        </ns0:is>
      </ns0:c>
      <ns0:c r="D2450" s="21" t="inlineStr">
        <ns0:is>
          <ns0:t>Evaluated at point of use</ns0:t>
        </ns0:is>
      </ns0:c>
      <ns0:c r="E2450" s="21" t="inlineStr">
        <ns0:is>
          <ns0:t>Retained source-specific coding after review of the supplied extraction notes; not a new full-text retrieval. A smartwatch/cloud system combines deep-learning speaker diarization with heart-rate data; it was tested with formally diagnosed ASD participants and in naturalistic social-interaction recordings, supporting an actual monitoring workflow. Sample sizes are small and staged, and the work evaluates measurement/diarization rather than downstream clinical outcomes. Generalization across acoustic contexts, ages, devices and sites remains unproven.</ns0:t>
        </ns0:is>
      </ns0:c>
      <ns0:c r="F2450" s="21" t="inlineStr">
        <ns0:is>
          <ns0:t>https://doi.org/10.1109/access.2026.3674057</ns0:t>
        </ns0:is>
      </ns0:c>
      <ns0:c r="G2450" s="21" t="inlineStr">
        <ns0:is>
          <ns0:t>ChatGPT-assisted evidence recharting, 2026-09-08</ns0:t>
        </ns0:is>
      </ns0:c>
    </ns0:row>
    <ns0:row r="2451" ht="69" customHeight="1">
      <ns0:c r="A2451" s="19" t="inlineStr">
        <ns0:is>
          <ns0:t>new_423</ns0:t>
        </ns0:is>
      </ns0:c>
      <ns0:c r="B2451" s="19" t="inlineStr">
        <ns0:is>
          <ns0:t>rq2_role</ns0:t>
        </ns0:is>
      </ns0:c>
      <ns0:c r="C2451" s="19" t="inlineStr">
        <ns0:is>
          <ns0:t>Wearable monitoring workflow tested with formally diagnosed ASD participants in controlled and naturalistic settings</ns0:t>
        </ns0:is>
      </ns0:c>
      <ns0:c r="D2451" s="19" t="inlineStr">
        <ns0:is>
          <ns0:t>Monitoring/longitudinal analysis</ns0:t>
        </ns0:is>
      </ns0:c>
      <ns0:c r="E2451" s="19" t="inlineStr">
        <ns0:is>
          <ns0:t>Retained source-specific coding after review of the supplied extraction notes; not a new full-text retrieval. A smartwatch/cloud system combines deep-learning speaker diarization with heart-rate data; it was tested with formally diagnosed ASD participants and in naturalistic social-interaction recordings, supporting an actual monitoring workflow. Sample sizes are small and staged, and the work evaluates measurement/diarization rather than downstream clinical outcomes. Generalization across acoustic contexts, ages, devices and sites remains unproven.</ns0:t>
        </ns0:is>
      </ns0:c>
      <ns0:c r="F2451" s="19" t="inlineStr">
        <ns0:is>
          <ns0:t>https://doi.org/10.1109/access.2026.3674057</ns0:t>
        </ns0:is>
      </ns0:c>
      <ns0:c r="G2451" s="19" t="inlineStr">
        <ns0:is>
          <ns0:t>ChatGPT-assisted evidence recharting, 2026-09-08</ns0:t>
        </ns0:is>
      </ns0:c>
    </ns0:row>
    <ns0:row r="2452" ht="69" customHeight="1">
      <ns0:c r="A2452" s="21" t="inlineStr">
        <ns0:is>
          <ns0:t>new_423</ns0:t>
        </ns0:is>
      </ns0:c>
      <ns0:c r="B2452" s="21" t="inlineStr">
        <ns0:is>
          <ns0:t>decision_timing</ns0:t>
        </ns0:is>
      </ns0:c>
      <ns0:c r="C2452" s="21" t="inlineStr"/>
      <ns0:c r="D2452" s="21" t="inlineStr">
        <ns0:is>
          <ns0:t>Post-decision</ns0:t>
        </ns0:is>
      </ns0:c>
      <ns0:c r="E2452" s="21" t="inlineStr">
        <ns0:is>
          <ns0:t>Retained source-specific coding after review of the supplied extraction notes; not a new full-text retrieval. A smartwatch/cloud system combines deep-learning speaker diarization with heart-rate data; it was tested with formally diagnosed ASD participants and in naturalistic social-interaction recordings, supporting an actual monitoring workflow. Sample sizes are small and staged, and the work evaluates measurement/diarization rather than downstream clinical outcomes. Generalization across acoustic contexts, ages, devices and sites remains unproven.</ns0:t>
        </ns0:is>
      </ns0:c>
      <ns0:c r="F2452" s="21" t="inlineStr">
        <ns0:is>
          <ns0:t>https://doi.org/10.1109/access.2026.3674057</ns0:t>
        </ns0:is>
      </ns0:c>
      <ns0:c r="G2452" s="21" t="inlineStr">
        <ns0:is>
          <ns0:t>ChatGPT-assisted evidence recharting, 2026-09-08</ns0:t>
        </ns0:is>
      </ns0:c>
    </ns0:row>
    <ns0:row r="2453" ht="69" customHeight="1">
      <ns0:c r="A2453" s="19" t="inlineStr">
        <ns0:is>
          <ns0:t>new_423</ns0:t>
        </ns0:is>
      </ns0:c>
      <ns0:c r="B2453" s="19" t="inlineStr">
        <ns0:is>
          <ns0:t>integrity_status</ns0:t>
        </ns0:is>
      </ns0:c>
      <ns0:c r="C2453" s="19" t="inlineStr"/>
      <ns0:c r="D2453" s="19" t="inlineStr">
        <ns0:is>
          <ns0:t>Not recorded</ns0:t>
        </ns0:is>
      </ns0:c>
      <ns0:c r="E2453" s="19" t="inlineStr">
        <ns0:is>
          <ns0:t>Retained source-specific coding after review of the supplied extraction notes; not a new full-text retrieval. A smartwatch/cloud system combines deep-learning speaker diarization with heart-rate data; it was tested with formally diagnosed ASD participants and in naturalistic social-interaction recordings, supporting an actual monitoring workflow. Sample sizes are small and staged, and the work evaluates measurement/diarization rather than downstream clinical outcomes. Generalization across acoustic contexts, ages, devices and sites remains unproven.</ns0:t>
        </ns0:is>
      </ns0:c>
      <ns0:c r="F2453" s="19" t="inlineStr">
        <ns0:is>
          <ns0:t>https://doi.org/10.1109/access.2026.3674057</ns0:t>
        </ns0:is>
      </ns0:c>
      <ns0:c r="G2453" s="19" t="inlineStr">
        <ns0:is>
          <ns0:t>ChatGPT-assisted evidence recharting, 2026-09-08</ns0:t>
        </ns0:is>
      </ns0:c>
    </ns0:row>
  </ns0:sheetData>
  <ns0:autoFilter ref="A4:G2453"/>
  <ns0:mergeCells count="2">
    <ns0:mergeCell ref="A2:G2"/>
    <ns0:mergeCell ref="A1:G1"/>
  </ns0:mergeCells>
  <ns0:hyperlinks>
    <ns0:hyperlink ref="F5" ns1:id="rId1"/>
    <ns0:hyperlink ref="F6" ns1:id="rId2"/>
    <ns0:hyperlink ref="F7" ns1:id="rId3"/>
    <ns0:hyperlink ref="F8" ns1:id="rId4"/>
    <ns0:hyperlink ref="F9" ns1:id="rId5"/>
    <ns0:hyperlink ref="F10" ns1:id="rId6"/>
    <ns0:hyperlink ref="F11" ns1:id="rId7"/>
    <ns0:hyperlink ref="F12" ns1:id="rId8"/>
    <ns0:hyperlink ref="F13" ns1:id="rId9"/>
    <ns0:hyperlink ref="F14" ns1:id="rId10"/>
    <ns0:hyperlink ref="F15" ns1:id="rId11"/>
    <ns0:hyperlink ref="F16" ns1:id="rId12"/>
    <ns0:hyperlink ref="F17" ns1:id="rId13"/>
    <ns0:hyperlink ref="F18" ns1:id="rId14"/>
    <ns0:hyperlink ref="F19" ns1:id="rId15"/>
    <ns0:hyperlink ref="F20" ns1:id="rId16"/>
    <ns0:hyperlink ref="F21" ns1:id="rId17"/>
    <ns0:hyperlink ref="F22" ns1:id="rId18"/>
    <ns0:hyperlink ref="F23" ns1:id="rId19"/>
    <ns0:hyperlink ref="F24" ns1:id="rId20"/>
    <ns0:hyperlink ref="F25" ns1:id="rId21"/>
    <ns0:hyperlink ref="F26" ns1:id="rId22"/>
    <ns0:hyperlink ref="F27" ns1:id="rId23"/>
    <ns0:hyperlink ref="F28" ns1:id="rId24"/>
    <ns0:hyperlink ref="F29" ns1:id="rId25"/>
    <ns0:hyperlink ref="F30" ns1:id="rId26"/>
    <ns0:hyperlink ref="F31" ns1:id="rId27"/>
    <ns0:hyperlink ref="F32" ns1:id="rId28"/>
    <ns0:hyperlink ref="F33" ns1:id="rId29"/>
    <ns0:hyperlink ref="F34" ns1:id="rId30"/>
    <ns0:hyperlink ref="F35" ns1:id="rId31"/>
    <ns0:hyperlink ref="F36" ns1:id="rId32"/>
    <ns0:hyperlink ref="F37" ns1:id="rId33"/>
    <ns0:hyperlink ref="F38" ns1:id="rId34"/>
    <ns0:hyperlink ref="F39" ns1:id="rId35"/>
    <ns0:hyperlink ref="F40" ns1:id="rId36"/>
    <ns0:hyperlink ref="F41" ns1:id="rId37"/>
    <ns0:hyperlink ref="F42" ns1:id="rId38"/>
    <ns0:hyperlink ref="F43" ns1:id="rId39"/>
    <ns0:hyperlink ref="F44" ns1:id="rId40"/>
    <ns0:hyperlink ref="F45" ns1:id="rId41"/>
    <ns0:hyperlink ref="F46" ns1:id="rId42"/>
    <ns0:hyperlink ref="F47" ns1:id="rId43"/>
    <ns0:hyperlink ref="F48" ns1:id="rId44"/>
    <ns0:hyperlink ref="F49" ns1:id="rId45"/>
    <ns0:hyperlink ref="F50" ns1:id="rId46"/>
    <ns0:hyperlink ref="F51" ns1:id="rId47"/>
    <ns0:hyperlink ref="F52" ns1:id="rId48"/>
    <ns0:hyperlink ref="F53" ns1:id="rId49"/>
    <ns0:hyperlink ref="F54" ns1:id="rId50"/>
    <ns0:hyperlink ref="F55" ns1:id="rId51"/>
    <ns0:hyperlink ref="F56" ns1:id="rId52"/>
    <ns0:hyperlink ref="F57" ns1:id="rId53"/>
    <ns0:hyperlink ref="F58" ns1:id="rId54"/>
    <ns0:hyperlink ref="F59" ns1:id="rId55"/>
    <ns0:hyperlink ref="F60" ns1:id="rId56"/>
    <ns0:hyperlink ref="F61" ns1:id="rId57"/>
    <ns0:hyperlink ref="F62" ns1:id="rId58"/>
    <ns0:hyperlink ref="F63" ns1:id="rId59"/>
    <ns0:hyperlink ref="F64" ns1:id="rId60"/>
    <ns0:hyperlink ref="F65" ns1:id="rId61"/>
    <ns0:hyperlink ref="F66" ns1:id="rId62"/>
    <ns0:hyperlink ref="F67" ns1:id="rId63"/>
    <ns0:hyperlink ref="F68" ns1:id="rId64"/>
    <ns0:hyperlink ref="F69" ns1:id="rId65"/>
    <ns0:hyperlink ref="F70" ns1:id="rId66"/>
    <ns0:hyperlink ref="F71" ns1:id="rId67"/>
    <ns0:hyperlink ref="F72" ns1:id="rId68"/>
    <ns0:hyperlink ref="F73" ns1:id="rId69"/>
    <ns0:hyperlink ref="F74" ns1:id="rId70"/>
    <ns0:hyperlink ref="F75" ns1:id="rId71"/>
    <ns0:hyperlink ref="F76" ns1:id="rId72"/>
    <ns0:hyperlink ref="F77" ns1:id="rId73"/>
    <ns0:hyperlink ref="F78" ns1:id="rId74"/>
    <ns0:hyperlink ref="F79" ns1:id="rId75"/>
    <ns0:hyperlink ref="F80" ns1:id="rId76"/>
    <ns0:hyperlink ref="F81" ns1:id="rId77"/>
    <ns0:hyperlink ref="F82" ns1:id="rId78"/>
    <ns0:hyperlink ref="F83" ns1:id="rId79"/>
    <ns0:hyperlink ref="F84" ns1:id="rId80"/>
    <ns0:hyperlink ref="F85" ns1:id="rId81"/>
    <ns0:hyperlink ref="F86" ns1:id="rId82"/>
    <ns0:hyperlink ref="F87" ns1:id="rId83"/>
    <ns0:hyperlink ref="F88" ns1:id="rId84"/>
    <ns0:hyperlink ref="F89" ns1:id="rId85"/>
    <ns0:hyperlink ref="F90" ns1:id="rId86"/>
    <ns0:hyperlink ref="F91" ns1:id="rId87"/>
    <ns0:hyperlink ref="F92" ns1:id="rId88"/>
    <ns0:hyperlink ref="F93" ns1:id="rId89"/>
    <ns0:hyperlink ref="F94" ns1:id="rId90"/>
    <ns0:hyperlink ref="F95" ns1:id="rId91"/>
    <ns0:hyperlink ref="F96" ns1:id="rId92"/>
    <ns0:hyperlink ref="F97" ns1:id="rId93"/>
    <ns0:hyperlink ref="F98" ns1:id="rId94"/>
    <ns0:hyperlink ref="F99" ns1:id="rId95"/>
    <ns0:hyperlink ref="F100" ns1:id="rId96"/>
    <ns0:hyperlink ref="F101" ns1:id="rId97"/>
    <ns0:hyperlink ref="F102" ns1:id="rId98"/>
    <ns0:hyperlink ref="F103" ns1:id="rId99"/>
    <ns0:hyperlink ref="F104" ns1:id="rId100"/>
    <ns0:hyperlink ref="F105" ns1:id="rId101"/>
    <ns0:hyperlink ref="F106" ns1:id="rId102"/>
    <ns0:hyperlink ref="F107" ns1:id="rId103"/>
    <ns0:hyperlink ref="F108" ns1:id="rId104"/>
    <ns0:hyperlink ref="F109" ns1:id="rId105"/>
    <ns0:hyperlink ref="F110" ns1:id="rId106"/>
    <ns0:hyperlink ref="F111" ns1:id="rId107"/>
    <ns0:hyperlink ref="F112" ns1:id="rId108"/>
    <ns0:hyperlink ref="F113" ns1:id="rId109"/>
    <ns0:hyperlink ref="F114" ns1:id="rId110"/>
    <ns0:hyperlink ref="F115" ns1:id="rId111"/>
    <ns0:hyperlink ref="F116" ns1:id="rId112"/>
    <ns0:hyperlink ref="F117" ns1:id="rId113"/>
    <ns0:hyperlink ref="F118" ns1:id="rId114"/>
    <ns0:hyperlink ref="F119" ns1:id="rId115"/>
    <ns0:hyperlink ref="F120" ns1:id="rId116"/>
    <ns0:hyperlink ref="F121" ns1:id="rId117"/>
    <ns0:hyperlink ref="F122" ns1:id="rId118"/>
    <ns0:hyperlink ref="F123" ns1:id="rId119"/>
    <ns0:hyperlink ref="F124" ns1:id="rId120"/>
    <ns0:hyperlink ref="F125" ns1:id="rId121"/>
    <ns0:hyperlink ref="F126" ns1:id="rId122"/>
    <ns0:hyperlink ref="F127" ns1:id="rId123"/>
    <ns0:hyperlink ref="F128" ns1:id="rId124"/>
    <ns0:hyperlink ref="F129" ns1:id="rId125"/>
    <ns0:hyperlink ref="F130" ns1:id="rId126"/>
    <ns0:hyperlink ref="F131" ns1:id="rId127"/>
    <ns0:hyperlink ref="F132" ns1:id="rId128"/>
    <ns0:hyperlink ref="F133" ns1:id="rId129"/>
    <ns0:hyperlink ref="F134" ns1:id="rId130"/>
    <ns0:hyperlink ref="F135" ns1:id="rId131"/>
    <ns0:hyperlink ref="F136" ns1:id="rId132"/>
    <ns0:hyperlink ref="F137" ns1:id="rId133"/>
    <ns0:hyperlink ref="F138" ns1:id="rId134"/>
    <ns0:hyperlink ref="F139" ns1:id="rId135"/>
    <ns0:hyperlink ref="F140" ns1:id="rId136"/>
    <ns0:hyperlink ref="F141" ns1:id="rId137"/>
    <ns0:hyperlink ref="F142" ns1:id="rId138"/>
    <ns0:hyperlink ref="F143" ns1:id="rId139"/>
    <ns0:hyperlink ref="F144" ns1:id="rId140"/>
    <ns0:hyperlink ref="F145" ns1:id="rId141"/>
    <ns0:hyperlink ref="F146" ns1:id="rId142"/>
    <ns0:hyperlink ref="F147" ns1:id="rId143"/>
    <ns0:hyperlink ref="F148" ns1:id="rId144"/>
    <ns0:hyperlink ref="F149" ns1:id="rId145"/>
    <ns0:hyperlink ref="F150" ns1:id="rId146"/>
    <ns0:hyperlink ref="F151" ns1:id="rId147"/>
    <ns0:hyperlink ref="F152" ns1:id="rId148"/>
    <ns0:hyperlink ref="F153" ns1:id="rId149"/>
    <ns0:hyperlink ref="F154" ns1:id="rId150"/>
    <ns0:hyperlink ref="F155" ns1:id="rId151"/>
    <ns0:hyperlink ref="F156" ns1:id="rId152"/>
    <ns0:hyperlink ref="F157" ns1:id="rId153"/>
    <ns0:hyperlink ref="F158" ns1:id="rId154"/>
    <ns0:hyperlink ref="F159" ns1:id="rId155"/>
    <ns0:hyperlink ref="F160" ns1:id="rId156"/>
    <ns0:hyperlink ref="F161" ns1:id="rId157"/>
    <ns0:hyperlink ref="F162" ns1:id="rId158"/>
    <ns0:hyperlink ref="F163" ns1:id="rId159"/>
    <ns0:hyperlink ref="F164" ns1:id="rId160"/>
    <ns0:hyperlink ref="F165" ns1:id="rId161"/>
    <ns0:hyperlink ref="F166" ns1:id="rId162"/>
    <ns0:hyperlink ref="F167" ns1:id="rId163"/>
    <ns0:hyperlink ref="F168" ns1:id="rId164"/>
    <ns0:hyperlink ref="F169" ns1:id="rId165"/>
    <ns0:hyperlink ref="F170" ns1:id="rId166"/>
    <ns0:hyperlink ref="F171" ns1:id="rId167"/>
    <ns0:hyperlink ref="F172" ns1:id="rId168"/>
    <ns0:hyperlink ref="F173" ns1:id="rId169"/>
    <ns0:hyperlink ref="F174" ns1:id="rId170"/>
    <ns0:hyperlink ref="F175" ns1:id="rId171"/>
    <ns0:hyperlink ref="F176" ns1:id="rId172"/>
    <ns0:hyperlink ref="F177" ns1:id="rId173"/>
    <ns0:hyperlink ref="F178" ns1:id="rId174"/>
    <ns0:hyperlink ref="F179" ns1:id="rId175"/>
    <ns0:hyperlink ref="F180" ns1:id="rId176"/>
    <ns0:hyperlink ref="F181" ns1:id="rId177"/>
    <ns0:hyperlink ref="F182" ns1:id="rId178"/>
    <ns0:hyperlink ref="F183" ns1:id="rId179"/>
    <ns0:hyperlink ref="F184" ns1:id="rId180"/>
    <ns0:hyperlink ref="F185" ns1:id="rId181"/>
    <ns0:hyperlink ref="F186" ns1:id="rId182"/>
    <ns0:hyperlink ref="F187" ns1:id="rId183"/>
    <ns0:hyperlink ref="F188" ns1:id="rId184"/>
    <ns0:hyperlink ref="F189" ns1:id="rId185"/>
    <ns0:hyperlink ref="F190" ns1:id="rId186"/>
    <ns0:hyperlink ref="F191" ns1:id="rId187"/>
    <ns0:hyperlink ref="F192" ns1:id="rId188"/>
    <ns0:hyperlink ref="F193" ns1:id="rId189"/>
    <ns0:hyperlink ref="F194" ns1:id="rId190"/>
    <ns0:hyperlink ref="F195" ns1:id="rId191"/>
    <ns0:hyperlink ref="F196" ns1:id="rId192"/>
    <ns0:hyperlink ref="F197" ns1:id="rId193"/>
    <ns0:hyperlink ref="F198" ns1:id="rId194"/>
    <ns0:hyperlink ref="F199" ns1:id="rId195"/>
    <ns0:hyperlink ref="F200" ns1:id="rId196"/>
    <ns0:hyperlink ref="F201" ns1:id="rId197"/>
    <ns0:hyperlink ref="F202" ns1:id="rId198"/>
    <ns0:hyperlink ref="F203" ns1:id="rId199"/>
    <ns0:hyperlink ref="F204" ns1:id="rId200"/>
    <ns0:hyperlink ref="F205" ns1:id="rId201"/>
    <ns0:hyperlink ref="F206" ns1:id="rId202"/>
    <ns0:hyperlink ref="F207" ns1:id="rId203"/>
    <ns0:hyperlink ref="F208" ns1:id="rId204"/>
    <ns0:hyperlink ref="F209" ns1:id="rId205"/>
    <ns0:hyperlink ref="F210" ns1:id="rId206"/>
    <ns0:hyperlink ref="F211" ns1:id="rId207"/>
    <ns0:hyperlink ref="F212" ns1:id="rId208"/>
    <ns0:hyperlink ref="F213" ns1:id="rId209"/>
    <ns0:hyperlink ref="F214" ns1:id="rId210"/>
    <ns0:hyperlink ref="F215" ns1:id="rId211"/>
    <ns0:hyperlink ref="F216" ns1:id="rId212"/>
    <ns0:hyperlink ref="F217" ns1:id="rId213"/>
    <ns0:hyperlink ref="F218" ns1:id="rId214"/>
    <ns0:hyperlink ref="F219" ns1:id="rId215"/>
    <ns0:hyperlink ref="F220" ns1:id="rId216"/>
    <ns0:hyperlink ref="F221" ns1:id="rId217"/>
    <ns0:hyperlink ref="F222" ns1:id="rId218"/>
    <ns0:hyperlink ref="F223" ns1:id="rId219"/>
    <ns0:hyperlink ref="F224" ns1:id="rId220"/>
    <ns0:hyperlink ref="F225" ns1:id="rId221"/>
    <ns0:hyperlink ref="F226" ns1:id="rId222"/>
    <ns0:hyperlink ref="F227" ns1:id="rId223"/>
    <ns0:hyperlink ref="F228" ns1:id="rId224"/>
    <ns0:hyperlink ref="F229" ns1:id="rId225"/>
    <ns0:hyperlink ref="F230" ns1:id="rId226"/>
    <ns0:hyperlink ref="F231" ns1:id="rId227"/>
    <ns0:hyperlink ref="F232" ns1:id="rId228"/>
    <ns0:hyperlink ref="F233" ns1:id="rId229"/>
    <ns0:hyperlink ref="F234" ns1:id="rId230"/>
    <ns0:hyperlink ref="F235" ns1:id="rId231"/>
    <ns0:hyperlink ref="F236" ns1:id="rId232"/>
    <ns0:hyperlink ref="F237" ns1:id="rId233"/>
    <ns0:hyperlink ref="F238" ns1:id="rId234"/>
    <ns0:hyperlink ref="F239" ns1:id="rId235"/>
    <ns0:hyperlink ref="F240" ns1:id="rId236"/>
    <ns0:hyperlink ref="F241" ns1:id="rId237"/>
    <ns0:hyperlink ref="F242" ns1:id="rId238"/>
    <ns0:hyperlink ref="F243" ns1:id="rId239"/>
    <ns0:hyperlink ref="F244" ns1:id="rId240"/>
    <ns0:hyperlink ref="F245" ns1:id="rId241"/>
    <ns0:hyperlink ref="F246" ns1:id="rId242"/>
    <ns0:hyperlink ref="F247" ns1:id="rId243"/>
    <ns0:hyperlink ref="F248" ns1:id="rId244"/>
    <ns0:hyperlink ref="F249" ns1:id="rId245"/>
    <ns0:hyperlink ref="F250" ns1:id="rId246"/>
    <ns0:hyperlink ref="F251" ns1:id="rId247"/>
    <ns0:hyperlink ref="F252" ns1:id="rId248"/>
    <ns0:hyperlink ref="F253" ns1:id="rId249"/>
    <ns0:hyperlink ref="F254" ns1:id="rId250"/>
    <ns0:hyperlink ref="F255" ns1:id="rId251"/>
    <ns0:hyperlink ref="F256" ns1:id="rId252"/>
    <ns0:hyperlink ref="F257" ns1:id="rId253"/>
    <ns0:hyperlink ref="F258" ns1:id="rId254"/>
    <ns0:hyperlink ref="F259" ns1:id="rId255"/>
    <ns0:hyperlink ref="F260" ns1:id="rId256"/>
    <ns0:hyperlink ref="F261" ns1:id="rId257"/>
    <ns0:hyperlink ref="F262" ns1:id="rId258"/>
    <ns0:hyperlink ref="F263" ns1:id="rId259"/>
    <ns0:hyperlink ref="F264" ns1:id="rId260"/>
    <ns0:hyperlink ref="F265" ns1:id="rId261"/>
    <ns0:hyperlink ref="F266" ns1:id="rId262"/>
    <ns0:hyperlink ref="F267" ns1:id="rId263"/>
    <ns0:hyperlink ref="F268" ns1:id="rId264"/>
    <ns0:hyperlink ref="F269" ns1:id="rId265"/>
    <ns0:hyperlink ref="F270" ns1:id="rId266"/>
    <ns0:hyperlink ref="F271" ns1:id="rId267"/>
    <ns0:hyperlink ref="F272" ns1:id="rId268"/>
    <ns0:hyperlink ref="F273" ns1:id="rId269"/>
    <ns0:hyperlink ref="F274" ns1:id="rId270"/>
    <ns0:hyperlink ref="F275" ns1:id="rId271"/>
    <ns0:hyperlink ref="F276" ns1:id="rId272"/>
    <ns0:hyperlink ref="F277" ns1:id="rId273"/>
    <ns0:hyperlink ref="F278" ns1:id="rId274"/>
    <ns0:hyperlink ref="F279" ns1:id="rId275"/>
    <ns0:hyperlink ref="F280" ns1:id="rId276"/>
    <ns0:hyperlink ref="F281" ns1:id="rId277"/>
    <ns0:hyperlink ref="F282" ns1:id="rId278"/>
    <ns0:hyperlink ref="F283" ns1:id="rId279"/>
    <ns0:hyperlink ref="F284" ns1:id="rId280"/>
    <ns0:hyperlink ref="F285" ns1:id="rId281"/>
    <ns0:hyperlink ref="F286" ns1:id="rId282"/>
    <ns0:hyperlink ref="F287" ns1:id="rId283"/>
    <ns0:hyperlink ref="F288" ns1:id="rId284"/>
    <ns0:hyperlink ref="F289" ns1:id="rId285"/>
    <ns0:hyperlink ref="F290" ns1:id="rId286"/>
    <ns0:hyperlink ref="F291" ns1:id="rId287"/>
    <ns0:hyperlink ref="F292" ns1:id="rId288"/>
    <ns0:hyperlink ref="F293" ns1:id="rId289"/>
    <ns0:hyperlink ref="F294" ns1:id="rId290"/>
    <ns0:hyperlink ref="F295" ns1:id="rId291"/>
    <ns0:hyperlink ref="F296" ns1:id="rId292"/>
    <ns0:hyperlink ref="F297" ns1:id="rId293"/>
    <ns0:hyperlink ref="F298" ns1:id="rId294"/>
    <ns0:hyperlink ref="F299" ns1:id="rId295"/>
    <ns0:hyperlink ref="F300" ns1:id="rId296"/>
    <ns0:hyperlink ref="F301" ns1:id="rId297"/>
    <ns0:hyperlink ref="F302" ns1:id="rId298"/>
    <ns0:hyperlink ref="F303" ns1:id="rId299"/>
    <ns0:hyperlink ref="F304" ns1:id="rId300"/>
    <ns0:hyperlink ref="F305" ns1:id="rId301"/>
    <ns0:hyperlink ref="F306" ns1:id="rId302"/>
    <ns0:hyperlink ref="F307" ns1:id="rId303"/>
    <ns0:hyperlink ref="F308" ns1:id="rId304"/>
    <ns0:hyperlink ref="F309" ns1:id="rId305"/>
    <ns0:hyperlink ref="F310" ns1:id="rId306"/>
    <ns0:hyperlink ref="F311" ns1:id="rId307"/>
    <ns0:hyperlink ref="F312" ns1:id="rId308"/>
    <ns0:hyperlink ref="F313" ns1:id="rId309"/>
    <ns0:hyperlink ref="F314" ns1:id="rId310"/>
    <ns0:hyperlink ref="F315" ns1:id="rId311"/>
    <ns0:hyperlink ref="F316" ns1:id="rId312"/>
    <ns0:hyperlink ref="F317" ns1:id="rId313"/>
    <ns0:hyperlink ref="F318" ns1:id="rId314"/>
    <ns0:hyperlink ref="F319" ns1:id="rId315"/>
    <ns0:hyperlink ref="F320" ns1:id="rId316"/>
    <ns0:hyperlink ref="F321" ns1:id="rId317"/>
    <ns0:hyperlink ref="F322" ns1:id="rId318"/>
    <ns0:hyperlink ref="F323" ns1:id="rId319"/>
    <ns0:hyperlink ref="F324" ns1:id="rId320"/>
    <ns0:hyperlink ref="F325" ns1:id="rId321"/>
    <ns0:hyperlink ref="F326" ns1:id="rId322"/>
    <ns0:hyperlink ref="F327" ns1:id="rId323"/>
    <ns0:hyperlink ref="F328" ns1:id="rId324"/>
    <ns0:hyperlink ref="F329" ns1:id="rId325"/>
    <ns0:hyperlink ref="F330" ns1:id="rId326"/>
    <ns0:hyperlink ref="F331" ns1:id="rId327"/>
    <ns0:hyperlink ref="F332" ns1:id="rId328"/>
    <ns0:hyperlink ref="F333" ns1:id="rId329"/>
    <ns0:hyperlink ref="F334" ns1:id="rId330"/>
    <ns0:hyperlink ref="F335" ns1:id="rId331"/>
    <ns0:hyperlink ref="F336" ns1:id="rId332"/>
    <ns0:hyperlink ref="F337" ns1:id="rId333"/>
    <ns0:hyperlink ref="F338" ns1:id="rId334"/>
    <ns0:hyperlink ref="F339" ns1:id="rId335"/>
    <ns0:hyperlink ref="F340" ns1:id="rId336"/>
    <ns0:hyperlink ref="F341" ns1:id="rId337"/>
    <ns0:hyperlink ref="F342" ns1:id="rId338"/>
    <ns0:hyperlink ref="F343" ns1:id="rId339"/>
    <ns0:hyperlink ref="F344" ns1:id="rId340"/>
    <ns0:hyperlink ref="F345" ns1:id="rId341"/>
    <ns0:hyperlink ref="F346" ns1:id="rId342"/>
    <ns0:hyperlink ref="F347" ns1:id="rId343"/>
    <ns0:hyperlink ref="F348" ns1:id="rId344"/>
    <ns0:hyperlink ref="F349" ns1:id="rId345"/>
    <ns0:hyperlink ref="F350" ns1:id="rId346"/>
    <ns0:hyperlink ref="F351" ns1:id="rId347"/>
    <ns0:hyperlink ref="F352" ns1:id="rId348"/>
    <ns0:hyperlink ref="F353" ns1:id="rId349"/>
    <ns0:hyperlink ref="F354" ns1:id="rId350"/>
    <ns0:hyperlink ref="F355" ns1:id="rId351"/>
    <ns0:hyperlink ref="F356" ns1:id="rId352"/>
    <ns0:hyperlink ref="F357" ns1:id="rId353"/>
    <ns0:hyperlink ref="F358" ns1:id="rId354"/>
    <ns0:hyperlink ref="F359" ns1:id="rId355"/>
    <ns0:hyperlink ref="F360" ns1:id="rId356"/>
    <ns0:hyperlink ref="F361" ns1:id="rId357"/>
    <ns0:hyperlink ref="F362" ns1:id="rId358"/>
    <ns0:hyperlink ref="F363" ns1:id="rId359"/>
    <ns0:hyperlink ref="F364" ns1:id="rId360"/>
    <ns0:hyperlink ref="F365" ns1:id="rId361"/>
    <ns0:hyperlink ref="F366" ns1:id="rId362"/>
    <ns0:hyperlink ref="F367" ns1:id="rId363"/>
    <ns0:hyperlink ref="F368" ns1:id="rId364"/>
    <ns0:hyperlink ref="F369" ns1:id="rId365"/>
    <ns0:hyperlink ref="F370" ns1:id="rId366"/>
    <ns0:hyperlink ref="F371" ns1:id="rId367"/>
    <ns0:hyperlink ref="F372" ns1:id="rId368"/>
    <ns0:hyperlink ref="F373" ns1:id="rId369"/>
    <ns0:hyperlink ref="F374" ns1:id="rId370"/>
    <ns0:hyperlink ref="F375" ns1:id="rId371"/>
    <ns0:hyperlink ref="F376" ns1:id="rId372"/>
    <ns0:hyperlink ref="F377" ns1:id="rId373"/>
    <ns0:hyperlink ref="F378" ns1:id="rId374"/>
    <ns0:hyperlink ref="F379" ns1:id="rId375"/>
    <ns0:hyperlink ref="F380" ns1:id="rId376"/>
    <ns0:hyperlink ref="F381" ns1:id="rId377"/>
    <ns0:hyperlink ref="F382" ns1:id="rId378"/>
    <ns0:hyperlink ref="F383" ns1:id="rId379"/>
    <ns0:hyperlink ref="F384" ns1:id="rId380"/>
    <ns0:hyperlink ref="F385" ns1:id="rId381"/>
    <ns0:hyperlink ref="F386" ns1:id="rId382"/>
    <ns0:hyperlink ref="F387" ns1:id="rId383"/>
    <ns0:hyperlink ref="F388" ns1:id="rId384"/>
    <ns0:hyperlink ref="F389" ns1:id="rId385"/>
    <ns0:hyperlink ref="F390" ns1:id="rId386"/>
    <ns0:hyperlink ref="F391" ns1:id="rId387"/>
    <ns0:hyperlink ref="F392" ns1:id="rId388"/>
    <ns0:hyperlink ref="F393" ns1:id="rId389"/>
    <ns0:hyperlink ref="F394" ns1:id="rId390"/>
    <ns0:hyperlink ref="F395" ns1:id="rId391"/>
    <ns0:hyperlink ref="F396" ns1:id="rId392"/>
    <ns0:hyperlink ref="F397" ns1:id="rId393"/>
    <ns0:hyperlink ref="F398" ns1:id="rId394"/>
    <ns0:hyperlink ref="F399" ns1:id="rId395"/>
    <ns0:hyperlink ref="F400" ns1:id="rId396"/>
    <ns0:hyperlink ref="F401" ns1:id="rId397"/>
    <ns0:hyperlink ref="F402" ns1:id="rId398"/>
    <ns0:hyperlink ref="F403" ns1:id="rId399"/>
    <ns0:hyperlink ref="F404" ns1:id="rId400"/>
    <ns0:hyperlink ref="F405" ns1:id="rId401"/>
    <ns0:hyperlink ref="F406" ns1:id="rId402"/>
    <ns0:hyperlink ref="F407" ns1:id="rId403"/>
    <ns0:hyperlink ref="F408" ns1:id="rId404"/>
    <ns0:hyperlink ref="F409" ns1:id="rId405"/>
    <ns0:hyperlink ref="F410" ns1:id="rId406"/>
    <ns0:hyperlink ref="F411" ns1:id="rId407"/>
    <ns0:hyperlink ref="F412" ns1:id="rId408"/>
    <ns0:hyperlink ref="F413" ns1:id="rId409"/>
    <ns0:hyperlink ref="F414" ns1:id="rId410"/>
    <ns0:hyperlink ref="F415" ns1:id="rId411"/>
    <ns0:hyperlink ref="F416" ns1:id="rId412"/>
    <ns0:hyperlink ref="F417" ns1:id="rId413"/>
    <ns0:hyperlink ref="F418" ns1:id="rId414"/>
    <ns0:hyperlink ref="F419" ns1:id="rId415"/>
    <ns0:hyperlink ref="F420" ns1:id="rId416"/>
    <ns0:hyperlink ref="F421" ns1:id="rId417"/>
    <ns0:hyperlink ref="F422" ns1:id="rId418"/>
    <ns0:hyperlink ref="F423" ns1:id="rId419"/>
    <ns0:hyperlink ref="F424" ns1:id="rId420"/>
    <ns0:hyperlink ref="F425" ns1:id="rId421"/>
    <ns0:hyperlink ref="F426" ns1:id="rId422"/>
    <ns0:hyperlink ref="F427" ns1:id="rId423"/>
    <ns0:hyperlink ref="F428" ns1:id="rId424"/>
    <ns0:hyperlink ref="F429" ns1:id="rId425"/>
    <ns0:hyperlink ref="F430" ns1:id="rId426"/>
    <ns0:hyperlink ref="F431" ns1:id="rId427"/>
    <ns0:hyperlink ref="F432" ns1:id="rId428"/>
    <ns0:hyperlink ref="F433" ns1:id="rId429"/>
    <ns0:hyperlink ref="F434" ns1:id="rId430"/>
    <ns0:hyperlink ref="F435" ns1:id="rId431"/>
    <ns0:hyperlink ref="F436" ns1:id="rId432"/>
    <ns0:hyperlink ref="F437" ns1:id="rId433"/>
    <ns0:hyperlink ref="F438" ns1:id="rId434"/>
    <ns0:hyperlink ref="F439" ns1:id="rId435"/>
    <ns0:hyperlink ref="F440" ns1:id="rId436"/>
    <ns0:hyperlink ref="F441" ns1:id="rId437"/>
    <ns0:hyperlink ref="F442" ns1:id="rId438"/>
    <ns0:hyperlink ref="F443" ns1:id="rId439"/>
    <ns0:hyperlink ref="F444" ns1:id="rId440"/>
    <ns0:hyperlink ref="F445" ns1:id="rId441"/>
    <ns0:hyperlink ref="F446" ns1:id="rId442"/>
    <ns0:hyperlink ref="F447" ns1:id="rId443"/>
    <ns0:hyperlink ref="F448" ns1:id="rId444"/>
    <ns0:hyperlink ref="F449" ns1:id="rId445"/>
    <ns0:hyperlink ref="F450" ns1:id="rId446"/>
    <ns0:hyperlink ref="F451" ns1:id="rId447"/>
    <ns0:hyperlink ref="F452" ns1:id="rId448"/>
    <ns0:hyperlink ref="F453" ns1:id="rId449"/>
    <ns0:hyperlink ref="F454" ns1:id="rId450"/>
    <ns0:hyperlink ref="F455" ns1:id="rId451"/>
    <ns0:hyperlink ref="F456" ns1:id="rId452"/>
    <ns0:hyperlink ref="F457" ns1:id="rId453"/>
    <ns0:hyperlink ref="F458" ns1:id="rId454"/>
    <ns0:hyperlink ref="F459" ns1:id="rId455"/>
    <ns0:hyperlink ref="F460" ns1:id="rId456"/>
    <ns0:hyperlink ref="F461" ns1:id="rId457"/>
    <ns0:hyperlink ref="F462" ns1:id="rId458"/>
    <ns0:hyperlink ref="F463" ns1:id="rId459"/>
    <ns0:hyperlink ref="F464" ns1:id="rId460"/>
    <ns0:hyperlink ref="F465" ns1:id="rId461"/>
    <ns0:hyperlink ref="F466" ns1:id="rId462"/>
    <ns0:hyperlink ref="F467" ns1:id="rId463"/>
    <ns0:hyperlink ref="F468" ns1:id="rId464"/>
    <ns0:hyperlink ref="F469" ns1:id="rId465"/>
    <ns0:hyperlink ref="F470" ns1:id="rId466"/>
    <ns0:hyperlink ref="F471" ns1:id="rId467"/>
    <ns0:hyperlink ref="F472" ns1:id="rId468"/>
    <ns0:hyperlink ref="F473" ns1:id="rId469"/>
    <ns0:hyperlink ref="F474" ns1:id="rId470"/>
    <ns0:hyperlink ref="F475" ns1:id="rId471"/>
    <ns0:hyperlink ref="F476" ns1:id="rId472"/>
    <ns0:hyperlink ref="F477" ns1:id="rId473"/>
    <ns0:hyperlink ref="F478" ns1:id="rId474"/>
    <ns0:hyperlink ref="F479" ns1:id="rId475"/>
    <ns0:hyperlink ref="F480" ns1:id="rId476"/>
    <ns0:hyperlink ref="F481" ns1:id="rId477"/>
    <ns0:hyperlink ref="F482" ns1:id="rId478"/>
    <ns0:hyperlink ref="F483" ns1:id="rId479"/>
    <ns0:hyperlink ref="F484" ns1:id="rId480"/>
    <ns0:hyperlink ref="F485" ns1:id="rId481"/>
    <ns0:hyperlink ref="F486" ns1:id="rId482"/>
    <ns0:hyperlink ref="F487" ns1:id="rId483"/>
    <ns0:hyperlink ref="F488" ns1:id="rId484"/>
    <ns0:hyperlink ref="F489" ns1:id="rId485"/>
    <ns0:hyperlink ref="F490" ns1:id="rId486"/>
    <ns0:hyperlink ref="F491" ns1:id="rId487"/>
    <ns0:hyperlink ref="F492" ns1:id="rId488"/>
    <ns0:hyperlink ref="F493" ns1:id="rId489"/>
    <ns0:hyperlink ref="F494" ns1:id="rId490"/>
    <ns0:hyperlink ref="F495" ns1:id="rId491"/>
    <ns0:hyperlink ref="F496" ns1:id="rId492"/>
    <ns0:hyperlink ref="F497" ns1:id="rId493"/>
    <ns0:hyperlink ref="F498" ns1:id="rId494"/>
    <ns0:hyperlink ref="F499" ns1:id="rId495"/>
    <ns0:hyperlink ref="F500" ns1:id="rId496"/>
    <ns0:hyperlink ref="F501" ns1:id="rId497"/>
    <ns0:hyperlink ref="F502" ns1:id="rId498"/>
    <ns0:hyperlink ref="F503" ns1:id="rId499"/>
    <ns0:hyperlink ref="F504" ns1:id="rId500"/>
    <ns0:hyperlink ref="F505" ns1:id="rId501"/>
    <ns0:hyperlink ref="F506" ns1:id="rId502"/>
    <ns0:hyperlink ref="F507" ns1:id="rId503"/>
    <ns0:hyperlink ref="F508" ns1:id="rId504"/>
    <ns0:hyperlink ref="F509" ns1:id="rId505"/>
    <ns0:hyperlink ref="F510" ns1:id="rId506"/>
    <ns0:hyperlink ref="F511" ns1:id="rId507"/>
    <ns0:hyperlink ref="F512" ns1:id="rId508"/>
    <ns0:hyperlink ref="F513" ns1:id="rId509"/>
    <ns0:hyperlink ref="F514" ns1:id="rId510"/>
    <ns0:hyperlink ref="F515" ns1:id="rId511"/>
    <ns0:hyperlink ref="F516" ns1:id="rId512"/>
    <ns0:hyperlink ref="F517" ns1:id="rId513"/>
    <ns0:hyperlink ref="F518" ns1:id="rId514"/>
    <ns0:hyperlink ref="F519" ns1:id="rId515"/>
    <ns0:hyperlink ref="F520" ns1:id="rId516"/>
    <ns0:hyperlink ref="F521" ns1:id="rId517"/>
    <ns0:hyperlink ref="F522" ns1:id="rId518"/>
    <ns0:hyperlink ref="F523" ns1:id="rId519"/>
    <ns0:hyperlink ref="F524" ns1:id="rId520"/>
    <ns0:hyperlink ref="F525" ns1:id="rId521"/>
    <ns0:hyperlink ref="F526" ns1:id="rId522"/>
    <ns0:hyperlink ref="F527" ns1:id="rId523"/>
    <ns0:hyperlink ref="F528" ns1:id="rId524"/>
    <ns0:hyperlink ref="F529" ns1:id="rId525"/>
    <ns0:hyperlink ref="F530" ns1:id="rId526"/>
    <ns0:hyperlink ref="F531" ns1:id="rId527"/>
    <ns0:hyperlink ref="F532" ns1:id="rId528"/>
    <ns0:hyperlink ref="F533" ns1:id="rId529"/>
    <ns0:hyperlink ref="F534" ns1:id="rId530"/>
    <ns0:hyperlink ref="F535" ns1:id="rId531"/>
    <ns0:hyperlink ref="F536" ns1:id="rId532"/>
    <ns0:hyperlink ref="F537" ns1:id="rId533"/>
    <ns0:hyperlink ref="F538" ns1:id="rId534"/>
    <ns0:hyperlink ref="F539" ns1:id="rId535"/>
    <ns0:hyperlink ref="F540" ns1:id="rId536"/>
    <ns0:hyperlink ref="F541" ns1:id="rId537"/>
    <ns0:hyperlink ref="F542" ns1:id="rId538"/>
    <ns0:hyperlink ref="F543" ns1:id="rId539"/>
    <ns0:hyperlink ref="F544" ns1:id="rId540"/>
    <ns0:hyperlink ref="F545" ns1:id="rId541"/>
    <ns0:hyperlink ref="F546" ns1:id="rId542"/>
    <ns0:hyperlink ref="F547" ns1:id="rId543"/>
    <ns0:hyperlink ref="F548" ns1:id="rId544"/>
    <ns0:hyperlink ref="F549" ns1:id="rId545"/>
    <ns0:hyperlink ref="F550" ns1:id="rId546"/>
    <ns0:hyperlink ref="F551" ns1:id="rId547"/>
    <ns0:hyperlink ref="F552" ns1:id="rId548"/>
    <ns0:hyperlink ref="F553" ns1:id="rId549"/>
    <ns0:hyperlink ref="F554" ns1:id="rId550"/>
    <ns0:hyperlink ref="F555" ns1:id="rId551"/>
    <ns0:hyperlink ref="F556" ns1:id="rId552"/>
    <ns0:hyperlink ref="F557" ns1:id="rId553"/>
    <ns0:hyperlink ref="F558" ns1:id="rId554"/>
    <ns0:hyperlink ref="F559" ns1:id="rId555"/>
    <ns0:hyperlink ref="F560" ns1:id="rId556"/>
    <ns0:hyperlink ref="F561" ns1:id="rId557"/>
    <ns0:hyperlink ref="F562" ns1:id="rId558"/>
    <ns0:hyperlink ref="F563" ns1:id="rId559"/>
    <ns0:hyperlink ref="F564" ns1:id="rId560"/>
    <ns0:hyperlink ref="F565" ns1:id="rId561"/>
    <ns0:hyperlink ref="F566" ns1:id="rId562"/>
    <ns0:hyperlink ref="F567" ns1:id="rId563"/>
    <ns0:hyperlink ref="F568" ns1:id="rId564"/>
    <ns0:hyperlink ref="F569" ns1:id="rId565"/>
    <ns0:hyperlink ref="F570" ns1:id="rId566"/>
    <ns0:hyperlink ref="F571" ns1:id="rId567"/>
    <ns0:hyperlink ref="F572" ns1:id="rId568"/>
    <ns0:hyperlink ref="F573" ns1:id="rId569"/>
    <ns0:hyperlink ref="F574" ns1:id="rId570"/>
    <ns0:hyperlink ref="F575" ns1:id="rId571"/>
    <ns0:hyperlink ref="F576" ns1:id="rId572"/>
    <ns0:hyperlink ref="F577" ns1:id="rId573"/>
    <ns0:hyperlink ref="F578" ns1:id="rId574"/>
    <ns0:hyperlink ref="F579" ns1:id="rId575"/>
    <ns0:hyperlink ref="F580" ns1:id="rId576"/>
    <ns0:hyperlink ref="F581" ns1:id="rId577"/>
    <ns0:hyperlink ref="F582" ns1:id="rId578"/>
    <ns0:hyperlink ref="F583" ns1:id="rId579"/>
    <ns0:hyperlink ref="F584" ns1:id="rId580"/>
    <ns0:hyperlink ref="F585" ns1:id="rId581"/>
    <ns0:hyperlink ref="F586" ns1:id="rId582"/>
    <ns0:hyperlink ref="F587" ns1:id="rId583"/>
    <ns0:hyperlink ref="F588" ns1:id="rId584"/>
    <ns0:hyperlink ref="F589" ns1:id="rId585"/>
    <ns0:hyperlink ref="F590" ns1:id="rId586"/>
    <ns0:hyperlink ref="F591" ns1:id="rId587"/>
    <ns0:hyperlink ref="F592" ns1:id="rId588"/>
    <ns0:hyperlink ref="F593" ns1:id="rId589"/>
    <ns0:hyperlink ref="F594" ns1:id="rId590"/>
    <ns0:hyperlink ref="F595" ns1:id="rId591"/>
    <ns0:hyperlink ref="F596" ns1:id="rId592"/>
    <ns0:hyperlink ref="F597" ns1:id="rId593"/>
    <ns0:hyperlink ref="F598" ns1:id="rId594"/>
    <ns0:hyperlink ref="F599" ns1:id="rId595"/>
    <ns0:hyperlink ref="F600" ns1:id="rId596"/>
    <ns0:hyperlink ref="F601" ns1:id="rId597"/>
    <ns0:hyperlink ref="F602" ns1:id="rId598"/>
    <ns0:hyperlink ref="F603" ns1:id="rId599"/>
    <ns0:hyperlink ref="F604" ns1:id="rId600"/>
    <ns0:hyperlink ref="F605" ns1:id="rId601"/>
    <ns0:hyperlink ref="F606" ns1:id="rId602"/>
    <ns0:hyperlink ref="F607" ns1:id="rId603"/>
    <ns0:hyperlink ref="F608" ns1:id="rId604"/>
    <ns0:hyperlink ref="F609" ns1:id="rId605"/>
    <ns0:hyperlink ref="F610" ns1:id="rId606"/>
    <ns0:hyperlink ref="F611" ns1:id="rId607"/>
    <ns0:hyperlink ref="F612" ns1:id="rId608"/>
    <ns0:hyperlink ref="F613" ns1:id="rId609"/>
    <ns0:hyperlink ref="F614" ns1:id="rId610"/>
    <ns0:hyperlink ref="F615" ns1:id="rId611"/>
    <ns0:hyperlink ref="F616" ns1:id="rId612"/>
    <ns0:hyperlink ref="F617" ns1:id="rId613"/>
    <ns0:hyperlink ref="F618" ns1:id="rId614"/>
    <ns0:hyperlink ref="F619" ns1:id="rId615"/>
    <ns0:hyperlink ref="F620" ns1:id="rId616"/>
    <ns0:hyperlink ref="F621" ns1:id="rId617"/>
    <ns0:hyperlink ref="F622" ns1:id="rId618"/>
    <ns0:hyperlink ref="F623" ns1:id="rId619"/>
    <ns0:hyperlink ref="F624" ns1:id="rId620"/>
    <ns0:hyperlink ref="F625" ns1:id="rId621"/>
    <ns0:hyperlink ref="F626" ns1:id="rId622"/>
    <ns0:hyperlink ref="F627" ns1:id="rId623"/>
    <ns0:hyperlink ref="F628" ns1:id="rId624"/>
    <ns0:hyperlink ref="F629" ns1:id="rId625"/>
    <ns0:hyperlink ref="F630" ns1:id="rId626"/>
    <ns0:hyperlink ref="F631" ns1:id="rId627"/>
    <ns0:hyperlink ref="F632" ns1:id="rId628"/>
    <ns0:hyperlink ref="F633" ns1:id="rId629"/>
    <ns0:hyperlink ref="F634" ns1:id="rId630"/>
    <ns0:hyperlink ref="F635" ns1:id="rId631"/>
    <ns0:hyperlink ref="F636" ns1:id="rId632"/>
    <ns0:hyperlink ref="F637" ns1:id="rId633"/>
    <ns0:hyperlink ref="F638" ns1:id="rId634"/>
    <ns0:hyperlink ref="F639" ns1:id="rId635"/>
    <ns0:hyperlink ref="F640" ns1:id="rId636"/>
    <ns0:hyperlink ref="F641" ns1:id="rId637"/>
    <ns0:hyperlink ref="F642" ns1:id="rId638"/>
    <ns0:hyperlink ref="F643" ns1:id="rId639"/>
    <ns0:hyperlink ref="F644" ns1:id="rId640"/>
    <ns0:hyperlink ref="F645" ns1:id="rId641"/>
    <ns0:hyperlink ref="F646" ns1:id="rId642"/>
    <ns0:hyperlink ref="F647" ns1:id="rId643"/>
    <ns0:hyperlink ref="F648" ns1:id="rId644"/>
    <ns0:hyperlink ref="F649" ns1:id="rId645"/>
    <ns0:hyperlink ref="F650" ns1:id="rId646"/>
    <ns0:hyperlink ref="F651" ns1:id="rId647"/>
    <ns0:hyperlink ref="F652" ns1:id="rId648"/>
    <ns0:hyperlink ref="F653" ns1:id="rId649"/>
    <ns0:hyperlink ref="F654" ns1:id="rId650"/>
    <ns0:hyperlink ref="F655" ns1:id="rId651"/>
    <ns0:hyperlink ref="F656" ns1:id="rId652"/>
    <ns0:hyperlink ref="F657" ns1:id="rId653"/>
    <ns0:hyperlink ref="F658" ns1:id="rId654"/>
    <ns0:hyperlink ref="F659" ns1:id="rId655"/>
    <ns0:hyperlink ref="F660" ns1:id="rId656"/>
    <ns0:hyperlink ref="F661" ns1:id="rId657"/>
    <ns0:hyperlink ref="F662" ns1:id="rId658"/>
    <ns0:hyperlink ref="F663" ns1:id="rId659"/>
    <ns0:hyperlink ref="F664" ns1:id="rId660"/>
    <ns0:hyperlink ref="F665" ns1:id="rId661"/>
    <ns0:hyperlink ref="F666" ns1:id="rId662"/>
    <ns0:hyperlink ref="F667" ns1:id="rId663"/>
    <ns0:hyperlink ref="F668" ns1:id="rId664"/>
    <ns0:hyperlink ref="F669" ns1:id="rId665"/>
    <ns0:hyperlink ref="F670" ns1:id="rId666"/>
    <ns0:hyperlink ref="F671" ns1:id="rId667"/>
    <ns0:hyperlink ref="F672" ns1:id="rId668"/>
    <ns0:hyperlink ref="F673" ns1:id="rId669"/>
    <ns0:hyperlink ref="F674" ns1:id="rId670"/>
    <ns0:hyperlink ref="F675" ns1:id="rId671"/>
    <ns0:hyperlink ref="F676" ns1:id="rId672"/>
    <ns0:hyperlink ref="F677" ns1:id="rId673"/>
    <ns0:hyperlink ref="F678" ns1:id="rId674"/>
    <ns0:hyperlink ref="F679" ns1:id="rId675"/>
    <ns0:hyperlink ref="F680" ns1:id="rId676"/>
    <ns0:hyperlink ref="F681" ns1:id="rId677"/>
    <ns0:hyperlink ref="F682" ns1:id="rId678"/>
    <ns0:hyperlink ref="F683" ns1:id="rId679"/>
    <ns0:hyperlink ref="F684" ns1:id="rId680"/>
    <ns0:hyperlink ref="F685" ns1:id="rId681"/>
    <ns0:hyperlink ref="F686" ns1:id="rId682"/>
    <ns0:hyperlink ref="F687" ns1:id="rId683"/>
    <ns0:hyperlink ref="F688" ns1:id="rId684"/>
    <ns0:hyperlink ref="F689" ns1:id="rId685"/>
    <ns0:hyperlink ref="F690" ns1:id="rId686"/>
    <ns0:hyperlink ref="F691" ns1:id="rId687"/>
    <ns0:hyperlink ref="F692" ns1:id="rId688"/>
    <ns0:hyperlink ref="F693" ns1:id="rId689"/>
    <ns0:hyperlink ref="F694" ns1:id="rId690"/>
    <ns0:hyperlink ref="F695" ns1:id="rId691"/>
    <ns0:hyperlink ref="F696" ns1:id="rId692"/>
    <ns0:hyperlink ref="F697" ns1:id="rId693"/>
    <ns0:hyperlink ref="F698" ns1:id="rId694"/>
    <ns0:hyperlink ref="F699" ns1:id="rId695"/>
    <ns0:hyperlink ref="F700" ns1:id="rId696"/>
    <ns0:hyperlink ref="F701" ns1:id="rId697"/>
    <ns0:hyperlink ref="F702" ns1:id="rId698"/>
    <ns0:hyperlink ref="F703" ns1:id="rId699"/>
    <ns0:hyperlink ref="F704" ns1:id="rId700"/>
    <ns0:hyperlink ref="F705" ns1:id="rId701"/>
    <ns0:hyperlink ref="F706" ns1:id="rId702"/>
    <ns0:hyperlink ref="F707" ns1:id="rId703"/>
    <ns0:hyperlink ref="F708" ns1:id="rId704"/>
    <ns0:hyperlink ref="F709" ns1:id="rId705"/>
    <ns0:hyperlink ref="F710" ns1:id="rId706"/>
    <ns0:hyperlink ref="F711" ns1:id="rId707"/>
    <ns0:hyperlink ref="F712" ns1:id="rId708"/>
    <ns0:hyperlink ref="F713" ns1:id="rId709"/>
    <ns0:hyperlink ref="F714" ns1:id="rId710"/>
    <ns0:hyperlink ref="F715" ns1:id="rId711"/>
    <ns0:hyperlink ref="F716" ns1:id="rId712"/>
    <ns0:hyperlink ref="F717" ns1:id="rId713"/>
    <ns0:hyperlink ref="F718" ns1:id="rId714"/>
    <ns0:hyperlink ref="F719" ns1:id="rId715"/>
    <ns0:hyperlink ref="F720" ns1:id="rId716"/>
    <ns0:hyperlink ref="F721" ns1:id="rId717"/>
    <ns0:hyperlink ref="F722" ns1:id="rId718"/>
    <ns0:hyperlink ref="F723" ns1:id="rId719"/>
    <ns0:hyperlink ref="F724" ns1:id="rId720"/>
    <ns0:hyperlink ref="F725" ns1:id="rId721"/>
    <ns0:hyperlink ref="F726" ns1:id="rId722"/>
    <ns0:hyperlink ref="F727" ns1:id="rId723"/>
    <ns0:hyperlink ref="F728" ns1:id="rId724"/>
    <ns0:hyperlink ref="F729" ns1:id="rId725"/>
    <ns0:hyperlink ref="F730" ns1:id="rId726"/>
    <ns0:hyperlink ref="F731" ns1:id="rId727"/>
    <ns0:hyperlink ref="F732" ns1:id="rId728"/>
    <ns0:hyperlink ref="F733" ns1:id="rId729"/>
    <ns0:hyperlink ref="F734" ns1:id="rId730"/>
    <ns0:hyperlink ref="F735" ns1:id="rId731"/>
    <ns0:hyperlink ref="F736" ns1:id="rId732"/>
    <ns0:hyperlink ref="F737" ns1:id="rId733"/>
    <ns0:hyperlink ref="F738" ns1:id="rId734"/>
    <ns0:hyperlink ref="F739" ns1:id="rId735"/>
    <ns0:hyperlink ref="F740" ns1:id="rId736"/>
    <ns0:hyperlink ref="F741" ns1:id="rId737"/>
    <ns0:hyperlink ref="F742" ns1:id="rId738"/>
    <ns0:hyperlink ref="F743" ns1:id="rId739"/>
    <ns0:hyperlink ref="F744" ns1:id="rId740"/>
    <ns0:hyperlink ref="F745" ns1:id="rId741"/>
    <ns0:hyperlink ref="F746" ns1:id="rId742"/>
    <ns0:hyperlink ref="F747" ns1:id="rId743"/>
    <ns0:hyperlink ref="F748" ns1:id="rId744"/>
    <ns0:hyperlink ref="F749" ns1:id="rId745"/>
    <ns0:hyperlink ref="F750" ns1:id="rId746"/>
    <ns0:hyperlink ref="F751" ns1:id="rId747"/>
    <ns0:hyperlink ref="F752" ns1:id="rId748"/>
    <ns0:hyperlink ref="F753" ns1:id="rId749"/>
    <ns0:hyperlink ref="F754" ns1:id="rId750"/>
    <ns0:hyperlink ref="F755" ns1:id="rId751"/>
    <ns0:hyperlink ref="F756" ns1:id="rId752"/>
    <ns0:hyperlink ref="F757" ns1:id="rId753"/>
    <ns0:hyperlink ref="F758" ns1:id="rId754"/>
    <ns0:hyperlink ref="F759" ns1:id="rId755"/>
    <ns0:hyperlink ref="F760" ns1:id="rId756"/>
    <ns0:hyperlink ref="F761" ns1:id="rId757"/>
    <ns0:hyperlink ref="F762" ns1:id="rId758"/>
    <ns0:hyperlink ref="F763" ns1:id="rId759"/>
    <ns0:hyperlink ref="F764" ns1:id="rId760"/>
    <ns0:hyperlink ref="F765" ns1:id="rId761"/>
    <ns0:hyperlink ref="F766" ns1:id="rId762"/>
    <ns0:hyperlink ref="F767" ns1:id="rId763"/>
    <ns0:hyperlink ref="F768" ns1:id="rId764"/>
    <ns0:hyperlink ref="F769" ns1:id="rId765"/>
    <ns0:hyperlink ref="F770" ns1:id="rId766"/>
    <ns0:hyperlink ref="F771" ns1:id="rId767"/>
    <ns0:hyperlink ref="F772" ns1:id="rId768"/>
    <ns0:hyperlink ref="F773" ns1:id="rId769"/>
    <ns0:hyperlink ref="F774" ns1:id="rId770"/>
    <ns0:hyperlink ref="F775" ns1:id="rId771"/>
    <ns0:hyperlink ref="F776" ns1:id="rId772"/>
    <ns0:hyperlink ref="F777" ns1:id="rId773"/>
    <ns0:hyperlink ref="F778" ns1:id="rId774"/>
    <ns0:hyperlink ref="F779" ns1:id="rId775"/>
    <ns0:hyperlink ref="F780" ns1:id="rId776"/>
    <ns0:hyperlink ref="F781" ns1:id="rId777"/>
    <ns0:hyperlink ref="F782" ns1:id="rId778"/>
    <ns0:hyperlink ref="F783" ns1:id="rId779"/>
    <ns0:hyperlink ref="F784" ns1:id="rId780"/>
    <ns0:hyperlink ref="F785" ns1:id="rId781"/>
    <ns0:hyperlink ref="F786" ns1:id="rId782"/>
    <ns0:hyperlink ref="F787" ns1:id="rId783"/>
    <ns0:hyperlink ref="F788" ns1:id="rId784"/>
    <ns0:hyperlink ref="F789" ns1:id="rId785"/>
    <ns0:hyperlink ref="F790" ns1:id="rId786"/>
    <ns0:hyperlink ref="F791" ns1:id="rId787"/>
    <ns0:hyperlink ref="F792" ns1:id="rId788"/>
    <ns0:hyperlink ref="F793" ns1:id="rId789"/>
    <ns0:hyperlink ref="F794" ns1:id="rId790"/>
    <ns0:hyperlink ref="F795" ns1:id="rId791"/>
    <ns0:hyperlink ref="F796" ns1:id="rId792"/>
    <ns0:hyperlink ref="F797" ns1:id="rId793"/>
    <ns0:hyperlink ref="F798" ns1:id="rId794"/>
    <ns0:hyperlink ref="F799" ns1:id="rId795"/>
    <ns0:hyperlink ref="F800" ns1:id="rId796"/>
    <ns0:hyperlink ref="F801" ns1:id="rId797"/>
    <ns0:hyperlink ref="F802" ns1:id="rId798"/>
    <ns0:hyperlink ref="F803" ns1:id="rId799"/>
    <ns0:hyperlink ref="F804" ns1:id="rId800"/>
    <ns0:hyperlink ref="F805" ns1:id="rId801"/>
    <ns0:hyperlink ref="F806" ns1:id="rId802"/>
    <ns0:hyperlink ref="F807" ns1:id="rId803"/>
    <ns0:hyperlink ref="F808" ns1:id="rId804"/>
    <ns0:hyperlink ref="F809" ns1:id="rId805"/>
    <ns0:hyperlink ref="F810" ns1:id="rId806"/>
    <ns0:hyperlink ref="F811" ns1:id="rId807"/>
    <ns0:hyperlink ref="F812" ns1:id="rId808"/>
    <ns0:hyperlink ref="F813" ns1:id="rId809"/>
    <ns0:hyperlink ref="F814" ns1:id="rId810"/>
    <ns0:hyperlink ref="F815" ns1:id="rId811"/>
    <ns0:hyperlink ref="F816" ns1:id="rId812"/>
    <ns0:hyperlink ref="F817" ns1:id="rId813"/>
    <ns0:hyperlink ref="F818" ns1:id="rId814"/>
    <ns0:hyperlink ref="F819" ns1:id="rId815"/>
    <ns0:hyperlink ref="F820" ns1:id="rId816"/>
    <ns0:hyperlink ref="F821" ns1:id="rId817"/>
    <ns0:hyperlink ref="F822" ns1:id="rId818"/>
    <ns0:hyperlink ref="F823" ns1:id="rId819"/>
    <ns0:hyperlink ref="F824" ns1:id="rId820"/>
    <ns0:hyperlink ref="F825" ns1:id="rId821"/>
    <ns0:hyperlink ref="F826" ns1:id="rId822"/>
    <ns0:hyperlink ref="F827" ns1:id="rId823"/>
    <ns0:hyperlink ref="F828" ns1:id="rId824"/>
    <ns0:hyperlink ref="F829" ns1:id="rId825"/>
    <ns0:hyperlink ref="F830" ns1:id="rId826"/>
    <ns0:hyperlink ref="F831" ns1:id="rId827"/>
    <ns0:hyperlink ref="F832" ns1:id="rId828"/>
    <ns0:hyperlink ref="F833" ns1:id="rId829"/>
    <ns0:hyperlink ref="F834" ns1:id="rId830"/>
    <ns0:hyperlink ref="F835" ns1:id="rId831"/>
    <ns0:hyperlink ref="F836" ns1:id="rId832"/>
    <ns0:hyperlink ref="F837" ns1:id="rId833"/>
    <ns0:hyperlink ref="F838" ns1:id="rId834"/>
    <ns0:hyperlink ref="F839" ns1:id="rId835"/>
    <ns0:hyperlink ref="F840" ns1:id="rId836"/>
    <ns0:hyperlink ref="F841" ns1:id="rId837"/>
    <ns0:hyperlink ref="F842" ns1:id="rId838"/>
    <ns0:hyperlink ref="F843" ns1:id="rId839"/>
    <ns0:hyperlink ref="F844" ns1:id="rId840"/>
    <ns0:hyperlink ref="F845" ns1:id="rId841"/>
    <ns0:hyperlink ref="F846" ns1:id="rId842"/>
    <ns0:hyperlink ref="F847" ns1:id="rId843"/>
    <ns0:hyperlink ref="F848" ns1:id="rId844"/>
    <ns0:hyperlink ref="F849" ns1:id="rId845"/>
    <ns0:hyperlink ref="F850" ns1:id="rId846"/>
    <ns0:hyperlink ref="F851" ns1:id="rId847"/>
    <ns0:hyperlink ref="F852" ns1:id="rId848"/>
    <ns0:hyperlink ref="F853" ns1:id="rId849"/>
    <ns0:hyperlink ref="F854" ns1:id="rId850"/>
    <ns0:hyperlink ref="F855" ns1:id="rId851"/>
    <ns0:hyperlink ref="F856" ns1:id="rId852"/>
    <ns0:hyperlink ref="F857" ns1:id="rId853"/>
    <ns0:hyperlink ref="F858" ns1:id="rId854"/>
    <ns0:hyperlink ref="F859" ns1:id="rId855"/>
    <ns0:hyperlink ref="F860" ns1:id="rId856"/>
    <ns0:hyperlink ref="F861" ns1:id="rId857"/>
    <ns0:hyperlink ref="F862" ns1:id="rId858"/>
    <ns0:hyperlink ref="F863" ns1:id="rId859"/>
    <ns0:hyperlink ref="F864" ns1:id="rId860"/>
    <ns0:hyperlink ref="F865" ns1:id="rId861"/>
    <ns0:hyperlink ref="F866" ns1:id="rId862"/>
    <ns0:hyperlink ref="F867" ns1:id="rId863"/>
    <ns0:hyperlink ref="F868" ns1:id="rId864"/>
    <ns0:hyperlink ref="F869" ns1:id="rId865"/>
    <ns0:hyperlink ref="F870" ns1:id="rId866"/>
    <ns0:hyperlink ref="F871" ns1:id="rId867"/>
    <ns0:hyperlink ref="F872" ns1:id="rId868"/>
    <ns0:hyperlink ref="F873" ns1:id="rId869"/>
    <ns0:hyperlink ref="F874" ns1:id="rId870"/>
    <ns0:hyperlink ref="F875" ns1:id="rId871"/>
    <ns0:hyperlink ref="F876" ns1:id="rId872"/>
    <ns0:hyperlink ref="F877" ns1:id="rId873"/>
    <ns0:hyperlink ref="F878" ns1:id="rId874"/>
    <ns0:hyperlink ref="F879" ns1:id="rId875"/>
    <ns0:hyperlink ref="F880" ns1:id="rId876"/>
    <ns0:hyperlink ref="F881" ns1:id="rId877"/>
    <ns0:hyperlink ref="F882" ns1:id="rId878"/>
    <ns0:hyperlink ref="F883" ns1:id="rId879"/>
    <ns0:hyperlink ref="F884" ns1:id="rId880"/>
    <ns0:hyperlink ref="F885" ns1:id="rId881"/>
    <ns0:hyperlink ref="F886" ns1:id="rId882"/>
    <ns0:hyperlink ref="F887" ns1:id="rId883"/>
    <ns0:hyperlink ref="F888" ns1:id="rId884"/>
    <ns0:hyperlink ref="F889" ns1:id="rId885"/>
    <ns0:hyperlink ref="F890" ns1:id="rId886"/>
    <ns0:hyperlink ref="F891" ns1:id="rId887"/>
    <ns0:hyperlink ref="F892" ns1:id="rId888"/>
    <ns0:hyperlink ref="F893" ns1:id="rId889"/>
    <ns0:hyperlink ref="F894" ns1:id="rId890"/>
    <ns0:hyperlink ref="F895" ns1:id="rId891"/>
    <ns0:hyperlink ref="F896" ns1:id="rId892"/>
    <ns0:hyperlink ref="F897" ns1:id="rId893"/>
    <ns0:hyperlink ref="F898" ns1:id="rId894"/>
    <ns0:hyperlink ref="F899" ns1:id="rId895"/>
    <ns0:hyperlink ref="F900" ns1:id="rId896"/>
    <ns0:hyperlink ref="F901" ns1:id="rId897"/>
    <ns0:hyperlink ref="F902" ns1:id="rId898"/>
    <ns0:hyperlink ref="F903" ns1:id="rId899"/>
    <ns0:hyperlink ref="F904" ns1:id="rId900"/>
    <ns0:hyperlink ref="F905" ns1:id="rId901"/>
    <ns0:hyperlink ref="F906" ns1:id="rId902"/>
    <ns0:hyperlink ref="F907" ns1:id="rId903"/>
    <ns0:hyperlink ref="F908" ns1:id="rId904"/>
    <ns0:hyperlink ref="F909" ns1:id="rId905"/>
    <ns0:hyperlink ref="F910" ns1:id="rId906"/>
    <ns0:hyperlink ref="F911" ns1:id="rId907"/>
    <ns0:hyperlink ref="F912" ns1:id="rId908"/>
    <ns0:hyperlink ref="F913" ns1:id="rId909"/>
    <ns0:hyperlink ref="F914" ns1:id="rId910"/>
    <ns0:hyperlink ref="F915" ns1:id="rId911"/>
    <ns0:hyperlink ref="F916" ns1:id="rId912"/>
    <ns0:hyperlink ref="F917" ns1:id="rId913"/>
    <ns0:hyperlink ref="F918" ns1:id="rId914"/>
    <ns0:hyperlink ref="F919" ns1:id="rId915"/>
    <ns0:hyperlink ref="F920" ns1:id="rId916"/>
    <ns0:hyperlink ref="F921" ns1:id="rId917"/>
    <ns0:hyperlink ref="F922" ns1:id="rId918"/>
    <ns0:hyperlink ref="F923" ns1:id="rId919"/>
    <ns0:hyperlink ref="F924" ns1:id="rId920"/>
    <ns0:hyperlink ref="F925" ns1:id="rId921"/>
    <ns0:hyperlink ref="F926" ns1:id="rId922"/>
    <ns0:hyperlink ref="F927" ns1:id="rId923"/>
    <ns0:hyperlink ref="F928" ns1:id="rId924"/>
    <ns0:hyperlink ref="F929" ns1:id="rId925"/>
    <ns0:hyperlink ref="F930" ns1:id="rId926"/>
    <ns0:hyperlink ref="F931" ns1:id="rId927"/>
    <ns0:hyperlink ref="F932" ns1:id="rId928"/>
    <ns0:hyperlink ref="F933" ns1:id="rId929"/>
    <ns0:hyperlink ref="F934" ns1:id="rId930"/>
    <ns0:hyperlink ref="F935" ns1:id="rId931"/>
    <ns0:hyperlink ref="F936" ns1:id="rId932"/>
    <ns0:hyperlink ref="F937" ns1:id="rId933"/>
    <ns0:hyperlink ref="F938" ns1:id="rId934"/>
    <ns0:hyperlink ref="F939" ns1:id="rId935"/>
    <ns0:hyperlink ref="F940" ns1:id="rId936"/>
    <ns0:hyperlink ref="F941" ns1:id="rId937"/>
    <ns0:hyperlink ref="F942" ns1:id="rId938"/>
    <ns0:hyperlink ref="F943" ns1:id="rId939"/>
    <ns0:hyperlink ref="F944" ns1:id="rId940"/>
    <ns0:hyperlink ref="F945" ns1:id="rId941"/>
    <ns0:hyperlink ref="F946" ns1:id="rId942"/>
    <ns0:hyperlink ref="F947" ns1:id="rId943"/>
    <ns0:hyperlink ref="F948" ns1:id="rId944"/>
    <ns0:hyperlink ref="F949" ns1:id="rId945"/>
    <ns0:hyperlink ref="F950" ns1:id="rId946"/>
    <ns0:hyperlink ref="F951" ns1:id="rId947"/>
    <ns0:hyperlink ref="F952" ns1:id="rId948"/>
    <ns0:hyperlink ref="F953" ns1:id="rId949"/>
    <ns0:hyperlink ref="F954" ns1:id="rId950"/>
    <ns0:hyperlink ref="F955" ns1:id="rId951"/>
    <ns0:hyperlink ref="F956" ns1:id="rId952"/>
    <ns0:hyperlink ref="F957" ns1:id="rId953"/>
    <ns0:hyperlink ref="F958" ns1:id="rId954"/>
    <ns0:hyperlink ref="F959" ns1:id="rId955"/>
    <ns0:hyperlink ref="F960" ns1:id="rId956"/>
    <ns0:hyperlink ref="F961" ns1:id="rId957"/>
    <ns0:hyperlink ref="F962" ns1:id="rId958"/>
    <ns0:hyperlink ref="F963" ns1:id="rId959"/>
    <ns0:hyperlink ref="F964" ns1:id="rId960"/>
    <ns0:hyperlink ref="F965" ns1:id="rId961"/>
    <ns0:hyperlink ref="F966" ns1:id="rId962"/>
    <ns0:hyperlink ref="F967" ns1:id="rId963"/>
    <ns0:hyperlink ref="F968" ns1:id="rId964"/>
    <ns0:hyperlink ref="F969" ns1:id="rId965"/>
    <ns0:hyperlink ref="F970" ns1:id="rId966"/>
    <ns0:hyperlink ref="F971" ns1:id="rId967"/>
    <ns0:hyperlink ref="F972" ns1:id="rId968"/>
    <ns0:hyperlink ref="F973" ns1:id="rId969"/>
    <ns0:hyperlink ref="F974" ns1:id="rId970"/>
    <ns0:hyperlink ref="F975" ns1:id="rId971"/>
    <ns0:hyperlink ref="F976" ns1:id="rId972"/>
    <ns0:hyperlink ref="F977" ns1:id="rId973"/>
    <ns0:hyperlink ref="F978" ns1:id="rId974"/>
    <ns0:hyperlink ref="F979" ns1:id="rId975"/>
    <ns0:hyperlink ref="F980" ns1:id="rId976"/>
    <ns0:hyperlink ref="F981" ns1:id="rId977"/>
    <ns0:hyperlink ref="F982" ns1:id="rId978"/>
    <ns0:hyperlink ref="F983" ns1:id="rId979"/>
    <ns0:hyperlink ref="F984" ns1:id="rId980"/>
    <ns0:hyperlink ref="F985" ns1:id="rId981"/>
    <ns0:hyperlink ref="F986" ns1:id="rId982"/>
    <ns0:hyperlink ref="F987" ns1:id="rId983"/>
    <ns0:hyperlink ref="F988" ns1:id="rId984"/>
    <ns0:hyperlink ref="F989" ns1:id="rId985"/>
    <ns0:hyperlink ref="F990" ns1:id="rId986"/>
    <ns0:hyperlink ref="F991" ns1:id="rId987"/>
    <ns0:hyperlink ref="F992" ns1:id="rId988"/>
    <ns0:hyperlink ref="F993" ns1:id="rId989"/>
    <ns0:hyperlink ref="F994" ns1:id="rId990"/>
    <ns0:hyperlink ref="F995" ns1:id="rId991"/>
    <ns0:hyperlink ref="F996" ns1:id="rId992"/>
    <ns0:hyperlink ref="F997" ns1:id="rId993"/>
    <ns0:hyperlink ref="F998" ns1:id="rId994"/>
    <ns0:hyperlink ref="F999" ns1:id="rId995"/>
    <ns0:hyperlink ref="F1000" ns1:id="rId996"/>
    <ns0:hyperlink ref="F1001" ns1:id="rId997"/>
    <ns0:hyperlink ref="F1002" ns1:id="rId998"/>
    <ns0:hyperlink ref="F1003" ns1:id="rId999"/>
    <ns0:hyperlink ref="F1004" ns1:id="rId1000"/>
    <ns0:hyperlink ref="F1005" ns1:id="rId1001"/>
    <ns0:hyperlink ref="F1006" ns1:id="rId1002"/>
    <ns0:hyperlink ref="F1007" ns1:id="rId1003"/>
    <ns0:hyperlink ref="F1008" ns1:id="rId1004"/>
    <ns0:hyperlink ref="F1009" ns1:id="rId1005"/>
    <ns0:hyperlink ref="F1010" ns1:id="rId1006"/>
    <ns0:hyperlink ref="F1011" ns1:id="rId1007"/>
    <ns0:hyperlink ref="F1012" ns1:id="rId1008"/>
    <ns0:hyperlink ref="F1013" ns1:id="rId1009"/>
    <ns0:hyperlink ref="F1014" ns1:id="rId1010"/>
    <ns0:hyperlink ref="F1015" ns1:id="rId1011"/>
    <ns0:hyperlink ref="F1016" ns1:id="rId1012"/>
    <ns0:hyperlink ref="F1017" ns1:id="rId1013"/>
    <ns0:hyperlink ref="F1018" ns1:id="rId1014"/>
    <ns0:hyperlink ref="F1019" ns1:id="rId1015"/>
    <ns0:hyperlink ref="F1020" ns1:id="rId1016"/>
    <ns0:hyperlink ref="F1021" ns1:id="rId1017"/>
    <ns0:hyperlink ref="F1022" ns1:id="rId1018"/>
    <ns0:hyperlink ref="F1023" ns1:id="rId1019"/>
    <ns0:hyperlink ref="F1024" ns1:id="rId1020"/>
    <ns0:hyperlink ref="F1025" ns1:id="rId1021"/>
    <ns0:hyperlink ref="F1026" ns1:id="rId1022"/>
    <ns0:hyperlink ref="F1027" ns1:id="rId1023"/>
    <ns0:hyperlink ref="F1028" ns1:id="rId1024"/>
    <ns0:hyperlink ref="F1029" ns1:id="rId1025"/>
    <ns0:hyperlink ref="F1030" ns1:id="rId1026"/>
    <ns0:hyperlink ref="F1031" ns1:id="rId1027"/>
    <ns0:hyperlink ref="F1032" ns1:id="rId1028"/>
    <ns0:hyperlink ref="F1033" ns1:id="rId1029"/>
    <ns0:hyperlink ref="F1034" ns1:id="rId1030"/>
    <ns0:hyperlink ref="F1035" ns1:id="rId1031"/>
    <ns0:hyperlink ref="F1036" ns1:id="rId1032"/>
    <ns0:hyperlink ref="F1037" ns1:id="rId1033"/>
    <ns0:hyperlink ref="F1038" ns1:id="rId1034"/>
    <ns0:hyperlink ref="F1039" ns1:id="rId1035"/>
    <ns0:hyperlink ref="F1040" ns1:id="rId1036"/>
    <ns0:hyperlink ref="F1041" ns1:id="rId1037"/>
    <ns0:hyperlink ref="F1042" ns1:id="rId1038"/>
    <ns0:hyperlink ref="F1043" ns1:id="rId1039"/>
    <ns0:hyperlink ref="F1044" ns1:id="rId1040"/>
    <ns0:hyperlink ref="F1045" ns1:id="rId1041"/>
    <ns0:hyperlink ref="F1046" ns1:id="rId1042"/>
    <ns0:hyperlink ref="F1047" ns1:id="rId1043"/>
    <ns0:hyperlink ref="F1048" ns1:id="rId1044"/>
    <ns0:hyperlink ref="F1049" ns1:id="rId1045"/>
    <ns0:hyperlink ref="F1050" ns1:id="rId1046"/>
    <ns0:hyperlink ref="F1051" ns1:id="rId1047"/>
    <ns0:hyperlink ref="F1052" ns1:id="rId1048"/>
    <ns0:hyperlink ref="F1053" ns1:id="rId1049"/>
    <ns0:hyperlink ref="F1054" ns1:id="rId1050"/>
    <ns0:hyperlink ref="F1055" ns1:id="rId1051"/>
    <ns0:hyperlink ref="F1056" ns1:id="rId1052"/>
    <ns0:hyperlink ref="F1057" ns1:id="rId1053"/>
    <ns0:hyperlink ref="F1058" ns1:id="rId1054"/>
    <ns0:hyperlink ref="F1059" ns1:id="rId1055"/>
    <ns0:hyperlink ref="F1060" ns1:id="rId1056"/>
    <ns0:hyperlink ref="F1061" ns1:id="rId1057"/>
    <ns0:hyperlink ref="F1062" ns1:id="rId1058"/>
    <ns0:hyperlink ref="F1063" ns1:id="rId1059"/>
    <ns0:hyperlink ref="F1064" ns1:id="rId1060"/>
    <ns0:hyperlink ref="F1065" ns1:id="rId1061"/>
    <ns0:hyperlink ref="F1066" ns1:id="rId1062"/>
    <ns0:hyperlink ref="F1067" ns1:id="rId1063"/>
    <ns0:hyperlink ref="F1068" ns1:id="rId1064"/>
    <ns0:hyperlink ref="F1069" ns1:id="rId1065"/>
    <ns0:hyperlink ref="F1070" ns1:id="rId1066"/>
    <ns0:hyperlink ref="F1071" ns1:id="rId1067"/>
    <ns0:hyperlink ref="F1072" ns1:id="rId1068"/>
    <ns0:hyperlink ref="F1073" ns1:id="rId1069"/>
    <ns0:hyperlink ref="F1074" ns1:id="rId1070"/>
    <ns0:hyperlink ref="F1075" ns1:id="rId1071"/>
    <ns0:hyperlink ref="F1076" ns1:id="rId1072"/>
    <ns0:hyperlink ref="F1077" ns1:id="rId1073"/>
    <ns0:hyperlink ref="F1078" ns1:id="rId1074"/>
    <ns0:hyperlink ref="F1079" ns1:id="rId1075"/>
    <ns0:hyperlink ref="F1080" ns1:id="rId1076"/>
    <ns0:hyperlink ref="F1081" ns1:id="rId1077"/>
    <ns0:hyperlink ref="F1082" ns1:id="rId1078"/>
    <ns0:hyperlink ref="F1083" ns1:id="rId1079"/>
    <ns0:hyperlink ref="F1084" ns1:id="rId1080"/>
    <ns0:hyperlink ref="F1085" ns1:id="rId1081"/>
    <ns0:hyperlink ref="F1086" ns1:id="rId1082"/>
    <ns0:hyperlink ref="F1087" ns1:id="rId1083"/>
    <ns0:hyperlink ref="F1088" ns1:id="rId1084"/>
    <ns0:hyperlink ref="F1089" ns1:id="rId1085"/>
    <ns0:hyperlink ref="F1090" ns1:id="rId1086"/>
    <ns0:hyperlink ref="F1091" ns1:id="rId1087"/>
    <ns0:hyperlink ref="F1092" ns1:id="rId1088"/>
    <ns0:hyperlink ref="F1093" ns1:id="rId1089"/>
    <ns0:hyperlink ref="F1094" ns1:id="rId1090"/>
    <ns0:hyperlink ref="F1095" ns1:id="rId1091"/>
    <ns0:hyperlink ref="F1096" ns1:id="rId1092"/>
    <ns0:hyperlink ref="F1097" ns1:id="rId1093"/>
    <ns0:hyperlink ref="F1098" ns1:id="rId1094"/>
    <ns0:hyperlink ref="F1099" ns1:id="rId1095"/>
    <ns0:hyperlink ref="F1100" ns1:id="rId1096"/>
    <ns0:hyperlink ref="F1101" ns1:id="rId1097"/>
    <ns0:hyperlink ref="F1102" ns1:id="rId1098"/>
    <ns0:hyperlink ref="F1103" ns1:id="rId1099"/>
    <ns0:hyperlink ref="F1104" ns1:id="rId1100"/>
    <ns0:hyperlink ref="F1105" ns1:id="rId1101"/>
    <ns0:hyperlink ref="F1106" ns1:id="rId1102"/>
    <ns0:hyperlink ref="F1107" ns1:id="rId1103"/>
    <ns0:hyperlink ref="F1108" ns1:id="rId1104"/>
    <ns0:hyperlink ref="F1109" ns1:id="rId1105"/>
    <ns0:hyperlink ref="F1110" ns1:id="rId1106"/>
    <ns0:hyperlink ref="F1111" ns1:id="rId1107"/>
    <ns0:hyperlink ref="F1112" ns1:id="rId1108"/>
    <ns0:hyperlink ref="F1113" ns1:id="rId1109"/>
    <ns0:hyperlink ref="F1114" ns1:id="rId1110"/>
    <ns0:hyperlink ref="F1115" ns1:id="rId1111"/>
    <ns0:hyperlink ref="F1116" ns1:id="rId1112"/>
    <ns0:hyperlink ref="F1117" ns1:id="rId1113"/>
    <ns0:hyperlink ref="F1118" ns1:id="rId1114"/>
    <ns0:hyperlink ref="F1119" ns1:id="rId1115"/>
    <ns0:hyperlink ref="F1120" ns1:id="rId1116"/>
    <ns0:hyperlink ref="F1121" ns1:id="rId1117"/>
    <ns0:hyperlink ref="F1122" ns1:id="rId1118"/>
    <ns0:hyperlink ref="F1123" ns1:id="rId1119"/>
    <ns0:hyperlink ref="F1124" ns1:id="rId1120"/>
    <ns0:hyperlink ref="F1125" ns1:id="rId1121"/>
    <ns0:hyperlink ref="F1126" ns1:id="rId1122"/>
    <ns0:hyperlink ref="F1127" ns1:id="rId1123"/>
    <ns0:hyperlink ref="F1128" ns1:id="rId1124"/>
    <ns0:hyperlink ref="F1129" ns1:id="rId1125"/>
    <ns0:hyperlink ref="F1130" ns1:id="rId1126"/>
    <ns0:hyperlink ref="F1131" ns1:id="rId1127"/>
    <ns0:hyperlink ref="F1132" ns1:id="rId1128"/>
    <ns0:hyperlink ref="F1133" ns1:id="rId1129"/>
    <ns0:hyperlink ref="F1134" ns1:id="rId1130"/>
    <ns0:hyperlink ref="F1135" ns1:id="rId1131"/>
    <ns0:hyperlink ref="F1136" ns1:id="rId1132"/>
    <ns0:hyperlink ref="F1137" ns1:id="rId1133"/>
    <ns0:hyperlink ref="F1138" ns1:id="rId1134"/>
    <ns0:hyperlink ref="F1139" ns1:id="rId1135"/>
    <ns0:hyperlink ref="F1140" ns1:id="rId1136"/>
    <ns0:hyperlink ref="F1141" ns1:id="rId1137"/>
    <ns0:hyperlink ref="F1142" ns1:id="rId1138"/>
    <ns0:hyperlink ref="F1143" ns1:id="rId1139"/>
    <ns0:hyperlink ref="F1144" ns1:id="rId1140"/>
    <ns0:hyperlink ref="F1145" ns1:id="rId1141"/>
    <ns0:hyperlink ref="F1146" ns1:id="rId1142"/>
    <ns0:hyperlink ref="F1147" ns1:id="rId1143"/>
    <ns0:hyperlink ref="F1148" ns1:id="rId1144"/>
    <ns0:hyperlink ref="F1149" ns1:id="rId1145"/>
    <ns0:hyperlink ref="F1150" ns1:id="rId1146"/>
    <ns0:hyperlink ref="F1151" ns1:id="rId1147"/>
    <ns0:hyperlink ref="F1152" ns1:id="rId1148"/>
    <ns0:hyperlink ref="F1153" ns1:id="rId1149"/>
    <ns0:hyperlink ref="F1154" ns1:id="rId1150"/>
    <ns0:hyperlink ref="F1155" ns1:id="rId1151"/>
    <ns0:hyperlink ref="F1156" ns1:id="rId1152"/>
    <ns0:hyperlink ref="F1157" ns1:id="rId1153"/>
    <ns0:hyperlink ref="F1158" ns1:id="rId1154"/>
    <ns0:hyperlink ref="F1159" ns1:id="rId1155"/>
    <ns0:hyperlink ref="F1160" ns1:id="rId1156"/>
    <ns0:hyperlink ref="F1161" ns1:id="rId1157"/>
    <ns0:hyperlink ref="F1162" ns1:id="rId1158"/>
    <ns0:hyperlink ref="F1163" ns1:id="rId1159"/>
    <ns0:hyperlink ref="F1164" ns1:id="rId1160"/>
    <ns0:hyperlink ref="F1165" ns1:id="rId1161"/>
    <ns0:hyperlink ref="F1166" ns1:id="rId1162"/>
    <ns0:hyperlink ref="F1167" ns1:id="rId1163"/>
    <ns0:hyperlink ref="F1168" ns1:id="rId1164"/>
    <ns0:hyperlink ref="F1169" ns1:id="rId1165"/>
    <ns0:hyperlink ref="F1170" ns1:id="rId1166"/>
    <ns0:hyperlink ref="F1171" ns1:id="rId1167"/>
    <ns0:hyperlink ref="F1172" ns1:id="rId1168"/>
    <ns0:hyperlink ref="F1173" ns1:id="rId1169"/>
    <ns0:hyperlink ref="F1174" ns1:id="rId1170"/>
    <ns0:hyperlink ref="F1175" ns1:id="rId1171"/>
    <ns0:hyperlink ref="F1176" ns1:id="rId1172"/>
    <ns0:hyperlink ref="F1177" ns1:id="rId1173"/>
    <ns0:hyperlink ref="F1178" ns1:id="rId1174"/>
    <ns0:hyperlink ref="F1179" ns1:id="rId1175"/>
    <ns0:hyperlink ref="F1180" ns1:id="rId1176"/>
    <ns0:hyperlink ref="F1181" ns1:id="rId1177"/>
    <ns0:hyperlink ref="F1182" ns1:id="rId1178"/>
    <ns0:hyperlink ref="F1183" ns1:id="rId1179"/>
    <ns0:hyperlink ref="F1184" ns1:id="rId1180"/>
    <ns0:hyperlink ref="F1185" ns1:id="rId1181"/>
    <ns0:hyperlink ref="F1186" ns1:id="rId1182"/>
    <ns0:hyperlink ref="F1187" ns1:id="rId1183"/>
    <ns0:hyperlink ref="F1188" ns1:id="rId1184"/>
    <ns0:hyperlink ref="F1189" ns1:id="rId1185"/>
    <ns0:hyperlink ref="F1190" ns1:id="rId1186"/>
    <ns0:hyperlink ref="F1191" ns1:id="rId1187"/>
    <ns0:hyperlink ref="F1192" ns1:id="rId1188"/>
    <ns0:hyperlink ref="F1193" ns1:id="rId1189"/>
    <ns0:hyperlink ref="F1194" ns1:id="rId1190"/>
    <ns0:hyperlink ref="F1195" ns1:id="rId1191"/>
    <ns0:hyperlink ref="F1196" ns1:id="rId1192"/>
    <ns0:hyperlink ref="F1197" ns1:id="rId1193"/>
    <ns0:hyperlink ref="F1198" ns1:id="rId1194"/>
    <ns0:hyperlink ref="F1199" ns1:id="rId1195"/>
    <ns0:hyperlink ref="F1200" ns1:id="rId1196"/>
    <ns0:hyperlink ref="F1201" ns1:id="rId1197"/>
    <ns0:hyperlink ref="F1202" ns1:id="rId1198"/>
    <ns0:hyperlink ref="F1203" ns1:id="rId1199"/>
    <ns0:hyperlink ref="F1204" ns1:id="rId1200"/>
    <ns0:hyperlink ref="F1205" ns1:id="rId1201"/>
    <ns0:hyperlink ref="F1206" ns1:id="rId1202"/>
    <ns0:hyperlink ref="F1207" ns1:id="rId1203"/>
    <ns0:hyperlink ref="F1208" ns1:id="rId1204"/>
    <ns0:hyperlink ref="F1209" ns1:id="rId1205"/>
    <ns0:hyperlink ref="F1210" ns1:id="rId1206"/>
    <ns0:hyperlink ref="F1211" ns1:id="rId1207"/>
    <ns0:hyperlink ref="F1212" ns1:id="rId1208"/>
    <ns0:hyperlink ref="F1213" ns1:id="rId1209"/>
    <ns0:hyperlink ref="F1214" ns1:id="rId1210"/>
    <ns0:hyperlink ref="F1215" ns1:id="rId1211"/>
    <ns0:hyperlink ref="F1216" ns1:id="rId1212"/>
    <ns0:hyperlink ref="F1217" ns1:id="rId1213"/>
    <ns0:hyperlink ref="F1218" ns1:id="rId1214"/>
    <ns0:hyperlink ref="F1219" ns1:id="rId1215"/>
    <ns0:hyperlink ref="F1220" ns1:id="rId1216"/>
    <ns0:hyperlink ref="F1221" ns1:id="rId1217"/>
    <ns0:hyperlink ref="F1222" ns1:id="rId1218"/>
    <ns0:hyperlink ref="F1223" ns1:id="rId1219"/>
    <ns0:hyperlink ref="F1224" ns1:id="rId1220"/>
    <ns0:hyperlink ref="F1225" ns1:id="rId1221"/>
    <ns0:hyperlink ref="F1226" ns1:id="rId1222"/>
    <ns0:hyperlink ref="F1227" ns1:id="rId1223"/>
    <ns0:hyperlink ref="F1228" ns1:id="rId1224"/>
    <ns0:hyperlink ref="F1229" ns1:id="rId1225"/>
    <ns0:hyperlink ref="F1230" ns1:id="rId1226"/>
    <ns0:hyperlink ref="F1231" ns1:id="rId1227"/>
    <ns0:hyperlink ref="F1232" ns1:id="rId1228"/>
    <ns0:hyperlink ref="F1233" ns1:id="rId1229"/>
    <ns0:hyperlink ref="F1234" ns1:id="rId1230"/>
    <ns0:hyperlink ref="F1235" ns1:id="rId1231"/>
    <ns0:hyperlink ref="F1236" ns1:id="rId1232"/>
    <ns0:hyperlink ref="F1237" ns1:id="rId1233"/>
    <ns0:hyperlink ref="F1238" ns1:id="rId1234"/>
    <ns0:hyperlink ref="F1239" ns1:id="rId1235"/>
    <ns0:hyperlink ref="F1240" ns1:id="rId1236"/>
    <ns0:hyperlink ref="F1241" ns1:id="rId1237"/>
    <ns0:hyperlink ref="F1242" ns1:id="rId1238"/>
    <ns0:hyperlink ref="F1243" ns1:id="rId1239"/>
    <ns0:hyperlink ref="F1244" ns1:id="rId1240"/>
    <ns0:hyperlink ref="F1245" ns1:id="rId1241"/>
    <ns0:hyperlink ref="F1246" ns1:id="rId1242"/>
    <ns0:hyperlink ref="F1247" ns1:id="rId1243"/>
    <ns0:hyperlink ref="F1248" ns1:id="rId1244"/>
    <ns0:hyperlink ref="F1249" ns1:id="rId1245"/>
    <ns0:hyperlink ref="F1250" ns1:id="rId1246"/>
    <ns0:hyperlink ref="F1251" ns1:id="rId1247"/>
    <ns0:hyperlink ref="F1252" ns1:id="rId1248"/>
    <ns0:hyperlink ref="F1253" ns1:id="rId1249"/>
    <ns0:hyperlink ref="F1254" ns1:id="rId1250"/>
    <ns0:hyperlink ref="F1255" ns1:id="rId1251"/>
    <ns0:hyperlink ref="F1256" ns1:id="rId1252"/>
    <ns0:hyperlink ref="F1257" ns1:id="rId1253"/>
    <ns0:hyperlink ref="F1258" ns1:id="rId1254"/>
    <ns0:hyperlink ref="F1259" ns1:id="rId1255"/>
    <ns0:hyperlink ref="F1260" ns1:id="rId1256"/>
    <ns0:hyperlink ref="F1261" ns1:id="rId1257"/>
    <ns0:hyperlink ref="F1262" ns1:id="rId1258"/>
    <ns0:hyperlink ref="F1263" ns1:id="rId1259"/>
    <ns0:hyperlink ref="F1264" ns1:id="rId1260"/>
    <ns0:hyperlink ref="F1265" ns1:id="rId1261"/>
    <ns0:hyperlink ref="F1266" ns1:id="rId1262"/>
    <ns0:hyperlink ref="F1267" ns1:id="rId1263"/>
    <ns0:hyperlink ref="F1268" ns1:id="rId1264"/>
    <ns0:hyperlink ref="F1269" ns1:id="rId1265"/>
    <ns0:hyperlink ref="F1270" ns1:id="rId1266"/>
    <ns0:hyperlink ref="F1271" ns1:id="rId1267"/>
    <ns0:hyperlink ref="F1272" ns1:id="rId1268"/>
    <ns0:hyperlink ref="F1273" ns1:id="rId1269"/>
    <ns0:hyperlink ref="F1274" ns1:id="rId1270"/>
    <ns0:hyperlink ref="F1275" ns1:id="rId1271"/>
    <ns0:hyperlink ref="F1276" ns1:id="rId1272"/>
    <ns0:hyperlink ref="F1277" ns1:id="rId1273"/>
    <ns0:hyperlink ref="F1278" ns1:id="rId1274"/>
    <ns0:hyperlink ref="F1279" ns1:id="rId1275"/>
    <ns0:hyperlink ref="F1280" ns1:id="rId1276"/>
    <ns0:hyperlink ref="F1281" ns1:id="rId1277"/>
    <ns0:hyperlink ref="F1282" ns1:id="rId1278"/>
    <ns0:hyperlink ref="F1283" ns1:id="rId1279"/>
    <ns0:hyperlink ref="F1284" ns1:id="rId1280"/>
    <ns0:hyperlink ref="F1285" ns1:id="rId1281"/>
    <ns0:hyperlink ref="F1286" ns1:id="rId1282"/>
    <ns0:hyperlink ref="F1287" ns1:id="rId1283"/>
    <ns0:hyperlink ref="F1288" ns1:id="rId1284"/>
    <ns0:hyperlink ref="F1289" ns1:id="rId1285"/>
    <ns0:hyperlink ref="F1290" ns1:id="rId1286"/>
    <ns0:hyperlink ref="F1291" ns1:id="rId1287"/>
    <ns0:hyperlink ref="F1292" ns1:id="rId1288"/>
    <ns0:hyperlink ref="F1293" ns1:id="rId1289"/>
    <ns0:hyperlink ref="F1294" ns1:id="rId1290"/>
    <ns0:hyperlink ref="F1295" ns1:id="rId1291"/>
    <ns0:hyperlink ref="F1296" ns1:id="rId1292"/>
    <ns0:hyperlink ref="F1297" ns1:id="rId1293"/>
    <ns0:hyperlink ref="F1298" ns1:id="rId1294"/>
    <ns0:hyperlink ref="F1299" ns1:id="rId1295"/>
    <ns0:hyperlink ref="F1300" ns1:id="rId1296"/>
    <ns0:hyperlink ref="F1301" ns1:id="rId1297"/>
    <ns0:hyperlink ref="F1302" ns1:id="rId1298"/>
    <ns0:hyperlink ref="F1303" ns1:id="rId1299"/>
    <ns0:hyperlink ref="F1304" ns1:id="rId1300"/>
    <ns0:hyperlink ref="F1305" ns1:id="rId1301"/>
    <ns0:hyperlink ref="F1306" ns1:id="rId1302"/>
    <ns0:hyperlink ref="F1307" ns1:id="rId1303"/>
    <ns0:hyperlink ref="F1308" ns1:id="rId1304"/>
    <ns0:hyperlink ref="F1309" ns1:id="rId1305"/>
    <ns0:hyperlink ref="F1310" ns1:id="rId1306"/>
    <ns0:hyperlink ref="F1311" ns1:id="rId1307"/>
    <ns0:hyperlink ref="F1312" ns1:id="rId1308"/>
    <ns0:hyperlink ref="F1313" ns1:id="rId1309"/>
    <ns0:hyperlink ref="F1314" ns1:id="rId1310"/>
    <ns0:hyperlink ref="F1315" ns1:id="rId1311"/>
    <ns0:hyperlink ref="F1316" ns1:id="rId1312"/>
    <ns0:hyperlink ref="F1317" ns1:id="rId1313"/>
    <ns0:hyperlink ref="F1318" ns1:id="rId1314"/>
    <ns0:hyperlink ref="F1319" ns1:id="rId1315"/>
    <ns0:hyperlink ref="F1320" ns1:id="rId1316"/>
    <ns0:hyperlink ref="F1321" ns1:id="rId1317"/>
    <ns0:hyperlink ref="F1322" ns1:id="rId1318"/>
    <ns0:hyperlink ref="F1323" ns1:id="rId1319"/>
    <ns0:hyperlink ref="F1324" ns1:id="rId1320"/>
    <ns0:hyperlink ref="F1325" ns1:id="rId1321"/>
    <ns0:hyperlink ref="F1326" ns1:id="rId1322"/>
    <ns0:hyperlink ref="F1327" ns1:id="rId1323"/>
    <ns0:hyperlink ref="F1328" ns1:id="rId1324"/>
    <ns0:hyperlink ref="F1329" ns1:id="rId1325"/>
    <ns0:hyperlink ref="F1330" ns1:id="rId1326"/>
    <ns0:hyperlink ref="F1331" ns1:id="rId1327"/>
    <ns0:hyperlink ref="F1332" ns1:id="rId1328"/>
    <ns0:hyperlink ref="F1333" ns1:id="rId1329"/>
    <ns0:hyperlink ref="F1334" ns1:id="rId1330"/>
    <ns0:hyperlink ref="F1335" ns1:id="rId1331"/>
    <ns0:hyperlink ref="F1336" ns1:id="rId1332"/>
    <ns0:hyperlink ref="F1337" ns1:id="rId1333"/>
    <ns0:hyperlink ref="F1338" ns1:id="rId1334"/>
    <ns0:hyperlink ref="F1339" ns1:id="rId1335"/>
    <ns0:hyperlink ref="F1340" ns1:id="rId1336"/>
    <ns0:hyperlink ref="F1341" ns1:id="rId1337"/>
    <ns0:hyperlink ref="F1342" ns1:id="rId1338"/>
    <ns0:hyperlink ref="F1343" ns1:id="rId1339"/>
    <ns0:hyperlink ref="F1344" ns1:id="rId1340"/>
    <ns0:hyperlink ref="F1345" ns1:id="rId1341"/>
    <ns0:hyperlink ref="F1346" ns1:id="rId1342"/>
    <ns0:hyperlink ref="F1347" ns1:id="rId1343"/>
    <ns0:hyperlink ref="F1348" ns1:id="rId1344"/>
    <ns0:hyperlink ref="F1349" ns1:id="rId1345"/>
    <ns0:hyperlink ref="F1350" ns1:id="rId1346"/>
    <ns0:hyperlink ref="F1351" ns1:id="rId1347"/>
    <ns0:hyperlink ref="F1352" ns1:id="rId1348"/>
    <ns0:hyperlink ref="F1353" ns1:id="rId1349"/>
    <ns0:hyperlink ref="F1354" ns1:id="rId1350"/>
    <ns0:hyperlink ref="F1355" ns1:id="rId1351"/>
    <ns0:hyperlink ref="F1356" ns1:id="rId1352"/>
    <ns0:hyperlink ref="F1357" ns1:id="rId1353"/>
    <ns0:hyperlink ref="F1358" ns1:id="rId1354"/>
    <ns0:hyperlink ref="F1359" ns1:id="rId1355"/>
    <ns0:hyperlink ref="F1360" ns1:id="rId1356"/>
    <ns0:hyperlink ref="F1361" ns1:id="rId1357"/>
    <ns0:hyperlink ref="F1362" ns1:id="rId1358"/>
    <ns0:hyperlink ref="F1363" ns1:id="rId1359"/>
    <ns0:hyperlink ref="F1364" ns1:id="rId1360"/>
    <ns0:hyperlink ref="F1365" ns1:id="rId1361"/>
    <ns0:hyperlink ref="F1366" ns1:id="rId1362"/>
    <ns0:hyperlink ref="F1367" ns1:id="rId1363"/>
    <ns0:hyperlink ref="F1368" ns1:id="rId1364"/>
    <ns0:hyperlink ref="F1369" ns1:id="rId1365"/>
    <ns0:hyperlink ref="F1370" ns1:id="rId1366"/>
    <ns0:hyperlink ref="F1371" ns1:id="rId1367"/>
    <ns0:hyperlink ref="F1372" ns1:id="rId1368"/>
    <ns0:hyperlink ref="F1373" ns1:id="rId1369"/>
    <ns0:hyperlink ref="F1374" ns1:id="rId1370"/>
    <ns0:hyperlink ref="F1375" ns1:id="rId1371"/>
    <ns0:hyperlink ref="F1376" ns1:id="rId1372"/>
    <ns0:hyperlink ref="F1377" ns1:id="rId1373"/>
    <ns0:hyperlink ref="F1378" ns1:id="rId1374"/>
    <ns0:hyperlink ref="F1379" ns1:id="rId1375"/>
    <ns0:hyperlink ref="F1380" ns1:id="rId1376"/>
    <ns0:hyperlink ref="F1381" ns1:id="rId1377"/>
    <ns0:hyperlink ref="F1382" ns1:id="rId1378"/>
    <ns0:hyperlink ref="F1383" ns1:id="rId1379"/>
    <ns0:hyperlink ref="F1384" ns1:id="rId1380"/>
    <ns0:hyperlink ref="F1385" ns1:id="rId1381"/>
    <ns0:hyperlink ref="F1386" ns1:id="rId1382"/>
    <ns0:hyperlink ref="F1387" ns1:id="rId1383"/>
    <ns0:hyperlink ref="F1388" ns1:id="rId1384"/>
    <ns0:hyperlink ref="F1389" ns1:id="rId1385"/>
    <ns0:hyperlink ref="F1390" ns1:id="rId1386"/>
    <ns0:hyperlink ref="F1391" ns1:id="rId1387"/>
    <ns0:hyperlink ref="F1392" ns1:id="rId1388"/>
    <ns0:hyperlink ref="F1393" ns1:id="rId1389"/>
    <ns0:hyperlink ref="F1394" ns1:id="rId1390"/>
    <ns0:hyperlink ref="F1395" ns1:id="rId1391"/>
    <ns0:hyperlink ref="F1396" ns1:id="rId1392"/>
    <ns0:hyperlink ref="F1397" ns1:id="rId1393"/>
    <ns0:hyperlink ref="F1398" ns1:id="rId1394"/>
    <ns0:hyperlink ref="F1399" ns1:id="rId1395"/>
    <ns0:hyperlink ref="F1400" ns1:id="rId1396"/>
    <ns0:hyperlink ref="F1401" ns1:id="rId1397"/>
    <ns0:hyperlink ref="F1402" ns1:id="rId1398"/>
    <ns0:hyperlink ref="F1403" ns1:id="rId1399"/>
    <ns0:hyperlink ref="F1404" ns1:id="rId1400"/>
    <ns0:hyperlink ref="F1405" ns1:id="rId1401"/>
    <ns0:hyperlink ref="F1406" ns1:id="rId1402"/>
    <ns0:hyperlink ref="F1407" ns1:id="rId1403"/>
    <ns0:hyperlink ref="F1408" ns1:id="rId1404"/>
    <ns0:hyperlink ref="F1409" ns1:id="rId1405"/>
    <ns0:hyperlink ref="F1410" ns1:id="rId1406"/>
    <ns0:hyperlink ref="F1411" ns1:id="rId1407"/>
    <ns0:hyperlink ref="F1412" ns1:id="rId1408"/>
    <ns0:hyperlink ref="F1413" ns1:id="rId1409"/>
    <ns0:hyperlink ref="F1414" ns1:id="rId1410"/>
    <ns0:hyperlink ref="F1415" ns1:id="rId1411"/>
    <ns0:hyperlink ref="F1416" ns1:id="rId1412"/>
    <ns0:hyperlink ref="F1417" ns1:id="rId1413"/>
    <ns0:hyperlink ref="F1418" ns1:id="rId1414"/>
    <ns0:hyperlink ref="F1419" ns1:id="rId1415"/>
    <ns0:hyperlink ref="F1420" ns1:id="rId1416"/>
    <ns0:hyperlink ref="F1421" ns1:id="rId1417"/>
    <ns0:hyperlink ref="F1422" ns1:id="rId1418"/>
    <ns0:hyperlink ref="F1423" ns1:id="rId1419"/>
    <ns0:hyperlink ref="F1424" ns1:id="rId1420"/>
    <ns0:hyperlink ref="F1425" ns1:id="rId1421"/>
    <ns0:hyperlink ref="F1426" ns1:id="rId1422"/>
    <ns0:hyperlink ref="F1427" ns1:id="rId1423"/>
    <ns0:hyperlink ref="F1428" ns1:id="rId1424"/>
    <ns0:hyperlink ref="F1429" ns1:id="rId1425"/>
    <ns0:hyperlink ref="F1430" ns1:id="rId1426"/>
    <ns0:hyperlink ref="F1431" ns1:id="rId1427"/>
    <ns0:hyperlink ref="F1432" ns1:id="rId1428"/>
    <ns0:hyperlink ref="F1433" ns1:id="rId1429"/>
    <ns0:hyperlink ref="F1434" ns1:id="rId1430"/>
    <ns0:hyperlink ref="F1435" ns1:id="rId1431"/>
    <ns0:hyperlink ref="F1436" ns1:id="rId1432"/>
    <ns0:hyperlink ref="F1437" ns1:id="rId1433"/>
    <ns0:hyperlink ref="F1438" ns1:id="rId1434"/>
    <ns0:hyperlink ref="F1439" ns1:id="rId1435"/>
    <ns0:hyperlink ref="F1440" ns1:id="rId1436"/>
    <ns0:hyperlink ref="F1441" ns1:id="rId1437"/>
    <ns0:hyperlink ref="F1442" ns1:id="rId1438"/>
    <ns0:hyperlink ref="F1443" ns1:id="rId1439"/>
    <ns0:hyperlink ref="F1444" ns1:id="rId1440"/>
    <ns0:hyperlink ref="F1445" ns1:id="rId1441"/>
    <ns0:hyperlink ref="F1446" ns1:id="rId1442"/>
    <ns0:hyperlink ref="F1447" ns1:id="rId1443"/>
    <ns0:hyperlink ref="F1448" ns1:id="rId1444"/>
    <ns0:hyperlink ref="F1449" ns1:id="rId1445"/>
    <ns0:hyperlink ref="F1450" ns1:id="rId1446"/>
    <ns0:hyperlink ref="F1451" ns1:id="rId1447"/>
    <ns0:hyperlink ref="F1452" ns1:id="rId1448"/>
    <ns0:hyperlink ref="F1453" ns1:id="rId1449"/>
    <ns0:hyperlink ref="F1454" ns1:id="rId1450"/>
    <ns0:hyperlink ref="F1455" ns1:id="rId1451"/>
    <ns0:hyperlink ref="F1456" ns1:id="rId1452"/>
    <ns0:hyperlink ref="F1457" ns1:id="rId1453"/>
    <ns0:hyperlink ref="F1458" ns1:id="rId1454"/>
    <ns0:hyperlink ref="F1459" ns1:id="rId1455"/>
    <ns0:hyperlink ref="F1460" ns1:id="rId1456"/>
    <ns0:hyperlink ref="F1461" ns1:id="rId1457"/>
    <ns0:hyperlink ref="F1462" ns1:id="rId1458"/>
    <ns0:hyperlink ref="F1463" ns1:id="rId1459"/>
    <ns0:hyperlink ref="F1464" ns1:id="rId1460"/>
    <ns0:hyperlink ref="F1465" ns1:id="rId1461"/>
    <ns0:hyperlink ref="F1466" ns1:id="rId1462"/>
    <ns0:hyperlink ref="F1467" ns1:id="rId1463"/>
    <ns0:hyperlink ref="F1468" ns1:id="rId1464"/>
    <ns0:hyperlink ref="F1469" ns1:id="rId1465"/>
    <ns0:hyperlink ref="F1470" ns1:id="rId1466"/>
    <ns0:hyperlink ref="F1471" ns1:id="rId1467"/>
    <ns0:hyperlink ref="F1472" ns1:id="rId1468"/>
    <ns0:hyperlink ref="F1473" ns1:id="rId1469"/>
    <ns0:hyperlink ref="F1474" ns1:id="rId1470"/>
    <ns0:hyperlink ref="F1475" ns1:id="rId1471"/>
    <ns0:hyperlink ref="F1476" ns1:id="rId1472"/>
    <ns0:hyperlink ref="F1477" ns1:id="rId1473"/>
    <ns0:hyperlink ref="F1478" ns1:id="rId1474"/>
    <ns0:hyperlink ref="F1479" ns1:id="rId1475"/>
    <ns0:hyperlink ref="F1480" ns1:id="rId1476"/>
    <ns0:hyperlink ref="F1481" ns1:id="rId1477"/>
    <ns0:hyperlink ref="F1482" ns1:id="rId1478"/>
    <ns0:hyperlink ref="F1483" ns1:id="rId1479"/>
    <ns0:hyperlink ref="F1484" ns1:id="rId1480"/>
    <ns0:hyperlink ref="F1485" ns1:id="rId1481"/>
    <ns0:hyperlink ref="F1486" ns1:id="rId1482"/>
    <ns0:hyperlink ref="F1487" ns1:id="rId1483"/>
    <ns0:hyperlink ref="F1488" ns1:id="rId1484"/>
    <ns0:hyperlink ref="F1489" ns1:id="rId1485"/>
    <ns0:hyperlink ref="F1490" ns1:id="rId1486"/>
    <ns0:hyperlink ref="F1491" ns1:id="rId1487"/>
    <ns0:hyperlink ref="F1492" ns1:id="rId1488"/>
    <ns0:hyperlink ref="F1493" ns1:id="rId1489"/>
    <ns0:hyperlink ref="F1494" ns1:id="rId1490"/>
    <ns0:hyperlink ref="F1495" ns1:id="rId1491"/>
    <ns0:hyperlink ref="F1496" ns1:id="rId1492"/>
    <ns0:hyperlink ref="F1497" ns1:id="rId1493"/>
    <ns0:hyperlink ref="F1498" ns1:id="rId1494"/>
    <ns0:hyperlink ref="F1499" ns1:id="rId1495"/>
    <ns0:hyperlink ref="F1500" ns1:id="rId1496"/>
    <ns0:hyperlink ref="F1501" ns1:id="rId1497"/>
    <ns0:hyperlink ref="F1502" ns1:id="rId1498"/>
    <ns0:hyperlink ref="F1503" ns1:id="rId1499"/>
    <ns0:hyperlink ref="F1504" ns1:id="rId1500"/>
    <ns0:hyperlink ref="F1505" ns1:id="rId1501"/>
    <ns0:hyperlink ref="F1506" ns1:id="rId1502"/>
    <ns0:hyperlink ref="F1507" ns1:id="rId1503"/>
    <ns0:hyperlink ref="F1508" ns1:id="rId1504"/>
    <ns0:hyperlink ref="F1509" ns1:id="rId1505"/>
    <ns0:hyperlink ref="F1510" ns1:id="rId1506"/>
    <ns0:hyperlink ref="F1511" ns1:id="rId1507"/>
    <ns0:hyperlink ref="F1512" ns1:id="rId1508"/>
    <ns0:hyperlink ref="F1513" ns1:id="rId1509"/>
    <ns0:hyperlink ref="F1514" ns1:id="rId1510"/>
    <ns0:hyperlink ref="F1515" ns1:id="rId1511"/>
    <ns0:hyperlink ref="F1516" ns1:id="rId1512"/>
    <ns0:hyperlink ref="F1517" ns1:id="rId1513"/>
    <ns0:hyperlink ref="F1518" ns1:id="rId1514"/>
    <ns0:hyperlink ref="F1519" ns1:id="rId1515"/>
    <ns0:hyperlink ref="F1520" ns1:id="rId1516"/>
    <ns0:hyperlink ref="F1521" ns1:id="rId1517"/>
    <ns0:hyperlink ref="F1522" ns1:id="rId1518"/>
    <ns0:hyperlink ref="F1523" ns1:id="rId1519"/>
    <ns0:hyperlink ref="F1524" ns1:id="rId1520"/>
    <ns0:hyperlink ref="F1525" ns1:id="rId1521"/>
    <ns0:hyperlink ref="F1526" ns1:id="rId1522"/>
    <ns0:hyperlink ref="F1527" ns1:id="rId1523"/>
    <ns0:hyperlink ref="F1528" ns1:id="rId1524"/>
    <ns0:hyperlink ref="F1529" ns1:id="rId1525"/>
    <ns0:hyperlink ref="F1530" ns1:id="rId1526"/>
    <ns0:hyperlink ref="F1531" ns1:id="rId1527"/>
    <ns0:hyperlink ref="F1532" ns1:id="rId1528"/>
    <ns0:hyperlink ref="F1533" ns1:id="rId1529"/>
    <ns0:hyperlink ref="F1534" ns1:id="rId1530"/>
    <ns0:hyperlink ref="F1535" ns1:id="rId1531"/>
    <ns0:hyperlink ref="F1536" ns1:id="rId1532"/>
    <ns0:hyperlink ref="F1537" ns1:id="rId1533"/>
    <ns0:hyperlink ref="F1538" ns1:id="rId1534"/>
    <ns0:hyperlink ref="F1539" ns1:id="rId1535"/>
    <ns0:hyperlink ref="F1540" ns1:id="rId1536"/>
    <ns0:hyperlink ref="F1541" ns1:id="rId1537"/>
    <ns0:hyperlink ref="F1542" ns1:id="rId1538"/>
    <ns0:hyperlink ref="F1543" ns1:id="rId1539"/>
    <ns0:hyperlink ref="F1544" ns1:id="rId1540"/>
    <ns0:hyperlink ref="F1545" ns1:id="rId1541"/>
    <ns0:hyperlink ref="F1546" ns1:id="rId1542"/>
    <ns0:hyperlink ref="F1547" ns1:id="rId1543"/>
    <ns0:hyperlink ref="F1548" ns1:id="rId1544"/>
    <ns0:hyperlink ref="F1549" ns1:id="rId1545"/>
    <ns0:hyperlink ref="F1550" ns1:id="rId1546"/>
    <ns0:hyperlink ref="F1551" ns1:id="rId1547"/>
    <ns0:hyperlink ref="F1552" ns1:id="rId1548"/>
    <ns0:hyperlink ref="F1553" ns1:id="rId1549"/>
    <ns0:hyperlink ref="F1554" ns1:id="rId1550"/>
    <ns0:hyperlink ref="F1555" ns1:id="rId1551"/>
    <ns0:hyperlink ref="F1556" ns1:id="rId1552"/>
    <ns0:hyperlink ref="F1557" ns1:id="rId1553"/>
    <ns0:hyperlink ref="F1558" ns1:id="rId1554"/>
    <ns0:hyperlink ref="F1559" ns1:id="rId1555"/>
    <ns0:hyperlink ref="F1560" ns1:id="rId1556"/>
    <ns0:hyperlink ref="F1561" ns1:id="rId1557"/>
    <ns0:hyperlink ref="F1562" ns1:id="rId1558"/>
    <ns0:hyperlink ref="F1563" ns1:id="rId1559"/>
    <ns0:hyperlink ref="F1564" ns1:id="rId1560"/>
    <ns0:hyperlink ref="F1565" ns1:id="rId1561"/>
    <ns0:hyperlink ref="F1566" ns1:id="rId1562"/>
    <ns0:hyperlink ref="F1567" ns1:id="rId1563"/>
    <ns0:hyperlink ref="F1568" ns1:id="rId1564"/>
    <ns0:hyperlink ref="F1569" ns1:id="rId1565"/>
    <ns0:hyperlink ref="F1570" ns1:id="rId1566"/>
    <ns0:hyperlink ref="F1571" ns1:id="rId1567"/>
    <ns0:hyperlink ref="F1572" ns1:id="rId1568"/>
    <ns0:hyperlink ref="F1573" ns1:id="rId1569"/>
    <ns0:hyperlink ref="F1574" ns1:id="rId1570"/>
    <ns0:hyperlink ref="F1575" ns1:id="rId1571"/>
    <ns0:hyperlink ref="F1576" ns1:id="rId1572"/>
    <ns0:hyperlink ref="F1577" ns1:id="rId1573"/>
    <ns0:hyperlink ref="F1578" ns1:id="rId1574"/>
    <ns0:hyperlink ref="F1579" ns1:id="rId1575"/>
    <ns0:hyperlink ref="F1580" ns1:id="rId1576"/>
    <ns0:hyperlink ref="F1581" ns1:id="rId1577"/>
    <ns0:hyperlink ref="F1582" ns1:id="rId1578"/>
    <ns0:hyperlink ref="F1583" ns1:id="rId1579"/>
    <ns0:hyperlink ref="F1584" ns1:id="rId1580"/>
    <ns0:hyperlink ref="F1585" ns1:id="rId1581"/>
    <ns0:hyperlink ref="F1586" ns1:id="rId1582"/>
    <ns0:hyperlink ref="F1587" ns1:id="rId1583"/>
    <ns0:hyperlink ref="F1588" ns1:id="rId1584"/>
    <ns0:hyperlink ref="F1589" ns1:id="rId1585"/>
    <ns0:hyperlink ref="F1590" ns1:id="rId1586"/>
    <ns0:hyperlink ref="F1591" ns1:id="rId1587"/>
    <ns0:hyperlink ref="F1592" ns1:id="rId1588"/>
    <ns0:hyperlink ref="F1593" ns1:id="rId1589"/>
    <ns0:hyperlink ref="F1594" ns1:id="rId1590"/>
    <ns0:hyperlink ref="F1595" ns1:id="rId1591"/>
    <ns0:hyperlink ref="F1596" ns1:id="rId1592"/>
    <ns0:hyperlink ref="F1597" ns1:id="rId1593"/>
    <ns0:hyperlink ref="F1598" ns1:id="rId1594"/>
    <ns0:hyperlink ref="F1599" ns1:id="rId1595"/>
    <ns0:hyperlink ref="F1600" ns1:id="rId1596"/>
    <ns0:hyperlink ref="F1601" ns1:id="rId1597"/>
    <ns0:hyperlink ref="F1602" ns1:id="rId1598"/>
    <ns0:hyperlink ref="F1603" ns1:id="rId1599"/>
    <ns0:hyperlink ref="F1604" ns1:id="rId1600"/>
    <ns0:hyperlink ref="F1605" ns1:id="rId1601"/>
    <ns0:hyperlink ref="F1606" ns1:id="rId1602"/>
    <ns0:hyperlink ref="F1607" ns1:id="rId1603"/>
    <ns0:hyperlink ref="F1608" ns1:id="rId1604"/>
    <ns0:hyperlink ref="F1609" ns1:id="rId1605"/>
    <ns0:hyperlink ref="F1610" ns1:id="rId1606"/>
    <ns0:hyperlink ref="F1611" ns1:id="rId1607"/>
    <ns0:hyperlink ref="F1612" ns1:id="rId1608"/>
    <ns0:hyperlink ref="F1613" ns1:id="rId1609"/>
    <ns0:hyperlink ref="F1614" ns1:id="rId1610"/>
    <ns0:hyperlink ref="F1615" ns1:id="rId1611"/>
    <ns0:hyperlink ref="F1616" ns1:id="rId1612"/>
    <ns0:hyperlink ref="F1617" ns1:id="rId1613"/>
    <ns0:hyperlink ref="F1618" ns1:id="rId1614"/>
    <ns0:hyperlink ref="F1619" ns1:id="rId1615"/>
    <ns0:hyperlink ref="F1620" ns1:id="rId1616"/>
    <ns0:hyperlink ref="F1621" ns1:id="rId1617"/>
    <ns0:hyperlink ref="F1622" ns1:id="rId1618"/>
    <ns0:hyperlink ref="F1623" ns1:id="rId1619"/>
    <ns0:hyperlink ref="F1624" ns1:id="rId1620"/>
    <ns0:hyperlink ref="F1625" ns1:id="rId1621"/>
    <ns0:hyperlink ref="F1626" ns1:id="rId1622"/>
    <ns0:hyperlink ref="F1627" ns1:id="rId1623"/>
    <ns0:hyperlink ref="F1628" ns1:id="rId1624"/>
    <ns0:hyperlink ref="F1629" ns1:id="rId1625"/>
    <ns0:hyperlink ref="F1630" ns1:id="rId1626"/>
    <ns0:hyperlink ref="F1631" ns1:id="rId1627"/>
    <ns0:hyperlink ref="F1632" ns1:id="rId1628"/>
    <ns0:hyperlink ref="F1633" ns1:id="rId1629"/>
    <ns0:hyperlink ref="F1634" ns1:id="rId1630"/>
    <ns0:hyperlink ref="F1635" ns1:id="rId1631"/>
    <ns0:hyperlink ref="F1636" ns1:id="rId1632"/>
    <ns0:hyperlink ref="F1637" ns1:id="rId1633"/>
    <ns0:hyperlink ref="F1638" ns1:id="rId1634"/>
    <ns0:hyperlink ref="F1639" ns1:id="rId1635"/>
    <ns0:hyperlink ref="F1640" ns1:id="rId1636"/>
    <ns0:hyperlink ref="F1641" ns1:id="rId1637"/>
    <ns0:hyperlink ref="F1642" ns1:id="rId1638"/>
    <ns0:hyperlink ref="F1643" ns1:id="rId1639"/>
    <ns0:hyperlink ref="F1644" ns1:id="rId1640"/>
    <ns0:hyperlink ref="F1645" ns1:id="rId1641"/>
    <ns0:hyperlink ref="F1646" ns1:id="rId1642"/>
    <ns0:hyperlink ref="F1647" ns1:id="rId1643"/>
    <ns0:hyperlink ref="F1648" ns1:id="rId1644"/>
    <ns0:hyperlink ref="F1649" ns1:id="rId1645"/>
    <ns0:hyperlink ref="F1650" ns1:id="rId1646"/>
    <ns0:hyperlink ref="F1651" ns1:id="rId1647"/>
    <ns0:hyperlink ref="F1652" ns1:id="rId1648"/>
    <ns0:hyperlink ref="F1653" ns1:id="rId1649"/>
    <ns0:hyperlink ref="F1654" ns1:id="rId1650"/>
    <ns0:hyperlink ref="F1655" ns1:id="rId1651"/>
    <ns0:hyperlink ref="F1656" ns1:id="rId1652"/>
    <ns0:hyperlink ref="F1657" ns1:id="rId1653"/>
    <ns0:hyperlink ref="F1658" ns1:id="rId1654"/>
    <ns0:hyperlink ref="F1659" ns1:id="rId1655"/>
    <ns0:hyperlink ref="F1660" ns1:id="rId1656"/>
    <ns0:hyperlink ref="F1661" ns1:id="rId1657"/>
    <ns0:hyperlink ref="F1662" ns1:id="rId1658"/>
    <ns0:hyperlink ref="F1663" ns1:id="rId1659"/>
    <ns0:hyperlink ref="F1664" ns1:id="rId1660"/>
    <ns0:hyperlink ref="F1665" ns1:id="rId1661"/>
    <ns0:hyperlink ref="F1666" ns1:id="rId1662"/>
    <ns0:hyperlink ref="F1667" ns1:id="rId1663"/>
    <ns0:hyperlink ref="F1668" ns1:id="rId1664"/>
    <ns0:hyperlink ref="F1669" ns1:id="rId1665"/>
    <ns0:hyperlink ref="F1670" ns1:id="rId1666"/>
    <ns0:hyperlink ref="F1671" ns1:id="rId1667"/>
    <ns0:hyperlink ref="F1672" ns1:id="rId1668"/>
    <ns0:hyperlink ref="F1673" ns1:id="rId1669"/>
    <ns0:hyperlink ref="F1674" ns1:id="rId1670"/>
    <ns0:hyperlink ref="F1675" ns1:id="rId1671"/>
    <ns0:hyperlink ref="F1676" ns1:id="rId1672"/>
    <ns0:hyperlink ref="F1677" ns1:id="rId1673"/>
    <ns0:hyperlink ref="F1678" ns1:id="rId1674"/>
    <ns0:hyperlink ref="F1679" ns1:id="rId1675"/>
    <ns0:hyperlink ref="F1680" ns1:id="rId1676"/>
    <ns0:hyperlink ref="F1681" ns1:id="rId1677"/>
    <ns0:hyperlink ref="F1682" ns1:id="rId1678"/>
    <ns0:hyperlink ref="F1683" ns1:id="rId1679"/>
    <ns0:hyperlink ref="F1684" ns1:id="rId1680"/>
    <ns0:hyperlink ref="F1685" ns1:id="rId1681"/>
    <ns0:hyperlink ref="F1686" ns1:id="rId1682"/>
    <ns0:hyperlink ref="F1687" ns1:id="rId1683"/>
    <ns0:hyperlink ref="F1688" ns1:id="rId1684"/>
    <ns0:hyperlink ref="F1689" ns1:id="rId1685"/>
    <ns0:hyperlink ref="F1690" ns1:id="rId1686"/>
    <ns0:hyperlink ref="F1691" ns1:id="rId1687"/>
    <ns0:hyperlink ref="F1692" ns1:id="rId1688"/>
    <ns0:hyperlink ref="F1693" ns1:id="rId1689"/>
    <ns0:hyperlink ref="F1694" ns1:id="rId1690"/>
    <ns0:hyperlink ref="F1695" ns1:id="rId1691"/>
    <ns0:hyperlink ref="F1696" ns1:id="rId1692"/>
    <ns0:hyperlink ref="F1697" ns1:id="rId1693"/>
    <ns0:hyperlink ref="F1698" ns1:id="rId1694"/>
    <ns0:hyperlink ref="F1699" ns1:id="rId1695"/>
    <ns0:hyperlink ref="F1700" ns1:id="rId1696"/>
    <ns0:hyperlink ref="F1701" ns1:id="rId1697"/>
    <ns0:hyperlink ref="F1702" ns1:id="rId1698"/>
    <ns0:hyperlink ref="F1703" ns1:id="rId1699"/>
    <ns0:hyperlink ref="F1704" ns1:id="rId1700"/>
    <ns0:hyperlink ref="F1705" ns1:id="rId1701"/>
    <ns0:hyperlink ref="F1706" ns1:id="rId1702"/>
    <ns0:hyperlink ref="F1707" ns1:id="rId1703"/>
    <ns0:hyperlink ref="F1708" ns1:id="rId1704"/>
    <ns0:hyperlink ref="F1709" ns1:id="rId1705"/>
    <ns0:hyperlink ref="F1710" ns1:id="rId1706"/>
    <ns0:hyperlink ref="F1711" ns1:id="rId1707"/>
    <ns0:hyperlink ref="F1712" ns1:id="rId1708"/>
    <ns0:hyperlink ref="F1713" ns1:id="rId1709"/>
    <ns0:hyperlink ref="F1714" ns1:id="rId1710"/>
    <ns0:hyperlink ref="F1715" ns1:id="rId1711"/>
    <ns0:hyperlink ref="F1716" ns1:id="rId1712"/>
    <ns0:hyperlink ref="F1717" ns1:id="rId1713"/>
    <ns0:hyperlink ref="F1718" ns1:id="rId1714"/>
    <ns0:hyperlink ref="F1719" ns1:id="rId1715"/>
    <ns0:hyperlink ref="F1720" ns1:id="rId1716"/>
    <ns0:hyperlink ref="F1721" ns1:id="rId1717"/>
    <ns0:hyperlink ref="F1722" ns1:id="rId1718"/>
    <ns0:hyperlink ref="F1723" ns1:id="rId1719"/>
    <ns0:hyperlink ref="F1724" ns1:id="rId1720"/>
    <ns0:hyperlink ref="F1725" ns1:id="rId1721"/>
    <ns0:hyperlink ref="F1726" ns1:id="rId1722"/>
    <ns0:hyperlink ref="F1727" ns1:id="rId1723"/>
    <ns0:hyperlink ref="F1728" ns1:id="rId1724"/>
    <ns0:hyperlink ref="F1729" ns1:id="rId1725"/>
    <ns0:hyperlink ref="F1730" ns1:id="rId1726"/>
    <ns0:hyperlink ref="F1731" ns1:id="rId1727"/>
    <ns0:hyperlink ref="F1732" ns1:id="rId1728"/>
    <ns0:hyperlink ref="F1733" ns1:id="rId1729"/>
    <ns0:hyperlink ref="F1734" ns1:id="rId1730"/>
    <ns0:hyperlink ref="F1735" ns1:id="rId1731"/>
    <ns0:hyperlink ref="F1736" ns1:id="rId1732"/>
    <ns0:hyperlink ref="F1737" ns1:id="rId1733"/>
    <ns0:hyperlink ref="F1738" ns1:id="rId1734"/>
    <ns0:hyperlink ref="F1739" ns1:id="rId1735"/>
    <ns0:hyperlink ref="F1740" ns1:id="rId1736"/>
    <ns0:hyperlink ref="F1741" ns1:id="rId1737"/>
    <ns0:hyperlink ref="F1742" ns1:id="rId1738"/>
    <ns0:hyperlink ref="F1743" ns1:id="rId1739"/>
    <ns0:hyperlink ref="F1744" ns1:id="rId1740"/>
    <ns0:hyperlink ref="F1745" ns1:id="rId1741"/>
    <ns0:hyperlink ref="F1746" ns1:id="rId1742"/>
    <ns0:hyperlink ref="F1747" ns1:id="rId1743"/>
    <ns0:hyperlink ref="F1748" ns1:id="rId1744"/>
    <ns0:hyperlink ref="F1749" ns1:id="rId1745"/>
    <ns0:hyperlink ref="F1750" ns1:id="rId1746"/>
    <ns0:hyperlink ref="F1751" ns1:id="rId1747"/>
    <ns0:hyperlink ref="F1752" ns1:id="rId1748"/>
    <ns0:hyperlink ref="F1753" ns1:id="rId1749"/>
    <ns0:hyperlink ref="F1754" ns1:id="rId1750"/>
    <ns0:hyperlink ref="F1755" ns1:id="rId1751"/>
    <ns0:hyperlink ref="F1756" ns1:id="rId1752"/>
    <ns0:hyperlink ref="F1757" ns1:id="rId1753"/>
    <ns0:hyperlink ref="F1758" ns1:id="rId1754"/>
    <ns0:hyperlink ref="F1759" ns1:id="rId1755"/>
    <ns0:hyperlink ref="F1760" ns1:id="rId1756"/>
    <ns0:hyperlink ref="F1761" ns1:id="rId1757"/>
    <ns0:hyperlink ref="F1762" ns1:id="rId1758"/>
    <ns0:hyperlink ref="F1763" ns1:id="rId1759"/>
    <ns0:hyperlink ref="F1764" ns1:id="rId1760"/>
    <ns0:hyperlink ref="F1765" ns1:id="rId1761"/>
    <ns0:hyperlink ref="F1766" ns1:id="rId1762"/>
    <ns0:hyperlink ref="F1767" ns1:id="rId1763"/>
    <ns0:hyperlink ref="F1768" ns1:id="rId1764"/>
    <ns0:hyperlink ref="F1769" ns1:id="rId1765"/>
    <ns0:hyperlink ref="F1770" ns1:id="rId1766"/>
    <ns0:hyperlink ref="F1771" ns1:id="rId1767"/>
    <ns0:hyperlink ref="F1772" ns1:id="rId1768"/>
    <ns0:hyperlink ref="F1773" ns1:id="rId1769"/>
    <ns0:hyperlink ref="F1774" ns1:id="rId1770"/>
    <ns0:hyperlink ref="F1775" ns1:id="rId1771"/>
    <ns0:hyperlink ref="F1776" ns1:id="rId1772"/>
    <ns0:hyperlink ref="F1777" ns1:id="rId1773"/>
    <ns0:hyperlink ref="F1778" ns1:id="rId1774"/>
    <ns0:hyperlink ref="F1779" ns1:id="rId1775"/>
    <ns0:hyperlink ref="F1780" ns1:id="rId1776"/>
    <ns0:hyperlink ref="F1781" ns1:id="rId1777"/>
    <ns0:hyperlink ref="F1782" ns1:id="rId1778"/>
    <ns0:hyperlink ref="F1783" ns1:id="rId1779"/>
    <ns0:hyperlink ref="F1784" ns1:id="rId1780"/>
    <ns0:hyperlink ref="F1785" ns1:id="rId1781"/>
    <ns0:hyperlink ref="F1786" ns1:id="rId1782"/>
    <ns0:hyperlink ref="F1787" ns1:id="rId1783"/>
    <ns0:hyperlink ref="F1788" ns1:id="rId1784"/>
    <ns0:hyperlink ref="F1789" ns1:id="rId1785"/>
    <ns0:hyperlink ref="F1790" ns1:id="rId1786"/>
    <ns0:hyperlink ref="F1791" ns1:id="rId1787"/>
    <ns0:hyperlink ref="F1792" ns1:id="rId1788"/>
    <ns0:hyperlink ref="F1793" ns1:id="rId1789"/>
    <ns0:hyperlink ref="F1794" ns1:id="rId1790"/>
    <ns0:hyperlink ref="F1795" ns1:id="rId1791"/>
    <ns0:hyperlink ref="F1796" ns1:id="rId1792"/>
    <ns0:hyperlink ref="F1797" ns1:id="rId1793"/>
    <ns0:hyperlink ref="F1798" ns1:id="rId1794"/>
    <ns0:hyperlink ref="F1799" ns1:id="rId1795"/>
    <ns0:hyperlink ref="F1800" ns1:id="rId1796"/>
    <ns0:hyperlink ref="F1801" ns1:id="rId1797"/>
    <ns0:hyperlink ref="F1802" ns1:id="rId1798"/>
    <ns0:hyperlink ref="F1803" ns1:id="rId1799"/>
    <ns0:hyperlink ref="F1804" ns1:id="rId1800"/>
    <ns0:hyperlink ref="F1805" ns1:id="rId1801"/>
    <ns0:hyperlink ref="F1806" ns1:id="rId1802"/>
    <ns0:hyperlink ref="F1807" ns1:id="rId1803"/>
    <ns0:hyperlink ref="F1808" ns1:id="rId1804"/>
    <ns0:hyperlink ref="F1809" ns1:id="rId1805"/>
    <ns0:hyperlink ref="F1810" ns1:id="rId1806"/>
    <ns0:hyperlink ref="F1811" ns1:id="rId1807"/>
    <ns0:hyperlink ref="F1812" ns1:id="rId1808"/>
    <ns0:hyperlink ref="F1813" ns1:id="rId1809"/>
    <ns0:hyperlink ref="F1814" ns1:id="rId1810"/>
    <ns0:hyperlink ref="F1815" ns1:id="rId1811"/>
    <ns0:hyperlink ref="F1816" ns1:id="rId1812"/>
    <ns0:hyperlink ref="F1817" ns1:id="rId1813"/>
    <ns0:hyperlink ref="F1818" ns1:id="rId1814"/>
    <ns0:hyperlink ref="F1819" ns1:id="rId1815"/>
    <ns0:hyperlink ref="F1820" ns1:id="rId1816"/>
    <ns0:hyperlink ref="F1821" ns1:id="rId1817"/>
    <ns0:hyperlink ref="F1822" ns1:id="rId1818"/>
    <ns0:hyperlink ref="F1823" ns1:id="rId1819"/>
    <ns0:hyperlink ref="F1824" ns1:id="rId1820"/>
    <ns0:hyperlink ref="F1825" ns1:id="rId1821"/>
    <ns0:hyperlink ref="F1826" ns1:id="rId1822"/>
    <ns0:hyperlink ref="F1827" ns1:id="rId1823"/>
    <ns0:hyperlink ref="F1828" ns1:id="rId1824"/>
    <ns0:hyperlink ref="F1829" ns1:id="rId1825"/>
    <ns0:hyperlink ref="F1830" ns1:id="rId1826"/>
    <ns0:hyperlink ref="F1831" ns1:id="rId1827"/>
    <ns0:hyperlink ref="F1832" ns1:id="rId1828"/>
    <ns0:hyperlink ref="F1833" ns1:id="rId1829"/>
    <ns0:hyperlink ref="F1834" ns1:id="rId1830"/>
    <ns0:hyperlink ref="F1835" ns1:id="rId1831"/>
    <ns0:hyperlink ref="F1836" ns1:id="rId1832"/>
    <ns0:hyperlink ref="F1837" ns1:id="rId1833"/>
    <ns0:hyperlink ref="F1838" ns1:id="rId1834"/>
    <ns0:hyperlink ref="F1839" ns1:id="rId1835"/>
    <ns0:hyperlink ref="F1840" ns1:id="rId1836"/>
    <ns0:hyperlink ref="F1841" ns1:id="rId1837"/>
    <ns0:hyperlink ref="F1842" ns1:id="rId1838"/>
    <ns0:hyperlink ref="F1843" ns1:id="rId1839"/>
    <ns0:hyperlink ref="F1844" ns1:id="rId1840"/>
    <ns0:hyperlink ref="F1845" ns1:id="rId1841"/>
    <ns0:hyperlink ref="F1846" ns1:id="rId1842"/>
    <ns0:hyperlink ref="F1847" ns1:id="rId1843"/>
    <ns0:hyperlink ref="F1848" ns1:id="rId1844"/>
    <ns0:hyperlink ref="F1849" ns1:id="rId1845"/>
    <ns0:hyperlink ref="F1850" ns1:id="rId1846"/>
    <ns0:hyperlink ref="F1851" ns1:id="rId1847"/>
    <ns0:hyperlink ref="F1852" ns1:id="rId1848"/>
    <ns0:hyperlink ref="F1853" ns1:id="rId1849"/>
    <ns0:hyperlink ref="F1854" ns1:id="rId1850"/>
    <ns0:hyperlink ref="F1855" ns1:id="rId1851"/>
    <ns0:hyperlink ref="F1856" ns1:id="rId1852"/>
    <ns0:hyperlink ref="F1857" ns1:id="rId1853"/>
    <ns0:hyperlink ref="F1858" ns1:id="rId1854"/>
    <ns0:hyperlink ref="F1859" ns1:id="rId1855"/>
    <ns0:hyperlink ref="F1860" ns1:id="rId1856"/>
    <ns0:hyperlink ref="F1861" ns1:id="rId1857"/>
    <ns0:hyperlink ref="F1862" ns1:id="rId1858"/>
    <ns0:hyperlink ref="F1863" ns1:id="rId1859"/>
    <ns0:hyperlink ref="F1864" ns1:id="rId1860"/>
    <ns0:hyperlink ref="F1865" ns1:id="rId1861"/>
    <ns0:hyperlink ref="F1866" ns1:id="rId1862"/>
    <ns0:hyperlink ref="F1867" ns1:id="rId1863"/>
    <ns0:hyperlink ref="F1868" ns1:id="rId1864"/>
    <ns0:hyperlink ref="F1869" ns1:id="rId1865"/>
    <ns0:hyperlink ref="F1870" ns1:id="rId1866"/>
    <ns0:hyperlink ref="F1871" ns1:id="rId1867"/>
    <ns0:hyperlink ref="F1872" ns1:id="rId1868"/>
    <ns0:hyperlink ref="F1873" ns1:id="rId1869"/>
    <ns0:hyperlink ref="F1874" ns1:id="rId1870"/>
    <ns0:hyperlink ref="F1875" ns1:id="rId1871"/>
    <ns0:hyperlink ref="F1876" ns1:id="rId1872"/>
    <ns0:hyperlink ref="F1877" ns1:id="rId1873"/>
    <ns0:hyperlink ref="F1878" ns1:id="rId1874"/>
    <ns0:hyperlink ref="F1879" ns1:id="rId1875"/>
    <ns0:hyperlink ref="F1880" ns1:id="rId1876"/>
    <ns0:hyperlink ref="F1881" ns1:id="rId1877"/>
    <ns0:hyperlink ref="F1882" ns1:id="rId1878"/>
    <ns0:hyperlink ref="F1883" ns1:id="rId1879"/>
    <ns0:hyperlink ref="F1884" ns1:id="rId1880"/>
    <ns0:hyperlink ref="F1885" ns1:id="rId1881"/>
    <ns0:hyperlink ref="F1886" ns1:id="rId1882"/>
    <ns0:hyperlink ref="F1887" ns1:id="rId1883"/>
    <ns0:hyperlink ref="F1888" ns1:id="rId1884"/>
    <ns0:hyperlink ref="F1889" ns1:id="rId1885"/>
    <ns0:hyperlink ref="F1890" ns1:id="rId1886"/>
    <ns0:hyperlink ref="F1891" ns1:id="rId1887"/>
    <ns0:hyperlink ref="F1892" ns1:id="rId1888"/>
    <ns0:hyperlink ref="F1893" ns1:id="rId1889"/>
    <ns0:hyperlink ref="F1894" ns1:id="rId1890"/>
    <ns0:hyperlink ref="F1895" ns1:id="rId1891"/>
    <ns0:hyperlink ref="F1896" ns1:id="rId1892"/>
    <ns0:hyperlink ref="F1897" ns1:id="rId1893"/>
    <ns0:hyperlink ref="F1898" ns1:id="rId1894"/>
    <ns0:hyperlink ref="F1899" ns1:id="rId1895"/>
    <ns0:hyperlink ref="F1900" ns1:id="rId1896"/>
    <ns0:hyperlink ref="F1901" ns1:id="rId1897"/>
    <ns0:hyperlink ref="F1902" ns1:id="rId1898"/>
    <ns0:hyperlink ref="F1903" ns1:id="rId1899"/>
    <ns0:hyperlink ref="F1904" ns1:id="rId1900"/>
    <ns0:hyperlink ref="F1905" ns1:id="rId1901"/>
    <ns0:hyperlink ref="F1906" ns1:id="rId1902"/>
    <ns0:hyperlink ref="F1907" ns1:id="rId1903"/>
    <ns0:hyperlink ref="F1908" ns1:id="rId1904"/>
    <ns0:hyperlink ref="F1909" ns1:id="rId1905"/>
    <ns0:hyperlink ref="F1910" ns1:id="rId1906"/>
    <ns0:hyperlink ref="F1911" ns1:id="rId1907"/>
    <ns0:hyperlink ref="F1912" ns1:id="rId1908"/>
    <ns0:hyperlink ref="F1913" ns1:id="rId1909"/>
    <ns0:hyperlink ref="F1914" ns1:id="rId1910"/>
    <ns0:hyperlink ref="F1915" ns1:id="rId1911"/>
    <ns0:hyperlink ref="F1916" ns1:id="rId1912"/>
    <ns0:hyperlink ref="F1917" ns1:id="rId1913"/>
    <ns0:hyperlink ref="F1918" ns1:id="rId1914"/>
    <ns0:hyperlink ref="F1919" ns1:id="rId1915"/>
    <ns0:hyperlink ref="F1920" ns1:id="rId1916"/>
    <ns0:hyperlink ref="F1921" ns1:id="rId1917"/>
    <ns0:hyperlink ref="F1922" ns1:id="rId1918"/>
    <ns0:hyperlink ref="F1923" ns1:id="rId1919"/>
    <ns0:hyperlink ref="F1924" ns1:id="rId1920"/>
    <ns0:hyperlink ref="F1925" ns1:id="rId1921"/>
    <ns0:hyperlink ref="F1926" ns1:id="rId1922"/>
    <ns0:hyperlink ref="F1927" ns1:id="rId1923"/>
    <ns0:hyperlink ref="F1928" ns1:id="rId1924"/>
    <ns0:hyperlink ref="F1929" ns1:id="rId1925"/>
    <ns0:hyperlink ref="F1930" ns1:id="rId1926"/>
    <ns0:hyperlink ref="F1931" ns1:id="rId1927"/>
    <ns0:hyperlink ref="F1932" ns1:id="rId1928"/>
    <ns0:hyperlink ref="F1933" ns1:id="rId1929"/>
    <ns0:hyperlink ref="F1934" ns1:id="rId1930"/>
    <ns0:hyperlink ref="F1935" ns1:id="rId1931"/>
    <ns0:hyperlink ref="F1936" ns1:id="rId1932"/>
    <ns0:hyperlink ref="F1937" ns1:id="rId1933"/>
    <ns0:hyperlink ref="F1938" ns1:id="rId1934"/>
    <ns0:hyperlink ref="F1939" ns1:id="rId1935"/>
    <ns0:hyperlink ref="F1940" ns1:id="rId1936"/>
    <ns0:hyperlink ref="F1941" ns1:id="rId1937"/>
    <ns0:hyperlink ref="F1942" ns1:id="rId1938"/>
    <ns0:hyperlink ref="F1943" ns1:id="rId1939"/>
    <ns0:hyperlink ref="F1944" ns1:id="rId1940"/>
    <ns0:hyperlink ref="F1945" ns1:id="rId1941"/>
    <ns0:hyperlink ref="F1946" ns1:id="rId1942"/>
    <ns0:hyperlink ref="F1947" ns1:id="rId1943"/>
    <ns0:hyperlink ref="F1948" ns1:id="rId1944"/>
    <ns0:hyperlink ref="F1949" ns1:id="rId1945"/>
    <ns0:hyperlink ref="F1950" ns1:id="rId1946"/>
    <ns0:hyperlink ref="F1951" ns1:id="rId1947"/>
    <ns0:hyperlink ref="F1952" ns1:id="rId1948"/>
    <ns0:hyperlink ref="F1953" ns1:id="rId1949"/>
    <ns0:hyperlink ref="F1954" ns1:id="rId1950"/>
    <ns0:hyperlink ref="F1955" ns1:id="rId1951"/>
    <ns0:hyperlink ref="F1956" ns1:id="rId1952"/>
    <ns0:hyperlink ref="F1957" ns1:id="rId1953"/>
    <ns0:hyperlink ref="F1958" ns1:id="rId1954"/>
    <ns0:hyperlink ref="F1959" ns1:id="rId1955"/>
    <ns0:hyperlink ref="F1960" ns1:id="rId1956"/>
    <ns0:hyperlink ref="F1961" ns1:id="rId1957"/>
    <ns0:hyperlink ref="F1962" ns1:id="rId1958"/>
    <ns0:hyperlink ref="F1963" ns1:id="rId1959"/>
    <ns0:hyperlink ref="F1964" ns1:id="rId1960"/>
    <ns0:hyperlink ref="F1965" ns1:id="rId1961"/>
    <ns0:hyperlink ref="F1966" ns1:id="rId1962"/>
    <ns0:hyperlink ref="F1967" ns1:id="rId1963"/>
    <ns0:hyperlink ref="F1968" ns1:id="rId1964"/>
    <ns0:hyperlink ref="F1969" ns1:id="rId1965"/>
    <ns0:hyperlink ref="F1970" ns1:id="rId1966"/>
    <ns0:hyperlink ref="F1971" ns1:id="rId1967"/>
    <ns0:hyperlink ref="F1972" ns1:id="rId1968"/>
    <ns0:hyperlink ref="F1973" ns1:id="rId1969"/>
    <ns0:hyperlink ref="F1974" ns1:id="rId1970"/>
    <ns0:hyperlink ref="F1975" ns1:id="rId1971"/>
    <ns0:hyperlink ref="F1976" ns1:id="rId1972"/>
    <ns0:hyperlink ref="F1977" ns1:id="rId1973"/>
    <ns0:hyperlink ref="F1978" ns1:id="rId1974"/>
    <ns0:hyperlink ref="F1979" ns1:id="rId1975"/>
    <ns0:hyperlink ref="F1980" ns1:id="rId1976"/>
    <ns0:hyperlink ref="F1981" ns1:id="rId1977"/>
    <ns0:hyperlink ref="F1982" ns1:id="rId1978"/>
    <ns0:hyperlink ref="F1983" ns1:id="rId1979"/>
    <ns0:hyperlink ref="F1984" ns1:id="rId1980"/>
    <ns0:hyperlink ref="F1985" ns1:id="rId1981"/>
    <ns0:hyperlink ref="F1986" ns1:id="rId1982"/>
    <ns0:hyperlink ref="F1987" ns1:id="rId1983"/>
    <ns0:hyperlink ref="F1988" ns1:id="rId1984"/>
    <ns0:hyperlink ref="F1989" ns1:id="rId1985"/>
    <ns0:hyperlink ref="F1990" ns1:id="rId1986"/>
    <ns0:hyperlink ref="F1991" ns1:id="rId1987"/>
    <ns0:hyperlink ref="F1992" ns1:id="rId1988"/>
    <ns0:hyperlink ref="F1993" ns1:id="rId1989"/>
    <ns0:hyperlink ref="F1994" ns1:id="rId1990"/>
    <ns0:hyperlink ref="F1995" ns1:id="rId1991"/>
    <ns0:hyperlink ref="F1996" ns1:id="rId1992"/>
    <ns0:hyperlink ref="F1997" ns1:id="rId1993"/>
    <ns0:hyperlink ref="F1998" ns1:id="rId1994"/>
    <ns0:hyperlink ref="F1999" ns1:id="rId1995"/>
    <ns0:hyperlink ref="F2000" ns1:id="rId1996"/>
    <ns0:hyperlink ref="F2001" ns1:id="rId1997"/>
    <ns0:hyperlink ref="F2002" ns1:id="rId1998"/>
    <ns0:hyperlink ref="F2003" ns1:id="rId1999"/>
    <ns0:hyperlink ref="F2004" ns1:id="rId2000"/>
    <ns0:hyperlink ref="F2005" ns1:id="rId2001"/>
    <ns0:hyperlink ref="F2006" ns1:id="rId2002"/>
    <ns0:hyperlink ref="F2007" ns1:id="rId2003"/>
    <ns0:hyperlink ref="F2008" ns1:id="rId2004"/>
    <ns0:hyperlink ref="F2009" ns1:id="rId2005"/>
    <ns0:hyperlink ref="F2010" ns1:id="rId2006"/>
    <ns0:hyperlink ref="F2011" ns1:id="rId2007"/>
    <ns0:hyperlink ref="F2012" ns1:id="rId2008"/>
    <ns0:hyperlink ref="F2013" ns1:id="rId2009"/>
    <ns0:hyperlink ref="F2014" ns1:id="rId2010"/>
    <ns0:hyperlink ref="F2015" ns1:id="rId2011"/>
    <ns0:hyperlink ref="F2016" ns1:id="rId2012"/>
    <ns0:hyperlink ref="F2017" ns1:id="rId2013"/>
    <ns0:hyperlink ref="F2018" ns1:id="rId2014"/>
    <ns0:hyperlink ref="F2019" ns1:id="rId2015"/>
    <ns0:hyperlink ref="F2020" ns1:id="rId2016"/>
    <ns0:hyperlink ref="F2021" ns1:id="rId2017"/>
    <ns0:hyperlink ref="F2022" ns1:id="rId2018"/>
    <ns0:hyperlink ref="F2023" ns1:id="rId2019"/>
    <ns0:hyperlink ref="F2024" ns1:id="rId2020"/>
    <ns0:hyperlink ref="F2025" ns1:id="rId2021"/>
    <ns0:hyperlink ref="F2026" ns1:id="rId2022"/>
    <ns0:hyperlink ref="F2027" ns1:id="rId2023"/>
    <ns0:hyperlink ref="F2028" ns1:id="rId2024"/>
    <ns0:hyperlink ref="F2029" ns1:id="rId2025"/>
    <ns0:hyperlink ref="F2030" ns1:id="rId2026"/>
    <ns0:hyperlink ref="F2031" ns1:id="rId2027"/>
    <ns0:hyperlink ref="F2032" ns1:id="rId2028"/>
    <ns0:hyperlink ref="F2033" ns1:id="rId2029"/>
    <ns0:hyperlink ref="F2034" ns1:id="rId2030"/>
    <ns0:hyperlink ref="F2035" ns1:id="rId2031"/>
    <ns0:hyperlink ref="F2036" ns1:id="rId2032"/>
    <ns0:hyperlink ref="F2037" ns1:id="rId2033"/>
    <ns0:hyperlink ref="F2038" ns1:id="rId2034"/>
    <ns0:hyperlink ref="F2039" ns1:id="rId2035"/>
    <ns0:hyperlink ref="F2040" ns1:id="rId2036"/>
    <ns0:hyperlink ref="F2041" ns1:id="rId2037"/>
    <ns0:hyperlink ref="F2042" ns1:id="rId2038"/>
    <ns0:hyperlink ref="F2043" ns1:id="rId2039"/>
    <ns0:hyperlink ref="F2044" ns1:id="rId2040"/>
    <ns0:hyperlink ref="F2045" ns1:id="rId2041"/>
    <ns0:hyperlink ref="F2046" ns1:id="rId2042"/>
    <ns0:hyperlink ref="F2047" ns1:id="rId2043"/>
    <ns0:hyperlink ref="F2048" ns1:id="rId2044"/>
    <ns0:hyperlink ref="F2049" ns1:id="rId2045"/>
    <ns0:hyperlink ref="F2050" ns1:id="rId2046"/>
    <ns0:hyperlink ref="F2051" ns1:id="rId2047"/>
    <ns0:hyperlink ref="F2052" ns1:id="rId2048"/>
    <ns0:hyperlink ref="F2053" ns1:id="rId2049"/>
    <ns0:hyperlink ref="F2054" ns1:id="rId2050"/>
    <ns0:hyperlink ref="F2055" ns1:id="rId2051"/>
    <ns0:hyperlink ref="F2056" ns1:id="rId2052"/>
    <ns0:hyperlink ref="F2057" ns1:id="rId2053"/>
    <ns0:hyperlink ref="F2058" ns1:id="rId2054"/>
    <ns0:hyperlink ref="F2059" ns1:id="rId2055"/>
    <ns0:hyperlink ref="F2060" ns1:id="rId2056"/>
    <ns0:hyperlink ref="F2061" ns1:id="rId2057"/>
    <ns0:hyperlink ref="F2062" ns1:id="rId2058"/>
    <ns0:hyperlink ref="F2063" ns1:id="rId2059"/>
    <ns0:hyperlink ref="F2064" ns1:id="rId2060"/>
    <ns0:hyperlink ref="F2065" ns1:id="rId2061"/>
    <ns0:hyperlink ref="F2066" ns1:id="rId2062"/>
    <ns0:hyperlink ref="F2067" ns1:id="rId2063"/>
    <ns0:hyperlink ref="F2068" ns1:id="rId2064"/>
    <ns0:hyperlink ref="F2069" ns1:id="rId2065"/>
    <ns0:hyperlink ref="F2070" ns1:id="rId2066"/>
    <ns0:hyperlink ref="F2071" ns1:id="rId2067"/>
    <ns0:hyperlink ref="F2072" ns1:id="rId2068"/>
    <ns0:hyperlink ref="F2073" ns1:id="rId2069"/>
    <ns0:hyperlink ref="F2074" ns1:id="rId2070"/>
    <ns0:hyperlink ref="F2075" ns1:id="rId2071"/>
    <ns0:hyperlink ref="F2076" ns1:id="rId2072"/>
    <ns0:hyperlink ref="F2077" ns1:id="rId2073"/>
    <ns0:hyperlink ref="F2078" ns1:id="rId2074"/>
    <ns0:hyperlink ref="F2079" ns1:id="rId2075"/>
    <ns0:hyperlink ref="F2080" ns1:id="rId2076"/>
    <ns0:hyperlink ref="F2081" ns1:id="rId2077"/>
    <ns0:hyperlink ref="F2082" ns1:id="rId2078"/>
    <ns0:hyperlink ref="F2083" ns1:id="rId2079"/>
    <ns0:hyperlink ref="F2084" ns1:id="rId2080"/>
    <ns0:hyperlink ref="F2085" ns1:id="rId2081"/>
    <ns0:hyperlink ref="F2086" ns1:id="rId2082"/>
    <ns0:hyperlink ref="F2087" ns1:id="rId2083"/>
    <ns0:hyperlink ref="F2088" ns1:id="rId2084"/>
    <ns0:hyperlink ref="F2089" ns1:id="rId2085"/>
    <ns0:hyperlink ref="F2090" ns1:id="rId2086"/>
    <ns0:hyperlink ref="F2091" ns1:id="rId2087"/>
    <ns0:hyperlink ref="F2092" ns1:id="rId2088"/>
    <ns0:hyperlink ref="F2093" ns1:id="rId2089"/>
    <ns0:hyperlink ref="F2094" ns1:id="rId2090"/>
    <ns0:hyperlink ref="F2095" ns1:id="rId2091"/>
    <ns0:hyperlink ref="F2096" ns1:id="rId2092"/>
    <ns0:hyperlink ref="F2097" ns1:id="rId2093"/>
    <ns0:hyperlink ref="F2098" ns1:id="rId2094"/>
    <ns0:hyperlink ref="F2099" ns1:id="rId2095"/>
    <ns0:hyperlink ref="F2100" ns1:id="rId2096"/>
    <ns0:hyperlink ref="F2101" ns1:id="rId2097"/>
    <ns0:hyperlink ref="F2102" ns1:id="rId2098"/>
    <ns0:hyperlink ref="F2103" ns1:id="rId2099"/>
    <ns0:hyperlink ref="F2104" ns1:id="rId2100"/>
    <ns0:hyperlink ref="F2105" ns1:id="rId2101"/>
    <ns0:hyperlink ref="F2106" ns1:id="rId2102"/>
    <ns0:hyperlink ref="F2107" ns1:id="rId2103"/>
    <ns0:hyperlink ref="F2108" ns1:id="rId2104"/>
    <ns0:hyperlink ref="F2109" ns1:id="rId2105"/>
    <ns0:hyperlink ref="F2110" ns1:id="rId2106"/>
    <ns0:hyperlink ref="F2111" ns1:id="rId2107"/>
    <ns0:hyperlink ref="F2112" ns1:id="rId2108"/>
    <ns0:hyperlink ref="F2113" ns1:id="rId2109"/>
    <ns0:hyperlink ref="F2114" ns1:id="rId2110"/>
    <ns0:hyperlink ref="F2115" ns1:id="rId2111"/>
    <ns0:hyperlink ref="F2116" ns1:id="rId2112"/>
    <ns0:hyperlink ref="F2117" ns1:id="rId2113"/>
    <ns0:hyperlink ref="F2118" ns1:id="rId2114"/>
    <ns0:hyperlink ref="F2119" ns1:id="rId2115"/>
    <ns0:hyperlink ref="F2120" ns1:id="rId2116"/>
    <ns0:hyperlink ref="F2121" ns1:id="rId2117"/>
    <ns0:hyperlink ref="F2122" ns1:id="rId2118"/>
    <ns0:hyperlink ref="F2123" ns1:id="rId2119"/>
    <ns0:hyperlink ref="F2124" ns1:id="rId2120"/>
    <ns0:hyperlink ref="F2125" ns1:id="rId2121"/>
    <ns0:hyperlink ref="F2126" ns1:id="rId2122"/>
    <ns0:hyperlink ref="F2127" ns1:id="rId2123"/>
    <ns0:hyperlink ref="F2128" ns1:id="rId2124"/>
    <ns0:hyperlink ref="F2129" ns1:id="rId2125"/>
    <ns0:hyperlink ref="F2130" ns1:id="rId2126"/>
    <ns0:hyperlink ref="F2131" ns1:id="rId2127"/>
    <ns0:hyperlink ref="F2132" ns1:id="rId2128"/>
    <ns0:hyperlink ref="F2133" ns1:id="rId2129"/>
    <ns0:hyperlink ref="F2134" ns1:id="rId2130"/>
    <ns0:hyperlink ref="F2135" ns1:id="rId2131"/>
    <ns0:hyperlink ref="F2136" ns1:id="rId2132"/>
    <ns0:hyperlink ref="F2137" ns1:id="rId2133"/>
    <ns0:hyperlink ref="F2138" ns1:id="rId2134"/>
    <ns0:hyperlink ref="F2139" ns1:id="rId2135"/>
    <ns0:hyperlink ref="F2140" ns1:id="rId2136"/>
    <ns0:hyperlink ref="F2141" ns1:id="rId2137"/>
    <ns0:hyperlink ref="F2142" ns1:id="rId2138"/>
    <ns0:hyperlink ref="F2143" ns1:id="rId2139"/>
    <ns0:hyperlink ref="F2144" ns1:id="rId2140"/>
    <ns0:hyperlink ref="F2145" ns1:id="rId2141"/>
    <ns0:hyperlink ref="F2146" ns1:id="rId2142"/>
    <ns0:hyperlink ref="F2147" ns1:id="rId2143"/>
    <ns0:hyperlink ref="F2148" ns1:id="rId2144"/>
    <ns0:hyperlink ref="F2149" ns1:id="rId2145"/>
    <ns0:hyperlink ref="F2150" ns1:id="rId2146"/>
    <ns0:hyperlink ref="F2151" ns1:id="rId2147"/>
    <ns0:hyperlink ref="F2152" ns1:id="rId2148"/>
    <ns0:hyperlink ref="F2153" ns1:id="rId2149"/>
    <ns0:hyperlink ref="F2154" ns1:id="rId2150"/>
    <ns0:hyperlink ref="F2155" ns1:id="rId2151"/>
    <ns0:hyperlink ref="F2156" ns1:id="rId2152"/>
    <ns0:hyperlink ref="F2157" ns1:id="rId2153"/>
    <ns0:hyperlink ref="F2158" ns1:id="rId2154"/>
    <ns0:hyperlink ref="F2159" ns1:id="rId2155"/>
    <ns0:hyperlink ref="F2160" ns1:id="rId2156"/>
    <ns0:hyperlink ref="F2161" ns1:id="rId2157"/>
    <ns0:hyperlink ref="F2162" ns1:id="rId2158"/>
    <ns0:hyperlink ref="F2163" ns1:id="rId2159"/>
    <ns0:hyperlink ref="F2164" ns1:id="rId2160"/>
    <ns0:hyperlink ref="F2165" ns1:id="rId2161"/>
    <ns0:hyperlink ref="F2166" ns1:id="rId2162"/>
    <ns0:hyperlink ref="F2167" ns1:id="rId2163"/>
    <ns0:hyperlink ref="F2168" ns1:id="rId2164"/>
    <ns0:hyperlink ref="F2169" ns1:id="rId2165"/>
    <ns0:hyperlink ref="F2170" ns1:id="rId2166"/>
    <ns0:hyperlink ref="F2171" ns1:id="rId2167"/>
    <ns0:hyperlink ref="F2172" ns1:id="rId2168"/>
    <ns0:hyperlink ref="F2173" ns1:id="rId2169"/>
    <ns0:hyperlink ref="F2174" ns1:id="rId2170"/>
    <ns0:hyperlink ref="F2175" ns1:id="rId2171"/>
    <ns0:hyperlink ref="F2176" ns1:id="rId2172"/>
    <ns0:hyperlink ref="F2177" ns1:id="rId2173"/>
    <ns0:hyperlink ref="F2178" ns1:id="rId2174"/>
    <ns0:hyperlink ref="F2179" ns1:id="rId2175"/>
    <ns0:hyperlink ref="F2180" ns1:id="rId2176"/>
    <ns0:hyperlink ref="F2181" ns1:id="rId2177"/>
    <ns0:hyperlink ref="F2182" ns1:id="rId2178"/>
    <ns0:hyperlink ref="F2183" ns1:id="rId2179"/>
    <ns0:hyperlink ref="F2184" ns1:id="rId2180"/>
    <ns0:hyperlink ref="F2185" ns1:id="rId2181"/>
    <ns0:hyperlink ref="F2186" ns1:id="rId2182"/>
    <ns0:hyperlink ref="F2187" ns1:id="rId2183"/>
    <ns0:hyperlink ref="F2188" ns1:id="rId2184"/>
    <ns0:hyperlink ref="F2189" ns1:id="rId2185"/>
    <ns0:hyperlink ref="F2190" ns1:id="rId2186"/>
    <ns0:hyperlink ref="F2191" ns1:id="rId2187"/>
    <ns0:hyperlink ref="F2192" ns1:id="rId2188"/>
    <ns0:hyperlink ref="F2193" ns1:id="rId2189"/>
    <ns0:hyperlink ref="F2194" ns1:id="rId2190"/>
    <ns0:hyperlink ref="F2195" ns1:id="rId2191"/>
    <ns0:hyperlink ref="F2196" ns1:id="rId2192"/>
    <ns0:hyperlink ref="F2197" ns1:id="rId2193"/>
    <ns0:hyperlink ref="F2198" ns1:id="rId2194"/>
    <ns0:hyperlink ref="F2199" ns1:id="rId2195"/>
    <ns0:hyperlink ref="F2200" ns1:id="rId2196"/>
    <ns0:hyperlink ref="F2201" ns1:id="rId2197"/>
    <ns0:hyperlink ref="F2202" ns1:id="rId2198"/>
    <ns0:hyperlink ref="F2203" ns1:id="rId2199"/>
    <ns0:hyperlink ref="F2204" ns1:id="rId2200"/>
    <ns0:hyperlink ref="F2205" ns1:id="rId2201"/>
    <ns0:hyperlink ref="F2206" ns1:id="rId2202"/>
    <ns0:hyperlink ref="F2207" ns1:id="rId2203"/>
    <ns0:hyperlink ref="F2208" ns1:id="rId2204"/>
    <ns0:hyperlink ref="F2209" ns1:id="rId2205"/>
    <ns0:hyperlink ref="F2210" ns1:id="rId2206"/>
    <ns0:hyperlink ref="F2211" ns1:id="rId2207"/>
    <ns0:hyperlink ref="F2212" ns1:id="rId2208"/>
    <ns0:hyperlink ref="F2213" ns1:id="rId2209"/>
    <ns0:hyperlink ref="F2214" ns1:id="rId2210"/>
    <ns0:hyperlink ref="F2215" ns1:id="rId2211"/>
    <ns0:hyperlink ref="F2216" ns1:id="rId2212"/>
    <ns0:hyperlink ref="F2217" ns1:id="rId2213"/>
    <ns0:hyperlink ref="F2218" ns1:id="rId2214"/>
    <ns0:hyperlink ref="F2219" ns1:id="rId2215"/>
    <ns0:hyperlink ref="F2220" ns1:id="rId2216"/>
    <ns0:hyperlink ref="F2221" ns1:id="rId2217"/>
    <ns0:hyperlink ref="F2222" ns1:id="rId2218"/>
    <ns0:hyperlink ref="F2223" ns1:id="rId2219"/>
    <ns0:hyperlink ref="F2224" ns1:id="rId2220"/>
    <ns0:hyperlink ref="F2225" ns1:id="rId2221"/>
    <ns0:hyperlink ref="F2226" ns1:id="rId2222"/>
    <ns0:hyperlink ref="F2227" ns1:id="rId2223"/>
    <ns0:hyperlink ref="F2228" ns1:id="rId2224"/>
    <ns0:hyperlink ref="F2229" ns1:id="rId2225"/>
    <ns0:hyperlink ref="F2230" ns1:id="rId2226"/>
    <ns0:hyperlink ref="F2231" ns1:id="rId2227"/>
    <ns0:hyperlink ref="F2232" ns1:id="rId2228"/>
    <ns0:hyperlink ref="F2233" ns1:id="rId2229"/>
    <ns0:hyperlink ref="F2234" ns1:id="rId2230"/>
    <ns0:hyperlink ref="F2235" ns1:id="rId2231"/>
    <ns0:hyperlink ref="F2236" ns1:id="rId2232"/>
    <ns0:hyperlink ref="F2237" ns1:id="rId2233"/>
    <ns0:hyperlink ref="F2238" ns1:id="rId2234"/>
    <ns0:hyperlink ref="F2239" ns1:id="rId2235"/>
    <ns0:hyperlink ref="F2240" ns1:id="rId2236"/>
    <ns0:hyperlink ref="F2241" ns1:id="rId2237"/>
    <ns0:hyperlink ref="F2242" ns1:id="rId2238"/>
    <ns0:hyperlink ref="F2243" ns1:id="rId2239"/>
    <ns0:hyperlink ref="F2244" ns1:id="rId2240"/>
    <ns0:hyperlink ref="F2245" ns1:id="rId2241"/>
    <ns0:hyperlink ref="F2246" ns1:id="rId2242"/>
    <ns0:hyperlink ref="F2247" ns1:id="rId2243"/>
    <ns0:hyperlink ref="F2248" ns1:id="rId2244"/>
    <ns0:hyperlink ref="F2249" ns1:id="rId2245"/>
    <ns0:hyperlink ref="F2250" ns1:id="rId2246"/>
    <ns0:hyperlink ref="F2251" ns1:id="rId2247"/>
    <ns0:hyperlink ref="F2252" ns1:id="rId2248"/>
    <ns0:hyperlink ref="F2253" ns1:id="rId2249"/>
    <ns0:hyperlink ref="F2254" ns1:id="rId2250"/>
    <ns0:hyperlink ref="F2255" ns1:id="rId2251"/>
    <ns0:hyperlink ref="F2256" ns1:id="rId2252"/>
    <ns0:hyperlink ref="F2257" ns1:id="rId2253"/>
    <ns0:hyperlink ref="F2258" ns1:id="rId2254"/>
    <ns0:hyperlink ref="F2259" ns1:id="rId2255"/>
    <ns0:hyperlink ref="F2260" ns1:id="rId2256"/>
    <ns0:hyperlink ref="F2261" ns1:id="rId2257"/>
    <ns0:hyperlink ref="F2262" ns1:id="rId2258"/>
    <ns0:hyperlink ref="F2263" ns1:id="rId2259"/>
    <ns0:hyperlink ref="F2264" ns1:id="rId2260"/>
    <ns0:hyperlink ref="F2265" ns1:id="rId2261"/>
    <ns0:hyperlink ref="F2266" ns1:id="rId2262"/>
    <ns0:hyperlink ref="F2267" ns1:id="rId2263"/>
    <ns0:hyperlink ref="F2268" ns1:id="rId2264"/>
    <ns0:hyperlink ref="F2269" ns1:id="rId2265"/>
    <ns0:hyperlink ref="F2270" ns1:id="rId2266"/>
    <ns0:hyperlink ref="F2271" ns1:id="rId2267"/>
    <ns0:hyperlink ref="F2272" ns1:id="rId2268"/>
    <ns0:hyperlink ref="F2273" ns1:id="rId2269"/>
    <ns0:hyperlink ref="F2274" ns1:id="rId2270"/>
    <ns0:hyperlink ref="F2275" ns1:id="rId2271"/>
    <ns0:hyperlink ref="F2276" ns1:id="rId2272"/>
    <ns0:hyperlink ref="F2277" ns1:id="rId2273"/>
    <ns0:hyperlink ref="F2278" ns1:id="rId2274"/>
    <ns0:hyperlink ref="F2279" ns1:id="rId2275"/>
    <ns0:hyperlink ref="F2280" ns1:id="rId2276"/>
    <ns0:hyperlink ref="F2281" ns1:id="rId2277"/>
    <ns0:hyperlink ref="F2282" ns1:id="rId2278"/>
    <ns0:hyperlink ref="F2283" ns1:id="rId2279"/>
    <ns0:hyperlink ref="F2284" ns1:id="rId2280"/>
    <ns0:hyperlink ref="F2285" ns1:id="rId2281"/>
    <ns0:hyperlink ref="F2286" ns1:id="rId2282"/>
    <ns0:hyperlink ref="F2287" ns1:id="rId2283"/>
    <ns0:hyperlink ref="F2288" ns1:id="rId2284"/>
    <ns0:hyperlink ref="F2289" ns1:id="rId2285"/>
    <ns0:hyperlink ref="F2290" ns1:id="rId2286"/>
    <ns0:hyperlink ref="F2291" ns1:id="rId2287"/>
    <ns0:hyperlink ref="F2292" ns1:id="rId2288"/>
    <ns0:hyperlink ref="F2293" ns1:id="rId2289"/>
    <ns0:hyperlink ref="F2294" ns1:id="rId2290"/>
    <ns0:hyperlink ref="F2295" ns1:id="rId2291"/>
    <ns0:hyperlink ref="F2296" ns1:id="rId2292"/>
    <ns0:hyperlink ref="F2297" ns1:id="rId2293"/>
    <ns0:hyperlink ref="F2298" ns1:id="rId2294"/>
    <ns0:hyperlink ref="F2299" ns1:id="rId2295"/>
    <ns0:hyperlink ref="F2300" ns1:id="rId2296"/>
    <ns0:hyperlink ref="F2301" ns1:id="rId2297"/>
    <ns0:hyperlink ref="F2302" ns1:id="rId2298"/>
    <ns0:hyperlink ref="F2303" ns1:id="rId2299"/>
    <ns0:hyperlink ref="F2304" ns1:id="rId2300"/>
    <ns0:hyperlink ref="F2305" ns1:id="rId2301"/>
    <ns0:hyperlink ref="F2306" ns1:id="rId2302"/>
    <ns0:hyperlink ref="F2307" ns1:id="rId2303"/>
    <ns0:hyperlink ref="F2308" ns1:id="rId2304"/>
    <ns0:hyperlink ref="F2309" ns1:id="rId2305"/>
    <ns0:hyperlink ref="F2310" ns1:id="rId2306"/>
    <ns0:hyperlink ref="F2311" ns1:id="rId2307"/>
    <ns0:hyperlink ref="F2312" ns1:id="rId2308"/>
    <ns0:hyperlink ref="F2313" ns1:id="rId2309"/>
    <ns0:hyperlink ref="F2314" ns1:id="rId2310"/>
    <ns0:hyperlink ref="F2315" ns1:id="rId2311"/>
    <ns0:hyperlink ref="F2316" ns1:id="rId2312"/>
    <ns0:hyperlink ref="F2317" ns1:id="rId2313"/>
    <ns0:hyperlink ref="F2318" ns1:id="rId2314"/>
    <ns0:hyperlink ref="F2319" ns1:id="rId2315"/>
    <ns0:hyperlink ref="F2320" ns1:id="rId2316"/>
    <ns0:hyperlink ref="F2321" ns1:id="rId2317"/>
    <ns0:hyperlink ref="F2322" ns1:id="rId2318"/>
    <ns0:hyperlink ref="F2323" ns1:id="rId2319"/>
    <ns0:hyperlink ref="F2324" ns1:id="rId2320"/>
    <ns0:hyperlink ref="F2325" ns1:id="rId2321"/>
    <ns0:hyperlink ref="F2326" ns1:id="rId2322"/>
    <ns0:hyperlink ref="F2327" ns1:id="rId2323"/>
    <ns0:hyperlink ref="F2328" ns1:id="rId2324"/>
    <ns0:hyperlink ref="F2329" ns1:id="rId2325"/>
    <ns0:hyperlink ref="F2330" ns1:id="rId2326"/>
    <ns0:hyperlink ref="F2331" ns1:id="rId2327"/>
    <ns0:hyperlink ref="F2332" ns1:id="rId2328"/>
    <ns0:hyperlink ref="F2333" ns1:id="rId2329"/>
    <ns0:hyperlink ref="F2334" ns1:id="rId2330"/>
    <ns0:hyperlink ref="F2335" ns1:id="rId2331"/>
    <ns0:hyperlink ref="F2336" ns1:id="rId2332"/>
    <ns0:hyperlink ref="F2337" ns1:id="rId2333"/>
    <ns0:hyperlink ref="F2338" ns1:id="rId2334"/>
    <ns0:hyperlink ref="F2339" ns1:id="rId2335"/>
    <ns0:hyperlink ref="F2340" ns1:id="rId2336"/>
    <ns0:hyperlink ref="F2341" ns1:id="rId2337"/>
    <ns0:hyperlink ref="F2342" ns1:id="rId2338"/>
    <ns0:hyperlink ref="F2343" ns1:id="rId2339"/>
    <ns0:hyperlink ref="F2344" ns1:id="rId2340"/>
    <ns0:hyperlink ref="F2345" ns1:id="rId2341"/>
    <ns0:hyperlink ref="F2346" ns1:id="rId2342"/>
    <ns0:hyperlink ref="F2347" ns1:id="rId2343"/>
    <ns0:hyperlink ref="F2348" ns1:id="rId2344"/>
    <ns0:hyperlink ref="F2349" ns1:id="rId2345"/>
    <ns0:hyperlink ref="F2350" ns1:id="rId2346"/>
    <ns0:hyperlink ref="F2351" ns1:id="rId2347"/>
    <ns0:hyperlink ref="F2352" ns1:id="rId2348"/>
    <ns0:hyperlink ref="F2353" ns1:id="rId2349"/>
    <ns0:hyperlink ref="F2354" ns1:id="rId2350"/>
    <ns0:hyperlink ref="F2355" ns1:id="rId2351"/>
    <ns0:hyperlink ref="F2356" ns1:id="rId2352"/>
    <ns0:hyperlink ref="F2357" ns1:id="rId2353"/>
    <ns0:hyperlink ref="F2358" ns1:id="rId2354"/>
    <ns0:hyperlink ref="F2359" ns1:id="rId2355"/>
    <ns0:hyperlink ref="F2360" ns1:id="rId2356"/>
    <ns0:hyperlink ref="F2361" ns1:id="rId2357"/>
    <ns0:hyperlink ref="F2362" ns1:id="rId2358"/>
    <ns0:hyperlink ref="F2363" ns1:id="rId2359"/>
    <ns0:hyperlink ref="F2364" ns1:id="rId2360"/>
    <ns0:hyperlink ref="F2365" ns1:id="rId2361"/>
    <ns0:hyperlink ref="F2366" ns1:id="rId2362"/>
    <ns0:hyperlink ref="F2367" ns1:id="rId2363"/>
    <ns0:hyperlink ref="F2368" ns1:id="rId2364"/>
    <ns0:hyperlink ref="F2369" ns1:id="rId2365"/>
    <ns0:hyperlink ref="F2370" ns1:id="rId2366"/>
    <ns0:hyperlink ref="F2371" ns1:id="rId2367"/>
    <ns0:hyperlink ref="F2372" ns1:id="rId2368"/>
    <ns0:hyperlink ref="F2373" ns1:id="rId2369"/>
    <ns0:hyperlink ref="F2374" ns1:id="rId2370"/>
    <ns0:hyperlink ref="F2375" ns1:id="rId2371"/>
    <ns0:hyperlink ref="F2376" ns1:id="rId2372"/>
    <ns0:hyperlink ref="F2377" ns1:id="rId2373"/>
    <ns0:hyperlink ref="F2378" ns1:id="rId2374"/>
    <ns0:hyperlink ref="F2379" ns1:id="rId2375"/>
    <ns0:hyperlink ref="F2380" ns1:id="rId2376"/>
    <ns0:hyperlink ref="F2381" ns1:id="rId2377"/>
    <ns0:hyperlink ref="F2382" ns1:id="rId2378"/>
    <ns0:hyperlink ref="F2383" ns1:id="rId2379"/>
    <ns0:hyperlink ref="F2384" ns1:id="rId2380"/>
    <ns0:hyperlink ref="F2385" ns1:id="rId2381"/>
    <ns0:hyperlink ref="F2386" ns1:id="rId2382"/>
    <ns0:hyperlink ref="F2387" ns1:id="rId2383"/>
    <ns0:hyperlink ref="F2388" ns1:id="rId2384"/>
    <ns0:hyperlink ref="F2389" ns1:id="rId2385"/>
    <ns0:hyperlink ref="F2390" ns1:id="rId2386"/>
    <ns0:hyperlink ref="F2391" ns1:id="rId2387"/>
    <ns0:hyperlink ref="F2392" ns1:id="rId2388"/>
    <ns0:hyperlink ref="F2393" ns1:id="rId2389"/>
    <ns0:hyperlink ref="F2394" ns1:id="rId2390"/>
    <ns0:hyperlink ref="F2395" ns1:id="rId2391"/>
    <ns0:hyperlink ref="F2396" ns1:id="rId2392"/>
    <ns0:hyperlink ref="F2397" ns1:id="rId2393"/>
    <ns0:hyperlink ref="F2398" ns1:id="rId2394"/>
    <ns0:hyperlink ref="F2399" ns1:id="rId2395"/>
    <ns0:hyperlink ref="F2400" ns1:id="rId2396"/>
    <ns0:hyperlink ref="F2401" ns1:id="rId2397"/>
    <ns0:hyperlink ref="F2402" ns1:id="rId2398"/>
    <ns0:hyperlink ref="F2403" ns1:id="rId2399"/>
    <ns0:hyperlink ref="F2404" ns1:id="rId2400"/>
    <ns0:hyperlink ref="F2405" ns1:id="rId2401"/>
    <ns0:hyperlink ref="F2406" ns1:id="rId2402"/>
    <ns0:hyperlink ref="F2407" ns1:id="rId2403"/>
    <ns0:hyperlink ref="F2408" ns1:id="rId2404"/>
    <ns0:hyperlink ref="F2409" ns1:id="rId2405"/>
    <ns0:hyperlink ref="F2410" ns1:id="rId2406"/>
    <ns0:hyperlink ref="F2411" ns1:id="rId2407"/>
    <ns0:hyperlink ref="F2412" ns1:id="rId2408"/>
    <ns0:hyperlink ref="F2413" ns1:id="rId2409"/>
    <ns0:hyperlink ref="F2414" ns1:id="rId2410"/>
    <ns0:hyperlink ref="F2415" ns1:id="rId2411"/>
    <ns0:hyperlink ref="F2416" ns1:id="rId2412"/>
    <ns0:hyperlink ref="F2417" ns1:id="rId2413"/>
    <ns0:hyperlink ref="F2418" ns1:id="rId2414"/>
    <ns0:hyperlink ref="F2419" ns1:id="rId2415"/>
    <ns0:hyperlink ref="F2420" ns1:id="rId2416"/>
    <ns0:hyperlink ref="F2421" ns1:id="rId2417"/>
    <ns0:hyperlink ref="F2422" ns1:id="rId2418"/>
    <ns0:hyperlink ref="F2423" ns1:id="rId2419"/>
    <ns0:hyperlink ref="F2424" ns1:id="rId2420"/>
    <ns0:hyperlink ref="F2425" ns1:id="rId2421"/>
    <ns0:hyperlink ref="F2426" ns1:id="rId2422"/>
    <ns0:hyperlink ref="F2427" ns1:id="rId2423"/>
    <ns0:hyperlink ref="F2428" ns1:id="rId2424"/>
    <ns0:hyperlink ref="F2429" ns1:id="rId2425"/>
    <ns0:hyperlink ref="F2430" ns1:id="rId2426"/>
    <ns0:hyperlink ref="F2431" ns1:id="rId2427"/>
    <ns0:hyperlink ref="F2432" ns1:id="rId2428"/>
    <ns0:hyperlink ref="F2433" ns1:id="rId2429"/>
    <ns0:hyperlink ref="F2434" ns1:id="rId2430"/>
    <ns0:hyperlink ref="F2435" ns1:id="rId2431"/>
    <ns0:hyperlink ref="F2436" ns1:id="rId2432"/>
    <ns0:hyperlink ref="F2437" ns1:id="rId2433"/>
    <ns0:hyperlink ref="F2438" ns1:id="rId2434"/>
    <ns0:hyperlink ref="F2439" ns1:id="rId2435"/>
    <ns0:hyperlink ref="F2440" ns1:id="rId2436"/>
    <ns0:hyperlink ref="F2441" ns1:id="rId2437"/>
    <ns0:hyperlink ref="F2442" ns1:id="rId2438"/>
    <ns0:hyperlink ref="F2443" ns1:id="rId2439"/>
    <ns0:hyperlink ref="F2444" ns1:id="rId2440"/>
    <ns0:hyperlink ref="F2445" ns1:id="rId2441"/>
    <ns0:hyperlink ref="F2446" ns1:id="rId2442"/>
    <ns0:hyperlink ref="F2447" ns1:id="rId2443"/>
    <ns0:hyperlink ref="F2448" ns1:id="rId2444"/>
    <ns0:hyperlink ref="F2449" ns1:id="rId2445"/>
    <ns0:hyperlink ref="F2450" ns1:id="rId2446"/>
    <ns0:hyperlink ref="F2451" ns1:id="rId2447"/>
    <ns0:hyperlink ref="F2452" ns1:id="rId2448"/>
    <ns0:hyperlink ref="F2453" ns1:id="rId2449"/>
  </ns0:hyperlinks>
  <ns0:printOptions horizontalCentered="1"/>
  <ns0:pageMargins left="0.75" right="0.75" top="1" bottom="1" header="0.5" footer="0.5"/>
  <ns0:pageSetup orientation="landscape" paperSize="8" fitToHeight="0" fitToWidth="1"/>
</ns0:worksheet>
</file>

<file path=xl/worksheets/sheet16.xml><?xml version="1.0" encoding="utf-8"?>
<ns0:worksheet xmlns:ns0="http://schemas.openxmlformats.org/spreadsheetml/2006/main">
  <ns0:sheetPr>
    <ns0:tabColor rgb="00177E89"/>
    <ns0:outlinePr summaryBelow="1" summaryRight="0"/>
    <ns0:pageSetUpPr fitToPage="1"/>
  </ns0:sheetPr>
  <ns0:dimension ref="A1:C23"/>
  <ns0:sheetViews>
    <ns0:sheetView showGridLines="0" workbookViewId="0">
      <ns0:pane xSplit="2" ySplit="4" topLeftCell="C5" activePane="bottomRight" state="frozen"/>
      <ns0:selection pane="topRight"/>
      <ns0:selection pane="bottomLeft"/>
      <ns0:selection pane="bottomRight" activeCell="A1" sqref="A1"/>
    </ns0:sheetView>
  </ns0:sheetViews>
  <ns0:sheetFormatPr baseColWidth="8" defaultRowHeight="15"/>
  <ns0:cols>
    <ns0:col width="29" customWidth="1" min="1" max="1"/>
    <ns0:col width="66" customWidth="1" min="2" max="2"/>
    <ns0:col width="112" customWidth="1" min="3" max="3"/>
  </ns0:cols>
  <ns0:sheetData>
    <ns0:row r="1" ht="36" customHeight="1">
      <ns0:c r="A1" s="16" t="inlineStr">
        <ns0:is>
          <ns0:t>Definiciones operacionales del cierre</ns0:t>
        </ns0:is>
      </ns0:c>
    </ns0:row>
    <ns0:row r="2" ht="32" customHeight="1">
      <ns0:c r="A2" s="17" t="inlineStr">
        <ns0:is>
          <ns0:t>Las precisiones de este cierre deben describirse en Methods; no fueron necesariamente decisiones preespecificadas antes de la revision.</ns0:t>
        </ns0:is>
      </ns0:c>
    </ns0:row>
    <ns0:row r="4" ht="34" customHeight="1">
      <ns0:c r="A4" s="18" t="inlineStr">
        <ns0:is>
          <ns0:t>Variable</ns0:t>
        </ns0:is>
      </ns0:c>
      <ns0:c r="B4" s="18" t="inlineStr">
        <ns0:is>
          <ns0:t>Operational definition</ns0:t>
        </ns0:is>
      </ns0:c>
      <ns0:c r="C4" s="18" t="inlineStr">
        <ns0:is>
          <ns0:t>Interpretation / exclusions</ns0:t>
        </ns0:is>
      </ns0:c>
    </ns0:row>
    <ns0:row r="5" ht="69" customHeight="1">
      <ns0:c r="A5" s="19" t="inlineStr">
        <ns0:is>
          <ns0:t>Unit of analysis</ns0:t>
        </ns0:is>
      </ns0:c>
      <ns0:c r="B5" s="19" t="inlineStr">
        <ns0:is>
          <ns0:t>One bibliographic report</ns0:t>
        </ns0:is>
      </ns0:c>
      <ns0:c r="C5" s="19" t="inlineStr">
        <ns0:is>
          <ns0:t>The same dataset/participants may appear in multiple reports. Do not pool participant counts or treat reports as independent cohorts.</ns0:t>
        </ns0:is>
      </ns0:c>
    </ns0:row>
    <ns0:row r="6" ht="69" customHeight="1">
      <ns0:c r="A6" s="21" t="inlineStr">
        <ns0:is>
          <ns0:t>Eligibility</ns0:t>
        </ns0:is>
      </ns0:c>
      <ns0:c r="B6" s="21" t="inlineStr">
        <ns0:is>
          <ns0:t>Follow supplied Criterios_origen</ns0:t>
        </ns0:is>
      </ns0:c>
      <ns0:c r="C6" s="21" t="inlineStr">
        <ns0:is>
          <ns0:t>Full peer-reviewed proceedings papers are eligible; standalone edited-book chapters, reviews/protocols, animal-only studies, irrelevant AI and retracted studies are excluded.</ns0:t>
        </ns0:is>
      </ns0:c>
    </ns0:row>
    <ns0:row r="7" ht="69" customHeight="1">
      <ns0:c r="A7" s="19" t="inlineStr">
        <ns0:is>
          <ns0:t>Primary stage</ns0:t>
        </ns0:is>
      </ns0:c>
      <ns0:c r="B7" s="19" t="inlineStr">
        <ns0:is>
          <ns0:t>One of five stages, or Not specified</ns0:t>
        </ns0:is>
      </ns0:c>
      <ns0:c r="C7" s="19" t="inlineStr">
        <ns0:is>
          <ns0:t>Risk-factor associations without a temporal prediction are not automatically prognosis. Gene/tissue characterization remains unresolved rather than forced into clinical diagnosis.</ns0:t>
        </ns0:is>
      </ns0:c>
    </ns0:row>
    <ns0:row r="8" ht="69" customHeight="1">
      <ns0:c r="A8" s="21" t="inlineStr">
        <ns0:is>
          <ns0:t>Primary data source</ns0:t>
        </ns0:is>
      </ns0:c>
      <ns0:c r="B8" s="21" t="inlineStr">
        <ns0:is>
          <ns0:t>Fundamental measured input, not its representation</ns0:t>
        </ns0:is>
      </ns0:c>
      <ns0:c r="C8" s="21" t="inlineStr">
        <ns0:is>
          <ns0:t>fMRI is neuroimaging even when converted to graphs or images; questionnaire scores are structured data, not NLP. EEG spectra and spectrograms are one source.</ns0:t>
        </ns0:is>
      </ns0:c>
    </ns0:row>
    <ns0:row r="9" ht="69" customHeight="1">
      <ns0:c r="A9" s="19" t="inlineStr">
        <ns0:is>
          <ns0:t>AI type</ns0:t>
        </ns0:is>
      </ns0:c>
      <ns0:c r="B9" s="19" t="inlineStr">
        <ns0:is>
          <ns0:t>ML / DL / Hybrid / Not specified</ns0:t>
        </ns0:is>
      </ns0:c>
      <ns0:c r="C9" s="19" t="inlineStr">
        <ns0:is>
          <ns0:t>Hybrid requires substantively different integrated methods. Multiple neural branches or hand-crafted preprocessing alone are not mixed conventional ML/DL. Quantum-classical and fuzzy-neural exceptions remain explicit in algorithm_main.</ns0:t>
        </ns0:is>
      </ns0:c>
    </ns0:row>
    <ns0:row r="10" ht="69" customHeight="1">
      <ns0:c r="A10" s="21" t="inlineStr">
        <ns0:is>
          <ns0:t>Algorithm family</ns0:t>
        </ns0:is>
      </ns0:c>
      <ns0:c r="B10" s="21" t="inlineStr">
        <ns0:is>
          <ns0:t>Single family, composite pipeline, multiple/unspecified or other</ns0:t>
        </ns0:is>
      </ns0:c>
      <ns0:c r="C10" s="21" t="inlineStr">
        <ns0:is>
          <ns0:t>Do not choose a winner unless emphasized in the source. Composite pipeline grouping preserves mixed components rather than counting one report repeatedly.</ns0:t>
        </ns0:is>
      </ns0:c>
    </ns0:row>
    <ns0:row r="11" ht="69" customHeight="1">
      <ns0:c r="A11" s="19" t="inlineStr">
        <ns0:is>
          <ns0:t>RQ2 maturity</ns0:t>
        </ns0:is>
      </ns0:c>
      <ns0:c r="B11" s="19" t="inlineStr">
        <ns0:is>
          <ns0:t>Research only / Proposed only / Evaluated use</ns0:t>
        </ns0:is>
      </ns0:c>
      <ns0:c r="C11" s="19" t="inlineStr">
        <ns0:is>
          <ns0:t>Research only means the assessed source supports a research model, not that no tool could exist. A clinical motivation or classifier performance does not prove workflow integration.</ns0:t>
        </ns0:is>
      </ns0:c>
    </ns0:row>
    <ns0:row r="12" ht="69" customHeight="1">
      <ns0:c r="A12" s="21" t="inlineStr">
        <ns0:is>
          <ns0:t>RQ2 timing</ns0:t>
        </ns0:is>
      </ns0:c>
      <ns0:c r="B12" s="21" t="inlineStr">
        <ns0:is>
          <ns0:t>Coded intended timing versus observed timing</ns0:t>
        </ns0:is>
      </ns0:c>
      <ns0:c r="C12" s="21" t="inlineStr">
        <ns0:is>
          <ns0:t>Pre/in/post-decision is an analytic placement for explicitly proposed or used tools. For research models observed timing is not established; do not infer it from diagnosis or screening keywords.</ns0:t>
        </ns0:is>
      </ns0:c>
    </ns0:row>
    <ns0:row r="13" ht="69" customHeight="1">
      <ns0:c r="A13" s="19" t="inlineStr">
        <ns0:is>
          <ns0:t>External validation</ns0:t>
        </ns0:is>
      </ns0:c>
      <ns0:c r="B13" s="19" t="inlineStr">
        <ns0:is>
          <ns0:t>Independent cohort/dataset or held-out site evaluation</ns0:t>
        </ns0:is>
      </ns0:c>
      <ns0:c r="C13" s="19" t="inlineStr">
        <ns0:is>
          <ns0:t>Random hold-out and internal/nested CV do not qualify. Validation of a different association/assay does not establish external validation of the prediction model.</ns0:t>
        </ns0:is>
      </ns0:c>
    </ns0:row>
    <ns0:row r="14" ht="69" customHeight="1">
      <ns0:c r="A14" s="21" t="inlineStr">
        <ns0:is>
          <ns0:t>Multisource integration</ns0:t>
        </ns0:is>
      </ns0:c>
      <ns0:c r="B14" s="21" t="inlineStr">
        <ns0:is>
          <ns0:t>Explicit combination of distinguishable sources in the model/workflow</ns0:t>
        </ns0:is>
      </ns0:c>
      <ns0:c r="C14" s="21" t="inlineStr">
        <ns0:is>
          <ns0:t>Availability of multiple datasets, neural feature branches, or outcomes measured by a questionnaire does not establish input fusion. Multiple MRI sequences or multi-omics may qualify within one broad source category.</ns0:t>
        </ns0:is>
      </ns0:c>
    </ns0:row>
    <ns0:row r="15" ht="69" customHeight="1">
      <ns0:c r="A15" s="19" t="inlineStr">
        <ns0:is>
          <ns0:t>Explainability broad</ns0:t>
        </ns0:is>
      </ns0:c>
      <ns0:c r="B15" s="19" t="inlineStr">
        <ns0:is>
          <ns0:t>Explicit attribution, interpretation, intrinsic rules or feature/region interpretation</ns0:t>
        </ns0:is>
      </ns0:c>
      <ns0:c r="C15" s="19" t="inlineStr">
        <ns0:is>
          <ns0:t>This is the original manuscript broad construct. Does not imply clinical usefulness or causal explanation. Feature selection or attention alone was not promoted without an explanatory output.</ns0:t>
        </ns0:is>
      </ns0:c>
    </ns0:row>
    <ns0:row r="16" ht="69" customHeight="1">
      <ns0:c r="A16" s="21" t="inlineStr">
        <ns0:is>
          <ns0:t>Explainability strict</ns0:t>
        </ns0:is>
      </ns0:c>
      <ns0:c r="B16" s="21" t="inlineStr">
        <ns0:is>
          <ns0:t>Explicit formal explanation/attribution method or output</ns0:t>
        </ns0:is>
      </ns0:c>
      <ns0:c r="C16" s="21" t="inlineStr">
        <ns0:is>
          <ns0:t>SHAP, LIME, Integrated Gradients, CAM and equivalent output-linked methods. Unspecified XAI stays indeterminate under the strict definition; broad and strict overlap.</ns0:t>
        </ns0:is>
      </ns0:c>
    </ns0:row>
    <ns0:row r="17" ht="69" customHeight="1">
      <ns0:c r="A17" s="19" t="inlineStr">
        <ns0:is>
          <ns0:t>Cross-site evaluation</ns0:t>
        </ns0:is>
      </ns0:c>
      <ns0:c r="B17" s="19" t="inlineStr">
        <ns0:is>
          <ns0:t>Explicit testing of transfer across sites/datasets</ns0:t>
        </ns0:is>
      </ns0:c>
      <ns0:c r="C17" s="19" t="inlineStr">
        <ns0:is>
          <ns0:t>Multisite training, federated clients, site-stratified CV and pooled ABIDE are not sufficient. A cross-site test can be positive for this practice despite poor external accuracy.</ns0:t>
        </ns0:is>
      </ns0:c>
    </ns0:row>
    <ns0:row r="18" ht="69" customHeight="1">
      <ns0:c r="A18" s="21" t="inlineStr">
        <ns0:is>
          <ns0:t>Prospective AI evaluation</ns0:t>
        </ns0:is>
      </ns0:c>
      <ns0:c r="B18" s="21" t="inlineStr">
        <ns0:is>
          <ns0:t>AI system evaluated forward in time or at the point of use</ns0:t>
        </ns0:is>
      </ns0:c>
      <ns0:c r="C18" s="21" t="inlineStr">
        <ns0:is>
          <ns0:t>Prospective data collection or a secondary analysis of an intervention trial is recorded separately; it is not automatically prospective evaluation of the AI model.</ns0:t>
        </ns0:is>
      </ns0:c>
    </ns0:row>
    <ns0:row r="19" ht="69" customHeight="1">
      <ns0:c r="A19" s="19" t="inlineStr">
        <ns0:is>
          <ns0:t>Evidence states</ns0:t>
        </ns0:is>
      </ns0:c>
      <ns0:c r="B19" s="19" t="inlineStr">
        <ns0:is>
          <ns0:t>Reported / Not reported in assessed sources / Not ascertainable</ns0:t>
        </ns0:is>
      </ns0:c>
      <ns0:c r="C19" s="19" t="inlineStr">
        <ns0:is>
          <ns0:t>Not reported is bounded by the material examined. It is not a verified negative. Indeterminate values remain separate and are not silently imputed to zero.</ns0:t>
        </ns0:is>
      </ns0:c>
    </ns0:row>
    <ns0:row r="20" ht="69" customHeight="1">
      <ns0:c r="A20" s="21" t="inlineStr">
        <ns0:is>
          <ns0:t>Denominator</ns0:t>
        </ns0:is>
      </ns0:c>
      <ns0:c r="B20" s="21" t="inlineStr">
        <ns0:is>
          <ns0:t>All eligible reports in each defined stratum/profile</ns0:t>
        </ns0:is>
      </ns0:c>
      <ns0:c r="C20" s="21" t="inlineStr">
        <ns0:is>
          <ns0:t>Positive count / entire profile is a documented reporting fraction. Excluding unknown gives a second descriptive denominator, not an unbiased prevalence estimate.</ns0:t>
        </ns0:is>
      </ns0:c>
    </ns0:row>
    <ns0:row r="21" ht="69" customHeight="1">
      <ns0:c r="A21" s="19" t="inlineStr">
        <ns0:is>
          <ns0:t>Source verification</ns0:t>
        </ns0:is>
      </ns0:c>
      <ns0:c r="B21" s="19" t="inlineStr">
        <ns0:is>
          <ns0:t>Retained source extraction versus targeted new primary checks</ns0:t>
        </ns0:is>
      </ns0:c>
      <ns0:c r="C21" s="19" t="inlineStr">
        <ns0:is>
          <ns0:t>This pass is AI-assisted. Legacy independent-reviewer and complete-full-text claims cannot be validated from a spreadsheet.</ns0:t>
        </ns0:is>
      </ns0:c>
    </ns0:row>
    <ns0:row r="22" ht="69" customHeight="1">
      <ns0:c r="A22" s="21" t="inlineStr">
        <ns0:is>
          <ns0:t>Integrity</ns0:t>
        </ns0:is>
      </ns0:c>
      <ns0:c r="B22" s="21" t="inlineStr">
        <ns0:is>
          <ns0:t>Retracted excluded; expression of concern retained with flag</ns0:t>
        </ns0:is>
      </ns0:c>
      <ns0:c r="C22" s="21" t="inlineStr">
        <ns0:is>
          <ns0:t>Integrity screening was targeted, not a certified exhaustive Crossmark audit of every report.</ns0:t>
        </ns0:is>
      </ns0:c>
    </ns0:row>
    <ns0:row r="23" ht="69" customHeight="1">
      <ns0:c r="A23" s="19" t="inlineStr">
        <ns0:is>
          <ns0:t>Closure</ns0:t>
        </ns0:is>
      </ns0:c>
      <ns0:c r="B23" s="19" t="inlineStr">
        <ns0:is>
          <ns0:t>Analytical closure, with explicit evidence limits</ns0:t>
        </ns0:is>
      </ns0:c>
      <ns0:c r="C23" s="19" t="inlineStr">
        <ns0:is>
          <ns0:t>All included rows have usable RQ1/RQ2/RQ3 states and deterministic tables. Source-level unknowns and the untraceable initial PRISMA remain limitations, not fabricated resolved facts.</ns0:t>
        </ns0:is>
      </ns0:c>
    </ns0:row>
  </ns0:sheetData>
  <ns0:autoFilter ref="A4:C23"/>
  <ns0:mergeCells count="2">
    <ns0:mergeCell ref="A1:C1"/>
    <ns0:mergeCell ref="A2:C2"/>
  </ns0:mergeCells>
  <ns0:printOptions horizontalCentered="1"/>
  <ns0:pageMargins left="0.75" right="0.75" top="1" bottom="1" header="0.5" footer="0.5"/>
  <ns0:pageSetup orientation="landscape" paperSize="8" fitToHeight="0" fitToWidth="1"/>
</ns0:worksheet>
</file>

<file path=xl/worksheets/sheet17.xml><?xml version="1.0" encoding="utf-8"?>
<ns0:worksheet xmlns:ns0="http://schemas.openxmlformats.org/spreadsheetml/2006/main">
  <ns0:sheetPr>
    <ns0:tabColor rgb="00177E89"/>
    <ns0:outlinePr summaryBelow="1" summaryRight="0"/>
    <ns0:pageSetUpPr fitToPage="1"/>
  </ns0:sheetPr>
  <ns0:dimension ref="A1:D24"/>
  <ns0:sheetViews>
    <ns0:sheetView showGridLines="0" workbookViewId="0">
      <ns0:pane xSplit="2" ySplit="4" topLeftCell="C5" activePane="bottomRight" state="frozen"/>
      <ns0:selection pane="topRight"/>
      <ns0:selection pane="bottomLeft"/>
      <ns0:selection pane="bottomRight" activeCell="A1" sqref="A1"/>
    </ns0:sheetView>
  </ns0:sheetViews>
  <ns0:sheetFormatPr baseColWidth="8" defaultRowHeight="15"/>
  <ns0:cols>
    <ns0:col width="45" customWidth="1" min="1" max="1"/>
    <ns0:col width="25" customWidth="1" min="2" max="2"/>
    <ns0:col width="108" customWidth="1" min="3" max="3"/>
    <ns0:col width="28" customWidth="1" min="4" max="4"/>
  </ns0:cols>
  <ns0:sheetData>
    <ns0:row r="1" ht="36" customHeight="1">
      <ns0:c r="A1" s="16" t="inlineStr">
        <ns0:is>
          <ns0:t>PRISMA | Datos verificables y limite historico</ns0:t>
        </ns0:is>
      </ns0:c>
    </ns0:row>
    <ns0:row r="2" ht="32" customHeight="1">
      <ns0:c r="A2" s="17" t="inlineStr">
        <ns0:is>
          <ns0:t>No se inventaron seis exclusiones para hacer coincidir 282 con 276. La reconstruccion documental del flujo inicial queda separada de las tablas de resultados.</ns0:t>
        </ns0:is>
      </ns0:c>
    </ns0:row>
    <ns0:row r="4" ht="34" customHeight="1">
      <ns0:c r="A4" s="18" t="inlineStr">
        <ns0:is>
          <ns0:t>Item</ns0:t>
        </ns0:is>
      </ns0:c>
      <ns0:c r="B4" s="18" t="inlineStr">
        <ns0:is>
          <ns0:t>n / value</ns0:t>
        </ns0:is>
      </ns0:c>
      <ns0:c r="C4" s="18" t="inlineStr">
        <ns0:is>
          <ns0:t>Source / computation</ns0:t>
        </ns0:is>
      </ns0:c>
      <ns0:c r="D4" s="18" t="inlineStr">
        <ns0:is>
          <ns0:t>Status</ns0:t>
        </ns0:is>
      </ns0:c>
    </ns0:row>
    <ns0:row r="5" ht="46" customHeight="1">
      <ns0:c r="A5" s="19" t="inlineStr">
        <ns0:is>
          <ns0:t>Update export</ns0:t>
        </ns0:is>
      </ns0:c>
      <ns0:c r="B5" s="26" t="n">
        <ns0:v>430</ns0:v>
      </ns0:c>
      <ns0:c r="C5" s="19" t="inlineStr">
        <ns0:is>
          <ns0:t>Actualizacion_origen</ns0:t>
        </ns0:is>
      </ns0:c>
      <ns0:c r="D5" s="19" t="inlineStr">
        <ns0:is>
          <ns0:t>Source-derived</ns0:t>
        </ns0:is>
      </ns0:c>
    </ns0:row>
    <ns0:row r="6" ht="46" customHeight="1">
      <ns0:c r="A6" s="21" t="inlineStr">
        <ns0:is>
          <ns0:t>Within-update duplicates</ns0:t>
        </ns0:is>
      </ns0:c>
      <ns0:c r="B6" s="28" t="n">
        <ns0:v>45</ns0:v>
      </ns0:c>
      <ns0:c r="C6" s="21" t="inlineStr">
        <ns0:is>
          <ns0:t>Actualizacion_origen</ns0:t>
        </ns0:is>
      </ns0:c>
      <ns0:c r="D6" s="21" t="inlineStr">
        <ns0:is>
          <ns0:t>Source-derived</ns0:t>
        </ns0:is>
      </ns0:c>
    </ns0:row>
    <ns0:row r="7" ht="46" customHeight="1">
      <ns0:c r="A7" s="19" t="inlineStr">
        <ns0:is>
          <ns0:t>Already in historical base</ns0:t>
        </ns0:is>
      </ns0:c>
      <ns0:c r="B7" s="26" t="n">
        <ns0:v>16</ns0:v>
      </ns0:c>
      <ns0:c r="C7" s="19" t="inlineStr">
        <ns0:is>
          <ns0:t>Actualizacion_origen</ns0:t>
        </ns0:is>
      </ns0:c>
      <ns0:c r="D7" s="19" t="inlineStr">
        <ns0:is>
          <ns0:t>Source-derived</ns0:t>
        </ns0:is>
      </ns0:c>
    </ns0:row>
    <ns0:row r="8" ht="46" customHeight="1">
      <ns0:c r="A8" s="21" t="inlineStr">
        <ns0:is>
          <ns0:t>Invalid records</ns0:t>
        </ns0:is>
      </ns0:c>
      <ns0:c r="B8" s="28" t="n">
        <ns0:v>3</ns0:v>
      </ns0:c>
      <ns0:c r="C8" s="21" t="inlineStr">
        <ns0:is>
          <ns0:t>Actualizacion_origen</ns0:t>
        </ns0:is>
      </ns0:c>
      <ns0:c r="D8" s="21" t="inlineStr">
        <ns0:is>
          <ns0:t>Source-derived</ns0:t>
        </ns0:is>
      </ns0:c>
    </ns0:row>
    <ns0:row r="9" ht="46" customHeight="1">
      <ns0:c r="A9" s="19" t="inlineStr">
        <ns0:is>
          <ns0:t>Excluded at update screening</ns0:t>
        </ns0:is>
      </ns0:c>
      <ns0:c r="B9" s="26" t="n">
        <ns0:v>174</ns0:v>
      </ns0:c>
      <ns0:c r="C9" s="19" t="inlineStr">
        <ns0:is>
          <ns0:t>Actualizacion_origen</ns0:t>
        </ns0:is>
      </ns0:c>
      <ns0:c r="D9" s="19" t="inlineStr">
        <ns0:is>
          <ns0:t>Source-derived</ns0:t>
        </ns0:is>
      </ns0:c>
    </ns0:row>
    <ns0:row r="10" ht="46" customHeight="1">
      <ns0:c r="A10" s="21" t="inlineStr">
        <ns0:is>
          <ns0:t>Update reports assessed</ns0:t>
        </ns0:is>
      </ns0:c>
      <ns0:c r="B10" s="28" t="n">
        <ns0:v>192</ns0:v>
      </ns0:c>
      <ns0:c r="C10" s="21" t="inlineStr">
        <ns0:is>
          <ns0:t>Decisiones_origen has 192 records despite legacy sheet naming</ns0:t>
        </ns0:is>
      </ns0:c>
      <ns0:c r="D10" s="21" t="inlineStr">
        <ns0:is>
          <ns0:t>Source-derived</ns0:t>
        </ns0:is>
      </ns0:c>
    </ns0:row>
    <ns0:row r="11" ht="46" customHeight="1">
      <ns0:c r="A11" s="19" t="inlineStr">
        <ns0:is>
          <ns0:t>Initially included update</ns0:t>
        </ns0:is>
      </ns0:c>
      <ns0:c r="B11" s="26" t="n">
        <ns0:v>178</ns0:v>
      </ns0:c>
      <ns0:c r="C11" s="19" t="inlineStr">
        <ns0:is>
          <ns0:t>Nuevos_origen</ns0:t>
        </ns0:is>
      </ns0:c>
      <ns0:c r="D11" s="19" t="inlineStr">
        <ns0:is>
          <ns0:t>Source-derived</ns0:t>
        </ns0:is>
      </ns0:c>
    </ns0:row>
    <ns0:row r="12" ht="46" customHeight="1">
      <ns0:c r="A12" s="21" t="inlineStr">
        <ns0:is>
          <ns0:t>Excluded update full-text assessment</ns0:t>
        </ns0:is>
      </ns0:c>
      <ns0:c r="B12" s="28" t="n">
        <ns0:v>14</ns0:v>
      </ns0:c>
      <ns0:c r="C12" s="21" t="inlineStr">
        <ns0:is>
          <ns0:t>Decisiones_origen</ns0:t>
        </ns0:is>
      </ns0:c>
      <ns0:c r="D12" s="21" t="inlineStr">
        <ns0:is>
          <ns0:t>Source-derived</ns0:t>
        </ns0:is>
      </ns0:c>
    </ns0:row>
    <ns0:row r="13" ht="46" customHeight="1">
      <ns0:c r="A13" s="19" t="inlineStr">
        <ns0:is>
          <ns0:t>Update screening reconciliation</ns0:t>
        </ns0:is>
      </ns0:c>
      <ns0:c r="B13" s="33">
        <ns0:f>B5-SUM(B6:B10)</ns0:f>
        <ns0:v>0</ns0:v>
      </ns0:c>
      <ns0:c r="C13" s="19" t="inlineStr">
        <ns0:is>
          <ns0:t>430 - 45 - 16 - 3 - 174 - 192</ns0:t>
        </ns0:is>
      </ns0:c>
      <ns0:c r="D13" s="19" t="inlineStr">
        <ns0:is>
          <ns0:t>Arithmetic check</ns0:t>
        </ns0:is>
      </ns0:c>
    </ns0:row>
    <ns0:row r="14" ht="46" customHeight="1">
      <ns0:c r="A14" s="21" t="inlineStr">
        <ns0:is>
          <ns0:t>Update eligibility reconciliation</ns0:t>
        </ns0:is>
      </ns0:c>
      <ns0:c r="B14" s="34">
        <ns0:f>B10-B11-B12</ns0:f>
        <ns0:v>0</ns0:v>
      </ns0:c>
      <ns0:c r="C14" s="21" t="inlineStr">
        <ns0:is>
          <ns0:t>192 - 178 - 14</ns0:t>
        </ns0:is>
      </ns0:c>
      <ns0:c r="D14" s="21" t="inlineStr">
        <ns0:is>
          <ns0:t>Arithmetic check</ns0:t>
        </ns0:is>
      </ns0:c>
    </ns0:row>
    <ns0:row r="15" ht="46" customHeight="1">
      <ns0:c r="A15" s="19" t="inlineStr">
        <ns0:is>
          <ns0:t>Historical register</ns0:t>
        </ns0:is>
      </ns0:c>
      <ns0:c r="B15" s="26" t="n">
        <ns0:v>276</ns0:v>
      </ns0:c>
      <ns0:c r="C15" s="19" t="inlineStr">
        <ns0:is>
          <ns0:t>ESTUDIOS / original historical sheets</ns0:t>
        </ns0:is>
      </ns0:c>
      <ns0:c r="D15" s="19" t="inlineStr">
        <ns0:is>
          <ns0:t>Source-derived</ns0:t>
        </ns0:is>
      </ns0:c>
    </ns0:row>
    <ns0:row r="16" ht="46" customHeight="1">
      <ns0:c r="A16" s="21" t="inlineStr">
        <ns0:is>
          <ns0:t>Combined incoming register</ns0:t>
        </ns0:is>
      </ns0:c>
      <ns0:c r="B16" s="34">
        <ns0:f>B15+B11</ns0:f>
        <ns0:v>454</ns0:v>
      </ns0:c>
      <ns0:c r="C16" s="21" t="inlineStr">
        <ns0:is>
          <ns0:t>276 + 178</ns0:t>
        </ns0:is>
      </ns0:c>
      <ns0:c r="D16" s="21" t="inlineStr">
        <ns0:is>
          <ns0:t>Arithmetic check</ns0:t>
        </ns0:is>
      </ns0:c>
    </ns0:row>
    <ns0:row r="17" ht="46" customHeight="1">
      <ns0:c r="A17" s="19" t="inlineStr">
        <ns0:is>
          <ns0:t>This audit: historical exclusions</ns0:t>
        </ns0:is>
      </ns0:c>
      <ns0:c r="B17" s="33">
        <ns0:f>COUNTIFS('BASE_CIERRE'!$F$5:$F$458,"Exclude",'BASE_CIERRE'!$B$5:$B$458,"Historical")</ns0:f>
        <ns0:v>23</ns0:v>
      </ns0:c>
      <ns0:c r="C17" s="19" t="inlineStr">
        <ns0:is>
          <ns0:t>EXCLUSIONES_CIERRE, cohort Historical</ns0:t>
        </ns0:is>
      </ns0:c>
      <ns0:c r="D17" s="19" t="inlineStr">
        <ns0:is>
          <ns0:t>New adjudication</ns0:t>
        </ns0:is>
      </ns0:c>
    </ns0:row>
    <ns0:row r="18" ht="46" customHeight="1">
      <ns0:c r="A18" s="21" t="inlineStr">
        <ns0:is>
          <ns0:t>This audit: update exclusions</ns0:t>
        </ns0:is>
      </ns0:c>
      <ns0:c r="B18" s="34">
        <ns0:f>COUNTIFS('BASE_CIERRE'!$F$5:$F$458,"Exclude",'BASE_CIERRE'!$B$5:$B$458,"Update")</ns0:f>
        <ns0:v>3</ns0:v>
      </ns0:c>
      <ns0:c r="C18" s="21" t="inlineStr">
        <ns0:is>
          <ns0:t>EXCLUSIONES_CIERRE, cohort Update</ns0:t>
        </ns0:is>
      </ns0:c>
      <ns0:c r="D18" s="21" t="inlineStr">
        <ns0:is>
          <ns0:t>New adjudication</ns0:t>
        </ns0:is>
      </ns0:c>
    </ns0:row>
    <ns0:row r="19" ht="46" customHeight="1">
      <ns0:c r="A19" s="19" t="inlineStr">
        <ns0:is>
          <ns0:t>Included main synthesis</ns0:t>
        </ns0:is>
      </ns0:c>
      <ns0:c r="B19" s="33">
        <ns0:f>B16-B17-B18</ns0:f>
        <ns0:v>428</ns0:v>
      </ns0:c>
      <ns0:c r="C19" s="19" t="inlineStr">
        <ns0:is>
          <ns0:t>454 - 23 - 3</ns0:t>
        </ns0:is>
      </ns0:c>
      <ns0:c r="D19" s="19" t="inlineStr">
        <ns0:is>
          <ns0:t>Analytical freeze</ns0:t>
        </ns0:is>
      </ns0:c>
    </ns0:row>
    <ns0:row r="20" ht="46" customHeight="1">
      <ns0:c r="A20" s="23" t="inlineStr">
        <ns0:is>
          <ns0:t>Manuscript historical total</ns0:t>
        </ns0:is>
      </ns0:c>
      <ns0:c r="B20" s="35" t="n">
        <ns0:v>282</ns0:v>
      </ns0:c>
      <ns0:c r="C20" s="23" t="inlineStr">
        <ns0:is>
          <ns0:t>User PDF, Methods and Figure 1</ns0:t>
        </ns0:is>
      </ns0:c>
      <ns0:c r="D20" s="23" t="inlineStr">
        <ns0:is>
          <ns0:t>Unreconciled legacy claim</ns0:t>
        </ns0:is>
      </ns0:c>
    </ns0:row>
    <ns0:row r="21" ht="46" customHeight="1">
      <ns0:c r="A21" s="23" t="inlineStr">
        <ns0:is>
          <ns0:t>Untraced historical difference</ns0:t>
        </ns0:is>
      </ns0:c>
      <ns0:c r="B21" s="36">
        <ns0:f>B20-B15</ns0:f>
        <ns0:v>6</ns0:v>
      </ns0:c>
      <ns0:c r="C21" s="23" t="inlineStr">
        <ns0:is>
          <ns0:t>282 - 276; record identities not supplied</ns0:t>
        </ns0:is>
      </ns0:c>
      <ns0:c r="D21" s="23" t="inlineStr">
        <ns0:is>
          <ns0:t>NOT RESOLVED</ns0:t>
        </ns0:is>
      </ns0:c>
    </ns0:row>
    <ns0:row r="22" ht="46" customHeight="1">
      <ns0:c r="A22" s="23" t="inlineStr">
        <ns0:is>
          <ns0:t>Initial identified / screened / assessed</ns0:t>
        </ns0:is>
      </ns0:c>
      <ns0:c r="B22" s="23" t="inlineStr">
        <ns0:is>
          <ns0:t>Not independently established</ns0:t>
        </ns0:is>
      </ns0:c>
      <ns0:c r="C22" s="23" t="inlineStr">
        <ns0:is>
          <ns0:t>Manuscript states 2412 / 2306 / 762; underlying initial flow not supplied</ns0:t>
        </ns0:is>
      </ns0:c>
      <ns0:c r="D22" s="23" t="inlineStr">
        <ns0:is>
          <ns0:t>NOT RECONSTRUCTED</ns0:t>
        </ns0:is>
      </ns0:c>
    </ns0:row>
    <ns0:row r="23" ht="46" customHeight="1">
      <ns0:c r="A23" s="23" t="inlineStr">
        <ns0:is>
          <ns0:t>Initial reports not retrieved</ns0:t>
        </ns0:is>
      </ns0:c>
      <ns0:c r="B23" s="23" t="inlineStr">
        <ns0:is>
          <ns0:t>Not independently established</ns0:t>
        </ns0:is>
      </ns0:c>
      <ns0:c r="C23" s="23" t="inlineStr">
        <ns0:is>
          <ns0:t>Do not infer zero from locating publisher pages or DOI metadata</ns0:t>
        </ns0:is>
      </ns0:c>
      <ns0:c r="D23" s="23" t="inlineStr">
        <ns0:is>
          <ns0:t>NOT RECONSTRUCTED</ns0:t>
        </ns0:is>
      </ns0:c>
    </ns0:row>
    <ns0:row r="24" ht="46" customHeight="1">
      <ns0:c r="A24" s="23" t="inlineStr">
        <ns0:is>
          <ns0:t>New overall PRISMA</ns0:t>
        </ns0:is>
      </ns0:c>
      <ns0:c r="B24" s="23" t="inlineStr">
        <ns0:is>
          <ns0:t>Do not combine unverifiable flows</ns0:t>
        </ns0:is>
      </ns0:c>
      <ns0:c r="C24" s="23" t="inlineStr">
        <ns0:is>
          <ns0:t>Publish update flow plus a corrected initial flow only when the initial record log supports it.</ns0:t>
        </ns0:is>
      </ns0:c>
      <ns0:c r="D24" s="23" t="inlineStr">
        <ns0:is>
          <ns0:t>SOURCE LIMITATION</ns0:t>
        </ns0:is>
      </ns0:c>
    </ns0:row>
  </ns0:sheetData>
  <ns0:autoFilter ref="A4:D24"/>
  <ns0:mergeCells count="2">
    <ns0:mergeCell ref="A1:D1"/>
    <ns0:mergeCell ref="A2:D2"/>
  </ns0:mergeCells>
  <ns0:printOptions horizontalCentered="1"/>
  <ns0:pageMargins left="0.75" right="0.75" top="1" bottom="1" header="0.5" footer="0.5"/>
  <ns0:pageSetup orientation="landscape" paperSize="8" fitToHeight="0" fitToWidth="1"/>
</ns0:worksheet>
</file>

<file path=xl/worksheets/sheet18.xml><?xml version="1.0" encoding="utf-8"?>
<ns0:worksheet xmlns:ns0="http://schemas.openxmlformats.org/spreadsheetml/2006/main">
  <ns0:sheetPr>
    <ns0:tabColor rgb="00177E89"/>
    <ns0:outlinePr summaryBelow="1" summaryRight="0"/>
    <ns0:pageSetUpPr fitToPage="1"/>
  </ns0:sheetPr>
  <ns0:dimension ref="A1:B16"/>
  <ns0:sheetViews>
    <ns0:sheetView showGridLines="0" workbookViewId="0">
      <ns0:pane xSplit="2" ySplit="4" topLeftCell="C5" activePane="bottomRight" state="frozen"/>
      <ns0:selection pane="topRight"/>
      <ns0:selection pane="bottomLeft"/>
      <ns0:selection pane="bottomRight" activeCell="A1" sqref="A1"/>
    </ns0:sheetView>
  </ns0:sheetViews>
  <ns0:sheetFormatPr baseColWidth="8" defaultRowHeight="15"/>
  <ns0:cols>
    <ns0:col width="40" customWidth="1" min="1" max="1"/>
    <ns0:col width="140" customWidth="1" min="2" max="2"/>
  </ns0:cols>
  <ns0:sheetData>
    <ns0:row r="1" ht="36" customHeight="1">
      <ns0:c r="A1" s="16" t="inlineStr">
        <ns0:is>
          <ns0:t>Texto de resultados y cambios del manuscrito</ns0:t>
        </ns0:is>
      </ns0:c>
    </ns0:row>
    <ns0:row r="2" ht="32" customHeight="1">
      <ns0:c r="A2" s="17" t="inlineStr">
        <ns0:is>
          <ns0:t>Redaccion base derivada de los conteos congelados; revisar la version final con los coautores antes de enviar.</ns0:t>
        </ns0:is>
      </ns0:c>
    </ns0:row>
    <ns0:row r="4" ht="34" customHeight="1">
      <ns0:c r="A4" s="18" t="inlineStr">
        <ns0:is>
          <ns0:t>Section</ns0:t>
        </ns0:is>
      </ns0:c>
      <ns0:c r="B4" s="18" t="inlineStr">
        <ns0:is>
          <ns0:t>Draft / instruction</ns0:t>
        </ns0:is>
      </ns0:c>
    </ns0:row>
    <ns0:row r="5" ht="65" customHeight="1">
      <ns0:c r="A5" s="19" t="inlineStr">
        <ns0:is>
          <ns0:t>Use of this draft</ns0:t>
        </ns0:is>
      </ns0:c>
      <ns0:c r="B5" s="19" t="inlineStr">
        <ns0:is>
          <ns0:t>Replace the obsolete Results counts and figures. These paragraphs describe the recharted evidence register, not independently verified full-text extraction of every report. The initial PRISMA flow must not be reconstructed from the arithmetic alone.</ns0:t>
        </ns0:is>
      </ns0:c>
    </ns0:row>
    <ns0:row r="6" ht="76" customHeight="1">
      <ns0:c r="A6" s="21" t="inlineStr">
        <ns0:is>
          <ns0:t>3. Results: evidence base</ns0:t>
        </ns0:is>
      </ns0:c>
      <ns0:c r="B6" s="21" t="inlineStr">
        <ns0:is>
          <ns0:t>The reconciled evidence register contained 454 reports: 276 historical reports and 178 reports from the update. The present audit removed 26 reports from the analytical synthesis, leaving 428 reports (253 historical and 175 update reports). The excluded records and their reasons remain available in the audit trail. The unit of analysis was the report; repeated use of the same participants or public datasets across reports was not interpreted as independent evidence.</ns0:t>
        </ns0:is>
      </ns0:c>
    </ns0:row>
    <ns0:row r="7" ht="76" customHeight="1">
      <ns0:c r="A7" s="19" t="inlineStr">
        <ns0:is>
          <ns0:t>3.1 RQ1: clinical stages</ns0:t>
        </ns0:is>
      </ns0:c>
      <ns0:c r="B7" s="19" t="inlineStr">
        <ns0:is>
          <ns0:t>A primary clinical stage was resolved for 397/428 (92.8%), whereas 31/428 (7.2%) were retained without a unique stage assignment. Among the 397 stage-resolved reports, diagnosis accounted for 216/397 (54.4%), screening for 113/397 (28.5%), monitoring/intervention for 38/397 (9.6%), prognosis for 22/397 (5.5%), and prescreening for 8/397 (2.0%). These categories describe the functional target of the reported model, not demonstrated clinical deployment.</ns0:t>
        </ns0:is>
      </ns0:c>
    </ns0:row>
    <ns0:row r="8" ht="124" customHeight="1">
      <ns0:c r="A8" s="21" t="inlineStr">
        <ns0:is>
          <ns0:t>3.1 RQ1: techniques and data</ns0:t>
        </ns0:is>
      </ns0:c>
      <ns0:c r="B8" s="21" t="inlineStr">
        <ns0:is>
          <ns0:t>Across all included reports, machine learning accounted for 218/428 (50.9%), deep learning for 161/428 (37.6%), hybrid approaches for 29/428 (6.8%), and unspecified methodological categories for 20/428 (4.7%). Neuroimaging was the largest source category (101/428 (23.6%)), followed by structured clinical or questionnaire data (85/428 (19.9%)) and behavioral images, video, gaze or movement (68/428 (15.9%)). Physiological signals and multiple source categories each accounted for 47/428 (11.0%), biological/omics data for 34/428 (7.9%), text/language for 15/428 (3.5%), audio/voice for 9/428 (2.1%), and other biomedical/digital data for 7/428 (1.6%). The primary source remained unspecified in 15/428 (3.5%). Algorithm families and all technique-source-stage profiles are provided in the corresponding tables; composite pipelines were not reduced to an arbitrary component.</ns0:t>
        </ns0:is>
      </ns0:c>
    </ns0:row>
    <ns0:row r="9" ht="92" customHeight="1">
      <ns0:c r="A9" s="19" t="inlineStr">
        <ns0:is>
          <ns0:t>3.2 RQ2: integration maturity</ns0:t>
        </ns0:is>
      </ns0:c>
      <ns0:c r="B9" s="19" t="inlineStr">
        <ns0:is>
          <ns0:t>The assessed material supported research-only modeling in 311/428 (72.7%) and proposed tools or workflows in 98/428 (22.9%). Evidence of evaluated AI use was identified in 19/428 (4.4%): eight point-of-use evaluations, ten AI-supported interventions and one care-delivery platform. This category includes technical or feasibility evaluation with users and does not establish routine adoption, effectiveness or improved patient outcomes. Consequently, classification performance and a stated clinical motivation were not counted as clinical integration.</ns0:t>
        </ns0:is>
      </ns0:c>
    </ns0:row>
    <ns0:row r="10" ht="76" customHeight="1">
      <ns0:c r="A10" s="21" t="inlineStr">
        <ns0:is>
          <ns0:t>3.2 RQ2: roles and timing</ns0:t>
        </ns0:is>
      </ns0:c>
      <ns0:c r="B10" s="21" t="inlineStr">
        <ns0:is>
          <ns0:t>Roles were charted separately from maturity of use and included triage/questionnaire assessment, mobile assessment, automated measurement, diagnostic support, risk estimation, monitoring, adaptive intervention and assistive support. Pre-, in- and post-decision timing was assigned only to an explicitly proposed or evaluated role. An intended placement was not interpreted as an observed clinical action. Research-only reports were retained in the RQ2 denominator rather than omitted or automatically recoded as second-reader support.</ns0:t>
        </ns0:is>
      </ns0:c>
    </ns0:row>
    <ns0:row r="11" ht="92" customHeight="1">
      <ns0:c r="A11" s="19" t="inlineStr">
        <ns0:is>
          <ns0:t>3.3 RQ3: methodological practices</ns0:t>
        </ns0:is>
      </ns0:c>
      <ns0:c r="B11" s="19" t="inlineStr">
        <ns0:is>
          <ns0:t>Documented reporting signals were identified for external validation in 24/428 (5.6%), multisource integration in 77/428 (18.0%), explicit explainability under the broad definition in 126/428 (29.4%), and cross-site evaluation in 12/428 (2.8%). The corresponding indeterminate counts were 7, 16, 9 and 2 reports. All other entries were classified as not reported in the assessed sources, not as verified absence. Under a narrower definition requiring a formal explanation or attribution method/output, explainability was identified in 38/428 (8.9%), with four indeterminate reports. Broad and strict explainability categories overlap and must not be added.</ns0:t>
        </ns0:is>
      </ns0:c>
    </ns0:row>
    <ns0:row r="12" ht="92" customHeight="1">
      <ns0:c r="A12" s="21" t="inlineStr">
        <ns0:is>
          <ns0:t>3.3 RQ3: profile interpretation</ns0:t>
        </ns0:is>
      </ns0:c>
      <ns0:c r="B12" s="21" t="inlineStr">
        <ns0:is>
          <ns0:t>All 90 technique-source-stage profiles were retained, including those with no positive reporting signal. Profile-specific tables report positive, not-reported and indeterminate counts and their exact denominator. Multisite data availability was recorded separately from held-out-site or cross-dataset evaluation. Likewise, multiple datasets or feature representations were not automatically treated as multisource integration. A positive cross-site evaluation indicator denotes that transfer was examined, not that generalization was adequate.</ns0:t>
        </ns0:is>
      </ns0:c>
    </ns0:row>
    <ns0:row r="13" ht="76" customHeight="1">
      <ns0:c r="A13" s="19" t="inlineStr">
        <ns0:is>
          <ns0:t>Sensitivity analyses</ns0:t>
        </ns0:is>
      </ns0:c>
      <ns0:c r="B13" s="19" t="inlineStr">
        <ns0:is>
          <ns0:t>The main synthesis included 428 reports. Excluding the two reports with expressions of concern left 426. A more conservative sensitivity analysis additionally removed 16 reports with unresolved source/scope cautions, leaving 410. Restricting that conservative subset to reports with a resolved clinical stage yielded 385. The methodological-practice and evaluated-use counts are recalculated for each subset in SENSIBILIDAD; differences in denominators must be stated explicitly.</ns0:t>
        </ns0:is>
      </ns0:c>
    </ns0:row>
    <ns0:row r="14" ht="76" customHeight="1">
      <ns0:c r="A14" s="21" t="inlineStr">
        <ns0:is>
          <ns0:t>Methods amendment: source limits</ns0:t>
        </ns0:is>
      </ns0:c>
      <ns0:c r="B14" s="21" t="inlineStr">
        <ns0:is>
          <ns0:t>The closure audit used the supplied abstracts, coding notes and prior source-specific extraction records, supplemented by targeted checks of primary publisher sources. It did not constitute independent duplicate full-text extraction of the entire corpus. Source level, changes and unresolved evidence states were retained. Coding refinements made during this audit should be reported as amendments rather than retrospectively described as prespecified decisions.</ns0:t>
        </ns0:is>
      </ns0:c>
    </ns0:row>
    <ns0:row r="15" ht="76" customHeight="1">
      <ns0:c r="A15" s="19" t="inlineStr">
        <ns0:is>
          <ns0:t>Do not reuse from the previous draft</ns0:t>
        </ns0:is>
      </ns0:c>
      <ns0:c r="B15" s="19" t="inlineStr">
        <ns0:is>
          <ns0:t>Do not retain the previous 282-report corpus, 273-report RQ1 denominator, 260-report RQ2 subset or the claim that all eligible reports demonstrated explicit integration. Replace the old Figures 2-5 from this workbook. Do not interpret a feature selector, architectural attention, multiple neural branches, prospective data collection, or a multisite repository as proof of explanation, methodological hybridity, prospective model evaluation or cross-site robustness.</ns0:t>
        </ns0:is>
      </ns0:c>
    </ns0:row>
    <ns0:row r="16" ht="76" customHeight="1">
      <ns0:c r="A16" s="21" t="inlineStr">
        <ns0:is>
          <ns0:t>Unresolved documentary issue</ns0:t>
        </ns0:is>
      </ns0:c>
      <ns0:c r="B16" s="21" t="inlineStr">
        <ns0:is>
          <ns0:t>The supplied manuscript states a historical total of 282, whereas the available historical register contains 276. The six-record discrepancy and the initial identification/retrieval flow cannot be resolved from the provided records. No study-level evidence was fabricated to remove this discrepancy. The analytical tables can be written now, but this issue prevents claiming that the complete PRISMA provenance has been verified.</ns0:t>
        </ns0:is>
      </ns0:c>
    </ns0:row>
  </ns0:sheetData>
  <ns0:autoFilter ref="A4:B16"/>
  <ns0:mergeCells count="2">
    <ns0:mergeCell ref="A2:B2"/>
    <ns0:mergeCell ref="A1:B1"/>
  </ns0:mergeCells>
  <ns0:printOptions horizontalCentered="1"/>
  <ns0:pageMargins left="0.75" right="0.75" top="1" bottom="1" header="0.5" footer="0.5"/>
  <ns0:pageSetup orientation="landscape" paperSize="8" fitToHeight="0" fitToWidth="1"/>
</ns0:worksheet>
</file>

<file path=xl/worksheets/sheet19.xml><?xml version="1.0" encoding="utf-8"?>
<ns0:worksheet xmlns:ns0="http://schemas.openxmlformats.org/spreadsheetml/2006/main">
  <ns0:sheetPr>
    <ns0:tabColor rgb="00177E89"/>
    <ns0:outlinePr summaryBelow="1" summaryRight="0"/>
    <ns0:pageSetUpPr fitToPage="1"/>
  </ns0:sheetPr>
  <ns0:dimension ref="A1:D20"/>
  <ns0:sheetViews>
    <ns0:sheetView showGridLines="0" workbookViewId="0">
      <ns0:pane xSplit="2" ySplit="4" topLeftCell="C5" activePane="bottomRight" state="frozen"/>
      <ns0:selection pane="topRight"/>
      <ns0:selection pane="bottomLeft"/>
      <ns0:selection pane="bottomRight" activeCell="A1" sqref="A1"/>
    </ns0:sheetView>
  </ns0:sheetViews>
  <ns0:sheetFormatPr baseColWidth="8" defaultRowHeight="15"/>
  <ns0:cols>
    <ns0:col width="48" customWidth="1" min="1" max="1"/>
    <ns0:col width="29" customWidth="1" min="2" max="2"/>
    <ns0:col width="59" customWidth="1" min="3" max="3"/>
    <ns0:col width="27" customWidth="1" min="4" max="4"/>
  </ns0:cols>
  <ns0:sheetData>
    <ns0:row r="1" ht="36" customHeight="1">
      <ns0:c r="A1" s="16" t="inlineStr">
        <ns0:is>
          <ns0:t>Controles de cierre</ns0:t>
        </ns0:is>
      </ns0:c>
    </ns0:row>
    <ns0:row r="2" ht="32" customHeight="1">
      <ns0:c r="A2" s="17" t="inlineStr">
        <ns0:is>
          <ns0:t>PASS significa consistencia computacional, no certificacion de cada articulo ni concordancia entre revisores.</ns0:t>
        </ns0:is>
      </ns0:c>
    </ns0:row>
    <ns0:row r="4" ht="34" customHeight="1">
      <ns0:c r="A4" s="18" t="inlineStr">
        <ns0:is>
          <ns0:t>Test</ns0:t>
        </ns0:is>
      </ns0:c>
      <ns0:c r="B4" s="18" t="inlineStr">
        <ns0:is>
          <ns0:t>Observed</ns0:t>
        </ns0:is>
      </ns0:c>
      <ns0:c r="C4" s="18" t="inlineStr">
        <ns0:is>
          <ns0:t>Expected / interpretation</ns0:t>
        </ns0:is>
      </ns0:c>
      <ns0:c r="D4" s="18" t="inlineStr">
        <ns0:is>
          <ns0:t>Status</ns0:t>
        </ns0:is>
      </ns0:c>
    </ns0:row>
    <ns0:row r="5" ht="38" customHeight="1">
      <ns0:c r="A5" s="19" t="inlineStr">
        <ns0:is>
          <ns0:t>Registry unique IDs</ns0:t>
        </ns0:is>
      </ns0:c>
      <ns0:c r="B5" s="26" t="n">
        <ns0:v>454</ns0:v>
      </ns0:c>
      <ns0:c r="C5" s="26" t="n">
        <ns0:v>454</ns0:v>
      </ns0:c>
      <ns0:c r="D5" s="19" t="inlineStr">
        <ns0:is>
          <ns0:t>PASS</ns0:t>
        </ns0:is>
      </ns0:c>
    </ns0:row>
    <ns0:row r="6" ht="38" customHeight="1">
      <ns0:c r="A6" s="21" t="inlineStr">
        <ns0:is>
          <ns0:t>Unique non-empty normalized DOIs</ns0:t>
        </ns0:is>
      </ns0:c>
      <ns0:c r="B6" s="28" t="n">
        <ns0:v>454</ns0:v>
      </ns0:c>
      <ns0:c r="C6" s="28" t="n">
        <ns0:v>454</ns0:v>
      </ns0:c>
      <ns0:c r="D6" s="21" t="inlineStr">
        <ns0:is>
          <ns0:t>PASS</ns0:t>
        </ns0:is>
      </ns0:c>
    </ns0:row>
    <ns0:row r="7" ht="38" customHeight="1">
      <ns0:c r="A7" s="19" t="inlineStr">
        <ns0:is>
          <ns0:t>Included plus excluded</ns0:t>
        </ns0:is>
      </ns0:c>
      <ns0:c r="B7" s="26" t="n">
        <ns0:v>454</ns0:v>
      </ns0:c>
      <ns0:c r="C7" s="26" t="n">
        <ns0:v>454</ns0:v>
      </ns0:c>
      <ns0:c r="D7" s="19" t="inlineStr">
        <ns0:is>
          <ns0:t>PASS</ns0:t>
        </ns0:is>
      </ns0:c>
    </ns0:row>
    <ns0:row r="8" ht="38" customHeight="1">
      <ns0:c r="A8" s="21" t="inlineStr">
        <ns0:is>
          <ns0:t>Historical plus update included</ns0:t>
        </ns0:is>
      </ns0:c>
      <ns0:c r="B8" s="28" t="n">
        <ns0:v>428</ns0:v>
      </ns0:c>
      <ns0:c r="C8" s="28" t="n">
        <ns0:v>428</ns0:v>
      </ns0:c>
      <ns0:c r="D8" s="21" t="inlineStr">
        <ns0:is>
          <ns0:t>PASS</ns0:t>
        </ns0:is>
      </ns0:c>
    </ns0:row>
    <ns0:row r="9" ht="38" customHeight="1">
      <ns0:c r="A9" s="19" t="inlineStr">
        <ns0:is>
          <ns0:t>Stage totals including unresolved</ns0:t>
        </ns0:is>
      </ns0:c>
      <ns0:c r="B9" s="26" t="n">
        <ns0:v>428</ns0:v>
      </ns0:c>
      <ns0:c r="C9" s="26" t="n">
        <ns0:v>428</ns0:v>
      </ns0:c>
      <ns0:c r="D9" s="19" t="inlineStr">
        <ns0:is>
          <ns0:t>PASS</ns0:t>
        </ns0:is>
      </ns0:c>
    </ns0:row>
    <ns0:row r="10" ht="38" customHeight="1">
      <ns0:c r="A10" s="21" t="inlineStr">
        <ns0:is>
          <ns0:t>RQ1 profile total</ns0:t>
        </ns0:is>
      </ns0:c>
      <ns0:c r="B10" s="28" t="n">
        <ns0:v>428</ns0:v>
      </ns0:c>
      <ns0:c r="C10" s="28" t="n">
        <ns0:v>428</ns0:v>
      </ns0:c>
      <ns0:c r="D10" s="21" t="inlineStr">
        <ns0:is>
          <ns0:t>PASS</ns0:t>
        </ns0:is>
      </ns0:c>
    </ns0:row>
    <ns0:row r="11" ht="38" customHeight="1">
      <ns0:c r="A11" s="19" t="inlineStr">
        <ns0:is>
          <ns0:t>RQ2 role/status total</ns0:t>
        </ns0:is>
      </ns0:c>
      <ns0:c r="B11" s="26" t="n">
        <ns0:v>428</ns0:v>
      </ns0:c>
      <ns0:c r="C11" s="26" t="n">
        <ns0:v>428</ns0:v>
      </ns0:c>
      <ns0:c r="D11" s="19" t="inlineStr">
        <ns0:is>
          <ns0:t>PASS</ns0:t>
        </ns0:is>
      </ns0:c>
    </ns0:row>
    <ns0:row r="12" ht="38" customHeight="1">
      <ns0:c r="A12" s="21" t="inlineStr">
        <ns0:is>
          <ns0:t>RQ3 denominator per core practice</ns0:t>
        </ns0:is>
      </ns0:c>
      <ns0:c r="B12" s="28" t="n">
        <ns0:v>428</ns0:v>
      </ns0:c>
      <ns0:c r="C12" s="28" t="n">
        <ns0:v>428</ns0:v>
      </ns0:c>
      <ns0:c r="D12" s="21" t="inlineStr">
        <ns0:is>
          <ns0:t>PASS</ns0:t>
        </ns0:is>
      </ns0:c>
    </ns0:row>
    <ns0:row r="13" ht="38" customHeight="1">
      <ns0:c r="A13" s="19" t="inlineStr">
        <ns0:is>
          <ns0:t>All records recharted</ns0:t>
        </ns0:is>
      </ns0:c>
      <ns0:c r="B13" s="26" t="n">
        <ns0:v>454</ns0:v>
      </ns0:c>
      <ns0:c r="C13" s="26" t="n">
        <ns0:v>454</ns0:v>
      </ns0:c>
      <ns0:c r="D13" s="19" t="inlineStr">
        <ns0:is>
          <ns0:t>PASS</ns0:t>
        </ns0:is>
      </ns0:c>
    </ns0:row>
    <ns0:row r="14" ht="38" customHeight="1">
      <ns0:c r="A14" s="21" t="inlineStr">
        <ns0:is>
          <ns0:t>Blank primary RQ2 states</ns0:t>
        </ns0:is>
      </ns0:c>
      <ns0:c r="B14" s="28" t="n">
        <ns0:v>0</ns0:v>
      </ns0:c>
      <ns0:c r="C14" s="28" t="n">
        <ns0:v>0</ns0:v>
      </ns0:c>
      <ns0:c r="D14" s="21" t="inlineStr">
        <ns0:is>
          <ns0:t>PASS</ns0:t>
        </ns0:is>
      </ns0:c>
    </ns0:row>
    <ns0:row r="15" ht="38" customHeight="1">
      <ns0:c r="A15" s="19" t="inlineStr">
        <ns0:is>
          <ns0:t>Indeterminate values preserved</ns0:t>
        </ns0:is>
      </ns0:c>
      <ns0:c r="B15" s="19" t="inlineStr">
        <ns0:is>
          <ns0:t>Yes</ns0:t>
        </ns0:is>
      </ns0:c>
      <ns0:c r="C15" s="19" t="inlineStr">
        <ns0:is>
          <ns0:t>Yes</ns0:t>
        </ns0:is>
      </ns0:c>
      <ns0:c r="D15" s="19" t="inlineStr">
        <ns0:is>
          <ns0:t>PASS</ns0:t>
        </ns0:is>
      </ns0:c>
    </ns0:row>
    <ns0:row r="16" ht="38" customHeight="1">
      <ns0:c r="A16" s="21" t="inlineStr">
        <ns0:is>
          <ns0:t>Two retracted records excluded</ns0:t>
        </ns0:is>
      </ns0:c>
      <ns0:c r="B16" s="28" t="n">
        <ns0:v>2</ns0:v>
      </ns0:c>
      <ns0:c r="C16" s="28" t="n">
        <ns0:v>2</ns0:v>
      </ns0:c>
      <ns0:c r="D16" s="21" t="inlineStr">
        <ns0:is>
          <ns0:t>PASS</ns0:t>
        </ns0:is>
      </ns0:c>
    </ns0:row>
    <ns0:row r="17" ht="38" customHeight="1">
      <ns0:c r="A17" s="19" t="inlineStr">
        <ns0:is>
          <ns0:t>Initial PRISMA provenance</ns0:t>
        </ns0:is>
      </ns0:c>
      <ns0:c r="B17" s="19" t="inlineStr">
        <ns0:is>
          <ns0:t>Not verified</ns0:t>
        </ns0:is>
      </ns0:c>
      <ns0:c r="C17" s="19" t="inlineStr">
        <ns0:is>
          <ns0:t>Requires initial source log</ns0:t>
        </ns0:is>
      </ns0:c>
      <ns0:c r="D17" s="19" t="inlineStr">
        <ns0:is>
          <ns0:t>DOCUMENTARY LIMIT</ns0:t>
        </ns0:is>
      </ns0:c>
    </ns0:row>
    <ns0:row r="18" ht="38" customHeight="1">
      <ns0:c r="A18" s="21" t="inlineStr">
        <ns0:is>
          <ns0:t>Independent human re-extraction</ns0:t>
        </ns0:is>
      </ns0:c>
      <ns0:c r="B18" s="21" t="inlineStr">
        <ns0:is>
          <ns0:t>Not documented</ns0:t>
        </ns0:is>
      </ns0:c>
      <ns0:c r="C18" s="21" t="inlineStr">
        <ns0:is>
          <ns0:t>Not claimed</ns0:t>
        </ns0:is>
      </ns0:c>
      <ns0:c r="D18" s="21" t="inlineStr">
        <ns0:is>
          <ns0:t>DISCLOSED</ns0:t>
        </ns0:is>
      </ns0:c>
    </ns0:row>
    <ns0:row r="19" ht="38" customHeight="1">
      <ns0:c r="A19" s="19" t="inlineStr">
        <ns0:is>
          <ns0:t>All records newly read in full text</ns0:t>
        </ns0:is>
      </ns0:c>
      <ns0:c r="B19" s="19" t="inlineStr">
        <ns0:is>
          <ns0:t>No</ns0:t>
        </ns0:is>
      </ns0:c>
      <ns0:c r="C19" s="19" t="inlineStr">
        <ns0:is>
          <ns0:t>Not claimed</ns0:t>
        </ns0:is>
      </ns0:c>
      <ns0:c r="D19" s="19" t="inlineStr">
        <ns0:is>
          <ns0:t>DISCLOSED</ns0:t>
        </ns0:is>
      </ns0:c>
    </ns0:row>
    <ns0:row r="20" ht="38" customHeight="1">
      <ns0:c r="A20" s="21" t="inlineStr">
        <ns0:is>
          <ns0:t>Formula cache verification</ns0:t>
        </ns0:is>
      </ns0:c>
      <ns0:c r="B20" s="21" t="inlineStr">
        <ns0:is>
          <ns0:t>Performed after workbook build</ns0:t>
        </ns0:is>
      </ns0:c>
      <ns0:c r="C20" s="21" t="inlineStr">
        <ns0:is>
          <ns0:t>See QA_entrega.json</ns0:t>
        </ns0:is>
      </ns0:c>
      <ns0:c r="D20" s="21" t="inlineStr">
        <ns0:is>
          <ns0:t>POST-BUILD CHECK</ns0:t>
        </ns0:is>
      </ns0:c>
    </ns0:row>
  </ns0:sheetData>
  <ns0:autoFilter ref="A4:D20"/>
  <ns0:mergeCells count="2">
    <ns0:mergeCell ref="A1:D1"/>
    <ns0:mergeCell ref="A2:D2"/>
  </ns0:mergeCells>
  <ns0:printOptions horizontalCentered="1"/>
  <ns0:pageMargins left="0.75" right="0.75" top="1" bottom="1" header="0.5" footer="0.5"/>
  <ns0:pageSetup orientation="landscape" paperSize="8" fitToHeight="0" fitToWidth="1"/>
</ns0:worksheet>
</file>

<file path=xl/worksheets/sheet20.xml><?xml version="1.0" encoding="utf-8"?>
<ns0:worksheet xmlns:ns0="http://schemas.openxmlformats.org/spreadsheetml/2006/main">
  <ns0:sheetPr>
    <ns0:tabColor rgb="00177E89"/>
    <ns0:outlinePr summaryBelow="1" summaryRight="0"/>
    <ns0:pageSetUpPr fitToPage="1"/>
  </ns0:sheetPr>
  <ns0:dimension ref="A1:C41"/>
  <ns0:sheetViews>
    <ns0:sheetView showGridLines="0" workbookViewId="0">
      <ns0:pane xSplit="2" ySplit="4" topLeftCell="C5" activePane="bottomRight" state="frozen"/>
      <ns0:selection pane="topRight"/>
      <ns0:selection pane="bottomLeft"/>
      <ns0:selection pane="bottomRight" activeCell="A1" sqref="A1"/>
    </ns0:sheetView>
  </ns0:sheetViews>
  <ns0:sheetFormatPr baseColWidth="8" defaultRowHeight="15"/>
  <ns0:cols>
    <ns0:col width="32" customWidth="1" min="1" max="1"/>
    <ns0:col width="85" customWidth="1" min="2" max="2"/>
    <ns0:col width="108" customWidth="1" min="3" max="3"/>
  </ns0:cols>
  <ns0:sheetData>
    <ns0:row r="1" ht="36" customHeight="1">
      <ns0:c r="A1" s="16" t="inlineStr">
        <ns0:is>
          <ns0:t>Provenance and archive</ns0:t>
        </ns0:is>
      </ns0:c>
    </ns0:row>
    <ns0:row r="2" ht="32" customHeight="1">
      <ns0:c r="A2" s="17" t="inlineStr">
        <ns0:is>
          <ns0:t>The new sheets govern the synthesis. Historical sheets are preserved verbatim as hidden audit material.</ns0:t>
        </ns0:is>
      </ns0:c>
    </ns0:row>
    <ns0:row r="4" ht="34" customHeight="1">
      <ns0:c r="A4" s="18" t="inlineStr">
        <ns0:is>
          <ns0:t>Item</ns0:t>
        </ns0:is>
      </ns0:c>
      <ns0:c r="B4" s="18" t="inlineStr">
        <ns0:is>
          <ns0:t>Value</ns0:t>
        </ns0:is>
      </ns0:c>
      <ns0:c r="C4" s="18" t="inlineStr">
        <ns0:is>
          <ns0:t>Detail</ns0:t>
        </ns0:is>
      </ns0:c>
    </ns0:row>
    <ns0:row r="5" ht="41" customHeight="1">
      <ns0:c r="A5" s="19" t="inlineStr">
        <ns0:is>
          <ns0:t>Input workbook</ns0:t>
        </ns0:is>
      </ns0:c>
      <ns0:c r="B5" s="19" t="inlineStr">
        <ns0:is>
          <ns0:t>Maestro_IA_TEA_cierre(1).xlsx</ns0:t>
        </ns0:is>
      </ns0:c>
      <ns0:c r="C5" s="19" t="inlineStr">
        <ns0:is>
          <ns0:t>22d0bf9dd7e5449858851499d9233971540e285591e3fb462ab65834bd590e6e</ns0:t>
        </ns0:is>
      </ns0:c>
    </ns0:row>
    <ns0:row r="6" ht="41" customHeight="1">
      <ns0:c r="A6" s="21" t="inlineStr">
        <ns0:is>
          <ns0:t>Repository</ns0:t>
        </ns0:is>
      </ns0:c>
      <ns0:c r="B6" s="21" t="inlineStr">
        <ns0:is>
          <ns0:t>https://github.com/jhcapistran/scripts</ns0:t>
        </ns0:is>
      </ns0:c>
      <ns0:c r="C6" s="21" t="inlineStr">
        <ns0:is>
          <ns0:t>58da5915db9202b1a31d82007d8e5bc6706b4414</ns0:t>
        </ns0:is>
      </ns0:c>
    </ns0:row>
    <ns0:row r="7" ht="41" customHeight="1">
      <ns0:c r="A7" s="19" t="inlineStr">
        <ns0:is>
          <ns0:t>Repository snapshot</ns0:t>
        </ns0:is>
      </ns0:c>
      <ns0:c r="B7" s="19" t="inlineStr">
        <ns0:is>
          <ns0:t>2026-09-08T17:40:42Z</ns0:t>
        </ns0:is>
      </ns0:c>
      <ns0:c r="C7" s="19" t="inlineStr">
        <ns0:is>
          <ns0:t>Read via GitHub connector; no remote write performed</ns0:t>
        </ns0:is>
      </ns0:c>
    </ns0:row>
    <ns0:row r="8" ht="41" customHeight="1">
      <ns0:c r="A8" s="21" t="inlineStr">
        <ns0:is>
          <ns0:t>Primary analytical sheet</ns0:t>
        </ns0:is>
      </ns0:c>
      <ns0:c r="B8" s="21" t="inlineStr">
        <ns0:is>
          <ns0:t>BASE_CIERRE</ns0:t>
        </ns0:is>
      </ns0:c>
      <ns0:c r="C8" s="21" t="inlineStr">
        <ns0:is>
          <ns0:t>Authoritative input for reproducir_resultados.py</ns0:t>
        </ns0:is>
      </ns0:c>
    </ns0:row>
    <ns0:row r="9" ht="41" customHeight="1">
      <ns0:c r="A9" s="19" t="inlineStr">
        <ns0:is>
          <ns0:t>Source archival sheets</ns0:t>
        </ns0:is>
      </ns0:c>
      <ns0:c r="B9" s="19" t="inlineStr">
        <ns0:is>
          <ns0:t>28 original sheets retained hidden</ns0:t>
        </ns0:is>
      </ns0:c>
      <ns0:c r="C9" s="19" t="inlineStr">
        <ns0:is>
          <ns0:t>Original content and formatting preserved; do not use them as a second final dataset</ns0:t>
        </ns0:is>
      </ns0:c>
    </ns0:row>
    <ns0:row r="10" ht="41" customHeight="1">
      <ns0:c r="A10" s="21" t="inlineStr">
        <ns0:is>
          <ns0:t>Formula generation</ns0:t>
        </ns0:is>
      </ns0:c>
      <ns0:c r="B10" s="21" t="inlineStr">
        <ns0:is>
          <ns0:t>Openpyxl, COUNTIFS/IF/SUM</ns0:t>
        </ns0:is>
      </ns0:c>
      <ns0:c r="C10" s="21" t="inlineStr">
        <ns0:is>
          <ns0:t>Cached values checked against independently computed table counts</ns0:t>
        </ns0:is>
      </ns0:c>
    </ns0:row>
    <ns0:row r="11" ht="41" customHeight="1">
      <ns0:c r="A11" s="19" t="inlineStr">
        <ns0:is>
          <ns0:t>Software requirement</ns0:t>
        </ns0:is>
      </ns0:c>
      <ns0:c r="B11" s="19" t="inlineStr">
        <ns0:is>
          <ns0:t>Python 3.10+; pandas/openpyxl/numpy/matplotlib</ns0:t>
        </ns0:is>
      </ns0:c>
      <ns0:c r="C11" s="19" t="inlineStr">
        <ns0:is>
          <ns0:t>CPU only; no GPU. Several hundred MB RAM may be needed for the archival workbook</ns0:t>
        </ns0:is>
      </ns0:c>
    </ns0:row>
    <ns0:row r="12" ht="41" customHeight="1">
      <ns0:c r="A12" s="21" t="inlineStr">
        <ns0:is>
          <ns0:t>Record-level changes</ns0:t>
        </ns0:is>
      </ns0:c>
      <ns0:c r="B12" s="21" t="inlineStr">
        <ns0:is>
          <ns0:t>2449</ns0:t>
        </ns0:is>
      </ns0:c>
      <ns0:c r="C12" s="21" t="inlineStr">
        <ns0:is>
          <ns0:t>Includes terminology normalization and substantive corrections; not 2,449 independently read sources</ns0:t>
        </ns0:is>
      </ns0:c>
    </ns0:row>
    <ns0:row r="13" ht="32" customHeight="1"/>
    <ns0:row r="14" ht="32" customHeight="1">
      <ns0:c r="A14" s="21" t="inlineStr">
        <ns0:is>
          <ns0:t>Archived original sheet</ns0:t>
        </ns0:is>
      </ns0:c>
      <ns0:c r="B14" s="21" t="inlineStr">
        <ns0:is>
          <ns0:t>LEEME</ns0:t>
        </ns0:is>
      </ns0:c>
      <ns0:c r="C14" s="21" t="inlineStr">
        <ns0:is>
          <ns0:t>19 rows x 2 columns; original sheet retained, hidden</ns0:t>
        </ns0:is>
      </ns0:c>
    </ns0:row>
    <ns0:row r="15" ht="32" customHeight="1">
      <ns0:c r="A15" s="19" t="inlineStr">
        <ns0:is>
          <ns0:t>Archived original sheet</ns0:t>
        </ns0:is>
      </ns0:c>
      <ns0:c r="B15" s="19" t="inlineStr">
        <ns0:is>
          <ns0:t>CONTROL</ns0:t>
        </ns0:is>
      </ns0:c>
      <ns0:c r="C15" s="19" t="inlineStr">
        <ns0:is>
          <ns0:t>15 rows x 3 columns; original sheet retained, hidden</ns0:t>
        </ns0:is>
      </ns0:c>
    </ns0:row>
    <ns0:row r="16" ht="32" customHeight="1">
      <ns0:c r="A16" s="21" t="inlineStr">
        <ns0:is>
          <ns0:t>Archived original sheet</ns0:t>
        </ns0:is>
      </ns0:c>
      <ns0:c r="B16" s="21" t="inlineStr">
        <ns0:is>
          <ns0:t>CIERRE</ns0:t>
        </ns0:is>
      </ns0:c>
      <ns0:c r="C16" s="21" t="inlineStr">
        <ns0:is>
          <ns0:t>455 rows x 9 columns; original sheet retained, hidden</ns0:t>
        </ns0:is>
      </ns0:c>
    </ns0:row>
    <ns0:row r="17" ht="32" customHeight="1">
      <ns0:c r="A17" s="19" t="inlineStr">
        <ns0:is>
          <ns0:t>Archived original sheet</ns0:t>
        </ns0:is>
      </ns0:c>
      <ns0:c r="B17" s="19" t="inlineStr">
        <ns0:is>
          <ns0:t>ESTUDIOS</ns0:t>
        </ns0:is>
      </ns0:c>
      <ns0:c r="C17" s="19" t="inlineStr">
        <ns0:is>
          <ns0:t>455 rows x 16 columns; original sheet retained, hidden</ns0:t>
        </ns0:is>
      </ns0:c>
    </ns0:row>
    <ns0:row r="18" ht="32" customHeight="1">
      <ns0:c r="A18" s="21" t="inlineStr">
        <ns0:is>
          <ns0:t>Archived original sheet</ns0:t>
        </ns0:is>
      </ns0:c>
      <ns0:c r="B18" s="21" t="inlineStr">
        <ns0:is>
          <ns0:t>RQ1</ns0:t>
        </ns0:is>
      </ns0:c>
      <ns0:c r="C18" s="21" t="inlineStr">
        <ns0:is>
          <ns0:t>455 rows x 17 columns; original sheet retained, hidden</ns0:t>
        </ns0:is>
      </ns0:c>
    </ns0:row>
    <ns0:row r="19" ht="32" customHeight="1">
      <ns0:c r="A19" s="19" t="inlineStr">
        <ns0:is>
          <ns0:t>Archived original sheet</ns0:t>
        </ns0:is>
      </ns0:c>
      <ns0:c r="B19" s="19" t="inlineStr">
        <ns0:is>
          <ns0:t>RQ2</ns0:t>
        </ns0:is>
      </ns0:c>
      <ns0:c r="C19" s="19" t="inlineStr">
        <ns0:is>
          <ns0:t>455 rows x 17 columns; original sheet retained, hidden</ns0:t>
        </ns0:is>
      </ns0:c>
    </ns0:row>
    <ns0:row r="20" ht="32" customHeight="1">
      <ns0:c r="A20" s="21" t="inlineStr">
        <ns0:is>
          <ns0:t>Archived original sheet</ns0:t>
        </ns0:is>
      </ns0:c>
      <ns0:c r="B20" s="21" t="inlineStr">
        <ns0:is>
          <ns0:t>RQ3</ns0:t>
        </ns0:is>
      </ns0:c>
      <ns0:c r="C20" s="21" t="inlineStr">
        <ns0:is>
          <ns0:t>455 rows x 20 columns; original sheet retained, hidden</ns0:t>
        </ns0:is>
      </ns0:c>
    </ns0:row>
    <ns0:row r="21" ht="32" customHeight="1">
      <ns0:c r="A21" s="19" t="inlineStr">
        <ns0:is>
          <ns0:t>Archived original sheet</ns0:t>
        </ns0:is>
      </ns0:c>
      <ns0:c r="B21" s="19" t="inlineStr">
        <ns0:is>
          <ns0:t>EVIDENCIA</ns0:t>
        </ns0:is>
      </ns0:c>
      <ns0:c r="C21" s="19" t="inlineStr">
        <ns0:is>
          <ns0:t>455 rows x 12 columns; original sheet retained, hidden</ns0:t>
        </ns0:is>
      </ns0:c>
    </ns0:row>
    <ns0:row r="22" ht="32" customHeight="1">
      <ns0:c r="A22" s="21" t="inlineStr">
        <ns0:is>
          <ns0:t>Archived original sheet</ns0:t>
        </ns0:is>
      </ns0:c>
      <ns0:c r="B22" s="21" t="inlineStr">
        <ns0:is>
          <ns0:t>PRISMA</ns0:t>
        </ns0:is>
      </ns0:c>
      <ns0:c r="C22" s="21" t="inlineStr">
        <ns0:is>
          <ns0:t>21 rows x 4 columns; original sheet retained, hidden</ns0:t>
        </ns0:is>
      </ns0:c>
    </ns0:row>
    <ns0:row r="23" ht="32" customHeight="1">
      <ns0:c r="A23" s="19" t="inlineStr">
        <ns0:is>
          <ns0:t>Archived original sheet</ns0:t>
        </ns0:is>
      </ns0:c>
      <ns0:c r="B23" s="19" t="inlineStr">
        <ns0:is>
          <ns0:t>RESUMEN_RQ</ns0:t>
        </ns0:is>
      </ns0:c>
      <ns0:c r="C23" s="19" t="inlineStr">
        <ns0:is>
          <ns0:t>161 rows x 9 columns; original sheet retained, hidden</ns0:t>
        </ns0:is>
      </ns0:c>
    </ns0:row>
    <ns0:row r="24" ht="32" customHeight="1">
      <ns0:c r="A24" s="21" t="inlineStr">
        <ns0:is>
          <ns0:t>Archived original sheet</ns0:t>
        </ns0:is>
      </ns0:c>
      <ns0:c r="B24" s="21" t="inlineStr">
        <ns0:is>
          <ns0:t>Guia_manuscrito</ns0:t>
        </ns0:is>
      </ns0:c>
      <ns0:c r="C24" s="21" t="inlineStr">
        <ns0:is>
          <ns0:t>9 rows x 5 columns; original sheet retained, hidden</ns0:t>
        </ns0:is>
      </ns0:c>
    </ns0:row>
    <ns0:row r="25" ht="32" customHeight="1">
      <ns0:c r="A25" s="19" t="inlineStr">
        <ns0:is>
          <ns0:t>Archived original sheet</ns0:t>
        </ns0:is>
      </ns0:c>
      <ns0:c r="B25" s="19" t="inlineStr">
        <ns0:is>
          <ns0:t>Diccionario</ns0:t>
        </ns0:is>
      </ns0:c>
      <ns0:c r="C25" s="19" t="inlineStr">
        <ns0:is>
          <ns0:t>15 rows x 3 columns; original sheet retained, hidden</ns0:t>
        </ns0:is>
      </ns0:c>
    </ns0:row>
    <ns0:row r="26" ht="32" customHeight="1">
      <ns0:c r="A26" s="21" t="inlineStr">
        <ns0:is>
          <ns0:t>Archived original sheet</ns0:t>
        </ns0:is>
      </ns0:c>
      <ns0:c r="B26" s="21" t="inlineStr">
        <ns0:is>
          <ns0:t>Mapeo_fuentes</ns0:t>
        </ns0:is>
      </ns0:c>
      <ns0:c r="C26" s="21" t="inlineStr">
        <ns0:is>
          <ns0:t>148 rows x 4 columns; original sheet retained, hidden</ns0:t>
        </ns0:is>
      </ns0:c>
    </ns0:row>
    <ns0:row r="27" ht="32" customHeight="1">
      <ns0:c r="A27" s="19" t="inlineStr">
        <ns0:is>
          <ns0:t>Archived original sheet</ns0:t>
        </ns0:is>
      </ns0:c>
      <ns0:c r="B27" s="19" t="inlineStr">
        <ns0:is>
          <ns0:t>Cambios</ns0:t>
        </ns0:is>
      </ns0:c>
      <ns0:c r="C27" s="19" t="inlineStr">
        <ns0:is>
          <ns0:t>277 rows x 5 columns; original sheet retained, hidden</ns0:t>
        </ns0:is>
      </ns0:c>
    </ns0:row>
    <ns0:row r="28" ht="32" customHeight="1">
      <ns0:c r="A28" s="21" t="inlineStr">
        <ns0:is>
          <ns0:t>Archived original sheet</ns0:t>
        </ns0:is>
      </ns0:c>
      <ns0:c r="B28" s="21" t="inlineStr">
        <ns0:is>
          <ns0:t>Fuentes</ns0:t>
        </ns0:is>
      </ns0:c>
      <ns0:c r="C28" s="21" t="inlineStr">
        <ns0:is>
          <ns0:t>3 rows x 4 columns; original sheet retained, hidden</ns0:t>
        </ns0:is>
      </ns0:c>
    </ns0:row>
    <ns0:row r="29" ht="32" customHeight="1">
      <ns0:c r="A29" s="19" t="inlineStr">
        <ns0:is>
          <ns0:t>Archived original sheet</ns0:t>
        </ns0:is>
      </ns0:c>
      <ns0:c r="B29" s="19" t="inlineStr">
        <ns0:is>
          <ns0:t>Hist_RQ12_origen</ns0:t>
        </ns0:is>
      </ns0:c>
      <ns0:c r="C29" s="19" t="inlineStr">
        <ns0:is>
          <ns0:t>277 rows x 41 columns; original sheet retained, hidden</ns0:t>
        </ns0:is>
      </ns0:c>
    </ns0:row>
    <ns0:row r="30" ht="32" customHeight="1">
      <ns0:c r="A30" s="21" t="inlineStr">
        <ns0:is>
          <ns0:t>Archived original sheet</ns0:t>
        </ns0:is>
      </ns0:c>
      <ns0:c r="B30" s="21" t="inlineStr">
        <ns0:is>
          <ns0:t>Hist_RQ3_origen</ns0:t>
        </ns0:is>
      </ns0:c>
      <ns0:c r="C30" s="21" t="inlineStr">
        <ns0:is>
          <ns0:t>277 rows x 50 columns; original sheet retained, hidden</ns0:t>
        </ns0:is>
      </ns0:c>
    </ns0:row>
    <ns0:row r="31" ht="32" customHeight="1">
      <ns0:c r="A31" s="19" t="inlineStr">
        <ns0:is>
          <ns0:t>Archived original sheet</ns0:t>
        </ns0:is>
      </ns0:c>
      <ns0:c r="B31" s="19" t="inlineStr">
        <ns0:is>
          <ns0:t>Nuevos_origen</ns0:t>
        </ns0:is>
      </ns0:c>
      <ns0:c r="C31" s="19" t="inlineStr">
        <ns0:is>
          <ns0:t>179 rows x 23 columns; original sheet retained, hidden</ns0:t>
        </ns0:is>
      </ns0:c>
    </ns0:row>
    <ns0:row r="32" ht="32" customHeight="1">
      <ns0:c r="A32" s="21" t="inlineStr">
        <ns0:is>
          <ns0:t>Archived original sheet</ns0:t>
        </ns0:is>
      </ns0:c>
      <ns0:c r="B32" s="21" t="inlineStr">
        <ns0:is>
          <ns0:t>Decisiones_origen</ns0:t>
        </ns0:is>
      </ns0:c>
      <ns0:c r="C32" s="21" t="inlineStr">
        <ns0:is>
          <ns0:t>193 rows x 16 columns; original sheet retained, hidden</ns0:t>
        </ns0:is>
      </ns0:c>
    </ns0:row>
    <ns0:row r="33" ht="32" customHeight="1">
      <ns0:c r="A33" s="19" t="inlineStr">
        <ns0:is>
          <ns0:t>Archived original sheet</ns0:t>
        </ns0:is>
      </ns0:c>
      <ns0:c r="B33" s="19" t="inlineStr">
        <ns0:is>
          <ns0:t>Actualizacion_origen</ns0:t>
        </ns0:is>
      </ns0:c>
      <ns0:c r="C33" s="19" t="inlineStr">
        <ns0:is>
          <ns0:t>431 rows x 28 columns; original sheet retained, hidden</ns0:t>
        </ns0:is>
      </ns0:c>
    </ns0:row>
    <ns0:row r="34" ht="32" customHeight="1">
      <ns0:c r="A34" s="21" t="inlineStr">
        <ns0:is>
          <ns0:t>Archived original sheet</ns0:t>
        </ns0:is>
      </ns0:c>
      <ns0:c r="B34" s="21" t="inlineStr">
        <ns0:is>
          <ns0:t>Acceso_origen</ns0:t>
        </ns0:is>
      </ns0:c>
      <ns0:c r="C34" s="21" t="inlineStr">
        <ns0:is>
          <ns0:t>193 rows x 12 columns; original sheet retained, hidden</ns0:t>
        </ns0:is>
      </ns0:c>
    </ns0:row>
    <ns0:row r="35" ht="32" customHeight="1">
      <ns0:c r="A35" s="19" t="inlineStr">
        <ns0:is>
          <ns0:t>Archived original sheet</ns0:t>
        </ns0:is>
      </ns0:c>
      <ns0:c r="B35" s="19" t="inlineStr">
        <ns0:is>
          <ns0:t>Integridad_origen</ns0:t>
        </ns0:is>
      </ns0:c>
      <ns0:c r="C35" s="19" t="inlineStr">
        <ns0:is>
          <ns0:t>16 rows x 10 columns; original sheet retained, hidden</ns0:t>
        </ns0:is>
      </ns0:c>
    </ns0:row>
    <ns0:row r="36" ht="32" customHeight="1">
      <ns0:c r="A36" s="21" t="inlineStr">
        <ns0:is>
          <ns0:t>Archived original sheet</ns0:t>
        </ns0:is>
      </ns0:c>
      <ns0:c r="B36" s="21" t="inlineStr">
        <ns0:is>
          <ns0:t>Fuentes_verificadas</ns0:t>
        </ns0:is>
      </ns0:c>
      <ns0:c r="C36" s="21" t="inlineStr">
        <ns0:is>
          <ns0:t>18 rows x 6 columns; original sheet retained, hidden</ns0:t>
        </ns0:is>
      </ns0:c>
    </ns0:row>
    <ns0:row r="37" ht="32" customHeight="1">
      <ns0:c r="A37" s="19" t="inlineStr">
        <ns0:is>
          <ns0:t>Archived original sheet</ns0:t>
        </ns0:is>
      </ns0:c>
      <ns0:c r="B37" s="19" t="inlineStr">
        <ns0:is>
          <ns0:t>Lotes_origen</ns0:t>
        </ns0:is>
      </ns0:c>
      <ns0:c r="C37" s="19" t="inlineStr">
        <ns0:is>
          <ns0:t>148 rows x 29 columns; original sheet retained, hidden</ns0:t>
        </ns0:is>
      </ns0:c>
    </ns0:row>
    <ns0:row r="38" ht="32" customHeight="1">
      <ns0:c r="A38" s="21" t="inlineStr">
        <ns0:is>
          <ns0:t>Archived original sheet</ns0:t>
        </ns0:is>
      </ns0:c>
      <ns0:c r="B38" s="21" t="inlineStr">
        <ns0:is>
          <ns0:t>RQ2_auditoria_origen</ns0:t>
        </ns0:is>
      </ns0:c>
      <ns0:c r="C38" s="21" t="inlineStr">
        <ns0:is>
          <ns0:t>246 rows x 15 columns; original sheet retained, hidden</ns0:t>
        </ns0:is>
      </ns0:c>
    </ns0:row>
    <ns0:row r="39" ht="32" customHeight="1">
      <ns0:c r="A39" s="19" t="inlineStr">
        <ns0:is>
          <ns0:t>Archived original sheet</ns0:t>
        </ns0:is>
      </ns0:c>
      <ns0:c r="B39" s="19" t="inlineStr">
        <ns0:is>
          <ns0:t>RQ2_resolucion_origen</ns0:t>
        </ns0:is>
      </ns0:c>
      <ns0:c r="C39" s="19" t="inlineStr">
        <ns0:is>
          <ns0:t>31 rows x 14 columns; original sheet retained, hidden</ns0:t>
        </ns0:is>
      </ns0:c>
    </ns0:row>
    <ns0:row r="40" ht="32" customHeight="1">
      <ns0:c r="A40" s="21" t="inlineStr">
        <ns0:is>
          <ns0:t>Archived original sheet</ns0:t>
        </ns0:is>
      </ns0:c>
      <ns0:c r="B40" s="21" t="inlineStr">
        <ns0:is>
          <ns0:t>Codebook_origen</ns0:t>
        </ns0:is>
      </ns0:c>
      <ns0:c r="C40" s="21" t="inlineStr">
        <ns0:is>
          <ns0:t>39 rows x 6 columns; original sheet retained, hidden</ns0:t>
        </ns0:is>
      </ns0:c>
    </ns0:row>
    <ns0:row r="41" ht="32" customHeight="1">
      <ns0:c r="A41" s="19" t="inlineStr">
        <ns0:is>
          <ns0:t>Archived original sheet</ns0:t>
        </ns0:is>
      </ns0:c>
      <ns0:c r="B41" s="19" t="inlineStr">
        <ns0:is>
          <ns0:t>Criterios_origen</ns0:t>
        </ns0:is>
      </ns0:c>
      <ns0:c r="C41" s="19" t="inlineStr">
        <ns0:is>
          <ns0:t>26 rows x 4 columns; original sheet retained, hidden</ns0:t>
        </ns0:is>
      </ns0:c>
    </ns0:row>
  </ns0:sheetData>
  <ns0:autoFilter ref="A4:C41"/>
  <ns0:mergeCells count="2">
    <ns0:mergeCell ref="A1:C1"/>
    <ns0:mergeCell ref="A2:C2"/>
  </ns0:mergeCells>
  <ns0:printOptions horizontalCentered="1"/>
  <ns0:pageMargins left="0.75" right="0.75" top="1" bottom="1" header="0.5" footer="0.5"/>
  <ns0:pageSetup orientation="landscape" paperSize="8" fitToHeight="0" fitToWidth="1"/>
</ns0:worksheet>
</file>

<file path=xl/worksheets/sheet21.xml><?xml version="1.0" encoding="utf-8"?>
<worksheet xmlns="http://schemas.openxmlformats.org/spreadsheetml/2006/main">
  <sheetPr>
    <outlinePr summaryBelow="1" summaryRight="1"/>
    <pageSetUpPr/>
  </sheetPr>
  <dimension ref="A1:B19"/>
  <sheetViews>
    <sheetView showGridLines="0" workbookViewId="0">
      <selection activeCell="A1" sqref="A1"/>
    </sheetView>
  </sheetViews>
  <sheetFormatPr baseColWidth="8" defaultRowHeight="15"/>
  <cols>
    <col width="29" customWidth="1" min="1" max="1"/>
    <col width="118" customWidth="1" min="2" max="2"/>
  </cols>
  <sheetData>
    <row r="1" ht="52" customHeight="1">
      <c r="A1" s="6" t="inlineStr">
        <is>
          <t>Tema</t>
        </is>
      </c>
      <c r="B1" s="6" t="inlineStr">
        <is>
          <t>Instrucción</t>
        </is>
      </c>
    </row>
    <row r="2" ht="57" customHeight="1">
      <c r="A2" s="4" t="inlineStr">
        <is>
          <t>Propósito</t>
        </is>
      </c>
      <c r="B2" s="4" t="inlineStr">
        <is>
          <t>Un único archivo de trabajo para cerrar extracción y sustentar la reescritura. No certifica que todos los textos hayan sido verificados independientemente.</t>
        </is>
      </c>
    </row>
    <row r="3" ht="57" customHeight="1">
      <c r="A3" s="4" t="inlineStr">
        <is>
          <t>Estado</t>
        </is>
      </c>
      <c r="B3" s="4" t="inlineStr">
        <is>
          <t>454 inclusiones registradas; 276 RQ2 históricas sin clasificación final; verificaciones no documentadas. El cierre científico permanece abierto.</t>
        </is>
      </c>
    </row>
    <row r="4" ht="57" customHeight="1">
      <c r="A4" s="4" t="inlineStr">
        <is>
          <t>Orden de uso</t>
        </is>
      </c>
      <c r="B4" s="4" t="inlineStr">
        <is>
          <t>CONTROL → CIERRE → RQ2 / RQ1 / RQ3 → EVIDENCIA. El ID enlaza todas las hojas.</t>
        </is>
      </c>
    </row>
    <row r="5" ht="57" customHeight="1">
      <c r="A5" s="4" t="inlineStr">
        <is>
          <t>Dónde editar</t>
        </is>
      </c>
      <c r="B5" s="4" t="inlineStr">
        <is>
          <t>Editar solo las clasificaciones y campos reviewer_verified / verification_date de RQ1–RQ3 y el estado de ESTUDIOS. CIERRE y RESUMEN se actualizan por fórmula para las 454 filas actuales.</t>
        </is>
      </c>
    </row>
    <row r="6" ht="57" customHeight="1">
      <c r="A6" s="4" t="inlineStr">
        <is>
          <t>Regla de evidencia</t>
        </is>
      </c>
      <c r="B6" s="4" t="inlineStr">
        <is>
          <t>No convertir señales de resumen en integración confirmada. 0 = no reportado en material evaluado; vacío = desconocido/no codificado.</t>
        </is>
      </c>
    </row>
    <row r="7" ht="57" customHeight="1">
      <c r="A7" s="4" t="inlineStr">
        <is>
          <t>Recuperación RQ3</t>
        </is>
      </c>
      <c r="B7" s="4" t="inlineStr">
        <is>
          <t>Restauradas las columnas históricas *_signal en sus equivalentes comunes. Multisite y cross-site permanecen separados.</t>
        </is>
      </c>
    </row>
    <row r="8" ht="57" customHeight="1">
      <c r="A8" s="4" t="inlineStr">
        <is>
          <t>Fuentes RQ1</t>
        </is>
      </c>
      <c r="B8" s="4" t="inlineStr">
        <is>
          <t>Cuestionarios/tablas separados de texto; categorías históricas amplias conservadas y señaladas. Múltiples datasets no se equiparan a fusión.</t>
        </is>
      </c>
    </row>
    <row r="9" ht="57" customHeight="1">
      <c r="A9" s="4" t="inlineStr">
        <is>
          <t>Integración RQ2</t>
        </is>
      </c>
      <c r="B9" s="4" t="inlineStr">
        <is>
          <t>Se preservan 178 clasificaciones nuevas y notas históricas. No se inventaron 276 decisiones faltantes ni el momento de uso clínico.</t>
        </is>
      </c>
    </row>
    <row r="10" ht="57" customHeight="1">
      <c r="A10" s="4" t="inlineStr">
        <is>
          <t>Acceso</t>
        </is>
      </c>
      <c r="B10" s="4" t="inlineStr">
        <is>
          <t>Los estados de acceso son heredados. Localizar una referencia o disponer del resumen no demuestra evaluación del texto íntegro. Ver EVIDENCIA y Lotes_origen.</t>
        </is>
      </c>
    </row>
    <row r="11" ht="57" customHeight="1">
      <c r="A11" s="4" t="inlineStr">
        <is>
          <t>Integridad</t>
        </is>
      </c>
      <c r="B11" s="4" t="inlineStr">
        <is>
          <t>Dos inclusiones con Expression of Concern detectadas en Integridad; mantener bandera y análisis de sensibilidad sin alterar decisiones unilateralmente.</t>
        </is>
      </c>
    </row>
    <row r="12" ht="57" customHeight="1">
      <c r="A12" s="4" t="inlineStr">
        <is>
          <t>PRISMA</t>
        </is>
      </c>
      <c r="B12" s="4" t="inlineStr">
        <is>
          <t>Actualización reconciliada con 430 registros y 192 candidatos. El flujo inicial completo no está sustentado por estas fuentes; sus cifras se dejan para conciliar.</t>
        </is>
      </c>
    </row>
    <row r="13" ht="57" customHeight="1">
      <c r="A13" s="4" t="inlineStr">
        <is>
          <t>Fuentes</t>
        </is>
      </c>
      <c r="B13" s="4" t="inlineStr">
        <is>
          <t>Maestro FINAL_CORREGIDO_2026-09-07 y consolidado RQ2_final. Datos de fuentes conservados en hojas *_origen.</t>
        </is>
      </c>
    </row>
    <row r="14" ht="57" customHeight="1">
      <c r="A14" s="4" t="inlineStr">
        <is>
          <t>Lotes</t>
        </is>
      </c>
      <c r="B14" s="4" t="inlineStr">
        <is>
          <t>Son evidencia histórica del proceso: sus estados intermedios no sustituyen las decisiones del maestro del 7 de septiembre.</t>
        </is>
      </c>
    </row>
    <row r="15" ht="57" customHeight="1">
      <c r="A15" s="4" t="inlineStr">
        <is>
          <t>No usar resúmenes viejos</t>
        </is>
      </c>
      <c r="B15" s="4" t="inlineStr">
        <is>
          <t>No copiar 300/282/273 ni 272 positivos desde hojas antiguas. Los resúmenes de este libro se derivan de filas actuales.</t>
        </is>
      </c>
    </row>
    <row r="16" ht="57" customHeight="1">
      <c r="A16" s="4" t="inlineStr">
        <is>
          <t>Estudios y participantes</t>
        </is>
      </c>
      <c r="B16" s="4" t="inlineStr">
        <is>
          <t>454 referencias incluidas no implican 454 cohortes independientes: ABIDE y otros datasets pueden reutilizar participantes. No sumar tamaños de muestra sin verificar solapamiento.</t>
        </is>
      </c>
    </row>
    <row r="17" ht="57" customHeight="1">
      <c r="A17" s="4" t="inlineStr">
        <is>
          <t>Validación de esta entrega</t>
        </is>
      </c>
      <c r="B17" s="4" t="inlineStr">
        <is>
          <t>Se consolidaron archivos y comprobó correspondencia de IDs, decisiones y campos. No se efectuó una nueva lectura de 454 fuentes primarias en esta entrega.</t>
        </is>
      </c>
    </row>
    <row r="18" ht="57" customHeight="1">
      <c r="A18" s="4" t="inlineStr">
        <is>
          <t>Fecha y versión</t>
        </is>
      </c>
      <c r="B18" s="4" t="inlineStr">
        <is>
          <t>2026-09-08; consolidación sobre commit 58da5915db9202b1a31d82007d8e5bc6706b4414.</t>
        </is>
      </c>
    </row>
    <row r="19" ht="57" customHeight="1">
      <c r="A19" s="4" t="inlineStr">
        <is>
          <t>Actualizaciones posteriores</t>
        </is>
      </c>
      <c r="B19" s="4" t="inlineStr">
        <is>
          <t>Si se añaden/eliminan estudios, extender rangos de fórmulas, tablas y controles; no cambiar N a mano.</t>
        </is>
      </c>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56" customWidth="1" min="1" max="1"/>
    <col width="28" customWidth="1" min="2" max="2"/>
    <col width="76" customWidth="1" min="3" max="3"/>
  </cols>
  <sheetData>
    <row r="1" ht="52" customHeight="1">
      <c r="A1" s="6" t="inlineStr">
        <is>
          <t>Indicador</t>
        </is>
      </c>
      <c r="B1" s="6" t="inlineStr">
        <is>
          <t>Valor</t>
        </is>
      </c>
      <c r="C1" s="6" t="inlineStr">
        <is>
          <t>Interpretación</t>
        </is>
      </c>
    </row>
    <row r="2" ht="47" customHeight="1">
      <c r="A2" s="4" t="inlineStr">
        <is>
          <t>Inclusiones registradas</t>
        </is>
      </c>
      <c r="B2" s="37">
        <f>COUNTA('ESTUDIOS'!$A$2:$A$455)</f>
        <v/>
      </c>
      <c r="C2" s="4" t="inlineStr">
        <is>
          <t>Corpus de trabajo; no certificado de revisión independiente</t>
        </is>
      </c>
    </row>
    <row r="3" ht="47" customHeight="1">
      <c r="A3" s="4" t="inlineStr">
        <is>
          <t>Históricos</t>
        </is>
      </c>
      <c r="B3" s="37">
        <f>COUNTIF('ESTUDIOS'!$B$2:$B$455,"Historical")</f>
        <v/>
      </c>
      <c r="C3" s="4" t="inlineStr">
        <is>
          <t>Base conservada</t>
        </is>
      </c>
    </row>
    <row r="4" ht="47" customHeight="1">
      <c r="A4" s="4" t="inlineStr">
        <is>
          <t>Nuevos incluidos</t>
        </is>
      </c>
      <c r="B4" s="37">
        <f>COUNTIF('ESTUDIOS'!$B$2:$B$455,"Update")</f>
        <v/>
      </c>
      <c r="C4" s="4" t="inlineStr">
        <is>
          <t>Decisiones Include / Include with integrity flag</t>
        </is>
      </c>
    </row>
    <row r="5" ht="47" customHeight="1">
      <c r="A5" s="4" t="inlineStr">
        <is>
          <t>Exclusiones nuevas de texto completo</t>
        </is>
      </c>
      <c r="B5" s="38">
        <f>COUNTIF('Decisiones_origen'!$J$2:$J$193,"Exclude")</f>
        <v/>
      </c>
      <c r="C5" s="4" t="inlineStr">
        <is>
          <t>En Decisiones_origen</t>
        </is>
      </c>
    </row>
    <row r="6" ht="47" customHeight="1">
      <c r="A6" s="4" t="inlineStr">
        <is>
          <t>Decisiones nuevas pendientes o vacías</t>
        </is>
      </c>
      <c r="B6" s="38">
        <f>COUNTBLANK('Decisiones_origen'!$J$2:$J$193)+COUNTIF('Decisiones_origen'!$J$2:$J$193,"*Pending*")</f>
        <v/>
      </c>
      <c r="C6" s="4" t="inlineStr">
        <is>
          <t>Elegibilidad de actualización; distinto de extracción pendiente</t>
        </is>
      </c>
    </row>
    <row r="7" ht="47" customHeight="1">
      <c r="A7" s="4" t="inlineStr">
        <is>
          <t>RQ2: clasificaciones con rol registradas</t>
        </is>
      </c>
      <c r="B7" s="38">
        <f>COUNTIF('CIERRE'!$D$2:$D$455,"REGISTRADA")</f>
        <v/>
      </c>
      <c r="C7" s="4" t="inlineStr">
        <is>
          <t>No implica verificación independiente</t>
        </is>
      </c>
    </row>
    <row r="8" ht="47" customHeight="1">
      <c r="A8" s="4" t="inlineStr">
        <is>
          <t>RQ2: pendientes de clasificación o rol</t>
        </is>
      </c>
      <c r="B8" s="38">
        <f>COUNTIF('CIERRE'!$D$2:$D$455,"PENDIENTE")</f>
        <v/>
      </c>
      <c r="C8" s="4" t="inlineStr">
        <is>
          <t>Completar en RQ2 usando EVIDENCIA</t>
        </is>
      </c>
    </row>
    <row r="9" ht="47" customHeight="1">
      <c r="A9" s="4" t="inlineStr">
        <is>
          <t>RQ1: detalle marcado para revisar</t>
        </is>
      </c>
      <c r="B9" s="38">
        <f>COUNTIF('RQ1'!$N$2:$N$455,1)</f>
        <v/>
      </c>
      <c r="C9" s="4" t="inlineStr">
        <is>
          <t>Un no especificado justificado se puede conservar</t>
        </is>
      </c>
    </row>
    <row r="10" ht="47" customHeight="1">
      <c r="A10" s="4" t="inlineStr">
        <is>
          <t>Marca histórica de texto completo activa</t>
        </is>
      </c>
      <c r="B10" s="38">
        <f>COUNTIF('RQ3'!$P$2:$P$455,1)</f>
        <v/>
      </c>
      <c r="C10" s="4" t="inlineStr">
        <is>
          <t>Conciliar si la marca es antigua o sigue pendiente</t>
        </is>
      </c>
    </row>
    <row r="11" ht="47" customHeight="1">
      <c r="A11" s="4" t="inlineStr">
        <is>
          <t>Verificación documentada por estudio</t>
        </is>
      </c>
      <c r="B11" s="38">
        <f>COUNTIF('ESTUDIOS'!$N$2:$N$455,"Verified")</f>
        <v/>
      </c>
      <c r="C11" s="4" t="inlineStr">
        <is>
          <t>ESTUDIOS.verification_state = Verified</t>
        </is>
      </c>
    </row>
    <row r="12" ht="47" customHeight="1">
      <c r="A12" s="4" t="inlineStr">
        <is>
          <t>Inclusiones con alerta de integridad</t>
        </is>
      </c>
      <c r="B12" s="38">
        <f>SUM('ESTUDIOS'!$I$2:$I$455)</f>
        <v/>
      </c>
      <c r="C12" s="4" t="inlineStr">
        <is>
          <t>Análisis de sensibilidad recomendado</t>
        </is>
      </c>
    </row>
    <row r="13" ht="47" customHeight="1">
      <c r="A13" s="4" t="inlineStr">
        <is>
          <t>Control corpus menos históricos y nuevos</t>
        </is>
      </c>
      <c r="B13" s="38">
        <f>B2-B3-B4</f>
        <v/>
      </c>
      <c r="C13" s="4" t="inlineStr">
        <is>
          <t>Debe ser 0</t>
        </is>
      </c>
    </row>
    <row r="14" ht="47" customHeight="1">
      <c r="A14" s="4" t="inlineStr">
        <is>
          <t>Control 192 decisiones menos incluidos y excluidos</t>
        </is>
      </c>
      <c r="B14" s="38">
        <f>COUNTA('Decisiones_origen'!$A$2:$A$193)-B4-B5</f>
        <v/>
      </c>
      <c r="C14" s="4" t="inlineStr">
        <is>
          <t>Debe ser 0</t>
        </is>
      </c>
    </row>
    <row r="15" ht="47" customHeight="1">
      <c r="A15" s="4" t="inlineStr">
        <is>
          <t>¿Extracción RQ2 completa?</t>
        </is>
      </c>
      <c r="B15" s="4">
        <f>IF(B8=0,"SI: registrada; comprobar evidencia","NO: hay clasificaciones pendientes")</f>
        <v/>
      </c>
      <c r="C15" s="4" t="inlineStr">
        <is>
          <t>No confundir cobertura con calidad de la evidencia</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I455"/>
  <sheetViews>
    <sheetView showGridLines="0" workbookViewId="0">
      <selection activeCell="A1" sqref="A1"/>
    </sheetView>
  </sheetViews>
  <sheetFormatPr baseColWidth="8" defaultRowHeight="15"/>
  <cols>
    <col width="14" customWidth="1" min="1" max="1"/>
    <col width="55" customWidth="1" min="2" max="2"/>
    <col width="28" customWidth="1" min="3" max="3"/>
    <col width="20" customWidth="1" min="4" max="4"/>
    <col width="65" customWidth="1" min="5" max="5"/>
    <col width="20" customWidth="1" min="6" max="6"/>
    <col width="28" customWidth="1" min="7" max="7"/>
    <col width="76" customWidth="1" min="8" max="8"/>
    <col width="44" customWidth="1" min="9" max="9"/>
  </cols>
  <sheetData>
    <row r="1" ht="52" customHeight="1">
      <c r="A1" s="6" t="inlineStr">
        <is>
          <t>study_id</t>
        </is>
      </c>
      <c r="B1" s="6" t="inlineStr">
        <is>
          <t>title</t>
        </is>
      </c>
      <c r="C1" s="6" t="inlineStr">
        <is>
          <t>priority</t>
        </is>
      </c>
      <c r="D1" s="6" t="inlineStr">
        <is>
          <t>rq2_classification</t>
        </is>
      </c>
      <c r="E1" s="6" t="inlineStr">
        <is>
          <t>rq1_detail</t>
        </is>
      </c>
      <c r="F1" s="6" t="inlineStr">
        <is>
          <t>historical_fulltext_flag</t>
        </is>
      </c>
      <c r="G1" s="6" t="inlineStr">
        <is>
          <t>verification_record</t>
        </is>
      </c>
      <c r="H1" s="6" t="inlineStr">
        <is>
          <t>next_action</t>
        </is>
      </c>
      <c r="I1" s="6" t="inlineStr">
        <is>
          <t>source_url</t>
        </is>
      </c>
    </row>
    <row r="2" ht="64" customHeight="1">
      <c r="A2" s="4" t="inlineStr">
        <is>
          <t>1</t>
        </is>
      </c>
      <c r="B2" s="4" t="inlineStr">
        <is>
          <t>A Clinically Interpretable Approach for Early Detection of Autism Using Machine Learning With Explainable AI</t>
        </is>
      </c>
      <c r="C2" s="4">
        <f>IF(IF(COUNTIFS('ESTUDIOS'!$A$2:$A$455,$A2,'ESTUDIOS'!$I$2:$I$455,"")&gt;0,"",INDEX('ESTUDIOS'!$I$2:$I$455,MATCH($A2,'ESTUDIOS'!$A$2:$A$455,0)))=1,"1 - Integrity",IF(OR(IF(COUNTIFS('RQ2'!$A$2:$A$455,$A2,'RQ2'!$D$2:$D$455,"")&gt;0,"",INDEX('RQ2'!$D$2:$D$455,MATCH($A2,'RQ2'!$A$2:$A$455,0)))="",IF(COUNTIFS('RQ2'!$A$2:$A$455,$A2,'RQ2'!$E$2:$E$455,"")&gt;0,"",INDEX('RQ2'!$E$2:$E$455,MATCH($A2,'RQ2'!$A$2:$A$455,0)))=""),"2 - RQ2 historical","3 - Verify recorded evidence"))</f>
        <v/>
      </c>
      <c r="D2" s="4">
        <f>IF(OR(IF(COUNTIFS('RQ2'!$A$2:$A$455,$A2,'RQ2'!$D$2:$D$455,"")&gt;0,"",INDEX('RQ2'!$D$2:$D$455,MATCH($A2,'RQ2'!$A$2:$A$455,0)))="",IF(COUNTIFS('RQ2'!$A$2:$A$455,$A2,'RQ2'!$E$2:$E$455,"")&gt;0,"",INDEX('RQ2'!$E$2:$E$455,MATCH($A2,'RQ2'!$A$2:$A$455,0)))=""),"PENDIENTE","REGISTRADA")</f>
        <v/>
      </c>
      <c r="E2" s="4">
        <f>IF(IF(COUNTIFS('RQ1'!$A$2:$A$455,$A2,'RQ1'!$N$2:$N$455,"")&gt;0,"",INDEX('RQ1'!$N$2:$N$455,MATCH($A2,'RQ1'!$A$2:$A$455,0)))=1,"REVISAR DETALLE","REGISTRADA")</f>
        <v/>
      </c>
      <c r="F2" s="4">
        <f>IF(IF(COUNTIFS('RQ3'!$A$2:$A$455,$A2,'RQ3'!$P$2:$P$455,"")&gt;0,"",INDEX('RQ3'!$P$2:$P$455,MATCH($A2,'RQ3'!$A$2:$A$455,0)))="","NO REGISTRADO",IF(IF(COUNTIFS('RQ3'!$A$2:$A$455,$A2,'RQ3'!$P$2:$P$455,"")&gt;0,"",INDEX('RQ3'!$P$2:$P$455,MATCH($A2,'RQ3'!$A$2:$A$455,0)))=1,"MARCA ACTIVA","SIN MARCA"))</f>
        <v/>
      </c>
      <c r="G2" s="4">
        <f>IF(IF(COUNTIFS('ESTUDIOS'!$A$2:$A$455,$A2,'ESTUDIOS'!$N$2:$N$455,"")&gt;0,"",INDEX('ESTUDIOS'!$N$2:$N$455,MATCH($A2,'ESTUDIOS'!$A$2:$A$455,0)))="Verified","DOCUMENTADA","NO DOCUMENTADA")</f>
        <v/>
      </c>
      <c r="H2" s="4">
        <f>IF(D2="PENDIENTE","Leer evidencia ya extraída; registrar uso propuesto o evaluado, función, fuente y revisor en RQ2.","Comprobar evidencia y cautelas registradas; documentar verificación sin recodificar lo ya respaldado.")</f>
        <v/>
      </c>
      <c r="I2" s="4" t="inlineStr">
        <is>
          <t>https://doi.org/10.1109/access.2025.3586314</t>
        </is>
      </c>
    </row>
    <row r="3" ht="64" customHeight="1">
      <c r="A3" s="4" t="inlineStr">
        <is>
          <t>2</t>
        </is>
      </c>
      <c r="B3" s="4" t="inlineStr">
        <is>
          <t>Searching for a minimal set of behaviors for autism detection through feature selection-based machine learning</t>
        </is>
      </c>
      <c r="C3" s="4">
        <f>IF(IF(COUNTIFS('ESTUDIOS'!$A$2:$A$455,$A3,'ESTUDIOS'!$I$2:$I$455,"")&gt;0,"",INDEX('ESTUDIOS'!$I$2:$I$455,MATCH($A3,'ESTUDIOS'!$A$2:$A$455,0)))=1,"1 - Integrity",IF(OR(IF(COUNTIFS('RQ2'!$A$2:$A$455,$A3,'RQ2'!$D$2:$D$455,"")&gt;0,"",INDEX('RQ2'!$D$2:$D$455,MATCH($A3,'RQ2'!$A$2:$A$455,0)))="",IF(COUNTIFS('RQ2'!$A$2:$A$455,$A3,'RQ2'!$E$2:$E$455,"")&gt;0,"",INDEX('RQ2'!$E$2:$E$455,MATCH($A3,'RQ2'!$A$2:$A$455,0)))=""),"2 - RQ2 historical","3 - Verify recorded evidence"))</f>
        <v/>
      </c>
      <c r="D3" s="4">
        <f>IF(OR(IF(COUNTIFS('RQ2'!$A$2:$A$455,$A3,'RQ2'!$D$2:$D$455,"")&gt;0,"",INDEX('RQ2'!$D$2:$D$455,MATCH($A3,'RQ2'!$A$2:$A$455,0)))="",IF(COUNTIFS('RQ2'!$A$2:$A$455,$A3,'RQ2'!$E$2:$E$455,"")&gt;0,"",INDEX('RQ2'!$E$2:$E$455,MATCH($A3,'RQ2'!$A$2:$A$455,0)))=""),"PENDIENTE","REGISTRADA")</f>
        <v/>
      </c>
      <c r="E3" s="4">
        <f>IF(IF(COUNTIFS('RQ1'!$A$2:$A$455,$A3,'RQ1'!$N$2:$N$455,"")&gt;0,"",INDEX('RQ1'!$N$2:$N$455,MATCH($A3,'RQ1'!$A$2:$A$455,0)))=1,"REVISAR DETALLE","REGISTRADA")</f>
        <v/>
      </c>
      <c r="F3" s="4">
        <f>IF(IF(COUNTIFS('RQ3'!$A$2:$A$455,$A3,'RQ3'!$P$2:$P$455,"")&gt;0,"",INDEX('RQ3'!$P$2:$P$455,MATCH($A3,'RQ3'!$A$2:$A$455,0)))="","NO REGISTRADO",IF(IF(COUNTIFS('RQ3'!$A$2:$A$455,$A3,'RQ3'!$P$2:$P$455,"")&gt;0,"",INDEX('RQ3'!$P$2:$P$455,MATCH($A3,'RQ3'!$A$2:$A$455,0)))=1,"MARCA ACTIVA","SIN MARCA"))</f>
        <v/>
      </c>
      <c r="G3" s="4">
        <f>IF(IF(COUNTIFS('ESTUDIOS'!$A$2:$A$455,$A3,'ESTUDIOS'!$N$2:$N$455,"")&gt;0,"",INDEX('ESTUDIOS'!$N$2:$N$455,MATCH($A3,'ESTUDIOS'!$A$2:$A$455,0)))="Verified","DOCUMENTADA","NO DOCUMENTADA")</f>
        <v/>
      </c>
      <c r="H3" s="4">
        <f>IF(D3="PENDIENTE","Leer evidencia ya extraída; registrar uso propuesto o evaluado, función, fuente y revisor en RQ2.","Comprobar evidencia y cautelas registradas; documentar verificación sin recodificar lo ya respaldado.")</f>
        <v/>
      </c>
      <c r="I3" s="4" t="inlineStr">
        <is>
          <t>https://doi.org/10.1038/tp.2015.7</t>
        </is>
      </c>
    </row>
    <row r="4" ht="64" customHeight="1">
      <c r="A4" s="4" t="inlineStr">
        <is>
          <t>3</t>
        </is>
      </c>
      <c r="B4" s="4" t="inlineStr">
        <is>
          <t>The use of data independent acquisition based proteomic analysis and machine learning to reveal potential biomarkers for autism spectrum disorder</t>
        </is>
      </c>
      <c r="C4" s="4">
        <f>IF(IF(COUNTIFS('ESTUDIOS'!$A$2:$A$455,$A4,'ESTUDIOS'!$I$2:$I$455,"")&gt;0,"",INDEX('ESTUDIOS'!$I$2:$I$455,MATCH($A4,'ESTUDIOS'!$A$2:$A$455,0)))=1,"1 - Integrity",IF(OR(IF(COUNTIFS('RQ2'!$A$2:$A$455,$A4,'RQ2'!$D$2:$D$455,"")&gt;0,"",INDEX('RQ2'!$D$2:$D$455,MATCH($A4,'RQ2'!$A$2:$A$455,0)))="",IF(COUNTIFS('RQ2'!$A$2:$A$455,$A4,'RQ2'!$E$2:$E$455,"")&gt;0,"",INDEX('RQ2'!$E$2:$E$455,MATCH($A4,'RQ2'!$A$2:$A$455,0)))=""),"2 - RQ2 historical","3 - Verify recorded evidence"))</f>
        <v/>
      </c>
      <c r="D4" s="4">
        <f>IF(OR(IF(COUNTIFS('RQ2'!$A$2:$A$455,$A4,'RQ2'!$D$2:$D$455,"")&gt;0,"",INDEX('RQ2'!$D$2:$D$455,MATCH($A4,'RQ2'!$A$2:$A$455,0)))="",IF(COUNTIFS('RQ2'!$A$2:$A$455,$A4,'RQ2'!$E$2:$E$455,"")&gt;0,"",INDEX('RQ2'!$E$2:$E$455,MATCH($A4,'RQ2'!$A$2:$A$455,0)))=""),"PENDIENTE","REGISTRADA")</f>
        <v/>
      </c>
      <c r="E4" s="4">
        <f>IF(IF(COUNTIFS('RQ1'!$A$2:$A$455,$A4,'RQ1'!$N$2:$N$455,"")&gt;0,"",INDEX('RQ1'!$N$2:$N$455,MATCH($A4,'RQ1'!$A$2:$A$455,0)))=1,"REVISAR DETALLE","REGISTRADA")</f>
        <v/>
      </c>
      <c r="F4" s="4">
        <f>IF(IF(COUNTIFS('RQ3'!$A$2:$A$455,$A4,'RQ3'!$P$2:$P$455,"")&gt;0,"",INDEX('RQ3'!$P$2:$P$455,MATCH($A4,'RQ3'!$A$2:$A$455,0)))="","NO REGISTRADO",IF(IF(COUNTIFS('RQ3'!$A$2:$A$455,$A4,'RQ3'!$P$2:$P$455,"")&gt;0,"",INDEX('RQ3'!$P$2:$P$455,MATCH($A4,'RQ3'!$A$2:$A$455,0)))=1,"MARCA ACTIVA","SIN MARCA"))</f>
        <v/>
      </c>
      <c r="G4" s="4">
        <f>IF(IF(COUNTIFS('ESTUDIOS'!$A$2:$A$455,$A4,'ESTUDIOS'!$N$2:$N$455,"")&gt;0,"",INDEX('ESTUDIOS'!$N$2:$N$455,MATCH($A4,'ESTUDIOS'!$A$2:$A$455,0)))="Verified","DOCUMENTADA","NO DOCUMENTADA")</f>
        <v/>
      </c>
      <c r="H4" s="4">
        <f>IF(D4="PENDIENTE","Leer evidencia ya extraída; registrar uso propuesto o evaluado, función, fuente y revisor en RQ2.","Comprobar evidencia y cautelas registradas; documentar verificación sin recodificar lo ya respaldado.")</f>
        <v/>
      </c>
      <c r="I4" s="4" t="inlineStr">
        <is>
          <t>https://doi.org/10.1016/j.jprot.2023.104872</t>
        </is>
      </c>
    </row>
    <row r="5" ht="64" customHeight="1">
      <c r="A5" s="4" t="inlineStr">
        <is>
          <t>4</t>
        </is>
      </c>
      <c r="B5" s="4" t="inlineStr">
        <is>
          <t>Cognitive Disorder Detection Used for Early Autism Screening Using Deep Learning</t>
        </is>
      </c>
      <c r="C5" s="4">
        <f>IF(IF(COUNTIFS('ESTUDIOS'!$A$2:$A$455,$A5,'ESTUDIOS'!$I$2:$I$455,"")&gt;0,"",INDEX('ESTUDIOS'!$I$2:$I$455,MATCH($A5,'ESTUDIOS'!$A$2:$A$455,0)))=1,"1 - Integrity",IF(OR(IF(COUNTIFS('RQ2'!$A$2:$A$455,$A5,'RQ2'!$D$2:$D$455,"")&gt;0,"",INDEX('RQ2'!$D$2:$D$455,MATCH($A5,'RQ2'!$A$2:$A$455,0)))="",IF(COUNTIFS('RQ2'!$A$2:$A$455,$A5,'RQ2'!$E$2:$E$455,"")&gt;0,"",INDEX('RQ2'!$E$2:$E$455,MATCH($A5,'RQ2'!$A$2:$A$455,0)))=""),"2 - RQ2 historical","3 - Verify recorded evidence"))</f>
        <v/>
      </c>
      <c r="D5" s="4">
        <f>IF(OR(IF(COUNTIFS('RQ2'!$A$2:$A$455,$A5,'RQ2'!$D$2:$D$455,"")&gt;0,"",INDEX('RQ2'!$D$2:$D$455,MATCH($A5,'RQ2'!$A$2:$A$455,0)))="",IF(COUNTIFS('RQ2'!$A$2:$A$455,$A5,'RQ2'!$E$2:$E$455,"")&gt;0,"",INDEX('RQ2'!$E$2:$E$455,MATCH($A5,'RQ2'!$A$2:$A$455,0)))=""),"PENDIENTE","REGISTRADA")</f>
        <v/>
      </c>
      <c r="E5" s="4">
        <f>IF(IF(COUNTIFS('RQ1'!$A$2:$A$455,$A5,'RQ1'!$N$2:$N$455,"")&gt;0,"",INDEX('RQ1'!$N$2:$N$455,MATCH($A5,'RQ1'!$A$2:$A$455,0)))=1,"REVISAR DETALLE","REGISTRADA")</f>
        <v/>
      </c>
      <c r="F5" s="4">
        <f>IF(IF(COUNTIFS('RQ3'!$A$2:$A$455,$A5,'RQ3'!$P$2:$P$455,"")&gt;0,"",INDEX('RQ3'!$P$2:$P$455,MATCH($A5,'RQ3'!$A$2:$A$455,0)))="","NO REGISTRADO",IF(IF(COUNTIFS('RQ3'!$A$2:$A$455,$A5,'RQ3'!$P$2:$P$455,"")&gt;0,"",INDEX('RQ3'!$P$2:$P$455,MATCH($A5,'RQ3'!$A$2:$A$455,0)))=1,"MARCA ACTIVA","SIN MARCA"))</f>
        <v/>
      </c>
      <c r="G5" s="4">
        <f>IF(IF(COUNTIFS('ESTUDIOS'!$A$2:$A$455,$A5,'ESTUDIOS'!$N$2:$N$455,"")&gt;0,"",INDEX('ESTUDIOS'!$N$2:$N$455,MATCH($A5,'ESTUDIOS'!$A$2:$A$455,0)))="Verified","DOCUMENTADA","NO DOCUMENTADA")</f>
        <v/>
      </c>
      <c r="H5" s="4">
        <f>IF(D5="PENDIENTE","Leer evidencia ya extraída; registrar uso propuesto o evaluado, función, fuente y revisor en RQ2.","Comprobar evidencia y cautelas registradas; documentar verificación sin recodificar lo ya respaldado.")</f>
        <v/>
      </c>
      <c r="I5" s="4" t="inlineStr">
        <is>
          <t>https://doi.org/10.1007/978-981-96-3942-7_18</t>
        </is>
      </c>
    </row>
    <row r="6" ht="64" customHeight="1">
      <c r="A6" s="4" t="inlineStr">
        <is>
          <t>5</t>
        </is>
      </c>
      <c r="B6" s="4" t="inlineStr">
        <is>
          <t>Metabolomics as a tool for discovery of biomarkers of autism spectrum disorder in the blood plasma of children</t>
        </is>
      </c>
      <c r="C6" s="4">
        <f>IF(IF(COUNTIFS('ESTUDIOS'!$A$2:$A$455,$A6,'ESTUDIOS'!$I$2:$I$455,"")&gt;0,"",INDEX('ESTUDIOS'!$I$2:$I$455,MATCH($A6,'ESTUDIOS'!$A$2:$A$455,0)))=1,"1 - Integrity",IF(OR(IF(COUNTIFS('RQ2'!$A$2:$A$455,$A6,'RQ2'!$D$2:$D$455,"")&gt;0,"",INDEX('RQ2'!$D$2:$D$455,MATCH($A6,'RQ2'!$A$2:$A$455,0)))="",IF(COUNTIFS('RQ2'!$A$2:$A$455,$A6,'RQ2'!$E$2:$E$455,"")&gt;0,"",INDEX('RQ2'!$E$2:$E$455,MATCH($A6,'RQ2'!$A$2:$A$455,0)))=""),"2 - RQ2 historical","3 - Verify recorded evidence"))</f>
        <v/>
      </c>
      <c r="D6" s="4">
        <f>IF(OR(IF(COUNTIFS('RQ2'!$A$2:$A$455,$A6,'RQ2'!$D$2:$D$455,"")&gt;0,"",INDEX('RQ2'!$D$2:$D$455,MATCH($A6,'RQ2'!$A$2:$A$455,0)))="",IF(COUNTIFS('RQ2'!$A$2:$A$455,$A6,'RQ2'!$E$2:$E$455,"")&gt;0,"",INDEX('RQ2'!$E$2:$E$455,MATCH($A6,'RQ2'!$A$2:$A$455,0)))=""),"PENDIENTE","REGISTRADA")</f>
        <v/>
      </c>
      <c r="E6" s="4">
        <f>IF(IF(COUNTIFS('RQ1'!$A$2:$A$455,$A6,'RQ1'!$N$2:$N$455,"")&gt;0,"",INDEX('RQ1'!$N$2:$N$455,MATCH($A6,'RQ1'!$A$2:$A$455,0)))=1,"REVISAR DETALLE","REGISTRADA")</f>
        <v/>
      </c>
      <c r="F6" s="4">
        <f>IF(IF(COUNTIFS('RQ3'!$A$2:$A$455,$A6,'RQ3'!$P$2:$P$455,"")&gt;0,"",INDEX('RQ3'!$P$2:$P$455,MATCH($A6,'RQ3'!$A$2:$A$455,0)))="","NO REGISTRADO",IF(IF(COUNTIFS('RQ3'!$A$2:$A$455,$A6,'RQ3'!$P$2:$P$455,"")&gt;0,"",INDEX('RQ3'!$P$2:$P$455,MATCH($A6,'RQ3'!$A$2:$A$455,0)))=1,"MARCA ACTIVA","SIN MARCA"))</f>
        <v/>
      </c>
      <c r="G6" s="4">
        <f>IF(IF(COUNTIFS('ESTUDIOS'!$A$2:$A$455,$A6,'ESTUDIOS'!$N$2:$N$455,"")&gt;0,"",INDEX('ESTUDIOS'!$N$2:$N$455,MATCH($A6,'ESTUDIOS'!$A$2:$A$455,0)))="Verified","DOCUMENTADA","NO DOCUMENTADA")</f>
        <v/>
      </c>
      <c r="H6" s="4">
        <f>IF(D6="PENDIENTE","Leer evidencia ya extraída; registrar uso propuesto o evaluado, función, fuente y revisor en RQ2.","Comprobar evidencia y cautelas registradas; documentar verificación sin recodificar lo ya respaldado.")</f>
        <v/>
      </c>
      <c r="I6" s="4" t="inlineStr">
        <is>
          <t>https://doi.org/10.1371/journal.pone.0112445</t>
        </is>
      </c>
    </row>
    <row r="7" ht="64" customHeight="1">
      <c r="A7" s="4" t="inlineStr">
        <is>
          <t>6</t>
        </is>
      </c>
      <c r="B7" s="4" t="inlineStr">
        <is>
          <t>Sparsifying machine learning models identify stable subsets of predictive features for behavioral detection of autism</t>
        </is>
      </c>
      <c r="C7" s="4">
        <f>IF(IF(COUNTIFS('ESTUDIOS'!$A$2:$A$455,$A7,'ESTUDIOS'!$I$2:$I$455,"")&gt;0,"",INDEX('ESTUDIOS'!$I$2:$I$455,MATCH($A7,'ESTUDIOS'!$A$2:$A$455,0)))=1,"1 - Integrity",IF(OR(IF(COUNTIFS('RQ2'!$A$2:$A$455,$A7,'RQ2'!$D$2:$D$455,"")&gt;0,"",INDEX('RQ2'!$D$2:$D$455,MATCH($A7,'RQ2'!$A$2:$A$455,0)))="",IF(COUNTIFS('RQ2'!$A$2:$A$455,$A7,'RQ2'!$E$2:$E$455,"")&gt;0,"",INDEX('RQ2'!$E$2:$E$455,MATCH($A7,'RQ2'!$A$2:$A$455,0)))=""),"2 - RQ2 historical","3 - Verify recorded evidence"))</f>
        <v/>
      </c>
      <c r="D7" s="4">
        <f>IF(OR(IF(COUNTIFS('RQ2'!$A$2:$A$455,$A7,'RQ2'!$D$2:$D$455,"")&gt;0,"",INDEX('RQ2'!$D$2:$D$455,MATCH($A7,'RQ2'!$A$2:$A$455,0)))="",IF(COUNTIFS('RQ2'!$A$2:$A$455,$A7,'RQ2'!$E$2:$E$455,"")&gt;0,"",INDEX('RQ2'!$E$2:$E$455,MATCH($A7,'RQ2'!$A$2:$A$455,0)))=""),"PENDIENTE","REGISTRADA")</f>
        <v/>
      </c>
      <c r="E7" s="4">
        <f>IF(IF(COUNTIFS('RQ1'!$A$2:$A$455,$A7,'RQ1'!$N$2:$N$455,"")&gt;0,"",INDEX('RQ1'!$N$2:$N$455,MATCH($A7,'RQ1'!$A$2:$A$455,0)))=1,"REVISAR DETALLE","REGISTRADA")</f>
        <v/>
      </c>
      <c r="F7" s="4">
        <f>IF(IF(COUNTIFS('RQ3'!$A$2:$A$455,$A7,'RQ3'!$P$2:$P$455,"")&gt;0,"",INDEX('RQ3'!$P$2:$P$455,MATCH($A7,'RQ3'!$A$2:$A$455,0)))="","NO REGISTRADO",IF(IF(COUNTIFS('RQ3'!$A$2:$A$455,$A7,'RQ3'!$P$2:$P$455,"")&gt;0,"",INDEX('RQ3'!$P$2:$P$455,MATCH($A7,'RQ3'!$A$2:$A$455,0)))=1,"MARCA ACTIVA","SIN MARCA"))</f>
        <v/>
      </c>
      <c r="G7" s="4">
        <f>IF(IF(COUNTIFS('ESTUDIOS'!$A$2:$A$455,$A7,'ESTUDIOS'!$N$2:$N$455,"")&gt;0,"",INDEX('ESTUDIOS'!$N$2:$N$455,MATCH($A7,'ESTUDIOS'!$A$2:$A$455,0)))="Verified","DOCUMENTADA","NO DOCUMENTADA")</f>
        <v/>
      </c>
      <c r="H7" s="4">
        <f>IF(D7="PENDIENTE","Leer evidencia ya extraída; registrar uso propuesto o evaluado, función, fuente y revisor en RQ2.","Comprobar evidencia y cautelas registradas; documentar verificación sin recodificar lo ya respaldado.")</f>
        <v/>
      </c>
      <c r="I7" s="4" t="inlineStr">
        <is>
          <t>https://doi.org/10.1186/s13229-017-0180-6</t>
        </is>
      </c>
    </row>
    <row r="8" ht="64" customHeight="1">
      <c r="A8" s="4" t="inlineStr">
        <is>
          <t>7</t>
        </is>
      </c>
      <c r="B8" s="4" t="inlineStr">
        <is>
          <t>Transformer-based deep learning ensemble framework predicts autism spectrum disorder using health administrative and birth registry data</t>
        </is>
      </c>
      <c r="C8" s="4">
        <f>IF(IF(COUNTIFS('ESTUDIOS'!$A$2:$A$455,$A8,'ESTUDIOS'!$I$2:$I$455,"")&gt;0,"",INDEX('ESTUDIOS'!$I$2:$I$455,MATCH($A8,'ESTUDIOS'!$A$2:$A$455,0)))=1,"1 - Integrity",IF(OR(IF(COUNTIFS('RQ2'!$A$2:$A$455,$A8,'RQ2'!$D$2:$D$455,"")&gt;0,"",INDEX('RQ2'!$D$2:$D$455,MATCH($A8,'RQ2'!$A$2:$A$455,0)))="",IF(COUNTIFS('RQ2'!$A$2:$A$455,$A8,'RQ2'!$E$2:$E$455,"")&gt;0,"",INDEX('RQ2'!$E$2:$E$455,MATCH($A8,'RQ2'!$A$2:$A$455,0)))=""),"2 - RQ2 historical","3 - Verify recorded evidence"))</f>
        <v/>
      </c>
      <c r="D8" s="4">
        <f>IF(OR(IF(COUNTIFS('RQ2'!$A$2:$A$455,$A8,'RQ2'!$D$2:$D$455,"")&gt;0,"",INDEX('RQ2'!$D$2:$D$455,MATCH($A8,'RQ2'!$A$2:$A$455,0)))="",IF(COUNTIFS('RQ2'!$A$2:$A$455,$A8,'RQ2'!$E$2:$E$455,"")&gt;0,"",INDEX('RQ2'!$E$2:$E$455,MATCH($A8,'RQ2'!$A$2:$A$455,0)))=""),"PENDIENTE","REGISTRADA")</f>
        <v/>
      </c>
      <c r="E8" s="4">
        <f>IF(IF(COUNTIFS('RQ1'!$A$2:$A$455,$A8,'RQ1'!$N$2:$N$455,"")&gt;0,"",INDEX('RQ1'!$N$2:$N$455,MATCH($A8,'RQ1'!$A$2:$A$455,0)))=1,"REVISAR DETALLE","REGISTRADA")</f>
        <v/>
      </c>
      <c r="F8" s="4">
        <f>IF(IF(COUNTIFS('RQ3'!$A$2:$A$455,$A8,'RQ3'!$P$2:$P$455,"")&gt;0,"",INDEX('RQ3'!$P$2:$P$455,MATCH($A8,'RQ3'!$A$2:$A$455,0)))="","NO REGISTRADO",IF(IF(COUNTIFS('RQ3'!$A$2:$A$455,$A8,'RQ3'!$P$2:$P$455,"")&gt;0,"",INDEX('RQ3'!$P$2:$P$455,MATCH($A8,'RQ3'!$A$2:$A$455,0)))=1,"MARCA ACTIVA","SIN MARCA"))</f>
        <v/>
      </c>
      <c r="G8" s="4">
        <f>IF(IF(COUNTIFS('ESTUDIOS'!$A$2:$A$455,$A8,'ESTUDIOS'!$N$2:$N$455,"")&gt;0,"",INDEX('ESTUDIOS'!$N$2:$N$455,MATCH($A8,'ESTUDIOS'!$A$2:$A$455,0)))="Verified","DOCUMENTADA","NO DOCUMENTADA")</f>
        <v/>
      </c>
      <c r="H8" s="4">
        <f>IF(D8="PENDIENTE","Leer evidencia ya extraída; registrar uso propuesto o evaluado, función, fuente y revisor en RQ2.","Comprobar evidencia y cautelas registradas; documentar verificación sin recodificar lo ya respaldado.")</f>
        <v/>
      </c>
      <c r="I8" s="4" t="inlineStr">
        <is>
          <t>https://doi.org/10.1038/s41598-025-90216-8</t>
        </is>
      </c>
    </row>
    <row r="9" ht="64" customHeight="1">
      <c r="A9" s="4" t="inlineStr">
        <is>
          <t>8</t>
        </is>
      </c>
      <c r="B9" s="4" t="inlineStr">
        <is>
          <t>A Closed-Loop Ear-Worn Wearable EEG System with Real-Time Passive Electrode Skin Impedance Measurement for Early Autism Detection †</t>
        </is>
      </c>
      <c r="C9" s="4">
        <f>IF(IF(COUNTIFS('ESTUDIOS'!$A$2:$A$455,$A9,'ESTUDIOS'!$I$2:$I$455,"")&gt;0,"",INDEX('ESTUDIOS'!$I$2:$I$455,MATCH($A9,'ESTUDIOS'!$A$2:$A$455,0)))=1,"1 - Integrity",IF(OR(IF(COUNTIFS('RQ2'!$A$2:$A$455,$A9,'RQ2'!$D$2:$D$455,"")&gt;0,"",INDEX('RQ2'!$D$2:$D$455,MATCH($A9,'RQ2'!$A$2:$A$455,0)))="",IF(COUNTIFS('RQ2'!$A$2:$A$455,$A9,'RQ2'!$E$2:$E$455,"")&gt;0,"",INDEX('RQ2'!$E$2:$E$455,MATCH($A9,'RQ2'!$A$2:$A$455,0)))=""),"2 - RQ2 historical","3 - Verify recorded evidence"))</f>
        <v/>
      </c>
      <c r="D9" s="4">
        <f>IF(OR(IF(COUNTIFS('RQ2'!$A$2:$A$455,$A9,'RQ2'!$D$2:$D$455,"")&gt;0,"",INDEX('RQ2'!$D$2:$D$455,MATCH($A9,'RQ2'!$A$2:$A$455,0)))="",IF(COUNTIFS('RQ2'!$A$2:$A$455,$A9,'RQ2'!$E$2:$E$455,"")&gt;0,"",INDEX('RQ2'!$E$2:$E$455,MATCH($A9,'RQ2'!$A$2:$A$455,0)))=""),"PENDIENTE","REGISTRADA")</f>
        <v/>
      </c>
      <c r="E9" s="4">
        <f>IF(IF(COUNTIFS('RQ1'!$A$2:$A$455,$A9,'RQ1'!$N$2:$N$455,"")&gt;0,"",INDEX('RQ1'!$N$2:$N$455,MATCH($A9,'RQ1'!$A$2:$A$455,0)))=1,"REVISAR DETALLE","REGISTRADA")</f>
        <v/>
      </c>
      <c r="F9" s="4">
        <f>IF(IF(COUNTIFS('RQ3'!$A$2:$A$455,$A9,'RQ3'!$P$2:$P$455,"")&gt;0,"",INDEX('RQ3'!$P$2:$P$455,MATCH($A9,'RQ3'!$A$2:$A$455,0)))="","NO REGISTRADO",IF(IF(COUNTIFS('RQ3'!$A$2:$A$455,$A9,'RQ3'!$P$2:$P$455,"")&gt;0,"",INDEX('RQ3'!$P$2:$P$455,MATCH($A9,'RQ3'!$A$2:$A$455,0)))=1,"MARCA ACTIVA","SIN MARCA"))</f>
        <v/>
      </c>
      <c r="G9" s="4">
        <f>IF(IF(COUNTIFS('ESTUDIOS'!$A$2:$A$455,$A9,'ESTUDIOS'!$N$2:$N$455,"")&gt;0,"",INDEX('ESTUDIOS'!$N$2:$N$455,MATCH($A9,'ESTUDIOS'!$A$2:$A$455,0)))="Verified","DOCUMENTADA","NO DOCUMENTADA")</f>
        <v/>
      </c>
      <c r="H9" s="4">
        <f>IF(D9="PENDIENTE","Leer evidencia ya extraída; registrar uso propuesto o evaluado, función, fuente y revisor en RQ2.","Comprobar evidencia y cautelas registradas; documentar verificación sin recodificar lo ya respaldado.")</f>
        <v/>
      </c>
      <c r="I9" s="4" t="inlineStr">
        <is>
          <t>https://doi.org/10.3390/s24237489</t>
        </is>
      </c>
    </row>
    <row r="10" ht="64" customHeight="1">
      <c r="A10" s="4" t="inlineStr">
        <is>
          <t>9</t>
        </is>
      </c>
      <c r="B10" s="4" t="inlineStr">
        <is>
          <t>An automated assessment framework for atypical prosody and stereotyped idiosyncratic phrases related to autism spectrum disorder</t>
        </is>
      </c>
      <c r="C10" s="4">
        <f>IF(IF(COUNTIFS('ESTUDIOS'!$A$2:$A$455,$A10,'ESTUDIOS'!$I$2:$I$455,"")&gt;0,"",INDEX('ESTUDIOS'!$I$2:$I$455,MATCH($A10,'ESTUDIOS'!$A$2:$A$455,0)))=1,"1 - Integrity",IF(OR(IF(COUNTIFS('RQ2'!$A$2:$A$455,$A10,'RQ2'!$D$2:$D$455,"")&gt;0,"",INDEX('RQ2'!$D$2:$D$455,MATCH($A10,'RQ2'!$A$2:$A$455,0)))="",IF(COUNTIFS('RQ2'!$A$2:$A$455,$A10,'RQ2'!$E$2:$E$455,"")&gt;0,"",INDEX('RQ2'!$E$2:$E$455,MATCH($A10,'RQ2'!$A$2:$A$455,0)))=""),"2 - RQ2 historical","3 - Verify recorded evidence"))</f>
        <v/>
      </c>
      <c r="D10" s="4">
        <f>IF(OR(IF(COUNTIFS('RQ2'!$A$2:$A$455,$A10,'RQ2'!$D$2:$D$455,"")&gt;0,"",INDEX('RQ2'!$D$2:$D$455,MATCH($A10,'RQ2'!$A$2:$A$455,0)))="",IF(COUNTIFS('RQ2'!$A$2:$A$455,$A10,'RQ2'!$E$2:$E$455,"")&gt;0,"",INDEX('RQ2'!$E$2:$E$455,MATCH($A10,'RQ2'!$A$2:$A$455,0)))=""),"PENDIENTE","REGISTRADA")</f>
        <v/>
      </c>
      <c r="E10" s="4">
        <f>IF(IF(COUNTIFS('RQ1'!$A$2:$A$455,$A10,'RQ1'!$N$2:$N$455,"")&gt;0,"",INDEX('RQ1'!$N$2:$N$455,MATCH($A10,'RQ1'!$A$2:$A$455,0)))=1,"REVISAR DETALLE","REGISTRADA")</f>
        <v/>
      </c>
      <c r="F10" s="4">
        <f>IF(IF(COUNTIFS('RQ3'!$A$2:$A$455,$A10,'RQ3'!$P$2:$P$455,"")&gt;0,"",INDEX('RQ3'!$P$2:$P$455,MATCH($A10,'RQ3'!$A$2:$A$455,0)))="","NO REGISTRADO",IF(IF(COUNTIFS('RQ3'!$A$2:$A$455,$A10,'RQ3'!$P$2:$P$455,"")&gt;0,"",INDEX('RQ3'!$P$2:$P$455,MATCH($A10,'RQ3'!$A$2:$A$455,0)))=1,"MARCA ACTIVA","SIN MARCA"))</f>
        <v/>
      </c>
      <c r="G10" s="4">
        <f>IF(IF(COUNTIFS('ESTUDIOS'!$A$2:$A$455,$A10,'ESTUDIOS'!$N$2:$N$455,"")&gt;0,"",INDEX('ESTUDIOS'!$N$2:$N$455,MATCH($A10,'ESTUDIOS'!$A$2:$A$455,0)))="Verified","DOCUMENTADA","NO DOCUMENTADA")</f>
        <v/>
      </c>
      <c r="H10" s="4">
        <f>IF(D10="PENDIENTE","Leer evidencia ya extraída; registrar uso propuesto o evaluado, función, fuente y revisor en RQ2.","Comprobar evidencia y cautelas registradas; documentar verificación sin recodificar lo ya respaldado.")</f>
        <v/>
      </c>
      <c r="I10" s="4" t="inlineStr">
        <is>
          <t>https://doi.org/10.1016/j.csl.2018.11.002</t>
        </is>
      </c>
    </row>
    <row r="11" ht="64" customHeight="1">
      <c r="A11" s="4" t="inlineStr">
        <is>
          <t>10</t>
        </is>
      </c>
      <c r="B11" s="4" t="inlineStr">
        <is>
          <t>Artificial Intelligence Driven Predictive Analysis of Acoustic and Linguistic Behaviors for ASD Identification</t>
        </is>
      </c>
      <c r="C11" s="4">
        <f>IF(IF(COUNTIFS('ESTUDIOS'!$A$2:$A$455,$A11,'ESTUDIOS'!$I$2:$I$455,"")&gt;0,"",INDEX('ESTUDIOS'!$I$2:$I$455,MATCH($A11,'ESTUDIOS'!$A$2:$A$455,0)))=1,"1 - Integrity",IF(OR(IF(COUNTIFS('RQ2'!$A$2:$A$455,$A11,'RQ2'!$D$2:$D$455,"")&gt;0,"",INDEX('RQ2'!$D$2:$D$455,MATCH($A11,'RQ2'!$A$2:$A$455,0)))="",IF(COUNTIFS('RQ2'!$A$2:$A$455,$A11,'RQ2'!$E$2:$E$455,"")&gt;0,"",INDEX('RQ2'!$E$2:$E$455,MATCH($A11,'RQ2'!$A$2:$A$455,0)))=""),"2 - RQ2 historical","3 - Verify recorded evidence"))</f>
        <v/>
      </c>
      <c r="D11" s="4">
        <f>IF(OR(IF(COUNTIFS('RQ2'!$A$2:$A$455,$A11,'RQ2'!$D$2:$D$455,"")&gt;0,"",INDEX('RQ2'!$D$2:$D$455,MATCH($A11,'RQ2'!$A$2:$A$455,0)))="",IF(COUNTIFS('RQ2'!$A$2:$A$455,$A11,'RQ2'!$E$2:$E$455,"")&gt;0,"",INDEX('RQ2'!$E$2:$E$455,MATCH($A11,'RQ2'!$A$2:$A$455,0)))=""),"PENDIENTE","REGISTRADA")</f>
        <v/>
      </c>
      <c r="E11" s="4">
        <f>IF(IF(COUNTIFS('RQ1'!$A$2:$A$455,$A11,'RQ1'!$N$2:$N$455,"")&gt;0,"",INDEX('RQ1'!$N$2:$N$455,MATCH($A11,'RQ1'!$A$2:$A$455,0)))=1,"REVISAR DETALLE","REGISTRADA")</f>
        <v/>
      </c>
      <c r="F11" s="4">
        <f>IF(IF(COUNTIFS('RQ3'!$A$2:$A$455,$A11,'RQ3'!$P$2:$P$455,"")&gt;0,"",INDEX('RQ3'!$P$2:$P$455,MATCH($A11,'RQ3'!$A$2:$A$455,0)))="","NO REGISTRADO",IF(IF(COUNTIFS('RQ3'!$A$2:$A$455,$A11,'RQ3'!$P$2:$P$455,"")&gt;0,"",INDEX('RQ3'!$P$2:$P$455,MATCH($A11,'RQ3'!$A$2:$A$455,0)))=1,"MARCA ACTIVA","SIN MARCA"))</f>
        <v/>
      </c>
      <c r="G11" s="4">
        <f>IF(IF(COUNTIFS('ESTUDIOS'!$A$2:$A$455,$A11,'ESTUDIOS'!$N$2:$N$455,"")&gt;0,"",INDEX('ESTUDIOS'!$N$2:$N$455,MATCH($A11,'ESTUDIOS'!$A$2:$A$455,0)))="Verified","DOCUMENTADA","NO DOCUMENTADA")</f>
        <v/>
      </c>
      <c r="H11" s="4">
        <f>IF(D11="PENDIENTE","Leer evidencia ya extraída; registrar uso propuesto o evaluado, función, fuente y revisor en RQ2.","Comprobar evidencia y cautelas registradas; documentar verificación sin recodificar lo ya respaldado.")</f>
        <v/>
      </c>
      <c r="I11" s="4" t="inlineStr">
        <is>
          <t>https://doi.org/10.1109/tai.2024.3439288</t>
        </is>
      </c>
    </row>
    <row r="12" ht="64" customHeight="1">
      <c r="A12" s="4" t="inlineStr">
        <is>
          <t>11</t>
        </is>
      </c>
      <c r="B12" s="4" t="inlineStr">
        <is>
          <t>Data Mining-Based Model for Computer-Aided Diagnosis of Autism and Gelotophobia: Mixed Methods Deep Learning Approach.</t>
        </is>
      </c>
      <c r="C12" s="4">
        <f>IF(IF(COUNTIFS('ESTUDIOS'!$A$2:$A$455,$A12,'ESTUDIOS'!$I$2:$I$455,"")&gt;0,"",INDEX('ESTUDIOS'!$I$2:$I$455,MATCH($A12,'ESTUDIOS'!$A$2:$A$455,0)))=1,"1 - Integrity",IF(OR(IF(COUNTIFS('RQ2'!$A$2:$A$455,$A12,'RQ2'!$D$2:$D$455,"")&gt;0,"",INDEX('RQ2'!$D$2:$D$455,MATCH($A12,'RQ2'!$A$2:$A$455,0)))="",IF(COUNTIFS('RQ2'!$A$2:$A$455,$A12,'RQ2'!$E$2:$E$455,"")&gt;0,"",INDEX('RQ2'!$E$2:$E$455,MATCH($A12,'RQ2'!$A$2:$A$455,0)))=""),"2 - RQ2 historical","3 - Verify recorded evidence"))</f>
        <v/>
      </c>
      <c r="D12" s="4">
        <f>IF(OR(IF(COUNTIFS('RQ2'!$A$2:$A$455,$A12,'RQ2'!$D$2:$D$455,"")&gt;0,"",INDEX('RQ2'!$D$2:$D$455,MATCH($A12,'RQ2'!$A$2:$A$455,0)))="",IF(COUNTIFS('RQ2'!$A$2:$A$455,$A12,'RQ2'!$E$2:$E$455,"")&gt;0,"",INDEX('RQ2'!$E$2:$E$455,MATCH($A12,'RQ2'!$A$2:$A$455,0)))=""),"PENDIENTE","REGISTRADA")</f>
        <v/>
      </c>
      <c r="E12" s="4">
        <f>IF(IF(COUNTIFS('RQ1'!$A$2:$A$455,$A12,'RQ1'!$N$2:$N$455,"")&gt;0,"",INDEX('RQ1'!$N$2:$N$455,MATCH($A12,'RQ1'!$A$2:$A$455,0)))=1,"REVISAR DETALLE","REGISTRADA")</f>
        <v/>
      </c>
      <c r="F12" s="4">
        <f>IF(IF(COUNTIFS('RQ3'!$A$2:$A$455,$A12,'RQ3'!$P$2:$P$455,"")&gt;0,"",INDEX('RQ3'!$P$2:$P$455,MATCH($A12,'RQ3'!$A$2:$A$455,0)))="","NO REGISTRADO",IF(IF(COUNTIFS('RQ3'!$A$2:$A$455,$A12,'RQ3'!$P$2:$P$455,"")&gt;0,"",INDEX('RQ3'!$P$2:$P$455,MATCH($A12,'RQ3'!$A$2:$A$455,0)))=1,"MARCA ACTIVA","SIN MARCA"))</f>
        <v/>
      </c>
      <c r="G12" s="4">
        <f>IF(IF(COUNTIFS('ESTUDIOS'!$A$2:$A$455,$A12,'ESTUDIOS'!$N$2:$N$455,"")&gt;0,"",INDEX('ESTUDIOS'!$N$2:$N$455,MATCH($A12,'ESTUDIOS'!$A$2:$A$455,0)))="Verified","DOCUMENTADA","NO DOCUMENTADA")</f>
        <v/>
      </c>
      <c r="H12" s="4">
        <f>IF(D12="PENDIENTE","Leer evidencia ya extraída; registrar uso propuesto o evaluado, función, fuente y revisor en RQ2.","Comprobar evidencia y cautelas registradas; documentar verificación sin recodificar lo ya respaldado.")</f>
        <v/>
      </c>
      <c r="I12" s="4" t="inlineStr">
        <is>
          <t>https://doi.org/10.2196/72115</t>
        </is>
      </c>
    </row>
    <row r="13" ht="64" customHeight="1">
      <c r="A13" s="4" t="inlineStr">
        <is>
          <t>12</t>
        </is>
      </c>
      <c r="B13" s="4" t="inlineStr">
        <is>
          <t>Effect of Wearable Digital Intervention for Improving Socialization in Children with Autism Spectrum Disorder: A Randomized Clinical Trial</t>
        </is>
      </c>
      <c r="C13" s="4">
        <f>IF(IF(COUNTIFS('ESTUDIOS'!$A$2:$A$455,$A13,'ESTUDIOS'!$I$2:$I$455,"")&gt;0,"",INDEX('ESTUDIOS'!$I$2:$I$455,MATCH($A13,'ESTUDIOS'!$A$2:$A$455,0)))=1,"1 - Integrity",IF(OR(IF(COUNTIFS('RQ2'!$A$2:$A$455,$A13,'RQ2'!$D$2:$D$455,"")&gt;0,"",INDEX('RQ2'!$D$2:$D$455,MATCH($A13,'RQ2'!$A$2:$A$455,0)))="",IF(COUNTIFS('RQ2'!$A$2:$A$455,$A13,'RQ2'!$E$2:$E$455,"")&gt;0,"",INDEX('RQ2'!$E$2:$E$455,MATCH($A13,'RQ2'!$A$2:$A$455,0)))=""),"2 - RQ2 historical","3 - Verify recorded evidence"))</f>
        <v/>
      </c>
      <c r="D13" s="4">
        <f>IF(OR(IF(COUNTIFS('RQ2'!$A$2:$A$455,$A13,'RQ2'!$D$2:$D$455,"")&gt;0,"",INDEX('RQ2'!$D$2:$D$455,MATCH($A13,'RQ2'!$A$2:$A$455,0)))="",IF(COUNTIFS('RQ2'!$A$2:$A$455,$A13,'RQ2'!$E$2:$E$455,"")&gt;0,"",INDEX('RQ2'!$E$2:$E$455,MATCH($A13,'RQ2'!$A$2:$A$455,0)))=""),"PENDIENTE","REGISTRADA")</f>
        <v/>
      </c>
      <c r="E13" s="4">
        <f>IF(IF(COUNTIFS('RQ1'!$A$2:$A$455,$A13,'RQ1'!$N$2:$N$455,"")&gt;0,"",INDEX('RQ1'!$N$2:$N$455,MATCH($A13,'RQ1'!$A$2:$A$455,0)))=1,"REVISAR DETALLE","REGISTRADA")</f>
        <v/>
      </c>
      <c r="F13" s="4">
        <f>IF(IF(COUNTIFS('RQ3'!$A$2:$A$455,$A13,'RQ3'!$P$2:$P$455,"")&gt;0,"",INDEX('RQ3'!$P$2:$P$455,MATCH($A13,'RQ3'!$A$2:$A$455,0)))="","NO REGISTRADO",IF(IF(COUNTIFS('RQ3'!$A$2:$A$455,$A13,'RQ3'!$P$2:$P$455,"")&gt;0,"",INDEX('RQ3'!$P$2:$P$455,MATCH($A13,'RQ3'!$A$2:$A$455,0)))=1,"MARCA ACTIVA","SIN MARCA"))</f>
        <v/>
      </c>
      <c r="G13" s="4">
        <f>IF(IF(COUNTIFS('ESTUDIOS'!$A$2:$A$455,$A13,'ESTUDIOS'!$N$2:$N$455,"")&gt;0,"",INDEX('ESTUDIOS'!$N$2:$N$455,MATCH($A13,'ESTUDIOS'!$A$2:$A$455,0)))="Verified","DOCUMENTADA","NO DOCUMENTADA")</f>
        <v/>
      </c>
      <c r="H13" s="4">
        <f>IF(D13="PENDIENTE","Leer evidencia ya extraída; registrar uso propuesto o evaluado, función, fuente y revisor en RQ2.","Comprobar evidencia y cautelas registradas; documentar verificación sin recodificar lo ya respaldado.")</f>
        <v/>
      </c>
      <c r="I13" s="4" t="inlineStr">
        <is>
          <t>https://doi.org/10.1001/jamapediatrics.2019.0285</t>
        </is>
      </c>
    </row>
    <row r="14" ht="64" customHeight="1">
      <c r="A14" s="4" t="inlineStr">
        <is>
          <t>13</t>
        </is>
      </c>
      <c r="B14" s="4" t="inlineStr">
        <is>
          <t>Feature Signature Discovery for Autism Detection: An Automated Machine Learning Based Feature Ranking Framework</t>
        </is>
      </c>
      <c r="C14" s="4">
        <f>IF(IF(COUNTIFS('ESTUDIOS'!$A$2:$A$455,$A14,'ESTUDIOS'!$I$2:$I$455,"")&gt;0,"",INDEX('ESTUDIOS'!$I$2:$I$455,MATCH($A14,'ESTUDIOS'!$A$2:$A$455,0)))=1,"1 - Integrity",IF(OR(IF(COUNTIFS('RQ2'!$A$2:$A$455,$A14,'RQ2'!$D$2:$D$455,"")&gt;0,"",INDEX('RQ2'!$D$2:$D$455,MATCH($A14,'RQ2'!$A$2:$A$455,0)))="",IF(COUNTIFS('RQ2'!$A$2:$A$455,$A14,'RQ2'!$E$2:$E$455,"")&gt;0,"",INDEX('RQ2'!$E$2:$E$455,MATCH($A14,'RQ2'!$A$2:$A$455,0)))=""),"2 - RQ2 historical","3 - Verify recorded evidence"))</f>
        <v/>
      </c>
      <c r="D14" s="4">
        <f>IF(OR(IF(COUNTIFS('RQ2'!$A$2:$A$455,$A14,'RQ2'!$D$2:$D$455,"")&gt;0,"",INDEX('RQ2'!$D$2:$D$455,MATCH($A14,'RQ2'!$A$2:$A$455,0)))="",IF(COUNTIFS('RQ2'!$A$2:$A$455,$A14,'RQ2'!$E$2:$E$455,"")&gt;0,"",INDEX('RQ2'!$E$2:$E$455,MATCH($A14,'RQ2'!$A$2:$A$455,0)))=""),"PENDIENTE","REGISTRADA")</f>
        <v/>
      </c>
      <c r="E14" s="4">
        <f>IF(IF(COUNTIFS('RQ1'!$A$2:$A$455,$A14,'RQ1'!$N$2:$N$455,"")&gt;0,"",INDEX('RQ1'!$N$2:$N$455,MATCH($A14,'RQ1'!$A$2:$A$455,0)))=1,"REVISAR DETALLE","REGISTRADA")</f>
        <v/>
      </c>
      <c r="F14" s="4">
        <f>IF(IF(COUNTIFS('RQ3'!$A$2:$A$455,$A14,'RQ3'!$P$2:$P$455,"")&gt;0,"",INDEX('RQ3'!$P$2:$P$455,MATCH($A14,'RQ3'!$A$2:$A$455,0)))="","NO REGISTRADO",IF(IF(COUNTIFS('RQ3'!$A$2:$A$455,$A14,'RQ3'!$P$2:$P$455,"")&gt;0,"",INDEX('RQ3'!$P$2:$P$455,MATCH($A14,'RQ3'!$A$2:$A$455,0)))=1,"MARCA ACTIVA","SIN MARCA"))</f>
        <v/>
      </c>
      <c r="G14" s="4">
        <f>IF(IF(COUNTIFS('ESTUDIOS'!$A$2:$A$455,$A14,'ESTUDIOS'!$N$2:$N$455,"")&gt;0,"",INDEX('ESTUDIOS'!$N$2:$N$455,MATCH($A14,'ESTUDIOS'!$A$2:$A$455,0)))="Verified","DOCUMENTADA","NO DOCUMENTADA")</f>
        <v/>
      </c>
      <c r="H14" s="4">
        <f>IF(D14="PENDIENTE","Leer evidencia ya extraída; registrar uso propuesto o evaluado, función, fuente y revisor en RQ2.","Comprobar evidencia y cautelas registradas; documentar verificación sin recodificar lo ya respaldado.")</f>
        <v/>
      </c>
      <c r="I14" s="4" t="inlineStr">
        <is>
          <t>https://doi.org/10.1155/2023/6330002</t>
        </is>
      </c>
    </row>
    <row r="15" ht="64" customHeight="1">
      <c r="A15" s="4" t="inlineStr">
        <is>
          <t>14</t>
        </is>
      </c>
      <c r="B15" s="4" t="inlineStr">
        <is>
          <t>Functional neuroimaging of high-risk 6-month-old infants predicts a diagnosis of autism at 24 months of age</t>
        </is>
      </c>
      <c r="C15" s="4">
        <f>IF(IF(COUNTIFS('ESTUDIOS'!$A$2:$A$455,$A15,'ESTUDIOS'!$I$2:$I$455,"")&gt;0,"",INDEX('ESTUDIOS'!$I$2:$I$455,MATCH($A15,'ESTUDIOS'!$A$2:$A$455,0)))=1,"1 - Integrity",IF(OR(IF(COUNTIFS('RQ2'!$A$2:$A$455,$A15,'RQ2'!$D$2:$D$455,"")&gt;0,"",INDEX('RQ2'!$D$2:$D$455,MATCH($A15,'RQ2'!$A$2:$A$455,0)))="",IF(COUNTIFS('RQ2'!$A$2:$A$455,$A15,'RQ2'!$E$2:$E$455,"")&gt;0,"",INDEX('RQ2'!$E$2:$E$455,MATCH($A15,'RQ2'!$A$2:$A$455,0)))=""),"2 - RQ2 historical","3 - Verify recorded evidence"))</f>
        <v/>
      </c>
      <c r="D15" s="4">
        <f>IF(OR(IF(COUNTIFS('RQ2'!$A$2:$A$455,$A15,'RQ2'!$D$2:$D$455,"")&gt;0,"",INDEX('RQ2'!$D$2:$D$455,MATCH($A15,'RQ2'!$A$2:$A$455,0)))="",IF(COUNTIFS('RQ2'!$A$2:$A$455,$A15,'RQ2'!$E$2:$E$455,"")&gt;0,"",INDEX('RQ2'!$E$2:$E$455,MATCH($A15,'RQ2'!$A$2:$A$455,0)))=""),"PENDIENTE","REGISTRADA")</f>
        <v/>
      </c>
      <c r="E15" s="4">
        <f>IF(IF(COUNTIFS('RQ1'!$A$2:$A$455,$A15,'RQ1'!$N$2:$N$455,"")&gt;0,"",INDEX('RQ1'!$N$2:$N$455,MATCH($A15,'RQ1'!$A$2:$A$455,0)))=1,"REVISAR DETALLE","REGISTRADA")</f>
        <v/>
      </c>
      <c r="F15" s="4">
        <f>IF(IF(COUNTIFS('RQ3'!$A$2:$A$455,$A15,'RQ3'!$P$2:$P$455,"")&gt;0,"",INDEX('RQ3'!$P$2:$P$455,MATCH($A15,'RQ3'!$A$2:$A$455,0)))="","NO REGISTRADO",IF(IF(COUNTIFS('RQ3'!$A$2:$A$455,$A15,'RQ3'!$P$2:$P$455,"")&gt;0,"",INDEX('RQ3'!$P$2:$P$455,MATCH($A15,'RQ3'!$A$2:$A$455,0)))=1,"MARCA ACTIVA","SIN MARCA"))</f>
        <v/>
      </c>
      <c r="G15" s="4">
        <f>IF(IF(COUNTIFS('ESTUDIOS'!$A$2:$A$455,$A15,'ESTUDIOS'!$N$2:$N$455,"")&gt;0,"",INDEX('ESTUDIOS'!$N$2:$N$455,MATCH($A15,'ESTUDIOS'!$A$2:$A$455,0)))="Verified","DOCUMENTADA","NO DOCUMENTADA")</f>
        <v/>
      </c>
      <c r="H15" s="4">
        <f>IF(D15="PENDIENTE","Leer evidencia ya extraída; registrar uso propuesto o evaluado, función, fuente y revisor en RQ2.","Comprobar evidencia y cautelas registradas; documentar verificación sin recodificar lo ya respaldado.")</f>
        <v/>
      </c>
      <c r="I15" s="4" t="inlineStr">
        <is>
          <t>https://doi.org/10.1126/scitranslmed.aag2882</t>
        </is>
      </c>
    </row>
    <row r="16" ht="64" customHeight="1">
      <c r="A16" s="4" t="inlineStr">
        <is>
          <t>15</t>
        </is>
      </c>
      <c r="B16" s="4" t="inlineStr">
        <is>
          <t>Hybrid CNN and random forest model with late fusion for detection of autism spectrum disorder in Toddlers</t>
        </is>
      </c>
      <c r="C16" s="4">
        <f>IF(IF(COUNTIFS('ESTUDIOS'!$A$2:$A$455,$A16,'ESTUDIOS'!$I$2:$I$455,"")&gt;0,"",INDEX('ESTUDIOS'!$I$2:$I$455,MATCH($A16,'ESTUDIOS'!$A$2:$A$455,0)))=1,"1 - Integrity",IF(OR(IF(COUNTIFS('RQ2'!$A$2:$A$455,$A16,'RQ2'!$D$2:$D$455,"")&gt;0,"",INDEX('RQ2'!$D$2:$D$455,MATCH($A16,'RQ2'!$A$2:$A$455,0)))="",IF(COUNTIFS('RQ2'!$A$2:$A$455,$A16,'RQ2'!$E$2:$E$455,"")&gt;0,"",INDEX('RQ2'!$E$2:$E$455,MATCH($A16,'RQ2'!$A$2:$A$455,0)))=""),"2 - RQ2 historical","3 - Verify recorded evidence"))</f>
        <v/>
      </c>
      <c r="D16" s="4">
        <f>IF(OR(IF(COUNTIFS('RQ2'!$A$2:$A$455,$A16,'RQ2'!$D$2:$D$455,"")&gt;0,"",INDEX('RQ2'!$D$2:$D$455,MATCH($A16,'RQ2'!$A$2:$A$455,0)))="",IF(COUNTIFS('RQ2'!$A$2:$A$455,$A16,'RQ2'!$E$2:$E$455,"")&gt;0,"",INDEX('RQ2'!$E$2:$E$455,MATCH($A16,'RQ2'!$A$2:$A$455,0)))=""),"PENDIENTE","REGISTRADA")</f>
        <v/>
      </c>
      <c r="E16" s="4">
        <f>IF(IF(COUNTIFS('RQ1'!$A$2:$A$455,$A16,'RQ1'!$N$2:$N$455,"")&gt;0,"",INDEX('RQ1'!$N$2:$N$455,MATCH($A16,'RQ1'!$A$2:$A$455,0)))=1,"REVISAR DETALLE","REGISTRADA")</f>
        <v/>
      </c>
      <c r="F16" s="4">
        <f>IF(IF(COUNTIFS('RQ3'!$A$2:$A$455,$A16,'RQ3'!$P$2:$P$455,"")&gt;0,"",INDEX('RQ3'!$P$2:$P$455,MATCH($A16,'RQ3'!$A$2:$A$455,0)))="","NO REGISTRADO",IF(IF(COUNTIFS('RQ3'!$A$2:$A$455,$A16,'RQ3'!$P$2:$P$455,"")&gt;0,"",INDEX('RQ3'!$P$2:$P$455,MATCH($A16,'RQ3'!$A$2:$A$455,0)))=1,"MARCA ACTIVA","SIN MARCA"))</f>
        <v/>
      </c>
      <c r="G16" s="4">
        <f>IF(IF(COUNTIFS('ESTUDIOS'!$A$2:$A$455,$A16,'ESTUDIOS'!$N$2:$N$455,"")&gt;0,"",INDEX('ESTUDIOS'!$N$2:$N$455,MATCH($A16,'ESTUDIOS'!$A$2:$A$455,0)))="Verified","DOCUMENTADA","NO DOCUMENTADA")</f>
        <v/>
      </c>
      <c r="H16" s="4">
        <f>IF(D16="PENDIENTE","Leer evidencia ya extraída; registrar uso propuesto o evaluado, función, fuente y revisor en RQ2.","Comprobar evidencia y cautelas registradas; documentar verificación sin recodificar lo ya respaldado.")</f>
        <v/>
      </c>
      <c r="I16" s="4" t="inlineStr">
        <is>
          <t>https://doi.org/10.1016/j.mex.2025.103278</t>
        </is>
      </c>
    </row>
    <row r="17" ht="64" customHeight="1">
      <c r="A17" s="4" t="inlineStr">
        <is>
          <t>16</t>
        </is>
      </c>
      <c r="B17" s="4" t="inlineStr">
        <is>
          <t>Machine Learning Approaches for the Early Diagnosis of Autism Spectrum Disorder: A Systematic Framework</t>
        </is>
      </c>
      <c r="C17" s="4">
        <f>IF(IF(COUNTIFS('ESTUDIOS'!$A$2:$A$455,$A17,'ESTUDIOS'!$I$2:$I$455,"")&gt;0,"",INDEX('ESTUDIOS'!$I$2:$I$455,MATCH($A17,'ESTUDIOS'!$A$2:$A$455,0)))=1,"1 - Integrity",IF(OR(IF(COUNTIFS('RQ2'!$A$2:$A$455,$A17,'RQ2'!$D$2:$D$455,"")&gt;0,"",INDEX('RQ2'!$D$2:$D$455,MATCH($A17,'RQ2'!$A$2:$A$455,0)))="",IF(COUNTIFS('RQ2'!$A$2:$A$455,$A17,'RQ2'!$E$2:$E$455,"")&gt;0,"",INDEX('RQ2'!$E$2:$E$455,MATCH($A17,'RQ2'!$A$2:$A$455,0)))=""),"2 - RQ2 historical","3 - Verify recorded evidence"))</f>
        <v/>
      </c>
      <c r="D17" s="4">
        <f>IF(OR(IF(COUNTIFS('RQ2'!$A$2:$A$455,$A17,'RQ2'!$D$2:$D$455,"")&gt;0,"",INDEX('RQ2'!$D$2:$D$455,MATCH($A17,'RQ2'!$A$2:$A$455,0)))="",IF(COUNTIFS('RQ2'!$A$2:$A$455,$A17,'RQ2'!$E$2:$E$455,"")&gt;0,"",INDEX('RQ2'!$E$2:$E$455,MATCH($A17,'RQ2'!$A$2:$A$455,0)))=""),"PENDIENTE","REGISTRADA")</f>
        <v/>
      </c>
      <c r="E17" s="4">
        <f>IF(IF(COUNTIFS('RQ1'!$A$2:$A$455,$A17,'RQ1'!$N$2:$N$455,"")&gt;0,"",INDEX('RQ1'!$N$2:$N$455,MATCH($A17,'RQ1'!$A$2:$A$455,0)))=1,"REVISAR DETALLE","REGISTRADA")</f>
        <v/>
      </c>
      <c r="F17" s="4">
        <f>IF(IF(COUNTIFS('RQ3'!$A$2:$A$455,$A17,'RQ3'!$P$2:$P$455,"")&gt;0,"",INDEX('RQ3'!$P$2:$P$455,MATCH($A17,'RQ3'!$A$2:$A$455,0)))="","NO REGISTRADO",IF(IF(COUNTIFS('RQ3'!$A$2:$A$455,$A17,'RQ3'!$P$2:$P$455,"")&gt;0,"",INDEX('RQ3'!$P$2:$P$455,MATCH($A17,'RQ3'!$A$2:$A$455,0)))=1,"MARCA ACTIVA","SIN MARCA"))</f>
        <v/>
      </c>
      <c r="G17" s="4">
        <f>IF(IF(COUNTIFS('ESTUDIOS'!$A$2:$A$455,$A17,'ESTUDIOS'!$N$2:$N$455,"")&gt;0,"",INDEX('ESTUDIOS'!$N$2:$N$455,MATCH($A17,'ESTUDIOS'!$A$2:$A$455,0)))="Verified","DOCUMENTADA","NO DOCUMENTADA")</f>
        <v/>
      </c>
      <c r="H17" s="4">
        <f>IF(D17="PENDIENTE","Leer evidencia ya extraída; registrar uso propuesto o evaluado, función, fuente y revisor en RQ2.","Comprobar evidencia y cautelas registradas; documentar verificación sin recodificar lo ya respaldado.")</f>
        <v/>
      </c>
      <c r="I17" s="4" t="inlineStr">
        <is>
          <t>https://doi.org/10.1007/978-3-031-81083-1_7</t>
        </is>
      </c>
    </row>
    <row r="18" ht="64" customHeight="1">
      <c r="A18" s="4" t="inlineStr">
        <is>
          <t>17</t>
        </is>
      </c>
      <c r="B18" s="4" t="inlineStr">
        <is>
          <t>Machine learning classification of autism spectrum disorder based on reciprocity in naturalistic social interactions</t>
        </is>
      </c>
      <c r="C18" s="4">
        <f>IF(IF(COUNTIFS('ESTUDIOS'!$A$2:$A$455,$A18,'ESTUDIOS'!$I$2:$I$455,"")&gt;0,"",INDEX('ESTUDIOS'!$I$2:$I$455,MATCH($A18,'ESTUDIOS'!$A$2:$A$455,0)))=1,"1 - Integrity",IF(OR(IF(COUNTIFS('RQ2'!$A$2:$A$455,$A18,'RQ2'!$D$2:$D$455,"")&gt;0,"",INDEX('RQ2'!$D$2:$D$455,MATCH($A18,'RQ2'!$A$2:$A$455,0)))="",IF(COUNTIFS('RQ2'!$A$2:$A$455,$A18,'RQ2'!$E$2:$E$455,"")&gt;0,"",INDEX('RQ2'!$E$2:$E$455,MATCH($A18,'RQ2'!$A$2:$A$455,0)))=""),"2 - RQ2 historical","3 - Verify recorded evidence"))</f>
        <v/>
      </c>
      <c r="D18" s="4">
        <f>IF(OR(IF(COUNTIFS('RQ2'!$A$2:$A$455,$A18,'RQ2'!$D$2:$D$455,"")&gt;0,"",INDEX('RQ2'!$D$2:$D$455,MATCH($A18,'RQ2'!$A$2:$A$455,0)))="",IF(COUNTIFS('RQ2'!$A$2:$A$455,$A18,'RQ2'!$E$2:$E$455,"")&gt;0,"",INDEX('RQ2'!$E$2:$E$455,MATCH($A18,'RQ2'!$A$2:$A$455,0)))=""),"PENDIENTE","REGISTRADA")</f>
        <v/>
      </c>
      <c r="E18" s="4">
        <f>IF(IF(COUNTIFS('RQ1'!$A$2:$A$455,$A18,'RQ1'!$N$2:$N$455,"")&gt;0,"",INDEX('RQ1'!$N$2:$N$455,MATCH($A18,'RQ1'!$A$2:$A$455,0)))=1,"REVISAR DETALLE","REGISTRADA")</f>
        <v/>
      </c>
      <c r="F18" s="4">
        <f>IF(IF(COUNTIFS('RQ3'!$A$2:$A$455,$A18,'RQ3'!$P$2:$P$455,"")&gt;0,"",INDEX('RQ3'!$P$2:$P$455,MATCH($A18,'RQ3'!$A$2:$A$455,0)))="","NO REGISTRADO",IF(IF(COUNTIFS('RQ3'!$A$2:$A$455,$A18,'RQ3'!$P$2:$P$455,"")&gt;0,"",INDEX('RQ3'!$P$2:$P$455,MATCH($A18,'RQ3'!$A$2:$A$455,0)))=1,"MARCA ACTIVA","SIN MARCA"))</f>
        <v/>
      </c>
      <c r="G18" s="4">
        <f>IF(IF(COUNTIFS('ESTUDIOS'!$A$2:$A$455,$A18,'ESTUDIOS'!$N$2:$N$455,"")&gt;0,"",INDEX('ESTUDIOS'!$N$2:$N$455,MATCH($A18,'ESTUDIOS'!$A$2:$A$455,0)))="Verified","DOCUMENTADA","NO DOCUMENTADA")</f>
        <v/>
      </c>
      <c r="H18" s="4">
        <f>IF(D18="PENDIENTE","Leer evidencia ya extraída; registrar uso propuesto o evaluado, función, fuente y revisor en RQ2.","Comprobar evidencia y cautelas registradas; documentar verificación sin recodificar lo ya respaldado.")</f>
        <v/>
      </c>
      <c r="I18" s="4" t="inlineStr">
        <is>
          <t>https://doi.org/10.1038/s41398-024-02802-5</t>
        </is>
      </c>
    </row>
    <row r="19" ht="64" customHeight="1">
      <c r="A19" s="4" t="inlineStr">
        <is>
          <t>18</t>
        </is>
      </c>
      <c r="B19" s="4" t="inlineStr">
        <is>
          <t>Multiparametric MRI characterization and prediction in autism spectrum disorder using graph theory and machine learning</t>
        </is>
      </c>
      <c r="C19" s="4">
        <f>IF(IF(COUNTIFS('ESTUDIOS'!$A$2:$A$455,$A19,'ESTUDIOS'!$I$2:$I$455,"")&gt;0,"",INDEX('ESTUDIOS'!$I$2:$I$455,MATCH($A19,'ESTUDIOS'!$A$2:$A$455,0)))=1,"1 - Integrity",IF(OR(IF(COUNTIFS('RQ2'!$A$2:$A$455,$A19,'RQ2'!$D$2:$D$455,"")&gt;0,"",INDEX('RQ2'!$D$2:$D$455,MATCH($A19,'RQ2'!$A$2:$A$455,0)))="",IF(COUNTIFS('RQ2'!$A$2:$A$455,$A19,'RQ2'!$E$2:$E$455,"")&gt;0,"",INDEX('RQ2'!$E$2:$E$455,MATCH($A19,'RQ2'!$A$2:$A$455,0)))=""),"2 - RQ2 historical","3 - Verify recorded evidence"))</f>
        <v/>
      </c>
      <c r="D19" s="4">
        <f>IF(OR(IF(COUNTIFS('RQ2'!$A$2:$A$455,$A19,'RQ2'!$D$2:$D$455,"")&gt;0,"",INDEX('RQ2'!$D$2:$D$455,MATCH($A19,'RQ2'!$A$2:$A$455,0)))="",IF(COUNTIFS('RQ2'!$A$2:$A$455,$A19,'RQ2'!$E$2:$E$455,"")&gt;0,"",INDEX('RQ2'!$E$2:$E$455,MATCH($A19,'RQ2'!$A$2:$A$455,0)))=""),"PENDIENTE","REGISTRADA")</f>
        <v/>
      </c>
      <c r="E19" s="4">
        <f>IF(IF(COUNTIFS('RQ1'!$A$2:$A$455,$A19,'RQ1'!$N$2:$N$455,"")&gt;0,"",INDEX('RQ1'!$N$2:$N$455,MATCH($A19,'RQ1'!$A$2:$A$455,0)))=1,"REVISAR DETALLE","REGISTRADA")</f>
        <v/>
      </c>
      <c r="F19" s="4">
        <f>IF(IF(COUNTIFS('RQ3'!$A$2:$A$455,$A19,'RQ3'!$P$2:$P$455,"")&gt;0,"",INDEX('RQ3'!$P$2:$P$455,MATCH($A19,'RQ3'!$A$2:$A$455,0)))="","NO REGISTRADO",IF(IF(COUNTIFS('RQ3'!$A$2:$A$455,$A19,'RQ3'!$P$2:$P$455,"")&gt;0,"",INDEX('RQ3'!$P$2:$P$455,MATCH($A19,'RQ3'!$A$2:$A$455,0)))=1,"MARCA ACTIVA","SIN MARCA"))</f>
        <v/>
      </c>
      <c r="G19" s="4">
        <f>IF(IF(COUNTIFS('ESTUDIOS'!$A$2:$A$455,$A19,'ESTUDIOS'!$N$2:$N$455,"")&gt;0,"",INDEX('ESTUDIOS'!$N$2:$N$455,MATCH($A19,'ESTUDIOS'!$A$2:$A$455,0)))="Verified","DOCUMENTADA","NO DOCUMENTADA")</f>
        <v/>
      </c>
      <c r="H19" s="4">
        <f>IF(D19="PENDIENTE","Leer evidencia ya extraída; registrar uso propuesto o evaluado, función, fuente y revisor en RQ2.","Comprobar evidencia y cautelas registradas; documentar verificación sin recodificar lo ya respaldado.")</f>
        <v/>
      </c>
      <c r="I19" s="4" t="inlineStr">
        <is>
          <t>https://doi.org/10.1371/journal.pone.0090405</t>
        </is>
      </c>
    </row>
    <row r="20" ht="64" customHeight="1">
      <c r="A20" s="4" t="inlineStr">
        <is>
          <t>19</t>
        </is>
      </c>
      <c r="B20" s="4" t="inlineStr">
        <is>
          <t>Multivariate Neural Connectivity Patterns in Early Infancy Predict Later Autism Symptoms</t>
        </is>
      </c>
      <c r="C20" s="4">
        <f>IF(IF(COUNTIFS('ESTUDIOS'!$A$2:$A$455,$A20,'ESTUDIOS'!$I$2:$I$455,"")&gt;0,"",INDEX('ESTUDIOS'!$I$2:$I$455,MATCH($A20,'ESTUDIOS'!$A$2:$A$455,0)))=1,"1 - Integrity",IF(OR(IF(COUNTIFS('RQ2'!$A$2:$A$455,$A20,'RQ2'!$D$2:$D$455,"")&gt;0,"",INDEX('RQ2'!$D$2:$D$455,MATCH($A20,'RQ2'!$A$2:$A$455,0)))="",IF(COUNTIFS('RQ2'!$A$2:$A$455,$A20,'RQ2'!$E$2:$E$455,"")&gt;0,"",INDEX('RQ2'!$E$2:$E$455,MATCH($A20,'RQ2'!$A$2:$A$455,0)))=""),"2 - RQ2 historical","3 - Verify recorded evidence"))</f>
        <v/>
      </c>
      <c r="D20" s="4">
        <f>IF(OR(IF(COUNTIFS('RQ2'!$A$2:$A$455,$A20,'RQ2'!$D$2:$D$455,"")&gt;0,"",INDEX('RQ2'!$D$2:$D$455,MATCH($A20,'RQ2'!$A$2:$A$455,0)))="",IF(COUNTIFS('RQ2'!$A$2:$A$455,$A20,'RQ2'!$E$2:$E$455,"")&gt;0,"",INDEX('RQ2'!$E$2:$E$455,MATCH($A20,'RQ2'!$A$2:$A$455,0)))=""),"PENDIENTE","REGISTRADA")</f>
        <v/>
      </c>
      <c r="E20" s="4">
        <f>IF(IF(COUNTIFS('RQ1'!$A$2:$A$455,$A20,'RQ1'!$N$2:$N$455,"")&gt;0,"",INDEX('RQ1'!$N$2:$N$455,MATCH($A20,'RQ1'!$A$2:$A$455,0)))=1,"REVISAR DETALLE","REGISTRADA")</f>
        <v/>
      </c>
      <c r="F20" s="4">
        <f>IF(IF(COUNTIFS('RQ3'!$A$2:$A$455,$A20,'RQ3'!$P$2:$P$455,"")&gt;0,"",INDEX('RQ3'!$P$2:$P$455,MATCH($A20,'RQ3'!$A$2:$A$455,0)))="","NO REGISTRADO",IF(IF(COUNTIFS('RQ3'!$A$2:$A$455,$A20,'RQ3'!$P$2:$P$455,"")&gt;0,"",INDEX('RQ3'!$P$2:$P$455,MATCH($A20,'RQ3'!$A$2:$A$455,0)))=1,"MARCA ACTIVA","SIN MARCA"))</f>
        <v/>
      </c>
      <c r="G20" s="4">
        <f>IF(IF(COUNTIFS('ESTUDIOS'!$A$2:$A$455,$A20,'ESTUDIOS'!$N$2:$N$455,"")&gt;0,"",INDEX('ESTUDIOS'!$N$2:$N$455,MATCH($A20,'ESTUDIOS'!$A$2:$A$455,0)))="Verified","DOCUMENTADA","NO DOCUMENTADA")</f>
        <v/>
      </c>
      <c r="H20" s="4">
        <f>IF(D20="PENDIENTE","Leer evidencia ya extraída; registrar uso propuesto o evaluado, función, fuente y revisor en RQ2.","Comprobar evidencia y cautelas registradas; documentar verificación sin recodificar lo ya respaldado.")</f>
        <v/>
      </c>
      <c r="I20" s="4" t="inlineStr">
        <is>
          <t>https://doi.org/10.1016/j.bpsc.2020.06.003</t>
        </is>
      </c>
    </row>
    <row r="21" ht="64" customHeight="1">
      <c r="A21" s="4" t="inlineStr">
        <is>
          <t>20</t>
        </is>
      </c>
      <c r="B21" s="4" t="inlineStr">
        <is>
          <t>Testing the accuracy of an observation-based classifier for rapid detection of autism risk.</t>
        </is>
      </c>
      <c r="C21" s="4">
        <f>IF(IF(COUNTIFS('ESTUDIOS'!$A$2:$A$455,$A21,'ESTUDIOS'!$I$2:$I$455,"")&gt;0,"",INDEX('ESTUDIOS'!$I$2:$I$455,MATCH($A21,'ESTUDIOS'!$A$2:$A$455,0)))=1,"1 - Integrity",IF(OR(IF(COUNTIFS('RQ2'!$A$2:$A$455,$A21,'RQ2'!$D$2:$D$455,"")&gt;0,"",INDEX('RQ2'!$D$2:$D$455,MATCH($A21,'RQ2'!$A$2:$A$455,0)))="",IF(COUNTIFS('RQ2'!$A$2:$A$455,$A21,'RQ2'!$E$2:$E$455,"")&gt;0,"",INDEX('RQ2'!$E$2:$E$455,MATCH($A21,'RQ2'!$A$2:$A$455,0)))=""),"2 - RQ2 historical","3 - Verify recorded evidence"))</f>
        <v/>
      </c>
      <c r="D21" s="4">
        <f>IF(OR(IF(COUNTIFS('RQ2'!$A$2:$A$455,$A21,'RQ2'!$D$2:$D$455,"")&gt;0,"",INDEX('RQ2'!$D$2:$D$455,MATCH($A21,'RQ2'!$A$2:$A$455,0)))="",IF(COUNTIFS('RQ2'!$A$2:$A$455,$A21,'RQ2'!$E$2:$E$455,"")&gt;0,"",INDEX('RQ2'!$E$2:$E$455,MATCH($A21,'RQ2'!$A$2:$A$455,0)))=""),"PENDIENTE","REGISTRADA")</f>
        <v/>
      </c>
      <c r="E21" s="4">
        <f>IF(IF(COUNTIFS('RQ1'!$A$2:$A$455,$A21,'RQ1'!$N$2:$N$455,"")&gt;0,"",INDEX('RQ1'!$N$2:$N$455,MATCH($A21,'RQ1'!$A$2:$A$455,0)))=1,"REVISAR DETALLE","REGISTRADA")</f>
        <v/>
      </c>
      <c r="F21" s="4">
        <f>IF(IF(COUNTIFS('RQ3'!$A$2:$A$455,$A21,'RQ3'!$P$2:$P$455,"")&gt;0,"",INDEX('RQ3'!$P$2:$P$455,MATCH($A21,'RQ3'!$A$2:$A$455,0)))="","NO REGISTRADO",IF(IF(COUNTIFS('RQ3'!$A$2:$A$455,$A21,'RQ3'!$P$2:$P$455,"")&gt;0,"",INDEX('RQ3'!$P$2:$P$455,MATCH($A21,'RQ3'!$A$2:$A$455,0)))=1,"MARCA ACTIVA","SIN MARCA"))</f>
        <v/>
      </c>
      <c r="G21" s="4">
        <f>IF(IF(COUNTIFS('ESTUDIOS'!$A$2:$A$455,$A21,'ESTUDIOS'!$N$2:$N$455,"")&gt;0,"",INDEX('ESTUDIOS'!$N$2:$N$455,MATCH($A21,'ESTUDIOS'!$A$2:$A$455,0)))="Verified","DOCUMENTADA","NO DOCUMENTADA")</f>
        <v/>
      </c>
      <c r="H21" s="4">
        <f>IF(D21="PENDIENTE","Leer evidencia ya extraída; registrar uso propuesto o evaluado, función, fuente y revisor en RQ2.","Comprobar evidencia y cautelas registradas; documentar verificación sin recodificar lo ya respaldado.")</f>
        <v/>
      </c>
      <c r="I21" s="4" t="inlineStr">
        <is>
          <t>https://doi.org/10.1038/tp.2014.65</t>
        </is>
      </c>
    </row>
    <row r="22" ht="64" customHeight="1">
      <c r="A22" s="4" t="inlineStr">
        <is>
          <t>21</t>
        </is>
      </c>
      <c r="B22" s="4" t="inlineStr">
        <is>
          <t>Using deep learning to classify developmental differences in reaching and placing movements in children with and without autism spectrum disorder</t>
        </is>
      </c>
      <c r="C22" s="4">
        <f>IF(IF(COUNTIFS('ESTUDIOS'!$A$2:$A$455,$A22,'ESTUDIOS'!$I$2:$I$455,"")&gt;0,"",INDEX('ESTUDIOS'!$I$2:$I$455,MATCH($A22,'ESTUDIOS'!$A$2:$A$455,0)))=1,"1 - Integrity",IF(OR(IF(COUNTIFS('RQ2'!$A$2:$A$455,$A22,'RQ2'!$D$2:$D$455,"")&gt;0,"",INDEX('RQ2'!$D$2:$D$455,MATCH($A22,'RQ2'!$A$2:$A$455,0)))="",IF(COUNTIFS('RQ2'!$A$2:$A$455,$A22,'RQ2'!$E$2:$E$455,"")&gt;0,"",INDEX('RQ2'!$E$2:$E$455,MATCH($A22,'RQ2'!$A$2:$A$455,0)))=""),"2 - RQ2 historical","3 - Verify recorded evidence"))</f>
        <v/>
      </c>
      <c r="D22" s="4">
        <f>IF(OR(IF(COUNTIFS('RQ2'!$A$2:$A$455,$A22,'RQ2'!$D$2:$D$455,"")&gt;0,"",INDEX('RQ2'!$D$2:$D$455,MATCH($A22,'RQ2'!$A$2:$A$455,0)))="",IF(COUNTIFS('RQ2'!$A$2:$A$455,$A22,'RQ2'!$E$2:$E$455,"")&gt;0,"",INDEX('RQ2'!$E$2:$E$455,MATCH($A22,'RQ2'!$A$2:$A$455,0)))=""),"PENDIENTE","REGISTRADA")</f>
        <v/>
      </c>
      <c r="E22" s="4">
        <f>IF(IF(COUNTIFS('RQ1'!$A$2:$A$455,$A22,'RQ1'!$N$2:$N$455,"")&gt;0,"",INDEX('RQ1'!$N$2:$N$455,MATCH($A22,'RQ1'!$A$2:$A$455,0)))=1,"REVISAR DETALLE","REGISTRADA")</f>
        <v/>
      </c>
      <c r="F22" s="4">
        <f>IF(IF(COUNTIFS('RQ3'!$A$2:$A$455,$A22,'RQ3'!$P$2:$P$455,"")&gt;0,"",INDEX('RQ3'!$P$2:$P$455,MATCH($A22,'RQ3'!$A$2:$A$455,0)))="","NO REGISTRADO",IF(IF(COUNTIFS('RQ3'!$A$2:$A$455,$A22,'RQ3'!$P$2:$P$455,"")&gt;0,"",INDEX('RQ3'!$P$2:$P$455,MATCH($A22,'RQ3'!$A$2:$A$455,0)))=1,"MARCA ACTIVA","SIN MARCA"))</f>
        <v/>
      </c>
      <c r="G22" s="4">
        <f>IF(IF(COUNTIFS('ESTUDIOS'!$A$2:$A$455,$A22,'ESTUDIOS'!$N$2:$N$455,"")&gt;0,"",INDEX('ESTUDIOS'!$N$2:$N$455,MATCH($A22,'ESTUDIOS'!$A$2:$A$455,0)))="Verified","DOCUMENTADA","NO DOCUMENTADA")</f>
        <v/>
      </c>
      <c r="H22" s="4">
        <f>IF(D22="PENDIENTE","Leer evidencia ya extraída; registrar uso propuesto o evaluado, función, fuente y revisor en RQ2.","Comprobar evidencia y cautelas registradas; documentar verificación sin recodificar lo ya respaldado.")</f>
        <v/>
      </c>
      <c r="I22" s="4" t="inlineStr">
        <is>
          <t>https://doi.org/10.1038/s41598-024-81652-z</t>
        </is>
      </c>
    </row>
    <row r="23" ht="64" customHeight="1">
      <c r="A23" s="4" t="inlineStr">
        <is>
          <t>22</t>
        </is>
      </c>
      <c r="B23" s="4" t="inlineStr">
        <is>
          <t>A CNN deep local and global ASD classification approach with continuous wavelet transform using task-based FMRI</t>
        </is>
      </c>
      <c r="C23" s="4">
        <f>IF(IF(COUNTIFS('ESTUDIOS'!$A$2:$A$455,$A23,'ESTUDIOS'!$I$2:$I$455,"")&gt;0,"",INDEX('ESTUDIOS'!$I$2:$I$455,MATCH($A23,'ESTUDIOS'!$A$2:$A$455,0)))=1,"1 - Integrity",IF(OR(IF(COUNTIFS('RQ2'!$A$2:$A$455,$A23,'RQ2'!$D$2:$D$455,"")&gt;0,"",INDEX('RQ2'!$D$2:$D$455,MATCH($A23,'RQ2'!$A$2:$A$455,0)))="",IF(COUNTIFS('RQ2'!$A$2:$A$455,$A23,'RQ2'!$E$2:$E$455,"")&gt;0,"",INDEX('RQ2'!$E$2:$E$455,MATCH($A23,'RQ2'!$A$2:$A$455,0)))=""),"2 - RQ2 historical","3 - Verify recorded evidence"))</f>
        <v/>
      </c>
      <c r="D23" s="4">
        <f>IF(OR(IF(COUNTIFS('RQ2'!$A$2:$A$455,$A23,'RQ2'!$D$2:$D$455,"")&gt;0,"",INDEX('RQ2'!$D$2:$D$455,MATCH($A23,'RQ2'!$A$2:$A$455,0)))="",IF(COUNTIFS('RQ2'!$A$2:$A$455,$A23,'RQ2'!$E$2:$E$455,"")&gt;0,"",INDEX('RQ2'!$E$2:$E$455,MATCH($A23,'RQ2'!$A$2:$A$455,0)))=""),"PENDIENTE","REGISTRADA")</f>
        <v/>
      </c>
      <c r="E23" s="4">
        <f>IF(IF(COUNTIFS('RQ1'!$A$2:$A$455,$A23,'RQ1'!$N$2:$N$455,"")&gt;0,"",INDEX('RQ1'!$N$2:$N$455,MATCH($A23,'RQ1'!$A$2:$A$455,0)))=1,"REVISAR DETALLE","REGISTRADA")</f>
        <v/>
      </c>
      <c r="F23" s="4">
        <f>IF(IF(COUNTIFS('RQ3'!$A$2:$A$455,$A23,'RQ3'!$P$2:$P$455,"")&gt;0,"",INDEX('RQ3'!$P$2:$P$455,MATCH($A23,'RQ3'!$A$2:$A$455,0)))="","NO REGISTRADO",IF(IF(COUNTIFS('RQ3'!$A$2:$A$455,$A23,'RQ3'!$P$2:$P$455,"")&gt;0,"",INDEX('RQ3'!$P$2:$P$455,MATCH($A23,'RQ3'!$A$2:$A$455,0)))=1,"MARCA ACTIVA","SIN MARCA"))</f>
        <v/>
      </c>
      <c r="G23" s="4">
        <f>IF(IF(COUNTIFS('ESTUDIOS'!$A$2:$A$455,$A23,'ESTUDIOS'!$N$2:$N$455,"")&gt;0,"",INDEX('ESTUDIOS'!$N$2:$N$455,MATCH($A23,'ESTUDIOS'!$A$2:$A$455,0)))="Verified","DOCUMENTADA","NO DOCUMENTADA")</f>
        <v/>
      </c>
      <c r="H23" s="4">
        <f>IF(D23="PENDIENTE","Leer evidencia ya extraída; registrar uso propuesto o evaluado, función, fuente y revisor en RQ2.","Comprobar evidencia y cautelas registradas; documentar verificación sin recodificar lo ya respaldado.")</f>
        <v/>
      </c>
      <c r="I23" s="4" t="inlineStr">
        <is>
          <t>https://doi.org/10.3390/s21175822</t>
        </is>
      </c>
    </row>
    <row r="24" ht="64" customHeight="1">
      <c r="A24" s="4" t="inlineStr">
        <is>
          <t>23</t>
        </is>
      </c>
      <c r="B24" s="4" t="inlineStr">
        <is>
          <t>A new machine learning model based on induction of rules for autism detection</t>
        </is>
      </c>
      <c r="C24" s="4">
        <f>IF(IF(COUNTIFS('ESTUDIOS'!$A$2:$A$455,$A24,'ESTUDIOS'!$I$2:$I$455,"")&gt;0,"",INDEX('ESTUDIOS'!$I$2:$I$455,MATCH($A24,'ESTUDIOS'!$A$2:$A$455,0)))=1,"1 - Integrity",IF(OR(IF(COUNTIFS('RQ2'!$A$2:$A$455,$A24,'RQ2'!$D$2:$D$455,"")&gt;0,"",INDEX('RQ2'!$D$2:$D$455,MATCH($A24,'RQ2'!$A$2:$A$455,0)))="",IF(COUNTIFS('RQ2'!$A$2:$A$455,$A24,'RQ2'!$E$2:$E$455,"")&gt;0,"",INDEX('RQ2'!$E$2:$E$455,MATCH($A24,'RQ2'!$A$2:$A$455,0)))=""),"2 - RQ2 historical","3 - Verify recorded evidence"))</f>
        <v/>
      </c>
      <c r="D24" s="4">
        <f>IF(OR(IF(COUNTIFS('RQ2'!$A$2:$A$455,$A24,'RQ2'!$D$2:$D$455,"")&gt;0,"",INDEX('RQ2'!$D$2:$D$455,MATCH($A24,'RQ2'!$A$2:$A$455,0)))="",IF(COUNTIFS('RQ2'!$A$2:$A$455,$A24,'RQ2'!$E$2:$E$455,"")&gt;0,"",INDEX('RQ2'!$E$2:$E$455,MATCH($A24,'RQ2'!$A$2:$A$455,0)))=""),"PENDIENTE","REGISTRADA")</f>
        <v/>
      </c>
      <c r="E24" s="4">
        <f>IF(IF(COUNTIFS('RQ1'!$A$2:$A$455,$A24,'RQ1'!$N$2:$N$455,"")&gt;0,"",INDEX('RQ1'!$N$2:$N$455,MATCH($A24,'RQ1'!$A$2:$A$455,0)))=1,"REVISAR DETALLE","REGISTRADA")</f>
        <v/>
      </c>
      <c r="F24" s="4">
        <f>IF(IF(COUNTIFS('RQ3'!$A$2:$A$455,$A24,'RQ3'!$P$2:$P$455,"")&gt;0,"",INDEX('RQ3'!$P$2:$P$455,MATCH($A24,'RQ3'!$A$2:$A$455,0)))="","NO REGISTRADO",IF(IF(COUNTIFS('RQ3'!$A$2:$A$455,$A24,'RQ3'!$P$2:$P$455,"")&gt;0,"",INDEX('RQ3'!$P$2:$P$455,MATCH($A24,'RQ3'!$A$2:$A$455,0)))=1,"MARCA ACTIVA","SIN MARCA"))</f>
        <v/>
      </c>
      <c r="G24" s="4">
        <f>IF(IF(COUNTIFS('ESTUDIOS'!$A$2:$A$455,$A24,'ESTUDIOS'!$N$2:$N$455,"")&gt;0,"",INDEX('ESTUDIOS'!$N$2:$N$455,MATCH($A24,'ESTUDIOS'!$A$2:$A$455,0)))="Verified","DOCUMENTADA","NO DOCUMENTADA")</f>
        <v/>
      </c>
      <c r="H24" s="4">
        <f>IF(D24="PENDIENTE","Leer evidencia ya extraída; registrar uso propuesto o evaluado, función, fuente y revisor en RQ2.","Comprobar evidencia y cautelas registradas; documentar verificación sin recodificar lo ya respaldado.")</f>
        <v/>
      </c>
      <c r="I24" s="4" t="inlineStr">
        <is>
          <t>https://doi.org/10.1177/1460458218824711</t>
        </is>
      </c>
    </row>
    <row r="25" ht="64" customHeight="1">
      <c r="A25" s="4" t="inlineStr">
        <is>
          <t>24</t>
        </is>
      </c>
      <c r="B25" s="4" t="inlineStr">
        <is>
          <t>A Novel Grading System for Autism Severity Level Using Task-Based Functional MRI: A Response to Speech Study</t>
        </is>
      </c>
      <c r="C25" s="4">
        <f>IF(IF(COUNTIFS('ESTUDIOS'!$A$2:$A$455,$A25,'ESTUDIOS'!$I$2:$I$455,"")&gt;0,"",INDEX('ESTUDIOS'!$I$2:$I$455,MATCH($A25,'ESTUDIOS'!$A$2:$A$455,0)))=1,"1 - Integrity",IF(OR(IF(COUNTIFS('RQ2'!$A$2:$A$455,$A25,'RQ2'!$D$2:$D$455,"")&gt;0,"",INDEX('RQ2'!$D$2:$D$455,MATCH($A25,'RQ2'!$A$2:$A$455,0)))="",IF(COUNTIFS('RQ2'!$A$2:$A$455,$A25,'RQ2'!$E$2:$E$455,"")&gt;0,"",INDEX('RQ2'!$E$2:$E$455,MATCH($A25,'RQ2'!$A$2:$A$455,0)))=""),"2 - RQ2 historical","3 - Verify recorded evidence"))</f>
        <v/>
      </c>
      <c r="D25" s="4">
        <f>IF(OR(IF(COUNTIFS('RQ2'!$A$2:$A$455,$A25,'RQ2'!$D$2:$D$455,"")&gt;0,"",INDEX('RQ2'!$D$2:$D$455,MATCH($A25,'RQ2'!$A$2:$A$455,0)))="",IF(COUNTIFS('RQ2'!$A$2:$A$455,$A25,'RQ2'!$E$2:$E$455,"")&gt;0,"",INDEX('RQ2'!$E$2:$E$455,MATCH($A25,'RQ2'!$A$2:$A$455,0)))=""),"PENDIENTE","REGISTRADA")</f>
        <v/>
      </c>
      <c r="E25" s="4">
        <f>IF(IF(COUNTIFS('RQ1'!$A$2:$A$455,$A25,'RQ1'!$N$2:$N$455,"")&gt;0,"",INDEX('RQ1'!$N$2:$N$455,MATCH($A25,'RQ1'!$A$2:$A$455,0)))=1,"REVISAR DETALLE","REGISTRADA")</f>
        <v/>
      </c>
      <c r="F25" s="4">
        <f>IF(IF(COUNTIFS('RQ3'!$A$2:$A$455,$A25,'RQ3'!$P$2:$P$455,"")&gt;0,"",INDEX('RQ3'!$P$2:$P$455,MATCH($A25,'RQ3'!$A$2:$A$455,0)))="","NO REGISTRADO",IF(IF(COUNTIFS('RQ3'!$A$2:$A$455,$A25,'RQ3'!$P$2:$P$455,"")&gt;0,"",INDEX('RQ3'!$P$2:$P$455,MATCH($A25,'RQ3'!$A$2:$A$455,0)))=1,"MARCA ACTIVA","SIN MARCA"))</f>
        <v/>
      </c>
      <c r="G25" s="4">
        <f>IF(IF(COUNTIFS('ESTUDIOS'!$A$2:$A$455,$A25,'ESTUDIOS'!$N$2:$N$455,"")&gt;0,"",INDEX('ESTUDIOS'!$N$2:$N$455,MATCH($A25,'ESTUDIOS'!$A$2:$A$455,0)))="Verified","DOCUMENTADA","NO DOCUMENTADA")</f>
        <v/>
      </c>
      <c r="H25" s="4">
        <f>IF(D25="PENDIENTE","Leer evidencia ya extraída; registrar uso propuesto o evaluado, función, fuente y revisor en RQ2.","Comprobar evidencia y cautelas registradas; documentar verificación sin recodificar lo ya respaldado.")</f>
        <v/>
      </c>
      <c r="I25" s="4" t="inlineStr">
        <is>
          <t>https://doi.org/10.1109/access.2021.3097606</t>
        </is>
      </c>
    </row>
    <row r="26" ht="64" customHeight="1">
      <c r="A26" s="4" t="inlineStr">
        <is>
          <t>26</t>
        </is>
      </c>
      <c r="B26" s="4" t="inlineStr">
        <is>
          <t>An Analysis of the Use of Machine Learning in the Diagnosis of Autism Spectrum Disorder</t>
        </is>
      </c>
      <c r="C26" s="4">
        <f>IF(IF(COUNTIFS('ESTUDIOS'!$A$2:$A$455,$A26,'ESTUDIOS'!$I$2:$I$455,"")&gt;0,"",INDEX('ESTUDIOS'!$I$2:$I$455,MATCH($A26,'ESTUDIOS'!$A$2:$A$455,0)))=1,"1 - Integrity",IF(OR(IF(COUNTIFS('RQ2'!$A$2:$A$455,$A26,'RQ2'!$D$2:$D$455,"")&gt;0,"",INDEX('RQ2'!$D$2:$D$455,MATCH($A26,'RQ2'!$A$2:$A$455,0)))="",IF(COUNTIFS('RQ2'!$A$2:$A$455,$A26,'RQ2'!$E$2:$E$455,"")&gt;0,"",INDEX('RQ2'!$E$2:$E$455,MATCH($A26,'RQ2'!$A$2:$A$455,0)))=""),"2 - RQ2 historical","3 - Verify recorded evidence"))</f>
        <v/>
      </c>
      <c r="D26" s="4">
        <f>IF(OR(IF(COUNTIFS('RQ2'!$A$2:$A$455,$A26,'RQ2'!$D$2:$D$455,"")&gt;0,"",INDEX('RQ2'!$D$2:$D$455,MATCH($A26,'RQ2'!$A$2:$A$455,0)))="",IF(COUNTIFS('RQ2'!$A$2:$A$455,$A26,'RQ2'!$E$2:$E$455,"")&gt;0,"",INDEX('RQ2'!$E$2:$E$455,MATCH($A26,'RQ2'!$A$2:$A$455,0)))=""),"PENDIENTE","REGISTRADA")</f>
        <v/>
      </c>
      <c r="E26" s="4">
        <f>IF(IF(COUNTIFS('RQ1'!$A$2:$A$455,$A26,'RQ1'!$N$2:$N$455,"")&gt;0,"",INDEX('RQ1'!$N$2:$N$455,MATCH($A26,'RQ1'!$A$2:$A$455,0)))=1,"REVISAR DETALLE","REGISTRADA")</f>
        <v/>
      </c>
      <c r="F26" s="4">
        <f>IF(IF(COUNTIFS('RQ3'!$A$2:$A$455,$A26,'RQ3'!$P$2:$P$455,"")&gt;0,"",INDEX('RQ3'!$P$2:$P$455,MATCH($A26,'RQ3'!$A$2:$A$455,0)))="","NO REGISTRADO",IF(IF(COUNTIFS('RQ3'!$A$2:$A$455,$A26,'RQ3'!$P$2:$P$455,"")&gt;0,"",INDEX('RQ3'!$P$2:$P$455,MATCH($A26,'RQ3'!$A$2:$A$455,0)))=1,"MARCA ACTIVA","SIN MARCA"))</f>
        <v/>
      </c>
      <c r="G26" s="4">
        <f>IF(IF(COUNTIFS('ESTUDIOS'!$A$2:$A$455,$A26,'ESTUDIOS'!$N$2:$N$455,"")&gt;0,"",INDEX('ESTUDIOS'!$N$2:$N$455,MATCH($A26,'ESTUDIOS'!$A$2:$A$455,0)))="Verified","DOCUMENTADA","NO DOCUMENTADA")</f>
        <v/>
      </c>
      <c r="H26" s="4">
        <f>IF(D26="PENDIENTE","Leer evidencia ya extraída; registrar uso propuesto o evaluado, función, fuente y revisor en RQ2.","Comprobar evidencia y cautelas registradas; documentar verificación sin recodificar lo ya respaldado.")</f>
        <v/>
      </c>
      <c r="I26" s="4" t="inlineStr">
        <is>
          <t>https://doi.org/10.1007/978-3-031-23683-9_12</t>
        </is>
      </c>
    </row>
    <row r="27" ht="64" customHeight="1">
      <c r="A27" s="4" t="inlineStr">
        <is>
          <t>27</t>
        </is>
      </c>
      <c r="B27" s="4" t="inlineStr">
        <is>
          <t>An analytics-driven model for identifying autism spectrum disorder using eye tracking</t>
        </is>
      </c>
      <c r="C27" s="4">
        <f>IF(IF(COUNTIFS('ESTUDIOS'!$A$2:$A$455,$A27,'ESTUDIOS'!$I$2:$I$455,"")&gt;0,"",INDEX('ESTUDIOS'!$I$2:$I$455,MATCH($A27,'ESTUDIOS'!$A$2:$A$455,0)))=1,"1 - Integrity",IF(OR(IF(COUNTIFS('RQ2'!$A$2:$A$455,$A27,'RQ2'!$D$2:$D$455,"")&gt;0,"",INDEX('RQ2'!$D$2:$D$455,MATCH($A27,'RQ2'!$A$2:$A$455,0)))="",IF(COUNTIFS('RQ2'!$A$2:$A$455,$A27,'RQ2'!$E$2:$E$455,"")&gt;0,"",INDEX('RQ2'!$E$2:$E$455,MATCH($A27,'RQ2'!$A$2:$A$455,0)))=""),"2 - RQ2 historical","3 - Verify recorded evidence"))</f>
        <v/>
      </c>
      <c r="D27" s="4">
        <f>IF(OR(IF(COUNTIFS('RQ2'!$A$2:$A$455,$A27,'RQ2'!$D$2:$D$455,"")&gt;0,"",INDEX('RQ2'!$D$2:$D$455,MATCH($A27,'RQ2'!$A$2:$A$455,0)))="",IF(COUNTIFS('RQ2'!$A$2:$A$455,$A27,'RQ2'!$E$2:$E$455,"")&gt;0,"",INDEX('RQ2'!$E$2:$E$455,MATCH($A27,'RQ2'!$A$2:$A$455,0)))=""),"PENDIENTE","REGISTRADA")</f>
        <v/>
      </c>
      <c r="E27" s="4">
        <f>IF(IF(COUNTIFS('RQ1'!$A$2:$A$455,$A27,'RQ1'!$N$2:$N$455,"")&gt;0,"",INDEX('RQ1'!$N$2:$N$455,MATCH($A27,'RQ1'!$A$2:$A$455,0)))=1,"REVISAR DETALLE","REGISTRADA")</f>
        <v/>
      </c>
      <c r="F27" s="4">
        <f>IF(IF(COUNTIFS('RQ3'!$A$2:$A$455,$A27,'RQ3'!$P$2:$P$455,"")&gt;0,"",INDEX('RQ3'!$P$2:$P$455,MATCH($A27,'RQ3'!$A$2:$A$455,0)))="","NO REGISTRADO",IF(IF(COUNTIFS('RQ3'!$A$2:$A$455,$A27,'RQ3'!$P$2:$P$455,"")&gt;0,"",INDEX('RQ3'!$P$2:$P$455,MATCH($A27,'RQ3'!$A$2:$A$455,0)))=1,"MARCA ACTIVA","SIN MARCA"))</f>
        <v/>
      </c>
      <c r="G27" s="4">
        <f>IF(IF(COUNTIFS('ESTUDIOS'!$A$2:$A$455,$A27,'ESTUDIOS'!$N$2:$N$455,"")&gt;0,"",INDEX('ESTUDIOS'!$N$2:$N$455,MATCH($A27,'ESTUDIOS'!$A$2:$A$455,0)))="Verified","DOCUMENTADA","NO DOCUMENTADA")</f>
        <v/>
      </c>
      <c r="H27" s="4">
        <f>IF(D27="PENDIENTE","Leer evidencia ya extraída; registrar uso propuesto o evaluado, función, fuente y revisor en RQ2.","Comprobar evidencia y cautelas registradas; documentar verificación sin recodificar lo ya respaldado.")</f>
        <v/>
      </c>
      <c r="I27" s="4" t="inlineStr">
        <is>
          <t>https://doi.org/10.1016/j.health.2025.100409</t>
        </is>
      </c>
    </row>
    <row r="28" ht="64" customHeight="1">
      <c r="A28" s="4" t="inlineStr">
        <is>
          <t>28</t>
        </is>
      </c>
      <c r="B28" s="4" t="inlineStr">
        <is>
          <t>An evaluation of machine learning approaches for early diagnosis of autism spectrum disorder</t>
        </is>
      </c>
      <c r="C28" s="4">
        <f>IF(IF(COUNTIFS('ESTUDIOS'!$A$2:$A$455,$A28,'ESTUDIOS'!$I$2:$I$455,"")&gt;0,"",INDEX('ESTUDIOS'!$I$2:$I$455,MATCH($A28,'ESTUDIOS'!$A$2:$A$455,0)))=1,"1 - Integrity",IF(OR(IF(COUNTIFS('RQ2'!$A$2:$A$455,$A28,'RQ2'!$D$2:$D$455,"")&gt;0,"",INDEX('RQ2'!$D$2:$D$455,MATCH($A28,'RQ2'!$A$2:$A$455,0)))="",IF(COUNTIFS('RQ2'!$A$2:$A$455,$A28,'RQ2'!$E$2:$E$455,"")&gt;0,"",INDEX('RQ2'!$E$2:$E$455,MATCH($A28,'RQ2'!$A$2:$A$455,0)))=""),"2 - RQ2 historical","3 - Verify recorded evidence"))</f>
        <v/>
      </c>
      <c r="D28" s="4">
        <f>IF(OR(IF(COUNTIFS('RQ2'!$A$2:$A$455,$A28,'RQ2'!$D$2:$D$455,"")&gt;0,"",INDEX('RQ2'!$D$2:$D$455,MATCH($A28,'RQ2'!$A$2:$A$455,0)))="",IF(COUNTIFS('RQ2'!$A$2:$A$455,$A28,'RQ2'!$E$2:$E$455,"")&gt;0,"",INDEX('RQ2'!$E$2:$E$455,MATCH($A28,'RQ2'!$A$2:$A$455,0)))=""),"PENDIENTE","REGISTRADA")</f>
        <v/>
      </c>
      <c r="E28" s="4">
        <f>IF(IF(COUNTIFS('RQ1'!$A$2:$A$455,$A28,'RQ1'!$N$2:$N$455,"")&gt;0,"",INDEX('RQ1'!$N$2:$N$455,MATCH($A28,'RQ1'!$A$2:$A$455,0)))=1,"REVISAR DETALLE","REGISTRADA")</f>
        <v/>
      </c>
      <c r="F28" s="4">
        <f>IF(IF(COUNTIFS('RQ3'!$A$2:$A$455,$A28,'RQ3'!$P$2:$P$455,"")&gt;0,"",INDEX('RQ3'!$P$2:$P$455,MATCH($A28,'RQ3'!$A$2:$A$455,0)))="","NO REGISTRADO",IF(IF(COUNTIFS('RQ3'!$A$2:$A$455,$A28,'RQ3'!$P$2:$P$455,"")&gt;0,"",INDEX('RQ3'!$P$2:$P$455,MATCH($A28,'RQ3'!$A$2:$A$455,0)))=1,"MARCA ACTIVA","SIN MARCA"))</f>
        <v/>
      </c>
      <c r="G28" s="4">
        <f>IF(IF(COUNTIFS('ESTUDIOS'!$A$2:$A$455,$A28,'ESTUDIOS'!$N$2:$N$455,"")&gt;0,"",INDEX('ESTUDIOS'!$N$2:$N$455,MATCH($A28,'ESTUDIOS'!$A$2:$A$455,0)))="Verified","DOCUMENTADA","NO DOCUMENTADA")</f>
        <v/>
      </c>
      <c r="H28" s="4">
        <f>IF(D28="PENDIENTE","Leer evidencia ya extraída; registrar uso propuesto o evaluado, función, fuente y revisor en RQ2.","Comprobar evidencia y cautelas registradas; documentar verificación sin recodificar lo ya respaldado.")</f>
        <v/>
      </c>
      <c r="I28" s="4" t="inlineStr">
        <is>
          <t>https://doi.org/10.1016/j.health.2023.100293</t>
        </is>
      </c>
    </row>
    <row r="29" ht="64" customHeight="1">
      <c r="A29" s="4" t="inlineStr">
        <is>
          <t>29</t>
        </is>
      </c>
      <c r="B29" s="4" t="inlineStr">
        <is>
          <t>An intellectual autism spectrum disorder classification framework in healthcare industry using ViT-based adaptive deep learning model</t>
        </is>
      </c>
      <c r="C29" s="4">
        <f>IF(IF(COUNTIFS('ESTUDIOS'!$A$2:$A$455,$A29,'ESTUDIOS'!$I$2:$I$455,"")&gt;0,"",INDEX('ESTUDIOS'!$I$2:$I$455,MATCH($A29,'ESTUDIOS'!$A$2:$A$455,0)))=1,"1 - Integrity",IF(OR(IF(COUNTIFS('RQ2'!$A$2:$A$455,$A29,'RQ2'!$D$2:$D$455,"")&gt;0,"",INDEX('RQ2'!$D$2:$D$455,MATCH($A29,'RQ2'!$A$2:$A$455,0)))="",IF(COUNTIFS('RQ2'!$A$2:$A$455,$A29,'RQ2'!$E$2:$E$455,"")&gt;0,"",INDEX('RQ2'!$E$2:$E$455,MATCH($A29,'RQ2'!$A$2:$A$455,0)))=""),"2 - RQ2 historical","3 - Verify recorded evidence"))</f>
        <v/>
      </c>
      <c r="D29" s="4">
        <f>IF(OR(IF(COUNTIFS('RQ2'!$A$2:$A$455,$A29,'RQ2'!$D$2:$D$455,"")&gt;0,"",INDEX('RQ2'!$D$2:$D$455,MATCH($A29,'RQ2'!$A$2:$A$455,0)))="",IF(COUNTIFS('RQ2'!$A$2:$A$455,$A29,'RQ2'!$E$2:$E$455,"")&gt;0,"",INDEX('RQ2'!$E$2:$E$455,MATCH($A29,'RQ2'!$A$2:$A$455,0)))=""),"PENDIENTE","REGISTRADA")</f>
        <v/>
      </c>
      <c r="E29" s="4">
        <f>IF(IF(COUNTIFS('RQ1'!$A$2:$A$455,$A29,'RQ1'!$N$2:$N$455,"")&gt;0,"",INDEX('RQ1'!$N$2:$N$455,MATCH($A29,'RQ1'!$A$2:$A$455,0)))=1,"REVISAR DETALLE","REGISTRADA")</f>
        <v/>
      </c>
      <c r="F29" s="4">
        <f>IF(IF(COUNTIFS('RQ3'!$A$2:$A$455,$A29,'RQ3'!$P$2:$P$455,"")&gt;0,"",INDEX('RQ3'!$P$2:$P$455,MATCH($A29,'RQ3'!$A$2:$A$455,0)))="","NO REGISTRADO",IF(IF(COUNTIFS('RQ3'!$A$2:$A$455,$A29,'RQ3'!$P$2:$P$455,"")&gt;0,"",INDEX('RQ3'!$P$2:$P$455,MATCH($A29,'RQ3'!$A$2:$A$455,0)))=1,"MARCA ACTIVA","SIN MARCA"))</f>
        <v/>
      </c>
      <c r="G29" s="4">
        <f>IF(IF(COUNTIFS('ESTUDIOS'!$A$2:$A$455,$A29,'ESTUDIOS'!$N$2:$N$455,"")&gt;0,"",INDEX('ESTUDIOS'!$N$2:$N$455,MATCH($A29,'ESTUDIOS'!$A$2:$A$455,0)))="Verified","DOCUMENTADA","NO DOCUMENTADA")</f>
        <v/>
      </c>
      <c r="H29" s="4">
        <f>IF(D29="PENDIENTE","Leer evidencia ya extraída; registrar uso propuesto o evaluado, función, fuente y revisor en RQ2.","Comprobar evidencia y cautelas registradas; documentar verificación sin recodificar lo ya respaldado.")</f>
        <v/>
      </c>
      <c r="I29" s="4" t="inlineStr">
        <is>
          <t>https://doi.org/10.1016/j.bspc.2025.107737</t>
        </is>
      </c>
    </row>
    <row r="30" ht="64" customHeight="1">
      <c r="A30" s="4" t="inlineStr">
        <is>
          <t>30</t>
        </is>
      </c>
      <c r="B30" s="4" t="inlineStr">
        <is>
          <t>Analysis and Detection of Autism Spectrum Disorder Using Machine Learning Techniques</t>
        </is>
      </c>
      <c r="C30" s="4">
        <f>IF(IF(COUNTIFS('ESTUDIOS'!$A$2:$A$455,$A30,'ESTUDIOS'!$I$2:$I$455,"")&gt;0,"",INDEX('ESTUDIOS'!$I$2:$I$455,MATCH($A30,'ESTUDIOS'!$A$2:$A$455,0)))=1,"1 - Integrity",IF(OR(IF(COUNTIFS('RQ2'!$A$2:$A$455,$A30,'RQ2'!$D$2:$D$455,"")&gt;0,"",INDEX('RQ2'!$D$2:$D$455,MATCH($A30,'RQ2'!$A$2:$A$455,0)))="",IF(COUNTIFS('RQ2'!$A$2:$A$455,$A30,'RQ2'!$E$2:$E$455,"")&gt;0,"",INDEX('RQ2'!$E$2:$E$455,MATCH($A30,'RQ2'!$A$2:$A$455,0)))=""),"2 - RQ2 historical","3 - Verify recorded evidence"))</f>
        <v/>
      </c>
      <c r="D30" s="4">
        <f>IF(OR(IF(COUNTIFS('RQ2'!$A$2:$A$455,$A30,'RQ2'!$D$2:$D$455,"")&gt;0,"",INDEX('RQ2'!$D$2:$D$455,MATCH($A30,'RQ2'!$A$2:$A$455,0)))="",IF(COUNTIFS('RQ2'!$A$2:$A$455,$A30,'RQ2'!$E$2:$E$455,"")&gt;0,"",INDEX('RQ2'!$E$2:$E$455,MATCH($A30,'RQ2'!$A$2:$A$455,0)))=""),"PENDIENTE","REGISTRADA")</f>
        <v/>
      </c>
      <c r="E30" s="4">
        <f>IF(IF(COUNTIFS('RQ1'!$A$2:$A$455,$A30,'RQ1'!$N$2:$N$455,"")&gt;0,"",INDEX('RQ1'!$N$2:$N$455,MATCH($A30,'RQ1'!$A$2:$A$455,0)))=1,"REVISAR DETALLE","REGISTRADA")</f>
        <v/>
      </c>
      <c r="F30" s="4">
        <f>IF(IF(COUNTIFS('RQ3'!$A$2:$A$455,$A30,'RQ3'!$P$2:$P$455,"")&gt;0,"",INDEX('RQ3'!$P$2:$P$455,MATCH($A30,'RQ3'!$A$2:$A$455,0)))="","NO REGISTRADO",IF(IF(COUNTIFS('RQ3'!$A$2:$A$455,$A30,'RQ3'!$P$2:$P$455,"")&gt;0,"",INDEX('RQ3'!$P$2:$P$455,MATCH($A30,'RQ3'!$A$2:$A$455,0)))=1,"MARCA ACTIVA","SIN MARCA"))</f>
        <v/>
      </c>
      <c r="G30" s="4">
        <f>IF(IF(COUNTIFS('ESTUDIOS'!$A$2:$A$455,$A30,'ESTUDIOS'!$N$2:$N$455,"")&gt;0,"",INDEX('ESTUDIOS'!$N$2:$N$455,MATCH($A30,'ESTUDIOS'!$A$2:$A$455,0)))="Verified","DOCUMENTADA","NO DOCUMENTADA")</f>
        <v/>
      </c>
      <c r="H30" s="4">
        <f>IF(D30="PENDIENTE","Leer evidencia ya extraída; registrar uso propuesto o evaluado, función, fuente y revisor en RQ2.","Comprobar evidencia y cautelas registradas; documentar verificación sin recodificar lo ya respaldado.")</f>
        <v/>
      </c>
      <c r="I30" s="4" t="inlineStr">
        <is>
          <t>https://doi.org/10.1016/j.procs.2020.03.399</t>
        </is>
      </c>
    </row>
    <row r="31" ht="64" customHeight="1">
      <c r="A31" s="4" t="inlineStr">
        <is>
          <t>31</t>
        </is>
      </c>
      <c r="B31" s="4" t="inlineStr">
        <is>
          <t>ASD classification for children using deep neural network</t>
        </is>
      </c>
      <c r="C31" s="4">
        <f>IF(IF(COUNTIFS('ESTUDIOS'!$A$2:$A$455,$A31,'ESTUDIOS'!$I$2:$I$455,"")&gt;0,"",INDEX('ESTUDIOS'!$I$2:$I$455,MATCH($A31,'ESTUDIOS'!$A$2:$A$455,0)))=1,"1 - Integrity",IF(OR(IF(COUNTIFS('RQ2'!$A$2:$A$455,$A31,'RQ2'!$D$2:$D$455,"")&gt;0,"",INDEX('RQ2'!$D$2:$D$455,MATCH($A31,'RQ2'!$A$2:$A$455,0)))="",IF(COUNTIFS('RQ2'!$A$2:$A$455,$A31,'RQ2'!$E$2:$E$455,"")&gt;0,"",INDEX('RQ2'!$E$2:$E$455,MATCH($A31,'RQ2'!$A$2:$A$455,0)))=""),"2 - RQ2 historical","3 - Verify recorded evidence"))</f>
        <v/>
      </c>
      <c r="D31" s="4">
        <f>IF(OR(IF(COUNTIFS('RQ2'!$A$2:$A$455,$A31,'RQ2'!$D$2:$D$455,"")&gt;0,"",INDEX('RQ2'!$D$2:$D$455,MATCH($A31,'RQ2'!$A$2:$A$455,0)))="",IF(COUNTIFS('RQ2'!$A$2:$A$455,$A31,'RQ2'!$E$2:$E$455,"")&gt;0,"",INDEX('RQ2'!$E$2:$E$455,MATCH($A31,'RQ2'!$A$2:$A$455,0)))=""),"PENDIENTE","REGISTRADA")</f>
        <v/>
      </c>
      <c r="E31" s="4">
        <f>IF(IF(COUNTIFS('RQ1'!$A$2:$A$455,$A31,'RQ1'!$N$2:$N$455,"")&gt;0,"",INDEX('RQ1'!$N$2:$N$455,MATCH($A31,'RQ1'!$A$2:$A$455,0)))=1,"REVISAR DETALLE","REGISTRADA")</f>
        <v/>
      </c>
      <c r="F31" s="4">
        <f>IF(IF(COUNTIFS('RQ3'!$A$2:$A$455,$A31,'RQ3'!$P$2:$P$455,"")&gt;0,"",INDEX('RQ3'!$P$2:$P$455,MATCH($A31,'RQ3'!$A$2:$A$455,0)))="","NO REGISTRADO",IF(IF(COUNTIFS('RQ3'!$A$2:$A$455,$A31,'RQ3'!$P$2:$P$455,"")&gt;0,"",INDEX('RQ3'!$P$2:$P$455,MATCH($A31,'RQ3'!$A$2:$A$455,0)))=1,"MARCA ACTIVA","SIN MARCA"))</f>
        <v/>
      </c>
      <c r="G31" s="4">
        <f>IF(IF(COUNTIFS('ESTUDIOS'!$A$2:$A$455,$A31,'ESTUDIOS'!$N$2:$N$455,"")&gt;0,"",INDEX('ESTUDIOS'!$N$2:$N$455,MATCH($A31,'ESTUDIOS'!$A$2:$A$455,0)))="Verified","DOCUMENTADA","NO DOCUMENTADA")</f>
        <v/>
      </c>
      <c r="H31" s="4">
        <f>IF(D31="PENDIENTE","Leer evidencia ya extraída; registrar uso propuesto o evaluado, función, fuente y revisor en RQ2.","Comprobar evidencia y cautelas registradas; documentar verificación sin recodificar lo ya respaldado.")</f>
        <v/>
      </c>
      <c r="I31" s="4" t="inlineStr">
        <is>
          <t>https://doi.org/10.1016/j.gltp.2021.08.042</t>
        </is>
      </c>
    </row>
    <row r="32" ht="64" customHeight="1">
      <c r="A32" s="4" t="inlineStr">
        <is>
          <t>32</t>
        </is>
      </c>
      <c r="B32" s="4" t="inlineStr">
        <is>
          <t>ASD-GraphNet: A novel graph learning approach for Autism Spectrum Disorder diagnosis using fMRI data</t>
        </is>
      </c>
      <c r="C32" s="4">
        <f>IF(IF(COUNTIFS('ESTUDIOS'!$A$2:$A$455,$A32,'ESTUDIOS'!$I$2:$I$455,"")&gt;0,"",INDEX('ESTUDIOS'!$I$2:$I$455,MATCH($A32,'ESTUDIOS'!$A$2:$A$455,0)))=1,"1 - Integrity",IF(OR(IF(COUNTIFS('RQ2'!$A$2:$A$455,$A32,'RQ2'!$D$2:$D$455,"")&gt;0,"",INDEX('RQ2'!$D$2:$D$455,MATCH($A32,'RQ2'!$A$2:$A$455,0)))="",IF(COUNTIFS('RQ2'!$A$2:$A$455,$A32,'RQ2'!$E$2:$E$455,"")&gt;0,"",INDEX('RQ2'!$E$2:$E$455,MATCH($A32,'RQ2'!$A$2:$A$455,0)))=""),"2 - RQ2 historical","3 - Verify recorded evidence"))</f>
        <v/>
      </c>
      <c r="D32" s="4">
        <f>IF(OR(IF(COUNTIFS('RQ2'!$A$2:$A$455,$A32,'RQ2'!$D$2:$D$455,"")&gt;0,"",INDEX('RQ2'!$D$2:$D$455,MATCH($A32,'RQ2'!$A$2:$A$455,0)))="",IF(COUNTIFS('RQ2'!$A$2:$A$455,$A32,'RQ2'!$E$2:$E$455,"")&gt;0,"",INDEX('RQ2'!$E$2:$E$455,MATCH($A32,'RQ2'!$A$2:$A$455,0)))=""),"PENDIENTE","REGISTRADA")</f>
        <v/>
      </c>
      <c r="E32" s="4">
        <f>IF(IF(COUNTIFS('RQ1'!$A$2:$A$455,$A32,'RQ1'!$N$2:$N$455,"")&gt;0,"",INDEX('RQ1'!$N$2:$N$455,MATCH($A32,'RQ1'!$A$2:$A$455,0)))=1,"REVISAR DETALLE","REGISTRADA")</f>
        <v/>
      </c>
      <c r="F32" s="4">
        <f>IF(IF(COUNTIFS('RQ3'!$A$2:$A$455,$A32,'RQ3'!$P$2:$P$455,"")&gt;0,"",INDEX('RQ3'!$P$2:$P$455,MATCH($A32,'RQ3'!$A$2:$A$455,0)))="","NO REGISTRADO",IF(IF(COUNTIFS('RQ3'!$A$2:$A$455,$A32,'RQ3'!$P$2:$P$455,"")&gt;0,"",INDEX('RQ3'!$P$2:$P$455,MATCH($A32,'RQ3'!$A$2:$A$455,0)))=1,"MARCA ACTIVA","SIN MARCA"))</f>
        <v/>
      </c>
      <c r="G32" s="4">
        <f>IF(IF(COUNTIFS('ESTUDIOS'!$A$2:$A$455,$A32,'ESTUDIOS'!$N$2:$N$455,"")&gt;0,"",INDEX('ESTUDIOS'!$N$2:$N$455,MATCH($A32,'ESTUDIOS'!$A$2:$A$455,0)))="Verified","DOCUMENTADA","NO DOCUMENTADA")</f>
        <v/>
      </c>
      <c r="H32" s="4">
        <f>IF(D32="PENDIENTE","Leer evidencia ya extraída; registrar uso propuesto o evaluado, función, fuente y revisor en RQ2.","Comprobar evidencia y cautelas registradas; documentar verificación sin recodificar lo ya respaldado.")</f>
        <v/>
      </c>
      <c r="I32" s="4" t="inlineStr">
        <is>
          <t>https://doi.org/10.1016/j.compbiomed.2025.110723</t>
        </is>
      </c>
    </row>
    <row r="33" ht="64" customHeight="1">
      <c r="A33" s="4" t="inlineStr">
        <is>
          <t>33</t>
        </is>
      </c>
      <c r="B33" s="4" t="inlineStr">
        <is>
          <t>Automated identification of postural control for children with autism spectrum disorder using a machine learning approach</t>
        </is>
      </c>
      <c r="C33" s="4">
        <f>IF(IF(COUNTIFS('ESTUDIOS'!$A$2:$A$455,$A33,'ESTUDIOS'!$I$2:$I$455,"")&gt;0,"",INDEX('ESTUDIOS'!$I$2:$I$455,MATCH($A33,'ESTUDIOS'!$A$2:$A$455,0)))=1,"1 - Integrity",IF(OR(IF(COUNTIFS('RQ2'!$A$2:$A$455,$A33,'RQ2'!$D$2:$D$455,"")&gt;0,"",INDEX('RQ2'!$D$2:$D$455,MATCH($A33,'RQ2'!$A$2:$A$455,0)))="",IF(COUNTIFS('RQ2'!$A$2:$A$455,$A33,'RQ2'!$E$2:$E$455,"")&gt;0,"",INDEX('RQ2'!$E$2:$E$455,MATCH($A33,'RQ2'!$A$2:$A$455,0)))=""),"2 - RQ2 historical","3 - Verify recorded evidence"))</f>
        <v/>
      </c>
      <c r="D33" s="4">
        <f>IF(OR(IF(COUNTIFS('RQ2'!$A$2:$A$455,$A33,'RQ2'!$D$2:$D$455,"")&gt;0,"",INDEX('RQ2'!$D$2:$D$455,MATCH($A33,'RQ2'!$A$2:$A$455,0)))="",IF(COUNTIFS('RQ2'!$A$2:$A$455,$A33,'RQ2'!$E$2:$E$455,"")&gt;0,"",INDEX('RQ2'!$E$2:$E$455,MATCH($A33,'RQ2'!$A$2:$A$455,0)))=""),"PENDIENTE","REGISTRADA")</f>
        <v/>
      </c>
      <c r="E33" s="4">
        <f>IF(IF(COUNTIFS('RQ1'!$A$2:$A$455,$A33,'RQ1'!$N$2:$N$455,"")&gt;0,"",INDEX('RQ1'!$N$2:$N$455,MATCH($A33,'RQ1'!$A$2:$A$455,0)))=1,"REVISAR DETALLE","REGISTRADA")</f>
        <v/>
      </c>
      <c r="F33" s="4">
        <f>IF(IF(COUNTIFS('RQ3'!$A$2:$A$455,$A33,'RQ3'!$P$2:$P$455,"")&gt;0,"",INDEX('RQ3'!$P$2:$P$455,MATCH($A33,'RQ3'!$A$2:$A$455,0)))="","NO REGISTRADO",IF(IF(COUNTIFS('RQ3'!$A$2:$A$455,$A33,'RQ3'!$P$2:$P$455,"")&gt;0,"",INDEX('RQ3'!$P$2:$P$455,MATCH($A33,'RQ3'!$A$2:$A$455,0)))=1,"MARCA ACTIVA","SIN MARCA"))</f>
        <v/>
      </c>
      <c r="G33" s="4">
        <f>IF(IF(COUNTIFS('ESTUDIOS'!$A$2:$A$455,$A33,'ESTUDIOS'!$N$2:$N$455,"")&gt;0,"",INDEX('ESTUDIOS'!$N$2:$N$455,MATCH($A33,'ESTUDIOS'!$A$2:$A$455,0)))="Verified","DOCUMENTADA","NO DOCUMENTADA")</f>
        <v/>
      </c>
      <c r="H33" s="4">
        <f>IF(D33="PENDIENTE","Leer evidencia ya extraída; registrar uso propuesto o evaluado, función, fuente y revisor en RQ2.","Comprobar evidencia y cautelas registradas; documentar verificación sin recodificar lo ya respaldado.")</f>
        <v/>
      </c>
      <c r="I33" s="4" t="inlineStr">
        <is>
          <t>https://doi.org/10.1016/j.jbiomech.2020.110073</t>
        </is>
      </c>
    </row>
    <row r="34" ht="64" customHeight="1">
      <c r="A34" s="4" t="inlineStr">
        <is>
          <t>34</t>
        </is>
      </c>
      <c r="B34" s="4" t="inlineStr">
        <is>
          <t>Distributed Intrinsic Functional Connectivity Patterns Predict Diagnostic Status in Large Autism Cohort</t>
        </is>
      </c>
      <c r="C34" s="4">
        <f>IF(IF(COUNTIFS('ESTUDIOS'!$A$2:$A$455,$A34,'ESTUDIOS'!$I$2:$I$455,"")&gt;0,"",INDEX('ESTUDIOS'!$I$2:$I$455,MATCH($A34,'ESTUDIOS'!$A$2:$A$455,0)))=1,"1 - Integrity",IF(OR(IF(COUNTIFS('RQ2'!$A$2:$A$455,$A34,'RQ2'!$D$2:$D$455,"")&gt;0,"",INDEX('RQ2'!$D$2:$D$455,MATCH($A34,'RQ2'!$A$2:$A$455,0)))="",IF(COUNTIFS('RQ2'!$A$2:$A$455,$A34,'RQ2'!$E$2:$E$455,"")&gt;0,"",INDEX('RQ2'!$E$2:$E$455,MATCH($A34,'RQ2'!$A$2:$A$455,0)))=""),"2 - RQ2 historical","3 - Verify recorded evidence"))</f>
        <v/>
      </c>
      <c r="D34" s="4">
        <f>IF(OR(IF(COUNTIFS('RQ2'!$A$2:$A$455,$A34,'RQ2'!$D$2:$D$455,"")&gt;0,"",INDEX('RQ2'!$D$2:$D$455,MATCH($A34,'RQ2'!$A$2:$A$455,0)))="",IF(COUNTIFS('RQ2'!$A$2:$A$455,$A34,'RQ2'!$E$2:$E$455,"")&gt;0,"",INDEX('RQ2'!$E$2:$E$455,MATCH($A34,'RQ2'!$A$2:$A$455,0)))=""),"PENDIENTE","REGISTRADA")</f>
        <v/>
      </c>
      <c r="E34" s="4">
        <f>IF(IF(COUNTIFS('RQ1'!$A$2:$A$455,$A34,'RQ1'!$N$2:$N$455,"")&gt;0,"",INDEX('RQ1'!$N$2:$N$455,MATCH($A34,'RQ1'!$A$2:$A$455,0)))=1,"REVISAR DETALLE","REGISTRADA")</f>
        <v/>
      </c>
      <c r="F34" s="4">
        <f>IF(IF(COUNTIFS('RQ3'!$A$2:$A$455,$A34,'RQ3'!$P$2:$P$455,"")&gt;0,"",INDEX('RQ3'!$P$2:$P$455,MATCH($A34,'RQ3'!$A$2:$A$455,0)))="","NO REGISTRADO",IF(IF(COUNTIFS('RQ3'!$A$2:$A$455,$A34,'RQ3'!$P$2:$P$455,"")&gt;0,"",INDEX('RQ3'!$P$2:$P$455,MATCH($A34,'RQ3'!$A$2:$A$455,0)))=1,"MARCA ACTIVA","SIN MARCA"))</f>
        <v/>
      </c>
      <c r="G34" s="4">
        <f>IF(IF(COUNTIFS('ESTUDIOS'!$A$2:$A$455,$A34,'ESTUDIOS'!$N$2:$N$455,"")&gt;0,"",INDEX('ESTUDIOS'!$N$2:$N$455,MATCH($A34,'ESTUDIOS'!$A$2:$A$455,0)))="Verified","DOCUMENTADA","NO DOCUMENTADA")</f>
        <v/>
      </c>
      <c r="H34" s="4">
        <f>IF(D34="PENDIENTE","Leer evidencia ya extraída; registrar uso propuesto o evaluado, función, fuente y revisor en RQ2.","Comprobar evidencia y cautelas registradas; documentar verificación sin recodificar lo ya respaldado.")</f>
        <v/>
      </c>
      <c r="I34" s="4" t="inlineStr">
        <is>
          <t>https://doi.org/10.1089/brain.2017.0496</t>
        </is>
      </c>
    </row>
    <row r="35" ht="64" customHeight="1">
      <c r="A35" s="4" t="inlineStr">
        <is>
          <t>35</t>
        </is>
      </c>
      <c r="B35" s="4" t="inlineStr">
        <is>
          <t>Enhancing diagnosis of autism with optimized machine learning models and personal characteristic data</t>
        </is>
      </c>
      <c r="C35" s="4">
        <f>IF(IF(COUNTIFS('ESTUDIOS'!$A$2:$A$455,$A35,'ESTUDIOS'!$I$2:$I$455,"")&gt;0,"",INDEX('ESTUDIOS'!$I$2:$I$455,MATCH($A35,'ESTUDIOS'!$A$2:$A$455,0)))=1,"1 - Integrity",IF(OR(IF(COUNTIFS('RQ2'!$A$2:$A$455,$A35,'RQ2'!$D$2:$D$455,"")&gt;0,"",INDEX('RQ2'!$D$2:$D$455,MATCH($A35,'RQ2'!$A$2:$A$455,0)))="",IF(COUNTIFS('RQ2'!$A$2:$A$455,$A35,'RQ2'!$E$2:$E$455,"")&gt;0,"",INDEX('RQ2'!$E$2:$E$455,MATCH($A35,'RQ2'!$A$2:$A$455,0)))=""),"2 - RQ2 historical","3 - Verify recorded evidence"))</f>
        <v/>
      </c>
      <c r="D35" s="4">
        <f>IF(OR(IF(COUNTIFS('RQ2'!$A$2:$A$455,$A35,'RQ2'!$D$2:$D$455,"")&gt;0,"",INDEX('RQ2'!$D$2:$D$455,MATCH($A35,'RQ2'!$A$2:$A$455,0)))="",IF(COUNTIFS('RQ2'!$A$2:$A$455,$A35,'RQ2'!$E$2:$E$455,"")&gt;0,"",INDEX('RQ2'!$E$2:$E$455,MATCH($A35,'RQ2'!$A$2:$A$455,0)))=""),"PENDIENTE","REGISTRADA")</f>
        <v/>
      </c>
      <c r="E35" s="4">
        <f>IF(IF(COUNTIFS('RQ1'!$A$2:$A$455,$A35,'RQ1'!$N$2:$N$455,"")&gt;0,"",INDEX('RQ1'!$N$2:$N$455,MATCH($A35,'RQ1'!$A$2:$A$455,0)))=1,"REVISAR DETALLE","REGISTRADA")</f>
        <v/>
      </c>
      <c r="F35" s="4">
        <f>IF(IF(COUNTIFS('RQ3'!$A$2:$A$455,$A35,'RQ3'!$P$2:$P$455,"")&gt;0,"",INDEX('RQ3'!$P$2:$P$455,MATCH($A35,'RQ3'!$A$2:$A$455,0)))="","NO REGISTRADO",IF(IF(COUNTIFS('RQ3'!$A$2:$A$455,$A35,'RQ3'!$P$2:$P$455,"")&gt;0,"",INDEX('RQ3'!$P$2:$P$455,MATCH($A35,'RQ3'!$A$2:$A$455,0)))=1,"MARCA ACTIVA","SIN MARCA"))</f>
        <v/>
      </c>
      <c r="G35" s="4">
        <f>IF(IF(COUNTIFS('ESTUDIOS'!$A$2:$A$455,$A35,'ESTUDIOS'!$N$2:$N$455,"")&gt;0,"",INDEX('ESTUDIOS'!$N$2:$N$455,MATCH($A35,'ESTUDIOS'!$A$2:$A$455,0)))="Verified","DOCUMENTADA","NO DOCUMENTADA")</f>
        <v/>
      </c>
      <c r="H35" s="4">
        <f>IF(D35="PENDIENTE","Leer evidencia ya extraída; registrar uso propuesto o evaluado, función, fuente y revisor en RQ2.","Comprobar evidencia y cautelas registradas; documentar verificación sin recodificar lo ya respaldado.")</f>
        <v/>
      </c>
      <c r="I35" s="4" t="inlineStr">
        <is>
          <t>https://doi.org/10.3389/fncom.2019.00009/full</t>
        </is>
      </c>
    </row>
    <row r="36" ht="64" customHeight="1">
      <c r="A36" s="4" t="inlineStr">
        <is>
          <t>36</t>
        </is>
      </c>
      <c r="B36" s="4" t="inlineStr">
        <is>
          <t>Investigating multiclass autism spectrum disorder classification using machine learning techniques</t>
        </is>
      </c>
      <c r="C36" s="4">
        <f>IF(IF(COUNTIFS('ESTUDIOS'!$A$2:$A$455,$A36,'ESTUDIOS'!$I$2:$I$455,"")&gt;0,"",INDEX('ESTUDIOS'!$I$2:$I$455,MATCH($A36,'ESTUDIOS'!$A$2:$A$455,0)))=1,"1 - Integrity",IF(OR(IF(COUNTIFS('RQ2'!$A$2:$A$455,$A36,'RQ2'!$D$2:$D$455,"")&gt;0,"",INDEX('RQ2'!$D$2:$D$455,MATCH($A36,'RQ2'!$A$2:$A$455,0)))="",IF(COUNTIFS('RQ2'!$A$2:$A$455,$A36,'RQ2'!$E$2:$E$455,"")&gt;0,"",INDEX('RQ2'!$E$2:$E$455,MATCH($A36,'RQ2'!$A$2:$A$455,0)))=""),"2 - RQ2 historical","3 - Verify recorded evidence"))</f>
        <v/>
      </c>
      <c r="D36" s="4">
        <f>IF(OR(IF(COUNTIFS('RQ2'!$A$2:$A$455,$A36,'RQ2'!$D$2:$D$455,"")&gt;0,"",INDEX('RQ2'!$D$2:$D$455,MATCH($A36,'RQ2'!$A$2:$A$455,0)))="",IF(COUNTIFS('RQ2'!$A$2:$A$455,$A36,'RQ2'!$E$2:$E$455,"")&gt;0,"",INDEX('RQ2'!$E$2:$E$455,MATCH($A36,'RQ2'!$A$2:$A$455,0)))=""),"PENDIENTE","REGISTRADA")</f>
        <v/>
      </c>
      <c r="E36" s="4">
        <f>IF(IF(COUNTIFS('RQ1'!$A$2:$A$455,$A36,'RQ1'!$N$2:$N$455,"")&gt;0,"",INDEX('RQ1'!$N$2:$N$455,MATCH($A36,'RQ1'!$A$2:$A$455,0)))=1,"REVISAR DETALLE","REGISTRADA")</f>
        <v/>
      </c>
      <c r="F36" s="4">
        <f>IF(IF(COUNTIFS('RQ3'!$A$2:$A$455,$A36,'RQ3'!$P$2:$P$455,"")&gt;0,"",INDEX('RQ3'!$P$2:$P$455,MATCH($A36,'RQ3'!$A$2:$A$455,0)))="","NO REGISTRADO",IF(IF(COUNTIFS('RQ3'!$A$2:$A$455,$A36,'RQ3'!$P$2:$P$455,"")&gt;0,"",INDEX('RQ3'!$P$2:$P$455,MATCH($A36,'RQ3'!$A$2:$A$455,0)))=1,"MARCA ACTIVA","SIN MARCA"))</f>
        <v/>
      </c>
      <c r="G36" s="4">
        <f>IF(IF(COUNTIFS('ESTUDIOS'!$A$2:$A$455,$A36,'ESTUDIOS'!$N$2:$N$455,"")&gt;0,"",INDEX('ESTUDIOS'!$N$2:$N$455,MATCH($A36,'ESTUDIOS'!$A$2:$A$455,0)))="Verified","DOCUMENTADA","NO DOCUMENTADA")</f>
        <v/>
      </c>
      <c r="H36" s="4">
        <f>IF(D36="PENDIENTE","Leer evidencia ya extraída; registrar uso propuesto o evaluado, función, fuente y revisor en RQ2.","Comprobar evidencia y cautelas registradas; documentar verificación sin recodificar lo ya respaldado.")</f>
        <v/>
      </c>
      <c r="I36" s="4" t="inlineStr">
        <is>
          <t>https://doi.org/10.1016/j.prime.2024.100602</t>
        </is>
      </c>
    </row>
    <row r="37" ht="64" customHeight="1">
      <c r="A37" s="4" t="inlineStr">
        <is>
          <t>37</t>
        </is>
      </c>
      <c r="B37" s="4" t="inlineStr">
        <is>
          <t>Jellyfish Search Optimization with Deep Learning Driven Autism Spectrum Disorder Classification</t>
        </is>
      </c>
      <c r="C37" s="4">
        <f>IF(IF(COUNTIFS('ESTUDIOS'!$A$2:$A$455,$A37,'ESTUDIOS'!$I$2:$I$455,"")&gt;0,"",INDEX('ESTUDIOS'!$I$2:$I$455,MATCH($A37,'ESTUDIOS'!$A$2:$A$455,0)))=1,"1 - Integrity",IF(OR(IF(COUNTIFS('RQ2'!$A$2:$A$455,$A37,'RQ2'!$D$2:$D$455,"")&gt;0,"",INDEX('RQ2'!$D$2:$D$455,MATCH($A37,'RQ2'!$A$2:$A$455,0)))="",IF(COUNTIFS('RQ2'!$A$2:$A$455,$A37,'RQ2'!$E$2:$E$455,"")&gt;0,"",INDEX('RQ2'!$E$2:$E$455,MATCH($A37,'RQ2'!$A$2:$A$455,0)))=""),"2 - RQ2 historical","3 - Verify recorded evidence"))</f>
        <v/>
      </c>
      <c r="D37" s="4">
        <f>IF(OR(IF(COUNTIFS('RQ2'!$A$2:$A$455,$A37,'RQ2'!$D$2:$D$455,"")&gt;0,"",INDEX('RQ2'!$D$2:$D$455,MATCH($A37,'RQ2'!$A$2:$A$455,0)))="",IF(COUNTIFS('RQ2'!$A$2:$A$455,$A37,'RQ2'!$E$2:$E$455,"")&gt;0,"",INDEX('RQ2'!$E$2:$E$455,MATCH($A37,'RQ2'!$A$2:$A$455,0)))=""),"PENDIENTE","REGISTRADA")</f>
        <v/>
      </c>
      <c r="E37" s="4">
        <f>IF(IF(COUNTIFS('RQ1'!$A$2:$A$455,$A37,'RQ1'!$N$2:$N$455,"")&gt;0,"",INDEX('RQ1'!$N$2:$N$455,MATCH($A37,'RQ1'!$A$2:$A$455,0)))=1,"REVISAR DETALLE","REGISTRADA")</f>
        <v/>
      </c>
      <c r="F37" s="4">
        <f>IF(IF(COUNTIFS('RQ3'!$A$2:$A$455,$A37,'RQ3'!$P$2:$P$455,"")&gt;0,"",INDEX('RQ3'!$P$2:$P$455,MATCH($A37,'RQ3'!$A$2:$A$455,0)))="","NO REGISTRADO",IF(IF(COUNTIFS('RQ3'!$A$2:$A$455,$A37,'RQ3'!$P$2:$P$455,"")&gt;0,"",INDEX('RQ3'!$P$2:$P$455,MATCH($A37,'RQ3'!$A$2:$A$455,0)))=1,"MARCA ACTIVA","SIN MARCA"))</f>
        <v/>
      </c>
      <c r="G37" s="4">
        <f>IF(IF(COUNTIFS('ESTUDIOS'!$A$2:$A$455,$A37,'ESTUDIOS'!$N$2:$N$455,"")&gt;0,"",INDEX('ESTUDIOS'!$N$2:$N$455,MATCH($A37,'ESTUDIOS'!$A$2:$A$455,0)))="Verified","DOCUMENTADA","NO DOCUMENTADA")</f>
        <v/>
      </c>
      <c r="H37" s="4">
        <f>IF(D37="PENDIENTE","Leer evidencia ya extraída; registrar uso propuesto o evaluado, función, fuente y revisor en RQ2.","Comprobar evidencia y cautelas registradas; documentar verificación sin recodificar lo ya respaldado.")</f>
        <v/>
      </c>
      <c r="I37" s="4" t="inlineStr">
        <is>
          <t>https://doi.org/10.32604/cmc.2023.032586</t>
        </is>
      </c>
    </row>
    <row r="38" ht="64" customHeight="1">
      <c r="A38" s="4" t="inlineStr">
        <is>
          <t>38</t>
        </is>
      </c>
      <c r="B38" s="4" t="inlineStr">
        <is>
          <t>Machine learning analysis of pregnancy data enables early identification of a subpopulation of newborns with ASD</t>
        </is>
      </c>
      <c r="C38" s="4">
        <f>IF(IF(COUNTIFS('ESTUDIOS'!$A$2:$A$455,$A38,'ESTUDIOS'!$I$2:$I$455,"")&gt;0,"",INDEX('ESTUDIOS'!$I$2:$I$455,MATCH($A38,'ESTUDIOS'!$A$2:$A$455,0)))=1,"1 - Integrity",IF(OR(IF(COUNTIFS('RQ2'!$A$2:$A$455,$A38,'RQ2'!$D$2:$D$455,"")&gt;0,"",INDEX('RQ2'!$D$2:$D$455,MATCH($A38,'RQ2'!$A$2:$A$455,0)))="",IF(COUNTIFS('RQ2'!$A$2:$A$455,$A38,'RQ2'!$E$2:$E$455,"")&gt;0,"",INDEX('RQ2'!$E$2:$E$455,MATCH($A38,'RQ2'!$A$2:$A$455,0)))=""),"2 - RQ2 historical","3 - Verify recorded evidence"))</f>
        <v/>
      </c>
      <c r="D38" s="4">
        <f>IF(OR(IF(COUNTIFS('RQ2'!$A$2:$A$455,$A38,'RQ2'!$D$2:$D$455,"")&gt;0,"",INDEX('RQ2'!$D$2:$D$455,MATCH($A38,'RQ2'!$A$2:$A$455,0)))="",IF(COUNTIFS('RQ2'!$A$2:$A$455,$A38,'RQ2'!$E$2:$E$455,"")&gt;0,"",INDEX('RQ2'!$E$2:$E$455,MATCH($A38,'RQ2'!$A$2:$A$455,0)))=""),"PENDIENTE","REGISTRADA")</f>
        <v/>
      </c>
      <c r="E38" s="4">
        <f>IF(IF(COUNTIFS('RQ1'!$A$2:$A$455,$A38,'RQ1'!$N$2:$N$455,"")&gt;0,"",INDEX('RQ1'!$N$2:$N$455,MATCH($A38,'RQ1'!$A$2:$A$455,0)))=1,"REVISAR DETALLE","REGISTRADA")</f>
        <v/>
      </c>
      <c r="F38" s="4">
        <f>IF(IF(COUNTIFS('RQ3'!$A$2:$A$455,$A38,'RQ3'!$P$2:$P$455,"")&gt;0,"",INDEX('RQ3'!$P$2:$P$455,MATCH($A38,'RQ3'!$A$2:$A$455,0)))="","NO REGISTRADO",IF(IF(COUNTIFS('RQ3'!$A$2:$A$455,$A38,'RQ3'!$P$2:$P$455,"")&gt;0,"",INDEX('RQ3'!$P$2:$P$455,MATCH($A38,'RQ3'!$A$2:$A$455,0)))=1,"MARCA ACTIVA","SIN MARCA"))</f>
        <v/>
      </c>
      <c r="G38" s="4">
        <f>IF(IF(COUNTIFS('ESTUDIOS'!$A$2:$A$455,$A38,'ESTUDIOS'!$N$2:$N$455,"")&gt;0,"",INDEX('ESTUDIOS'!$N$2:$N$455,MATCH($A38,'ESTUDIOS'!$A$2:$A$455,0)))="Verified","DOCUMENTADA","NO DOCUMENTADA")</f>
        <v/>
      </c>
      <c r="H38" s="4">
        <f>IF(D38="PENDIENTE","Leer evidencia ya extraída; registrar uso propuesto o evaluado, función, fuente y revisor en RQ2.","Comprobar evidencia y cautelas registradas; documentar verificación sin recodificar lo ya respaldado.")</f>
        <v/>
      </c>
      <c r="I38" s="4" t="inlineStr">
        <is>
          <t>https://doi.org/10.1038/s41598-021-86320-0</t>
        </is>
      </c>
    </row>
    <row r="39" ht="64" customHeight="1">
      <c r="A39" s="4" t="inlineStr">
        <is>
          <t>39</t>
        </is>
      </c>
      <c r="B39" s="4" t="inlineStr">
        <is>
          <t>Machine Learning-Based Blood RNA Signature for Diagnosis of Autism Spectrum Disorder</t>
        </is>
      </c>
      <c r="C39" s="4">
        <f>IF(IF(COUNTIFS('ESTUDIOS'!$A$2:$A$455,$A39,'ESTUDIOS'!$I$2:$I$455,"")&gt;0,"",INDEX('ESTUDIOS'!$I$2:$I$455,MATCH($A39,'ESTUDIOS'!$A$2:$A$455,0)))=1,"1 - Integrity",IF(OR(IF(COUNTIFS('RQ2'!$A$2:$A$455,$A39,'RQ2'!$D$2:$D$455,"")&gt;0,"",INDEX('RQ2'!$D$2:$D$455,MATCH($A39,'RQ2'!$A$2:$A$455,0)))="",IF(COUNTIFS('RQ2'!$A$2:$A$455,$A39,'RQ2'!$E$2:$E$455,"")&gt;0,"",INDEX('RQ2'!$E$2:$E$455,MATCH($A39,'RQ2'!$A$2:$A$455,0)))=""),"2 - RQ2 historical","3 - Verify recorded evidence"))</f>
        <v/>
      </c>
      <c r="D39" s="4">
        <f>IF(OR(IF(COUNTIFS('RQ2'!$A$2:$A$455,$A39,'RQ2'!$D$2:$D$455,"")&gt;0,"",INDEX('RQ2'!$D$2:$D$455,MATCH($A39,'RQ2'!$A$2:$A$455,0)))="",IF(COUNTIFS('RQ2'!$A$2:$A$455,$A39,'RQ2'!$E$2:$E$455,"")&gt;0,"",INDEX('RQ2'!$E$2:$E$455,MATCH($A39,'RQ2'!$A$2:$A$455,0)))=""),"PENDIENTE","REGISTRADA")</f>
        <v/>
      </c>
      <c r="E39" s="4">
        <f>IF(IF(COUNTIFS('RQ1'!$A$2:$A$455,$A39,'RQ1'!$N$2:$N$455,"")&gt;0,"",INDEX('RQ1'!$N$2:$N$455,MATCH($A39,'RQ1'!$A$2:$A$455,0)))=1,"REVISAR DETALLE","REGISTRADA")</f>
        <v/>
      </c>
      <c r="F39" s="4">
        <f>IF(IF(COUNTIFS('RQ3'!$A$2:$A$455,$A39,'RQ3'!$P$2:$P$455,"")&gt;0,"",INDEX('RQ3'!$P$2:$P$455,MATCH($A39,'RQ3'!$A$2:$A$455,0)))="","NO REGISTRADO",IF(IF(COUNTIFS('RQ3'!$A$2:$A$455,$A39,'RQ3'!$P$2:$P$455,"")&gt;0,"",INDEX('RQ3'!$P$2:$P$455,MATCH($A39,'RQ3'!$A$2:$A$455,0)))=1,"MARCA ACTIVA","SIN MARCA"))</f>
        <v/>
      </c>
      <c r="G39" s="4">
        <f>IF(IF(COUNTIFS('ESTUDIOS'!$A$2:$A$455,$A39,'ESTUDIOS'!$N$2:$N$455,"")&gt;0,"",INDEX('ESTUDIOS'!$N$2:$N$455,MATCH($A39,'ESTUDIOS'!$A$2:$A$455,0)))="Verified","DOCUMENTADA","NO DOCUMENTADA")</f>
        <v/>
      </c>
      <c r="H39" s="4">
        <f>IF(D39="PENDIENTE","Leer evidencia ya extraída; registrar uso propuesto o evaluado, función, fuente y revisor en RQ2.","Comprobar evidencia y cautelas registradas; documentar verificación sin recodificar lo ya respaldado.")</f>
        <v/>
      </c>
      <c r="I39" s="4" t="inlineStr">
        <is>
          <t>https://doi.org/10.3390/ijms24032082</t>
        </is>
      </c>
    </row>
    <row r="40" ht="64" customHeight="1">
      <c r="A40" s="4" t="inlineStr">
        <is>
          <t>40</t>
        </is>
      </c>
      <c r="B40" s="4" t="inlineStr">
        <is>
          <t>Metabolomic analysis of maternal mid-gestation plasma and cord blood in autism spectrum disorders</t>
        </is>
      </c>
      <c r="C40" s="4">
        <f>IF(IF(COUNTIFS('ESTUDIOS'!$A$2:$A$455,$A40,'ESTUDIOS'!$I$2:$I$455,"")&gt;0,"",INDEX('ESTUDIOS'!$I$2:$I$455,MATCH($A40,'ESTUDIOS'!$A$2:$A$455,0)))=1,"1 - Integrity",IF(OR(IF(COUNTIFS('RQ2'!$A$2:$A$455,$A40,'RQ2'!$D$2:$D$455,"")&gt;0,"",INDEX('RQ2'!$D$2:$D$455,MATCH($A40,'RQ2'!$A$2:$A$455,0)))="",IF(COUNTIFS('RQ2'!$A$2:$A$455,$A40,'RQ2'!$E$2:$E$455,"")&gt;0,"",INDEX('RQ2'!$E$2:$E$455,MATCH($A40,'RQ2'!$A$2:$A$455,0)))=""),"2 - RQ2 historical","3 - Verify recorded evidence"))</f>
        <v/>
      </c>
      <c r="D40" s="4">
        <f>IF(OR(IF(COUNTIFS('RQ2'!$A$2:$A$455,$A40,'RQ2'!$D$2:$D$455,"")&gt;0,"",INDEX('RQ2'!$D$2:$D$455,MATCH($A40,'RQ2'!$A$2:$A$455,0)))="",IF(COUNTIFS('RQ2'!$A$2:$A$455,$A40,'RQ2'!$E$2:$E$455,"")&gt;0,"",INDEX('RQ2'!$E$2:$E$455,MATCH($A40,'RQ2'!$A$2:$A$455,0)))=""),"PENDIENTE","REGISTRADA")</f>
        <v/>
      </c>
      <c r="E40" s="4">
        <f>IF(IF(COUNTIFS('RQ1'!$A$2:$A$455,$A40,'RQ1'!$N$2:$N$455,"")&gt;0,"",INDEX('RQ1'!$N$2:$N$455,MATCH($A40,'RQ1'!$A$2:$A$455,0)))=1,"REVISAR DETALLE","REGISTRADA")</f>
        <v/>
      </c>
      <c r="F40" s="4">
        <f>IF(IF(COUNTIFS('RQ3'!$A$2:$A$455,$A40,'RQ3'!$P$2:$P$455,"")&gt;0,"",INDEX('RQ3'!$P$2:$P$455,MATCH($A40,'RQ3'!$A$2:$A$455,0)))="","NO REGISTRADO",IF(IF(COUNTIFS('RQ3'!$A$2:$A$455,$A40,'RQ3'!$P$2:$P$455,"")&gt;0,"",INDEX('RQ3'!$P$2:$P$455,MATCH($A40,'RQ3'!$A$2:$A$455,0)))=1,"MARCA ACTIVA","SIN MARCA"))</f>
        <v/>
      </c>
      <c r="G40" s="4">
        <f>IF(IF(COUNTIFS('ESTUDIOS'!$A$2:$A$455,$A40,'ESTUDIOS'!$N$2:$N$455,"")&gt;0,"",INDEX('ESTUDIOS'!$N$2:$N$455,MATCH($A40,'ESTUDIOS'!$A$2:$A$455,0)))="Verified","DOCUMENTADA","NO DOCUMENTADA")</f>
        <v/>
      </c>
      <c r="H40" s="4">
        <f>IF(D40="PENDIENTE","Leer evidencia ya extraída; registrar uso propuesto o evaluado, función, fuente y revisor en RQ2.","Comprobar evidencia y cautelas registradas; documentar verificación sin recodificar lo ya respaldado.")</f>
        <v/>
      </c>
      <c r="I40" s="4" t="inlineStr">
        <is>
          <t>https://doi.org/10.1038/s41380-023-02051-w</t>
        </is>
      </c>
    </row>
    <row r="41" ht="64" customHeight="1">
      <c r="A41" s="4" t="inlineStr">
        <is>
          <t>41</t>
        </is>
      </c>
      <c r="B41" s="4" t="inlineStr">
        <is>
          <t>Predictors of age at diagnosis in autism spectrum disorders: the use of multiple regression analyses and a classification tree on a clinical sample</t>
        </is>
      </c>
      <c r="C41" s="4">
        <f>IF(IF(COUNTIFS('ESTUDIOS'!$A$2:$A$455,$A41,'ESTUDIOS'!$I$2:$I$455,"")&gt;0,"",INDEX('ESTUDIOS'!$I$2:$I$455,MATCH($A41,'ESTUDIOS'!$A$2:$A$455,0)))=1,"1 - Integrity",IF(OR(IF(COUNTIFS('RQ2'!$A$2:$A$455,$A41,'RQ2'!$D$2:$D$455,"")&gt;0,"",INDEX('RQ2'!$D$2:$D$455,MATCH($A41,'RQ2'!$A$2:$A$455,0)))="",IF(COUNTIFS('RQ2'!$A$2:$A$455,$A41,'RQ2'!$E$2:$E$455,"")&gt;0,"",INDEX('RQ2'!$E$2:$E$455,MATCH($A41,'RQ2'!$A$2:$A$455,0)))=""),"2 - RQ2 historical","3 - Verify recorded evidence"))</f>
        <v/>
      </c>
      <c r="D41" s="4">
        <f>IF(OR(IF(COUNTIFS('RQ2'!$A$2:$A$455,$A41,'RQ2'!$D$2:$D$455,"")&gt;0,"",INDEX('RQ2'!$D$2:$D$455,MATCH($A41,'RQ2'!$A$2:$A$455,0)))="",IF(COUNTIFS('RQ2'!$A$2:$A$455,$A41,'RQ2'!$E$2:$E$455,"")&gt;0,"",INDEX('RQ2'!$E$2:$E$455,MATCH($A41,'RQ2'!$A$2:$A$455,0)))=""),"PENDIENTE","REGISTRADA")</f>
        <v/>
      </c>
      <c r="E41" s="4">
        <f>IF(IF(COUNTIFS('RQ1'!$A$2:$A$455,$A41,'RQ1'!$N$2:$N$455,"")&gt;0,"",INDEX('RQ1'!$N$2:$N$455,MATCH($A41,'RQ1'!$A$2:$A$455,0)))=1,"REVISAR DETALLE","REGISTRADA")</f>
        <v/>
      </c>
      <c r="F41" s="4">
        <f>IF(IF(COUNTIFS('RQ3'!$A$2:$A$455,$A41,'RQ3'!$P$2:$P$455,"")&gt;0,"",INDEX('RQ3'!$P$2:$P$455,MATCH($A41,'RQ3'!$A$2:$A$455,0)))="","NO REGISTRADO",IF(IF(COUNTIFS('RQ3'!$A$2:$A$455,$A41,'RQ3'!$P$2:$P$455,"")&gt;0,"",INDEX('RQ3'!$P$2:$P$455,MATCH($A41,'RQ3'!$A$2:$A$455,0)))=1,"MARCA ACTIVA","SIN MARCA"))</f>
        <v/>
      </c>
      <c r="G41" s="4">
        <f>IF(IF(COUNTIFS('ESTUDIOS'!$A$2:$A$455,$A41,'ESTUDIOS'!$N$2:$N$455,"")&gt;0,"",INDEX('ESTUDIOS'!$N$2:$N$455,MATCH($A41,'ESTUDIOS'!$A$2:$A$455,0)))="Verified","DOCUMENTADA","NO DOCUMENTADA")</f>
        <v/>
      </c>
      <c r="H41" s="4">
        <f>IF(D41="PENDIENTE","Leer evidencia ya extraída; registrar uso propuesto o evaluado, función, fuente y revisor en RQ2.","Comprobar evidencia y cautelas registradas; documentar verificación sin recodificar lo ya respaldado.")</f>
        <v/>
      </c>
      <c r="I41" s="4" t="inlineStr">
        <is>
          <t>https://doi.org/10.1007/s00787-023-02189-6</t>
        </is>
      </c>
    </row>
    <row r="42" ht="64" customHeight="1">
      <c r="A42" s="4" t="inlineStr">
        <is>
          <t>42</t>
        </is>
      </c>
      <c r="B42" s="4" t="inlineStr">
        <is>
          <t>Promoting emotional and behavioral interventions in ASD treatment: Evidence from EPIGRAM, A naturalistic, prospective and longitudinal study</t>
        </is>
      </c>
      <c r="C42" s="4">
        <f>IF(IF(COUNTIFS('ESTUDIOS'!$A$2:$A$455,$A42,'ESTUDIOS'!$I$2:$I$455,"")&gt;0,"",INDEX('ESTUDIOS'!$I$2:$I$455,MATCH($A42,'ESTUDIOS'!$A$2:$A$455,0)))=1,"1 - Integrity",IF(OR(IF(COUNTIFS('RQ2'!$A$2:$A$455,$A42,'RQ2'!$D$2:$D$455,"")&gt;0,"",INDEX('RQ2'!$D$2:$D$455,MATCH($A42,'RQ2'!$A$2:$A$455,0)))="",IF(COUNTIFS('RQ2'!$A$2:$A$455,$A42,'RQ2'!$E$2:$E$455,"")&gt;0,"",INDEX('RQ2'!$E$2:$E$455,MATCH($A42,'RQ2'!$A$2:$A$455,0)))=""),"2 - RQ2 historical","3 - Verify recorded evidence"))</f>
        <v/>
      </c>
      <c r="D42" s="4">
        <f>IF(OR(IF(COUNTIFS('RQ2'!$A$2:$A$455,$A42,'RQ2'!$D$2:$D$455,"")&gt;0,"",INDEX('RQ2'!$D$2:$D$455,MATCH($A42,'RQ2'!$A$2:$A$455,0)))="",IF(COUNTIFS('RQ2'!$A$2:$A$455,$A42,'RQ2'!$E$2:$E$455,"")&gt;0,"",INDEX('RQ2'!$E$2:$E$455,MATCH($A42,'RQ2'!$A$2:$A$455,0)))=""),"PENDIENTE","REGISTRADA")</f>
        <v/>
      </c>
      <c r="E42" s="4">
        <f>IF(IF(COUNTIFS('RQ1'!$A$2:$A$455,$A42,'RQ1'!$N$2:$N$455,"")&gt;0,"",INDEX('RQ1'!$N$2:$N$455,MATCH($A42,'RQ1'!$A$2:$A$455,0)))=1,"REVISAR DETALLE","REGISTRADA")</f>
        <v/>
      </c>
      <c r="F42" s="4">
        <f>IF(IF(COUNTIFS('RQ3'!$A$2:$A$455,$A42,'RQ3'!$P$2:$P$455,"")&gt;0,"",INDEX('RQ3'!$P$2:$P$455,MATCH($A42,'RQ3'!$A$2:$A$455,0)))="","NO REGISTRADO",IF(IF(COUNTIFS('RQ3'!$A$2:$A$455,$A42,'RQ3'!$P$2:$P$455,"")&gt;0,"",INDEX('RQ3'!$P$2:$P$455,MATCH($A42,'RQ3'!$A$2:$A$455,0)))=1,"MARCA ACTIVA","SIN MARCA"))</f>
        <v/>
      </c>
      <c r="G42" s="4">
        <f>IF(IF(COUNTIFS('ESTUDIOS'!$A$2:$A$455,$A42,'ESTUDIOS'!$N$2:$N$455,"")&gt;0,"",INDEX('ESTUDIOS'!$N$2:$N$455,MATCH($A42,'ESTUDIOS'!$A$2:$A$455,0)))="Verified","DOCUMENTADA","NO DOCUMENTADA")</f>
        <v/>
      </c>
      <c r="H42" s="4">
        <f>IF(D42="PENDIENTE","Leer evidencia ya extraída; registrar uso propuesto o evaluado, función, fuente y revisor en RQ2.","Comprobar evidencia y cautelas registradas; documentar verificación sin recodificar lo ya respaldado.")</f>
        <v/>
      </c>
      <c r="I42" s="4" t="inlineStr">
        <is>
          <t>https://doi.org/10.1016/j.ridd.2024.104688</t>
        </is>
      </c>
    </row>
    <row r="43" ht="64" customHeight="1">
      <c r="A43" s="4" t="inlineStr">
        <is>
          <t>43</t>
        </is>
      </c>
      <c r="B43" s="4" t="inlineStr">
        <is>
          <t>The role of the dopamine system in autism spectrum disorder revealed using machine learning: an ABIDE database–based study</t>
        </is>
      </c>
      <c r="C43" s="4">
        <f>IF(IF(COUNTIFS('ESTUDIOS'!$A$2:$A$455,$A43,'ESTUDIOS'!$I$2:$I$455,"")&gt;0,"",INDEX('ESTUDIOS'!$I$2:$I$455,MATCH($A43,'ESTUDIOS'!$A$2:$A$455,0)))=1,"1 - Integrity",IF(OR(IF(COUNTIFS('RQ2'!$A$2:$A$455,$A43,'RQ2'!$D$2:$D$455,"")&gt;0,"",INDEX('RQ2'!$D$2:$D$455,MATCH($A43,'RQ2'!$A$2:$A$455,0)))="",IF(COUNTIFS('RQ2'!$A$2:$A$455,$A43,'RQ2'!$E$2:$E$455,"")&gt;0,"",INDEX('RQ2'!$E$2:$E$455,MATCH($A43,'RQ2'!$A$2:$A$455,0)))=""),"2 - RQ2 historical","3 - Verify recorded evidence"))</f>
        <v/>
      </c>
      <c r="D43" s="4">
        <f>IF(OR(IF(COUNTIFS('RQ2'!$A$2:$A$455,$A43,'RQ2'!$D$2:$D$455,"")&gt;0,"",INDEX('RQ2'!$D$2:$D$455,MATCH($A43,'RQ2'!$A$2:$A$455,0)))="",IF(COUNTIFS('RQ2'!$A$2:$A$455,$A43,'RQ2'!$E$2:$E$455,"")&gt;0,"",INDEX('RQ2'!$E$2:$E$455,MATCH($A43,'RQ2'!$A$2:$A$455,0)))=""),"PENDIENTE","REGISTRADA")</f>
        <v/>
      </c>
      <c r="E43" s="4">
        <f>IF(IF(COUNTIFS('RQ1'!$A$2:$A$455,$A43,'RQ1'!$N$2:$N$455,"")&gt;0,"",INDEX('RQ1'!$N$2:$N$455,MATCH($A43,'RQ1'!$A$2:$A$455,0)))=1,"REVISAR DETALLE","REGISTRADA")</f>
        <v/>
      </c>
      <c r="F43" s="4">
        <f>IF(IF(COUNTIFS('RQ3'!$A$2:$A$455,$A43,'RQ3'!$P$2:$P$455,"")&gt;0,"",INDEX('RQ3'!$P$2:$P$455,MATCH($A43,'RQ3'!$A$2:$A$455,0)))="","NO REGISTRADO",IF(IF(COUNTIFS('RQ3'!$A$2:$A$455,$A43,'RQ3'!$P$2:$P$455,"")&gt;0,"",INDEX('RQ3'!$P$2:$P$455,MATCH($A43,'RQ3'!$A$2:$A$455,0)))=1,"MARCA ACTIVA","SIN MARCA"))</f>
        <v/>
      </c>
      <c r="G43" s="4">
        <f>IF(IF(COUNTIFS('ESTUDIOS'!$A$2:$A$455,$A43,'ESTUDIOS'!$N$2:$N$455,"")&gt;0,"",INDEX('ESTUDIOS'!$N$2:$N$455,MATCH($A43,'ESTUDIOS'!$A$2:$A$455,0)))="Verified","DOCUMENTADA","NO DOCUMENTADA")</f>
        <v/>
      </c>
      <c r="H43" s="4">
        <f>IF(D43="PENDIENTE","Leer evidencia ya extraída; registrar uso propuesto o evaluado, función, fuente y revisor en RQ2.","Comprobar evidencia y cautelas registradas; documentar verificación sin recodificar lo ya respaldado.")</f>
        <v/>
      </c>
      <c r="I43" s="4" t="inlineStr">
        <is>
          <t>https://doi.org/10.1093/cercor/bhaf022</t>
        </is>
      </c>
    </row>
    <row r="44" ht="64" customHeight="1">
      <c r="A44" s="4" t="inlineStr">
        <is>
          <t>44</t>
        </is>
      </c>
      <c r="B44" s="4" t="inlineStr">
        <is>
          <t>Using Artificial Intelligence to Identify Factors Associated with Autism Spectrum Disorder in Adolescents with Cerebral Palsy</t>
        </is>
      </c>
      <c r="C44" s="4">
        <f>IF(IF(COUNTIFS('ESTUDIOS'!$A$2:$A$455,$A44,'ESTUDIOS'!$I$2:$I$455,"")&gt;0,"",INDEX('ESTUDIOS'!$I$2:$I$455,MATCH($A44,'ESTUDIOS'!$A$2:$A$455,0)))=1,"1 - Integrity",IF(OR(IF(COUNTIFS('RQ2'!$A$2:$A$455,$A44,'RQ2'!$D$2:$D$455,"")&gt;0,"",INDEX('RQ2'!$D$2:$D$455,MATCH($A44,'RQ2'!$A$2:$A$455,0)))="",IF(COUNTIFS('RQ2'!$A$2:$A$455,$A44,'RQ2'!$E$2:$E$455,"")&gt;0,"",INDEX('RQ2'!$E$2:$E$455,MATCH($A44,'RQ2'!$A$2:$A$455,0)))=""),"2 - RQ2 historical","3 - Verify recorded evidence"))</f>
        <v/>
      </c>
      <c r="D44" s="4">
        <f>IF(OR(IF(COUNTIFS('RQ2'!$A$2:$A$455,$A44,'RQ2'!$D$2:$D$455,"")&gt;0,"",INDEX('RQ2'!$D$2:$D$455,MATCH($A44,'RQ2'!$A$2:$A$455,0)))="",IF(COUNTIFS('RQ2'!$A$2:$A$455,$A44,'RQ2'!$E$2:$E$455,"")&gt;0,"",INDEX('RQ2'!$E$2:$E$455,MATCH($A44,'RQ2'!$A$2:$A$455,0)))=""),"PENDIENTE","REGISTRADA")</f>
        <v/>
      </c>
      <c r="E44" s="4">
        <f>IF(IF(COUNTIFS('RQ1'!$A$2:$A$455,$A44,'RQ1'!$N$2:$N$455,"")&gt;0,"",INDEX('RQ1'!$N$2:$N$455,MATCH($A44,'RQ1'!$A$2:$A$455,0)))=1,"REVISAR DETALLE","REGISTRADA")</f>
        <v/>
      </c>
      <c r="F44" s="4">
        <f>IF(IF(COUNTIFS('RQ3'!$A$2:$A$455,$A44,'RQ3'!$P$2:$P$455,"")&gt;0,"",INDEX('RQ3'!$P$2:$P$455,MATCH($A44,'RQ3'!$A$2:$A$455,0)))="","NO REGISTRADO",IF(IF(COUNTIFS('RQ3'!$A$2:$A$455,$A44,'RQ3'!$P$2:$P$455,"")&gt;0,"",INDEX('RQ3'!$P$2:$P$455,MATCH($A44,'RQ3'!$A$2:$A$455,0)))=1,"MARCA ACTIVA","SIN MARCA"))</f>
        <v/>
      </c>
      <c r="G44" s="4">
        <f>IF(IF(COUNTIFS('ESTUDIOS'!$A$2:$A$455,$A44,'ESTUDIOS'!$N$2:$N$455,"")&gt;0,"",INDEX('ESTUDIOS'!$N$2:$N$455,MATCH($A44,'ESTUDIOS'!$A$2:$A$455,0)))="Verified","DOCUMENTADA","NO DOCUMENTADA")</f>
        <v/>
      </c>
      <c r="H44" s="4">
        <f>IF(D44="PENDIENTE","Leer evidencia ya extraída; registrar uso propuesto o evaluado, función, fuente y revisor en RQ2.","Comprobar evidencia y cautelas registradas; documentar verificación sin recodificar lo ya respaldado.")</f>
        <v/>
      </c>
      <c r="I44" s="4" t="inlineStr">
        <is>
          <t>https://doi.org/10.1055/s-0039-1685525</t>
        </is>
      </c>
    </row>
    <row r="45" ht="64" customHeight="1">
      <c r="A45" s="4" t="inlineStr">
        <is>
          <t>45</t>
        </is>
      </c>
      <c r="B45" s="4" t="inlineStr">
        <is>
          <t>Using resting state functional MRI to build a personalized autism diagnosis system</t>
        </is>
      </c>
      <c r="C45" s="4">
        <f>IF(IF(COUNTIFS('ESTUDIOS'!$A$2:$A$455,$A45,'ESTUDIOS'!$I$2:$I$455,"")&gt;0,"",INDEX('ESTUDIOS'!$I$2:$I$455,MATCH($A45,'ESTUDIOS'!$A$2:$A$455,0)))=1,"1 - Integrity",IF(OR(IF(COUNTIFS('RQ2'!$A$2:$A$455,$A45,'RQ2'!$D$2:$D$455,"")&gt;0,"",INDEX('RQ2'!$D$2:$D$455,MATCH($A45,'RQ2'!$A$2:$A$455,0)))="",IF(COUNTIFS('RQ2'!$A$2:$A$455,$A45,'RQ2'!$E$2:$E$455,"")&gt;0,"",INDEX('RQ2'!$E$2:$E$455,MATCH($A45,'RQ2'!$A$2:$A$455,0)))=""),"2 - RQ2 historical","3 - Verify recorded evidence"))</f>
        <v/>
      </c>
      <c r="D45" s="4">
        <f>IF(OR(IF(COUNTIFS('RQ2'!$A$2:$A$455,$A45,'RQ2'!$D$2:$D$455,"")&gt;0,"",INDEX('RQ2'!$D$2:$D$455,MATCH($A45,'RQ2'!$A$2:$A$455,0)))="",IF(COUNTIFS('RQ2'!$A$2:$A$455,$A45,'RQ2'!$E$2:$E$455,"")&gt;0,"",INDEX('RQ2'!$E$2:$E$455,MATCH($A45,'RQ2'!$A$2:$A$455,0)))=""),"PENDIENTE","REGISTRADA")</f>
        <v/>
      </c>
      <c r="E45" s="4">
        <f>IF(IF(COUNTIFS('RQ1'!$A$2:$A$455,$A45,'RQ1'!$N$2:$N$455,"")&gt;0,"",INDEX('RQ1'!$N$2:$N$455,MATCH($A45,'RQ1'!$A$2:$A$455,0)))=1,"REVISAR DETALLE","REGISTRADA")</f>
        <v/>
      </c>
      <c r="F45" s="4">
        <f>IF(IF(COUNTIFS('RQ3'!$A$2:$A$455,$A45,'RQ3'!$P$2:$P$455,"")&gt;0,"",INDEX('RQ3'!$P$2:$P$455,MATCH($A45,'RQ3'!$A$2:$A$455,0)))="","NO REGISTRADO",IF(IF(COUNTIFS('RQ3'!$A$2:$A$455,$A45,'RQ3'!$P$2:$P$455,"")&gt;0,"",INDEX('RQ3'!$P$2:$P$455,MATCH($A45,'RQ3'!$A$2:$A$455,0)))=1,"MARCA ACTIVA","SIN MARCA"))</f>
        <v/>
      </c>
      <c r="G45" s="4">
        <f>IF(IF(COUNTIFS('ESTUDIOS'!$A$2:$A$455,$A45,'ESTUDIOS'!$N$2:$N$455,"")&gt;0,"",INDEX('ESTUDIOS'!$N$2:$N$455,MATCH($A45,'ESTUDIOS'!$A$2:$A$455,0)))="Verified","DOCUMENTADA","NO DOCUMENTADA")</f>
        <v/>
      </c>
      <c r="H45" s="4">
        <f>IF(D45="PENDIENTE","Leer evidencia ya extraída; registrar uso propuesto o evaluado, función, fuente y revisor en RQ2.","Comprobar evidencia y cautelas registradas; documentar verificación sin recodificar lo ya respaldado.")</f>
        <v/>
      </c>
      <c r="I45" s="4" t="inlineStr">
        <is>
          <t>https://doi.org/10.1371/journal.pone.0206351</t>
        </is>
      </c>
    </row>
    <row r="46" ht="64" customHeight="1">
      <c r="A46" s="4" t="inlineStr">
        <is>
          <t>46</t>
        </is>
      </c>
      <c r="B46" s="4" t="inlineStr">
        <is>
          <t>A Model to Support the Prediction of Indicators in the Diagnosis and Intervention of Autism Spectrum Disorder</t>
        </is>
      </c>
      <c r="C46" s="4">
        <f>IF(IF(COUNTIFS('ESTUDIOS'!$A$2:$A$455,$A46,'ESTUDIOS'!$I$2:$I$455,"")&gt;0,"",INDEX('ESTUDIOS'!$I$2:$I$455,MATCH($A46,'ESTUDIOS'!$A$2:$A$455,0)))=1,"1 - Integrity",IF(OR(IF(COUNTIFS('RQ2'!$A$2:$A$455,$A46,'RQ2'!$D$2:$D$455,"")&gt;0,"",INDEX('RQ2'!$D$2:$D$455,MATCH($A46,'RQ2'!$A$2:$A$455,0)))="",IF(COUNTIFS('RQ2'!$A$2:$A$455,$A46,'RQ2'!$E$2:$E$455,"")&gt;0,"",INDEX('RQ2'!$E$2:$E$455,MATCH($A46,'RQ2'!$A$2:$A$455,0)))=""),"2 - RQ2 historical","3 - Verify recorded evidence"))</f>
        <v/>
      </c>
      <c r="D46" s="4">
        <f>IF(OR(IF(COUNTIFS('RQ2'!$A$2:$A$455,$A46,'RQ2'!$D$2:$D$455,"")&gt;0,"",INDEX('RQ2'!$D$2:$D$455,MATCH($A46,'RQ2'!$A$2:$A$455,0)))="",IF(COUNTIFS('RQ2'!$A$2:$A$455,$A46,'RQ2'!$E$2:$E$455,"")&gt;0,"",INDEX('RQ2'!$E$2:$E$455,MATCH($A46,'RQ2'!$A$2:$A$455,0)))=""),"PENDIENTE","REGISTRADA")</f>
        <v/>
      </c>
      <c r="E46" s="4">
        <f>IF(IF(COUNTIFS('RQ1'!$A$2:$A$455,$A46,'RQ1'!$N$2:$N$455,"")&gt;0,"",INDEX('RQ1'!$N$2:$N$455,MATCH($A46,'RQ1'!$A$2:$A$455,0)))=1,"REVISAR DETALLE","REGISTRADA")</f>
        <v/>
      </c>
      <c r="F46" s="4">
        <f>IF(IF(COUNTIFS('RQ3'!$A$2:$A$455,$A46,'RQ3'!$P$2:$P$455,"")&gt;0,"",INDEX('RQ3'!$P$2:$P$455,MATCH($A46,'RQ3'!$A$2:$A$455,0)))="","NO REGISTRADO",IF(IF(COUNTIFS('RQ3'!$A$2:$A$455,$A46,'RQ3'!$P$2:$P$455,"")&gt;0,"",INDEX('RQ3'!$P$2:$P$455,MATCH($A46,'RQ3'!$A$2:$A$455,0)))=1,"MARCA ACTIVA","SIN MARCA"))</f>
        <v/>
      </c>
      <c r="G46" s="4">
        <f>IF(IF(COUNTIFS('ESTUDIOS'!$A$2:$A$455,$A46,'ESTUDIOS'!$N$2:$N$455,"")&gt;0,"",INDEX('ESTUDIOS'!$N$2:$N$455,MATCH($A46,'ESTUDIOS'!$A$2:$A$455,0)))="Verified","DOCUMENTADA","NO DOCUMENTADA")</f>
        <v/>
      </c>
      <c r="H46" s="4">
        <f>IF(D46="PENDIENTE","Leer evidencia ya extraída; registrar uso propuesto o evaluado, función, fuente y revisor en RQ2.","Comprobar evidencia y cautelas registradas; documentar verificación sin recodificar lo ya respaldado.")</f>
        <v/>
      </c>
      <c r="I46" s="4" t="inlineStr">
        <is>
          <t>https://doi.org/10.1007/978-3-031-48642-5_7</t>
        </is>
      </c>
    </row>
    <row r="47" ht="64" customHeight="1">
      <c r="A47" s="4" t="inlineStr">
        <is>
          <t>47</t>
        </is>
      </c>
      <c r="B47" s="4" t="inlineStr">
        <is>
          <t>A novel multi-modal model to assist the diagnosis of autism spectrum disorder using eye-tracking data</t>
        </is>
      </c>
      <c r="C47" s="4">
        <f>IF(IF(COUNTIFS('ESTUDIOS'!$A$2:$A$455,$A47,'ESTUDIOS'!$I$2:$I$455,"")&gt;0,"",INDEX('ESTUDIOS'!$I$2:$I$455,MATCH($A47,'ESTUDIOS'!$A$2:$A$455,0)))=1,"1 - Integrity",IF(OR(IF(COUNTIFS('RQ2'!$A$2:$A$455,$A47,'RQ2'!$D$2:$D$455,"")&gt;0,"",INDEX('RQ2'!$D$2:$D$455,MATCH($A47,'RQ2'!$A$2:$A$455,0)))="",IF(COUNTIFS('RQ2'!$A$2:$A$455,$A47,'RQ2'!$E$2:$E$455,"")&gt;0,"",INDEX('RQ2'!$E$2:$E$455,MATCH($A47,'RQ2'!$A$2:$A$455,0)))=""),"2 - RQ2 historical","3 - Verify recorded evidence"))</f>
        <v/>
      </c>
      <c r="D47" s="4">
        <f>IF(OR(IF(COUNTIFS('RQ2'!$A$2:$A$455,$A47,'RQ2'!$D$2:$D$455,"")&gt;0,"",INDEX('RQ2'!$D$2:$D$455,MATCH($A47,'RQ2'!$A$2:$A$455,0)))="",IF(COUNTIFS('RQ2'!$A$2:$A$455,$A47,'RQ2'!$E$2:$E$455,"")&gt;0,"",INDEX('RQ2'!$E$2:$E$455,MATCH($A47,'RQ2'!$A$2:$A$455,0)))=""),"PENDIENTE","REGISTRADA")</f>
        <v/>
      </c>
      <c r="E47" s="4">
        <f>IF(IF(COUNTIFS('RQ1'!$A$2:$A$455,$A47,'RQ1'!$N$2:$N$455,"")&gt;0,"",INDEX('RQ1'!$N$2:$N$455,MATCH($A47,'RQ1'!$A$2:$A$455,0)))=1,"REVISAR DETALLE","REGISTRADA")</f>
        <v/>
      </c>
      <c r="F47" s="4">
        <f>IF(IF(COUNTIFS('RQ3'!$A$2:$A$455,$A47,'RQ3'!$P$2:$P$455,"")&gt;0,"",INDEX('RQ3'!$P$2:$P$455,MATCH($A47,'RQ3'!$A$2:$A$455,0)))="","NO REGISTRADO",IF(IF(COUNTIFS('RQ3'!$A$2:$A$455,$A47,'RQ3'!$P$2:$P$455,"")&gt;0,"",INDEX('RQ3'!$P$2:$P$455,MATCH($A47,'RQ3'!$A$2:$A$455,0)))=1,"MARCA ACTIVA","SIN MARCA"))</f>
        <v/>
      </c>
      <c r="G47" s="4">
        <f>IF(IF(COUNTIFS('ESTUDIOS'!$A$2:$A$455,$A47,'ESTUDIOS'!$N$2:$N$455,"")&gt;0,"",INDEX('ESTUDIOS'!$N$2:$N$455,MATCH($A47,'ESTUDIOS'!$A$2:$A$455,0)))="Verified","DOCUMENTADA","NO DOCUMENTADA")</f>
        <v/>
      </c>
      <c r="H47" s="4">
        <f>IF(D47="PENDIENTE","Leer evidencia ya extraída; registrar uso propuesto o evaluado, función, fuente y revisor en RQ2.","Comprobar evidencia y cautelas registradas; documentar verificación sin recodificar lo ya respaldado.")</f>
        <v/>
      </c>
      <c r="I47" s="4" t="inlineStr">
        <is>
          <t>https://doi.org/10.1007/s13755-024-00299-2</t>
        </is>
      </c>
    </row>
    <row r="48" ht="64" customHeight="1">
      <c r="A48" s="4" t="inlineStr">
        <is>
          <t>48</t>
        </is>
      </c>
      <c r="B48" s="4" t="inlineStr">
        <is>
          <t>A randomized controlled trial of 25 sessions comparing music therapy and music listening for children with autism spectrum disorder</t>
        </is>
      </c>
      <c r="C48" s="4">
        <f>IF(IF(COUNTIFS('ESTUDIOS'!$A$2:$A$455,$A48,'ESTUDIOS'!$I$2:$I$455,"")&gt;0,"",INDEX('ESTUDIOS'!$I$2:$I$455,MATCH($A48,'ESTUDIOS'!$A$2:$A$455,0)))=1,"1 - Integrity",IF(OR(IF(COUNTIFS('RQ2'!$A$2:$A$455,$A48,'RQ2'!$D$2:$D$455,"")&gt;0,"",INDEX('RQ2'!$D$2:$D$455,MATCH($A48,'RQ2'!$A$2:$A$455,0)))="",IF(COUNTIFS('RQ2'!$A$2:$A$455,$A48,'RQ2'!$E$2:$E$455,"")&gt;0,"",INDEX('RQ2'!$E$2:$E$455,MATCH($A48,'RQ2'!$A$2:$A$455,0)))=""),"2 - RQ2 historical","3 - Verify recorded evidence"))</f>
        <v/>
      </c>
      <c r="D48" s="4">
        <f>IF(OR(IF(COUNTIFS('RQ2'!$A$2:$A$455,$A48,'RQ2'!$D$2:$D$455,"")&gt;0,"",INDEX('RQ2'!$D$2:$D$455,MATCH($A48,'RQ2'!$A$2:$A$455,0)))="",IF(COUNTIFS('RQ2'!$A$2:$A$455,$A48,'RQ2'!$E$2:$E$455,"")&gt;0,"",INDEX('RQ2'!$E$2:$E$455,MATCH($A48,'RQ2'!$A$2:$A$455,0)))=""),"PENDIENTE","REGISTRADA")</f>
        <v/>
      </c>
      <c r="E48" s="4">
        <f>IF(IF(COUNTIFS('RQ1'!$A$2:$A$455,$A48,'RQ1'!$N$2:$N$455,"")&gt;0,"",INDEX('RQ1'!$N$2:$N$455,MATCH($A48,'RQ1'!$A$2:$A$455,0)))=1,"REVISAR DETALLE","REGISTRADA")</f>
        <v/>
      </c>
      <c r="F48" s="4">
        <f>IF(IF(COUNTIFS('RQ3'!$A$2:$A$455,$A48,'RQ3'!$P$2:$P$455,"")&gt;0,"",INDEX('RQ3'!$P$2:$P$455,MATCH($A48,'RQ3'!$A$2:$A$455,0)))="","NO REGISTRADO",IF(IF(COUNTIFS('RQ3'!$A$2:$A$455,$A48,'RQ3'!$P$2:$P$455,"")&gt;0,"",INDEX('RQ3'!$P$2:$P$455,MATCH($A48,'RQ3'!$A$2:$A$455,0)))=1,"MARCA ACTIVA","SIN MARCA"))</f>
        <v/>
      </c>
      <c r="G48" s="4">
        <f>IF(IF(COUNTIFS('ESTUDIOS'!$A$2:$A$455,$A48,'ESTUDIOS'!$N$2:$N$455,"")&gt;0,"",INDEX('ESTUDIOS'!$N$2:$N$455,MATCH($A48,'ESTUDIOS'!$A$2:$A$455,0)))="Verified","DOCUMENTADA","NO DOCUMENTADA")</f>
        <v/>
      </c>
      <c r="H48" s="4">
        <f>IF(D48="PENDIENTE","Leer evidencia ya extraída; registrar uso propuesto o evaluado, función, fuente y revisor en RQ2.","Comprobar evidencia y cautelas registradas; documentar verificación sin recodificar lo ya respaldado.")</f>
        <v/>
      </c>
      <c r="I48" s="4" t="inlineStr">
        <is>
          <t>https://doi.org/10.1016/j.psychres.2020.113377</t>
        </is>
      </c>
    </row>
    <row r="49" ht="64" customHeight="1">
      <c r="A49" s="4" t="inlineStr">
        <is>
          <t>49</t>
        </is>
      </c>
      <c r="B49" s="4" t="inlineStr">
        <is>
          <t>A Triple-Pooling Graph Neural Network for\&amp;#xa0;Multi-scale Topological Learning of\&amp;#xa0;Brain Functional Connectivity: Application to\&amp;#xa0;ASD Diagnosis</t>
        </is>
      </c>
      <c r="C49" s="4">
        <f>IF(IF(COUNTIFS('ESTUDIOS'!$A$2:$A$455,$A49,'ESTUDIOS'!$I$2:$I$455,"")&gt;0,"",INDEX('ESTUDIOS'!$I$2:$I$455,MATCH($A49,'ESTUDIOS'!$A$2:$A$455,0)))=1,"1 - Integrity",IF(OR(IF(COUNTIFS('RQ2'!$A$2:$A$455,$A49,'RQ2'!$D$2:$D$455,"")&gt;0,"",INDEX('RQ2'!$D$2:$D$455,MATCH($A49,'RQ2'!$A$2:$A$455,0)))="",IF(COUNTIFS('RQ2'!$A$2:$A$455,$A49,'RQ2'!$E$2:$E$455,"")&gt;0,"",INDEX('RQ2'!$E$2:$E$455,MATCH($A49,'RQ2'!$A$2:$A$455,0)))=""),"2 - RQ2 historical","3 - Verify recorded evidence"))</f>
        <v/>
      </c>
      <c r="D49" s="4">
        <f>IF(OR(IF(COUNTIFS('RQ2'!$A$2:$A$455,$A49,'RQ2'!$D$2:$D$455,"")&gt;0,"",INDEX('RQ2'!$D$2:$D$455,MATCH($A49,'RQ2'!$A$2:$A$455,0)))="",IF(COUNTIFS('RQ2'!$A$2:$A$455,$A49,'RQ2'!$E$2:$E$455,"")&gt;0,"",INDEX('RQ2'!$E$2:$E$455,MATCH($A49,'RQ2'!$A$2:$A$455,0)))=""),"PENDIENTE","REGISTRADA")</f>
        <v/>
      </c>
      <c r="E49" s="4">
        <f>IF(IF(COUNTIFS('RQ1'!$A$2:$A$455,$A49,'RQ1'!$N$2:$N$455,"")&gt;0,"",INDEX('RQ1'!$N$2:$N$455,MATCH($A49,'RQ1'!$A$2:$A$455,0)))=1,"REVISAR DETALLE","REGISTRADA")</f>
        <v/>
      </c>
      <c r="F49" s="4">
        <f>IF(IF(COUNTIFS('RQ3'!$A$2:$A$455,$A49,'RQ3'!$P$2:$P$455,"")&gt;0,"",INDEX('RQ3'!$P$2:$P$455,MATCH($A49,'RQ3'!$A$2:$A$455,0)))="","NO REGISTRADO",IF(IF(COUNTIFS('RQ3'!$A$2:$A$455,$A49,'RQ3'!$P$2:$P$455,"")&gt;0,"",INDEX('RQ3'!$P$2:$P$455,MATCH($A49,'RQ3'!$A$2:$A$455,0)))=1,"MARCA ACTIVA","SIN MARCA"))</f>
        <v/>
      </c>
      <c r="G49" s="4">
        <f>IF(IF(COUNTIFS('ESTUDIOS'!$A$2:$A$455,$A49,'ESTUDIOS'!$N$2:$N$455,"")&gt;0,"",INDEX('ESTUDIOS'!$N$2:$N$455,MATCH($A49,'ESTUDIOS'!$A$2:$A$455,0)))="Verified","DOCUMENTADA","NO DOCUMENTADA")</f>
        <v/>
      </c>
      <c r="H49" s="4">
        <f>IF(D49="PENDIENTE","Leer evidencia ya extraída; registrar uso propuesto o evaluado, función, fuente y revisor en RQ2.","Comprobar evidencia y cautelas registradas; documentar verificación sin recodificar lo ya respaldado.")</f>
        <v/>
      </c>
      <c r="I49" s="4" t="inlineStr">
        <is>
          <t>https://doi.org/10.1007/978-3-030-93049-3_30</t>
        </is>
      </c>
    </row>
    <row r="50" ht="64" customHeight="1">
      <c r="A50" s="4" t="inlineStr">
        <is>
          <t>51</t>
        </is>
      </c>
      <c r="B50" s="4" t="inlineStr">
        <is>
          <t>Bilinear Perceptual Fusion Algorithm Based on Brain Functional and Structural Data for ASD Diagnosis and Regions of Interest Identification</t>
        </is>
      </c>
      <c r="C50" s="4">
        <f>IF(IF(COUNTIFS('ESTUDIOS'!$A$2:$A$455,$A50,'ESTUDIOS'!$I$2:$I$455,"")&gt;0,"",INDEX('ESTUDIOS'!$I$2:$I$455,MATCH($A50,'ESTUDIOS'!$A$2:$A$455,0)))=1,"1 - Integrity",IF(OR(IF(COUNTIFS('RQ2'!$A$2:$A$455,$A50,'RQ2'!$D$2:$D$455,"")&gt;0,"",INDEX('RQ2'!$D$2:$D$455,MATCH($A50,'RQ2'!$A$2:$A$455,0)))="",IF(COUNTIFS('RQ2'!$A$2:$A$455,$A50,'RQ2'!$E$2:$E$455,"")&gt;0,"",INDEX('RQ2'!$E$2:$E$455,MATCH($A50,'RQ2'!$A$2:$A$455,0)))=""),"2 - RQ2 historical","3 - Verify recorded evidence"))</f>
        <v/>
      </c>
      <c r="D50" s="4">
        <f>IF(OR(IF(COUNTIFS('RQ2'!$A$2:$A$455,$A50,'RQ2'!$D$2:$D$455,"")&gt;0,"",INDEX('RQ2'!$D$2:$D$455,MATCH($A50,'RQ2'!$A$2:$A$455,0)))="",IF(COUNTIFS('RQ2'!$A$2:$A$455,$A50,'RQ2'!$E$2:$E$455,"")&gt;0,"",INDEX('RQ2'!$E$2:$E$455,MATCH($A50,'RQ2'!$A$2:$A$455,0)))=""),"PENDIENTE","REGISTRADA")</f>
        <v/>
      </c>
      <c r="E50" s="4">
        <f>IF(IF(COUNTIFS('RQ1'!$A$2:$A$455,$A50,'RQ1'!$N$2:$N$455,"")&gt;0,"",INDEX('RQ1'!$N$2:$N$455,MATCH($A50,'RQ1'!$A$2:$A$455,0)))=1,"REVISAR DETALLE","REGISTRADA")</f>
        <v/>
      </c>
      <c r="F50" s="4">
        <f>IF(IF(COUNTIFS('RQ3'!$A$2:$A$455,$A50,'RQ3'!$P$2:$P$455,"")&gt;0,"",INDEX('RQ3'!$P$2:$P$455,MATCH($A50,'RQ3'!$A$2:$A$455,0)))="","NO REGISTRADO",IF(IF(COUNTIFS('RQ3'!$A$2:$A$455,$A50,'RQ3'!$P$2:$P$455,"")&gt;0,"",INDEX('RQ3'!$P$2:$P$455,MATCH($A50,'RQ3'!$A$2:$A$455,0)))=1,"MARCA ACTIVA","SIN MARCA"))</f>
        <v/>
      </c>
      <c r="G50" s="4">
        <f>IF(IF(COUNTIFS('ESTUDIOS'!$A$2:$A$455,$A50,'ESTUDIOS'!$N$2:$N$455,"")&gt;0,"",INDEX('ESTUDIOS'!$N$2:$N$455,MATCH($A50,'ESTUDIOS'!$A$2:$A$455,0)))="Verified","DOCUMENTADA","NO DOCUMENTADA")</f>
        <v/>
      </c>
      <c r="H50" s="4">
        <f>IF(D50="PENDIENTE","Leer evidencia ya extraída; registrar uso propuesto o evaluado, función, fuente y revisor en RQ2.","Comprobar evidencia y cautelas registradas; documentar verificación sin recodificar lo ya respaldado.")</f>
        <v/>
      </c>
      <c r="I50" s="4" t="inlineStr">
        <is>
          <t>https://doi.org/10.1007/s12539-024-00651-w</t>
        </is>
      </c>
    </row>
    <row r="51" ht="64" customHeight="1">
      <c r="A51" s="4" t="inlineStr">
        <is>
          <t>52</t>
        </is>
      </c>
      <c r="B51" s="4" t="inlineStr">
        <is>
          <t>Computer-aided diagnosis of autism spectrum disorder from EEG signals using deep learning with FAWT and multiscale permutation entropy features</t>
        </is>
      </c>
      <c r="C51" s="4">
        <f>IF(IF(COUNTIFS('ESTUDIOS'!$A$2:$A$455,$A51,'ESTUDIOS'!$I$2:$I$455,"")&gt;0,"",INDEX('ESTUDIOS'!$I$2:$I$455,MATCH($A51,'ESTUDIOS'!$A$2:$A$455,0)))=1,"1 - Integrity",IF(OR(IF(COUNTIFS('RQ2'!$A$2:$A$455,$A51,'RQ2'!$D$2:$D$455,"")&gt;0,"",INDEX('RQ2'!$D$2:$D$455,MATCH($A51,'RQ2'!$A$2:$A$455,0)))="",IF(COUNTIFS('RQ2'!$A$2:$A$455,$A51,'RQ2'!$E$2:$E$455,"")&gt;0,"",INDEX('RQ2'!$E$2:$E$455,MATCH($A51,'RQ2'!$A$2:$A$455,0)))=""),"2 - RQ2 historical","3 - Verify recorded evidence"))</f>
        <v/>
      </c>
      <c r="D51" s="4">
        <f>IF(OR(IF(COUNTIFS('RQ2'!$A$2:$A$455,$A51,'RQ2'!$D$2:$D$455,"")&gt;0,"",INDEX('RQ2'!$D$2:$D$455,MATCH($A51,'RQ2'!$A$2:$A$455,0)))="",IF(COUNTIFS('RQ2'!$A$2:$A$455,$A51,'RQ2'!$E$2:$E$455,"")&gt;0,"",INDEX('RQ2'!$E$2:$E$455,MATCH($A51,'RQ2'!$A$2:$A$455,0)))=""),"PENDIENTE","REGISTRADA")</f>
        <v/>
      </c>
      <c r="E51" s="4">
        <f>IF(IF(COUNTIFS('RQ1'!$A$2:$A$455,$A51,'RQ1'!$N$2:$N$455,"")&gt;0,"",INDEX('RQ1'!$N$2:$N$455,MATCH($A51,'RQ1'!$A$2:$A$455,0)))=1,"REVISAR DETALLE","REGISTRADA")</f>
        <v/>
      </c>
      <c r="F51" s="4">
        <f>IF(IF(COUNTIFS('RQ3'!$A$2:$A$455,$A51,'RQ3'!$P$2:$P$455,"")&gt;0,"",INDEX('RQ3'!$P$2:$P$455,MATCH($A51,'RQ3'!$A$2:$A$455,0)))="","NO REGISTRADO",IF(IF(COUNTIFS('RQ3'!$A$2:$A$455,$A51,'RQ3'!$P$2:$P$455,"")&gt;0,"",INDEX('RQ3'!$P$2:$P$455,MATCH($A51,'RQ3'!$A$2:$A$455,0)))=1,"MARCA ACTIVA","SIN MARCA"))</f>
        <v/>
      </c>
      <c r="G51" s="4">
        <f>IF(IF(COUNTIFS('ESTUDIOS'!$A$2:$A$455,$A51,'ESTUDIOS'!$N$2:$N$455,"")&gt;0,"",INDEX('ESTUDIOS'!$N$2:$N$455,MATCH($A51,'ESTUDIOS'!$A$2:$A$455,0)))="Verified","DOCUMENTADA","NO DOCUMENTADA")</f>
        <v/>
      </c>
      <c r="H51" s="4">
        <f>IF(D51="PENDIENTE","Leer evidencia ya extraída; registrar uso propuesto o evaluado, función, fuente y revisor en RQ2.","Comprobar evidencia y cautelas registradas; documentar verificación sin recodificar lo ya respaldado.")</f>
        <v/>
      </c>
      <c r="I51" s="4" t="inlineStr">
        <is>
          <t>https://doi.org/10.1177/09544119221141751</t>
        </is>
      </c>
    </row>
    <row r="52" ht="64" customHeight="1">
      <c r="A52" s="4" t="inlineStr">
        <is>
          <t>53</t>
        </is>
      </c>
      <c r="B52" s="4" t="inlineStr">
        <is>
          <t>Development and validation of a machine learning-based tool to predict autism among children</t>
        </is>
      </c>
      <c r="C52" s="4">
        <f>IF(IF(COUNTIFS('ESTUDIOS'!$A$2:$A$455,$A52,'ESTUDIOS'!$I$2:$I$455,"")&gt;0,"",INDEX('ESTUDIOS'!$I$2:$I$455,MATCH($A52,'ESTUDIOS'!$A$2:$A$455,0)))=1,"1 - Integrity",IF(OR(IF(COUNTIFS('RQ2'!$A$2:$A$455,$A52,'RQ2'!$D$2:$D$455,"")&gt;0,"",INDEX('RQ2'!$D$2:$D$455,MATCH($A52,'RQ2'!$A$2:$A$455,0)))="",IF(COUNTIFS('RQ2'!$A$2:$A$455,$A52,'RQ2'!$E$2:$E$455,"")&gt;0,"",INDEX('RQ2'!$E$2:$E$455,MATCH($A52,'RQ2'!$A$2:$A$455,0)))=""),"2 - RQ2 historical","3 - Verify recorded evidence"))</f>
        <v/>
      </c>
      <c r="D52" s="4">
        <f>IF(OR(IF(COUNTIFS('RQ2'!$A$2:$A$455,$A52,'RQ2'!$D$2:$D$455,"")&gt;0,"",INDEX('RQ2'!$D$2:$D$455,MATCH($A52,'RQ2'!$A$2:$A$455,0)))="",IF(COUNTIFS('RQ2'!$A$2:$A$455,$A52,'RQ2'!$E$2:$E$455,"")&gt;0,"",INDEX('RQ2'!$E$2:$E$455,MATCH($A52,'RQ2'!$A$2:$A$455,0)))=""),"PENDIENTE","REGISTRADA")</f>
        <v/>
      </c>
      <c r="E52" s="4">
        <f>IF(IF(COUNTIFS('RQ1'!$A$2:$A$455,$A52,'RQ1'!$N$2:$N$455,"")&gt;0,"",INDEX('RQ1'!$N$2:$N$455,MATCH($A52,'RQ1'!$A$2:$A$455,0)))=1,"REVISAR DETALLE","REGISTRADA")</f>
        <v/>
      </c>
      <c r="F52" s="4">
        <f>IF(IF(COUNTIFS('RQ3'!$A$2:$A$455,$A52,'RQ3'!$P$2:$P$455,"")&gt;0,"",INDEX('RQ3'!$P$2:$P$455,MATCH($A52,'RQ3'!$A$2:$A$455,0)))="","NO REGISTRADO",IF(IF(COUNTIFS('RQ3'!$A$2:$A$455,$A52,'RQ3'!$P$2:$P$455,"")&gt;0,"",INDEX('RQ3'!$P$2:$P$455,MATCH($A52,'RQ3'!$A$2:$A$455,0)))=1,"MARCA ACTIVA","SIN MARCA"))</f>
        <v/>
      </c>
      <c r="G52" s="4">
        <f>IF(IF(COUNTIFS('ESTUDIOS'!$A$2:$A$455,$A52,'ESTUDIOS'!$N$2:$N$455,"")&gt;0,"",INDEX('ESTUDIOS'!$N$2:$N$455,MATCH($A52,'ESTUDIOS'!$A$2:$A$455,0)))="Verified","DOCUMENTADA","NO DOCUMENTADA")</f>
        <v/>
      </c>
      <c r="H52" s="4">
        <f>IF(D52="PENDIENTE","Leer evidencia ya extraída; registrar uso propuesto o evaluado, función, fuente y revisor en RQ2.","Comprobar evidencia y cautelas registradas; documentar verificación sin recodificar lo ya respaldado.")</f>
        <v/>
      </c>
      <c r="I52" s="4" t="inlineStr">
        <is>
          <t>https://doi.org/10.1002/aur.2912</t>
        </is>
      </c>
    </row>
    <row r="53" ht="64" customHeight="1">
      <c r="A53" s="4" t="inlineStr">
        <is>
          <t>54</t>
        </is>
      </c>
      <c r="B53" s="4" t="inlineStr">
        <is>
          <t>Diagnostic classification of intrinsic functional connectivity highlights somatosensory, default mode, and visual regions in autism</t>
        </is>
      </c>
      <c r="C53" s="4">
        <f>IF(IF(COUNTIFS('ESTUDIOS'!$A$2:$A$455,$A53,'ESTUDIOS'!$I$2:$I$455,"")&gt;0,"",INDEX('ESTUDIOS'!$I$2:$I$455,MATCH($A53,'ESTUDIOS'!$A$2:$A$455,0)))=1,"1 - Integrity",IF(OR(IF(COUNTIFS('RQ2'!$A$2:$A$455,$A53,'RQ2'!$D$2:$D$455,"")&gt;0,"",INDEX('RQ2'!$D$2:$D$455,MATCH($A53,'RQ2'!$A$2:$A$455,0)))="",IF(COUNTIFS('RQ2'!$A$2:$A$455,$A53,'RQ2'!$E$2:$E$455,"")&gt;0,"",INDEX('RQ2'!$E$2:$E$455,MATCH($A53,'RQ2'!$A$2:$A$455,0)))=""),"2 - RQ2 historical","3 - Verify recorded evidence"))</f>
        <v/>
      </c>
      <c r="D53" s="4">
        <f>IF(OR(IF(COUNTIFS('RQ2'!$A$2:$A$455,$A53,'RQ2'!$D$2:$D$455,"")&gt;0,"",INDEX('RQ2'!$D$2:$D$455,MATCH($A53,'RQ2'!$A$2:$A$455,0)))="",IF(COUNTIFS('RQ2'!$A$2:$A$455,$A53,'RQ2'!$E$2:$E$455,"")&gt;0,"",INDEX('RQ2'!$E$2:$E$455,MATCH($A53,'RQ2'!$A$2:$A$455,0)))=""),"PENDIENTE","REGISTRADA")</f>
        <v/>
      </c>
      <c r="E53" s="4">
        <f>IF(IF(COUNTIFS('RQ1'!$A$2:$A$455,$A53,'RQ1'!$N$2:$N$455,"")&gt;0,"",INDEX('RQ1'!$N$2:$N$455,MATCH($A53,'RQ1'!$A$2:$A$455,0)))=1,"REVISAR DETALLE","REGISTRADA")</f>
        <v/>
      </c>
      <c r="F53" s="4">
        <f>IF(IF(COUNTIFS('RQ3'!$A$2:$A$455,$A53,'RQ3'!$P$2:$P$455,"")&gt;0,"",INDEX('RQ3'!$P$2:$P$455,MATCH($A53,'RQ3'!$A$2:$A$455,0)))="","NO REGISTRADO",IF(IF(COUNTIFS('RQ3'!$A$2:$A$455,$A53,'RQ3'!$P$2:$P$455,"")&gt;0,"",INDEX('RQ3'!$P$2:$P$455,MATCH($A53,'RQ3'!$A$2:$A$455,0)))=1,"MARCA ACTIVA","SIN MARCA"))</f>
        <v/>
      </c>
      <c r="G53" s="4">
        <f>IF(IF(COUNTIFS('ESTUDIOS'!$A$2:$A$455,$A53,'ESTUDIOS'!$N$2:$N$455,"")&gt;0,"",INDEX('ESTUDIOS'!$N$2:$N$455,MATCH($A53,'ESTUDIOS'!$A$2:$A$455,0)))="Verified","DOCUMENTADA","NO DOCUMENTADA")</f>
        <v/>
      </c>
      <c r="H53" s="4">
        <f>IF(D53="PENDIENTE","Leer evidencia ya extraída; registrar uso propuesto o evaluado, función, fuente y revisor en RQ2.","Comprobar evidencia y cautelas registradas; documentar verificación sin recodificar lo ya respaldado.")</f>
        <v/>
      </c>
      <c r="I53" s="4" t="inlineStr">
        <is>
          <t>https://doi.org/10.1016/j.nicl.2015.04.002</t>
        </is>
      </c>
    </row>
    <row r="54" ht="64" customHeight="1">
      <c r="A54" s="4" t="inlineStr">
        <is>
          <t>56</t>
        </is>
      </c>
      <c r="B54" s="4" t="inlineStr">
        <is>
          <t>Epigenomic signatures reveal mechanistic clues and predictive markers for autism spectrum disorder</t>
        </is>
      </c>
      <c r="C54" s="4">
        <f>IF(IF(COUNTIFS('ESTUDIOS'!$A$2:$A$455,$A54,'ESTUDIOS'!$I$2:$I$455,"")&gt;0,"",INDEX('ESTUDIOS'!$I$2:$I$455,MATCH($A54,'ESTUDIOS'!$A$2:$A$455,0)))=1,"1 - Integrity",IF(OR(IF(COUNTIFS('RQ2'!$A$2:$A$455,$A54,'RQ2'!$D$2:$D$455,"")&gt;0,"",INDEX('RQ2'!$D$2:$D$455,MATCH($A54,'RQ2'!$A$2:$A$455,0)))="",IF(COUNTIFS('RQ2'!$A$2:$A$455,$A54,'RQ2'!$E$2:$E$455,"")&gt;0,"",INDEX('RQ2'!$E$2:$E$455,MATCH($A54,'RQ2'!$A$2:$A$455,0)))=""),"2 - RQ2 historical","3 - Verify recorded evidence"))</f>
        <v/>
      </c>
      <c r="D54" s="4">
        <f>IF(OR(IF(COUNTIFS('RQ2'!$A$2:$A$455,$A54,'RQ2'!$D$2:$D$455,"")&gt;0,"",INDEX('RQ2'!$D$2:$D$455,MATCH($A54,'RQ2'!$A$2:$A$455,0)))="",IF(COUNTIFS('RQ2'!$A$2:$A$455,$A54,'RQ2'!$E$2:$E$455,"")&gt;0,"",INDEX('RQ2'!$E$2:$E$455,MATCH($A54,'RQ2'!$A$2:$A$455,0)))=""),"PENDIENTE","REGISTRADA")</f>
        <v/>
      </c>
      <c r="E54" s="4">
        <f>IF(IF(COUNTIFS('RQ1'!$A$2:$A$455,$A54,'RQ1'!$N$2:$N$455,"")&gt;0,"",INDEX('RQ1'!$N$2:$N$455,MATCH($A54,'RQ1'!$A$2:$A$455,0)))=1,"REVISAR DETALLE","REGISTRADA")</f>
        <v/>
      </c>
      <c r="F54" s="4">
        <f>IF(IF(COUNTIFS('RQ3'!$A$2:$A$455,$A54,'RQ3'!$P$2:$P$455,"")&gt;0,"",INDEX('RQ3'!$P$2:$P$455,MATCH($A54,'RQ3'!$A$2:$A$455,0)))="","NO REGISTRADO",IF(IF(COUNTIFS('RQ3'!$A$2:$A$455,$A54,'RQ3'!$P$2:$P$455,"")&gt;0,"",INDEX('RQ3'!$P$2:$P$455,MATCH($A54,'RQ3'!$A$2:$A$455,0)))=1,"MARCA ACTIVA","SIN MARCA"))</f>
        <v/>
      </c>
      <c r="G54" s="4">
        <f>IF(IF(COUNTIFS('ESTUDIOS'!$A$2:$A$455,$A54,'ESTUDIOS'!$N$2:$N$455,"")&gt;0,"",INDEX('ESTUDIOS'!$N$2:$N$455,MATCH($A54,'ESTUDIOS'!$A$2:$A$455,0)))="Verified","DOCUMENTADA","NO DOCUMENTADA")</f>
        <v/>
      </c>
      <c r="H54" s="4">
        <f>IF(D54="PENDIENTE","Leer evidencia ya extraída; registrar uso propuesto o evaluado, función, fuente y revisor en RQ2.","Comprobar evidencia y cautelas registradas; documentar verificación sin recodificar lo ya respaldado.")</f>
        <v/>
      </c>
      <c r="I54" s="4" t="inlineStr">
        <is>
          <t>https://doi.org/10.1038/s41380-022-01917-9</t>
        </is>
      </c>
    </row>
    <row r="55" ht="64" customHeight="1">
      <c r="A55" s="4" t="inlineStr">
        <is>
          <t>57</t>
        </is>
      </c>
      <c r="B55" s="4" t="inlineStr">
        <is>
          <t>Evaluation and benchmarking of hybrid machine learning models for autism spectrum disorder diagnosis using a 2-tuple linguistic neutrosophic fuzzy sets-based decision-making model</t>
        </is>
      </c>
      <c r="C55" s="4">
        <f>IF(IF(COUNTIFS('ESTUDIOS'!$A$2:$A$455,$A55,'ESTUDIOS'!$I$2:$I$455,"")&gt;0,"",INDEX('ESTUDIOS'!$I$2:$I$455,MATCH($A55,'ESTUDIOS'!$A$2:$A$455,0)))=1,"1 - Integrity",IF(OR(IF(COUNTIFS('RQ2'!$A$2:$A$455,$A55,'RQ2'!$D$2:$D$455,"")&gt;0,"",INDEX('RQ2'!$D$2:$D$455,MATCH($A55,'RQ2'!$A$2:$A$455,0)))="",IF(COUNTIFS('RQ2'!$A$2:$A$455,$A55,'RQ2'!$E$2:$E$455,"")&gt;0,"",INDEX('RQ2'!$E$2:$E$455,MATCH($A55,'RQ2'!$A$2:$A$455,0)))=""),"2 - RQ2 historical","3 - Verify recorded evidence"))</f>
        <v/>
      </c>
      <c r="D55" s="4">
        <f>IF(OR(IF(COUNTIFS('RQ2'!$A$2:$A$455,$A55,'RQ2'!$D$2:$D$455,"")&gt;0,"",INDEX('RQ2'!$D$2:$D$455,MATCH($A55,'RQ2'!$A$2:$A$455,0)))="",IF(COUNTIFS('RQ2'!$A$2:$A$455,$A55,'RQ2'!$E$2:$E$455,"")&gt;0,"",INDEX('RQ2'!$E$2:$E$455,MATCH($A55,'RQ2'!$A$2:$A$455,0)))=""),"PENDIENTE","REGISTRADA")</f>
        <v/>
      </c>
      <c r="E55" s="4">
        <f>IF(IF(COUNTIFS('RQ1'!$A$2:$A$455,$A55,'RQ1'!$N$2:$N$455,"")&gt;0,"",INDEX('RQ1'!$N$2:$N$455,MATCH($A55,'RQ1'!$A$2:$A$455,0)))=1,"REVISAR DETALLE","REGISTRADA")</f>
        <v/>
      </c>
      <c r="F55" s="4">
        <f>IF(IF(COUNTIFS('RQ3'!$A$2:$A$455,$A55,'RQ3'!$P$2:$P$455,"")&gt;0,"",INDEX('RQ3'!$P$2:$P$455,MATCH($A55,'RQ3'!$A$2:$A$455,0)))="","NO REGISTRADO",IF(IF(COUNTIFS('RQ3'!$A$2:$A$455,$A55,'RQ3'!$P$2:$P$455,"")&gt;0,"",INDEX('RQ3'!$P$2:$P$455,MATCH($A55,'RQ3'!$A$2:$A$455,0)))=1,"MARCA ACTIVA","SIN MARCA"))</f>
        <v/>
      </c>
      <c r="G55" s="4">
        <f>IF(IF(COUNTIFS('ESTUDIOS'!$A$2:$A$455,$A55,'ESTUDIOS'!$N$2:$N$455,"")&gt;0,"",INDEX('ESTUDIOS'!$N$2:$N$455,MATCH($A55,'ESTUDIOS'!$A$2:$A$455,0)))="Verified","DOCUMENTADA","NO DOCUMENTADA")</f>
        <v/>
      </c>
      <c r="H55" s="4">
        <f>IF(D55="PENDIENTE","Leer evidencia ya extraída; registrar uso propuesto o evaluado, función, fuente y revisor en RQ2.","Comprobar evidencia y cautelas registradas; documentar verificación sin recodificar lo ya respaldado.")</f>
        <v/>
      </c>
      <c r="I55" s="4" t="inlineStr">
        <is>
          <t>https://doi.org/10.1007/s00521-024-09905-6</t>
        </is>
      </c>
    </row>
    <row r="56" ht="64" customHeight="1">
      <c r="A56" s="4" t="inlineStr">
        <is>
          <t>58</t>
        </is>
      </c>
      <c r="B56" s="4" t="inlineStr">
        <is>
          <t>Event Related Potential Analysis Using Machine Learning to Predict Diagnostic Outcome of Autism Spectrum Disorder</t>
        </is>
      </c>
      <c r="C56" s="4">
        <f>IF(IF(COUNTIFS('ESTUDIOS'!$A$2:$A$455,$A56,'ESTUDIOS'!$I$2:$I$455,"")&gt;0,"",INDEX('ESTUDIOS'!$I$2:$I$455,MATCH($A56,'ESTUDIOS'!$A$2:$A$455,0)))=1,"1 - Integrity",IF(OR(IF(COUNTIFS('RQ2'!$A$2:$A$455,$A56,'RQ2'!$D$2:$D$455,"")&gt;0,"",INDEX('RQ2'!$D$2:$D$455,MATCH($A56,'RQ2'!$A$2:$A$455,0)))="",IF(COUNTIFS('RQ2'!$A$2:$A$455,$A56,'RQ2'!$E$2:$E$455,"")&gt;0,"",INDEX('RQ2'!$E$2:$E$455,MATCH($A56,'RQ2'!$A$2:$A$455,0)))=""),"2 - RQ2 historical","3 - Verify recorded evidence"))</f>
        <v/>
      </c>
      <c r="D56" s="4">
        <f>IF(OR(IF(COUNTIFS('RQ2'!$A$2:$A$455,$A56,'RQ2'!$D$2:$D$455,"")&gt;0,"",INDEX('RQ2'!$D$2:$D$455,MATCH($A56,'RQ2'!$A$2:$A$455,0)))="",IF(COUNTIFS('RQ2'!$A$2:$A$455,$A56,'RQ2'!$E$2:$E$455,"")&gt;0,"",INDEX('RQ2'!$E$2:$E$455,MATCH($A56,'RQ2'!$A$2:$A$455,0)))=""),"PENDIENTE","REGISTRADA")</f>
        <v/>
      </c>
      <c r="E56" s="4">
        <f>IF(IF(COUNTIFS('RQ1'!$A$2:$A$455,$A56,'RQ1'!$N$2:$N$455,"")&gt;0,"",INDEX('RQ1'!$N$2:$N$455,MATCH($A56,'RQ1'!$A$2:$A$455,0)))=1,"REVISAR DETALLE","REGISTRADA")</f>
        <v/>
      </c>
      <c r="F56" s="4">
        <f>IF(IF(COUNTIFS('RQ3'!$A$2:$A$455,$A56,'RQ3'!$P$2:$P$455,"")&gt;0,"",INDEX('RQ3'!$P$2:$P$455,MATCH($A56,'RQ3'!$A$2:$A$455,0)))="","NO REGISTRADO",IF(IF(COUNTIFS('RQ3'!$A$2:$A$455,$A56,'RQ3'!$P$2:$P$455,"")&gt;0,"",INDEX('RQ3'!$P$2:$P$455,MATCH($A56,'RQ3'!$A$2:$A$455,0)))=1,"MARCA ACTIVA","SIN MARCA"))</f>
        <v/>
      </c>
      <c r="G56" s="4">
        <f>IF(IF(COUNTIFS('ESTUDIOS'!$A$2:$A$455,$A56,'ESTUDIOS'!$N$2:$N$455,"")&gt;0,"",INDEX('ESTUDIOS'!$N$2:$N$455,MATCH($A56,'ESTUDIOS'!$A$2:$A$455,0)))="Verified","DOCUMENTADA","NO DOCUMENTADA")</f>
        <v/>
      </c>
      <c r="H56" s="4">
        <f>IF(D56="PENDIENTE","Leer evidencia ya extraída; registrar uso propuesto o evaluado, función, fuente y revisor en RQ2.","Comprobar evidencia y cautelas registradas; documentar verificación sin recodificar lo ya respaldado.")</f>
        <v/>
      </c>
      <c r="I56" s="4" t="inlineStr">
        <is>
          <t>https://doi.org/10.1007/978-3-030-88163-4_7</t>
        </is>
      </c>
    </row>
    <row r="57" ht="64" customHeight="1">
      <c r="A57" s="4" t="inlineStr">
        <is>
          <t>59</t>
        </is>
      </c>
      <c r="B57" s="4" t="inlineStr">
        <is>
          <t>Functional Connectivities Are More Informative Than Anatomical Variables in Diagnostic Classification of Autism</t>
        </is>
      </c>
      <c r="C57" s="4">
        <f>IF(IF(COUNTIFS('ESTUDIOS'!$A$2:$A$455,$A57,'ESTUDIOS'!$I$2:$I$455,"")&gt;0,"",INDEX('ESTUDIOS'!$I$2:$I$455,MATCH($A57,'ESTUDIOS'!$A$2:$A$455,0)))=1,"1 - Integrity",IF(OR(IF(COUNTIFS('RQ2'!$A$2:$A$455,$A57,'RQ2'!$D$2:$D$455,"")&gt;0,"",INDEX('RQ2'!$D$2:$D$455,MATCH($A57,'RQ2'!$A$2:$A$455,0)))="",IF(COUNTIFS('RQ2'!$A$2:$A$455,$A57,'RQ2'!$E$2:$E$455,"")&gt;0,"",INDEX('RQ2'!$E$2:$E$455,MATCH($A57,'RQ2'!$A$2:$A$455,0)))=""),"2 - RQ2 historical","3 - Verify recorded evidence"))</f>
        <v/>
      </c>
      <c r="D57" s="4">
        <f>IF(OR(IF(COUNTIFS('RQ2'!$A$2:$A$455,$A57,'RQ2'!$D$2:$D$455,"")&gt;0,"",INDEX('RQ2'!$D$2:$D$455,MATCH($A57,'RQ2'!$A$2:$A$455,0)))="",IF(COUNTIFS('RQ2'!$A$2:$A$455,$A57,'RQ2'!$E$2:$E$455,"")&gt;0,"",INDEX('RQ2'!$E$2:$E$455,MATCH($A57,'RQ2'!$A$2:$A$455,0)))=""),"PENDIENTE","REGISTRADA")</f>
        <v/>
      </c>
      <c r="E57" s="4">
        <f>IF(IF(COUNTIFS('RQ1'!$A$2:$A$455,$A57,'RQ1'!$N$2:$N$455,"")&gt;0,"",INDEX('RQ1'!$N$2:$N$455,MATCH($A57,'RQ1'!$A$2:$A$455,0)))=1,"REVISAR DETALLE","REGISTRADA")</f>
        <v/>
      </c>
      <c r="F57" s="4">
        <f>IF(IF(COUNTIFS('RQ3'!$A$2:$A$455,$A57,'RQ3'!$P$2:$P$455,"")&gt;0,"",INDEX('RQ3'!$P$2:$P$455,MATCH($A57,'RQ3'!$A$2:$A$455,0)))="","NO REGISTRADO",IF(IF(COUNTIFS('RQ3'!$A$2:$A$455,$A57,'RQ3'!$P$2:$P$455,"")&gt;0,"",INDEX('RQ3'!$P$2:$P$455,MATCH($A57,'RQ3'!$A$2:$A$455,0)))=1,"MARCA ACTIVA","SIN MARCA"))</f>
        <v/>
      </c>
      <c r="G57" s="4">
        <f>IF(IF(COUNTIFS('ESTUDIOS'!$A$2:$A$455,$A57,'ESTUDIOS'!$N$2:$N$455,"")&gt;0,"",INDEX('ESTUDIOS'!$N$2:$N$455,MATCH($A57,'ESTUDIOS'!$A$2:$A$455,0)))="Verified","DOCUMENTADA","NO DOCUMENTADA")</f>
        <v/>
      </c>
      <c r="H57" s="4">
        <f>IF(D57="PENDIENTE","Leer evidencia ya extraída; registrar uso propuesto o evaluado, función, fuente y revisor en RQ2.","Comprobar evidencia y cautelas registradas; documentar verificación sin recodificar lo ya respaldado.")</f>
        <v/>
      </c>
      <c r="I57" s="4" t="inlineStr">
        <is>
          <t>https://doi.org/10.1089/brain.2019.0689</t>
        </is>
      </c>
    </row>
    <row r="58" ht="64" customHeight="1">
      <c r="A58" s="4" t="inlineStr">
        <is>
          <t>60</t>
        </is>
      </c>
      <c r="B58" s="4" t="inlineStr">
        <is>
          <t>Hyperuricemia and Metabolic Adverse Effect in Children and Adolescents with Autism Spectrum Disorder Treated with Risperidone</t>
        </is>
      </c>
      <c r="C58" s="4">
        <f>IF(IF(COUNTIFS('ESTUDIOS'!$A$2:$A$455,$A58,'ESTUDIOS'!$I$2:$I$455,"")&gt;0,"",INDEX('ESTUDIOS'!$I$2:$I$455,MATCH($A58,'ESTUDIOS'!$A$2:$A$455,0)))=1,"1 - Integrity",IF(OR(IF(COUNTIFS('RQ2'!$A$2:$A$455,$A58,'RQ2'!$D$2:$D$455,"")&gt;0,"",INDEX('RQ2'!$D$2:$D$455,MATCH($A58,'RQ2'!$A$2:$A$455,0)))="",IF(COUNTIFS('RQ2'!$A$2:$A$455,$A58,'RQ2'!$E$2:$E$455,"")&gt;0,"",INDEX('RQ2'!$E$2:$E$455,MATCH($A58,'RQ2'!$A$2:$A$455,0)))=""),"2 - RQ2 historical","3 - Verify recorded evidence"))</f>
        <v/>
      </c>
      <c r="D58" s="4">
        <f>IF(OR(IF(COUNTIFS('RQ2'!$A$2:$A$455,$A58,'RQ2'!$D$2:$D$455,"")&gt;0,"",INDEX('RQ2'!$D$2:$D$455,MATCH($A58,'RQ2'!$A$2:$A$455,0)))="",IF(COUNTIFS('RQ2'!$A$2:$A$455,$A58,'RQ2'!$E$2:$E$455,"")&gt;0,"",INDEX('RQ2'!$E$2:$E$455,MATCH($A58,'RQ2'!$A$2:$A$455,0)))=""),"PENDIENTE","REGISTRADA")</f>
        <v/>
      </c>
      <c r="E58" s="4">
        <f>IF(IF(COUNTIFS('RQ1'!$A$2:$A$455,$A58,'RQ1'!$N$2:$N$455,"")&gt;0,"",INDEX('RQ1'!$N$2:$N$455,MATCH($A58,'RQ1'!$A$2:$A$455,0)))=1,"REVISAR DETALLE","REGISTRADA")</f>
        <v/>
      </c>
      <c r="F58" s="4">
        <f>IF(IF(COUNTIFS('RQ3'!$A$2:$A$455,$A58,'RQ3'!$P$2:$P$455,"")&gt;0,"",INDEX('RQ3'!$P$2:$P$455,MATCH($A58,'RQ3'!$A$2:$A$455,0)))="","NO REGISTRADO",IF(IF(COUNTIFS('RQ3'!$A$2:$A$455,$A58,'RQ3'!$P$2:$P$455,"")&gt;0,"",INDEX('RQ3'!$P$2:$P$455,MATCH($A58,'RQ3'!$A$2:$A$455,0)))=1,"MARCA ACTIVA","SIN MARCA"))</f>
        <v/>
      </c>
      <c r="G58" s="4">
        <f>IF(IF(COUNTIFS('ESTUDIOS'!$A$2:$A$455,$A58,'ESTUDIOS'!$N$2:$N$455,"")&gt;0,"",INDEX('ESTUDIOS'!$N$2:$N$455,MATCH($A58,'ESTUDIOS'!$A$2:$A$455,0)))="Verified","DOCUMENTADA","NO DOCUMENTADA")</f>
        <v/>
      </c>
      <c r="H58" s="4">
        <f>IF(D58="PENDIENTE","Leer evidencia ya extraída; registrar uso propuesto o evaluado, función, fuente y revisor en RQ2.","Comprobar evidencia y cautelas registradas; documentar verificación sin recodificar lo ya respaldado.")</f>
        <v/>
      </c>
      <c r="I58" s="4" t="inlineStr">
        <is>
          <t>https://doi.org/10.1016/j.eurpsy.2017.02.198</t>
        </is>
      </c>
    </row>
    <row r="59" ht="64" customHeight="1">
      <c r="A59" s="4" t="inlineStr">
        <is>
          <t>61</t>
        </is>
      </c>
      <c r="B59" s="4" t="inlineStr">
        <is>
          <t>Identifying Visual Attention Features Accurately Discerning Between Autism and Typically Developing: a Deep Learning Framework</t>
        </is>
      </c>
      <c r="C59" s="4">
        <f>IF(IF(COUNTIFS('ESTUDIOS'!$A$2:$A$455,$A59,'ESTUDIOS'!$I$2:$I$455,"")&gt;0,"",INDEX('ESTUDIOS'!$I$2:$I$455,MATCH($A59,'ESTUDIOS'!$A$2:$A$455,0)))=1,"1 - Integrity",IF(OR(IF(COUNTIFS('RQ2'!$A$2:$A$455,$A59,'RQ2'!$D$2:$D$455,"")&gt;0,"",INDEX('RQ2'!$D$2:$D$455,MATCH($A59,'RQ2'!$A$2:$A$455,0)))="",IF(COUNTIFS('RQ2'!$A$2:$A$455,$A59,'RQ2'!$E$2:$E$455,"")&gt;0,"",INDEX('RQ2'!$E$2:$E$455,MATCH($A59,'RQ2'!$A$2:$A$455,0)))=""),"2 - RQ2 historical","3 - Verify recorded evidence"))</f>
        <v/>
      </c>
      <c r="D59" s="4">
        <f>IF(OR(IF(COUNTIFS('RQ2'!$A$2:$A$455,$A59,'RQ2'!$D$2:$D$455,"")&gt;0,"",INDEX('RQ2'!$D$2:$D$455,MATCH($A59,'RQ2'!$A$2:$A$455,0)))="",IF(COUNTIFS('RQ2'!$A$2:$A$455,$A59,'RQ2'!$E$2:$E$455,"")&gt;0,"",INDEX('RQ2'!$E$2:$E$455,MATCH($A59,'RQ2'!$A$2:$A$455,0)))=""),"PENDIENTE","REGISTRADA")</f>
        <v/>
      </c>
      <c r="E59" s="4">
        <f>IF(IF(COUNTIFS('RQ1'!$A$2:$A$455,$A59,'RQ1'!$N$2:$N$455,"")&gt;0,"",INDEX('RQ1'!$N$2:$N$455,MATCH($A59,'RQ1'!$A$2:$A$455,0)))=1,"REVISAR DETALLE","REGISTRADA")</f>
        <v/>
      </c>
      <c r="F59" s="4">
        <f>IF(IF(COUNTIFS('RQ3'!$A$2:$A$455,$A59,'RQ3'!$P$2:$P$455,"")&gt;0,"",INDEX('RQ3'!$P$2:$P$455,MATCH($A59,'RQ3'!$A$2:$A$455,0)))="","NO REGISTRADO",IF(IF(COUNTIFS('RQ3'!$A$2:$A$455,$A59,'RQ3'!$P$2:$P$455,"")&gt;0,"",INDEX('RQ3'!$P$2:$P$455,MATCH($A59,'RQ3'!$A$2:$A$455,0)))=1,"MARCA ACTIVA","SIN MARCA"))</f>
        <v/>
      </c>
      <c r="G59" s="4">
        <f>IF(IF(COUNTIFS('ESTUDIOS'!$A$2:$A$455,$A59,'ESTUDIOS'!$N$2:$N$455,"")&gt;0,"",INDEX('ESTUDIOS'!$N$2:$N$455,MATCH($A59,'ESTUDIOS'!$A$2:$A$455,0)))="Verified","DOCUMENTADA","NO DOCUMENTADA")</f>
        <v/>
      </c>
      <c r="H59" s="4">
        <f>IF(D59="PENDIENTE","Leer evidencia ya extraída; registrar uso propuesto o evaluado, función, fuente y revisor en RQ2.","Comprobar evidencia y cautelas registradas; documentar verificación sin recodificar lo ya respaldado.")</f>
        <v/>
      </c>
      <c r="I59" s="4" t="inlineStr">
        <is>
          <t>https://doi.org/10.1007/s12539-022-00510-6</t>
        </is>
      </c>
    </row>
    <row r="60" ht="64" customHeight="1">
      <c r="A60" s="4" t="inlineStr">
        <is>
          <t>62</t>
        </is>
      </c>
      <c r="B60" s="4" t="inlineStr">
        <is>
          <t>Impact of DRD2 polymorphisms on prolactin level in risperidone-treated Thai children and adolescent with autism spectrum disorders</t>
        </is>
      </c>
      <c r="C60" s="4">
        <f>IF(IF(COUNTIFS('ESTUDIOS'!$A$2:$A$455,$A60,'ESTUDIOS'!$I$2:$I$455,"")&gt;0,"",INDEX('ESTUDIOS'!$I$2:$I$455,MATCH($A60,'ESTUDIOS'!$A$2:$A$455,0)))=1,"1 - Integrity",IF(OR(IF(COUNTIFS('RQ2'!$A$2:$A$455,$A60,'RQ2'!$D$2:$D$455,"")&gt;0,"",INDEX('RQ2'!$D$2:$D$455,MATCH($A60,'RQ2'!$A$2:$A$455,0)))="",IF(COUNTIFS('RQ2'!$A$2:$A$455,$A60,'RQ2'!$E$2:$E$455,"")&gt;0,"",INDEX('RQ2'!$E$2:$E$455,MATCH($A60,'RQ2'!$A$2:$A$455,0)))=""),"2 - RQ2 historical","3 - Verify recorded evidence"))</f>
        <v/>
      </c>
      <c r="D60" s="4">
        <f>IF(OR(IF(COUNTIFS('RQ2'!$A$2:$A$455,$A60,'RQ2'!$D$2:$D$455,"")&gt;0,"",INDEX('RQ2'!$D$2:$D$455,MATCH($A60,'RQ2'!$A$2:$A$455,0)))="",IF(COUNTIFS('RQ2'!$A$2:$A$455,$A60,'RQ2'!$E$2:$E$455,"")&gt;0,"",INDEX('RQ2'!$E$2:$E$455,MATCH($A60,'RQ2'!$A$2:$A$455,0)))=""),"PENDIENTE","REGISTRADA")</f>
        <v/>
      </c>
      <c r="E60" s="4">
        <f>IF(IF(COUNTIFS('RQ1'!$A$2:$A$455,$A60,'RQ1'!$N$2:$N$455,"")&gt;0,"",INDEX('RQ1'!$N$2:$N$455,MATCH($A60,'RQ1'!$A$2:$A$455,0)))=1,"REVISAR DETALLE","REGISTRADA")</f>
        <v/>
      </c>
      <c r="F60" s="4">
        <f>IF(IF(COUNTIFS('RQ3'!$A$2:$A$455,$A60,'RQ3'!$P$2:$P$455,"")&gt;0,"",INDEX('RQ3'!$P$2:$P$455,MATCH($A60,'RQ3'!$A$2:$A$455,0)))="","NO REGISTRADO",IF(IF(COUNTIFS('RQ3'!$A$2:$A$455,$A60,'RQ3'!$P$2:$P$455,"")&gt;0,"",INDEX('RQ3'!$P$2:$P$455,MATCH($A60,'RQ3'!$A$2:$A$455,0)))=1,"MARCA ACTIVA","SIN MARCA"))</f>
        <v/>
      </c>
      <c r="G60" s="4">
        <f>IF(IF(COUNTIFS('ESTUDIOS'!$A$2:$A$455,$A60,'ESTUDIOS'!$N$2:$N$455,"")&gt;0,"",INDEX('ESTUDIOS'!$N$2:$N$455,MATCH($A60,'ESTUDIOS'!$A$2:$A$455,0)))="Verified","DOCUMENTADA","NO DOCUMENTADA")</f>
        <v/>
      </c>
      <c r="H60" s="4">
        <f>IF(D60="PENDIENTE","Leer evidencia ya extraída; registrar uso propuesto o evaluado, función, fuente y revisor en RQ2.","Comprobar evidencia y cautelas registradas; documentar verificación sin recodificar lo ya respaldado.")</f>
        <v/>
      </c>
      <c r="I60" s="4" t="inlineStr">
        <is>
          <t>https://doi.org/10.1016/j.eurpsy.2016.01.060</t>
        </is>
      </c>
    </row>
    <row r="61" ht="64" customHeight="1">
      <c r="A61" s="4" t="inlineStr">
        <is>
          <t>63</t>
        </is>
      </c>
      <c r="B61" s="4" t="inlineStr">
        <is>
          <t>Improving fMRI-Based Autism Severity Identification via Brain Network Distance and Adaptive Label Distribution Learning</t>
        </is>
      </c>
      <c r="C61" s="4">
        <f>IF(IF(COUNTIFS('ESTUDIOS'!$A$2:$A$455,$A61,'ESTUDIOS'!$I$2:$I$455,"")&gt;0,"",INDEX('ESTUDIOS'!$I$2:$I$455,MATCH($A61,'ESTUDIOS'!$A$2:$A$455,0)))=1,"1 - Integrity",IF(OR(IF(COUNTIFS('RQ2'!$A$2:$A$455,$A61,'RQ2'!$D$2:$D$455,"")&gt;0,"",INDEX('RQ2'!$D$2:$D$455,MATCH($A61,'RQ2'!$A$2:$A$455,0)))="",IF(COUNTIFS('RQ2'!$A$2:$A$455,$A61,'RQ2'!$E$2:$E$455,"")&gt;0,"",INDEX('RQ2'!$E$2:$E$455,MATCH($A61,'RQ2'!$A$2:$A$455,0)))=""),"2 - RQ2 historical","3 - Verify recorded evidence"))</f>
        <v/>
      </c>
      <c r="D61" s="4">
        <f>IF(OR(IF(COUNTIFS('RQ2'!$A$2:$A$455,$A61,'RQ2'!$D$2:$D$455,"")&gt;0,"",INDEX('RQ2'!$D$2:$D$455,MATCH($A61,'RQ2'!$A$2:$A$455,0)))="",IF(COUNTIFS('RQ2'!$A$2:$A$455,$A61,'RQ2'!$E$2:$E$455,"")&gt;0,"",INDEX('RQ2'!$E$2:$E$455,MATCH($A61,'RQ2'!$A$2:$A$455,0)))=""),"PENDIENTE","REGISTRADA")</f>
        <v/>
      </c>
      <c r="E61" s="4">
        <f>IF(IF(COUNTIFS('RQ1'!$A$2:$A$455,$A61,'RQ1'!$N$2:$N$455,"")&gt;0,"",INDEX('RQ1'!$N$2:$N$455,MATCH($A61,'RQ1'!$A$2:$A$455,0)))=1,"REVISAR DETALLE","REGISTRADA")</f>
        <v/>
      </c>
      <c r="F61" s="4">
        <f>IF(IF(COUNTIFS('RQ3'!$A$2:$A$455,$A61,'RQ3'!$P$2:$P$455,"")&gt;0,"",INDEX('RQ3'!$P$2:$P$455,MATCH($A61,'RQ3'!$A$2:$A$455,0)))="","NO REGISTRADO",IF(IF(COUNTIFS('RQ3'!$A$2:$A$455,$A61,'RQ3'!$P$2:$P$455,"")&gt;0,"",INDEX('RQ3'!$P$2:$P$455,MATCH($A61,'RQ3'!$A$2:$A$455,0)))=1,"MARCA ACTIVA","SIN MARCA"))</f>
        <v/>
      </c>
      <c r="G61" s="4">
        <f>IF(IF(COUNTIFS('ESTUDIOS'!$A$2:$A$455,$A61,'ESTUDIOS'!$N$2:$N$455,"")&gt;0,"",INDEX('ESTUDIOS'!$N$2:$N$455,MATCH($A61,'ESTUDIOS'!$A$2:$A$455,0)))="Verified","DOCUMENTADA","NO DOCUMENTADA")</f>
        <v/>
      </c>
      <c r="H61" s="4">
        <f>IF(D61="PENDIENTE","Leer evidencia ya extraída; registrar uso propuesto o evaluado, función, fuente y revisor en RQ2.","Comprobar evidencia y cautelas registradas; documentar verificación sin recodificar lo ya respaldado.")</f>
        <v/>
      </c>
      <c r="I61" s="4" t="inlineStr">
        <is>
          <t>https://doi.org/10.1109/tnsre.2024.3516216</t>
        </is>
      </c>
    </row>
    <row r="62" ht="64" customHeight="1">
      <c r="A62" s="4" t="inlineStr">
        <is>
          <t>64</t>
        </is>
      </c>
      <c r="B62" s="4" t="inlineStr">
        <is>
          <t>Leveraging hybrid model of ConvNextBase and LightGBM for early ASD detection via eye-gaze analysis</t>
        </is>
      </c>
      <c r="C62" s="4">
        <f>IF(IF(COUNTIFS('ESTUDIOS'!$A$2:$A$455,$A62,'ESTUDIOS'!$I$2:$I$455,"")&gt;0,"",INDEX('ESTUDIOS'!$I$2:$I$455,MATCH($A62,'ESTUDIOS'!$A$2:$A$455,0)))=1,"1 - Integrity",IF(OR(IF(COUNTIFS('RQ2'!$A$2:$A$455,$A62,'RQ2'!$D$2:$D$455,"")&gt;0,"",INDEX('RQ2'!$D$2:$D$455,MATCH($A62,'RQ2'!$A$2:$A$455,0)))="",IF(COUNTIFS('RQ2'!$A$2:$A$455,$A62,'RQ2'!$E$2:$E$455,"")&gt;0,"",INDEX('RQ2'!$E$2:$E$455,MATCH($A62,'RQ2'!$A$2:$A$455,0)))=""),"2 - RQ2 historical","3 - Verify recorded evidence"))</f>
        <v/>
      </c>
      <c r="D62" s="4">
        <f>IF(OR(IF(COUNTIFS('RQ2'!$A$2:$A$455,$A62,'RQ2'!$D$2:$D$455,"")&gt;0,"",INDEX('RQ2'!$D$2:$D$455,MATCH($A62,'RQ2'!$A$2:$A$455,0)))="",IF(COUNTIFS('RQ2'!$A$2:$A$455,$A62,'RQ2'!$E$2:$E$455,"")&gt;0,"",INDEX('RQ2'!$E$2:$E$455,MATCH($A62,'RQ2'!$A$2:$A$455,0)))=""),"PENDIENTE","REGISTRADA")</f>
        <v/>
      </c>
      <c r="E62" s="4">
        <f>IF(IF(COUNTIFS('RQ1'!$A$2:$A$455,$A62,'RQ1'!$N$2:$N$455,"")&gt;0,"",INDEX('RQ1'!$N$2:$N$455,MATCH($A62,'RQ1'!$A$2:$A$455,0)))=1,"REVISAR DETALLE","REGISTRADA")</f>
        <v/>
      </c>
      <c r="F62" s="4">
        <f>IF(IF(COUNTIFS('RQ3'!$A$2:$A$455,$A62,'RQ3'!$P$2:$P$455,"")&gt;0,"",INDEX('RQ3'!$P$2:$P$455,MATCH($A62,'RQ3'!$A$2:$A$455,0)))="","NO REGISTRADO",IF(IF(COUNTIFS('RQ3'!$A$2:$A$455,$A62,'RQ3'!$P$2:$P$455,"")&gt;0,"",INDEX('RQ3'!$P$2:$P$455,MATCH($A62,'RQ3'!$A$2:$A$455,0)))=1,"MARCA ACTIVA","SIN MARCA"))</f>
        <v/>
      </c>
      <c r="G62" s="4">
        <f>IF(IF(COUNTIFS('ESTUDIOS'!$A$2:$A$455,$A62,'ESTUDIOS'!$N$2:$N$455,"")&gt;0,"",INDEX('ESTUDIOS'!$N$2:$N$455,MATCH($A62,'ESTUDIOS'!$A$2:$A$455,0)))="Verified","DOCUMENTADA","NO DOCUMENTADA")</f>
        <v/>
      </c>
      <c r="H62" s="4">
        <f>IF(D62="PENDIENTE","Leer evidencia ya extraída; registrar uso propuesto o evaluado, función, fuente y revisor en RQ2.","Comprobar evidencia y cautelas registradas; documentar verificación sin recodificar lo ya respaldado.")</f>
        <v/>
      </c>
      <c r="I62" s="4" t="inlineStr">
        <is>
          <t>https://doi.org/10.1016/j.mex.2025.103166</t>
        </is>
      </c>
    </row>
    <row r="63" ht="64" customHeight="1">
      <c r="A63" s="4" t="inlineStr">
        <is>
          <t>65</t>
        </is>
      </c>
      <c r="B63" s="4" t="inlineStr">
        <is>
          <t>Modified Grasshopper Optimization Algorithm for detection of Autism Spectrum Disorder</t>
        </is>
      </c>
      <c r="C63" s="4">
        <f>IF(IF(COUNTIFS('ESTUDIOS'!$A$2:$A$455,$A63,'ESTUDIOS'!$I$2:$I$455,"")&gt;0,"",INDEX('ESTUDIOS'!$I$2:$I$455,MATCH($A63,'ESTUDIOS'!$A$2:$A$455,0)))=1,"1 - Integrity",IF(OR(IF(COUNTIFS('RQ2'!$A$2:$A$455,$A63,'RQ2'!$D$2:$D$455,"")&gt;0,"",INDEX('RQ2'!$D$2:$D$455,MATCH($A63,'RQ2'!$A$2:$A$455,0)))="",IF(COUNTIFS('RQ2'!$A$2:$A$455,$A63,'RQ2'!$E$2:$E$455,"")&gt;0,"",INDEX('RQ2'!$E$2:$E$455,MATCH($A63,'RQ2'!$A$2:$A$455,0)))=""),"2 - RQ2 historical","3 - Verify recorded evidence"))</f>
        <v/>
      </c>
      <c r="D63" s="4">
        <f>IF(OR(IF(COUNTIFS('RQ2'!$A$2:$A$455,$A63,'RQ2'!$D$2:$D$455,"")&gt;0,"",INDEX('RQ2'!$D$2:$D$455,MATCH($A63,'RQ2'!$A$2:$A$455,0)))="",IF(COUNTIFS('RQ2'!$A$2:$A$455,$A63,'RQ2'!$E$2:$E$455,"")&gt;0,"",INDEX('RQ2'!$E$2:$E$455,MATCH($A63,'RQ2'!$A$2:$A$455,0)))=""),"PENDIENTE","REGISTRADA")</f>
        <v/>
      </c>
      <c r="E63" s="4">
        <f>IF(IF(COUNTIFS('RQ1'!$A$2:$A$455,$A63,'RQ1'!$N$2:$N$455,"")&gt;0,"",INDEX('RQ1'!$N$2:$N$455,MATCH($A63,'RQ1'!$A$2:$A$455,0)))=1,"REVISAR DETALLE","REGISTRADA")</f>
        <v/>
      </c>
      <c r="F63" s="4">
        <f>IF(IF(COUNTIFS('RQ3'!$A$2:$A$455,$A63,'RQ3'!$P$2:$P$455,"")&gt;0,"",INDEX('RQ3'!$P$2:$P$455,MATCH($A63,'RQ3'!$A$2:$A$455,0)))="","NO REGISTRADO",IF(IF(COUNTIFS('RQ3'!$A$2:$A$455,$A63,'RQ3'!$P$2:$P$455,"")&gt;0,"",INDEX('RQ3'!$P$2:$P$455,MATCH($A63,'RQ3'!$A$2:$A$455,0)))=1,"MARCA ACTIVA","SIN MARCA"))</f>
        <v/>
      </c>
      <c r="G63" s="4">
        <f>IF(IF(COUNTIFS('ESTUDIOS'!$A$2:$A$455,$A63,'ESTUDIOS'!$N$2:$N$455,"")&gt;0,"",INDEX('ESTUDIOS'!$N$2:$N$455,MATCH($A63,'ESTUDIOS'!$A$2:$A$455,0)))="Verified","DOCUMENTADA","NO DOCUMENTADA")</f>
        <v/>
      </c>
      <c r="H63" s="4">
        <f>IF(D63="PENDIENTE","Leer evidencia ya extraída; registrar uso propuesto o evaluado, función, fuente y revisor en RQ2.","Comprobar evidencia y cautelas registradas; documentar verificación sin recodificar lo ya respaldado.")</f>
        <v/>
      </c>
      <c r="I63" s="4" t="inlineStr">
        <is>
          <t>https://doi.org/10.1016/j.phycom.2020.101115</t>
        </is>
      </c>
    </row>
    <row r="64" ht="64" customHeight="1">
      <c r="A64" s="4" t="inlineStr">
        <is>
          <t>66</t>
        </is>
      </c>
      <c r="B64" s="4" t="inlineStr">
        <is>
          <t>Motor Signature Differences Between Autism Spectrum Disorder and Developmental Coordination Disorder, and Their Neural Mechanisms</t>
        </is>
      </c>
      <c r="C64" s="4">
        <f>IF(IF(COUNTIFS('ESTUDIOS'!$A$2:$A$455,$A64,'ESTUDIOS'!$I$2:$I$455,"")&gt;0,"",INDEX('ESTUDIOS'!$I$2:$I$455,MATCH($A64,'ESTUDIOS'!$A$2:$A$455,0)))=1,"1 - Integrity",IF(OR(IF(COUNTIFS('RQ2'!$A$2:$A$455,$A64,'RQ2'!$D$2:$D$455,"")&gt;0,"",INDEX('RQ2'!$D$2:$D$455,MATCH($A64,'RQ2'!$A$2:$A$455,0)))="",IF(COUNTIFS('RQ2'!$A$2:$A$455,$A64,'RQ2'!$E$2:$E$455,"")&gt;0,"",INDEX('RQ2'!$E$2:$E$455,MATCH($A64,'RQ2'!$A$2:$A$455,0)))=""),"2 - RQ2 historical","3 - Verify recorded evidence"))</f>
        <v/>
      </c>
      <c r="D64" s="4">
        <f>IF(OR(IF(COUNTIFS('RQ2'!$A$2:$A$455,$A64,'RQ2'!$D$2:$D$455,"")&gt;0,"",INDEX('RQ2'!$D$2:$D$455,MATCH($A64,'RQ2'!$A$2:$A$455,0)))="",IF(COUNTIFS('RQ2'!$A$2:$A$455,$A64,'RQ2'!$E$2:$E$455,"")&gt;0,"",INDEX('RQ2'!$E$2:$E$455,MATCH($A64,'RQ2'!$A$2:$A$455,0)))=""),"PENDIENTE","REGISTRADA")</f>
        <v/>
      </c>
      <c r="E64" s="4">
        <f>IF(IF(COUNTIFS('RQ1'!$A$2:$A$455,$A64,'RQ1'!$N$2:$N$455,"")&gt;0,"",INDEX('RQ1'!$N$2:$N$455,MATCH($A64,'RQ1'!$A$2:$A$455,0)))=1,"REVISAR DETALLE","REGISTRADA")</f>
        <v/>
      </c>
      <c r="F64" s="4">
        <f>IF(IF(COUNTIFS('RQ3'!$A$2:$A$455,$A64,'RQ3'!$P$2:$P$455,"")&gt;0,"",INDEX('RQ3'!$P$2:$P$455,MATCH($A64,'RQ3'!$A$2:$A$455,0)))="","NO REGISTRADO",IF(IF(COUNTIFS('RQ3'!$A$2:$A$455,$A64,'RQ3'!$P$2:$P$455,"")&gt;0,"",INDEX('RQ3'!$P$2:$P$455,MATCH($A64,'RQ3'!$A$2:$A$455,0)))=1,"MARCA ACTIVA","SIN MARCA"))</f>
        <v/>
      </c>
      <c r="G64" s="4">
        <f>IF(IF(COUNTIFS('ESTUDIOS'!$A$2:$A$455,$A64,'ESTUDIOS'!$N$2:$N$455,"")&gt;0,"",INDEX('ESTUDIOS'!$N$2:$N$455,MATCH($A64,'ESTUDIOS'!$A$2:$A$455,0)))="Verified","DOCUMENTADA","NO DOCUMENTADA")</f>
        <v/>
      </c>
      <c r="H64" s="4">
        <f>IF(D64="PENDIENTE","Leer evidencia ya extraída; registrar uso propuesto o evaluado, función, fuente y revisor en RQ2.","Comprobar evidencia y cautelas registradas; documentar verificación sin recodificar lo ya respaldado.")</f>
        <v/>
      </c>
      <c r="I64" s="4" t="inlineStr">
        <is>
          <t>https://doi.org/10.1007/s10803-023-06171-8</t>
        </is>
      </c>
    </row>
    <row r="65" ht="64" customHeight="1">
      <c r="A65" s="4" t="inlineStr">
        <is>
          <t>67</t>
        </is>
      </c>
      <c r="B65" s="4" t="inlineStr">
        <is>
          <t>Novelty detection using deep normative modeling for imu-based abnormal movement monitoring in parkinson’s disease and autism spectrum disorders</t>
        </is>
      </c>
      <c r="C65" s="4">
        <f>IF(IF(COUNTIFS('ESTUDIOS'!$A$2:$A$455,$A65,'ESTUDIOS'!$I$2:$I$455,"")&gt;0,"",INDEX('ESTUDIOS'!$I$2:$I$455,MATCH($A65,'ESTUDIOS'!$A$2:$A$455,0)))=1,"1 - Integrity",IF(OR(IF(COUNTIFS('RQ2'!$A$2:$A$455,$A65,'RQ2'!$D$2:$D$455,"")&gt;0,"",INDEX('RQ2'!$D$2:$D$455,MATCH($A65,'RQ2'!$A$2:$A$455,0)))="",IF(COUNTIFS('RQ2'!$A$2:$A$455,$A65,'RQ2'!$E$2:$E$455,"")&gt;0,"",INDEX('RQ2'!$E$2:$E$455,MATCH($A65,'RQ2'!$A$2:$A$455,0)))=""),"2 - RQ2 historical","3 - Verify recorded evidence"))</f>
        <v/>
      </c>
      <c r="D65" s="4">
        <f>IF(OR(IF(COUNTIFS('RQ2'!$A$2:$A$455,$A65,'RQ2'!$D$2:$D$455,"")&gt;0,"",INDEX('RQ2'!$D$2:$D$455,MATCH($A65,'RQ2'!$A$2:$A$455,0)))="",IF(COUNTIFS('RQ2'!$A$2:$A$455,$A65,'RQ2'!$E$2:$E$455,"")&gt;0,"",INDEX('RQ2'!$E$2:$E$455,MATCH($A65,'RQ2'!$A$2:$A$455,0)))=""),"PENDIENTE","REGISTRADA")</f>
        <v/>
      </c>
      <c r="E65" s="4">
        <f>IF(IF(COUNTIFS('RQ1'!$A$2:$A$455,$A65,'RQ1'!$N$2:$N$455,"")&gt;0,"",INDEX('RQ1'!$N$2:$N$455,MATCH($A65,'RQ1'!$A$2:$A$455,0)))=1,"REVISAR DETALLE","REGISTRADA")</f>
        <v/>
      </c>
      <c r="F65" s="4">
        <f>IF(IF(COUNTIFS('RQ3'!$A$2:$A$455,$A65,'RQ3'!$P$2:$P$455,"")&gt;0,"",INDEX('RQ3'!$P$2:$P$455,MATCH($A65,'RQ3'!$A$2:$A$455,0)))="","NO REGISTRADO",IF(IF(COUNTIFS('RQ3'!$A$2:$A$455,$A65,'RQ3'!$P$2:$P$455,"")&gt;0,"",INDEX('RQ3'!$P$2:$P$455,MATCH($A65,'RQ3'!$A$2:$A$455,0)))=1,"MARCA ACTIVA","SIN MARCA"))</f>
        <v/>
      </c>
      <c r="G65" s="4">
        <f>IF(IF(COUNTIFS('ESTUDIOS'!$A$2:$A$455,$A65,'ESTUDIOS'!$N$2:$N$455,"")&gt;0,"",INDEX('ESTUDIOS'!$N$2:$N$455,MATCH($A65,'ESTUDIOS'!$A$2:$A$455,0)))="Verified","DOCUMENTADA","NO DOCUMENTADA")</f>
        <v/>
      </c>
      <c r="H65" s="4">
        <f>IF(D65="PENDIENTE","Leer evidencia ya extraída; registrar uso propuesto o evaluado, función, fuente y revisor en RQ2.","Comprobar evidencia y cautelas registradas; documentar verificación sin recodificar lo ya respaldado.")</f>
        <v/>
      </c>
      <c r="I65" s="4" t="inlineStr">
        <is>
          <t>https://doi.org/10.3390/s18103533</t>
        </is>
      </c>
    </row>
    <row r="66" ht="64" customHeight="1">
      <c r="A66" s="4" t="inlineStr">
        <is>
          <t>68</t>
        </is>
      </c>
      <c r="B66" s="4" t="inlineStr">
        <is>
          <t>Perceived social support in adults with autism spectrum disorder and attention-deficit/hyperactivity disorder</t>
        </is>
      </c>
      <c r="C66" s="4">
        <f>IF(IF(COUNTIFS('ESTUDIOS'!$A$2:$A$455,$A66,'ESTUDIOS'!$I$2:$I$455,"")&gt;0,"",INDEX('ESTUDIOS'!$I$2:$I$455,MATCH($A66,'ESTUDIOS'!$A$2:$A$455,0)))=1,"1 - Integrity",IF(OR(IF(COUNTIFS('RQ2'!$A$2:$A$455,$A66,'RQ2'!$D$2:$D$455,"")&gt;0,"",INDEX('RQ2'!$D$2:$D$455,MATCH($A66,'RQ2'!$A$2:$A$455,0)))="",IF(COUNTIFS('RQ2'!$A$2:$A$455,$A66,'RQ2'!$E$2:$E$455,"")&gt;0,"",INDEX('RQ2'!$E$2:$E$455,MATCH($A66,'RQ2'!$A$2:$A$455,0)))=""),"2 - RQ2 historical","3 - Verify recorded evidence"))</f>
        <v/>
      </c>
      <c r="D66" s="4">
        <f>IF(OR(IF(COUNTIFS('RQ2'!$A$2:$A$455,$A66,'RQ2'!$D$2:$D$455,"")&gt;0,"",INDEX('RQ2'!$D$2:$D$455,MATCH($A66,'RQ2'!$A$2:$A$455,0)))="",IF(COUNTIFS('RQ2'!$A$2:$A$455,$A66,'RQ2'!$E$2:$E$455,"")&gt;0,"",INDEX('RQ2'!$E$2:$E$455,MATCH($A66,'RQ2'!$A$2:$A$455,0)))=""),"PENDIENTE","REGISTRADA")</f>
        <v/>
      </c>
      <c r="E66" s="4">
        <f>IF(IF(COUNTIFS('RQ1'!$A$2:$A$455,$A66,'RQ1'!$N$2:$N$455,"")&gt;0,"",INDEX('RQ1'!$N$2:$N$455,MATCH($A66,'RQ1'!$A$2:$A$455,0)))=1,"REVISAR DETALLE","REGISTRADA")</f>
        <v/>
      </c>
      <c r="F66" s="4">
        <f>IF(IF(COUNTIFS('RQ3'!$A$2:$A$455,$A66,'RQ3'!$P$2:$P$455,"")&gt;0,"",INDEX('RQ3'!$P$2:$P$455,MATCH($A66,'RQ3'!$A$2:$A$455,0)))="","NO REGISTRADO",IF(IF(COUNTIFS('RQ3'!$A$2:$A$455,$A66,'RQ3'!$P$2:$P$455,"")&gt;0,"",INDEX('RQ3'!$P$2:$P$455,MATCH($A66,'RQ3'!$A$2:$A$455,0)))=1,"MARCA ACTIVA","SIN MARCA"))</f>
        <v/>
      </c>
      <c r="G66" s="4">
        <f>IF(IF(COUNTIFS('ESTUDIOS'!$A$2:$A$455,$A66,'ESTUDIOS'!$N$2:$N$455,"")&gt;0,"",INDEX('ESTUDIOS'!$N$2:$N$455,MATCH($A66,'ESTUDIOS'!$A$2:$A$455,0)))="Verified","DOCUMENTADA","NO DOCUMENTADA")</f>
        <v/>
      </c>
      <c r="H66" s="4">
        <f>IF(D66="PENDIENTE","Leer evidencia ya extraída; registrar uso propuesto o evaluado, función, fuente y revisor en RQ2.","Comprobar evidencia y cautelas registradas; documentar verificación sin recodificar lo ya respaldado.")</f>
        <v/>
      </c>
      <c r="I66" s="4" t="inlineStr">
        <is>
          <t>https://doi.org/10.1002/aur.1735</t>
        </is>
      </c>
    </row>
    <row r="67" ht="64" customHeight="1">
      <c r="A67" s="4" t="inlineStr">
        <is>
          <t>69</t>
        </is>
      </c>
      <c r="B67" s="4" t="inlineStr">
        <is>
          <t>Regional-Asymmetric Adaptive Graph Convolutional Neural Network for Diagnosis of Autism in Children with Resting-State EEG</t>
        </is>
      </c>
      <c r="C67" s="4">
        <f>IF(IF(COUNTIFS('ESTUDIOS'!$A$2:$A$455,$A67,'ESTUDIOS'!$I$2:$I$455,"")&gt;0,"",INDEX('ESTUDIOS'!$I$2:$I$455,MATCH($A67,'ESTUDIOS'!$A$2:$A$455,0)))=1,"1 - Integrity",IF(OR(IF(COUNTIFS('RQ2'!$A$2:$A$455,$A67,'RQ2'!$D$2:$D$455,"")&gt;0,"",INDEX('RQ2'!$D$2:$D$455,MATCH($A67,'RQ2'!$A$2:$A$455,0)))="",IF(COUNTIFS('RQ2'!$A$2:$A$455,$A67,'RQ2'!$E$2:$E$455,"")&gt;0,"",INDEX('RQ2'!$E$2:$E$455,MATCH($A67,'RQ2'!$A$2:$A$455,0)))=""),"2 - RQ2 historical","3 - Verify recorded evidence"))</f>
        <v/>
      </c>
      <c r="D67" s="4">
        <f>IF(OR(IF(COUNTIFS('RQ2'!$A$2:$A$455,$A67,'RQ2'!$D$2:$D$455,"")&gt;0,"",INDEX('RQ2'!$D$2:$D$455,MATCH($A67,'RQ2'!$A$2:$A$455,0)))="",IF(COUNTIFS('RQ2'!$A$2:$A$455,$A67,'RQ2'!$E$2:$E$455,"")&gt;0,"",INDEX('RQ2'!$E$2:$E$455,MATCH($A67,'RQ2'!$A$2:$A$455,0)))=""),"PENDIENTE","REGISTRADA")</f>
        <v/>
      </c>
      <c r="E67" s="4">
        <f>IF(IF(COUNTIFS('RQ1'!$A$2:$A$455,$A67,'RQ1'!$N$2:$N$455,"")&gt;0,"",INDEX('RQ1'!$N$2:$N$455,MATCH($A67,'RQ1'!$A$2:$A$455,0)))=1,"REVISAR DETALLE","REGISTRADA")</f>
        <v/>
      </c>
      <c r="F67" s="4">
        <f>IF(IF(COUNTIFS('RQ3'!$A$2:$A$455,$A67,'RQ3'!$P$2:$P$455,"")&gt;0,"",INDEX('RQ3'!$P$2:$P$455,MATCH($A67,'RQ3'!$A$2:$A$455,0)))="","NO REGISTRADO",IF(IF(COUNTIFS('RQ3'!$A$2:$A$455,$A67,'RQ3'!$P$2:$P$455,"")&gt;0,"",INDEX('RQ3'!$P$2:$P$455,MATCH($A67,'RQ3'!$A$2:$A$455,0)))=1,"MARCA ACTIVA","SIN MARCA"))</f>
        <v/>
      </c>
      <c r="G67" s="4">
        <f>IF(IF(COUNTIFS('ESTUDIOS'!$A$2:$A$455,$A67,'ESTUDIOS'!$N$2:$N$455,"")&gt;0,"",INDEX('ESTUDIOS'!$N$2:$N$455,MATCH($A67,'ESTUDIOS'!$A$2:$A$455,0)))="Verified","DOCUMENTADA","NO DOCUMENTADA")</f>
        <v/>
      </c>
      <c r="H67" s="4">
        <f>IF(D67="PENDIENTE","Leer evidencia ya extraída; registrar uso propuesto o evaluado, función, fuente y revisor en RQ2.","Comprobar evidencia y cautelas registradas; documentar verificación sin recodificar lo ya respaldado.")</f>
        <v/>
      </c>
      <c r="I67" s="4" t="inlineStr">
        <is>
          <t>https://doi.org/10.1109/tnsre.2023.3347134</t>
        </is>
      </c>
    </row>
    <row r="68" ht="64" customHeight="1">
      <c r="A68" s="4" t="inlineStr">
        <is>
          <t>70</t>
        </is>
      </c>
      <c r="B68" s="4" t="inlineStr">
        <is>
          <t>Relationship between abnormal intrinsic functional connectivity of subcortices and autism symptoms in high-functioning adults with autism spectrum disorder</t>
        </is>
      </c>
      <c r="C68" s="4">
        <f>IF(IF(COUNTIFS('ESTUDIOS'!$A$2:$A$455,$A68,'ESTUDIOS'!$I$2:$I$455,"")&gt;0,"",INDEX('ESTUDIOS'!$I$2:$I$455,MATCH($A68,'ESTUDIOS'!$A$2:$A$455,0)))=1,"1 - Integrity",IF(OR(IF(COUNTIFS('RQ2'!$A$2:$A$455,$A68,'RQ2'!$D$2:$D$455,"")&gt;0,"",INDEX('RQ2'!$D$2:$D$455,MATCH($A68,'RQ2'!$A$2:$A$455,0)))="",IF(COUNTIFS('RQ2'!$A$2:$A$455,$A68,'RQ2'!$E$2:$E$455,"")&gt;0,"",INDEX('RQ2'!$E$2:$E$455,MATCH($A68,'RQ2'!$A$2:$A$455,0)))=""),"2 - RQ2 historical","3 - Verify recorded evidence"))</f>
        <v/>
      </c>
      <c r="D68" s="4">
        <f>IF(OR(IF(COUNTIFS('RQ2'!$A$2:$A$455,$A68,'RQ2'!$D$2:$D$455,"")&gt;0,"",INDEX('RQ2'!$D$2:$D$455,MATCH($A68,'RQ2'!$A$2:$A$455,0)))="",IF(COUNTIFS('RQ2'!$A$2:$A$455,$A68,'RQ2'!$E$2:$E$455,"")&gt;0,"",INDEX('RQ2'!$E$2:$E$455,MATCH($A68,'RQ2'!$A$2:$A$455,0)))=""),"PENDIENTE","REGISTRADA")</f>
        <v/>
      </c>
      <c r="E68" s="4">
        <f>IF(IF(COUNTIFS('RQ1'!$A$2:$A$455,$A68,'RQ1'!$N$2:$N$455,"")&gt;0,"",INDEX('RQ1'!$N$2:$N$455,MATCH($A68,'RQ1'!$A$2:$A$455,0)))=1,"REVISAR DETALLE","REGISTRADA")</f>
        <v/>
      </c>
      <c r="F68" s="4">
        <f>IF(IF(COUNTIFS('RQ3'!$A$2:$A$455,$A68,'RQ3'!$P$2:$P$455,"")&gt;0,"",INDEX('RQ3'!$P$2:$P$455,MATCH($A68,'RQ3'!$A$2:$A$455,0)))="","NO REGISTRADO",IF(IF(COUNTIFS('RQ3'!$A$2:$A$455,$A68,'RQ3'!$P$2:$P$455,"")&gt;0,"",INDEX('RQ3'!$P$2:$P$455,MATCH($A68,'RQ3'!$A$2:$A$455,0)))=1,"MARCA ACTIVA","SIN MARCA"))</f>
        <v/>
      </c>
      <c r="G68" s="4">
        <f>IF(IF(COUNTIFS('ESTUDIOS'!$A$2:$A$455,$A68,'ESTUDIOS'!$N$2:$N$455,"")&gt;0,"",INDEX('ESTUDIOS'!$N$2:$N$455,MATCH($A68,'ESTUDIOS'!$A$2:$A$455,0)))="Verified","DOCUMENTADA","NO DOCUMENTADA")</f>
        <v/>
      </c>
      <c r="H68" s="4">
        <f>IF(D68="PENDIENTE","Leer evidencia ya extraída; registrar uso propuesto o evaluado, función, fuente y revisor en RQ2.","Comprobar evidencia y cautelas registradas; documentar verificación sin recodificar lo ya respaldado.")</f>
        <v/>
      </c>
      <c r="I68" s="4" t="inlineStr">
        <is>
          <t>https://doi.org/10.1016/j.pscychresns.2023.111762</t>
        </is>
      </c>
    </row>
    <row r="69" ht="64" customHeight="1">
      <c r="A69" s="4" t="inlineStr">
        <is>
          <t>72</t>
        </is>
      </c>
      <c r="B69" s="4" t="inlineStr">
        <is>
          <t>Transdiagnostic symptom subtypes across autism spectrum disorders and attention deficit hyperactivity disorder: validated by measures of neurocognition and structural connectivity</t>
        </is>
      </c>
      <c r="C69" s="4">
        <f>IF(IF(COUNTIFS('ESTUDIOS'!$A$2:$A$455,$A69,'ESTUDIOS'!$I$2:$I$455,"")&gt;0,"",INDEX('ESTUDIOS'!$I$2:$I$455,MATCH($A69,'ESTUDIOS'!$A$2:$A$455,0)))=1,"1 - Integrity",IF(OR(IF(COUNTIFS('RQ2'!$A$2:$A$455,$A69,'RQ2'!$D$2:$D$455,"")&gt;0,"",INDEX('RQ2'!$D$2:$D$455,MATCH($A69,'RQ2'!$A$2:$A$455,0)))="",IF(COUNTIFS('RQ2'!$A$2:$A$455,$A69,'RQ2'!$E$2:$E$455,"")&gt;0,"",INDEX('RQ2'!$E$2:$E$455,MATCH($A69,'RQ2'!$A$2:$A$455,0)))=""),"2 - RQ2 historical","3 - Verify recorded evidence"))</f>
        <v/>
      </c>
      <c r="D69" s="4">
        <f>IF(OR(IF(COUNTIFS('RQ2'!$A$2:$A$455,$A69,'RQ2'!$D$2:$D$455,"")&gt;0,"",INDEX('RQ2'!$D$2:$D$455,MATCH($A69,'RQ2'!$A$2:$A$455,0)))="",IF(COUNTIFS('RQ2'!$A$2:$A$455,$A69,'RQ2'!$E$2:$E$455,"")&gt;0,"",INDEX('RQ2'!$E$2:$E$455,MATCH($A69,'RQ2'!$A$2:$A$455,0)))=""),"PENDIENTE","REGISTRADA")</f>
        <v/>
      </c>
      <c r="E69" s="4">
        <f>IF(IF(COUNTIFS('RQ1'!$A$2:$A$455,$A69,'RQ1'!$N$2:$N$455,"")&gt;0,"",INDEX('RQ1'!$N$2:$N$455,MATCH($A69,'RQ1'!$A$2:$A$455,0)))=1,"REVISAR DETALLE","REGISTRADA")</f>
        <v/>
      </c>
      <c r="F69" s="4">
        <f>IF(IF(COUNTIFS('RQ3'!$A$2:$A$455,$A69,'RQ3'!$P$2:$P$455,"")&gt;0,"",INDEX('RQ3'!$P$2:$P$455,MATCH($A69,'RQ3'!$A$2:$A$455,0)))="","NO REGISTRADO",IF(IF(COUNTIFS('RQ3'!$A$2:$A$455,$A69,'RQ3'!$P$2:$P$455,"")&gt;0,"",INDEX('RQ3'!$P$2:$P$455,MATCH($A69,'RQ3'!$A$2:$A$455,0)))=1,"MARCA ACTIVA","SIN MARCA"))</f>
        <v/>
      </c>
      <c r="G69" s="4">
        <f>IF(IF(COUNTIFS('ESTUDIOS'!$A$2:$A$455,$A69,'ESTUDIOS'!$N$2:$N$455,"")&gt;0,"",INDEX('ESTUDIOS'!$N$2:$N$455,MATCH($A69,'ESTUDIOS'!$A$2:$A$455,0)))="Verified","DOCUMENTADA","NO DOCUMENTADA")</f>
        <v/>
      </c>
      <c r="H69" s="4">
        <f>IF(D69="PENDIENTE","Leer evidencia ya extraída; registrar uso propuesto o evaluado, función, fuente y revisor en RQ2.","Comprobar evidencia y cautelas registradas; documentar verificación sin recodificar lo ya respaldado.")</f>
        <v/>
      </c>
      <c r="I69" s="4" t="inlineStr">
        <is>
          <t>https://doi.org/10.1186/s12888-022-03734-4</t>
        </is>
      </c>
    </row>
    <row r="70" ht="64" customHeight="1">
      <c r="A70" s="4" t="inlineStr">
        <is>
          <t>73</t>
        </is>
      </c>
      <c r="B70" s="4" t="inlineStr">
        <is>
          <t>A Convolutional Neural Network Combined With Prototype Learning Framework for Brain Functional Network Classification of Autism Spectrum Disorder</t>
        </is>
      </c>
      <c r="C70" s="4">
        <f>IF(IF(COUNTIFS('ESTUDIOS'!$A$2:$A$455,$A70,'ESTUDIOS'!$I$2:$I$455,"")&gt;0,"",INDEX('ESTUDIOS'!$I$2:$I$455,MATCH($A70,'ESTUDIOS'!$A$2:$A$455,0)))=1,"1 - Integrity",IF(OR(IF(COUNTIFS('RQ2'!$A$2:$A$455,$A70,'RQ2'!$D$2:$D$455,"")&gt;0,"",INDEX('RQ2'!$D$2:$D$455,MATCH($A70,'RQ2'!$A$2:$A$455,0)))="",IF(COUNTIFS('RQ2'!$A$2:$A$455,$A70,'RQ2'!$E$2:$E$455,"")&gt;0,"",INDEX('RQ2'!$E$2:$E$455,MATCH($A70,'RQ2'!$A$2:$A$455,0)))=""),"2 - RQ2 historical","3 - Verify recorded evidence"))</f>
        <v/>
      </c>
      <c r="D70" s="4">
        <f>IF(OR(IF(COUNTIFS('RQ2'!$A$2:$A$455,$A70,'RQ2'!$D$2:$D$455,"")&gt;0,"",INDEX('RQ2'!$D$2:$D$455,MATCH($A70,'RQ2'!$A$2:$A$455,0)))="",IF(COUNTIFS('RQ2'!$A$2:$A$455,$A70,'RQ2'!$E$2:$E$455,"")&gt;0,"",INDEX('RQ2'!$E$2:$E$455,MATCH($A70,'RQ2'!$A$2:$A$455,0)))=""),"PENDIENTE","REGISTRADA")</f>
        <v/>
      </c>
      <c r="E70" s="4">
        <f>IF(IF(COUNTIFS('RQ1'!$A$2:$A$455,$A70,'RQ1'!$N$2:$N$455,"")&gt;0,"",INDEX('RQ1'!$N$2:$N$455,MATCH($A70,'RQ1'!$A$2:$A$455,0)))=1,"REVISAR DETALLE","REGISTRADA")</f>
        <v/>
      </c>
      <c r="F70" s="4">
        <f>IF(IF(COUNTIFS('RQ3'!$A$2:$A$455,$A70,'RQ3'!$P$2:$P$455,"")&gt;0,"",INDEX('RQ3'!$P$2:$P$455,MATCH($A70,'RQ3'!$A$2:$A$455,0)))="","NO REGISTRADO",IF(IF(COUNTIFS('RQ3'!$A$2:$A$455,$A70,'RQ3'!$P$2:$P$455,"")&gt;0,"",INDEX('RQ3'!$P$2:$P$455,MATCH($A70,'RQ3'!$A$2:$A$455,0)))=1,"MARCA ACTIVA","SIN MARCA"))</f>
        <v/>
      </c>
      <c r="G70" s="4">
        <f>IF(IF(COUNTIFS('ESTUDIOS'!$A$2:$A$455,$A70,'ESTUDIOS'!$N$2:$N$455,"")&gt;0,"",INDEX('ESTUDIOS'!$N$2:$N$455,MATCH($A70,'ESTUDIOS'!$A$2:$A$455,0)))="Verified","DOCUMENTADA","NO DOCUMENTADA")</f>
        <v/>
      </c>
      <c r="H70" s="4">
        <f>IF(D70="PENDIENTE","Leer evidencia ya extraída; registrar uso propuesto o evaluado, función, fuente y revisor en RQ2.","Comprobar evidencia y cautelas registradas; documentar verificación sin recodificar lo ya respaldado.")</f>
        <v/>
      </c>
      <c r="I70" s="4" t="inlineStr">
        <is>
          <t>https://doi.org/10.1109/tnsre.2021.3120024</t>
        </is>
      </c>
    </row>
    <row r="71" ht="64" customHeight="1">
      <c r="A71" s="4" t="inlineStr">
        <is>
          <t>74</t>
        </is>
      </c>
      <c r="B71" s="4" t="inlineStr">
        <is>
          <t>A heterogeneous graph convolutional attention network method for classification of autism spectrum disorder</t>
        </is>
      </c>
      <c r="C71" s="4">
        <f>IF(IF(COUNTIFS('ESTUDIOS'!$A$2:$A$455,$A71,'ESTUDIOS'!$I$2:$I$455,"")&gt;0,"",INDEX('ESTUDIOS'!$I$2:$I$455,MATCH($A71,'ESTUDIOS'!$A$2:$A$455,0)))=1,"1 - Integrity",IF(OR(IF(COUNTIFS('RQ2'!$A$2:$A$455,$A71,'RQ2'!$D$2:$D$455,"")&gt;0,"",INDEX('RQ2'!$D$2:$D$455,MATCH($A71,'RQ2'!$A$2:$A$455,0)))="",IF(COUNTIFS('RQ2'!$A$2:$A$455,$A71,'RQ2'!$E$2:$E$455,"")&gt;0,"",INDEX('RQ2'!$E$2:$E$455,MATCH($A71,'RQ2'!$A$2:$A$455,0)))=""),"2 - RQ2 historical","3 - Verify recorded evidence"))</f>
        <v/>
      </c>
      <c r="D71" s="4">
        <f>IF(OR(IF(COUNTIFS('RQ2'!$A$2:$A$455,$A71,'RQ2'!$D$2:$D$455,"")&gt;0,"",INDEX('RQ2'!$D$2:$D$455,MATCH($A71,'RQ2'!$A$2:$A$455,0)))="",IF(COUNTIFS('RQ2'!$A$2:$A$455,$A71,'RQ2'!$E$2:$E$455,"")&gt;0,"",INDEX('RQ2'!$E$2:$E$455,MATCH($A71,'RQ2'!$A$2:$A$455,0)))=""),"PENDIENTE","REGISTRADA")</f>
        <v/>
      </c>
      <c r="E71" s="4">
        <f>IF(IF(COUNTIFS('RQ1'!$A$2:$A$455,$A71,'RQ1'!$N$2:$N$455,"")&gt;0,"",INDEX('RQ1'!$N$2:$N$455,MATCH($A71,'RQ1'!$A$2:$A$455,0)))=1,"REVISAR DETALLE","REGISTRADA")</f>
        <v/>
      </c>
      <c r="F71" s="4">
        <f>IF(IF(COUNTIFS('RQ3'!$A$2:$A$455,$A71,'RQ3'!$P$2:$P$455,"")&gt;0,"",INDEX('RQ3'!$P$2:$P$455,MATCH($A71,'RQ3'!$A$2:$A$455,0)))="","NO REGISTRADO",IF(IF(COUNTIFS('RQ3'!$A$2:$A$455,$A71,'RQ3'!$P$2:$P$455,"")&gt;0,"",INDEX('RQ3'!$P$2:$P$455,MATCH($A71,'RQ3'!$A$2:$A$455,0)))=1,"MARCA ACTIVA","SIN MARCA"))</f>
        <v/>
      </c>
      <c r="G71" s="4">
        <f>IF(IF(COUNTIFS('ESTUDIOS'!$A$2:$A$455,$A71,'ESTUDIOS'!$N$2:$N$455,"")&gt;0,"",INDEX('ESTUDIOS'!$N$2:$N$455,MATCH($A71,'ESTUDIOS'!$A$2:$A$455,0)))="Verified","DOCUMENTADA","NO DOCUMENTADA")</f>
        <v/>
      </c>
      <c r="H71" s="4">
        <f>IF(D71="PENDIENTE","Leer evidencia ya extraída; registrar uso propuesto o evaluado, función, fuente y revisor en RQ2.","Comprobar evidencia y cautelas registradas; documentar verificación sin recodificar lo ya respaldado.")</f>
        <v/>
      </c>
      <c r="I71" s="4" t="inlineStr">
        <is>
          <t>https://doi.org/10.1186/s12859-023-05495-7</t>
        </is>
      </c>
    </row>
    <row r="72" ht="64" customHeight="1">
      <c r="A72" s="4" t="inlineStr">
        <is>
          <t>75</t>
        </is>
      </c>
      <c r="B72" s="4" t="inlineStr">
        <is>
          <t>A monitoring system for patients of autism spectrum disorder using artificial intelligence</t>
        </is>
      </c>
      <c r="C72" s="4">
        <f>IF(IF(COUNTIFS('ESTUDIOS'!$A$2:$A$455,$A72,'ESTUDIOS'!$I$2:$I$455,"")&gt;0,"",INDEX('ESTUDIOS'!$I$2:$I$455,MATCH($A72,'ESTUDIOS'!$A$2:$A$455,0)))=1,"1 - Integrity",IF(OR(IF(COUNTIFS('RQ2'!$A$2:$A$455,$A72,'RQ2'!$D$2:$D$455,"")&gt;0,"",INDEX('RQ2'!$D$2:$D$455,MATCH($A72,'RQ2'!$A$2:$A$455,0)))="",IF(COUNTIFS('RQ2'!$A$2:$A$455,$A72,'RQ2'!$E$2:$E$455,"")&gt;0,"",INDEX('RQ2'!$E$2:$E$455,MATCH($A72,'RQ2'!$A$2:$A$455,0)))=""),"2 - RQ2 historical","3 - Verify recorded evidence"))</f>
        <v/>
      </c>
      <c r="D72" s="4">
        <f>IF(OR(IF(COUNTIFS('RQ2'!$A$2:$A$455,$A72,'RQ2'!$D$2:$D$455,"")&gt;0,"",INDEX('RQ2'!$D$2:$D$455,MATCH($A72,'RQ2'!$A$2:$A$455,0)))="",IF(COUNTIFS('RQ2'!$A$2:$A$455,$A72,'RQ2'!$E$2:$E$455,"")&gt;0,"",INDEX('RQ2'!$E$2:$E$455,MATCH($A72,'RQ2'!$A$2:$A$455,0)))=""),"PENDIENTE","REGISTRADA")</f>
        <v/>
      </c>
      <c r="E72" s="4">
        <f>IF(IF(COUNTIFS('RQ1'!$A$2:$A$455,$A72,'RQ1'!$N$2:$N$455,"")&gt;0,"",INDEX('RQ1'!$N$2:$N$455,MATCH($A72,'RQ1'!$A$2:$A$455,0)))=1,"REVISAR DETALLE","REGISTRADA")</f>
        <v/>
      </c>
      <c r="F72" s="4">
        <f>IF(IF(COUNTIFS('RQ3'!$A$2:$A$455,$A72,'RQ3'!$P$2:$P$455,"")&gt;0,"",INDEX('RQ3'!$P$2:$P$455,MATCH($A72,'RQ3'!$A$2:$A$455,0)))="","NO REGISTRADO",IF(IF(COUNTIFS('RQ3'!$A$2:$A$455,$A72,'RQ3'!$P$2:$P$455,"")&gt;0,"",INDEX('RQ3'!$P$2:$P$455,MATCH($A72,'RQ3'!$A$2:$A$455,0)))=1,"MARCA ACTIVA","SIN MARCA"))</f>
        <v/>
      </c>
      <c r="G72" s="4">
        <f>IF(IF(COUNTIFS('ESTUDIOS'!$A$2:$A$455,$A72,'ESTUDIOS'!$N$2:$N$455,"")&gt;0,"",INDEX('ESTUDIOS'!$N$2:$N$455,MATCH($A72,'ESTUDIOS'!$A$2:$A$455,0)))="Verified","DOCUMENTADA","NO DOCUMENTADA")</f>
        <v/>
      </c>
      <c r="H72" s="4">
        <f>IF(D72="PENDIENTE","Leer evidencia ya extraída; registrar uso propuesto o evaluado, función, fuente y revisor en RQ2.","Comprobar evidencia y cautelas registradas; documentar verificación sin recodificar lo ya respaldado.")</f>
        <v/>
      </c>
      <c r="I72" s="4" t="inlineStr">
        <is>
          <t>https://doi.org/10.1007/978-3-030-59277-6_23</t>
        </is>
      </c>
    </row>
    <row r="73" ht="64" customHeight="1">
      <c r="A73" s="4" t="inlineStr">
        <is>
          <t>77</t>
        </is>
      </c>
      <c r="B73" s="4" t="inlineStr">
        <is>
          <t>Age-Specific Diagnostic Classification of ASD Using Deep Learning Approaches</t>
        </is>
      </c>
      <c r="C73" s="4">
        <f>IF(IF(COUNTIFS('ESTUDIOS'!$A$2:$A$455,$A73,'ESTUDIOS'!$I$2:$I$455,"")&gt;0,"",INDEX('ESTUDIOS'!$I$2:$I$455,MATCH($A73,'ESTUDIOS'!$A$2:$A$455,0)))=1,"1 - Integrity",IF(OR(IF(COUNTIFS('RQ2'!$A$2:$A$455,$A73,'RQ2'!$D$2:$D$455,"")&gt;0,"",INDEX('RQ2'!$D$2:$D$455,MATCH($A73,'RQ2'!$A$2:$A$455,0)))="",IF(COUNTIFS('RQ2'!$A$2:$A$455,$A73,'RQ2'!$E$2:$E$455,"")&gt;0,"",INDEX('RQ2'!$E$2:$E$455,MATCH($A73,'RQ2'!$A$2:$A$455,0)))=""),"2 - RQ2 historical","3 - Verify recorded evidence"))</f>
        <v/>
      </c>
      <c r="D73" s="4">
        <f>IF(OR(IF(COUNTIFS('RQ2'!$A$2:$A$455,$A73,'RQ2'!$D$2:$D$455,"")&gt;0,"",INDEX('RQ2'!$D$2:$D$455,MATCH($A73,'RQ2'!$A$2:$A$455,0)))="",IF(COUNTIFS('RQ2'!$A$2:$A$455,$A73,'RQ2'!$E$2:$E$455,"")&gt;0,"",INDEX('RQ2'!$E$2:$E$455,MATCH($A73,'RQ2'!$A$2:$A$455,0)))=""),"PENDIENTE","REGISTRADA")</f>
        <v/>
      </c>
      <c r="E73" s="4">
        <f>IF(IF(COUNTIFS('RQ1'!$A$2:$A$455,$A73,'RQ1'!$N$2:$N$455,"")&gt;0,"",INDEX('RQ1'!$N$2:$N$455,MATCH($A73,'RQ1'!$A$2:$A$455,0)))=1,"REVISAR DETALLE","REGISTRADA")</f>
        <v/>
      </c>
      <c r="F73" s="4">
        <f>IF(IF(COUNTIFS('RQ3'!$A$2:$A$455,$A73,'RQ3'!$P$2:$P$455,"")&gt;0,"",INDEX('RQ3'!$P$2:$P$455,MATCH($A73,'RQ3'!$A$2:$A$455,0)))="","NO REGISTRADO",IF(IF(COUNTIFS('RQ3'!$A$2:$A$455,$A73,'RQ3'!$P$2:$P$455,"")&gt;0,"",INDEX('RQ3'!$P$2:$P$455,MATCH($A73,'RQ3'!$A$2:$A$455,0)))=1,"MARCA ACTIVA","SIN MARCA"))</f>
        <v/>
      </c>
      <c r="G73" s="4">
        <f>IF(IF(COUNTIFS('ESTUDIOS'!$A$2:$A$455,$A73,'ESTUDIOS'!$N$2:$N$455,"")&gt;0,"",INDEX('ESTUDIOS'!$N$2:$N$455,MATCH($A73,'ESTUDIOS'!$A$2:$A$455,0)))="Verified","DOCUMENTADA","NO DOCUMENTADA")</f>
        <v/>
      </c>
      <c r="H73" s="4">
        <f>IF(D73="PENDIENTE","Leer evidencia ya extraída; registrar uso propuesto o evaluado, función, fuente y revisor en RQ2.","Comprobar evidencia y cautelas registradas; documentar verificación sin recodificar lo ya respaldado.")</f>
        <v/>
      </c>
      <c r="I73" s="4" t="inlineStr">
        <is>
          <t>https://doi.org/10.3233/shti230794</t>
        </is>
      </c>
    </row>
    <row r="74" ht="64" customHeight="1">
      <c r="A74" s="4" t="inlineStr">
        <is>
          <t>78</t>
        </is>
      </c>
      <c r="B74" s="4" t="inlineStr">
        <is>
          <t>An Automatic Framework for Detecting Autism Spectrum Disorder From EEG Signals Using TFD</t>
        </is>
      </c>
      <c r="C74" s="4">
        <f>IF(IF(COUNTIFS('ESTUDIOS'!$A$2:$A$455,$A74,'ESTUDIOS'!$I$2:$I$455,"")&gt;0,"",INDEX('ESTUDIOS'!$I$2:$I$455,MATCH($A74,'ESTUDIOS'!$A$2:$A$455,0)))=1,"1 - Integrity",IF(OR(IF(COUNTIFS('RQ2'!$A$2:$A$455,$A74,'RQ2'!$D$2:$D$455,"")&gt;0,"",INDEX('RQ2'!$D$2:$D$455,MATCH($A74,'RQ2'!$A$2:$A$455,0)))="",IF(COUNTIFS('RQ2'!$A$2:$A$455,$A74,'RQ2'!$E$2:$E$455,"")&gt;0,"",INDEX('RQ2'!$E$2:$E$455,MATCH($A74,'RQ2'!$A$2:$A$455,0)))=""),"2 - RQ2 historical","3 - Verify recorded evidence"))</f>
        <v/>
      </c>
      <c r="D74" s="4">
        <f>IF(OR(IF(COUNTIFS('RQ2'!$A$2:$A$455,$A74,'RQ2'!$D$2:$D$455,"")&gt;0,"",INDEX('RQ2'!$D$2:$D$455,MATCH($A74,'RQ2'!$A$2:$A$455,0)))="",IF(COUNTIFS('RQ2'!$A$2:$A$455,$A74,'RQ2'!$E$2:$E$455,"")&gt;0,"",INDEX('RQ2'!$E$2:$E$455,MATCH($A74,'RQ2'!$A$2:$A$455,0)))=""),"PENDIENTE","REGISTRADA")</f>
        <v/>
      </c>
      <c r="E74" s="4">
        <f>IF(IF(COUNTIFS('RQ1'!$A$2:$A$455,$A74,'RQ1'!$N$2:$N$455,"")&gt;0,"",INDEX('RQ1'!$N$2:$N$455,MATCH($A74,'RQ1'!$A$2:$A$455,0)))=1,"REVISAR DETALLE","REGISTRADA")</f>
        <v/>
      </c>
      <c r="F74" s="4">
        <f>IF(IF(COUNTIFS('RQ3'!$A$2:$A$455,$A74,'RQ3'!$P$2:$P$455,"")&gt;0,"",INDEX('RQ3'!$P$2:$P$455,MATCH($A74,'RQ3'!$A$2:$A$455,0)))="","NO REGISTRADO",IF(IF(COUNTIFS('RQ3'!$A$2:$A$455,$A74,'RQ3'!$P$2:$P$455,"")&gt;0,"",INDEX('RQ3'!$P$2:$P$455,MATCH($A74,'RQ3'!$A$2:$A$455,0)))=1,"MARCA ACTIVA","SIN MARCA"))</f>
        <v/>
      </c>
      <c r="G74" s="4">
        <f>IF(IF(COUNTIFS('ESTUDIOS'!$A$2:$A$455,$A74,'ESTUDIOS'!$N$2:$N$455,"")&gt;0,"",INDEX('ESTUDIOS'!$N$2:$N$455,MATCH($A74,'ESTUDIOS'!$A$2:$A$455,0)))="Verified","DOCUMENTADA","NO DOCUMENTADA")</f>
        <v/>
      </c>
      <c r="H74" s="4">
        <f>IF(D74="PENDIENTE","Leer evidencia ya extraída; registrar uso propuesto o evaluado, función, fuente y revisor en RQ2.","Comprobar evidencia y cautelas registradas; documentar verificación sin recodificar lo ya respaldado.")</f>
        <v/>
      </c>
      <c r="I74" s="4" t="inlineStr">
        <is>
          <t>https://doi.org/10.1109/jsen.2024.3362341</t>
        </is>
      </c>
    </row>
    <row r="75" ht="64" customHeight="1">
      <c r="A75" s="4" t="inlineStr">
        <is>
          <t>79</t>
        </is>
      </c>
      <c r="B75" s="4" t="inlineStr">
        <is>
          <t>Applying Machine Learning to Kinematic and Eye Movement Features of a Movement Imitation Task to Predict Autism Diagnosis</t>
        </is>
      </c>
      <c r="C75" s="4">
        <f>IF(IF(COUNTIFS('ESTUDIOS'!$A$2:$A$455,$A75,'ESTUDIOS'!$I$2:$I$455,"")&gt;0,"",INDEX('ESTUDIOS'!$I$2:$I$455,MATCH($A75,'ESTUDIOS'!$A$2:$A$455,0)))=1,"1 - Integrity",IF(OR(IF(COUNTIFS('RQ2'!$A$2:$A$455,$A75,'RQ2'!$D$2:$D$455,"")&gt;0,"",INDEX('RQ2'!$D$2:$D$455,MATCH($A75,'RQ2'!$A$2:$A$455,0)))="",IF(COUNTIFS('RQ2'!$A$2:$A$455,$A75,'RQ2'!$E$2:$E$455,"")&gt;0,"",INDEX('RQ2'!$E$2:$E$455,MATCH($A75,'RQ2'!$A$2:$A$455,0)))=""),"2 - RQ2 historical","3 - Verify recorded evidence"))</f>
        <v/>
      </c>
      <c r="D75" s="4">
        <f>IF(OR(IF(COUNTIFS('RQ2'!$A$2:$A$455,$A75,'RQ2'!$D$2:$D$455,"")&gt;0,"",INDEX('RQ2'!$D$2:$D$455,MATCH($A75,'RQ2'!$A$2:$A$455,0)))="",IF(COUNTIFS('RQ2'!$A$2:$A$455,$A75,'RQ2'!$E$2:$E$455,"")&gt;0,"",INDEX('RQ2'!$E$2:$E$455,MATCH($A75,'RQ2'!$A$2:$A$455,0)))=""),"PENDIENTE","REGISTRADA")</f>
        <v/>
      </c>
      <c r="E75" s="4">
        <f>IF(IF(COUNTIFS('RQ1'!$A$2:$A$455,$A75,'RQ1'!$N$2:$N$455,"")&gt;0,"",INDEX('RQ1'!$N$2:$N$455,MATCH($A75,'RQ1'!$A$2:$A$455,0)))=1,"REVISAR DETALLE","REGISTRADA")</f>
        <v/>
      </c>
      <c r="F75" s="4">
        <f>IF(IF(COUNTIFS('RQ3'!$A$2:$A$455,$A75,'RQ3'!$P$2:$P$455,"")&gt;0,"",INDEX('RQ3'!$P$2:$P$455,MATCH($A75,'RQ3'!$A$2:$A$455,0)))="","NO REGISTRADO",IF(IF(COUNTIFS('RQ3'!$A$2:$A$455,$A75,'RQ3'!$P$2:$P$455,"")&gt;0,"",INDEX('RQ3'!$P$2:$P$455,MATCH($A75,'RQ3'!$A$2:$A$455,0)))=1,"MARCA ACTIVA","SIN MARCA"))</f>
        <v/>
      </c>
      <c r="G75" s="4">
        <f>IF(IF(COUNTIFS('ESTUDIOS'!$A$2:$A$455,$A75,'ESTUDIOS'!$N$2:$N$455,"")&gt;0,"",INDEX('ESTUDIOS'!$N$2:$N$455,MATCH($A75,'ESTUDIOS'!$A$2:$A$455,0)))="Verified","DOCUMENTADA","NO DOCUMENTADA")</f>
        <v/>
      </c>
      <c r="H75" s="4">
        <f>IF(D75="PENDIENTE","Leer evidencia ya extraída; registrar uso propuesto o evaluado, función, fuente y revisor en RQ2.","Comprobar evidencia y cautelas registradas; documentar verificación sin recodificar lo ya respaldado.")</f>
        <v/>
      </c>
      <c r="I75" s="4" t="inlineStr">
        <is>
          <t>https://doi.org/10.1038/s41598-020-65384-4</t>
        </is>
      </c>
    </row>
    <row r="76" ht="64" customHeight="1">
      <c r="A76" s="4" t="inlineStr">
        <is>
          <t>80</t>
        </is>
      </c>
      <c r="B76" s="4" t="inlineStr">
        <is>
          <t>Artificial intelligence analysis of newborn leucocyte epigenomic markers for the prediction of autism</t>
        </is>
      </c>
      <c r="C76" s="4">
        <f>IF(IF(COUNTIFS('ESTUDIOS'!$A$2:$A$455,$A76,'ESTUDIOS'!$I$2:$I$455,"")&gt;0,"",INDEX('ESTUDIOS'!$I$2:$I$455,MATCH($A76,'ESTUDIOS'!$A$2:$A$455,0)))=1,"1 - Integrity",IF(OR(IF(COUNTIFS('RQ2'!$A$2:$A$455,$A76,'RQ2'!$D$2:$D$455,"")&gt;0,"",INDEX('RQ2'!$D$2:$D$455,MATCH($A76,'RQ2'!$A$2:$A$455,0)))="",IF(COUNTIFS('RQ2'!$A$2:$A$455,$A76,'RQ2'!$E$2:$E$455,"")&gt;0,"",INDEX('RQ2'!$E$2:$E$455,MATCH($A76,'RQ2'!$A$2:$A$455,0)))=""),"2 - RQ2 historical","3 - Verify recorded evidence"))</f>
        <v/>
      </c>
      <c r="D76" s="4">
        <f>IF(OR(IF(COUNTIFS('RQ2'!$A$2:$A$455,$A76,'RQ2'!$D$2:$D$455,"")&gt;0,"",INDEX('RQ2'!$D$2:$D$455,MATCH($A76,'RQ2'!$A$2:$A$455,0)))="",IF(COUNTIFS('RQ2'!$A$2:$A$455,$A76,'RQ2'!$E$2:$E$455,"")&gt;0,"",INDEX('RQ2'!$E$2:$E$455,MATCH($A76,'RQ2'!$A$2:$A$455,0)))=""),"PENDIENTE","REGISTRADA")</f>
        <v/>
      </c>
      <c r="E76" s="4">
        <f>IF(IF(COUNTIFS('RQ1'!$A$2:$A$455,$A76,'RQ1'!$N$2:$N$455,"")&gt;0,"",INDEX('RQ1'!$N$2:$N$455,MATCH($A76,'RQ1'!$A$2:$A$455,0)))=1,"REVISAR DETALLE","REGISTRADA")</f>
        <v/>
      </c>
      <c r="F76" s="4">
        <f>IF(IF(COUNTIFS('RQ3'!$A$2:$A$455,$A76,'RQ3'!$P$2:$P$455,"")&gt;0,"",INDEX('RQ3'!$P$2:$P$455,MATCH($A76,'RQ3'!$A$2:$A$455,0)))="","NO REGISTRADO",IF(IF(COUNTIFS('RQ3'!$A$2:$A$455,$A76,'RQ3'!$P$2:$P$455,"")&gt;0,"",INDEX('RQ3'!$P$2:$P$455,MATCH($A76,'RQ3'!$A$2:$A$455,0)))=1,"MARCA ACTIVA","SIN MARCA"))</f>
        <v/>
      </c>
      <c r="G76" s="4">
        <f>IF(IF(COUNTIFS('ESTUDIOS'!$A$2:$A$455,$A76,'ESTUDIOS'!$N$2:$N$455,"")&gt;0,"",INDEX('ESTUDIOS'!$N$2:$N$455,MATCH($A76,'ESTUDIOS'!$A$2:$A$455,0)))="Verified","DOCUMENTADA","NO DOCUMENTADA")</f>
        <v/>
      </c>
      <c r="H76" s="4">
        <f>IF(D76="PENDIENTE","Leer evidencia ya extraída; registrar uso propuesto o evaluado, función, fuente y revisor en RQ2.","Comprobar evidencia y cautelas registradas; documentar verificación sin recodificar lo ya respaldado.")</f>
        <v/>
      </c>
      <c r="I76" s="4" t="inlineStr">
        <is>
          <t>https://doi.org/10.1016/j.brainres.2019.146457</t>
        </is>
      </c>
    </row>
    <row r="77" ht="64" customHeight="1">
      <c r="A77" s="4" t="inlineStr">
        <is>
          <t>81</t>
        </is>
      </c>
      <c r="B77" s="4" t="inlineStr">
        <is>
          <t>Autism Detection in Children using Common Spatial Patterns of MEG Signals</t>
        </is>
      </c>
      <c r="C77" s="4">
        <f>IF(IF(COUNTIFS('ESTUDIOS'!$A$2:$A$455,$A77,'ESTUDIOS'!$I$2:$I$455,"")&gt;0,"",INDEX('ESTUDIOS'!$I$2:$I$455,MATCH($A77,'ESTUDIOS'!$A$2:$A$455,0)))=1,"1 - Integrity",IF(OR(IF(COUNTIFS('RQ2'!$A$2:$A$455,$A77,'RQ2'!$D$2:$D$455,"")&gt;0,"",INDEX('RQ2'!$D$2:$D$455,MATCH($A77,'RQ2'!$A$2:$A$455,0)))="",IF(COUNTIFS('RQ2'!$A$2:$A$455,$A77,'RQ2'!$E$2:$E$455,"")&gt;0,"",INDEX('RQ2'!$E$2:$E$455,MATCH($A77,'RQ2'!$A$2:$A$455,0)))=""),"2 - RQ2 historical","3 - Verify recorded evidence"))</f>
        <v/>
      </c>
      <c r="D77" s="4">
        <f>IF(OR(IF(COUNTIFS('RQ2'!$A$2:$A$455,$A77,'RQ2'!$D$2:$D$455,"")&gt;0,"",INDEX('RQ2'!$D$2:$D$455,MATCH($A77,'RQ2'!$A$2:$A$455,0)))="",IF(COUNTIFS('RQ2'!$A$2:$A$455,$A77,'RQ2'!$E$2:$E$455,"")&gt;0,"",INDEX('RQ2'!$E$2:$E$455,MATCH($A77,'RQ2'!$A$2:$A$455,0)))=""),"PENDIENTE","REGISTRADA")</f>
        <v/>
      </c>
      <c r="E77" s="4">
        <f>IF(IF(COUNTIFS('RQ1'!$A$2:$A$455,$A77,'RQ1'!$N$2:$N$455,"")&gt;0,"",INDEX('RQ1'!$N$2:$N$455,MATCH($A77,'RQ1'!$A$2:$A$455,0)))=1,"REVISAR DETALLE","REGISTRADA")</f>
        <v/>
      </c>
      <c r="F77" s="4">
        <f>IF(IF(COUNTIFS('RQ3'!$A$2:$A$455,$A77,'RQ3'!$P$2:$P$455,"")&gt;0,"",INDEX('RQ3'!$P$2:$P$455,MATCH($A77,'RQ3'!$A$2:$A$455,0)))="","NO REGISTRADO",IF(IF(COUNTIFS('RQ3'!$A$2:$A$455,$A77,'RQ3'!$P$2:$P$455,"")&gt;0,"",INDEX('RQ3'!$P$2:$P$455,MATCH($A77,'RQ3'!$A$2:$A$455,0)))=1,"MARCA ACTIVA","SIN MARCA"))</f>
        <v/>
      </c>
      <c r="G77" s="4">
        <f>IF(IF(COUNTIFS('ESTUDIOS'!$A$2:$A$455,$A77,'ESTUDIOS'!$N$2:$N$455,"")&gt;0,"",INDEX('ESTUDIOS'!$N$2:$N$455,MATCH($A77,'ESTUDIOS'!$A$2:$A$455,0)))="Verified","DOCUMENTADA","NO DOCUMENTADA")</f>
        <v/>
      </c>
      <c r="H77" s="4">
        <f>IF(D77="PENDIENTE","Leer evidencia ya extraída; registrar uso propuesto o evaluado, función, fuente y revisor en RQ2.","Comprobar evidencia y cautelas registradas; documentar verificación sin recodificar lo ya respaldado.")</f>
        <v/>
      </c>
      <c r="I77" s="4" t="inlineStr">
        <is>
          <t>https://doi.org/10.1109/embc40787.2023.10340449</t>
        </is>
      </c>
    </row>
    <row r="78" ht="64" customHeight="1">
      <c r="A78" s="4" t="inlineStr">
        <is>
          <t>82</t>
        </is>
      </c>
      <c r="B78" s="4" t="inlineStr">
        <is>
          <t>Autism Spectrum Disorder detection framework for children based on federated learning integrated CNN-LSTM</t>
        </is>
      </c>
      <c r="C78" s="4">
        <f>IF(IF(COUNTIFS('ESTUDIOS'!$A$2:$A$455,$A78,'ESTUDIOS'!$I$2:$I$455,"")&gt;0,"",INDEX('ESTUDIOS'!$I$2:$I$455,MATCH($A78,'ESTUDIOS'!$A$2:$A$455,0)))=1,"1 - Integrity",IF(OR(IF(COUNTIFS('RQ2'!$A$2:$A$455,$A78,'RQ2'!$D$2:$D$455,"")&gt;0,"",INDEX('RQ2'!$D$2:$D$455,MATCH($A78,'RQ2'!$A$2:$A$455,0)))="",IF(COUNTIFS('RQ2'!$A$2:$A$455,$A78,'RQ2'!$E$2:$E$455,"")&gt;0,"",INDEX('RQ2'!$E$2:$E$455,MATCH($A78,'RQ2'!$A$2:$A$455,0)))=""),"2 - RQ2 historical","3 - Verify recorded evidence"))</f>
        <v/>
      </c>
      <c r="D78" s="4">
        <f>IF(OR(IF(COUNTIFS('RQ2'!$A$2:$A$455,$A78,'RQ2'!$D$2:$D$455,"")&gt;0,"",INDEX('RQ2'!$D$2:$D$455,MATCH($A78,'RQ2'!$A$2:$A$455,0)))="",IF(COUNTIFS('RQ2'!$A$2:$A$455,$A78,'RQ2'!$E$2:$E$455,"")&gt;0,"",INDEX('RQ2'!$E$2:$E$455,MATCH($A78,'RQ2'!$A$2:$A$455,0)))=""),"PENDIENTE","REGISTRADA")</f>
        <v/>
      </c>
      <c r="E78" s="4">
        <f>IF(IF(COUNTIFS('RQ1'!$A$2:$A$455,$A78,'RQ1'!$N$2:$N$455,"")&gt;0,"",INDEX('RQ1'!$N$2:$N$455,MATCH($A78,'RQ1'!$A$2:$A$455,0)))=1,"REVISAR DETALLE","REGISTRADA")</f>
        <v/>
      </c>
      <c r="F78" s="4">
        <f>IF(IF(COUNTIFS('RQ3'!$A$2:$A$455,$A78,'RQ3'!$P$2:$P$455,"")&gt;0,"",INDEX('RQ3'!$P$2:$P$455,MATCH($A78,'RQ3'!$A$2:$A$455,0)))="","NO REGISTRADO",IF(IF(COUNTIFS('RQ3'!$A$2:$A$455,$A78,'RQ3'!$P$2:$P$455,"")&gt;0,"",INDEX('RQ3'!$P$2:$P$455,MATCH($A78,'RQ3'!$A$2:$A$455,0)))=1,"MARCA ACTIVA","SIN MARCA"))</f>
        <v/>
      </c>
      <c r="G78" s="4">
        <f>IF(IF(COUNTIFS('ESTUDIOS'!$A$2:$A$455,$A78,'ESTUDIOS'!$N$2:$N$455,"")&gt;0,"",INDEX('ESTUDIOS'!$N$2:$N$455,MATCH($A78,'ESTUDIOS'!$A$2:$A$455,0)))="Verified","DOCUMENTADA","NO DOCUMENTADA")</f>
        <v/>
      </c>
      <c r="H78" s="4">
        <f>IF(D78="PENDIENTE","Leer evidencia ya extraída; registrar uso propuesto o evaluado, función, fuente y revisor en RQ2.","Comprobar evidencia y cautelas registradas; documentar verificación sin recodificar lo ya respaldado.")</f>
        <v/>
      </c>
      <c r="I78" s="4" t="inlineStr">
        <is>
          <t>https://doi.org/10.1016/j.compbiomed.2023.107539</t>
        </is>
      </c>
    </row>
    <row r="79" ht="64" customHeight="1">
      <c r="A79" s="4" t="inlineStr">
        <is>
          <t>83</t>
        </is>
      </c>
      <c r="B79" s="4" t="inlineStr">
        <is>
          <t>Converging Representations of Attention-Deficit/Hyperactivity Disorder and Autism on Social Media: Linguistic and Topic Analysis of Trends in Reddit Data</t>
        </is>
      </c>
      <c r="C79" s="4">
        <f>IF(IF(COUNTIFS('ESTUDIOS'!$A$2:$A$455,$A79,'ESTUDIOS'!$I$2:$I$455,"")&gt;0,"",INDEX('ESTUDIOS'!$I$2:$I$455,MATCH($A79,'ESTUDIOS'!$A$2:$A$455,0)))=1,"1 - Integrity",IF(OR(IF(COUNTIFS('RQ2'!$A$2:$A$455,$A79,'RQ2'!$D$2:$D$455,"")&gt;0,"",INDEX('RQ2'!$D$2:$D$455,MATCH($A79,'RQ2'!$A$2:$A$455,0)))="",IF(COUNTIFS('RQ2'!$A$2:$A$455,$A79,'RQ2'!$E$2:$E$455,"")&gt;0,"",INDEX('RQ2'!$E$2:$E$455,MATCH($A79,'RQ2'!$A$2:$A$455,0)))=""),"2 - RQ2 historical","3 - Verify recorded evidence"))</f>
        <v/>
      </c>
      <c r="D79" s="4">
        <f>IF(OR(IF(COUNTIFS('RQ2'!$A$2:$A$455,$A79,'RQ2'!$D$2:$D$455,"")&gt;0,"",INDEX('RQ2'!$D$2:$D$455,MATCH($A79,'RQ2'!$A$2:$A$455,0)))="",IF(COUNTIFS('RQ2'!$A$2:$A$455,$A79,'RQ2'!$E$2:$E$455,"")&gt;0,"",INDEX('RQ2'!$E$2:$E$455,MATCH($A79,'RQ2'!$A$2:$A$455,0)))=""),"PENDIENTE","REGISTRADA")</f>
        <v/>
      </c>
      <c r="E79" s="4">
        <f>IF(IF(COUNTIFS('RQ1'!$A$2:$A$455,$A79,'RQ1'!$N$2:$N$455,"")&gt;0,"",INDEX('RQ1'!$N$2:$N$455,MATCH($A79,'RQ1'!$A$2:$A$455,0)))=1,"REVISAR DETALLE","REGISTRADA")</f>
        <v/>
      </c>
      <c r="F79" s="4">
        <f>IF(IF(COUNTIFS('RQ3'!$A$2:$A$455,$A79,'RQ3'!$P$2:$P$455,"")&gt;0,"",INDEX('RQ3'!$P$2:$P$455,MATCH($A79,'RQ3'!$A$2:$A$455,0)))="","NO REGISTRADO",IF(IF(COUNTIFS('RQ3'!$A$2:$A$455,$A79,'RQ3'!$P$2:$P$455,"")&gt;0,"",INDEX('RQ3'!$P$2:$P$455,MATCH($A79,'RQ3'!$A$2:$A$455,0)))=1,"MARCA ACTIVA","SIN MARCA"))</f>
        <v/>
      </c>
      <c r="G79" s="4">
        <f>IF(IF(COUNTIFS('ESTUDIOS'!$A$2:$A$455,$A79,'ESTUDIOS'!$N$2:$N$455,"")&gt;0,"",INDEX('ESTUDIOS'!$N$2:$N$455,MATCH($A79,'ESTUDIOS'!$A$2:$A$455,0)))="Verified","DOCUMENTADA","NO DOCUMENTADA")</f>
        <v/>
      </c>
      <c r="H79" s="4">
        <f>IF(D79="PENDIENTE","Leer evidencia ya extraída; registrar uso propuesto o evaluado, función, fuente y revisor en RQ2.","Comprobar evidencia y cautelas registradas; documentar verificación sin recodificar lo ya respaldado.")</f>
        <v/>
      </c>
      <c r="I79" s="4" t="inlineStr">
        <is>
          <t>https://doi.org/10.2196/70914</t>
        </is>
      </c>
    </row>
    <row r="80" ht="64" customHeight="1">
      <c r="A80" s="4" t="inlineStr">
        <is>
          <t>84</t>
        </is>
      </c>
      <c r="B80" s="4" t="inlineStr">
        <is>
          <t>Creating a diagnostic assessment model for autism spectrum disorder by differentiating lexicogrammatical choices through machine learning</t>
        </is>
      </c>
      <c r="C80" s="4">
        <f>IF(IF(COUNTIFS('ESTUDIOS'!$A$2:$A$455,$A80,'ESTUDIOS'!$I$2:$I$455,"")&gt;0,"",INDEX('ESTUDIOS'!$I$2:$I$455,MATCH($A80,'ESTUDIOS'!$A$2:$A$455,0)))=1,"1 - Integrity",IF(OR(IF(COUNTIFS('RQ2'!$A$2:$A$455,$A80,'RQ2'!$D$2:$D$455,"")&gt;0,"",INDEX('RQ2'!$D$2:$D$455,MATCH($A80,'RQ2'!$A$2:$A$455,0)))="",IF(COUNTIFS('RQ2'!$A$2:$A$455,$A80,'RQ2'!$E$2:$E$455,"")&gt;0,"",INDEX('RQ2'!$E$2:$E$455,MATCH($A80,'RQ2'!$A$2:$A$455,0)))=""),"2 - RQ2 historical","3 - Verify recorded evidence"))</f>
        <v/>
      </c>
      <c r="D80" s="4">
        <f>IF(OR(IF(COUNTIFS('RQ2'!$A$2:$A$455,$A80,'RQ2'!$D$2:$D$455,"")&gt;0,"",INDEX('RQ2'!$D$2:$D$455,MATCH($A80,'RQ2'!$A$2:$A$455,0)))="",IF(COUNTIFS('RQ2'!$A$2:$A$455,$A80,'RQ2'!$E$2:$E$455,"")&gt;0,"",INDEX('RQ2'!$E$2:$E$455,MATCH($A80,'RQ2'!$A$2:$A$455,0)))=""),"PENDIENTE","REGISTRADA")</f>
        <v/>
      </c>
      <c r="E80" s="4">
        <f>IF(IF(COUNTIFS('RQ1'!$A$2:$A$455,$A80,'RQ1'!$N$2:$N$455,"")&gt;0,"",INDEX('RQ1'!$N$2:$N$455,MATCH($A80,'RQ1'!$A$2:$A$455,0)))=1,"REVISAR DETALLE","REGISTRADA")</f>
        <v/>
      </c>
      <c r="F80" s="4">
        <f>IF(IF(COUNTIFS('RQ3'!$A$2:$A$455,$A80,'RQ3'!$P$2:$P$455,"")&gt;0,"",INDEX('RQ3'!$P$2:$P$455,MATCH($A80,'RQ3'!$A$2:$A$455,0)))="","NO REGISTRADO",IF(IF(COUNTIFS('RQ3'!$A$2:$A$455,$A80,'RQ3'!$P$2:$P$455,"")&gt;0,"",INDEX('RQ3'!$P$2:$P$455,MATCH($A80,'RQ3'!$A$2:$A$455,0)))=1,"MARCA ACTIVA","SIN MARCA"))</f>
        <v/>
      </c>
      <c r="G80" s="4">
        <f>IF(IF(COUNTIFS('ESTUDIOS'!$A$2:$A$455,$A80,'ESTUDIOS'!$N$2:$N$455,"")&gt;0,"",INDEX('ESTUDIOS'!$N$2:$N$455,MATCH($A80,'ESTUDIOS'!$A$2:$A$455,0)))="Verified","DOCUMENTADA","NO DOCUMENTADA")</f>
        <v/>
      </c>
      <c r="H80" s="4">
        <f>IF(D80="PENDIENTE","Leer evidencia ya extraída; registrar uso propuesto o evaluado, función, fuente y revisor en RQ2.","Comprobar evidencia y cautelas registradas; documentar verificación sin recodificar lo ya respaldado.")</f>
        <v/>
      </c>
      <c r="I80" s="4" t="inlineStr">
        <is>
          <t>https://doi.org/10.1371/journal.pone.0311209</t>
        </is>
      </c>
    </row>
    <row r="81" ht="64" customHeight="1">
      <c r="A81" s="4" t="inlineStr">
        <is>
          <t>85</t>
        </is>
      </c>
      <c r="B81" s="4" t="inlineStr">
        <is>
          <t>Diagnosing autism spectrum disorder in children using conventional MRI and apparent diffusion coefficient based deep learning algorithms</t>
        </is>
      </c>
      <c r="C81" s="4">
        <f>IF(IF(COUNTIFS('ESTUDIOS'!$A$2:$A$455,$A81,'ESTUDIOS'!$I$2:$I$455,"")&gt;0,"",INDEX('ESTUDIOS'!$I$2:$I$455,MATCH($A81,'ESTUDIOS'!$A$2:$A$455,0)))=1,"1 - Integrity",IF(OR(IF(COUNTIFS('RQ2'!$A$2:$A$455,$A81,'RQ2'!$D$2:$D$455,"")&gt;0,"",INDEX('RQ2'!$D$2:$D$455,MATCH($A81,'RQ2'!$A$2:$A$455,0)))="",IF(COUNTIFS('RQ2'!$A$2:$A$455,$A81,'RQ2'!$E$2:$E$455,"")&gt;0,"",INDEX('RQ2'!$E$2:$E$455,MATCH($A81,'RQ2'!$A$2:$A$455,0)))=""),"2 - RQ2 historical","3 - Verify recorded evidence"))</f>
        <v/>
      </c>
      <c r="D81" s="4">
        <f>IF(OR(IF(COUNTIFS('RQ2'!$A$2:$A$455,$A81,'RQ2'!$D$2:$D$455,"")&gt;0,"",INDEX('RQ2'!$D$2:$D$455,MATCH($A81,'RQ2'!$A$2:$A$455,0)))="",IF(COUNTIFS('RQ2'!$A$2:$A$455,$A81,'RQ2'!$E$2:$E$455,"")&gt;0,"",INDEX('RQ2'!$E$2:$E$455,MATCH($A81,'RQ2'!$A$2:$A$455,0)))=""),"PENDIENTE","REGISTRADA")</f>
        <v/>
      </c>
      <c r="E81" s="4">
        <f>IF(IF(COUNTIFS('RQ1'!$A$2:$A$455,$A81,'RQ1'!$N$2:$N$455,"")&gt;0,"",INDEX('RQ1'!$N$2:$N$455,MATCH($A81,'RQ1'!$A$2:$A$455,0)))=1,"REVISAR DETALLE","REGISTRADA")</f>
        <v/>
      </c>
      <c r="F81" s="4">
        <f>IF(IF(COUNTIFS('RQ3'!$A$2:$A$455,$A81,'RQ3'!$P$2:$P$455,"")&gt;0,"",INDEX('RQ3'!$P$2:$P$455,MATCH($A81,'RQ3'!$A$2:$A$455,0)))="","NO REGISTRADO",IF(IF(COUNTIFS('RQ3'!$A$2:$A$455,$A81,'RQ3'!$P$2:$P$455,"")&gt;0,"",INDEX('RQ3'!$P$2:$P$455,MATCH($A81,'RQ3'!$A$2:$A$455,0)))=1,"MARCA ACTIVA","SIN MARCA"))</f>
        <v/>
      </c>
      <c r="G81" s="4">
        <f>IF(IF(COUNTIFS('ESTUDIOS'!$A$2:$A$455,$A81,'ESTUDIOS'!$N$2:$N$455,"")&gt;0,"",INDEX('ESTUDIOS'!$N$2:$N$455,MATCH($A81,'ESTUDIOS'!$A$2:$A$455,0)))="Verified","DOCUMENTADA","NO DOCUMENTADA")</f>
        <v/>
      </c>
      <c r="H81" s="4">
        <f>IF(D81="PENDIENTE","Leer evidencia ya extraída; registrar uso propuesto o evaluado, función, fuente y revisor en RQ2.","Comprobar evidencia y cautelas registradas; documentar verificación sin recodificar lo ya respaldado.")</f>
        <v/>
      </c>
      <c r="I81" s="4" t="inlineStr">
        <is>
          <t>https://doi.org/10.1007/s00330-021-08239-4</t>
        </is>
      </c>
    </row>
    <row r="82" ht="64" customHeight="1">
      <c r="A82" s="4" t="inlineStr">
        <is>
          <t>86</t>
        </is>
      </c>
      <c r="B82" s="4" t="inlineStr">
        <is>
          <t>Dissecting the heterogeneity of autism spectrum disorder with sensory behavior, brain, and epigenetic factors</t>
        </is>
      </c>
      <c r="C82" s="4">
        <f>IF(IF(COUNTIFS('ESTUDIOS'!$A$2:$A$455,$A82,'ESTUDIOS'!$I$2:$I$455,"")&gt;0,"",INDEX('ESTUDIOS'!$I$2:$I$455,MATCH($A82,'ESTUDIOS'!$A$2:$A$455,0)))=1,"1 - Integrity",IF(OR(IF(COUNTIFS('RQ2'!$A$2:$A$455,$A82,'RQ2'!$D$2:$D$455,"")&gt;0,"",INDEX('RQ2'!$D$2:$D$455,MATCH($A82,'RQ2'!$A$2:$A$455,0)))="",IF(COUNTIFS('RQ2'!$A$2:$A$455,$A82,'RQ2'!$E$2:$E$455,"")&gt;0,"",INDEX('RQ2'!$E$2:$E$455,MATCH($A82,'RQ2'!$A$2:$A$455,0)))=""),"2 - RQ2 historical","3 - Verify recorded evidence"))</f>
        <v/>
      </c>
      <c r="D82" s="4">
        <f>IF(OR(IF(COUNTIFS('RQ2'!$A$2:$A$455,$A82,'RQ2'!$D$2:$D$455,"")&gt;0,"",INDEX('RQ2'!$D$2:$D$455,MATCH($A82,'RQ2'!$A$2:$A$455,0)))="",IF(COUNTIFS('RQ2'!$A$2:$A$455,$A82,'RQ2'!$E$2:$E$455,"")&gt;0,"",INDEX('RQ2'!$E$2:$E$455,MATCH($A82,'RQ2'!$A$2:$A$455,0)))=""),"PENDIENTE","REGISTRADA")</f>
        <v/>
      </c>
      <c r="E82" s="4">
        <f>IF(IF(COUNTIFS('RQ1'!$A$2:$A$455,$A82,'RQ1'!$N$2:$N$455,"")&gt;0,"",INDEX('RQ1'!$N$2:$N$455,MATCH($A82,'RQ1'!$A$2:$A$455,0)))=1,"REVISAR DETALLE","REGISTRADA")</f>
        <v/>
      </c>
      <c r="F82" s="4">
        <f>IF(IF(COUNTIFS('RQ3'!$A$2:$A$455,$A82,'RQ3'!$P$2:$P$455,"")&gt;0,"",INDEX('RQ3'!$P$2:$P$455,MATCH($A82,'RQ3'!$A$2:$A$455,0)))="","NO REGISTRADO",IF(IF(COUNTIFS('RQ3'!$A$2:$A$455,$A82,'RQ3'!$P$2:$P$455,"")&gt;0,"",INDEX('RQ3'!$P$2:$P$455,MATCH($A82,'RQ3'!$A$2:$A$455,0)))=1,"MARCA ACTIVA","SIN MARCA"))</f>
        <v/>
      </c>
      <c r="G82" s="4">
        <f>IF(IF(COUNTIFS('ESTUDIOS'!$A$2:$A$455,$A82,'ESTUDIOS'!$N$2:$N$455,"")&gt;0,"",INDEX('ESTUDIOS'!$N$2:$N$455,MATCH($A82,'ESTUDIOS'!$A$2:$A$455,0)))="Verified","DOCUMENTADA","NO DOCUMENTADA")</f>
        <v/>
      </c>
      <c r="H82" s="4">
        <f>IF(D82="PENDIENTE","Leer evidencia ya extraída; registrar uso propuesto o evaluado, función, fuente y revisor en RQ2.","Comprobar evidencia y cautelas registradas; documentar verificación sin recodificar lo ya respaldado.")</f>
        <v/>
      </c>
      <c r="I82" s="4" t="inlineStr">
        <is>
          <t>https://doi.org/10.1038/s41398-025-03566-2</t>
        </is>
      </c>
    </row>
    <row r="83" ht="64" customHeight="1">
      <c r="A83" s="4" t="inlineStr">
        <is>
          <t>88</t>
        </is>
      </c>
      <c r="B83" s="4" t="inlineStr">
        <is>
          <t>Facial Emotions Are Accurately Encoded in the Neural Signal of Those With Autism Spectrum Disorder: A Deep Learning Approach</t>
        </is>
      </c>
      <c r="C83" s="4">
        <f>IF(IF(COUNTIFS('ESTUDIOS'!$A$2:$A$455,$A83,'ESTUDIOS'!$I$2:$I$455,"")&gt;0,"",INDEX('ESTUDIOS'!$I$2:$I$455,MATCH($A83,'ESTUDIOS'!$A$2:$A$455,0)))=1,"1 - Integrity",IF(OR(IF(COUNTIFS('RQ2'!$A$2:$A$455,$A83,'RQ2'!$D$2:$D$455,"")&gt;0,"",INDEX('RQ2'!$D$2:$D$455,MATCH($A83,'RQ2'!$A$2:$A$455,0)))="",IF(COUNTIFS('RQ2'!$A$2:$A$455,$A83,'RQ2'!$E$2:$E$455,"")&gt;0,"",INDEX('RQ2'!$E$2:$E$455,MATCH($A83,'RQ2'!$A$2:$A$455,0)))=""),"2 - RQ2 historical","3 - Verify recorded evidence"))</f>
        <v/>
      </c>
      <c r="D83" s="4">
        <f>IF(OR(IF(COUNTIFS('RQ2'!$A$2:$A$455,$A83,'RQ2'!$D$2:$D$455,"")&gt;0,"",INDEX('RQ2'!$D$2:$D$455,MATCH($A83,'RQ2'!$A$2:$A$455,0)))="",IF(COUNTIFS('RQ2'!$A$2:$A$455,$A83,'RQ2'!$E$2:$E$455,"")&gt;0,"",INDEX('RQ2'!$E$2:$E$455,MATCH($A83,'RQ2'!$A$2:$A$455,0)))=""),"PENDIENTE","REGISTRADA")</f>
        <v/>
      </c>
      <c r="E83" s="4">
        <f>IF(IF(COUNTIFS('RQ1'!$A$2:$A$455,$A83,'RQ1'!$N$2:$N$455,"")&gt;0,"",INDEX('RQ1'!$N$2:$N$455,MATCH($A83,'RQ1'!$A$2:$A$455,0)))=1,"REVISAR DETALLE","REGISTRADA")</f>
        <v/>
      </c>
      <c r="F83" s="4">
        <f>IF(IF(COUNTIFS('RQ3'!$A$2:$A$455,$A83,'RQ3'!$P$2:$P$455,"")&gt;0,"",INDEX('RQ3'!$P$2:$P$455,MATCH($A83,'RQ3'!$A$2:$A$455,0)))="","NO REGISTRADO",IF(IF(COUNTIFS('RQ3'!$A$2:$A$455,$A83,'RQ3'!$P$2:$P$455,"")&gt;0,"",INDEX('RQ3'!$P$2:$P$455,MATCH($A83,'RQ3'!$A$2:$A$455,0)))=1,"MARCA ACTIVA","SIN MARCA"))</f>
        <v/>
      </c>
      <c r="G83" s="4">
        <f>IF(IF(COUNTIFS('ESTUDIOS'!$A$2:$A$455,$A83,'ESTUDIOS'!$N$2:$N$455,"")&gt;0,"",INDEX('ESTUDIOS'!$N$2:$N$455,MATCH($A83,'ESTUDIOS'!$A$2:$A$455,0)))="Verified","DOCUMENTADA","NO DOCUMENTADA")</f>
        <v/>
      </c>
      <c r="H83" s="4">
        <f>IF(D83="PENDIENTE","Leer evidencia ya extraída; registrar uso propuesto o evaluado, función, fuente y revisor en RQ2.","Comprobar evidencia y cautelas registradas; documentar verificación sin recodificar lo ya respaldado.")</f>
        <v/>
      </c>
      <c r="I83" s="4" t="inlineStr">
        <is>
          <t>https://doi.org/10.1016/j.bpsc.2021.03.015</t>
        </is>
      </c>
    </row>
    <row r="84" ht="64" customHeight="1">
      <c r="A84" s="4" t="inlineStr">
        <is>
          <t>89</t>
        </is>
      </c>
      <c r="B84" s="4" t="inlineStr">
        <is>
          <t>Feasibility Testing of a Wearable Behavioral Aid for Social Learning in Children with Autism</t>
        </is>
      </c>
      <c r="C84" s="4">
        <f>IF(IF(COUNTIFS('ESTUDIOS'!$A$2:$A$455,$A84,'ESTUDIOS'!$I$2:$I$455,"")&gt;0,"",INDEX('ESTUDIOS'!$I$2:$I$455,MATCH($A84,'ESTUDIOS'!$A$2:$A$455,0)))=1,"1 - Integrity",IF(OR(IF(COUNTIFS('RQ2'!$A$2:$A$455,$A84,'RQ2'!$D$2:$D$455,"")&gt;0,"",INDEX('RQ2'!$D$2:$D$455,MATCH($A84,'RQ2'!$A$2:$A$455,0)))="",IF(COUNTIFS('RQ2'!$A$2:$A$455,$A84,'RQ2'!$E$2:$E$455,"")&gt;0,"",INDEX('RQ2'!$E$2:$E$455,MATCH($A84,'RQ2'!$A$2:$A$455,0)))=""),"2 - RQ2 historical","3 - Verify recorded evidence"))</f>
        <v/>
      </c>
      <c r="D84" s="4">
        <f>IF(OR(IF(COUNTIFS('RQ2'!$A$2:$A$455,$A84,'RQ2'!$D$2:$D$455,"")&gt;0,"",INDEX('RQ2'!$D$2:$D$455,MATCH($A84,'RQ2'!$A$2:$A$455,0)))="",IF(COUNTIFS('RQ2'!$A$2:$A$455,$A84,'RQ2'!$E$2:$E$455,"")&gt;0,"",INDEX('RQ2'!$E$2:$E$455,MATCH($A84,'RQ2'!$A$2:$A$455,0)))=""),"PENDIENTE","REGISTRADA")</f>
        <v/>
      </c>
      <c r="E84" s="4">
        <f>IF(IF(COUNTIFS('RQ1'!$A$2:$A$455,$A84,'RQ1'!$N$2:$N$455,"")&gt;0,"",INDEX('RQ1'!$N$2:$N$455,MATCH($A84,'RQ1'!$A$2:$A$455,0)))=1,"REVISAR DETALLE","REGISTRADA")</f>
        <v/>
      </c>
      <c r="F84" s="4">
        <f>IF(IF(COUNTIFS('RQ3'!$A$2:$A$455,$A84,'RQ3'!$P$2:$P$455,"")&gt;0,"",INDEX('RQ3'!$P$2:$P$455,MATCH($A84,'RQ3'!$A$2:$A$455,0)))="","NO REGISTRADO",IF(IF(COUNTIFS('RQ3'!$A$2:$A$455,$A84,'RQ3'!$P$2:$P$455,"")&gt;0,"",INDEX('RQ3'!$P$2:$P$455,MATCH($A84,'RQ3'!$A$2:$A$455,0)))=1,"MARCA ACTIVA","SIN MARCA"))</f>
        <v/>
      </c>
      <c r="G84" s="4">
        <f>IF(IF(COUNTIFS('ESTUDIOS'!$A$2:$A$455,$A84,'ESTUDIOS'!$N$2:$N$455,"")&gt;0,"",INDEX('ESTUDIOS'!$N$2:$N$455,MATCH($A84,'ESTUDIOS'!$A$2:$A$455,0)))="Verified","DOCUMENTADA","NO DOCUMENTADA")</f>
        <v/>
      </c>
      <c r="H84" s="4">
        <f>IF(D84="PENDIENTE","Leer evidencia ya extraída; registrar uso propuesto o evaluado, función, fuente y revisor en RQ2.","Comprobar evidencia y cautelas registradas; documentar verificación sin recodificar lo ya respaldado.")</f>
        <v/>
      </c>
      <c r="I84" s="4" t="inlineStr">
        <is>
          <t>https://doi.org/10.1055/s-0038-1626727</t>
        </is>
      </c>
    </row>
    <row r="85" ht="64" customHeight="1">
      <c r="A85" s="4" t="inlineStr">
        <is>
          <t>90</t>
        </is>
      </c>
      <c r="B85" s="4" t="inlineStr">
        <is>
          <t>Handwriting-Based ADHD Detection for Children Having ASD Using Machine Learning Approaches</t>
        </is>
      </c>
      <c r="C85" s="4">
        <f>IF(IF(COUNTIFS('ESTUDIOS'!$A$2:$A$455,$A85,'ESTUDIOS'!$I$2:$I$455,"")&gt;0,"",INDEX('ESTUDIOS'!$I$2:$I$455,MATCH($A85,'ESTUDIOS'!$A$2:$A$455,0)))=1,"1 - Integrity",IF(OR(IF(COUNTIFS('RQ2'!$A$2:$A$455,$A85,'RQ2'!$D$2:$D$455,"")&gt;0,"",INDEX('RQ2'!$D$2:$D$455,MATCH($A85,'RQ2'!$A$2:$A$455,0)))="",IF(COUNTIFS('RQ2'!$A$2:$A$455,$A85,'RQ2'!$E$2:$E$455,"")&gt;0,"",INDEX('RQ2'!$E$2:$E$455,MATCH($A85,'RQ2'!$A$2:$A$455,0)))=""),"2 - RQ2 historical","3 - Verify recorded evidence"))</f>
        <v/>
      </c>
      <c r="D85" s="4">
        <f>IF(OR(IF(COUNTIFS('RQ2'!$A$2:$A$455,$A85,'RQ2'!$D$2:$D$455,"")&gt;0,"",INDEX('RQ2'!$D$2:$D$455,MATCH($A85,'RQ2'!$A$2:$A$455,0)))="",IF(COUNTIFS('RQ2'!$A$2:$A$455,$A85,'RQ2'!$E$2:$E$455,"")&gt;0,"",INDEX('RQ2'!$E$2:$E$455,MATCH($A85,'RQ2'!$A$2:$A$455,0)))=""),"PENDIENTE","REGISTRADA")</f>
        <v/>
      </c>
      <c r="E85" s="4">
        <f>IF(IF(COUNTIFS('RQ1'!$A$2:$A$455,$A85,'RQ1'!$N$2:$N$455,"")&gt;0,"",INDEX('RQ1'!$N$2:$N$455,MATCH($A85,'RQ1'!$A$2:$A$455,0)))=1,"REVISAR DETALLE","REGISTRADA")</f>
        <v/>
      </c>
      <c r="F85" s="4">
        <f>IF(IF(COUNTIFS('RQ3'!$A$2:$A$455,$A85,'RQ3'!$P$2:$P$455,"")&gt;0,"",INDEX('RQ3'!$P$2:$P$455,MATCH($A85,'RQ3'!$A$2:$A$455,0)))="","NO REGISTRADO",IF(IF(COUNTIFS('RQ3'!$A$2:$A$455,$A85,'RQ3'!$P$2:$P$455,"")&gt;0,"",INDEX('RQ3'!$P$2:$P$455,MATCH($A85,'RQ3'!$A$2:$A$455,0)))=1,"MARCA ACTIVA","SIN MARCA"))</f>
        <v/>
      </c>
      <c r="G85" s="4">
        <f>IF(IF(COUNTIFS('ESTUDIOS'!$A$2:$A$455,$A85,'ESTUDIOS'!$N$2:$N$455,"")&gt;0,"",INDEX('ESTUDIOS'!$N$2:$N$455,MATCH($A85,'ESTUDIOS'!$A$2:$A$455,0)))="Verified","DOCUMENTADA","NO DOCUMENTADA")</f>
        <v/>
      </c>
      <c r="H85" s="4">
        <f>IF(D85="PENDIENTE","Leer evidencia ya extraída; registrar uso propuesto o evaluado, función, fuente y revisor en RQ2.","Comprobar evidencia y cautelas registradas; documentar verificación sin recodificar lo ya respaldado.")</f>
        <v/>
      </c>
      <c r="I85" s="4" t="inlineStr">
        <is>
          <t>https://doi.org/10.1109/access.2023.3302903</t>
        </is>
      </c>
    </row>
    <row r="86" ht="64" customHeight="1">
      <c r="A86" s="4" t="inlineStr">
        <is>
          <t>91</t>
        </is>
      </c>
      <c r="B86" s="4" t="inlineStr">
        <is>
          <t>Integrating Graph Convolutional Networks (GCNNs) and Long Short-Term Memory (LSTM) for Efficient Diagnosis of Autism</t>
        </is>
      </c>
      <c r="C86" s="4">
        <f>IF(IF(COUNTIFS('ESTUDIOS'!$A$2:$A$455,$A86,'ESTUDIOS'!$I$2:$I$455,"")&gt;0,"",INDEX('ESTUDIOS'!$I$2:$I$455,MATCH($A86,'ESTUDIOS'!$A$2:$A$455,0)))=1,"1 - Integrity",IF(OR(IF(COUNTIFS('RQ2'!$A$2:$A$455,$A86,'RQ2'!$D$2:$D$455,"")&gt;0,"",INDEX('RQ2'!$D$2:$D$455,MATCH($A86,'RQ2'!$A$2:$A$455,0)))="",IF(COUNTIFS('RQ2'!$A$2:$A$455,$A86,'RQ2'!$E$2:$E$455,"")&gt;0,"",INDEX('RQ2'!$E$2:$E$455,MATCH($A86,'RQ2'!$A$2:$A$455,0)))=""),"2 - RQ2 historical","3 - Verify recorded evidence"))</f>
        <v/>
      </c>
      <c r="D86" s="4">
        <f>IF(OR(IF(COUNTIFS('RQ2'!$A$2:$A$455,$A86,'RQ2'!$D$2:$D$455,"")&gt;0,"",INDEX('RQ2'!$D$2:$D$455,MATCH($A86,'RQ2'!$A$2:$A$455,0)))="",IF(COUNTIFS('RQ2'!$A$2:$A$455,$A86,'RQ2'!$E$2:$E$455,"")&gt;0,"",INDEX('RQ2'!$E$2:$E$455,MATCH($A86,'RQ2'!$A$2:$A$455,0)))=""),"PENDIENTE","REGISTRADA")</f>
        <v/>
      </c>
      <c r="E86" s="4">
        <f>IF(IF(COUNTIFS('RQ1'!$A$2:$A$455,$A86,'RQ1'!$N$2:$N$455,"")&gt;0,"",INDEX('RQ1'!$N$2:$N$455,MATCH($A86,'RQ1'!$A$2:$A$455,0)))=1,"REVISAR DETALLE","REGISTRADA")</f>
        <v/>
      </c>
      <c r="F86" s="4">
        <f>IF(IF(COUNTIFS('RQ3'!$A$2:$A$455,$A86,'RQ3'!$P$2:$P$455,"")&gt;0,"",INDEX('RQ3'!$P$2:$P$455,MATCH($A86,'RQ3'!$A$2:$A$455,0)))="","NO REGISTRADO",IF(IF(COUNTIFS('RQ3'!$A$2:$A$455,$A86,'RQ3'!$P$2:$P$455,"")&gt;0,"",INDEX('RQ3'!$P$2:$P$455,MATCH($A86,'RQ3'!$A$2:$A$455,0)))=1,"MARCA ACTIVA","SIN MARCA"))</f>
        <v/>
      </c>
      <c r="G86" s="4">
        <f>IF(IF(COUNTIFS('ESTUDIOS'!$A$2:$A$455,$A86,'ESTUDIOS'!$N$2:$N$455,"")&gt;0,"",INDEX('ESTUDIOS'!$N$2:$N$455,MATCH($A86,'ESTUDIOS'!$A$2:$A$455,0)))="Verified","DOCUMENTADA","NO DOCUMENTADA")</f>
        <v/>
      </c>
      <c r="H86" s="4">
        <f>IF(D86="PENDIENTE","Leer evidencia ya extraída; registrar uso propuesto o evaluado, función, fuente y revisor en RQ2.","Comprobar evidencia y cautelas registradas; documentar verificación sin recodificar lo ya respaldado.")</f>
        <v/>
      </c>
      <c r="I86" s="4" t="inlineStr">
        <is>
          <t>https://doi.org/10.1007/978-3-031-09342-5_11</t>
        </is>
      </c>
    </row>
    <row r="87" ht="64" customHeight="1">
      <c r="A87" s="4" t="inlineStr">
        <is>
          <t>92</t>
        </is>
      </c>
      <c r="B87" s="4" t="inlineStr">
        <is>
          <t>Learning discriminative functional connectivity networks for identifying Autism spectrum disorder</t>
        </is>
      </c>
      <c r="C87" s="4">
        <f>IF(IF(COUNTIFS('ESTUDIOS'!$A$2:$A$455,$A87,'ESTUDIOS'!$I$2:$I$455,"")&gt;0,"",INDEX('ESTUDIOS'!$I$2:$I$455,MATCH($A87,'ESTUDIOS'!$A$2:$A$455,0)))=1,"1 - Integrity",IF(OR(IF(COUNTIFS('RQ2'!$A$2:$A$455,$A87,'RQ2'!$D$2:$D$455,"")&gt;0,"",INDEX('RQ2'!$D$2:$D$455,MATCH($A87,'RQ2'!$A$2:$A$455,0)))="",IF(COUNTIFS('RQ2'!$A$2:$A$455,$A87,'RQ2'!$E$2:$E$455,"")&gt;0,"",INDEX('RQ2'!$E$2:$E$455,MATCH($A87,'RQ2'!$A$2:$A$455,0)))=""),"2 - RQ2 historical","3 - Verify recorded evidence"))</f>
        <v/>
      </c>
      <c r="D87" s="4">
        <f>IF(OR(IF(COUNTIFS('RQ2'!$A$2:$A$455,$A87,'RQ2'!$D$2:$D$455,"")&gt;0,"",INDEX('RQ2'!$D$2:$D$455,MATCH($A87,'RQ2'!$A$2:$A$455,0)))="",IF(COUNTIFS('RQ2'!$A$2:$A$455,$A87,'RQ2'!$E$2:$E$455,"")&gt;0,"",INDEX('RQ2'!$E$2:$E$455,MATCH($A87,'RQ2'!$A$2:$A$455,0)))=""),"PENDIENTE","REGISTRADA")</f>
        <v/>
      </c>
      <c r="E87" s="4">
        <f>IF(IF(COUNTIFS('RQ1'!$A$2:$A$455,$A87,'RQ1'!$N$2:$N$455,"")&gt;0,"",INDEX('RQ1'!$N$2:$N$455,MATCH($A87,'RQ1'!$A$2:$A$455,0)))=1,"REVISAR DETALLE","REGISTRADA")</f>
        <v/>
      </c>
      <c r="F87" s="4">
        <f>IF(IF(COUNTIFS('RQ3'!$A$2:$A$455,$A87,'RQ3'!$P$2:$P$455,"")&gt;0,"",INDEX('RQ3'!$P$2:$P$455,MATCH($A87,'RQ3'!$A$2:$A$455,0)))="","NO REGISTRADO",IF(IF(COUNTIFS('RQ3'!$A$2:$A$455,$A87,'RQ3'!$P$2:$P$455,"")&gt;0,"",INDEX('RQ3'!$P$2:$P$455,MATCH($A87,'RQ3'!$A$2:$A$455,0)))=1,"MARCA ACTIVA","SIN MARCA"))</f>
        <v/>
      </c>
      <c r="G87" s="4">
        <f>IF(IF(COUNTIFS('ESTUDIOS'!$A$2:$A$455,$A87,'ESTUDIOS'!$N$2:$N$455,"")&gt;0,"",INDEX('ESTUDIOS'!$N$2:$N$455,MATCH($A87,'ESTUDIOS'!$A$2:$A$455,0)))="Verified","DOCUMENTADA","NO DOCUMENTADA")</f>
        <v/>
      </c>
      <c r="H87" s="4">
        <f>IF(D87="PENDIENTE","Leer evidencia ya extraída; registrar uso propuesto o evaluado, función, fuente y revisor en RQ2.","Comprobar evidencia y cautelas registradas; documentar verificación sin recodificar lo ya respaldado.")</f>
        <v/>
      </c>
      <c r="I87" s="4" t="inlineStr">
        <is>
          <t>https://doi.org/10.1016/j.bspc.2024.107466</t>
        </is>
      </c>
    </row>
    <row r="88" ht="64" customHeight="1">
      <c r="A88" s="4" t="inlineStr">
        <is>
          <t>94</t>
        </is>
      </c>
      <c r="B88" s="4" t="inlineStr">
        <is>
          <t>Optimizing a de novo artificial intelligence-based medical device under a predetermined change control plan: Improved ability to detect or rule out pediatric autism</t>
        </is>
      </c>
      <c r="C88" s="4">
        <f>IF(IF(COUNTIFS('ESTUDIOS'!$A$2:$A$455,$A88,'ESTUDIOS'!$I$2:$I$455,"")&gt;0,"",INDEX('ESTUDIOS'!$I$2:$I$455,MATCH($A88,'ESTUDIOS'!$A$2:$A$455,0)))=1,"1 - Integrity",IF(OR(IF(COUNTIFS('RQ2'!$A$2:$A$455,$A88,'RQ2'!$D$2:$D$455,"")&gt;0,"",INDEX('RQ2'!$D$2:$D$455,MATCH($A88,'RQ2'!$A$2:$A$455,0)))="",IF(COUNTIFS('RQ2'!$A$2:$A$455,$A88,'RQ2'!$E$2:$E$455,"")&gt;0,"",INDEX('RQ2'!$E$2:$E$455,MATCH($A88,'RQ2'!$A$2:$A$455,0)))=""),"2 - RQ2 historical","3 - Verify recorded evidence"))</f>
        <v/>
      </c>
      <c r="D88" s="4">
        <f>IF(OR(IF(COUNTIFS('RQ2'!$A$2:$A$455,$A88,'RQ2'!$D$2:$D$455,"")&gt;0,"",INDEX('RQ2'!$D$2:$D$455,MATCH($A88,'RQ2'!$A$2:$A$455,0)))="",IF(COUNTIFS('RQ2'!$A$2:$A$455,$A88,'RQ2'!$E$2:$E$455,"")&gt;0,"",INDEX('RQ2'!$E$2:$E$455,MATCH($A88,'RQ2'!$A$2:$A$455,0)))=""),"PENDIENTE","REGISTRADA")</f>
        <v/>
      </c>
      <c r="E88" s="4">
        <f>IF(IF(COUNTIFS('RQ1'!$A$2:$A$455,$A88,'RQ1'!$N$2:$N$455,"")&gt;0,"",INDEX('RQ1'!$N$2:$N$455,MATCH($A88,'RQ1'!$A$2:$A$455,0)))=1,"REVISAR DETALLE","REGISTRADA")</f>
        <v/>
      </c>
      <c r="F88" s="4">
        <f>IF(IF(COUNTIFS('RQ3'!$A$2:$A$455,$A88,'RQ3'!$P$2:$P$455,"")&gt;0,"",INDEX('RQ3'!$P$2:$P$455,MATCH($A88,'RQ3'!$A$2:$A$455,0)))="","NO REGISTRADO",IF(IF(COUNTIFS('RQ3'!$A$2:$A$455,$A88,'RQ3'!$P$2:$P$455,"")&gt;0,"",INDEX('RQ3'!$P$2:$P$455,MATCH($A88,'RQ3'!$A$2:$A$455,0)))=1,"MARCA ACTIVA","SIN MARCA"))</f>
        <v/>
      </c>
      <c r="G88" s="4">
        <f>IF(IF(COUNTIFS('ESTUDIOS'!$A$2:$A$455,$A88,'ESTUDIOS'!$N$2:$N$455,"")&gt;0,"",INDEX('ESTUDIOS'!$N$2:$N$455,MATCH($A88,'ESTUDIOS'!$A$2:$A$455,0)))="Verified","DOCUMENTADA","NO DOCUMENTADA")</f>
        <v/>
      </c>
      <c r="H88" s="4">
        <f>IF(D88="PENDIENTE","Leer evidencia ya extraída; registrar uso propuesto o evaluado, función, fuente y revisor en RQ2.","Comprobar evidencia y cautelas registradas; documentar verificación sin recodificar lo ya respaldado.")</f>
        <v/>
      </c>
      <c r="I88" s="4" t="inlineStr">
        <is>
          <t>https://doi.org/10.1016/j.ibmed.2023.100102</t>
        </is>
      </c>
    </row>
    <row r="89" ht="64" customHeight="1">
      <c r="A89" s="4" t="inlineStr">
        <is>
          <t>95</t>
        </is>
      </c>
      <c r="B89" s="4" t="inlineStr">
        <is>
          <t>Physician Versus Large Language Model Chatbot Responses to Web-Based Questions From Autistic Patients in Chinese: Cross-Sectional Comparative Analysis</t>
        </is>
      </c>
      <c r="C89" s="4">
        <f>IF(IF(COUNTIFS('ESTUDIOS'!$A$2:$A$455,$A89,'ESTUDIOS'!$I$2:$I$455,"")&gt;0,"",INDEX('ESTUDIOS'!$I$2:$I$455,MATCH($A89,'ESTUDIOS'!$A$2:$A$455,0)))=1,"1 - Integrity",IF(OR(IF(COUNTIFS('RQ2'!$A$2:$A$455,$A89,'RQ2'!$D$2:$D$455,"")&gt;0,"",INDEX('RQ2'!$D$2:$D$455,MATCH($A89,'RQ2'!$A$2:$A$455,0)))="",IF(COUNTIFS('RQ2'!$A$2:$A$455,$A89,'RQ2'!$E$2:$E$455,"")&gt;0,"",INDEX('RQ2'!$E$2:$E$455,MATCH($A89,'RQ2'!$A$2:$A$455,0)))=""),"2 - RQ2 historical","3 - Verify recorded evidence"))</f>
        <v/>
      </c>
      <c r="D89" s="4">
        <f>IF(OR(IF(COUNTIFS('RQ2'!$A$2:$A$455,$A89,'RQ2'!$D$2:$D$455,"")&gt;0,"",INDEX('RQ2'!$D$2:$D$455,MATCH($A89,'RQ2'!$A$2:$A$455,0)))="",IF(COUNTIFS('RQ2'!$A$2:$A$455,$A89,'RQ2'!$E$2:$E$455,"")&gt;0,"",INDEX('RQ2'!$E$2:$E$455,MATCH($A89,'RQ2'!$A$2:$A$455,0)))=""),"PENDIENTE","REGISTRADA")</f>
        <v/>
      </c>
      <c r="E89" s="4">
        <f>IF(IF(COUNTIFS('RQ1'!$A$2:$A$455,$A89,'RQ1'!$N$2:$N$455,"")&gt;0,"",INDEX('RQ1'!$N$2:$N$455,MATCH($A89,'RQ1'!$A$2:$A$455,0)))=1,"REVISAR DETALLE","REGISTRADA")</f>
        <v/>
      </c>
      <c r="F89" s="4">
        <f>IF(IF(COUNTIFS('RQ3'!$A$2:$A$455,$A89,'RQ3'!$P$2:$P$455,"")&gt;0,"",INDEX('RQ3'!$P$2:$P$455,MATCH($A89,'RQ3'!$A$2:$A$455,0)))="","NO REGISTRADO",IF(IF(COUNTIFS('RQ3'!$A$2:$A$455,$A89,'RQ3'!$P$2:$P$455,"")&gt;0,"",INDEX('RQ3'!$P$2:$P$455,MATCH($A89,'RQ3'!$A$2:$A$455,0)))=1,"MARCA ACTIVA","SIN MARCA"))</f>
        <v/>
      </c>
      <c r="G89" s="4">
        <f>IF(IF(COUNTIFS('ESTUDIOS'!$A$2:$A$455,$A89,'ESTUDIOS'!$N$2:$N$455,"")&gt;0,"",INDEX('ESTUDIOS'!$N$2:$N$455,MATCH($A89,'ESTUDIOS'!$A$2:$A$455,0)))="Verified","DOCUMENTADA","NO DOCUMENTADA")</f>
        <v/>
      </c>
      <c r="H89" s="4">
        <f>IF(D89="PENDIENTE","Leer evidencia ya extraída; registrar uso propuesto o evaluado, función, fuente y revisor en RQ2.","Comprobar evidencia y cautelas registradas; documentar verificación sin recodificar lo ya respaldado.")</f>
        <v/>
      </c>
      <c r="I89" s="4" t="inlineStr">
        <is>
          <t>https://doi.org/10.2196/54706</t>
        </is>
      </c>
    </row>
    <row r="90" ht="64" customHeight="1">
      <c r="A90" s="4" t="inlineStr">
        <is>
          <t>96</t>
        </is>
      </c>
      <c r="B90" s="4" t="inlineStr">
        <is>
          <t>Polychlorinated biphenyls influence on autism spectrum disorder risk in the MARBLES cohort</t>
        </is>
      </c>
      <c r="C90" s="4">
        <f>IF(IF(COUNTIFS('ESTUDIOS'!$A$2:$A$455,$A90,'ESTUDIOS'!$I$2:$I$455,"")&gt;0,"",INDEX('ESTUDIOS'!$I$2:$I$455,MATCH($A90,'ESTUDIOS'!$A$2:$A$455,0)))=1,"1 - Integrity",IF(OR(IF(COUNTIFS('RQ2'!$A$2:$A$455,$A90,'RQ2'!$D$2:$D$455,"")&gt;0,"",INDEX('RQ2'!$D$2:$D$455,MATCH($A90,'RQ2'!$A$2:$A$455,0)))="",IF(COUNTIFS('RQ2'!$A$2:$A$455,$A90,'RQ2'!$E$2:$E$455,"")&gt;0,"",INDEX('RQ2'!$E$2:$E$455,MATCH($A90,'RQ2'!$A$2:$A$455,0)))=""),"2 - RQ2 historical","3 - Verify recorded evidence"))</f>
        <v/>
      </c>
      <c r="D90" s="4">
        <f>IF(OR(IF(COUNTIFS('RQ2'!$A$2:$A$455,$A90,'RQ2'!$D$2:$D$455,"")&gt;0,"",INDEX('RQ2'!$D$2:$D$455,MATCH($A90,'RQ2'!$A$2:$A$455,0)))="",IF(COUNTIFS('RQ2'!$A$2:$A$455,$A90,'RQ2'!$E$2:$E$455,"")&gt;0,"",INDEX('RQ2'!$E$2:$E$455,MATCH($A90,'RQ2'!$A$2:$A$455,0)))=""),"PENDIENTE","REGISTRADA")</f>
        <v/>
      </c>
      <c r="E90" s="4">
        <f>IF(IF(COUNTIFS('RQ1'!$A$2:$A$455,$A90,'RQ1'!$N$2:$N$455,"")&gt;0,"",INDEX('RQ1'!$N$2:$N$455,MATCH($A90,'RQ1'!$A$2:$A$455,0)))=1,"REVISAR DETALLE","REGISTRADA")</f>
        <v/>
      </c>
      <c r="F90" s="4">
        <f>IF(IF(COUNTIFS('RQ3'!$A$2:$A$455,$A90,'RQ3'!$P$2:$P$455,"")&gt;0,"",INDEX('RQ3'!$P$2:$P$455,MATCH($A90,'RQ3'!$A$2:$A$455,0)))="","NO REGISTRADO",IF(IF(COUNTIFS('RQ3'!$A$2:$A$455,$A90,'RQ3'!$P$2:$P$455,"")&gt;0,"",INDEX('RQ3'!$P$2:$P$455,MATCH($A90,'RQ3'!$A$2:$A$455,0)))=1,"MARCA ACTIVA","SIN MARCA"))</f>
        <v/>
      </c>
      <c r="G90" s="4">
        <f>IF(IF(COUNTIFS('ESTUDIOS'!$A$2:$A$455,$A90,'ESTUDIOS'!$N$2:$N$455,"")&gt;0,"",INDEX('ESTUDIOS'!$N$2:$N$455,MATCH($A90,'ESTUDIOS'!$A$2:$A$455,0)))="Verified","DOCUMENTADA","NO DOCUMENTADA")</f>
        <v/>
      </c>
      <c r="H90" s="4">
        <f>IF(D90="PENDIENTE","Leer evidencia ya extraída; registrar uso propuesto o evaluado, función, fuente y revisor en RQ2.","Comprobar evidencia y cautelas registradas; documentar verificación sin recodificar lo ya respaldado.")</f>
        <v/>
      </c>
      <c r="I90" s="4" t="inlineStr">
        <is>
          <t>https://doi.org/10.1016/j.envres.2018.12.061</t>
        </is>
      </c>
    </row>
    <row r="91" ht="64" customHeight="1">
      <c r="A91" s="4" t="inlineStr">
        <is>
          <t>97</t>
        </is>
      </c>
      <c r="B91" s="4" t="inlineStr">
        <is>
          <t>Predicting Core Characteristics of ASD Through Facial Emotion Recognition and Eye Tracking in Youth.</t>
        </is>
      </c>
      <c r="C91" s="4">
        <f>IF(IF(COUNTIFS('ESTUDIOS'!$A$2:$A$455,$A91,'ESTUDIOS'!$I$2:$I$455,"")&gt;0,"",INDEX('ESTUDIOS'!$I$2:$I$455,MATCH($A91,'ESTUDIOS'!$A$2:$A$455,0)))=1,"1 - Integrity",IF(OR(IF(COUNTIFS('RQ2'!$A$2:$A$455,$A91,'RQ2'!$D$2:$D$455,"")&gt;0,"",INDEX('RQ2'!$D$2:$D$455,MATCH($A91,'RQ2'!$A$2:$A$455,0)))="",IF(COUNTIFS('RQ2'!$A$2:$A$455,$A91,'RQ2'!$E$2:$E$455,"")&gt;0,"",INDEX('RQ2'!$E$2:$E$455,MATCH($A91,'RQ2'!$A$2:$A$455,0)))=""),"2 - RQ2 historical","3 - Verify recorded evidence"))</f>
        <v/>
      </c>
      <c r="D91" s="4">
        <f>IF(OR(IF(COUNTIFS('RQ2'!$A$2:$A$455,$A91,'RQ2'!$D$2:$D$455,"")&gt;0,"",INDEX('RQ2'!$D$2:$D$455,MATCH($A91,'RQ2'!$A$2:$A$455,0)))="",IF(COUNTIFS('RQ2'!$A$2:$A$455,$A91,'RQ2'!$E$2:$E$455,"")&gt;0,"",INDEX('RQ2'!$E$2:$E$455,MATCH($A91,'RQ2'!$A$2:$A$455,0)))=""),"PENDIENTE","REGISTRADA")</f>
        <v/>
      </c>
      <c r="E91" s="4">
        <f>IF(IF(COUNTIFS('RQ1'!$A$2:$A$455,$A91,'RQ1'!$N$2:$N$455,"")&gt;0,"",INDEX('RQ1'!$N$2:$N$455,MATCH($A91,'RQ1'!$A$2:$A$455,0)))=1,"REVISAR DETALLE","REGISTRADA")</f>
        <v/>
      </c>
      <c r="F91" s="4">
        <f>IF(IF(COUNTIFS('RQ3'!$A$2:$A$455,$A91,'RQ3'!$P$2:$P$455,"")&gt;0,"",INDEX('RQ3'!$P$2:$P$455,MATCH($A91,'RQ3'!$A$2:$A$455,0)))="","NO REGISTRADO",IF(IF(COUNTIFS('RQ3'!$A$2:$A$455,$A91,'RQ3'!$P$2:$P$455,"")&gt;0,"",INDEX('RQ3'!$P$2:$P$455,MATCH($A91,'RQ3'!$A$2:$A$455,0)))=1,"MARCA ACTIVA","SIN MARCA"))</f>
        <v/>
      </c>
      <c r="G91" s="4">
        <f>IF(IF(COUNTIFS('ESTUDIOS'!$A$2:$A$455,$A91,'ESTUDIOS'!$N$2:$N$455,"")&gt;0,"",INDEX('ESTUDIOS'!$N$2:$N$455,MATCH($A91,'ESTUDIOS'!$A$2:$A$455,0)))="Verified","DOCUMENTADA","NO DOCUMENTADA")</f>
        <v/>
      </c>
      <c r="H91" s="4">
        <f>IF(D91="PENDIENTE","Leer evidencia ya extraída; registrar uso propuesto o evaluado, función, fuente y revisor en RQ2.","Comprobar evidencia y cautelas registradas; documentar verificación sin recodificar lo ya respaldado.")</f>
        <v/>
      </c>
      <c r="I91" s="4" t="inlineStr">
        <is>
          <t>https://doi.org/10.1109/embc44109.2020.9176843</t>
        </is>
      </c>
    </row>
    <row r="92" ht="64" customHeight="1">
      <c r="A92" s="4" t="inlineStr">
        <is>
          <t>98</t>
        </is>
      </c>
      <c r="B92" s="4" t="inlineStr">
        <is>
          <t>Self-supervised machine learning approach for autism detection in young children using MEG signals</t>
        </is>
      </c>
      <c r="C92" s="4">
        <f>IF(IF(COUNTIFS('ESTUDIOS'!$A$2:$A$455,$A92,'ESTUDIOS'!$I$2:$I$455,"")&gt;0,"",INDEX('ESTUDIOS'!$I$2:$I$455,MATCH($A92,'ESTUDIOS'!$A$2:$A$455,0)))=1,"1 - Integrity",IF(OR(IF(COUNTIFS('RQ2'!$A$2:$A$455,$A92,'RQ2'!$D$2:$D$455,"")&gt;0,"",INDEX('RQ2'!$D$2:$D$455,MATCH($A92,'RQ2'!$A$2:$A$455,0)))="",IF(COUNTIFS('RQ2'!$A$2:$A$455,$A92,'RQ2'!$E$2:$E$455,"")&gt;0,"",INDEX('RQ2'!$E$2:$E$455,MATCH($A92,'RQ2'!$A$2:$A$455,0)))=""),"2 - RQ2 historical","3 - Verify recorded evidence"))</f>
        <v/>
      </c>
      <c r="D92" s="4">
        <f>IF(OR(IF(COUNTIFS('RQ2'!$A$2:$A$455,$A92,'RQ2'!$D$2:$D$455,"")&gt;0,"",INDEX('RQ2'!$D$2:$D$455,MATCH($A92,'RQ2'!$A$2:$A$455,0)))="",IF(COUNTIFS('RQ2'!$A$2:$A$455,$A92,'RQ2'!$E$2:$E$455,"")&gt;0,"",INDEX('RQ2'!$E$2:$E$455,MATCH($A92,'RQ2'!$A$2:$A$455,0)))=""),"PENDIENTE","REGISTRADA")</f>
        <v/>
      </c>
      <c r="E92" s="4">
        <f>IF(IF(COUNTIFS('RQ1'!$A$2:$A$455,$A92,'RQ1'!$N$2:$N$455,"")&gt;0,"",INDEX('RQ1'!$N$2:$N$455,MATCH($A92,'RQ1'!$A$2:$A$455,0)))=1,"REVISAR DETALLE","REGISTRADA")</f>
        <v/>
      </c>
      <c r="F92" s="4">
        <f>IF(IF(COUNTIFS('RQ3'!$A$2:$A$455,$A92,'RQ3'!$P$2:$P$455,"")&gt;0,"",INDEX('RQ3'!$P$2:$P$455,MATCH($A92,'RQ3'!$A$2:$A$455,0)))="","NO REGISTRADO",IF(IF(COUNTIFS('RQ3'!$A$2:$A$455,$A92,'RQ3'!$P$2:$P$455,"")&gt;0,"",INDEX('RQ3'!$P$2:$P$455,MATCH($A92,'RQ3'!$A$2:$A$455,0)))=1,"MARCA ACTIVA","SIN MARCA"))</f>
        <v/>
      </c>
      <c r="G92" s="4">
        <f>IF(IF(COUNTIFS('ESTUDIOS'!$A$2:$A$455,$A92,'ESTUDIOS'!$N$2:$N$455,"")&gt;0,"",INDEX('ESTUDIOS'!$N$2:$N$455,MATCH($A92,'ESTUDIOS'!$A$2:$A$455,0)))="Verified","DOCUMENTADA","NO DOCUMENTADA")</f>
        <v/>
      </c>
      <c r="H92" s="4">
        <f>IF(D92="PENDIENTE","Leer evidencia ya extraída; registrar uso propuesto o evaluado, función, fuente y revisor en RQ2.","Comprobar evidencia y cautelas registradas; documentar verificación sin recodificar lo ya respaldado.")</f>
        <v/>
      </c>
      <c r="I92" s="4" t="inlineStr">
        <is>
          <t>https://doi.org/10.1016/j.bspc.2024.106671</t>
        </is>
      </c>
    </row>
    <row r="93" ht="64" customHeight="1">
      <c r="A93" s="4" t="inlineStr">
        <is>
          <t>99</t>
        </is>
      </c>
      <c r="B93" s="4" t="inlineStr">
        <is>
          <t>Serum Brain-derived neurotrophic factor levels in Chinese children with autism spectrum disorders: A pilot study</t>
        </is>
      </c>
      <c r="C93" s="4">
        <f>IF(IF(COUNTIFS('ESTUDIOS'!$A$2:$A$455,$A93,'ESTUDIOS'!$I$2:$I$455,"")&gt;0,"",INDEX('ESTUDIOS'!$I$2:$I$455,MATCH($A93,'ESTUDIOS'!$A$2:$A$455,0)))=1,"1 - Integrity",IF(OR(IF(COUNTIFS('RQ2'!$A$2:$A$455,$A93,'RQ2'!$D$2:$D$455,"")&gt;0,"",INDEX('RQ2'!$D$2:$D$455,MATCH($A93,'RQ2'!$A$2:$A$455,0)))="",IF(COUNTIFS('RQ2'!$A$2:$A$455,$A93,'RQ2'!$E$2:$E$455,"")&gt;0,"",INDEX('RQ2'!$E$2:$E$455,MATCH($A93,'RQ2'!$A$2:$A$455,0)))=""),"2 - RQ2 historical","3 - Verify recorded evidence"))</f>
        <v/>
      </c>
      <c r="D93" s="4">
        <f>IF(OR(IF(COUNTIFS('RQ2'!$A$2:$A$455,$A93,'RQ2'!$D$2:$D$455,"")&gt;0,"",INDEX('RQ2'!$D$2:$D$455,MATCH($A93,'RQ2'!$A$2:$A$455,0)))="",IF(COUNTIFS('RQ2'!$A$2:$A$455,$A93,'RQ2'!$E$2:$E$455,"")&gt;0,"",INDEX('RQ2'!$E$2:$E$455,MATCH($A93,'RQ2'!$A$2:$A$455,0)))=""),"PENDIENTE","REGISTRADA")</f>
        <v/>
      </c>
      <c r="E93" s="4">
        <f>IF(IF(COUNTIFS('RQ1'!$A$2:$A$455,$A93,'RQ1'!$N$2:$N$455,"")&gt;0,"",INDEX('RQ1'!$N$2:$N$455,MATCH($A93,'RQ1'!$A$2:$A$455,0)))=1,"REVISAR DETALLE","REGISTRADA")</f>
        <v/>
      </c>
      <c r="F93" s="4">
        <f>IF(IF(COUNTIFS('RQ3'!$A$2:$A$455,$A93,'RQ3'!$P$2:$P$455,"")&gt;0,"",INDEX('RQ3'!$P$2:$P$455,MATCH($A93,'RQ3'!$A$2:$A$455,0)))="","NO REGISTRADO",IF(IF(COUNTIFS('RQ3'!$A$2:$A$455,$A93,'RQ3'!$P$2:$P$455,"")&gt;0,"",INDEX('RQ3'!$P$2:$P$455,MATCH($A93,'RQ3'!$A$2:$A$455,0)))=1,"MARCA ACTIVA","SIN MARCA"))</f>
        <v/>
      </c>
      <c r="G93" s="4">
        <f>IF(IF(COUNTIFS('ESTUDIOS'!$A$2:$A$455,$A93,'ESTUDIOS'!$N$2:$N$455,"")&gt;0,"",INDEX('ESTUDIOS'!$N$2:$N$455,MATCH($A93,'ESTUDIOS'!$A$2:$A$455,0)))="Verified","DOCUMENTADA","NO DOCUMENTADA")</f>
        <v/>
      </c>
      <c r="H93" s="4">
        <f>IF(D93="PENDIENTE","Leer evidencia ya extraída; registrar uso propuesto o evaluado, función, fuente y revisor en RQ2.","Comprobar evidencia y cautelas registradas; documentar verificación sin recodificar lo ya respaldado.")</f>
        <v/>
      </c>
      <c r="I93" s="4" t="inlineStr">
        <is>
          <t>https://doi.org/10.1016/j.ijdevneu.2014.06.013</t>
        </is>
      </c>
    </row>
    <row r="94" ht="64" customHeight="1">
      <c r="A94" s="4" t="inlineStr">
        <is>
          <t>100</t>
        </is>
      </c>
      <c r="B94" s="4" t="inlineStr">
        <is>
          <t>Sex Differences in Functional Gradients and Dynamic Functional Connectivity in Preschool-Aged Children With ASD</t>
        </is>
      </c>
      <c r="C94" s="4">
        <f>IF(IF(COUNTIFS('ESTUDIOS'!$A$2:$A$455,$A94,'ESTUDIOS'!$I$2:$I$455,"")&gt;0,"",INDEX('ESTUDIOS'!$I$2:$I$455,MATCH($A94,'ESTUDIOS'!$A$2:$A$455,0)))=1,"1 - Integrity",IF(OR(IF(COUNTIFS('RQ2'!$A$2:$A$455,$A94,'RQ2'!$D$2:$D$455,"")&gt;0,"",INDEX('RQ2'!$D$2:$D$455,MATCH($A94,'RQ2'!$A$2:$A$455,0)))="",IF(COUNTIFS('RQ2'!$A$2:$A$455,$A94,'RQ2'!$E$2:$E$455,"")&gt;0,"",INDEX('RQ2'!$E$2:$E$455,MATCH($A94,'RQ2'!$A$2:$A$455,0)))=""),"2 - RQ2 historical","3 - Verify recorded evidence"))</f>
        <v/>
      </c>
      <c r="D94" s="4">
        <f>IF(OR(IF(COUNTIFS('RQ2'!$A$2:$A$455,$A94,'RQ2'!$D$2:$D$455,"")&gt;0,"",INDEX('RQ2'!$D$2:$D$455,MATCH($A94,'RQ2'!$A$2:$A$455,0)))="",IF(COUNTIFS('RQ2'!$A$2:$A$455,$A94,'RQ2'!$E$2:$E$455,"")&gt;0,"",INDEX('RQ2'!$E$2:$E$455,MATCH($A94,'RQ2'!$A$2:$A$455,0)))=""),"PENDIENTE","REGISTRADA")</f>
        <v/>
      </c>
      <c r="E94" s="4">
        <f>IF(IF(COUNTIFS('RQ1'!$A$2:$A$455,$A94,'RQ1'!$N$2:$N$455,"")&gt;0,"",INDEX('RQ1'!$N$2:$N$455,MATCH($A94,'RQ1'!$A$2:$A$455,0)))=1,"REVISAR DETALLE","REGISTRADA")</f>
        <v/>
      </c>
      <c r="F94" s="4">
        <f>IF(IF(COUNTIFS('RQ3'!$A$2:$A$455,$A94,'RQ3'!$P$2:$P$455,"")&gt;0,"",INDEX('RQ3'!$P$2:$P$455,MATCH($A94,'RQ3'!$A$2:$A$455,0)))="","NO REGISTRADO",IF(IF(COUNTIFS('RQ3'!$A$2:$A$455,$A94,'RQ3'!$P$2:$P$455,"")&gt;0,"",INDEX('RQ3'!$P$2:$P$455,MATCH($A94,'RQ3'!$A$2:$A$455,0)))=1,"MARCA ACTIVA","SIN MARCA"))</f>
        <v/>
      </c>
      <c r="G94" s="4">
        <f>IF(IF(COUNTIFS('ESTUDIOS'!$A$2:$A$455,$A94,'ESTUDIOS'!$N$2:$N$455,"")&gt;0,"",INDEX('ESTUDIOS'!$N$2:$N$455,MATCH($A94,'ESTUDIOS'!$A$2:$A$455,0)))="Verified","DOCUMENTADA","NO DOCUMENTADA")</f>
        <v/>
      </c>
      <c r="H94" s="4">
        <f>IF(D94="PENDIENTE","Leer evidencia ya extraída; registrar uso propuesto o evaluado, función, fuente y revisor en RQ2.","Comprobar evidencia y cautelas registradas; documentar verificación sin recodificar lo ya respaldado.")</f>
        <v/>
      </c>
      <c r="I94" s="4" t="inlineStr">
        <is>
          <t>https://doi.org/10.1111/cns.70562</t>
        </is>
      </c>
    </row>
    <row r="95" ht="64" customHeight="1">
      <c r="A95" s="4" t="inlineStr">
        <is>
          <t>102</t>
        </is>
      </c>
      <c r="B95" s="4" t="inlineStr">
        <is>
          <t>Toward continuous social phenotyping: Analyzing gaze patterns in an emotion recognition task for children with autism through wearable smart glasses</t>
        </is>
      </c>
      <c r="C95" s="4">
        <f>IF(IF(COUNTIFS('ESTUDIOS'!$A$2:$A$455,$A95,'ESTUDIOS'!$I$2:$I$455,"")&gt;0,"",INDEX('ESTUDIOS'!$I$2:$I$455,MATCH($A95,'ESTUDIOS'!$A$2:$A$455,0)))=1,"1 - Integrity",IF(OR(IF(COUNTIFS('RQ2'!$A$2:$A$455,$A95,'RQ2'!$D$2:$D$455,"")&gt;0,"",INDEX('RQ2'!$D$2:$D$455,MATCH($A95,'RQ2'!$A$2:$A$455,0)))="",IF(COUNTIFS('RQ2'!$A$2:$A$455,$A95,'RQ2'!$E$2:$E$455,"")&gt;0,"",INDEX('RQ2'!$E$2:$E$455,MATCH($A95,'RQ2'!$A$2:$A$455,0)))=""),"2 - RQ2 historical","3 - Verify recorded evidence"))</f>
        <v/>
      </c>
      <c r="D95" s="4">
        <f>IF(OR(IF(COUNTIFS('RQ2'!$A$2:$A$455,$A95,'RQ2'!$D$2:$D$455,"")&gt;0,"",INDEX('RQ2'!$D$2:$D$455,MATCH($A95,'RQ2'!$A$2:$A$455,0)))="",IF(COUNTIFS('RQ2'!$A$2:$A$455,$A95,'RQ2'!$E$2:$E$455,"")&gt;0,"",INDEX('RQ2'!$E$2:$E$455,MATCH($A95,'RQ2'!$A$2:$A$455,0)))=""),"PENDIENTE","REGISTRADA")</f>
        <v/>
      </c>
      <c r="E95" s="4">
        <f>IF(IF(COUNTIFS('RQ1'!$A$2:$A$455,$A95,'RQ1'!$N$2:$N$455,"")&gt;0,"",INDEX('RQ1'!$N$2:$N$455,MATCH($A95,'RQ1'!$A$2:$A$455,0)))=1,"REVISAR DETALLE","REGISTRADA")</f>
        <v/>
      </c>
      <c r="F95" s="4">
        <f>IF(IF(COUNTIFS('RQ3'!$A$2:$A$455,$A95,'RQ3'!$P$2:$P$455,"")&gt;0,"",INDEX('RQ3'!$P$2:$P$455,MATCH($A95,'RQ3'!$A$2:$A$455,0)))="","NO REGISTRADO",IF(IF(COUNTIFS('RQ3'!$A$2:$A$455,$A95,'RQ3'!$P$2:$P$455,"")&gt;0,"",INDEX('RQ3'!$P$2:$P$455,MATCH($A95,'RQ3'!$A$2:$A$455,0)))=1,"MARCA ACTIVA","SIN MARCA"))</f>
        <v/>
      </c>
      <c r="G95" s="4">
        <f>IF(IF(COUNTIFS('ESTUDIOS'!$A$2:$A$455,$A95,'ESTUDIOS'!$N$2:$N$455,"")&gt;0,"",INDEX('ESTUDIOS'!$N$2:$N$455,MATCH($A95,'ESTUDIOS'!$A$2:$A$455,0)))="Verified","DOCUMENTADA","NO DOCUMENTADA")</f>
        <v/>
      </c>
      <c r="H95" s="4">
        <f>IF(D95="PENDIENTE","Leer evidencia ya extraída; registrar uso propuesto o evaluado, función, fuente y revisor en RQ2.","Comprobar evidencia y cautelas registradas; documentar verificación sin recodificar lo ya respaldado.")</f>
        <v/>
      </c>
      <c r="I95" s="4" t="inlineStr">
        <is>
          <t>https://doi.org/10.2196/13810</t>
        </is>
      </c>
    </row>
    <row r="96" ht="64" customHeight="1">
      <c r="A96" s="4" t="inlineStr">
        <is>
          <t>103</t>
        </is>
      </c>
      <c r="B96" s="4" t="inlineStr">
        <is>
          <t>Using machine learning to identify patterns of lifetime health problems in decedents with autism spectrum disorder</t>
        </is>
      </c>
      <c r="C96" s="4">
        <f>IF(IF(COUNTIFS('ESTUDIOS'!$A$2:$A$455,$A96,'ESTUDIOS'!$I$2:$I$455,"")&gt;0,"",INDEX('ESTUDIOS'!$I$2:$I$455,MATCH($A96,'ESTUDIOS'!$A$2:$A$455,0)))=1,"1 - Integrity",IF(OR(IF(COUNTIFS('RQ2'!$A$2:$A$455,$A96,'RQ2'!$D$2:$D$455,"")&gt;0,"",INDEX('RQ2'!$D$2:$D$455,MATCH($A96,'RQ2'!$A$2:$A$455,0)))="",IF(COUNTIFS('RQ2'!$A$2:$A$455,$A96,'RQ2'!$E$2:$E$455,"")&gt;0,"",INDEX('RQ2'!$E$2:$E$455,MATCH($A96,'RQ2'!$A$2:$A$455,0)))=""),"2 - RQ2 historical","3 - Verify recorded evidence"))</f>
        <v/>
      </c>
      <c r="D96" s="4">
        <f>IF(OR(IF(COUNTIFS('RQ2'!$A$2:$A$455,$A96,'RQ2'!$D$2:$D$455,"")&gt;0,"",INDEX('RQ2'!$D$2:$D$455,MATCH($A96,'RQ2'!$A$2:$A$455,0)))="",IF(COUNTIFS('RQ2'!$A$2:$A$455,$A96,'RQ2'!$E$2:$E$455,"")&gt;0,"",INDEX('RQ2'!$E$2:$E$455,MATCH($A96,'RQ2'!$A$2:$A$455,0)))=""),"PENDIENTE","REGISTRADA")</f>
        <v/>
      </c>
      <c r="E96" s="4">
        <f>IF(IF(COUNTIFS('RQ1'!$A$2:$A$455,$A96,'RQ1'!$N$2:$N$455,"")&gt;0,"",INDEX('RQ1'!$N$2:$N$455,MATCH($A96,'RQ1'!$A$2:$A$455,0)))=1,"REVISAR DETALLE","REGISTRADA")</f>
        <v/>
      </c>
      <c r="F96" s="4">
        <f>IF(IF(COUNTIFS('RQ3'!$A$2:$A$455,$A96,'RQ3'!$P$2:$P$455,"")&gt;0,"",INDEX('RQ3'!$P$2:$P$455,MATCH($A96,'RQ3'!$A$2:$A$455,0)))="","NO REGISTRADO",IF(IF(COUNTIFS('RQ3'!$A$2:$A$455,$A96,'RQ3'!$P$2:$P$455,"")&gt;0,"",INDEX('RQ3'!$P$2:$P$455,MATCH($A96,'RQ3'!$A$2:$A$455,0)))=1,"MARCA ACTIVA","SIN MARCA"))</f>
        <v/>
      </c>
      <c r="G96" s="4">
        <f>IF(IF(COUNTIFS('ESTUDIOS'!$A$2:$A$455,$A96,'ESTUDIOS'!$N$2:$N$455,"")&gt;0,"",INDEX('ESTUDIOS'!$N$2:$N$455,MATCH($A96,'ESTUDIOS'!$A$2:$A$455,0)))="Verified","DOCUMENTADA","NO DOCUMENTADA")</f>
        <v/>
      </c>
      <c r="H96" s="4">
        <f>IF(D96="PENDIENTE","Leer evidencia ya extraída; registrar uso propuesto o evaluado, función, fuente y revisor en RQ2.","Comprobar evidencia y cautelas registradas; documentar verificación sin recodificar lo ya respaldado.")</f>
        <v/>
      </c>
      <c r="I96" s="4" t="inlineStr">
        <is>
          <t>https://doi.org/10.1002/aur.1960</t>
        </is>
      </c>
    </row>
    <row r="97" ht="64" customHeight="1">
      <c r="A97" s="4" t="inlineStr">
        <is>
          <t>104</t>
        </is>
      </c>
      <c r="B97" s="4" t="inlineStr">
        <is>
          <t>A Framework for Comparison and Interpretation of Machine Learning Classifiers to Predict Autism on the ABIDE Dataset</t>
        </is>
      </c>
      <c r="C97" s="4">
        <f>IF(IF(COUNTIFS('ESTUDIOS'!$A$2:$A$455,$A97,'ESTUDIOS'!$I$2:$I$455,"")&gt;0,"",INDEX('ESTUDIOS'!$I$2:$I$455,MATCH($A97,'ESTUDIOS'!$A$2:$A$455,0)))=1,"1 - Integrity",IF(OR(IF(COUNTIFS('RQ2'!$A$2:$A$455,$A97,'RQ2'!$D$2:$D$455,"")&gt;0,"",INDEX('RQ2'!$D$2:$D$455,MATCH($A97,'RQ2'!$A$2:$A$455,0)))="",IF(COUNTIFS('RQ2'!$A$2:$A$455,$A97,'RQ2'!$E$2:$E$455,"")&gt;0,"",INDEX('RQ2'!$E$2:$E$455,MATCH($A97,'RQ2'!$A$2:$A$455,0)))=""),"2 - RQ2 historical","3 - Verify recorded evidence"))</f>
        <v/>
      </c>
      <c r="D97" s="4">
        <f>IF(OR(IF(COUNTIFS('RQ2'!$A$2:$A$455,$A97,'RQ2'!$D$2:$D$455,"")&gt;0,"",INDEX('RQ2'!$D$2:$D$455,MATCH($A97,'RQ2'!$A$2:$A$455,0)))="",IF(COUNTIFS('RQ2'!$A$2:$A$455,$A97,'RQ2'!$E$2:$E$455,"")&gt;0,"",INDEX('RQ2'!$E$2:$E$455,MATCH($A97,'RQ2'!$A$2:$A$455,0)))=""),"PENDIENTE","REGISTRADA")</f>
        <v/>
      </c>
      <c r="E97" s="4">
        <f>IF(IF(COUNTIFS('RQ1'!$A$2:$A$455,$A97,'RQ1'!$N$2:$N$455,"")&gt;0,"",INDEX('RQ1'!$N$2:$N$455,MATCH($A97,'RQ1'!$A$2:$A$455,0)))=1,"REVISAR DETALLE","REGISTRADA")</f>
        <v/>
      </c>
      <c r="F97" s="4">
        <f>IF(IF(COUNTIFS('RQ3'!$A$2:$A$455,$A97,'RQ3'!$P$2:$P$455,"")&gt;0,"",INDEX('RQ3'!$P$2:$P$455,MATCH($A97,'RQ3'!$A$2:$A$455,0)))="","NO REGISTRADO",IF(IF(COUNTIFS('RQ3'!$A$2:$A$455,$A97,'RQ3'!$P$2:$P$455,"")&gt;0,"",INDEX('RQ3'!$P$2:$P$455,MATCH($A97,'RQ3'!$A$2:$A$455,0)))=1,"MARCA ACTIVA","SIN MARCA"))</f>
        <v/>
      </c>
      <c r="G97" s="4">
        <f>IF(IF(COUNTIFS('ESTUDIOS'!$A$2:$A$455,$A97,'ESTUDIOS'!$N$2:$N$455,"")&gt;0,"",INDEX('ESTUDIOS'!$N$2:$N$455,MATCH($A97,'ESTUDIOS'!$A$2:$A$455,0)))="Verified","DOCUMENTADA","NO DOCUMENTADA")</f>
        <v/>
      </c>
      <c r="H97" s="4">
        <f>IF(D97="PENDIENTE","Leer evidencia ya extraída; registrar uso propuesto o evaluado, función, fuente y revisor en RQ2.","Comprobar evidencia y cautelas registradas; documentar verificación sin recodificar lo ya respaldado.")</f>
        <v/>
      </c>
      <c r="I97" s="4" t="inlineStr">
        <is>
          <t>https://doi.org/10.1002/hbm.70190</t>
        </is>
      </c>
    </row>
    <row r="98" ht="64" customHeight="1">
      <c r="A98" s="4" t="inlineStr">
        <is>
          <t>105</t>
        </is>
      </c>
      <c r="B98" s="4" t="inlineStr">
        <is>
          <t>A Novel Deep Learning Approach for Recognizing Stereotypical Motor Movements within and across Subjects on the Autism Spectrum Disorder</t>
        </is>
      </c>
      <c r="C98" s="4">
        <f>IF(IF(COUNTIFS('ESTUDIOS'!$A$2:$A$455,$A98,'ESTUDIOS'!$I$2:$I$455,"")&gt;0,"",INDEX('ESTUDIOS'!$I$2:$I$455,MATCH($A98,'ESTUDIOS'!$A$2:$A$455,0)))=1,"1 - Integrity",IF(OR(IF(COUNTIFS('RQ2'!$A$2:$A$455,$A98,'RQ2'!$D$2:$D$455,"")&gt;0,"",INDEX('RQ2'!$D$2:$D$455,MATCH($A98,'RQ2'!$A$2:$A$455,0)))="",IF(COUNTIFS('RQ2'!$A$2:$A$455,$A98,'RQ2'!$E$2:$E$455,"")&gt;0,"",INDEX('RQ2'!$E$2:$E$455,MATCH($A98,'RQ2'!$A$2:$A$455,0)))=""),"2 - RQ2 historical","3 - Verify recorded evidence"))</f>
        <v/>
      </c>
      <c r="D98" s="4">
        <f>IF(OR(IF(COUNTIFS('RQ2'!$A$2:$A$455,$A98,'RQ2'!$D$2:$D$455,"")&gt;0,"",INDEX('RQ2'!$D$2:$D$455,MATCH($A98,'RQ2'!$A$2:$A$455,0)))="",IF(COUNTIFS('RQ2'!$A$2:$A$455,$A98,'RQ2'!$E$2:$E$455,"")&gt;0,"",INDEX('RQ2'!$E$2:$E$455,MATCH($A98,'RQ2'!$A$2:$A$455,0)))=""),"PENDIENTE","REGISTRADA")</f>
        <v/>
      </c>
      <c r="E98" s="4">
        <f>IF(IF(COUNTIFS('RQ1'!$A$2:$A$455,$A98,'RQ1'!$N$2:$N$455,"")&gt;0,"",INDEX('RQ1'!$N$2:$N$455,MATCH($A98,'RQ1'!$A$2:$A$455,0)))=1,"REVISAR DETALLE","REGISTRADA")</f>
        <v/>
      </c>
      <c r="F98" s="4">
        <f>IF(IF(COUNTIFS('RQ3'!$A$2:$A$455,$A98,'RQ3'!$P$2:$P$455,"")&gt;0,"",INDEX('RQ3'!$P$2:$P$455,MATCH($A98,'RQ3'!$A$2:$A$455,0)))="","NO REGISTRADO",IF(IF(COUNTIFS('RQ3'!$A$2:$A$455,$A98,'RQ3'!$P$2:$P$455,"")&gt;0,"",INDEX('RQ3'!$P$2:$P$455,MATCH($A98,'RQ3'!$A$2:$A$455,0)))=1,"MARCA ACTIVA","SIN MARCA"))</f>
        <v/>
      </c>
      <c r="G98" s="4">
        <f>IF(IF(COUNTIFS('ESTUDIOS'!$A$2:$A$455,$A98,'ESTUDIOS'!$N$2:$N$455,"")&gt;0,"",INDEX('ESTUDIOS'!$N$2:$N$455,MATCH($A98,'ESTUDIOS'!$A$2:$A$455,0)))="Verified","DOCUMENTADA","NO DOCUMENTADA")</f>
        <v/>
      </c>
      <c r="H98" s="4">
        <f>IF(D98="PENDIENTE","Leer evidencia ya extraída; registrar uso propuesto o evaluado, función, fuente y revisor en RQ2.","Comprobar evidencia y cautelas registradas; documentar verificación sin recodificar lo ya respaldado.")</f>
        <v/>
      </c>
      <c r="I98" s="4" t="inlineStr">
        <is>
          <t>https://doi.org/10.1155/2018/7186762</t>
        </is>
      </c>
    </row>
    <row r="99" ht="64" customHeight="1">
      <c r="A99" s="4" t="inlineStr">
        <is>
          <t>106</t>
        </is>
      </c>
      <c r="B99" s="4" t="inlineStr">
        <is>
          <t>Analysis of variant interactions in families with autism points to genes involved in the development of the central nervous system</t>
        </is>
      </c>
      <c r="C99" s="4">
        <f>IF(IF(COUNTIFS('ESTUDIOS'!$A$2:$A$455,$A99,'ESTUDIOS'!$I$2:$I$455,"")&gt;0,"",INDEX('ESTUDIOS'!$I$2:$I$455,MATCH($A99,'ESTUDIOS'!$A$2:$A$455,0)))=1,"1 - Integrity",IF(OR(IF(COUNTIFS('RQ2'!$A$2:$A$455,$A99,'RQ2'!$D$2:$D$455,"")&gt;0,"",INDEX('RQ2'!$D$2:$D$455,MATCH($A99,'RQ2'!$A$2:$A$455,0)))="",IF(COUNTIFS('RQ2'!$A$2:$A$455,$A99,'RQ2'!$E$2:$E$455,"")&gt;0,"",INDEX('RQ2'!$E$2:$E$455,MATCH($A99,'RQ2'!$A$2:$A$455,0)))=""),"2 - RQ2 historical","3 - Verify recorded evidence"))</f>
        <v/>
      </c>
      <c r="D99" s="4">
        <f>IF(OR(IF(COUNTIFS('RQ2'!$A$2:$A$455,$A99,'RQ2'!$D$2:$D$455,"")&gt;0,"",INDEX('RQ2'!$D$2:$D$455,MATCH($A99,'RQ2'!$A$2:$A$455,0)))="",IF(COUNTIFS('RQ2'!$A$2:$A$455,$A99,'RQ2'!$E$2:$E$455,"")&gt;0,"",INDEX('RQ2'!$E$2:$E$455,MATCH($A99,'RQ2'!$A$2:$A$455,0)))=""),"PENDIENTE","REGISTRADA")</f>
        <v/>
      </c>
      <c r="E99" s="4">
        <f>IF(IF(COUNTIFS('RQ1'!$A$2:$A$455,$A99,'RQ1'!$N$2:$N$455,"")&gt;0,"",INDEX('RQ1'!$N$2:$N$455,MATCH($A99,'RQ1'!$A$2:$A$455,0)))=1,"REVISAR DETALLE","REGISTRADA")</f>
        <v/>
      </c>
      <c r="F99" s="4">
        <f>IF(IF(COUNTIFS('RQ3'!$A$2:$A$455,$A99,'RQ3'!$P$2:$P$455,"")&gt;0,"",INDEX('RQ3'!$P$2:$P$455,MATCH($A99,'RQ3'!$A$2:$A$455,0)))="","NO REGISTRADO",IF(IF(COUNTIFS('RQ3'!$A$2:$A$455,$A99,'RQ3'!$P$2:$P$455,"")&gt;0,"",INDEX('RQ3'!$P$2:$P$455,MATCH($A99,'RQ3'!$A$2:$A$455,0)))=1,"MARCA ACTIVA","SIN MARCA"))</f>
        <v/>
      </c>
      <c r="G99" s="4">
        <f>IF(IF(COUNTIFS('ESTUDIOS'!$A$2:$A$455,$A99,'ESTUDIOS'!$N$2:$N$455,"")&gt;0,"",INDEX('ESTUDIOS'!$N$2:$N$455,MATCH($A99,'ESTUDIOS'!$A$2:$A$455,0)))="Verified","DOCUMENTADA","NO DOCUMENTADA")</f>
        <v/>
      </c>
      <c r="H99" s="4">
        <f>IF(D99="PENDIENTE","Leer evidencia ya extraída; registrar uso propuesto o evaluado, función, fuente y revisor en RQ2.","Comprobar evidencia y cautelas registradas; documentar verificación sin recodificar lo ya respaldado.")</f>
        <v/>
      </c>
      <c r="I99" s="4" t="inlineStr">
        <is>
          <t>https://doi.org/10.1371/journal.pone.0326022</t>
        </is>
      </c>
    </row>
    <row r="100" ht="64" customHeight="1">
      <c r="A100" s="4" t="inlineStr">
        <is>
          <t>107</t>
        </is>
      </c>
      <c r="B100" s="4" t="inlineStr">
        <is>
          <t>Detecting High-Functioning Autism in Adults Using Eye Tracking and Machine Learning</t>
        </is>
      </c>
      <c r="C100" s="4">
        <f>IF(IF(COUNTIFS('ESTUDIOS'!$A$2:$A$455,$A100,'ESTUDIOS'!$I$2:$I$455,"")&gt;0,"",INDEX('ESTUDIOS'!$I$2:$I$455,MATCH($A100,'ESTUDIOS'!$A$2:$A$455,0)))=1,"1 - Integrity",IF(OR(IF(COUNTIFS('RQ2'!$A$2:$A$455,$A100,'RQ2'!$D$2:$D$455,"")&gt;0,"",INDEX('RQ2'!$D$2:$D$455,MATCH($A100,'RQ2'!$A$2:$A$455,0)))="",IF(COUNTIFS('RQ2'!$A$2:$A$455,$A100,'RQ2'!$E$2:$E$455,"")&gt;0,"",INDEX('RQ2'!$E$2:$E$455,MATCH($A100,'RQ2'!$A$2:$A$455,0)))=""),"2 - RQ2 historical","3 - Verify recorded evidence"))</f>
        <v/>
      </c>
      <c r="D100" s="4">
        <f>IF(OR(IF(COUNTIFS('RQ2'!$A$2:$A$455,$A100,'RQ2'!$D$2:$D$455,"")&gt;0,"",INDEX('RQ2'!$D$2:$D$455,MATCH($A100,'RQ2'!$A$2:$A$455,0)))="",IF(COUNTIFS('RQ2'!$A$2:$A$455,$A100,'RQ2'!$E$2:$E$455,"")&gt;0,"",INDEX('RQ2'!$E$2:$E$455,MATCH($A100,'RQ2'!$A$2:$A$455,0)))=""),"PENDIENTE","REGISTRADA")</f>
        <v/>
      </c>
      <c r="E100" s="4">
        <f>IF(IF(COUNTIFS('RQ1'!$A$2:$A$455,$A100,'RQ1'!$N$2:$N$455,"")&gt;0,"",INDEX('RQ1'!$N$2:$N$455,MATCH($A100,'RQ1'!$A$2:$A$455,0)))=1,"REVISAR DETALLE","REGISTRADA")</f>
        <v/>
      </c>
      <c r="F100" s="4">
        <f>IF(IF(COUNTIFS('RQ3'!$A$2:$A$455,$A100,'RQ3'!$P$2:$P$455,"")&gt;0,"",INDEX('RQ3'!$P$2:$P$455,MATCH($A100,'RQ3'!$A$2:$A$455,0)))="","NO REGISTRADO",IF(IF(COUNTIFS('RQ3'!$A$2:$A$455,$A100,'RQ3'!$P$2:$P$455,"")&gt;0,"",INDEX('RQ3'!$P$2:$P$455,MATCH($A100,'RQ3'!$A$2:$A$455,0)))=1,"MARCA ACTIVA","SIN MARCA"))</f>
        <v/>
      </c>
      <c r="G100" s="4">
        <f>IF(IF(COUNTIFS('ESTUDIOS'!$A$2:$A$455,$A100,'ESTUDIOS'!$N$2:$N$455,"")&gt;0,"",INDEX('ESTUDIOS'!$N$2:$N$455,MATCH($A100,'ESTUDIOS'!$A$2:$A$455,0)))="Verified","DOCUMENTADA","NO DOCUMENTADA")</f>
        <v/>
      </c>
      <c r="H100" s="4">
        <f>IF(D100="PENDIENTE","Leer evidencia ya extraída; registrar uso propuesto o evaluado, función, fuente y revisor en RQ2.","Comprobar evidencia y cautelas registradas; documentar verificación sin recodificar lo ya respaldado.")</f>
        <v/>
      </c>
      <c r="I100" s="4" t="inlineStr">
        <is>
          <t>https://doi.org/10.1109/tnsre.2020.2991675</t>
        </is>
      </c>
    </row>
    <row r="101" ht="64" customHeight="1">
      <c r="A101" s="4" t="inlineStr">
        <is>
          <t>108</t>
        </is>
      </c>
      <c r="B101" s="4" t="inlineStr">
        <is>
          <t>Identification of neural connectivity signatures of autism using machine learning</t>
        </is>
      </c>
      <c r="C101" s="4">
        <f>IF(IF(COUNTIFS('ESTUDIOS'!$A$2:$A$455,$A101,'ESTUDIOS'!$I$2:$I$455,"")&gt;0,"",INDEX('ESTUDIOS'!$I$2:$I$455,MATCH($A101,'ESTUDIOS'!$A$2:$A$455,0)))=1,"1 - Integrity",IF(OR(IF(COUNTIFS('RQ2'!$A$2:$A$455,$A101,'RQ2'!$D$2:$D$455,"")&gt;0,"",INDEX('RQ2'!$D$2:$D$455,MATCH($A101,'RQ2'!$A$2:$A$455,0)))="",IF(COUNTIFS('RQ2'!$A$2:$A$455,$A101,'RQ2'!$E$2:$E$455,"")&gt;0,"",INDEX('RQ2'!$E$2:$E$455,MATCH($A101,'RQ2'!$A$2:$A$455,0)))=""),"2 - RQ2 historical","3 - Verify recorded evidence"))</f>
        <v/>
      </c>
      <c r="D101" s="4">
        <f>IF(OR(IF(COUNTIFS('RQ2'!$A$2:$A$455,$A101,'RQ2'!$D$2:$D$455,"")&gt;0,"",INDEX('RQ2'!$D$2:$D$455,MATCH($A101,'RQ2'!$A$2:$A$455,0)))="",IF(COUNTIFS('RQ2'!$A$2:$A$455,$A101,'RQ2'!$E$2:$E$455,"")&gt;0,"",INDEX('RQ2'!$E$2:$E$455,MATCH($A101,'RQ2'!$A$2:$A$455,0)))=""),"PENDIENTE","REGISTRADA")</f>
        <v/>
      </c>
      <c r="E101" s="4">
        <f>IF(IF(COUNTIFS('RQ1'!$A$2:$A$455,$A101,'RQ1'!$N$2:$N$455,"")&gt;0,"",INDEX('RQ1'!$N$2:$N$455,MATCH($A101,'RQ1'!$A$2:$A$455,0)))=1,"REVISAR DETALLE","REGISTRADA")</f>
        <v/>
      </c>
      <c r="F101" s="4">
        <f>IF(IF(COUNTIFS('RQ3'!$A$2:$A$455,$A101,'RQ3'!$P$2:$P$455,"")&gt;0,"",INDEX('RQ3'!$P$2:$P$455,MATCH($A101,'RQ3'!$A$2:$A$455,0)))="","NO REGISTRADO",IF(IF(COUNTIFS('RQ3'!$A$2:$A$455,$A101,'RQ3'!$P$2:$P$455,"")&gt;0,"",INDEX('RQ3'!$P$2:$P$455,MATCH($A101,'RQ3'!$A$2:$A$455,0)))=1,"MARCA ACTIVA","SIN MARCA"))</f>
        <v/>
      </c>
      <c r="G101" s="4">
        <f>IF(IF(COUNTIFS('ESTUDIOS'!$A$2:$A$455,$A101,'ESTUDIOS'!$N$2:$N$455,"")&gt;0,"",INDEX('ESTUDIOS'!$N$2:$N$455,MATCH($A101,'ESTUDIOS'!$A$2:$A$455,0)))="Verified","DOCUMENTADA","NO DOCUMENTADA")</f>
        <v/>
      </c>
      <c r="H101" s="4">
        <f>IF(D101="PENDIENTE","Leer evidencia ya extraída; registrar uso propuesto o evaluado, función, fuente y revisor en RQ2.","Comprobar evidencia y cautelas registradas; documentar verificación sin recodificar lo ya respaldado.")</f>
        <v/>
      </c>
      <c r="I101" s="4" t="inlineStr">
        <is>
          <t>https://doi.org/10.3389/fnhum.2013.00670/full</t>
        </is>
      </c>
    </row>
    <row r="102" ht="64" customHeight="1">
      <c r="A102" s="4" t="inlineStr">
        <is>
          <t>109</t>
        </is>
      </c>
      <c r="B102" s="4" t="inlineStr">
        <is>
          <t>Identifying autism from neural representations of social interactions: Neurocognitive markers of autism</t>
        </is>
      </c>
      <c r="C102" s="4">
        <f>IF(IF(COUNTIFS('ESTUDIOS'!$A$2:$A$455,$A102,'ESTUDIOS'!$I$2:$I$455,"")&gt;0,"",INDEX('ESTUDIOS'!$I$2:$I$455,MATCH($A102,'ESTUDIOS'!$A$2:$A$455,0)))=1,"1 - Integrity",IF(OR(IF(COUNTIFS('RQ2'!$A$2:$A$455,$A102,'RQ2'!$D$2:$D$455,"")&gt;0,"",INDEX('RQ2'!$D$2:$D$455,MATCH($A102,'RQ2'!$A$2:$A$455,0)))="",IF(COUNTIFS('RQ2'!$A$2:$A$455,$A102,'RQ2'!$E$2:$E$455,"")&gt;0,"",INDEX('RQ2'!$E$2:$E$455,MATCH($A102,'RQ2'!$A$2:$A$455,0)))=""),"2 - RQ2 historical","3 - Verify recorded evidence"))</f>
        <v/>
      </c>
      <c r="D102" s="4">
        <f>IF(OR(IF(COUNTIFS('RQ2'!$A$2:$A$455,$A102,'RQ2'!$D$2:$D$455,"")&gt;0,"",INDEX('RQ2'!$D$2:$D$455,MATCH($A102,'RQ2'!$A$2:$A$455,0)))="",IF(COUNTIFS('RQ2'!$A$2:$A$455,$A102,'RQ2'!$E$2:$E$455,"")&gt;0,"",INDEX('RQ2'!$E$2:$E$455,MATCH($A102,'RQ2'!$A$2:$A$455,0)))=""),"PENDIENTE","REGISTRADA")</f>
        <v/>
      </c>
      <c r="E102" s="4">
        <f>IF(IF(COUNTIFS('RQ1'!$A$2:$A$455,$A102,'RQ1'!$N$2:$N$455,"")&gt;0,"",INDEX('RQ1'!$N$2:$N$455,MATCH($A102,'RQ1'!$A$2:$A$455,0)))=1,"REVISAR DETALLE","REGISTRADA")</f>
        <v/>
      </c>
      <c r="F102" s="4">
        <f>IF(IF(COUNTIFS('RQ3'!$A$2:$A$455,$A102,'RQ3'!$P$2:$P$455,"")&gt;0,"",INDEX('RQ3'!$P$2:$P$455,MATCH($A102,'RQ3'!$A$2:$A$455,0)))="","NO REGISTRADO",IF(IF(COUNTIFS('RQ3'!$A$2:$A$455,$A102,'RQ3'!$P$2:$P$455,"")&gt;0,"",INDEX('RQ3'!$P$2:$P$455,MATCH($A102,'RQ3'!$A$2:$A$455,0)))=1,"MARCA ACTIVA","SIN MARCA"))</f>
        <v/>
      </c>
      <c r="G102" s="4">
        <f>IF(IF(COUNTIFS('ESTUDIOS'!$A$2:$A$455,$A102,'ESTUDIOS'!$N$2:$N$455,"")&gt;0,"",INDEX('ESTUDIOS'!$N$2:$N$455,MATCH($A102,'ESTUDIOS'!$A$2:$A$455,0)))="Verified","DOCUMENTADA","NO DOCUMENTADA")</f>
        <v/>
      </c>
      <c r="H102" s="4">
        <f>IF(D102="PENDIENTE","Leer evidencia ya extraída; registrar uso propuesto o evaluado, función, fuente y revisor en RQ2.","Comprobar evidencia y cautelas registradas; documentar verificación sin recodificar lo ya respaldado.")</f>
        <v/>
      </c>
      <c r="I102" s="4" t="inlineStr">
        <is>
          <t>https://doi.org/10.1371/journal.pone.0113879</t>
        </is>
      </c>
    </row>
    <row r="103" ht="64" customHeight="1">
      <c r="A103" s="4" t="inlineStr">
        <is>
          <t>110</t>
        </is>
      </c>
      <c r="B103" s="4" t="inlineStr">
        <is>
          <t>Identifying Language and Cognitive Profiles in Children With ASD via a Cluster Analysis Exploration: Implications for the New ICD-11</t>
        </is>
      </c>
      <c r="C103" s="4">
        <f>IF(IF(COUNTIFS('ESTUDIOS'!$A$2:$A$455,$A103,'ESTUDIOS'!$I$2:$I$455,"")&gt;0,"",INDEX('ESTUDIOS'!$I$2:$I$455,MATCH($A103,'ESTUDIOS'!$A$2:$A$455,0)))=1,"1 - Integrity",IF(OR(IF(COUNTIFS('RQ2'!$A$2:$A$455,$A103,'RQ2'!$D$2:$D$455,"")&gt;0,"",INDEX('RQ2'!$D$2:$D$455,MATCH($A103,'RQ2'!$A$2:$A$455,0)))="",IF(COUNTIFS('RQ2'!$A$2:$A$455,$A103,'RQ2'!$E$2:$E$455,"")&gt;0,"",INDEX('RQ2'!$E$2:$E$455,MATCH($A103,'RQ2'!$A$2:$A$455,0)))=""),"2 - RQ2 historical","3 - Verify recorded evidence"))</f>
        <v/>
      </c>
      <c r="D103" s="4">
        <f>IF(OR(IF(COUNTIFS('RQ2'!$A$2:$A$455,$A103,'RQ2'!$D$2:$D$455,"")&gt;0,"",INDEX('RQ2'!$D$2:$D$455,MATCH($A103,'RQ2'!$A$2:$A$455,0)))="",IF(COUNTIFS('RQ2'!$A$2:$A$455,$A103,'RQ2'!$E$2:$E$455,"")&gt;0,"",INDEX('RQ2'!$E$2:$E$455,MATCH($A103,'RQ2'!$A$2:$A$455,0)))=""),"PENDIENTE","REGISTRADA")</f>
        <v/>
      </c>
      <c r="E103" s="4">
        <f>IF(IF(COUNTIFS('RQ1'!$A$2:$A$455,$A103,'RQ1'!$N$2:$N$455,"")&gt;0,"",INDEX('RQ1'!$N$2:$N$455,MATCH($A103,'RQ1'!$A$2:$A$455,0)))=1,"REVISAR DETALLE","REGISTRADA")</f>
        <v/>
      </c>
      <c r="F103" s="4">
        <f>IF(IF(COUNTIFS('RQ3'!$A$2:$A$455,$A103,'RQ3'!$P$2:$P$455,"")&gt;0,"",INDEX('RQ3'!$P$2:$P$455,MATCH($A103,'RQ3'!$A$2:$A$455,0)))="","NO REGISTRADO",IF(IF(COUNTIFS('RQ3'!$A$2:$A$455,$A103,'RQ3'!$P$2:$P$455,"")&gt;0,"",INDEX('RQ3'!$P$2:$P$455,MATCH($A103,'RQ3'!$A$2:$A$455,0)))=1,"MARCA ACTIVA","SIN MARCA"))</f>
        <v/>
      </c>
      <c r="G103" s="4">
        <f>IF(IF(COUNTIFS('ESTUDIOS'!$A$2:$A$455,$A103,'ESTUDIOS'!$N$2:$N$455,"")&gt;0,"",INDEX('ESTUDIOS'!$N$2:$N$455,MATCH($A103,'ESTUDIOS'!$A$2:$A$455,0)))="Verified","DOCUMENTADA","NO DOCUMENTADA")</f>
        <v/>
      </c>
      <c r="H103" s="4">
        <f>IF(D103="PENDIENTE","Leer evidencia ya extraída; registrar uso propuesto o evaluado, función, fuente y revisor en RQ2.","Comprobar evidencia y cautelas registradas; documentar verificación sin recodificar lo ya respaldado.")</f>
        <v/>
      </c>
      <c r="I103" s="4" t="inlineStr">
        <is>
          <t>https://doi.org/10.1002/aur.2268</t>
        </is>
      </c>
    </row>
    <row r="104" ht="64" customHeight="1">
      <c r="A104" s="4" t="inlineStr">
        <is>
          <t>111</t>
        </is>
      </c>
      <c r="B104" s="4" t="inlineStr">
        <is>
          <t>On the Utility of Parents' Historical Data to Investigate the Causes of Autism Spectrum Disorder: A Data Mining-Based Framework</t>
        </is>
      </c>
      <c r="C104" s="4">
        <f>IF(IF(COUNTIFS('ESTUDIOS'!$A$2:$A$455,$A104,'ESTUDIOS'!$I$2:$I$455,"")&gt;0,"",INDEX('ESTUDIOS'!$I$2:$I$455,MATCH($A104,'ESTUDIOS'!$A$2:$A$455,0)))=1,"1 - Integrity",IF(OR(IF(COUNTIFS('RQ2'!$A$2:$A$455,$A104,'RQ2'!$D$2:$D$455,"")&gt;0,"",INDEX('RQ2'!$D$2:$D$455,MATCH($A104,'RQ2'!$A$2:$A$455,0)))="",IF(COUNTIFS('RQ2'!$A$2:$A$455,$A104,'RQ2'!$E$2:$E$455,"")&gt;0,"",INDEX('RQ2'!$E$2:$E$455,MATCH($A104,'RQ2'!$A$2:$A$455,0)))=""),"2 - RQ2 historical","3 - Verify recorded evidence"))</f>
        <v/>
      </c>
      <c r="D104" s="4">
        <f>IF(OR(IF(COUNTIFS('RQ2'!$A$2:$A$455,$A104,'RQ2'!$D$2:$D$455,"")&gt;0,"",INDEX('RQ2'!$D$2:$D$455,MATCH($A104,'RQ2'!$A$2:$A$455,0)))="",IF(COUNTIFS('RQ2'!$A$2:$A$455,$A104,'RQ2'!$E$2:$E$455,"")&gt;0,"",INDEX('RQ2'!$E$2:$E$455,MATCH($A104,'RQ2'!$A$2:$A$455,0)))=""),"PENDIENTE","REGISTRADA")</f>
        <v/>
      </c>
      <c r="E104" s="4">
        <f>IF(IF(COUNTIFS('RQ1'!$A$2:$A$455,$A104,'RQ1'!$N$2:$N$455,"")&gt;0,"",INDEX('RQ1'!$N$2:$N$455,MATCH($A104,'RQ1'!$A$2:$A$455,0)))=1,"REVISAR DETALLE","REGISTRADA")</f>
        <v/>
      </c>
      <c r="F104" s="4">
        <f>IF(IF(COUNTIFS('RQ3'!$A$2:$A$455,$A104,'RQ3'!$P$2:$P$455,"")&gt;0,"",INDEX('RQ3'!$P$2:$P$455,MATCH($A104,'RQ3'!$A$2:$A$455,0)))="","NO REGISTRADO",IF(IF(COUNTIFS('RQ3'!$A$2:$A$455,$A104,'RQ3'!$P$2:$P$455,"")&gt;0,"",INDEX('RQ3'!$P$2:$P$455,MATCH($A104,'RQ3'!$A$2:$A$455,0)))=1,"MARCA ACTIVA","SIN MARCA"))</f>
        <v/>
      </c>
      <c r="G104" s="4">
        <f>IF(IF(COUNTIFS('ESTUDIOS'!$A$2:$A$455,$A104,'ESTUDIOS'!$N$2:$N$455,"")&gt;0,"",INDEX('ESTUDIOS'!$N$2:$N$455,MATCH($A104,'ESTUDIOS'!$A$2:$A$455,0)))="Verified","DOCUMENTADA","NO DOCUMENTADA")</f>
        <v/>
      </c>
      <c r="H104" s="4">
        <f>IF(D104="PENDIENTE","Leer evidencia ya extraída; registrar uso propuesto o evaluado, función, fuente y revisor en RQ2.","Comprobar evidencia y cautelas registradas; documentar verificación sin recodificar lo ya respaldado.")</f>
        <v/>
      </c>
      <c r="I104" s="4" t="inlineStr">
        <is>
          <t>https://doi.org/10.1016/j.irbm.2023.100780</t>
        </is>
      </c>
    </row>
    <row r="105" ht="64" customHeight="1">
      <c r="A105" s="4" t="inlineStr">
        <is>
          <t>112</t>
        </is>
      </c>
      <c r="B105" s="4" t="inlineStr">
        <is>
          <t>Structural variants identified using non-Mendelian inheritance patterns advance the mechanistic understanding of autism spectrum disorder</t>
        </is>
      </c>
      <c r="C105" s="4">
        <f>IF(IF(COUNTIFS('ESTUDIOS'!$A$2:$A$455,$A105,'ESTUDIOS'!$I$2:$I$455,"")&gt;0,"",INDEX('ESTUDIOS'!$I$2:$I$455,MATCH($A105,'ESTUDIOS'!$A$2:$A$455,0)))=1,"1 - Integrity",IF(OR(IF(COUNTIFS('RQ2'!$A$2:$A$455,$A105,'RQ2'!$D$2:$D$455,"")&gt;0,"",INDEX('RQ2'!$D$2:$D$455,MATCH($A105,'RQ2'!$A$2:$A$455,0)))="",IF(COUNTIFS('RQ2'!$A$2:$A$455,$A105,'RQ2'!$E$2:$E$455,"")&gt;0,"",INDEX('RQ2'!$E$2:$E$455,MATCH($A105,'RQ2'!$A$2:$A$455,0)))=""),"2 - RQ2 historical","3 - Verify recorded evidence"))</f>
        <v/>
      </c>
      <c r="D105" s="4">
        <f>IF(OR(IF(COUNTIFS('RQ2'!$A$2:$A$455,$A105,'RQ2'!$D$2:$D$455,"")&gt;0,"",INDEX('RQ2'!$D$2:$D$455,MATCH($A105,'RQ2'!$A$2:$A$455,0)))="",IF(COUNTIFS('RQ2'!$A$2:$A$455,$A105,'RQ2'!$E$2:$E$455,"")&gt;0,"",INDEX('RQ2'!$E$2:$E$455,MATCH($A105,'RQ2'!$A$2:$A$455,0)))=""),"PENDIENTE","REGISTRADA")</f>
        <v/>
      </c>
      <c r="E105" s="4">
        <f>IF(IF(COUNTIFS('RQ1'!$A$2:$A$455,$A105,'RQ1'!$N$2:$N$455,"")&gt;0,"",INDEX('RQ1'!$N$2:$N$455,MATCH($A105,'RQ1'!$A$2:$A$455,0)))=1,"REVISAR DETALLE","REGISTRADA")</f>
        <v/>
      </c>
      <c r="F105" s="4">
        <f>IF(IF(COUNTIFS('RQ3'!$A$2:$A$455,$A105,'RQ3'!$P$2:$P$455,"")&gt;0,"",INDEX('RQ3'!$P$2:$P$455,MATCH($A105,'RQ3'!$A$2:$A$455,0)))="","NO REGISTRADO",IF(IF(COUNTIFS('RQ3'!$A$2:$A$455,$A105,'RQ3'!$P$2:$P$455,"")&gt;0,"",INDEX('RQ3'!$P$2:$P$455,MATCH($A105,'RQ3'!$A$2:$A$455,0)))=1,"MARCA ACTIVA","SIN MARCA"))</f>
        <v/>
      </c>
      <c r="G105" s="4">
        <f>IF(IF(COUNTIFS('ESTUDIOS'!$A$2:$A$455,$A105,'ESTUDIOS'!$N$2:$N$455,"")&gt;0,"",INDEX('ESTUDIOS'!$N$2:$N$455,MATCH($A105,'ESTUDIOS'!$A$2:$A$455,0)))="Verified","DOCUMENTADA","NO DOCUMENTADA")</f>
        <v/>
      </c>
      <c r="H105" s="4">
        <f>IF(D105="PENDIENTE","Leer evidencia ya extraída; registrar uso propuesto o evaluado, función, fuente y revisor en RQ2.","Comprobar evidencia y cautelas registradas; documentar verificación sin recodificar lo ya respaldado.")</f>
        <v/>
      </c>
      <c r="I105" s="4" t="inlineStr">
        <is>
          <t>https://doi.org/10.1016/j.xhgg.2022.100150</t>
        </is>
      </c>
    </row>
    <row r="106" ht="64" customHeight="1">
      <c r="A106" s="4" t="inlineStr">
        <is>
          <t>113</t>
        </is>
      </c>
      <c r="B106" s="4" t="inlineStr">
        <is>
          <t>Transient hearing abnormalities precede social deficits in a mouse model of autism</t>
        </is>
      </c>
      <c r="C106" s="4">
        <f>IF(IF(COUNTIFS('ESTUDIOS'!$A$2:$A$455,$A106,'ESTUDIOS'!$I$2:$I$455,"")&gt;0,"",INDEX('ESTUDIOS'!$I$2:$I$455,MATCH($A106,'ESTUDIOS'!$A$2:$A$455,0)))=1,"1 - Integrity",IF(OR(IF(COUNTIFS('RQ2'!$A$2:$A$455,$A106,'RQ2'!$D$2:$D$455,"")&gt;0,"",INDEX('RQ2'!$D$2:$D$455,MATCH($A106,'RQ2'!$A$2:$A$455,0)))="",IF(COUNTIFS('RQ2'!$A$2:$A$455,$A106,'RQ2'!$E$2:$E$455,"")&gt;0,"",INDEX('RQ2'!$E$2:$E$455,MATCH($A106,'RQ2'!$A$2:$A$455,0)))=""),"2 - RQ2 historical","3 - Verify recorded evidence"))</f>
        <v/>
      </c>
      <c r="D106" s="4">
        <f>IF(OR(IF(COUNTIFS('RQ2'!$A$2:$A$455,$A106,'RQ2'!$D$2:$D$455,"")&gt;0,"",INDEX('RQ2'!$D$2:$D$455,MATCH($A106,'RQ2'!$A$2:$A$455,0)))="",IF(COUNTIFS('RQ2'!$A$2:$A$455,$A106,'RQ2'!$E$2:$E$455,"")&gt;0,"",INDEX('RQ2'!$E$2:$E$455,MATCH($A106,'RQ2'!$A$2:$A$455,0)))=""),"PENDIENTE","REGISTRADA")</f>
        <v/>
      </c>
      <c r="E106" s="4">
        <f>IF(IF(COUNTIFS('RQ1'!$A$2:$A$455,$A106,'RQ1'!$N$2:$N$455,"")&gt;0,"",INDEX('RQ1'!$N$2:$N$455,MATCH($A106,'RQ1'!$A$2:$A$455,0)))=1,"REVISAR DETALLE","REGISTRADA")</f>
        <v/>
      </c>
      <c r="F106" s="4">
        <f>IF(IF(COUNTIFS('RQ3'!$A$2:$A$455,$A106,'RQ3'!$P$2:$P$455,"")&gt;0,"",INDEX('RQ3'!$P$2:$P$455,MATCH($A106,'RQ3'!$A$2:$A$455,0)))="","NO REGISTRADO",IF(IF(COUNTIFS('RQ3'!$A$2:$A$455,$A106,'RQ3'!$P$2:$P$455,"")&gt;0,"",INDEX('RQ3'!$P$2:$P$455,MATCH($A106,'RQ3'!$A$2:$A$455,0)))=1,"MARCA ACTIVA","SIN MARCA"))</f>
        <v/>
      </c>
      <c r="G106" s="4">
        <f>IF(IF(COUNTIFS('ESTUDIOS'!$A$2:$A$455,$A106,'ESTUDIOS'!$N$2:$N$455,"")&gt;0,"",INDEX('ESTUDIOS'!$N$2:$N$455,MATCH($A106,'ESTUDIOS'!$A$2:$A$455,0)))="Verified","DOCUMENTADA","NO DOCUMENTADA")</f>
        <v/>
      </c>
      <c r="H106" s="4">
        <f>IF(D106="PENDIENTE","Leer evidencia ya extraída; registrar uso propuesto o evaluado, función, fuente y revisor en RQ2.","Comprobar evidencia y cautelas registradas; documentar verificación sin recodificar lo ya respaldado.")</f>
        <v/>
      </c>
      <c r="I106" s="4" t="inlineStr">
        <is>
          <t>https://doi.org/10.1016/j.bbr.2022.114149</t>
        </is>
      </c>
    </row>
    <row r="107" ht="64" customHeight="1">
      <c r="A107" s="4" t="inlineStr">
        <is>
          <t>114</t>
        </is>
      </c>
      <c r="B107" s="4" t="inlineStr">
        <is>
          <t>Early-stage identification of autism in children using gesture monitoring based on artificial intelligence</t>
        </is>
      </c>
      <c r="C107" s="4">
        <f>IF(IF(COUNTIFS('ESTUDIOS'!$A$2:$A$455,$A107,'ESTUDIOS'!$I$2:$I$455,"")&gt;0,"",INDEX('ESTUDIOS'!$I$2:$I$455,MATCH($A107,'ESTUDIOS'!$A$2:$A$455,0)))=1,"1 - Integrity",IF(OR(IF(COUNTIFS('RQ2'!$A$2:$A$455,$A107,'RQ2'!$D$2:$D$455,"")&gt;0,"",INDEX('RQ2'!$D$2:$D$455,MATCH($A107,'RQ2'!$A$2:$A$455,0)))="",IF(COUNTIFS('RQ2'!$A$2:$A$455,$A107,'RQ2'!$E$2:$E$455,"")&gt;0,"",INDEX('RQ2'!$E$2:$E$455,MATCH($A107,'RQ2'!$A$2:$A$455,0)))=""),"2 - RQ2 historical","3 - Verify recorded evidence"))</f>
        <v/>
      </c>
      <c r="D107" s="4">
        <f>IF(OR(IF(COUNTIFS('RQ2'!$A$2:$A$455,$A107,'RQ2'!$D$2:$D$455,"")&gt;0,"",INDEX('RQ2'!$D$2:$D$455,MATCH($A107,'RQ2'!$A$2:$A$455,0)))="",IF(COUNTIFS('RQ2'!$A$2:$A$455,$A107,'RQ2'!$E$2:$E$455,"")&gt;0,"",INDEX('RQ2'!$E$2:$E$455,MATCH($A107,'RQ2'!$A$2:$A$455,0)))=""),"PENDIENTE","REGISTRADA")</f>
        <v/>
      </c>
      <c r="E107" s="4">
        <f>IF(IF(COUNTIFS('RQ1'!$A$2:$A$455,$A107,'RQ1'!$N$2:$N$455,"")&gt;0,"",INDEX('RQ1'!$N$2:$N$455,MATCH($A107,'RQ1'!$A$2:$A$455,0)))=1,"REVISAR DETALLE","REGISTRADA")</f>
        <v/>
      </c>
      <c r="F107" s="4">
        <f>IF(IF(COUNTIFS('RQ3'!$A$2:$A$455,$A107,'RQ3'!$P$2:$P$455,"")&gt;0,"",INDEX('RQ3'!$P$2:$P$455,MATCH($A107,'RQ3'!$A$2:$A$455,0)))="","NO REGISTRADO",IF(IF(COUNTIFS('RQ3'!$A$2:$A$455,$A107,'RQ3'!$P$2:$P$455,"")&gt;0,"",INDEX('RQ3'!$P$2:$P$455,MATCH($A107,'RQ3'!$A$2:$A$455,0)))=1,"MARCA ACTIVA","SIN MARCA"))</f>
        <v/>
      </c>
      <c r="G107" s="4">
        <f>IF(IF(COUNTIFS('ESTUDIOS'!$A$2:$A$455,$A107,'ESTUDIOS'!$N$2:$N$455,"")&gt;0,"",INDEX('ESTUDIOS'!$N$2:$N$455,MATCH($A107,'ESTUDIOS'!$A$2:$A$455,0)))="Verified","DOCUMENTADA","NO DOCUMENTADA")</f>
        <v/>
      </c>
      <c r="H107" s="4">
        <f>IF(D107="PENDIENTE","Leer evidencia ya extraída; registrar uso propuesto o evaluado, función, fuente y revisor en RQ2.","Comprobar evidencia y cautelas registradas; documentar verificación sin recodificar lo ya respaldado.")</f>
        <v/>
      </c>
      <c r="I107" s="4" t="inlineStr">
        <is>
          <t>https://doi.org/10.1016/b978-0-443-19073-5.00018-5</t>
        </is>
      </c>
    </row>
    <row r="108" ht="64" customHeight="1">
      <c r="A108" s="4" t="inlineStr">
        <is>
          <t>115</t>
        </is>
      </c>
      <c r="B108" s="4" t="inlineStr">
        <is>
          <t>Electromagnetic Interaction Algorithm (EIA)-Based Feature Selection With Adaptive Kernel Attention Network (AKAttNet) for Autism Spectrum Disorder Classification</t>
        </is>
      </c>
      <c r="C108" s="4">
        <f>IF(IF(COUNTIFS('ESTUDIOS'!$A$2:$A$455,$A108,'ESTUDIOS'!$I$2:$I$455,"")&gt;0,"",INDEX('ESTUDIOS'!$I$2:$I$455,MATCH($A108,'ESTUDIOS'!$A$2:$A$455,0)))=1,"1 - Integrity",IF(OR(IF(COUNTIFS('RQ2'!$A$2:$A$455,$A108,'RQ2'!$D$2:$D$455,"")&gt;0,"",INDEX('RQ2'!$D$2:$D$455,MATCH($A108,'RQ2'!$A$2:$A$455,0)))="",IF(COUNTIFS('RQ2'!$A$2:$A$455,$A108,'RQ2'!$E$2:$E$455,"")&gt;0,"",INDEX('RQ2'!$E$2:$E$455,MATCH($A108,'RQ2'!$A$2:$A$455,0)))=""),"2 - RQ2 historical","3 - Verify recorded evidence"))</f>
        <v/>
      </c>
      <c r="D108" s="4">
        <f>IF(OR(IF(COUNTIFS('RQ2'!$A$2:$A$455,$A108,'RQ2'!$D$2:$D$455,"")&gt;0,"",INDEX('RQ2'!$D$2:$D$455,MATCH($A108,'RQ2'!$A$2:$A$455,0)))="",IF(COUNTIFS('RQ2'!$A$2:$A$455,$A108,'RQ2'!$E$2:$E$455,"")&gt;0,"",INDEX('RQ2'!$E$2:$E$455,MATCH($A108,'RQ2'!$A$2:$A$455,0)))=""),"PENDIENTE","REGISTRADA")</f>
        <v/>
      </c>
      <c r="E108" s="4">
        <f>IF(IF(COUNTIFS('RQ1'!$A$2:$A$455,$A108,'RQ1'!$N$2:$N$455,"")&gt;0,"",INDEX('RQ1'!$N$2:$N$455,MATCH($A108,'RQ1'!$A$2:$A$455,0)))=1,"REVISAR DETALLE","REGISTRADA")</f>
        <v/>
      </c>
      <c r="F108" s="4">
        <f>IF(IF(COUNTIFS('RQ3'!$A$2:$A$455,$A108,'RQ3'!$P$2:$P$455,"")&gt;0,"",INDEX('RQ3'!$P$2:$P$455,MATCH($A108,'RQ3'!$A$2:$A$455,0)))="","NO REGISTRADO",IF(IF(COUNTIFS('RQ3'!$A$2:$A$455,$A108,'RQ3'!$P$2:$P$455,"")&gt;0,"",INDEX('RQ3'!$P$2:$P$455,MATCH($A108,'RQ3'!$A$2:$A$455,0)))=1,"MARCA ACTIVA","SIN MARCA"))</f>
        <v/>
      </c>
      <c r="G108" s="4">
        <f>IF(IF(COUNTIFS('ESTUDIOS'!$A$2:$A$455,$A108,'ESTUDIOS'!$N$2:$N$455,"")&gt;0,"",INDEX('ESTUDIOS'!$N$2:$N$455,MATCH($A108,'ESTUDIOS'!$A$2:$A$455,0)))="Verified","DOCUMENTADA","NO DOCUMENTADA")</f>
        <v/>
      </c>
      <c r="H108" s="4">
        <f>IF(D108="PENDIENTE","Leer evidencia ya extraída; registrar uso propuesto o evaluado, función, fuente y revisor en RQ2.","Comprobar evidencia y cautelas registradas; documentar verificación sin recodificar lo ya respaldado.")</f>
        <v/>
      </c>
      <c r="I108" s="4" t="inlineStr">
        <is>
          <t>https://doi.org/10.1002/jdn.70034</t>
        </is>
      </c>
    </row>
    <row r="109" ht="64" customHeight="1">
      <c r="A109" s="4" t="inlineStr">
        <is>
          <t>116</t>
        </is>
      </c>
      <c r="B109" s="4" t="inlineStr">
        <is>
          <t>Use of machine learning for behavioral distinction of autism and ADHD</t>
        </is>
      </c>
      <c r="C109" s="4">
        <f>IF(IF(COUNTIFS('ESTUDIOS'!$A$2:$A$455,$A109,'ESTUDIOS'!$I$2:$I$455,"")&gt;0,"",INDEX('ESTUDIOS'!$I$2:$I$455,MATCH($A109,'ESTUDIOS'!$A$2:$A$455,0)))=1,"1 - Integrity",IF(OR(IF(COUNTIFS('RQ2'!$A$2:$A$455,$A109,'RQ2'!$D$2:$D$455,"")&gt;0,"",INDEX('RQ2'!$D$2:$D$455,MATCH($A109,'RQ2'!$A$2:$A$455,0)))="",IF(COUNTIFS('RQ2'!$A$2:$A$455,$A109,'RQ2'!$E$2:$E$455,"")&gt;0,"",INDEX('RQ2'!$E$2:$E$455,MATCH($A109,'RQ2'!$A$2:$A$455,0)))=""),"2 - RQ2 historical","3 - Verify recorded evidence"))</f>
        <v/>
      </c>
      <c r="D109" s="4">
        <f>IF(OR(IF(COUNTIFS('RQ2'!$A$2:$A$455,$A109,'RQ2'!$D$2:$D$455,"")&gt;0,"",INDEX('RQ2'!$D$2:$D$455,MATCH($A109,'RQ2'!$A$2:$A$455,0)))="",IF(COUNTIFS('RQ2'!$A$2:$A$455,$A109,'RQ2'!$E$2:$E$455,"")&gt;0,"",INDEX('RQ2'!$E$2:$E$455,MATCH($A109,'RQ2'!$A$2:$A$455,0)))=""),"PENDIENTE","REGISTRADA")</f>
        <v/>
      </c>
      <c r="E109" s="4">
        <f>IF(IF(COUNTIFS('RQ1'!$A$2:$A$455,$A109,'RQ1'!$N$2:$N$455,"")&gt;0,"",INDEX('RQ1'!$N$2:$N$455,MATCH($A109,'RQ1'!$A$2:$A$455,0)))=1,"REVISAR DETALLE","REGISTRADA")</f>
        <v/>
      </c>
      <c r="F109" s="4">
        <f>IF(IF(COUNTIFS('RQ3'!$A$2:$A$455,$A109,'RQ3'!$P$2:$P$455,"")&gt;0,"",INDEX('RQ3'!$P$2:$P$455,MATCH($A109,'RQ3'!$A$2:$A$455,0)))="","NO REGISTRADO",IF(IF(COUNTIFS('RQ3'!$A$2:$A$455,$A109,'RQ3'!$P$2:$P$455,"")&gt;0,"",INDEX('RQ3'!$P$2:$P$455,MATCH($A109,'RQ3'!$A$2:$A$455,0)))=1,"MARCA ACTIVA","SIN MARCA"))</f>
        <v/>
      </c>
      <c r="G109" s="4">
        <f>IF(IF(COUNTIFS('ESTUDIOS'!$A$2:$A$455,$A109,'ESTUDIOS'!$N$2:$N$455,"")&gt;0,"",INDEX('ESTUDIOS'!$N$2:$N$455,MATCH($A109,'ESTUDIOS'!$A$2:$A$455,0)))="Verified","DOCUMENTADA","NO DOCUMENTADA")</f>
        <v/>
      </c>
      <c r="H109" s="4">
        <f>IF(D109="PENDIENTE","Leer evidencia ya extraída; registrar uso propuesto o evaluado, función, fuente y revisor en RQ2.","Comprobar evidencia y cautelas registradas; documentar verificación sin recodificar lo ya respaldado.")</f>
        <v/>
      </c>
      <c r="I109" s="4" t="inlineStr">
        <is>
          <t>https://doi.org/10.1038/tp.2015.221</t>
        </is>
      </c>
    </row>
    <row r="110" ht="64" customHeight="1">
      <c r="A110" s="4" t="inlineStr">
        <is>
          <t>117</t>
        </is>
      </c>
      <c r="B110" s="4" t="inlineStr">
        <is>
          <t>A Machine Learning Strategy for Autism Screening in Toddlers</t>
        </is>
      </c>
      <c r="C110" s="4">
        <f>IF(IF(COUNTIFS('ESTUDIOS'!$A$2:$A$455,$A110,'ESTUDIOS'!$I$2:$I$455,"")&gt;0,"",INDEX('ESTUDIOS'!$I$2:$I$455,MATCH($A110,'ESTUDIOS'!$A$2:$A$455,0)))=1,"1 - Integrity",IF(OR(IF(COUNTIFS('RQ2'!$A$2:$A$455,$A110,'RQ2'!$D$2:$D$455,"")&gt;0,"",INDEX('RQ2'!$D$2:$D$455,MATCH($A110,'RQ2'!$A$2:$A$455,0)))="",IF(COUNTIFS('RQ2'!$A$2:$A$455,$A110,'RQ2'!$E$2:$E$455,"")&gt;0,"",INDEX('RQ2'!$E$2:$E$455,MATCH($A110,'RQ2'!$A$2:$A$455,0)))=""),"2 - RQ2 historical","3 - Verify recorded evidence"))</f>
        <v/>
      </c>
      <c r="D110" s="4">
        <f>IF(OR(IF(COUNTIFS('RQ2'!$A$2:$A$455,$A110,'RQ2'!$D$2:$D$455,"")&gt;0,"",INDEX('RQ2'!$D$2:$D$455,MATCH($A110,'RQ2'!$A$2:$A$455,0)))="",IF(COUNTIFS('RQ2'!$A$2:$A$455,$A110,'RQ2'!$E$2:$E$455,"")&gt;0,"",INDEX('RQ2'!$E$2:$E$455,MATCH($A110,'RQ2'!$A$2:$A$455,0)))=""),"PENDIENTE","REGISTRADA")</f>
        <v/>
      </c>
      <c r="E110" s="4">
        <f>IF(IF(COUNTIFS('RQ1'!$A$2:$A$455,$A110,'RQ1'!$N$2:$N$455,"")&gt;0,"",INDEX('RQ1'!$N$2:$N$455,MATCH($A110,'RQ1'!$A$2:$A$455,0)))=1,"REVISAR DETALLE","REGISTRADA")</f>
        <v/>
      </c>
      <c r="F110" s="4">
        <f>IF(IF(COUNTIFS('RQ3'!$A$2:$A$455,$A110,'RQ3'!$P$2:$P$455,"")&gt;0,"",INDEX('RQ3'!$P$2:$P$455,MATCH($A110,'RQ3'!$A$2:$A$455,0)))="","NO REGISTRADO",IF(IF(COUNTIFS('RQ3'!$A$2:$A$455,$A110,'RQ3'!$P$2:$P$455,"")&gt;0,"",INDEX('RQ3'!$P$2:$P$455,MATCH($A110,'RQ3'!$A$2:$A$455,0)))=1,"MARCA ACTIVA","SIN MARCA"))</f>
        <v/>
      </c>
      <c r="G110" s="4">
        <f>IF(IF(COUNTIFS('ESTUDIOS'!$A$2:$A$455,$A110,'ESTUDIOS'!$N$2:$N$455,"")&gt;0,"",INDEX('ESTUDIOS'!$N$2:$N$455,MATCH($A110,'ESTUDIOS'!$A$2:$A$455,0)))="Verified","DOCUMENTADA","NO DOCUMENTADA")</f>
        <v/>
      </c>
      <c r="H110" s="4">
        <f>IF(D110="PENDIENTE","Leer evidencia ya extraída; registrar uso propuesto o evaluado, función, fuente y revisor en RQ2.","Comprobar evidencia y cautelas registradas; documentar verificación sin recodificar lo ya respaldado.")</f>
        <v/>
      </c>
      <c r="I110" s="4" t="inlineStr">
        <is>
          <t>https://doi.org/10.1097/dbp.0000000000000668</t>
        </is>
      </c>
    </row>
    <row r="111" ht="64" customHeight="1">
      <c r="A111" s="4" t="inlineStr">
        <is>
          <t>118</t>
        </is>
      </c>
      <c r="B111" s="4" t="inlineStr">
        <is>
          <t>Early detection of autism using digital behavioral phenotyping</t>
        </is>
      </c>
      <c r="C111" s="4">
        <f>IF(IF(COUNTIFS('ESTUDIOS'!$A$2:$A$455,$A111,'ESTUDIOS'!$I$2:$I$455,"")&gt;0,"",INDEX('ESTUDIOS'!$I$2:$I$455,MATCH($A111,'ESTUDIOS'!$A$2:$A$455,0)))=1,"1 - Integrity",IF(OR(IF(COUNTIFS('RQ2'!$A$2:$A$455,$A111,'RQ2'!$D$2:$D$455,"")&gt;0,"",INDEX('RQ2'!$D$2:$D$455,MATCH($A111,'RQ2'!$A$2:$A$455,0)))="",IF(COUNTIFS('RQ2'!$A$2:$A$455,$A111,'RQ2'!$E$2:$E$455,"")&gt;0,"",INDEX('RQ2'!$E$2:$E$455,MATCH($A111,'RQ2'!$A$2:$A$455,0)))=""),"2 - RQ2 historical","3 - Verify recorded evidence"))</f>
        <v/>
      </c>
      <c r="D111" s="4">
        <f>IF(OR(IF(COUNTIFS('RQ2'!$A$2:$A$455,$A111,'RQ2'!$D$2:$D$455,"")&gt;0,"",INDEX('RQ2'!$D$2:$D$455,MATCH($A111,'RQ2'!$A$2:$A$455,0)))="",IF(COUNTIFS('RQ2'!$A$2:$A$455,$A111,'RQ2'!$E$2:$E$455,"")&gt;0,"",INDEX('RQ2'!$E$2:$E$455,MATCH($A111,'RQ2'!$A$2:$A$455,0)))=""),"PENDIENTE","REGISTRADA")</f>
        <v/>
      </c>
      <c r="E111" s="4">
        <f>IF(IF(COUNTIFS('RQ1'!$A$2:$A$455,$A111,'RQ1'!$N$2:$N$455,"")&gt;0,"",INDEX('RQ1'!$N$2:$N$455,MATCH($A111,'RQ1'!$A$2:$A$455,0)))=1,"REVISAR DETALLE","REGISTRADA")</f>
        <v/>
      </c>
      <c r="F111" s="4">
        <f>IF(IF(COUNTIFS('RQ3'!$A$2:$A$455,$A111,'RQ3'!$P$2:$P$455,"")&gt;0,"",INDEX('RQ3'!$P$2:$P$455,MATCH($A111,'RQ3'!$A$2:$A$455,0)))="","NO REGISTRADO",IF(IF(COUNTIFS('RQ3'!$A$2:$A$455,$A111,'RQ3'!$P$2:$P$455,"")&gt;0,"",INDEX('RQ3'!$P$2:$P$455,MATCH($A111,'RQ3'!$A$2:$A$455,0)))=1,"MARCA ACTIVA","SIN MARCA"))</f>
        <v/>
      </c>
      <c r="G111" s="4">
        <f>IF(IF(COUNTIFS('ESTUDIOS'!$A$2:$A$455,$A111,'ESTUDIOS'!$N$2:$N$455,"")&gt;0,"",INDEX('ESTUDIOS'!$N$2:$N$455,MATCH($A111,'ESTUDIOS'!$A$2:$A$455,0)))="Verified","DOCUMENTADA","NO DOCUMENTADA")</f>
        <v/>
      </c>
      <c r="H111" s="4">
        <f>IF(D111="PENDIENTE","Leer evidencia ya extraída; registrar uso propuesto o evaluado, función, fuente y revisor en RQ2.","Comprobar evidencia y cautelas registradas; documentar verificación sin recodificar lo ya respaldado.")</f>
        <v/>
      </c>
      <c r="I111" s="4" t="inlineStr">
        <is>
          <t>https://doi.org/10.1038/s41591-023-02574-3</t>
        </is>
      </c>
    </row>
    <row r="112" ht="64" customHeight="1">
      <c r="A112" s="4" t="inlineStr">
        <is>
          <t>119</t>
        </is>
      </c>
      <c r="B112" s="4" t="inlineStr">
        <is>
          <t>Ensemble statistical and subspace clustering model for analysis of autism spectrum disorder phenotypes</t>
        </is>
      </c>
      <c r="C112" s="4">
        <f>IF(IF(COUNTIFS('ESTUDIOS'!$A$2:$A$455,$A112,'ESTUDIOS'!$I$2:$I$455,"")&gt;0,"",INDEX('ESTUDIOS'!$I$2:$I$455,MATCH($A112,'ESTUDIOS'!$A$2:$A$455,0)))=1,"1 - Integrity",IF(OR(IF(COUNTIFS('RQ2'!$A$2:$A$455,$A112,'RQ2'!$D$2:$D$455,"")&gt;0,"",INDEX('RQ2'!$D$2:$D$455,MATCH($A112,'RQ2'!$A$2:$A$455,0)))="",IF(COUNTIFS('RQ2'!$A$2:$A$455,$A112,'RQ2'!$E$2:$E$455,"")&gt;0,"",INDEX('RQ2'!$E$2:$E$455,MATCH($A112,'RQ2'!$A$2:$A$455,0)))=""),"2 - RQ2 historical","3 - Verify recorded evidence"))</f>
        <v/>
      </c>
      <c r="D112" s="4">
        <f>IF(OR(IF(COUNTIFS('RQ2'!$A$2:$A$455,$A112,'RQ2'!$D$2:$D$455,"")&gt;0,"",INDEX('RQ2'!$D$2:$D$455,MATCH($A112,'RQ2'!$A$2:$A$455,0)))="",IF(COUNTIFS('RQ2'!$A$2:$A$455,$A112,'RQ2'!$E$2:$E$455,"")&gt;0,"",INDEX('RQ2'!$E$2:$E$455,MATCH($A112,'RQ2'!$A$2:$A$455,0)))=""),"PENDIENTE","REGISTRADA")</f>
        <v/>
      </c>
      <c r="E112" s="4">
        <f>IF(IF(COUNTIFS('RQ1'!$A$2:$A$455,$A112,'RQ1'!$N$2:$N$455,"")&gt;0,"",INDEX('RQ1'!$N$2:$N$455,MATCH($A112,'RQ1'!$A$2:$A$455,0)))=1,"REVISAR DETALLE","REGISTRADA")</f>
        <v/>
      </c>
      <c r="F112" s="4">
        <f>IF(IF(COUNTIFS('RQ3'!$A$2:$A$455,$A112,'RQ3'!$P$2:$P$455,"")&gt;0,"",INDEX('RQ3'!$P$2:$P$455,MATCH($A112,'RQ3'!$A$2:$A$455,0)))="","NO REGISTRADO",IF(IF(COUNTIFS('RQ3'!$A$2:$A$455,$A112,'RQ3'!$P$2:$P$455,"")&gt;0,"",INDEX('RQ3'!$P$2:$P$455,MATCH($A112,'RQ3'!$A$2:$A$455,0)))=1,"MARCA ACTIVA","SIN MARCA"))</f>
        <v/>
      </c>
      <c r="G112" s="4">
        <f>IF(IF(COUNTIFS('ESTUDIOS'!$A$2:$A$455,$A112,'ESTUDIOS'!$N$2:$N$455,"")&gt;0,"",INDEX('ESTUDIOS'!$N$2:$N$455,MATCH($A112,'ESTUDIOS'!$A$2:$A$455,0)))="Verified","DOCUMENTADA","NO DOCUMENTADA")</f>
        <v/>
      </c>
      <c r="H112" s="4">
        <f>IF(D112="PENDIENTE","Leer evidencia ya extraída; registrar uso propuesto o evaluado, función, fuente y revisor en RQ2.","Comprobar evidencia y cautelas registradas; documentar verificación sin recodificar lo ya respaldado.")</f>
        <v/>
      </c>
      <c r="I112" s="4" t="inlineStr">
        <is>
          <t>https://doi.org/10.1109/embc.2016.7591440</t>
        </is>
      </c>
    </row>
    <row r="113" ht="64" customHeight="1">
      <c r="A113" s="4" t="inlineStr">
        <is>
          <t>120</t>
        </is>
      </c>
      <c r="B113" s="4" t="inlineStr">
        <is>
          <t>Screening autism spectrum disorder in children using machine learning on speech transcripts</t>
        </is>
      </c>
      <c r="C113" s="4">
        <f>IF(IF(COUNTIFS('ESTUDIOS'!$A$2:$A$455,$A113,'ESTUDIOS'!$I$2:$I$455,"")&gt;0,"",INDEX('ESTUDIOS'!$I$2:$I$455,MATCH($A113,'ESTUDIOS'!$A$2:$A$455,0)))=1,"1 - Integrity",IF(OR(IF(COUNTIFS('RQ2'!$A$2:$A$455,$A113,'RQ2'!$D$2:$D$455,"")&gt;0,"",INDEX('RQ2'!$D$2:$D$455,MATCH($A113,'RQ2'!$A$2:$A$455,0)))="",IF(COUNTIFS('RQ2'!$A$2:$A$455,$A113,'RQ2'!$E$2:$E$455,"")&gt;0,"",INDEX('RQ2'!$E$2:$E$455,MATCH($A113,'RQ2'!$A$2:$A$455,0)))=""),"2 - RQ2 historical","3 - Verify recorded evidence"))</f>
        <v/>
      </c>
      <c r="D113" s="4">
        <f>IF(OR(IF(COUNTIFS('RQ2'!$A$2:$A$455,$A113,'RQ2'!$D$2:$D$455,"")&gt;0,"",INDEX('RQ2'!$D$2:$D$455,MATCH($A113,'RQ2'!$A$2:$A$455,0)))="",IF(COUNTIFS('RQ2'!$A$2:$A$455,$A113,'RQ2'!$E$2:$E$455,"")&gt;0,"",INDEX('RQ2'!$E$2:$E$455,MATCH($A113,'RQ2'!$A$2:$A$455,0)))=""),"PENDIENTE","REGISTRADA")</f>
        <v/>
      </c>
      <c r="E113" s="4">
        <f>IF(IF(COUNTIFS('RQ1'!$A$2:$A$455,$A113,'RQ1'!$N$2:$N$455,"")&gt;0,"",INDEX('RQ1'!$N$2:$N$455,MATCH($A113,'RQ1'!$A$2:$A$455,0)))=1,"REVISAR DETALLE","REGISTRADA")</f>
        <v/>
      </c>
      <c r="F113" s="4">
        <f>IF(IF(COUNTIFS('RQ3'!$A$2:$A$455,$A113,'RQ3'!$P$2:$P$455,"")&gt;0,"",INDEX('RQ3'!$P$2:$P$455,MATCH($A113,'RQ3'!$A$2:$A$455,0)))="","NO REGISTRADO",IF(IF(COUNTIFS('RQ3'!$A$2:$A$455,$A113,'RQ3'!$P$2:$P$455,"")&gt;0,"",INDEX('RQ3'!$P$2:$P$455,MATCH($A113,'RQ3'!$A$2:$A$455,0)))=1,"MARCA ACTIVA","SIN MARCA"))</f>
        <v/>
      </c>
      <c r="G113" s="4">
        <f>IF(IF(COUNTIFS('ESTUDIOS'!$A$2:$A$455,$A113,'ESTUDIOS'!$N$2:$N$455,"")&gt;0,"",INDEX('ESTUDIOS'!$N$2:$N$455,MATCH($A113,'ESTUDIOS'!$A$2:$A$455,0)))="Verified","DOCUMENTADA","NO DOCUMENTADA")</f>
        <v/>
      </c>
      <c r="H113" s="4">
        <f>IF(D113="PENDIENTE","Leer evidencia ya extraída; registrar uso propuesto o evaluado, función, fuente y revisor en RQ2.","Comprobar evidencia y cautelas registradas; documentar verificación sin recodificar lo ya respaldado.")</f>
        <v/>
      </c>
      <c r="I113" s="4" t="inlineStr">
        <is>
          <t>https://doi.org/10.1038/s41598-025-01500-6</t>
        </is>
      </c>
    </row>
    <row r="114" ht="64" customHeight="1">
      <c r="A114" s="4" t="inlineStr">
        <is>
          <t>121</t>
        </is>
      </c>
      <c r="B114" s="4" t="inlineStr">
        <is>
          <t>46.3 ARTIFICIAL INTELLIGENCE: UTILIZING GOOGLE GLASS AND OTHER MOBILE APPLICATIONS FOR SOCIAL SKILLS TRAINING IN AUTISM SPECTRUM DISORDERS</t>
        </is>
      </c>
      <c r="C114" s="4">
        <f>IF(IF(COUNTIFS('ESTUDIOS'!$A$2:$A$455,$A114,'ESTUDIOS'!$I$2:$I$455,"")&gt;0,"",INDEX('ESTUDIOS'!$I$2:$I$455,MATCH($A114,'ESTUDIOS'!$A$2:$A$455,0)))=1,"1 - Integrity",IF(OR(IF(COUNTIFS('RQ2'!$A$2:$A$455,$A114,'RQ2'!$D$2:$D$455,"")&gt;0,"",INDEX('RQ2'!$D$2:$D$455,MATCH($A114,'RQ2'!$A$2:$A$455,0)))="",IF(COUNTIFS('RQ2'!$A$2:$A$455,$A114,'RQ2'!$E$2:$E$455,"")&gt;0,"",INDEX('RQ2'!$E$2:$E$455,MATCH($A114,'RQ2'!$A$2:$A$455,0)))=""),"2 - RQ2 historical","3 - Verify recorded evidence"))</f>
        <v/>
      </c>
      <c r="D114" s="4">
        <f>IF(OR(IF(COUNTIFS('RQ2'!$A$2:$A$455,$A114,'RQ2'!$D$2:$D$455,"")&gt;0,"",INDEX('RQ2'!$D$2:$D$455,MATCH($A114,'RQ2'!$A$2:$A$455,0)))="",IF(COUNTIFS('RQ2'!$A$2:$A$455,$A114,'RQ2'!$E$2:$E$455,"")&gt;0,"",INDEX('RQ2'!$E$2:$E$455,MATCH($A114,'RQ2'!$A$2:$A$455,0)))=""),"PENDIENTE","REGISTRADA")</f>
        <v/>
      </c>
      <c r="E114" s="4">
        <f>IF(IF(COUNTIFS('RQ1'!$A$2:$A$455,$A114,'RQ1'!$N$2:$N$455,"")&gt;0,"",INDEX('RQ1'!$N$2:$N$455,MATCH($A114,'RQ1'!$A$2:$A$455,0)))=1,"REVISAR DETALLE","REGISTRADA")</f>
        <v/>
      </c>
      <c r="F114" s="4">
        <f>IF(IF(COUNTIFS('RQ3'!$A$2:$A$455,$A114,'RQ3'!$P$2:$P$455,"")&gt;0,"",INDEX('RQ3'!$P$2:$P$455,MATCH($A114,'RQ3'!$A$2:$A$455,0)))="","NO REGISTRADO",IF(IF(COUNTIFS('RQ3'!$A$2:$A$455,$A114,'RQ3'!$P$2:$P$455,"")&gt;0,"",INDEX('RQ3'!$P$2:$P$455,MATCH($A114,'RQ3'!$A$2:$A$455,0)))=1,"MARCA ACTIVA","SIN MARCA"))</f>
        <v/>
      </c>
      <c r="G114" s="4">
        <f>IF(IF(COUNTIFS('ESTUDIOS'!$A$2:$A$455,$A114,'ESTUDIOS'!$N$2:$N$455,"")&gt;0,"",INDEX('ESTUDIOS'!$N$2:$N$455,MATCH($A114,'ESTUDIOS'!$A$2:$A$455,0)))="Verified","DOCUMENTADA","NO DOCUMENTADA")</f>
        <v/>
      </c>
      <c r="H114" s="4">
        <f>IF(D114="PENDIENTE","Leer evidencia ya extraída; registrar uso propuesto o evaluado, función, fuente y revisor en RQ2.","Comprobar evidencia y cautelas registradas; documentar verificación sin recodificar lo ya respaldado.")</f>
        <v/>
      </c>
      <c r="I114" s="4" t="inlineStr">
        <is>
          <t>https://doi.org/10.1016/j.jaac.2016.07.715</t>
        </is>
      </c>
    </row>
    <row r="115" ht="64" customHeight="1">
      <c r="A115" s="4" t="inlineStr">
        <is>
          <t>122</t>
        </is>
      </c>
      <c r="B115" s="4" t="inlineStr">
        <is>
          <t>A Quantum-Based Machine Learning Approach for Autism Detection Using Common Spatial Patterns of EEG Signals</t>
        </is>
      </c>
      <c r="C115" s="4">
        <f>IF(IF(COUNTIFS('ESTUDIOS'!$A$2:$A$455,$A115,'ESTUDIOS'!$I$2:$I$455,"")&gt;0,"",INDEX('ESTUDIOS'!$I$2:$I$455,MATCH($A115,'ESTUDIOS'!$A$2:$A$455,0)))=1,"1 - Integrity",IF(OR(IF(COUNTIFS('RQ2'!$A$2:$A$455,$A115,'RQ2'!$D$2:$D$455,"")&gt;0,"",INDEX('RQ2'!$D$2:$D$455,MATCH($A115,'RQ2'!$A$2:$A$455,0)))="",IF(COUNTIFS('RQ2'!$A$2:$A$455,$A115,'RQ2'!$E$2:$E$455,"")&gt;0,"",INDEX('RQ2'!$E$2:$E$455,MATCH($A115,'RQ2'!$A$2:$A$455,0)))=""),"2 - RQ2 historical","3 - Verify recorded evidence"))</f>
        <v/>
      </c>
      <c r="D115" s="4">
        <f>IF(OR(IF(COUNTIFS('RQ2'!$A$2:$A$455,$A115,'RQ2'!$D$2:$D$455,"")&gt;0,"",INDEX('RQ2'!$D$2:$D$455,MATCH($A115,'RQ2'!$A$2:$A$455,0)))="",IF(COUNTIFS('RQ2'!$A$2:$A$455,$A115,'RQ2'!$E$2:$E$455,"")&gt;0,"",INDEX('RQ2'!$E$2:$E$455,MATCH($A115,'RQ2'!$A$2:$A$455,0)))=""),"PENDIENTE","REGISTRADA")</f>
        <v/>
      </c>
      <c r="E115" s="4">
        <f>IF(IF(COUNTIFS('RQ1'!$A$2:$A$455,$A115,'RQ1'!$N$2:$N$455,"")&gt;0,"",INDEX('RQ1'!$N$2:$N$455,MATCH($A115,'RQ1'!$A$2:$A$455,0)))=1,"REVISAR DETALLE","REGISTRADA")</f>
        <v/>
      </c>
      <c r="F115" s="4">
        <f>IF(IF(COUNTIFS('RQ3'!$A$2:$A$455,$A115,'RQ3'!$P$2:$P$455,"")&gt;0,"",INDEX('RQ3'!$P$2:$P$455,MATCH($A115,'RQ3'!$A$2:$A$455,0)))="","NO REGISTRADO",IF(IF(COUNTIFS('RQ3'!$A$2:$A$455,$A115,'RQ3'!$P$2:$P$455,"")&gt;0,"",INDEX('RQ3'!$P$2:$P$455,MATCH($A115,'RQ3'!$A$2:$A$455,0)))=1,"MARCA ACTIVA","SIN MARCA"))</f>
        <v/>
      </c>
      <c r="G115" s="4">
        <f>IF(IF(COUNTIFS('ESTUDIOS'!$A$2:$A$455,$A115,'ESTUDIOS'!$N$2:$N$455,"")&gt;0,"",INDEX('ESTUDIOS'!$N$2:$N$455,MATCH($A115,'ESTUDIOS'!$A$2:$A$455,0)))="Verified","DOCUMENTADA","NO DOCUMENTADA")</f>
        <v/>
      </c>
      <c r="H115" s="4">
        <f>IF(D115="PENDIENTE","Leer evidencia ya extraída; registrar uso propuesto o evaluado, función, fuente y revisor en RQ2.","Comprobar evidencia y cautelas registradas; documentar verificación sin recodificar lo ya respaldado.")</f>
        <v/>
      </c>
      <c r="I115" s="4" t="inlineStr">
        <is>
          <t>https://doi.org/10.1109/access.2025.3531979</t>
        </is>
      </c>
    </row>
    <row r="116" ht="64" customHeight="1">
      <c r="A116" s="4" t="inlineStr">
        <is>
          <t>124</t>
        </is>
      </c>
      <c r="B116" s="4" t="inlineStr">
        <is>
          <t>ASD2-TL∗ GTO: Autism spectrum disorders detection via transfer learning with gorilla troops optimizer framework</t>
        </is>
      </c>
      <c r="C116" s="4">
        <f>IF(IF(COUNTIFS('ESTUDIOS'!$A$2:$A$455,$A116,'ESTUDIOS'!$I$2:$I$455,"")&gt;0,"",INDEX('ESTUDIOS'!$I$2:$I$455,MATCH($A116,'ESTUDIOS'!$A$2:$A$455,0)))=1,"1 - Integrity",IF(OR(IF(COUNTIFS('RQ2'!$A$2:$A$455,$A116,'RQ2'!$D$2:$D$455,"")&gt;0,"",INDEX('RQ2'!$D$2:$D$455,MATCH($A116,'RQ2'!$A$2:$A$455,0)))="",IF(COUNTIFS('RQ2'!$A$2:$A$455,$A116,'RQ2'!$E$2:$E$455,"")&gt;0,"",INDEX('RQ2'!$E$2:$E$455,MATCH($A116,'RQ2'!$A$2:$A$455,0)))=""),"2 - RQ2 historical","3 - Verify recorded evidence"))</f>
        <v/>
      </c>
      <c r="D116" s="4">
        <f>IF(OR(IF(COUNTIFS('RQ2'!$A$2:$A$455,$A116,'RQ2'!$D$2:$D$455,"")&gt;0,"",INDEX('RQ2'!$D$2:$D$455,MATCH($A116,'RQ2'!$A$2:$A$455,0)))="",IF(COUNTIFS('RQ2'!$A$2:$A$455,$A116,'RQ2'!$E$2:$E$455,"")&gt;0,"",INDEX('RQ2'!$E$2:$E$455,MATCH($A116,'RQ2'!$A$2:$A$455,0)))=""),"PENDIENTE","REGISTRADA")</f>
        <v/>
      </c>
      <c r="E116" s="4">
        <f>IF(IF(COUNTIFS('RQ1'!$A$2:$A$455,$A116,'RQ1'!$N$2:$N$455,"")&gt;0,"",INDEX('RQ1'!$N$2:$N$455,MATCH($A116,'RQ1'!$A$2:$A$455,0)))=1,"REVISAR DETALLE","REGISTRADA")</f>
        <v/>
      </c>
      <c r="F116" s="4">
        <f>IF(IF(COUNTIFS('RQ3'!$A$2:$A$455,$A116,'RQ3'!$P$2:$P$455,"")&gt;0,"",INDEX('RQ3'!$P$2:$P$455,MATCH($A116,'RQ3'!$A$2:$A$455,0)))="","NO REGISTRADO",IF(IF(COUNTIFS('RQ3'!$A$2:$A$455,$A116,'RQ3'!$P$2:$P$455,"")&gt;0,"",INDEX('RQ3'!$P$2:$P$455,MATCH($A116,'RQ3'!$A$2:$A$455,0)))=1,"MARCA ACTIVA","SIN MARCA"))</f>
        <v/>
      </c>
      <c r="G116" s="4">
        <f>IF(IF(COUNTIFS('ESTUDIOS'!$A$2:$A$455,$A116,'ESTUDIOS'!$N$2:$N$455,"")&gt;0,"",INDEX('ESTUDIOS'!$N$2:$N$455,MATCH($A116,'ESTUDIOS'!$A$2:$A$455,0)))="Verified","DOCUMENTADA","NO DOCUMENTADA")</f>
        <v/>
      </c>
      <c r="H116" s="4">
        <f>IF(D116="PENDIENTE","Leer evidencia ya extraída; registrar uso propuesto o evaluado, función, fuente y revisor en RQ2.","Comprobar evidencia y cautelas registradas; documentar verificación sin recodificar lo ya respaldado.")</f>
        <v/>
      </c>
      <c r="I116" s="4" t="inlineStr">
        <is>
          <t>https://doi.org/10.1016/j.heliyon.2023.e21530</t>
        </is>
      </c>
    </row>
    <row r="117" ht="64" customHeight="1">
      <c r="A117" s="4" t="inlineStr">
        <is>
          <t>125</t>
        </is>
      </c>
      <c r="B117" s="4" t="inlineStr">
        <is>
          <t>Diagnosis of Autism Spectrum Disorders in Young Children Based on Resting-State Functional Magnetic Resonance Imaging Data Using Convolutional Neural Networks</t>
        </is>
      </c>
      <c r="C117" s="4">
        <f>IF(IF(COUNTIFS('ESTUDIOS'!$A$2:$A$455,$A117,'ESTUDIOS'!$I$2:$I$455,"")&gt;0,"",INDEX('ESTUDIOS'!$I$2:$I$455,MATCH($A117,'ESTUDIOS'!$A$2:$A$455,0)))=1,"1 - Integrity",IF(OR(IF(COUNTIFS('RQ2'!$A$2:$A$455,$A117,'RQ2'!$D$2:$D$455,"")&gt;0,"",INDEX('RQ2'!$D$2:$D$455,MATCH($A117,'RQ2'!$A$2:$A$455,0)))="",IF(COUNTIFS('RQ2'!$A$2:$A$455,$A117,'RQ2'!$E$2:$E$455,"")&gt;0,"",INDEX('RQ2'!$E$2:$E$455,MATCH($A117,'RQ2'!$A$2:$A$455,0)))=""),"2 - RQ2 historical","3 - Verify recorded evidence"))</f>
        <v/>
      </c>
      <c r="D117" s="4">
        <f>IF(OR(IF(COUNTIFS('RQ2'!$A$2:$A$455,$A117,'RQ2'!$D$2:$D$455,"")&gt;0,"",INDEX('RQ2'!$D$2:$D$455,MATCH($A117,'RQ2'!$A$2:$A$455,0)))="",IF(COUNTIFS('RQ2'!$A$2:$A$455,$A117,'RQ2'!$E$2:$E$455,"")&gt;0,"",INDEX('RQ2'!$E$2:$E$455,MATCH($A117,'RQ2'!$A$2:$A$455,0)))=""),"PENDIENTE","REGISTRADA")</f>
        <v/>
      </c>
      <c r="E117" s="4">
        <f>IF(IF(COUNTIFS('RQ1'!$A$2:$A$455,$A117,'RQ1'!$N$2:$N$455,"")&gt;0,"",INDEX('RQ1'!$N$2:$N$455,MATCH($A117,'RQ1'!$A$2:$A$455,0)))=1,"REVISAR DETALLE","REGISTRADA")</f>
        <v/>
      </c>
      <c r="F117" s="4">
        <f>IF(IF(COUNTIFS('RQ3'!$A$2:$A$455,$A117,'RQ3'!$P$2:$P$455,"")&gt;0,"",INDEX('RQ3'!$P$2:$P$455,MATCH($A117,'RQ3'!$A$2:$A$455,0)))="","NO REGISTRADO",IF(IF(COUNTIFS('RQ3'!$A$2:$A$455,$A117,'RQ3'!$P$2:$P$455,"")&gt;0,"",INDEX('RQ3'!$P$2:$P$455,MATCH($A117,'RQ3'!$A$2:$A$455,0)))=1,"MARCA ACTIVA","SIN MARCA"))</f>
        <v/>
      </c>
      <c r="G117" s="4">
        <f>IF(IF(COUNTIFS('ESTUDIOS'!$A$2:$A$455,$A117,'ESTUDIOS'!$N$2:$N$455,"")&gt;0,"",INDEX('ESTUDIOS'!$N$2:$N$455,MATCH($A117,'ESTUDIOS'!$A$2:$A$455,0)))="Verified","DOCUMENTADA","NO DOCUMENTADA")</f>
        <v/>
      </c>
      <c r="H117" s="4">
        <f>IF(D117="PENDIENTE","Leer evidencia ya extraída; registrar uso propuesto o evaluado, función, fuente y revisor en RQ2.","Comprobar evidencia y cautelas registradas; documentar verificación sin recodificar lo ya respaldado.")</f>
        <v/>
      </c>
      <c r="I117" s="4" t="inlineStr">
        <is>
          <t>https://doi.org/10.1007/s10278-019-00196-1</t>
        </is>
      </c>
    </row>
    <row r="118" ht="64" customHeight="1">
      <c r="A118" s="4" t="inlineStr">
        <is>
          <t>128</t>
        </is>
      </c>
      <c r="B118" s="4" t="inlineStr">
        <is>
          <t>Improvement of attention-deficit/hyperactivity disorder symptoms in school-aged children, adolescents, and young adults with autism via a digital smartglasses-based socioemotional coaching aid: Short-term, uncontrolled pilot study</t>
        </is>
      </c>
      <c r="C118" s="4">
        <f>IF(IF(COUNTIFS('ESTUDIOS'!$A$2:$A$455,$A118,'ESTUDIOS'!$I$2:$I$455,"")&gt;0,"",INDEX('ESTUDIOS'!$I$2:$I$455,MATCH($A118,'ESTUDIOS'!$A$2:$A$455,0)))=1,"1 - Integrity",IF(OR(IF(COUNTIFS('RQ2'!$A$2:$A$455,$A118,'RQ2'!$D$2:$D$455,"")&gt;0,"",INDEX('RQ2'!$D$2:$D$455,MATCH($A118,'RQ2'!$A$2:$A$455,0)))="",IF(COUNTIFS('RQ2'!$A$2:$A$455,$A118,'RQ2'!$E$2:$E$455,"")&gt;0,"",INDEX('RQ2'!$E$2:$E$455,MATCH($A118,'RQ2'!$A$2:$A$455,0)))=""),"2 - RQ2 historical","3 - Verify recorded evidence"))</f>
        <v/>
      </c>
      <c r="D118" s="4">
        <f>IF(OR(IF(COUNTIFS('RQ2'!$A$2:$A$455,$A118,'RQ2'!$D$2:$D$455,"")&gt;0,"",INDEX('RQ2'!$D$2:$D$455,MATCH($A118,'RQ2'!$A$2:$A$455,0)))="",IF(COUNTIFS('RQ2'!$A$2:$A$455,$A118,'RQ2'!$E$2:$E$455,"")&gt;0,"",INDEX('RQ2'!$E$2:$E$455,MATCH($A118,'RQ2'!$A$2:$A$455,0)))=""),"PENDIENTE","REGISTRADA")</f>
        <v/>
      </c>
      <c r="E118" s="4">
        <f>IF(IF(COUNTIFS('RQ1'!$A$2:$A$455,$A118,'RQ1'!$N$2:$N$455,"")&gt;0,"",INDEX('RQ1'!$N$2:$N$455,MATCH($A118,'RQ1'!$A$2:$A$455,0)))=1,"REVISAR DETALLE","REGISTRADA")</f>
        <v/>
      </c>
      <c r="F118" s="4">
        <f>IF(IF(COUNTIFS('RQ3'!$A$2:$A$455,$A118,'RQ3'!$P$2:$P$455,"")&gt;0,"",INDEX('RQ3'!$P$2:$P$455,MATCH($A118,'RQ3'!$A$2:$A$455,0)))="","NO REGISTRADO",IF(IF(COUNTIFS('RQ3'!$A$2:$A$455,$A118,'RQ3'!$P$2:$P$455,"")&gt;0,"",INDEX('RQ3'!$P$2:$P$455,MATCH($A118,'RQ3'!$A$2:$A$455,0)))=1,"MARCA ACTIVA","SIN MARCA"))</f>
        <v/>
      </c>
      <c r="G118" s="4">
        <f>IF(IF(COUNTIFS('ESTUDIOS'!$A$2:$A$455,$A118,'ESTUDIOS'!$N$2:$N$455,"")&gt;0,"",INDEX('ESTUDIOS'!$N$2:$N$455,MATCH($A118,'ESTUDIOS'!$A$2:$A$455,0)))="Verified","DOCUMENTADA","NO DOCUMENTADA")</f>
        <v/>
      </c>
      <c r="H118" s="4">
        <f>IF(D118="PENDIENTE","Leer evidencia ya extraída; registrar uso propuesto o evaluado, función, fuente y revisor en RQ2.","Comprobar evidencia y cautelas registradas; documentar verificación sin recodificar lo ya respaldado.")</f>
        <v/>
      </c>
      <c r="I118" s="4" t="inlineStr">
        <is>
          <t>https://doi.org/10.2196/mental.9631</t>
        </is>
      </c>
    </row>
    <row r="119" ht="64" customHeight="1">
      <c r="A119" s="4" t="inlineStr">
        <is>
          <t>129</t>
        </is>
      </c>
      <c r="B119" s="4" t="inlineStr">
        <is>
          <t>Investigating Diagnostic Data and Performance Implications in the Autism AI Dataset</t>
        </is>
      </c>
      <c r="C119" s="4">
        <f>IF(IF(COUNTIFS('ESTUDIOS'!$A$2:$A$455,$A119,'ESTUDIOS'!$I$2:$I$455,"")&gt;0,"",INDEX('ESTUDIOS'!$I$2:$I$455,MATCH($A119,'ESTUDIOS'!$A$2:$A$455,0)))=1,"1 - Integrity",IF(OR(IF(COUNTIFS('RQ2'!$A$2:$A$455,$A119,'RQ2'!$D$2:$D$455,"")&gt;0,"",INDEX('RQ2'!$D$2:$D$455,MATCH($A119,'RQ2'!$A$2:$A$455,0)))="",IF(COUNTIFS('RQ2'!$A$2:$A$455,$A119,'RQ2'!$E$2:$E$455,"")&gt;0,"",INDEX('RQ2'!$E$2:$E$455,MATCH($A119,'RQ2'!$A$2:$A$455,0)))=""),"2 - RQ2 historical","3 - Verify recorded evidence"))</f>
        <v/>
      </c>
      <c r="D119" s="4">
        <f>IF(OR(IF(COUNTIFS('RQ2'!$A$2:$A$455,$A119,'RQ2'!$D$2:$D$455,"")&gt;0,"",INDEX('RQ2'!$D$2:$D$455,MATCH($A119,'RQ2'!$A$2:$A$455,0)))="",IF(COUNTIFS('RQ2'!$A$2:$A$455,$A119,'RQ2'!$E$2:$E$455,"")&gt;0,"",INDEX('RQ2'!$E$2:$E$455,MATCH($A119,'RQ2'!$A$2:$A$455,0)))=""),"PENDIENTE","REGISTRADA")</f>
        <v/>
      </c>
      <c r="E119" s="4">
        <f>IF(IF(COUNTIFS('RQ1'!$A$2:$A$455,$A119,'RQ1'!$N$2:$N$455,"")&gt;0,"",INDEX('RQ1'!$N$2:$N$455,MATCH($A119,'RQ1'!$A$2:$A$455,0)))=1,"REVISAR DETALLE","REGISTRADA")</f>
        <v/>
      </c>
      <c r="F119" s="4">
        <f>IF(IF(COUNTIFS('RQ3'!$A$2:$A$455,$A119,'RQ3'!$P$2:$P$455,"")&gt;0,"",INDEX('RQ3'!$P$2:$P$455,MATCH($A119,'RQ3'!$A$2:$A$455,0)))="","NO REGISTRADO",IF(IF(COUNTIFS('RQ3'!$A$2:$A$455,$A119,'RQ3'!$P$2:$P$455,"")&gt;0,"",INDEX('RQ3'!$P$2:$P$455,MATCH($A119,'RQ3'!$A$2:$A$455,0)))=1,"MARCA ACTIVA","SIN MARCA"))</f>
        <v/>
      </c>
      <c r="G119" s="4">
        <f>IF(IF(COUNTIFS('ESTUDIOS'!$A$2:$A$455,$A119,'ESTUDIOS'!$N$2:$N$455,"")&gt;0,"",INDEX('ESTUDIOS'!$N$2:$N$455,MATCH($A119,'ESTUDIOS'!$A$2:$A$455,0)))="Verified","DOCUMENTADA","NO DOCUMENTADA")</f>
        <v/>
      </c>
      <c r="H119" s="4">
        <f>IF(D119="PENDIENTE","Leer evidencia ya extraída; registrar uso propuesto o evaluado, función, fuente y revisor en RQ2.","Comprobar evidencia y cautelas registradas; documentar verificación sin recodificar lo ya respaldado.")</f>
        <v/>
      </c>
      <c r="I119" s="4" t="inlineStr">
        <is>
          <t>https://doi.org/10.1007/978-981-96-6960-8_26</t>
        </is>
      </c>
    </row>
    <row r="120" ht="64" customHeight="1">
      <c r="A120" s="4" t="inlineStr">
        <is>
          <t>130</t>
        </is>
      </c>
      <c r="B120" s="4" t="inlineStr">
        <is>
          <t>Large-scale examination of early-age sex differences in neurotypical toddlers and those with autism spectrum disorder or other developmental conditions</t>
        </is>
      </c>
      <c r="C120" s="4">
        <f>IF(IF(COUNTIFS('ESTUDIOS'!$A$2:$A$455,$A120,'ESTUDIOS'!$I$2:$I$455,"")&gt;0,"",INDEX('ESTUDIOS'!$I$2:$I$455,MATCH($A120,'ESTUDIOS'!$A$2:$A$455,0)))=1,"1 - Integrity",IF(OR(IF(COUNTIFS('RQ2'!$A$2:$A$455,$A120,'RQ2'!$D$2:$D$455,"")&gt;0,"",INDEX('RQ2'!$D$2:$D$455,MATCH($A120,'RQ2'!$A$2:$A$455,0)))="",IF(COUNTIFS('RQ2'!$A$2:$A$455,$A120,'RQ2'!$E$2:$E$455,"")&gt;0,"",INDEX('RQ2'!$E$2:$E$455,MATCH($A120,'RQ2'!$A$2:$A$455,0)))=""),"2 - RQ2 historical","3 - Verify recorded evidence"))</f>
        <v/>
      </c>
      <c r="D120" s="4">
        <f>IF(OR(IF(COUNTIFS('RQ2'!$A$2:$A$455,$A120,'RQ2'!$D$2:$D$455,"")&gt;0,"",INDEX('RQ2'!$D$2:$D$455,MATCH($A120,'RQ2'!$A$2:$A$455,0)))="",IF(COUNTIFS('RQ2'!$A$2:$A$455,$A120,'RQ2'!$E$2:$E$455,"")&gt;0,"",INDEX('RQ2'!$E$2:$E$455,MATCH($A120,'RQ2'!$A$2:$A$455,0)))=""),"PENDIENTE","REGISTRADA")</f>
        <v/>
      </c>
      <c r="E120" s="4">
        <f>IF(IF(COUNTIFS('RQ1'!$A$2:$A$455,$A120,'RQ1'!$N$2:$N$455,"")&gt;0,"",INDEX('RQ1'!$N$2:$N$455,MATCH($A120,'RQ1'!$A$2:$A$455,0)))=1,"REVISAR DETALLE","REGISTRADA")</f>
        <v/>
      </c>
      <c r="F120" s="4">
        <f>IF(IF(COUNTIFS('RQ3'!$A$2:$A$455,$A120,'RQ3'!$P$2:$P$455,"")&gt;0,"",INDEX('RQ3'!$P$2:$P$455,MATCH($A120,'RQ3'!$A$2:$A$455,0)))="","NO REGISTRADO",IF(IF(COUNTIFS('RQ3'!$A$2:$A$455,$A120,'RQ3'!$P$2:$P$455,"")&gt;0,"",INDEX('RQ3'!$P$2:$P$455,MATCH($A120,'RQ3'!$A$2:$A$455,0)))=1,"MARCA ACTIVA","SIN MARCA"))</f>
        <v/>
      </c>
      <c r="G120" s="4">
        <f>IF(IF(COUNTIFS('ESTUDIOS'!$A$2:$A$455,$A120,'ESTUDIOS'!$N$2:$N$455,"")&gt;0,"",INDEX('ESTUDIOS'!$N$2:$N$455,MATCH($A120,'ESTUDIOS'!$A$2:$A$455,0)))="Verified","DOCUMENTADA","NO DOCUMENTADA")</f>
        <v/>
      </c>
      <c r="H120" s="4">
        <f>IF(D120="PENDIENTE","Leer evidencia ya extraída; registrar uso propuesto o evaluado, función, fuente y revisor en RQ2.","Comprobar evidencia y cautelas registradas; documentar verificación sin recodificar lo ya respaldado.")</f>
        <v/>
      </c>
      <c r="I120" s="4" t="inlineStr">
        <is>
          <t>https://doi.org/10.1038/s41562-025-02132-6</t>
        </is>
      </c>
    </row>
    <row r="121" ht="64" customHeight="1">
      <c r="A121" s="4" t="inlineStr">
        <is>
          <t>131</t>
        </is>
      </c>
      <c r="B121" s="4" t="inlineStr">
        <is>
          <t>Online concerns of parents suspecting autism spectrum disorder in their child: Content analysis of signs and automated prediction of risk</t>
        </is>
      </c>
      <c r="C121" s="4">
        <f>IF(IF(COUNTIFS('ESTUDIOS'!$A$2:$A$455,$A121,'ESTUDIOS'!$I$2:$I$455,"")&gt;0,"",INDEX('ESTUDIOS'!$I$2:$I$455,MATCH($A121,'ESTUDIOS'!$A$2:$A$455,0)))=1,"1 - Integrity",IF(OR(IF(COUNTIFS('RQ2'!$A$2:$A$455,$A121,'RQ2'!$D$2:$D$455,"")&gt;0,"",INDEX('RQ2'!$D$2:$D$455,MATCH($A121,'RQ2'!$A$2:$A$455,0)))="",IF(COUNTIFS('RQ2'!$A$2:$A$455,$A121,'RQ2'!$E$2:$E$455,"")&gt;0,"",INDEX('RQ2'!$E$2:$E$455,MATCH($A121,'RQ2'!$A$2:$A$455,0)))=""),"2 - RQ2 historical","3 - Verify recorded evidence"))</f>
        <v/>
      </c>
      <c r="D121" s="4">
        <f>IF(OR(IF(COUNTIFS('RQ2'!$A$2:$A$455,$A121,'RQ2'!$D$2:$D$455,"")&gt;0,"",INDEX('RQ2'!$D$2:$D$455,MATCH($A121,'RQ2'!$A$2:$A$455,0)))="",IF(COUNTIFS('RQ2'!$A$2:$A$455,$A121,'RQ2'!$E$2:$E$455,"")&gt;0,"",INDEX('RQ2'!$E$2:$E$455,MATCH($A121,'RQ2'!$A$2:$A$455,0)))=""),"PENDIENTE","REGISTRADA")</f>
        <v/>
      </c>
      <c r="E121" s="4">
        <f>IF(IF(COUNTIFS('RQ1'!$A$2:$A$455,$A121,'RQ1'!$N$2:$N$455,"")&gt;0,"",INDEX('RQ1'!$N$2:$N$455,MATCH($A121,'RQ1'!$A$2:$A$455,0)))=1,"REVISAR DETALLE","REGISTRADA")</f>
        <v/>
      </c>
      <c r="F121" s="4">
        <f>IF(IF(COUNTIFS('RQ3'!$A$2:$A$455,$A121,'RQ3'!$P$2:$P$455,"")&gt;0,"",INDEX('RQ3'!$P$2:$P$455,MATCH($A121,'RQ3'!$A$2:$A$455,0)))="","NO REGISTRADO",IF(IF(COUNTIFS('RQ3'!$A$2:$A$455,$A121,'RQ3'!$P$2:$P$455,"")&gt;0,"",INDEX('RQ3'!$P$2:$P$455,MATCH($A121,'RQ3'!$A$2:$A$455,0)))=1,"MARCA ACTIVA","SIN MARCA"))</f>
        <v/>
      </c>
      <c r="G121" s="4">
        <f>IF(IF(COUNTIFS('ESTUDIOS'!$A$2:$A$455,$A121,'ESTUDIOS'!$N$2:$N$455,"")&gt;0,"",INDEX('ESTUDIOS'!$N$2:$N$455,MATCH($A121,'ESTUDIOS'!$A$2:$A$455,0)))="Verified","DOCUMENTADA","NO DOCUMENTADA")</f>
        <v/>
      </c>
      <c r="H121" s="4">
        <f>IF(D121="PENDIENTE","Leer evidencia ya extraída; registrar uso propuesto o evaluado, función, fuente y revisor en RQ2.","Comprobar evidencia y cautelas registradas; documentar verificación sin recodificar lo ya respaldado.")</f>
        <v/>
      </c>
      <c r="I121" s="4" t="inlineStr">
        <is>
          <t>https://doi.org/10.2196/jmir.5439</t>
        </is>
      </c>
    </row>
    <row r="122" ht="64" customHeight="1">
      <c r="A122" s="4" t="inlineStr">
        <is>
          <t>132</t>
        </is>
      </c>
      <c r="B122" s="4" t="inlineStr">
        <is>
          <t>Use of machine learning to improve autism screening and diagnostic instruments: Effectiveness, efficiency, and multi‐instrument fusion</t>
        </is>
      </c>
      <c r="C122" s="4">
        <f>IF(IF(COUNTIFS('ESTUDIOS'!$A$2:$A$455,$A122,'ESTUDIOS'!$I$2:$I$455,"")&gt;0,"",INDEX('ESTUDIOS'!$I$2:$I$455,MATCH($A122,'ESTUDIOS'!$A$2:$A$455,0)))=1,"1 - Integrity",IF(OR(IF(COUNTIFS('RQ2'!$A$2:$A$455,$A122,'RQ2'!$D$2:$D$455,"")&gt;0,"",INDEX('RQ2'!$D$2:$D$455,MATCH($A122,'RQ2'!$A$2:$A$455,0)))="",IF(COUNTIFS('RQ2'!$A$2:$A$455,$A122,'RQ2'!$E$2:$E$455,"")&gt;0,"",INDEX('RQ2'!$E$2:$E$455,MATCH($A122,'RQ2'!$A$2:$A$455,0)))=""),"2 - RQ2 historical","3 - Verify recorded evidence"))</f>
        <v/>
      </c>
      <c r="D122" s="4">
        <f>IF(OR(IF(COUNTIFS('RQ2'!$A$2:$A$455,$A122,'RQ2'!$D$2:$D$455,"")&gt;0,"",INDEX('RQ2'!$D$2:$D$455,MATCH($A122,'RQ2'!$A$2:$A$455,0)))="",IF(COUNTIFS('RQ2'!$A$2:$A$455,$A122,'RQ2'!$E$2:$E$455,"")&gt;0,"",INDEX('RQ2'!$E$2:$E$455,MATCH($A122,'RQ2'!$A$2:$A$455,0)))=""),"PENDIENTE","REGISTRADA")</f>
        <v/>
      </c>
      <c r="E122" s="4">
        <f>IF(IF(COUNTIFS('RQ1'!$A$2:$A$455,$A122,'RQ1'!$N$2:$N$455,"")&gt;0,"",INDEX('RQ1'!$N$2:$N$455,MATCH($A122,'RQ1'!$A$2:$A$455,0)))=1,"REVISAR DETALLE","REGISTRADA")</f>
        <v/>
      </c>
      <c r="F122" s="4">
        <f>IF(IF(COUNTIFS('RQ3'!$A$2:$A$455,$A122,'RQ3'!$P$2:$P$455,"")&gt;0,"",INDEX('RQ3'!$P$2:$P$455,MATCH($A122,'RQ3'!$A$2:$A$455,0)))="","NO REGISTRADO",IF(IF(COUNTIFS('RQ3'!$A$2:$A$455,$A122,'RQ3'!$P$2:$P$455,"")&gt;0,"",INDEX('RQ3'!$P$2:$P$455,MATCH($A122,'RQ3'!$A$2:$A$455,0)))=1,"MARCA ACTIVA","SIN MARCA"))</f>
        <v/>
      </c>
      <c r="G122" s="4">
        <f>IF(IF(COUNTIFS('ESTUDIOS'!$A$2:$A$455,$A122,'ESTUDIOS'!$N$2:$N$455,"")&gt;0,"",INDEX('ESTUDIOS'!$N$2:$N$455,MATCH($A122,'ESTUDIOS'!$A$2:$A$455,0)))="Verified","DOCUMENTADA","NO DOCUMENTADA")</f>
        <v/>
      </c>
      <c r="H122" s="4">
        <f>IF(D122="PENDIENTE","Leer evidencia ya extraída; registrar uso propuesto o evaluado, función, fuente y revisor en RQ2.","Comprobar evidencia y cautelas registradas; documentar verificación sin recodificar lo ya respaldado.")</f>
        <v/>
      </c>
      <c r="I122" s="4" t="inlineStr">
        <is>
          <t>https://doi.org/10.1111/jcpp.12559</t>
        </is>
      </c>
    </row>
    <row r="123" ht="64" customHeight="1">
      <c r="A123" s="4" t="inlineStr">
        <is>
          <t>133</t>
        </is>
      </c>
      <c r="B123" s="4" t="inlineStr">
        <is>
          <t>A data driven machine learning approach to differentiate between autism spectrum disorder and attention-deficit/hyperactivity disorder based on the best-practice diagnostic instruments for autism</t>
        </is>
      </c>
      <c r="C123" s="4">
        <f>IF(IF(COUNTIFS('ESTUDIOS'!$A$2:$A$455,$A123,'ESTUDIOS'!$I$2:$I$455,"")&gt;0,"",INDEX('ESTUDIOS'!$I$2:$I$455,MATCH($A123,'ESTUDIOS'!$A$2:$A$455,0)))=1,"1 - Integrity",IF(OR(IF(COUNTIFS('RQ2'!$A$2:$A$455,$A123,'RQ2'!$D$2:$D$455,"")&gt;0,"",INDEX('RQ2'!$D$2:$D$455,MATCH($A123,'RQ2'!$A$2:$A$455,0)))="",IF(COUNTIFS('RQ2'!$A$2:$A$455,$A123,'RQ2'!$E$2:$E$455,"")&gt;0,"",INDEX('RQ2'!$E$2:$E$455,MATCH($A123,'RQ2'!$A$2:$A$455,0)))=""),"2 - RQ2 historical","3 - Verify recorded evidence"))</f>
        <v/>
      </c>
      <c r="D123" s="4">
        <f>IF(OR(IF(COUNTIFS('RQ2'!$A$2:$A$455,$A123,'RQ2'!$D$2:$D$455,"")&gt;0,"",INDEX('RQ2'!$D$2:$D$455,MATCH($A123,'RQ2'!$A$2:$A$455,0)))="",IF(COUNTIFS('RQ2'!$A$2:$A$455,$A123,'RQ2'!$E$2:$E$455,"")&gt;0,"",INDEX('RQ2'!$E$2:$E$455,MATCH($A123,'RQ2'!$A$2:$A$455,0)))=""),"PENDIENTE","REGISTRADA")</f>
        <v/>
      </c>
      <c r="E123" s="4">
        <f>IF(IF(COUNTIFS('RQ1'!$A$2:$A$455,$A123,'RQ1'!$N$2:$N$455,"")&gt;0,"",INDEX('RQ1'!$N$2:$N$455,MATCH($A123,'RQ1'!$A$2:$A$455,0)))=1,"REVISAR DETALLE","REGISTRADA")</f>
        <v/>
      </c>
      <c r="F123" s="4">
        <f>IF(IF(COUNTIFS('RQ3'!$A$2:$A$455,$A123,'RQ3'!$P$2:$P$455,"")&gt;0,"",INDEX('RQ3'!$P$2:$P$455,MATCH($A123,'RQ3'!$A$2:$A$455,0)))="","NO REGISTRADO",IF(IF(COUNTIFS('RQ3'!$A$2:$A$455,$A123,'RQ3'!$P$2:$P$455,"")&gt;0,"",INDEX('RQ3'!$P$2:$P$455,MATCH($A123,'RQ3'!$A$2:$A$455,0)))=1,"MARCA ACTIVA","SIN MARCA"))</f>
        <v/>
      </c>
      <c r="G123" s="4">
        <f>IF(IF(COUNTIFS('ESTUDIOS'!$A$2:$A$455,$A123,'ESTUDIOS'!$N$2:$N$455,"")&gt;0,"",INDEX('ESTUDIOS'!$N$2:$N$455,MATCH($A123,'ESTUDIOS'!$A$2:$A$455,0)))="Verified","DOCUMENTADA","NO DOCUMENTADA")</f>
        <v/>
      </c>
      <c r="H123" s="4">
        <f>IF(D123="PENDIENTE","Leer evidencia ya extraída; registrar uso propuesto o evaluado, función, fuente y revisor en RQ2.","Comprobar evidencia y cautelas registradas; documentar verificación sin recodificar lo ya respaldado.")</f>
        <v/>
      </c>
      <c r="I123" s="4" t="inlineStr">
        <is>
          <t>https://doi.org/10.1038/s41598-022-21719-x</t>
        </is>
      </c>
    </row>
    <row r="124" ht="64" customHeight="1">
      <c r="A124" s="4" t="inlineStr">
        <is>
          <t>134</t>
        </is>
      </c>
      <c r="B124" s="4" t="inlineStr">
        <is>
          <t>A deep learning predictive classifier for autism screening and diagnosis</t>
        </is>
      </c>
      <c r="C124" s="4">
        <f>IF(IF(COUNTIFS('ESTUDIOS'!$A$2:$A$455,$A124,'ESTUDIOS'!$I$2:$I$455,"")&gt;0,"",INDEX('ESTUDIOS'!$I$2:$I$455,MATCH($A124,'ESTUDIOS'!$A$2:$A$455,0)))=1,"1 - Integrity",IF(OR(IF(COUNTIFS('RQ2'!$A$2:$A$455,$A124,'RQ2'!$D$2:$D$455,"")&gt;0,"",INDEX('RQ2'!$D$2:$D$455,MATCH($A124,'RQ2'!$A$2:$A$455,0)))="",IF(COUNTIFS('RQ2'!$A$2:$A$455,$A124,'RQ2'!$E$2:$E$455,"")&gt;0,"",INDEX('RQ2'!$E$2:$E$455,MATCH($A124,'RQ2'!$A$2:$A$455,0)))=""),"2 - RQ2 historical","3 - Verify recorded evidence"))</f>
        <v/>
      </c>
      <c r="D124" s="4">
        <f>IF(OR(IF(COUNTIFS('RQ2'!$A$2:$A$455,$A124,'RQ2'!$D$2:$D$455,"")&gt;0,"",INDEX('RQ2'!$D$2:$D$455,MATCH($A124,'RQ2'!$A$2:$A$455,0)))="",IF(COUNTIFS('RQ2'!$A$2:$A$455,$A124,'RQ2'!$E$2:$E$455,"")&gt;0,"",INDEX('RQ2'!$E$2:$E$455,MATCH($A124,'RQ2'!$A$2:$A$455,0)))=""),"PENDIENTE","REGISTRADA")</f>
        <v/>
      </c>
      <c r="E124" s="4">
        <f>IF(IF(COUNTIFS('RQ1'!$A$2:$A$455,$A124,'RQ1'!$N$2:$N$455,"")&gt;0,"",INDEX('RQ1'!$N$2:$N$455,MATCH($A124,'RQ1'!$A$2:$A$455,0)))=1,"REVISAR DETALLE","REGISTRADA")</f>
        <v/>
      </c>
      <c r="F124" s="4">
        <f>IF(IF(COUNTIFS('RQ3'!$A$2:$A$455,$A124,'RQ3'!$P$2:$P$455,"")&gt;0,"",INDEX('RQ3'!$P$2:$P$455,MATCH($A124,'RQ3'!$A$2:$A$455,0)))="","NO REGISTRADO",IF(IF(COUNTIFS('RQ3'!$A$2:$A$455,$A124,'RQ3'!$P$2:$P$455,"")&gt;0,"",INDEX('RQ3'!$P$2:$P$455,MATCH($A124,'RQ3'!$A$2:$A$455,0)))=1,"MARCA ACTIVA","SIN MARCA"))</f>
        <v/>
      </c>
      <c r="G124" s="4">
        <f>IF(IF(COUNTIFS('ESTUDIOS'!$A$2:$A$455,$A124,'ESTUDIOS'!$N$2:$N$455,"")&gt;0,"",INDEX('ESTUDIOS'!$N$2:$N$455,MATCH($A124,'ESTUDIOS'!$A$2:$A$455,0)))="Verified","DOCUMENTADA","NO DOCUMENTADA")</f>
        <v/>
      </c>
      <c r="H124" s="4">
        <f>IF(D124="PENDIENTE","Leer evidencia ya extraída; registrar uso propuesto o evaluado, función, fuente y revisor en RQ2.","Comprobar evidencia y cautelas registradas; documentar verificación sin recodificar lo ya respaldado.")</f>
        <v/>
      </c>
      <c r="I124" s="4" t="inlineStr">
        <is>
          <t>https://doi.org/10.1016/b978-0-12-822822-7.00011-9</t>
        </is>
      </c>
    </row>
    <row r="125" ht="64" customHeight="1">
      <c r="A125" s="4" t="inlineStr">
        <is>
          <t>135</t>
        </is>
      </c>
      <c r="B125" s="4" t="inlineStr">
        <is>
          <t>A Deep Neural Network-Based Model for Screening Autism Spectrum Disorder Using the Quantitative Checklist for Autism in Toddlers (QCHAT)</t>
        </is>
      </c>
      <c r="C125" s="4">
        <f>IF(IF(COUNTIFS('ESTUDIOS'!$A$2:$A$455,$A125,'ESTUDIOS'!$I$2:$I$455,"")&gt;0,"",INDEX('ESTUDIOS'!$I$2:$I$455,MATCH($A125,'ESTUDIOS'!$A$2:$A$455,0)))=1,"1 - Integrity",IF(OR(IF(COUNTIFS('RQ2'!$A$2:$A$455,$A125,'RQ2'!$D$2:$D$455,"")&gt;0,"",INDEX('RQ2'!$D$2:$D$455,MATCH($A125,'RQ2'!$A$2:$A$455,0)))="",IF(COUNTIFS('RQ2'!$A$2:$A$455,$A125,'RQ2'!$E$2:$E$455,"")&gt;0,"",INDEX('RQ2'!$E$2:$E$455,MATCH($A125,'RQ2'!$A$2:$A$455,0)))=""),"2 - RQ2 historical","3 - Verify recorded evidence"))</f>
        <v/>
      </c>
      <c r="D125" s="4">
        <f>IF(OR(IF(COUNTIFS('RQ2'!$A$2:$A$455,$A125,'RQ2'!$D$2:$D$455,"")&gt;0,"",INDEX('RQ2'!$D$2:$D$455,MATCH($A125,'RQ2'!$A$2:$A$455,0)))="",IF(COUNTIFS('RQ2'!$A$2:$A$455,$A125,'RQ2'!$E$2:$E$455,"")&gt;0,"",INDEX('RQ2'!$E$2:$E$455,MATCH($A125,'RQ2'!$A$2:$A$455,0)))=""),"PENDIENTE","REGISTRADA")</f>
        <v/>
      </c>
      <c r="E125" s="4">
        <f>IF(IF(COUNTIFS('RQ1'!$A$2:$A$455,$A125,'RQ1'!$N$2:$N$455,"")&gt;0,"",INDEX('RQ1'!$N$2:$N$455,MATCH($A125,'RQ1'!$A$2:$A$455,0)))=1,"REVISAR DETALLE","REGISTRADA")</f>
        <v/>
      </c>
      <c r="F125" s="4">
        <f>IF(IF(COUNTIFS('RQ3'!$A$2:$A$455,$A125,'RQ3'!$P$2:$P$455,"")&gt;0,"",INDEX('RQ3'!$P$2:$P$455,MATCH($A125,'RQ3'!$A$2:$A$455,0)))="","NO REGISTRADO",IF(IF(COUNTIFS('RQ3'!$A$2:$A$455,$A125,'RQ3'!$P$2:$P$455,"")&gt;0,"",INDEX('RQ3'!$P$2:$P$455,MATCH($A125,'RQ3'!$A$2:$A$455,0)))=1,"MARCA ACTIVA","SIN MARCA"))</f>
        <v/>
      </c>
      <c r="G125" s="4">
        <f>IF(IF(COUNTIFS('ESTUDIOS'!$A$2:$A$455,$A125,'ESTUDIOS'!$N$2:$N$455,"")&gt;0,"",INDEX('ESTUDIOS'!$N$2:$N$455,MATCH($A125,'ESTUDIOS'!$A$2:$A$455,0)))="Verified","DOCUMENTADA","NO DOCUMENTADA")</f>
        <v/>
      </c>
      <c r="H125" s="4">
        <f>IF(D125="PENDIENTE","Leer evidencia ya extraída; registrar uso propuesto o evaluado, función, fuente y revisor en RQ2.","Comprobar evidencia y cautelas registradas; documentar verificación sin recodificar lo ya respaldado.")</f>
        <v/>
      </c>
      <c r="I125" s="4" t="inlineStr">
        <is>
          <t>https://doi.org/10.1007/s10803-021-05141-2</t>
        </is>
      </c>
    </row>
    <row r="126" ht="64" customHeight="1">
      <c r="A126" s="4" t="inlineStr">
        <is>
          <t>136</t>
        </is>
      </c>
      <c r="B126" s="4" t="inlineStr">
        <is>
          <t>A semi-supervised autoencoder for autism disease diagnosis</t>
        </is>
      </c>
      <c r="C126" s="4">
        <f>IF(IF(COUNTIFS('ESTUDIOS'!$A$2:$A$455,$A126,'ESTUDIOS'!$I$2:$I$455,"")&gt;0,"",INDEX('ESTUDIOS'!$I$2:$I$455,MATCH($A126,'ESTUDIOS'!$A$2:$A$455,0)))=1,"1 - Integrity",IF(OR(IF(COUNTIFS('RQ2'!$A$2:$A$455,$A126,'RQ2'!$D$2:$D$455,"")&gt;0,"",INDEX('RQ2'!$D$2:$D$455,MATCH($A126,'RQ2'!$A$2:$A$455,0)))="",IF(COUNTIFS('RQ2'!$A$2:$A$455,$A126,'RQ2'!$E$2:$E$455,"")&gt;0,"",INDEX('RQ2'!$E$2:$E$455,MATCH($A126,'RQ2'!$A$2:$A$455,0)))=""),"2 - RQ2 historical","3 - Verify recorded evidence"))</f>
        <v/>
      </c>
      <c r="D126" s="4">
        <f>IF(OR(IF(COUNTIFS('RQ2'!$A$2:$A$455,$A126,'RQ2'!$D$2:$D$455,"")&gt;0,"",INDEX('RQ2'!$D$2:$D$455,MATCH($A126,'RQ2'!$A$2:$A$455,0)))="",IF(COUNTIFS('RQ2'!$A$2:$A$455,$A126,'RQ2'!$E$2:$E$455,"")&gt;0,"",INDEX('RQ2'!$E$2:$E$455,MATCH($A126,'RQ2'!$A$2:$A$455,0)))=""),"PENDIENTE","REGISTRADA")</f>
        <v/>
      </c>
      <c r="E126" s="4">
        <f>IF(IF(COUNTIFS('RQ1'!$A$2:$A$455,$A126,'RQ1'!$N$2:$N$455,"")&gt;0,"",INDEX('RQ1'!$N$2:$N$455,MATCH($A126,'RQ1'!$A$2:$A$455,0)))=1,"REVISAR DETALLE","REGISTRADA")</f>
        <v/>
      </c>
      <c r="F126" s="4">
        <f>IF(IF(COUNTIFS('RQ3'!$A$2:$A$455,$A126,'RQ3'!$P$2:$P$455,"")&gt;0,"",INDEX('RQ3'!$P$2:$P$455,MATCH($A126,'RQ3'!$A$2:$A$455,0)))="","NO REGISTRADO",IF(IF(COUNTIFS('RQ3'!$A$2:$A$455,$A126,'RQ3'!$P$2:$P$455,"")&gt;0,"",INDEX('RQ3'!$P$2:$P$455,MATCH($A126,'RQ3'!$A$2:$A$455,0)))=1,"MARCA ACTIVA","SIN MARCA"))</f>
        <v/>
      </c>
      <c r="G126" s="4">
        <f>IF(IF(COUNTIFS('ESTUDIOS'!$A$2:$A$455,$A126,'ESTUDIOS'!$N$2:$N$455,"")&gt;0,"",INDEX('ESTUDIOS'!$N$2:$N$455,MATCH($A126,'ESTUDIOS'!$A$2:$A$455,0)))="Verified","DOCUMENTADA","NO DOCUMENTADA")</f>
        <v/>
      </c>
      <c r="H126" s="4">
        <f>IF(D126="PENDIENTE","Leer evidencia ya extraída; registrar uso propuesto o evaluado, función, fuente y revisor en RQ2.","Comprobar evidencia y cautelas registradas; documentar verificación sin recodificar lo ya respaldado.")</f>
        <v/>
      </c>
      <c r="I126" s="4" t="inlineStr">
        <is>
          <t>https://doi.org/10.1016/j.neucom.2022.02.017</t>
        </is>
      </c>
    </row>
    <row r="127" ht="64" customHeight="1">
      <c r="A127" s="4" t="inlineStr">
        <is>
          <t>137</t>
        </is>
      </c>
      <c r="B127" s="4" t="inlineStr">
        <is>
          <t>Applying machine learning on home videos for remote autism diagnosis: Further study and analysis</t>
        </is>
      </c>
      <c r="C127" s="4">
        <f>IF(IF(COUNTIFS('ESTUDIOS'!$A$2:$A$455,$A127,'ESTUDIOS'!$I$2:$I$455,"")&gt;0,"",INDEX('ESTUDIOS'!$I$2:$I$455,MATCH($A127,'ESTUDIOS'!$A$2:$A$455,0)))=1,"1 - Integrity",IF(OR(IF(COUNTIFS('RQ2'!$A$2:$A$455,$A127,'RQ2'!$D$2:$D$455,"")&gt;0,"",INDEX('RQ2'!$D$2:$D$455,MATCH($A127,'RQ2'!$A$2:$A$455,0)))="",IF(COUNTIFS('RQ2'!$A$2:$A$455,$A127,'RQ2'!$E$2:$E$455,"")&gt;0,"",INDEX('RQ2'!$E$2:$E$455,MATCH($A127,'RQ2'!$A$2:$A$455,0)))=""),"2 - RQ2 historical","3 - Verify recorded evidence"))</f>
        <v/>
      </c>
      <c r="D127" s="4">
        <f>IF(OR(IF(COUNTIFS('RQ2'!$A$2:$A$455,$A127,'RQ2'!$D$2:$D$455,"")&gt;0,"",INDEX('RQ2'!$D$2:$D$455,MATCH($A127,'RQ2'!$A$2:$A$455,0)))="",IF(COUNTIFS('RQ2'!$A$2:$A$455,$A127,'RQ2'!$E$2:$E$455,"")&gt;0,"",INDEX('RQ2'!$E$2:$E$455,MATCH($A127,'RQ2'!$A$2:$A$455,0)))=""),"PENDIENTE","REGISTRADA")</f>
        <v/>
      </c>
      <c r="E127" s="4">
        <f>IF(IF(COUNTIFS('RQ1'!$A$2:$A$455,$A127,'RQ1'!$N$2:$N$455,"")&gt;0,"",INDEX('RQ1'!$N$2:$N$455,MATCH($A127,'RQ1'!$A$2:$A$455,0)))=1,"REVISAR DETALLE","REGISTRADA")</f>
        <v/>
      </c>
      <c r="F127" s="4">
        <f>IF(IF(COUNTIFS('RQ3'!$A$2:$A$455,$A127,'RQ3'!$P$2:$P$455,"")&gt;0,"",INDEX('RQ3'!$P$2:$P$455,MATCH($A127,'RQ3'!$A$2:$A$455,0)))="","NO REGISTRADO",IF(IF(COUNTIFS('RQ3'!$A$2:$A$455,$A127,'RQ3'!$P$2:$P$455,"")&gt;0,"",INDEX('RQ3'!$P$2:$P$455,MATCH($A127,'RQ3'!$A$2:$A$455,0)))=1,"MARCA ACTIVA","SIN MARCA"))</f>
        <v/>
      </c>
      <c r="G127" s="4">
        <f>IF(IF(COUNTIFS('ESTUDIOS'!$A$2:$A$455,$A127,'ESTUDIOS'!$N$2:$N$455,"")&gt;0,"",INDEX('ESTUDIOS'!$N$2:$N$455,MATCH($A127,'ESTUDIOS'!$A$2:$A$455,0)))="Verified","DOCUMENTADA","NO DOCUMENTADA")</f>
        <v/>
      </c>
      <c r="H127" s="4">
        <f>IF(D127="PENDIENTE","Leer evidencia ya extraída; registrar uso propuesto o evaluado, función, fuente y revisor en RQ2.","Comprobar evidencia y cautelas registradas; documentar verificación sin recodificar lo ya respaldado.")</f>
        <v/>
      </c>
      <c r="I127" s="4" t="inlineStr">
        <is>
          <t>https://doi.org/10.1177/1460458221991882</t>
        </is>
      </c>
    </row>
    <row r="128" ht="64" customHeight="1">
      <c r="A128" s="4" t="inlineStr">
        <is>
          <t>138</t>
        </is>
      </c>
      <c r="B128" s="4" t="inlineStr">
        <is>
          <t>ASD-SWNet: a novel shared-weight feature extraction and classification network for autism spectrum disorder diagnosis</t>
        </is>
      </c>
      <c r="C128" s="4">
        <f>IF(IF(COUNTIFS('ESTUDIOS'!$A$2:$A$455,$A128,'ESTUDIOS'!$I$2:$I$455,"")&gt;0,"",INDEX('ESTUDIOS'!$I$2:$I$455,MATCH($A128,'ESTUDIOS'!$A$2:$A$455,0)))=1,"1 - Integrity",IF(OR(IF(COUNTIFS('RQ2'!$A$2:$A$455,$A128,'RQ2'!$D$2:$D$455,"")&gt;0,"",INDEX('RQ2'!$D$2:$D$455,MATCH($A128,'RQ2'!$A$2:$A$455,0)))="",IF(COUNTIFS('RQ2'!$A$2:$A$455,$A128,'RQ2'!$E$2:$E$455,"")&gt;0,"",INDEX('RQ2'!$E$2:$E$455,MATCH($A128,'RQ2'!$A$2:$A$455,0)))=""),"2 - RQ2 historical","3 - Verify recorded evidence"))</f>
        <v/>
      </c>
      <c r="D128" s="4">
        <f>IF(OR(IF(COUNTIFS('RQ2'!$A$2:$A$455,$A128,'RQ2'!$D$2:$D$455,"")&gt;0,"",INDEX('RQ2'!$D$2:$D$455,MATCH($A128,'RQ2'!$A$2:$A$455,0)))="",IF(COUNTIFS('RQ2'!$A$2:$A$455,$A128,'RQ2'!$E$2:$E$455,"")&gt;0,"",INDEX('RQ2'!$E$2:$E$455,MATCH($A128,'RQ2'!$A$2:$A$455,0)))=""),"PENDIENTE","REGISTRADA")</f>
        <v/>
      </c>
      <c r="E128" s="4">
        <f>IF(IF(COUNTIFS('RQ1'!$A$2:$A$455,$A128,'RQ1'!$N$2:$N$455,"")&gt;0,"",INDEX('RQ1'!$N$2:$N$455,MATCH($A128,'RQ1'!$A$2:$A$455,0)))=1,"REVISAR DETALLE","REGISTRADA")</f>
        <v/>
      </c>
      <c r="F128" s="4">
        <f>IF(IF(COUNTIFS('RQ3'!$A$2:$A$455,$A128,'RQ3'!$P$2:$P$455,"")&gt;0,"",INDEX('RQ3'!$P$2:$P$455,MATCH($A128,'RQ3'!$A$2:$A$455,0)))="","NO REGISTRADO",IF(IF(COUNTIFS('RQ3'!$A$2:$A$455,$A128,'RQ3'!$P$2:$P$455,"")&gt;0,"",INDEX('RQ3'!$P$2:$P$455,MATCH($A128,'RQ3'!$A$2:$A$455,0)))=1,"MARCA ACTIVA","SIN MARCA"))</f>
        <v/>
      </c>
      <c r="G128" s="4">
        <f>IF(IF(COUNTIFS('ESTUDIOS'!$A$2:$A$455,$A128,'ESTUDIOS'!$N$2:$N$455,"")&gt;0,"",INDEX('ESTUDIOS'!$N$2:$N$455,MATCH($A128,'ESTUDIOS'!$A$2:$A$455,0)))="Verified","DOCUMENTADA","NO DOCUMENTADA")</f>
        <v/>
      </c>
      <c r="H128" s="4">
        <f>IF(D128="PENDIENTE","Leer evidencia ya extraída; registrar uso propuesto o evaluado, función, fuente y revisor en RQ2.","Comprobar evidencia y cautelas registradas; documentar verificación sin recodificar lo ya respaldado.")</f>
        <v/>
      </c>
      <c r="I128" s="4" t="inlineStr">
        <is>
          <t>https://doi.org/10.1038/s41598-024-64299-8</t>
        </is>
      </c>
    </row>
    <row r="129" ht="64" customHeight="1">
      <c r="A129" s="4" t="inlineStr">
        <is>
          <t>140</t>
        </is>
      </c>
      <c r="B129" s="4" t="inlineStr">
        <is>
          <t>Autism spectrum disorder diagnosis based on deep unrolling-based spatial constraint representation.</t>
        </is>
      </c>
      <c r="C129" s="4">
        <f>IF(IF(COUNTIFS('ESTUDIOS'!$A$2:$A$455,$A129,'ESTUDIOS'!$I$2:$I$455,"")&gt;0,"",INDEX('ESTUDIOS'!$I$2:$I$455,MATCH($A129,'ESTUDIOS'!$A$2:$A$455,0)))=1,"1 - Integrity",IF(OR(IF(COUNTIFS('RQ2'!$A$2:$A$455,$A129,'RQ2'!$D$2:$D$455,"")&gt;0,"",INDEX('RQ2'!$D$2:$D$455,MATCH($A129,'RQ2'!$A$2:$A$455,0)))="",IF(COUNTIFS('RQ2'!$A$2:$A$455,$A129,'RQ2'!$E$2:$E$455,"")&gt;0,"",INDEX('RQ2'!$E$2:$E$455,MATCH($A129,'RQ2'!$A$2:$A$455,0)))=""),"2 - RQ2 historical","3 - Verify recorded evidence"))</f>
        <v/>
      </c>
      <c r="D129" s="4">
        <f>IF(OR(IF(COUNTIFS('RQ2'!$A$2:$A$455,$A129,'RQ2'!$D$2:$D$455,"")&gt;0,"",INDEX('RQ2'!$D$2:$D$455,MATCH($A129,'RQ2'!$A$2:$A$455,0)))="",IF(COUNTIFS('RQ2'!$A$2:$A$455,$A129,'RQ2'!$E$2:$E$455,"")&gt;0,"",INDEX('RQ2'!$E$2:$E$455,MATCH($A129,'RQ2'!$A$2:$A$455,0)))=""),"PENDIENTE","REGISTRADA")</f>
        <v/>
      </c>
      <c r="E129" s="4">
        <f>IF(IF(COUNTIFS('RQ1'!$A$2:$A$455,$A129,'RQ1'!$N$2:$N$455,"")&gt;0,"",INDEX('RQ1'!$N$2:$N$455,MATCH($A129,'RQ1'!$A$2:$A$455,0)))=1,"REVISAR DETALLE","REGISTRADA")</f>
        <v/>
      </c>
      <c r="F129" s="4">
        <f>IF(IF(COUNTIFS('RQ3'!$A$2:$A$455,$A129,'RQ3'!$P$2:$P$455,"")&gt;0,"",INDEX('RQ3'!$P$2:$P$455,MATCH($A129,'RQ3'!$A$2:$A$455,0)))="","NO REGISTRADO",IF(IF(COUNTIFS('RQ3'!$A$2:$A$455,$A129,'RQ3'!$P$2:$P$455,"")&gt;0,"",INDEX('RQ3'!$P$2:$P$455,MATCH($A129,'RQ3'!$A$2:$A$455,0)))=1,"MARCA ACTIVA","SIN MARCA"))</f>
        <v/>
      </c>
      <c r="G129" s="4">
        <f>IF(IF(COUNTIFS('ESTUDIOS'!$A$2:$A$455,$A129,'ESTUDIOS'!$N$2:$N$455,"")&gt;0,"",INDEX('ESTUDIOS'!$N$2:$N$455,MATCH($A129,'ESTUDIOS'!$A$2:$A$455,0)))="Verified","DOCUMENTADA","NO DOCUMENTADA")</f>
        <v/>
      </c>
      <c r="H129" s="4">
        <f>IF(D129="PENDIENTE","Leer evidencia ya extraída; registrar uso propuesto o evaluado, función, fuente y revisor en RQ2.","Comprobar evidencia y cautelas registradas; documentar verificación sin recodificar lo ya respaldado.")</f>
        <v/>
      </c>
      <c r="I129" s="4" t="inlineStr">
        <is>
          <t>https://doi.org/10.1007/s11517-023-02859-2</t>
        </is>
      </c>
    </row>
    <row r="130" ht="64" customHeight="1">
      <c r="A130" s="4" t="inlineStr">
        <is>
          <t>141</t>
        </is>
      </c>
      <c r="B130" s="4" t="inlineStr">
        <is>
          <t>Automatic Cry Analysis: Deep Learning for Screening of Autism Spectrum Disorder in Early Childhood</t>
        </is>
      </c>
      <c r="C130" s="4">
        <f>IF(IF(COUNTIFS('ESTUDIOS'!$A$2:$A$455,$A130,'ESTUDIOS'!$I$2:$I$455,"")&gt;0,"",INDEX('ESTUDIOS'!$I$2:$I$455,MATCH($A130,'ESTUDIOS'!$A$2:$A$455,0)))=1,"1 - Integrity",IF(OR(IF(COUNTIFS('RQ2'!$A$2:$A$455,$A130,'RQ2'!$D$2:$D$455,"")&gt;0,"",INDEX('RQ2'!$D$2:$D$455,MATCH($A130,'RQ2'!$A$2:$A$455,0)))="",IF(COUNTIFS('RQ2'!$A$2:$A$455,$A130,'RQ2'!$E$2:$E$455,"")&gt;0,"",INDEX('RQ2'!$E$2:$E$455,MATCH($A130,'RQ2'!$A$2:$A$455,0)))=""),"2 - RQ2 historical","3 - Verify recorded evidence"))</f>
        <v/>
      </c>
      <c r="D130" s="4">
        <f>IF(OR(IF(COUNTIFS('RQ2'!$A$2:$A$455,$A130,'RQ2'!$D$2:$D$455,"")&gt;0,"",INDEX('RQ2'!$D$2:$D$455,MATCH($A130,'RQ2'!$A$2:$A$455,0)))="",IF(COUNTIFS('RQ2'!$A$2:$A$455,$A130,'RQ2'!$E$2:$E$455,"")&gt;0,"",INDEX('RQ2'!$E$2:$E$455,MATCH($A130,'RQ2'!$A$2:$A$455,0)))=""),"PENDIENTE","REGISTRADA")</f>
        <v/>
      </c>
      <c r="E130" s="4">
        <f>IF(IF(COUNTIFS('RQ1'!$A$2:$A$455,$A130,'RQ1'!$N$2:$N$455,"")&gt;0,"",INDEX('RQ1'!$N$2:$N$455,MATCH($A130,'RQ1'!$A$2:$A$455,0)))=1,"REVISAR DETALLE","REGISTRADA")</f>
        <v/>
      </c>
      <c r="F130" s="4">
        <f>IF(IF(COUNTIFS('RQ3'!$A$2:$A$455,$A130,'RQ3'!$P$2:$P$455,"")&gt;0,"",INDEX('RQ3'!$P$2:$P$455,MATCH($A130,'RQ3'!$A$2:$A$455,0)))="","NO REGISTRADO",IF(IF(COUNTIFS('RQ3'!$A$2:$A$455,$A130,'RQ3'!$P$2:$P$455,"")&gt;0,"",INDEX('RQ3'!$P$2:$P$455,MATCH($A130,'RQ3'!$A$2:$A$455,0)))=1,"MARCA ACTIVA","SIN MARCA"))</f>
        <v/>
      </c>
      <c r="G130" s="4">
        <f>IF(IF(COUNTIFS('ESTUDIOS'!$A$2:$A$455,$A130,'ESTUDIOS'!$N$2:$N$455,"")&gt;0,"",INDEX('ESTUDIOS'!$N$2:$N$455,MATCH($A130,'ESTUDIOS'!$A$2:$A$455,0)))="Verified","DOCUMENTADA","NO DOCUMENTADA")</f>
        <v/>
      </c>
      <c r="H130" s="4">
        <f>IF(D130="PENDIENTE","Leer evidencia ya extraída; registrar uso propuesto o evaluado, función, fuente y revisor en RQ2.","Comprobar evidencia y cautelas registradas; documentar verificación sin recodificar lo ya respaldado.")</f>
        <v/>
      </c>
      <c r="I130" s="4" t="inlineStr">
        <is>
          <t>https://doi.org/10.1007/s10803-025-06811-1</t>
        </is>
      </c>
    </row>
    <row r="131" ht="64" customHeight="1">
      <c r="A131" s="4" t="inlineStr">
        <is>
          <t>142</t>
        </is>
      </c>
      <c r="B131" s="4" t="inlineStr">
        <is>
          <t>AV-FOS: Transformer-Based Audio-Visual Multimodal Interaction Style Recognition for Children With Autism Using the Revised Family Observation Schedule 3rd Edition (FOS-R-III)</t>
        </is>
      </c>
      <c r="C131" s="4">
        <f>IF(IF(COUNTIFS('ESTUDIOS'!$A$2:$A$455,$A131,'ESTUDIOS'!$I$2:$I$455,"")&gt;0,"",INDEX('ESTUDIOS'!$I$2:$I$455,MATCH($A131,'ESTUDIOS'!$A$2:$A$455,0)))=1,"1 - Integrity",IF(OR(IF(COUNTIFS('RQ2'!$A$2:$A$455,$A131,'RQ2'!$D$2:$D$455,"")&gt;0,"",INDEX('RQ2'!$D$2:$D$455,MATCH($A131,'RQ2'!$A$2:$A$455,0)))="",IF(COUNTIFS('RQ2'!$A$2:$A$455,$A131,'RQ2'!$E$2:$E$455,"")&gt;0,"",INDEX('RQ2'!$E$2:$E$455,MATCH($A131,'RQ2'!$A$2:$A$455,0)))=""),"2 - RQ2 historical","3 - Verify recorded evidence"))</f>
        <v/>
      </c>
      <c r="D131" s="4">
        <f>IF(OR(IF(COUNTIFS('RQ2'!$A$2:$A$455,$A131,'RQ2'!$D$2:$D$455,"")&gt;0,"",INDEX('RQ2'!$D$2:$D$455,MATCH($A131,'RQ2'!$A$2:$A$455,0)))="",IF(COUNTIFS('RQ2'!$A$2:$A$455,$A131,'RQ2'!$E$2:$E$455,"")&gt;0,"",INDEX('RQ2'!$E$2:$E$455,MATCH($A131,'RQ2'!$A$2:$A$455,0)))=""),"PENDIENTE","REGISTRADA")</f>
        <v/>
      </c>
      <c r="E131" s="4">
        <f>IF(IF(COUNTIFS('RQ1'!$A$2:$A$455,$A131,'RQ1'!$N$2:$N$455,"")&gt;0,"",INDEX('RQ1'!$N$2:$N$455,MATCH($A131,'RQ1'!$A$2:$A$455,0)))=1,"REVISAR DETALLE","REGISTRADA")</f>
        <v/>
      </c>
      <c r="F131" s="4">
        <f>IF(IF(COUNTIFS('RQ3'!$A$2:$A$455,$A131,'RQ3'!$P$2:$P$455,"")&gt;0,"",INDEX('RQ3'!$P$2:$P$455,MATCH($A131,'RQ3'!$A$2:$A$455,0)))="","NO REGISTRADO",IF(IF(COUNTIFS('RQ3'!$A$2:$A$455,$A131,'RQ3'!$P$2:$P$455,"")&gt;0,"",INDEX('RQ3'!$P$2:$P$455,MATCH($A131,'RQ3'!$A$2:$A$455,0)))=1,"MARCA ACTIVA","SIN MARCA"))</f>
        <v/>
      </c>
      <c r="G131" s="4">
        <f>IF(IF(COUNTIFS('ESTUDIOS'!$A$2:$A$455,$A131,'ESTUDIOS'!$N$2:$N$455,"")&gt;0,"",INDEX('ESTUDIOS'!$N$2:$N$455,MATCH($A131,'ESTUDIOS'!$A$2:$A$455,0)))="Verified","DOCUMENTADA","NO DOCUMENTADA")</f>
        <v/>
      </c>
      <c r="H131" s="4">
        <f>IF(D131="PENDIENTE","Leer evidencia ya extraída; registrar uso propuesto o evaluado, función, fuente y revisor en RQ2.","Comprobar evidencia y cautelas registradas; documentar verificación sin recodificar lo ya respaldado.")</f>
        <v/>
      </c>
      <c r="I131" s="4" t="inlineStr">
        <is>
          <t>https://doi.org/10.1109/jbhi.2025.3542066</t>
        </is>
      </c>
    </row>
    <row r="132" ht="64" customHeight="1">
      <c r="A132" s="4" t="inlineStr">
        <is>
          <t>143</t>
        </is>
      </c>
      <c r="B132" s="4" t="inlineStr">
        <is>
          <t>Biomarker prediction in autism spectrum disorder using a network-based approach</t>
        </is>
      </c>
      <c r="C132" s="4">
        <f>IF(IF(COUNTIFS('ESTUDIOS'!$A$2:$A$455,$A132,'ESTUDIOS'!$I$2:$I$455,"")&gt;0,"",INDEX('ESTUDIOS'!$I$2:$I$455,MATCH($A132,'ESTUDIOS'!$A$2:$A$455,0)))=1,"1 - Integrity",IF(OR(IF(COUNTIFS('RQ2'!$A$2:$A$455,$A132,'RQ2'!$D$2:$D$455,"")&gt;0,"",INDEX('RQ2'!$D$2:$D$455,MATCH($A132,'RQ2'!$A$2:$A$455,0)))="",IF(COUNTIFS('RQ2'!$A$2:$A$455,$A132,'RQ2'!$E$2:$E$455,"")&gt;0,"",INDEX('RQ2'!$E$2:$E$455,MATCH($A132,'RQ2'!$A$2:$A$455,0)))=""),"2 - RQ2 historical","3 - Verify recorded evidence"))</f>
        <v/>
      </c>
      <c r="D132" s="4">
        <f>IF(OR(IF(COUNTIFS('RQ2'!$A$2:$A$455,$A132,'RQ2'!$D$2:$D$455,"")&gt;0,"",INDEX('RQ2'!$D$2:$D$455,MATCH($A132,'RQ2'!$A$2:$A$455,0)))="",IF(COUNTIFS('RQ2'!$A$2:$A$455,$A132,'RQ2'!$E$2:$E$455,"")&gt;0,"",INDEX('RQ2'!$E$2:$E$455,MATCH($A132,'RQ2'!$A$2:$A$455,0)))=""),"PENDIENTE","REGISTRADA")</f>
        <v/>
      </c>
      <c r="E132" s="4">
        <f>IF(IF(COUNTIFS('RQ1'!$A$2:$A$455,$A132,'RQ1'!$N$2:$N$455,"")&gt;0,"",INDEX('RQ1'!$N$2:$N$455,MATCH($A132,'RQ1'!$A$2:$A$455,0)))=1,"REVISAR DETALLE","REGISTRADA")</f>
        <v/>
      </c>
      <c r="F132" s="4">
        <f>IF(IF(COUNTIFS('RQ3'!$A$2:$A$455,$A132,'RQ3'!$P$2:$P$455,"")&gt;0,"",INDEX('RQ3'!$P$2:$P$455,MATCH($A132,'RQ3'!$A$2:$A$455,0)))="","NO REGISTRADO",IF(IF(COUNTIFS('RQ3'!$A$2:$A$455,$A132,'RQ3'!$P$2:$P$455,"")&gt;0,"",INDEX('RQ3'!$P$2:$P$455,MATCH($A132,'RQ3'!$A$2:$A$455,0)))=1,"MARCA ACTIVA","SIN MARCA"))</f>
        <v/>
      </c>
      <c r="G132" s="4">
        <f>IF(IF(COUNTIFS('ESTUDIOS'!$A$2:$A$455,$A132,'ESTUDIOS'!$N$2:$N$455,"")&gt;0,"",INDEX('ESTUDIOS'!$N$2:$N$455,MATCH($A132,'ESTUDIOS'!$A$2:$A$455,0)))="Verified","DOCUMENTADA","NO DOCUMENTADA")</f>
        <v/>
      </c>
      <c r="H132" s="4">
        <f>IF(D132="PENDIENTE","Leer evidencia ya extraída; registrar uso propuesto o evaluado, función, fuente y revisor en RQ2.","Comprobar evidencia y cautelas registradas; documentar verificación sin recodificar lo ya respaldado.")</f>
        <v/>
      </c>
      <c r="I132" s="4" t="inlineStr">
        <is>
          <t>https://doi.org/10.1186/s12920-023-01439-5</t>
        </is>
      </c>
    </row>
    <row r="133" ht="64" customHeight="1">
      <c r="A133" s="4" t="inlineStr">
        <is>
          <t>144</t>
        </is>
      </c>
      <c r="B133" s="4" t="inlineStr">
        <is>
          <t>Classifying autism in a clinical population based on motion synchrony: a proof-of-concept study using real-life diagnostic interviews</t>
        </is>
      </c>
      <c r="C133" s="4">
        <f>IF(IF(COUNTIFS('ESTUDIOS'!$A$2:$A$455,$A133,'ESTUDIOS'!$I$2:$I$455,"")&gt;0,"",INDEX('ESTUDIOS'!$I$2:$I$455,MATCH($A133,'ESTUDIOS'!$A$2:$A$455,0)))=1,"1 - Integrity",IF(OR(IF(COUNTIFS('RQ2'!$A$2:$A$455,$A133,'RQ2'!$D$2:$D$455,"")&gt;0,"",INDEX('RQ2'!$D$2:$D$455,MATCH($A133,'RQ2'!$A$2:$A$455,0)))="",IF(COUNTIFS('RQ2'!$A$2:$A$455,$A133,'RQ2'!$E$2:$E$455,"")&gt;0,"",INDEX('RQ2'!$E$2:$E$455,MATCH($A133,'RQ2'!$A$2:$A$455,0)))=""),"2 - RQ2 historical","3 - Verify recorded evidence"))</f>
        <v/>
      </c>
      <c r="D133" s="4">
        <f>IF(OR(IF(COUNTIFS('RQ2'!$A$2:$A$455,$A133,'RQ2'!$D$2:$D$455,"")&gt;0,"",INDEX('RQ2'!$D$2:$D$455,MATCH($A133,'RQ2'!$A$2:$A$455,0)))="",IF(COUNTIFS('RQ2'!$A$2:$A$455,$A133,'RQ2'!$E$2:$E$455,"")&gt;0,"",INDEX('RQ2'!$E$2:$E$455,MATCH($A133,'RQ2'!$A$2:$A$455,0)))=""),"PENDIENTE","REGISTRADA")</f>
        <v/>
      </c>
      <c r="E133" s="4">
        <f>IF(IF(COUNTIFS('RQ1'!$A$2:$A$455,$A133,'RQ1'!$N$2:$N$455,"")&gt;0,"",INDEX('RQ1'!$N$2:$N$455,MATCH($A133,'RQ1'!$A$2:$A$455,0)))=1,"REVISAR DETALLE","REGISTRADA")</f>
        <v/>
      </c>
      <c r="F133" s="4">
        <f>IF(IF(COUNTIFS('RQ3'!$A$2:$A$455,$A133,'RQ3'!$P$2:$P$455,"")&gt;0,"",INDEX('RQ3'!$P$2:$P$455,MATCH($A133,'RQ3'!$A$2:$A$455,0)))="","NO REGISTRADO",IF(IF(COUNTIFS('RQ3'!$A$2:$A$455,$A133,'RQ3'!$P$2:$P$455,"")&gt;0,"",INDEX('RQ3'!$P$2:$P$455,MATCH($A133,'RQ3'!$A$2:$A$455,0)))=1,"MARCA ACTIVA","SIN MARCA"))</f>
        <v/>
      </c>
      <c r="G133" s="4">
        <f>IF(IF(COUNTIFS('ESTUDIOS'!$A$2:$A$455,$A133,'ESTUDIOS'!$N$2:$N$455,"")&gt;0,"",INDEX('ESTUDIOS'!$N$2:$N$455,MATCH($A133,'ESTUDIOS'!$A$2:$A$455,0)))="Verified","DOCUMENTADA","NO DOCUMENTADA")</f>
        <v/>
      </c>
      <c r="H133" s="4">
        <f>IF(D133="PENDIENTE","Leer evidencia ya extraída; registrar uso propuesto o evaluado, función, fuente y revisor en RQ2.","Comprobar evidencia y cautelas registradas; documentar verificación sin recodificar lo ya respaldado.")</f>
        <v/>
      </c>
      <c r="I133" s="4" t="inlineStr">
        <is>
          <t>https://doi.org/10.1038/s41598-024-56098-y</t>
        </is>
      </c>
    </row>
    <row r="134" ht="64" customHeight="1">
      <c r="A134" s="4" t="inlineStr">
        <is>
          <t>145</t>
        </is>
      </c>
      <c r="B134" s="4" t="inlineStr">
        <is>
          <t>Clinical Evaluation of a Novel and Mobile Autism Risk Assessment</t>
        </is>
      </c>
      <c r="C134" s="4">
        <f>IF(IF(COUNTIFS('ESTUDIOS'!$A$2:$A$455,$A134,'ESTUDIOS'!$I$2:$I$455,"")&gt;0,"",INDEX('ESTUDIOS'!$I$2:$I$455,MATCH($A134,'ESTUDIOS'!$A$2:$A$455,0)))=1,"1 - Integrity",IF(OR(IF(COUNTIFS('RQ2'!$A$2:$A$455,$A134,'RQ2'!$D$2:$D$455,"")&gt;0,"",INDEX('RQ2'!$D$2:$D$455,MATCH($A134,'RQ2'!$A$2:$A$455,0)))="",IF(COUNTIFS('RQ2'!$A$2:$A$455,$A134,'RQ2'!$E$2:$E$455,"")&gt;0,"",INDEX('RQ2'!$E$2:$E$455,MATCH($A134,'RQ2'!$A$2:$A$455,0)))=""),"2 - RQ2 historical","3 - Verify recorded evidence"))</f>
        <v/>
      </c>
      <c r="D134" s="4">
        <f>IF(OR(IF(COUNTIFS('RQ2'!$A$2:$A$455,$A134,'RQ2'!$D$2:$D$455,"")&gt;0,"",INDEX('RQ2'!$D$2:$D$455,MATCH($A134,'RQ2'!$A$2:$A$455,0)))="",IF(COUNTIFS('RQ2'!$A$2:$A$455,$A134,'RQ2'!$E$2:$E$455,"")&gt;0,"",INDEX('RQ2'!$E$2:$E$455,MATCH($A134,'RQ2'!$A$2:$A$455,0)))=""),"PENDIENTE","REGISTRADA")</f>
        <v/>
      </c>
      <c r="E134" s="4">
        <f>IF(IF(COUNTIFS('RQ1'!$A$2:$A$455,$A134,'RQ1'!$N$2:$N$455,"")&gt;0,"",INDEX('RQ1'!$N$2:$N$455,MATCH($A134,'RQ1'!$A$2:$A$455,0)))=1,"REVISAR DETALLE","REGISTRADA")</f>
        <v/>
      </c>
      <c r="F134" s="4">
        <f>IF(IF(COUNTIFS('RQ3'!$A$2:$A$455,$A134,'RQ3'!$P$2:$P$455,"")&gt;0,"",INDEX('RQ3'!$P$2:$P$455,MATCH($A134,'RQ3'!$A$2:$A$455,0)))="","NO REGISTRADO",IF(IF(COUNTIFS('RQ3'!$A$2:$A$455,$A134,'RQ3'!$P$2:$P$455,"")&gt;0,"",INDEX('RQ3'!$P$2:$P$455,MATCH($A134,'RQ3'!$A$2:$A$455,0)))=1,"MARCA ACTIVA","SIN MARCA"))</f>
        <v/>
      </c>
      <c r="G134" s="4">
        <f>IF(IF(COUNTIFS('ESTUDIOS'!$A$2:$A$455,$A134,'ESTUDIOS'!$N$2:$N$455,"")&gt;0,"",INDEX('ESTUDIOS'!$N$2:$N$455,MATCH($A134,'ESTUDIOS'!$A$2:$A$455,0)))="Verified","DOCUMENTADA","NO DOCUMENTADA")</f>
        <v/>
      </c>
      <c r="H134" s="4">
        <f>IF(D134="PENDIENTE","Leer evidencia ya extraída; registrar uso propuesto o evaluado, función, fuente y revisor en RQ2.","Comprobar evidencia y cautelas registradas; documentar verificación sin recodificar lo ya respaldado.")</f>
        <v/>
      </c>
      <c r="I134" s="4" t="inlineStr">
        <is>
          <t>https://doi.org/10.1007/s10803-016-2718-4</t>
        </is>
      </c>
    </row>
    <row r="135" ht="64" customHeight="1">
      <c r="A135" s="4" t="inlineStr">
        <is>
          <t>146</t>
        </is>
      </c>
      <c r="B135" s="4" t="inlineStr">
        <is>
          <t>Comparison of classification algorithms for predicting autistic spectrum disorder using WEKA modeler</t>
        </is>
      </c>
      <c r="C135" s="4">
        <f>IF(IF(COUNTIFS('ESTUDIOS'!$A$2:$A$455,$A135,'ESTUDIOS'!$I$2:$I$455,"")&gt;0,"",INDEX('ESTUDIOS'!$I$2:$I$455,MATCH($A135,'ESTUDIOS'!$A$2:$A$455,0)))=1,"1 - Integrity",IF(OR(IF(COUNTIFS('RQ2'!$A$2:$A$455,$A135,'RQ2'!$D$2:$D$455,"")&gt;0,"",INDEX('RQ2'!$D$2:$D$455,MATCH($A135,'RQ2'!$A$2:$A$455,0)))="",IF(COUNTIFS('RQ2'!$A$2:$A$455,$A135,'RQ2'!$E$2:$E$455,"")&gt;0,"",INDEX('RQ2'!$E$2:$E$455,MATCH($A135,'RQ2'!$A$2:$A$455,0)))=""),"2 - RQ2 historical","3 - Verify recorded evidence"))</f>
        <v/>
      </c>
      <c r="D135" s="4">
        <f>IF(OR(IF(COUNTIFS('RQ2'!$A$2:$A$455,$A135,'RQ2'!$D$2:$D$455,"")&gt;0,"",INDEX('RQ2'!$D$2:$D$455,MATCH($A135,'RQ2'!$A$2:$A$455,0)))="",IF(COUNTIFS('RQ2'!$A$2:$A$455,$A135,'RQ2'!$E$2:$E$455,"")&gt;0,"",INDEX('RQ2'!$E$2:$E$455,MATCH($A135,'RQ2'!$A$2:$A$455,0)))=""),"PENDIENTE","REGISTRADA")</f>
        <v/>
      </c>
      <c r="E135" s="4">
        <f>IF(IF(COUNTIFS('RQ1'!$A$2:$A$455,$A135,'RQ1'!$N$2:$N$455,"")&gt;0,"",INDEX('RQ1'!$N$2:$N$455,MATCH($A135,'RQ1'!$A$2:$A$455,0)))=1,"REVISAR DETALLE","REGISTRADA")</f>
        <v/>
      </c>
      <c r="F135" s="4">
        <f>IF(IF(COUNTIFS('RQ3'!$A$2:$A$455,$A135,'RQ3'!$P$2:$P$455,"")&gt;0,"",INDEX('RQ3'!$P$2:$P$455,MATCH($A135,'RQ3'!$A$2:$A$455,0)))="","NO REGISTRADO",IF(IF(COUNTIFS('RQ3'!$A$2:$A$455,$A135,'RQ3'!$P$2:$P$455,"")&gt;0,"",INDEX('RQ3'!$P$2:$P$455,MATCH($A135,'RQ3'!$A$2:$A$455,0)))=1,"MARCA ACTIVA","SIN MARCA"))</f>
        <v/>
      </c>
      <c r="G135" s="4">
        <f>IF(IF(COUNTIFS('ESTUDIOS'!$A$2:$A$455,$A135,'ESTUDIOS'!$N$2:$N$455,"")&gt;0,"",INDEX('ESTUDIOS'!$N$2:$N$455,MATCH($A135,'ESTUDIOS'!$A$2:$A$455,0)))="Verified","DOCUMENTADA","NO DOCUMENTADA")</f>
        <v/>
      </c>
      <c r="H135" s="4">
        <f>IF(D135="PENDIENTE","Leer evidencia ya extraída; registrar uso propuesto o evaluado, función, fuente y revisor en RQ2.","Comprobar evidencia y cautelas registradas; documentar verificación sin recodificar lo ya respaldado.")</f>
        <v/>
      </c>
      <c r="I135" s="4" t="inlineStr">
        <is>
          <t>https://doi.org/10.1186/s12911-022-02050-x</t>
        </is>
      </c>
    </row>
    <row r="136" ht="64" customHeight="1">
      <c r="A136" s="4" t="inlineStr">
        <is>
          <t>147</t>
        </is>
      </c>
      <c r="B136" s="4" t="inlineStr">
        <is>
          <t>DALNN: Dual Attention Learning Neural Network for Diagnosis of Autism Spectrum Disorders and Exploration of Lesion Brain Regions</t>
        </is>
      </c>
      <c r="C136" s="4">
        <f>IF(IF(COUNTIFS('ESTUDIOS'!$A$2:$A$455,$A136,'ESTUDIOS'!$I$2:$I$455,"")&gt;0,"",INDEX('ESTUDIOS'!$I$2:$I$455,MATCH($A136,'ESTUDIOS'!$A$2:$A$455,0)))=1,"1 - Integrity",IF(OR(IF(COUNTIFS('RQ2'!$A$2:$A$455,$A136,'RQ2'!$D$2:$D$455,"")&gt;0,"",INDEX('RQ2'!$D$2:$D$455,MATCH($A136,'RQ2'!$A$2:$A$455,0)))="",IF(COUNTIFS('RQ2'!$A$2:$A$455,$A136,'RQ2'!$E$2:$E$455,"")&gt;0,"",INDEX('RQ2'!$E$2:$E$455,MATCH($A136,'RQ2'!$A$2:$A$455,0)))=""),"2 - RQ2 historical","3 - Verify recorded evidence"))</f>
        <v/>
      </c>
      <c r="D136" s="4">
        <f>IF(OR(IF(COUNTIFS('RQ2'!$A$2:$A$455,$A136,'RQ2'!$D$2:$D$455,"")&gt;0,"",INDEX('RQ2'!$D$2:$D$455,MATCH($A136,'RQ2'!$A$2:$A$455,0)))="",IF(COUNTIFS('RQ2'!$A$2:$A$455,$A136,'RQ2'!$E$2:$E$455,"")&gt;0,"",INDEX('RQ2'!$E$2:$E$455,MATCH($A136,'RQ2'!$A$2:$A$455,0)))=""),"PENDIENTE","REGISTRADA")</f>
        <v/>
      </c>
      <c r="E136" s="4">
        <f>IF(IF(COUNTIFS('RQ1'!$A$2:$A$455,$A136,'RQ1'!$N$2:$N$455,"")&gt;0,"",INDEX('RQ1'!$N$2:$N$455,MATCH($A136,'RQ1'!$A$2:$A$455,0)))=1,"REVISAR DETALLE","REGISTRADA")</f>
        <v/>
      </c>
      <c r="F136" s="4">
        <f>IF(IF(COUNTIFS('RQ3'!$A$2:$A$455,$A136,'RQ3'!$P$2:$P$455,"")&gt;0,"",INDEX('RQ3'!$P$2:$P$455,MATCH($A136,'RQ3'!$A$2:$A$455,0)))="","NO REGISTRADO",IF(IF(COUNTIFS('RQ3'!$A$2:$A$455,$A136,'RQ3'!$P$2:$P$455,"")&gt;0,"",INDEX('RQ3'!$P$2:$P$455,MATCH($A136,'RQ3'!$A$2:$A$455,0)))=1,"MARCA ACTIVA","SIN MARCA"))</f>
        <v/>
      </c>
      <c r="G136" s="4">
        <f>IF(IF(COUNTIFS('ESTUDIOS'!$A$2:$A$455,$A136,'ESTUDIOS'!$N$2:$N$455,"")&gt;0,"",INDEX('ESTUDIOS'!$N$2:$N$455,MATCH($A136,'ESTUDIOS'!$A$2:$A$455,0)))="Verified","DOCUMENTADA","NO DOCUMENTADA")</f>
        <v/>
      </c>
      <c r="H136" s="4">
        <f>IF(D136="PENDIENTE","Leer evidencia ya extraída; registrar uso propuesto o evaluado, función, fuente y revisor en RQ2.","Comprobar evidencia y cautelas registradas; documentar verificación sin recodificar lo ya respaldado.")</f>
        <v/>
      </c>
      <c r="I136" s="4" t="inlineStr">
        <is>
          <t>https://doi.org/10.1109/tcss.2025.3593119</t>
        </is>
      </c>
    </row>
    <row r="137" ht="64" customHeight="1">
      <c r="A137" s="4" t="inlineStr">
        <is>
          <t>148</t>
        </is>
      </c>
      <c r="B137" s="4" t="inlineStr">
        <is>
          <t>Detecting Autism Spectrum Disorder and Attention Deficit Hyperactivity Disorder Using Multimodal Time-Frequency Analysis with Machine Learning Using the Electroretinogram from Two Flash Strengths</t>
        </is>
      </c>
      <c r="C137" s="4">
        <f>IF(IF(COUNTIFS('ESTUDIOS'!$A$2:$A$455,$A137,'ESTUDIOS'!$I$2:$I$455,"")&gt;0,"",INDEX('ESTUDIOS'!$I$2:$I$455,MATCH($A137,'ESTUDIOS'!$A$2:$A$455,0)))=1,"1 - Integrity",IF(OR(IF(COUNTIFS('RQ2'!$A$2:$A$455,$A137,'RQ2'!$D$2:$D$455,"")&gt;0,"",INDEX('RQ2'!$D$2:$D$455,MATCH($A137,'RQ2'!$A$2:$A$455,0)))="",IF(COUNTIFS('RQ2'!$A$2:$A$455,$A137,'RQ2'!$E$2:$E$455,"")&gt;0,"",INDEX('RQ2'!$E$2:$E$455,MATCH($A137,'RQ2'!$A$2:$A$455,0)))=""),"2 - RQ2 historical","3 - Verify recorded evidence"))</f>
        <v/>
      </c>
      <c r="D137" s="4">
        <f>IF(OR(IF(COUNTIFS('RQ2'!$A$2:$A$455,$A137,'RQ2'!$D$2:$D$455,"")&gt;0,"",INDEX('RQ2'!$D$2:$D$455,MATCH($A137,'RQ2'!$A$2:$A$455,0)))="",IF(COUNTIFS('RQ2'!$A$2:$A$455,$A137,'RQ2'!$E$2:$E$455,"")&gt;0,"",INDEX('RQ2'!$E$2:$E$455,MATCH($A137,'RQ2'!$A$2:$A$455,0)))=""),"PENDIENTE","REGISTRADA")</f>
        <v/>
      </c>
      <c r="E137" s="4">
        <f>IF(IF(COUNTIFS('RQ1'!$A$2:$A$455,$A137,'RQ1'!$N$2:$N$455,"")&gt;0,"",INDEX('RQ1'!$N$2:$N$455,MATCH($A137,'RQ1'!$A$2:$A$455,0)))=1,"REVISAR DETALLE","REGISTRADA")</f>
        <v/>
      </c>
      <c r="F137" s="4">
        <f>IF(IF(COUNTIFS('RQ3'!$A$2:$A$455,$A137,'RQ3'!$P$2:$P$455,"")&gt;0,"",INDEX('RQ3'!$P$2:$P$455,MATCH($A137,'RQ3'!$A$2:$A$455,0)))="","NO REGISTRADO",IF(IF(COUNTIFS('RQ3'!$A$2:$A$455,$A137,'RQ3'!$P$2:$P$455,"")&gt;0,"",INDEX('RQ3'!$P$2:$P$455,MATCH($A137,'RQ3'!$A$2:$A$455,0)))=1,"MARCA ACTIVA","SIN MARCA"))</f>
        <v/>
      </c>
      <c r="G137" s="4">
        <f>IF(IF(COUNTIFS('ESTUDIOS'!$A$2:$A$455,$A137,'ESTUDIOS'!$N$2:$N$455,"")&gt;0,"",INDEX('ESTUDIOS'!$N$2:$N$455,MATCH($A137,'ESTUDIOS'!$A$2:$A$455,0)))="Verified","DOCUMENTADA","NO DOCUMENTADA")</f>
        <v/>
      </c>
      <c r="H137" s="4">
        <f>IF(D137="PENDIENTE","Leer evidencia ya extraída; registrar uso propuesto o evaluado, función, fuente y revisor en RQ2.","Comprobar evidencia y cautelas registradas; documentar verificación sin recodificar lo ya respaldado.")</f>
        <v/>
      </c>
      <c r="I137" s="4" t="inlineStr">
        <is>
          <t>https://doi.org/10.1007/s10803-024-06290-w</t>
        </is>
      </c>
    </row>
    <row r="138" ht="64" customHeight="1">
      <c r="A138" s="4" t="inlineStr">
        <is>
          <t>149</t>
        </is>
      </c>
      <c r="B138" s="4" t="inlineStr">
        <is>
          <t>Diagnostic classification for human autism and obsessive-compulsive disorder based on machine learning from a primate genetic model</t>
        </is>
      </c>
      <c r="C138" s="4">
        <f>IF(IF(COUNTIFS('ESTUDIOS'!$A$2:$A$455,$A138,'ESTUDIOS'!$I$2:$I$455,"")&gt;0,"",INDEX('ESTUDIOS'!$I$2:$I$455,MATCH($A138,'ESTUDIOS'!$A$2:$A$455,0)))=1,"1 - Integrity",IF(OR(IF(COUNTIFS('RQ2'!$A$2:$A$455,$A138,'RQ2'!$D$2:$D$455,"")&gt;0,"",INDEX('RQ2'!$D$2:$D$455,MATCH($A138,'RQ2'!$A$2:$A$455,0)))="",IF(COUNTIFS('RQ2'!$A$2:$A$455,$A138,'RQ2'!$E$2:$E$455,"")&gt;0,"",INDEX('RQ2'!$E$2:$E$455,MATCH($A138,'RQ2'!$A$2:$A$455,0)))=""),"2 - RQ2 historical","3 - Verify recorded evidence"))</f>
        <v/>
      </c>
      <c r="D138" s="4">
        <f>IF(OR(IF(COUNTIFS('RQ2'!$A$2:$A$455,$A138,'RQ2'!$D$2:$D$455,"")&gt;0,"",INDEX('RQ2'!$D$2:$D$455,MATCH($A138,'RQ2'!$A$2:$A$455,0)))="",IF(COUNTIFS('RQ2'!$A$2:$A$455,$A138,'RQ2'!$E$2:$E$455,"")&gt;0,"",INDEX('RQ2'!$E$2:$E$455,MATCH($A138,'RQ2'!$A$2:$A$455,0)))=""),"PENDIENTE","REGISTRADA")</f>
        <v/>
      </c>
      <c r="E138" s="4">
        <f>IF(IF(COUNTIFS('RQ1'!$A$2:$A$455,$A138,'RQ1'!$N$2:$N$455,"")&gt;0,"",INDEX('RQ1'!$N$2:$N$455,MATCH($A138,'RQ1'!$A$2:$A$455,0)))=1,"REVISAR DETALLE","REGISTRADA")</f>
        <v/>
      </c>
      <c r="F138" s="4">
        <f>IF(IF(COUNTIFS('RQ3'!$A$2:$A$455,$A138,'RQ3'!$P$2:$P$455,"")&gt;0,"",INDEX('RQ3'!$P$2:$P$455,MATCH($A138,'RQ3'!$A$2:$A$455,0)))="","NO REGISTRADO",IF(IF(COUNTIFS('RQ3'!$A$2:$A$455,$A138,'RQ3'!$P$2:$P$455,"")&gt;0,"",INDEX('RQ3'!$P$2:$P$455,MATCH($A138,'RQ3'!$A$2:$A$455,0)))=1,"MARCA ACTIVA","SIN MARCA"))</f>
        <v/>
      </c>
      <c r="G138" s="4">
        <f>IF(IF(COUNTIFS('ESTUDIOS'!$A$2:$A$455,$A138,'ESTUDIOS'!$N$2:$N$455,"")&gt;0,"",INDEX('ESTUDIOS'!$N$2:$N$455,MATCH($A138,'ESTUDIOS'!$A$2:$A$455,0)))="Verified","DOCUMENTADA","NO DOCUMENTADA")</f>
        <v/>
      </c>
      <c r="H138" s="4">
        <f>IF(D138="PENDIENTE","Leer evidencia ya extraída; registrar uso propuesto o evaluado, función, fuente y revisor en RQ2.","Comprobar evidencia y cautelas registradas; documentar verificación sin recodificar lo ya respaldado.")</f>
        <v/>
      </c>
      <c r="I138" s="4" t="inlineStr">
        <is>
          <t>https://doi.org/10.1176/appi.ajp.2020.19101091</t>
        </is>
      </c>
    </row>
    <row r="139" ht="64" customHeight="1">
      <c r="A139" s="4" t="inlineStr">
        <is>
          <t>150</t>
        </is>
      </c>
      <c r="B139" s="4" t="inlineStr">
        <is>
          <t>Diagnostic shifts in autism spectrum disorder can be linked to the fuzzy nature of the diagnostic boundary: a data-driven approach</t>
        </is>
      </c>
      <c r="C139" s="4">
        <f>IF(IF(COUNTIFS('ESTUDIOS'!$A$2:$A$455,$A139,'ESTUDIOS'!$I$2:$I$455,"")&gt;0,"",INDEX('ESTUDIOS'!$I$2:$I$455,MATCH($A139,'ESTUDIOS'!$A$2:$A$455,0)))=1,"1 - Integrity",IF(OR(IF(COUNTIFS('RQ2'!$A$2:$A$455,$A139,'RQ2'!$D$2:$D$455,"")&gt;0,"",INDEX('RQ2'!$D$2:$D$455,MATCH($A139,'RQ2'!$A$2:$A$455,0)))="",IF(COUNTIFS('RQ2'!$A$2:$A$455,$A139,'RQ2'!$E$2:$E$455,"")&gt;0,"",INDEX('RQ2'!$E$2:$E$455,MATCH($A139,'RQ2'!$A$2:$A$455,0)))=""),"2 - RQ2 historical","3 - Verify recorded evidence"))</f>
        <v/>
      </c>
      <c r="D139" s="4">
        <f>IF(OR(IF(COUNTIFS('RQ2'!$A$2:$A$455,$A139,'RQ2'!$D$2:$D$455,"")&gt;0,"",INDEX('RQ2'!$D$2:$D$455,MATCH($A139,'RQ2'!$A$2:$A$455,0)))="",IF(COUNTIFS('RQ2'!$A$2:$A$455,$A139,'RQ2'!$E$2:$E$455,"")&gt;0,"",INDEX('RQ2'!$E$2:$E$455,MATCH($A139,'RQ2'!$A$2:$A$455,0)))=""),"PENDIENTE","REGISTRADA")</f>
        <v/>
      </c>
      <c r="E139" s="4">
        <f>IF(IF(COUNTIFS('RQ1'!$A$2:$A$455,$A139,'RQ1'!$N$2:$N$455,"")&gt;0,"",INDEX('RQ1'!$N$2:$N$455,MATCH($A139,'RQ1'!$A$2:$A$455,0)))=1,"REVISAR DETALLE","REGISTRADA")</f>
        <v/>
      </c>
      <c r="F139" s="4">
        <f>IF(IF(COUNTIFS('RQ3'!$A$2:$A$455,$A139,'RQ3'!$P$2:$P$455,"")&gt;0,"",INDEX('RQ3'!$P$2:$P$455,MATCH($A139,'RQ3'!$A$2:$A$455,0)))="","NO REGISTRADO",IF(IF(COUNTIFS('RQ3'!$A$2:$A$455,$A139,'RQ3'!$P$2:$P$455,"")&gt;0,"",INDEX('RQ3'!$P$2:$P$455,MATCH($A139,'RQ3'!$A$2:$A$455,0)))=1,"MARCA ACTIVA","SIN MARCA"))</f>
        <v/>
      </c>
      <c r="G139" s="4">
        <f>IF(IF(COUNTIFS('ESTUDIOS'!$A$2:$A$455,$A139,'ESTUDIOS'!$N$2:$N$455,"")&gt;0,"",INDEX('ESTUDIOS'!$N$2:$N$455,MATCH($A139,'ESTUDIOS'!$A$2:$A$455,0)))="Verified","DOCUMENTADA","NO DOCUMENTADA")</f>
        <v/>
      </c>
      <c r="H139" s="4">
        <f>IF(D139="PENDIENTE","Leer evidencia ya extraída; registrar uso propuesto o evaluado, función, fuente y revisor en RQ2.","Comprobar evidencia y cautelas registradas; documentar verificación sin recodificar lo ya respaldado.")</f>
        <v/>
      </c>
      <c r="I139" s="4" t="inlineStr">
        <is>
          <t>https://doi.org/10.1111/jcpp.13406</t>
        </is>
      </c>
    </row>
    <row r="140" ht="64" customHeight="1">
      <c r="A140" s="4" t="inlineStr">
        <is>
          <t>151</t>
        </is>
      </c>
      <c r="B140" s="4" t="inlineStr">
        <is>
          <t>Early identification of autism spectrum disorder by multi-instrument fusion: A clinically applicable machine learning approach</t>
        </is>
      </c>
      <c r="C140" s="4">
        <f>IF(IF(COUNTIFS('ESTUDIOS'!$A$2:$A$455,$A140,'ESTUDIOS'!$I$2:$I$455,"")&gt;0,"",INDEX('ESTUDIOS'!$I$2:$I$455,MATCH($A140,'ESTUDIOS'!$A$2:$A$455,0)))=1,"1 - Integrity",IF(OR(IF(COUNTIFS('RQ2'!$A$2:$A$455,$A140,'RQ2'!$D$2:$D$455,"")&gt;0,"",INDEX('RQ2'!$D$2:$D$455,MATCH($A140,'RQ2'!$A$2:$A$455,0)))="",IF(COUNTIFS('RQ2'!$A$2:$A$455,$A140,'RQ2'!$E$2:$E$455,"")&gt;0,"",INDEX('RQ2'!$E$2:$E$455,MATCH($A140,'RQ2'!$A$2:$A$455,0)))=""),"2 - RQ2 historical","3 - Verify recorded evidence"))</f>
        <v/>
      </c>
      <c r="D140" s="4">
        <f>IF(OR(IF(COUNTIFS('RQ2'!$A$2:$A$455,$A140,'RQ2'!$D$2:$D$455,"")&gt;0,"",INDEX('RQ2'!$D$2:$D$455,MATCH($A140,'RQ2'!$A$2:$A$455,0)))="",IF(COUNTIFS('RQ2'!$A$2:$A$455,$A140,'RQ2'!$E$2:$E$455,"")&gt;0,"",INDEX('RQ2'!$E$2:$E$455,MATCH($A140,'RQ2'!$A$2:$A$455,0)))=""),"PENDIENTE","REGISTRADA")</f>
        <v/>
      </c>
      <c r="E140" s="4">
        <f>IF(IF(COUNTIFS('RQ1'!$A$2:$A$455,$A140,'RQ1'!$N$2:$N$455,"")&gt;0,"",INDEX('RQ1'!$N$2:$N$455,MATCH($A140,'RQ1'!$A$2:$A$455,0)))=1,"REVISAR DETALLE","REGISTRADA")</f>
        <v/>
      </c>
      <c r="F140" s="4">
        <f>IF(IF(COUNTIFS('RQ3'!$A$2:$A$455,$A140,'RQ3'!$P$2:$P$455,"")&gt;0,"",INDEX('RQ3'!$P$2:$P$455,MATCH($A140,'RQ3'!$A$2:$A$455,0)))="","NO REGISTRADO",IF(IF(COUNTIFS('RQ3'!$A$2:$A$455,$A140,'RQ3'!$P$2:$P$455,"")&gt;0,"",INDEX('RQ3'!$P$2:$P$455,MATCH($A140,'RQ3'!$A$2:$A$455,0)))=1,"MARCA ACTIVA","SIN MARCA"))</f>
        <v/>
      </c>
      <c r="G140" s="4">
        <f>IF(IF(COUNTIFS('ESTUDIOS'!$A$2:$A$455,$A140,'ESTUDIOS'!$N$2:$N$455,"")&gt;0,"",INDEX('ESTUDIOS'!$N$2:$N$455,MATCH($A140,'ESTUDIOS'!$A$2:$A$455,0)))="Verified","DOCUMENTADA","NO DOCUMENTADA")</f>
        <v/>
      </c>
      <c r="H140" s="4">
        <f>IF(D140="PENDIENTE","Leer evidencia ya extraída; registrar uso propuesto o evaluado, función, fuente y revisor en RQ2.","Comprobar evidencia y cautelas registradas; documentar verificación sin recodificar lo ya respaldado.")</f>
        <v/>
      </c>
      <c r="I140" s="4" t="inlineStr">
        <is>
          <t>https://doi.org/10.1016/j.psychres.2023.115050</t>
        </is>
      </c>
    </row>
    <row r="141" ht="64" customHeight="1">
      <c r="A141" s="4" t="inlineStr">
        <is>
          <t>152</t>
        </is>
      </c>
      <c r="B141" s="4" t="inlineStr">
        <is>
          <t>Early screening of autism spectrum disorder diagnoses of children using artificial intelligence</t>
        </is>
      </c>
      <c r="C141" s="4">
        <f>IF(IF(COUNTIFS('ESTUDIOS'!$A$2:$A$455,$A141,'ESTUDIOS'!$I$2:$I$455,"")&gt;0,"",INDEX('ESTUDIOS'!$I$2:$I$455,MATCH($A141,'ESTUDIOS'!$A$2:$A$455,0)))=1,"1 - Integrity",IF(OR(IF(COUNTIFS('RQ2'!$A$2:$A$455,$A141,'RQ2'!$D$2:$D$455,"")&gt;0,"",INDEX('RQ2'!$D$2:$D$455,MATCH($A141,'RQ2'!$A$2:$A$455,0)))="",IF(COUNTIFS('RQ2'!$A$2:$A$455,$A141,'RQ2'!$E$2:$E$455,"")&gt;0,"",INDEX('RQ2'!$E$2:$E$455,MATCH($A141,'RQ2'!$A$2:$A$455,0)))=""),"2 - RQ2 historical","3 - Verify recorded evidence"))</f>
        <v/>
      </c>
      <c r="D141" s="4">
        <f>IF(OR(IF(COUNTIFS('RQ2'!$A$2:$A$455,$A141,'RQ2'!$D$2:$D$455,"")&gt;0,"",INDEX('RQ2'!$D$2:$D$455,MATCH($A141,'RQ2'!$A$2:$A$455,0)))="",IF(COUNTIFS('RQ2'!$A$2:$A$455,$A141,'RQ2'!$E$2:$E$455,"")&gt;0,"",INDEX('RQ2'!$E$2:$E$455,MATCH($A141,'RQ2'!$A$2:$A$455,0)))=""),"PENDIENTE","REGISTRADA")</f>
        <v/>
      </c>
      <c r="E141" s="4">
        <f>IF(IF(COUNTIFS('RQ1'!$A$2:$A$455,$A141,'RQ1'!$N$2:$N$455,"")&gt;0,"",INDEX('RQ1'!$N$2:$N$455,MATCH($A141,'RQ1'!$A$2:$A$455,0)))=1,"REVISAR DETALLE","REGISTRADA")</f>
        <v/>
      </c>
      <c r="F141" s="4">
        <f>IF(IF(COUNTIFS('RQ3'!$A$2:$A$455,$A141,'RQ3'!$P$2:$P$455,"")&gt;0,"",INDEX('RQ3'!$P$2:$P$455,MATCH($A141,'RQ3'!$A$2:$A$455,0)))="","NO REGISTRADO",IF(IF(COUNTIFS('RQ3'!$A$2:$A$455,$A141,'RQ3'!$P$2:$P$455,"")&gt;0,"",INDEX('RQ3'!$P$2:$P$455,MATCH($A141,'RQ3'!$A$2:$A$455,0)))=1,"MARCA ACTIVA","SIN MARCA"))</f>
        <v/>
      </c>
      <c r="G141" s="4">
        <f>IF(IF(COUNTIFS('ESTUDIOS'!$A$2:$A$455,$A141,'ESTUDIOS'!$N$2:$N$455,"")&gt;0,"",INDEX('ESTUDIOS'!$N$2:$N$455,MATCH($A141,'ESTUDIOS'!$A$2:$A$455,0)))="Verified","DOCUMENTADA","NO DOCUMENTADA")</f>
        <v/>
      </c>
      <c r="H141" s="4">
        <f>IF(D141="PENDIENTE","Leer evidencia ya extraída; registrar uso propuesto o evaluado, función, fuente y revisor en RQ2.","Comprobar evidencia y cautelas registradas; documentar verificación sin recodificar lo ya respaldado.")</f>
        <v/>
      </c>
      <c r="I141" s="4" t="inlineStr">
        <is>
          <t>https://doi.org/10.57197/jdr-2023-0004</t>
        </is>
      </c>
    </row>
    <row r="142" ht="64" customHeight="1">
      <c r="A142" s="4" t="inlineStr">
        <is>
          <t>153</t>
        </is>
      </c>
      <c r="B142" s="4" t="inlineStr">
        <is>
          <t>Enhanced Special Needs Assessment: A Multimodal Approach for Autism Prediction</t>
        </is>
      </c>
      <c r="C142" s="4">
        <f>IF(IF(COUNTIFS('ESTUDIOS'!$A$2:$A$455,$A142,'ESTUDIOS'!$I$2:$I$455,"")&gt;0,"",INDEX('ESTUDIOS'!$I$2:$I$455,MATCH($A142,'ESTUDIOS'!$A$2:$A$455,0)))=1,"1 - Integrity",IF(OR(IF(COUNTIFS('RQ2'!$A$2:$A$455,$A142,'RQ2'!$D$2:$D$455,"")&gt;0,"",INDEX('RQ2'!$D$2:$D$455,MATCH($A142,'RQ2'!$A$2:$A$455,0)))="",IF(COUNTIFS('RQ2'!$A$2:$A$455,$A142,'RQ2'!$E$2:$E$455,"")&gt;0,"",INDEX('RQ2'!$E$2:$E$455,MATCH($A142,'RQ2'!$A$2:$A$455,0)))=""),"2 - RQ2 historical","3 - Verify recorded evidence"))</f>
        <v/>
      </c>
      <c r="D142" s="4">
        <f>IF(OR(IF(COUNTIFS('RQ2'!$A$2:$A$455,$A142,'RQ2'!$D$2:$D$455,"")&gt;0,"",INDEX('RQ2'!$D$2:$D$455,MATCH($A142,'RQ2'!$A$2:$A$455,0)))="",IF(COUNTIFS('RQ2'!$A$2:$A$455,$A142,'RQ2'!$E$2:$E$455,"")&gt;0,"",INDEX('RQ2'!$E$2:$E$455,MATCH($A142,'RQ2'!$A$2:$A$455,0)))=""),"PENDIENTE","REGISTRADA")</f>
        <v/>
      </c>
      <c r="E142" s="4">
        <f>IF(IF(COUNTIFS('RQ1'!$A$2:$A$455,$A142,'RQ1'!$N$2:$N$455,"")&gt;0,"",INDEX('RQ1'!$N$2:$N$455,MATCH($A142,'RQ1'!$A$2:$A$455,0)))=1,"REVISAR DETALLE","REGISTRADA")</f>
        <v/>
      </c>
      <c r="F142" s="4">
        <f>IF(IF(COUNTIFS('RQ3'!$A$2:$A$455,$A142,'RQ3'!$P$2:$P$455,"")&gt;0,"",INDEX('RQ3'!$P$2:$P$455,MATCH($A142,'RQ3'!$A$2:$A$455,0)))="","NO REGISTRADO",IF(IF(COUNTIFS('RQ3'!$A$2:$A$455,$A142,'RQ3'!$P$2:$P$455,"")&gt;0,"",INDEX('RQ3'!$P$2:$P$455,MATCH($A142,'RQ3'!$A$2:$A$455,0)))=1,"MARCA ACTIVA","SIN MARCA"))</f>
        <v/>
      </c>
      <c r="G142" s="4">
        <f>IF(IF(COUNTIFS('ESTUDIOS'!$A$2:$A$455,$A142,'ESTUDIOS'!$N$2:$N$455,"")&gt;0,"",INDEX('ESTUDIOS'!$N$2:$N$455,MATCH($A142,'ESTUDIOS'!$A$2:$A$455,0)))="Verified","DOCUMENTADA","NO DOCUMENTADA")</f>
        <v/>
      </c>
      <c r="H142" s="4">
        <f>IF(D142="PENDIENTE","Leer evidencia ya extraída; registrar uso propuesto o evaluado, función, fuente y revisor en RQ2.","Comprobar evidencia y cautelas registradas; documentar verificación sin recodificar lo ya respaldado.")</f>
        <v/>
      </c>
      <c r="I142" s="4" t="inlineStr">
        <is>
          <t>https://doi.org/10.1109/access.2024.3453440</t>
        </is>
      </c>
    </row>
    <row r="143" ht="64" customHeight="1">
      <c r="A143" s="4" t="inlineStr">
        <is>
          <t>154</t>
        </is>
      </c>
      <c r="B143" s="4" t="inlineStr">
        <is>
          <t>Enhancing Early Diagnosis of Autism Spectrum Disorder in Children: A Comparative Analysis of Machine Learning Techniques</t>
        </is>
      </c>
      <c r="C143" s="4">
        <f>IF(IF(COUNTIFS('ESTUDIOS'!$A$2:$A$455,$A143,'ESTUDIOS'!$I$2:$I$455,"")&gt;0,"",INDEX('ESTUDIOS'!$I$2:$I$455,MATCH($A143,'ESTUDIOS'!$A$2:$A$455,0)))=1,"1 - Integrity",IF(OR(IF(COUNTIFS('RQ2'!$A$2:$A$455,$A143,'RQ2'!$D$2:$D$455,"")&gt;0,"",INDEX('RQ2'!$D$2:$D$455,MATCH($A143,'RQ2'!$A$2:$A$455,0)))="",IF(COUNTIFS('RQ2'!$A$2:$A$455,$A143,'RQ2'!$E$2:$E$455,"")&gt;0,"",INDEX('RQ2'!$E$2:$E$455,MATCH($A143,'RQ2'!$A$2:$A$455,0)))=""),"2 - RQ2 historical","3 - Verify recorded evidence"))</f>
        <v/>
      </c>
      <c r="D143" s="4">
        <f>IF(OR(IF(COUNTIFS('RQ2'!$A$2:$A$455,$A143,'RQ2'!$D$2:$D$455,"")&gt;0,"",INDEX('RQ2'!$D$2:$D$455,MATCH($A143,'RQ2'!$A$2:$A$455,0)))="",IF(COUNTIFS('RQ2'!$A$2:$A$455,$A143,'RQ2'!$E$2:$E$455,"")&gt;0,"",INDEX('RQ2'!$E$2:$E$455,MATCH($A143,'RQ2'!$A$2:$A$455,0)))=""),"PENDIENTE","REGISTRADA")</f>
        <v/>
      </c>
      <c r="E143" s="4">
        <f>IF(IF(COUNTIFS('RQ1'!$A$2:$A$455,$A143,'RQ1'!$N$2:$N$455,"")&gt;0,"",INDEX('RQ1'!$N$2:$N$455,MATCH($A143,'RQ1'!$A$2:$A$455,0)))=1,"REVISAR DETALLE","REGISTRADA")</f>
        <v/>
      </c>
      <c r="F143" s="4">
        <f>IF(IF(COUNTIFS('RQ3'!$A$2:$A$455,$A143,'RQ3'!$P$2:$P$455,"")&gt;0,"",INDEX('RQ3'!$P$2:$P$455,MATCH($A143,'RQ3'!$A$2:$A$455,0)))="","NO REGISTRADO",IF(IF(COUNTIFS('RQ3'!$A$2:$A$455,$A143,'RQ3'!$P$2:$P$455,"")&gt;0,"",INDEX('RQ3'!$P$2:$P$455,MATCH($A143,'RQ3'!$A$2:$A$455,0)))=1,"MARCA ACTIVA","SIN MARCA"))</f>
        <v/>
      </c>
      <c r="G143" s="4">
        <f>IF(IF(COUNTIFS('ESTUDIOS'!$A$2:$A$455,$A143,'ESTUDIOS'!$N$2:$N$455,"")&gt;0,"",INDEX('ESTUDIOS'!$N$2:$N$455,MATCH($A143,'ESTUDIOS'!$A$2:$A$455,0)))="Verified","DOCUMENTADA","NO DOCUMENTADA")</f>
        <v/>
      </c>
      <c r="H143" s="4">
        <f>IF(D143="PENDIENTE","Leer evidencia ya extraída; registrar uso propuesto o evaluado, función, fuente y revisor en RQ2.","Comprobar evidencia y cautelas registradas; documentar verificación sin recodificar lo ya respaldado.")</f>
        <v/>
      </c>
      <c r="I143" s="4" t="inlineStr">
        <is>
          <t>https://doi.org/10.1007/978-981-97-6995-7_34</t>
        </is>
      </c>
    </row>
    <row r="144" ht="64" customHeight="1">
      <c r="A144" s="4" t="inlineStr">
        <is>
          <t>155</t>
        </is>
      </c>
      <c r="B144" s="4" t="inlineStr">
        <is>
          <t>Evaluation of AI tools for healthcare networks at the cloud-edge interaction to diagnose autism in educational environments</t>
        </is>
      </c>
      <c r="C144" s="4">
        <f>IF(IF(COUNTIFS('ESTUDIOS'!$A$2:$A$455,$A144,'ESTUDIOS'!$I$2:$I$455,"")&gt;0,"",INDEX('ESTUDIOS'!$I$2:$I$455,MATCH($A144,'ESTUDIOS'!$A$2:$A$455,0)))=1,"1 - Integrity",IF(OR(IF(COUNTIFS('RQ2'!$A$2:$A$455,$A144,'RQ2'!$D$2:$D$455,"")&gt;0,"",INDEX('RQ2'!$D$2:$D$455,MATCH($A144,'RQ2'!$A$2:$A$455,0)))="",IF(COUNTIFS('RQ2'!$A$2:$A$455,$A144,'RQ2'!$E$2:$E$455,"")&gt;0,"",INDEX('RQ2'!$E$2:$E$455,MATCH($A144,'RQ2'!$A$2:$A$455,0)))=""),"2 - RQ2 historical","3 - Verify recorded evidence"))</f>
        <v/>
      </c>
      <c r="D144" s="4">
        <f>IF(OR(IF(COUNTIFS('RQ2'!$A$2:$A$455,$A144,'RQ2'!$D$2:$D$455,"")&gt;0,"",INDEX('RQ2'!$D$2:$D$455,MATCH($A144,'RQ2'!$A$2:$A$455,0)))="",IF(COUNTIFS('RQ2'!$A$2:$A$455,$A144,'RQ2'!$E$2:$E$455,"")&gt;0,"",INDEX('RQ2'!$E$2:$E$455,MATCH($A144,'RQ2'!$A$2:$A$455,0)))=""),"PENDIENTE","REGISTRADA")</f>
        <v/>
      </c>
      <c r="E144" s="4">
        <f>IF(IF(COUNTIFS('RQ1'!$A$2:$A$455,$A144,'RQ1'!$N$2:$N$455,"")&gt;0,"",INDEX('RQ1'!$N$2:$N$455,MATCH($A144,'RQ1'!$A$2:$A$455,0)))=1,"REVISAR DETALLE","REGISTRADA")</f>
        <v/>
      </c>
      <c r="F144" s="4">
        <f>IF(IF(COUNTIFS('RQ3'!$A$2:$A$455,$A144,'RQ3'!$P$2:$P$455,"")&gt;0,"",INDEX('RQ3'!$P$2:$P$455,MATCH($A144,'RQ3'!$A$2:$A$455,0)))="","NO REGISTRADO",IF(IF(COUNTIFS('RQ3'!$A$2:$A$455,$A144,'RQ3'!$P$2:$P$455,"")&gt;0,"",INDEX('RQ3'!$P$2:$P$455,MATCH($A144,'RQ3'!$A$2:$A$455,0)))=1,"MARCA ACTIVA","SIN MARCA"))</f>
        <v/>
      </c>
      <c r="G144" s="4">
        <f>IF(IF(COUNTIFS('ESTUDIOS'!$A$2:$A$455,$A144,'ESTUDIOS'!$N$2:$N$455,"")&gt;0,"",INDEX('ESTUDIOS'!$N$2:$N$455,MATCH($A144,'ESTUDIOS'!$A$2:$A$455,0)))="Verified","DOCUMENTADA","NO DOCUMENTADA")</f>
        <v/>
      </c>
      <c r="H144" s="4">
        <f>IF(D144="PENDIENTE","Leer evidencia ya extraída; registrar uso propuesto o evaluado, función, fuente y revisor en RQ2.","Comprobar evidencia y cautelas registradas; documentar verificación sin recodificar lo ya respaldado.")</f>
        <v/>
      </c>
      <c r="I144" s="4" t="inlineStr">
        <is>
          <t>https://doi.org/10.1186/s13677-023-00558-9</t>
        </is>
      </c>
    </row>
    <row r="145" ht="64" customHeight="1">
      <c r="A145" s="4" t="inlineStr">
        <is>
          <t>156</t>
        </is>
      </c>
      <c r="B145" s="4" t="inlineStr">
        <is>
          <t>Exploring sMRI Biomarkers for Diagnosis of Autism Spectrum Disorders Based on Multi Class Activation Mapping Models</t>
        </is>
      </c>
      <c r="C145" s="4">
        <f>IF(IF(COUNTIFS('ESTUDIOS'!$A$2:$A$455,$A145,'ESTUDIOS'!$I$2:$I$455,"")&gt;0,"",INDEX('ESTUDIOS'!$I$2:$I$455,MATCH($A145,'ESTUDIOS'!$A$2:$A$455,0)))=1,"1 - Integrity",IF(OR(IF(COUNTIFS('RQ2'!$A$2:$A$455,$A145,'RQ2'!$D$2:$D$455,"")&gt;0,"",INDEX('RQ2'!$D$2:$D$455,MATCH($A145,'RQ2'!$A$2:$A$455,0)))="",IF(COUNTIFS('RQ2'!$A$2:$A$455,$A145,'RQ2'!$E$2:$E$455,"")&gt;0,"",INDEX('RQ2'!$E$2:$E$455,MATCH($A145,'RQ2'!$A$2:$A$455,0)))=""),"2 - RQ2 historical","3 - Verify recorded evidence"))</f>
        <v/>
      </c>
      <c r="D145" s="4">
        <f>IF(OR(IF(COUNTIFS('RQ2'!$A$2:$A$455,$A145,'RQ2'!$D$2:$D$455,"")&gt;0,"",INDEX('RQ2'!$D$2:$D$455,MATCH($A145,'RQ2'!$A$2:$A$455,0)))="",IF(COUNTIFS('RQ2'!$A$2:$A$455,$A145,'RQ2'!$E$2:$E$455,"")&gt;0,"",INDEX('RQ2'!$E$2:$E$455,MATCH($A145,'RQ2'!$A$2:$A$455,0)))=""),"PENDIENTE","REGISTRADA")</f>
        <v/>
      </c>
      <c r="E145" s="4">
        <f>IF(IF(COUNTIFS('RQ1'!$A$2:$A$455,$A145,'RQ1'!$N$2:$N$455,"")&gt;0,"",INDEX('RQ1'!$N$2:$N$455,MATCH($A145,'RQ1'!$A$2:$A$455,0)))=1,"REVISAR DETALLE","REGISTRADA")</f>
        <v/>
      </c>
      <c r="F145" s="4">
        <f>IF(IF(COUNTIFS('RQ3'!$A$2:$A$455,$A145,'RQ3'!$P$2:$P$455,"")&gt;0,"",INDEX('RQ3'!$P$2:$P$455,MATCH($A145,'RQ3'!$A$2:$A$455,0)))="","NO REGISTRADO",IF(IF(COUNTIFS('RQ3'!$A$2:$A$455,$A145,'RQ3'!$P$2:$P$455,"")&gt;0,"",INDEX('RQ3'!$P$2:$P$455,MATCH($A145,'RQ3'!$A$2:$A$455,0)))=1,"MARCA ACTIVA","SIN MARCA"))</f>
        <v/>
      </c>
      <c r="G145" s="4">
        <f>IF(IF(COUNTIFS('ESTUDIOS'!$A$2:$A$455,$A145,'ESTUDIOS'!$N$2:$N$455,"")&gt;0,"",INDEX('ESTUDIOS'!$N$2:$N$455,MATCH($A145,'ESTUDIOS'!$A$2:$A$455,0)))="Verified","DOCUMENTADA","NO DOCUMENTADA")</f>
        <v/>
      </c>
      <c r="H145" s="4">
        <f>IF(D145="PENDIENTE","Leer evidencia ya extraída; registrar uso propuesto o evaluado, función, fuente y revisor en RQ2.","Comprobar evidencia y cautelas registradas; documentar verificación sin recodificar lo ya respaldado.")</f>
        <v/>
      </c>
      <c r="I145" s="4" t="inlineStr">
        <is>
          <t>https://doi.org/10.1109/access.2021.3069211</t>
        </is>
      </c>
    </row>
    <row r="146" ht="64" customHeight="1">
      <c r="A146" s="4" t="inlineStr">
        <is>
          <t>157</t>
        </is>
      </c>
      <c r="B146" s="4" t="inlineStr">
        <is>
          <t>Functional connectivity classification of autism identifies highly predictive brain features but falls short of biomarker standards</t>
        </is>
      </c>
      <c r="C146" s="4">
        <f>IF(IF(COUNTIFS('ESTUDIOS'!$A$2:$A$455,$A146,'ESTUDIOS'!$I$2:$I$455,"")&gt;0,"",INDEX('ESTUDIOS'!$I$2:$I$455,MATCH($A146,'ESTUDIOS'!$A$2:$A$455,0)))=1,"1 - Integrity",IF(OR(IF(COUNTIFS('RQ2'!$A$2:$A$455,$A146,'RQ2'!$D$2:$D$455,"")&gt;0,"",INDEX('RQ2'!$D$2:$D$455,MATCH($A146,'RQ2'!$A$2:$A$455,0)))="",IF(COUNTIFS('RQ2'!$A$2:$A$455,$A146,'RQ2'!$E$2:$E$455,"")&gt;0,"",INDEX('RQ2'!$E$2:$E$455,MATCH($A146,'RQ2'!$A$2:$A$455,0)))=""),"2 - RQ2 historical","3 - Verify recorded evidence"))</f>
        <v/>
      </c>
      <c r="D146" s="4">
        <f>IF(OR(IF(COUNTIFS('RQ2'!$A$2:$A$455,$A146,'RQ2'!$D$2:$D$455,"")&gt;0,"",INDEX('RQ2'!$D$2:$D$455,MATCH($A146,'RQ2'!$A$2:$A$455,0)))="",IF(COUNTIFS('RQ2'!$A$2:$A$455,$A146,'RQ2'!$E$2:$E$455,"")&gt;0,"",INDEX('RQ2'!$E$2:$E$455,MATCH($A146,'RQ2'!$A$2:$A$455,0)))=""),"PENDIENTE","REGISTRADA")</f>
        <v/>
      </c>
      <c r="E146" s="4">
        <f>IF(IF(COUNTIFS('RQ1'!$A$2:$A$455,$A146,'RQ1'!$N$2:$N$455,"")&gt;0,"",INDEX('RQ1'!$N$2:$N$455,MATCH($A146,'RQ1'!$A$2:$A$455,0)))=1,"REVISAR DETALLE","REGISTRADA")</f>
        <v/>
      </c>
      <c r="F146" s="4">
        <f>IF(IF(COUNTIFS('RQ3'!$A$2:$A$455,$A146,'RQ3'!$P$2:$P$455,"")&gt;0,"",INDEX('RQ3'!$P$2:$P$455,MATCH($A146,'RQ3'!$A$2:$A$455,0)))="","NO REGISTRADO",IF(IF(COUNTIFS('RQ3'!$A$2:$A$455,$A146,'RQ3'!$P$2:$P$455,"")&gt;0,"",INDEX('RQ3'!$P$2:$P$455,MATCH($A146,'RQ3'!$A$2:$A$455,0)))=1,"MARCA ACTIVA","SIN MARCA"))</f>
        <v/>
      </c>
      <c r="G146" s="4">
        <f>IF(IF(COUNTIFS('ESTUDIOS'!$A$2:$A$455,$A146,'ESTUDIOS'!$N$2:$N$455,"")&gt;0,"",INDEX('ESTUDIOS'!$N$2:$N$455,MATCH($A146,'ESTUDIOS'!$A$2:$A$455,0)))="Verified","DOCUMENTADA","NO DOCUMENTADA")</f>
        <v/>
      </c>
      <c r="H146" s="4">
        <f>IF(D146="PENDIENTE","Leer evidencia ya extraída; registrar uso propuesto o evaluado, función, fuente y revisor en RQ2.","Comprobar evidencia y cautelas registradas; documentar verificación sin recodificar lo ya respaldado.")</f>
        <v/>
      </c>
      <c r="I146" s="4" t="inlineStr">
        <is>
          <t>https://doi.org/10.1016/j.nicl.2014.12.013</t>
        </is>
      </c>
    </row>
    <row r="147" ht="64" customHeight="1">
      <c r="A147" s="4" t="inlineStr">
        <is>
          <t>158</t>
        </is>
      </c>
      <c r="B147" s="4" t="inlineStr">
        <is>
          <t>Graph Convolutional Networks Based on\&amp;#xa0;Relational Attention Mechanism for\&amp;#xa0;Autism Spectrum Disorders Diagnosis</t>
        </is>
      </c>
      <c r="C147" s="4">
        <f>IF(IF(COUNTIFS('ESTUDIOS'!$A$2:$A$455,$A147,'ESTUDIOS'!$I$2:$I$455,"")&gt;0,"",INDEX('ESTUDIOS'!$I$2:$I$455,MATCH($A147,'ESTUDIOS'!$A$2:$A$455,0)))=1,"1 - Integrity",IF(OR(IF(COUNTIFS('RQ2'!$A$2:$A$455,$A147,'RQ2'!$D$2:$D$455,"")&gt;0,"",INDEX('RQ2'!$D$2:$D$455,MATCH($A147,'RQ2'!$A$2:$A$455,0)))="",IF(COUNTIFS('RQ2'!$A$2:$A$455,$A147,'RQ2'!$E$2:$E$455,"")&gt;0,"",INDEX('RQ2'!$E$2:$E$455,MATCH($A147,'RQ2'!$A$2:$A$455,0)))=""),"2 - RQ2 historical","3 - Verify recorded evidence"))</f>
        <v/>
      </c>
      <c r="D147" s="4">
        <f>IF(OR(IF(COUNTIFS('RQ2'!$A$2:$A$455,$A147,'RQ2'!$D$2:$D$455,"")&gt;0,"",INDEX('RQ2'!$D$2:$D$455,MATCH($A147,'RQ2'!$A$2:$A$455,0)))="",IF(COUNTIFS('RQ2'!$A$2:$A$455,$A147,'RQ2'!$E$2:$E$455,"")&gt;0,"",INDEX('RQ2'!$E$2:$E$455,MATCH($A147,'RQ2'!$A$2:$A$455,0)))=""),"PENDIENTE","REGISTRADA")</f>
        <v/>
      </c>
      <c r="E147" s="4">
        <f>IF(IF(COUNTIFS('RQ1'!$A$2:$A$455,$A147,'RQ1'!$N$2:$N$455,"")&gt;0,"",INDEX('RQ1'!$N$2:$N$455,MATCH($A147,'RQ1'!$A$2:$A$455,0)))=1,"REVISAR DETALLE","REGISTRADA")</f>
        <v/>
      </c>
      <c r="F147" s="4">
        <f>IF(IF(COUNTIFS('RQ3'!$A$2:$A$455,$A147,'RQ3'!$P$2:$P$455,"")&gt;0,"",INDEX('RQ3'!$P$2:$P$455,MATCH($A147,'RQ3'!$A$2:$A$455,0)))="","NO REGISTRADO",IF(IF(COUNTIFS('RQ3'!$A$2:$A$455,$A147,'RQ3'!$P$2:$P$455,"")&gt;0,"",INDEX('RQ3'!$P$2:$P$455,MATCH($A147,'RQ3'!$A$2:$A$455,0)))=1,"MARCA ACTIVA","SIN MARCA"))</f>
        <v/>
      </c>
      <c r="G147" s="4">
        <f>IF(IF(COUNTIFS('ESTUDIOS'!$A$2:$A$455,$A147,'ESTUDIOS'!$N$2:$N$455,"")&gt;0,"",INDEX('ESTUDIOS'!$N$2:$N$455,MATCH($A147,'ESTUDIOS'!$A$2:$A$455,0)))="Verified","DOCUMENTADA","NO DOCUMENTADA")</f>
        <v/>
      </c>
      <c r="H147" s="4">
        <f>IF(D147="PENDIENTE","Leer evidencia ya extraída; registrar uso propuesto o evaluado, función, fuente y revisor en RQ2.","Comprobar evidencia y cautelas registradas; documentar verificación sin recodificar lo ya respaldado.")</f>
        <v/>
      </c>
      <c r="I147" s="4" t="inlineStr">
        <is>
          <t>https://doi.org/10.1007/978-3-031-13844-7_33</t>
        </is>
      </c>
    </row>
    <row r="148" ht="64" customHeight="1">
      <c r="A148" s="4" t="inlineStr">
        <is>
          <t>159</t>
        </is>
      </c>
      <c r="B148" s="4" t="inlineStr">
        <is>
          <t>Hybrid similarity based feature selection and cascade deep maxout fuzzy network for Autism Spectrum Disorder detection using EEG signal</t>
        </is>
      </c>
      <c r="C148" s="4">
        <f>IF(IF(COUNTIFS('ESTUDIOS'!$A$2:$A$455,$A148,'ESTUDIOS'!$I$2:$I$455,"")&gt;0,"",INDEX('ESTUDIOS'!$I$2:$I$455,MATCH($A148,'ESTUDIOS'!$A$2:$A$455,0)))=1,"1 - Integrity",IF(OR(IF(COUNTIFS('RQ2'!$A$2:$A$455,$A148,'RQ2'!$D$2:$D$455,"")&gt;0,"",INDEX('RQ2'!$D$2:$D$455,MATCH($A148,'RQ2'!$A$2:$A$455,0)))="",IF(COUNTIFS('RQ2'!$A$2:$A$455,$A148,'RQ2'!$E$2:$E$455,"")&gt;0,"",INDEX('RQ2'!$E$2:$E$455,MATCH($A148,'RQ2'!$A$2:$A$455,0)))=""),"2 - RQ2 historical","3 - Verify recorded evidence"))</f>
        <v/>
      </c>
      <c r="D148" s="4">
        <f>IF(OR(IF(COUNTIFS('RQ2'!$A$2:$A$455,$A148,'RQ2'!$D$2:$D$455,"")&gt;0,"",INDEX('RQ2'!$D$2:$D$455,MATCH($A148,'RQ2'!$A$2:$A$455,0)))="",IF(COUNTIFS('RQ2'!$A$2:$A$455,$A148,'RQ2'!$E$2:$E$455,"")&gt;0,"",INDEX('RQ2'!$E$2:$E$455,MATCH($A148,'RQ2'!$A$2:$A$455,0)))=""),"PENDIENTE","REGISTRADA")</f>
        <v/>
      </c>
      <c r="E148" s="4">
        <f>IF(IF(COUNTIFS('RQ1'!$A$2:$A$455,$A148,'RQ1'!$N$2:$N$455,"")&gt;0,"",INDEX('RQ1'!$N$2:$N$455,MATCH($A148,'RQ1'!$A$2:$A$455,0)))=1,"REVISAR DETALLE","REGISTRADA")</f>
        <v/>
      </c>
      <c r="F148" s="4">
        <f>IF(IF(COUNTIFS('RQ3'!$A$2:$A$455,$A148,'RQ3'!$P$2:$P$455,"")&gt;0,"",INDEX('RQ3'!$P$2:$P$455,MATCH($A148,'RQ3'!$A$2:$A$455,0)))="","NO REGISTRADO",IF(IF(COUNTIFS('RQ3'!$A$2:$A$455,$A148,'RQ3'!$P$2:$P$455,"")&gt;0,"",INDEX('RQ3'!$P$2:$P$455,MATCH($A148,'RQ3'!$A$2:$A$455,0)))=1,"MARCA ACTIVA","SIN MARCA"))</f>
        <v/>
      </c>
      <c r="G148" s="4">
        <f>IF(IF(COUNTIFS('ESTUDIOS'!$A$2:$A$455,$A148,'ESTUDIOS'!$N$2:$N$455,"")&gt;0,"",INDEX('ESTUDIOS'!$N$2:$N$455,MATCH($A148,'ESTUDIOS'!$A$2:$A$455,0)))="Verified","DOCUMENTADA","NO DOCUMENTADA")</f>
        <v/>
      </c>
      <c r="H148" s="4">
        <f>IF(D148="PENDIENTE","Leer evidencia ya extraída; registrar uso propuesto o evaluado, función, fuente y revisor en RQ2.","Comprobar evidencia y cautelas registradas; documentar verificación sin recodificar lo ya respaldado.")</f>
        <v/>
      </c>
      <c r="I148" s="4" t="inlineStr">
        <is>
          <t>https://doi.org/10.1016/j.compbiolchem.2024.108177</t>
        </is>
      </c>
    </row>
    <row r="149" ht="64" customHeight="1">
      <c r="A149" s="4" t="inlineStr">
        <is>
          <t>160</t>
        </is>
      </c>
      <c r="B149" s="4" t="inlineStr">
        <is>
          <t>Imputing cognitive impairment in SPARK, a large autism cohort</t>
        </is>
      </c>
      <c r="C149" s="4">
        <f>IF(IF(COUNTIFS('ESTUDIOS'!$A$2:$A$455,$A149,'ESTUDIOS'!$I$2:$I$455,"")&gt;0,"",INDEX('ESTUDIOS'!$I$2:$I$455,MATCH($A149,'ESTUDIOS'!$A$2:$A$455,0)))=1,"1 - Integrity",IF(OR(IF(COUNTIFS('RQ2'!$A$2:$A$455,$A149,'RQ2'!$D$2:$D$455,"")&gt;0,"",INDEX('RQ2'!$D$2:$D$455,MATCH($A149,'RQ2'!$A$2:$A$455,0)))="",IF(COUNTIFS('RQ2'!$A$2:$A$455,$A149,'RQ2'!$E$2:$E$455,"")&gt;0,"",INDEX('RQ2'!$E$2:$E$455,MATCH($A149,'RQ2'!$A$2:$A$455,0)))=""),"2 - RQ2 historical","3 - Verify recorded evidence"))</f>
        <v/>
      </c>
      <c r="D149" s="4">
        <f>IF(OR(IF(COUNTIFS('RQ2'!$A$2:$A$455,$A149,'RQ2'!$D$2:$D$455,"")&gt;0,"",INDEX('RQ2'!$D$2:$D$455,MATCH($A149,'RQ2'!$A$2:$A$455,0)))="",IF(COUNTIFS('RQ2'!$A$2:$A$455,$A149,'RQ2'!$E$2:$E$455,"")&gt;0,"",INDEX('RQ2'!$E$2:$E$455,MATCH($A149,'RQ2'!$A$2:$A$455,0)))=""),"PENDIENTE","REGISTRADA")</f>
        <v/>
      </c>
      <c r="E149" s="4">
        <f>IF(IF(COUNTIFS('RQ1'!$A$2:$A$455,$A149,'RQ1'!$N$2:$N$455,"")&gt;0,"",INDEX('RQ1'!$N$2:$N$455,MATCH($A149,'RQ1'!$A$2:$A$455,0)))=1,"REVISAR DETALLE","REGISTRADA")</f>
        <v/>
      </c>
      <c r="F149" s="4">
        <f>IF(IF(COUNTIFS('RQ3'!$A$2:$A$455,$A149,'RQ3'!$P$2:$P$455,"")&gt;0,"",INDEX('RQ3'!$P$2:$P$455,MATCH($A149,'RQ3'!$A$2:$A$455,0)))="","NO REGISTRADO",IF(IF(COUNTIFS('RQ3'!$A$2:$A$455,$A149,'RQ3'!$P$2:$P$455,"")&gt;0,"",INDEX('RQ3'!$P$2:$P$455,MATCH($A149,'RQ3'!$A$2:$A$455,0)))=1,"MARCA ACTIVA","SIN MARCA"))</f>
        <v/>
      </c>
      <c r="G149" s="4">
        <f>IF(IF(COUNTIFS('ESTUDIOS'!$A$2:$A$455,$A149,'ESTUDIOS'!$N$2:$N$455,"")&gt;0,"",INDEX('ESTUDIOS'!$N$2:$N$455,MATCH($A149,'ESTUDIOS'!$A$2:$A$455,0)))="Verified","DOCUMENTADA","NO DOCUMENTADA")</f>
        <v/>
      </c>
      <c r="H149" s="4">
        <f>IF(D149="PENDIENTE","Leer evidencia ya extraída; registrar uso propuesto o evaluado, función, fuente y revisor en RQ2.","Comprobar evidencia y cautelas registradas; documentar verificación sin recodificar lo ya respaldado.")</f>
        <v/>
      </c>
      <c r="I149" s="4" t="inlineStr">
        <is>
          <t>https://doi.org/10.1002/aur.2622</t>
        </is>
      </c>
    </row>
    <row r="150" ht="64" customHeight="1">
      <c r="A150" s="4" t="inlineStr">
        <is>
          <t>162</t>
        </is>
      </c>
      <c r="B150" s="4" t="inlineStr">
        <is>
          <t>Machine Learning in ASD: An Intensive Study of Automated Disease Prediction System</t>
        </is>
      </c>
      <c r="C150" s="4">
        <f>IF(IF(COUNTIFS('ESTUDIOS'!$A$2:$A$455,$A150,'ESTUDIOS'!$I$2:$I$455,"")&gt;0,"",INDEX('ESTUDIOS'!$I$2:$I$455,MATCH($A150,'ESTUDIOS'!$A$2:$A$455,0)))=1,"1 - Integrity",IF(OR(IF(COUNTIFS('RQ2'!$A$2:$A$455,$A150,'RQ2'!$D$2:$D$455,"")&gt;0,"",INDEX('RQ2'!$D$2:$D$455,MATCH($A150,'RQ2'!$A$2:$A$455,0)))="",IF(COUNTIFS('RQ2'!$A$2:$A$455,$A150,'RQ2'!$E$2:$E$455,"")&gt;0,"",INDEX('RQ2'!$E$2:$E$455,MATCH($A150,'RQ2'!$A$2:$A$455,0)))=""),"2 - RQ2 historical","3 - Verify recorded evidence"))</f>
        <v/>
      </c>
      <c r="D150" s="4">
        <f>IF(OR(IF(COUNTIFS('RQ2'!$A$2:$A$455,$A150,'RQ2'!$D$2:$D$455,"")&gt;0,"",INDEX('RQ2'!$D$2:$D$455,MATCH($A150,'RQ2'!$A$2:$A$455,0)))="",IF(COUNTIFS('RQ2'!$A$2:$A$455,$A150,'RQ2'!$E$2:$E$455,"")&gt;0,"",INDEX('RQ2'!$E$2:$E$455,MATCH($A150,'RQ2'!$A$2:$A$455,0)))=""),"PENDIENTE","REGISTRADA")</f>
        <v/>
      </c>
      <c r="E150" s="4">
        <f>IF(IF(COUNTIFS('RQ1'!$A$2:$A$455,$A150,'RQ1'!$N$2:$N$455,"")&gt;0,"",INDEX('RQ1'!$N$2:$N$455,MATCH($A150,'RQ1'!$A$2:$A$455,0)))=1,"REVISAR DETALLE","REGISTRADA")</f>
        <v/>
      </c>
      <c r="F150" s="4">
        <f>IF(IF(COUNTIFS('RQ3'!$A$2:$A$455,$A150,'RQ3'!$P$2:$P$455,"")&gt;0,"",INDEX('RQ3'!$P$2:$P$455,MATCH($A150,'RQ3'!$A$2:$A$455,0)))="","NO REGISTRADO",IF(IF(COUNTIFS('RQ3'!$A$2:$A$455,$A150,'RQ3'!$P$2:$P$455,"")&gt;0,"",INDEX('RQ3'!$P$2:$P$455,MATCH($A150,'RQ3'!$A$2:$A$455,0)))=1,"MARCA ACTIVA","SIN MARCA"))</f>
        <v/>
      </c>
      <c r="G150" s="4">
        <f>IF(IF(COUNTIFS('ESTUDIOS'!$A$2:$A$455,$A150,'ESTUDIOS'!$N$2:$N$455,"")&gt;0,"",INDEX('ESTUDIOS'!$N$2:$N$455,MATCH($A150,'ESTUDIOS'!$A$2:$A$455,0)))="Verified","DOCUMENTADA","NO DOCUMENTADA")</f>
        <v/>
      </c>
      <c r="H150" s="4">
        <f>IF(D150="PENDIENTE","Leer evidencia ya extraída; registrar uso propuesto o evaluado, función, fuente y revisor en RQ2.","Comprobar evidencia y cautelas registradas; documentar verificación sin recodificar lo ya respaldado.")</f>
        <v/>
      </c>
      <c r="I150" s="4" t="inlineStr">
        <is>
          <t>https://doi.org/10.1002/9781119896838.ch18</t>
        </is>
      </c>
    </row>
    <row r="151" ht="64" customHeight="1">
      <c r="A151" s="4" t="inlineStr">
        <is>
          <t>163</t>
        </is>
      </c>
      <c r="B151" s="4" t="inlineStr">
        <is>
          <t>Multichannel Deep Attention Neural Networks for the Classification of Autism Spectrum Disorder Using Neuroimaging and Personal Characteristic Data</t>
        </is>
      </c>
      <c r="C151" s="4">
        <f>IF(IF(COUNTIFS('ESTUDIOS'!$A$2:$A$455,$A151,'ESTUDIOS'!$I$2:$I$455,"")&gt;0,"",INDEX('ESTUDIOS'!$I$2:$I$455,MATCH($A151,'ESTUDIOS'!$A$2:$A$455,0)))=1,"1 - Integrity",IF(OR(IF(COUNTIFS('RQ2'!$A$2:$A$455,$A151,'RQ2'!$D$2:$D$455,"")&gt;0,"",INDEX('RQ2'!$D$2:$D$455,MATCH($A151,'RQ2'!$A$2:$A$455,0)))="",IF(COUNTIFS('RQ2'!$A$2:$A$455,$A151,'RQ2'!$E$2:$E$455,"")&gt;0,"",INDEX('RQ2'!$E$2:$E$455,MATCH($A151,'RQ2'!$A$2:$A$455,0)))=""),"2 - RQ2 historical","3 - Verify recorded evidence"))</f>
        <v/>
      </c>
      <c r="D151" s="4">
        <f>IF(OR(IF(COUNTIFS('RQ2'!$A$2:$A$455,$A151,'RQ2'!$D$2:$D$455,"")&gt;0,"",INDEX('RQ2'!$D$2:$D$455,MATCH($A151,'RQ2'!$A$2:$A$455,0)))="",IF(COUNTIFS('RQ2'!$A$2:$A$455,$A151,'RQ2'!$E$2:$E$455,"")&gt;0,"",INDEX('RQ2'!$E$2:$E$455,MATCH($A151,'RQ2'!$A$2:$A$455,0)))=""),"PENDIENTE","REGISTRADA")</f>
        <v/>
      </c>
      <c r="E151" s="4">
        <f>IF(IF(COUNTIFS('RQ1'!$A$2:$A$455,$A151,'RQ1'!$N$2:$N$455,"")&gt;0,"",INDEX('RQ1'!$N$2:$N$455,MATCH($A151,'RQ1'!$A$2:$A$455,0)))=1,"REVISAR DETALLE","REGISTRADA")</f>
        <v/>
      </c>
      <c r="F151" s="4">
        <f>IF(IF(COUNTIFS('RQ3'!$A$2:$A$455,$A151,'RQ3'!$P$2:$P$455,"")&gt;0,"",INDEX('RQ3'!$P$2:$P$455,MATCH($A151,'RQ3'!$A$2:$A$455,0)))="","NO REGISTRADO",IF(IF(COUNTIFS('RQ3'!$A$2:$A$455,$A151,'RQ3'!$P$2:$P$455,"")&gt;0,"",INDEX('RQ3'!$P$2:$P$455,MATCH($A151,'RQ3'!$A$2:$A$455,0)))=1,"MARCA ACTIVA","SIN MARCA"))</f>
        <v/>
      </c>
      <c r="G151" s="4">
        <f>IF(IF(COUNTIFS('ESTUDIOS'!$A$2:$A$455,$A151,'ESTUDIOS'!$N$2:$N$455,"")&gt;0,"",INDEX('ESTUDIOS'!$N$2:$N$455,MATCH($A151,'ESTUDIOS'!$A$2:$A$455,0)))="Verified","DOCUMENTADA","NO DOCUMENTADA")</f>
        <v/>
      </c>
      <c r="H151" s="4">
        <f>IF(D151="PENDIENTE","Leer evidencia ya extraída; registrar uso propuesto o evaluado, función, fuente y revisor en RQ2.","Comprobar evidencia y cautelas registradas; documentar verificación sin recodificar lo ya respaldado.")</f>
        <v/>
      </c>
      <c r="I151" s="4" t="inlineStr">
        <is>
          <t>https://doi.org/10.1155/2020/1357853</t>
        </is>
      </c>
    </row>
    <row r="152" ht="64" customHeight="1">
      <c r="A152" s="4" t="inlineStr">
        <is>
          <t>164</t>
        </is>
      </c>
      <c r="B152" s="4" t="inlineStr">
        <is>
          <t>Multimodal Kernel-based discriminant correlation analysis data-fusion approach: an automated autism spectrum disorder diagnostic system</t>
        </is>
      </c>
      <c r="C152" s="4">
        <f>IF(IF(COUNTIFS('ESTUDIOS'!$A$2:$A$455,$A152,'ESTUDIOS'!$I$2:$I$455,"")&gt;0,"",INDEX('ESTUDIOS'!$I$2:$I$455,MATCH($A152,'ESTUDIOS'!$A$2:$A$455,0)))=1,"1 - Integrity",IF(OR(IF(COUNTIFS('RQ2'!$A$2:$A$455,$A152,'RQ2'!$D$2:$D$455,"")&gt;0,"",INDEX('RQ2'!$D$2:$D$455,MATCH($A152,'RQ2'!$A$2:$A$455,0)))="",IF(COUNTIFS('RQ2'!$A$2:$A$455,$A152,'RQ2'!$E$2:$E$455,"")&gt;0,"",INDEX('RQ2'!$E$2:$E$455,MATCH($A152,'RQ2'!$A$2:$A$455,0)))=""),"2 - RQ2 historical","3 - Verify recorded evidence"))</f>
        <v/>
      </c>
      <c r="D152" s="4">
        <f>IF(OR(IF(COUNTIFS('RQ2'!$A$2:$A$455,$A152,'RQ2'!$D$2:$D$455,"")&gt;0,"",INDEX('RQ2'!$D$2:$D$455,MATCH($A152,'RQ2'!$A$2:$A$455,0)))="",IF(COUNTIFS('RQ2'!$A$2:$A$455,$A152,'RQ2'!$E$2:$E$455,"")&gt;0,"",INDEX('RQ2'!$E$2:$E$455,MATCH($A152,'RQ2'!$A$2:$A$455,0)))=""),"PENDIENTE","REGISTRADA")</f>
        <v/>
      </c>
      <c r="E152" s="4">
        <f>IF(IF(COUNTIFS('RQ1'!$A$2:$A$455,$A152,'RQ1'!$N$2:$N$455,"")&gt;0,"",INDEX('RQ1'!$N$2:$N$455,MATCH($A152,'RQ1'!$A$2:$A$455,0)))=1,"REVISAR DETALLE","REGISTRADA")</f>
        <v/>
      </c>
      <c r="F152" s="4">
        <f>IF(IF(COUNTIFS('RQ3'!$A$2:$A$455,$A152,'RQ3'!$P$2:$P$455,"")&gt;0,"",INDEX('RQ3'!$P$2:$P$455,MATCH($A152,'RQ3'!$A$2:$A$455,0)))="","NO REGISTRADO",IF(IF(COUNTIFS('RQ3'!$A$2:$A$455,$A152,'RQ3'!$P$2:$P$455,"")&gt;0,"",INDEX('RQ3'!$P$2:$P$455,MATCH($A152,'RQ3'!$A$2:$A$455,0)))=1,"MARCA ACTIVA","SIN MARCA"))</f>
        <v/>
      </c>
      <c r="G152" s="4">
        <f>IF(IF(COUNTIFS('ESTUDIOS'!$A$2:$A$455,$A152,'ESTUDIOS'!$N$2:$N$455,"")&gt;0,"",INDEX('ESTUDIOS'!$N$2:$N$455,MATCH($A152,'ESTUDIOS'!$A$2:$A$455,0)))="Verified","DOCUMENTADA","NO DOCUMENTADA")</f>
        <v/>
      </c>
      <c r="H152" s="4">
        <f>IF(D152="PENDIENTE","Leer evidencia ya extraída; registrar uso propuesto o evaluado, función, fuente y revisor en RQ2.","Comprobar evidencia y cautelas registradas; documentar verificación sin recodificar lo ya respaldado.")</f>
        <v/>
      </c>
      <c r="I152" s="4" t="inlineStr">
        <is>
          <t>https://doi.org/10.1007/s13246-023-01350-4</t>
        </is>
      </c>
    </row>
    <row r="153" ht="64" customHeight="1">
      <c r="A153" s="4" t="inlineStr">
        <is>
          <t>165</t>
        </is>
      </c>
      <c r="B153" s="4" t="inlineStr">
        <is>
          <t>Phase 3 diagnostic evaluation of a smart tablet serious game to identify autism in 760 children 3-5 years old in Sweden and the United Kingdom</t>
        </is>
      </c>
      <c r="C153" s="4">
        <f>IF(IF(COUNTIFS('ESTUDIOS'!$A$2:$A$455,$A153,'ESTUDIOS'!$I$2:$I$455,"")&gt;0,"",INDEX('ESTUDIOS'!$I$2:$I$455,MATCH($A153,'ESTUDIOS'!$A$2:$A$455,0)))=1,"1 - Integrity",IF(OR(IF(COUNTIFS('RQ2'!$A$2:$A$455,$A153,'RQ2'!$D$2:$D$455,"")&gt;0,"",INDEX('RQ2'!$D$2:$D$455,MATCH($A153,'RQ2'!$A$2:$A$455,0)))="",IF(COUNTIFS('RQ2'!$A$2:$A$455,$A153,'RQ2'!$E$2:$E$455,"")&gt;0,"",INDEX('RQ2'!$E$2:$E$455,MATCH($A153,'RQ2'!$A$2:$A$455,0)))=""),"2 - RQ2 historical","3 - Verify recorded evidence"))</f>
        <v/>
      </c>
      <c r="D153" s="4">
        <f>IF(OR(IF(COUNTIFS('RQ2'!$A$2:$A$455,$A153,'RQ2'!$D$2:$D$455,"")&gt;0,"",INDEX('RQ2'!$D$2:$D$455,MATCH($A153,'RQ2'!$A$2:$A$455,0)))="",IF(COUNTIFS('RQ2'!$A$2:$A$455,$A153,'RQ2'!$E$2:$E$455,"")&gt;0,"",INDEX('RQ2'!$E$2:$E$455,MATCH($A153,'RQ2'!$A$2:$A$455,0)))=""),"PENDIENTE","REGISTRADA")</f>
        <v/>
      </c>
      <c r="E153" s="4">
        <f>IF(IF(COUNTIFS('RQ1'!$A$2:$A$455,$A153,'RQ1'!$N$2:$N$455,"")&gt;0,"",INDEX('RQ1'!$N$2:$N$455,MATCH($A153,'RQ1'!$A$2:$A$455,0)))=1,"REVISAR DETALLE","REGISTRADA")</f>
        <v/>
      </c>
      <c r="F153" s="4">
        <f>IF(IF(COUNTIFS('RQ3'!$A$2:$A$455,$A153,'RQ3'!$P$2:$P$455,"")&gt;0,"",INDEX('RQ3'!$P$2:$P$455,MATCH($A153,'RQ3'!$A$2:$A$455,0)))="","NO REGISTRADO",IF(IF(COUNTIFS('RQ3'!$A$2:$A$455,$A153,'RQ3'!$P$2:$P$455,"")&gt;0,"",INDEX('RQ3'!$P$2:$P$455,MATCH($A153,'RQ3'!$A$2:$A$455,0)))=1,"MARCA ACTIVA","SIN MARCA"))</f>
        <v/>
      </c>
      <c r="G153" s="4">
        <f>IF(IF(COUNTIFS('ESTUDIOS'!$A$2:$A$455,$A153,'ESTUDIOS'!$N$2:$N$455,"")&gt;0,"",INDEX('ESTUDIOS'!$N$2:$N$455,MATCH($A153,'ESTUDIOS'!$A$2:$A$455,0)))="Verified","DOCUMENTADA","NO DOCUMENTADA")</f>
        <v/>
      </c>
      <c r="H153" s="4">
        <f>IF(D153="PENDIENTE","Leer evidencia ya extraída; registrar uso propuesto o evaluado, función, fuente y revisor en RQ2.","Comprobar evidencia y cautelas registradas; documentar verificación sin recodificar lo ya respaldado.")</f>
        <v/>
      </c>
      <c r="I153" s="4" t="inlineStr">
        <is>
          <t>https://doi.org/10.1136/bmjopen-2018-026226</t>
        </is>
      </c>
    </row>
    <row r="154" ht="64" customHeight="1">
      <c r="A154" s="4" t="inlineStr">
        <is>
          <t>166</t>
        </is>
      </c>
      <c r="B154" s="4" t="inlineStr">
        <is>
          <t>Research and development of autism diagnosis information system based on deep convolution neural network and facial expression data</t>
        </is>
      </c>
      <c r="C154" s="4">
        <f>IF(IF(COUNTIFS('ESTUDIOS'!$A$2:$A$455,$A154,'ESTUDIOS'!$I$2:$I$455,"")&gt;0,"",INDEX('ESTUDIOS'!$I$2:$I$455,MATCH($A154,'ESTUDIOS'!$A$2:$A$455,0)))=1,"1 - Integrity",IF(OR(IF(COUNTIFS('RQ2'!$A$2:$A$455,$A154,'RQ2'!$D$2:$D$455,"")&gt;0,"",INDEX('RQ2'!$D$2:$D$455,MATCH($A154,'RQ2'!$A$2:$A$455,0)))="",IF(COUNTIFS('RQ2'!$A$2:$A$455,$A154,'RQ2'!$E$2:$E$455,"")&gt;0,"",INDEX('RQ2'!$E$2:$E$455,MATCH($A154,'RQ2'!$A$2:$A$455,0)))=""),"2 - RQ2 historical","3 - Verify recorded evidence"))</f>
        <v/>
      </c>
      <c r="D154" s="4">
        <f>IF(OR(IF(COUNTIFS('RQ2'!$A$2:$A$455,$A154,'RQ2'!$D$2:$D$455,"")&gt;0,"",INDEX('RQ2'!$D$2:$D$455,MATCH($A154,'RQ2'!$A$2:$A$455,0)))="",IF(COUNTIFS('RQ2'!$A$2:$A$455,$A154,'RQ2'!$E$2:$E$455,"")&gt;0,"",INDEX('RQ2'!$E$2:$E$455,MATCH($A154,'RQ2'!$A$2:$A$455,0)))=""),"PENDIENTE","REGISTRADA")</f>
        <v/>
      </c>
      <c r="E154" s="4">
        <f>IF(IF(COUNTIFS('RQ1'!$A$2:$A$455,$A154,'RQ1'!$N$2:$N$455,"")&gt;0,"",INDEX('RQ1'!$N$2:$N$455,MATCH($A154,'RQ1'!$A$2:$A$455,0)))=1,"REVISAR DETALLE","REGISTRADA")</f>
        <v/>
      </c>
      <c r="F154" s="4">
        <f>IF(IF(COUNTIFS('RQ3'!$A$2:$A$455,$A154,'RQ3'!$P$2:$P$455,"")&gt;0,"",INDEX('RQ3'!$P$2:$P$455,MATCH($A154,'RQ3'!$A$2:$A$455,0)))="","NO REGISTRADO",IF(IF(COUNTIFS('RQ3'!$A$2:$A$455,$A154,'RQ3'!$P$2:$P$455,"")&gt;0,"",INDEX('RQ3'!$P$2:$P$455,MATCH($A154,'RQ3'!$A$2:$A$455,0)))=1,"MARCA ACTIVA","SIN MARCA"))</f>
        <v/>
      </c>
      <c r="G154" s="4">
        <f>IF(IF(COUNTIFS('ESTUDIOS'!$A$2:$A$455,$A154,'ESTUDIOS'!$N$2:$N$455,"")&gt;0,"",INDEX('ESTUDIOS'!$N$2:$N$455,MATCH($A154,'ESTUDIOS'!$A$2:$A$455,0)))="Verified","DOCUMENTADA","NO DOCUMENTADA")</f>
        <v/>
      </c>
      <c r="H154" s="4">
        <f>IF(D154="PENDIENTE","Leer evidencia ya extraída; registrar uso propuesto o evaluado, función, fuente y revisor en RQ2.","Comprobar evidencia y cautelas registradas; documentar verificación sin recodificar lo ya respaldado.")</f>
        <v/>
      </c>
      <c r="I154" s="4" t="inlineStr">
        <is>
          <t>https://doi.org/10.1108/lht-08-2019-0176</t>
        </is>
      </c>
    </row>
    <row r="155" ht="64" customHeight="1">
      <c r="A155" s="4" t="inlineStr">
        <is>
          <t>168</t>
        </is>
      </c>
      <c r="B155" s="4" t="inlineStr">
        <is>
          <t>Stratification of Children with Autism Spectrum Disorder Through Fusion of Temporal Information in Eye-gaze Scan-Paths</t>
        </is>
      </c>
      <c r="C155" s="4">
        <f>IF(IF(COUNTIFS('ESTUDIOS'!$A$2:$A$455,$A155,'ESTUDIOS'!$I$2:$I$455,"")&gt;0,"",INDEX('ESTUDIOS'!$I$2:$I$455,MATCH($A155,'ESTUDIOS'!$A$2:$A$455,0)))=1,"1 - Integrity",IF(OR(IF(COUNTIFS('RQ2'!$A$2:$A$455,$A155,'RQ2'!$D$2:$D$455,"")&gt;0,"",INDEX('RQ2'!$D$2:$D$455,MATCH($A155,'RQ2'!$A$2:$A$455,0)))="",IF(COUNTIFS('RQ2'!$A$2:$A$455,$A155,'RQ2'!$E$2:$E$455,"")&gt;0,"",INDEX('RQ2'!$E$2:$E$455,MATCH($A155,'RQ2'!$A$2:$A$455,0)))=""),"2 - RQ2 historical","3 - Verify recorded evidence"))</f>
        <v/>
      </c>
      <c r="D155" s="4">
        <f>IF(OR(IF(COUNTIFS('RQ2'!$A$2:$A$455,$A155,'RQ2'!$D$2:$D$455,"")&gt;0,"",INDEX('RQ2'!$D$2:$D$455,MATCH($A155,'RQ2'!$A$2:$A$455,0)))="",IF(COUNTIFS('RQ2'!$A$2:$A$455,$A155,'RQ2'!$E$2:$E$455,"")&gt;0,"",INDEX('RQ2'!$E$2:$E$455,MATCH($A155,'RQ2'!$A$2:$A$455,0)))=""),"PENDIENTE","REGISTRADA")</f>
        <v/>
      </c>
      <c r="E155" s="4">
        <f>IF(IF(COUNTIFS('RQ1'!$A$2:$A$455,$A155,'RQ1'!$N$2:$N$455,"")&gt;0,"",INDEX('RQ1'!$N$2:$N$455,MATCH($A155,'RQ1'!$A$2:$A$455,0)))=1,"REVISAR DETALLE","REGISTRADA")</f>
        <v/>
      </c>
      <c r="F155" s="4">
        <f>IF(IF(COUNTIFS('RQ3'!$A$2:$A$455,$A155,'RQ3'!$P$2:$P$455,"")&gt;0,"",INDEX('RQ3'!$P$2:$P$455,MATCH($A155,'RQ3'!$A$2:$A$455,0)))="","NO REGISTRADO",IF(IF(COUNTIFS('RQ3'!$A$2:$A$455,$A155,'RQ3'!$P$2:$P$455,"")&gt;0,"",INDEX('RQ3'!$P$2:$P$455,MATCH($A155,'RQ3'!$A$2:$A$455,0)))=1,"MARCA ACTIVA","SIN MARCA"))</f>
        <v/>
      </c>
      <c r="G155" s="4">
        <f>IF(IF(COUNTIFS('ESTUDIOS'!$A$2:$A$455,$A155,'ESTUDIOS'!$N$2:$N$455,"")&gt;0,"",INDEX('ESTUDIOS'!$N$2:$N$455,MATCH($A155,'ESTUDIOS'!$A$2:$A$455,0)))="Verified","DOCUMENTADA","NO DOCUMENTADA")</f>
        <v/>
      </c>
      <c r="H155" s="4">
        <f>IF(D155="PENDIENTE","Leer evidencia ya extraída; registrar uso propuesto o evaluado, función, fuente y revisor en RQ2.","Comprobar evidencia y cautelas registradas; documentar verificación sin recodificar lo ya respaldado.")</f>
        <v/>
      </c>
      <c r="I155" s="4" t="inlineStr">
        <is>
          <t>https://doi.org/10.1145/3539226</t>
        </is>
      </c>
    </row>
    <row r="156" ht="64" customHeight="1">
      <c r="A156" s="4" t="inlineStr">
        <is>
          <t>169</t>
        </is>
      </c>
      <c r="B156" s="4" t="inlineStr">
        <is>
          <t>The Classification of Abnormal Hand Movement to Aid in Autism Detection: Machine Learning Study</t>
        </is>
      </c>
      <c r="C156" s="4">
        <f>IF(IF(COUNTIFS('ESTUDIOS'!$A$2:$A$455,$A156,'ESTUDIOS'!$I$2:$I$455,"")&gt;0,"",INDEX('ESTUDIOS'!$I$2:$I$455,MATCH($A156,'ESTUDIOS'!$A$2:$A$455,0)))=1,"1 - Integrity",IF(OR(IF(COUNTIFS('RQ2'!$A$2:$A$455,$A156,'RQ2'!$D$2:$D$455,"")&gt;0,"",INDEX('RQ2'!$D$2:$D$455,MATCH($A156,'RQ2'!$A$2:$A$455,0)))="",IF(COUNTIFS('RQ2'!$A$2:$A$455,$A156,'RQ2'!$E$2:$E$455,"")&gt;0,"",INDEX('RQ2'!$E$2:$E$455,MATCH($A156,'RQ2'!$A$2:$A$455,0)))=""),"2 - RQ2 historical","3 - Verify recorded evidence"))</f>
        <v/>
      </c>
      <c r="D156" s="4">
        <f>IF(OR(IF(COUNTIFS('RQ2'!$A$2:$A$455,$A156,'RQ2'!$D$2:$D$455,"")&gt;0,"",INDEX('RQ2'!$D$2:$D$455,MATCH($A156,'RQ2'!$A$2:$A$455,0)))="",IF(COUNTIFS('RQ2'!$A$2:$A$455,$A156,'RQ2'!$E$2:$E$455,"")&gt;0,"",INDEX('RQ2'!$E$2:$E$455,MATCH($A156,'RQ2'!$A$2:$A$455,0)))=""),"PENDIENTE","REGISTRADA")</f>
        <v/>
      </c>
      <c r="E156" s="4">
        <f>IF(IF(COUNTIFS('RQ1'!$A$2:$A$455,$A156,'RQ1'!$N$2:$N$455,"")&gt;0,"",INDEX('RQ1'!$N$2:$N$455,MATCH($A156,'RQ1'!$A$2:$A$455,0)))=1,"REVISAR DETALLE","REGISTRADA")</f>
        <v/>
      </c>
      <c r="F156" s="4">
        <f>IF(IF(COUNTIFS('RQ3'!$A$2:$A$455,$A156,'RQ3'!$P$2:$P$455,"")&gt;0,"",INDEX('RQ3'!$P$2:$P$455,MATCH($A156,'RQ3'!$A$2:$A$455,0)))="","NO REGISTRADO",IF(IF(COUNTIFS('RQ3'!$A$2:$A$455,$A156,'RQ3'!$P$2:$P$455,"")&gt;0,"",INDEX('RQ3'!$P$2:$P$455,MATCH($A156,'RQ3'!$A$2:$A$455,0)))=1,"MARCA ACTIVA","SIN MARCA"))</f>
        <v/>
      </c>
      <c r="G156" s="4">
        <f>IF(IF(COUNTIFS('ESTUDIOS'!$A$2:$A$455,$A156,'ESTUDIOS'!$N$2:$N$455,"")&gt;0,"",INDEX('ESTUDIOS'!$N$2:$N$455,MATCH($A156,'ESTUDIOS'!$A$2:$A$455,0)))="Verified","DOCUMENTADA","NO DOCUMENTADA")</f>
        <v/>
      </c>
      <c r="H156" s="4">
        <f>IF(D156="PENDIENTE","Leer evidencia ya extraída; registrar uso propuesto o evaluado, función, fuente y revisor en RQ2.","Comprobar evidencia y cautelas registradas; documentar verificación sin recodificar lo ya respaldado.")</f>
        <v/>
      </c>
      <c r="I156" s="4" t="inlineStr">
        <is>
          <t>https://doi.org/10.2196/33771</t>
        </is>
      </c>
    </row>
    <row r="157" ht="64" customHeight="1">
      <c r="A157" s="4" t="inlineStr">
        <is>
          <t>170</t>
        </is>
      </c>
      <c r="B157" s="4" t="inlineStr">
        <is>
          <t>The development of a practical artificial intelligence tool for diagnosing and evaluating autism spectrum disorder: Multicenter study</t>
        </is>
      </c>
      <c r="C157" s="4">
        <f>IF(IF(COUNTIFS('ESTUDIOS'!$A$2:$A$455,$A157,'ESTUDIOS'!$I$2:$I$455,"")&gt;0,"",INDEX('ESTUDIOS'!$I$2:$I$455,MATCH($A157,'ESTUDIOS'!$A$2:$A$455,0)))=1,"1 - Integrity",IF(OR(IF(COUNTIFS('RQ2'!$A$2:$A$455,$A157,'RQ2'!$D$2:$D$455,"")&gt;0,"",INDEX('RQ2'!$D$2:$D$455,MATCH($A157,'RQ2'!$A$2:$A$455,0)))="",IF(COUNTIFS('RQ2'!$A$2:$A$455,$A157,'RQ2'!$E$2:$E$455,"")&gt;0,"",INDEX('RQ2'!$E$2:$E$455,MATCH($A157,'RQ2'!$A$2:$A$455,0)))=""),"2 - RQ2 historical","3 - Verify recorded evidence"))</f>
        <v/>
      </c>
      <c r="D157" s="4">
        <f>IF(OR(IF(COUNTIFS('RQ2'!$A$2:$A$455,$A157,'RQ2'!$D$2:$D$455,"")&gt;0,"",INDEX('RQ2'!$D$2:$D$455,MATCH($A157,'RQ2'!$A$2:$A$455,0)))="",IF(COUNTIFS('RQ2'!$A$2:$A$455,$A157,'RQ2'!$E$2:$E$455,"")&gt;0,"",INDEX('RQ2'!$E$2:$E$455,MATCH($A157,'RQ2'!$A$2:$A$455,0)))=""),"PENDIENTE","REGISTRADA")</f>
        <v/>
      </c>
      <c r="E157" s="4">
        <f>IF(IF(COUNTIFS('RQ1'!$A$2:$A$455,$A157,'RQ1'!$N$2:$N$455,"")&gt;0,"",INDEX('RQ1'!$N$2:$N$455,MATCH($A157,'RQ1'!$A$2:$A$455,0)))=1,"REVISAR DETALLE","REGISTRADA")</f>
        <v/>
      </c>
      <c r="F157" s="4">
        <f>IF(IF(COUNTIFS('RQ3'!$A$2:$A$455,$A157,'RQ3'!$P$2:$P$455,"")&gt;0,"",INDEX('RQ3'!$P$2:$P$455,MATCH($A157,'RQ3'!$A$2:$A$455,0)))="","NO REGISTRADO",IF(IF(COUNTIFS('RQ3'!$A$2:$A$455,$A157,'RQ3'!$P$2:$P$455,"")&gt;0,"",INDEX('RQ3'!$P$2:$P$455,MATCH($A157,'RQ3'!$A$2:$A$455,0)))=1,"MARCA ACTIVA","SIN MARCA"))</f>
        <v/>
      </c>
      <c r="G157" s="4">
        <f>IF(IF(COUNTIFS('ESTUDIOS'!$A$2:$A$455,$A157,'ESTUDIOS'!$N$2:$N$455,"")&gt;0,"",INDEX('ESTUDIOS'!$N$2:$N$455,MATCH($A157,'ESTUDIOS'!$A$2:$A$455,0)))="Verified","DOCUMENTADA","NO DOCUMENTADA")</f>
        <v/>
      </c>
      <c r="H157" s="4">
        <f>IF(D157="PENDIENTE","Leer evidencia ya extraída; registrar uso propuesto o evaluado, función, fuente y revisor en RQ2.","Comprobar evidencia y cautelas registradas; documentar verificación sin recodificar lo ya respaldado.")</f>
        <v/>
      </c>
      <c r="I157" s="4" t="inlineStr">
        <is>
          <t>https://doi.org/10.2196/15767</t>
        </is>
      </c>
    </row>
    <row r="158" ht="64" customHeight="1">
      <c r="A158" s="4" t="inlineStr">
        <is>
          <t>171</t>
        </is>
      </c>
      <c r="B158" s="4" t="inlineStr">
        <is>
          <t>Toward the Autism Motor Signature: Gesture patterns during smart tablet gameplay identify children with autism</t>
        </is>
      </c>
      <c r="C158" s="4">
        <f>IF(IF(COUNTIFS('ESTUDIOS'!$A$2:$A$455,$A158,'ESTUDIOS'!$I$2:$I$455,"")&gt;0,"",INDEX('ESTUDIOS'!$I$2:$I$455,MATCH($A158,'ESTUDIOS'!$A$2:$A$455,0)))=1,"1 - Integrity",IF(OR(IF(COUNTIFS('RQ2'!$A$2:$A$455,$A158,'RQ2'!$D$2:$D$455,"")&gt;0,"",INDEX('RQ2'!$D$2:$D$455,MATCH($A158,'RQ2'!$A$2:$A$455,0)))="",IF(COUNTIFS('RQ2'!$A$2:$A$455,$A158,'RQ2'!$E$2:$E$455,"")&gt;0,"",INDEX('RQ2'!$E$2:$E$455,MATCH($A158,'RQ2'!$A$2:$A$455,0)))=""),"2 - RQ2 historical","3 - Verify recorded evidence"))</f>
        <v/>
      </c>
      <c r="D158" s="4">
        <f>IF(OR(IF(COUNTIFS('RQ2'!$A$2:$A$455,$A158,'RQ2'!$D$2:$D$455,"")&gt;0,"",INDEX('RQ2'!$D$2:$D$455,MATCH($A158,'RQ2'!$A$2:$A$455,0)))="",IF(COUNTIFS('RQ2'!$A$2:$A$455,$A158,'RQ2'!$E$2:$E$455,"")&gt;0,"",INDEX('RQ2'!$E$2:$E$455,MATCH($A158,'RQ2'!$A$2:$A$455,0)))=""),"PENDIENTE","REGISTRADA")</f>
        <v/>
      </c>
      <c r="E158" s="4">
        <f>IF(IF(COUNTIFS('RQ1'!$A$2:$A$455,$A158,'RQ1'!$N$2:$N$455,"")&gt;0,"",INDEX('RQ1'!$N$2:$N$455,MATCH($A158,'RQ1'!$A$2:$A$455,0)))=1,"REVISAR DETALLE","REGISTRADA")</f>
        <v/>
      </c>
      <c r="F158" s="4">
        <f>IF(IF(COUNTIFS('RQ3'!$A$2:$A$455,$A158,'RQ3'!$P$2:$P$455,"")&gt;0,"",INDEX('RQ3'!$P$2:$P$455,MATCH($A158,'RQ3'!$A$2:$A$455,0)))="","NO REGISTRADO",IF(IF(COUNTIFS('RQ3'!$A$2:$A$455,$A158,'RQ3'!$P$2:$P$455,"")&gt;0,"",INDEX('RQ3'!$P$2:$P$455,MATCH($A158,'RQ3'!$A$2:$A$455,0)))=1,"MARCA ACTIVA","SIN MARCA"))</f>
        <v/>
      </c>
      <c r="G158" s="4">
        <f>IF(IF(COUNTIFS('ESTUDIOS'!$A$2:$A$455,$A158,'ESTUDIOS'!$N$2:$N$455,"")&gt;0,"",INDEX('ESTUDIOS'!$N$2:$N$455,MATCH($A158,'ESTUDIOS'!$A$2:$A$455,0)))="Verified","DOCUMENTADA","NO DOCUMENTADA")</f>
        <v/>
      </c>
      <c r="H158" s="4">
        <f>IF(D158="PENDIENTE","Leer evidencia ya extraída; registrar uso propuesto o evaluado, función, fuente y revisor en RQ2.","Comprobar evidencia y cautelas registradas; documentar verificación sin recodificar lo ya respaldado.")</f>
        <v/>
      </c>
      <c r="I158" s="4" t="inlineStr">
        <is>
          <t>https://doi.org/10.1038/srep31107</t>
        </is>
      </c>
    </row>
    <row r="159" ht="64" customHeight="1">
      <c r="A159" s="4" t="inlineStr">
        <is>
          <t>172</t>
        </is>
      </c>
      <c r="B159" s="4" t="inlineStr">
        <is>
          <t>Using #ActuallyAutistic on Twitter for Precision Diagnosis of Autism Spectrum Disorder: Machine Learning Study</t>
        </is>
      </c>
      <c r="C159" s="4">
        <f>IF(IF(COUNTIFS('ESTUDIOS'!$A$2:$A$455,$A159,'ESTUDIOS'!$I$2:$I$455,"")&gt;0,"",INDEX('ESTUDIOS'!$I$2:$I$455,MATCH($A159,'ESTUDIOS'!$A$2:$A$455,0)))=1,"1 - Integrity",IF(OR(IF(COUNTIFS('RQ2'!$A$2:$A$455,$A159,'RQ2'!$D$2:$D$455,"")&gt;0,"",INDEX('RQ2'!$D$2:$D$455,MATCH($A159,'RQ2'!$A$2:$A$455,0)))="",IF(COUNTIFS('RQ2'!$A$2:$A$455,$A159,'RQ2'!$E$2:$E$455,"")&gt;0,"",INDEX('RQ2'!$E$2:$E$455,MATCH($A159,'RQ2'!$A$2:$A$455,0)))=""),"2 - RQ2 historical","3 - Verify recorded evidence"))</f>
        <v/>
      </c>
      <c r="D159" s="4">
        <f>IF(OR(IF(COUNTIFS('RQ2'!$A$2:$A$455,$A159,'RQ2'!$D$2:$D$455,"")&gt;0,"",INDEX('RQ2'!$D$2:$D$455,MATCH($A159,'RQ2'!$A$2:$A$455,0)))="",IF(COUNTIFS('RQ2'!$A$2:$A$455,$A159,'RQ2'!$E$2:$E$455,"")&gt;0,"",INDEX('RQ2'!$E$2:$E$455,MATCH($A159,'RQ2'!$A$2:$A$455,0)))=""),"PENDIENTE","REGISTRADA")</f>
        <v/>
      </c>
      <c r="E159" s="4">
        <f>IF(IF(COUNTIFS('RQ1'!$A$2:$A$455,$A159,'RQ1'!$N$2:$N$455,"")&gt;0,"",INDEX('RQ1'!$N$2:$N$455,MATCH($A159,'RQ1'!$A$2:$A$455,0)))=1,"REVISAR DETALLE","REGISTRADA")</f>
        <v/>
      </c>
      <c r="F159" s="4">
        <f>IF(IF(COUNTIFS('RQ3'!$A$2:$A$455,$A159,'RQ3'!$P$2:$P$455,"")&gt;0,"",INDEX('RQ3'!$P$2:$P$455,MATCH($A159,'RQ3'!$A$2:$A$455,0)))="","NO REGISTRADO",IF(IF(COUNTIFS('RQ3'!$A$2:$A$455,$A159,'RQ3'!$P$2:$P$455,"")&gt;0,"",INDEX('RQ3'!$P$2:$P$455,MATCH($A159,'RQ3'!$A$2:$A$455,0)))=1,"MARCA ACTIVA","SIN MARCA"))</f>
        <v/>
      </c>
      <c r="G159" s="4">
        <f>IF(IF(COUNTIFS('ESTUDIOS'!$A$2:$A$455,$A159,'ESTUDIOS'!$N$2:$N$455,"")&gt;0,"",INDEX('ESTUDIOS'!$N$2:$N$455,MATCH($A159,'ESTUDIOS'!$A$2:$A$455,0)))="Verified","DOCUMENTADA","NO DOCUMENTADA")</f>
        <v/>
      </c>
      <c r="H159" s="4">
        <f>IF(D159="PENDIENTE","Leer evidencia ya extraída; registrar uso propuesto o evaluado, función, fuente y revisor en RQ2.","Comprobar evidencia y cautelas registradas; documentar verificación sin recodificar lo ya respaldado.")</f>
        <v/>
      </c>
      <c r="I159" s="4" t="inlineStr">
        <is>
          <t>https://doi.org/10.2196/52660</t>
        </is>
      </c>
    </row>
    <row r="160" ht="64" customHeight="1">
      <c r="A160" s="4" t="inlineStr">
        <is>
          <t>173</t>
        </is>
      </c>
      <c r="B160" s="4" t="inlineStr">
        <is>
          <t>Using machine learning to improve diagnostic assessment of ASD in the light of specific differential and co-occurring diagnoses</t>
        </is>
      </c>
      <c r="C160" s="4">
        <f>IF(IF(COUNTIFS('ESTUDIOS'!$A$2:$A$455,$A160,'ESTUDIOS'!$I$2:$I$455,"")&gt;0,"",INDEX('ESTUDIOS'!$I$2:$I$455,MATCH($A160,'ESTUDIOS'!$A$2:$A$455,0)))=1,"1 - Integrity",IF(OR(IF(COUNTIFS('RQ2'!$A$2:$A$455,$A160,'RQ2'!$D$2:$D$455,"")&gt;0,"",INDEX('RQ2'!$D$2:$D$455,MATCH($A160,'RQ2'!$A$2:$A$455,0)))="",IF(COUNTIFS('RQ2'!$A$2:$A$455,$A160,'RQ2'!$E$2:$E$455,"")&gt;0,"",INDEX('RQ2'!$E$2:$E$455,MATCH($A160,'RQ2'!$A$2:$A$455,0)))=""),"2 - RQ2 historical","3 - Verify recorded evidence"))</f>
        <v/>
      </c>
      <c r="D160" s="4">
        <f>IF(OR(IF(COUNTIFS('RQ2'!$A$2:$A$455,$A160,'RQ2'!$D$2:$D$455,"")&gt;0,"",INDEX('RQ2'!$D$2:$D$455,MATCH($A160,'RQ2'!$A$2:$A$455,0)))="",IF(COUNTIFS('RQ2'!$A$2:$A$455,$A160,'RQ2'!$E$2:$E$455,"")&gt;0,"",INDEX('RQ2'!$E$2:$E$455,MATCH($A160,'RQ2'!$A$2:$A$455,0)))=""),"PENDIENTE","REGISTRADA")</f>
        <v/>
      </c>
      <c r="E160" s="4">
        <f>IF(IF(COUNTIFS('RQ1'!$A$2:$A$455,$A160,'RQ1'!$N$2:$N$455,"")&gt;0,"",INDEX('RQ1'!$N$2:$N$455,MATCH($A160,'RQ1'!$A$2:$A$455,0)))=1,"REVISAR DETALLE","REGISTRADA")</f>
        <v/>
      </c>
      <c r="F160" s="4">
        <f>IF(IF(COUNTIFS('RQ3'!$A$2:$A$455,$A160,'RQ3'!$P$2:$P$455,"")&gt;0,"",INDEX('RQ3'!$P$2:$P$455,MATCH($A160,'RQ3'!$A$2:$A$455,0)))="","NO REGISTRADO",IF(IF(COUNTIFS('RQ3'!$A$2:$A$455,$A160,'RQ3'!$P$2:$P$455,"")&gt;0,"",INDEX('RQ3'!$P$2:$P$455,MATCH($A160,'RQ3'!$A$2:$A$455,0)))=1,"MARCA ACTIVA","SIN MARCA"))</f>
        <v/>
      </c>
      <c r="G160" s="4">
        <f>IF(IF(COUNTIFS('ESTUDIOS'!$A$2:$A$455,$A160,'ESTUDIOS'!$N$2:$N$455,"")&gt;0,"",INDEX('ESTUDIOS'!$N$2:$N$455,MATCH($A160,'ESTUDIOS'!$A$2:$A$455,0)))="Verified","DOCUMENTADA","NO DOCUMENTADA")</f>
        <v/>
      </c>
      <c r="H160" s="4">
        <f>IF(D160="PENDIENTE","Leer evidencia ya extraída; registrar uso propuesto o evaluado, función, fuente y revisor en RQ2.","Comprobar evidencia y cautelas registradas; documentar verificación sin recodificar lo ya respaldado.")</f>
        <v/>
      </c>
      <c r="I160" s="4" t="inlineStr">
        <is>
          <t>https://doi.org/10.1111/jcpp.13650</t>
        </is>
      </c>
    </row>
    <row r="161" ht="64" customHeight="1">
      <c r="A161" s="4" t="inlineStr">
        <is>
          <t>174</t>
        </is>
      </c>
      <c r="B161" s="4" t="inlineStr">
        <is>
          <t>A Framework to Diagnose Autism Spectrum Disorder Using Morphological Connectivity of sMRI and XGBoost</t>
        </is>
      </c>
      <c r="C161" s="4">
        <f>IF(IF(COUNTIFS('ESTUDIOS'!$A$2:$A$455,$A161,'ESTUDIOS'!$I$2:$I$455,"")&gt;0,"",INDEX('ESTUDIOS'!$I$2:$I$455,MATCH($A161,'ESTUDIOS'!$A$2:$A$455,0)))=1,"1 - Integrity",IF(OR(IF(COUNTIFS('RQ2'!$A$2:$A$455,$A161,'RQ2'!$D$2:$D$455,"")&gt;0,"",INDEX('RQ2'!$D$2:$D$455,MATCH($A161,'RQ2'!$A$2:$A$455,0)))="",IF(COUNTIFS('RQ2'!$A$2:$A$455,$A161,'RQ2'!$E$2:$E$455,"")&gt;0,"",INDEX('RQ2'!$E$2:$E$455,MATCH($A161,'RQ2'!$A$2:$A$455,0)))=""),"2 - RQ2 historical","3 - Verify recorded evidence"))</f>
        <v/>
      </c>
      <c r="D161" s="4">
        <f>IF(OR(IF(COUNTIFS('RQ2'!$A$2:$A$455,$A161,'RQ2'!$D$2:$D$455,"")&gt;0,"",INDEX('RQ2'!$D$2:$D$455,MATCH($A161,'RQ2'!$A$2:$A$455,0)))="",IF(COUNTIFS('RQ2'!$A$2:$A$455,$A161,'RQ2'!$E$2:$E$455,"")&gt;0,"",INDEX('RQ2'!$E$2:$E$455,MATCH($A161,'RQ2'!$A$2:$A$455,0)))=""),"PENDIENTE","REGISTRADA")</f>
        <v/>
      </c>
      <c r="E161" s="4">
        <f>IF(IF(COUNTIFS('RQ1'!$A$2:$A$455,$A161,'RQ1'!$N$2:$N$455,"")&gt;0,"",INDEX('RQ1'!$N$2:$N$455,MATCH($A161,'RQ1'!$A$2:$A$455,0)))=1,"REVISAR DETALLE","REGISTRADA")</f>
        <v/>
      </c>
      <c r="F161" s="4">
        <f>IF(IF(COUNTIFS('RQ3'!$A$2:$A$455,$A161,'RQ3'!$P$2:$P$455,"")&gt;0,"",INDEX('RQ3'!$P$2:$P$455,MATCH($A161,'RQ3'!$A$2:$A$455,0)))="","NO REGISTRADO",IF(IF(COUNTIFS('RQ3'!$A$2:$A$455,$A161,'RQ3'!$P$2:$P$455,"")&gt;0,"",INDEX('RQ3'!$P$2:$P$455,MATCH($A161,'RQ3'!$A$2:$A$455,0)))=1,"MARCA ACTIVA","SIN MARCA"))</f>
        <v/>
      </c>
      <c r="G161" s="4">
        <f>IF(IF(COUNTIFS('ESTUDIOS'!$A$2:$A$455,$A161,'ESTUDIOS'!$N$2:$N$455,"")&gt;0,"",INDEX('ESTUDIOS'!$N$2:$N$455,MATCH($A161,'ESTUDIOS'!$A$2:$A$455,0)))="Verified","DOCUMENTADA","NO DOCUMENTADA")</f>
        <v/>
      </c>
      <c r="H161" s="4">
        <f>IF(D161="PENDIENTE","Leer evidencia ya extraída; registrar uso propuesto o evaluado, función, fuente y revisor en RQ2.","Comprobar evidencia y cautelas registradas; documentar verificación sin recodificar lo ya respaldado.")</f>
        <v/>
      </c>
      <c r="I161" s="4" t="inlineStr">
        <is>
          <t>https://doi.org/10.3233/shti230734</t>
        </is>
      </c>
    </row>
    <row r="162" ht="64" customHeight="1">
      <c r="A162" s="4" t="inlineStr">
        <is>
          <t>175</t>
        </is>
      </c>
      <c r="B162" s="4" t="inlineStr">
        <is>
          <t>A machine learning approach for understanding the metabolomics response of children with autism spectrum disorder to medical cannabis treatment</t>
        </is>
      </c>
      <c r="C162" s="4">
        <f>IF(IF(COUNTIFS('ESTUDIOS'!$A$2:$A$455,$A162,'ESTUDIOS'!$I$2:$I$455,"")&gt;0,"",INDEX('ESTUDIOS'!$I$2:$I$455,MATCH($A162,'ESTUDIOS'!$A$2:$A$455,0)))=1,"1 - Integrity",IF(OR(IF(COUNTIFS('RQ2'!$A$2:$A$455,$A162,'RQ2'!$D$2:$D$455,"")&gt;0,"",INDEX('RQ2'!$D$2:$D$455,MATCH($A162,'RQ2'!$A$2:$A$455,0)))="",IF(COUNTIFS('RQ2'!$A$2:$A$455,$A162,'RQ2'!$E$2:$E$455,"")&gt;0,"",INDEX('RQ2'!$E$2:$E$455,MATCH($A162,'RQ2'!$A$2:$A$455,0)))=""),"2 - RQ2 historical","3 - Verify recorded evidence"))</f>
        <v/>
      </c>
      <c r="D162" s="4">
        <f>IF(OR(IF(COUNTIFS('RQ2'!$A$2:$A$455,$A162,'RQ2'!$D$2:$D$455,"")&gt;0,"",INDEX('RQ2'!$D$2:$D$455,MATCH($A162,'RQ2'!$A$2:$A$455,0)))="",IF(COUNTIFS('RQ2'!$A$2:$A$455,$A162,'RQ2'!$E$2:$E$455,"")&gt;0,"",INDEX('RQ2'!$E$2:$E$455,MATCH($A162,'RQ2'!$A$2:$A$455,0)))=""),"PENDIENTE","REGISTRADA")</f>
        <v/>
      </c>
      <c r="E162" s="4">
        <f>IF(IF(COUNTIFS('RQ1'!$A$2:$A$455,$A162,'RQ1'!$N$2:$N$455,"")&gt;0,"",INDEX('RQ1'!$N$2:$N$455,MATCH($A162,'RQ1'!$A$2:$A$455,0)))=1,"REVISAR DETALLE","REGISTRADA")</f>
        <v/>
      </c>
      <c r="F162" s="4">
        <f>IF(IF(COUNTIFS('RQ3'!$A$2:$A$455,$A162,'RQ3'!$P$2:$P$455,"")&gt;0,"",INDEX('RQ3'!$P$2:$P$455,MATCH($A162,'RQ3'!$A$2:$A$455,0)))="","NO REGISTRADO",IF(IF(COUNTIFS('RQ3'!$A$2:$A$455,$A162,'RQ3'!$P$2:$P$455,"")&gt;0,"",INDEX('RQ3'!$P$2:$P$455,MATCH($A162,'RQ3'!$A$2:$A$455,0)))=1,"MARCA ACTIVA","SIN MARCA"))</f>
        <v/>
      </c>
      <c r="G162" s="4">
        <f>IF(IF(COUNTIFS('ESTUDIOS'!$A$2:$A$455,$A162,'ESTUDIOS'!$N$2:$N$455,"")&gt;0,"",INDEX('ESTUDIOS'!$N$2:$N$455,MATCH($A162,'ESTUDIOS'!$A$2:$A$455,0)))="Verified","DOCUMENTADA","NO DOCUMENTADA")</f>
        <v/>
      </c>
      <c r="H162" s="4">
        <f>IF(D162="PENDIENTE","Leer evidencia ya extraída; registrar uso propuesto o evaluado, función, fuente y revisor en RQ2.","Comprobar evidencia y cautelas registradas; documentar verificación sin recodificar lo ya respaldado.")</f>
        <v/>
      </c>
      <c r="I162" s="4" t="inlineStr">
        <is>
          <t>https://doi.org/10.1038/s41598-023-40073-0</t>
        </is>
      </c>
    </row>
    <row r="163" ht="64" customHeight="1">
      <c r="A163" s="4" t="inlineStr">
        <is>
          <t>177</t>
        </is>
      </c>
      <c r="B163" s="4" t="inlineStr">
        <is>
          <t>Aided Diagnosis of\&amp;#xa0;Autism Spectrum Disorder Based on\&amp;#xa0;a\&amp;#xa0;Mixed Neural Network Model</t>
        </is>
      </c>
      <c r="C163" s="4">
        <f>IF(IF(COUNTIFS('ESTUDIOS'!$A$2:$A$455,$A163,'ESTUDIOS'!$I$2:$I$455,"")&gt;0,"",INDEX('ESTUDIOS'!$I$2:$I$455,MATCH($A163,'ESTUDIOS'!$A$2:$A$455,0)))=1,"1 - Integrity",IF(OR(IF(COUNTIFS('RQ2'!$A$2:$A$455,$A163,'RQ2'!$D$2:$D$455,"")&gt;0,"",INDEX('RQ2'!$D$2:$D$455,MATCH($A163,'RQ2'!$A$2:$A$455,0)))="",IF(COUNTIFS('RQ2'!$A$2:$A$455,$A163,'RQ2'!$E$2:$E$455,"")&gt;0,"",INDEX('RQ2'!$E$2:$E$455,MATCH($A163,'RQ2'!$A$2:$A$455,0)))=""),"2 - RQ2 historical","3 - Verify recorded evidence"))</f>
        <v/>
      </c>
      <c r="D163" s="4">
        <f>IF(OR(IF(COUNTIFS('RQ2'!$A$2:$A$455,$A163,'RQ2'!$D$2:$D$455,"")&gt;0,"",INDEX('RQ2'!$D$2:$D$455,MATCH($A163,'RQ2'!$A$2:$A$455,0)))="",IF(COUNTIFS('RQ2'!$A$2:$A$455,$A163,'RQ2'!$E$2:$E$455,"")&gt;0,"",INDEX('RQ2'!$E$2:$E$455,MATCH($A163,'RQ2'!$A$2:$A$455,0)))=""),"PENDIENTE","REGISTRADA")</f>
        <v/>
      </c>
      <c r="E163" s="4">
        <f>IF(IF(COUNTIFS('RQ1'!$A$2:$A$455,$A163,'RQ1'!$N$2:$N$455,"")&gt;0,"",INDEX('RQ1'!$N$2:$N$455,MATCH($A163,'RQ1'!$A$2:$A$455,0)))=1,"REVISAR DETALLE","REGISTRADA")</f>
        <v/>
      </c>
      <c r="F163" s="4">
        <f>IF(IF(COUNTIFS('RQ3'!$A$2:$A$455,$A163,'RQ3'!$P$2:$P$455,"")&gt;0,"",INDEX('RQ3'!$P$2:$P$455,MATCH($A163,'RQ3'!$A$2:$A$455,0)))="","NO REGISTRADO",IF(IF(COUNTIFS('RQ3'!$A$2:$A$455,$A163,'RQ3'!$P$2:$P$455,"")&gt;0,"",INDEX('RQ3'!$P$2:$P$455,MATCH($A163,'RQ3'!$A$2:$A$455,0)))=1,"MARCA ACTIVA","SIN MARCA"))</f>
        <v/>
      </c>
      <c r="G163" s="4">
        <f>IF(IF(COUNTIFS('ESTUDIOS'!$A$2:$A$455,$A163,'ESTUDIOS'!$N$2:$N$455,"")&gt;0,"",INDEX('ESTUDIOS'!$N$2:$N$455,MATCH($A163,'ESTUDIOS'!$A$2:$A$455,0)))="Verified","DOCUMENTADA","NO DOCUMENTADA")</f>
        <v/>
      </c>
      <c r="H163" s="4">
        <f>IF(D163="PENDIENTE","Leer evidencia ya extraída; registrar uso propuesto o evaluado, función, fuente y revisor en RQ2.","Comprobar evidencia y cautelas registradas; documentar verificación sin recodificar lo ya respaldado.")</f>
        <v/>
      </c>
      <c r="I163" s="4" t="inlineStr">
        <is>
          <t>https://doi.org/10.1007/978-981-99-8141-0_12</t>
        </is>
      </c>
    </row>
    <row r="164" ht="64" customHeight="1">
      <c r="A164" s="4" t="inlineStr">
        <is>
          <t>178</t>
        </is>
      </c>
      <c r="B164" s="4" t="inlineStr">
        <is>
          <t>Application of Single-Nucleotide Polymorphisms in the Diagnosis of Autism Spectrum Disorders: A Preliminary Study with Artificial Neural Networks</t>
        </is>
      </c>
      <c r="C164" s="4">
        <f>IF(IF(COUNTIFS('ESTUDIOS'!$A$2:$A$455,$A164,'ESTUDIOS'!$I$2:$I$455,"")&gt;0,"",INDEX('ESTUDIOS'!$I$2:$I$455,MATCH($A164,'ESTUDIOS'!$A$2:$A$455,0)))=1,"1 - Integrity",IF(OR(IF(COUNTIFS('RQ2'!$A$2:$A$455,$A164,'RQ2'!$D$2:$D$455,"")&gt;0,"",INDEX('RQ2'!$D$2:$D$455,MATCH($A164,'RQ2'!$A$2:$A$455,0)))="",IF(COUNTIFS('RQ2'!$A$2:$A$455,$A164,'RQ2'!$E$2:$E$455,"")&gt;0,"",INDEX('RQ2'!$E$2:$E$455,MATCH($A164,'RQ2'!$A$2:$A$455,0)))=""),"2 - RQ2 historical","3 - Verify recorded evidence"))</f>
        <v/>
      </c>
      <c r="D164" s="4">
        <f>IF(OR(IF(COUNTIFS('RQ2'!$A$2:$A$455,$A164,'RQ2'!$D$2:$D$455,"")&gt;0,"",INDEX('RQ2'!$D$2:$D$455,MATCH($A164,'RQ2'!$A$2:$A$455,0)))="",IF(COUNTIFS('RQ2'!$A$2:$A$455,$A164,'RQ2'!$E$2:$E$455,"")&gt;0,"",INDEX('RQ2'!$E$2:$E$455,MATCH($A164,'RQ2'!$A$2:$A$455,0)))=""),"PENDIENTE","REGISTRADA")</f>
        <v/>
      </c>
      <c r="E164" s="4">
        <f>IF(IF(COUNTIFS('RQ1'!$A$2:$A$455,$A164,'RQ1'!$N$2:$N$455,"")&gt;0,"",INDEX('RQ1'!$N$2:$N$455,MATCH($A164,'RQ1'!$A$2:$A$455,0)))=1,"REVISAR DETALLE","REGISTRADA")</f>
        <v/>
      </c>
      <c r="F164" s="4">
        <f>IF(IF(COUNTIFS('RQ3'!$A$2:$A$455,$A164,'RQ3'!$P$2:$P$455,"")&gt;0,"",INDEX('RQ3'!$P$2:$P$455,MATCH($A164,'RQ3'!$A$2:$A$455,0)))="","NO REGISTRADO",IF(IF(COUNTIFS('RQ3'!$A$2:$A$455,$A164,'RQ3'!$P$2:$P$455,"")&gt;0,"",INDEX('RQ3'!$P$2:$P$455,MATCH($A164,'RQ3'!$A$2:$A$455,0)))=1,"MARCA ACTIVA","SIN MARCA"))</f>
        <v/>
      </c>
      <c r="G164" s="4">
        <f>IF(IF(COUNTIFS('ESTUDIOS'!$A$2:$A$455,$A164,'ESTUDIOS'!$N$2:$N$455,"")&gt;0,"",INDEX('ESTUDIOS'!$N$2:$N$455,MATCH($A164,'ESTUDIOS'!$A$2:$A$455,0)))="Verified","DOCUMENTADA","NO DOCUMENTADA")</f>
        <v/>
      </c>
      <c r="H164" s="4">
        <f>IF(D164="PENDIENTE","Leer evidencia ya extraída; registrar uso propuesto o evaluado, función, fuente y revisor en RQ2.","Comprobar evidencia y cautelas registradas; documentar verificación sin recodificar lo ya respaldado.")</f>
        <v/>
      </c>
      <c r="I164" s="4" t="inlineStr">
        <is>
          <t>https://doi.org/10.1007/s12031-019-01311-1</t>
        </is>
      </c>
    </row>
    <row r="165" ht="64" customHeight="1">
      <c r="A165" s="4" t="inlineStr">
        <is>
          <t>179</t>
        </is>
      </c>
      <c r="B165" s="4" t="inlineStr">
        <is>
          <t>Autism spectrum disorder detection with machine learning methods</t>
        </is>
      </c>
      <c r="C165" s="4">
        <f>IF(IF(COUNTIFS('ESTUDIOS'!$A$2:$A$455,$A165,'ESTUDIOS'!$I$2:$I$455,"")&gt;0,"",INDEX('ESTUDIOS'!$I$2:$I$455,MATCH($A165,'ESTUDIOS'!$A$2:$A$455,0)))=1,"1 - Integrity",IF(OR(IF(COUNTIFS('RQ2'!$A$2:$A$455,$A165,'RQ2'!$D$2:$D$455,"")&gt;0,"",INDEX('RQ2'!$D$2:$D$455,MATCH($A165,'RQ2'!$A$2:$A$455,0)))="",IF(COUNTIFS('RQ2'!$A$2:$A$455,$A165,'RQ2'!$E$2:$E$455,"")&gt;0,"",INDEX('RQ2'!$E$2:$E$455,MATCH($A165,'RQ2'!$A$2:$A$455,0)))=""),"2 - RQ2 historical","3 - Verify recorded evidence"))</f>
        <v/>
      </c>
      <c r="D165" s="4">
        <f>IF(OR(IF(COUNTIFS('RQ2'!$A$2:$A$455,$A165,'RQ2'!$D$2:$D$455,"")&gt;0,"",INDEX('RQ2'!$D$2:$D$455,MATCH($A165,'RQ2'!$A$2:$A$455,0)))="",IF(COUNTIFS('RQ2'!$A$2:$A$455,$A165,'RQ2'!$E$2:$E$455,"")&gt;0,"",INDEX('RQ2'!$E$2:$E$455,MATCH($A165,'RQ2'!$A$2:$A$455,0)))=""),"PENDIENTE","REGISTRADA")</f>
        <v/>
      </c>
      <c r="E165" s="4">
        <f>IF(IF(COUNTIFS('RQ1'!$A$2:$A$455,$A165,'RQ1'!$N$2:$N$455,"")&gt;0,"",INDEX('RQ1'!$N$2:$N$455,MATCH($A165,'RQ1'!$A$2:$A$455,0)))=1,"REVISAR DETALLE","REGISTRADA")</f>
        <v/>
      </c>
      <c r="F165" s="4">
        <f>IF(IF(COUNTIFS('RQ3'!$A$2:$A$455,$A165,'RQ3'!$P$2:$P$455,"")&gt;0,"",INDEX('RQ3'!$P$2:$P$455,MATCH($A165,'RQ3'!$A$2:$A$455,0)))="","NO REGISTRADO",IF(IF(COUNTIFS('RQ3'!$A$2:$A$455,$A165,'RQ3'!$P$2:$P$455,"")&gt;0,"",INDEX('RQ3'!$P$2:$P$455,MATCH($A165,'RQ3'!$A$2:$A$455,0)))=1,"MARCA ACTIVA","SIN MARCA"))</f>
        <v/>
      </c>
      <c r="G165" s="4">
        <f>IF(IF(COUNTIFS('ESTUDIOS'!$A$2:$A$455,$A165,'ESTUDIOS'!$N$2:$N$455,"")&gt;0,"",INDEX('ESTUDIOS'!$N$2:$N$455,MATCH($A165,'ESTUDIOS'!$A$2:$A$455,0)))="Verified","DOCUMENTADA","NO DOCUMENTADA")</f>
        <v/>
      </c>
      <c r="H165" s="4">
        <f>IF(D165="PENDIENTE","Leer evidencia ya extraída; registrar uso propuesto o evaluado, función, fuente y revisor en RQ2.","Comprobar evidencia y cautelas registradas; documentar verificación sin recodificar lo ya respaldado.")</f>
        <v/>
      </c>
      <c r="I165" s="4" t="inlineStr">
        <is>
          <t>https://doi.org/10.2174/2666082215666191111121115</t>
        </is>
      </c>
    </row>
    <row r="166" ht="64" customHeight="1">
      <c r="A166" s="4" t="inlineStr">
        <is>
          <t>180</t>
        </is>
      </c>
      <c r="B166" s="4" t="inlineStr">
        <is>
          <t>Biosignal comparison for autism assessment using machine learning models and virtual reality</t>
        </is>
      </c>
      <c r="C166" s="4">
        <f>IF(IF(COUNTIFS('ESTUDIOS'!$A$2:$A$455,$A166,'ESTUDIOS'!$I$2:$I$455,"")&gt;0,"",INDEX('ESTUDIOS'!$I$2:$I$455,MATCH($A166,'ESTUDIOS'!$A$2:$A$455,0)))=1,"1 - Integrity",IF(OR(IF(COUNTIFS('RQ2'!$A$2:$A$455,$A166,'RQ2'!$D$2:$D$455,"")&gt;0,"",INDEX('RQ2'!$D$2:$D$455,MATCH($A166,'RQ2'!$A$2:$A$455,0)))="",IF(COUNTIFS('RQ2'!$A$2:$A$455,$A166,'RQ2'!$E$2:$E$455,"")&gt;0,"",INDEX('RQ2'!$E$2:$E$455,MATCH($A166,'RQ2'!$A$2:$A$455,0)))=""),"2 - RQ2 historical","3 - Verify recorded evidence"))</f>
        <v/>
      </c>
      <c r="D166" s="4">
        <f>IF(OR(IF(COUNTIFS('RQ2'!$A$2:$A$455,$A166,'RQ2'!$D$2:$D$455,"")&gt;0,"",INDEX('RQ2'!$D$2:$D$455,MATCH($A166,'RQ2'!$A$2:$A$455,0)))="",IF(COUNTIFS('RQ2'!$A$2:$A$455,$A166,'RQ2'!$E$2:$E$455,"")&gt;0,"",INDEX('RQ2'!$E$2:$E$455,MATCH($A166,'RQ2'!$A$2:$A$455,0)))=""),"PENDIENTE","REGISTRADA")</f>
        <v/>
      </c>
      <c r="E166" s="4">
        <f>IF(IF(COUNTIFS('RQ1'!$A$2:$A$455,$A166,'RQ1'!$N$2:$N$455,"")&gt;0,"",INDEX('RQ1'!$N$2:$N$455,MATCH($A166,'RQ1'!$A$2:$A$455,0)))=1,"REVISAR DETALLE","REGISTRADA")</f>
        <v/>
      </c>
      <c r="F166" s="4">
        <f>IF(IF(COUNTIFS('RQ3'!$A$2:$A$455,$A166,'RQ3'!$P$2:$P$455,"")&gt;0,"",INDEX('RQ3'!$P$2:$P$455,MATCH($A166,'RQ3'!$A$2:$A$455,0)))="","NO REGISTRADO",IF(IF(COUNTIFS('RQ3'!$A$2:$A$455,$A166,'RQ3'!$P$2:$P$455,"")&gt;0,"",INDEX('RQ3'!$P$2:$P$455,MATCH($A166,'RQ3'!$A$2:$A$455,0)))=1,"MARCA ACTIVA","SIN MARCA"))</f>
        <v/>
      </c>
      <c r="G166" s="4">
        <f>IF(IF(COUNTIFS('ESTUDIOS'!$A$2:$A$455,$A166,'ESTUDIOS'!$N$2:$N$455,"")&gt;0,"",INDEX('ESTUDIOS'!$N$2:$N$455,MATCH($A166,'ESTUDIOS'!$A$2:$A$455,0)))="Verified","DOCUMENTADA","NO DOCUMENTADA")</f>
        <v/>
      </c>
      <c r="H166" s="4">
        <f>IF(D166="PENDIENTE","Leer evidencia ya extraída; registrar uso propuesto o evaluado, función, fuente y revisor en RQ2.","Comprobar evidencia y cautelas registradas; documentar verificación sin recodificar lo ya respaldado.")</f>
        <v/>
      </c>
      <c r="I166" s="4" t="inlineStr">
        <is>
          <t>https://doi.org/10.1016/j.compbiomed.2024.108194</t>
        </is>
      </c>
    </row>
    <row r="167" ht="64" customHeight="1">
      <c r="A167" s="4" t="inlineStr">
        <is>
          <t>182</t>
        </is>
      </c>
      <c r="B167" s="4" t="inlineStr">
        <is>
          <t>COMBINED ANALYSIS OF THE ORAL MICROBIOME AND MICROTRANSCRIPTOME OF AUTISM SPECTRUM DISORDER</t>
        </is>
      </c>
      <c r="C167" s="4">
        <f>IF(IF(COUNTIFS('ESTUDIOS'!$A$2:$A$455,$A167,'ESTUDIOS'!$I$2:$I$455,"")&gt;0,"",INDEX('ESTUDIOS'!$I$2:$I$455,MATCH($A167,'ESTUDIOS'!$A$2:$A$455,0)))=1,"1 - Integrity",IF(OR(IF(COUNTIFS('RQ2'!$A$2:$A$455,$A167,'RQ2'!$D$2:$D$455,"")&gt;0,"",INDEX('RQ2'!$D$2:$D$455,MATCH($A167,'RQ2'!$A$2:$A$455,0)))="",IF(COUNTIFS('RQ2'!$A$2:$A$455,$A167,'RQ2'!$E$2:$E$455,"")&gt;0,"",INDEX('RQ2'!$E$2:$E$455,MATCH($A167,'RQ2'!$A$2:$A$455,0)))=""),"2 - RQ2 historical","3 - Verify recorded evidence"))</f>
        <v/>
      </c>
      <c r="D167" s="4">
        <f>IF(OR(IF(COUNTIFS('RQ2'!$A$2:$A$455,$A167,'RQ2'!$D$2:$D$455,"")&gt;0,"",INDEX('RQ2'!$D$2:$D$455,MATCH($A167,'RQ2'!$A$2:$A$455,0)))="",IF(COUNTIFS('RQ2'!$A$2:$A$455,$A167,'RQ2'!$E$2:$E$455,"")&gt;0,"",INDEX('RQ2'!$E$2:$E$455,MATCH($A167,'RQ2'!$A$2:$A$455,0)))=""),"PENDIENTE","REGISTRADA")</f>
        <v/>
      </c>
      <c r="E167" s="4">
        <f>IF(IF(COUNTIFS('RQ1'!$A$2:$A$455,$A167,'RQ1'!$N$2:$N$455,"")&gt;0,"",INDEX('RQ1'!$N$2:$N$455,MATCH($A167,'RQ1'!$A$2:$A$455,0)))=1,"REVISAR DETALLE","REGISTRADA")</f>
        <v/>
      </c>
      <c r="F167" s="4">
        <f>IF(IF(COUNTIFS('RQ3'!$A$2:$A$455,$A167,'RQ3'!$P$2:$P$455,"")&gt;0,"",INDEX('RQ3'!$P$2:$P$455,MATCH($A167,'RQ3'!$A$2:$A$455,0)))="","NO REGISTRADO",IF(IF(COUNTIFS('RQ3'!$A$2:$A$455,$A167,'RQ3'!$P$2:$P$455,"")&gt;0,"",INDEX('RQ3'!$P$2:$P$455,MATCH($A167,'RQ3'!$A$2:$A$455,0)))=1,"MARCA ACTIVA","SIN MARCA"))</f>
        <v/>
      </c>
      <c r="G167" s="4">
        <f>IF(IF(COUNTIFS('ESTUDIOS'!$A$2:$A$455,$A167,'ESTUDIOS'!$N$2:$N$455,"")&gt;0,"",INDEX('ESTUDIOS'!$N$2:$N$455,MATCH($A167,'ESTUDIOS'!$A$2:$A$455,0)))="Verified","DOCUMENTADA","NO DOCUMENTADA")</f>
        <v/>
      </c>
      <c r="H167" s="4">
        <f>IF(D167="PENDIENTE","Leer evidencia ya extraída; registrar uso propuesto o evaluado, función, fuente y revisor en RQ2.","Comprobar evidencia y cautelas registradas; documentar verificación sin recodificar lo ya respaldado.")</f>
        <v/>
      </c>
      <c r="I167" s="4" t="inlineStr">
        <is>
          <t>https://doi.org/10.1016/j.euroneuro.2017.08.321</t>
        </is>
      </c>
    </row>
    <row r="168" ht="64" customHeight="1">
      <c r="A168" s="4" t="inlineStr">
        <is>
          <t>183</t>
        </is>
      </c>
      <c r="B168" s="4" t="inlineStr">
        <is>
          <t>Computational Methods to Measure Patterns of Gaze in Toddlers with Autism Spectrum Disorder</t>
        </is>
      </c>
      <c r="C168" s="4">
        <f>IF(IF(COUNTIFS('ESTUDIOS'!$A$2:$A$455,$A168,'ESTUDIOS'!$I$2:$I$455,"")&gt;0,"",INDEX('ESTUDIOS'!$I$2:$I$455,MATCH($A168,'ESTUDIOS'!$A$2:$A$455,0)))=1,"1 - Integrity",IF(OR(IF(COUNTIFS('RQ2'!$A$2:$A$455,$A168,'RQ2'!$D$2:$D$455,"")&gt;0,"",INDEX('RQ2'!$D$2:$D$455,MATCH($A168,'RQ2'!$A$2:$A$455,0)))="",IF(COUNTIFS('RQ2'!$A$2:$A$455,$A168,'RQ2'!$E$2:$E$455,"")&gt;0,"",INDEX('RQ2'!$E$2:$E$455,MATCH($A168,'RQ2'!$A$2:$A$455,0)))=""),"2 - RQ2 historical","3 - Verify recorded evidence"))</f>
        <v/>
      </c>
      <c r="D168" s="4">
        <f>IF(OR(IF(COUNTIFS('RQ2'!$A$2:$A$455,$A168,'RQ2'!$D$2:$D$455,"")&gt;0,"",INDEX('RQ2'!$D$2:$D$455,MATCH($A168,'RQ2'!$A$2:$A$455,0)))="",IF(COUNTIFS('RQ2'!$A$2:$A$455,$A168,'RQ2'!$E$2:$E$455,"")&gt;0,"",INDEX('RQ2'!$E$2:$E$455,MATCH($A168,'RQ2'!$A$2:$A$455,0)))=""),"PENDIENTE","REGISTRADA")</f>
        <v/>
      </c>
      <c r="E168" s="4">
        <f>IF(IF(COUNTIFS('RQ1'!$A$2:$A$455,$A168,'RQ1'!$N$2:$N$455,"")&gt;0,"",INDEX('RQ1'!$N$2:$N$455,MATCH($A168,'RQ1'!$A$2:$A$455,0)))=1,"REVISAR DETALLE","REGISTRADA")</f>
        <v/>
      </c>
      <c r="F168" s="4">
        <f>IF(IF(COUNTIFS('RQ3'!$A$2:$A$455,$A168,'RQ3'!$P$2:$P$455,"")&gt;0,"",INDEX('RQ3'!$P$2:$P$455,MATCH($A168,'RQ3'!$A$2:$A$455,0)))="","NO REGISTRADO",IF(IF(COUNTIFS('RQ3'!$A$2:$A$455,$A168,'RQ3'!$P$2:$P$455,"")&gt;0,"",INDEX('RQ3'!$P$2:$P$455,MATCH($A168,'RQ3'!$A$2:$A$455,0)))=1,"MARCA ACTIVA","SIN MARCA"))</f>
        <v/>
      </c>
      <c r="G168" s="4">
        <f>IF(IF(COUNTIFS('ESTUDIOS'!$A$2:$A$455,$A168,'ESTUDIOS'!$N$2:$N$455,"")&gt;0,"",INDEX('ESTUDIOS'!$N$2:$N$455,MATCH($A168,'ESTUDIOS'!$A$2:$A$455,0)))="Verified","DOCUMENTADA","NO DOCUMENTADA")</f>
        <v/>
      </c>
      <c r="H168" s="4">
        <f>IF(D168="PENDIENTE","Leer evidencia ya extraída; registrar uso propuesto o evaluado, función, fuente y revisor en RQ2.","Comprobar evidencia y cautelas registradas; documentar verificación sin recodificar lo ya respaldado.")</f>
        <v/>
      </c>
      <c r="I168" s="4" t="inlineStr">
        <is>
          <t>https://doi.org/10.1001/jamapediatrics.2021.0530</t>
        </is>
      </c>
    </row>
    <row r="169" ht="64" customHeight="1">
      <c r="A169" s="4" t="inlineStr">
        <is>
          <t>184</t>
        </is>
      </c>
      <c r="B169" s="4" t="inlineStr">
        <is>
          <t>Computerized Assessment of Motor Imitation as a Scalable Method for Distinguishing Children With Autism</t>
        </is>
      </c>
      <c r="C169" s="4">
        <f>IF(IF(COUNTIFS('ESTUDIOS'!$A$2:$A$455,$A169,'ESTUDIOS'!$I$2:$I$455,"")&gt;0,"",INDEX('ESTUDIOS'!$I$2:$I$455,MATCH($A169,'ESTUDIOS'!$A$2:$A$455,0)))=1,"1 - Integrity",IF(OR(IF(COUNTIFS('RQ2'!$A$2:$A$455,$A169,'RQ2'!$D$2:$D$455,"")&gt;0,"",INDEX('RQ2'!$D$2:$D$455,MATCH($A169,'RQ2'!$A$2:$A$455,0)))="",IF(COUNTIFS('RQ2'!$A$2:$A$455,$A169,'RQ2'!$E$2:$E$455,"")&gt;0,"",INDEX('RQ2'!$E$2:$E$455,MATCH($A169,'RQ2'!$A$2:$A$455,0)))=""),"2 - RQ2 historical","3 - Verify recorded evidence"))</f>
        <v/>
      </c>
      <c r="D169" s="4">
        <f>IF(OR(IF(COUNTIFS('RQ2'!$A$2:$A$455,$A169,'RQ2'!$D$2:$D$455,"")&gt;0,"",INDEX('RQ2'!$D$2:$D$455,MATCH($A169,'RQ2'!$A$2:$A$455,0)))="",IF(COUNTIFS('RQ2'!$A$2:$A$455,$A169,'RQ2'!$E$2:$E$455,"")&gt;0,"",INDEX('RQ2'!$E$2:$E$455,MATCH($A169,'RQ2'!$A$2:$A$455,0)))=""),"PENDIENTE","REGISTRADA")</f>
        <v/>
      </c>
      <c r="E169" s="4">
        <f>IF(IF(COUNTIFS('RQ1'!$A$2:$A$455,$A169,'RQ1'!$N$2:$N$455,"")&gt;0,"",INDEX('RQ1'!$N$2:$N$455,MATCH($A169,'RQ1'!$A$2:$A$455,0)))=1,"REVISAR DETALLE","REGISTRADA")</f>
        <v/>
      </c>
      <c r="F169" s="4">
        <f>IF(IF(COUNTIFS('RQ3'!$A$2:$A$455,$A169,'RQ3'!$P$2:$P$455,"")&gt;0,"",INDEX('RQ3'!$P$2:$P$455,MATCH($A169,'RQ3'!$A$2:$A$455,0)))="","NO REGISTRADO",IF(IF(COUNTIFS('RQ3'!$A$2:$A$455,$A169,'RQ3'!$P$2:$P$455,"")&gt;0,"",INDEX('RQ3'!$P$2:$P$455,MATCH($A169,'RQ3'!$A$2:$A$455,0)))=1,"MARCA ACTIVA","SIN MARCA"))</f>
        <v/>
      </c>
      <c r="G169" s="4">
        <f>IF(IF(COUNTIFS('ESTUDIOS'!$A$2:$A$455,$A169,'ESTUDIOS'!$N$2:$N$455,"")&gt;0,"",INDEX('ESTUDIOS'!$N$2:$N$455,MATCH($A169,'ESTUDIOS'!$A$2:$A$455,0)))="Verified","DOCUMENTADA","NO DOCUMENTADA")</f>
        <v/>
      </c>
      <c r="H169" s="4">
        <f>IF(D169="PENDIENTE","Leer evidencia ya extraída; registrar uso propuesto o evaluado, función, fuente y revisor en RQ2.","Comprobar evidencia y cautelas registradas; documentar verificación sin recodificar lo ya respaldado.")</f>
        <v/>
      </c>
      <c r="I169" s="4" t="inlineStr">
        <is>
          <t>https://doi.org/10.1016/j.bpsc.2020.09.001</t>
        </is>
      </c>
    </row>
    <row r="170" ht="64" customHeight="1">
      <c r="A170" s="4" t="inlineStr">
        <is>
          <t>185</t>
        </is>
      </c>
      <c r="B170" s="4" t="inlineStr">
        <is>
          <t>Construction of ASD Intervention System Based On Neural Network Model</t>
        </is>
      </c>
      <c r="C170" s="4">
        <f>IF(IF(COUNTIFS('ESTUDIOS'!$A$2:$A$455,$A170,'ESTUDIOS'!$I$2:$I$455,"")&gt;0,"",INDEX('ESTUDIOS'!$I$2:$I$455,MATCH($A170,'ESTUDIOS'!$A$2:$A$455,0)))=1,"1 - Integrity",IF(OR(IF(COUNTIFS('RQ2'!$A$2:$A$455,$A170,'RQ2'!$D$2:$D$455,"")&gt;0,"",INDEX('RQ2'!$D$2:$D$455,MATCH($A170,'RQ2'!$A$2:$A$455,0)))="",IF(COUNTIFS('RQ2'!$A$2:$A$455,$A170,'RQ2'!$E$2:$E$455,"")&gt;0,"",INDEX('RQ2'!$E$2:$E$455,MATCH($A170,'RQ2'!$A$2:$A$455,0)))=""),"2 - RQ2 historical","3 - Verify recorded evidence"))</f>
        <v/>
      </c>
      <c r="D170" s="4">
        <f>IF(OR(IF(COUNTIFS('RQ2'!$A$2:$A$455,$A170,'RQ2'!$D$2:$D$455,"")&gt;0,"",INDEX('RQ2'!$D$2:$D$455,MATCH($A170,'RQ2'!$A$2:$A$455,0)))="",IF(COUNTIFS('RQ2'!$A$2:$A$455,$A170,'RQ2'!$E$2:$E$455,"")&gt;0,"",INDEX('RQ2'!$E$2:$E$455,MATCH($A170,'RQ2'!$A$2:$A$455,0)))=""),"PENDIENTE","REGISTRADA")</f>
        <v/>
      </c>
      <c r="E170" s="4">
        <f>IF(IF(COUNTIFS('RQ1'!$A$2:$A$455,$A170,'RQ1'!$N$2:$N$455,"")&gt;0,"",INDEX('RQ1'!$N$2:$N$455,MATCH($A170,'RQ1'!$A$2:$A$455,0)))=1,"REVISAR DETALLE","REGISTRADA")</f>
        <v/>
      </c>
      <c r="F170" s="4">
        <f>IF(IF(COUNTIFS('RQ3'!$A$2:$A$455,$A170,'RQ3'!$P$2:$P$455,"")&gt;0,"",INDEX('RQ3'!$P$2:$P$455,MATCH($A170,'RQ3'!$A$2:$A$455,0)))="","NO REGISTRADO",IF(IF(COUNTIFS('RQ3'!$A$2:$A$455,$A170,'RQ3'!$P$2:$P$455,"")&gt;0,"",INDEX('RQ3'!$P$2:$P$455,MATCH($A170,'RQ3'!$A$2:$A$455,0)))=1,"MARCA ACTIVA","SIN MARCA"))</f>
        <v/>
      </c>
      <c r="G170" s="4">
        <f>IF(IF(COUNTIFS('ESTUDIOS'!$A$2:$A$455,$A170,'ESTUDIOS'!$N$2:$N$455,"")&gt;0,"",INDEX('ESTUDIOS'!$N$2:$N$455,MATCH($A170,'ESTUDIOS'!$A$2:$A$455,0)))="Verified","DOCUMENTADA","NO DOCUMENTADA")</f>
        <v/>
      </c>
      <c r="H170" s="4">
        <f>IF(D170="PENDIENTE","Leer evidencia ya extraída; registrar uso propuesto o evaluado, función, fuente y revisor en RQ2.","Comprobar evidencia y cautelas registradas; documentar verificación sin recodificar lo ya respaldado.")</f>
        <v/>
      </c>
      <c r="I170" s="4" t="inlineStr">
        <is>
          <t>https://doi.org/10.1016/j.procs.2025.05.032</t>
        </is>
      </c>
    </row>
    <row r="171" ht="64" customHeight="1">
      <c r="A171" s="4" t="inlineStr">
        <is>
          <t>186</t>
        </is>
      </c>
      <c r="B171" s="4" t="inlineStr">
        <is>
          <t>Decoding Autism: Uncovering patterns in brain connectivity through sparsity analysis with rs-fMRI data</t>
        </is>
      </c>
      <c r="C171" s="4">
        <f>IF(IF(COUNTIFS('ESTUDIOS'!$A$2:$A$455,$A171,'ESTUDIOS'!$I$2:$I$455,"")&gt;0,"",INDEX('ESTUDIOS'!$I$2:$I$455,MATCH($A171,'ESTUDIOS'!$A$2:$A$455,0)))=1,"1 - Integrity",IF(OR(IF(COUNTIFS('RQ2'!$A$2:$A$455,$A171,'RQ2'!$D$2:$D$455,"")&gt;0,"",INDEX('RQ2'!$D$2:$D$455,MATCH($A171,'RQ2'!$A$2:$A$455,0)))="",IF(COUNTIFS('RQ2'!$A$2:$A$455,$A171,'RQ2'!$E$2:$E$455,"")&gt;0,"",INDEX('RQ2'!$E$2:$E$455,MATCH($A171,'RQ2'!$A$2:$A$455,0)))=""),"2 - RQ2 historical","3 - Verify recorded evidence"))</f>
        <v/>
      </c>
      <c r="D171" s="4">
        <f>IF(OR(IF(COUNTIFS('RQ2'!$A$2:$A$455,$A171,'RQ2'!$D$2:$D$455,"")&gt;0,"",INDEX('RQ2'!$D$2:$D$455,MATCH($A171,'RQ2'!$A$2:$A$455,0)))="",IF(COUNTIFS('RQ2'!$A$2:$A$455,$A171,'RQ2'!$E$2:$E$455,"")&gt;0,"",INDEX('RQ2'!$E$2:$E$455,MATCH($A171,'RQ2'!$A$2:$A$455,0)))=""),"PENDIENTE","REGISTRADA")</f>
        <v/>
      </c>
      <c r="E171" s="4">
        <f>IF(IF(COUNTIFS('RQ1'!$A$2:$A$455,$A171,'RQ1'!$N$2:$N$455,"")&gt;0,"",INDEX('RQ1'!$N$2:$N$455,MATCH($A171,'RQ1'!$A$2:$A$455,0)))=1,"REVISAR DETALLE","REGISTRADA")</f>
        <v/>
      </c>
      <c r="F171" s="4">
        <f>IF(IF(COUNTIFS('RQ3'!$A$2:$A$455,$A171,'RQ3'!$P$2:$P$455,"")&gt;0,"",INDEX('RQ3'!$P$2:$P$455,MATCH($A171,'RQ3'!$A$2:$A$455,0)))="","NO REGISTRADO",IF(IF(COUNTIFS('RQ3'!$A$2:$A$455,$A171,'RQ3'!$P$2:$P$455,"")&gt;0,"",INDEX('RQ3'!$P$2:$P$455,MATCH($A171,'RQ3'!$A$2:$A$455,0)))=1,"MARCA ACTIVA","SIN MARCA"))</f>
        <v/>
      </c>
      <c r="G171" s="4">
        <f>IF(IF(COUNTIFS('ESTUDIOS'!$A$2:$A$455,$A171,'ESTUDIOS'!$N$2:$N$455,"")&gt;0,"",INDEX('ESTUDIOS'!$N$2:$N$455,MATCH($A171,'ESTUDIOS'!$A$2:$A$455,0)))="Verified","DOCUMENTADA","NO DOCUMENTADA")</f>
        <v/>
      </c>
      <c r="H171" s="4">
        <f>IF(D171="PENDIENTE","Leer evidencia ya extraída; registrar uso propuesto o evaluado, función, fuente y revisor en RQ2.","Comprobar evidencia y cautelas registradas; documentar verificación sin recodificar lo ya respaldado.")</f>
        <v/>
      </c>
      <c r="I171" s="4" t="inlineStr">
        <is>
          <t>https://doi.org/10.1016/j.jneumeth.2024.110100</t>
        </is>
      </c>
    </row>
    <row r="172" ht="64" customHeight="1">
      <c r="A172" s="4" t="inlineStr">
        <is>
          <t>187</t>
        </is>
      </c>
      <c r="B172" s="4" t="inlineStr">
        <is>
          <t>Deep Radiomics for Autism Diagnosis and Age Prediction</t>
        </is>
      </c>
      <c r="C172" s="4">
        <f>IF(IF(COUNTIFS('ESTUDIOS'!$A$2:$A$455,$A172,'ESTUDIOS'!$I$2:$I$455,"")&gt;0,"",INDEX('ESTUDIOS'!$I$2:$I$455,MATCH($A172,'ESTUDIOS'!$A$2:$A$455,0)))=1,"1 - Integrity",IF(OR(IF(COUNTIFS('RQ2'!$A$2:$A$455,$A172,'RQ2'!$D$2:$D$455,"")&gt;0,"",INDEX('RQ2'!$D$2:$D$455,MATCH($A172,'RQ2'!$A$2:$A$455,0)))="",IF(COUNTIFS('RQ2'!$A$2:$A$455,$A172,'RQ2'!$E$2:$E$455,"")&gt;0,"",INDEX('RQ2'!$E$2:$E$455,MATCH($A172,'RQ2'!$A$2:$A$455,0)))=""),"2 - RQ2 historical","3 - Verify recorded evidence"))</f>
        <v/>
      </c>
      <c r="D172" s="4">
        <f>IF(OR(IF(COUNTIFS('RQ2'!$A$2:$A$455,$A172,'RQ2'!$D$2:$D$455,"")&gt;0,"",INDEX('RQ2'!$D$2:$D$455,MATCH($A172,'RQ2'!$A$2:$A$455,0)))="",IF(COUNTIFS('RQ2'!$A$2:$A$455,$A172,'RQ2'!$E$2:$E$455,"")&gt;0,"",INDEX('RQ2'!$E$2:$E$455,MATCH($A172,'RQ2'!$A$2:$A$455,0)))=""),"PENDIENTE","REGISTRADA")</f>
        <v/>
      </c>
      <c r="E172" s="4">
        <f>IF(IF(COUNTIFS('RQ1'!$A$2:$A$455,$A172,'RQ1'!$N$2:$N$455,"")&gt;0,"",INDEX('RQ1'!$N$2:$N$455,MATCH($A172,'RQ1'!$A$2:$A$455,0)))=1,"REVISAR DETALLE","REGISTRADA")</f>
        <v/>
      </c>
      <c r="F172" s="4">
        <f>IF(IF(COUNTIFS('RQ3'!$A$2:$A$455,$A172,'RQ3'!$P$2:$P$455,"")&gt;0,"",INDEX('RQ3'!$P$2:$P$455,MATCH($A172,'RQ3'!$A$2:$A$455,0)))="","NO REGISTRADO",IF(IF(COUNTIFS('RQ3'!$A$2:$A$455,$A172,'RQ3'!$P$2:$P$455,"")&gt;0,"",INDEX('RQ3'!$P$2:$P$455,MATCH($A172,'RQ3'!$A$2:$A$455,0)))=1,"MARCA ACTIVA","SIN MARCA"))</f>
        <v/>
      </c>
      <c r="G172" s="4">
        <f>IF(IF(COUNTIFS('ESTUDIOS'!$A$2:$A$455,$A172,'ESTUDIOS'!$N$2:$N$455,"")&gt;0,"",INDEX('ESTUDIOS'!$N$2:$N$455,MATCH($A172,'ESTUDIOS'!$A$2:$A$455,0)))="Verified","DOCUMENTADA","NO DOCUMENTADA")</f>
        <v/>
      </c>
      <c r="H172" s="4">
        <f>IF(D172="PENDIENTE","Leer evidencia ya extraída; registrar uso propuesto o evaluado, función, fuente y revisor en RQ2.","Comprobar evidencia y cautelas registradas; documentar verificación sin recodificar lo ya respaldado.")</f>
        <v/>
      </c>
      <c r="I172" s="4" t="inlineStr">
        <is>
          <t>https://doi.org/10.1109/thms.2025.3526957</t>
        </is>
      </c>
    </row>
    <row r="173" ht="64" customHeight="1">
      <c r="A173" s="4" t="inlineStr">
        <is>
          <t>188</t>
        </is>
      </c>
      <c r="B173" s="4" t="inlineStr">
        <is>
          <t>Deep-learning-based detection of infants with autism spectrum disorder using auto-encoder feature representation</t>
        </is>
      </c>
      <c r="C173" s="4">
        <f>IF(IF(COUNTIFS('ESTUDIOS'!$A$2:$A$455,$A173,'ESTUDIOS'!$I$2:$I$455,"")&gt;0,"",INDEX('ESTUDIOS'!$I$2:$I$455,MATCH($A173,'ESTUDIOS'!$A$2:$A$455,0)))=1,"1 - Integrity",IF(OR(IF(COUNTIFS('RQ2'!$A$2:$A$455,$A173,'RQ2'!$D$2:$D$455,"")&gt;0,"",INDEX('RQ2'!$D$2:$D$455,MATCH($A173,'RQ2'!$A$2:$A$455,0)))="",IF(COUNTIFS('RQ2'!$A$2:$A$455,$A173,'RQ2'!$E$2:$E$455,"")&gt;0,"",INDEX('RQ2'!$E$2:$E$455,MATCH($A173,'RQ2'!$A$2:$A$455,0)))=""),"2 - RQ2 historical","3 - Verify recorded evidence"))</f>
        <v/>
      </c>
      <c r="D173" s="4">
        <f>IF(OR(IF(COUNTIFS('RQ2'!$A$2:$A$455,$A173,'RQ2'!$D$2:$D$455,"")&gt;0,"",INDEX('RQ2'!$D$2:$D$455,MATCH($A173,'RQ2'!$A$2:$A$455,0)))="",IF(COUNTIFS('RQ2'!$A$2:$A$455,$A173,'RQ2'!$E$2:$E$455,"")&gt;0,"",INDEX('RQ2'!$E$2:$E$455,MATCH($A173,'RQ2'!$A$2:$A$455,0)))=""),"PENDIENTE","REGISTRADA")</f>
        <v/>
      </c>
      <c r="E173" s="4">
        <f>IF(IF(COUNTIFS('RQ1'!$A$2:$A$455,$A173,'RQ1'!$N$2:$N$455,"")&gt;0,"",INDEX('RQ1'!$N$2:$N$455,MATCH($A173,'RQ1'!$A$2:$A$455,0)))=1,"REVISAR DETALLE","REGISTRADA")</f>
        <v/>
      </c>
      <c r="F173" s="4">
        <f>IF(IF(COUNTIFS('RQ3'!$A$2:$A$455,$A173,'RQ3'!$P$2:$P$455,"")&gt;0,"",INDEX('RQ3'!$P$2:$P$455,MATCH($A173,'RQ3'!$A$2:$A$455,0)))="","NO REGISTRADO",IF(IF(COUNTIFS('RQ3'!$A$2:$A$455,$A173,'RQ3'!$P$2:$P$455,"")&gt;0,"",INDEX('RQ3'!$P$2:$P$455,MATCH($A173,'RQ3'!$A$2:$A$455,0)))=1,"MARCA ACTIVA","SIN MARCA"))</f>
        <v/>
      </c>
      <c r="G173" s="4">
        <f>IF(IF(COUNTIFS('ESTUDIOS'!$A$2:$A$455,$A173,'ESTUDIOS'!$N$2:$N$455,"")&gt;0,"",INDEX('ESTUDIOS'!$N$2:$N$455,MATCH($A173,'ESTUDIOS'!$A$2:$A$455,0)))="Verified","DOCUMENTADA","NO DOCUMENTADA")</f>
        <v/>
      </c>
      <c r="H173" s="4">
        <f>IF(D173="PENDIENTE","Leer evidencia ya extraída; registrar uso propuesto o evaluado, función, fuente y revisor en RQ2.","Comprobar evidencia y cautelas registradas; documentar verificación sin recodificar lo ya respaldado.")</f>
        <v/>
      </c>
      <c r="I173" s="4" t="inlineStr">
        <is>
          <t>https://doi.org/10.3390/s20236762</t>
        </is>
      </c>
    </row>
    <row r="174" ht="64" customHeight="1">
      <c r="A174" s="4" t="inlineStr">
        <is>
          <t>189</t>
        </is>
      </c>
      <c r="B174" s="4" t="inlineStr">
        <is>
          <t>Early identification of autism spectrum disorder based on machine learning with eye-tracking data</t>
        </is>
      </c>
      <c r="C174" s="4">
        <f>IF(IF(COUNTIFS('ESTUDIOS'!$A$2:$A$455,$A174,'ESTUDIOS'!$I$2:$I$455,"")&gt;0,"",INDEX('ESTUDIOS'!$I$2:$I$455,MATCH($A174,'ESTUDIOS'!$A$2:$A$455,0)))=1,"1 - Integrity",IF(OR(IF(COUNTIFS('RQ2'!$A$2:$A$455,$A174,'RQ2'!$D$2:$D$455,"")&gt;0,"",INDEX('RQ2'!$D$2:$D$455,MATCH($A174,'RQ2'!$A$2:$A$455,0)))="",IF(COUNTIFS('RQ2'!$A$2:$A$455,$A174,'RQ2'!$E$2:$E$455,"")&gt;0,"",INDEX('RQ2'!$E$2:$E$455,MATCH($A174,'RQ2'!$A$2:$A$455,0)))=""),"2 - RQ2 historical","3 - Verify recorded evidence"))</f>
        <v/>
      </c>
      <c r="D174" s="4">
        <f>IF(OR(IF(COUNTIFS('RQ2'!$A$2:$A$455,$A174,'RQ2'!$D$2:$D$455,"")&gt;0,"",INDEX('RQ2'!$D$2:$D$455,MATCH($A174,'RQ2'!$A$2:$A$455,0)))="",IF(COUNTIFS('RQ2'!$A$2:$A$455,$A174,'RQ2'!$E$2:$E$455,"")&gt;0,"",INDEX('RQ2'!$E$2:$E$455,MATCH($A174,'RQ2'!$A$2:$A$455,0)))=""),"PENDIENTE","REGISTRADA")</f>
        <v/>
      </c>
      <c r="E174" s="4">
        <f>IF(IF(COUNTIFS('RQ1'!$A$2:$A$455,$A174,'RQ1'!$N$2:$N$455,"")&gt;0,"",INDEX('RQ1'!$N$2:$N$455,MATCH($A174,'RQ1'!$A$2:$A$455,0)))=1,"REVISAR DETALLE","REGISTRADA")</f>
        <v/>
      </c>
      <c r="F174" s="4">
        <f>IF(IF(COUNTIFS('RQ3'!$A$2:$A$455,$A174,'RQ3'!$P$2:$P$455,"")&gt;0,"",INDEX('RQ3'!$P$2:$P$455,MATCH($A174,'RQ3'!$A$2:$A$455,0)))="","NO REGISTRADO",IF(IF(COUNTIFS('RQ3'!$A$2:$A$455,$A174,'RQ3'!$P$2:$P$455,"")&gt;0,"",INDEX('RQ3'!$P$2:$P$455,MATCH($A174,'RQ3'!$A$2:$A$455,0)))=1,"MARCA ACTIVA","SIN MARCA"))</f>
        <v/>
      </c>
      <c r="G174" s="4">
        <f>IF(IF(COUNTIFS('ESTUDIOS'!$A$2:$A$455,$A174,'ESTUDIOS'!$N$2:$N$455,"")&gt;0,"",INDEX('ESTUDIOS'!$N$2:$N$455,MATCH($A174,'ESTUDIOS'!$A$2:$A$455,0)))="Verified","DOCUMENTADA","NO DOCUMENTADA")</f>
        <v/>
      </c>
      <c r="H174" s="4">
        <f>IF(D174="PENDIENTE","Leer evidencia ya extraída; registrar uso propuesto o evaluado, función, fuente y revisor en RQ2.","Comprobar evidencia y cautelas registradas; documentar verificación sin recodificar lo ya respaldado.")</f>
        <v/>
      </c>
      <c r="I174" s="4" t="inlineStr">
        <is>
          <t>https://doi.org/10.1016/j.jad.2024.04.049</t>
        </is>
      </c>
    </row>
    <row r="175" ht="64" customHeight="1">
      <c r="A175" s="4" t="inlineStr">
        <is>
          <t>190</t>
        </is>
      </c>
      <c r="B175" s="4" t="inlineStr">
        <is>
          <t>Examining overlap and homogeneity in ASD, ADHD, and OCD: a data-driven, diagnosis-agnostic approach</t>
        </is>
      </c>
      <c r="C175" s="4">
        <f>IF(IF(COUNTIFS('ESTUDIOS'!$A$2:$A$455,$A175,'ESTUDIOS'!$I$2:$I$455,"")&gt;0,"",INDEX('ESTUDIOS'!$I$2:$I$455,MATCH($A175,'ESTUDIOS'!$A$2:$A$455,0)))=1,"1 - Integrity",IF(OR(IF(COUNTIFS('RQ2'!$A$2:$A$455,$A175,'RQ2'!$D$2:$D$455,"")&gt;0,"",INDEX('RQ2'!$D$2:$D$455,MATCH($A175,'RQ2'!$A$2:$A$455,0)))="",IF(COUNTIFS('RQ2'!$A$2:$A$455,$A175,'RQ2'!$E$2:$E$455,"")&gt;0,"",INDEX('RQ2'!$E$2:$E$455,MATCH($A175,'RQ2'!$A$2:$A$455,0)))=""),"2 - RQ2 historical","3 - Verify recorded evidence"))</f>
        <v/>
      </c>
      <c r="D175" s="4">
        <f>IF(OR(IF(COUNTIFS('RQ2'!$A$2:$A$455,$A175,'RQ2'!$D$2:$D$455,"")&gt;0,"",INDEX('RQ2'!$D$2:$D$455,MATCH($A175,'RQ2'!$A$2:$A$455,0)))="",IF(COUNTIFS('RQ2'!$A$2:$A$455,$A175,'RQ2'!$E$2:$E$455,"")&gt;0,"",INDEX('RQ2'!$E$2:$E$455,MATCH($A175,'RQ2'!$A$2:$A$455,0)))=""),"PENDIENTE","REGISTRADA")</f>
        <v/>
      </c>
      <c r="E175" s="4">
        <f>IF(IF(COUNTIFS('RQ1'!$A$2:$A$455,$A175,'RQ1'!$N$2:$N$455,"")&gt;0,"",INDEX('RQ1'!$N$2:$N$455,MATCH($A175,'RQ1'!$A$2:$A$455,0)))=1,"REVISAR DETALLE","REGISTRADA")</f>
        <v/>
      </c>
      <c r="F175" s="4">
        <f>IF(IF(COUNTIFS('RQ3'!$A$2:$A$455,$A175,'RQ3'!$P$2:$P$455,"")&gt;0,"",INDEX('RQ3'!$P$2:$P$455,MATCH($A175,'RQ3'!$A$2:$A$455,0)))="","NO REGISTRADO",IF(IF(COUNTIFS('RQ3'!$A$2:$A$455,$A175,'RQ3'!$P$2:$P$455,"")&gt;0,"",INDEX('RQ3'!$P$2:$P$455,MATCH($A175,'RQ3'!$A$2:$A$455,0)))=1,"MARCA ACTIVA","SIN MARCA"))</f>
        <v/>
      </c>
      <c r="G175" s="4">
        <f>IF(IF(COUNTIFS('ESTUDIOS'!$A$2:$A$455,$A175,'ESTUDIOS'!$N$2:$N$455,"")&gt;0,"",INDEX('ESTUDIOS'!$N$2:$N$455,MATCH($A175,'ESTUDIOS'!$A$2:$A$455,0)))="Verified","DOCUMENTADA","NO DOCUMENTADA")</f>
        <v/>
      </c>
      <c r="H175" s="4">
        <f>IF(D175="PENDIENTE","Leer evidencia ya extraída; registrar uso propuesto o evaluado, función, fuente y revisor en RQ2.","Comprobar evidencia y cautelas registradas; documentar verificación sin recodificar lo ya respaldado.")</f>
        <v/>
      </c>
      <c r="I175" s="4" t="inlineStr">
        <is>
          <t>https://doi.org/10.1038/s41398-019-0631-2</t>
        </is>
      </c>
    </row>
    <row r="176" ht="64" customHeight="1">
      <c r="A176" s="4" t="inlineStr">
        <is>
          <t>191</t>
        </is>
      </c>
      <c r="B176" s="4" t="inlineStr">
        <is>
          <t>Explainable and scalable machine learning algorithms for detection of autism spectrum disorder using fMRI data</t>
        </is>
      </c>
      <c r="C176" s="4">
        <f>IF(IF(COUNTIFS('ESTUDIOS'!$A$2:$A$455,$A176,'ESTUDIOS'!$I$2:$I$455,"")&gt;0,"",INDEX('ESTUDIOS'!$I$2:$I$455,MATCH($A176,'ESTUDIOS'!$A$2:$A$455,0)))=1,"1 - Integrity",IF(OR(IF(COUNTIFS('RQ2'!$A$2:$A$455,$A176,'RQ2'!$D$2:$D$455,"")&gt;0,"",INDEX('RQ2'!$D$2:$D$455,MATCH($A176,'RQ2'!$A$2:$A$455,0)))="",IF(COUNTIFS('RQ2'!$A$2:$A$455,$A176,'RQ2'!$E$2:$E$455,"")&gt;0,"",INDEX('RQ2'!$E$2:$E$455,MATCH($A176,'RQ2'!$A$2:$A$455,0)))=""),"2 - RQ2 historical","3 - Verify recorded evidence"))</f>
        <v/>
      </c>
      <c r="D176" s="4">
        <f>IF(OR(IF(COUNTIFS('RQ2'!$A$2:$A$455,$A176,'RQ2'!$D$2:$D$455,"")&gt;0,"",INDEX('RQ2'!$D$2:$D$455,MATCH($A176,'RQ2'!$A$2:$A$455,0)))="",IF(COUNTIFS('RQ2'!$A$2:$A$455,$A176,'RQ2'!$E$2:$E$455,"")&gt;0,"",INDEX('RQ2'!$E$2:$E$455,MATCH($A176,'RQ2'!$A$2:$A$455,0)))=""),"PENDIENTE","REGISTRADA")</f>
        <v/>
      </c>
      <c r="E176" s="4">
        <f>IF(IF(COUNTIFS('RQ1'!$A$2:$A$455,$A176,'RQ1'!$N$2:$N$455,"")&gt;0,"",INDEX('RQ1'!$N$2:$N$455,MATCH($A176,'RQ1'!$A$2:$A$455,0)))=1,"REVISAR DETALLE","REGISTRADA")</f>
        <v/>
      </c>
      <c r="F176" s="4">
        <f>IF(IF(COUNTIFS('RQ3'!$A$2:$A$455,$A176,'RQ3'!$P$2:$P$455,"")&gt;0,"",INDEX('RQ3'!$P$2:$P$455,MATCH($A176,'RQ3'!$A$2:$A$455,0)))="","NO REGISTRADO",IF(IF(COUNTIFS('RQ3'!$A$2:$A$455,$A176,'RQ3'!$P$2:$P$455,"")&gt;0,"",INDEX('RQ3'!$P$2:$P$455,MATCH($A176,'RQ3'!$A$2:$A$455,0)))=1,"MARCA ACTIVA","SIN MARCA"))</f>
        <v/>
      </c>
      <c r="G176" s="4">
        <f>IF(IF(COUNTIFS('ESTUDIOS'!$A$2:$A$455,$A176,'ESTUDIOS'!$N$2:$N$455,"")&gt;0,"",INDEX('ESTUDIOS'!$N$2:$N$455,MATCH($A176,'ESTUDIOS'!$A$2:$A$455,0)))="Verified","DOCUMENTADA","NO DOCUMENTADA")</f>
        <v/>
      </c>
      <c r="H176" s="4">
        <f>IF(D176="PENDIENTE","Leer evidencia ya extraída; registrar uso propuesto o evaluado, función, fuente y revisor en RQ2.","Comprobar evidencia y cautelas registradas; documentar verificación sin recodificar lo ya respaldado.")</f>
        <v/>
      </c>
      <c r="I176" s="4" t="inlineStr">
        <is>
          <t>https://doi.org/10.1016/b978-0-12-822822-7.00004-1</t>
        </is>
      </c>
    </row>
    <row r="177" ht="64" customHeight="1">
      <c r="A177" s="4" t="inlineStr">
        <is>
          <t>193</t>
        </is>
      </c>
      <c r="B177" s="4" t="inlineStr">
        <is>
          <t>Feasibility Study of\&amp;#xa0;a\&amp;#xa0;ML-Based ASD Monitoring System</t>
        </is>
      </c>
      <c r="C177" s="4">
        <f>IF(IF(COUNTIFS('ESTUDIOS'!$A$2:$A$455,$A177,'ESTUDIOS'!$I$2:$I$455,"")&gt;0,"",INDEX('ESTUDIOS'!$I$2:$I$455,MATCH($A177,'ESTUDIOS'!$A$2:$A$455,0)))=1,"1 - Integrity",IF(OR(IF(COUNTIFS('RQ2'!$A$2:$A$455,$A177,'RQ2'!$D$2:$D$455,"")&gt;0,"",INDEX('RQ2'!$D$2:$D$455,MATCH($A177,'RQ2'!$A$2:$A$455,0)))="",IF(COUNTIFS('RQ2'!$A$2:$A$455,$A177,'RQ2'!$E$2:$E$455,"")&gt;0,"",INDEX('RQ2'!$E$2:$E$455,MATCH($A177,'RQ2'!$A$2:$A$455,0)))=""),"2 - RQ2 historical","3 - Verify recorded evidence"))</f>
        <v/>
      </c>
      <c r="D177" s="4">
        <f>IF(OR(IF(COUNTIFS('RQ2'!$A$2:$A$455,$A177,'RQ2'!$D$2:$D$455,"")&gt;0,"",INDEX('RQ2'!$D$2:$D$455,MATCH($A177,'RQ2'!$A$2:$A$455,0)))="",IF(COUNTIFS('RQ2'!$A$2:$A$455,$A177,'RQ2'!$E$2:$E$455,"")&gt;0,"",INDEX('RQ2'!$E$2:$E$455,MATCH($A177,'RQ2'!$A$2:$A$455,0)))=""),"PENDIENTE","REGISTRADA")</f>
        <v/>
      </c>
      <c r="E177" s="4">
        <f>IF(IF(COUNTIFS('RQ1'!$A$2:$A$455,$A177,'RQ1'!$N$2:$N$455,"")&gt;0,"",INDEX('RQ1'!$N$2:$N$455,MATCH($A177,'RQ1'!$A$2:$A$455,0)))=1,"REVISAR DETALLE","REGISTRADA")</f>
        <v/>
      </c>
      <c r="F177" s="4">
        <f>IF(IF(COUNTIFS('RQ3'!$A$2:$A$455,$A177,'RQ3'!$P$2:$P$455,"")&gt;0,"",INDEX('RQ3'!$P$2:$P$455,MATCH($A177,'RQ3'!$A$2:$A$455,0)))="","NO REGISTRADO",IF(IF(COUNTIFS('RQ3'!$A$2:$A$455,$A177,'RQ3'!$P$2:$P$455,"")&gt;0,"",INDEX('RQ3'!$P$2:$P$455,MATCH($A177,'RQ3'!$A$2:$A$455,0)))=1,"MARCA ACTIVA","SIN MARCA"))</f>
        <v/>
      </c>
      <c r="G177" s="4">
        <f>IF(IF(COUNTIFS('ESTUDIOS'!$A$2:$A$455,$A177,'ESTUDIOS'!$N$2:$N$455,"")&gt;0,"",INDEX('ESTUDIOS'!$N$2:$N$455,MATCH($A177,'ESTUDIOS'!$A$2:$A$455,0)))="Verified","DOCUMENTADA","NO DOCUMENTADA")</f>
        <v/>
      </c>
      <c r="H177" s="4">
        <f>IF(D177="PENDIENTE","Leer evidencia ya extraída; registrar uso propuesto o evaluado, función, fuente y revisor en RQ2.","Comprobar evidencia y cautelas registradas; documentar verificación sin recodificar lo ya respaldado.")</f>
        <v/>
      </c>
      <c r="I177" s="4" t="inlineStr">
        <is>
          <t>https://doi.org/10.1007/978-3-031-06242-1_27</t>
        </is>
      </c>
    </row>
    <row r="178" ht="64" customHeight="1">
      <c r="A178" s="4" t="inlineStr">
        <is>
          <t>194</t>
        </is>
      </c>
      <c r="B178" s="4" t="inlineStr">
        <is>
          <t>Feature replacement methods enable reliable home video analysis for machine learning detection of autism</t>
        </is>
      </c>
      <c r="C178" s="4">
        <f>IF(IF(COUNTIFS('ESTUDIOS'!$A$2:$A$455,$A178,'ESTUDIOS'!$I$2:$I$455,"")&gt;0,"",INDEX('ESTUDIOS'!$I$2:$I$455,MATCH($A178,'ESTUDIOS'!$A$2:$A$455,0)))=1,"1 - Integrity",IF(OR(IF(COUNTIFS('RQ2'!$A$2:$A$455,$A178,'RQ2'!$D$2:$D$455,"")&gt;0,"",INDEX('RQ2'!$D$2:$D$455,MATCH($A178,'RQ2'!$A$2:$A$455,0)))="",IF(COUNTIFS('RQ2'!$A$2:$A$455,$A178,'RQ2'!$E$2:$E$455,"")&gt;0,"",INDEX('RQ2'!$E$2:$E$455,MATCH($A178,'RQ2'!$A$2:$A$455,0)))=""),"2 - RQ2 historical","3 - Verify recorded evidence"))</f>
        <v/>
      </c>
      <c r="D178" s="4">
        <f>IF(OR(IF(COUNTIFS('RQ2'!$A$2:$A$455,$A178,'RQ2'!$D$2:$D$455,"")&gt;0,"",INDEX('RQ2'!$D$2:$D$455,MATCH($A178,'RQ2'!$A$2:$A$455,0)))="",IF(COUNTIFS('RQ2'!$A$2:$A$455,$A178,'RQ2'!$E$2:$E$455,"")&gt;0,"",INDEX('RQ2'!$E$2:$E$455,MATCH($A178,'RQ2'!$A$2:$A$455,0)))=""),"PENDIENTE","REGISTRADA")</f>
        <v/>
      </c>
      <c r="E178" s="4">
        <f>IF(IF(COUNTIFS('RQ1'!$A$2:$A$455,$A178,'RQ1'!$N$2:$N$455,"")&gt;0,"",INDEX('RQ1'!$N$2:$N$455,MATCH($A178,'RQ1'!$A$2:$A$455,0)))=1,"REVISAR DETALLE","REGISTRADA")</f>
        <v/>
      </c>
      <c r="F178" s="4">
        <f>IF(IF(COUNTIFS('RQ3'!$A$2:$A$455,$A178,'RQ3'!$P$2:$P$455,"")&gt;0,"",INDEX('RQ3'!$P$2:$P$455,MATCH($A178,'RQ3'!$A$2:$A$455,0)))="","NO REGISTRADO",IF(IF(COUNTIFS('RQ3'!$A$2:$A$455,$A178,'RQ3'!$P$2:$P$455,"")&gt;0,"",INDEX('RQ3'!$P$2:$P$455,MATCH($A178,'RQ3'!$A$2:$A$455,0)))=1,"MARCA ACTIVA","SIN MARCA"))</f>
        <v/>
      </c>
      <c r="G178" s="4">
        <f>IF(IF(COUNTIFS('ESTUDIOS'!$A$2:$A$455,$A178,'ESTUDIOS'!$N$2:$N$455,"")&gt;0,"",INDEX('ESTUDIOS'!$N$2:$N$455,MATCH($A178,'ESTUDIOS'!$A$2:$A$455,0)))="Verified","DOCUMENTADA","NO DOCUMENTADA")</f>
        <v/>
      </c>
      <c r="H178" s="4">
        <f>IF(D178="PENDIENTE","Leer evidencia ya extraída; registrar uso propuesto o evaluado, función, fuente y revisor en RQ2.","Comprobar evidencia y cautelas registradas; documentar verificación sin recodificar lo ya respaldado.")</f>
        <v/>
      </c>
      <c r="I178" s="4" t="inlineStr">
        <is>
          <t>https://doi.org/10.1038/s41598-020-76874-w</t>
        </is>
      </c>
    </row>
    <row r="179" ht="64" customHeight="1">
      <c r="A179" s="4" t="inlineStr">
        <is>
          <t>195</t>
        </is>
      </c>
      <c r="B179" s="4" t="inlineStr">
        <is>
          <t>Fuzzy logic-based hybrid knowledge systems for the detection and diagnosis of childhood autism</t>
        </is>
      </c>
      <c r="C179" s="4">
        <f>IF(IF(COUNTIFS('ESTUDIOS'!$A$2:$A$455,$A179,'ESTUDIOS'!$I$2:$I$455,"")&gt;0,"",INDEX('ESTUDIOS'!$I$2:$I$455,MATCH($A179,'ESTUDIOS'!$A$2:$A$455,0)))=1,"1 - Integrity",IF(OR(IF(COUNTIFS('RQ2'!$A$2:$A$455,$A179,'RQ2'!$D$2:$D$455,"")&gt;0,"",INDEX('RQ2'!$D$2:$D$455,MATCH($A179,'RQ2'!$A$2:$A$455,0)))="",IF(COUNTIFS('RQ2'!$A$2:$A$455,$A179,'RQ2'!$E$2:$E$455,"")&gt;0,"",INDEX('RQ2'!$E$2:$E$455,MATCH($A179,'RQ2'!$A$2:$A$455,0)))=""),"2 - RQ2 historical","3 - Verify recorded evidence"))</f>
        <v/>
      </c>
      <c r="D179" s="4">
        <f>IF(OR(IF(COUNTIFS('RQ2'!$A$2:$A$455,$A179,'RQ2'!$D$2:$D$455,"")&gt;0,"",INDEX('RQ2'!$D$2:$D$455,MATCH($A179,'RQ2'!$A$2:$A$455,0)))="",IF(COUNTIFS('RQ2'!$A$2:$A$455,$A179,'RQ2'!$E$2:$E$455,"")&gt;0,"",INDEX('RQ2'!$E$2:$E$455,MATCH($A179,'RQ2'!$A$2:$A$455,0)))=""),"PENDIENTE","REGISTRADA")</f>
        <v/>
      </c>
      <c r="E179" s="4">
        <f>IF(IF(COUNTIFS('RQ1'!$A$2:$A$455,$A179,'RQ1'!$N$2:$N$455,"")&gt;0,"",INDEX('RQ1'!$N$2:$N$455,MATCH($A179,'RQ1'!$A$2:$A$455,0)))=1,"REVISAR DETALLE","REGISTRADA")</f>
        <v/>
      </c>
      <c r="F179" s="4">
        <f>IF(IF(COUNTIFS('RQ3'!$A$2:$A$455,$A179,'RQ3'!$P$2:$P$455,"")&gt;0,"",INDEX('RQ3'!$P$2:$P$455,MATCH($A179,'RQ3'!$A$2:$A$455,0)))="","NO REGISTRADO",IF(IF(COUNTIFS('RQ3'!$A$2:$A$455,$A179,'RQ3'!$P$2:$P$455,"")&gt;0,"",INDEX('RQ3'!$P$2:$P$455,MATCH($A179,'RQ3'!$A$2:$A$455,0)))=1,"MARCA ACTIVA","SIN MARCA"))</f>
        <v/>
      </c>
      <c r="G179" s="4">
        <f>IF(IF(COUNTIFS('ESTUDIOS'!$A$2:$A$455,$A179,'ESTUDIOS'!$N$2:$N$455,"")&gt;0,"",INDEX('ESTUDIOS'!$N$2:$N$455,MATCH($A179,'ESTUDIOS'!$A$2:$A$455,0)))="Verified","DOCUMENTADA","NO DOCUMENTADA")</f>
        <v/>
      </c>
      <c r="H179" s="4">
        <f>IF(D179="PENDIENTE","Leer evidencia ya extraída; registrar uso propuesto o evaluado, función, fuente y revisor en RQ2.","Comprobar evidencia y cautelas registradas; documentar verificación sin recodificar lo ya respaldado.")</f>
        <v/>
      </c>
      <c r="I179" s="4" t="inlineStr">
        <is>
          <t>https://doi.org/10.1016/b978-0-12-822271-3.00016-5</t>
        </is>
      </c>
    </row>
    <row r="180" ht="64" customHeight="1">
      <c r="A180" s="4" t="inlineStr">
        <is>
          <t>196</t>
        </is>
      </c>
      <c r="B180" s="4" t="inlineStr">
        <is>
          <t>Genetic factor analysis for an early diagnosis of autism through machine learning</t>
        </is>
      </c>
      <c r="C180" s="4">
        <f>IF(IF(COUNTIFS('ESTUDIOS'!$A$2:$A$455,$A180,'ESTUDIOS'!$I$2:$I$455,"")&gt;0,"",INDEX('ESTUDIOS'!$I$2:$I$455,MATCH($A180,'ESTUDIOS'!$A$2:$A$455,0)))=1,"1 - Integrity",IF(OR(IF(COUNTIFS('RQ2'!$A$2:$A$455,$A180,'RQ2'!$D$2:$D$455,"")&gt;0,"",INDEX('RQ2'!$D$2:$D$455,MATCH($A180,'RQ2'!$A$2:$A$455,0)))="",IF(COUNTIFS('RQ2'!$A$2:$A$455,$A180,'RQ2'!$E$2:$E$455,"")&gt;0,"",INDEX('RQ2'!$E$2:$E$455,MATCH($A180,'RQ2'!$A$2:$A$455,0)))=""),"2 - RQ2 historical","3 - Verify recorded evidence"))</f>
        <v/>
      </c>
      <c r="D180" s="4">
        <f>IF(OR(IF(COUNTIFS('RQ2'!$A$2:$A$455,$A180,'RQ2'!$D$2:$D$455,"")&gt;0,"",INDEX('RQ2'!$D$2:$D$455,MATCH($A180,'RQ2'!$A$2:$A$455,0)))="",IF(COUNTIFS('RQ2'!$A$2:$A$455,$A180,'RQ2'!$E$2:$E$455,"")&gt;0,"",INDEX('RQ2'!$E$2:$E$455,MATCH($A180,'RQ2'!$A$2:$A$455,0)))=""),"PENDIENTE","REGISTRADA")</f>
        <v/>
      </c>
      <c r="E180" s="4">
        <f>IF(IF(COUNTIFS('RQ1'!$A$2:$A$455,$A180,'RQ1'!$N$2:$N$455,"")&gt;0,"",INDEX('RQ1'!$N$2:$N$455,MATCH($A180,'RQ1'!$A$2:$A$455,0)))=1,"REVISAR DETALLE","REGISTRADA")</f>
        <v/>
      </c>
      <c r="F180" s="4">
        <f>IF(IF(COUNTIFS('RQ3'!$A$2:$A$455,$A180,'RQ3'!$P$2:$P$455,"")&gt;0,"",INDEX('RQ3'!$P$2:$P$455,MATCH($A180,'RQ3'!$A$2:$A$455,0)))="","NO REGISTRADO",IF(IF(COUNTIFS('RQ3'!$A$2:$A$455,$A180,'RQ3'!$P$2:$P$455,"")&gt;0,"",INDEX('RQ3'!$P$2:$P$455,MATCH($A180,'RQ3'!$A$2:$A$455,0)))=1,"MARCA ACTIVA","SIN MARCA"))</f>
        <v/>
      </c>
      <c r="G180" s="4">
        <f>IF(IF(COUNTIFS('ESTUDIOS'!$A$2:$A$455,$A180,'ESTUDIOS'!$N$2:$N$455,"")&gt;0,"",INDEX('ESTUDIOS'!$N$2:$N$455,MATCH($A180,'ESTUDIOS'!$A$2:$A$455,0)))="Verified","DOCUMENTADA","NO DOCUMENTADA")</f>
        <v/>
      </c>
      <c r="H180" s="4">
        <f>IF(D180="PENDIENTE","Leer evidencia ya extraída; registrar uso propuesto o evaluado, función, fuente y revisor en RQ2.","Comprobar evidencia y cautelas registradas; documentar verificación sin recodificar lo ya respaldado.")</f>
        <v/>
      </c>
      <c r="I180" s="4" t="inlineStr">
        <is>
          <t>https://doi.org/10.1016/b978-0-323-98352-5.00001-x</t>
        </is>
      </c>
    </row>
    <row r="181" ht="64" customHeight="1">
      <c r="A181" s="4" t="inlineStr">
        <is>
          <t>197</t>
        </is>
      </c>
      <c r="B181" s="4" t="inlineStr">
        <is>
          <t>Hybrid Diagnosis Models for Autism Patients Based on Medical and Sociodemographic Features Using Machine Learning and Multicriteria Decision-Making (MCDM) Techniques: An Evaluation and Benchmarking Framework</t>
        </is>
      </c>
      <c r="C181" s="4">
        <f>IF(IF(COUNTIFS('ESTUDIOS'!$A$2:$A$455,$A181,'ESTUDIOS'!$I$2:$I$455,"")&gt;0,"",INDEX('ESTUDIOS'!$I$2:$I$455,MATCH($A181,'ESTUDIOS'!$A$2:$A$455,0)))=1,"1 - Integrity",IF(OR(IF(COUNTIFS('RQ2'!$A$2:$A$455,$A181,'RQ2'!$D$2:$D$455,"")&gt;0,"",INDEX('RQ2'!$D$2:$D$455,MATCH($A181,'RQ2'!$A$2:$A$455,0)))="",IF(COUNTIFS('RQ2'!$A$2:$A$455,$A181,'RQ2'!$E$2:$E$455,"")&gt;0,"",INDEX('RQ2'!$E$2:$E$455,MATCH($A181,'RQ2'!$A$2:$A$455,0)))=""),"2 - RQ2 historical","3 - Verify recorded evidence"))</f>
        <v/>
      </c>
      <c r="D181" s="4">
        <f>IF(OR(IF(COUNTIFS('RQ2'!$A$2:$A$455,$A181,'RQ2'!$D$2:$D$455,"")&gt;0,"",INDEX('RQ2'!$D$2:$D$455,MATCH($A181,'RQ2'!$A$2:$A$455,0)))="",IF(COUNTIFS('RQ2'!$A$2:$A$455,$A181,'RQ2'!$E$2:$E$455,"")&gt;0,"",INDEX('RQ2'!$E$2:$E$455,MATCH($A181,'RQ2'!$A$2:$A$455,0)))=""),"PENDIENTE","REGISTRADA")</f>
        <v/>
      </c>
      <c r="E181" s="4">
        <f>IF(IF(COUNTIFS('RQ1'!$A$2:$A$455,$A181,'RQ1'!$N$2:$N$455,"")&gt;0,"",INDEX('RQ1'!$N$2:$N$455,MATCH($A181,'RQ1'!$A$2:$A$455,0)))=1,"REVISAR DETALLE","REGISTRADA")</f>
        <v/>
      </c>
      <c r="F181" s="4">
        <f>IF(IF(COUNTIFS('RQ3'!$A$2:$A$455,$A181,'RQ3'!$P$2:$P$455,"")&gt;0,"",INDEX('RQ3'!$P$2:$P$455,MATCH($A181,'RQ3'!$A$2:$A$455,0)))="","NO REGISTRADO",IF(IF(COUNTIFS('RQ3'!$A$2:$A$455,$A181,'RQ3'!$P$2:$P$455,"")&gt;0,"",INDEX('RQ3'!$P$2:$P$455,MATCH($A181,'RQ3'!$A$2:$A$455,0)))=1,"MARCA ACTIVA","SIN MARCA"))</f>
        <v/>
      </c>
      <c r="G181" s="4">
        <f>IF(IF(COUNTIFS('ESTUDIOS'!$A$2:$A$455,$A181,'ESTUDIOS'!$N$2:$N$455,"")&gt;0,"",INDEX('ESTUDIOS'!$N$2:$N$455,MATCH($A181,'ESTUDIOS'!$A$2:$A$455,0)))="Verified","DOCUMENTADA","NO DOCUMENTADA")</f>
        <v/>
      </c>
      <c r="H181" s="4">
        <f>IF(D181="PENDIENTE","Leer evidencia ya extraída; registrar uso propuesto o evaluado, función, fuente y revisor en RQ2.","Comprobar evidencia y cautelas registradas; documentar verificación sin recodificar lo ya respaldado.")</f>
        <v/>
      </c>
      <c r="I181" s="4" t="inlineStr">
        <is>
          <t>https://doi.org/10.1155/2022/9410222</t>
        </is>
      </c>
    </row>
    <row r="182" ht="64" customHeight="1">
      <c r="A182" s="4" t="inlineStr">
        <is>
          <t>199</t>
        </is>
      </c>
      <c r="B182" s="4" t="inlineStr">
        <is>
          <t>Informing developmental milestone achievement for children with autism: Machine learning approach</t>
        </is>
      </c>
      <c r="C182" s="4">
        <f>IF(IF(COUNTIFS('ESTUDIOS'!$A$2:$A$455,$A182,'ESTUDIOS'!$I$2:$I$455,"")&gt;0,"",INDEX('ESTUDIOS'!$I$2:$I$455,MATCH($A182,'ESTUDIOS'!$A$2:$A$455,0)))=1,"1 - Integrity",IF(OR(IF(COUNTIFS('RQ2'!$A$2:$A$455,$A182,'RQ2'!$D$2:$D$455,"")&gt;0,"",INDEX('RQ2'!$D$2:$D$455,MATCH($A182,'RQ2'!$A$2:$A$455,0)))="",IF(COUNTIFS('RQ2'!$A$2:$A$455,$A182,'RQ2'!$E$2:$E$455,"")&gt;0,"",INDEX('RQ2'!$E$2:$E$455,MATCH($A182,'RQ2'!$A$2:$A$455,0)))=""),"2 - RQ2 historical","3 - Verify recorded evidence"))</f>
        <v/>
      </c>
      <c r="D182" s="4">
        <f>IF(OR(IF(COUNTIFS('RQ2'!$A$2:$A$455,$A182,'RQ2'!$D$2:$D$455,"")&gt;0,"",INDEX('RQ2'!$D$2:$D$455,MATCH($A182,'RQ2'!$A$2:$A$455,0)))="",IF(COUNTIFS('RQ2'!$A$2:$A$455,$A182,'RQ2'!$E$2:$E$455,"")&gt;0,"",INDEX('RQ2'!$E$2:$E$455,MATCH($A182,'RQ2'!$A$2:$A$455,0)))=""),"PENDIENTE","REGISTRADA")</f>
        <v/>
      </c>
      <c r="E182" s="4">
        <f>IF(IF(COUNTIFS('RQ1'!$A$2:$A$455,$A182,'RQ1'!$N$2:$N$455,"")&gt;0,"",INDEX('RQ1'!$N$2:$N$455,MATCH($A182,'RQ1'!$A$2:$A$455,0)))=1,"REVISAR DETALLE","REGISTRADA")</f>
        <v/>
      </c>
      <c r="F182" s="4">
        <f>IF(IF(COUNTIFS('RQ3'!$A$2:$A$455,$A182,'RQ3'!$P$2:$P$455,"")&gt;0,"",INDEX('RQ3'!$P$2:$P$455,MATCH($A182,'RQ3'!$A$2:$A$455,0)))="","NO REGISTRADO",IF(IF(COUNTIFS('RQ3'!$A$2:$A$455,$A182,'RQ3'!$P$2:$P$455,"")&gt;0,"",INDEX('RQ3'!$P$2:$P$455,MATCH($A182,'RQ3'!$A$2:$A$455,0)))=1,"MARCA ACTIVA","SIN MARCA"))</f>
        <v/>
      </c>
      <c r="G182" s="4">
        <f>IF(IF(COUNTIFS('ESTUDIOS'!$A$2:$A$455,$A182,'ESTUDIOS'!$N$2:$N$455,"")&gt;0,"",INDEX('ESTUDIOS'!$N$2:$N$455,MATCH($A182,'ESTUDIOS'!$A$2:$A$455,0)))="Verified","DOCUMENTADA","NO DOCUMENTADA")</f>
        <v/>
      </c>
      <c r="H182" s="4">
        <f>IF(D182="PENDIENTE","Leer evidencia ya extraída; registrar uso propuesto o evaluado, función, fuente y revisor en RQ2.","Comprobar evidencia y cautelas registradas; documentar verificación sin recodificar lo ya respaldado.")</f>
        <v/>
      </c>
      <c r="I182" s="4" t="inlineStr">
        <is>
          <t>https://doi.org/10.2196/29242</t>
        </is>
      </c>
    </row>
    <row r="183" ht="64" customHeight="1">
      <c r="A183" s="4" t="inlineStr">
        <is>
          <t>200</t>
        </is>
      </c>
      <c r="B183" s="4" t="inlineStr">
        <is>
          <t>Machine learning based autism screening tool—a modified approach</t>
        </is>
      </c>
      <c r="C183" s="4">
        <f>IF(IF(COUNTIFS('ESTUDIOS'!$A$2:$A$455,$A183,'ESTUDIOS'!$I$2:$I$455,"")&gt;0,"",INDEX('ESTUDIOS'!$I$2:$I$455,MATCH($A183,'ESTUDIOS'!$A$2:$A$455,0)))=1,"1 - Integrity",IF(OR(IF(COUNTIFS('RQ2'!$A$2:$A$455,$A183,'RQ2'!$D$2:$D$455,"")&gt;0,"",INDEX('RQ2'!$D$2:$D$455,MATCH($A183,'RQ2'!$A$2:$A$455,0)))="",IF(COUNTIFS('RQ2'!$A$2:$A$455,$A183,'RQ2'!$E$2:$E$455,"")&gt;0,"",INDEX('RQ2'!$E$2:$E$455,MATCH($A183,'RQ2'!$A$2:$A$455,0)))=""),"2 - RQ2 historical","3 - Verify recorded evidence"))</f>
        <v/>
      </c>
      <c r="D183" s="4">
        <f>IF(OR(IF(COUNTIFS('RQ2'!$A$2:$A$455,$A183,'RQ2'!$D$2:$D$455,"")&gt;0,"",INDEX('RQ2'!$D$2:$D$455,MATCH($A183,'RQ2'!$A$2:$A$455,0)))="",IF(COUNTIFS('RQ2'!$A$2:$A$455,$A183,'RQ2'!$E$2:$E$455,"")&gt;0,"",INDEX('RQ2'!$E$2:$E$455,MATCH($A183,'RQ2'!$A$2:$A$455,0)))=""),"PENDIENTE","REGISTRADA")</f>
        <v/>
      </c>
      <c r="E183" s="4">
        <f>IF(IF(COUNTIFS('RQ1'!$A$2:$A$455,$A183,'RQ1'!$N$2:$N$455,"")&gt;0,"",INDEX('RQ1'!$N$2:$N$455,MATCH($A183,'RQ1'!$A$2:$A$455,0)))=1,"REVISAR DETALLE","REGISTRADA")</f>
        <v/>
      </c>
      <c r="F183" s="4">
        <f>IF(IF(COUNTIFS('RQ3'!$A$2:$A$455,$A183,'RQ3'!$P$2:$P$455,"")&gt;0,"",INDEX('RQ3'!$P$2:$P$455,MATCH($A183,'RQ3'!$A$2:$A$455,0)))="","NO REGISTRADO",IF(IF(COUNTIFS('RQ3'!$A$2:$A$455,$A183,'RQ3'!$P$2:$P$455,"")&gt;0,"",INDEX('RQ3'!$P$2:$P$455,MATCH($A183,'RQ3'!$A$2:$A$455,0)))=1,"MARCA ACTIVA","SIN MARCA"))</f>
        <v/>
      </c>
      <c r="G183" s="4">
        <f>IF(IF(COUNTIFS('ESTUDIOS'!$A$2:$A$455,$A183,'ESTUDIOS'!$N$2:$N$455,"")&gt;0,"",INDEX('ESTUDIOS'!$N$2:$N$455,MATCH($A183,'ESTUDIOS'!$A$2:$A$455,0)))="Verified","DOCUMENTADA","NO DOCUMENTADA")</f>
        <v/>
      </c>
      <c r="H183" s="4">
        <f>IF(D183="PENDIENTE","Leer evidencia ya extraída; registrar uso propuesto o evaluado, función, fuente y revisor en RQ2.","Comprobar evidencia y cautelas registradas; documentar verificación sin recodificar lo ya respaldado.")</f>
        <v/>
      </c>
      <c r="I183" s="4" t="inlineStr">
        <is>
          <t>https://doi.org/10.1007/s11042-024-18519-y</t>
        </is>
      </c>
    </row>
    <row r="184" ht="64" customHeight="1">
      <c r="A184" s="4" t="inlineStr">
        <is>
          <t>201</t>
        </is>
      </c>
      <c r="B184" s="4" t="inlineStr">
        <is>
          <t>Machine Learning–Based Approach for Early Screening of Autism Spectrum Disorders</t>
        </is>
      </c>
      <c r="C184" s="4">
        <f>IF(IF(COUNTIFS('ESTUDIOS'!$A$2:$A$455,$A184,'ESTUDIOS'!$I$2:$I$455,"")&gt;0,"",INDEX('ESTUDIOS'!$I$2:$I$455,MATCH($A184,'ESTUDIOS'!$A$2:$A$455,0)))=1,"1 - Integrity",IF(OR(IF(COUNTIFS('RQ2'!$A$2:$A$455,$A184,'RQ2'!$D$2:$D$455,"")&gt;0,"",INDEX('RQ2'!$D$2:$D$455,MATCH($A184,'RQ2'!$A$2:$A$455,0)))="",IF(COUNTIFS('RQ2'!$A$2:$A$455,$A184,'RQ2'!$E$2:$E$455,"")&gt;0,"",INDEX('RQ2'!$E$2:$E$455,MATCH($A184,'RQ2'!$A$2:$A$455,0)))=""),"2 - RQ2 historical","3 - Verify recorded evidence"))</f>
        <v/>
      </c>
      <c r="D184" s="4">
        <f>IF(OR(IF(COUNTIFS('RQ2'!$A$2:$A$455,$A184,'RQ2'!$D$2:$D$455,"")&gt;0,"",INDEX('RQ2'!$D$2:$D$455,MATCH($A184,'RQ2'!$A$2:$A$455,0)))="",IF(COUNTIFS('RQ2'!$A$2:$A$455,$A184,'RQ2'!$E$2:$E$455,"")&gt;0,"",INDEX('RQ2'!$E$2:$E$455,MATCH($A184,'RQ2'!$A$2:$A$455,0)))=""),"PENDIENTE","REGISTRADA")</f>
        <v/>
      </c>
      <c r="E184" s="4">
        <f>IF(IF(COUNTIFS('RQ1'!$A$2:$A$455,$A184,'RQ1'!$N$2:$N$455,"")&gt;0,"",INDEX('RQ1'!$N$2:$N$455,MATCH($A184,'RQ1'!$A$2:$A$455,0)))=1,"REVISAR DETALLE","REGISTRADA")</f>
        <v/>
      </c>
      <c r="F184" s="4">
        <f>IF(IF(COUNTIFS('RQ3'!$A$2:$A$455,$A184,'RQ3'!$P$2:$P$455,"")&gt;0,"",INDEX('RQ3'!$P$2:$P$455,MATCH($A184,'RQ3'!$A$2:$A$455,0)))="","NO REGISTRADO",IF(IF(COUNTIFS('RQ3'!$A$2:$A$455,$A184,'RQ3'!$P$2:$P$455,"")&gt;0,"",INDEX('RQ3'!$P$2:$P$455,MATCH($A184,'RQ3'!$A$2:$A$455,0)))=1,"MARCA ACTIVA","SIN MARCA"))</f>
        <v/>
      </c>
      <c r="G184" s="4">
        <f>IF(IF(COUNTIFS('ESTUDIOS'!$A$2:$A$455,$A184,'ESTUDIOS'!$N$2:$N$455,"")&gt;0,"",INDEX('ESTUDIOS'!$N$2:$N$455,MATCH($A184,'ESTUDIOS'!$A$2:$A$455,0)))="Verified","DOCUMENTADA","NO DOCUMENTADA")</f>
        <v/>
      </c>
      <c r="H184" s="4">
        <f>IF(D184="PENDIENTE","Leer evidencia ya extraída; registrar uso propuesto o evaluado, función, fuente y revisor en RQ2.","Comprobar evidencia y cautelas registradas; documentar verificación sin recodificar lo ya respaldado.")</f>
        <v/>
      </c>
      <c r="I184" s="4" t="inlineStr">
        <is>
          <t>https://doi.org/10.1155/acis/9975499</t>
        </is>
      </c>
    </row>
    <row r="185" ht="64" customHeight="1">
      <c r="A185" s="4" t="inlineStr">
        <is>
          <t>202</t>
        </is>
      </c>
      <c r="B185" s="4" t="inlineStr">
        <is>
          <t>Model selection to achieve reproducible associations between resting state EEG features and autism</t>
        </is>
      </c>
      <c r="C185" s="4">
        <f>IF(IF(COUNTIFS('ESTUDIOS'!$A$2:$A$455,$A185,'ESTUDIOS'!$I$2:$I$455,"")&gt;0,"",INDEX('ESTUDIOS'!$I$2:$I$455,MATCH($A185,'ESTUDIOS'!$A$2:$A$455,0)))=1,"1 - Integrity",IF(OR(IF(COUNTIFS('RQ2'!$A$2:$A$455,$A185,'RQ2'!$D$2:$D$455,"")&gt;0,"",INDEX('RQ2'!$D$2:$D$455,MATCH($A185,'RQ2'!$A$2:$A$455,0)))="",IF(COUNTIFS('RQ2'!$A$2:$A$455,$A185,'RQ2'!$E$2:$E$455,"")&gt;0,"",INDEX('RQ2'!$E$2:$E$455,MATCH($A185,'RQ2'!$A$2:$A$455,0)))=""),"2 - RQ2 historical","3 - Verify recorded evidence"))</f>
        <v/>
      </c>
      <c r="D185" s="4">
        <f>IF(OR(IF(COUNTIFS('RQ2'!$A$2:$A$455,$A185,'RQ2'!$D$2:$D$455,"")&gt;0,"",INDEX('RQ2'!$D$2:$D$455,MATCH($A185,'RQ2'!$A$2:$A$455,0)))="",IF(COUNTIFS('RQ2'!$A$2:$A$455,$A185,'RQ2'!$E$2:$E$455,"")&gt;0,"",INDEX('RQ2'!$E$2:$E$455,MATCH($A185,'RQ2'!$A$2:$A$455,0)))=""),"PENDIENTE","REGISTRADA")</f>
        <v/>
      </c>
      <c r="E185" s="4">
        <f>IF(IF(COUNTIFS('RQ1'!$A$2:$A$455,$A185,'RQ1'!$N$2:$N$455,"")&gt;0,"",INDEX('RQ1'!$N$2:$N$455,MATCH($A185,'RQ1'!$A$2:$A$455,0)))=1,"REVISAR DETALLE","REGISTRADA")</f>
        <v/>
      </c>
      <c r="F185" s="4">
        <f>IF(IF(COUNTIFS('RQ3'!$A$2:$A$455,$A185,'RQ3'!$P$2:$P$455,"")&gt;0,"",INDEX('RQ3'!$P$2:$P$455,MATCH($A185,'RQ3'!$A$2:$A$455,0)))="","NO REGISTRADO",IF(IF(COUNTIFS('RQ3'!$A$2:$A$455,$A185,'RQ3'!$P$2:$P$455,"")&gt;0,"",INDEX('RQ3'!$P$2:$P$455,MATCH($A185,'RQ3'!$A$2:$A$455,0)))=1,"MARCA ACTIVA","SIN MARCA"))</f>
        <v/>
      </c>
      <c r="G185" s="4">
        <f>IF(IF(COUNTIFS('ESTUDIOS'!$A$2:$A$455,$A185,'ESTUDIOS'!$N$2:$N$455,"")&gt;0,"",INDEX('ESTUDIOS'!$N$2:$N$455,MATCH($A185,'ESTUDIOS'!$A$2:$A$455,0)))="Verified","DOCUMENTADA","NO DOCUMENTADA")</f>
        <v/>
      </c>
      <c r="H185" s="4">
        <f>IF(D185="PENDIENTE","Leer evidencia ya extraída; registrar uso propuesto o evaluado, función, fuente y revisor en RQ2.","Comprobar evidencia y cautelas registradas; documentar verificación sin recodificar lo ya respaldado.")</f>
        <v/>
      </c>
      <c r="I185" s="4" t="inlineStr">
        <is>
          <t>https://doi.org/10.1038/s41598-024-76659-5</t>
        </is>
      </c>
    </row>
    <row r="186" ht="64" customHeight="1">
      <c r="A186" s="4" t="inlineStr">
        <is>
          <t>203</t>
        </is>
      </c>
      <c r="B186" s="4" t="inlineStr">
        <is>
          <t>Multimodal autism detection: Deep hybrid model with improved feature level fusion</t>
        </is>
      </c>
      <c r="C186" s="4">
        <f>IF(IF(COUNTIFS('ESTUDIOS'!$A$2:$A$455,$A186,'ESTUDIOS'!$I$2:$I$455,"")&gt;0,"",INDEX('ESTUDIOS'!$I$2:$I$455,MATCH($A186,'ESTUDIOS'!$A$2:$A$455,0)))=1,"1 - Integrity",IF(OR(IF(COUNTIFS('RQ2'!$A$2:$A$455,$A186,'RQ2'!$D$2:$D$455,"")&gt;0,"",INDEX('RQ2'!$D$2:$D$455,MATCH($A186,'RQ2'!$A$2:$A$455,0)))="",IF(COUNTIFS('RQ2'!$A$2:$A$455,$A186,'RQ2'!$E$2:$E$455,"")&gt;0,"",INDEX('RQ2'!$E$2:$E$455,MATCH($A186,'RQ2'!$A$2:$A$455,0)))=""),"2 - RQ2 historical","3 - Verify recorded evidence"))</f>
        <v/>
      </c>
      <c r="D186" s="4">
        <f>IF(OR(IF(COUNTIFS('RQ2'!$A$2:$A$455,$A186,'RQ2'!$D$2:$D$455,"")&gt;0,"",INDEX('RQ2'!$D$2:$D$455,MATCH($A186,'RQ2'!$A$2:$A$455,0)))="",IF(COUNTIFS('RQ2'!$A$2:$A$455,$A186,'RQ2'!$E$2:$E$455,"")&gt;0,"",INDEX('RQ2'!$E$2:$E$455,MATCH($A186,'RQ2'!$A$2:$A$455,0)))=""),"PENDIENTE","REGISTRADA")</f>
        <v/>
      </c>
      <c r="E186" s="4">
        <f>IF(IF(COUNTIFS('RQ1'!$A$2:$A$455,$A186,'RQ1'!$N$2:$N$455,"")&gt;0,"",INDEX('RQ1'!$N$2:$N$455,MATCH($A186,'RQ1'!$A$2:$A$455,0)))=1,"REVISAR DETALLE","REGISTRADA")</f>
        <v/>
      </c>
      <c r="F186" s="4">
        <f>IF(IF(COUNTIFS('RQ3'!$A$2:$A$455,$A186,'RQ3'!$P$2:$P$455,"")&gt;0,"",INDEX('RQ3'!$P$2:$P$455,MATCH($A186,'RQ3'!$A$2:$A$455,0)))="","NO REGISTRADO",IF(IF(COUNTIFS('RQ3'!$A$2:$A$455,$A186,'RQ3'!$P$2:$P$455,"")&gt;0,"",INDEX('RQ3'!$P$2:$P$455,MATCH($A186,'RQ3'!$A$2:$A$455,0)))=1,"MARCA ACTIVA","SIN MARCA"))</f>
        <v/>
      </c>
      <c r="G186" s="4">
        <f>IF(IF(COUNTIFS('ESTUDIOS'!$A$2:$A$455,$A186,'ESTUDIOS'!$N$2:$N$455,"")&gt;0,"",INDEX('ESTUDIOS'!$N$2:$N$455,MATCH($A186,'ESTUDIOS'!$A$2:$A$455,0)))="Verified","DOCUMENTADA","NO DOCUMENTADA")</f>
        <v/>
      </c>
      <c r="H186" s="4">
        <f>IF(D186="PENDIENTE","Leer evidencia ya extraída; registrar uso propuesto o evaluado, función, fuente y revisor en RQ2.","Comprobar evidencia y cautelas registradas; documentar verificación sin recodificar lo ya respaldado.")</f>
        <v/>
      </c>
      <c r="I186" s="4" t="inlineStr">
        <is>
          <t>https://doi.org/10.1016/j.cmpb.2024.108492</t>
        </is>
      </c>
    </row>
    <row r="187" ht="64" customHeight="1">
      <c r="A187" s="4" t="inlineStr">
        <is>
          <t>204</t>
        </is>
      </c>
      <c r="B187" s="4" t="inlineStr">
        <is>
          <t>Multi-task feature selection via supervised canonical graph matching for diagnosis of autism spectrum disorder</t>
        </is>
      </c>
      <c r="C187" s="4">
        <f>IF(IF(COUNTIFS('ESTUDIOS'!$A$2:$A$455,$A187,'ESTUDIOS'!$I$2:$I$455,"")&gt;0,"",INDEX('ESTUDIOS'!$I$2:$I$455,MATCH($A187,'ESTUDIOS'!$A$2:$A$455,0)))=1,"1 - Integrity",IF(OR(IF(COUNTIFS('RQ2'!$A$2:$A$455,$A187,'RQ2'!$D$2:$D$455,"")&gt;0,"",INDEX('RQ2'!$D$2:$D$455,MATCH($A187,'RQ2'!$A$2:$A$455,0)))="",IF(COUNTIFS('RQ2'!$A$2:$A$455,$A187,'RQ2'!$E$2:$E$455,"")&gt;0,"",INDEX('RQ2'!$E$2:$E$455,MATCH($A187,'RQ2'!$A$2:$A$455,0)))=""),"2 - RQ2 historical","3 - Verify recorded evidence"))</f>
        <v/>
      </c>
      <c r="D187" s="4">
        <f>IF(OR(IF(COUNTIFS('RQ2'!$A$2:$A$455,$A187,'RQ2'!$D$2:$D$455,"")&gt;0,"",INDEX('RQ2'!$D$2:$D$455,MATCH($A187,'RQ2'!$A$2:$A$455,0)))="",IF(COUNTIFS('RQ2'!$A$2:$A$455,$A187,'RQ2'!$E$2:$E$455,"")&gt;0,"",INDEX('RQ2'!$E$2:$E$455,MATCH($A187,'RQ2'!$A$2:$A$455,0)))=""),"PENDIENTE","REGISTRADA")</f>
        <v/>
      </c>
      <c r="E187" s="4">
        <f>IF(IF(COUNTIFS('RQ1'!$A$2:$A$455,$A187,'RQ1'!$N$2:$N$455,"")&gt;0,"",INDEX('RQ1'!$N$2:$N$455,MATCH($A187,'RQ1'!$A$2:$A$455,0)))=1,"REVISAR DETALLE","REGISTRADA")</f>
        <v/>
      </c>
      <c r="F187" s="4">
        <f>IF(IF(COUNTIFS('RQ3'!$A$2:$A$455,$A187,'RQ3'!$P$2:$P$455,"")&gt;0,"",INDEX('RQ3'!$P$2:$P$455,MATCH($A187,'RQ3'!$A$2:$A$455,0)))="","NO REGISTRADO",IF(IF(COUNTIFS('RQ3'!$A$2:$A$455,$A187,'RQ3'!$P$2:$P$455,"")&gt;0,"",INDEX('RQ3'!$P$2:$P$455,MATCH($A187,'RQ3'!$A$2:$A$455,0)))=1,"MARCA ACTIVA","SIN MARCA"))</f>
        <v/>
      </c>
      <c r="G187" s="4">
        <f>IF(IF(COUNTIFS('ESTUDIOS'!$A$2:$A$455,$A187,'ESTUDIOS'!$N$2:$N$455,"")&gt;0,"",INDEX('ESTUDIOS'!$N$2:$N$455,MATCH($A187,'ESTUDIOS'!$A$2:$A$455,0)))="Verified","DOCUMENTADA","NO DOCUMENTADA")</f>
        <v/>
      </c>
      <c r="H187" s="4">
        <f>IF(D187="PENDIENTE","Leer evidencia ya extraída; registrar uso propuesto o evaluado, función, fuente y revisor en RQ2.","Comprobar evidencia y cautelas registradas; documentar verificación sin recodificar lo ya respaldado.")</f>
        <v/>
      </c>
      <c r="I187" s="4" t="inlineStr">
        <is>
          <t>https://doi.org/10.1007/s11682-015-9360-1</t>
        </is>
      </c>
    </row>
    <row r="188" ht="64" customHeight="1">
      <c r="A188" s="4" t="inlineStr">
        <is>
          <t>205</t>
        </is>
      </c>
      <c r="B188" s="4" t="inlineStr">
        <is>
          <t>Off-Body Sleep Analysis for Predicting Adverse Behavior in Individuals With Autism Spectrum Disorder</t>
        </is>
      </c>
      <c r="C188" s="4">
        <f>IF(IF(COUNTIFS('ESTUDIOS'!$A$2:$A$455,$A188,'ESTUDIOS'!$I$2:$I$455,"")&gt;0,"",INDEX('ESTUDIOS'!$I$2:$I$455,MATCH($A188,'ESTUDIOS'!$A$2:$A$455,0)))=1,"1 - Integrity",IF(OR(IF(COUNTIFS('RQ2'!$A$2:$A$455,$A188,'RQ2'!$D$2:$D$455,"")&gt;0,"",INDEX('RQ2'!$D$2:$D$455,MATCH($A188,'RQ2'!$A$2:$A$455,0)))="",IF(COUNTIFS('RQ2'!$A$2:$A$455,$A188,'RQ2'!$E$2:$E$455,"")&gt;0,"",INDEX('RQ2'!$E$2:$E$455,MATCH($A188,'RQ2'!$A$2:$A$455,0)))=""),"2 - RQ2 historical","3 - Verify recorded evidence"))</f>
        <v/>
      </c>
      <c r="D188" s="4">
        <f>IF(OR(IF(COUNTIFS('RQ2'!$A$2:$A$455,$A188,'RQ2'!$D$2:$D$455,"")&gt;0,"",INDEX('RQ2'!$D$2:$D$455,MATCH($A188,'RQ2'!$A$2:$A$455,0)))="",IF(COUNTIFS('RQ2'!$A$2:$A$455,$A188,'RQ2'!$E$2:$E$455,"")&gt;0,"",INDEX('RQ2'!$E$2:$E$455,MATCH($A188,'RQ2'!$A$2:$A$455,0)))=""),"PENDIENTE","REGISTRADA")</f>
        <v/>
      </c>
      <c r="E188" s="4">
        <f>IF(IF(COUNTIFS('RQ1'!$A$2:$A$455,$A188,'RQ1'!$N$2:$N$455,"")&gt;0,"",INDEX('RQ1'!$N$2:$N$455,MATCH($A188,'RQ1'!$A$2:$A$455,0)))=1,"REVISAR DETALLE","REGISTRADA")</f>
        <v/>
      </c>
      <c r="F188" s="4">
        <f>IF(IF(COUNTIFS('RQ3'!$A$2:$A$455,$A188,'RQ3'!$P$2:$P$455,"")&gt;0,"",INDEX('RQ3'!$P$2:$P$455,MATCH($A188,'RQ3'!$A$2:$A$455,0)))="","NO REGISTRADO",IF(IF(COUNTIFS('RQ3'!$A$2:$A$455,$A188,'RQ3'!$P$2:$P$455,"")&gt;0,"",INDEX('RQ3'!$P$2:$P$455,MATCH($A188,'RQ3'!$A$2:$A$455,0)))=1,"MARCA ACTIVA","SIN MARCA"))</f>
        <v/>
      </c>
      <c r="G188" s="4">
        <f>IF(IF(COUNTIFS('ESTUDIOS'!$A$2:$A$455,$A188,'ESTUDIOS'!$N$2:$N$455,"")&gt;0,"",INDEX('ESTUDIOS'!$N$2:$N$455,MATCH($A188,'ESTUDIOS'!$A$2:$A$455,0)))="Verified","DOCUMENTADA","NO DOCUMENTADA")</f>
        <v/>
      </c>
      <c r="H188" s="4">
        <f>IF(D188="PENDIENTE","Leer evidencia ya extraída; registrar uso propuesto o evaluado, función, fuente y revisor en RQ2.","Comprobar evidencia y cautelas registradas; documentar verificación sin recodificar lo ya respaldado.")</f>
        <v/>
      </c>
      <c r="I188" s="4" t="inlineStr">
        <is>
          <t>https://doi.org/10.1109/jbhi.2024.3455942</t>
        </is>
      </c>
    </row>
    <row r="189" ht="64" customHeight="1">
      <c r="A189" s="4" t="inlineStr">
        <is>
          <t>206</t>
        </is>
      </c>
      <c r="B189" s="4" t="inlineStr">
        <is>
          <t>Overlaps in brain dynamic functional connectivity between schizophrenia and autism spectrum disorder</t>
        </is>
      </c>
      <c r="C189" s="4">
        <f>IF(IF(COUNTIFS('ESTUDIOS'!$A$2:$A$455,$A189,'ESTUDIOS'!$I$2:$I$455,"")&gt;0,"",INDEX('ESTUDIOS'!$I$2:$I$455,MATCH($A189,'ESTUDIOS'!$A$2:$A$455,0)))=1,"1 - Integrity",IF(OR(IF(COUNTIFS('RQ2'!$A$2:$A$455,$A189,'RQ2'!$D$2:$D$455,"")&gt;0,"",INDEX('RQ2'!$D$2:$D$455,MATCH($A189,'RQ2'!$A$2:$A$455,0)))="",IF(COUNTIFS('RQ2'!$A$2:$A$455,$A189,'RQ2'!$E$2:$E$455,"")&gt;0,"",INDEX('RQ2'!$E$2:$E$455,MATCH($A189,'RQ2'!$A$2:$A$455,0)))=""),"2 - RQ2 historical","3 - Verify recorded evidence"))</f>
        <v/>
      </c>
      <c r="D189" s="4">
        <f>IF(OR(IF(COUNTIFS('RQ2'!$A$2:$A$455,$A189,'RQ2'!$D$2:$D$455,"")&gt;0,"",INDEX('RQ2'!$D$2:$D$455,MATCH($A189,'RQ2'!$A$2:$A$455,0)))="",IF(COUNTIFS('RQ2'!$A$2:$A$455,$A189,'RQ2'!$E$2:$E$455,"")&gt;0,"",INDEX('RQ2'!$E$2:$E$455,MATCH($A189,'RQ2'!$A$2:$A$455,0)))=""),"PENDIENTE","REGISTRADA")</f>
        <v/>
      </c>
      <c r="E189" s="4">
        <f>IF(IF(COUNTIFS('RQ1'!$A$2:$A$455,$A189,'RQ1'!$N$2:$N$455,"")&gt;0,"",INDEX('RQ1'!$N$2:$N$455,MATCH($A189,'RQ1'!$A$2:$A$455,0)))=1,"REVISAR DETALLE","REGISTRADA")</f>
        <v/>
      </c>
      <c r="F189" s="4">
        <f>IF(IF(COUNTIFS('RQ3'!$A$2:$A$455,$A189,'RQ3'!$P$2:$P$455,"")&gt;0,"",INDEX('RQ3'!$P$2:$P$455,MATCH($A189,'RQ3'!$A$2:$A$455,0)))="","NO REGISTRADO",IF(IF(COUNTIFS('RQ3'!$A$2:$A$455,$A189,'RQ3'!$P$2:$P$455,"")&gt;0,"",INDEX('RQ3'!$P$2:$P$455,MATCH($A189,'RQ3'!$A$2:$A$455,0)))=1,"MARCA ACTIVA","SIN MARCA"))</f>
        <v/>
      </c>
      <c r="G189" s="4">
        <f>IF(IF(COUNTIFS('ESTUDIOS'!$A$2:$A$455,$A189,'ESTUDIOS'!$N$2:$N$455,"")&gt;0,"",INDEX('ESTUDIOS'!$N$2:$N$455,MATCH($A189,'ESTUDIOS'!$A$2:$A$455,0)))="Verified","DOCUMENTADA","NO DOCUMENTADA")</f>
        <v/>
      </c>
      <c r="H189" s="4">
        <f>IF(D189="PENDIENTE","Leer evidencia ya extraída; registrar uso propuesto o evaluado, función, fuente y revisor en RQ2.","Comprobar evidencia y cautelas registradas; documentar verificación sin recodificar lo ya respaldado.")</f>
        <v/>
      </c>
      <c r="I189" s="4" t="inlineStr">
        <is>
          <t>https://doi.org/10.1016/j.sciaf.2018.e00019</t>
        </is>
      </c>
    </row>
    <row r="190" ht="64" customHeight="1">
      <c r="A190" s="4" t="inlineStr">
        <is>
          <t>207</t>
        </is>
      </c>
      <c r="B190" s="4" t="inlineStr">
        <is>
          <t>Persistent spectral based machine learning method for autism spectrum disorder classification</t>
        </is>
      </c>
      <c r="C190" s="4">
        <f>IF(IF(COUNTIFS('ESTUDIOS'!$A$2:$A$455,$A190,'ESTUDIOS'!$I$2:$I$455,"")&gt;0,"",INDEX('ESTUDIOS'!$I$2:$I$455,MATCH($A190,'ESTUDIOS'!$A$2:$A$455,0)))=1,"1 - Integrity",IF(OR(IF(COUNTIFS('RQ2'!$A$2:$A$455,$A190,'RQ2'!$D$2:$D$455,"")&gt;0,"",INDEX('RQ2'!$D$2:$D$455,MATCH($A190,'RQ2'!$A$2:$A$455,0)))="",IF(COUNTIFS('RQ2'!$A$2:$A$455,$A190,'RQ2'!$E$2:$E$455,"")&gt;0,"",INDEX('RQ2'!$E$2:$E$455,MATCH($A190,'RQ2'!$A$2:$A$455,0)))=""),"2 - RQ2 historical","3 - Verify recorded evidence"))</f>
        <v/>
      </c>
      <c r="D190" s="4">
        <f>IF(OR(IF(COUNTIFS('RQ2'!$A$2:$A$455,$A190,'RQ2'!$D$2:$D$455,"")&gt;0,"",INDEX('RQ2'!$D$2:$D$455,MATCH($A190,'RQ2'!$A$2:$A$455,0)))="",IF(COUNTIFS('RQ2'!$A$2:$A$455,$A190,'RQ2'!$E$2:$E$455,"")&gt;0,"",INDEX('RQ2'!$E$2:$E$455,MATCH($A190,'RQ2'!$A$2:$A$455,0)))=""),"PENDIENTE","REGISTRADA")</f>
        <v/>
      </c>
      <c r="E190" s="4">
        <f>IF(IF(COUNTIFS('RQ1'!$A$2:$A$455,$A190,'RQ1'!$N$2:$N$455,"")&gt;0,"",INDEX('RQ1'!$N$2:$N$455,MATCH($A190,'RQ1'!$A$2:$A$455,0)))=1,"REVISAR DETALLE","REGISTRADA")</f>
        <v/>
      </c>
      <c r="F190" s="4">
        <f>IF(IF(COUNTIFS('RQ3'!$A$2:$A$455,$A190,'RQ3'!$P$2:$P$455,"")&gt;0,"",INDEX('RQ3'!$P$2:$P$455,MATCH($A190,'RQ3'!$A$2:$A$455,0)))="","NO REGISTRADO",IF(IF(COUNTIFS('RQ3'!$A$2:$A$455,$A190,'RQ3'!$P$2:$P$455,"")&gt;0,"",INDEX('RQ3'!$P$2:$P$455,MATCH($A190,'RQ3'!$A$2:$A$455,0)))=1,"MARCA ACTIVA","SIN MARCA"))</f>
        <v/>
      </c>
      <c r="G190" s="4">
        <f>IF(IF(COUNTIFS('ESTUDIOS'!$A$2:$A$455,$A190,'ESTUDIOS'!$N$2:$N$455,"")&gt;0,"",INDEX('ESTUDIOS'!$N$2:$N$455,MATCH($A190,'ESTUDIOS'!$A$2:$A$455,0)))="Verified","DOCUMENTADA","NO DOCUMENTADA")</f>
        <v/>
      </c>
      <c r="H190" s="4">
        <f>IF(D190="PENDIENTE","Leer evidencia ya extraída; registrar uso propuesto o evaluado, función, fuente y revisor en RQ2.","Comprobar evidencia y cautelas registradas; documentar verificación sin recodificar lo ya respaldado.")</f>
        <v/>
      </c>
      <c r="I190" s="4" t="inlineStr">
        <is>
          <t>https://doi.org/10.1016/j.neucom.2025.130780</t>
        </is>
      </c>
    </row>
    <row r="191" ht="64" customHeight="1">
      <c r="A191" s="4" t="inlineStr">
        <is>
          <t>208</t>
        </is>
      </c>
      <c r="B191" s="4" t="inlineStr">
        <is>
          <t>Phenotypic differences between female and male individuals with suspicion of autism spectrum disorder</t>
        </is>
      </c>
      <c r="C191" s="4">
        <f>IF(IF(COUNTIFS('ESTUDIOS'!$A$2:$A$455,$A191,'ESTUDIOS'!$I$2:$I$455,"")&gt;0,"",INDEX('ESTUDIOS'!$I$2:$I$455,MATCH($A191,'ESTUDIOS'!$A$2:$A$455,0)))=1,"1 - Integrity",IF(OR(IF(COUNTIFS('RQ2'!$A$2:$A$455,$A191,'RQ2'!$D$2:$D$455,"")&gt;0,"",INDEX('RQ2'!$D$2:$D$455,MATCH($A191,'RQ2'!$A$2:$A$455,0)))="",IF(COUNTIFS('RQ2'!$A$2:$A$455,$A191,'RQ2'!$E$2:$E$455,"")&gt;0,"",INDEX('RQ2'!$E$2:$E$455,MATCH($A191,'RQ2'!$A$2:$A$455,0)))=""),"2 - RQ2 historical","3 - Verify recorded evidence"))</f>
        <v/>
      </c>
      <c r="D191" s="4">
        <f>IF(OR(IF(COUNTIFS('RQ2'!$A$2:$A$455,$A191,'RQ2'!$D$2:$D$455,"")&gt;0,"",INDEX('RQ2'!$D$2:$D$455,MATCH($A191,'RQ2'!$A$2:$A$455,0)))="",IF(COUNTIFS('RQ2'!$A$2:$A$455,$A191,'RQ2'!$E$2:$E$455,"")&gt;0,"",INDEX('RQ2'!$E$2:$E$455,MATCH($A191,'RQ2'!$A$2:$A$455,0)))=""),"PENDIENTE","REGISTRADA")</f>
        <v/>
      </c>
      <c r="E191" s="4">
        <f>IF(IF(COUNTIFS('RQ1'!$A$2:$A$455,$A191,'RQ1'!$N$2:$N$455,"")&gt;0,"",INDEX('RQ1'!$N$2:$N$455,MATCH($A191,'RQ1'!$A$2:$A$455,0)))=1,"REVISAR DETALLE","REGISTRADA")</f>
        <v/>
      </c>
      <c r="F191" s="4">
        <f>IF(IF(COUNTIFS('RQ3'!$A$2:$A$455,$A191,'RQ3'!$P$2:$P$455,"")&gt;0,"",INDEX('RQ3'!$P$2:$P$455,MATCH($A191,'RQ3'!$A$2:$A$455,0)))="","NO REGISTRADO",IF(IF(COUNTIFS('RQ3'!$A$2:$A$455,$A191,'RQ3'!$P$2:$P$455,"")&gt;0,"",INDEX('RQ3'!$P$2:$P$455,MATCH($A191,'RQ3'!$A$2:$A$455,0)))=1,"MARCA ACTIVA","SIN MARCA"))</f>
        <v/>
      </c>
      <c r="G191" s="4">
        <f>IF(IF(COUNTIFS('ESTUDIOS'!$A$2:$A$455,$A191,'ESTUDIOS'!$N$2:$N$455,"")&gt;0,"",INDEX('ESTUDIOS'!$N$2:$N$455,MATCH($A191,'ESTUDIOS'!$A$2:$A$455,0)))="Verified","DOCUMENTADA","NO DOCUMENTADA")</f>
        <v/>
      </c>
      <c r="H191" s="4">
        <f>IF(D191="PENDIENTE","Leer evidencia ya extraída; registrar uso propuesto o evaluado, función, fuente y revisor en RQ2.","Comprobar evidencia y cautelas registradas; documentar verificación sin recodificar lo ya respaldado.")</f>
        <v/>
      </c>
      <c r="I191" s="4" t="inlineStr">
        <is>
          <t>https://doi.org/10.1186/s13229-022-00491-9</t>
        </is>
      </c>
    </row>
    <row r="192" ht="64" customHeight="1">
      <c r="A192" s="4" t="inlineStr">
        <is>
          <t>209</t>
        </is>
      </c>
      <c r="B192" s="4" t="inlineStr">
        <is>
          <t>Predicting individual autistic symptoms for patients with autism spectrum disorder using interregional morphological connectivity</t>
        </is>
      </c>
      <c r="C192" s="4">
        <f>IF(IF(COUNTIFS('ESTUDIOS'!$A$2:$A$455,$A192,'ESTUDIOS'!$I$2:$I$455,"")&gt;0,"",INDEX('ESTUDIOS'!$I$2:$I$455,MATCH($A192,'ESTUDIOS'!$A$2:$A$455,0)))=1,"1 - Integrity",IF(OR(IF(COUNTIFS('RQ2'!$A$2:$A$455,$A192,'RQ2'!$D$2:$D$455,"")&gt;0,"",INDEX('RQ2'!$D$2:$D$455,MATCH($A192,'RQ2'!$A$2:$A$455,0)))="",IF(COUNTIFS('RQ2'!$A$2:$A$455,$A192,'RQ2'!$E$2:$E$455,"")&gt;0,"",INDEX('RQ2'!$E$2:$E$455,MATCH($A192,'RQ2'!$A$2:$A$455,0)))=""),"2 - RQ2 historical","3 - Verify recorded evidence"))</f>
        <v/>
      </c>
      <c r="D192" s="4">
        <f>IF(OR(IF(COUNTIFS('RQ2'!$A$2:$A$455,$A192,'RQ2'!$D$2:$D$455,"")&gt;0,"",INDEX('RQ2'!$D$2:$D$455,MATCH($A192,'RQ2'!$A$2:$A$455,0)))="",IF(COUNTIFS('RQ2'!$A$2:$A$455,$A192,'RQ2'!$E$2:$E$455,"")&gt;0,"",INDEX('RQ2'!$E$2:$E$455,MATCH($A192,'RQ2'!$A$2:$A$455,0)))=""),"PENDIENTE","REGISTRADA")</f>
        <v/>
      </c>
      <c r="E192" s="4">
        <f>IF(IF(COUNTIFS('RQ1'!$A$2:$A$455,$A192,'RQ1'!$N$2:$N$455,"")&gt;0,"",INDEX('RQ1'!$N$2:$N$455,MATCH($A192,'RQ1'!$A$2:$A$455,0)))=1,"REVISAR DETALLE","REGISTRADA")</f>
        <v/>
      </c>
      <c r="F192" s="4">
        <f>IF(IF(COUNTIFS('RQ3'!$A$2:$A$455,$A192,'RQ3'!$P$2:$P$455,"")&gt;0,"",INDEX('RQ3'!$P$2:$P$455,MATCH($A192,'RQ3'!$A$2:$A$455,0)))="","NO REGISTRADO",IF(IF(COUNTIFS('RQ3'!$A$2:$A$455,$A192,'RQ3'!$P$2:$P$455,"")&gt;0,"",INDEX('RQ3'!$P$2:$P$455,MATCH($A192,'RQ3'!$A$2:$A$455,0)))=1,"MARCA ACTIVA","SIN MARCA"))</f>
        <v/>
      </c>
      <c r="G192" s="4">
        <f>IF(IF(COUNTIFS('ESTUDIOS'!$A$2:$A$455,$A192,'ESTUDIOS'!$N$2:$N$455,"")&gt;0,"",INDEX('ESTUDIOS'!$N$2:$N$455,MATCH($A192,'ESTUDIOS'!$A$2:$A$455,0)))="Verified","DOCUMENTADA","NO DOCUMENTADA")</f>
        <v/>
      </c>
      <c r="H192" s="4">
        <f>IF(D192="PENDIENTE","Leer evidencia ya extraída; registrar uso propuesto o evaluado, función, fuente y revisor en RQ2.","Comprobar evidencia y cautelas registradas; documentar verificación sin recodificar lo ya respaldado.")</f>
        <v/>
      </c>
      <c r="I192" s="4" t="inlineStr">
        <is>
          <t>https://doi.org/10.1016/j.pscychresns.2024.111822</t>
        </is>
      </c>
    </row>
    <row r="193" ht="64" customHeight="1">
      <c r="A193" s="4" t="inlineStr">
        <is>
          <t>210</t>
        </is>
      </c>
      <c r="B193" s="4" t="inlineStr">
        <is>
          <t>Prediction of Behavioral Improvement Through Resting-State Electroencephalography and Clinical Severity in a Randomized Controlled Trial Testing Bumetanide in Autism Spectrum Disorder</t>
        </is>
      </c>
      <c r="C193" s="4">
        <f>IF(IF(COUNTIFS('ESTUDIOS'!$A$2:$A$455,$A193,'ESTUDIOS'!$I$2:$I$455,"")&gt;0,"",INDEX('ESTUDIOS'!$I$2:$I$455,MATCH($A193,'ESTUDIOS'!$A$2:$A$455,0)))=1,"1 - Integrity",IF(OR(IF(COUNTIFS('RQ2'!$A$2:$A$455,$A193,'RQ2'!$D$2:$D$455,"")&gt;0,"",INDEX('RQ2'!$D$2:$D$455,MATCH($A193,'RQ2'!$A$2:$A$455,0)))="",IF(COUNTIFS('RQ2'!$A$2:$A$455,$A193,'RQ2'!$E$2:$E$455,"")&gt;0,"",INDEX('RQ2'!$E$2:$E$455,MATCH($A193,'RQ2'!$A$2:$A$455,0)))=""),"2 - RQ2 historical","3 - Verify recorded evidence"))</f>
        <v/>
      </c>
      <c r="D193" s="4">
        <f>IF(OR(IF(COUNTIFS('RQ2'!$A$2:$A$455,$A193,'RQ2'!$D$2:$D$455,"")&gt;0,"",INDEX('RQ2'!$D$2:$D$455,MATCH($A193,'RQ2'!$A$2:$A$455,0)))="",IF(COUNTIFS('RQ2'!$A$2:$A$455,$A193,'RQ2'!$E$2:$E$455,"")&gt;0,"",INDEX('RQ2'!$E$2:$E$455,MATCH($A193,'RQ2'!$A$2:$A$455,0)))=""),"PENDIENTE","REGISTRADA")</f>
        <v/>
      </c>
      <c r="E193" s="4">
        <f>IF(IF(COUNTIFS('RQ1'!$A$2:$A$455,$A193,'RQ1'!$N$2:$N$455,"")&gt;0,"",INDEX('RQ1'!$N$2:$N$455,MATCH($A193,'RQ1'!$A$2:$A$455,0)))=1,"REVISAR DETALLE","REGISTRADA")</f>
        <v/>
      </c>
      <c r="F193" s="4">
        <f>IF(IF(COUNTIFS('RQ3'!$A$2:$A$455,$A193,'RQ3'!$P$2:$P$455,"")&gt;0,"",INDEX('RQ3'!$P$2:$P$455,MATCH($A193,'RQ3'!$A$2:$A$455,0)))="","NO REGISTRADO",IF(IF(COUNTIFS('RQ3'!$A$2:$A$455,$A193,'RQ3'!$P$2:$P$455,"")&gt;0,"",INDEX('RQ3'!$P$2:$P$455,MATCH($A193,'RQ3'!$A$2:$A$455,0)))=1,"MARCA ACTIVA","SIN MARCA"))</f>
        <v/>
      </c>
      <c r="G193" s="4">
        <f>IF(IF(COUNTIFS('ESTUDIOS'!$A$2:$A$455,$A193,'ESTUDIOS'!$N$2:$N$455,"")&gt;0,"",INDEX('ESTUDIOS'!$N$2:$N$455,MATCH($A193,'ESTUDIOS'!$A$2:$A$455,0)))="Verified","DOCUMENTADA","NO DOCUMENTADA")</f>
        <v/>
      </c>
      <c r="H193" s="4">
        <f>IF(D193="PENDIENTE","Leer evidencia ya extraída; registrar uso propuesto o evaluado, función, fuente y revisor en RQ2.","Comprobar evidencia y cautelas registradas; documentar verificación sin recodificar lo ya respaldado.")</f>
        <v/>
      </c>
      <c r="I193" s="4" t="inlineStr">
        <is>
          <t>https://doi.org/10.1016/j.bpsc.2021.08.009</t>
        </is>
      </c>
    </row>
    <row r="194" ht="64" customHeight="1">
      <c r="A194" s="4" t="inlineStr">
        <is>
          <t>211</t>
        </is>
      </c>
      <c r="B194" s="4" t="inlineStr">
        <is>
          <t>Prediction of Outcomes in Mini-Basketball Training Program for Preschool Children with Autism Using Machine Learning Models</t>
        </is>
      </c>
      <c r="C194" s="4">
        <f>IF(IF(COUNTIFS('ESTUDIOS'!$A$2:$A$455,$A194,'ESTUDIOS'!$I$2:$I$455,"")&gt;0,"",INDEX('ESTUDIOS'!$I$2:$I$455,MATCH($A194,'ESTUDIOS'!$A$2:$A$455,0)))=1,"1 - Integrity",IF(OR(IF(COUNTIFS('RQ2'!$A$2:$A$455,$A194,'RQ2'!$D$2:$D$455,"")&gt;0,"",INDEX('RQ2'!$D$2:$D$455,MATCH($A194,'RQ2'!$A$2:$A$455,0)))="",IF(COUNTIFS('RQ2'!$A$2:$A$455,$A194,'RQ2'!$E$2:$E$455,"")&gt;0,"",INDEX('RQ2'!$E$2:$E$455,MATCH($A194,'RQ2'!$A$2:$A$455,0)))=""),"2 - RQ2 historical","3 - Verify recorded evidence"))</f>
        <v/>
      </c>
      <c r="D194" s="4">
        <f>IF(OR(IF(COUNTIFS('RQ2'!$A$2:$A$455,$A194,'RQ2'!$D$2:$D$455,"")&gt;0,"",INDEX('RQ2'!$D$2:$D$455,MATCH($A194,'RQ2'!$A$2:$A$455,0)))="",IF(COUNTIFS('RQ2'!$A$2:$A$455,$A194,'RQ2'!$E$2:$E$455,"")&gt;0,"",INDEX('RQ2'!$E$2:$E$455,MATCH($A194,'RQ2'!$A$2:$A$455,0)))=""),"PENDIENTE","REGISTRADA")</f>
        <v/>
      </c>
      <c r="E194" s="4">
        <f>IF(IF(COUNTIFS('RQ1'!$A$2:$A$455,$A194,'RQ1'!$N$2:$N$455,"")&gt;0,"",INDEX('RQ1'!$N$2:$N$455,MATCH($A194,'RQ1'!$A$2:$A$455,0)))=1,"REVISAR DETALLE","REGISTRADA")</f>
        <v/>
      </c>
      <c r="F194" s="4">
        <f>IF(IF(COUNTIFS('RQ3'!$A$2:$A$455,$A194,'RQ3'!$P$2:$P$455,"")&gt;0,"",INDEX('RQ3'!$P$2:$P$455,MATCH($A194,'RQ3'!$A$2:$A$455,0)))="","NO REGISTRADO",IF(IF(COUNTIFS('RQ3'!$A$2:$A$455,$A194,'RQ3'!$P$2:$P$455,"")&gt;0,"",INDEX('RQ3'!$P$2:$P$455,MATCH($A194,'RQ3'!$A$2:$A$455,0)))=1,"MARCA ACTIVA","SIN MARCA"))</f>
        <v/>
      </c>
      <c r="G194" s="4">
        <f>IF(IF(COUNTIFS('ESTUDIOS'!$A$2:$A$455,$A194,'ESTUDIOS'!$N$2:$N$455,"")&gt;0,"",INDEX('ESTUDIOS'!$N$2:$N$455,MATCH($A194,'ESTUDIOS'!$A$2:$A$455,0)))="Verified","DOCUMENTADA","NO DOCUMENTADA")</f>
        <v/>
      </c>
      <c r="H194" s="4">
        <f>IF(D194="PENDIENTE","Leer evidencia ya extraída; registrar uso propuesto o evaluado, función, fuente y revisor en RQ2.","Comprobar evidencia y cautelas registradas; documentar verificación sin recodificar lo ya respaldado.")</f>
        <v/>
      </c>
      <c r="I194" s="4" t="inlineStr">
        <is>
          <t>https://doi.org/10.32604/ijmhp.2022.020075</t>
        </is>
      </c>
    </row>
    <row r="195" ht="64" customHeight="1">
      <c r="A195" s="4" t="inlineStr">
        <is>
          <t>212</t>
        </is>
      </c>
      <c r="B195" s="4" t="inlineStr">
        <is>
          <t>Pre-trained artificial intelligence language model represents pragmatic language variability central to autism and genetically related phenotypes</t>
        </is>
      </c>
      <c r="C195" s="4">
        <f>IF(IF(COUNTIFS('ESTUDIOS'!$A$2:$A$455,$A195,'ESTUDIOS'!$I$2:$I$455,"")&gt;0,"",INDEX('ESTUDIOS'!$I$2:$I$455,MATCH($A195,'ESTUDIOS'!$A$2:$A$455,0)))=1,"1 - Integrity",IF(OR(IF(COUNTIFS('RQ2'!$A$2:$A$455,$A195,'RQ2'!$D$2:$D$455,"")&gt;0,"",INDEX('RQ2'!$D$2:$D$455,MATCH($A195,'RQ2'!$A$2:$A$455,0)))="",IF(COUNTIFS('RQ2'!$A$2:$A$455,$A195,'RQ2'!$E$2:$E$455,"")&gt;0,"",INDEX('RQ2'!$E$2:$E$455,MATCH($A195,'RQ2'!$A$2:$A$455,0)))=""),"2 - RQ2 historical","3 - Verify recorded evidence"))</f>
        <v/>
      </c>
      <c r="D195" s="4">
        <f>IF(OR(IF(COUNTIFS('RQ2'!$A$2:$A$455,$A195,'RQ2'!$D$2:$D$455,"")&gt;0,"",INDEX('RQ2'!$D$2:$D$455,MATCH($A195,'RQ2'!$A$2:$A$455,0)))="",IF(COUNTIFS('RQ2'!$A$2:$A$455,$A195,'RQ2'!$E$2:$E$455,"")&gt;0,"",INDEX('RQ2'!$E$2:$E$455,MATCH($A195,'RQ2'!$A$2:$A$455,0)))=""),"PENDIENTE","REGISTRADA")</f>
        <v/>
      </c>
      <c r="E195" s="4">
        <f>IF(IF(COUNTIFS('RQ1'!$A$2:$A$455,$A195,'RQ1'!$N$2:$N$455,"")&gt;0,"",INDEX('RQ1'!$N$2:$N$455,MATCH($A195,'RQ1'!$A$2:$A$455,0)))=1,"REVISAR DETALLE","REGISTRADA")</f>
        <v/>
      </c>
      <c r="F195" s="4">
        <f>IF(IF(COUNTIFS('RQ3'!$A$2:$A$455,$A195,'RQ3'!$P$2:$P$455,"")&gt;0,"",INDEX('RQ3'!$P$2:$P$455,MATCH($A195,'RQ3'!$A$2:$A$455,0)))="","NO REGISTRADO",IF(IF(COUNTIFS('RQ3'!$A$2:$A$455,$A195,'RQ3'!$P$2:$P$455,"")&gt;0,"",INDEX('RQ3'!$P$2:$P$455,MATCH($A195,'RQ3'!$A$2:$A$455,0)))=1,"MARCA ACTIVA","SIN MARCA"))</f>
        <v/>
      </c>
      <c r="G195" s="4">
        <f>IF(IF(COUNTIFS('ESTUDIOS'!$A$2:$A$455,$A195,'ESTUDIOS'!$N$2:$N$455,"")&gt;0,"",INDEX('ESTUDIOS'!$N$2:$N$455,MATCH($A195,'ESTUDIOS'!$A$2:$A$455,0)))="Verified","DOCUMENTADA","NO DOCUMENTADA")</f>
        <v/>
      </c>
      <c r="H195" s="4">
        <f>IF(D195="PENDIENTE","Leer evidencia ya extraída; registrar uso propuesto o evaluado, función, fuente y revisor en RQ2.","Comprobar evidencia y cautelas registradas; documentar verificación sin recodificar lo ya respaldado.")</f>
        <v/>
      </c>
      <c r="I195" s="4" t="inlineStr">
        <is>
          <t>https://doi.org/10.1177/13623613241304488</t>
        </is>
      </c>
    </row>
    <row r="196" ht="64" customHeight="1">
      <c r="A196" s="4" t="inlineStr">
        <is>
          <t>213</t>
        </is>
      </c>
      <c r="B196" s="4" t="inlineStr">
        <is>
          <t>Resting state functional magnetic resonance imaging and neural network classified autism and control</t>
        </is>
      </c>
      <c r="C196" s="4">
        <f>IF(IF(COUNTIFS('ESTUDIOS'!$A$2:$A$455,$A196,'ESTUDIOS'!$I$2:$I$455,"")&gt;0,"",INDEX('ESTUDIOS'!$I$2:$I$455,MATCH($A196,'ESTUDIOS'!$A$2:$A$455,0)))=1,"1 - Integrity",IF(OR(IF(COUNTIFS('RQ2'!$A$2:$A$455,$A196,'RQ2'!$D$2:$D$455,"")&gt;0,"",INDEX('RQ2'!$D$2:$D$455,MATCH($A196,'RQ2'!$A$2:$A$455,0)))="",IF(COUNTIFS('RQ2'!$A$2:$A$455,$A196,'RQ2'!$E$2:$E$455,"")&gt;0,"",INDEX('RQ2'!$E$2:$E$455,MATCH($A196,'RQ2'!$A$2:$A$455,0)))=""),"2 - RQ2 historical","3 - Verify recorded evidence"))</f>
        <v/>
      </c>
      <c r="D196" s="4">
        <f>IF(OR(IF(COUNTIFS('RQ2'!$A$2:$A$455,$A196,'RQ2'!$D$2:$D$455,"")&gt;0,"",INDEX('RQ2'!$D$2:$D$455,MATCH($A196,'RQ2'!$A$2:$A$455,0)))="",IF(COUNTIFS('RQ2'!$A$2:$A$455,$A196,'RQ2'!$E$2:$E$455,"")&gt;0,"",INDEX('RQ2'!$E$2:$E$455,MATCH($A196,'RQ2'!$A$2:$A$455,0)))=""),"PENDIENTE","REGISTRADA")</f>
        <v/>
      </c>
      <c r="E196" s="4">
        <f>IF(IF(COUNTIFS('RQ1'!$A$2:$A$455,$A196,'RQ1'!$N$2:$N$455,"")&gt;0,"",INDEX('RQ1'!$N$2:$N$455,MATCH($A196,'RQ1'!$A$2:$A$455,0)))=1,"REVISAR DETALLE","REGISTRADA")</f>
        <v/>
      </c>
      <c r="F196" s="4">
        <f>IF(IF(COUNTIFS('RQ3'!$A$2:$A$455,$A196,'RQ3'!$P$2:$P$455,"")&gt;0,"",INDEX('RQ3'!$P$2:$P$455,MATCH($A196,'RQ3'!$A$2:$A$455,0)))="","NO REGISTRADO",IF(IF(COUNTIFS('RQ3'!$A$2:$A$455,$A196,'RQ3'!$P$2:$P$455,"")&gt;0,"",INDEX('RQ3'!$P$2:$P$455,MATCH($A196,'RQ3'!$A$2:$A$455,0)))=1,"MARCA ACTIVA","SIN MARCA"))</f>
        <v/>
      </c>
      <c r="G196" s="4">
        <f>IF(IF(COUNTIFS('ESTUDIOS'!$A$2:$A$455,$A196,'ESTUDIOS'!$N$2:$N$455,"")&gt;0,"",INDEX('ESTUDIOS'!$N$2:$N$455,MATCH($A196,'ESTUDIOS'!$A$2:$A$455,0)))="Verified","DOCUMENTADA","NO DOCUMENTADA")</f>
        <v/>
      </c>
      <c r="H196" s="4">
        <f>IF(D196="PENDIENTE","Leer evidencia ya extraída; registrar uso propuesto o evaluado, función, fuente y revisor en RQ2.","Comprobar evidencia y cautelas registradas; documentar verificación sin recodificar lo ya respaldado.")</f>
        <v/>
      </c>
      <c r="I196" s="4" t="inlineStr">
        <is>
          <t>https://doi.org/10.1016/j.cortex.2014.08.011</t>
        </is>
      </c>
    </row>
    <row r="197" ht="64" customHeight="1">
      <c r="A197" s="4" t="inlineStr">
        <is>
          <t>214</t>
        </is>
      </c>
      <c r="B197" s="4" t="inlineStr">
        <is>
          <t>Self-Paced Learning and Privileged Information based Cascaded Multi-column Classification algorithm for ASD diagnosis</t>
        </is>
      </c>
      <c r="C197" s="4">
        <f>IF(IF(COUNTIFS('ESTUDIOS'!$A$2:$A$455,$A197,'ESTUDIOS'!$I$2:$I$455,"")&gt;0,"",INDEX('ESTUDIOS'!$I$2:$I$455,MATCH($A197,'ESTUDIOS'!$A$2:$A$455,0)))=1,"1 - Integrity",IF(OR(IF(COUNTIFS('RQ2'!$A$2:$A$455,$A197,'RQ2'!$D$2:$D$455,"")&gt;0,"",INDEX('RQ2'!$D$2:$D$455,MATCH($A197,'RQ2'!$A$2:$A$455,0)))="",IF(COUNTIFS('RQ2'!$A$2:$A$455,$A197,'RQ2'!$E$2:$E$455,"")&gt;0,"",INDEX('RQ2'!$E$2:$E$455,MATCH($A197,'RQ2'!$A$2:$A$455,0)))=""),"2 - RQ2 historical","3 - Verify recorded evidence"))</f>
        <v/>
      </c>
      <c r="D197" s="4">
        <f>IF(OR(IF(COUNTIFS('RQ2'!$A$2:$A$455,$A197,'RQ2'!$D$2:$D$455,"")&gt;0,"",INDEX('RQ2'!$D$2:$D$455,MATCH($A197,'RQ2'!$A$2:$A$455,0)))="",IF(COUNTIFS('RQ2'!$A$2:$A$455,$A197,'RQ2'!$E$2:$E$455,"")&gt;0,"",INDEX('RQ2'!$E$2:$E$455,MATCH($A197,'RQ2'!$A$2:$A$455,0)))=""),"PENDIENTE","REGISTRADA")</f>
        <v/>
      </c>
      <c r="E197" s="4">
        <f>IF(IF(COUNTIFS('RQ1'!$A$2:$A$455,$A197,'RQ1'!$N$2:$N$455,"")&gt;0,"",INDEX('RQ1'!$N$2:$N$455,MATCH($A197,'RQ1'!$A$2:$A$455,0)))=1,"REVISAR DETALLE","REGISTRADA")</f>
        <v/>
      </c>
      <c r="F197" s="4">
        <f>IF(IF(COUNTIFS('RQ3'!$A$2:$A$455,$A197,'RQ3'!$P$2:$P$455,"")&gt;0,"",INDEX('RQ3'!$P$2:$P$455,MATCH($A197,'RQ3'!$A$2:$A$455,0)))="","NO REGISTRADO",IF(IF(COUNTIFS('RQ3'!$A$2:$A$455,$A197,'RQ3'!$P$2:$P$455,"")&gt;0,"",INDEX('RQ3'!$P$2:$P$455,MATCH($A197,'RQ3'!$A$2:$A$455,0)))=1,"MARCA ACTIVA","SIN MARCA"))</f>
        <v/>
      </c>
      <c r="G197" s="4">
        <f>IF(IF(COUNTIFS('ESTUDIOS'!$A$2:$A$455,$A197,'ESTUDIOS'!$N$2:$N$455,"")&gt;0,"",INDEX('ESTUDIOS'!$N$2:$N$455,MATCH($A197,'ESTUDIOS'!$A$2:$A$455,0)))="Verified","DOCUMENTADA","NO DOCUMENTADA")</f>
        <v/>
      </c>
      <c r="H197" s="4">
        <f>IF(D197="PENDIENTE","Leer evidencia ya extraída; registrar uso propuesto o evaluado, función, fuente y revisor en RQ2.","Comprobar evidencia y cautelas registradas; documentar verificación sin recodificar lo ya respaldado.")</f>
        <v/>
      </c>
      <c r="I197" s="4" t="inlineStr">
        <is>
          <t>https://doi.org/10.1109/embc46164.2021.9630150</t>
        </is>
      </c>
    </row>
    <row r="198" ht="64" customHeight="1">
      <c r="A198" s="4" t="inlineStr">
        <is>
          <t>215</t>
        </is>
      </c>
      <c r="B198" s="4" t="inlineStr">
        <is>
          <t>Smartphone Haptics Can Uncover Differences in Touch Interactions Between ASD and Neurotypicals</t>
        </is>
      </c>
      <c r="C198" s="4">
        <f>IF(IF(COUNTIFS('ESTUDIOS'!$A$2:$A$455,$A198,'ESTUDIOS'!$I$2:$I$455,"")&gt;0,"",INDEX('ESTUDIOS'!$I$2:$I$455,MATCH($A198,'ESTUDIOS'!$A$2:$A$455,0)))=1,"1 - Integrity",IF(OR(IF(COUNTIFS('RQ2'!$A$2:$A$455,$A198,'RQ2'!$D$2:$D$455,"")&gt;0,"",INDEX('RQ2'!$D$2:$D$455,MATCH($A198,'RQ2'!$A$2:$A$455,0)))="",IF(COUNTIFS('RQ2'!$A$2:$A$455,$A198,'RQ2'!$E$2:$E$455,"")&gt;0,"",INDEX('RQ2'!$E$2:$E$455,MATCH($A198,'RQ2'!$A$2:$A$455,0)))=""),"2 - RQ2 historical","3 - Verify recorded evidence"))</f>
        <v/>
      </c>
      <c r="D198" s="4">
        <f>IF(OR(IF(COUNTIFS('RQ2'!$A$2:$A$455,$A198,'RQ2'!$D$2:$D$455,"")&gt;0,"",INDEX('RQ2'!$D$2:$D$455,MATCH($A198,'RQ2'!$A$2:$A$455,0)))="",IF(COUNTIFS('RQ2'!$A$2:$A$455,$A198,'RQ2'!$E$2:$E$455,"")&gt;0,"",INDEX('RQ2'!$E$2:$E$455,MATCH($A198,'RQ2'!$A$2:$A$455,0)))=""),"PENDIENTE","REGISTRADA")</f>
        <v/>
      </c>
      <c r="E198" s="4">
        <f>IF(IF(COUNTIFS('RQ1'!$A$2:$A$455,$A198,'RQ1'!$N$2:$N$455,"")&gt;0,"",INDEX('RQ1'!$N$2:$N$455,MATCH($A198,'RQ1'!$A$2:$A$455,0)))=1,"REVISAR DETALLE","REGISTRADA")</f>
        <v/>
      </c>
      <c r="F198" s="4">
        <f>IF(IF(COUNTIFS('RQ3'!$A$2:$A$455,$A198,'RQ3'!$P$2:$P$455,"")&gt;0,"",INDEX('RQ3'!$P$2:$P$455,MATCH($A198,'RQ3'!$A$2:$A$455,0)))="","NO REGISTRADO",IF(IF(COUNTIFS('RQ3'!$A$2:$A$455,$A198,'RQ3'!$P$2:$P$455,"")&gt;0,"",INDEX('RQ3'!$P$2:$P$455,MATCH($A198,'RQ3'!$A$2:$A$455,0)))=1,"MARCA ACTIVA","SIN MARCA"))</f>
        <v/>
      </c>
      <c r="G198" s="4">
        <f>IF(IF(COUNTIFS('ESTUDIOS'!$A$2:$A$455,$A198,'ESTUDIOS'!$N$2:$N$455,"")&gt;0,"",INDEX('ESTUDIOS'!$N$2:$N$455,MATCH($A198,'ESTUDIOS'!$A$2:$A$455,0)))="Verified","DOCUMENTADA","NO DOCUMENTADA")</f>
        <v/>
      </c>
      <c r="H198" s="4">
        <f>IF(D198="PENDIENTE","Leer evidencia ya extraída; registrar uso propuesto o evaluado, función, fuente y revisor en RQ2.","Comprobar evidencia y cautelas registradas; documentar verificación sin recodificar lo ya respaldado.")</f>
        <v/>
      </c>
      <c r="I198" s="4" t="inlineStr">
        <is>
          <t>https://doi.org/10.1145/3699749</t>
        </is>
      </c>
    </row>
    <row r="199" ht="64" customHeight="1">
      <c r="A199" s="4" t="inlineStr">
        <is>
          <t>216</t>
        </is>
      </c>
      <c r="B199" s="4" t="inlineStr">
        <is>
          <t>Targeted metabolomics in children with autism spectrum disorder with and without developmental regression</t>
        </is>
      </c>
      <c r="C199" s="4">
        <f>IF(IF(COUNTIFS('ESTUDIOS'!$A$2:$A$455,$A199,'ESTUDIOS'!$I$2:$I$455,"")&gt;0,"",INDEX('ESTUDIOS'!$I$2:$I$455,MATCH($A199,'ESTUDIOS'!$A$2:$A$455,0)))=1,"1 - Integrity",IF(OR(IF(COUNTIFS('RQ2'!$A$2:$A$455,$A199,'RQ2'!$D$2:$D$455,"")&gt;0,"",INDEX('RQ2'!$D$2:$D$455,MATCH($A199,'RQ2'!$A$2:$A$455,0)))="",IF(COUNTIFS('RQ2'!$A$2:$A$455,$A199,'RQ2'!$E$2:$E$455,"")&gt;0,"",INDEX('RQ2'!$E$2:$E$455,MATCH($A199,'RQ2'!$A$2:$A$455,0)))=""),"2 - RQ2 historical","3 - Verify recorded evidence"))</f>
        <v/>
      </c>
      <c r="D199" s="4">
        <f>IF(OR(IF(COUNTIFS('RQ2'!$A$2:$A$455,$A199,'RQ2'!$D$2:$D$455,"")&gt;0,"",INDEX('RQ2'!$D$2:$D$455,MATCH($A199,'RQ2'!$A$2:$A$455,0)))="",IF(COUNTIFS('RQ2'!$A$2:$A$455,$A199,'RQ2'!$E$2:$E$455,"")&gt;0,"",INDEX('RQ2'!$E$2:$E$455,MATCH($A199,'RQ2'!$A$2:$A$455,0)))=""),"PENDIENTE","REGISTRADA")</f>
        <v/>
      </c>
      <c r="E199" s="4">
        <f>IF(IF(COUNTIFS('RQ1'!$A$2:$A$455,$A199,'RQ1'!$N$2:$N$455,"")&gt;0,"",INDEX('RQ1'!$N$2:$N$455,MATCH($A199,'RQ1'!$A$2:$A$455,0)))=1,"REVISAR DETALLE","REGISTRADA")</f>
        <v/>
      </c>
      <c r="F199" s="4">
        <f>IF(IF(COUNTIFS('RQ3'!$A$2:$A$455,$A199,'RQ3'!$P$2:$P$455,"")&gt;0,"",INDEX('RQ3'!$P$2:$P$455,MATCH($A199,'RQ3'!$A$2:$A$455,0)))="","NO REGISTRADO",IF(IF(COUNTIFS('RQ3'!$A$2:$A$455,$A199,'RQ3'!$P$2:$P$455,"")&gt;0,"",INDEX('RQ3'!$P$2:$P$455,MATCH($A199,'RQ3'!$A$2:$A$455,0)))=1,"MARCA ACTIVA","SIN MARCA"))</f>
        <v/>
      </c>
      <c r="G199" s="4">
        <f>IF(IF(COUNTIFS('ESTUDIOS'!$A$2:$A$455,$A199,'ESTUDIOS'!$N$2:$N$455,"")&gt;0,"",INDEX('ESTUDIOS'!$N$2:$N$455,MATCH($A199,'ESTUDIOS'!$A$2:$A$455,0)))="Verified","DOCUMENTADA","NO DOCUMENTADA")</f>
        <v/>
      </c>
      <c r="H199" s="4">
        <f>IF(D199="PENDIENTE","Leer evidencia ya extraída; registrar uso propuesto o evaluado, función, fuente y revisor en RQ2.","Comprobar evidencia y cautelas registradas; documentar verificación sin recodificar lo ya respaldado.")</f>
        <v/>
      </c>
      <c r="I199" s="4" t="inlineStr">
        <is>
          <t>https://doi.org/10.1007/s11011-025-01604-y</t>
        </is>
      </c>
    </row>
    <row r="200" ht="64" customHeight="1">
      <c r="A200" s="4" t="inlineStr">
        <is>
          <t>217</t>
        </is>
      </c>
      <c r="B200" s="4" t="inlineStr">
        <is>
          <t>Twinned neuroimaging analysis contributes to improving the classification of young people with autism spectrum disorder</t>
        </is>
      </c>
      <c r="C200" s="4">
        <f>IF(IF(COUNTIFS('ESTUDIOS'!$A$2:$A$455,$A200,'ESTUDIOS'!$I$2:$I$455,"")&gt;0,"",INDEX('ESTUDIOS'!$I$2:$I$455,MATCH($A200,'ESTUDIOS'!$A$2:$A$455,0)))=1,"1 - Integrity",IF(OR(IF(COUNTIFS('RQ2'!$A$2:$A$455,$A200,'RQ2'!$D$2:$D$455,"")&gt;0,"",INDEX('RQ2'!$D$2:$D$455,MATCH($A200,'RQ2'!$A$2:$A$455,0)))="",IF(COUNTIFS('RQ2'!$A$2:$A$455,$A200,'RQ2'!$E$2:$E$455,"")&gt;0,"",INDEX('RQ2'!$E$2:$E$455,MATCH($A200,'RQ2'!$A$2:$A$455,0)))=""),"2 - RQ2 historical","3 - Verify recorded evidence"))</f>
        <v/>
      </c>
      <c r="D200" s="4">
        <f>IF(OR(IF(COUNTIFS('RQ2'!$A$2:$A$455,$A200,'RQ2'!$D$2:$D$455,"")&gt;0,"",INDEX('RQ2'!$D$2:$D$455,MATCH($A200,'RQ2'!$A$2:$A$455,0)))="",IF(COUNTIFS('RQ2'!$A$2:$A$455,$A200,'RQ2'!$E$2:$E$455,"")&gt;0,"",INDEX('RQ2'!$E$2:$E$455,MATCH($A200,'RQ2'!$A$2:$A$455,0)))=""),"PENDIENTE","REGISTRADA")</f>
        <v/>
      </c>
      <c r="E200" s="4">
        <f>IF(IF(COUNTIFS('RQ1'!$A$2:$A$455,$A200,'RQ1'!$N$2:$N$455,"")&gt;0,"",INDEX('RQ1'!$N$2:$N$455,MATCH($A200,'RQ1'!$A$2:$A$455,0)))=1,"REVISAR DETALLE","REGISTRADA")</f>
        <v/>
      </c>
      <c r="F200" s="4">
        <f>IF(IF(COUNTIFS('RQ3'!$A$2:$A$455,$A200,'RQ3'!$P$2:$P$455,"")&gt;0,"",INDEX('RQ3'!$P$2:$P$455,MATCH($A200,'RQ3'!$A$2:$A$455,0)))="","NO REGISTRADO",IF(IF(COUNTIFS('RQ3'!$A$2:$A$455,$A200,'RQ3'!$P$2:$P$455,"")&gt;0,"",INDEX('RQ3'!$P$2:$P$455,MATCH($A200,'RQ3'!$A$2:$A$455,0)))=1,"MARCA ACTIVA","SIN MARCA"))</f>
        <v/>
      </c>
      <c r="G200" s="4">
        <f>IF(IF(COUNTIFS('ESTUDIOS'!$A$2:$A$455,$A200,'ESTUDIOS'!$N$2:$N$455,"")&gt;0,"",INDEX('ESTUDIOS'!$N$2:$N$455,MATCH($A200,'ESTUDIOS'!$A$2:$A$455,0)))="Verified","DOCUMENTADA","NO DOCUMENTADA")</f>
        <v/>
      </c>
      <c r="H200" s="4">
        <f>IF(D200="PENDIENTE","Leer evidencia ya extraída; registrar uso propuesto o evaluado, función, fuente y revisor en RQ2.","Comprobar evidencia y cautelas registradas; documentar verificación sin recodificar lo ya respaldado.")</f>
        <v/>
      </c>
      <c r="I200" s="4" t="inlineStr">
        <is>
          <t>https://doi.org/10.1038/s41598-024-71174-z</t>
        </is>
      </c>
    </row>
    <row r="201" ht="64" customHeight="1">
      <c r="A201" s="4" t="inlineStr">
        <is>
          <t>218</t>
        </is>
      </c>
      <c r="B201" s="4" t="inlineStr">
        <is>
          <t>Using a small dataset to classify strength-interactions with an elastic display: a case study for the screening of autism spectrum disorder</t>
        </is>
      </c>
      <c r="C201" s="4">
        <f>IF(IF(COUNTIFS('ESTUDIOS'!$A$2:$A$455,$A201,'ESTUDIOS'!$I$2:$I$455,"")&gt;0,"",INDEX('ESTUDIOS'!$I$2:$I$455,MATCH($A201,'ESTUDIOS'!$A$2:$A$455,0)))=1,"1 - Integrity",IF(OR(IF(COUNTIFS('RQ2'!$A$2:$A$455,$A201,'RQ2'!$D$2:$D$455,"")&gt;0,"",INDEX('RQ2'!$D$2:$D$455,MATCH($A201,'RQ2'!$A$2:$A$455,0)))="",IF(COUNTIFS('RQ2'!$A$2:$A$455,$A201,'RQ2'!$E$2:$E$455,"")&gt;0,"",INDEX('RQ2'!$E$2:$E$455,MATCH($A201,'RQ2'!$A$2:$A$455,0)))=""),"2 - RQ2 historical","3 - Verify recorded evidence"))</f>
        <v/>
      </c>
      <c r="D201" s="4">
        <f>IF(OR(IF(COUNTIFS('RQ2'!$A$2:$A$455,$A201,'RQ2'!$D$2:$D$455,"")&gt;0,"",INDEX('RQ2'!$D$2:$D$455,MATCH($A201,'RQ2'!$A$2:$A$455,0)))="",IF(COUNTIFS('RQ2'!$A$2:$A$455,$A201,'RQ2'!$E$2:$E$455,"")&gt;0,"",INDEX('RQ2'!$E$2:$E$455,MATCH($A201,'RQ2'!$A$2:$A$455,0)))=""),"PENDIENTE","REGISTRADA")</f>
        <v/>
      </c>
      <c r="E201" s="4">
        <f>IF(IF(COUNTIFS('RQ1'!$A$2:$A$455,$A201,'RQ1'!$N$2:$N$455,"")&gt;0,"",INDEX('RQ1'!$N$2:$N$455,MATCH($A201,'RQ1'!$A$2:$A$455,0)))=1,"REVISAR DETALLE","REGISTRADA")</f>
        <v/>
      </c>
      <c r="F201" s="4">
        <f>IF(IF(COUNTIFS('RQ3'!$A$2:$A$455,$A201,'RQ3'!$P$2:$P$455,"")&gt;0,"",INDEX('RQ3'!$P$2:$P$455,MATCH($A201,'RQ3'!$A$2:$A$455,0)))="","NO REGISTRADO",IF(IF(COUNTIFS('RQ3'!$A$2:$A$455,$A201,'RQ3'!$P$2:$P$455,"")&gt;0,"",INDEX('RQ3'!$P$2:$P$455,MATCH($A201,'RQ3'!$A$2:$A$455,0)))=1,"MARCA ACTIVA","SIN MARCA"))</f>
        <v/>
      </c>
      <c r="G201" s="4">
        <f>IF(IF(COUNTIFS('ESTUDIOS'!$A$2:$A$455,$A201,'ESTUDIOS'!$N$2:$N$455,"")&gt;0,"",INDEX('ESTUDIOS'!$N$2:$N$455,MATCH($A201,'ESTUDIOS'!$A$2:$A$455,0)))="Verified","DOCUMENTADA","NO DOCUMENTADA")</f>
        <v/>
      </c>
      <c r="H201" s="4">
        <f>IF(D201="PENDIENTE","Leer evidencia ya extraída; registrar uso propuesto o evaluado, función, fuente y revisor en RQ2.","Comprobar evidencia y cautelas registradas; documentar verificación sin recodificar lo ya respaldado.")</f>
        <v/>
      </c>
      <c r="I201" s="4" t="inlineStr">
        <is>
          <t>https://doi.org/10.1007/s13042-022-01554-2</t>
        </is>
      </c>
    </row>
    <row r="202" ht="64" customHeight="1">
      <c r="A202" s="4" t="inlineStr">
        <is>
          <t>219</t>
        </is>
      </c>
      <c r="B202" s="4" t="inlineStr">
        <is>
          <t>Wearable EEG Neurofeedback Based-on Machine Learning Algorithms for Children with Autism: A Randomized, Placebo-controlled Study</t>
        </is>
      </c>
      <c r="C202" s="4">
        <f>IF(IF(COUNTIFS('ESTUDIOS'!$A$2:$A$455,$A202,'ESTUDIOS'!$I$2:$I$455,"")&gt;0,"",INDEX('ESTUDIOS'!$I$2:$I$455,MATCH($A202,'ESTUDIOS'!$A$2:$A$455,0)))=1,"1 - Integrity",IF(OR(IF(COUNTIFS('RQ2'!$A$2:$A$455,$A202,'RQ2'!$D$2:$D$455,"")&gt;0,"",INDEX('RQ2'!$D$2:$D$455,MATCH($A202,'RQ2'!$A$2:$A$455,0)))="",IF(COUNTIFS('RQ2'!$A$2:$A$455,$A202,'RQ2'!$E$2:$E$455,"")&gt;0,"",INDEX('RQ2'!$E$2:$E$455,MATCH($A202,'RQ2'!$A$2:$A$455,0)))=""),"2 - RQ2 historical","3 - Verify recorded evidence"))</f>
        <v/>
      </c>
      <c r="D202" s="4">
        <f>IF(OR(IF(COUNTIFS('RQ2'!$A$2:$A$455,$A202,'RQ2'!$D$2:$D$455,"")&gt;0,"",INDEX('RQ2'!$D$2:$D$455,MATCH($A202,'RQ2'!$A$2:$A$455,0)))="",IF(COUNTIFS('RQ2'!$A$2:$A$455,$A202,'RQ2'!$E$2:$E$455,"")&gt;0,"",INDEX('RQ2'!$E$2:$E$455,MATCH($A202,'RQ2'!$A$2:$A$455,0)))=""),"PENDIENTE","REGISTRADA")</f>
        <v/>
      </c>
      <c r="E202" s="4">
        <f>IF(IF(COUNTIFS('RQ1'!$A$2:$A$455,$A202,'RQ1'!$N$2:$N$455,"")&gt;0,"",INDEX('RQ1'!$N$2:$N$455,MATCH($A202,'RQ1'!$A$2:$A$455,0)))=1,"REVISAR DETALLE","REGISTRADA")</f>
        <v/>
      </c>
      <c r="F202" s="4">
        <f>IF(IF(COUNTIFS('RQ3'!$A$2:$A$455,$A202,'RQ3'!$P$2:$P$455,"")&gt;0,"",INDEX('RQ3'!$P$2:$P$455,MATCH($A202,'RQ3'!$A$2:$A$455,0)))="","NO REGISTRADO",IF(IF(COUNTIFS('RQ3'!$A$2:$A$455,$A202,'RQ3'!$P$2:$P$455,"")&gt;0,"",INDEX('RQ3'!$P$2:$P$455,MATCH($A202,'RQ3'!$A$2:$A$455,0)))=1,"MARCA ACTIVA","SIN MARCA"))</f>
        <v/>
      </c>
      <c r="G202" s="4">
        <f>IF(IF(COUNTIFS('ESTUDIOS'!$A$2:$A$455,$A202,'ESTUDIOS'!$N$2:$N$455,"")&gt;0,"",INDEX('ESTUDIOS'!$N$2:$N$455,MATCH($A202,'ESTUDIOS'!$A$2:$A$455,0)))="Verified","DOCUMENTADA","NO DOCUMENTADA")</f>
        <v/>
      </c>
      <c r="H202" s="4">
        <f>IF(D202="PENDIENTE","Leer evidencia ya extraída; registrar uso propuesto o evaluado, función, fuente y revisor en RQ2.","Comprobar evidencia y cautelas registradas; documentar verificación sin recodificar lo ya respaldado.")</f>
        <v/>
      </c>
      <c r="I202" s="4" t="inlineStr">
        <is>
          <t>https://doi.org/10.1007/s11596-024-2938-3</t>
        </is>
      </c>
    </row>
    <row r="203" ht="64" customHeight="1">
      <c r="A203" s="4" t="inlineStr">
        <is>
          <t>220</t>
        </is>
      </c>
      <c r="B203" s="4" t="inlineStr">
        <is>
          <t>1D-convolutional neural network and fast Walsh–Hadamard transform approach for diagnosing autism spectrum disorder</t>
        </is>
      </c>
      <c r="C203" s="4">
        <f>IF(IF(COUNTIFS('ESTUDIOS'!$A$2:$A$455,$A203,'ESTUDIOS'!$I$2:$I$455,"")&gt;0,"",INDEX('ESTUDIOS'!$I$2:$I$455,MATCH($A203,'ESTUDIOS'!$A$2:$A$455,0)))=1,"1 - Integrity",IF(OR(IF(COUNTIFS('RQ2'!$A$2:$A$455,$A203,'RQ2'!$D$2:$D$455,"")&gt;0,"",INDEX('RQ2'!$D$2:$D$455,MATCH($A203,'RQ2'!$A$2:$A$455,0)))="",IF(COUNTIFS('RQ2'!$A$2:$A$455,$A203,'RQ2'!$E$2:$E$455,"")&gt;0,"",INDEX('RQ2'!$E$2:$E$455,MATCH($A203,'RQ2'!$A$2:$A$455,0)))=""),"2 - RQ2 historical","3 - Verify recorded evidence"))</f>
        <v/>
      </c>
      <c r="D203" s="4">
        <f>IF(OR(IF(COUNTIFS('RQ2'!$A$2:$A$455,$A203,'RQ2'!$D$2:$D$455,"")&gt;0,"",INDEX('RQ2'!$D$2:$D$455,MATCH($A203,'RQ2'!$A$2:$A$455,0)))="",IF(COUNTIFS('RQ2'!$A$2:$A$455,$A203,'RQ2'!$E$2:$E$455,"")&gt;0,"",INDEX('RQ2'!$E$2:$E$455,MATCH($A203,'RQ2'!$A$2:$A$455,0)))=""),"PENDIENTE","REGISTRADA")</f>
        <v/>
      </c>
      <c r="E203" s="4">
        <f>IF(IF(COUNTIFS('RQ1'!$A$2:$A$455,$A203,'RQ1'!$N$2:$N$455,"")&gt;0,"",INDEX('RQ1'!$N$2:$N$455,MATCH($A203,'RQ1'!$A$2:$A$455,0)))=1,"REVISAR DETALLE","REGISTRADA")</f>
        <v/>
      </c>
      <c r="F203" s="4">
        <f>IF(IF(COUNTIFS('RQ3'!$A$2:$A$455,$A203,'RQ3'!$P$2:$P$455,"")&gt;0,"",INDEX('RQ3'!$P$2:$P$455,MATCH($A203,'RQ3'!$A$2:$A$455,0)))="","NO REGISTRADO",IF(IF(COUNTIFS('RQ3'!$A$2:$A$455,$A203,'RQ3'!$P$2:$P$455,"")&gt;0,"",INDEX('RQ3'!$P$2:$P$455,MATCH($A203,'RQ3'!$A$2:$A$455,0)))=1,"MARCA ACTIVA","SIN MARCA"))</f>
        <v/>
      </c>
      <c r="G203" s="4">
        <f>IF(IF(COUNTIFS('ESTUDIOS'!$A$2:$A$455,$A203,'ESTUDIOS'!$N$2:$N$455,"")&gt;0,"",INDEX('ESTUDIOS'!$N$2:$N$455,MATCH($A203,'ESTUDIOS'!$A$2:$A$455,0)))="Verified","DOCUMENTADA","NO DOCUMENTADA")</f>
        <v/>
      </c>
      <c r="H203" s="4">
        <f>IF(D203="PENDIENTE","Leer evidencia ya extraída; registrar uso propuesto o evaluado, función, fuente y revisor en RQ2.","Comprobar evidencia y cautelas registradas; documentar verificación sin recodificar lo ya respaldado.")</f>
        <v/>
      </c>
      <c r="I203" s="4" t="inlineStr">
        <is>
          <t>https://doi.org/10.1007/s00521-025-11208-3</t>
        </is>
      </c>
    </row>
    <row r="204" ht="64" customHeight="1">
      <c r="A204" s="4" t="inlineStr">
        <is>
          <t>221</t>
        </is>
      </c>
      <c r="B204" s="4" t="inlineStr">
        <is>
          <t>A hybrid Stacking-SMOTE model for optimizing the prediction of autistic genes</t>
        </is>
      </c>
      <c r="C204" s="4">
        <f>IF(IF(COUNTIFS('ESTUDIOS'!$A$2:$A$455,$A204,'ESTUDIOS'!$I$2:$I$455,"")&gt;0,"",INDEX('ESTUDIOS'!$I$2:$I$455,MATCH($A204,'ESTUDIOS'!$A$2:$A$455,0)))=1,"1 - Integrity",IF(OR(IF(COUNTIFS('RQ2'!$A$2:$A$455,$A204,'RQ2'!$D$2:$D$455,"")&gt;0,"",INDEX('RQ2'!$D$2:$D$455,MATCH($A204,'RQ2'!$A$2:$A$455,0)))="",IF(COUNTIFS('RQ2'!$A$2:$A$455,$A204,'RQ2'!$E$2:$E$455,"")&gt;0,"",INDEX('RQ2'!$E$2:$E$455,MATCH($A204,'RQ2'!$A$2:$A$455,0)))=""),"2 - RQ2 historical","3 - Verify recorded evidence"))</f>
        <v/>
      </c>
      <c r="D204" s="4">
        <f>IF(OR(IF(COUNTIFS('RQ2'!$A$2:$A$455,$A204,'RQ2'!$D$2:$D$455,"")&gt;0,"",INDEX('RQ2'!$D$2:$D$455,MATCH($A204,'RQ2'!$A$2:$A$455,0)))="",IF(COUNTIFS('RQ2'!$A$2:$A$455,$A204,'RQ2'!$E$2:$E$455,"")&gt;0,"",INDEX('RQ2'!$E$2:$E$455,MATCH($A204,'RQ2'!$A$2:$A$455,0)))=""),"PENDIENTE","REGISTRADA")</f>
        <v/>
      </c>
      <c r="E204" s="4">
        <f>IF(IF(COUNTIFS('RQ1'!$A$2:$A$455,$A204,'RQ1'!$N$2:$N$455,"")&gt;0,"",INDEX('RQ1'!$N$2:$N$455,MATCH($A204,'RQ1'!$A$2:$A$455,0)))=1,"REVISAR DETALLE","REGISTRADA")</f>
        <v/>
      </c>
      <c r="F204" s="4">
        <f>IF(IF(COUNTIFS('RQ3'!$A$2:$A$455,$A204,'RQ3'!$P$2:$P$455,"")&gt;0,"",INDEX('RQ3'!$P$2:$P$455,MATCH($A204,'RQ3'!$A$2:$A$455,0)))="","NO REGISTRADO",IF(IF(COUNTIFS('RQ3'!$A$2:$A$455,$A204,'RQ3'!$P$2:$P$455,"")&gt;0,"",INDEX('RQ3'!$P$2:$P$455,MATCH($A204,'RQ3'!$A$2:$A$455,0)))=1,"MARCA ACTIVA","SIN MARCA"))</f>
        <v/>
      </c>
      <c r="G204" s="4">
        <f>IF(IF(COUNTIFS('ESTUDIOS'!$A$2:$A$455,$A204,'ESTUDIOS'!$N$2:$N$455,"")&gt;0,"",INDEX('ESTUDIOS'!$N$2:$N$455,MATCH($A204,'ESTUDIOS'!$A$2:$A$455,0)))="Verified","DOCUMENTADA","NO DOCUMENTADA")</f>
        <v/>
      </c>
      <c r="H204" s="4">
        <f>IF(D204="PENDIENTE","Leer evidencia ya extraída; registrar uso propuesto o evaluado, función, fuente y revisor en RQ2.","Comprobar evidencia y cautelas registradas; documentar verificación sin recodificar lo ya respaldado.")</f>
        <v/>
      </c>
      <c r="I204" s="4" t="inlineStr">
        <is>
          <t>https://doi.org/10.1186/s12859-023-05501-y</t>
        </is>
      </c>
    </row>
    <row r="205" ht="64" customHeight="1">
      <c r="A205" s="4" t="inlineStr">
        <is>
          <t>222</t>
        </is>
      </c>
      <c r="B205" s="4" t="inlineStr">
        <is>
          <t>An amygdala-centered hyper-connectivity signature of threatening face processing predicts anxiety in youths with autism spectrum conditions</t>
        </is>
      </c>
      <c r="C205" s="4">
        <f>IF(IF(COUNTIFS('ESTUDIOS'!$A$2:$A$455,$A205,'ESTUDIOS'!$I$2:$I$455,"")&gt;0,"",INDEX('ESTUDIOS'!$I$2:$I$455,MATCH($A205,'ESTUDIOS'!$A$2:$A$455,0)))=1,"1 - Integrity",IF(OR(IF(COUNTIFS('RQ2'!$A$2:$A$455,$A205,'RQ2'!$D$2:$D$455,"")&gt;0,"",INDEX('RQ2'!$D$2:$D$455,MATCH($A205,'RQ2'!$A$2:$A$455,0)))="",IF(COUNTIFS('RQ2'!$A$2:$A$455,$A205,'RQ2'!$E$2:$E$455,"")&gt;0,"",INDEX('RQ2'!$E$2:$E$455,MATCH($A205,'RQ2'!$A$2:$A$455,0)))=""),"2 - RQ2 historical","3 - Verify recorded evidence"))</f>
        <v/>
      </c>
      <c r="D205" s="4">
        <f>IF(OR(IF(COUNTIFS('RQ2'!$A$2:$A$455,$A205,'RQ2'!$D$2:$D$455,"")&gt;0,"",INDEX('RQ2'!$D$2:$D$455,MATCH($A205,'RQ2'!$A$2:$A$455,0)))="",IF(COUNTIFS('RQ2'!$A$2:$A$455,$A205,'RQ2'!$E$2:$E$455,"")&gt;0,"",INDEX('RQ2'!$E$2:$E$455,MATCH($A205,'RQ2'!$A$2:$A$455,0)))=""),"PENDIENTE","REGISTRADA")</f>
        <v/>
      </c>
      <c r="E205" s="4">
        <f>IF(IF(COUNTIFS('RQ1'!$A$2:$A$455,$A205,'RQ1'!$N$2:$N$455,"")&gt;0,"",INDEX('RQ1'!$N$2:$N$455,MATCH($A205,'RQ1'!$A$2:$A$455,0)))=1,"REVISAR DETALLE","REGISTRADA")</f>
        <v/>
      </c>
      <c r="F205" s="4">
        <f>IF(IF(COUNTIFS('RQ3'!$A$2:$A$455,$A205,'RQ3'!$P$2:$P$455,"")&gt;0,"",INDEX('RQ3'!$P$2:$P$455,MATCH($A205,'RQ3'!$A$2:$A$455,0)))="","NO REGISTRADO",IF(IF(COUNTIFS('RQ3'!$A$2:$A$455,$A205,'RQ3'!$P$2:$P$455,"")&gt;0,"",INDEX('RQ3'!$P$2:$P$455,MATCH($A205,'RQ3'!$A$2:$A$455,0)))=1,"MARCA ACTIVA","SIN MARCA"))</f>
        <v/>
      </c>
      <c r="G205" s="4">
        <f>IF(IF(COUNTIFS('ESTUDIOS'!$A$2:$A$455,$A205,'ESTUDIOS'!$N$2:$N$455,"")&gt;0,"",INDEX('ESTUDIOS'!$N$2:$N$455,MATCH($A205,'ESTUDIOS'!$A$2:$A$455,0)))="Verified","DOCUMENTADA","NO DOCUMENTADA")</f>
        <v/>
      </c>
      <c r="H205" s="4">
        <f>IF(D205="PENDIENTE","Leer evidencia ya extraída; registrar uso propuesto o evaluado, función, fuente y revisor en RQ2.","Comprobar evidencia y cautelas registradas; documentar verificación sin recodificar lo ya respaldado.")</f>
        <v/>
      </c>
      <c r="I205" s="4" t="inlineStr">
        <is>
          <t>https://doi.org/10.1002/aur.2595</t>
        </is>
      </c>
    </row>
    <row r="206" ht="64" customHeight="1">
      <c r="A206" s="4" t="inlineStr">
        <is>
          <t>223</t>
        </is>
      </c>
      <c r="B206" s="4" t="inlineStr">
        <is>
          <t>An effective autism spectrum disorder screening method using machine learning classification techniques</t>
        </is>
      </c>
      <c r="C206" s="4">
        <f>IF(IF(COUNTIFS('ESTUDIOS'!$A$2:$A$455,$A206,'ESTUDIOS'!$I$2:$I$455,"")&gt;0,"",INDEX('ESTUDIOS'!$I$2:$I$455,MATCH($A206,'ESTUDIOS'!$A$2:$A$455,0)))=1,"1 - Integrity",IF(OR(IF(COUNTIFS('RQ2'!$A$2:$A$455,$A206,'RQ2'!$D$2:$D$455,"")&gt;0,"",INDEX('RQ2'!$D$2:$D$455,MATCH($A206,'RQ2'!$A$2:$A$455,0)))="",IF(COUNTIFS('RQ2'!$A$2:$A$455,$A206,'RQ2'!$E$2:$E$455,"")&gt;0,"",INDEX('RQ2'!$E$2:$E$455,MATCH($A206,'RQ2'!$A$2:$A$455,0)))=""),"2 - RQ2 historical","3 - Verify recorded evidence"))</f>
        <v/>
      </c>
      <c r="D206" s="4">
        <f>IF(OR(IF(COUNTIFS('RQ2'!$A$2:$A$455,$A206,'RQ2'!$D$2:$D$455,"")&gt;0,"",INDEX('RQ2'!$D$2:$D$455,MATCH($A206,'RQ2'!$A$2:$A$455,0)))="",IF(COUNTIFS('RQ2'!$A$2:$A$455,$A206,'RQ2'!$E$2:$E$455,"")&gt;0,"",INDEX('RQ2'!$E$2:$E$455,MATCH($A206,'RQ2'!$A$2:$A$455,0)))=""),"PENDIENTE","REGISTRADA")</f>
        <v/>
      </c>
      <c r="E206" s="4">
        <f>IF(IF(COUNTIFS('RQ1'!$A$2:$A$455,$A206,'RQ1'!$N$2:$N$455,"")&gt;0,"",INDEX('RQ1'!$N$2:$N$455,MATCH($A206,'RQ1'!$A$2:$A$455,0)))=1,"REVISAR DETALLE","REGISTRADA")</f>
        <v/>
      </c>
      <c r="F206" s="4">
        <f>IF(IF(COUNTIFS('RQ3'!$A$2:$A$455,$A206,'RQ3'!$P$2:$P$455,"")&gt;0,"",INDEX('RQ3'!$P$2:$P$455,MATCH($A206,'RQ3'!$A$2:$A$455,0)))="","NO REGISTRADO",IF(IF(COUNTIFS('RQ3'!$A$2:$A$455,$A206,'RQ3'!$P$2:$P$455,"")&gt;0,"",INDEX('RQ3'!$P$2:$P$455,MATCH($A206,'RQ3'!$A$2:$A$455,0)))=1,"MARCA ACTIVA","SIN MARCA"))</f>
        <v/>
      </c>
      <c r="G206" s="4">
        <f>IF(IF(COUNTIFS('ESTUDIOS'!$A$2:$A$455,$A206,'ESTUDIOS'!$N$2:$N$455,"")&gt;0,"",INDEX('ESTUDIOS'!$N$2:$N$455,MATCH($A206,'ESTUDIOS'!$A$2:$A$455,0)))="Verified","DOCUMENTADA","NO DOCUMENTADA")</f>
        <v/>
      </c>
      <c r="H206" s="4">
        <f>IF(D206="PENDIENTE","Leer evidencia ya extraída; registrar uso propuesto o evaluado, función, fuente y revisor en RQ2.","Comprobar evidencia y cautelas registradas; documentar verificación sin recodificar lo ya respaldado.")</f>
        <v/>
      </c>
      <c r="I206" s="4" t="inlineStr">
        <is>
          <t>https://doi.org/10.1002/cpe.7898</t>
        </is>
      </c>
    </row>
    <row r="207" ht="64" customHeight="1">
      <c r="A207" s="4" t="inlineStr">
        <is>
          <t>224</t>
        </is>
      </c>
      <c r="B207" s="4" t="inlineStr">
        <is>
          <t>An ensemble classifier for emotion classification from EEG and GSR signals for autism detection</t>
        </is>
      </c>
      <c r="C207" s="4">
        <f>IF(IF(COUNTIFS('ESTUDIOS'!$A$2:$A$455,$A207,'ESTUDIOS'!$I$2:$I$455,"")&gt;0,"",INDEX('ESTUDIOS'!$I$2:$I$455,MATCH($A207,'ESTUDIOS'!$A$2:$A$455,0)))=1,"1 - Integrity",IF(OR(IF(COUNTIFS('RQ2'!$A$2:$A$455,$A207,'RQ2'!$D$2:$D$455,"")&gt;0,"",INDEX('RQ2'!$D$2:$D$455,MATCH($A207,'RQ2'!$A$2:$A$455,0)))="",IF(COUNTIFS('RQ2'!$A$2:$A$455,$A207,'RQ2'!$E$2:$E$455,"")&gt;0,"",INDEX('RQ2'!$E$2:$E$455,MATCH($A207,'RQ2'!$A$2:$A$455,0)))=""),"2 - RQ2 historical","3 - Verify recorded evidence"))</f>
        <v/>
      </c>
      <c r="D207" s="4">
        <f>IF(OR(IF(COUNTIFS('RQ2'!$A$2:$A$455,$A207,'RQ2'!$D$2:$D$455,"")&gt;0,"",INDEX('RQ2'!$D$2:$D$455,MATCH($A207,'RQ2'!$A$2:$A$455,0)))="",IF(COUNTIFS('RQ2'!$A$2:$A$455,$A207,'RQ2'!$E$2:$E$455,"")&gt;0,"",INDEX('RQ2'!$E$2:$E$455,MATCH($A207,'RQ2'!$A$2:$A$455,0)))=""),"PENDIENTE","REGISTRADA")</f>
        <v/>
      </c>
      <c r="E207" s="4">
        <f>IF(IF(COUNTIFS('RQ1'!$A$2:$A$455,$A207,'RQ1'!$N$2:$N$455,"")&gt;0,"",INDEX('RQ1'!$N$2:$N$455,MATCH($A207,'RQ1'!$A$2:$A$455,0)))=1,"REVISAR DETALLE","REGISTRADA")</f>
        <v/>
      </c>
      <c r="F207" s="4">
        <f>IF(IF(COUNTIFS('RQ3'!$A$2:$A$455,$A207,'RQ3'!$P$2:$P$455,"")&gt;0,"",INDEX('RQ3'!$P$2:$P$455,MATCH($A207,'RQ3'!$A$2:$A$455,0)))="","NO REGISTRADO",IF(IF(COUNTIFS('RQ3'!$A$2:$A$455,$A207,'RQ3'!$P$2:$P$455,"")&gt;0,"",INDEX('RQ3'!$P$2:$P$455,MATCH($A207,'RQ3'!$A$2:$A$455,0)))=1,"MARCA ACTIVA","SIN MARCA"))</f>
        <v/>
      </c>
      <c r="G207" s="4">
        <f>IF(IF(COUNTIFS('ESTUDIOS'!$A$2:$A$455,$A207,'ESTUDIOS'!$N$2:$N$455,"")&gt;0,"",INDEX('ESTUDIOS'!$N$2:$N$455,MATCH($A207,'ESTUDIOS'!$A$2:$A$455,0)))="Verified","DOCUMENTADA","NO DOCUMENTADA")</f>
        <v/>
      </c>
      <c r="H207" s="4">
        <f>IF(D207="PENDIENTE","Leer evidencia ya extraída; registrar uso propuesto o evaluado, función, fuente y revisor en RQ2.","Comprobar evidencia y cautelas registradas; documentar verificación sin recodificar lo ya respaldado.")</f>
        <v/>
      </c>
      <c r="I207" s="4" t="inlineStr">
        <is>
          <t>https://doi.org/10.1016/j.cmpb.2025.108921</t>
        </is>
      </c>
    </row>
    <row r="208" ht="64" customHeight="1">
      <c r="A208" s="4" t="inlineStr">
        <is>
          <t>225</t>
        </is>
      </c>
      <c r="B208" s="4" t="inlineStr">
        <is>
          <t>Applying Eye Tracking to Identify Autism Spectrum Disorder in Children</t>
        </is>
      </c>
      <c r="C208" s="4">
        <f>IF(IF(COUNTIFS('ESTUDIOS'!$A$2:$A$455,$A208,'ESTUDIOS'!$I$2:$I$455,"")&gt;0,"",INDEX('ESTUDIOS'!$I$2:$I$455,MATCH($A208,'ESTUDIOS'!$A$2:$A$455,0)))=1,"1 - Integrity",IF(OR(IF(COUNTIFS('RQ2'!$A$2:$A$455,$A208,'RQ2'!$D$2:$D$455,"")&gt;0,"",INDEX('RQ2'!$D$2:$D$455,MATCH($A208,'RQ2'!$A$2:$A$455,0)))="",IF(COUNTIFS('RQ2'!$A$2:$A$455,$A208,'RQ2'!$E$2:$E$455,"")&gt;0,"",INDEX('RQ2'!$E$2:$E$455,MATCH($A208,'RQ2'!$A$2:$A$455,0)))=""),"2 - RQ2 historical","3 - Verify recorded evidence"))</f>
        <v/>
      </c>
      <c r="D208" s="4">
        <f>IF(OR(IF(COUNTIFS('RQ2'!$A$2:$A$455,$A208,'RQ2'!$D$2:$D$455,"")&gt;0,"",INDEX('RQ2'!$D$2:$D$455,MATCH($A208,'RQ2'!$A$2:$A$455,0)))="",IF(COUNTIFS('RQ2'!$A$2:$A$455,$A208,'RQ2'!$E$2:$E$455,"")&gt;0,"",INDEX('RQ2'!$E$2:$E$455,MATCH($A208,'RQ2'!$A$2:$A$455,0)))=""),"PENDIENTE","REGISTRADA")</f>
        <v/>
      </c>
      <c r="E208" s="4">
        <f>IF(IF(COUNTIFS('RQ1'!$A$2:$A$455,$A208,'RQ1'!$N$2:$N$455,"")&gt;0,"",INDEX('RQ1'!$N$2:$N$455,MATCH($A208,'RQ1'!$A$2:$A$455,0)))=1,"REVISAR DETALLE","REGISTRADA")</f>
        <v/>
      </c>
      <c r="F208" s="4">
        <f>IF(IF(COUNTIFS('RQ3'!$A$2:$A$455,$A208,'RQ3'!$P$2:$P$455,"")&gt;0,"",INDEX('RQ3'!$P$2:$P$455,MATCH($A208,'RQ3'!$A$2:$A$455,0)))="","NO REGISTRADO",IF(IF(COUNTIFS('RQ3'!$A$2:$A$455,$A208,'RQ3'!$P$2:$P$455,"")&gt;0,"",INDEX('RQ3'!$P$2:$P$455,MATCH($A208,'RQ3'!$A$2:$A$455,0)))=1,"MARCA ACTIVA","SIN MARCA"))</f>
        <v/>
      </c>
      <c r="G208" s="4">
        <f>IF(IF(COUNTIFS('ESTUDIOS'!$A$2:$A$455,$A208,'ESTUDIOS'!$N$2:$N$455,"")&gt;0,"",INDEX('ESTUDIOS'!$N$2:$N$455,MATCH($A208,'ESTUDIOS'!$A$2:$A$455,0)))="Verified","DOCUMENTADA","NO DOCUMENTADA")</f>
        <v/>
      </c>
      <c r="H208" s="4">
        <f>IF(D208="PENDIENTE","Leer evidencia ya extraída; registrar uso propuesto o evaluado, función, fuente y revisor en RQ2.","Comprobar evidencia y cautelas registradas; documentar verificación sin recodificar lo ya respaldado.")</f>
        <v/>
      </c>
      <c r="I208" s="4" t="inlineStr">
        <is>
          <t>https://doi.org/10.1007/s10803-018-3690-y</t>
        </is>
      </c>
    </row>
    <row r="209" ht="64" customHeight="1">
      <c r="A209" s="4" t="inlineStr">
        <is>
          <t>226</t>
        </is>
      </c>
      <c r="B209" s="4" t="inlineStr">
        <is>
          <t>Artificial intelligence and sensor-based autism spectrum disorder diagnosis using brain connectivity analysis</t>
        </is>
      </c>
      <c r="C209" s="4">
        <f>IF(IF(COUNTIFS('ESTUDIOS'!$A$2:$A$455,$A209,'ESTUDIOS'!$I$2:$I$455,"")&gt;0,"",INDEX('ESTUDIOS'!$I$2:$I$455,MATCH($A209,'ESTUDIOS'!$A$2:$A$455,0)))=1,"1 - Integrity",IF(OR(IF(COUNTIFS('RQ2'!$A$2:$A$455,$A209,'RQ2'!$D$2:$D$455,"")&gt;0,"",INDEX('RQ2'!$D$2:$D$455,MATCH($A209,'RQ2'!$A$2:$A$455,0)))="",IF(COUNTIFS('RQ2'!$A$2:$A$455,$A209,'RQ2'!$E$2:$E$455,"")&gt;0,"",INDEX('RQ2'!$E$2:$E$455,MATCH($A209,'RQ2'!$A$2:$A$455,0)))=""),"2 - RQ2 historical","3 - Verify recorded evidence"))</f>
        <v/>
      </c>
      <c r="D209" s="4">
        <f>IF(OR(IF(COUNTIFS('RQ2'!$A$2:$A$455,$A209,'RQ2'!$D$2:$D$455,"")&gt;0,"",INDEX('RQ2'!$D$2:$D$455,MATCH($A209,'RQ2'!$A$2:$A$455,0)))="",IF(COUNTIFS('RQ2'!$A$2:$A$455,$A209,'RQ2'!$E$2:$E$455,"")&gt;0,"",INDEX('RQ2'!$E$2:$E$455,MATCH($A209,'RQ2'!$A$2:$A$455,0)))=""),"PENDIENTE","REGISTRADA")</f>
        <v/>
      </c>
      <c r="E209" s="4">
        <f>IF(IF(COUNTIFS('RQ1'!$A$2:$A$455,$A209,'RQ1'!$N$2:$N$455,"")&gt;0,"",INDEX('RQ1'!$N$2:$N$455,MATCH($A209,'RQ1'!$A$2:$A$455,0)))=1,"REVISAR DETALLE","REGISTRADA")</f>
        <v/>
      </c>
      <c r="F209" s="4">
        <f>IF(IF(COUNTIFS('RQ3'!$A$2:$A$455,$A209,'RQ3'!$P$2:$P$455,"")&gt;0,"",INDEX('RQ3'!$P$2:$P$455,MATCH($A209,'RQ3'!$A$2:$A$455,0)))="","NO REGISTRADO",IF(IF(COUNTIFS('RQ3'!$A$2:$A$455,$A209,'RQ3'!$P$2:$P$455,"")&gt;0,"",INDEX('RQ3'!$P$2:$P$455,MATCH($A209,'RQ3'!$A$2:$A$455,0)))=1,"MARCA ACTIVA","SIN MARCA"))</f>
        <v/>
      </c>
      <c r="G209" s="4">
        <f>IF(IF(COUNTIFS('ESTUDIOS'!$A$2:$A$455,$A209,'ESTUDIOS'!$N$2:$N$455,"")&gt;0,"",INDEX('ESTUDIOS'!$N$2:$N$455,MATCH($A209,'ESTUDIOS'!$A$2:$A$455,0)))="Verified","DOCUMENTADA","NO DOCUMENTADA")</f>
        <v/>
      </c>
      <c r="H209" s="4">
        <f>IF(D209="PENDIENTE","Leer evidencia ya extraída; registrar uso propuesto o evaluado, función, fuente y revisor en RQ2.","Comprobar evidencia y cautelas registradas; documentar verificación sin recodificar lo ya respaldado.")</f>
        <v/>
      </c>
      <c r="I209" s="4" t="inlineStr">
        <is>
          <t>https://doi.org/10.1016/j.compeleceng.2023.108720</t>
        </is>
      </c>
    </row>
    <row r="210" ht="64" customHeight="1">
      <c r="A210" s="4" t="inlineStr">
        <is>
          <t>227</t>
        </is>
      </c>
      <c r="B210" s="4" t="inlineStr">
        <is>
          <t>Attention Level Evaluation in Children With Autism: Leveraging Head Pose and Gaze Parameters From Videos for Educational Intervention</t>
        </is>
      </c>
      <c r="C210" s="4">
        <f>IF(IF(COUNTIFS('ESTUDIOS'!$A$2:$A$455,$A210,'ESTUDIOS'!$I$2:$I$455,"")&gt;0,"",INDEX('ESTUDIOS'!$I$2:$I$455,MATCH($A210,'ESTUDIOS'!$A$2:$A$455,0)))=1,"1 - Integrity",IF(OR(IF(COUNTIFS('RQ2'!$A$2:$A$455,$A210,'RQ2'!$D$2:$D$455,"")&gt;0,"",INDEX('RQ2'!$D$2:$D$455,MATCH($A210,'RQ2'!$A$2:$A$455,0)))="",IF(COUNTIFS('RQ2'!$A$2:$A$455,$A210,'RQ2'!$E$2:$E$455,"")&gt;0,"",INDEX('RQ2'!$E$2:$E$455,MATCH($A210,'RQ2'!$A$2:$A$455,0)))=""),"2 - RQ2 historical","3 - Verify recorded evidence"))</f>
        <v/>
      </c>
      <c r="D210" s="4">
        <f>IF(OR(IF(COUNTIFS('RQ2'!$A$2:$A$455,$A210,'RQ2'!$D$2:$D$455,"")&gt;0,"",INDEX('RQ2'!$D$2:$D$455,MATCH($A210,'RQ2'!$A$2:$A$455,0)))="",IF(COUNTIFS('RQ2'!$A$2:$A$455,$A210,'RQ2'!$E$2:$E$455,"")&gt;0,"",INDEX('RQ2'!$E$2:$E$455,MATCH($A210,'RQ2'!$A$2:$A$455,0)))=""),"PENDIENTE","REGISTRADA")</f>
        <v/>
      </c>
      <c r="E210" s="4">
        <f>IF(IF(COUNTIFS('RQ1'!$A$2:$A$455,$A210,'RQ1'!$N$2:$N$455,"")&gt;0,"",INDEX('RQ1'!$N$2:$N$455,MATCH($A210,'RQ1'!$A$2:$A$455,0)))=1,"REVISAR DETALLE","REGISTRADA")</f>
        <v/>
      </c>
      <c r="F210" s="4">
        <f>IF(IF(COUNTIFS('RQ3'!$A$2:$A$455,$A210,'RQ3'!$P$2:$P$455,"")&gt;0,"",INDEX('RQ3'!$P$2:$P$455,MATCH($A210,'RQ3'!$A$2:$A$455,0)))="","NO REGISTRADO",IF(IF(COUNTIFS('RQ3'!$A$2:$A$455,$A210,'RQ3'!$P$2:$P$455,"")&gt;0,"",INDEX('RQ3'!$P$2:$P$455,MATCH($A210,'RQ3'!$A$2:$A$455,0)))=1,"MARCA ACTIVA","SIN MARCA"))</f>
        <v/>
      </c>
      <c r="G210" s="4">
        <f>IF(IF(COUNTIFS('ESTUDIOS'!$A$2:$A$455,$A210,'ESTUDIOS'!$N$2:$N$455,"")&gt;0,"",INDEX('ESTUDIOS'!$N$2:$N$455,MATCH($A210,'ESTUDIOS'!$A$2:$A$455,0)))="Verified","DOCUMENTADA","NO DOCUMENTADA")</f>
        <v/>
      </c>
      <c r="H210" s="4">
        <f>IF(D210="PENDIENTE","Leer evidencia ya extraída; registrar uso propuesto o evaluado, función, fuente y revisor en RQ2.","Comprobar evidencia y cautelas registradas; documentar verificación sin recodificar lo ya respaldado.")</f>
        <v/>
      </c>
      <c r="I210" s="4" t="inlineStr">
        <is>
          <t>https://doi.org/10.1109/tlt.2024.3409702</t>
        </is>
      </c>
    </row>
    <row r="211" ht="64" customHeight="1">
      <c r="A211" s="4" t="inlineStr">
        <is>
          <t>228</t>
        </is>
      </c>
      <c r="B211" s="4" t="inlineStr">
        <is>
          <t>Autism Spectrum Disorder Diagnosis Using Graph Neural Network Based on\&amp;#xa0;Graph Pooling and\&amp;#xa0;Self-adjust Filter</t>
        </is>
      </c>
      <c r="C211" s="4">
        <f>IF(IF(COUNTIFS('ESTUDIOS'!$A$2:$A$455,$A211,'ESTUDIOS'!$I$2:$I$455,"")&gt;0,"",INDEX('ESTUDIOS'!$I$2:$I$455,MATCH($A211,'ESTUDIOS'!$A$2:$A$455,0)))=1,"1 - Integrity",IF(OR(IF(COUNTIFS('RQ2'!$A$2:$A$455,$A211,'RQ2'!$D$2:$D$455,"")&gt;0,"",INDEX('RQ2'!$D$2:$D$455,MATCH($A211,'RQ2'!$A$2:$A$455,0)))="",IF(COUNTIFS('RQ2'!$A$2:$A$455,$A211,'RQ2'!$E$2:$E$455,"")&gt;0,"",INDEX('RQ2'!$E$2:$E$455,MATCH($A211,'RQ2'!$A$2:$A$455,0)))=""),"2 - RQ2 historical","3 - Verify recorded evidence"))</f>
        <v/>
      </c>
      <c r="D211" s="4">
        <f>IF(OR(IF(COUNTIFS('RQ2'!$A$2:$A$455,$A211,'RQ2'!$D$2:$D$455,"")&gt;0,"",INDEX('RQ2'!$D$2:$D$455,MATCH($A211,'RQ2'!$A$2:$A$455,0)))="",IF(COUNTIFS('RQ2'!$A$2:$A$455,$A211,'RQ2'!$E$2:$E$455,"")&gt;0,"",INDEX('RQ2'!$E$2:$E$455,MATCH($A211,'RQ2'!$A$2:$A$455,0)))=""),"PENDIENTE","REGISTRADA")</f>
        <v/>
      </c>
      <c r="E211" s="4">
        <f>IF(IF(COUNTIFS('RQ1'!$A$2:$A$455,$A211,'RQ1'!$N$2:$N$455,"")&gt;0,"",INDEX('RQ1'!$N$2:$N$455,MATCH($A211,'RQ1'!$A$2:$A$455,0)))=1,"REVISAR DETALLE","REGISTRADA")</f>
        <v/>
      </c>
      <c r="F211" s="4">
        <f>IF(IF(COUNTIFS('RQ3'!$A$2:$A$455,$A211,'RQ3'!$P$2:$P$455,"")&gt;0,"",INDEX('RQ3'!$P$2:$P$455,MATCH($A211,'RQ3'!$A$2:$A$455,0)))="","NO REGISTRADO",IF(IF(COUNTIFS('RQ3'!$A$2:$A$455,$A211,'RQ3'!$P$2:$P$455,"")&gt;0,"",INDEX('RQ3'!$P$2:$P$455,MATCH($A211,'RQ3'!$A$2:$A$455,0)))=1,"MARCA ACTIVA","SIN MARCA"))</f>
        <v/>
      </c>
      <c r="G211" s="4">
        <f>IF(IF(COUNTIFS('ESTUDIOS'!$A$2:$A$455,$A211,'ESTUDIOS'!$N$2:$N$455,"")&gt;0,"",INDEX('ESTUDIOS'!$N$2:$N$455,MATCH($A211,'ESTUDIOS'!$A$2:$A$455,0)))="Verified","DOCUMENTADA","NO DOCUMENTADA")</f>
        <v/>
      </c>
      <c r="H211" s="4">
        <f>IF(D211="PENDIENTE","Leer evidencia ya extraída; registrar uso propuesto o evaluado, función, fuente y revisor en RQ2.","Comprobar evidencia y cautelas registradas; documentar verificación sin recodificar lo ya respaldado.")</f>
        <v/>
      </c>
      <c r="I211" s="4" t="inlineStr">
        <is>
          <t>https://doi.org/10.1007/978-981-99-8558-6_35</t>
        </is>
      </c>
    </row>
    <row r="212" ht="64" customHeight="1">
      <c r="A212" s="4" t="inlineStr">
        <is>
          <t>229</t>
        </is>
      </c>
      <c r="B212" s="4" t="inlineStr">
        <is>
          <t>Autoencoder Based Methods for Diagnosis of Autism Spectrum Disorder</t>
        </is>
      </c>
      <c r="C212" s="4">
        <f>IF(IF(COUNTIFS('ESTUDIOS'!$A$2:$A$455,$A212,'ESTUDIOS'!$I$2:$I$455,"")&gt;0,"",INDEX('ESTUDIOS'!$I$2:$I$455,MATCH($A212,'ESTUDIOS'!$A$2:$A$455,0)))=1,"1 - Integrity",IF(OR(IF(COUNTIFS('RQ2'!$A$2:$A$455,$A212,'RQ2'!$D$2:$D$455,"")&gt;0,"",INDEX('RQ2'!$D$2:$D$455,MATCH($A212,'RQ2'!$A$2:$A$455,0)))="",IF(COUNTIFS('RQ2'!$A$2:$A$455,$A212,'RQ2'!$E$2:$E$455,"")&gt;0,"",INDEX('RQ2'!$E$2:$E$455,MATCH($A212,'RQ2'!$A$2:$A$455,0)))=""),"2 - RQ2 historical","3 - Verify recorded evidence"))</f>
        <v/>
      </c>
      <c r="D212" s="4">
        <f>IF(OR(IF(COUNTIFS('RQ2'!$A$2:$A$455,$A212,'RQ2'!$D$2:$D$455,"")&gt;0,"",INDEX('RQ2'!$D$2:$D$455,MATCH($A212,'RQ2'!$A$2:$A$455,0)))="",IF(COUNTIFS('RQ2'!$A$2:$A$455,$A212,'RQ2'!$E$2:$E$455,"")&gt;0,"",INDEX('RQ2'!$E$2:$E$455,MATCH($A212,'RQ2'!$A$2:$A$455,0)))=""),"PENDIENTE","REGISTRADA")</f>
        <v/>
      </c>
      <c r="E212" s="4">
        <f>IF(IF(COUNTIFS('RQ1'!$A$2:$A$455,$A212,'RQ1'!$N$2:$N$455,"")&gt;0,"",INDEX('RQ1'!$N$2:$N$455,MATCH($A212,'RQ1'!$A$2:$A$455,0)))=1,"REVISAR DETALLE","REGISTRADA")</f>
        <v/>
      </c>
      <c r="F212" s="4">
        <f>IF(IF(COUNTIFS('RQ3'!$A$2:$A$455,$A212,'RQ3'!$P$2:$P$455,"")&gt;0,"",INDEX('RQ3'!$P$2:$P$455,MATCH($A212,'RQ3'!$A$2:$A$455,0)))="","NO REGISTRADO",IF(IF(COUNTIFS('RQ3'!$A$2:$A$455,$A212,'RQ3'!$P$2:$P$455,"")&gt;0,"",INDEX('RQ3'!$P$2:$P$455,MATCH($A212,'RQ3'!$A$2:$A$455,0)))=1,"MARCA ACTIVA","SIN MARCA"))</f>
        <v/>
      </c>
      <c r="G212" s="4">
        <f>IF(IF(COUNTIFS('ESTUDIOS'!$A$2:$A$455,$A212,'ESTUDIOS'!$N$2:$N$455,"")&gt;0,"",INDEX('ESTUDIOS'!$N$2:$N$455,MATCH($A212,'ESTUDIOS'!$A$2:$A$455,0)))="Verified","DOCUMENTADA","NO DOCUMENTADA")</f>
        <v/>
      </c>
      <c r="H212" s="4">
        <f>IF(D212="PENDIENTE","Leer evidencia ya extraída; registrar uso propuesto o evaluado, función, fuente y revisor en RQ2.","Comprobar evidencia y cautelas registradas; documentar verificación sin recodificar lo ya respaldado.")</f>
        <v/>
      </c>
      <c r="I212" s="4" t="inlineStr">
        <is>
          <t>https://doi.org/10.1007/978-3-030-46165-2_4</t>
        </is>
      </c>
    </row>
    <row r="213" ht="64" customHeight="1">
      <c r="A213" s="4" t="inlineStr">
        <is>
          <t>230</t>
        </is>
      </c>
      <c r="B213" s="4" t="inlineStr">
        <is>
          <t>BrainWaveNet: Wavelet-based Transformer for Autism Spectrum Disorder Diagnosis</t>
        </is>
      </c>
      <c r="C213" s="4">
        <f>IF(IF(COUNTIFS('ESTUDIOS'!$A$2:$A$455,$A213,'ESTUDIOS'!$I$2:$I$455,"")&gt;0,"",INDEX('ESTUDIOS'!$I$2:$I$455,MATCH($A213,'ESTUDIOS'!$A$2:$A$455,0)))=1,"1 - Integrity",IF(OR(IF(COUNTIFS('RQ2'!$A$2:$A$455,$A213,'RQ2'!$D$2:$D$455,"")&gt;0,"",INDEX('RQ2'!$D$2:$D$455,MATCH($A213,'RQ2'!$A$2:$A$455,0)))="",IF(COUNTIFS('RQ2'!$A$2:$A$455,$A213,'RQ2'!$E$2:$E$455,"")&gt;0,"",INDEX('RQ2'!$E$2:$E$455,MATCH($A213,'RQ2'!$A$2:$A$455,0)))=""),"2 - RQ2 historical","3 - Verify recorded evidence"))</f>
        <v/>
      </c>
      <c r="D213" s="4">
        <f>IF(OR(IF(COUNTIFS('RQ2'!$A$2:$A$455,$A213,'RQ2'!$D$2:$D$455,"")&gt;0,"",INDEX('RQ2'!$D$2:$D$455,MATCH($A213,'RQ2'!$A$2:$A$455,0)))="",IF(COUNTIFS('RQ2'!$A$2:$A$455,$A213,'RQ2'!$E$2:$E$455,"")&gt;0,"",INDEX('RQ2'!$E$2:$E$455,MATCH($A213,'RQ2'!$A$2:$A$455,0)))=""),"PENDIENTE","REGISTRADA")</f>
        <v/>
      </c>
      <c r="E213" s="4">
        <f>IF(IF(COUNTIFS('RQ1'!$A$2:$A$455,$A213,'RQ1'!$N$2:$N$455,"")&gt;0,"",INDEX('RQ1'!$N$2:$N$455,MATCH($A213,'RQ1'!$A$2:$A$455,0)))=1,"REVISAR DETALLE","REGISTRADA")</f>
        <v/>
      </c>
      <c r="F213" s="4">
        <f>IF(IF(COUNTIFS('RQ3'!$A$2:$A$455,$A213,'RQ3'!$P$2:$P$455,"")&gt;0,"",INDEX('RQ3'!$P$2:$P$455,MATCH($A213,'RQ3'!$A$2:$A$455,0)))="","NO REGISTRADO",IF(IF(COUNTIFS('RQ3'!$A$2:$A$455,$A213,'RQ3'!$P$2:$P$455,"")&gt;0,"",INDEX('RQ3'!$P$2:$P$455,MATCH($A213,'RQ3'!$A$2:$A$455,0)))=1,"MARCA ACTIVA","SIN MARCA"))</f>
        <v/>
      </c>
      <c r="G213" s="4">
        <f>IF(IF(COUNTIFS('ESTUDIOS'!$A$2:$A$455,$A213,'ESTUDIOS'!$N$2:$N$455,"")&gt;0,"",INDEX('ESTUDIOS'!$N$2:$N$455,MATCH($A213,'ESTUDIOS'!$A$2:$A$455,0)))="Verified","DOCUMENTADA","NO DOCUMENTADA")</f>
        <v/>
      </c>
      <c r="H213" s="4">
        <f>IF(D213="PENDIENTE","Leer evidencia ya extraída; registrar uso propuesto o evaluado, función, fuente y revisor en RQ2.","Comprobar evidencia y cautelas registradas; documentar verificación sin recodificar lo ya respaldado.")</f>
        <v/>
      </c>
      <c r="I213" s="4" t="inlineStr">
        <is>
          <t>https://doi.org/10.1007/978-3-031-72069-7_6</t>
        </is>
      </c>
    </row>
    <row r="214" ht="64" customHeight="1">
      <c r="A214" s="4" t="inlineStr">
        <is>
          <t>231</t>
        </is>
      </c>
      <c r="B214" s="4" t="inlineStr">
        <is>
          <t>Can lung airway geometry be used to predict autism? A preliminary machine learning-based study</t>
        </is>
      </c>
      <c r="C214" s="4">
        <f>IF(IF(COUNTIFS('ESTUDIOS'!$A$2:$A$455,$A214,'ESTUDIOS'!$I$2:$I$455,"")&gt;0,"",INDEX('ESTUDIOS'!$I$2:$I$455,MATCH($A214,'ESTUDIOS'!$A$2:$A$455,0)))=1,"1 - Integrity",IF(OR(IF(COUNTIFS('RQ2'!$A$2:$A$455,$A214,'RQ2'!$D$2:$D$455,"")&gt;0,"",INDEX('RQ2'!$D$2:$D$455,MATCH($A214,'RQ2'!$A$2:$A$455,0)))="",IF(COUNTIFS('RQ2'!$A$2:$A$455,$A214,'RQ2'!$E$2:$E$455,"")&gt;0,"",INDEX('RQ2'!$E$2:$E$455,MATCH($A214,'RQ2'!$A$2:$A$455,0)))=""),"2 - RQ2 historical","3 - Verify recorded evidence"))</f>
        <v/>
      </c>
      <c r="D214" s="4">
        <f>IF(OR(IF(COUNTIFS('RQ2'!$A$2:$A$455,$A214,'RQ2'!$D$2:$D$455,"")&gt;0,"",INDEX('RQ2'!$D$2:$D$455,MATCH($A214,'RQ2'!$A$2:$A$455,0)))="",IF(COUNTIFS('RQ2'!$A$2:$A$455,$A214,'RQ2'!$E$2:$E$455,"")&gt;0,"",INDEX('RQ2'!$E$2:$E$455,MATCH($A214,'RQ2'!$A$2:$A$455,0)))=""),"PENDIENTE","REGISTRADA")</f>
        <v/>
      </c>
      <c r="E214" s="4">
        <f>IF(IF(COUNTIFS('RQ1'!$A$2:$A$455,$A214,'RQ1'!$N$2:$N$455,"")&gt;0,"",INDEX('RQ1'!$N$2:$N$455,MATCH($A214,'RQ1'!$A$2:$A$455,0)))=1,"REVISAR DETALLE","REGISTRADA")</f>
        <v/>
      </c>
      <c r="F214" s="4">
        <f>IF(IF(COUNTIFS('RQ3'!$A$2:$A$455,$A214,'RQ3'!$P$2:$P$455,"")&gt;0,"",INDEX('RQ3'!$P$2:$P$455,MATCH($A214,'RQ3'!$A$2:$A$455,0)))="","NO REGISTRADO",IF(IF(COUNTIFS('RQ3'!$A$2:$A$455,$A214,'RQ3'!$P$2:$P$455,"")&gt;0,"",INDEX('RQ3'!$P$2:$P$455,MATCH($A214,'RQ3'!$A$2:$A$455,0)))=1,"MARCA ACTIVA","SIN MARCA"))</f>
        <v/>
      </c>
      <c r="G214" s="4">
        <f>IF(IF(COUNTIFS('ESTUDIOS'!$A$2:$A$455,$A214,'ESTUDIOS'!$N$2:$N$455,"")&gt;0,"",INDEX('ESTUDIOS'!$N$2:$N$455,MATCH($A214,'ESTUDIOS'!$A$2:$A$455,0)))="Verified","DOCUMENTADA","NO DOCUMENTADA")</f>
        <v/>
      </c>
      <c r="H214" s="4">
        <f>IF(D214="PENDIENTE","Leer evidencia ya extraída; registrar uso propuesto o evaluado, función, fuente y revisor en RQ2.","Comprobar evidencia y cautelas registradas; documentar verificación sin recodificar lo ya respaldado.")</f>
        <v/>
      </c>
      <c r="I214" s="4" t="inlineStr">
        <is>
          <t>https://doi.org/10.1002/ar.25332</t>
        </is>
      </c>
    </row>
    <row r="215" ht="64" customHeight="1">
      <c r="A215" s="4" t="inlineStr">
        <is>
          <t>232</t>
        </is>
      </c>
      <c r="B215" s="4" t="inlineStr">
        <is>
          <t>Classification of autism spectrum disorder based on fluctuation entropy of spontaneous hemodynamic fluctuations</t>
        </is>
      </c>
      <c r="C215" s="4">
        <f>IF(IF(COUNTIFS('ESTUDIOS'!$A$2:$A$455,$A215,'ESTUDIOS'!$I$2:$I$455,"")&gt;0,"",INDEX('ESTUDIOS'!$I$2:$I$455,MATCH($A215,'ESTUDIOS'!$A$2:$A$455,0)))=1,"1 - Integrity",IF(OR(IF(COUNTIFS('RQ2'!$A$2:$A$455,$A215,'RQ2'!$D$2:$D$455,"")&gt;0,"",INDEX('RQ2'!$D$2:$D$455,MATCH($A215,'RQ2'!$A$2:$A$455,0)))="",IF(COUNTIFS('RQ2'!$A$2:$A$455,$A215,'RQ2'!$E$2:$E$455,"")&gt;0,"",INDEX('RQ2'!$E$2:$E$455,MATCH($A215,'RQ2'!$A$2:$A$455,0)))=""),"2 - RQ2 historical","3 - Verify recorded evidence"))</f>
        <v/>
      </c>
      <c r="D215" s="4">
        <f>IF(OR(IF(COUNTIFS('RQ2'!$A$2:$A$455,$A215,'RQ2'!$D$2:$D$455,"")&gt;0,"",INDEX('RQ2'!$D$2:$D$455,MATCH($A215,'RQ2'!$A$2:$A$455,0)))="",IF(COUNTIFS('RQ2'!$A$2:$A$455,$A215,'RQ2'!$E$2:$E$455,"")&gt;0,"",INDEX('RQ2'!$E$2:$E$455,MATCH($A215,'RQ2'!$A$2:$A$455,0)))=""),"PENDIENTE","REGISTRADA")</f>
        <v/>
      </c>
      <c r="E215" s="4">
        <f>IF(IF(COUNTIFS('RQ1'!$A$2:$A$455,$A215,'RQ1'!$N$2:$N$455,"")&gt;0,"",INDEX('RQ1'!$N$2:$N$455,MATCH($A215,'RQ1'!$A$2:$A$455,0)))=1,"REVISAR DETALLE","REGISTRADA")</f>
        <v/>
      </c>
      <c r="F215" s="4">
        <f>IF(IF(COUNTIFS('RQ3'!$A$2:$A$455,$A215,'RQ3'!$P$2:$P$455,"")&gt;0,"",INDEX('RQ3'!$P$2:$P$455,MATCH($A215,'RQ3'!$A$2:$A$455,0)))="","NO REGISTRADO",IF(IF(COUNTIFS('RQ3'!$A$2:$A$455,$A215,'RQ3'!$P$2:$P$455,"")&gt;0,"",INDEX('RQ3'!$P$2:$P$455,MATCH($A215,'RQ3'!$A$2:$A$455,0)))=1,"MARCA ACTIVA","SIN MARCA"))</f>
        <v/>
      </c>
      <c r="G215" s="4">
        <f>IF(IF(COUNTIFS('ESTUDIOS'!$A$2:$A$455,$A215,'ESTUDIOS'!$N$2:$N$455,"")&gt;0,"",INDEX('ESTUDIOS'!$N$2:$N$455,MATCH($A215,'ESTUDIOS'!$A$2:$A$455,0)))="Verified","DOCUMENTADA","NO DOCUMENTADA")</f>
        <v/>
      </c>
      <c r="H215" s="4">
        <f>IF(D215="PENDIENTE","Leer evidencia ya extraída; registrar uso propuesto o evaluado, función, fuente y revisor en RQ2.","Comprobar evidencia y cautelas registradas; documentar verificación sin recodificar lo ya respaldado.")</f>
        <v/>
      </c>
      <c r="I215" s="4" t="inlineStr">
        <is>
          <t>https://doi.org/10.1016/j.bspc.2020.101958</t>
        </is>
      </c>
    </row>
    <row r="216" ht="64" customHeight="1">
      <c r="A216" s="4" t="inlineStr">
        <is>
          <t>233</t>
        </is>
      </c>
      <c r="B216" s="4" t="inlineStr">
        <is>
          <t>Classification of autism spectrum disorder based on sample entropy of spontaneous functional near infra-red spectroscopy signal</t>
        </is>
      </c>
      <c r="C216" s="4">
        <f>IF(IF(COUNTIFS('ESTUDIOS'!$A$2:$A$455,$A216,'ESTUDIOS'!$I$2:$I$455,"")&gt;0,"",INDEX('ESTUDIOS'!$I$2:$I$455,MATCH($A216,'ESTUDIOS'!$A$2:$A$455,0)))=1,"1 - Integrity",IF(OR(IF(COUNTIFS('RQ2'!$A$2:$A$455,$A216,'RQ2'!$D$2:$D$455,"")&gt;0,"",INDEX('RQ2'!$D$2:$D$455,MATCH($A216,'RQ2'!$A$2:$A$455,0)))="",IF(COUNTIFS('RQ2'!$A$2:$A$455,$A216,'RQ2'!$E$2:$E$455,"")&gt;0,"",INDEX('RQ2'!$E$2:$E$455,MATCH($A216,'RQ2'!$A$2:$A$455,0)))=""),"2 - RQ2 historical","3 - Verify recorded evidence"))</f>
        <v/>
      </c>
      <c r="D216" s="4">
        <f>IF(OR(IF(COUNTIFS('RQ2'!$A$2:$A$455,$A216,'RQ2'!$D$2:$D$455,"")&gt;0,"",INDEX('RQ2'!$D$2:$D$455,MATCH($A216,'RQ2'!$A$2:$A$455,0)))="",IF(COUNTIFS('RQ2'!$A$2:$A$455,$A216,'RQ2'!$E$2:$E$455,"")&gt;0,"",INDEX('RQ2'!$E$2:$E$455,MATCH($A216,'RQ2'!$A$2:$A$455,0)))=""),"PENDIENTE","REGISTRADA")</f>
        <v/>
      </c>
      <c r="E216" s="4">
        <f>IF(IF(COUNTIFS('RQ1'!$A$2:$A$455,$A216,'RQ1'!$N$2:$N$455,"")&gt;0,"",INDEX('RQ1'!$N$2:$N$455,MATCH($A216,'RQ1'!$A$2:$A$455,0)))=1,"REVISAR DETALLE","REGISTRADA")</f>
        <v/>
      </c>
      <c r="F216" s="4">
        <f>IF(IF(COUNTIFS('RQ3'!$A$2:$A$455,$A216,'RQ3'!$P$2:$P$455,"")&gt;0,"",INDEX('RQ3'!$P$2:$P$455,MATCH($A216,'RQ3'!$A$2:$A$455,0)))="","NO REGISTRADO",IF(IF(COUNTIFS('RQ3'!$A$2:$A$455,$A216,'RQ3'!$P$2:$P$455,"")&gt;0,"",INDEX('RQ3'!$P$2:$P$455,MATCH($A216,'RQ3'!$A$2:$A$455,0)))=1,"MARCA ACTIVA","SIN MARCA"))</f>
        <v/>
      </c>
      <c r="G216" s="4">
        <f>IF(IF(COUNTIFS('ESTUDIOS'!$A$2:$A$455,$A216,'ESTUDIOS'!$N$2:$N$455,"")&gt;0,"",INDEX('ESTUDIOS'!$N$2:$N$455,MATCH($A216,'ESTUDIOS'!$A$2:$A$455,0)))="Verified","DOCUMENTADA","NO DOCUMENTADA")</f>
        <v/>
      </c>
      <c r="H216" s="4">
        <f>IF(D216="PENDIENTE","Leer evidencia ya extraída; registrar uso propuesto o evaluado, función, fuente y revisor en RQ2.","Comprobar evidencia y cautelas registradas; documentar verificación sin recodificar lo ya respaldado.")</f>
        <v/>
      </c>
      <c r="I216" s="4" t="inlineStr">
        <is>
          <t>https://doi.org/10.1016/j.clinph.2019.12.400</t>
        </is>
      </c>
    </row>
    <row r="217" ht="64" customHeight="1">
      <c r="A217" s="4" t="inlineStr">
        <is>
          <t>234</t>
        </is>
      </c>
      <c r="B217" s="4" t="inlineStr">
        <is>
          <t>Classification of\&amp;#xa0;Facial Images to\&amp;#xa0;Assist in\&amp;#xa0;the\&amp;#xa0;Diagnosis of\&amp;#xa0;Autism Spectrum Disorder: A Study on\&amp;#xa0;the\&amp;#xa0;Effect of\&amp;#xa0;Face Detection and\&amp;#xa0;Landmark Identification Algorithms</t>
        </is>
      </c>
      <c r="C217" s="4">
        <f>IF(IF(COUNTIFS('ESTUDIOS'!$A$2:$A$455,$A217,'ESTUDIOS'!$I$2:$I$455,"")&gt;0,"",INDEX('ESTUDIOS'!$I$2:$I$455,MATCH($A217,'ESTUDIOS'!$A$2:$A$455,0)))=1,"1 - Integrity",IF(OR(IF(COUNTIFS('RQ2'!$A$2:$A$455,$A217,'RQ2'!$D$2:$D$455,"")&gt;0,"",INDEX('RQ2'!$D$2:$D$455,MATCH($A217,'RQ2'!$A$2:$A$455,0)))="",IF(COUNTIFS('RQ2'!$A$2:$A$455,$A217,'RQ2'!$E$2:$E$455,"")&gt;0,"",INDEX('RQ2'!$E$2:$E$455,MATCH($A217,'RQ2'!$A$2:$A$455,0)))=""),"2 - RQ2 historical","3 - Verify recorded evidence"))</f>
        <v/>
      </c>
      <c r="D217" s="4">
        <f>IF(OR(IF(COUNTIFS('RQ2'!$A$2:$A$455,$A217,'RQ2'!$D$2:$D$455,"")&gt;0,"",INDEX('RQ2'!$D$2:$D$455,MATCH($A217,'RQ2'!$A$2:$A$455,0)))="",IF(COUNTIFS('RQ2'!$A$2:$A$455,$A217,'RQ2'!$E$2:$E$455,"")&gt;0,"",INDEX('RQ2'!$E$2:$E$455,MATCH($A217,'RQ2'!$A$2:$A$455,0)))=""),"PENDIENTE","REGISTRADA")</f>
        <v/>
      </c>
      <c r="E217" s="4">
        <f>IF(IF(COUNTIFS('RQ1'!$A$2:$A$455,$A217,'RQ1'!$N$2:$N$455,"")&gt;0,"",INDEX('RQ1'!$N$2:$N$455,MATCH($A217,'RQ1'!$A$2:$A$455,0)))=1,"REVISAR DETALLE","REGISTRADA")</f>
        <v/>
      </c>
      <c r="F217" s="4">
        <f>IF(IF(COUNTIFS('RQ3'!$A$2:$A$455,$A217,'RQ3'!$P$2:$P$455,"")&gt;0,"",INDEX('RQ3'!$P$2:$P$455,MATCH($A217,'RQ3'!$A$2:$A$455,0)))="","NO REGISTRADO",IF(IF(COUNTIFS('RQ3'!$A$2:$A$455,$A217,'RQ3'!$P$2:$P$455,"")&gt;0,"",INDEX('RQ3'!$P$2:$P$455,MATCH($A217,'RQ3'!$A$2:$A$455,0)))=1,"MARCA ACTIVA","SIN MARCA"))</f>
        <v/>
      </c>
      <c r="G217" s="4">
        <f>IF(IF(COUNTIFS('ESTUDIOS'!$A$2:$A$455,$A217,'ESTUDIOS'!$N$2:$N$455,"")&gt;0,"",INDEX('ESTUDIOS'!$N$2:$N$455,MATCH($A217,'ESTUDIOS'!$A$2:$A$455,0)))="Verified","DOCUMENTADA","NO DOCUMENTADA")</f>
        <v/>
      </c>
      <c r="H217" s="4">
        <f>IF(D217="PENDIENTE","Leer evidencia ya extraída; registrar uso propuesto o evaluado, función, fuente y revisor en RQ2.","Comprobar evidencia y cautelas registradas; documentar verificación sin recodificar lo ya respaldado.")</f>
        <v/>
      </c>
      <c r="I217" s="4" t="inlineStr">
        <is>
          <t>https://doi.org/10.1007/978-3-031-45389-2_18</t>
        </is>
      </c>
    </row>
    <row r="218" ht="64" customHeight="1">
      <c r="A218" s="4" t="inlineStr">
        <is>
          <t>235</t>
        </is>
      </c>
      <c r="B218" s="4" t="inlineStr">
        <is>
          <t>Combining anatomical and functional networks for neuropathology identification: A case study on autism spectrum disorder</t>
        </is>
      </c>
      <c r="C218" s="4">
        <f>IF(IF(COUNTIFS('ESTUDIOS'!$A$2:$A$455,$A218,'ESTUDIOS'!$I$2:$I$455,"")&gt;0,"",INDEX('ESTUDIOS'!$I$2:$I$455,MATCH($A218,'ESTUDIOS'!$A$2:$A$455,0)))=1,"1 - Integrity",IF(OR(IF(COUNTIFS('RQ2'!$A$2:$A$455,$A218,'RQ2'!$D$2:$D$455,"")&gt;0,"",INDEX('RQ2'!$D$2:$D$455,MATCH($A218,'RQ2'!$A$2:$A$455,0)))="",IF(COUNTIFS('RQ2'!$A$2:$A$455,$A218,'RQ2'!$E$2:$E$455,"")&gt;0,"",INDEX('RQ2'!$E$2:$E$455,MATCH($A218,'RQ2'!$A$2:$A$455,0)))=""),"2 - RQ2 historical","3 - Verify recorded evidence"))</f>
        <v/>
      </c>
      <c r="D218" s="4">
        <f>IF(OR(IF(COUNTIFS('RQ2'!$A$2:$A$455,$A218,'RQ2'!$D$2:$D$455,"")&gt;0,"",INDEX('RQ2'!$D$2:$D$455,MATCH($A218,'RQ2'!$A$2:$A$455,0)))="",IF(COUNTIFS('RQ2'!$A$2:$A$455,$A218,'RQ2'!$E$2:$E$455,"")&gt;0,"",INDEX('RQ2'!$E$2:$E$455,MATCH($A218,'RQ2'!$A$2:$A$455,0)))=""),"PENDIENTE","REGISTRADA")</f>
        <v/>
      </c>
      <c r="E218" s="4">
        <f>IF(IF(COUNTIFS('RQ1'!$A$2:$A$455,$A218,'RQ1'!$N$2:$N$455,"")&gt;0,"",INDEX('RQ1'!$N$2:$N$455,MATCH($A218,'RQ1'!$A$2:$A$455,0)))=1,"REVISAR DETALLE","REGISTRADA")</f>
        <v/>
      </c>
      <c r="F218" s="4">
        <f>IF(IF(COUNTIFS('RQ3'!$A$2:$A$455,$A218,'RQ3'!$P$2:$P$455,"")&gt;0,"",INDEX('RQ3'!$P$2:$P$455,MATCH($A218,'RQ3'!$A$2:$A$455,0)))="","NO REGISTRADO",IF(IF(COUNTIFS('RQ3'!$A$2:$A$455,$A218,'RQ3'!$P$2:$P$455,"")&gt;0,"",INDEX('RQ3'!$P$2:$P$455,MATCH($A218,'RQ3'!$A$2:$A$455,0)))=1,"MARCA ACTIVA","SIN MARCA"))</f>
        <v/>
      </c>
      <c r="G218" s="4">
        <f>IF(IF(COUNTIFS('ESTUDIOS'!$A$2:$A$455,$A218,'ESTUDIOS'!$N$2:$N$455,"")&gt;0,"",INDEX('ESTUDIOS'!$N$2:$N$455,MATCH($A218,'ESTUDIOS'!$A$2:$A$455,0)))="Verified","DOCUMENTADA","NO DOCUMENTADA")</f>
        <v/>
      </c>
      <c r="H218" s="4">
        <f>IF(D218="PENDIENTE","Leer evidencia ya extraída; registrar uso propuesto o evaluado, función, fuente y revisor en RQ2.","Comprobar evidencia y cautelas registradas; documentar verificación sin recodificar lo ya respaldado.")</f>
        <v/>
      </c>
      <c r="I218" s="4" t="inlineStr">
        <is>
          <t>https://doi.org/10.1016/j.media.2021.101986</t>
        </is>
      </c>
    </row>
    <row r="219" ht="64" customHeight="1">
      <c r="A219" s="4" t="inlineStr">
        <is>
          <t>236</t>
        </is>
      </c>
      <c r="B219" s="4" t="inlineStr">
        <is>
          <t>Correlations between blood group and Rh factor in families and autism spectrum disorder: A comprehensive analysis</t>
        </is>
      </c>
      <c r="C219" s="4">
        <f>IF(IF(COUNTIFS('ESTUDIOS'!$A$2:$A$455,$A219,'ESTUDIOS'!$I$2:$I$455,"")&gt;0,"",INDEX('ESTUDIOS'!$I$2:$I$455,MATCH($A219,'ESTUDIOS'!$A$2:$A$455,0)))=1,"1 - Integrity",IF(OR(IF(COUNTIFS('RQ2'!$A$2:$A$455,$A219,'RQ2'!$D$2:$D$455,"")&gt;0,"",INDEX('RQ2'!$D$2:$D$455,MATCH($A219,'RQ2'!$A$2:$A$455,0)))="",IF(COUNTIFS('RQ2'!$A$2:$A$455,$A219,'RQ2'!$E$2:$E$455,"")&gt;0,"",INDEX('RQ2'!$E$2:$E$455,MATCH($A219,'RQ2'!$A$2:$A$455,0)))=""),"2 - RQ2 historical","3 - Verify recorded evidence"))</f>
        <v/>
      </c>
      <c r="D219" s="4">
        <f>IF(OR(IF(COUNTIFS('RQ2'!$A$2:$A$455,$A219,'RQ2'!$D$2:$D$455,"")&gt;0,"",INDEX('RQ2'!$D$2:$D$455,MATCH($A219,'RQ2'!$A$2:$A$455,0)))="",IF(COUNTIFS('RQ2'!$A$2:$A$455,$A219,'RQ2'!$E$2:$E$455,"")&gt;0,"",INDEX('RQ2'!$E$2:$E$455,MATCH($A219,'RQ2'!$A$2:$A$455,0)))=""),"PENDIENTE","REGISTRADA")</f>
        <v/>
      </c>
      <c r="E219" s="4">
        <f>IF(IF(COUNTIFS('RQ1'!$A$2:$A$455,$A219,'RQ1'!$N$2:$N$455,"")&gt;0,"",INDEX('RQ1'!$N$2:$N$455,MATCH($A219,'RQ1'!$A$2:$A$455,0)))=1,"REVISAR DETALLE","REGISTRADA")</f>
        <v/>
      </c>
      <c r="F219" s="4">
        <f>IF(IF(COUNTIFS('RQ3'!$A$2:$A$455,$A219,'RQ3'!$P$2:$P$455,"")&gt;0,"",INDEX('RQ3'!$P$2:$P$455,MATCH($A219,'RQ3'!$A$2:$A$455,0)))="","NO REGISTRADO",IF(IF(COUNTIFS('RQ3'!$A$2:$A$455,$A219,'RQ3'!$P$2:$P$455,"")&gt;0,"",INDEX('RQ3'!$P$2:$P$455,MATCH($A219,'RQ3'!$A$2:$A$455,0)))=1,"MARCA ACTIVA","SIN MARCA"))</f>
        <v/>
      </c>
      <c r="G219" s="4">
        <f>IF(IF(COUNTIFS('ESTUDIOS'!$A$2:$A$455,$A219,'ESTUDIOS'!$N$2:$N$455,"")&gt;0,"",INDEX('ESTUDIOS'!$N$2:$N$455,MATCH($A219,'ESTUDIOS'!$A$2:$A$455,0)))="Verified","DOCUMENTADA","NO DOCUMENTADA")</f>
        <v/>
      </c>
      <c r="H219" s="4">
        <f>IF(D219="PENDIENTE","Leer evidencia ya extraída; registrar uso propuesto o evaluado, función, fuente y revisor en RQ2.","Comprobar evidencia y cautelas registradas; documentar verificación sin recodificar lo ya respaldado.")</f>
        <v/>
      </c>
      <c r="I219" s="4" t="inlineStr">
        <is>
          <t>https://doi.org/10.1038/s41598-025-97313-8</t>
        </is>
      </c>
    </row>
    <row r="220" ht="64" customHeight="1">
      <c r="A220" s="4" t="inlineStr">
        <is>
          <t>237</t>
        </is>
      </c>
      <c r="B220" s="4" t="inlineStr">
        <is>
          <t>Cross-linguistic patterns of speech prosodic differences in autism: A machine learning study</t>
        </is>
      </c>
      <c r="C220" s="4">
        <f>IF(IF(COUNTIFS('ESTUDIOS'!$A$2:$A$455,$A220,'ESTUDIOS'!$I$2:$I$455,"")&gt;0,"",INDEX('ESTUDIOS'!$I$2:$I$455,MATCH($A220,'ESTUDIOS'!$A$2:$A$455,0)))=1,"1 - Integrity",IF(OR(IF(COUNTIFS('RQ2'!$A$2:$A$455,$A220,'RQ2'!$D$2:$D$455,"")&gt;0,"",INDEX('RQ2'!$D$2:$D$455,MATCH($A220,'RQ2'!$A$2:$A$455,0)))="",IF(COUNTIFS('RQ2'!$A$2:$A$455,$A220,'RQ2'!$E$2:$E$455,"")&gt;0,"",INDEX('RQ2'!$E$2:$E$455,MATCH($A220,'RQ2'!$A$2:$A$455,0)))=""),"2 - RQ2 historical","3 - Verify recorded evidence"))</f>
        <v/>
      </c>
      <c r="D220" s="4">
        <f>IF(OR(IF(COUNTIFS('RQ2'!$A$2:$A$455,$A220,'RQ2'!$D$2:$D$455,"")&gt;0,"",INDEX('RQ2'!$D$2:$D$455,MATCH($A220,'RQ2'!$A$2:$A$455,0)))="",IF(COUNTIFS('RQ2'!$A$2:$A$455,$A220,'RQ2'!$E$2:$E$455,"")&gt;0,"",INDEX('RQ2'!$E$2:$E$455,MATCH($A220,'RQ2'!$A$2:$A$455,0)))=""),"PENDIENTE","REGISTRADA")</f>
        <v/>
      </c>
      <c r="E220" s="4">
        <f>IF(IF(COUNTIFS('RQ1'!$A$2:$A$455,$A220,'RQ1'!$N$2:$N$455,"")&gt;0,"",INDEX('RQ1'!$N$2:$N$455,MATCH($A220,'RQ1'!$A$2:$A$455,0)))=1,"REVISAR DETALLE","REGISTRADA")</f>
        <v/>
      </c>
      <c r="F220" s="4">
        <f>IF(IF(COUNTIFS('RQ3'!$A$2:$A$455,$A220,'RQ3'!$P$2:$P$455,"")&gt;0,"",INDEX('RQ3'!$P$2:$P$455,MATCH($A220,'RQ3'!$A$2:$A$455,0)))="","NO REGISTRADO",IF(IF(COUNTIFS('RQ3'!$A$2:$A$455,$A220,'RQ3'!$P$2:$P$455,"")&gt;0,"",INDEX('RQ3'!$P$2:$P$455,MATCH($A220,'RQ3'!$A$2:$A$455,0)))=1,"MARCA ACTIVA","SIN MARCA"))</f>
        <v/>
      </c>
      <c r="G220" s="4">
        <f>IF(IF(COUNTIFS('ESTUDIOS'!$A$2:$A$455,$A220,'ESTUDIOS'!$N$2:$N$455,"")&gt;0,"",INDEX('ESTUDIOS'!$N$2:$N$455,MATCH($A220,'ESTUDIOS'!$A$2:$A$455,0)))="Verified","DOCUMENTADA","NO DOCUMENTADA")</f>
        <v/>
      </c>
      <c r="H220" s="4">
        <f>IF(D220="PENDIENTE","Leer evidencia ya extraída; registrar uso propuesto o evaluado, función, fuente y revisor en RQ2.","Comprobar evidencia y cautelas registradas; documentar verificación sin recodificar lo ya respaldado.")</f>
        <v/>
      </c>
      <c r="I220" s="4" t="inlineStr">
        <is>
          <t>https://doi.org/10.1371/journal.pone.0269637</t>
        </is>
      </c>
    </row>
    <row r="221" ht="64" customHeight="1">
      <c r="A221" s="4" t="inlineStr">
        <is>
          <t>238</t>
        </is>
      </c>
      <c r="B221" s="4" t="inlineStr">
        <is>
          <t>Data mining and machine learning techniques for early detection in autism spectrum disorder</t>
        </is>
      </c>
      <c r="C221" s="4">
        <f>IF(IF(COUNTIFS('ESTUDIOS'!$A$2:$A$455,$A221,'ESTUDIOS'!$I$2:$I$455,"")&gt;0,"",INDEX('ESTUDIOS'!$I$2:$I$455,MATCH($A221,'ESTUDIOS'!$A$2:$A$455,0)))=1,"1 - Integrity",IF(OR(IF(COUNTIFS('RQ2'!$A$2:$A$455,$A221,'RQ2'!$D$2:$D$455,"")&gt;0,"",INDEX('RQ2'!$D$2:$D$455,MATCH($A221,'RQ2'!$A$2:$A$455,0)))="",IF(COUNTIFS('RQ2'!$A$2:$A$455,$A221,'RQ2'!$E$2:$E$455,"")&gt;0,"",INDEX('RQ2'!$E$2:$E$455,MATCH($A221,'RQ2'!$A$2:$A$455,0)))=""),"2 - RQ2 historical","3 - Verify recorded evidence"))</f>
        <v/>
      </c>
      <c r="D221" s="4">
        <f>IF(OR(IF(COUNTIFS('RQ2'!$A$2:$A$455,$A221,'RQ2'!$D$2:$D$455,"")&gt;0,"",INDEX('RQ2'!$D$2:$D$455,MATCH($A221,'RQ2'!$A$2:$A$455,0)))="",IF(COUNTIFS('RQ2'!$A$2:$A$455,$A221,'RQ2'!$E$2:$E$455,"")&gt;0,"",INDEX('RQ2'!$E$2:$E$455,MATCH($A221,'RQ2'!$A$2:$A$455,0)))=""),"PENDIENTE","REGISTRADA")</f>
        <v/>
      </c>
      <c r="E221" s="4">
        <f>IF(IF(COUNTIFS('RQ1'!$A$2:$A$455,$A221,'RQ1'!$N$2:$N$455,"")&gt;0,"",INDEX('RQ1'!$N$2:$N$455,MATCH($A221,'RQ1'!$A$2:$A$455,0)))=1,"REVISAR DETALLE","REGISTRADA")</f>
        <v/>
      </c>
      <c r="F221" s="4">
        <f>IF(IF(COUNTIFS('RQ3'!$A$2:$A$455,$A221,'RQ3'!$P$2:$P$455,"")&gt;0,"",INDEX('RQ3'!$P$2:$P$455,MATCH($A221,'RQ3'!$A$2:$A$455,0)))="","NO REGISTRADO",IF(IF(COUNTIFS('RQ3'!$A$2:$A$455,$A221,'RQ3'!$P$2:$P$455,"")&gt;0,"",INDEX('RQ3'!$P$2:$P$455,MATCH($A221,'RQ3'!$A$2:$A$455,0)))=1,"MARCA ACTIVA","SIN MARCA"))</f>
        <v/>
      </c>
      <c r="G221" s="4">
        <f>IF(IF(COUNTIFS('ESTUDIOS'!$A$2:$A$455,$A221,'ESTUDIOS'!$N$2:$N$455,"")&gt;0,"",INDEX('ESTUDIOS'!$N$2:$N$455,MATCH($A221,'ESTUDIOS'!$A$2:$A$455,0)))="Verified","DOCUMENTADA","NO DOCUMENTADA")</f>
        <v/>
      </c>
      <c r="H221" s="4">
        <f>IF(D221="PENDIENTE","Leer evidencia ya extraída; registrar uso propuesto o evaluado, función, fuente y revisor en RQ2.","Comprobar evidencia y cautelas registradas; documentar verificación sin recodificar lo ya respaldado.")</f>
        <v/>
      </c>
      <c r="I221" s="4" t="inlineStr">
        <is>
          <t>https://doi.org/10.1016/b978-0-12-822822-7.00006-5</t>
        </is>
      </c>
    </row>
    <row r="222" ht="64" customHeight="1">
      <c r="A222" s="4" t="inlineStr">
        <is>
          <t>239</t>
        </is>
      </c>
      <c r="B222" s="4" t="inlineStr">
        <is>
          <t>Diagnosing autism severity associated with physical fitness and gray matter volume in children with autism spectrum disorder: Explainable machine learning method</t>
        </is>
      </c>
      <c r="C222" s="4">
        <f>IF(IF(COUNTIFS('ESTUDIOS'!$A$2:$A$455,$A222,'ESTUDIOS'!$I$2:$I$455,"")&gt;0,"",INDEX('ESTUDIOS'!$I$2:$I$455,MATCH($A222,'ESTUDIOS'!$A$2:$A$455,0)))=1,"1 - Integrity",IF(OR(IF(COUNTIFS('RQ2'!$A$2:$A$455,$A222,'RQ2'!$D$2:$D$455,"")&gt;0,"",INDEX('RQ2'!$D$2:$D$455,MATCH($A222,'RQ2'!$A$2:$A$455,0)))="",IF(COUNTIFS('RQ2'!$A$2:$A$455,$A222,'RQ2'!$E$2:$E$455,"")&gt;0,"",INDEX('RQ2'!$E$2:$E$455,MATCH($A222,'RQ2'!$A$2:$A$455,0)))=""),"2 - RQ2 historical","3 - Verify recorded evidence"))</f>
        <v/>
      </c>
      <c r="D222" s="4">
        <f>IF(OR(IF(COUNTIFS('RQ2'!$A$2:$A$455,$A222,'RQ2'!$D$2:$D$455,"")&gt;0,"",INDEX('RQ2'!$D$2:$D$455,MATCH($A222,'RQ2'!$A$2:$A$455,0)))="",IF(COUNTIFS('RQ2'!$A$2:$A$455,$A222,'RQ2'!$E$2:$E$455,"")&gt;0,"",INDEX('RQ2'!$E$2:$E$455,MATCH($A222,'RQ2'!$A$2:$A$455,0)))=""),"PENDIENTE","REGISTRADA")</f>
        <v/>
      </c>
      <c r="E222" s="4">
        <f>IF(IF(COUNTIFS('RQ1'!$A$2:$A$455,$A222,'RQ1'!$N$2:$N$455,"")&gt;0,"",INDEX('RQ1'!$N$2:$N$455,MATCH($A222,'RQ1'!$A$2:$A$455,0)))=1,"REVISAR DETALLE","REGISTRADA")</f>
        <v/>
      </c>
      <c r="F222" s="4">
        <f>IF(IF(COUNTIFS('RQ3'!$A$2:$A$455,$A222,'RQ3'!$P$2:$P$455,"")&gt;0,"",INDEX('RQ3'!$P$2:$P$455,MATCH($A222,'RQ3'!$A$2:$A$455,0)))="","NO REGISTRADO",IF(IF(COUNTIFS('RQ3'!$A$2:$A$455,$A222,'RQ3'!$P$2:$P$455,"")&gt;0,"",INDEX('RQ3'!$P$2:$P$455,MATCH($A222,'RQ3'!$A$2:$A$455,0)))=1,"MARCA ACTIVA","SIN MARCA"))</f>
        <v/>
      </c>
      <c r="G222" s="4">
        <f>IF(IF(COUNTIFS('ESTUDIOS'!$A$2:$A$455,$A222,'ESTUDIOS'!$N$2:$N$455,"")&gt;0,"",INDEX('ESTUDIOS'!$N$2:$N$455,MATCH($A222,'ESTUDIOS'!$A$2:$A$455,0)))="Verified","DOCUMENTADA","NO DOCUMENTADA")</f>
        <v/>
      </c>
      <c r="H222" s="4">
        <f>IF(D222="PENDIENTE","Leer evidencia ya extraída; registrar uso propuesto o evaluado, función, fuente y revisor en RQ2.","Comprobar evidencia y cautelas registradas; documentar verificación sin recodificar lo ya respaldado.")</f>
        <v/>
      </c>
      <c r="I222" s="4" t="inlineStr">
        <is>
          <t>https://doi.org/10.1016/j.ctcp.2023.101825</t>
        </is>
      </c>
    </row>
    <row r="223" ht="64" customHeight="1">
      <c r="A223" s="4" t="inlineStr">
        <is>
          <t>240</t>
        </is>
      </c>
      <c r="B223" s="4" t="inlineStr">
        <is>
          <t>Diagnosis of Autism Disorder Based on Deep Network Trained by Augmented EEG Signals</t>
        </is>
      </c>
      <c r="C223" s="4">
        <f>IF(IF(COUNTIFS('ESTUDIOS'!$A$2:$A$455,$A223,'ESTUDIOS'!$I$2:$I$455,"")&gt;0,"",INDEX('ESTUDIOS'!$I$2:$I$455,MATCH($A223,'ESTUDIOS'!$A$2:$A$455,0)))=1,"1 - Integrity",IF(OR(IF(COUNTIFS('RQ2'!$A$2:$A$455,$A223,'RQ2'!$D$2:$D$455,"")&gt;0,"",INDEX('RQ2'!$D$2:$D$455,MATCH($A223,'RQ2'!$A$2:$A$455,0)))="",IF(COUNTIFS('RQ2'!$A$2:$A$455,$A223,'RQ2'!$E$2:$E$455,"")&gt;0,"",INDEX('RQ2'!$E$2:$E$455,MATCH($A223,'RQ2'!$A$2:$A$455,0)))=""),"2 - RQ2 historical","3 - Verify recorded evidence"))</f>
        <v/>
      </c>
      <c r="D223" s="4">
        <f>IF(OR(IF(COUNTIFS('RQ2'!$A$2:$A$455,$A223,'RQ2'!$D$2:$D$455,"")&gt;0,"",INDEX('RQ2'!$D$2:$D$455,MATCH($A223,'RQ2'!$A$2:$A$455,0)))="",IF(COUNTIFS('RQ2'!$A$2:$A$455,$A223,'RQ2'!$E$2:$E$455,"")&gt;0,"",INDEX('RQ2'!$E$2:$E$455,MATCH($A223,'RQ2'!$A$2:$A$455,0)))=""),"PENDIENTE","REGISTRADA")</f>
        <v/>
      </c>
      <c r="E223" s="4">
        <f>IF(IF(COUNTIFS('RQ1'!$A$2:$A$455,$A223,'RQ1'!$N$2:$N$455,"")&gt;0,"",INDEX('RQ1'!$N$2:$N$455,MATCH($A223,'RQ1'!$A$2:$A$455,0)))=1,"REVISAR DETALLE","REGISTRADA")</f>
        <v/>
      </c>
      <c r="F223" s="4">
        <f>IF(IF(COUNTIFS('RQ3'!$A$2:$A$455,$A223,'RQ3'!$P$2:$P$455,"")&gt;0,"",INDEX('RQ3'!$P$2:$P$455,MATCH($A223,'RQ3'!$A$2:$A$455,0)))="","NO REGISTRADO",IF(IF(COUNTIFS('RQ3'!$A$2:$A$455,$A223,'RQ3'!$P$2:$P$455,"")&gt;0,"",INDEX('RQ3'!$P$2:$P$455,MATCH($A223,'RQ3'!$A$2:$A$455,0)))=1,"MARCA ACTIVA","SIN MARCA"))</f>
        <v/>
      </c>
      <c r="G223" s="4">
        <f>IF(IF(COUNTIFS('ESTUDIOS'!$A$2:$A$455,$A223,'ESTUDIOS'!$N$2:$N$455,"")&gt;0,"",INDEX('ESTUDIOS'!$N$2:$N$455,MATCH($A223,'ESTUDIOS'!$A$2:$A$455,0)))="Verified","DOCUMENTADA","NO DOCUMENTADA")</f>
        <v/>
      </c>
      <c r="H223" s="4">
        <f>IF(D223="PENDIENTE","Leer evidencia ya extraída; registrar uso propuesto o evaluado, función, fuente y revisor en RQ2.","Comprobar evidencia y cautelas registradas; documentar verificación sin recodificar lo ya respaldado.")</f>
        <v/>
      </c>
      <c r="I223" s="4" t="inlineStr">
        <is>
          <t>https://doi.org/10.1142/s0129065722500460</t>
        </is>
      </c>
    </row>
    <row r="224" ht="64" customHeight="1">
      <c r="A224" s="4" t="inlineStr">
        <is>
          <t>241</t>
        </is>
      </c>
      <c r="B224" s="4" t="inlineStr">
        <is>
          <t>Differences in atypical resting-state effective connectivity distinguish autism from schizophrenia</t>
        </is>
      </c>
      <c r="C224" s="4">
        <f>IF(IF(COUNTIFS('ESTUDIOS'!$A$2:$A$455,$A224,'ESTUDIOS'!$I$2:$I$455,"")&gt;0,"",INDEX('ESTUDIOS'!$I$2:$I$455,MATCH($A224,'ESTUDIOS'!$A$2:$A$455,0)))=1,"1 - Integrity",IF(OR(IF(COUNTIFS('RQ2'!$A$2:$A$455,$A224,'RQ2'!$D$2:$D$455,"")&gt;0,"",INDEX('RQ2'!$D$2:$D$455,MATCH($A224,'RQ2'!$A$2:$A$455,0)))="",IF(COUNTIFS('RQ2'!$A$2:$A$455,$A224,'RQ2'!$E$2:$E$455,"")&gt;0,"",INDEX('RQ2'!$E$2:$E$455,MATCH($A224,'RQ2'!$A$2:$A$455,0)))=""),"2 - RQ2 historical","3 - Verify recorded evidence"))</f>
        <v/>
      </c>
      <c r="D224" s="4">
        <f>IF(OR(IF(COUNTIFS('RQ2'!$A$2:$A$455,$A224,'RQ2'!$D$2:$D$455,"")&gt;0,"",INDEX('RQ2'!$D$2:$D$455,MATCH($A224,'RQ2'!$A$2:$A$455,0)))="",IF(COUNTIFS('RQ2'!$A$2:$A$455,$A224,'RQ2'!$E$2:$E$455,"")&gt;0,"",INDEX('RQ2'!$E$2:$E$455,MATCH($A224,'RQ2'!$A$2:$A$455,0)))=""),"PENDIENTE","REGISTRADA")</f>
        <v/>
      </c>
      <c r="E224" s="4">
        <f>IF(IF(COUNTIFS('RQ1'!$A$2:$A$455,$A224,'RQ1'!$N$2:$N$455,"")&gt;0,"",INDEX('RQ1'!$N$2:$N$455,MATCH($A224,'RQ1'!$A$2:$A$455,0)))=1,"REVISAR DETALLE","REGISTRADA")</f>
        <v/>
      </c>
      <c r="F224" s="4">
        <f>IF(IF(COUNTIFS('RQ3'!$A$2:$A$455,$A224,'RQ3'!$P$2:$P$455,"")&gt;0,"",INDEX('RQ3'!$P$2:$P$455,MATCH($A224,'RQ3'!$A$2:$A$455,0)))="","NO REGISTRADO",IF(IF(COUNTIFS('RQ3'!$A$2:$A$455,$A224,'RQ3'!$P$2:$P$455,"")&gt;0,"",INDEX('RQ3'!$P$2:$P$455,MATCH($A224,'RQ3'!$A$2:$A$455,0)))=1,"MARCA ACTIVA","SIN MARCA"))</f>
        <v/>
      </c>
      <c r="G224" s="4">
        <f>IF(IF(COUNTIFS('ESTUDIOS'!$A$2:$A$455,$A224,'ESTUDIOS'!$N$2:$N$455,"")&gt;0,"",INDEX('ESTUDIOS'!$N$2:$N$455,MATCH($A224,'ESTUDIOS'!$A$2:$A$455,0)))="Verified","DOCUMENTADA","NO DOCUMENTADA")</f>
        <v/>
      </c>
      <c r="H224" s="4">
        <f>IF(D224="PENDIENTE","Leer evidencia ya extraída; registrar uso propuesto o evaluado, función, fuente y revisor en RQ2.","Comprobar evidencia y cautelas registradas; documentar verificación sin recodificar lo ya respaldado.")</f>
        <v/>
      </c>
      <c r="I224" s="4" t="inlineStr">
        <is>
          <t>https://doi.org/10.1016/j.nicl.2018.01.014</t>
        </is>
      </c>
    </row>
    <row r="225" ht="64" customHeight="1">
      <c r="A225" s="4" t="inlineStr">
        <is>
          <t>242</t>
        </is>
      </c>
      <c r="B225" s="4" t="inlineStr">
        <is>
          <t>Eigenvector Centrality Characterization on fMRI Data: Gender and Node Differences in Normal and ASD Subjects: Author name</t>
        </is>
      </c>
      <c r="C225" s="4">
        <f>IF(IF(COUNTIFS('ESTUDIOS'!$A$2:$A$455,$A225,'ESTUDIOS'!$I$2:$I$455,"")&gt;0,"",INDEX('ESTUDIOS'!$I$2:$I$455,MATCH($A225,'ESTUDIOS'!$A$2:$A$455,0)))=1,"1 - Integrity",IF(OR(IF(COUNTIFS('RQ2'!$A$2:$A$455,$A225,'RQ2'!$D$2:$D$455,"")&gt;0,"",INDEX('RQ2'!$D$2:$D$455,MATCH($A225,'RQ2'!$A$2:$A$455,0)))="",IF(COUNTIFS('RQ2'!$A$2:$A$455,$A225,'RQ2'!$E$2:$E$455,"")&gt;0,"",INDEX('RQ2'!$E$2:$E$455,MATCH($A225,'RQ2'!$A$2:$A$455,0)))=""),"2 - RQ2 historical","3 - Verify recorded evidence"))</f>
        <v/>
      </c>
      <c r="D225" s="4">
        <f>IF(OR(IF(COUNTIFS('RQ2'!$A$2:$A$455,$A225,'RQ2'!$D$2:$D$455,"")&gt;0,"",INDEX('RQ2'!$D$2:$D$455,MATCH($A225,'RQ2'!$A$2:$A$455,0)))="",IF(COUNTIFS('RQ2'!$A$2:$A$455,$A225,'RQ2'!$E$2:$E$455,"")&gt;0,"",INDEX('RQ2'!$E$2:$E$455,MATCH($A225,'RQ2'!$A$2:$A$455,0)))=""),"PENDIENTE","REGISTRADA")</f>
        <v/>
      </c>
      <c r="E225" s="4">
        <f>IF(IF(COUNTIFS('RQ1'!$A$2:$A$455,$A225,'RQ1'!$N$2:$N$455,"")&gt;0,"",INDEX('RQ1'!$N$2:$N$455,MATCH($A225,'RQ1'!$A$2:$A$455,0)))=1,"REVISAR DETALLE","REGISTRADA")</f>
        <v/>
      </c>
      <c r="F225" s="4">
        <f>IF(IF(COUNTIFS('RQ3'!$A$2:$A$455,$A225,'RQ3'!$P$2:$P$455,"")&gt;0,"",INDEX('RQ3'!$P$2:$P$455,MATCH($A225,'RQ3'!$A$2:$A$455,0)))="","NO REGISTRADO",IF(IF(COUNTIFS('RQ3'!$A$2:$A$455,$A225,'RQ3'!$P$2:$P$455,"")&gt;0,"",INDEX('RQ3'!$P$2:$P$455,MATCH($A225,'RQ3'!$A$2:$A$455,0)))=1,"MARCA ACTIVA","SIN MARCA"))</f>
        <v/>
      </c>
      <c r="G225" s="4">
        <f>IF(IF(COUNTIFS('ESTUDIOS'!$A$2:$A$455,$A225,'ESTUDIOS'!$N$2:$N$455,"")&gt;0,"",INDEX('ESTUDIOS'!$N$2:$N$455,MATCH($A225,'ESTUDIOS'!$A$2:$A$455,0)))="Verified","DOCUMENTADA","NO DOCUMENTADA")</f>
        <v/>
      </c>
      <c r="H225" s="4">
        <f>IF(D225="PENDIENTE","Leer evidencia ya extraída; registrar uso propuesto o evaluado, función, fuente y revisor en RQ2.","Comprobar evidencia y cautelas registradas; documentar verificación sin recodificar lo ya respaldado.")</f>
        <v/>
      </c>
      <c r="I225" s="4" t="inlineStr">
        <is>
          <t>https://doi.org/10.1007/s10803-023-05922-x</t>
        </is>
      </c>
    </row>
    <row r="226" ht="64" customHeight="1">
      <c r="A226" s="4" t="inlineStr">
        <is>
          <t>243</t>
        </is>
      </c>
      <c r="B226" s="4" t="inlineStr">
        <is>
          <t>Enhancing Multi-view ASD Diagnosis Using Structural MRI and Pretrained CNN</t>
        </is>
      </c>
      <c r="C226" s="4">
        <f>IF(IF(COUNTIFS('ESTUDIOS'!$A$2:$A$455,$A226,'ESTUDIOS'!$I$2:$I$455,"")&gt;0,"",INDEX('ESTUDIOS'!$I$2:$I$455,MATCH($A226,'ESTUDIOS'!$A$2:$A$455,0)))=1,"1 - Integrity",IF(OR(IF(COUNTIFS('RQ2'!$A$2:$A$455,$A226,'RQ2'!$D$2:$D$455,"")&gt;0,"",INDEX('RQ2'!$D$2:$D$455,MATCH($A226,'RQ2'!$A$2:$A$455,0)))="",IF(COUNTIFS('RQ2'!$A$2:$A$455,$A226,'RQ2'!$E$2:$E$455,"")&gt;0,"",INDEX('RQ2'!$E$2:$E$455,MATCH($A226,'RQ2'!$A$2:$A$455,0)))=""),"2 - RQ2 historical","3 - Verify recorded evidence"))</f>
        <v/>
      </c>
      <c r="D226" s="4">
        <f>IF(OR(IF(COUNTIFS('RQ2'!$A$2:$A$455,$A226,'RQ2'!$D$2:$D$455,"")&gt;0,"",INDEX('RQ2'!$D$2:$D$455,MATCH($A226,'RQ2'!$A$2:$A$455,0)))="",IF(COUNTIFS('RQ2'!$A$2:$A$455,$A226,'RQ2'!$E$2:$E$455,"")&gt;0,"",INDEX('RQ2'!$E$2:$E$455,MATCH($A226,'RQ2'!$A$2:$A$455,0)))=""),"PENDIENTE","REGISTRADA")</f>
        <v/>
      </c>
      <c r="E226" s="4">
        <f>IF(IF(COUNTIFS('RQ1'!$A$2:$A$455,$A226,'RQ1'!$N$2:$N$455,"")&gt;0,"",INDEX('RQ1'!$N$2:$N$455,MATCH($A226,'RQ1'!$A$2:$A$455,0)))=1,"REVISAR DETALLE","REGISTRADA")</f>
        <v/>
      </c>
      <c r="F226" s="4">
        <f>IF(IF(COUNTIFS('RQ3'!$A$2:$A$455,$A226,'RQ3'!$P$2:$P$455,"")&gt;0,"",INDEX('RQ3'!$P$2:$P$455,MATCH($A226,'RQ3'!$A$2:$A$455,0)))="","NO REGISTRADO",IF(IF(COUNTIFS('RQ3'!$A$2:$A$455,$A226,'RQ3'!$P$2:$P$455,"")&gt;0,"",INDEX('RQ3'!$P$2:$P$455,MATCH($A226,'RQ3'!$A$2:$A$455,0)))=1,"MARCA ACTIVA","SIN MARCA"))</f>
        <v/>
      </c>
      <c r="G226" s="4">
        <f>IF(IF(COUNTIFS('ESTUDIOS'!$A$2:$A$455,$A226,'ESTUDIOS'!$N$2:$N$455,"")&gt;0,"",INDEX('ESTUDIOS'!$N$2:$N$455,MATCH($A226,'ESTUDIOS'!$A$2:$A$455,0)))="Verified","DOCUMENTADA","NO DOCUMENTADA")</f>
        <v/>
      </c>
      <c r="H226" s="4">
        <f>IF(D226="PENDIENTE","Leer evidencia ya extraída; registrar uso propuesto o evaluado, función, fuente y revisor en RQ2.","Comprobar evidencia y cautelas registradas; documentar verificación sin recodificar lo ya respaldado.")</f>
        <v/>
      </c>
      <c r="I226" s="4" t="inlineStr">
        <is>
          <t>https://doi.org/10.1007/978-3-031-83845-3_26</t>
        </is>
      </c>
    </row>
    <row r="227" ht="64" customHeight="1">
      <c r="A227" s="4" t="inlineStr">
        <is>
          <t>245</t>
        </is>
      </c>
      <c r="B227" s="4" t="inlineStr">
        <is>
          <t>Exploring Sparse Gaussian Processes for Bayesian Optimization in Convolutional Neural Networks for Autism Classification</t>
        </is>
      </c>
      <c r="C227" s="4">
        <f>IF(IF(COUNTIFS('ESTUDIOS'!$A$2:$A$455,$A227,'ESTUDIOS'!$I$2:$I$455,"")&gt;0,"",INDEX('ESTUDIOS'!$I$2:$I$455,MATCH($A227,'ESTUDIOS'!$A$2:$A$455,0)))=1,"1 - Integrity",IF(OR(IF(COUNTIFS('RQ2'!$A$2:$A$455,$A227,'RQ2'!$D$2:$D$455,"")&gt;0,"",INDEX('RQ2'!$D$2:$D$455,MATCH($A227,'RQ2'!$A$2:$A$455,0)))="",IF(COUNTIFS('RQ2'!$A$2:$A$455,$A227,'RQ2'!$E$2:$E$455,"")&gt;0,"",INDEX('RQ2'!$E$2:$E$455,MATCH($A227,'RQ2'!$A$2:$A$455,0)))=""),"2 - RQ2 historical","3 - Verify recorded evidence"))</f>
        <v/>
      </c>
      <c r="D227" s="4">
        <f>IF(OR(IF(COUNTIFS('RQ2'!$A$2:$A$455,$A227,'RQ2'!$D$2:$D$455,"")&gt;0,"",INDEX('RQ2'!$D$2:$D$455,MATCH($A227,'RQ2'!$A$2:$A$455,0)))="",IF(COUNTIFS('RQ2'!$A$2:$A$455,$A227,'RQ2'!$E$2:$E$455,"")&gt;0,"",INDEX('RQ2'!$E$2:$E$455,MATCH($A227,'RQ2'!$A$2:$A$455,0)))=""),"PENDIENTE","REGISTRADA")</f>
        <v/>
      </c>
      <c r="E227" s="4">
        <f>IF(IF(COUNTIFS('RQ1'!$A$2:$A$455,$A227,'RQ1'!$N$2:$N$455,"")&gt;0,"",INDEX('RQ1'!$N$2:$N$455,MATCH($A227,'RQ1'!$A$2:$A$455,0)))=1,"REVISAR DETALLE","REGISTRADA")</f>
        <v/>
      </c>
      <c r="F227" s="4">
        <f>IF(IF(COUNTIFS('RQ3'!$A$2:$A$455,$A227,'RQ3'!$P$2:$P$455,"")&gt;0,"",INDEX('RQ3'!$P$2:$P$455,MATCH($A227,'RQ3'!$A$2:$A$455,0)))="","NO REGISTRADO",IF(IF(COUNTIFS('RQ3'!$A$2:$A$455,$A227,'RQ3'!$P$2:$P$455,"")&gt;0,"",INDEX('RQ3'!$P$2:$P$455,MATCH($A227,'RQ3'!$A$2:$A$455,0)))=1,"MARCA ACTIVA","SIN MARCA"))</f>
        <v/>
      </c>
      <c r="G227" s="4">
        <f>IF(IF(COUNTIFS('ESTUDIOS'!$A$2:$A$455,$A227,'ESTUDIOS'!$N$2:$N$455,"")&gt;0,"",INDEX('ESTUDIOS'!$N$2:$N$455,MATCH($A227,'ESTUDIOS'!$A$2:$A$455,0)))="Verified","DOCUMENTADA","NO DOCUMENTADA")</f>
        <v/>
      </c>
      <c r="H227" s="4">
        <f>IF(D227="PENDIENTE","Leer evidencia ya extraída; registrar uso propuesto o evaluado, función, fuente y revisor en RQ2.","Comprobar evidencia y cautelas registradas; documentar verificación sin recodificar lo ya respaldado.")</f>
        <v/>
      </c>
      <c r="I227" s="4" t="inlineStr">
        <is>
          <t>https://doi.org/10.1109/access.2024.3351168</t>
        </is>
      </c>
    </row>
    <row r="228" ht="64" customHeight="1">
      <c r="A228" s="4" t="inlineStr">
        <is>
          <t>246</t>
        </is>
      </c>
      <c r="B228" s="4" t="inlineStr">
        <is>
          <t>Exploring tree-based machine learning methods to predict autism spectrum disorder</t>
        </is>
      </c>
      <c r="C228" s="4">
        <f>IF(IF(COUNTIFS('ESTUDIOS'!$A$2:$A$455,$A228,'ESTUDIOS'!$I$2:$I$455,"")&gt;0,"",INDEX('ESTUDIOS'!$I$2:$I$455,MATCH($A228,'ESTUDIOS'!$A$2:$A$455,0)))=1,"1 - Integrity",IF(OR(IF(COUNTIFS('RQ2'!$A$2:$A$455,$A228,'RQ2'!$D$2:$D$455,"")&gt;0,"",INDEX('RQ2'!$D$2:$D$455,MATCH($A228,'RQ2'!$A$2:$A$455,0)))="",IF(COUNTIFS('RQ2'!$A$2:$A$455,$A228,'RQ2'!$E$2:$E$455,"")&gt;0,"",INDEX('RQ2'!$E$2:$E$455,MATCH($A228,'RQ2'!$A$2:$A$455,0)))=""),"2 - RQ2 historical","3 - Verify recorded evidence"))</f>
        <v/>
      </c>
      <c r="D228" s="4">
        <f>IF(OR(IF(COUNTIFS('RQ2'!$A$2:$A$455,$A228,'RQ2'!$D$2:$D$455,"")&gt;0,"",INDEX('RQ2'!$D$2:$D$455,MATCH($A228,'RQ2'!$A$2:$A$455,0)))="",IF(COUNTIFS('RQ2'!$A$2:$A$455,$A228,'RQ2'!$E$2:$E$455,"")&gt;0,"",INDEX('RQ2'!$E$2:$E$455,MATCH($A228,'RQ2'!$A$2:$A$455,0)))=""),"PENDIENTE","REGISTRADA")</f>
        <v/>
      </c>
      <c r="E228" s="4">
        <f>IF(IF(COUNTIFS('RQ1'!$A$2:$A$455,$A228,'RQ1'!$N$2:$N$455,"")&gt;0,"",INDEX('RQ1'!$N$2:$N$455,MATCH($A228,'RQ1'!$A$2:$A$455,0)))=1,"REVISAR DETALLE","REGISTRADA")</f>
        <v/>
      </c>
      <c r="F228" s="4">
        <f>IF(IF(COUNTIFS('RQ3'!$A$2:$A$455,$A228,'RQ3'!$P$2:$P$455,"")&gt;0,"",INDEX('RQ3'!$P$2:$P$455,MATCH($A228,'RQ3'!$A$2:$A$455,0)))="","NO REGISTRADO",IF(IF(COUNTIFS('RQ3'!$A$2:$A$455,$A228,'RQ3'!$P$2:$P$455,"")&gt;0,"",INDEX('RQ3'!$P$2:$P$455,MATCH($A228,'RQ3'!$A$2:$A$455,0)))=1,"MARCA ACTIVA","SIN MARCA"))</f>
        <v/>
      </c>
      <c r="G228" s="4">
        <f>IF(IF(COUNTIFS('ESTUDIOS'!$A$2:$A$455,$A228,'ESTUDIOS'!$N$2:$N$455,"")&gt;0,"",INDEX('ESTUDIOS'!$N$2:$N$455,MATCH($A228,'ESTUDIOS'!$A$2:$A$455,0)))="Verified","DOCUMENTADA","NO DOCUMENTADA")</f>
        <v/>
      </c>
      <c r="H228" s="4">
        <f>IF(D228="PENDIENTE","Leer evidencia ya extraída; registrar uso propuesto o evaluado, función, fuente y revisor en RQ2.","Comprobar evidencia y cautelas registradas; documentar verificación sin recodificar lo ya respaldado.")</f>
        <v/>
      </c>
      <c r="I228" s="4" t="inlineStr">
        <is>
          <t>https://doi.org/10.1016/b978-0-12-822822-7.00009-0</t>
        </is>
      </c>
    </row>
    <row r="229" ht="64" customHeight="1">
      <c r="A229" s="4" t="inlineStr">
        <is>
          <t>247</t>
        </is>
      </c>
      <c r="B229" s="4" t="inlineStr">
        <is>
          <t>Few-Shot Classification of Autism Spectrum Disorder using Site-Agnostic Meta-Learning and Brain MRI</t>
        </is>
      </c>
      <c r="C229" s="4">
        <f>IF(IF(COUNTIFS('ESTUDIOS'!$A$2:$A$455,$A229,'ESTUDIOS'!$I$2:$I$455,"")&gt;0,"",INDEX('ESTUDIOS'!$I$2:$I$455,MATCH($A229,'ESTUDIOS'!$A$2:$A$455,0)))=1,"1 - Integrity",IF(OR(IF(COUNTIFS('RQ2'!$A$2:$A$455,$A229,'RQ2'!$D$2:$D$455,"")&gt;0,"",INDEX('RQ2'!$D$2:$D$455,MATCH($A229,'RQ2'!$A$2:$A$455,0)))="",IF(COUNTIFS('RQ2'!$A$2:$A$455,$A229,'RQ2'!$E$2:$E$455,"")&gt;0,"",INDEX('RQ2'!$E$2:$E$455,MATCH($A229,'RQ2'!$A$2:$A$455,0)))=""),"2 - RQ2 historical","3 - Verify recorded evidence"))</f>
        <v/>
      </c>
      <c r="D229" s="4">
        <f>IF(OR(IF(COUNTIFS('RQ2'!$A$2:$A$455,$A229,'RQ2'!$D$2:$D$455,"")&gt;0,"",INDEX('RQ2'!$D$2:$D$455,MATCH($A229,'RQ2'!$A$2:$A$455,0)))="",IF(COUNTIFS('RQ2'!$A$2:$A$455,$A229,'RQ2'!$E$2:$E$455,"")&gt;0,"",INDEX('RQ2'!$E$2:$E$455,MATCH($A229,'RQ2'!$A$2:$A$455,0)))=""),"PENDIENTE","REGISTRADA")</f>
        <v/>
      </c>
      <c r="E229" s="4">
        <f>IF(IF(COUNTIFS('RQ1'!$A$2:$A$455,$A229,'RQ1'!$N$2:$N$455,"")&gt;0,"",INDEX('RQ1'!$N$2:$N$455,MATCH($A229,'RQ1'!$A$2:$A$455,0)))=1,"REVISAR DETALLE","REGISTRADA")</f>
        <v/>
      </c>
      <c r="F229" s="4">
        <f>IF(IF(COUNTIFS('RQ3'!$A$2:$A$455,$A229,'RQ3'!$P$2:$P$455,"")&gt;0,"",INDEX('RQ3'!$P$2:$P$455,MATCH($A229,'RQ3'!$A$2:$A$455,0)))="","NO REGISTRADO",IF(IF(COUNTIFS('RQ3'!$A$2:$A$455,$A229,'RQ3'!$P$2:$P$455,"")&gt;0,"",INDEX('RQ3'!$P$2:$P$455,MATCH($A229,'RQ3'!$A$2:$A$455,0)))=1,"MARCA ACTIVA","SIN MARCA"))</f>
        <v/>
      </c>
      <c r="G229" s="4">
        <f>IF(IF(COUNTIFS('ESTUDIOS'!$A$2:$A$455,$A229,'ESTUDIOS'!$N$2:$N$455,"")&gt;0,"",INDEX('ESTUDIOS'!$N$2:$N$455,MATCH($A229,'ESTUDIOS'!$A$2:$A$455,0)))="Verified","DOCUMENTADA","NO DOCUMENTADA")</f>
        <v/>
      </c>
      <c r="H229" s="4">
        <f>IF(D229="PENDIENTE","Leer evidencia ya extraída; registrar uso propuesto o evaluado, función, fuente y revisor en RQ2.","Comprobar evidencia y cautelas registradas; documentar verificación sin recodificar lo ya respaldado.")</f>
        <v/>
      </c>
      <c r="I229" s="4" t="inlineStr">
        <is>
          <t>https://doi.org/10.1109/embc40787.2023.10340852</t>
        </is>
      </c>
    </row>
    <row r="230" ht="64" customHeight="1">
      <c r="A230" s="4" t="inlineStr">
        <is>
          <t>248</t>
        </is>
      </c>
      <c r="B230" s="4" t="inlineStr">
        <is>
          <t>Gaze Patterns in Children With Autism Spectrum Disorder to Emotional Faces: Scanpath and Similarity</t>
        </is>
      </c>
      <c r="C230" s="4">
        <f>IF(IF(COUNTIFS('ESTUDIOS'!$A$2:$A$455,$A230,'ESTUDIOS'!$I$2:$I$455,"")&gt;0,"",INDEX('ESTUDIOS'!$I$2:$I$455,MATCH($A230,'ESTUDIOS'!$A$2:$A$455,0)))=1,"1 - Integrity",IF(OR(IF(COUNTIFS('RQ2'!$A$2:$A$455,$A230,'RQ2'!$D$2:$D$455,"")&gt;0,"",INDEX('RQ2'!$D$2:$D$455,MATCH($A230,'RQ2'!$A$2:$A$455,0)))="",IF(COUNTIFS('RQ2'!$A$2:$A$455,$A230,'RQ2'!$E$2:$E$455,"")&gt;0,"",INDEX('RQ2'!$E$2:$E$455,MATCH($A230,'RQ2'!$A$2:$A$455,0)))=""),"2 - RQ2 historical","3 - Verify recorded evidence"))</f>
        <v/>
      </c>
      <c r="D230" s="4">
        <f>IF(OR(IF(COUNTIFS('RQ2'!$A$2:$A$455,$A230,'RQ2'!$D$2:$D$455,"")&gt;0,"",INDEX('RQ2'!$D$2:$D$455,MATCH($A230,'RQ2'!$A$2:$A$455,0)))="",IF(COUNTIFS('RQ2'!$A$2:$A$455,$A230,'RQ2'!$E$2:$E$455,"")&gt;0,"",INDEX('RQ2'!$E$2:$E$455,MATCH($A230,'RQ2'!$A$2:$A$455,0)))=""),"PENDIENTE","REGISTRADA")</f>
        <v/>
      </c>
      <c r="E230" s="4">
        <f>IF(IF(COUNTIFS('RQ1'!$A$2:$A$455,$A230,'RQ1'!$N$2:$N$455,"")&gt;0,"",INDEX('RQ1'!$N$2:$N$455,MATCH($A230,'RQ1'!$A$2:$A$455,0)))=1,"REVISAR DETALLE","REGISTRADA")</f>
        <v/>
      </c>
      <c r="F230" s="4">
        <f>IF(IF(COUNTIFS('RQ3'!$A$2:$A$455,$A230,'RQ3'!$P$2:$P$455,"")&gt;0,"",INDEX('RQ3'!$P$2:$P$455,MATCH($A230,'RQ3'!$A$2:$A$455,0)))="","NO REGISTRADO",IF(IF(COUNTIFS('RQ3'!$A$2:$A$455,$A230,'RQ3'!$P$2:$P$455,"")&gt;0,"",INDEX('RQ3'!$P$2:$P$455,MATCH($A230,'RQ3'!$A$2:$A$455,0)))=1,"MARCA ACTIVA","SIN MARCA"))</f>
        <v/>
      </c>
      <c r="G230" s="4">
        <f>IF(IF(COUNTIFS('ESTUDIOS'!$A$2:$A$455,$A230,'ESTUDIOS'!$N$2:$N$455,"")&gt;0,"",INDEX('ESTUDIOS'!$N$2:$N$455,MATCH($A230,'ESTUDIOS'!$A$2:$A$455,0)))="Verified","DOCUMENTADA","NO DOCUMENTADA")</f>
        <v/>
      </c>
      <c r="H230" s="4">
        <f>IF(D230="PENDIENTE","Leer evidencia ya extraída; registrar uso propuesto o evaluado, función, fuente y revisor en RQ2.","Comprobar evidencia y cautelas registradas; documentar verificación sin recodificar lo ya respaldado.")</f>
        <v/>
      </c>
      <c r="I230" s="4" t="inlineStr">
        <is>
          <t>https://doi.org/10.1109/tnsre.2024.3361935</t>
        </is>
      </c>
    </row>
    <row r="231" ht="64" customHeight="1">
      <c r="A231" s="4" t="inlineStr">
        <is>
          <t>249</t>
        </is>
      </c>
      <c r="B231" s="4" t="inlineStr">
        <is>
          <t>Gray Matter Alterations in Young Children with Autism Spectrum Disorders: Comparing Morphometry at the Voxel and Regional Level</t>
        </is>
      </c>
      <c r="C231" s="4">
        <f>IF(IF(COUNTIFS('ESTUDIOS'!$A$2:$A$455,$A231,'ESTUDIOS'!$I$2:$I$455,"")&gt;0,"",INDEX('ESTUDIOS'!$I$2:$I$455,MATCH($A231,'ESTUDIOS'!$A$2:$A$455,0)))=1,"1 - Integrity",IF(OR(IF(COUNTIFS('RQ2'!$A$2:$A$455,$A231,'RQ2'!$D$2:$D$455,"")&gt;0,"",INDEX('RQ2'!$D$2:$D$455,MATCH($A231,'RQ2'!$A$2:$A$455,0)))="",IF(COUNTIFS('RQ2'!$A$2:$A$455,$A231,'RQ2'!$E$2:$E$455,"")&gt;0,"",INDEX('RQ2'!$E$2:$E$455,MATCH($A231,'RQ2'!$A$2:$A$455,0)))=""),"2 - RQ2 historical","3 - Verify recorded evidence"))</f>
        <v/>
      </c>
      <c r="D231" s="4">
        <f>IF(OR(IF(COUNTIFS('RQ2'!$A$2:$A$455,$A231,'RQ2'!$D$2:$D$455,"")&gt;0,"",INDEX('RQ2'!$D$2:$D$455,MATCH($A231,'RQ2'!$A$2:$A$455,0)))="",IF(COUNTIFS('RQ2'!$A$2:$A$455,$A231,'RQ2'!$E$2:$E$455,"")&gt;0,"",INDEX('RQ2'!$E$2:$E$455,MATCH($A231,'RQ2'!$A$2:$A$455,0)))=""),"PENDIENTE","REGISTRADA")</f>
        <v/>
      </c>
      <c r="E231" s="4">
        <f>IF(IF(COUNTIFS('RQ1'!$A$2:$A$455,$A231,'RQ1'!$N$2:$N$455,"")&gt;0,"",INDEX('RQ1'!$N$2:$N$455,MATCH($A231,'RQ1'!$A$2:$A$455,0)))=1,"REVISAR DETALLE","REGISTRADA")</f>
        <v/>
      </c>
      <c r="F231" s="4">
        <f>IF(IF(COUNTIFS('RQ3'!$A$2:$A$455,$A231,'RQ3'!$P$2:$P$455,"")&gt;0,"",INDEX('RQ3'!$P$2:$P$455,MATCH($A231,'RQ3'!$A$2:$A$455,0)))="","NO REGISTRADO",IF(IF(COUNTIFS('RQ3'!$A$2:$A$455,$A231,'RQ3'!$P$2:$P$455,"")&gt;0,"",INDEX('RQ3'!$P$2:$P$455,MATCH($A231,'RQ3'!$A$2:$A$455,0)))=1,"MARCA ACTIVA","SIN MARCA"))</f>
        <v/>
      </c>
      <c r="G231" s="4">
        <f>IF(IF(COUNTIFS('ESTUDIOS'!$A$2:$A$455,$A231,'ESTUDIOS'!$N$2:$N$455,"")&gt;0,"",INDEX('ESTUDIOS'!$N$2:$N$455,MATCH($A231,'ESTUDIOS'!$A$2:$A$455,0)))="Verified","DOCUMENTADA","NO DOCUMENTADA")</f>
        <v/>
      </c>
      <c r="H231" s="4">
        <f>IF(D231="PENDIENTE","Leer evidencia ya extraída; registrar uso propuesto o evaluado, función, fuente y revisor en RQ2.","Comprobar evidencia y cautelas registradas; documentar verificación sin recodificar lo ya respaldado.")</f>
        <v/>
      </c>
      <c r="I231" s="4" t="inlineStr">
        <is>
          <t>https://doi.org/10.1111/jon.12280</t>
        </is>
      </c>
    </row>
    <row r="232" ht="64" customHeight="1">
      <c r="A232" s="4" t="inlineStr">
        <is>
          <t>250</t>
        </is>
      </c>
      <c r="B232" s="4" t="inlineStr">
        <is>
          <t>Identification of Autism spectrum disorder based on a novel feature selection method and Variational Autoencoder</t>
        </is>
      </c>
      <c r="C232" s="4">
        <f>IF(IF(COUNTIFS('ESTUDIOS'!$A$2:$A$455,$A232,'ESTUDIOS'!$I$2:$I$455,"")&gt;0,"",INDEX('ESTUDIOS'!$I$2:$I$455,MATCH($A232,'ESTUDIOS'!$A$2:$A$455,0)))=1,"1 - Integrity",IF(OR(IF(COUNTIFS('RQ2'!$A$2:$A$455,$A232,'RQ2'!$D$2:$D$455,"")&gt;0,"",INDEX('RQ2'!$D$2:$D$455,MATCH($A232,'RQ2'!$A$2:$A$455,0)))="",IF(COUNTIFS('RQ2'!$A$2:$A$455,$A232,'RQ2'!$E$2:$E$455,"")&gt;0,"",INDEX('RQ2'!$E$2:$E$455,MATCH($A232,'RQ2'!$A$2:$A$455,0)))=""),"2 - RQ2 historical","3 - Verify recorded evidence"))</f>
        <v/>
      </c>
      <c r="D232" s="4">
        <f>IF(OR(IF(COUNTIFS('RQ2'!$A$2:$A$455,$A232,'RQ2'!$D$2:$D$455,"")&gt;0,"",INDEX('RQ2'!$D$2:$D$455,MATCH($A232,'RQ2'!$A$2:$A$455,0)))="",IF(COUNTIFS('RQ2'!$A$2:$A$455,$A232,'RQ2'!$E$2:$E$455,"")&gt;0,"",INDEX('RQ2'!$E$2:$E$455,MATCH($A232,'RQ2'!$A$2:$A$455,0)))=""),"PENDIENTE","REGISTRADA")</f>
        <v/>
      </c>
      <c r="E232" s="4">
        <f>IF(IF(COUNTIFS('RQ1'!$A$2:$A$455,$A232,'RQ1'!$N$2:$N$455,"")&gt;0,"",INDEX('RQ1'!$N$2:$N$455,MATCH($A232,'RQ1'!$A$2:$A$455,0)))=1,"REVISAR DETALLE","REGISTRADA")</f>
        <v/>
      </c>
      <c r="F232" s="4">
        <f>IF(IF(COUNTIFS('RQ3'!$A$2:$A$455,$A232,'RQ3'!$P$2:$P$455,"")&gt;0,"",INDEX('RQ3'!$P$2:$P$455,MATCH($A232,'RQ3'!$A$2:$A$455,0)))="","NO REGISTRADO",IF(IF(COUNTIFS('RQ3'!$A$2:$A$455,$A232,'RQ3'!$P$2:$P$455,"")&gt;0,"",INDEX('RQ3'!$P$2:$P$455,MATCH($A232,'RQ3'!$A$2:$A$455,0)))=1,"MARCA ACTIVA","SIN MARCA"))</f>
        <v/>
      </c>
      <c r="G232" s="4">
        <f>IF(IF(COUNTIFS('ESTUDIOS'!$A$2:$A$455,$A232,'ESTUDIOS'!$N$2:$N$455,"")&gt;0,"",INDEX('ESTUDIOS'!$N$2:$N$455,MATCH($A232,'ESTUDIOS'!$A$2:$A$455,0)))="Verified","DOCUMENTADA","NO DOCUMENTADA")</f>
        <v/>
      </c>
      <c r="H232" s="4">
        <f>IF(D232="PENDIENTE","Leer evidencia ya extraída; registrar uso propuesto o evaluado, función, fuente y revisor en RQ2.","Comprobar evidencia y cautelas registradas; documentar verificación sin recodificar lo ya respaldado.")</f>
        <v/>
      </c>
      <c r="I232" s="4" t="inlineStr">
        <is>
          <t>https://doi.org/10.1016/j.compbiomed.2022.105854</t>
        </is>
      </c>
    </row>
    <row r="233" ht="64" customHeight="1">
      <c r="A233" s="4" t="inlineStr">
        <is>
          <t>251</t>
        </is>
      </c>
      <c r="B233" s="4" t="inlineStr">
        <is>
          <t>Integrative analysis of long noncoding RNAs dysregulation and synapse-associated ceRNA regulatory axes in autism</t>
        </is>
      </c>
      <c r="C233" s="4">
        <f>IF(IF(COUNTIFS('ESTUDIOS'!$A$2:$A$455,$A233,'ESTUDIOS'!$I$2:$I$455,"")&gt;0,"",INDEX('ESTUDIOS'!$I$2:$I$455,MATCH($A233,'ESTUDIOS'!$A$2:$A$455,0)))=1,"1 - Integrity",IF(OR(IF(COUNTIFS('RQ2'!$A$2:$A$455,$A233,'RQ2'!$D$2:$D$455,"")&gt;0,"",INDEX('RQ2'!$D$2:$D$455,MATCH($A233,'RQ2'!$A$2:$A$455,0)))="",IF(COUNTIFS('RQ2'!$A$2:$A$455,$A233,'RQ2'!$E$2:$E$455,"")&gt;0,"",INDEX('RQ2'!$E$2:$E$455,MATCH($A233,'RQ2'!$A$2:$A$455,0)))=""),"2 - RQ2 historical","3 - Verify recorded evidence"))</f>
        <v/>
      </c>
      <c r="D233" s="4">
        <f>IF(OR(IF(COUNTIFS('RQ2'!$A$2:$A$455,$A233,'RQ2'!$D$2:$D$455,"")&gt;0,"",INDEX('RQ2'!$D$2:$D$455,MATCH($A233,'RQ2'!$A$2:$A$455,0)))="",IF(COUNTIFS('RQ2'!$A$2:$A$455,$A233,'RQ2'!$E$2:$E$455,"")&gt;0,"",INDEX('RQ2'!$E$2:$E$455,MATCH($A233,'RQ2'!$A$2:$A$455,0)))=""),"PENDIENTE","REGISTRADA")</f>
        <v/>
      </c>
      <c r="E233" s="4">
        <f>IF(IF(COUNTIFS('RQ1'!$A$2:$A$455,$A233,'RQ1'!$N$2:$N$455,"")&gt;0,"",INDEX('RQ1'!$N$2:$N$455,MATCH($A233,'RQ1'!$A$2:$A$455,0)))=1,"REVISAR DETALLE","REGISTRADA")</f>
        <v/>
      </c>
      <c r="F233" s="4">
        <f>IF(IF(COUNTIFS('RQ3'!$A$2:$A$455,$A233,'RQ3'!$P$2:$P$455,"")&gt;0,"",INDEX('RQ3'!$P$2:$P$455,MATCH($A233,'RQ3'!$A$2:$A$455,0)))="","NO REGISTRADO",IF(IF(COUNTIFS('RQ3'!$A$2:$A$455,$A233,'RQ3'!$P$2:$P$455,"")&gt;0,"",INDEX('RQ3'!$P$2:$P$455,MATCH($A233,'RQ3'!$A$2:$A$455,0)))=1,"MARCA ACTIVA","SIN MARCA"))</f>
        <v/>
      </c>
      <c r="G233" s="4">
        <f>IF(IF(COUNTIFS('ESTUDIOS'!$A$2:$A$455,$A233,'ESTUDIOS'!$N$2:$N$455,"")&gt;0,"",INDEX('ESTUDIOS'!$N$2:$N$455,MATCH($A233,'ESTUDIOS'!$A$2:$A$455,0)))="Verified","DOCUMENTADA","NO DOCUMENTADA")</f>
        <v/>
      </c>
      <c r="H233" s="4">
        <f>IF(D233="PENDIENTE","Leer evidencia ya extraída; registrar uso propuesto o evaluado, función, fuente y revisor en RQ2.","Comprobar evidencia y cautelas registradas; documentar verificación sin recodificar lo ya respaldado.")</f>
        <v/>
      </c>
      <c r="I233" s="4" t="inlineStr">
        <is>
          <t>https://doi.org/10.1038/s41398-023-02662-5</t>
        </is>
      </c>
    </row>
    <row r="234" ht="64" customHeight="1">
      <c r="A234" s="4" t="inlineStr">
        <is>
          <t>253</t>
        </is>
      </c>
      <c r="B234" s="4" t="inlineStr">
        <is>
          <t>Interpersonal Motor Coordination in Children with Autism and the Establishment of Machine Learning Models to Objectively Classify Children with Autism and Typical Development</t>
        </is>
      </c>
      <c r="C234" s="4">
        <f>IF(IF(COUNTIFS('ESTUDIOS'!$A$2:$A$455,$A234,'ESTUDIOS'!$I$2:$I$455,"")&gt;0,"",INDEX('ESTUDIOS'!$I$2:$I$455,MATCH($A234,'ESTUDIOS'!$A$2:$A$455,0)))=1,"1 - Integrity",IF(OR(IF(COUNTIFS('RQ2'!$A$2:$A$455,$A234,'RQ2'!$D$2:$D$455,"")&gt;0,"",INDEX('RQ2'!$D$2:$D$455,MATCH($A234,'RQ2'!$A$2:$A$455,0)))="",IF(COUNTIFS('RQ2'!$A$2:$A$455,$A234,'RQ2'!$E$2:$E$455,"")&gt;0,"",INDEX('RQ2'!$E$2:$E$455,MATCH($A234,'RQ2'!$A$2:$A$455,0)))=""),"2 - RQ2 historical","3 - Verify recorded evidence"))</f>
        <v/>
      </c>
      <c r="D234" s="4">
        <f>IF(OR(IF(COUNTIFS('RQ2'!$A$2:$A$455,$A234,'RQ2'!$D$2:$D$455,"")&gt;0,"",INDEX('RQ2'!$D$2:$D$455,MATCH($A234,'RQ2'!$A$2:$A$455,0)))="",IF(COUNTIFS('RQ2'!$A$2:$A$455,$A234,'RQ2'!$E$2:$E$455,"")&gt;0,"",INDEX('RQ2'!$E$2:$E$455,MATCH($A234,'RQ2'!$A$2:$A$455,0)))=""),"PENDIENTE","REGISTRADA")</f>
        <v/>
      </c>
      <c r="E234" s="4">
        <f>IF(IF(COUNTIFS('RQ1'!$A$2:$A$455,$A234,'RQ1'!$N$2:$N$455,"")&gt;0,"",INDEX('RQ1'!$N$2:$N$455,MATCH($A234,'RQ1'!$A$2:$A$455,0)))=1,"REVISAR DETALLE","REGISTRADA")</f>
        <v/>
      </c>
      <c r="F234" s="4">
        <f>IF(IF(COUNTIFS('RQ3'!$A$2:$A$455,$A234,'RQ3'!$P$2:$P$455,"")&gt;0,"",INDEX('RQ3'!$P$2:$P$455,MATCH($A234,'RQ3'!$A$2:$A$455,0)))="","NO REGISTRADO",IF(IF(COUNTIFS('RQ3'!$A$2:$A$455,$A234,'RQ3'!$P$2:$P$455,"")&gt;0,"",INDEX('RQ3'!$P$2:$P$455,MATCH($A234,'RQ3'!$A$2:$A$455,0)))=1,"MARCA ACTIVA","SIN MARCA"))</f>
        <v/>
      </c>
      <c r="G234" s="4">
        <f>IF(IF(COUNTIFS('ESTUDIOS'!$A$2:$A$455,$A234,'ESTUDIOS'!$N$2:$N$455,"")&gt;0,"",INDEX('ESTUDIOS'!$N$2:$N$455,MATCH($A234,'ESTUDIOS'!$A$2:$A$455,0)))="Verified","DOCUMENTADA","NO DOCUMENTADA")</f>
        <v/>
      </c>
      <c r="H234" s="4">
        <f>IF(D234="PENDIENTE","Leer evidencia ya extraída; registrar uso propuesto o evaluado, función, fuente y revisor en RQ2.","Comprobar evidencia y cautelas registradas; documentar verificación sin recodificar lo ya respaldado.")</f>
        <v/>
      </c>
      <c r="I234" s="4" t="inlineStr">
        <is>
          <t>https://doi.org/10.1016/j.irbm.2024.100838</t>
        </is>
      </c>
    </row>
    <row r="235" ht="64" customHeight="1">
      <c r="A235" s="4" t="inlineStr">
        <is>
          <t>254</t>
        </is>
      </c>
      <c r="B235" s="4" t="inlineStr">
        <is>
          <t>Low-Rank Representation for Multi-center Autism Spectrum Disorder Identification.</t>
        </is>
      </c>
      <c r="C235" s="4">
        <f>IF(IF(COUNTIFS('ESTUDIOS'!$A$2:$A$455,$A235,'ESTUDIOS'!$I$2:$I$455,"")&gt;0,"",INDEX('ESTUDIOS'!$I$2:$I$455,MATCH($A235,'ESTUDIOS'!$A$2:$A$455,0)))=1,"1 - Integrity",IF(OR(IF(COUNTIFS('RQ2'!$A$2:$A$455,$A235,'RQ2'!$D$2:$D$455,"")&gt;0,"",INDEX('RQ2'!$D$2:$D$455,MATCH($A235,'RQ2'!$A$2:$A$455,0)))="",IF(COUNTIFS('RQ2'!$A$2:$A$455,$A235,'RQ2'!$E$2:$E$455,"")&gt;0,"",INDEX('RQ2'!$E$2:$E$455,MATCH($A235,'RQ2'!$A$2:$A$455,0)))=""),"2 - RQ2 historical","3 - Verify recorded evidence"))</f>
        <v/>
      </c>
      <c r="D235" s="4">
        <f>IF(OR(IF(COUNTIFS('RQ2'!$A$2:$A$455,$A235,'RQ2'!$D$2:$D$455,"")&gt;0,"",INDEX('RQ2'!$D$2:$D$455,MATCH($A235,'RQ2'!$A$2:$A$455,0)))="",IF(COUNTIFS('RQ2'!$A$2:$A$455,$A235,'RQ2'!$E$2:$E$455,"")&gt;0,"",INDEX('RQ2'!$E$2:$E$455,MATCH($A235,'RQ2'!$A$2:$A$455,0)))=""),"PENDIENTE","REGISTRADA")</f>
        <v/>
      </c>
      <c r="E235" s="4">
        <f>IF(IF(COUNTIFS('RQ1'!$A$2:$A$455,$A235,'RQ1'!$N$2:$N$455,"")&gt;0,"",INDEX('RQ1'!$N$2:$N$455,MATCH($A235,'RQ1'!$A$2:$A$455,0)))=1,"REVISAR DETALLE","REGISTRADA")</f>
        <v/>
      </c>
      <c r="F235" s="4">
        <f>IF(IF(COUNTIFS('RQ3'!$A$2:$A$455,$A235,'RQ3'!$P$2:$P$455,"")&gt;0,"",INDEX('RQ3'!$P$2:$P$455,MATCH($A235,'RQ3'!$A$2:$A$455,0)))="","NO REGISTRADO",IF(IF(COUNTIFS('RQ3'!$A$2:$A$455,$A235,'RQ3'!$P$2:$P$455,"")&gt;0,"",INDEX('RQ3'!$P$2:$P$455,MATCH($A235,'RQ3'!$A$2:$A$455,0)))=1,"MARCA ACTIVA","SIN MARCA"))</f>
        <v/>
      </c>
      <c r="G235" s="4">
        <f>IF(IF(COUNTIFS('ESTUDIOS'!$A$2:$A$455,$A235,'ESTUDIOS'!$N$2:$N$455,"")&gt;0,"",INDEX('ESTUDIOS'!$N$2:$N$455,MATCH($A235,'ESTUDIOS'!$A$2:$A$455,0)))="Verified","DOCUMENTADA","NO DOCUMENTADA")</f>
        <v/>
      </c>
      <c r="H235" s="4">
        <f>IF(D235="PENDIENTE","Leer evidencia ya extraída; registrar uso propuesto o evaluado, función, fuente y revisor en RQ2.","Comprobar evidencia y cautelas registradas; documentar verificación sin recodificar lo ya respaldado.")</f>
        <v/>
      </c>
      <c r="I235" s="4" t="inlineStr">
        <is>
          <t>https://doi.org/10.1007/978-3-030-00928-1_73</t>
        </is>
      </c>
    </row>
    <row r="236" ht="64" customHeight="1">
      <c r="A236" s="4" t="inlineStr">
        <is>
          <t>255</t>
        </is>
      </c>
      <c r="B236" s="4" t="inlineStr">
        <is>
          <t>LSTA-CNN: A Lightweight Spatiotemporal Attention-Based Convolutional Neural Network for ASD Diagnosis Using EEG</t>
        </is>
      </c>
      <c r="C236" s="4">
        <f>IF(IF(COUNTIFS('ESTUDIOS'!$A$2:$A$455,$A236,'ESTUDIOS'!$I$2:$I$455,"")&gt;0,"",INDEX('ESTUDIOS'!$I$2:$I$455,MATCH($A236,'ESTUDIOS'!$A$2:$A$455,0)))=1,"1 - Integrity",IF(OR(IF(COUNTIFS('RQ2'!$A$2:$A$455,$A236,'RQ2'!$D$2:$D$455,"")&gt;0,"",INDEX('RQ2'!$D$2:$D$455,MATCH($A236,'RQ2'!$A$2:$A$455,0)))="",IF(COUNTIFS('RQ2'!$A$2:$A$455,$A236,'RQ2'!$E$2:$E$455,"")&gt;0,"",INDEX('RQ2'!$E$2:$E$455,MATCH($A236,'RQ2'!$A$2:$A$455,0)))=""),"2 - RQ2 historical","3 - Verify recorded evidence"))</f>
        <v/>
      </c>
      <c r="D236" s="4">
        <f>IF(OR(IF(COUNTIFS('RQ2'!$A$2:$A$455,$A236,'RQ2'!$D$2:$D$455,"")&gt;0,"",INDEX('RQ2'!$D$2:$D$455,MATCH($A236,'RQ2'!$A$2:$A$455,0)))="",IF(COUNTIFS('RQ2'!$A$2:$A$455,$A236,'RQ2'!$E$2:$E$455,"")&gt;0,"",INDEX('RQ2'!$E$2:$E$455,MATCH($A236,'RQ2'!$A$2:$A$455,0)))=""),"PENDIENTE","REGISTRADA")</f>
        <v/>
      </c>
      <c r="E236" s="4">
        <f>IF(IF(COUNTIFS('RQ1'!$A$2:$A$455,$A236,'RQ1'!$N$2:$N$455,"")&gt;0,"",INDEX('RQ1'!$N$2:$N$455,MATCH($A236,'RQ1'!$A$2:$A$455,0)))=1,"REVISAR DETALLE","REGISTRADA")</f>
        <v/>
      </c>
      <c r="F236" s="4">
        <f>IF(IF(COUNTIFS('RQ3'!$A$2:$A$455,$A236,'RQ3'!$P$2:$P$455,"")&gt;0,"",INDEX('RQ3'!$P$2:$P$455,MATCH($A236,'RQ3'!$A$2:$A$455,0)))="","NO REGISTRADO",IF(IF(COUNTIFS('RQ3'!$A$2:$A$455,$A236,'RQ3'!$P$2:$P$455,"")&gt;0,"",INDEX('RQ3'!$P$2:$P$455,MATCH($A236,'RQ3'!$A$2:$A$455,0)))=1,"MARCA ACTIVA","SIN MARCA"))</f>
        <v/>
      </c>
      <c r="G236" s="4">
        <f>IF(IF(COUNTIFS('ESTUDIOS'!$A$2:$A$455,$A236,'ESTUDIOS'!$N$2:$N$455,"")&gt;0,"",INDEX('ESTUDIOS'!$N$2:$N$455,MATCH($A236,'ESTUDIOS'!$A$2:$A$455,0)))="Verified","DOCUMENTADA","NO DOCUMENTADA")</f>
        <v/>
      </c>
      <c r="H236" s="4">
        <f>IF(D236="PENDIENTE","Leer evidencia ya extraída; registrar uso propuesto o evaluado, función, fuente y revisor en RQ2.","Comprobar evidencia y cautelas registradas; documentar verificación sin recodificar lo ya respaldado.")</f>
        <v/>
      </c>
      <c r="I236" s="4" t="inlineStr">
        <is>
          <t>https://doi.org/10.1109/tnsre.2025.3580593</t>
        </is>
      </c>
    </row>
    <row r="237" ht="64" customHeight="1">
      <c r="A237" s="4" t="inlineStr">
        <is>
          <t>256</t>
        </is>
      </c>
      <c r="B237" s="4" t="inlineStr">
        <is>
          <t>Machine learning methods for autism spectrum disorder classification</t>
        </is>
      </c>
      <c r="C237" s="4">
        <f>IF(IF(COUNTIFS('ESTUDIOS'!$A$2:$A$455,$A237,'ESTUDIOS'!$I$2:$I$455,"")&gt;0,"",INDEX('ESTUDIOS'!$I$2:$I$455,MATCH($A237,'ESTUDIOS'!$A$2:$A$455,0)))=1,"1 - Integrity",IF(OR(IF(COUNTIFS('RQ2'!$A$2:$A$455,$A237,'RQ2'!$D$2:$D$455,"")&gt;0,"",INDEX('RQ2'!$D$2:$D$455,MATCH($A237,'RQ2'!$A$2:$A$455,0)))="",IF(COUNTIFS('RQ2'!$A$2:$A$455,$A237,'RQ2'!$E$2:$E$455,"")&gt;0,"",INDEX('RQ2'!$E$2:$E$455,MATCH($A237,'RQ2'!$A$2:$A$455,0)))=""),"2 - RQ2 historical","3 - Verify recorded evidence"))</f>
        <v/>
      </c>
      <c r="D237" s="4">
        <f>IF(OR(IF(COUNTIFS('RQ2'!$A$2:$A$455,$A237,'RQ2'!$D$2:$D$455,"")&gt;0,"",INDEX('RQ2'!$D$2:$D$455,MATCH($A237,'RQ2'!$A$2:$A$455,0)))="",IF(COUNTIFS('RQ2'!$A$2:$A$455,$A237,'RQ2'!$E$2:$E$455,"")&gt;0,"",INDEX('RQ2'!$E$2:$E$455,MATCH($A237,'RQ2'!$A$2:$A$455,0)))=""),"PENDIENTE","REGISTRADA")</f>
        <v/>
      </c>
      <c r="E237" s="4">
        <f>IF(IF(COUNTIFS('RQ1'!$A$2:$A$455,$A237,'RQ1'!$N$2:$N$455,"")&gt;0,"",INDEX('RQ1'!$N$2:$N$455,MATCH($A237,'RQ1'!$A$2:$A$455,0)))=1,"REVISAR DETALLE","REGISTRADA")</f>
        <v/>
      </c>
      <c r="F237" s="4">
        <f>IF(IF(COUNTIFS('RQ3'!$A$2:$A$455,$A237,'RQ3'!$P$2:$P$455,"")&gt;0,"",INDEX('RQ3'!$P$2:$P$455,MATCH($A237,'RQ3'!$A$2:$A$455,0)))="","NO REGISTRADO",IF(IF(COUNTIFS('RQ3'!$A$2:$A$455,$A237,'RQ3'!$P$2:$P$455,"")&gt;0,"",INDEX('RQ3'!$P$2:$P$455,MATCH($A237,'RQ3'!$A$2:$A$455,0)))=1,"MARCA ACTIVA","SIN MARCA"))</f>
        <v/>
      </c>
      <c r="G237" s="4">
        <f>IF(IF(COUNTIFS('ESTUDIOS'!$A$2:$A$455,$A237,'ESTUDIOS'!$N$2:$N$455,"")&gt;0,"",INDEX('ESTUDIOS'!$N$2:$N$455,MATCH($A237,'ESTUDIOS'!$A$2:$A$455,0)))="Verified","DOCUMENTADA","NO DOCUMENTADA")</f>
        <v/>
      </c>
      <c r="H237" s="4">
        <f>IF(D237="PENDIENTE","Leer evidencia ya extraída; registrar uso propuesto o evaluado, función, fuente y revisor en RQ2.","Comprobar evidencia y cautelas registradas; documentar verificación sin recodificar lo ya respaldado.")</f>
        <v/>
      </c>
      <c r="I237" s="4" t="inlineStr">
        <is>
          <t>https://doi.org/10.1016/b978-0-12-822822-7.00008-9</t>
        </is>
      </c>
    </row>
    <row r="238" ht="64" customHeight="1">
      <c r="A238" s="4" t="inlineStr">
        <is>
          <t>258</t>
        </is>
      </c>
      <c r="B238" s="4" t="inlineStr">
        <is>
          <t>MDNCT: a multi-domain neurocognitive transformer architecture approach for early prediction of autism spectrum disorders</t>
        </is>
      </c>
      <c r="C238" s="4">
        <f>IF(IF(COUNTIFS('ESTUDIOS'!$A$2:$A$455,$A238,'ESTUDIOS'!$I$2:$I$455,"")&gt;0,"",INDEX('ESTUDIOS'!$I$2:$I$455,MATCH($A238,'ESTUDIOS'!$A$2:$A$455,0)))=1,"1 - Integrity",IF(OR(IF(COUNTIFS('RQ2'!$A$2:$A$455,$A238,'RQ2'!$D$2:$D$455,"")&gt;0,"",INDEX('RQ2'!$D$2:$D$455,MATCH($A238,'RQ2'!$A$2:$A$455,0)))="",IF(COUNTIFS('RQ2'!$A$2:$A$455,$A238,'RQ2'!$E$2:$E$455,"")&gt;0,"",INDEX('RQ2'!$E$2:$E$455,MATCH($A238,'RQ2'!$A$2:$A$455,0)))=""),"2 - RQ2 historical","3 - Verify recorded evidence"))</f>
        <v/>
      </c>
      <c r="D238" s="4">
        <f>IF(OR(IF(COUNTIFS('RQ2'!$A$2:$A$455,$A238,'RQ2'!$D$2:$D$455,"")&gt;0,"",INDEX('RQ2'!$D$2:$D$455,MATCH($A238,'RQ2'!$A$2:$A$455,0)))="",IF(COUNTIFS('RQ2'!$A$2:$A$455,$A238,'RQ2'!$E$2:$E$455,"")&gt;0,"",INDEX('RQ2'!$E$2:$E$455,MATCH($A238,'RQ2'!$A$2:$A$455,0)))=""),"PENDIENTE","REGISTRADA")</f>
        <v/>
      </c>
      <c r="E238" s="4">
        <f>IF(IF(COUNTIFS('RQ1'!$A$2:$A$455,$A238,'RQ1'!$N$2:$N$455,"")&gt;0,"",INDEX('RQ1'!$N$2:$N$455,MATCH($A238,'RQ1'!$A$2:$A$455,0)))=1,"REVISAR DETALLE","REGISTRADA")</f>
        <v/>
      </c>
      <c r="F238" s="4">
        <f>IF(IF(COUNTIFS('RQ3'!$A$2:$A$455,$A238,'RQ3'!$P$2:$P$455,"")&gt;0,"",INDEX('RQ3'!$P$2:$P$455,MATCH($A238,'RQ3'!$A$2:$A$455,0)))="","NO REGISTRADO",IF(IF(COUNTIFS('RQ3'!$A$2:$A$455,$A238,'RQ3'!$P$2:$P$455,"")&gt;0,"",INDEX('RQ3'!$P$2:$P$455,MATCH($A238,'RQ3'!$A$2:$A$455,0)))=1,"MARCA ACTIVA","SIN MARCA"))</f>
        <v/>
      </c>
      <c r="G238" s="4">
        <f>IF(IF(COUNTIFS('ESTUDIOS'!$A$2:$A$455,$A238,'ESTUDIOS'!$N$2:$N$455,"")&gt;0,"",INDEX('ESTUDIOS'!$N$2:$N$455,MATCH($A238,'ESTUDIOS'!$A$2:$A$455,0)))="Verified","DOCUMENTADA","NO DOCUMENTADA")</f>
        <v/>
      </c>
      <c r="H238" s="4">
        <f>IF(D238="PENDIENTE","Leer evidencia ya extraída; registrar uso propuesto o evaluado, función, fuente y revisor en RQ2.","Comprobar evidencia y cautelas registradas; documentar verificación sin recodificar lo ya respaldado.")</f>
        <v/>
      </c>
      <c r="I238" s="4" t="inlineStr">
        <is>
          <t>https://doi.org/10.1038/s41598-025-09862-7</t>
        </is>
      </c>
    </row>
    <row r="239" ht="64" customHeight="1">
      <c r="A239" s="4" t="inlineStr">
        <is>
          <t>259</t>
        </is>
      </c>
      <c r="B239" s="4" t="inlineStr">
        <is>
          <t>MHATC: Autism Spectrum Disorder Identification Utilizing Multi-Head Attention Encoder Along with Temporal Consolidation Modules</t>
        </is>
      </c>
      <c r="C239" s="4">
        <f>IF(IF(COUNTIFS('ESTUDIOS'!$A$2:$A$455,$A239,'ESTUDIOS'!$I$2:$I$455,"")&gt;0,"",INDEX('ESTUDIOS'!$I$2:$I$455,MATCH($A239,'ESTUDIOS'!$A$2:$A$455,0)))=1,"1 - Integrity",IF(OR(IF(COUNTIFS('RQ2'!$A$2:$A$455,$A239,'RQ2'!$D$2:$D$455,"")&gt;0,"",INDEX('RQ2'!$D$2:$D$455,MATCH($A239,'RQ2'!$A$2:$A$455,0)))="",IF(COUNTIFS('RQ2'!$A$2:$A$455,$A239,'RQ2'!$E$2:$E$455,"")&gt;0,"",INDEX('RQ2'!$E$2:$E$455,MATCH($A239,'RQ2'!$A$2:$A$455,0)))=""),"2 - RQ2 historical","3 - Verify recorded evidence"))</f>
        <v/>
      </c>
      <c r="D239" s="4">
        <f>IF(OR(IF(COUNTIFS('RQ2'!$A$2:$A$455,$A239,'RQ2'!$D$2:$D$455,"")&gt;0,"",INDEX('RQ2'!$D$2:$D$455,MATCH($A239,'RQ2'!$A$2:$A$455,0)))="",IF(COUNTIFS('RQ2'!$A$2:$A$455,$A239,'RQ2'!$E$2:$E$455,"")&gt;0,"",INDEX('RQ2'!$E$2:$E$455,MATCH($A239,'RQ2'!$A$2:$A$455,0)))=""),"PENDIENTE","REGISTRADA")</f>
        <v/>
      </c>
      <c r="E239" s="4">
        <f>IF(IF(COUNTIFS('RQ1'!$A$2:$A$455,$A239,'RQ1'!$N$2:$N$455,"")&gt;0,"",INDEX('RQ1'!$N$2:$N$455,MATCH($A239,'RQ1'!$A$2:$A$455,0)))=1,"REVISAR DETALLE","REGISTRADA")</f>
        <v/>
      </c>
      <c r="F239" s="4">
        <f>IF(IF(COUNTIFS('RQ3'!$A$2:$A$455,$A239,'RQ3'!$P$2:$P$455,"")&gt;0,"",INDEX('RQ3'!$P$2:$P$455,MATCH($A239,'RQ3'!$A$2:$A$455,0)))="","NO REGISTRADO",IF(IF(COUNTIFS('RQ3'!$A$2:$A$455,$A239,'RQ3'!$P$2:$P$455,"")&gt;0,"",INDEX('RQ3'!$P$2:$P$455,MATCH($A239,'RQ3'!$A$2:$A$455,0)))=1,"MARCA ACTIVA","SIN MARCA"))</f>
        <v/>
      </c>
      <c r="G239" s="4">
        <f>IF(IF(COUNTIFS('ESTUDIOS'!$A$2:$A$455,$A239,'ESTUDIOS'!$N$2:$N$455,"")&gt;0,"",INDEX('ESTUDIOS'!$N$2:$N$455,MATCH($A239,'ESTUDIOS'!$A$2:$A$455,0)))="Verified","DOCUMENTADA","NO DOCUMENTADA")</f>
        <v/>
      </c>
      <c r="H239" s="4">
        <f>IF(D239="PENDIENTE","Leer evidencia ya extraída; registrar uso propuesto o evaluado, función, fuente y revisor en RQ2.","Comprobar evidencia y cautelas registradas; documentar verificación sin recodificar lo ya respaldado.")</f>
        <v/>
      </c>
      <c r="I239" s="4" t="inlineStr">
        <is>
          <t>https://doi.org/10.1109/embc48229.2022.9871130</t>
        </is>
      </c>
    </row>
    <row r="240" ht="64" customHeight="1">
      <c r="A240" s="4" t="inlineStr">
        <is>
          <t>260</t>
        </is>
      </c>
      <c r="B240" s="4" t="inlineStr">
        <is>
          <t>Multi-atlas Representations Based on\&amp;#xa0;Graph Convolutional Networks for\&amp;#xa0;Autism Spectrum Disorder Diagnosis</t>
        </is>
      </c>
      <c r="C240" s="4">
        <f>IF(IF(COUNTIFS('ESTUDIOS'!$A$2:$A$455,$A240,'ESTUDIOS'!$I$2:$I$455,"")&gt;0,"",INDEX('ESTUDIOS'!$I$2:$I$455,MATCH($A240,'ESTUDIOS'!$A$2:$A$455,0)))=1,"1 - Integrity",IF(OR(IF(COUNTIFS('RQ2'!$A$2:$A$455,$A240,'RQ2'!$D$2:$D$455,"")&gt;0,"",INDEX('RQ2'!$D$2:$D$455,MATCH($A240,'RQ2'!$A$2:$A$455,0)))="",IF(COUNTIFS('RQ2'!$A$2:$A$455,$A240,'RQ2'!$E$2:$E$455,"")&gt;0,"",INDEX('RQ2'!$E$2:$E$455,MATCH($A240,'RQ2'!$A$2:$A$455,0)))=""),"2 - RQ2 historical","3 - Verify recorded evidence"))</f>
        <v/>
      </c>
      <c r="D240" s="4">
        <f>IF(OR(IF(COUNTIFS('RQ2'!$A$2:$A$455,$A240,'RQ2'!$D$2:$D$455,"")&gt;0,"",INDEX('RQ2'!$D$2:$D$455,MATCH($A240,'RQ2'!$A$2:$A$455,0)))="",IF(COUNTIFS('RQ2'!$A$2:$A$455,$A240,'RQ2'!$E$2:$E$455,"")&gt;0,"",INDEX('RQ2'!$E$2:$E$455,MATCH($A240,'RQ2'!$A$2:$A$455,0)))=""),"PENDIENTE","REGISTRADA")</f>
        <v/>
      </c>
      <c r="E240" s="4">
        <f>IF(IF(COUNTIFS('RQ1'!$A$2:$A$455,$A240,'RQ1'!$N$2:$N$455,"")&gt;0,"",INDEX('RQ1'!$N$2:$N$455,MATCH($A240,'RQ1'!$A$2:$A$455,0)))=1,"REVISAR DETALLE","REGISTRADA")</f>
        <v/>
      </c>
      <c r="F240" s="4">
        <f>IF(IF(COUNTIFS('RQ3'!$A$2:$A$455,$A240,'RQ3'!$P$2:$P$455,"")&gt;0,"",INDEX('RQ3'!$P$2:$P$455,MATCH($A240,'RQ3'!$A$2:$A$455,0)))="","NO REGISTRADO",IF(IF(COUNTIFS('RQ3'!$A$2:$A$455,$A240,'RQ3'!$P$2:$P$455,"")&gt;0,"",INDEX('RQ3'!$P$2:$P$455,MATCH($A240,'RQ3'!$A$2:$A$455,0)))=1,"MARCA ACTIVA","SIN MARCA"))</f>
        <v/>
      </c>
      <c r="G240" s="4">
        <f>IF(IF(COUNTIFS('ESTUDIOS'!$A$2:$A$455,$A240,'ESTUDIOS'!$N$2:$N$455,"")&gt;0,"",INDEX('ESTUDIOS'!$N$2:$N$455,MATCH($A240,'ESTUDIOS'!$A$2:$A$455,0)))="Verified","DOCUMENTADA","NO DOCUMENTADA")</f>
        <v/>
      </c>
      <c r="H240" s="4">
        <f>IF(D240="PENDIENTE","Leer evidencia ya extraída; registrar uso propuesto o evaluado, función, fuente y revisor en RQ2.","Comprobar evidencia y cautelas registradas; documentar verificación sin recodificar lo ya respaldado.")</f>
        <v/>
      </c>
      <c r="I240" s="4" t="inlineStr">
        <is>
          <t>https://doi.org/10.1007/978-981-99-8558-6_38</t>
        </is>
      </c>
    </row>
    <row r="241" ht="64" customHeight="1">
      <c r="A241" s="4" t="inlineStr">
        <is>
          <t>261</t>
        </is>
      </c>
      <c r="B241" s="4" t="inlineStr">
        <is>
          <t>Multiple Classification of Brain MRI Autism Spectrum Disorder by Age and Gender Using Deep Learning</t>
        </is>
      </c>
      <c r="C241" s="4">
        <f>IF(IF(COUNTIFS('ESTUDIOS'!$A$2:$A$455,$A241,'ESTUDIOS'!$I$2:$I$455,"")&gt;0,"",INDEX('ESTUDIOS'!$I$2:$I$455,MATCH($A241,'ESTUDIOS'!$A$2:$A$455,0)))=1,"1 - Integrity",IF(OR(IF(COUNTIFS('RQ2'!$A$2:$A$455,$A241,'RQ2'!$D$2:$D$455,"")&gt;0,"",INDEX('RQ2'!$D$2:$D$455,MATCH($A241,'RQ2'!$A$2:$A$455,0)))="",IF(COUNTIFS('RQ2'!$A$2:$A$455,$A241,'RQ2'!$E$2:$E$455,"")&gt;0,"",INDEX('RQ2'!$E$2:$E$455,MATCH($A241,'RQ2'!$A$2:$A$455,0)))=""),"2 - RQ2 historical","3 - Verify recorded evidence"))</f>
        <v/>
      </c>
      <c r="D241" s="4">
        <f>IF(OR(IF(COUNTIFS('RQ2'!$A$2:$A$455,$A241,'RQ2'!$D$2:$D$455,"")&gt;0,"",INDEX('RQ2'!$D$2:$D$455,MATCH($A241,'RQ2'!$A$2:$A$455,0)))="",IF(COUNTIFS('RQ2'!$A$2:$A$455,$A241,'RQ2'!$E$2:$E$455,"")&gt;0,"",INDEX('RQ2'!$E$2:$E$455,MATCH($A241,'RQ2'!$A$2:$A$455,0)))=""),"PENDIENTE","REGISTRADA")</f>
        <v/>
      </c>
      <c r="E241" s="4">
        <f>IF(IF(COUNTIFS('RQ1'!$A$2:$A$455,$A241,'RQ1'!$N$2:$N$455,"")&gt;0,"",INDEX('RQ1'!$N$2:$N$455,MATCH($A241,'RQ1'!$A$2:$A$455,0)))=1,"REVISAR DETALLE","REGISTRADA")</f>
        <v/>
      </c>
      <c r="F241" s="4">
        <f>IF(IF(COUNTIFS('RQ3'!$A$2:$A$455,$A241,'RQ3'!$P$2:$P$455,"")&gt;0,"",INDEX('RQ3'!$P$2:$P$455,MATCH($A241,'RQ3'!$A$2:$A$455,0)))="","NO REGISTRADO",IF(IF(COUNTIFS('RQ3'!$A$2:$A$455,$A241,'RQ3'!$P$2:$P$455,"")&gt;0,"",INDEX('RQ3'!$P$2:$P$455,MATCH($A241,'RQ3'!$A$2:$A$455,0)))=1,"MARCA ACTIVA","SIN MARCA"))</f>
        <v/>
      </c>
      <c r="G241" s="4">
        <f>IF(IF(COUNTIFS('ESTUDIOS'!$A$2:$A$455,$A241,'ESTUDIOS'!$N$2:$N$455,"")&gt;0,"",INDEX('ESTUDIOS'!$N$2:$N$455,MATCH($A241,'ESTUDIOS'!$A$2:$A$455,0)))="Verified","DOCUMENTADA","NO DOCUMENTADA")</f>
        <v/>
      </c>
      <c r="H241" s="4">
        <f>IF(D241="PENDIENTE","Leer evidencia ya extraída; registrar uso propuesto o evaluado, función, fuente y revisor en RQ2.","Comprobar evidencia y cautelas registradas; documentar verificación sin recodificar lo ya respaldado.")</f>
        <v/>
      </c>
      <c r="I241" s="4" t="inlineStr">
        <is>
          <t>https://doi.org/10.1007/s10916-023-02032-0</t>
        </is>
      </c>
    </row>
    <row r="242" ht="64" customHeight="1">
      <c r="A242" s="4" t="inlineStr">
        <is>
          <t>262</t>
        </is>
      </c>
      <c r="B242" s="4" t="inlineStr">
        <is>
          <t>MVS-GCN: A prior brain structure learning-guided multi-view graph convolution network for autism spectrum disorder diagnosis</t>
        </is>
      </c>
      <c r="C242" s="4">
        <f>IF(IF(COUNTIFS('ESTUDIOS'!$A$2:$A$455,$A242,'ESTUDIOS'!$I$2:$I$455,"")&gt;0,"",INDEX('ESTUDIOS'!$I$2:$I$455,MATCH($A242,'ESTUDIOS'!$A$2:$A$455,0)))=1,"1 - Integrity",IF(OR(IF(COUNTIFS('RQ2'!$A$2:$A$455,$A242,'RQ2'!$D$2:$D$455,"")&gt;0,"",INDEX('RQ2'!$D$2:$D$455,MATCH($A242,'RQ2'!$A$2:$A$455,0)))="",IF(COUNTIFS('RQ2'!$A$2:$A$455,$A242,'RQ2'!$E$2:$E$455,"")&gt;0,"",INDEX('RQ2'!$E$2:$E$455,MATCH($A242,'RQ2'!$A$2:$A$455,0)))=""),"2 - RQ2 historical","3 - Verify recorded evidence"))</f>
        <v/>
      </c>
      <c r="D242" s="4">
        <f>IF(OR(IF(COUNTIFS('RQ2'!$A$2:$A$455,$A242,'RQ2'!$D$2:$D$455,"")&gt;0,"",INDEX('RQ2'!$D$2:$D$455,MATCH($A242,'RQ2'!$A$2:$A$455,0)))="",IF(COUNTIFS('RQ2'!$A$2:$A$455,$A242,'RQ2'!$E$2:$E$455,"")&gt;0,"",INDEX('RQ2'!$E$2:$E$455,MATCH($A242,'RQ2'!$A$2:$A$455,0)))=""),"PENDIENTE","REGISTRADA")</f>
        <v/>
      </c>
      <c r="E242" s="4">
        <f>IF(IF(COUNTIFS('RQ1'!$A$2:$A$455,$A242,'RQ1'!$N$2:$N$455,"")&gt;0,"",INDEX('RQ1'!$N$2:$N$455,MATCH($A242,'RQ1'!$A$2:$A$455,0)))=1,"REVISAR DETALLE","REGISTRADA")</f>
        <v/>
      </c>
      <c r="F242" s="4">
        <f>IF(IF(COUNTIFS('RQ3'!$A$2:$A$455,$A242,'RQ3'!$P$2:$P$455,"")&gt;0,"",INDEX('RQ3'!$P$2:$P$455,MATCH($A242,'RQ3'!$A$2:$A$455,0)))="","NO REGISTRADO",IF(IF(COUNTIFS('RQ3'!$A$2:$A$455,$A242,'RQ3'!$P$2:$P$455,"")&gt;0,"",INDEX('RQ3'!$P$2:$P$455,MATCH($A242,'RQ3'!$A$2:$A$455,0)))=1,"MARCA ACTIVA","SIN MARCA"))</f>
        <v/>
      </c>
      <c r="G242" s="4">
        <f>IF(IF(COUNTIFS('ESTUDIOS'!$A$2:$A$455,$A242,'ESTUDIOS'!$N$2:$N$455,"")&gt;0,"",INDEX('ESTUDIOS'!$N$2:$N$455,MATCH($A242,'ESTUDIOS'!$A$2:$A$455,0)))="Verified","DOCUMENTADA","NO DOCUMENTADA")</f>
        <v/>
      </c>
      <c r="H242" s="4">
        <f>IF(D242="PENDIENTE","Leer evidencia ya extraída; registrar uso propuesto o evaluado, función, fuente y revisor en RQ2.","Comprobar evidencia y cautelas registradas; documentar verificación sin recodificar lo ya respaldado.")</f>
        <v/>
      </c>
      <c r="I242" s="4" t="inlineStr">
        <is>
          <t>https://doi.org/10.1016/j.compbiomed.2022.105239</t>
        </is>
      </c>
    </row>
    <row r="243" ht="64" customHeight="1">
      <c r="A243" s="4" t="inlineStr">
        <is>
          <t>263</t>
        </is>
      </c>
      <c r="B243" s="4" t="inlineStr">
        <is>
          <t>Neurodevelopmental model of schizophrenia revisited: similarity in individual deviation and idiosyncrasy from the normative model of whole-brain white matter tracts and shared brain-cognition covariation with ADHD and ASD</t>
        </is>
      </c>
      <c r="C243" s="4">
        <f>IF(IF(COUNTIFS('ESTUDIOS'!$A$2:$A$455,$A243,'ESTUDIOS'!$I$2:$I$455,"")&gt;0,"",INDEX('ESTUDIOS'!$I$2:$I$455,MATCH($A243,'ESTUDIOS'!$A$2:$A$455,0)))=1,"1 - Integrity",IF(OR(IF(COUNTIFS('RQ2'!$A$2:$A$455,$A243,'RQ2'!$D$2:$D$455,"")&gt;0,"",INDEX('RQ2'!$D$2:$D$455,MATCH($A243,'RQ2'!$A$2:$A$455,0)))="",IF(COUNTIFS('RQ2'!$A$2:$A$455,$A243,'RQ2'!$E$2:$E$455,"")&gt;0,"",INDEX('RQ2'!$E$2:$E$455,MATCH($A243,'RQ2'!$A$2:$A$455,0)))=""),"2 - RQ2 historical","3 - Verify recorded evidence"))</f>
        <v/>
      </c>
      <c r="D243" s="4">
        <f>IF(OR(IF(COUNTIFS('RQ2'!$A$2:$A$455,$A243,'RQ2'!$D$2:$D$455,"")&gt;0,"",INDEX('RQ2'!$D$2:$D$455,MATCH($A243,'RQ2'!$A$2:$A$455,0)))="",IF(COUNTIFS('RQ2'!$A$2:$A$455,$A243,'RQ2'!$E$2:$E$455,"")&gt;0,"",INDEX('RQ2'!$E$2:$E$455,MATCH($A243,'RQ2'!$A$2:$A$455,0)))=""),"PENDIENTE","REGISTRADA")</f>
        <v/>
      </c>
      <c r="E243" s="4">
        <f>IF(IF(COUNTIFS('RQ1'!$A$2:$A$455,$A243,'RQ1'!$N$2:$N$455,"")&gt;0,"",INDEX('RQ1'!$N$2:$N$455,MATCH($A243,'RQ1'!$A$2:$A$455,0)))=1,"REVISAR DETALLE","REGISTRADA")</f>
        <v/>
      </c>
      <c r="F243" s="4">
        <f>IF(IF(COUNTIFS('RQ3'!$A$2:$A$455,$A243,'RQ3'!$P$2:$P$455,"")&gt;0,"",INDEX('RQ3'!$P$2:$P$455,MATCH($A243,'RQ3'!$A$2:$A$455,0)))="","NO REGISTRADO",IF(IF(COUNTIFS('RQ3'!$A$2:$A$455,$A243,'RQ3'!$P$2:$P$455,"")&gt;0,"",INDEX('RQ3'!$P$2:$P$455,MATCH($A243,'RQ3'!$A$2:$A$455,0)))=1,"MARCA ACTIVA","SIN MARCA"))</f>
        <v/>
      </c>
      <c r="G243" s="4">
        <f>IF(IF(COUNTIFS('ESTUDIOS'!$A$2:$A$455,$A243,'ESTUDIOS'!$N$2:$N$455,"")&gt;0,"",INDEX('ESTUDIOS'!$N$2:$N$455,MATCH($A243,'ESTUDIOS'!$A$2:$A$455,0)))="Verified","DOCUMENTADA","NO DOCUMENTADA")</f>
        <v/>
      </c>
      <c r="H243" s="4">
        <f>IF(D243="PENDIENTE","Leer evidencia ya extraída; registrar uso propuesto o evaluado, función, fuente y revisor en RQ2.","Comprobar evidencia y cautelas registradas; documentar verificación sin recodificar lo ya respaldado.")</f>
        <v/>
      </c>
      <c r="I243" s="4" t="inlineStr">
        <is>
          <t>https://doi.org/10.1038/s41380-022-01636-1</t>
        </is>
      </c>
    </row>
    <row r="244" ht="64" customHeight="1">
      <c r="A244" s="4" t="inlineStr">
        <is>
          <t>264</t>
        </is>
      </c>
      <c r="B244" s="4" t="inlineStr">
        <is>
          <t>Non-Oscillatory Connectivity Approach for Classification of Autism Spectrum Disorder Subtypes Using Resting-State fMRI</t>
        </is>
      </c>
      <c r="C244" s="4">
        <f>IF(IF(COUNTIFS('ESTUDIOS'!$A$2:$A$455,$A244,'ESTUDIOS'!$I$2:$I$455,"")&gt;0,"",INDEX('ESTUDIOS'!$I$2:$I$455,MATCH($A244,'ESTUDIOS'!$A$2:$A$455,0)))=1,"1 - Integrity",IF(OR(IF(COUNTIFS('RQ2'!$A$2:$A$455,$A244,'RQ2'!$D$2:$D$455,"")&gt;0,"",INDEX('RQ2'!$D$2:$D$455,MATCH($A244,'RQ2'!$A$2:$A$455,0)))="",IF(COUNTIFS('RQ2'!$A$2:$A$455,$A244,'RQ2'!$E$2:$E$455,"")&gt;0,"",INDEX('RQ2'!$E$2:$E$455,MATCH($A244,'RQ2'!$A$2:$A$455,0)))=""),"2 - RQ2 historical","3 - Verify recorded evidence"))</f>
        <v/>
      </c>
      <c r="D244" s="4">
        <f>IF(OR(IF(COUNTIFS('RQ2'!$A$2:$A$455,$A244,'RQ2'!$D$2:$D$455,"")&gt;0,"",INDEX('RQ2'!$D$2:$D$455,MATCH($A244,'RQ2'!$A$2:$A$455,0)))="",IF(COUNTIFS('RQ2'!$A$2:$A$455,$A244,'RQ2'!$E$2:$E$455,"")&gt;0,"",INDEX('RQ2'!$E$2:$E$455,MATCH($A244,'RQ2'!$A$2:$A$455,0)))=""),"PENDIENTE","REGISTRADA")</f>
        <v/>
      </c>
      <c r="E244" s="4">
        <f>IF(IF(COUNTIFS('RQ1'!$A$2:$A$455,$A244,'RQ1'!$N$2:$N$455,"")&gt;0,"",INDEX('RQ1'!$N$2:$N$455,MATCH($A244,'RQ1'!$A$2:$A$455,0)))=1,"REVISAR DETALLE","REGISTRADA")</f>
        <v/>
      </c>
      <c r="F244" s="4">
        <f>IF(IF(COUNTIFS('RQ3'!$A$2:$A$455,$A244,'RQ3'!$P$2:$P$455,"")&gt;0,"",INDEX('RQ3'!$P$2:$P$455,MATCH($A244,'RQ3'!$A$2:$A$455,0)))="","NO REGISTRADO",IF(IF(COUNTIFS('RQ3'!$A$2:$A$455,$A244,'RQ3'!$P$2:$P$455,"")&gt;0,"",INDEX('RQ3'!$P$2:$P$455,MATCH($A244,'RQ3'!$A$2:$A$455,0)))=1,"MARCA ACTIVA","SIN MARCA"))</f>
        <v/>
      </c>
      <c r="G244" s="4">
        <f>IF(IF(COUNTIFS('ESTUDIOS'!$A$2:$A$455,$A244,'ESTUDIOS'!$N$2:$N$455,"")&gt;0,"",INDEX('ESTUDIOS'!$N$2:$N$455,MATCH($A244,'ESTUDIOS'!$A$2:$A$455,0)))="Verified","DOCUMENTADA","NO DOCUMENTADA")</f>
        <v/>
      </c>
      <c r="H244" s="4">
        <f>IF(D244="PENDIENTE","Leer evidencia ya extraída; registrar uso propuesto o evaluado, función, fuente y revisor en RQ2.","Comprobar evidencia y cautelas registradas; documentar verificación sin recodificar lo ya respaldado.")</f>
        <v/>
      </c>
      <c r="I244" s="4" t="inlineStr">
        <is>
          <t>https://doi.org/10.1109/access.2022.3146719</t>
        </is>
      </c>
    </row>
    <row r="245" ht="64" customHeight="1">
      <c r="A245" s="4" t="inlineStr">
        <is>
          <t>265</t>
        </is>
      </c>
      <c r="B245" s="4" t="inlineStr">
        <is>
          <t>Personalized identification of autism-related bacteria in the gut microbiome using explainable artificial intelligence</t>
        </is>
      </c>
      <c r="C245" s="4">
        <f>IF(IF(COUNTIFS('ESTUDIOS'!$A$2:$A$455,$A245,'ESTUDIOS'!$I$2:$I$455,"")&gt;0,"",INDEX('ESTUDIOS'!$I$2:$I$455,MATCH($A245,'ESTUDIOS'!$A$2:$A$455,0)))=1,"1 - Integrity",IF(OR(IF(COUNTIFS('RQ2'!$A$2:$A$455,$A245,'RQ2'!$D$2:$D$455,"")&gt;0,"",INDEX('RQ2'!$D$2:$D$455,MATCH($A245,'RQ2'!$A$2:$A$455,0)))="",IF(COUNTIFS('RQ2'!$A$2:$A$455,$A245,'RQ2'!$E$2:$E$455,"")&gt;0,"",INDEX('RQ2'!$E$2:$E$455,MATCH($A245,'RQ2'!$A$2:$A$455,0)))=""),"2 - RQ2 historical","3 - Verify recorded evidence"))</f>
        <v/>
      </c>
      <c r="D245" s="4">
        <f>IF(OR(IF(COUNTIFS('RQ2'!$A$2:$A$455,$A245,'RQ2'!$D$2:$D$455,"")&gt;0,"",INDEX('RQ2'!$D$2:$D$455,MATCH($A245,'RQ2'!$A$2:$A$455,0)))="",IF(COUNTIFS('RQ2'!$A$2:$A$455,$A245,'RQ2'!$E$2:$E$455,"")&gt;0,"",INDEX('RQ2'!$E$2:$E$455,MATCH($A245,'RQ2'!$A$2:$A$455,0)))=""),"PENDIENTE","REGISTRADA")</f>
        <v/>
      </c>
      <c r="E245" s="4">
        <f>IF(IF(COUNTIFS('RQ1'!$A$2:$A$455,$A245,'RQ1'!$N$2:$N$455,"")&gt;0,"",INDEX('RQ1'!$N$2:$N$455,MATCH($A245,'RQ1'!$A$2:$A$455,0)))=1,"REVISAR DETALLE","REGISTRADA")</f>
        <v/>
      </c>
      <c r="F245" s="4">
        <f>IF(IF(COUNTIFS('RQ3'!$A$2:$A$455,$A245,'RQ3'!$P$2:$P$455,"")&gt;0,"",INDEX('RQ3'!$P$2:$P$455,MATCH($A245,'RQ3'!$A$2:$A$455,0)))="","NO REGISTRADO",IF(IF(COUNTIFS('RQ3'!$A$2:$A$455,$A245,'RQ3'!$P$2:$P$455,"")&gt;0,"",INDEX('RQ3'!$P$2:$P$455,MATCH($A245,'RQ3'!$A$2:$A$455,0)))=1,"MARCA ACTIVA","SIN MARCA"))</f>
        <v/>
      </c>
      <c r="G245" s="4">
        <f>IF(IF(COUNTIFS('ESTUDIOS'!$A$2:$A$455,$A245,'ESTUDIOS'!$N$2:$N$455,"")&gt;0,"",INDEX('ESTUDIOS'!$N$2:$N$455,MATCH($A245,'ESTUDIOS'!$A$2:$A$455,0)))="Verified","DOCUMENTADA","NO DOCUMENTADA")</f>
        <v/>
      </c>
      <c r="H245" s="4">
        <f>IF(D245="PENDIENTE","Leer evidencia ya extraída; registrar uso propuesto o evaluado, función, fuente y revisor en RQ2.","Comprobar evidencia y cautelas registradas; documentar verificación sin recodificar lo ya respaldado.")</f>
        <v/>
      </c>
      <c r="I245" s="4" t="inlineStr">
        <is>
          <t>https://doi.org/10.1016/j.isci.2024.110709</t>
        </is>
      </c>
    </row>
    <row r="246" ht="64" customHeight="1">
      <c r="A246" s="4" t="inlineStr">
        <is>
          <t>266</t>
        </is>
      </c>
      <c r="B246" s="4" t="inlineStr">
        <is>
          <t>Prenatal exposure to criteria air pollution and traffic-related air toxics and risk of autism spectrum disorder: A population-based cohort study of California births (1990–2018)</t>
        </is>
      </c>
      <c r="C246" s="4">
        <f>IF(IF(COUNTIFS('ESTUDIOS'!$A$2:$A$455,$A246,'ESTUDIOS'!$I$2:$I$455,"")&gt;0,"",INDEX('ESTUDIOS'!$I$2:$I$455,MATCH($A246,'ESTUDIOS'!$A$2:$A$455,0)))=1,"1 - Integrity",IF(OR(IF(COUNTIFS('RQ2'!$A$2:$A$455,$A246,'RQ2'!$D$2:$D$455,"")&gt;0,"",INDEX('RQ2'!$D$2:$D$455,MATCH($A246,'RQ2'!$A$2:$A$455,0)))="",IF(COUNTIFS('RQ2'!$A$2:$A$455,$A246,'RQ2'!$E$2:$E$455,"")&gt;0,"",INDEX('RQ2'!$E$2:$E$455,MATCH($A246,'RQ2'!$A$2:$A$455,0)))=""),"2 - RQ2 historical","3 - Verify recorded evidence"))</f>
        <v/>
      </c>
      <c r="D246" s="4">
        <f>IF(OR(IF(COUNTIFS('RQ2'!$A$2:$A$455,$A246,'RQ2'!$D$2:$D$455,"")&gt;0,"",INDEX('RQ2'!$D$2:$D$455,MATCH($A246,'RQ2'!$A$2:$A$455,0)))="",IF(COUNTIFS('RQ2'!$A$2:$A$455,$A246,'RQ2'!$E$2:$E$455,"")&gt;0,"",INDEX('RQ2'!$E$2:$E$455,MATCH($A246,'RQ2'!$A$2:$A$455,0)))=""),"PENDIENTE","REGISTRADA")</f>
        <v/>
      </c>
      <c r="E246" s="4">
        <f>IF(IF(COUNTIFS('RQ1'!$A$2:$A$455,$A246,'RQ1'!$N$2:$N$455,"")&gt;0,"",INDEX('RQ1'!$N$2:$N$455,MATCH($A246,'RQ1'!$A$2:$A$455,0)))=1,"REVISAR DETALLE","REGISTRADA")</f>
        <v/>
      </c>
      <c r="F246" s="4">
        <f>IF(IF(COUNTIFS('RQ3'!$A$2:$A$455,$A246,'RQ3'!$P$2:$P$455,"")&gt;0,"",INDEX('RQ3'!$P$2:$P$455,MATCH($A246,'RQ3'!$A$2:$A$455,0)))="","NO REGISTRADO",IF(IF(COUNTIFS('RQ3'!$A$2:$A$455,$A246,'RQ3'!$P$2:$P$455,"")&gt;0,"",INDEX('RQ3'!$P$2:$P$455,MATCH($A246,'RQ3'!$A$2:$A$455,0)))=1,"MARCA ACTIVA","SIN MARCA"))</f>
        <v/>
      </c>
      <c r="G246" s="4">
        <f>IF(IF(COUNTIFS('ESTUDIOS'!$A$2:$A$455,$A246,'ESTUDIOS'!$N$2:$N$455,"")&gt;0,"",INDEX('ESTUDIOS'!$N$2:$N$455,MATCH($A246,'ESTUDIOS'!$A$2:$A$455,0)))="Verified","DOCUMENTADA","NO DOCUMENTADA")</f>
        <v/>
      </c>
      <c r="H246" s="4">
        <f>IF(D246="PENDIENTE","Leer evidencia ya extraída; registrar uso propuesto o evaluado, función, fuente y revisor en RQ2.","Comprobar evidencia y cautelas registradas; documentar verificación sin recodificar lo ya respaldado.")</f>
        <v/>
      </c>
      <c r="I246" s="4" t="inlineStr">
        <is>
          <t>https://doi.org/10.1016/j.envint.2025.109562</t>
        </is>
      </c>
    </row>
    <row r="247" ht="64" customHeight="1">
      <c r="A247" s="4" t="inlineStr">
        <is>
          <t>267</t>
        </is>
      </c>
      <c r="B247" s="4" t="inlineStr">
        <is>
          <t>Risk assessment for parents who suspect their child has autism spectrum disorder: Machine learning approach</t>
        </is>
      </c>
      <c r="C247" s="4">
        <f>IF(IF(COUNTIFS('ESTUDIOS'!$A$2:$A$455,$A247,'ESTUDIOS'!$I$2:$I$455,"")&gt;0,"",INDEX('ESTUDIOS'!$I$2:$I$455,MATCH($A247,'ESTUDIOS'!$A$2:$A$455,0)))=1,"1 - Integrity",IF(OR(IF(COUNTIFS('RQ2'!$A$2:$A$455,$A247,'RQ2'!$D$2:$D$455,"")&gt;0,"",INDEX('RQ2'!$D$2:$D$455,MATCH($A247,'RQ2'!$A$2:$A$455,0)))="",IF(COUNTIFS('RQ2'!$A$2:$A$455,$A247,'RQ2'!$E$2:$E$455,"")&gt;0,"",INDEX('RQ2'!$E$2:$E$455,MATCH($A247,'RQ2'!$A$2:$A$455,0)))=""),"2 - RQ2 historical","3 - Verify recorded evidence"))</f>
        <v/>
      </c>
      <c r="D247" s="4">
        <f>IF(OR(IF(COUNTIFS('RQ2'!$A$2:$A$455,$A247,'RQ2'!$D$2:$D$455,"")&gt;0,"",INDEX('RQ2'!$D$2:$D$455,MATCH($A247,'RQ2'!$A$2:$A$455,0)))="",IF(COUNTIFS('RQ2'!$A$2:$A$455,$A247,'RQ2'!$E$2:$E$455,"")&gt;0,"",INDEX('RQ2'!$E$2:$E$455,MATCH($A247,'RQ2'!$A$2:$A$455,0)))=""),"PENDIENTE","REGISTRADA")</f>
        <v/>
      </c>
      <c r="E247" s="4">
        <f>IF(IF(COUNTIFS('RQ1'!$A$2:$A$455,$A247,'RQ1'!$N$2:$N$455,"")&gt;0,"",INDEX('RQ1'!$N$2:$N$455,MATCH($A247,'RQ1'!$A$2:$A$455,0)))=1,"REVISAR DETALLE","REGISTRADA")</f>
        <v/>
      </c>
      <c r="F247" s="4">
        <f>IF(IF(COUNTIFS('RQ3'!$A$2:$A$455,$A247,'RQ3'!$P$2:$P$455,"")&gt;0,"",INDEX('RQ3'!$P$2:$P$455,MATCH($A247,'RQ3'!$A$2:$A$455,0)))="","NO REGISTRADO",IF(IF(COUNTIFS('RQ3'!$A$2:$A$455,$A247,'RQ3'!$P$2:$P$455,"")&gt;0,"",INDEX('RQ3'!$P$2:$P$455,MATCH($A247,'RQ3'!$A$2:$A$455,0)))=1,"MARCA ACTIVA","SIN MARCA"))</f>
        <v/>
      </c>
      <c r="G247" s="4">
        <f>IF(IF(COUNTIFS('ESTUDIOS'!$A$2:$A$455,$A247,'ESTUDIOS'!$N$2:$N$455,"")&gt;0,"",INDEX('ESTUDIOS'!$N$2:$N$455,MATCH($A247,'ESTUDIOS'!$A$2:$A$455,0)))="Verified","DOCUMENTADA","NO DOCUMENTADA")</f>
        <v/>
      </c>
      <c r="H247" s="4">
        <f>IF(D247="PENDIENTE","Leer evidencia ya extraída; registrar uso propuesto o evaluado, función, fuente y revisor en RQ2.","Comprobar evidencia y cautelas registradas; documentar verificación sin recodificar lo ya respaldado.")</f>
        <v/>
      </c>
      <c r="I247" s="4" t="inlineStr">
        <is>
          <t>https://doi.org/10.2196/jmir.9496</t>
        </is>
      </c>
    </row>
    <row r="248" ht="64" customHeight="1">
      <c r="A248" s="4" t="inlineStr">
        <is>
          <t>268</t>
        </is>
      </c>
      <c r="B248" s="4" t="inlineStr">
        <is>
          <t>Robust Low Complexity Framework for Early Diagnosis of Autism Spectrum Disorder Based on Cross Wavelet Transform and Deep Transfer Learning</t>
        </is>
      </c>
      <c r="C248" s="4">
        <f>IF(IF(COUNTIFS('ESTUDIOS'!$A$2:$A$455,$A248,'ESTUDIOS'!$I$2:$I$455,"")&gt;0,"",INDEX('ESTUDIOS'!$I$2:$I$455,MATCH($A248,'ESTUDIOS'!$A$2:$A$455,0)))=1,"1 - Integrity",IF(OR(IF(COUNTIFS('RQ2'!$A$2:$A$455,$A248,'RQ2'!$D$2:$D$455,"")&gt;0,"",INDEX('RQ2'!$D$2:$D$455,MATCH($A248,'RQ2'!$A$2:$A$455,0)))="",IF(COUNTIFS('RQ2'!$A$2:$A$455,$A248,'RQ2'!$E$2:$E$455,"")&gt;0,"",INDEX('RQ2'!$E$2:$E$455,MATCH($A248,'RQ2'!$A$2:$A$455,0)))=""),"2 - RQ2 historical","3 - Verify recorded evidence"))</f>
        <v/>
      </c>
      <c r="D248" s="4">
        <f>IF(OR(IF(COUNTIFS('RQ2'!$A$2:$A$455,$A248,'RQ2'!$D$2:$D$455,"")&gt;0,"",INDEX('RQ2'!$D$2:$D$455,MATCH($A248,'RQ2'!$A$2:$A$455,0)))="",IF(COUNTIFS('RQ2'!$A$2:$A$455,$A248,'RQ2'!$E$2:$E$455,"")&gt;0,"",INDEX('RQ2'!$E$2:$E$455,MATCH($A248,'RQ2'!$A$2:$A$455,0)))=""),"PENDIENTE","REGISTRADA")</f>
        <v/>
      </c>
      <c r="E248" s="4">
        <f>IF(IF(COUNTIFS('RQ1'!$A$2:$A$455,$A248,'RQ1'!$N$2:$N$455,"")&gt;0,"",INDEX('RQ1'!$N$2:$N$455,MATCH($A248,'RQ1'!$A$2:$A$455,0)))=1,"REVISAR DETALLE","REGISTRADA")</f>
        <v/>
      </c>
      <c r="F248" s="4">
        <f>IF(IF(COUNTIFS('RQ3'!$A$2:$A$455,$A248,'RQ3'!$P$2:$P$455,"")&gt;0,"",INDEX('RQ3'!$P$2:$P$455,MATCH($A248,'RQ3'!$A$2:$A$455,0)))="","NO REGISTRADO",IF(IF(COUNTIFS('RQ3'!$A$2:$A$455,$A248,'RQ3'!$P$2:$P$455,"")&gt;0,"",INDEX('RQ3'!$P$2:$P$455,MATCH($A248,'RQ3'!$A$2:$A$455,0)))=1,"MARCA ACTIVA","SIN MARCA"))</f>
        <v/>
      </c>
      <c r="G248" s="4">
        <f>IF(IF(COUNTIFS('ESTUDIOS'!$A$2:$A$455,$A248,'ESTUDIOS'!$N$2:$N$455,"")&gt;0,"",INDEX('ESTUDIOS'!$N$2:$N$455,MATCH($A248,'ESTUDIOS'!$A$2:$A$455,0)))="Verified","DOCUMENTADA","NO DOCUMENTADA")</f>
        <v/>
      </c>
      <c r="H248" s="4">
        <f>IF(D248="PENDIENTE","Leer evidencia ya extraída; registrar uso propuesto o evaluado, función, fuente y revisor en RQ2.","Comprobar evidencia y cautelas registradas; documentar verificación sin recodificar lo ya respaldado.")</f>
        <v/>
      </c>
      <c r="I248" s="4" t="inlineStr">
        <is>
          <t>https://doi.org/10.1007/s42979-023-02564-9</t>
        </is>
      </c>
    </row>
    <row r="249" ht="64" customHeight="1">
      <c r="A249" s="4" t="inlineStr">
        <is>
          <t>269</t>
        </is>
      </c>
      <c r="B249" s="4" t="inlineStr">
        <is>
          <t>Self-weighted adaptive structure learning for ASD diagnosis via multi-template multi-center representation</t>
        </is>
      </c>
      <c r="C249" s="4">
        <f>IF(IF(COUNTIFS('ESTUDIOS'!$A$2:$A$455,$A249,'ESTUDIOS'!$I$2:$I$455,"")&gt;0,"",INDEX('ESTUDIOS'!$I$2:$I$455,MATCH($A249,'ESTUDIOS'!$A$2:$A$455,0)))=1,"1 - Integrity",IF(OR(IF(COUNTIFS('RQ2'!$A$2:$A$455,$A249,'RQ2'!$D$2:$D$455,"")&gt;0,"",INDEX('RQ2'!$D$2:$D$455,MATCH($A249,'RQ2'!$A$2:$A$455,0)))="",IF(COUNTIFS('RQ2'!$A$2:$A$455,$A249,'RQ2'!$E$2:$E$455,"")&gt;0,"",INDEX('RQ2'!$E$2:$E$455,MATCH($A249,'RQ2'!$A$2:$A$455,0)))=""),"2 - RQ2 historical","3 - Verify recorded evidence"))</f>
        <v/>
      </c>
      <c r="D249" s="4">
        <f>IF(OR(IF(COUNTIFS('RQ2'!$A$2:$A$455,$A249,'RQ2'!$D$2:$D$455,"")&gt;0,"",INDEX('RQ2'!$D$2:$D$455,MATCH($A249,'RQ2'!$A$2:$A$455,0)))="",IF(COUNTIFS('RQ2'!$A$2:$A$455,$A249,'RQ2'!$E$2:$E$455,"")&gt;0,"",INDEX('RQ2'!$E$2:$E$455,MATCH($A249,'RQ2'!$A$2:$A$455,0)))=""),"PENDIENTE","REGISTRADA")</f>
        <v/>
      </c>
      <c r="E249" s="4">
        <f>IF(IF(COUNTIFS('RQ1'!$A$2:$A$455,$A249,'RQ1'!$N$2:$N$455,"")&gt;0,"",INDEX('RQ1'!$N$2:$N$455,MATCH($A249,'RQ1'!$A$2:$A$455,0)))=1,"REVISAR DETALLE","REGISTRADA")</f>
        <v/>
      </c>
      <c r="F249" s="4">
        <f>IF(IF(COUNTIFS('RQ3'!$A$2:$A$455,$A249,'RQ3'!$P$2:$P$455,"")&gt;0,"",INDEX('RQ3'!$P$2:$P$455,MATCH($A249,'RQ3'!$A$2:$A$455,0)))="","NO REGISTRADO",IF(IF(COUNTIFS('RQ3'!$A$2:$A$455,$A249,'RQ3'!$P$2:$P$455,"")&gt;0,"",INDEX('RQ3'!$P$2:$P$455,MATCH($A249,'RQ3'!$A$2:$A$455,0)))=1,"MARCA ACTIVA","SIN MARCA"))</f>
        <v/>
      </c>
      <c r="G249" s="4">
        <f>IF(IF(COUNTIFS('ESTUDIOS'!$A$2:$A$455,$A249,'ESTUDIOS'!$N$2:$N$455,"")&gt;0,"",INDEX('ESTUDIOS'!$N$2:$N$455,MATCH($A249,'ESTUDIOS'!$A$2:$A$455,0)))="Verified","DOCUMENTADA","NO DOCUMENTADA")</f>
        <v/>
      </c>
      <c r="H249" s="4">
        <f>IF(D249="PENDIENTE","Leer evidencia ya extraída; registrar uso propuesto o evaluado, función, fuente y revisor en RQ2.","Comprobar evidencia y cautelas registradas; documentar verificación sin recodificar lo ya respaldado.")</f>
        <v/>
      </c>
      <c r="I249" s="4" t="inlineStr">
        <is>
          <t>https://doi.org/10.1016/j.media.2020.101662</t>
        </is>
      </c>
    </row>
    <row r="250" ht="64" customHeight="1">
      <c r="A250" s="4" t="inlineStr">
        <is>
          <t>270</t>
        </is>
      </c>
      <c r="B250" s="4" t="inlineStr">
        <is>
          <t>Smart bed based daytime behavior prediction in Children with autism spectrum disorder - A Pilot Study</t>
        </is>
      </c>
      <c r="C250" s="4">
        <f>IF(IF(COUNTIFS('ESTUDIOS'!$A$2:$A$455,$A250,'ESTUDIOS'!$I$2:$I$455,"")&gt;0,"",INDEX('ESTUDIOS'!$I$2:$I$455,MATCH($A250,'ESTUDIOS'!$A$2:$A$455,0)))=1,"1 - Integrity",IF(OR(IF(COUNTIFS('RQ2'!$A$2:$A$455,$A250,'RQ2'!$D$2:$D$455,"")&gt;0,"",INDEX('RQ2'!$D$2:$D$455,MATCH($A250,'RQ2'!$A$2:$A$455,0)))="",IF(COUNTIFS('RQ2'!$A$2:$A$455,$A250,'RQ2'!$E$2:$E$455,"")&gt;0,"",INDEX('RQ2'!$E$2:$E$455,MATCH($A250,'RQ2'!$A$2:$A$455,0)))=""),"2 - RQ2 historical","3 - Verify recorded evidence"))</f>
        <v/>
      </c>
      <c r="D250" s="4">
        <f>IF(OR(IF(COUNTIFS('RQ2'!$A$2:$A$455,$A250,'RQ2'!$D$2:$D$455,"")&gt;0,"",INDEX('RQ2'!$D$2:$D$455,MATCH($A250,'RQ2'!$A$2:$A$455,0)))="",IF(COUNTIFS('RQ2'!$A$2:$A$455,$A250,'RQ2'!$E$2:$E$455,"")&gt;0,"",INDEX('RQ2'!$E$2:$E$455,MATCH($A250,'RQ2'!$A$2:$A$455,0)))=""),"PENDIENTE","REGISTRADA")</f>
        <v/>
      </c>
      <c r="E250" s="4">
        <f>IF(IF(COUNTIFS('RQ1'!$A$2:$A$455,$A250,'RQ1'!$N$2:$N$455,"")&gt;0,"",INDEX('RQ1'!$N$2:$N$455,MATCH($A250,'RQ1'!$A$2:$A$455,0)))=1,"REVISAR DETALLE","REGISTRADA")</f>
        <v/>
      </c>
      <c r="F250" s="4">
        <f>IF(IF(COUNTIFS('RQ3'!$A$2:$A$455,$A250,'RQ3'!$P$2:$P$455,"")&gt;0,"",INDEX('RQ3'!$P$2:$P$455,MATCH($A250,'RQ3'!$A$2:$A$455,0)))="","NO REGISTRADO",IF(IF(COUNTIFS('RQ3'!$A$2:$A$455,$A250,'RQ3'!$P$2:$P$455,"")&gt;0,"",INDEX('RQ3'!$P$2:$P$455,MATCH($A250,'RQ3'!$A$2:$A$455,0)))=1,"MARCA ACTIVA","SIN MARCA"))</f>
        <v/>
      </c>
      <c r="G250" s="4">
        <f>IF(IF(COUNTIFS('ESTUDIOS'!$A$2:$A$455,$A250,'ESTUDIOS'!$N$2:$N$455,"")&gt;0,"",INDEX('ESTUDIOS'!$N$2:$N$455,MATCH($A250,'ESTUDIOS'!$A$2:$A$455,0)))="Verified","DOCUMENTADA","NO DOCUMENTADA")</f>
        <v/>
      </c>
      <c r="H250" s="4">
        <f>IF(D250="PENDIENTE","Leer evidencia ya extraída; registrar uso propuesto o evaluado, función, fuente y revisor en RQ2.","Comprobar evidencia y cautelas registradas; documentar verificación sin recodificar lo ya respaldado.")</f>
        <v/>
      </c>
      <c r="I250" s="4" t="inlineStr">
        <is>
          <t>https://doi.org/10.1016/j.medengphy.2020.07.004</t>
        </is>
      </c>
    </row>
    <row r="251" ht="64" customHeight="1">
      <c r="A251" s="4" t="inlineStr">
        <is>
          <t>272</t>
        </is>
      </c>
      <c r="B251" s="4" t="inlineStr">
        <is>
          <t>Subtyping cognitive profiles in Autism Spectrum Disorder using a Functional Random Forest algorithm</t>
        </is>
      </c>
      <c r="C251" s="4">
        <f>IF(IF(COUNTIFS('ESTUDIOS'!$A$2:$A$455,$A251,'ESTUDIOS'!$I$2:$I$455,"")&gt;0,"",INDEX('ESTUDIOS'!$I$2:$I$455,MATCH($A251,'ESTUDIOS'!$A$2:$A$455,0)))=1,"1 - Integrity",IF(OR(IF(COUNTIFS('RQ2'!$A$2:$A$455,$A251,'RQ2'!$D$2:$D$455,"")&gt;0,"",INDEX('RQ2'!$D$2:$D$455,MATCH($A251,'RQ2'!$A$2:$A$455,0)))="",IF(COUNTIFS('RQ2'!$A$2:$A$455,$A251,'RQ2'!$E$2:$E$455,"")&gt;0,"",INDEX('RQ2'!$E$2:$E$455,MATCH($A251,'RQ2'!$A$2:$A$455,0)))=""),"2 - RQ2 historical","3 - Verify recorded evidence"))</f>
        <v/>
      </c>
      <c r="D251" s="4">
        <f>IF(OR(IF(COUNTIFS('RQ2'!$A$2:$A$455,$A251,'RQ2'!$D$2:$D$455,"")&gt;0,"",INDEX('RQ2'!$D$2:$D$455,MATCH($A251,'RQ2'!$A$2:$A$455,0)))="",IF(COUNTIFS('RQ2'!$A$2:$A$455,$A251,'RQ2'!$E$2:$E$455,"")&gt;0,"",INDEX('RQ2'!$E$2:$E$455,MATCH($A251,'RQ2'!$A$2:$A$455,0)))=""),"PENDIENTE","REGISTRADA")</f>
        <v/>
      </c>
      <c r="E251" s="4">
        <f>IF(IF(COUNTIFS('RQ1'!$A$2:$A$455,$A251,'RQ1'!$N$2:$N$455,"")&gt;0,"",INDEX('RQ1'!$N$2:$N$455,MATCH($A251,'RQ1'!$A$2:$A$455,0)))=1,"REVISAR DETALLE","REGISTRADA")</f>
        <v/>
      </c>
      <c r="F251" s="4">
        <f>IF(IF(COUNTIFS('RQ3'!$A$2:$A$455,$A251,'RQ3'!$P$2:$P$455,"")&gt;0,"",INDEX('RQ3'!$P$2:$P$455,MATCH($A251,'RQ3'!$A$2:$A$455,0)))="","NO REGISTRADO",IF(IF(COUNTIFS('RQ3'!$A$2:$A$455,$A251,'RQ3'!$P$2:$P$455,"")&gt;0,"",INDEX('RQ3'!$P$2:$P$455,MATCH($A251,'RQ3'!$A$2:$A$455,0)))=1,"MARCA ACTIVA","SIN MARCA"))</f>
        <v/>
      </c>
      <c r="G251" s="4">
        <f>IF(IF(COUNTIFS('ESTUDIOS'!$A$2:$A$455,$A251,'ESTUDIOS'!$N$2:$N$455,"")&gt;0,"",INDEX('ESTUDIOS'!$N$2:$N$455,MATCH($A251,'ESTUDIOS'!$A$2:$A$455,0)))="Verified","DOCUMENTADA","NO DOCUMENTADA")</f>
        <v/>
      </c>
      <c r="H251" s="4">
        <f>IF(D251="PENDIENTE","Leer evidencia ya extraída; registrar uso propuesto o evaluado, función, fuente y revisor en RQ2.","Comprobar evidencia y cautelas registradas; documentar verificación sin recodificar lo ya respaldado.")</f>
        <v/>
      </c>
      <c r="I251" s="4" t="inlineStr">
        <is>
          <t>https://doi.org/10.1016/j.neuroimage.2017.12.044</t>
        </is>
      </c>
    </row>
    <row r="252" ht="64" customHeight="1">
      <c r="A252" s="4" t="inlineStr">
        <is>
          <t>273</t>
        </is>
      </c>
      <c r="B252" s="4" t="inlineStr">
        <is>
          <t>Towards autism subtype detection through identification of discriminatory factors using machine learning</t>
        </is>
      </c>
      <c r="C252" s="4">
        <f>IF(IF(COUNTIFS('ESTUDIOS'!$A$2:$A$455,$A252,'ESTUDIOS'!$I$2:$I$455,"")&gt;0,"",INDEX('ESTUDIOS'!$I$2:$I$455,MATCH($A252,'ESTUDIOS'!$A$2:$A$455,0)))=1,"1 - Integrity",IF(OR(IF(COUNTIFS('RQ2'!$A$2:$A$455,$A252,'RQ2'!$D$2:$D$455,"")&gt;0,"",INDEX('RQ2'!$D$2:$D$455,MATCH($A252,'RQ2'!$A$2:$A$455,0)))="",IF(COUNTIFS('RQ2'!$A$2:$A$455,$A252,'RQ2'!$E$2:$E$455,"")&gt;0,"",INDEX('RQ2'!$E$2:$E$455,MATCH($A252,'RQ2'!$A$2:$A$455,0)))=""),"2 - RQ2 historical","3 - Verify recorded evidence"))</f>
        <v/>
      </c>
      <c r="D252" s="4">
        <f>IF(OR(IF(COUNTIFS('RQ2'!$A$2:$A$455,$A252,'RQ2'!$D$2:$D$455,"")&gt;0,"",INDEX('RQ2'!$D$2:$D$455,MATCH($A252,'RQ2'!$A$2:$A$455,0)))="",IF(COUNTIFS('RQ2'!$A$2:$A$455,$A252,'RQ2'!$E$2:$E$455,"")&gt;0,"",INDEX('RQ2'!$E$2:$E$455,MATCH($A252,'RQ2'!$A$2:$A$455,0)))=""),"PENDIENTE","REGISTRADA")</f>
        <v/>
      </c>
      <c r="E252" s="4">
        <f>IF(IF(COUNTIFS('RQ1'!$A$2:$A$455,$A252,'RQ1'!$N$2:$N$455,"")&gt;0,"",INDEX('RQ1'!$N$2:$N$455,MATCH($A252,'RQ1'!$A$2:$A$455,0)))=1,"REVISAR DETALLE","REGISTRADA")</f>
        <v/>
      </c>
      <c r="F252" s="4">
        <f>IF(IF(COUNTIFS('RQ3'!$A$2:$A$455,$A252,'RQ3'!$P$2:$P$455,"")&gt;0,"",INDEX('RQ3'!$P$2:$P$455,MATCH($A252,'RQ3'!$A$2:$A$455,0)))="","NO REGISTRADO",IF(IF(COUNTIFS('RQ3'!$A$2:$A$455,$A252,'RQ3'!$P$2:$P$455,"")&gt;0,"",INDEX('RQ3'!$P$2:$P$455,MATCH($A252,'RQ3'!$A$2:$A$455,0)))=1,"MARCA ACTIVA","SIN MARCA"))</f>
        <v/>
      </c>
      <c r="G252" s="4">
        <f>IF(IF(COUNTIFS('ESTUDIOS'!$A$2:$A$455,$A252,'ESTUDIOS'!$N$2:$N$455,"")&gt;0,"",INDEX('ESTUDIOS'!$N$2:$N$455,MATCH($A252,'ESTUDIOS'!$A$2:$A$455,0)))="Verified","DOCUMENTADA","NO DOCUMENTADA")</f>
        <v/>
      </c>
      <c r="H252" s="4">
        <f>IF(D252="PENDIENTE","Leer evidencia ya extraída; registrar uso propuesto o evaluado, función, fuente y revisor en RQ2.","Comprobar evidencia y cautelas registradas; documentar verificación sin recodificar lo ya respaldado.")</f>
        <v/>
      </c>
      <c r="I252" s="4" t="inlineStr">
        <is>
          <t>https://doi.org/10.1007/978-3-030-86993-9_36</t>
        </is>
      </c>
    </row>
    <row r="253" ht="64" customHeight="1">
      <c r="A253" s="4" t="inlineStr">
        <is>
          <t>274</t>
        </is>
      </c>
      <c r="B253" s="4" t="inlineStr">
        <is>
          <t>‘IoT and AI-Based Application for Automatic Interpretation of the Affective State of Children Diagnosed with Autism</t>
        </is>
      </c>
      <c r="C253" s="4">
        <f>IF(IF(COUNTIFS('ESTUDIOS'!$A$2:$A$455,$A253,'ESTUDIOS'!$I$2:$I$455,"")&gt;0,"",INDEX('ESTUDIOS'!$I$2:$I$455,MATCH($A253,'ESTUDIOS'!$A$2:$A$455,0)))=1,"1 - Integrity",IF(OR(IF(COUNTIFS('RQ2'!$A$2:$A$455,$A253,'RQ2'!$D$2:$D$455,"")&gt;0,"",INDEX('RQ2'!$D$2:$D$455,MATCH($A253,'RQ2'!$A$2:$A$455,0)))="",IF(COUNTIFS('RQ2'!$A$2:$A$455,$A253,'RQ2'!$E$2:$E$455,"")&gt;0,"",INDEX('RQ2'!$E$2:$E$455,MATCH($A253,'RQ2'!$A$2:$A$455,0)))=""),"2 - RQ2 historical","3 - Verify recorded evidence"))</f>
        <v/>
      </c>
      <c r="D253" s="4">
        <f>IF(OR(IF(COUNTIFS('RQ2'!$A$2:$A$455,$A253,'RQ2'!$D$2:$D$455,"")&gt;0,"",INDEX('RQ2'!$D$2:$D$455,MATCH($A253,'RQ2'!$A$2:$A$455,0)))="",IF(COUNTIFS('RQ2'!$A$2:$A$455,$A253,'RQ2'!$E$2:$E$455,"")&gt;0,"",INDEX('RQ2'!$E$2:$E$455,MATCH($A253,'RQ2'!$A$2:$A$455,0)))=""),"PENDIENTE","REGISTRADA")</f>
        <v/>
      </c>
      <c r="E253" s="4">
        <f>IF(IF(COUNTIFS('RQ1'!$A$2:$A$455,$A253,'RQ1'!$N$2:$N$455,"")&gt;0,"",INDEX('RQ1'!$N$2:$N$455,MATCH($A253,'RQ1'!$A$2:$A$455,0)))=1,"REVISAR DETALLE","REGISTRADA")</f>
        <v/>
      </c>
      <c r="F253" s="4">
        <f>IF(IF(COUNTIFS('RQ3'!$A$2:$A$455,$A253,'RQ3'!$P$2:$P$455,"")&gt;0,"",INDEX('RQ3'!$P$2:$P$455,MATCH($A253,'RQ3'!$A$2:$A$455,0)))="","NO REGISTRADO",IF(IF(COUNTIFS('RQ3'!$A$2:$A$455,$A253,'RQ3'!$P$2:$P$455,"")&gt;0,"",INDEX('RQ3'!$P$2:$P$455,MATCH($A253,'RQ3'!$A$2:$A$455,0)))=1,"MARCA ACTIVA","SIN MARCA"))</f>
        <v/>
      </c>
      <c r="G253" s="4">
        <f>IF(IF(COUNTIFS('ESTUDIOS'!$A$2:$A$455,$A253,'ESTUDIOS'!$N$2:$N$455,"")&gt;0,"",INDEX('ESTUDIOS'!$N$2:$N$455,MATCH($A253,'ESTUDIOS'!$A$2:$A$455,0)))="Verified","DOCUMENTADA","NO DOCUMENTADA")</f>
        <v/>
      </c>
      <c r="H253" s="4">
        <f>IF(D253="PENDIENTE","Leer evidencia ya extraída; registrar uso propuesto o evaluado, función, fuente y revisor en RQ2.","Comprobar evidencia y cautelas registradas; documentar verificación sin recodificar lo ya respaldado.")</f>
        <v/>
      </c>
      <c r="I253" s="4" t="inlineStr">
        <is>
          <t>https://doi.org/10.3390/s22072528</t>
        </is>
      </c>
    </row>
    <row r="254" ht="64" customHeight="1">
      <c r="A254" s="4" t="inlineStr">
        <is>
          <t>275</t>
        </is>
      </c>
      <c r="B254" s="4" t="inlineStr">
        <is>
          <t>A Fusion-Based Machine Learning Approach for Autism Detection in Young Children Using Magnetoencephalography Signals</t>
        </is>
      </c>
      <c r="C254" s="4">
        <f>IF(IF(COUNTIFS('ESTUDIOS'!$A$2:$A$455,$A254,'ESTUDIOS'!$I$2:$I$455,"")&gt;0,"",INDEX('ESTUDIOS'!$I$2:$I$455,MATCH($A254,'ESTUDIOS'!$A$2:$A$455,0)))=1,"1 - Integrity",IF(OR(IF(COUNTIFS('RQ2'!$A$2:$A$455,$A254,'RQ2'!$D$2:$D$455,"")&gt;0,"",INDEX('RQ2'!$D$2:$D$455,MATCH($A254,'RQ2'!$A$2:$A$455,0)))="",IF(COUNTIFS('RQ2'!$A$2:$A$455,$A254,'RQ2'!$E$2:$E$455,"")&gt;0,"",INDEX('RQ2'!$E$2:$E$455,MATCH($A254,'RQ2'!$A$2:$A$455,0)))=""),"2 - RQ2 historical","3 - Verify recorded evidence"))</f>
        <v/>
      </c>
      <c r="D254" s="4">
        <f>IF(OR(IF(COUNTIFS('RQ2'!$A$2:$A$455,$A254,'RQ2'!$D$2:$D$455,"")&gt;0,"",INDEX('RQ2'!$D$2:$D$455,MATCH($A254,'RQ2'!$A$2:$A$455,0)))="",IF(COUNTIFS('RQ2'!$A$2:$A$455,$A254,'RQ2'!$E$2:$E$455,"")&gt;0,"",INDEX('RQ2'!$E$2:$E$455,MATCH($A254,'RQ2'!$A$2:$A$455,0)))=""),"PENDIENTE","REGISTRADA")</f>
        <v/>
      </c>
      <c r="E254" s="4">
        <f>IF(IF(COUNTIFS('RQ1'!$A$2:$A$455,$A254,'RQ1'!$N$2:$N$455,"")&gt;0,"",INDEX('RQ1'!$N$2:$N$455,MATCH($A254,'RQ1'!$A$2:$A$455,0)))=1,"REVISAR DETALLE","REGISTRADA")</f>
        <v/>
      </c>
      <c r="F254" s="4">
        <f>IF(IF(COUNTIFS('RQ3'!$A$2:$A$455,$A254,'RQ3'!$P$2:$P$455,"")&gt;0,"",INDEX('RQ3'!$P$2:$P$455,MATCH($A254,'RQ3'!$A$2:$A$455,0)))="","NO REGISTRADO",IF(IF(COUNTIFS('RQ3'!$A$2:$A$455,$A254,'RQ3'!$P$2:$P$455,"")&gt;0,"",INDEX('RQ3'!$P$2:$P$455,MATCH($A254,'RQ3'!$A$2:$A$455,0)))=1,"MARCA ACTIVA","SIN MARCA"))</f>
        <v/>
      </c>
      <c r="G254" s="4">
        <f>IF(IF(COUNTIFS('ESTUDIOS'!$A$2:$A$455,$A254,'ESTUDIOS'!$N$2:$N$455,"")&gt;0,"",INDEX('ESTUDIOS'!$N$2:$N$455,MATCH($A254,'ESTUDIOS'!$A$2:$A$455,0)))="Verified","DOCUMENTADA","NO DOCUMENTADA")</f>
        <v/>
      </c>
      <c r="H254" s="4">
        <f>IF(D254="PENDIENTE","Leer evidencia ya extraída; registrar uso propuesto o evaluado, función, fuente y revisor en RQ2.","Comprobar evidencia y cautelas registradas; documentar verificación sin recodificar lo ya respaldado.")</f>
        <v/>
      </c>
      <c r="I254" s="4" t="inlineStr">
        <is>
          <t>https://doi.org/10.1007/s10803-022-05767-w</t>
        </is>
      </c>
    </row>
    <row r="255" ht="64" customHeight="1">
      <c r="A255" s="4" t="inlineStr">
        <is>
          <t>276</t>
        </is>
      </c>
      <c r="B255" s="4" t="inlineStr">
        <is>
          <t>A situation-aware system for the detection of motion disorders of patients with Autism Spectrum Disorders</t>
        </is>
      </c>
      <c r="C255" s="4">
        <f>IF(IF(COUNTIFS('ESTUDIOS'!$A$2:$A$455,$A255,'ESTUDIOS'!$I$2:$I$455,"")&gt;0,"",INDEX('ESTUDIOS'!$I$2:$I$455,MATCH($A255,'ESTUDIOS'!$A$2:$A$455,0)))=1,"1 - Integrity",IF(OR(IF(COUNTIFS('RQ2'!$A$2:$A$455,$A255,'RQ2'!$D$2:$D$455,"")&gt;0,"",INDEX('RQ2'!$D$2:$D$455,MATCH($A255,'RQ2'!$A$2:$A$455,0)))="",IF(COUNTIFS('RQ2'!$A$2:$A$455,$A255,'RQ2'!$E$2:$E$455,"")&gt;0,"",INDEX('RQ2'!$E$2:$E$455,MATCH($A255,'RQ2'!$A$2:$A$455,0)))=""),"2 - RQ2 historical","3 - Verify recorded evidence"))</f>
        <v/>
      </c>
      <c r="D255" s="4">
        <f>IF(OR(IF(COUNTIFS('RQ2'!$A$2:$A$455,$A255,'RQ2'!$D$2:$D$455,"")&gt;0,"",INDEX('RQ2'!$D$2:$D$455,MATCH($A255,'RQ2'!$A$2:$A$455,0)))="",IF(COUNTIFS('RQ2'!$A$2:$A$455,$A255,'RQ2'!$E$2:$E$455,"")&gt;0,"",INDEX('RQ2'!$E$2:$E$455,MATCH($A255,'RQ2'!$A$2:$A$455,0)))=""),"PENDIENTE","REGISTRADA")</f>
        <v/>
      </c>
      <c r="E255" s="4">
        <f>IF(IF(COUNTIFS('RQ1'!$A$2:$A$455,$A255,'RQ1'!$N$2:$N$455,"")&gt;0,"",INDEX('RQ1'!$N$2:$N$455,MATCH($A255,'RQ1'!$A$2:$A$455,0)))=1,"REVISAR DETALLE","REGISTRADA")</f>
        <v/>
      </c>
      <c r="F255" s="4">
        <f>IF(IF(COUNTIFS('RQ3'!$A$2:$A$455,$A255,'RQ3'!$P$2:$P$455,"")&gt;0,"",INDEX('RQ3'!$P$2:$P$455,MATCH($A255,'RQ3'!$A$2:$A$455,0)))="","NO REGISTRADO",IF(IF(COUNTIFS('RQ3'!$A$2:$A$455,$A255,'RQ3'!$P$2:$P$455,"")&gt;0,"",INDEX('RQ3'!$P$2:$P$455,MATCH($A255,'RQ3'!$A$2:$A$455,0)))=1,"MARCA ACTIVA","SIN MARCA"))</f>
        <v/>
      </c>
      <c r="G255" s="4">
        <f>IF(IF(COUNTIFS('ESTUDIOS'!$A$2:$A$455,$A255,'ESTUDIOS'!$N$2:$N$455,"")&gt;0,"",INDEX('ESTUDIOS'!$N$2:$N$455,MATCH($A255,'ESTUDIOS'!$A$2:$A$455,0)))="Verified","DOCUMENTADA","NO DOCUMENTADA")</f>
        <v/>
      </c>
      <c r="H255" s="4">
        <f>IF(D255="PENDIENTE","Leer evidencia ya extraída; registrar uso propuesto o evaluado, función, fuente y revisor en RQ2.","Comprobar evidencia y cautelas registradas; documentar verificación sin recodificar lo ya respaldado.")</f>
        <v/>
      </c>
      <c r="I255" s="4" t="inlineStr">
        <is>
          <t>https://doi.org/10.1016/j.eswa.2014.05.011</t>
        </is>
      </c>
    </row>
    <row r="256" ht="64" customHeight="1">
      <c r="A256" s="4" t="inlineStr">
        <is>
          <t>277</t>
        </is>
      </c>
      <c r="B256" s="4" t="inlineStr">
        <is>
          <t>Accurate corresponding fiber tract segmentation via FiberGeoMap learner with application to autism</t>
        </is>
      </c>
      <c r="C256" s="4">
        <f>IF(IF(COUNTIFS('ESTUDIOS'!$A$2:$A$455,$A256,'ESTUDIOS'!$I$2:$I$455,"")&gt;0,"",INDEX('ESTUDIOS'!$I$2:$I$455,MATCH($A256,'ESTUDIOS'!$A$2:$A$455,0)))=1,"1 - Integrity",IF(OR(IF(COUNTIFS('RQ2'!$A$2:$A$455,$A256,'RQ2'!$D$2:$D$455,"")&gt;0,"",INDEX('RQ2'!$D$2:$D$455,MATCH($A256,'RQ2'!$A$2:$A$455,0)))="",IF(COUNTIFS('RQ2'!$A$2:$A$455,$A256,'RQ2'!$E$2:$E$455,"")&gt;0,"",INDEX('RQ2'!$E$2:$E$455,MATCH($A256,'RQ2'!$A$2:$A$455,0)))=""),"2 - RQ2 historical","3 - Verify recorded evidence"))</f>
        <v/>
      </c>
      <c r="D256" s="4">
        <f>IF(OR(IF(COUNTIFS('RQ2'!$A$2:$A$455,$A256,'RQ2'!$D$2:$D$455,"")&gt;0,"",INDEX('RQ2'!$D$2:$D$455,MATCH($A256,'RQ2'!$A$2:$A$455,0)))="",IF(COUNTIFS('RQ2'!$A$2:$A$455,$A256,'RQ2'!$E$2:$E$455,"")&gt;0,"",INDEX('RQ2'!$E$2:$E$455,MATCH($A256,'RQ2'!$A$2:$A$455,0)))=""),"PENDIENTE","REGISTRADA")</f>
        <v/>
      </c>
      <c r="E256" s="4">
        <f>IF(IF(COUNTIFS('RQ1'!$A$2:$A$455,$A256,'RQ1'!$N$2:$N$455,"")&gt;0,"",INDEX('RQ1'!$N$2:$N$455,MATCH($A256,'RQ1'!$A$2:$A$455,0)))=1,"REVISAR DETALLE","REGISTRADA")</f>
        <v/>
      </c>
      <c r="F256" s="4">
        <f>IF(IF(COUNTIFS('RQ3'!$A$2:$A$455,$A256,'RQ3'!$P$2:$P$455,"")&gt;0,"",INDEX('RQ3'!$P$2:$P$455,MATCH($A256,'RQ3'!$A$2:$A$455,0)))="","NO REGISTRADO",IF(IF(COUNTIFS('RQ3'!$A$2:$A$455,$A256,'RQ3'!$P$2:$P$455,"")&gt;0,"",INDEX('RQ3'!$P$2:$P$455,MATCH($A256,'RQ3'!$A$2:$A$455,0)))=1,"MARCA ACTIVA","SIN MARCA"))</f>
        <v/>
      </c>
      <c r="G256" s="4">
        <f>IF(IF(COUNTIFS('ESTUDIOS'!$A$2:$A$455,$A256,'ESTUDIOS'!$N$2:$N$455,"")&gt;0,"",INDEX('ESTUDIOS'!$N$2:$N$455,MATCH($A256,'ESTUDIOS'!$A$2:$A$455,0)))="Verified","DOCUMENTADA","NO DOCUMENTADA")</f>
        <v/>
      </c>
      <c r="H256" s="4">
        <f>IF(D256="PENDIENTE","Leer evidencia ya extraída; registrar uso propuesto o evaluado, función, fuente y revisor en RQ2.","Comprobar evidencia y cautelas registradas; documentar verificación sin recodificar lo ya respaldado.")</f>
        <v/>
      </c>
      <c r="I256" s="4" t="inlineStr">
        <is>
          <t>https://doi.org/10.1093/cercor/bhad125</t>
        </is>
      </c>
    </row>
    <row r="257" ht="64" customHeight="1">
      <c r="A257" s="4" t="inlineStr">
        <is>
          <t>278</t>
        </is>
      </c>
      <c r="B257" s="4" t="inlineStr">
        <is>
          <t>Autism risk classification using placental chorionic surface vascular network features</t>
        </is>
      </c>
      <c r="C257" s="4">
        <f>IF(IF(COUNTIFS('ESTUDIOS'!$A$2:$A$455,$A257,'ESTUDIOS'!$I$2:$I$455,"")&gt;0,"",INDEX('ESTUDIOS'!$I$2:$I$455,MATCH($A257,'ESTUDIOS'!$A$2:$A$455,0)))=1,"1 - Integrity",IF(OR(IF(COUNTIFS('RQ2'!$A$2:$A$455,$A257,'RQ2'!$D$2:$D$455,"")&gt;0,"",INDEX('RQ2'!$D$2:$D$455,MATCH($A257,'RQ2'!$A$2:$A$455,0)))="",IF(COUNTIFS('RQ2'!$A$2:$A$455,$A257,'RQ2'!$E$2:$E$455,"")&gt;0,"",INDEX('RQ2'!$E$2:$E$455,MATCH($A257,'RQ2'!$A$2:$A$455,0)))=""),"2 - RQ2 historical","3 - Verify recorded evidence"))</f>
        <v/>
      </c>
      <c r="D257" s="4">
        <f>IF(OR(IF(COUNTIFS('RQ2'!$A$2:$A$455,$A257,'RQ2'!$D$2:$D$455,"")&gt;0,"",INDEX('RQ2'!$D$2:$D$455,MATCH($A257,'RQ2'!$A$2:$A$455,0)))="",IF(COUNTIFS('RQ2'!$A$2:$A$455,$A257,'RQ2'!$E$2:$E$455,"")&gt;0,"",INDEX('RQ2'!$E$2:$E$455,MATCH($A257,'RQ2'!$A$2:$A$455,0)))=""),"PENDIENTE","REGISTRADA")</f>
        <v/>
      </c>
      <c r="E257" s="4">
        <f>IF(IF(COUNTIFS('RQ1'!$A$2:$A$455,$A257,'RQ1'!$N$2:$N$455,"")&gt;0,"",INDEX('RQ1'!$N$2:$N$455,MATCH($A257,'RQ1'!$A$2:$A$455,0)))=1,"REVISAR DETALLE","REGISTRADA")</f>
        <v/>
      </c>
      <c r="F257" s="4">
        <f>IF(IF(COUNTIFS('RQ3'!$A$2:$A$455,$A257,'RQ3'!$P$2:$P$455,"")&gt;0,"",INDEX('RQ3'!$P$2:$P$455,MATCH($A257,'RQ3'!$A$2:$A$455,0)))="","NO REGISTRADO",IF(IF(COUNTIFS('RQ3'!$A$2:$A$455,$A257,'RQ3'!$P$2:$P$455,"")&gt;0,"",INDEX('RQ3'!$P$2:$P$455,MATCH($A257,'RQ3'!$A$2:$A$455,0)))=1,"MARCA ACTIVA","SIN MARCA"))</f>
        <v/>
      </c>
      <c r="G257" s="4">
        <f>IF(IF(COUNTIFS('ESTUDIOS'!$A$2:$A$455,$A257,'ESTUDIOS'!$N$2:$N$455,"")&gt;0,"",INDEX('ESTUDIOS'!$N$2:$N$455,MATCH($A257,'ESTUDIOS'!$A$2:$A$455,0)))="Verified","DOCUMENTADA","NO DOCUMENTADA")</f>
        <v/>
      </c>
      <c r="H257" s="4">
        <f>IF(D257="PENDIENTE","Leer evidencia ya extraída; registrar uso propuesto o evaluado, función, fuente y revisor en RQ2.","Comprobar evidencia y cautelas registradas; documentar verificación sin recodificar lo ya respaldado.")</f>
        <v/>
      </c>
      <c r="I257" s="4" t="inlineStr">
        <is>
          <t>https://doi.org/10.1186/s12911-017-0564-8</t>
        </is>
      </c>
    </row>
    <row r="258" ht="64" customHeight="1">
      <c r="A258" s="4" t="inlineStr">
        <is>
          <t>279</t>
        </is>
      </c>
      <c r="B258" s="4" t="inlineStr">
        <is>
          <t>Autism spectrum disorder detection using sequential minimal optimization-support vector machine hybrid classifier according to history of jaundice and family autism in children</t>
        </is>
      </c>
      <c r="C258" s="4">
        <f>IF(IF(COUNTIFS('ESTUDIOS'!$A$2:$A$455,$A258,'ESTUDIOS'!$I$2:$I$455,"")&gt;0,"",INDEX('ESTUDIOS'!$I$2:$I$455,MATCH($A258,'ESTUDIOS'!$A$2:$A$455,0)))=1,"1 - Integrity",IF(OR(IF(COUNTIFS('RQ2'!$A$2:$A$455,$A258,'RQ2'!$D$2:$D$455,"")&gt;0,"",INDEX('RQ2'!$D$2:$D$455,MATCH($A258,'RQ2'!$A$2:$A$455,0)))="",IF(COUNTIFS('RQ2'!$A$2:$A$455,$A258,'RQ2'!$E$2:$E$455,"")&gt;0,"",INDEX('RQ2'!$E$2:$E$455,MATCH($A258,'RQ2'!$A$2:$A$455,0)))=""),"2 - RQ2 historical","3 - Verify recorded evidence"))</f>
        <v/>
      </c>
      <c r="D258" s="4">
        <f>IF(OR(IF(COUNTIFS('RQ2'!$A$2:$A$455,$A258,'RQ2'!$D$2:$D$455,"")&gt;0,"",INDEX('RQ2'!$D$2:$D$455,MATCH($A258,'RQ2'!$A$2:$A$455,0)))="",IF(COUNTIFS('RQ2'!$A$2:$A$455,$A258,'RQ2'!$E$2:$E$455,"")&gt;0,"",INDEX('RQ2'!$E$2:$E$455,MATCH($A258,'RQ2'!$A$2:$A$455,0)))=""),"PENDIENTE","REGISTRADA")</f>
        <v/>
      </c>
      <c r="E258" s="4">
        <f>IF(IF(COUNTIFS('RQ1'!$A$2:$A$455,$A258,'RQ1'!$N$2:$N$455,"")&gt;0,"",INDEX('RQ1'!$N$2:$N$455,MATCH($A258,'RQ1'!$A$2:$A$455,0)))=1,"REVISAR DETALLE","REGISTRADA")</f>
        <v/>
      </c>
      <c r="F258" s="4">
        <f>IF(IF(COUNTIFS('RQ3'!$A$2:$A$455,$A258,'RQ3'!$P$2:$P$455,"")&gt;0,"",INDEX('RQ3'!$P$2:$P$455,MATCH($A258,'RQ3'!$A$2:$A$455,0)))="","NO REGISTRADO",IF(IF(COUNTIFS('RQ3'!$A$2:$A$455,$A258,'RQ3'!$P$2:$P$455,"")&gt;0,"",INDEX('RQ3'!$P$2:$P$455,MATCH($A258,'RQ3'!$A$2:$A$455,0)))=1,"MARCA ACTIVA","SIN MARCA"))</f>
        <v/>
      </c>
      <c r="G258" s="4">
        <f>IF(IF(COUNTIFS('ESTUDIOS'!$A$2:$A$455,$A258,'ESTUDIOS'!$N$2:$N$455,"")&gt;0,"",INDEX('ESTUDIOS'!$N$2:$N$455,MATCH($A258,'ESTUDIOS'!$A$2:$A$455,0)))="Verified","DOCUMENTADA","NO DOCUMENTADA")</f>
        <v/>
      </c>
      <c r="H258" s="4">
        <f>IF(D258="PENDIENTE","Leer evidencia ya extraída; registrar uso propuesto o evaluado, función, fuente y revisor en RQ2.","Comprobar evidencia y cautelas registradas; documentar verificación sin recodificar lo ya respaldado.")</f>
        <v/>
      </c>
      <c r="I258" s="4" t="inlineStr">
        <is>
          <t>https://doi.org/10.1002/cpe.6498</t>
        </is>
      </c>
    </row>
    <row r="259" ht="64" customHeight="1">
      <c r="A259" s="4" t="inlineStr">
        <is>
          <t>280</t>
        </is>
      </c>
      <c r="B259" s="4" t="inlineStr">
        <is>
          <t>Classification of autism based on short-term spontaneous hemodynamic fluctuations using an adaptive graph neural network</t>
        </is>
      </c>
      <c r="C259" s="4">
        <f>IF(IF(COUNTIFS('ESTUDIOS'!$A$2:$A$455,$A259,'ESTUDIOS'!$I$2:$I$455,"")&gt;0,"",INDEX('ESTUDIOS'!$I$2:$I$455,MATCH($A259,'ESTUDIOS'!$A$2:$A$455,0)))=1,"1 - Integrity",IF(OR(IF(COUNTIFS('RQ2'!$A$2:$A$455,$A259,'RQ2'!$D$2:$D$455,"")&gt;0,"",INDEX('RQ2'!$D$2:$D$455,MATCH($A259,'RQ2'!$A$2:$A$455,0)))="",IF(COUNTIFS('RQ2'!$A$2:$A$455,$A259,'RQ2'!$E$2:$E$455,"")&gt;0,"",INDEX('RQ2'!$E$2:$E$455,MATCH($A259,'RQ2'!$A$2:$A$455,0)))=""),"2 - RQ2 historical","3 - Verify recorded evidence"))</f>
        <v/>
      </c>
      <c r="D259" s="4">
        <f>IF(OR(IF(COUNTIFS('RQ2'!$A$2:$A$455,$A259,'RQ2'!$D$2:$D$455,"")&gt;0,"",INDEX('RQ2'!$D$2:$D$455,MATCH($A259,'RQ2'!$A$2:$A$455,0)))="",IF(COUNTIFS('RQ2'!$A$2:$A$455,$A259,'RQ2'!$E$2:$E$455,"")&gt;0,"",INDEX('RQ2'!$E$2:$E$455,MATCH($A259,'RQ2'!$A$2:$A$455,0)))=""),"PENDIENTE","REGISTRADA")</f>
        <v/>
      </c>
      <c r="E259" s="4">
        <f>IF(IF(COUNTIFS('RQ1'!$A$2:$A$455,$A259,'RQ1'!$N$2:$N$455,"")&gt;0,"",INDEX('RQ1'!$N$2:$N$455,MATCH($A259,'RQ1'!$A$2:$A$455,0)))=1,"REVISAR DETALLE","REGISTRADA")</f>
        <v/>
      </c>
      <c r="F259" s="4">
        <f>IF(IF(COUNTIFS('RQ3'!$A$2:$A$455,$A259,'RQ3'!$P$2:$P$455,"")&gt;0,"",INDEX('RQ3'!$P$2:$P$455,MATCH($A259,'RQ3'!$A$2:$A$455,0)))="","NO REGISTRADO",IF(IF(COUNTIFS('RQ3'!$A$2:$A$455,$A259,'RQ3'!$P$2:$P$455,"")&gt;0,"",INDEX('RQ3'!$P$2:$P$455,MATCH($A259,'RQ3'!$A$2:$A$455,0)))=1,"MARCA ACTIVA","SIN MARCA"))</f>
        <v/>
      </c>
      <c r="G259" s="4">
        <f>IF(IF(COUNTIFS('ESTUDIOS'!$A$2:$A$455,$A259,'ESTUDIOS'!$N$2:$N$455,"")&gt;0,"",INDEX('ESTUDIOS'!$N$2:$N$455,MATCH($A259,'ESTUDIOS'!$A$2:$A$455,0)))="Verified","DOCUMENTADA","NO DOCUMENTADA")</f>
        <v/>
      </c>
      <c r="H259" s="4">
        <f>IF(D259="PENDIENTE","Leer evidencia ya extraída; registrar uso propuesto o evaluado, función, fuente y revisor en RQ2.","Comprobar evidencia y cautelas registradas; documentar verificación sin recodificar lo ya respaldado.")</f>
        <v/>
      </c>
      <c r="I259" s="4" t="inlineStr">
        <is>
          <t>https://doi.org/10.1016/j.jneumeth.2023.109901</t>
        </is>
      </c>
    </row>
    <row r="260" ht="64" customHeight="1">
      <c r="A260" s="4" t="inlineStr">
        <is>
          <t>281</t>
        </is>
      </c>
      <c r="B260" s="4" t="inlineStr">
        <is>
          <t>Deep Mobile Linguistic Therapy for Patients with ASD</t>
        </is>
      </c>
      <c r="C260" s="4">
        <f>IF(IF(COUNTIFS('ESTUDIOS'!$A$2:$A$455,$A260,'ESTUDIOS'!$I$2:$I$455,"")&gt;0,"",INDEX('ESTUDIOS'!$I$2:$I$455,MATCH($A260,'ESTUDIOS'!$A$2:$A$455,0)))=1,"1 - Integrity",IF(OR(IF(COUNTIFS('RQ2'!$A$2:$A$455,$A260,'RQ2'!$D$2:$D$455,"")&gt;0,"",INDEX('RQ2'!$D$2:$D$455,MATCH($A260,'RQ2'!$A$2:$A$455,0)))="",IF(COUNTIFS('RQ2'!$A$2:$A$455,$A260,'RQ2'!$E$2:$E$455,"")&gt;0,"",INDEX('RQ2'!$E$2:$E$455,MATCH($A260,'RQ2'!$A$2:$A$455,0)))=""),"2 - RQ2 historical","3 - Verify recorded evidence"))</f>
        <v/>
      </c>
      <c r="D260" s="4">
        <f>IF(OR(IF(COUNTIFS('RQ2'!$A$2:$A$455,$A260,'RQ2'!$D$2:$D$455,"")&gt;0,"",INDEX('RQ2'!$D$2:$D$455,MATCH($A260,'RQ2'!$A$2:$A$455,0)))="",IF(COUNTIFS('RQ2'!$A$2:$A$455,$A260,'RQ2'!$E$2:$E$455,"")&gt;0,"",INDEX('RQ2'!$E$2:$E$455,MATCH($A260,'RQ2'!$A$2:$A$455,0)))=""),"PENDIENTE","REGISTRADA")</f>
        <v/>
      </c>
      <c r="E260" s="4">
        <f>IF(IF(COUNTIFS('RQ1'!$A$2:$A$455,$A260,'RQ1'!$N$2:$N$455,"")&gt;0,"",INDEX('RQ1'!$N$2:$N$455,MATCH($A260,'RQ1'!$A$2:$A$455,0)))=1,"REVISAR DETALLE","REGISTRADA")</f>
        <v/>
      </c>
      <c r="F260" s="4">
        <f>IF(IF(COUNTIFS('RQ3'!$A$2:$A$455,$A260,'RQ3'!$P$2:$P$455,"")&gt;0,"",INDEX('RQ3'!$P$2:$P$455,MATCH($A260,'RQ3'!$A$2:$A$455,0)))="","NO REGISTRADO",IF(IF(COUNTIFS('RQ3'!$A$2:$A$455,$A260,'RQ3'!$P$2:$P$455,"")&gt;0,"",INDEX('RQ3'!$P$2:$P$455,MATCH($A260,'RQ3'!$A$2:$A$455,0)))=1,"MARCA ACTIVA","SIN MARCA"))</f>
        <v/>
      </c>
      <c r="G260" s="4">
        <f>IF(IF(COUNTIFS('ESTUDIOS'!$A$2:$A$455,$A260,'ESTUDIOS'!$N$2:$N$455,"")&gt;0,"",INDEX('ESTUDIOS'!$N$2:$N$455,MATCH($A260,'ESTUDIOS'!$A$2:$A$455,0)))="Verified","DOCUMENTADA","NO DOCUMENTADA")</f>
        <v/>
      </c>
      <c r="H260" s="4">
        <f>IF(D260="PENDIENTE","Leer evidencia ya extraída; registrar uso propuesto o evaluado, función, fuente y revisor en RQ2.","Comprobar evidencia y cautelas registradas; documentar verificación sin recodificar lo ya respaldado.")</f>
        <v/>
      </c>
      <c r="I260" s="4" t="inlineStr">
        <is>
          <t>https://doi.org/10.3390/ijerph191912857</t>
        </is>
      </c>
    </row>
    <row r="261" ht="64" customHeight="1">
      <c r="A261" s="4" t="inlineStr">
        <is>
          <t>282</t>
        </is>
      </c>
      <c r="B261" s="4" t="inlineStr">
        <is>
          <t>DeepASDPred: a CNN-LSTM-based deep learning method for Autism spectrum disorders risk RNA identification</t>
        </is>
      </c>
      <c r="C261" s="4">
        <f>IF(IF(COUNTIFS('ESTUDIOS'!$A$2:$A$455,$A261,'ESTUDIOS'!$I$2:$I$455,"")&gt;0,"",INDEX('ESTUDIOS'!$I$2:$I$455,MATCH($A261,'ESTUDIOS'!$A$2:$A$455,0)))=1,"1 - Integrity",IF(OR(IF(COUNTIFS('RQ2'!$A$2:$A$455,$A261,'RQ2'!$D$2:$D$455,"")&gt;0,"",INDEX('RQ2'!$D$2:$D$455,MATCH($A261,'RQ2'!$A$2:$A$455,0)))="",IF(COUNTIFS('RQ2'!$A$2:$A$455,$A261,'RQ2'!$E$2:$E$455,"")&gt;0,"",INDEX('RQ2'!$E$2:$E$455,MATCH($A261,'RQ2'!$A$2:$A$455,0)))=""),"2 - RQ2 historical","3 - Verify recorded evidence"))</f>
        <v/>
      </c>
      <c r="D261" s="4">
        <f>IF(OR(IF(COUNTIFS('RQ2'!$A$2:$A$455,$A261,'RQ2'!$D$2:$D$455,"")&gt;0,"",INDEX('RQ2'!$D$2:$D$455,MATCH($A261,'RQ2'!$A$2:$A$455,0)))="",IF(COUNTIFS('RQ2'!$A$2:$A$455,$A261,'RQ2'!$E$2:$E$455,"")&gt;0,"",INDEX('RQ2'!$E$2:$E$455,MATCH($A261,'RQ2'!$A$2:$A$455,0)))=""),"PENDIENTE","REGISTRADA")</f>
        <v/>
      </c>
      <c r="E261" s="4">
        <f>IF(IF(COUNTIFS('RQ1'!$A$2:$A$455,$A261,'RQ1'!$N$2:$N$455,"")&gt;0,"",INDEX('RQ1'!$N$2:$N$455,MATCH($A261,'RQ1'!$A$2:$A$455,0)))=1,"REVISAR DETALLE","REGISTRADA")</f>
        <v/>
      </c>
      <c r="F261" s="4">
        <f>IF(IF(COUNTIFS('RQ3'!$A$2:$A$455,$A261,'RQ3'!$P$2:$P$455,"")&gt;0,"",INDEX('RQ3'!$P$2:$P$455,MATCH($A261,'RQ3'!$A$2:$A$455,0)))="","NO REGISTRADO",IF(IF(COUNTIFS('RQ3'!$A$2:$A$455,$A261,'RQ3'!$P$2:$P$455,"")&gt;0,"",INDEX('RQ3'!$P$2:$P$455,MATCH($A261,'RQ3'!$A$2:$A$455,0)))=1,"MARCA ACTIVA","SIN MARCA"))</f>
        <v/>
      </c>
      <c r="G261" s="4">
        <f>IF(IF(COUNTIFS('ESTUDIOS'!$A$2:$A$455,$A261,'ESTUDIOS'!$N$2:$N$455,"")&gt;0,"",INDEX('ESTUDIOS'!$N$2:$N$455,MATCH($A261,'ESTUDIOS'!$A$2:$A$455,0)))="Verified","DOCUMENTADA","NO DOCUMENTADA")</f>
        <v/>
      </c>
      <c r="H261" s="4">
        <f>IF(D261="PENDIENTE","Leer evidencia ya extraída; registrar uso propuesto o evaluado, función, fuente y revisor en RQ2.","Comprobar evidencia y cautelas registradas; documentar verificación sin recodificar lo ya respaldado.")</f>
        <v/>
      </c>
      <c r="I261" s="4" t="inlineStr">
        <is>
          <t>https://doi.org/10.1186/s12859-023-05378-x</t>
        </is>
      </c>
    </row>
    <row r="262" ht="64" customHeight="1">
      <c r="A262" s="4" t="inlineStr">
        <is>
          <t>283</t>
        </is>
      </c>
      <c r="B262" s="4" t="inlineStr">
        <is>
          <t>Employing Machine Learning-Based Predictive Analytical Approaches to Classify Autism Spectrum Disorder Types</t>
        </is>
      </c>
      <c r="C262" s="4">
        <f>IF(IF(COUNTIFS('ESTUDIOS'!$A$2:$A$455,$A262,'ESTUDIOS'!$I$2:$I$455,"")&gt;0,"",INDEX('ESTUDIOS'!$I$2:$I$455,MATCH($A262,'ESTUDIOS'!$A$2:$A$455,0)))=1,"1 - Integrity",IF(OR(IF(COUNTIFS('RQ2'!$A$2:$A$455,$A262,'RQ2'!$D$2:$D$455,"")&gt;0,"",INDEX('RQ2'!$D$2:$D$455,MATCH($A262,'RQ2'!$A$2:$A$455,0)))="",IF(COUNTIFS('RQ2'!$A$2:$A$455,$A262,'RQ2'!$E$2:$E$455,"")&gt;0,"",INDEX('RQ2'!$E$2:$E$455,MATCH($A262,'RQ2'!$A$2:$A$455,0)))=""),"2 - RQ2 historical","3 - Verify recorded evidence"))</f>
        <v/>
      </c>
      <c r="D262" s="4">
        <f>IF(OR(IF(COUNTIFS('RQ2'!$A$2:$A$455,$A262,'RQ2'!$D$2:$D$455,"")&gt;0,"",INDEX('RQ2'!$D$2:$D$455,MATCH($A262,'RQ2'!$A$2:$A$455,0)))="",IF(COUNTIFS('RQ2'!$A$2:$A$455,$A262,'RQ2'!$E$2:$E$455,"")&gt;0,"",INDEX('RQ2'!$E$2:$E$455,MATCH($A262,'RQ2'!$A$2:$A$455,0)))=""),"PENDIENTE","REGISTRADA")</f>
        <v/>
      </c>
      <c r="E262" s="4">
        <f>IF(IF(COUNTIFS('RQ1'!$A$2:$A$455,$A262,'RQ1'!$N$2:$N$455,"")&gt;0,"",INDEX('RQ1'!$N$2:$N$455,MATCH($A262,'RQ1'!$A$2:$A$455,0)))=1,"REVISAR DETALLE","REGISTRADA")</f>
        <v/>
      </c>
      <c r="F262" s="4">
        <f>IF(IF(COUNTIFS('RQ3'!$A$2:$A$455,$A262,'RQ3'!$P$2:$P$455,"")&gt;0,"",INDEX('RQ3'!$P$2:$P$455,MATCH($A262,'RQ3'!$A$2:$A$455,0)))="","NO REGISTRADO",IF(IF(COUNTIFS('RQ3'!$A$2:$A$455,$A262,'RQ3'!$P$2:$P$455,"")&gt;0,"",INDEX('RQ3'!$P$2:$P$455,MATCH($A262,'RQ3'!$A$2:$A$455,0)))=1,"MARCA ACTIVA","SIN MARCA"))</f>
        <v/>
      </c>
      <c r="G262" s="4">
        <f>IF(IF(COUNTIFS('ESTUDIOS'!$A$2:$A$455,$A262,'ESTUDIOS'!$N$2:$N$455,"")&gt;0,"",INDEX('ESTUDIOS'!$N$2:$N$455,MATCH($A262,'ESTUDIOS'!$A$2:$A$455,0)))="Verified","DOCUMENTADA","NO DOCUMENTADA")</f>
        <v/>
      </c>
      <c r="H262" s="4">
        <f>IF(D262="PENDIENTE","Leer evidencia ya extraída; registrar uso propuesto o evaluado, función, fuente y revisor en RQ2.","Comprobar evidencia y cautelas registradas; documentar verificación sin recodificar lo ya respaldado.")</f>
        <v/>
      </c>
      <c r="I262" s="4" t="inlineStr">
        <is>
          <t>https://doi.org/10.1155/2022/8134018</t>
        </is>
      </c>
    </row>
    <row r="263" ht="64" customHeight="1">
      <c r="A263" s="4" t="inlineStr">
        <is>
          <t>284</t>
        </is>
      </c>
      <c r="B263" s="4" t="inlineStr">
        <is>
          <t>Exploration of Autism Spectrum Disorder using Classification Algorithms</t>
        </is>
      </c>
      <c r="C263" s="4">
        <f>IF(IF(COUNTIFS('ESTUDIOS'!$A$2:$A$455,$A263,'ESTUDIOS'!$I$2:$I$455,"")&gt;0,"",INDEX('ESTUDIOS'!$I$2:$I$455,MATCH($A263,'ESTUDIOS'!$A$2:$A$455,0)))=1,"1 - Integrity",IF(OR(IF(COUNTIFS('RQ2'!$A$2:$A$455,$A263,'RQ2'!$D$2:$D$455,"")&gt;0,"",INDEX('RQ2'!$D$2:$D$455,MATCH($A263,'RQ2'!$A$2:$A$455,0)))="",IF(COUNTIFS('RQ2'!$A$2:$A$455,$A263,'RQ2'!$E$2:$E$455,"")&gt;0,"",INDEX('RQ2'!$E$2:$E$455,MATCH($A263,'RQ2'!$A$2:$A$455,0)))=""),"2 - RQ2 historical","3 - Verify recorded evidence"))</f>
        <v/>
      </c>
      <c r="D263" s="4">
        <f>IF(OR(IF(COUNTIFS('RQ2'!$A$2:$A$455,$A263,'RQ2'!$D$2:$D$455,"")&gt;0,"",INDEX('RQ2'!$D$2:$D$455,MATCH($A263,'RQ2'!$A$2:$A$455,0)))="",IF(COUNTIFS('RQ2'!$A$2:$A$455,$A263,'RQ2'!$E$2:$E$455,"")&gt;0,"",INDEX('RQ2'!$E$2:$E$455,MATCH($A263,'RQ2'!$A$2:$A$455,0)))=""),"PENDIENTE","REGISTRADA")</f>
        <v/>
      </c>
      <c r="E263" s="4">
        <f>IF(IF(COUNTIFS('RQ1'!$A$2:$A$455,$A263,'RQ1'!$N$2:$N$455,"")&gt;0,"",INDEX('RQ1'!$N$2:$N$455,MATCH($A263,'RQ1'!$A$2:$A$455,0)))=1,"REVISAR DETALLE","REGISTRADA")</f>
        <v/>
      </c>
      <c r="F263" s="4">
        <f>IF(IF(COUNTIFS('RQ3'!$A$2:$A$455,$A263,'RQ3'!$P$2:$P$455,"")&gt;0,"",INDEX('RQ3'!$P$2:$P$455,MATCH($A263,'RQ3'!$A$2:$A$455,0)))="","NO REGISTRADO",IF(IF(COUNTIFS('RQ3'!$A$2:$A$455,$A263,'RQ3'!$P$2:$P$455,"")&gt;0,"",INDEX('RQ3'!$P$2:$P$455,MATCH($A263,'RQ3'!$A$2:$A$455,0)))=1,"MARCA ACTIVA","SIN MARCA"))</f>
        <v/>
      </c>
      <c r="G263" s="4">
        <f>IF(IF(COUNTIFS('ESTUDIOS'!$A$2:$A$455,$A263,'ESTUDIOS'!$N$2:$N$455,"")&gt;0,"",INDEX('ESTUDIOS'!$N$2:$N$455,MATCH($A263,'ESTUDIOS'!$A$2:$A$455,0)))="Verified","DOCUMENTADA","NO DOCUMENTADA")</f>
        <v/>
      </c>
      <c r="H263" s="4">
        <f>IF(D263="PENDIENTE","Leer evidencia ya extraída; registrar uso propuesto o evaluado, función, fuente y revisor en RQ2.","Comprobar evidencia y cautelas registradas; documentar verificación sin recodificar lo ya respaldado.")</f>
        <v/>
      </c>
      <c r="I263" s="4" t="inlineStr">
        <is>
          <t>https://doi.org/10.1016/j.procs.2020.01.098</t>
        </is>
      </c>
    </row>
    <row r="264" ht="64" customHeight="1">
      <c r="A264" s="4" t="inlineStr">
        <is>
          <t>285</t>
        </is>
      </c>
      <c r="B264" s="4" t="inlineStr">
        <is>
          <t>Exploring pesticide risk in autism via integrative machine learning and network toxicology</t>
        </is>
      </c>
      <c r="C264" s="4">
        <f>IF(IF(COUNTIFS('ESTUDIOS'!$A$2:$A$455,$A264,'ESTUDIOS'!$I$2:$I$455,"")&gt;0,"",INDEX('ESTUDIOS'!$I$2:$I$455,MATCH($A264,'ESTUDIOS'!$A$2:$A$455,0)))=1,"1 - Integrity",IF(OR(IF(COUNTIFS('RQ2'!$A$2:$A$455,$A264,'RQ2'!$D$2:$D$455,"")&gt;0,"",INDEX('RQ2'!$D$2:$D$455,MATCH($A264,'RQ2'!$A$2:$A$455,0)))="",IF(COUNTIFS('RQ2'!$A$2:$A$455,$A264,'RQ2'!$E$2:$E$455,"")&gt;0,"",INDEX('RQ2'!$E$2:$E$455,MATCH($A264,'RQ2'!$A$2:$A$455,0)))=""),"2 - RQ2 historical","3 - Verify recorded evidence"))</f>
        <v/>
      </c>
      <c r="D264" s="4">
        <f>IF(OR(IF(COUNTIFS('RQ2'!$A$2:$A$455,$A264,'RQ2'!$D$2:$D$455,"")&gt;0,"",INDEX('RQ2'!$D$2:$D$455,MATCH($A264,'RQ2'!$A$2:$A$455,0)))="",IF(COUNTIFS('RQ2'!$A$2:$A$455,$A264,'RQ2'!$E$2:$E$455,"")&gt;0,"",INDEX('RQ2'!$E$2:$E$455,MATCH($A264,'RQ2'!$A$2:$A$455,0)))=""),"PENDIENTE","REGISTRADA")</f>
        <v/>
      </c>
      <c r="E264" s="4">
        <f>IF(IF(COUNTIFS('RQ1'!$A$2:$A$455,$A264,'RQ1'!$N$2:$N$455,"")&gt;0,"",INDEX('RQ1'!$N$2:$N$455,MATCH($A264,'RQ1'!$A$2:$A$455,0)))=1,"REVISAR DETALLE","REGISTRADA")</f>
        <v/>
      </c>
      <c r="F264" s="4">
        <f>IF(IF(COUNTIFS('RQ3'!$A$2:$A$455,$A264,'RQ3'!$P$2:$P$455,"")&gt;0,"",INDEX('RQ3'!$P$2:$P$455,MATCH($A264,'RQ3'!$A$2:$A$455,0)))="","NO REGISTRADO",IF(IF(COUNTIFS('RQ3'!$A$2:$A$455,$A264,'RQ3'!$P$2:$P$455,"")&gt;0,"",INDEX('RQ3'!$P$2:$P$455,MATCH($A264,'RQ3'!$A$2:$A$455,0)))=1,"MARCA ACTIVA","SIN MARCA"))</f>
        <v/>
      </c>
      <c r="G264" s="4">
        <f>IF(IF(COUNTIFS('ESTUDIOS'!$A$2:$A$455,$A264,'ESTUDIOS'!$N$2:$N$455,"")&gt;0,"",INDEX('ESTUDIOS'!$N$2:$N$455,MATCH($A264,'ESTUDIOS'!$A$2:$A$455,0)))="Verified","DOCUMENTADA","NO DOCUMENTADA")</f>
        <v/>
      </c>
      <c r="H264" s="4">
        <f>IF(D264="PENDIENTE","Leer evidencia ya extraída; registrar uso propuesto o evaluado, función, fuente y revisor en RQ2.","Comprobar evidencia y cautelas registradas; documentar verificación sin recodificar lo ya respaldado.")</f>
        <v/>
      </c>
      <c r="I264" s="4" t="inlineStr">
        <is>
          <t>https://doi.org/10.1016/j.ecoenv.2025.118233</t>
        </is>
      </c>
    </row>
    <row r="265" ht="64" customHeight="1">
      <c r="A265" s="4" t="inlineStr">
        <is>
          <t>286</t>
        </is>
      </c>
      <c r="B265" s="4" t="inlineStr">
        <is>
          <t>Feedback Artificial Tree-Anti Corona Virus Optimization enabled deep learning for detecting autism spectrum disorder</t>
        </is>
      </c>
      <c r="C265" s="4">
        <f>IF(IF(COUNTIFS('ESTUDIOS'!$A$2:$A$455,$A265,'ESTUDIOS'!$I$2:$I$455,"")&gt;0,"",INDEX('ESTUDIOS'!$I$2:$I$455,MATCH($A265,'ESTUDIOS'!$A$2:$A$455,0)))=1,"1 - Integrity",IF(OR(IF(COUNTIFS('RQ2'!$A$2:$A$455,$A265,'RQ2'!$D$2:$D$455,"")&gt;0,"",INDEX('RQ2'!$D$2:$D$455,MATCH($A265,'RQ2'!$A$2:$A$455,0)))="",IF(COUNTIFS('RQ2'!$A$2:$A$455,$A265,'RQ2'!$E$2:$E$455,"")&gt;0,"",INDEX('RQ2'!$E$2:$E$455,MATCH($A265,'RQ2'!$A$2:$A$455,0)))=""),"2 - RQ2 historical","3 - Verify recorded evidence"))</f>
        <v/>
      </c>
      <c r="D265" s="4">
        <f>IF(OR(IF(COUNTIFS('RQ2'!$A$2:$A$455,$A265,'RQ2'!$D$2:$D$455,"")&gt;0,"",INDEX('RQ2'!$D$2:$D$455,MATCH($A265,'RQ2'!$A$2:$A$455,0)))="",IF(COUNTIFS('RQ2'!$A$2:$A$455,$A265,'RQ2'!$E$2:$E$455,"")&gt;0,"",INDEX('RQ2'!$E$2:$E$455,MATCH($A265,'RQ2'!$A$2:$A$455,0)))=""),"PENDIENTE","REGISTRADA")</f>
        <v/>
      </c>
      <c r="E265" s="4">
        <f>IF(IF(COUNTIFS('RQ1'!$A$2:$A$455,$A265,'RQ1'!$N$2:$N$455,"")&gt;0,"",INDEX('RQ1'!$N$2:$N$455,MATCH($A265,'RQ1'!$A$2:$A$455,0)))=1,"REVISAR DETALLE","REGISTRADA")</f>
        <v/>
      </c>
      <c r="F265" s="4">
        <f>IF(IF(COUNTIFS('RQ3'!$A$2:$A$455,$A265,'RQ3'!$P$2:$P$455,"")&gt;0,"",INDEX('RQ3'!$P$2:$P$455,MATCH($A265,'RQ3'!$A$2:$A$455,0)))="","NO REGISTRADO",IF(IF(COUNTIFS('RQ3'!$A$2:$A$455,$A265,'RQ3'!$P$2:$P$455,"")&gt;0,"",INDEX('RQ3'!$P$2:$P$455,MATCH($A265,'RQ3'!$A$2:$A$455,0)))=1,"MARCA ACTIVA","SIN MARCA"))</f>
        <v/>
      </c>
      <c r="G265" s="4">
        <f>IF(IF(COUNTIFS('ESTUDIOS'!$A$2:$A$455,$A265,'ESTUDIOS'!$N$2:$N$455,"")&gt;0,"",INDEX('ESTUDIOS'!$N$2:$N$455,MATCH($A265,'ESTUDIOS'!$A$2:$A$455,0)))="Verified","DOCUMENTADA","NO DOCUMENTADA")</f>
        <v/>
      </c>
      <c r="H265" s="4">
        <f>IF(D265="PENDIENTE","Leer evidencia ya extraída; registrar uso propuesto o evaluado, función, fuente y revisor en RQ2.","Comprobar evidencia y cautelas registradas; documentar verificación sin recodificar lo ya respaldado.")</f>
        <v/>
      </c>
      <c r="I265" s="4" t="inlineStr">
        <is>
          <t>https://doi.org/10.1111/exsy.13040</t>
        </is>
      </c>
    </row>
    <row r="266" ht="64" customHeight="1">
      <c r="A266" s="4" t="inlineStr">
        <is>
          <t>287</t>
        </is>
      </c>
      <c r="B266" s="4" t="inlineStr">
        <is>
          <t>Forecasting risk gene discovery in autism with machine learning and genome-scale data</t>
        </is>
      </c>
      <c r="C266" s="4">
        <f>IF(IF(COUNTIFS('ESTUDIOS'!$A$2:$A$455,$A266,'ESTUDIOS'!$I$2:$I$455,"")&gt;0,"",INDEX('ESTUDIOS'!$I$2:$I$455,MATCH($A266,'ESTUDIOS'!$A$2:$A$455,0)))=1,"1 - Integrity",IF(OR(IF(COUNTIFS('RQ2'!$A$2:$A$455,$A266,'RQ2'!$D$2:$D$455,"")&gt;0,"",INDEX('RQ2'!$D$2:$D$455,MATCH($A266,'RQ2'!$A$2:$A$455,0)))="",IF(COUNTIFS('RQ2'!$A$2:$A$455,$A266,'RQ2'!$E$2:$E$455,"")&gt;0,"",INDEX('RQ2'!$E$2:$E$455,MATCH($A266,'RQ2'!$A$2:$A$455,0)))=""),"2 - RQ2 historical","3 - Verify recorded evidence"))</f>
        <v/>
      </c>
      <c r="D266" s="4">
        <f>IF(OR(IF(COUNTIFS('RQ2'!$A$2:$A$455,$A266,'RQ2'!$D$2:$D$455,"")&gt;0,"",INDEX('RQ2'!$D$2:$D$455,MATCH($A266,'RQ2'!$A$2:$A$455,0)))="",IF(COUNTIFS('RQ2'!$A$2:$A$455,$A266,'RQ2'!$E$2:$E$455,"")&gt;0,"",INDEX('RQ2'!$E$2:$E$455,MATCH($A266,'RQ2'!$A$2:$A$455,0)))=""),"PENDIENTE","REGISTRADA")</f>
        <v/>
      </c>
      <c r="E266" s="4">
        <f>IF(IF(COUNTIFS('RQ1'!$A$2:$A$455,$A266,'RQ1'!$N$2:$N$455,"")&gt;0,"",INDEX('RQ1'!$N$2:$N$455,MATCH($A266,'RQ1'!$A$2:$A$455,0)))=1,"REVISAR DETALLE","REGISTRADA")</f>
        <v/>
      </c>
      <c r="F266" s="4">
        <f>IF(IF(COUNTIFS('RQ3'!$A$2:$A$455,$A266,'RQ3'!$P$2:$P$455,"")&gt;0,"",INDEX('RQ3'!$P$2:$P$455,MATCH($A266,'RQ3'!$A$2:$A$455,0)))="","NO REGISTRADO",IF(IF(COUNTIFS('RQ3'!$A$2:$A$455,$A266,'RQ3'!$P$2:$P$455,"")&gt;0,"",INDEX('RQ3'!$P$2:$P$455,MATCH($A266,'RQ3'!$A$2:$A$455,0)))=1,"MARCA ACTIVA","SIN MARCA"))</f>
        <v/>
      </c>
      <c r="G266" s="4">
        <f>IF(IF(COUNTIFS('ESTUDIOS'!$A$2:$A$455,$A266,'ESTUDIOS'!$N$2:$N$455,"")&gt;0,"",INDEX('ESTUDIOS'!$N$2:$N$455,MATCH($A266,'ESTUDIOS'!$A$2:$A$455,0)))="Verified","DOCUMENTADA","NO DOCUMENTADA")</f>
        <v/>
      </c>
      <c r="H266" s="4">
        <f>IF(D266="PENDIENTE","Leer evidencia ya extraída; registrar uso propuesto o evaluado, función, fuente y revisor en RQ2.","Comprobar evidencia y cautelas registradas; documentar verificación sin recodificar lo ya respaldado.")</f>
        <v/>
      </c>
      <c r="I266" s="4" t="inlineStr">
        <is>
          <t>https://doi.org/10.1038/s41598-020-61288-5</t>
        </is>
      </c>
    </row>
    <row r="267" ht="64" customHeight="1">
      <c r="A267" s="4" t="inlineStr">
        <is>
          <t>288</t>
        </is>
      </c>
      <c r="B267" s="4" t="inlineStr">
        <is>
          <t>Identifying Autism with Head Movement Features by Implementing Machine Learning Algorithms</t>
        </is>
      </c>
      <c r="C267" s="4">
        <f>IF(IF(COUNTIFS('ESTUDIOS'!$A$2:$A$455,$A267,'ESTUDIOS'!$I$2:$I$455,"")&gt;0,"",INDEX('ESTUDIOS'!$I$2:$I$455,MATCH($A267,'ESTUDIOS'!$A$2:$A$455,0)))=1,"1 - Integrity",IF(OR(IF(COUNTIFS('RQ2'!$A$2:$A$455,$A267,'RQ2'!$D$2:$D$455,"")&gt;0,"",INDEX('RQ2'!$D$2:$D$455,MATCH($A267,'RQ2'!$A$2:$A$455,0)))="",IF(COUNTIFS('RQ2'!$A$2:$A$455,$A267,'RQ2'!$E$2:$E$455,"")&gt;0,"",INDEX('RQ2'!$E$2:$E$455,MATCH($A267,'RQ2'!$A$2:$A$455,0)))=""),"2 - RQ2 historical","3 - Verify recorded evidence"))</f>
        <v/>
      </c>
      <c r="D267" s="4">
        <f>IF(OR(IF(COUNTIFS('RQ2'!$A$2:$A$455,$A267,'RQ2'!$D$2:$D$455,"")&gt;0,"",INDEX('RQ2'!$D$2:$D$455,MATCH($A267,'RQ2'!$A$2:$A$455,0)))="",IF(COUNTIFS('RQ2'!$A$2:$A$455,$A267,'RQ2'!$E$2:$E$455,"")&gt;0,"",INDEX('RQ2'!$E$2:$E$455,MATCH($A267,'RQ2'!$A$2:$A$455,0)))=""),"PENDIENTE","REGISTRADA")</f>
        <v/>
      </c>
      <c r="E267" s="4">
        <f>IF(IF(COUNTIFS('RQ1'!$A$2:$A$455,$A267,'RQ1'!$N$2:$N$455,"")&gt;0,"",INDEX('RQ1'!$N$2:$N$455,MATCH($A267,'RQ1'!$A$2:$A$455,0)))=1,"REVISAR DETALLE","REGISTRADA")</f>
        <v/>
      </c>
      <c r="F267" s="4">
        <f>IF(IF(COUNTIFS('RQ3'!$A$2:$A$455,$A267,'RQ3'!$P$2:$P$455,"")&gt;0,"",INDEX('RQ3'!$P$2:$P$455,MATCH($A267,'RQ3'!$A$2:$A$455,0)))="","NO REGISTRADO",IF(IF(COUNTIFS('RQ3'!$A$2:$A$455,$A267,'RQ3'!$P$2:$P$455,"")&gt;0,"",INDEX('RQ3'!$P$2:$P$455,MATCH($A267,'RQ3'!$A$2:$A$455,0)))=1,"MARCA ACTIVA","SIN MARCA"))</f>
        <v/>
      </c>
      <c r="G267" s="4">
        <f>IF(IF(COUNTIFS('ESTUDIOS'!$A$2:$A$455,$A267,'ESTUDIOS'!$N$2:$N$455,"")&gt;0,"",INDEX('ESTUDIOS'!$N$2:$N$455,MATCH($A267,'ESTUDIOS'!$A$2:$A$455,0)))="Verified","DOCUMENTADA","NO DOCUMENTADA")</f>
        <v/>
      </c>
      <c r="H267" s="4">
        <f>IF(D267="PENDIENTE","Leer evidencia ya extraída; registrar uso propuesto o evaluado, función, fuente y revisor en RQ2.","Comprobar evidencia y cautelas registradas; documentar verificación sin recodificar lo ya respaldado.")</f>
        <v/>
      </c>
      <c r="I267" s="4" t="inlineStr">
        <is>
          <t>https://doi.org/10.1007/s10803-021-05179-2</t>
        </is>
      </c>
    </row>
    <row r="268" ht="64" customHeight="1">
      <c r="A268" s="4" t="inlineStr">
        <is>
          <t>289</t>
        </is>
      </c>
      <c r="B268" s="4" t="inlineStr">
        <is>
          <t>Increased serum levels of macrophage migration inhibitory factor in autism spectrum disorders</t>
        </is>
      </c>
      <c r="C268" s="4">
        <f>IF(IF(COUNTIFS('ESTUDIOS'!$A$2:$A$455,$A268,'ESTUDIOS'!$I$2:$I$455,"")&gt;0,"",INDEX('ESTUDIOS'!$I$2:$I$455,MATCH($A268,'ESTUDIOS'!$A$2:$A$455,0)))=1,"1 - Integrity",IF(OR(IF(COUNTIFS('RQ2'!$A$2:$A$455,$A268,'RQ2'!$D$2:$D$455,"")&gt;0,"",INDEX('RQ2'!$D$2:$D$455,MATCH($A268,'RQ2'!$A$2:$A$455,0)))="",IF(COUNTIFS('RQ2'!$A$2:$A$455,$A268,'RQ2'!$E$2:$E$455,"")&gt;0,"",INDEX('RQ2'!$E$2:$E$455,MATCH($A268,'RQ2'!$A$2:$A$455,0)))=""),"2 - RQ2 historical","3 - Verify recorded evidence"))</f>
        <v/>
      </c>
      <c r="D268" s="4">
        <f>IF(OR(IF(COUNTIFS('RQ2'!$A$2:$A$455,$A268,'RQ2'!$D$2:$D$455,"")&gt;0,"",INDEX('RQ2'!$D$2:$D$455,MATCH($A268,'RQ2'!$A$2:$A$455,0)))="",IF(COUNTIFS('RQ2'!$A$2:$A$455,$A268,'RQ2'!$E$2:$E$455,"")&gt;0,"",INDEX('RQ2'!$E$2:$E$455,MATCH($A268,'RQ2'!$A$2:$A$455,0)))=""),"PENDIENTE","REGISTRADA")</f>
        <v/>
      </c>
      <c r="E268" s="4">
        <f>IF(IF(COUNTIFS('RQ1'!$A$2:$A$455,$A268,'RQ1'!$N$2:$N$455,"")&gt;0,"",INDEX('RQ1'!$N$2:$N$455,MATCH($A268,'RQ1'!$A$2:$A$455,0)))=1,"REVISAR DETALLE","REGISTRADA")</f>
        <v/>
      </c>
      <c r="F268" s="4">
        <f>IF(IF(COUNTIFS('RQ3'!$A$2:$A$455,$A268,'RQ3'!$P$2:$P$455,"")&gt;0,"",INDEX('RQ3'!$P$2:$P$455,MATCH($A268,'RQ3'!$A$2:$A$455,0)))="","NO REGISTRADO",IF(IF(COUNTIFS('RQ3'!$A$2:$A$455,$A268,'RQ3'!$P$2:$P$455,"")&gt;0,"",INDEX('RQ3'!$P$2:$P$455,MATCH($A268,'RQ3'!$A$2:$A$455,0)))=1,"MARCA ACTIVA","SIN MARCA"))</f>
        <v/>
      </c>
      <c r="G268" s="4">
        <f>IF(IF(COUNTIFS('ESTUDIOS'!$A$2:$A$455,$A268,'ESTUDIOS'!$N$2:$N$455,"")&gt;0,"",INDEX('ESTUDIOS'!$N$2:$N$455,MATCH($A268,'ESTUDIOS'!$A$2:$A$455,0)))="Verified","DOCUMENTADA","NO DOCUMENTADA")</f>
        <v/>
      </c>
      <c r="H268" s="4">
        <f>IF(D268="PENDIENTE","Leer evidencia ya extraída; registrar uso propuesto o evaluado, función, fuente y revisor en RQ2.","Comprobar evidencia y cautelas registradas; documentar verificación sin recodificar lo ya respaldado.")</f>
        <v/>
      </c>
      <c r="I268" s="4" t="inlineStr">
        <is>
          <t>https://doi.org/10.1016/j.neuro.2018.11.015</t>
        </is>
      </c>
    </row>
    <row r="269" ht="64" customHeight="1">
      <c r="A269" s="4" t="inlineStr">
        <is>
          <t>290</t>
        </is>
      </c>
      <c r="B269" s="4" t="inlineStr">
        <is>
          <t>Machine Learning and Structural Dynamics-Based Approach to Reveal Molecular Mechanism of PTEN Missense Mutations Shared by Cancer and Autism Spectrum Disorder</t>
        </is>
      </c>
      <c r="C269" s="4">
        <f>IF(IF(COUNTIFS('ESTUDIOS'!$A$2:$A$455,$A269,'ESTUDIOS'!$I$2:$I$455,"")&gt;0,"",INDEX('ESTUDIOS'!$I$2:$I$455,MATCH($A269,'ESTUDIOS'!$A$2:$A$455,0)))=1,"1 - Integrity",IF(OR(IF(COUNTIFS('RQ2'!$A$2:$A$455,$A269,'RQ2'!$D$2:$D$455,"")&gt;0,"",INDEX('RQ2'!$D$2:$D$455,MATCH($A269,'RQ2'!$A$2:$A$455,0)))="",IF(COUNTIFS('RQ2'!$A$2:$A$455,$A269,'RQ2'!$E$2:$E$455,"")&gt;0,"",INDEX('RQ2'!$E$2:$E$455,MATCH($A269,'RQ2'!$A$2:$A$455,0)))=""),"2 - RQ2 historical","3 - Verify recorded evidence"))</f>
        <v/>
      </c>
      <c r="D269" s="4">
        <f>IF(OR(IF(COUNTIFS('RQ2'!$A$2:$A$455,$A269,'RQ2'!$D$2:$D$455,"")&gt;0,"",INDEX('RQ2'!$D$2:$D$455,MATCH($A269,'RQ2'!$A$2:$A$455,0)))="",IF(COUNTIFS('RQ2'!$A$2:$A$455,$A269,'RQ2'!$E$2:$E$455,"")&gt;0,"",INDEX('RQ2'!$E$2:$E$455,MATCH($A269,'RQ2'!$A$2:$A$455,0)))=""),"PENDIENTE","REGISTRADA")</f>
        <v/>
      </c>
      <c r="E269" s="4">
        <f>IF(IF(COUNTIFS('RQ1'!$A$2:$A$455,$A269,'RQ1'!$N$2:$N$455,"")&gt;0,"",INDEX('RQ1'!$N$2:$N$455,MATCH($A269,'RQ1'!$A$2:$A$455,0)))=1,"REVISAR DETALLE","REGISTRADA")</f>
        <v/>
      </c>
      <c r="F269" s="4">
        <f>IF(IF(COUNTIFS('RQ3'!$A$2:$A$455,$A269,'RQ3'!$P$2:$P$455,"")&gt;0,"",INDEX('RQ3'!$P$2:$P$455,MATCH($A269,'RQ3'!$A$2:$A$455,0)))="","NO REGISTRADO",IF(IF(COUNTIFS('RQ3'!$A$2:$A$455,$A269,'RQ3'!$P$2:$P$455,"")&gt;0,"",INDEX('RQ3'!$P$2:$P$455,MATCH($A269,'RQ3'!$A$2:$A$455,0)))=1,"MARCA ACTIVA","SIN MARCA"))</f>
        <v/>
      </c>
      <c r="G269" s="4">
        <f>IF(IF(COUNTIFS('ESTUDIOS'!$A$2:$A$455,$A269,'ESTUDIOS'!$N$2:$N$455,"")&gt;0,"",INDEX('ESTUDIOS'!$N$2:$N$455,MATCH($A269,'ESTUDIOS'!$A$2:$A$455,0)))="Verified","DOCUMENTADA","NO DOCUMENTADA")</f>
        <v/>
      </c>
      <c r="H269" s="4">
        <f>IF(D269="PENDIENTE","Leer evidencia ya extraída; registrar uso propuesto o evaluado, función, fuente y revisor en RQ2.","Comprobar evidencia y cautelas registradas; documentar verificación sin recodificar lo ya respaldado.")</f>
        <v/>
      </c>
      <c r="I269" s="4" t="inlineStr">
        <is>
          <t>https://doi.org/10.1021/acs.jcim.5c00134</t>
        </is>
      </c>
    </row>
    <row r="270" ht="64" customHeight="1">
      <c r="A270" s="4" t="inlineStr">
        <is>
          <t>291</t>
        </is>
      </c>
      <c r="B270" s="4" t="inlineStr">
        <is>
          <t>MCDGLN: Masked connection-based dynamic graph learning network for autism spectrum disorder</t>
        </is>
      </c>
      <c r="C270" s="4">
        <f>IF(IF(COUNTIFS('ESTUDIOS'!$A$2:$A$455,$A270,'ESTUDIOS'!$I$2:$I$455,"")&gt;0,"",INDEX('ESTUDIOS'!$I$2:$I$455,MATCH($A270,'ESTUDIOS'!$A$2:$A$455,0)))=1,"1 - Integrity",IF(OR(IF(COUNTIFS('RQ2'!$A$2:$A$455,$A270,'RQ2'!$D$2:$D$455,"")&gt;0,"",INDEX('RQ2'!$D$2:$D$455,MATCH($A270,'RQ2'!$A$2:$A$455,0)))="",IF(COUNTIFS('RQ2'!$A$2:$A$455,$A270,'RQ2'!$E$2:$E$455,"")&gt;0,"",INDEX('RQ2'!$E$2:$E$455,MATCH($A270,'RQ2'!$A$2:$A$455,0)))=""),"2 - RQ2 historical","3 - Verify recorded evidence"))</f>
        <v/>
      </c>
      <c r="D270" s="4">
        <f>IF(OR(IF(COUNTIFS('RQ2'!$A$2:$A$455,$A270,'RQ2'!$D$2:$D$455,"")&gt;0,"",INDEX('RQ2'!$D$2:$D$455,MATCH($A270,'RQ2'!$A$2:$A$455,0)))="",IF(COUNTIFS('RQ2'!$A$2:$A$455,$A270,'RQ2'!$E$2:$E$455,"")&gt;0,"",INDEX('RQ2'!$E$2:$E$455,MATCH($A270,'RQ2'!$A$2:$A$455,0)))=""),"PENDIENTE","REGISTRADA")</f>
        <v/>
      </c>
      <c r="E270" s="4">
        <f>IF(IF(COUNTIFS('RQ1'!$A$2:$A$455,$A270,'RQ1'!$N$2:$N$455,"")&gt;0,"",INDEX('RQ1'!$N$2:$N$455,MATCH($A270,'RQ1'!$A$2:$A$455,0)))=1,"REVISAR DETALLE","REGISTRADA")</f>
        <v/>
      </c>
      <c r="F270" s="4">
        <f>IF(IF(COUNTIFS('RQ3'!$A$2:$A$455,$A270,'RQ3'!$P$2:$P$455,"")&gt;0,"",INDEX('RQ3'!$P$2:$P$455,MATCH($A270,'RQ3'!$A$2:$A$455,0)))="","NO REGISTRADO",IF(IF(COUNTIFS('RQ3'!$A$2:$A$455,$A270,'RQ3'!$P$2:$P$455,"")&gt;0,"",INDEX('RQ3'!$P$2:$P$455,MATCH($A270,'RQ3'!$A$2:$A$455,0)))=1,"MARCA ACTIVA","SIN MARCA"))</f>
        <v/>
      </c>
      <c r="G270" s="4">
        <f>IF(IF(COUNTIFS('ESTUDIOS'!$A$2:$A$455,$A270,'ESTUDIOS'!$N$2:$N$455,"")&gt;0,"",INDEX('ESTUDIOS'!$N$2:$N$455,MATCH($A270,'ESTUDIOS'!$A$2:$A$455,0)))="Verified","DOCUMENTADA","NO DOCUMENTADA")</f>
        <v/>
      </c>
      <c r="H270" s="4">
        <f>IF(D270="PENDIENTE","Leer evidencia ya extraída; registrar uso propuesto o evaluado, función, fuente y revisor en RQ2.","Comprobar evidencia y cautelas registradas; documentar verificación sin recodificar lo ya respaldado.")</f>
        <v/>
      </c>
      <c r="I270" s="4" t="inlineStr">
        <is>
          <t>https://doi.org/10.1016/j.brainresbull.2025.111290</t>
        </is>
      </c>
    </row>
    <row r="271" ht="64" customHeight="1">
      <c r="A271" s="4" t="inlineStr">
        <is>
          <t>292</t>
        </is>
      </c>
      <c r="B271" s="4" t="inlineStr">
        <is>
          <t>Performance of case-control rare copy number variation annotation in classification of autism</t>
        </is>
      </c>
      <c r="C271" s="4">
        <f>IF(IF(COUNTIFS('ESTUDIOS'!$A$2:$A$455,$A271,'ESTUDIOS'!$I$2:$I$455,"")&gt;0,"",INDEX('ESTUDIOS'!$I$2:$I$455,MATCH($A271,'ESTUDIOS'!$A$2:$A$455,0)))=1,"1 - Integrity",IF(OR(IF(COUNTIFS('RQ2'!$A$2:$A$455,$A271,'RQ2'!$D$2:$D$455,"")&gt;0,"",INDEX('RQ2'!$D$2:$D$455,MATCH($A271,'RQ2'!$A$2:$A$455,0)))="",IF(COUNTIFS('RQ2'!$A$2:$A$455,$A271,'RQ2'!$E$2:$E$455,"")&gt;0,"",INDEX('RQ2'!$E$2:$E$455,MATCH($A271,'RQ2'!$A$2:$A$455,0)))=""),"2 - RQ2 historical","3 - Verify recorded evidence"))</f>
        <v/>
      </c>
      <c r="D271" s="4">
        <f>IF(OR(IF(COUNTIFS('RQ2'!$A$2:$A$455,$A271,'RQ2'!$D$2:$D$455,"")&gt;0,"",INDEX('RQ2'!$D$2:$D$455,MATCH($A271,'RQ2'!$A$2:$A$455,0)))="",IF(COUNTIFS('RQ2'!$A$2:$A$455,$A271,'RQ2'!$E$2:$E$455,"")&gt;0,"",INDEX('RQ2'!$E$2:$E$455,MATCH($A271,'RQ2'!$A$2:$A$455,0)))=""),"PENDIENTE","REGISTRADA")</f>
        <v/>
      </c>
      <c r="E271" s="4">
        <f>IF(IF(COUNTIFS('RQ1'!$A$2:$A$455,$A271,'RQ1'!$N$2:$N$455,"")&gt;0,"",INDEX('RQ1'!$N$2:$N$455,MATCH($A271,'RQ1'!$A$2:$A$455,0)))=1,"REVISAR DETALLE","REGISTRADA")</f>
        <v/>
      </c>
      <c r="F271" s="4">
        <f>IF(IF(COUNTIFS('RQ3'!$A$2:$A$455,$A271,'RQ3'!$P$2:$P$455,"")&gt;0,"",INDEX('RQ3'!$P$2:$P$455,MATCH($A271,'RQ3'!$A$2:$A$455,0)))="","NO REGISTRADO",IF(IF(COUNTIFS('RQ3'!$A$2:$A$455,$A271,'RQ3'!$P$2:$P$455,"")&gt;0,"",INDEX('RQ3'!$P$2:$P$455,MATCH($A271,'RQ3'!$A$2:$A$455,0)))=1,"MARCA ACTIVA","SIN MARCA"))</f>
        <v/>
      </c>
      <c r="G271" s="4">
        <f>IF(IF(COUNTIFS('ESTUDIOS'!$A$2:$A$455,$A271,'ESTUDIOS'!$N$2:$N$455,"")&gt;0,"",INDEX('ESTUDIOS'!$N$2:$N$455,MATCH($A271,'ESTUDIOS'!$A$2:$A$455,0)))="Verified","DOCUMENTADA","NO DOCUMENTADA")</f>
        <v/>
      </c>
      <c r="H271" s="4">
        <f>IF(D271="PENDIENTE","Leer evidencia ya extraída; registrar uso propuesto o evaluado, función, fuente y revisor en RQ2.","Comprobar evidencia y cautelas registradas; documentar verificación sin recodificar lo ya respaldado.")</f>
        <v/>
      </c>
      <c r="I271" s="4" t="inlineStr">
        <is>
          <t>https://doi.org/10.1186/1755-8794-8-s1-s7</t>
        </is>
      </c>
    </row>
    <row r="272" ht="64" customHeight="1">
      <c r="A272" s="4" t="inlineStr">
        <is>
          <t>293</t>
        </is>
      </c>
      <c r="B272" s="4" t="inlineStr">
        <is>
          <t>Personalized machine learning for robot perception of affect and engagement in autism therapy</t>
        </is>
      </c>
      <c r="C272" s="4">
        <f>IF(IF(COUNTIFS('ESTUDIOS'!$A$2:$A$455,$A272,'ESTUDIOS'!$I$2:$I$455,"")&gt;0,"",INDEX('ESTUDIOS'!$I$2:$I$455,MATCH($A272,'ESTUDIOS'!$A$2:$A$455,0)))=1,"1 - Integrity",IF(OR(IF(COUNTIFS('RQ2'!$A$2:$A$455,$A272,'RQ2'!$D$2:$D$455,"")&gt;0,"",INDEX('RQ2'!$D$2:$D$455,MATCH($A272,'RQ2'!$A$2:$A$455,0)))="",IF(COUNTIFS('RQ2'!$A$2:$A$455,$A272,'RQ2'!$E$2:$E$455,"")&gt;0,"",INDEX('RQ2'!$E$2:$E$455,MATCH($A272,'RQ2'!$A$2:$A$455,0)))=""),"2 - RQ2 historical","3 - Verify recorded evidence"))</f>
        <v/>
      </c>
      <c r="D272" s="4">
        <f>IF(OR(IF(COUNTIFS('RQ2'!$A$2:$A$455,$A272,'RQ2'!$D$2:$D$455,"")&gt;0,"",INDEX('RQ2'!$D$2:$D$455,MATCH($A272,'RQ2'!$A$2:$A$455,0)))="",IF(COUNTIFS('RQ2'!$A$2:$A$455,$A272,'RQ2'!$E$2:$E$455,"")&gt;0,"",INDEX('RQ2'!$E$2:$E$455,MATCH($A272,'RQ2'!$A$2:$A$455,0)))=""),"PENDIENTE","REGISTRADA")</f>
        <v/>
      </c>
      <c r="E272" s="4">
        <f>IF(IF(COUNTIFS('RQ1'!$A$2:$A$455,$A272,'RQ1'!$N$2:$N$455,"")&gt;0,"",INDEX('RQ1'!$N$2:$N$455,MATCH($A272,'RQ1'!$A$2:$A$455,0)))=1,"REVISAR DETALLE","REGISTRADA")</f>
        <v/>
      </c>
      <c r="F272" s="4">
        <f>IF(IF(COUNTIFS('RQ3'!$A$2:$A$455,$A272,'RQ3'!$P$2:$P$455,"")&gt;0,"",INDEX('RQ3'!$P$2:$P$455,MATCH($A272,'RQ3'!$A$2:$A$455,0)))="","NO REGISTRADO",IF(IF(COUNTIFS('RQ3'!$A$2:$A$455,$A272,'RQ3'!$P$2:$P$455,"")&gt;0,"",INDEX('RQ3'!$P$2:$P$455,MATCH($A272,'RQ3'!$A$2:$A$455,0)))=1,"MARCA ACTIVA","SIN MARCA"))</f>
        <v/>
      </c>
      <c r="G272" s="4">
        <f>IF(IF(COUNTIFS('ESTUDIOS'!$A$2:$A$455,$A272,'ESTUDIOS'!$N$2:$N$455,"")&gt;0,"",INDEX('ESTUDIOS'!$N$2:$N$455,MATCH($A272,'ESTUDIOS'!$A$2:$A$455,0)))="Verified","DOCUMENTADA","NO DOCUMENTADA")</f>
        <v/>
      </c>
      <c r="H272" s="4">
        <f>IF(D272="PENDIENTE","Leer evidencia ya extraída; registrar uso propuesto o evaluado, función, fuente y revisor en RQ2.","Comprobar evidencia y cautelas registradas; documentar verificación sin recodificar lo ya respaldado.")</f>
        <v/>
      </c>
      <c r="I272" s="4" t="inlineStr">
        <is>
          <t>https://doi.org/10.1126/scirobotics.aao6760</t>
        </is>
      </c>
    </row>
    <row r="273" ht="64" customHeight="1">
      <c r="A273" s="4" t="inlineStr">
        <is>
          <t>295</t>
        </is>
      </c>
      <c r="B273" s="4" t="inlineStr">
        <is>
          <t>Prediction of Autism at 3 Years from Behavioural and Developmental Measures in High-Risk Infants: A Longitudinal Cross-Domain Classifier Analysis</t>
        </is>
      </c>
      <c r="C273" s="4">
        <f>IF(IF(COUNTIFS('ESTUDIOS'!$A$2:$A$455,$A273,'ESTUDIOS'!$I$2:$I$455,"")&gt;0,"",INDEX('ESTUDIOS'!$I$2:$I$455,MATCH($A273,'ESTUDIOS'!$A$2:$A$455,0)))=1,"1 - Integrity",IF(OR(IF(COUNTIFS('RQ2'!$A$2:$A$455,$A273,'RQ2'!$D$2:$D$455,"")&gt;0,"",INDEX('RQ2'!$D$2:$D$455,MATCH($A273,'RQ2'!$A$2:$A$455,0)))="",IF(COUNTIFS('RQ2'!$A$2:$A$455,$A273,'RQ2'!$E$2:$E$455,"")&gt;0,"",INDEX('RQ2'!$E$2:$E$455,MATCH($A273,'RQ2'!$A$2:$A$455,0)))=""),"2 - RQ2 historical","3 - Verify recorded evidence"))</f>
        <v/>
      </c>
      <c r="D273" s="4">
        <f>IF(OR(IF(COUNTIFS('RQ2'!$A$2:$A$455,$A273,'RQ2'!$D$2:$D$455,"")&gt;0,"",INDEX('RQ2'!$D$2:$D$455,MATCH($A273,'RQ2'!$A$2:$A$455,0)))="",IF(COUNTIFS('RQ2'!$A$2:$A$455,$A273,'RQ2'!$E$2:$E$455,"")&gt;0,"",INDEX('RQ2'!$E$2:$E$455,MATCH($A273,'RQ2'!$A$2:$A$455,0)))=""),"PENDIENTE","REGISTRADA")</f>
        <v/>
      </c>
      <c r="E273" s="4">
        <f>IF(IF(COUNTIFS('RQ1'!$A$2:$A$455,$A273,'RQ1'!$N$2:$N$455,"")&gt;0,"",INDEX('RQ1'!$N$2:$N$455,MATCH($A273,'RQ1'!$A$2:$A$455,0)))=1,"REVISAR DETALLE","REGISTRADA")</f>
        <v/>
      </c>
      <c r="F273" s="4">
        <f>IF(IF(COUNTIFS('RQ3'!$A$2:$A$455,$A273,'RQ3'!$P$2:$P$455,"")&gt;0,"",INDEX('RQ3'!$P$2:$P$455,MATCH($A273,'RQ3'!$A$2:$A$455,0)))="","NO REGISTRADO",IF(IF(COUNTIFS('RQ3'!$A$2:$A$455,$A273,'RQ3'!$P$2:$P$455,"")&gt;0,"",INDEX('RQ3'!$P$2:$P$455,MATCH($A273,'RQ3'!$A$2:$A$455,0)))=1,"MARCA ACTIVA","SIN MARCA"))</f>
        <v/>
      </c>
      <c r="G273" s="4">
        <f>IF(IF(COUNTIFS('ESTUDIOS'!$A$2:$A$455,$A273,'ESTUDIOS'!$N$2:$N$455,"")&gt;0,"",INDEX('ESTUDIOS'!$N$2:$N$455,MATCH($A273,'ESTUDIOS'!$A$2:$A$455,0)))="Verified","DOCUMENTADA","NO DOCUMENTADA")</f>
        <v/>
      </c>
      <c r="H273" s="4">
        <f>IF(D273="PENDIENTE","Leer evidencia ya extraída; registrar uso propuesto o evaluado, función, fuente y revisor en RQ2.","Comprobar evidencia y cautelas registradas; documentar verificación sin recodificar lo ya respaldado.")</f>
        <v/>
      </c>
      <c r="I273" s="4" t="inlineStr">
        <is>
          <t>https://doi.org/10.1007/s10803-018-3509-x</t>
        </is>
      </c>
    </row>
    <row r="274" ht="64" customHeight="1">
      <c r="A274" s="4" t="inlineStr">
        <is>
          <t>296</t>
        </is>
      </c>
      <c r="B274" s="4" t="inlineStr">
        <is>
          <t>STDCformer: Spatial-temporal dual-path cross-attention model for fMRI-based autism spectrum disorder identification</t>
        </is>
      </c>
      <c r="C274" s="4">
        <f>IF(IF(COUNTIFS('ESTUDIOS'!$A$2:$A$455,$A274,'ESTUDIOS'!$I$2:$I$455,"")&gt;0,"",INDEX('ESTUDIOS'!$I$2:$I$455,MATCH($A274,'ESTUDIOS'!$A$2:$A$455,0)))=1,"1 - Integrity",IF(OR(IF(COUNTIFS('RQ2'!$A$2:$A$455,$A274,'RQ2'!$D$2:$D$455,"")&gt;0,"",INDEX('RQ2'!$D$2:$D$455,MATCH($A274,'RQ2'!$A$2:$A$455,0)))="",IF(COUNTIFS('RQ2'!$A$2:$A$455,$A274,'RQ2'!$E$2:$E$455,"")&gt;0,"",INDEX('RQ2'!$E$2:$E$455,MATCH($A274,'RQ2'!$A$2:$A$455,0)))=""),"2 - RQ2 historical","3 - Verify recorded evidence"))</f>
        <v/>
      </c>
      <c r="D274" s="4">
        <f>IF(OR(IF(COUNTIFS('RQ2'!$A$2:$A$455,$A274,'RQ2'!$D$2:$D$455,"")&gt;0,"",INDEX('RQ2'!$D$2:$D$455,MATCH($A274,'RQ2'!$A$2:$A$455,0)))="",IF(COUNTIFS('RQ2'!$A$2:$A$455,$A274,'RQ2'!$E$2:$E$455,"")&gt;0,"",INDEX('RQ2'!$E$2:$E$455,MATCH($A274,'RQ2'!$A$2:$A$455,0)))=""),"PENDIENTE","REGISTRADA")</f>
        <v/>
      </c>
      <c r="E274" s="4">
        <f>IF(IF(COUNTIFS('RQ1'!$A$2:$A$455,$A274,'RQ1'!$N$2:$N$455,"")&gt;0,"",INDEX('RQ1'!$N$2:$N$455,MATCH($A274,'RQ1'!$A$2:$A$455,0)))=1,"REVISAR DETALLE","REGISTRADA")</f>
        <v/>
      </c>
      <c r="F274" s="4">
        <f>IF(IF(COUNTIFS('RQ3'!$A$2:$A$455,$A274,'RQ3'!$P$2:$P$455,"")&gt;0,"",INDEX('RQ3'!$P$2:$P$455,MATCH($A274,'RQ3'!$A$2:$A$455,0)))="","NO REGISTRADO",IF(IF(COUNTIFS('RQ3'!$A$2:$A$455,$A274,'RQ3'!$P$2:$P$455,"")&gt;0,"",INDEX('RQ3'!$P$2:$P$455,MATCH($A274,'RQ3'!$A$2:$A$455,0)))=1,"MARCA ACTIVA","SIN MARCA"))</f>
        <v/>
      </c>
      <c r="G274" s="4">
        <f>IF(IF(COUNTIFS('ESTUDIOS'!$A$2:$A$455,$A274,'ESTUDIOS'!$N$2:$N$455,"")&gt;0,"",INDEX('ESTUDIOS'!$N$2:$N$455,MATCH($A274,'ESTUDIOS'!$A$2:$A$455,0)))="Verified","DOCUMENTADA","NO DOCUMENTADA")</f>
        <v/>
      </c>
      <c r="H274" s="4">
        <f>IF(D274="PENDIENTE","Leer evidencia ya extraída; registrar uso propuesto o evaluado, función, fuente y revisor en RQ2.","Comprobar evidencia y cautelas registradas; documentar verificación sin recodificar lo ya respaldado.")</f>
        <v/>
      </c>
      <c r="I274" s="4" t="inlineStr">
        <is>
          <t>https://doi.org/10.1016/j.heliyon.2024.e34245</t>
        </is>
      </c>
    </row>
    <row r="275" ht="64" customHeight="1">
      <c r="A275" s="4" t="inlineStr">
        <is>
          <t>298</t>
        </is>
      </c>
      <c r="B275" s="4" t="inlineStr">
        <is>
          <t>Three Distinct Neuroanatomical Subtypes of Autism Spectrum Disorder, Revealed via Machine Learning, and Their Similarities With Schizophrenia Subtypes</t>
        </is>
      </c>
      <c r="C275" s="4">
        <f>IF(IF(COUNTIFS('ESTUDIOS'!$A$2:$A$455,$A275,'ESTUDIOS'!$I$2:$I$455,"")&gt;0,"",INDEX('ESTUDIOS'!$I$2:$I$455,MATCH($A275,'ESTUDIOS'!$A$2:$A$455,0)))=1,"1 - Integrity",IF(OR(IF(COUNTIFS('RQ2'!$A$2:$A$455,$A275,'RQ2'!$D$2:$D$455,"")&gt;0,"",INDEX('RQ2'!$D$2:$D$455,MATCH($A275,'RQ2'!$A$2:$A$455,0)))="",IF(COUNTIFS('RQ2'!$A$2:$A$455,$A275,'RQ2'!$E$2:$E$455,"")&gt;0,"",INDEX('RQ2'!$E$2:$E$455,MATCH($A275,'RQ2'!$A$2:$A$455,0)))=""),"2 - RQ2 historical","3 - Verify recorded evidence"))</f>
        <v/>
      </c>
      <c r="D275" s="4">
        <f>IF(OR(IF(COUNTIFS('RQ2'!$A$2:$A$455,$A275,'RQ2'!$D$2:$D$455,"")&gt;0,"",INDEX('RQ2'!$D$2:$D$455,MATCH($A275,'RQ2'!$A$2:$A$455,0)))="",IF(COUNTIFS('RQ2'!$A$2:$A$455,$A275,'RQ2'!$E$2:$E$455,"")&gt;0,"",INDEX('RQ2'!$E$2:$E$455,MATCH($A275,'RQ2'!$A$2:$A$455,0)))=""),"PENDIENTE","REGISTRADA")</f>
        <v/>
      </c>
      <c r="E275" s="4">
        <f>IF(IF(COUNTIFS('RQ1'!$A$2:$A$455,$A275,'RQ1'!$N$2:$N$455,"")&gt;0,"",INDEX('RQ1'!$N$2:$N$455,MATCH($A275,'RQ1'!$A$2:$A$455,0)))=1,"REVISAR DETALLE","REGISTRADA")</f>
        <v/>
      </c>
      <c r="F275" s="4">
        <f>IF(IF(COUNTIFS('RQ3'!$A$2:$A$455,$A275,'RQ3'!$P$2:$P$455,"")&gt;0,"",INDEX('RQ3'!$P$2:$P$455,MATCH($A275,'RQ3'!$A$2:$A$455,0)))="","NO REGISTRADO",IF(IF(COUNTIFS('RQ3'!$A$2:$A$455,$A275,'RQ3'!$P$2:$P$455,"")&gt;0,"",INDEX('RQ3'!$P$2:$P$455,MATCH($A275,'RQ3'!$A$2:$A$455,0)))=1,"MARCA ACTIVA","SIN MARCA"))</f>
        <v/>
      </c>
      <c r="G275" s="4">
        <f>IF(IF(COUNTIFS('ESTUDIOS'!$A$2:$A$455,$A275,'ESTUDIOS'!$N$2:$N$455,"")&gt;0,"",INDEX('ESTUDIOS'!$N$2:$N$455,MATCH($A275,'ESTUDIOS'!$A$2:$A$455,0)))="Verified","DOCUMENTADA","NO DOCUMENTADA")</f>
        <v/>
      </c>
      <c r="H275" s="4">
        <f>IF(D275="PENDIENTE","Leer evidencia ya extraída; registrar uso propuesto o evaluado, función, fuente y revisor en RQ2.","Comprobar evidencia y cautelas registradas; documentar verificación sin recodificar lo ya respaldado.")</f>
        <v/>
      </c>
      <c r="I275" s="4" t="inlineStr">
        <is>
          <t>https://doi.org/10.1016/j.biopsych.2021.02.931</t>
        </is>
      </c>
    </row>
    <row r="276" ht="64" customHeight="1">
      <c r="A276" s="4" t="inlineStr">
        <is>
          <t>299</t>
        </is>
      </c>
      <c r="B276" s="4" t="inlineStr">
        <is>
          <t>Three-dimensional quantification of oxytocin neurons in the hypothalamic paraventricular nucleus reveals sex- and subregion-specific differences in two genetic mouse models of autism</t>
        </is>
      </c>
      <c r="C276" s="4">
        <f>IF(IF(COUNTIFS('ESTUDIOS'!$A$2:$A$455,$A276,'ESTUDIOS'!$I$2:$I$455,"")&gt;0,"",INDEX('ESTUDIOS'!$I$2:$I$455,MATCH($A276,'ESTUDIOS'!$A$2:$A$455,0)))=1,"1 - Integrity",IF(OR(IF(COUNTIFS('RQ2'!$A$2:$A$455,$A276,'RQ2'!$D$2:$D$455,"")&gt;0,"",INDEX('RQ2'!$D$2:$D$455,MATCH($A276,'RQ2'!$A$2:$A$455,0)))="",IF(COUNTIFS('RQ2'!$A$2:$A$455,$A276,'RQ2'!$E$2:$E$455,"")&gt;0,"",INDEX('RQ2'!$E$2:$E$455,MATCH($A276,'RQ2'!$A$2:$A$455,0)))=""),"2 - RQ2 historical","3 - Verify recorded evidence"))</f>
        <v/>
      </c>
      <c r="D276" s="4">
        <f>IF(OR(IF(COUNTIFS('RQ2'!$A$2:$A$455,$A276,'RQ2'!$D$2:$D$455,"")&gt;0,"",INDEX('RQ2'!$D$2:$D$455,MATCH($A276,'RQ2'!$A$2:$A$455,0)))="",IF(COUNTIFS('RQ2'!$A$2:$A$455,$A276,'RQ2'!$E$2:$E$455,"")&gt;0,"",INDEX('RQ2'!$E$2:$E$455,MATCH($A276,'RQ2'!$A$2:$A$455,0)))=""),"PENDIENTE","REGISTRADA")</f>
        <v/>
      </c>
      <c r="E276" s="4">
        <f>IF(IF(COUNTIFS('RQ1'!$A$2:$A$455,$A276,'RQ1'!$N$2:$N$455,"")&gt;0,"",INDEX('RQ1'!$N$2:$N$455,MATCH($A276,'RQ1'!$A$2:$A$455,0)))=1,"REVISAR DETALLE","REGISTRADA")</f>
        <v/>
      </c>
      <c r="F276" s="4">
        <f>IF(IF(COUNTIFS('RQ3'!$A$2:$A$455,$A276,'RQ3'!$P$2:$P$455,"")&gt;0,"",INDEX('RQ3'!$P$2:$P$455,MATCH($A276,'RQ3'!$A$2:$A$455,0)))="","NO REGISTRADO",IF(IF(COUNTIFS('RQ3'!$A$2:$A$455,$A276,'RQ3'!$P$2:$P$455,"")&gt;0,"",INDEX('RQ3'!$P$2:$P$455,MATCH($A276,'RQ3'!$A$2:$A$455,0)))=1,"MARCA ACTIVA","SIN MARCA"))</f>
        <v/>
      </c>
      <c r="G276" s="4">
        <f>IF(IF(COUNTIFS('ESTUDIOS'!$A$2:$A$455,$A276,'ESTUDIOS'!$N$2:$N$455,"")&gt;0,"",INDEX('ESTUDIOS'!$N$2:$N$455,MATCH($A276,'ESTUDIOS'!$A$2:$A$455,0)))="Verified","DOCUMENTADA","NO DOCUMENTADA")</f>
        <v/>
      </c>
      <c r="H276" s="4">
        <f>IF(D276="PENDIENTE","Leer evidencia ya extraída; registrar uso propuesto o evaluado, función, fuente y revisor en RQ2.","Comprobar evidencia y cautelas registradas; documentar verificación sin recodificar lo ya respaldado.")</f>
        <v/>
      </c>
      <c r="I276" s="4" t="inlineStr">
        <is>
          <t>https://doi.org/10.1111/jne.70092</t>
        </is>
      </c>
    </row>
    <row r="277" ht="64" customHeight="1">
      <c r="A277" s="4" t="inlineStr">
        <is>
          <t>300</t>
        </is>
      </c>
      <c r="B277" s="4" t="inlineStr">
        <is>
          <t>Application of Speech Signal for Early Screening of Children with Autism Spectrum Disorder</t>
        </is>
      </c>
      <c r="C277" s="4">
        <f>IF(IF(COUNTIFS('ESTUDIOS'!$A$2:$A$455,$A277,'ESTUDIOS'!$I$2:$I$455,"")&gt;0,"",INDEX('ESTUDIOS'!$I$2:$I$455,MATCH($A277,'ESTUDIOS'!$A$2:$A$455,0)))=1,"1 - Integrity",IF(OR(IF(COUNTIFS('RQ2'!$A$2:$A$455,$A277,'RQ2'!$D$2:$D$455,"")&gt;0,"",INDEX('RQ2'!$D$2:$D$455,MATCH($A277,'RQ2'!$A$2:$A$455,0)))="",IF(COUNTIFS('RQ2'!$A$2:$A$455,$A277,'RQ2'!$E$2:$E$455,"")&gt;0,"",INDEX('RQ2'!$E$2:$E$455,MATCH($A277,'RQ2'!$A$2:$A$455,0)))=""),"2 - RQ2 historical","3 - Verify recorded evidence"))</f>
        <v/>
      </c>
      <c r="D277" s="4">
        <f>IF(OR(IF(COUNTIFS('RQ2'!$A$2:$A$455,$A277,'RQ2'!$D$2:$D$455,"")&gt;0,"",INDEX('RQ2'!$D$2:$D$455,MATCH($A277,'RQ2'!$A$2:$A$455,0)))="",IF(COUNTIFS('RQ2'!$A$2:$A$455,$A277,'RQ2'!$E$2:$E$455,"")&gt;0,"",INDEX('RQ2'!$E$2:$E$455,MATCH($A277,'RQ2'!$A$2:$A$455,0)))=""),"PENDIENTE","REGISTRADA")</f>
        <v/>
      </c>
      <c r="E277" s="4">
        <f>IF(IF(COUNTIFS('RQ1'!$A$2:$A$455,$A277,'RQ1'!$N$2:$N$455,"")&gt;0,"",INDEX('RQ1'!$N$2:$N$455,MATCH($A277,'RQ1'!$A$2:$A$455,0)))=1,"REVISAR DETALLE","REGISTRADA")</f>
        <v/>
      </c>
      <c r="F277" s="4">
        <f>IF(IF(COUNTIFS('RQ3'!$A$2:$A$455,$A277,'RQ3'!$P$2:$P$455,"")&gt;0,"",INDEX('RQ3'!$P$2:$P$455,MATCH($A277,'RQ3'!$A$2:$A$455,0)))="","NO REGISTRADO",IF(IF(COUNTIFS('RQ3'!$A$2:$A$455,$A277,'RQ3'!$P$2:$P$455,"")&gt;0,"",INDEX('RQ3'!$P$2:$P$455,MATCH($A277,'RQ3'!$A$2:$A$455,0)))=1,"MARCA ACTIVA","SIN MARCA"))</f>
        <v/>
      </c>
      <c r="G277" s="4">
        <f>IF(IF(COUNTIFS('ESTUDIOS'!$A$2:$A$455,$A277,'ESTUDIOS'!$N$2:$N$455,"")&gt;0,"",INDEX('ESTUDIOS'!$N$2:$N$455,MATCH($A277,'ESTUDIOS'!$A$2:$A$455,0)))="Verified","DOCUMENTADA","NO DOCUMENTADA")</f>
        <v/>
      </c>
      <c r="H277" s="4">
        <f>IF(D277="PENDIENTE","Leer evidencia ya extraída; registrar uso propuesto o evaluado, función, fuente y revisor en RQ2.","Comprobar evidencia y cautelas registradas; documentar verificación sin recodificar lo ya respaldado.")</f>
        <v/>
      </c>
      <c r="I277" s="4" t="inlineStr">
        <is>
          <t>https://doi.org/10.1007/978-3-031-62273-1_36</t>
        </is>
      </c>
    </row>
    <row r="278" ht="64" customHeight="1">
      <c r="A278" s="4" t="inlineStr">
        <is>
          <t>new_12</t>
        </is>
      </c>
      <c r="B278" s="4" t="inlineStr">
        <is>
          <t>Integration of an Artificial Intelligence–Based Autism Diagnostic Device into the ECHO Autism Primary Care Workflow: Prospective Observational Study</t>
        </is>
      </c>
      <c r="C278" s="4">
        <f>IF(IF(COUNTIFS('ESTUDIOS'!$A$2:$A$455,$A278,'ESTUDIOS'!$I$2:$I$455,"")&gt;0,"",INDEX('ESTUDIOS'!$I$2:$I$455,MATCH($A278,'ESTUDIOS'!$A$2:$A$455,0)))=1,"1 - Integrity",IF(OR(IF(COUNTIFS('RQ2'!$A$2:$A$455,$A278,'RQ2'!$D$2:$D$455,"")&gt;0,"",INDEX('RQ2'!$D$2:$D$455,MATCH($A278,'RQ2'!$A$2:$A$455,0)))="",IF(COUNTIFS('RQ2'!$A$2:$A$455,$A278,'RQ2'!$E$2:$E$455,"")&gt;0,"",INDEX('RQ2'!$E$2:$E$455,MATCH($A278,'RQ2'!$A$2:$A$455,0)))=""),"2 - RQ2 historical","3 - Verify recorded evidence"))</f>
        <v/>
      </c>
      <c r="D278" s="4">
        <f>IF(OR(IF(COUNTIFS('RQ2'!$A$2:$A$455,$A278,'RQ2'!$D$2:$D$455,"")&gt;0,"",INDEX('RQ2'!$D$2:$D$455,MATCH($A278,'RQ2'!$A$2:$A$455,0)))="",IF(COUNTIFS('RQ2'!$A$2:$A$455,$A278,'RQ2'!$E$2:$E$455,"")&gt;0,"",INDEX('RQ2'!$E$2:$E$455,MATCH($A278,'RQ2'!$A$2:$A$455,0)))=""),"PENDIENTE","REGISTRADA")</f>
        <v/>
      </c>
      <c r="E278" s="4">
        <f>IF(IF(COUNTIFS('RQ1'!$A$2:$A$455,$A278,'RQ1'!$N$2:$N$455,"")&gt;0,"",INDEX('RQ1'!$N$2:$N$455,MATCH($A278,'RQ1'!$A$2:$A$455,0)))=1,"REVISAR DETALLE","REGISTRADA")</f>
        <v/>
      </c>
      <c r="F278" s="4">
        <f>IF(IF(COUNTIFS('RQ3'!$A$2:$A$455,$A278,'RQ3'!$P$2:$P$455,"")&gt;0,"",INDEX('RQ3'!$P$2:$P$455,MATCH($A278,'RQ3'!$A$2:$A$455,0)))="","NO REGISTRADO",IF(IF(COUNTIFS('RQ3'!$A$2:$A$455,$A278,'RQ3'!$P$2:$P$455,"")&gt;0,"",INDEX('RQ3'!$P$2:$P$455,MATCH($A278,'RQ3'!$A$2:$A$455,0)))=1,"MARCA ACTIVA","SIN MARCA"))</f>
        <v/>
      </c>
      <c r="G278" s="4">
        <f>IF(IF(COUNTIFS('ESTUDIOS'!$A$2:$A$455,$A278,'ESTUDIOS'!$N$2:$N$455,"")&gt;0,"",INDEX('ESTUDIOS'!$N$2:$N$455,MATCH($A278,'ESTUDIOS'!$A$2:$A$455,0)))="Verified","DOCUMENTADA","NO DOCUMENTADA")</f>
        <v/>
      </c>
      <c r="H278" s="4">
        <f>IF(D278="PENDIENTE","Leer evidencia ya extraída; registrar uso propuesto o evaluado, función, fuente y revisor en RQ2.","Comprobar evidencia y cautelas registradas; documentar verificación sin recodificar lo ya respaldado.")</f>
        <v/>
      </c>
      <c r="I278" s="4" t="inlineStr">
        <is>
          <t>https://doi.org/10.2196/80733</t>
        </is>
      </c>
    </row>
    <row r="279" ht="64" customHeight="1">
      <c r="A279" s="4" t="inlineStr">
        <is>
          <t>new_13</t>
        </is>
      </c>
      <c r="B279" s="4" t="inlineStr">
        <is>
          <t>In-silico assessment of dynamic symbiotic microbial interactions in a reduced microbiota related to the autism spectrum disorder symptoms</t>
        </is>
      </c>
      <c r="C279" s="4">
        <f>IF(IF(COUNTIFS('ESTUDIOS'!$A$2:$A$455,$A279,'ESTUDIOS'!$I$2:$I$455,"")&gt;0,"",INDEX('ESTUDIOS'!$I$2:$I$455,MATCH($A279,'ESTUDIOS'!$A$2:$A$455,0)))=1,"1 - Integrity",IF(OR(IF(COUNTIFS('RQ2'!$A$2:$A$455,$A279,'RQ2'!$D$2:$D$455,"")&gt;0,"",INDEX('RQ2'!$D$2:$D$455,MATCH($A279,'RQ2'!$A$2:$A$455,0)))="",IF(COUNTIFS('RQ2'!$A$2:$A$455,$A279,'RQ2'!$E$2:$E$455,"")&gt;0,"",INDEX('RQ2'!$E$2:$E$455,MATCH($A279,'RQ2'!$A$2:$A$455,0)))=""),"2 - RQ2 historical","3 - Verify recorded evidence"))</f>
        <v/>
      </c>
      <c r="D279" s="4">
        <f>IF(OR(IF(COUNTIFS('RQ2'!$A$2:$A$455,$A279,'RQ2'!$D$2:$D$455,"")&gt;0,"",INDEX('RQ2'!$D$2:$D$455,MATCH($A279,'RQ2'!$A$2:$A$455,0)))="",IF(COUNTIFS('RQ2'!$A$2:$A$455,$A279,'RQ2'!$E$2:$E$455,"")&gt;0,"",INDEX('RQ2'!$E$2:$E$455,MATCH($A279,'RQ2'!$A$2:$A$455,0)))=""),"PENDIENTE","REGISTRADA")</f>
        <v/>
      </c>
      <c r="E279" s="4">
        <f>IF(IF(COUNTIFS('RQ1'!$A$2:$A$455,$A279,'RQ1'!$N$2:$N$455,"")&gt;0,"",INDEX('RQ1'!$N$2:$N$455,MATCH($A279,'RQ1'!$A$2:$A$455,0)))=1,"REVISAR DETALLE","REGISTRADA")</f>
        <v/>
      </c>
      <c r="F279" s="4">
        <f>IF(IF(COUNTIFS('RQ3'!$A$2:$A$455,$A279,'RQ3'!$P$2:$P$455,"")&gt;0,"",INDEX('RQ3'!$P$2:$P$455,MATCH($A279,'RQ3'!$A$2:$A$455,0)))="","NO REGISTRADO",IF(IF(COUNTIFS('RQ3'!$A$2:$A$455,$A279,'RQ3'!$P$2:$P$455,"")&gt;0,"",INDEX('RQ3'!$P$2:$P$455,MATCH($A279,'RQ3'!$A$2:$A$455,0)))=1,"MARCA ACTIVA","SIN MARCA"))</f>
        <v/>
      </c>
      <c r="G279" s="4">
        <f>IF(IF(COUNTIFS('ESTUDIOS'!$A$2:$A$455,$A279,'ESTUDIOS'!$N$2:$N$455,"")&gt;0,"",INDEX('ESTUDIOS'!$N$2:$N$455,MATCH($A279,'ESTUDIOS'!$A$2:$A$455,0)))="Verified","DOCUMENTADA","NO DOCUMENTADA")</f>
        <v/>
      </c>
      <c r="H279" s="4">
        <f>IF(D279="PENDIENTE","Leer evidencia ya extraída; registrar uso propuesto o evaluado, función, fuente y revisor en RQ2.","Comprobar evidencia y cautelas registradas; documentar verificación sin recodificar lo ya respaldado.")</f>
        <v/>
      </c>
      <c r="I279" s="4" t="inlineStr">
        <is>
          <t>https://doi.org/10.1016/j.csbj.2025.09.006</t>
        </is>
      </c>
    </row>
    <row r="280" ht="64" customHeight="1">
      <c r="A280" s="4" t="inlineStr">
        <is>
          <t>new_35</t>
        </is>
      </c>
      <c r="B280" s="4" t="inlineStr">
        <is>
          <t>Deep Learning Approaches for Classifying Children With and Without Autism Spectrum Disorder Using Inertial Measurement Unit Hand Tracking Data: Comparative Study</t>
        </is>
      </c>
      <c r="C280" s="4">
        <f>IF(IF(COUNTIFS('ESTUDIOS'!$A$2:$A$455,$A280,'ESTUDIOS'!$I$2:$I$455,"")&gt;0,"",INDEX('ESTUDIOS'!$I$2:$I$455,MATCH($A280,'ESTUDIOS'!$A$2:$A$455,0)))=1,"1 - Integrity",IF(OR(IF(COUNTIFS('RQ2'!$A$2:$A$455,$A280,'RQ2'!$D$2:$D$455,"")&gt;0,"",INDEX('RQ2'!$D$2:$D$455,MATCH($A280,'RQ2'!$A$2:$A$455,0)))="",IF(COUNTIFS('RQ2'!$A$2:$A$455,$A280,'RQ2'!$E$2:$E$455,"")&gt;0,"",INDEX('RQ2'!$E$2:$E$455,MATCH($A280,'RQ2'!$A$2:$A$455,0)))=""),"2 - RQ2 historical","3 - Verify recorded evidence"))</f>
        <v/>
      </c>
      <c r="D280" s="4">
        <f>IF(OR(IF(COUNTIFS('RQ2'!$A$2:$A$455,$A280,'RQ2'!$D$2:$D$455,"")&gt;0,"",INDEX('RQ2'!$D$2:$D$455,MATCH($A280,'RQ2'!$A$2:$A$455,0)))="",IF(COUNTIFS('RQ2'!$A$2:$A$455,$A280,'RQ2'!$E$2:$E$455,"")&gt;0,"",INDEX('RQ2'!$E$2:$E$455,MATCH($A280,'RQ2'!$A$2:$A$455,0)))=""),"PENDIENTE","REGISTRADA")</f>
        <v/>
      </c>
      <c r="E280" s="4">
        <f>IF(IF(COUNTIFS('RQ1'!$A$2:$A$455,$A280,'RQ1'!$N$2:$N$455,"")&gt;0,"",INDEX('RQ1'!$N$2:$N$455,MATCH($A280,'RQ1'!$A$2:$A$455,0)))=1,"REVISAR DETALLE","REGISTRADA")</f>
        <v/>
      </c>
      <c r="F280" s="4">
        <f>IF(IF(COUNTIFS('RQ3'!$A$2:$A$455,$A280,'RQ3'!$P$2:$P$455,"")&gt;0,"",INDEX('RQ3'!$P$2:$P$455,MATCH($A280,'RQ3'!$A$2:$A$455,0)))="","NO REGISTRADO",IF(IF(COUNTIFS('RQ3'!$A$2:$A$455,$A280,'RQ3'!$P$2:$P$455,"")&gt;0,"",INDEX('RQ3'!$P$2:$P$455,MATCH($A280,'RQ3'!$A$2:$A$455,0)))=1,"MARCA ACTIVA","SIN MARCA"))</f>
        <v/>
      </c>
      <c r="G280" s="4">
        <f>IF(IF(COUNTIFS('ESTUDIOS'!$A$2:$A$455,$A280,'ESTUDIOS'!$N$2:$N$455,"")&gt;0,"",INDEX('ESTUDIOS'!$N$2:$N$455,MATCH($A280,'ESTUDIOS'!$A$2:$A$455,0)))="Verified","DOCUMENTADA","NO DOCUMENTADA")</f>
        <v/>
      </c>
      <c r="H280" s="4">
        <f>IF(D280="PENDIENTE","Leer evidencia ya extraída; registrar uso propuesto o evaluado, función, fuente y revisor en RQ2.","Comprobar evidencia y cautelas registradas; documentar verificación sin recodificar lo ya respaldado.")</f>
        <v/>
      </c>
      <c r="I280" s="4" t="inlineStr">
        <is>
          <t>https://doi.org/10.2196/73440</t>
        </is>
      </c>
    </row>
    <row r="281" ht="64" customHeight="1">
      <c r="A281" s="4" t="inlineStr">
        <is>
          <t>new_50</t>
        </is>
      </c>
      <c r="B281" s="4" t="inlineStr">
        <is>
          <t>Effectiveness of Artificial Intelligence–Based Platform in Administering Therapies for Children With Autism Spectrum Disorder: 12-Month Observational Study</t>
        </is>
      </c>
      <c r="C281" s="4">
        <f>IF(IF(COUNTIFS('ESTUDIOS'!$A$2:$A$455,$A281,'ESTUDIOS'!$I$2:$I$455,"")&gt;0,"",INDEX('ESTUDIOS'!$I$2:$I$455,MATCH($A281,'ESTUDIOS'!$A$2:$A$455,0)))=1,"1 - Integrity",IF(OR(IF(COUNTIFS('RQ2'!$A$2:$A$455,$A281,'RQ2'!$D$2:$D$455,"")&gt;0,"",INDEX('RQ2'!$D$2:$D$455,MATCH($A281,'RQ2'!$A$2:$A$455,0)))="",IF(COUNTIFS('RQ2'!$A$2:$A$455,$A281,'RQ2'!$E$2:$E$455,"")&gt;0,"",INDEX('RQ2'!$E$2:$E$455,MATCH($A281,'RQ2'!$A$2:$A$455,0)))=""),"2 - RQ2 historical","3 - Verify recorded evidence"))</f>
        <v/>
      </c>
      <c r="D281" s="4">
        <f>IF(OR(IF(COUNTIFS('RQ2'!$A$2:$A$455,$A281,'RQ2'!$D$2:$D$455,"")&gt;0,"",INDEX('RQ2'!$D$2:$D$455,MATCH($A281,'RQ2'!$A$2:$A$455,0)))="",IF(COUNTIFS('RQ2'!$A$2:$A$455,$A281,'RQ2'!$E$2:$E$455,"")&gt;0,"",INDEX('RQ2'!$E$2:$E$455,MATCH($A281,'RQ2'!$A$2:$A$455,0)))=""),"PENDIENTE","REGISTRADA")</f>
        <v/>
      </c>
      <c r="E281" s="4">
        <f>IF(IF(COUNTIFS('RQ1'!$A$2:$A$455,$A281,'RQ1'!$N$2:$N$455,"")&gt;0,"",INDEX('RQ1'!$N$2:$N$455,MATCH($A281,'RQ1'!$A$2:$A$455,0)))=1,"REVISAR DETALLE","REGISTRADA")</f>
        <v/>
      </c>
      <c r="F281" s="4">
        <f>IF(IF(COUNTIFS('RQ3'!$A$2:$A$455,$A281,'RQ3'!$P$2:$P$455,"")&gt;0,"",INDEX('RQ3'!$P$2:$P$455,MATCH($A281,'RQ3'!$A$2:$A$455,0)))="","NO REGISTRADO",IF(IF(COUNTIFS('RQ3'!$A$2:$A$455,$A281,'RQ3'!$P$2:$P$455,"")&gt;0,"",INDEX('RQ3'!$P$2:$P$455,MATCH($A281,'RQ3'!$A$2:$A$455,0)))=1,"MARCA ACTIVA","SIN MARCA"))</f>
        <v/>
      </c>
      <c r="G281" s="4">
        <f>IF(IF(COUNTIFS('ESTUDIOS'!$A$2:$A$455,$A281,'ESTUDIOS'!$N$2:$N$455,"")&gt;0,"",INDEX('ESTUDIOS'!$N$2:$N$455,MATCH($A281,'ESTUDIOS'!$A$2:$A$455,0)))="Verified","DOCUMENTADA","NO DOCUMENTADA")</f>
        <v/>
      </c>
      <c r="H281" s="4">
        <f>IF(D281="PENDIENTE","Leer evidencia ya extraída; registrar uso propuesto o evaluado, función, fuente y revisor en RQ2.","Comprobar evidencia y cautelas registradas; documentar verificación sin recodificar lo ya respaldado.")</f>
        <v/>
      </c>
      <c r="I281" s="4" t="inlineStr">
        <is>
          <t>https://doi.org/10.2196/70589</t>
        </is>
      </c>
    </row>
    <row r="282" ht="64" customHeight="1">
      <c r="A282" s="4" t="inlineStr">
        <is>
          <t>new_93</t>
        </is>
      </c>
      <c r="B282" s="4" t="inlineStr">
        <is>
          <t>Large language models deconstruct the clinical intuition behind diagnosing autism</t>
        </is>
      </c>
      <c r="C282" s="4">
        <f>IF(IF(COUNTIFS('ESTUDIOS'!$A$2:$A$455,$A282,'ESTUDIOS'!$I$2:$I$455,"")&gt;0,"",INDEX('ESTUDIOS'!$I$2:$I$455,MATCH($A282,'ESTUDIOS'!$A$2:$A$455,0)))=1,"1 - Integrity",IF(OR(IF(COUNTIFS('RQ2'!$A$2:$A$455,$A282,'RQ2'!$D$2:$D$455,"")&gt;0,"",INDEX('RQ2'!$D$2:$D$455,MATCH($A282,'RQ2'!$A$2:$A$455,0)))="",IF(COUNTIFS('RQ2'!$A$2:$A$455,$A282,'RQ2'!$E$2:$E$455,"")&gt;0,"",INDEX('RQ2'!$E$2:$E$455,MATCH($A282,'RQ2'!$A$2:$A$455,0)))=""),"2 - RQ2 historical","3 - Verify recorded evidence"))</f>
        <v/>
      </c>
      <c r="D282" s="4">
        <f>IF(OR(IF(COUNTIFS('RQ2'!$A$2:$A$455,$A282,'RQ2'!$D$2:$D$455,"")&gt;0,"",INDEX('RQ2'!$D$2:$D$455,MATCH($A282,'RQ2'!$A$2:$A$455,0)))="",IF(COUNTIFS('RQ2'!$A$2:$A$455,$A282,'RQ2'!$E$2:$E$455,"")&gt;0,"",INDEX('RQ2'!$E$2:$E$455,MATCH($A282,'RQ2'!$A$2:$A$455,0)))=""),"PENDIENTE","REGISTRADA")</f>
        <v/>
      </c>
      <c r="E282" s="4">
        <f>IF(IF(COUNTIFS('RQ1'!$A$2:$A$455,$A282,'RQ1'!$N$2:$N$455,"")&gt;0,"",INDEX('RQ1'!$N$2:$N$455,MATCH($A282,'RQ1'!$A$2:$A$455,0)))=1,"REVISAR DETALLE","REGISTRADA")</f>
        <v/>
      </c>
      <c r="F282" s="4">
        <f>IF(IF(COUNTIFS('RQ3'!$A$2:$A$455,$A282,'RQ3'!$P$2:$P$455,"")&gt;0,"",INDEX('RQ3'!$P$2:$P$455,MATCH($A282,'RQ3'!$A$2:$A$455,0)))="","NO REGISTRADO",IF(IF(COUNTIFS('RQ3'!$A$2:$A$455,$A282,'RQ3'!$P$2:$P$455,"")&gt;0,"",INDEX('RQ3'!$P$2:$P$455,MATCH($A282,'RQ3'!$A$2:$A$455,0)))=1,"MARCA ACTIVA","SIN MARCA"))</f>
        <v/>
      </c>
      <c r="G282" s="4">
        <f>IF(IF(COUNTIFS('ESTUDIOS'!$A$2:$A$455,$A282,'ESTUDIOS'!$N$2:$N$455,"")&gt;0,"",INDEX('ESTUDIOS'!$N$2:$N$455,MATCH($A282,'ESTUDIOS'!$A$2:$A$455,0)))="Verified","DOCUMENTADA","NO DOCUMENTADA")</f>
        <v/>
      </c>
      <c r="H282" s="4">
        <f>IF(D282="PENDIENTE","Leer evidencia ya extraída; registrar uso propuesto o evaluado, función, fuente y revisor en RQ2.","Comprobar evidencia y cautelas registradas; documentar verificación sin recodificar lo ya respaldado.")</f>
        <v/>
      </c>
      <c r="I282" s="4" t="inlineStr">
        <is>
          <t>https://doi.org/10.1016/j.cell.2025.02.025</t>
        </is>
      </c>
    </row>
    <row r="283" ht="64" customHeight="1">
      <c r="A283" s="4" t="inlineStr">
        <is>
          <t>new_96</t>
        </is>
      </c>
      <c r="B283" s="4" t="inlineStr">
        <is>
          <t>Ensemble of Deep Learning with Crested Porcupine Optimizer Based Autism Spectrum Disorder Detection Using Facial Images</t>
        </is>
      </c>
      <c r="C283" s="4">
        <f>IF(IF(COUNTIFS('ESTUDIOS'!$A$2:$A$455,$A283,'ESTUDIOS'!$I$2:$I$455,"")&gt;0,"",INDEX('ESTUDIOS'!$I$2:$I$455,MATCH($A283,'ESTUDIOS'!$A$2:$A$455,0)))=1,"1 - Integrity",IF(OR(IF(COUNTIFS('RQ2'!$A$2:$A$455,$A283,'RQ2'!$D$2:$D$455,"")&gt;0,"",INDEX('RQ2'!$D$2:$D$455,MATCH($A283,'RQ2'!$A$2:$A$455,0)))="",IF(COUNTIFS('RQ2'!$A$2:$A$455,$A283,'RQ2'!$E$2:$E$455,"")&gt;0,"",INDEX('RQ2'!$E$2:$E$455,MATCH($A283,'RQ2'!$A$2:$A$455,0)))=""),"2 - RQ2 historical","3 - Verify recorded evidence"))</f>
        <v/>
      </c>
      <c r="D283" s="4">
        <f>IF(OR(IF(COUNTIFS('RQ2'!$A$2:$A$455,$A283,'RQ2'!$D$2:$D$455,"")&gt;0,"",INDEX('RQ2'!$D$2:$D$455,MATCH($A283,'RQ2'!$A$2:$A$455,0)))="",IF(COUNTIFS('RQ2'!$A$2:$A$455,$A283,'RQ2'!$E$2:$E$455,"")&gt;0,"",INDEX('RQ2'!$E$2:$E$455,MATCH($A283,'RQ2'!$A$2:$A$455,0)))=""),"PENDIENTE","REGISTRADA")</f>
        <v/>
      </c>
      <c r="E283" s="4">
        <f>IF(IF(COUNTIFS('RQ1'!$A$2:$A$455,$A283,'RQ1'!$N$2:$N$455,"")&gt;0,"",INDEX('RQ1'!$N$2:$N$455,MATCH($A283,'RQ1'!$A$2:$A$455,0)))=1,"REVISAR DETALLE","REGISTRADA")</f>
        <v/>
      </c>
      <c r="F283" s="4">
        <f>IF(IF(COUNTIFS('RQ3'!$A$2:$A$455,$A283,'RQ3'!$P$2:$P$455,"")&gt;0,"",INDEX('RQ3'!$P$2:$P$455,MATCH($A283,'RQ3'!$A$2:$A$455,0)))="","NO REGISTRADO",IF(IF(COUNTIFS('RQ3'!$A$2:$A$455,$A283,'RQ3'!$P$2:$P$455,"")&gt;0,"",INDEX('RQ3'!$P$2:$P$455,MATCH($A283,'RQ3'!$A$2:$A$455,0)))=1,"MARCA ACTIVA","SIN MARCA"))</f>
        <v/>
      </c>
      <c r="G283" s="4">
        <f>IF(IF(COUNTIFS('ESTUDIOS'!$A$2:$A$455,$A283,'ESTUDIOS'!$N$2:$N$455,"")&gt;0,"",INDEX('ESTUDIOS'!$N$2:$N$455,MATCH($A283,'ESTUDIOS'!$A$2:$A$455,0)))="Verified","DOCUMENTADA","NO DOCUMENTADA")</f>
        <v/>
      </c>
      <c r="H283" s="4">
        <f>IF(D283="PENDIENTE","Leer evidencia ya extraída; registrar uso propuesto o evaluado, función, fuente y revisor en RQ2.","Comprobar evidencia y cautelas registradas; documentar verificación sin recodificar lo ya respaldado.")</f>
        <v/>
      </c>
      <c r="I283" s="4" t="inlineStr">
        <is>
          <t>https://doi.org/10.32604/cmc.2025.062266</t>
        </is>
      </c>
    </row>
    <row r="284" ht="64" customHeight="1">
      <c r="A284" s="4" t="inlineStr">
        <is>
          <t>new_108</t>
        </is>
      </c>
      <c r="B284" s="4" t="inlineStr">
        <is>
          <t>Awareness with Machine: Hybrid Approach to Detecting ASD with a Clustering</t>
        </is>
      </c>
      <c r="C284" s="4">
        <f>IF(IF(COUNTIFS('ESTUDIOS'!$A$2:$A$455,$A284,'ESTUDIOS'!$I$2:$I$455,"")&gt;0,"",INDEX('ESTUDIOS'!$I$2:$I$455,MATCH($A284,'ESTUDIOS'!$A$2:$A$455,0)))=1,"1 - Integrity",IF(OR(IF(COUNTIFS('RQ2'!$A$2:$A$455,$A284,'RQ2'!$D$2:$D$455,"")&gt;0,"",INDEX('RQ2'!$D$2:$D$455,MATCH($A284,'RQ2'!$A$2:$A$455,0)))="",IF(COUNTIFS('RQ2'!$A$2:$A$455,$A284,'RQ2'!$E$2:$E$455,"")&gt;0,"",INDEX('RQ2'!$E$2:$E$455,MATCH($A284,'RQ2'!$A$2:$A$455,0)))=""),"2 - RQ2 historical","3 - Verify recorded evidence"))</f>
        <v/>
      </c>
      <c r="D284" s="4">
        <f>IF(OR(IF(COUNTIFS('RQ2'!$A$2:$A$455,$A284,'RQ2'!$D$2:$D$455,"")&gt;0,"",INDEX('RQ2'!$D$2:$D$455,MATCH($A284,'RQ2'!$A$2:$A$455,0)))="",IF(COUNTIFS('RQ2'!$A$2:$A$455,$A284,'RQ2'!$E$2:$E$455,"")&gt;0,"",INDEX('RQ2'!$E$2:$E$455,MATCH($A284,'RQ2'!$A$2:$A$455,0)))=""),"PENDIENTE","REGISTRADA")</f>
        <v/>
      </c>
      <c r="E284" s="4">
        <f>IF(IF(COUNTIFS('RQ1'!$A$2:$A$455,$A284,'RQ1'!$N$2:$N$455,"")&gt;0,"",INDEX('RQ1'!$N$2:$N$455,MATCH($A284,'RQ1'!$A$2:$A$455,0)))=1,"REVISAR DETALLE","REGISTRADA")</f>
        <v/>
      </c>
      <c r="F284" s="4">
        <f>IF(IF(COUNTIFS('RQ3'!$A$2:$A$455,$A284,'RQ3'!$P$2:$P$455,"")&gt;0,"",INDEX('RQ3'!$P$2:$P$455,MATCH($A284,'RQ3'!$A$2:$A$455,0)))="","NO REGISTRADO",IF(IF(COUNTIFS('RQ3'!$A$2:$A$455,$A284,'RQ3'!$P$2:$P$455,"")&gt;0,"",INDEX('RQ3'!$P$2:$P$455,MATCH($A284,'RQ3'!$A$2:$A$455,0)))=1,"MARCA ACTIVA","SIN MARCA"))</f>
        <v/>
      </c>
      <c r="G284" s="4">
        <f>IF(IF(COUNTIFS('ESTUDIOS'!$A$2:$A$455,$A284,'ESTUDIOS'!$N$2:$N$455,"")&gt;0,"",INDEX('ESTUDIOS'!$N$2:$N$455,MATCH($A284,'ESTUDIOS'!$A$2:$A$455,0)))="Verified","DOCUMENTADA","NO DOCUMENTADA")</f>
        <v/>
      </c>
      <c r="H284" s="4">
        <f>IF(D284="PENDIENTE","Leer evidencia ya extraída; registrar uso propuesto o evaluado, función, fuente y revisor en RQ2.","Comprobar evidencia y cautelas registradas; documentar verificación sin recodificar lo ya respaldado.")</f>
        <v/>
      </c>
      <c r="I284" s="4" t="inlineStr">
        <is>
          <t>https://doi.org/10.32604/cmc.2025.062643</t>
        </is>
      </c>
    </row>
    <row r="285" ht="64" customHeight="1">
      <c r="A285" s="4" t="inlineStr">
        <is>
          <t>new_125</t>
        </is>
      </c>
      <c r="B285" s="4" t="inlineStr">
        <is>
          <t>Identification of critical brain regions for autism diagnosis from fMRI data using explainable AI: an observational analysis of the ABIDE dataset</t>
        </is>
      </c>
      <c r="C285" s="4">
        <f>IF(IF(COUNTIFS('ESTUDIOS'!$A$2:$A$455,$A285,'ESTUDIOS'!$I$2:$I$455,"")&gt;0,"",INDEX('ESTUDIOS'!$I$2:$I$455,MATCH($A285,'ESTUDIOS'!$A$2:$A$455,0)))=1,"1 - Integrity",IF(OR(IF(COUNTIFS('RQ2'!$A$2:$A$455,$A285,'RQ2'!$D$2:$D$455,"")&gt;0,"",INDEX('RQ2'!$D$2:$D$455,MATCH($A285,'RQ2'!$A$2:$A$455,0)))="",IF(COUNTIFS('RQ2'!$A$2:$A$455,$A285,'RQ2'!$E$2:$E$455,"")&gt;0,"",INDEX('RQ2'!$E$2:$E$455,MATCH($A285,'RQ2'!$A$2:$A$455,0)))=""),"2 - RQ2 historical","3 - Verify recorded evidence"))</f>
        <v/>
      </c>
      <c r="D285" s="4">
        <f>IF(OR(IF(COUNTIFS('RQ2'!$A$2:$A$455,$A285,'RQ2'!$D$2:$D$455,"")&gt;0,"",INDEX('RQ2'!$D$2:$D$455,MATCH($A285,'RQ2'!$A$2:$A$455,0)))="",IF(COUNTIFS('RQ2'!$A$2:$A$455,$A285,'RQ2'!$E$2:$E$455,"")&gt;0,"",INDEX('RQ2'!$E$2:$E$455,MATCH($A285,'RQ2'!$A$2:$A$455,0)))=""),"PENDIENTE","REGISTRADA")</f>
        <v/>
      </c>
      <c r="E285" s="4">
        <f>IF(IF(COUNTIFS('RQ1'!$A$2:$A$455,$A285,'RQ1'!$N$2:$N$455,"")&gt;0,"",INDEX('RQ1'!$N$2:$N$455,MATCH($A285,'RQ1'!$A$2:$A$455,0)))=1,"REVISAR DETALLE","REGISTRADA")</f>
        <v/>
      </c>
      <c r="F285" s="4">
        <f>IF(IF(COUNTIFS('RQ3'!$A$2:$A$455,$A285,'RQ3'!$P$2:$P$455,"")&gt;0,"",INDEX('RQ3'!$P$2:$P$455,MATCH($A285,'RQ3'!$A$2:$A$455,0)))="","NO REGISTRADO",IF(IF(COUNTIFS('RQ3'!$A$2:$A$455,$A285,'RQ3'!$P$2:$P$455,"")&gt;0,"",INDEX('RQ3'!$P$2:$P$455,MATCH($A285,'RQ3'!$A$2:$A$455,0)))=1,"MARCA ACTIVA","SIN MARCA"))</f>
        <v/>
      </c>
      <c r="G285" s="4">
        <f>IF(IF(COUNTIFS('ESTUDIOS'!$A$2:$A$455,$A285,'ESTUDIOS'!$N$2:$N$455,"")&gt;0,"",INDEX('ESTUDIOS'!$N$2:$N$455,MATCH($A285,'ESTUDIOS'!$A$2:$A$455,0)))="Verified","DOCUMENTADA","NO DOCUMENTADA")</f>
        <v/>
      </c>
      <c r="H285" s="4">
        <f>IF(D285="PENDIENTE","Leer evidencia ya extraída; registrar uso propuesto o evaluado, función, fuente y revisor en RQ2.","Comprobar evidencia y cautelas registradas; documentar verificación sin recodificar lo ya respaldado.")</f>
        <v/>
      </c>
      <c r="I285" s="4" t="inlineStr">
        <is>
          <t>https://doi.org/10.1016/j.eclinm.2025.103452</t>
        </is>
      </c>
    </row>
    <row r="286" ht="64" customHeight="1">
      <c r="A286" s="4" t="inlineStr">
        <is>
          <t>new_132</t>
        </is>
      </c>
      <c r="B286" s="4" t="inlineStr">
        <is>
          <t>A Brief Observation to Screen Autism in Toddlers and Predict Developmental Trajectory</t>
        </is>
      </c>
      <c r="C286" s="4">
        <f>IF(IF(COUNTIFS('ESTUDIOS'!$A$2:$A$455,$A286,'ESTUDIOS'!$I$2:$I$455,"")&gt;0,"",INDEX('ESTUDIOS'!$I$2:$I$455,MATCH($A286,'ESTUDIOS'!$A$2:$A$455,0)))=1,"1 - Integrity",IF(OR(IF(COUNTIFS('RQ2'!$A$2:$A$455,$A286,'RQ2'!$D$2:$D$455,"")&gt;0,"",INDEX('RQ2'!$D$2:$D$455,MATCH($A286,'RQ2'!$A$2:$A$455,0)))="",IF(COUNTIFS('RQ2'!$A$2:$A$455,$A286,'RQ2'!$E$2:$E$455,"")&gt;0,"",INDEX('RQ2'!$E$2:$E$455,MATCH($A286,'RQ2'!$A$2:$A$455,0)))=""),"2 - RQ2 historical","3 - Verify recorded evidence"))</f>
        <v/>
      </c>
      <c r="D286" s="4">
        <f>IF(OR(IF(COUNTIFS('RQ2'!$A$2:$A$455,$A286,'RQ2'!$D$2:$D$455,"")&gt;0,"",INDEX('RQ2'!$D$2:$D$455,MATCH($A286,'RQ2'!$A$2:$A$455,0)))="",IF(COUNTIFS('RQ2'!$A$2:$A$455,$A286,'RQ2'!$E$2:$E$455,"")&gt;0,"",INDEX('RQ2'!$E$2:$E$455,MATCH($A286,'RQ2'!$A$2:$A$455,0)))=""),"PENDIENTE","REGISTRADA")</f>
        <v/>
      </c>
      <c r="E286" s="4">
        <f>IF(IF(COUNTIFS('RQ1'!$A$2:$A$455,$A286,'RQ1'!$N$2:$N$455,"")&gt;0,"",INDEX('RQ1'!$N$2:$N$455,MATCH($A286,'RQ1'!$A$2:$A$455,0)))=1,"REVISAR DETALLE","REGISTRADA")</f>
        <v/>
      </c>
      <c r="F286" s="4">
        <f>IF(IF(COUNTIFS('RQ3'!$A$2:$A$455,$A286,'RQ3'!$P$2:$P$455,"")&gt;0,"",INDEX('RQ3'!$P$2:$P$455,MATCH($A286,'RQ3'!$A$2:$A$455,0)))="","NO REGISTRADO",IF(IF(COUNTIFS('RQ3'!$A$2:$A$455,$A286,'RQ3'!$P$2:$P$455,"")&gt;0,"",INDEX('RQ3'!$P$2:$P$455,MATCH($A286,'RQ3'!$A$2:$A$455,0)))=1,"MARCA ACTIVA","SIN MARCA"))</f>
        <v/>
      </c>
      <c r="G286" s="4">
        <f>IF(IF(COUNTIFS('ESTUDIOS'!$A$2:$A$455,$A286,'ESTUDIOS'!$N$2:$N$455,"")&gt;0,"",INDEX('ESTUDIOS'!$N$2:$N$455,MATCH($A286,'ESTUDIOS'!$A$2:$A$455,0)))="Verified","DOCUMENTADA","NO DOCUMENTADA")</f>
        <v/>
      </c>
      <c r="H286" s="4">
        <f>IF(D286="PENDIENTE","Leer evidencia ya extraída; registrar uso propuesto o evaluado, función, fuente y revisor en RQ2.","Comprobar evidencia y cautelas registradas; documentar verificación sin recodificar lo ya respaldado.")</f>
        <v/>
      </c>
      <c r="I286" s="4" t="inlineStr">
        <is>
          <t>https://doi.org/10.1016/j.jpedcp.2025.200176</t>
        </is>
      </c>
    </row>
    <row r="287" ht="64" customHeight="1">
      <c r="A287" s="4" t="inlineStr">
        <is>
          <t>new_145</t>
        </is>
      </c>
      <c r="B287" s="4" t="inlineStr">
        <is>
          <t>Explainable Ensemble Learning Framework for Early Detection of Autism Spectrum Disorder: Enhancing Trust, Interpretability and Reliability in AI-Driven Healthcare</t>
        </is>
      </c>
      <c r="C287" s="4">
        <f>IF(IF(COUNTIFS('ESTUDIOS'!$A$2:$A$455,$A287,'ESTUDIOS'!$I$2:$I$455,"")&gt;0,"",INDEX('ESTUDIOS'!$I$2:$I$455,MATCH($A287,'ESTUDIOS'!$A$2:$A$455,0)))=1,"1 - Integrity",IF(OR(IF(COUNTIFS('RQ2'!$A$2:$A$455,$A287,'RQ2'!$D$2:$D$455,"")&gt;0,"",INDEX('RQ2'!$D$2:$D$455,MATCH($A287,'RQ2'!$A$2:$A$455,0)))="",IF(COUNTIFS('RQ2'!$A$2:$A$455,$A287,'RQ2'!$E$2:$E$455,"")&gt;0,"",INDEX('RQ2'!$E$2:$E$455,MATCH($A287,'RQ2'!$A$2:$A$455,0)))=""),"2 - RQ2 historical","3 - Verify recorded evidence"))</f>
        <v/>
      </c>
      <c r="D287" s="4">
        <f>IF(OR(IF(COUNTIFS('RQ2'!$A$2:$A$455,$A287,'RQ2'!$D$2:$D$455,"")&gt;0,"",INDEX('RQ2'!$D$2:$D$455,MATCH($A287,'RQ2'!$A$2:$A$455,0)))="",IF(COUNTIFS('RQ2'!$A$2:$A$455,$A287,'RQ2'!$E$2:$E$455,"")&gt;0,"",INDEX('RQ2'!$E$2:$E$455,MATCH($A287,'RQ2'!$A$2:$A$455,0)))=""),"PENDIENTE","REGISTRADA")</f>
        <v/>
      </c>
      <c r="E287" s="4">
        <f>IF(IF(COUNTIFS('RQ1'!$A$2:$A$455,$A287,'RQ1'!$N$2:$N$455,"")&gt;0,"",INDEX('RQ1'!$N$2:$N$455,MATCH($A287,'RQ1'!$A$2:$A$455,0)))=1,"REVISAR DETALLE","REGISTRADA")</f>
        <v/>
      </c>
      <c r="F287" s="4">
        <f>IF(IF(COUNTIFS('RQ3'!$A$2:$A$455,$A287,'RQ3'!$P$2:$P$455,"")&gt;0,"",INDEX('RQ3'!$P$2:$P$455,MATCH($A287,'RQ3'!$A$2:$A$455,0)))="","NO REGISTRADO",IF(IF(COUNTIFS('RQ3'!$A$2:$A$455,$A287,'RQ3'!$P$2:$P$455,"")&gt;0,"",INDEX('RQ3'!$P$2:$P$455,MATCH($A287,'RQ3'!$A$2:$A$455,0)))=1,"MARCA ACTIVA","SIN MARCA"))</f>
        <v/>
      </c>
      <c r="G287" s="4">
        <f>IF(IF(COUNTIFS('ESTUDIOS'!$A$2:$A$455,$A287,'ESTUDIOS'!$N$2:$N$455,"")&gt;0,"",INDEX('ESTUDIOS'!$N$2:$N$455,MATCH($A287,'ESTUDIOS'!$A$2:$A$455,0)))="Verified","DOCUMENTADA","NO DOCUMENTADA")</f>
        <v/>
      </c>
      <c r="H287" s="4">
        <f>IF(D287="PENDIENTE","Leer evidencia ya extraída; registrar uso propuesto o evaluado, función, fuente y revisor en RQ2.","Comprobar evidencia y cautelas registradas; documentar verificación sin recodificar lo ya respaldado.")</f>
        <v/>
      </c>
      <c r="I287" s="4" t="inlineStr">
        <is>
          <t>https://doi.org/10.32604/cmes.2025.074627</t>
        </is>
      </c>
    </row>
    <row r="288" ht="64" customHeight="1">
      <c r="A288" s="4" t="inlineStr">
        <is>
          <t>new_160</t>
        </is>
      </c>
      <c r="B288" s="4" t="inlineStr">
        <is>
          <t>LLM-Assisted Annotation Framework for Cross Platform Analysis of Autism Online Communities: Implications for Parent Education and Digital Support (Preprint)</t>
        </is>
      </c>
      <c r="C288" s="4">
        <f>IF(IF(COUNTIFS('ESTUDIOS'!$A$2:$A$455,$A288,'ESTUDIOS'!$I$2:$I$455,"")&gt;0,"",INDEX('ESTUDIOS'!$I$2:$I$455,MATCH($A288,'ESTUDIOS'!$A$2:$A$455,0)))=1,"1 - Integrity",IF(OR(IF(COUNTIFS('RQ2'!$A$2:$A$455,$A288,'RQ2'!$D$2:$D$455,"")&gt;0,"",INDEX('RQ2'!$D$2:$D$455,MATCH($A288,'RQ2'!$A$2:$A$455,0)))="",IF(COUNTIFS('RQ2'!$A$2:$A$455,$A288,'RQ2'!$E$2:$E$455,"")&gt;0,"",INDEX('RQ2'!$E$2:$E$455,MATCH($A288,'RQ2'!$A$2:$A$455,0)))=""),"2 - RQ2 historical","3 - Verify recorded evidence"))</f>
        <v/>
      </c>
      <c r="D288" s="4">
        <f>IF(OR(IF(COUNTIFS('RQ2'!$A$2:$A$455,$A288,'RQ2'!$D$2:$D$455,"")&gt;0,"",INDEX('RQ2'!$D$2:$D$455,MATCH($A288,'RQ2'!$A$2:$A$455,0)))="",IF(COUNTIFS('RQ2'!$A$2:$A$455,$A288,'RQ2'!$E$2:$E$455,"")&gt;0,"",INDEX('RQ2'!$E$2:$E$455,MATCH($A288,'RQ2'!$A$2:$A$455,0)))=""),"PENDIENTE","REGISTRADA")</f>
        <v/>
      </c>
      <c r="E288" s="4">
        <f>IF(IF(COUNTIFS('RQ1'!$A$2:$A$455,$A288,'RQ1'!$N$2:$N$455,"")&gt;0,"",INDEX('RQ1'!$N$2:$N$455,MATCH($A288,'RQ1'!$A$2:$A$455,0)))=1,"REVISAR DETALLE","REGISTRADA")</f>
        <v/>
      </c>
      <c r="F288" s="4">
        <f>IF(IF(COUNTIFS('RQ3'!$A$2:$A$455,$A288,'RQ3'!$P$2:$P$455,"")&gt;0,"",INDEX('RQ3'!$P$2:$P$455,MATCH($A288,'RQ3'!$A$2:$A$455,0)))="","NO REGISTRADO",IF(IF(COUNTIFS('RQ3'!$A$2:$A$455,$A288,'RQ3'!$P$2:$P$455,"")&gt;0,"",INDEX('RQ3'!$P$2:$P$455,MATCH($A288,'RQ3'!$A$2:$A$455,0)))=1,"MARCA ACTIVA","SIN MARCA"))</f>
        <v/>
      </c>
      <c r="G288" s="4">
        <f>IF(IF(COUNTIFS('ESTUDIOS'!$A$2:$A$455,$A288,'ESTUDIOS'!$N$2:$N$455,"")&gt;0,"",INDEX('ESTUDIOS'!$N$2:$N$455,MATCH($A288,'ESTUDIOS'!$A$2:$A$455,0)))="Verified","DOCUMENTADA","NO DOCUMENTADA")</f>
        <v/>
      </c>
      <c r="H288" s="4">
        <f>IF(D288="PENDIENTE","Leer evidencia ya extraída; registrar uso propuesto o evaluado, función, fuente y revisor en RQ2.","Comprobar evidencia y cautelas registradas; documentar verificación sin recodificar lo ya respaldado.")</f>
        <v/>
      </c>
      <c r="I288" s="4" t="inlineStr">
        <is>
          <t>https://doi.org/10.2196/85290</t>
        </is>
      </c>
    </row>
    <row r="289" ht="64" customHeight="1">
      <c r="A289" s="4" t="inlineStr">
        <is>
          <t>new_169</t>
        </is>
      </c>
      <c r="B289" s="4" t="inlineStr">
        <is>
          <t>GPT-Powered Chatbot-Based Positive Psychology Intervention for Well-Being Among Parents of Children With Autism Spectrum Disorder: Single-Arm Mixed Methods Study</t>
        </is>
      </c>
      <c r="C289" s="4">
        <f>IF(IF(COUNTIFS('ESTUDIOS'!$A$2:$A$455,$A289,'ESTUDIOS'!$I$2:$I$455,"")&gt;0,"",INDEX('ESTUDIOS'!$I$2:$I$455,MATCH($A289,'ESTUDIOS'!$A$2:$A$455,0)))=1,"1 - Integrity",IF(OR(IF(COUNTIFS('RQ2'!$A$2:$A$455,$A289,'RQ2'!$D$2:$D$455,"")&gt;0,"",INDEX('RQ2'!$D$2:$D$455,MATCH($A289,'RQ2'!$A$2:$A$455,0)))="",IF(COUNTIFS('RQ2'!$A$2:$A$455,$A289,'RQ2'!$E$2:$E$455,"")&gt;0,"",INDEX('RQ2'!$E$2:$E$455,MATCH($A289,'RQ2'!$A$2:$A$455,0)))=""),"2 - RQ2 historical","3 - Verify recorded evidence"))</f>
        <v/>
      </c>
      <c r="D289" s="4">
        <f>IF(OR(IF(COUNTIFS('RQ2'!$A$2:$A$455,$A289,'RQ2'!$D$2:$D$455,"")&gt;0,"",INDEX('RQ2'!$D$2:$D$455,MATCH($A289,'RQ2'!$A$2:$A$455,0)))="",IF(COUNTIFS('RQ2'!$A$2:$A$455,$A289,'RQ2'!$E$2:$E$455,"")&gt;0,"",INDEX('RQ2'!$E$2:$E$455,MATCH($A289,'RQ2'!$A$2:$A$455,0)))=""),"PENDIENTE","REGISTRADA")</f>
        <v/>
      </c>
      <c r="E289" s="4">
        <f>IF(IF(COUNTIFS('RQ1'!$A$2:$A$455,$A289,'RQ1'!$N$2:$N$455,"")&gt;0,"",INDEX('RQ1'!$N$2:$N$455,MATCH($A289,'RQ1'!$A$2:$A$455,0)))=1,"REVISAR DETALLE","REGISTRADA")</f>
        <v/>
      </c>
      <c r="F289" s="4">
        <f>IF(IF(COUNTIFS('RQ3'!$A$2:$A$455,$A289,'RQ3'!$P$2:$P$455,"")&gt;0,"",INDEX('RQ3'!$P$2:$P$455,MATCH($A289,'RQ3'!$A$2:$A$455,0)))="","NO REGISTRADO",IF(IF(COUNTIFS('RQ3'!$A$2:$A$455,$A289,'RQ3'!$P$2:$P$455,"")&gt;0,"",INDEX('RQ3'!$P$2:$P$455,MATCH($A289,'RQ3'!$A$2:$A$455,0)))=1,"MARCA ACTIVA","SIN MARCA"))</f>
        <v/>
      </c>
      <c r="G289" s="4">
        <f>IF(IF(COUNTIFS('ESTUDIOS'!$A$2:$A$455,$A289,'ESTUDIOS'!$N$2:$N$455,"")&gt;0,"",INDEX('ESTUDIOS'!$N$2:$N$455,MATCH($A289,'ESTUDIOS'!$A$2:$A$455,0)))="Verified","DOCUMENTADA","NO DOCUMENTADA")</f>
        <v/>
      </c>
      <c r="H289" s="4">
        <f>IF(D289="PENDIENTE","Leer evidencia ya extraída; registrar uso propuesto o evaluado, función, fuente y revisor en RQ2.","Comprobar evidencia y cautelas registradas; documentar verificación sin recodificar lo ya respaldado.")</f>
        <v/>
      </c>
      <c r="I289" s="4" t="inlineStr">
        <is>
          <t>https://doi.org/10.2196/85060</t>
        </is>
      </c>
    </row>
    <row r="290" ht="64" customHeight="1">
      <c r="A290" s="4" t="inlineStr">
        <is>
          <t>new_171</t>
        </is>
      </c>
      <c r="B290" s="4" t="inlineStr">
        <is>
          <t>Artificial Intelligence Prediction of Individual Treatment Response to Smartphone-Based Mindfulness in Autistic Adults with Anxiety Symptoms: A Randomized Controlled Trial Analysis (Preprint)</t>
        </is>
      </c>
      <c r="C290" s="4">
        <f>IF(IF(COUNTIFS('ESTUDIOS'!$A$2:$A$455,$A290,'ESTUDIOS'!$I$2:$I$455,"")&gt;0,"",INDEX('ESTUDIOS'!$I$2:$I$455,MATCH($A290,'ESTUDIOS'!$A$2:$A$455,0)))=1,"1 - Integrity",IF(OR(IF(COUNTIFS('RQ2'!$A$2:$A$455,$A290,'RQ2'!$D$2:$D$455,"")&gt;0,"",INDEX('RQ2'!$D$2:$D$455,MATCH($A290,'RQ2'!$A$2:$A$455,0)))="",IF(COUNTIFS('RQ2'!$A$2:$A$455,$A290,'RQ2'!$E$2:$E$455,"")&gt;0,"",INDEX('RQ2'!$E$2:$E$455,MATCH($A290,'RQ2'!$A$2:$A$455,0)))=""),"2 - RQ2 historical","3 - Verify recorded evidence"))</f>
        <v/>
      </c>
      <c r="D290" s="4">
        <f>IF(OR(IF(COUNTIFS('RQ2'!$A$2:$A$455,$A290,'RQ2'!$D$2:$D$455,"")&gt;0,"",INDEX('RQ2'!$D$2:$D$455,MATCH($A290,'RQ2'!$A$2:$A$455,0)))="",IF(COUNTIFS('RQ2'!$A$2:$A$455,$A290,'RQ2'!$E$2:$E$455,"")&gt;0,"",INDEX('RQ2'!$E$2:$E$455,MATCH($A290,'RQ2'!$A$2:$A$455,0)))=""),"PENDIENTE","REGISTRADA")</f>
        <v/>
      </c>
      <c r="E290" s="4">
        <f>IF(IF(COUNTIFS('RQ1'!$A$2:$A$455,$A290,'RQ1'!$N$2:$N$455,"")&gt;0,"",INDEX('RQ1'!$N$2:$N$455,MATCH($A290,'RQ1'!$A$2:$A$455,0)))=1,"REVISAR DETALLE","REGISTRADA")</f>
        <v/>
      </c>
      <c r="F290" s="4">
        <f>IF(IF(COUNTIFS('RQ3'!$A$2:$A$455,$A290,'RQ3'!$P$2:$P$455,"")&gt;0,"",INDEX('RQ3'!$P$2:$P$455,MATCH($A290,'RQ3'!$A$2:$A$455,0)))="","NO REGISTRADO",IF(IF(COUNTIFS('RQ3'!$A$2:$A$455,$A290,'RQ3'!$P$2:$P$455,"")&gt;0,"",INDEX('RQ3'!$P$2:$P$455,MATCH($A290,'RQ3'!$A$2:$A$455,0)))=1,"MARCA ACTIVA","SIN MARCA"))</f>
        <v/>
      </c>
      <c r="G290" s="4">
        <f>IF(IF(COUNTIFS('ESTUDIOS'!$A$2:$A$455,$A290,'ESTUDIOS'!$N$2:$N$455,"")&gt;0,"",INDEX('ESTUDIOS'!$N$2:$N$455,MATCH($A290,'ESTUDIOS'!$A$2:$A$455,0)))="Verified","DOCUMENTADA","NO DOCUMENTADA")</f>
        <v/>
      </c>
      <c r="H290" s="4">
        <f>IF(D290="PENDIENTE","Leer evidencia ya extraída; registrar uso propuesto o evaluado, función, fuente y revisor en RQ2.","Comprobar evidencia y cautelas registradas; documentar verificación sin recodificar lo ya respaldado.")</f>
        <v/>
      </c>
      <c r="I290" s="4" t="inlineStr">
        <is>
          <t>https://doi.org/10.2196/89054</t>
        </is>
      </c>
    </row>
    <row r="291" ht="64" customHeight="1">
      <c r="A291" s="4" t="inlineStr">
        <is>
          <t>new_172</t>
        </is>
      </c>
      <c r="B291" s="4" t="inlineStr">
        <is>
          <t>Evaluating Public Sentiment on Attention-Deficit/Hyperactivity Disorder and Autism Spectrum Disorder Compared With Other Mental Health Disorders From Posts on X (Formerly Known as Twitter): Longitudinal Analysis</t>
        </is>
      </c>
      <c r="C291" s="4">
        <f>IF(IF(COUNTIFS('ESTUDIOS'!$A$2:$A$455,$A291,'ESTUDIOS'!$I$2:$I$455,"")&gt;0,"",INDEX('ESTUDIOS'!$I$2:$I$455,MATCH($A291,'ESTUDIOS'!$A$2:$A$455,0)))=1,"1 - Integrity",IF(OR(IF(COUNTIFS('RQ2'!$A$2:$A$455,$A291,'RQ2'!$D$2:$D$455,"")&gt;0,"",INDEX('RQ2'!$D$2:$D$455,MATCH($A291,'RQ2'!$A$2:$A$455,0)))="",IF(COUNTIFS('RQ2'!$A$2:$A$455,$A291,'RQ2'!$E$2:$E$455,"")&gt;0,"",INDEX('RQ2'!$E$2:$E$455,MATCH($A291,'RQ2'!$A$2:$A$455,0)))=""),"2 - RQ2 historical","3 - Verify recorded evidence"))</f>
        <v/>
      </c>
      <c r="D291" s="4">
        <f>IF(OR(IF(COUNTIFS('RQ2'!$A$2:$A$455,$A291,'RQ2'!$D$2:$D$455,"")&gt;0,"",INDEX('RQ2'!$D$2:$D$455,MATCH($A291,'RQ2'!$A$2:$A$455,0)))="",IF(COUNTIFS('RQ2'!$A$2:$A$455,$A291,'RQ2'!$E$2:$E$455,"")&gt;0,"",INDEX('RQ2'!$E$2:$E$455,MATCH($A291,'RQ2'!$A$2:$A$455,0)))=""),"PENDIENTE","REGISTRADA")</f>
        <v/>
      </c>
      <c r="E291" s="4">
        <f>IF(IF(COUNTIFS('RQ1'!$A$2:$A$455,$A291,'RQ1'!$N$2:$N$455,"")&gt;0,"",INDEX('RQ1'!$N$2:$N$455,MATCH($A291,'RQ1'!$A$2:$A$455,0)))=1,"REVISAR DETALLE","REGISTRADA")</f>
        <v/>
      </c>
      <c r="F291" s="4">
        <f>IF(IF(COUNTIFS('RQ3'!$A$2:$A$455,$A291,'RQ3'!$P$2:$P$455,"")&gt;0,"",INDEX('RQ3'!$P$2:$P$455,MATCH($A291,'RQ3'!$A$2:$A$455,0)))="","NO REGISTRADO",IF(IF(COUNTIFS('RQ3'!$A$2:$A$455,$A291,'RQ3'!$P$2:$P$455,"")&gt;0,"",INDEX('RQ3'!$P$2:$P$455,MATCH($A291,'RQ3'!$A$2:$A$455,0)))=1,"MARCA ACTIVA","SIN MARCA"))</f>
        <v/>
      </c>
      <c r="G291" s="4">
        <f>IF(IF(COUNTIFS('ESTUDIOS'!$A$2:$A$455,$A291,'ESTUDIOS'!$N$2:$N$455,"")&gt;0,"",INDEX('ESTUDIOS'!$N$2:$N$455,MATCH($A291,'ESTUDIOS'!$A$2:$A$455,0)))="Verified","DOCUMENTADA","NO DOCUMENTADA")</f>
        <v/>
      </c>
      <c r="H291" s="4">
        <f>IF(D291="PENDIENTE","Leer evidencia ya extraída; registrar uso propuesto o evaluado, función, fuente y revisor en RQ2.","Comprobar evidencia y cautelas registradas; documentar verificación sin recodificar lo ya respaldado.")</f>
        <v/>
      </c>
      <c r="I291" s="4" t="inlineStr">
        <is>
          <t>https://doi.org/10.2196/74440</t>
        </is>
      </c>
    </row>
    <row r="292" ht="64" customHeight="1">
      <c r="A292" s="4" t="inlineStr">
        <is>
          <t>new_173</t>
        </is>
      </c>
      <c r="B292" s="4" t="inlineStr">
        <is>
          <t>From Click to Chat: A Comparative, Bilingual Study of Autism-Related Information on Websites and General-Purpose AI Chatbots (Preprint)</t>
        </is>
      </c>
      <c r="C292" s="4">
        <f>IF(IF(COUNTIFS('ESTUDIOS'!$A$2:$A$455,$A292,'ESTUDIOS'!$I$2:$I$455,"")&gt;0,"",INDEX('ESTUDIOS'!$I$2:$I$455,MATCH($A292,'ESTUDIOS'!$A$2:$A$455,0)))=1,"1 - Integrity",IF(OR(IF(COUNTIFS('RQ2'!$A$2:$A$455,$A292,'RQ2'!$D$2:$D$455,"")&gt;0,"",INDEX('RQ2'!$D$2:$D$455,MATCH($A292,'RQ2'!$A$2:$A$455,0)))="",IF(COUNTIFS('RQ2'!$A$2:$A$455,$A292,'RQ2'!$E$2:$E$455,"")&gt;0,"",INDEX('RQ2'!$E$2:$E$455,MATCH($A292,'RQ2'!$A$2:$A$455,0)))=""),"2 - RQ2 historical","3 - Verify recorded evidence"))</f>
        <v/>
      </c>
      <c r="D292" s="4">
        <f>IF(OR(IF(COUNTIFS('RQ2'!$A$2:$A$455,$A292,'RQ2'!$D$2:$D$455,"")&gt;0,"",INDEX('RQ2'!$D$2:$D$455,MATCH($A292,'RQ2'!$A$2:$A$455,0)))="",IF(COUNTIFS('RQ2'!$A$2:$A$455,$A292,'RQ2'!$E$2:$E$455,"")&gt;0,"",INDEX('RQ2'!$E$2:$E$455,MATCH($A292,'RQ2'!$A$2:$A$455,0)))=""),"PENDIENTE","REGISTRADA")</f>
        <v/>
      </c>
      <c r="E292" s="4">
        <f>IF(IF(COUNTIFS('RQ1'!$A$2:$A$455,$A292,'RQ1'!$N$2:$N$455,"")&gt;0,"",INDEX('RQ1'!$N$2:$N$455,MATCH($A292,'RQ1'!$A$2:$A$455,0)))=1,"REVISAR DETALLE","REGISTRADA")</f>
        <v/>
      </c>
      <c r="F292" s="4">
        <f>IF(IF(COUNTIFS('RQ3'!$A$2:$A$455,$A292,'RQ3'!$P$2:$P$455,"")&gt;0,"",INDEX('RQ3'!$P$2:$P$455,MATCH($A292,'RQ3'!$A$2:$A$455,0)))="","NO REGISTRADO",IF(IF(COUNTIFS('RQ3'!$A$2:$A$455,$A292,'RQ3'!$P$2:$P$455,"")&gt;0,"",INDEX('RQ3'!$P$2:$P$455,MATCH($A292,'RQ3'!$A$2:$A$455,0)))=1,"MARCA ACTIVA","SIN MARCA"))</f>
        <v/>
      </c>
      <c r="G292" s="4">
        <f>IF(IF(COUNTIFS('ESTUDIOS'!$A$2:$A$455,$A292,'ESTUDIOS'!$N$2:$N$455,"")&gt;0,"",INDEX('ESTUDIOS'!$N$2:$N$455,MATCH($A292,'ESTUDIOS'!$A$2:$A$455,0)))="Verified","DOCUMENTADA","NO DOCUMENTADA")</f>
        <v/>
      </c>
      <c r="H292" s="4">
        <f>IF(D292="PENDIENTE","Leer evidencia ya extraída; registrar uso propuesto o evaluado, función, fuente y revisor en RQ2.","Comprobar evidencia y cautelas registradas; documentar verificación sin recodificar lo ya respaldado.")</f>
        <v/>
      </c>
      <c r="I292" s="4" t="inlineStr">
        <is>
          <t>https://doi.org/10.2196/85196</t>
        </is>
      </c>
    </row>
    <row r="293" ht="64" customHeight="1">
      <c r="A293" s="4" t="inlineStr">
        <is>
          <t>new_179</t>
        </is>
      </c>
      <c r="B293" s="4" t="inlineStr">
        <is>
          <t>Free Water Corrected Diffusion Magnetic Resonance Imaging Reveals Microstructural Alterations in Corpus Callosum Subregions of Preschool Children With Autism</t>
        </is>
      </c>
      <c r="C293" s="4">
        <f>IF(IF(COUNTIFS('ESTUDIOS'!$A$2:$A$455,$A293,'ESTUDIOS'!$I$2:$I$455,"")&gt;0,"",INDEX('ESTUDIOS'!$I$2:$I$455,MATCH($A293,'ESTUDIOS'!$A$2:$A$455,0)))=1,"1 - Integrity",IF(OR(IF(COUNTIFS('RQ2'!$A$2:$A$455,$A293,'RQ2'!$D$2:$D$455,"")&gt;0,"",INDEX('RQ2'!$D$2:$D$455,MATCH($A293,'RQ2'!$A$2:$A$455,0)))="",IF(COUNTIFS('RQ2'!$A$2:$A$455,$A293,'RQ2'!$E$2:$E$455,"")&gt;0,"",INDEX('RQ2'!$E$2:$E$455,MATCH($A293,'RQ2'!$A$2:$A$455,0)))=""),"2 - RQ2 historical","3 - Verify recorded evidence"))</f>
        <v/>
      </c>
      <c r="D293" s="4">
        <f>IF(OR(IF(COUNTIFS('RQ2'!$A$2:$A$455,$A293,'RQ2'!$D$2:$D$455,"")&gt;0,"",INDEX('RQ2'!$D$2:$D$455,MATCH($A293,'RQ2'!$A$2:$A$455,0)))="",IF(COUNTIFS('RQ2'!$A$2:$A$455,$A293,'RQ2'!$E$2:$E$455,"")&gt;0,"",INDEX('RQ2'!$E$2:$E$455,MATCH($A293,'RQ2'!$A$2:$A$455,0)))=""),"PENDIENTE","REGISTRADA")</f>
        <v/>
      </c>
      <c r="E293" s="4">
        <f>IF(IF(COUNTIFS('RQ1'!$A$2:$A$455,$A293,'RQ1'!$N$2:$N$455,"")&gt;0,"",INDEX('RQ1'!$N$2:$N$455,MATCH($A293,'RQ1'!$A$2:$A$455,0)))=1,"REVISAR DETALLE","REGISTRADA")</f>
        <v/>
      </c>
      <c r="F293" s="4">
        <f>IF(IF(COUNTIFS('RQ3'!$A$2:$A$455,$A293,'RQ3'!$P$2:$P$455,"")&gt;0,"",INDEX('RQ3'!$P$2:$P$455,MATCH($A293,'RQ3'!$A$2:$A$455,0)))="","NO REGISTRADO",IF(IF(COUNTIFS('RQ3'!$A$2:$A$455,$A293,'RQ3'!$P$2:$P$455,"")&gt;0,"",INDEX('RQ3'!$P$2:$P$455,MATCH($A293,'RQ3'!$A$2:$A$455,0)))=1,"MARCA ACTIVA","SIN MARCA"))</f>
        <v/>
      </c>
      <c r="G293" s="4">
        <f>IF(IF(COUNTIFS('ESTUDIOS'!$A$2:$A$455,$A293,'ESTUDIOS'!$N$2:$N$455,"")&gt;0,"",INDEX('ESTUDIOS'!$N$2:$N$455,MATCH($A293,'ESTUDIOS'!$A$2:$A$455,0)))="Verified","DOCUMENTADA","NO DOCUMENTADA")</f>
        <v/>
      </c>
      <c r="H293" s="4">
        <f>IF(D293="PENDIENTE","Leer evidencia ya extraída; registrar uso propuesto o evaluado, función, fuente y revisor en RQ2.","Comprobar evidencia y cautelas registradas; documentar verificación sin recodificar lo ya respaldado.")</f>
        <v/>
      </c>
      <c r="I293" s="4" t="inlineStr">
        <is>
          <t>https://doi.org/10.1002/hbm.70435</t>
        </is>
      </c>
    </row>
    <row r="294" ht="64" customHeight="1">
      <c r="A294" s="4" t="inlineStr">
        <is>
          <t>new_182</t>
        </is>
      </c>
      <c r="B294" s="4" t="inlineStr">
        <is>
          <t>Label leakage unmasked: a trustworthy-AI audit of autism screening models using the CLEAR-RD framework.</t>
        </is>
      </c>
      <c r="C294" s="4">
        <f>IF(IF(COUNTIFS('ESTUDIOS'!$A$2:$A$455,$A294,'ESTUDIOS'!$I$2:$I$455,"")&gt;0,"",INDEX('ESTUDIOS'!$I$2:$I$455,MATCH($A294,'ESTUDIOS'!$A$2:$A$455,0)))=1,"1 - Integrity",IF(OR(IF(COUNTIFS('RQ2'!$A$2:$A$455,$A294,'RQ2'!$D$2:$D$455,"")&gt;0,"",INDEX('RQ2'!$D$2:$D$455,MATCH($A294,'RQ2'!$A$2:$A$455,0)))="",IF(COUNTIFS('RQ2'!$A$2:$A$455,$A294,'RQ2'!$E$2:$E$455,"")&gt;0,"",INDEX('RQ2'!$E$2:$E$455,MATCH($A294,'RQ2'!$A$2:$A$455,0)))=""),"2 - RQ2 historical","3 - Verify recorded evidence"))</f>
        <v/>
      </c>
      <c r="D294" s="4">
        <f>IF(OR(IF(COUNTIFS('RQ2'!$A$2:$A$455,$A294,'RQ2'!$D$2:$D$455,"")&gt;0,"",INDEX('RQ2'!$D$2:$D$455,MATCH($A294,'RQ2'!$A$2:$A$455,0)))="",IF(COUNTIFS('RQ2'!$A$2:$A$455,$A294,'RQ2'!$E$2:$E$455,"")&gt;0,"",INDEX('RQ2'!$E$2:$E$455,MATCH($A294,'RQ2'!$A$2:$A$455,0)))=""),"PENDIENTE","REGISTRADA")</f>
        <v/>
      </c>
      <c r="E294" s="4">
        <f>IF(IF(COUNTIFS('RQ1'!$A$2:$A$455,$A294,'RQ1'!$N$2:$N$455,"")&gt;0,"",INDEX('RQ1'!$N$2:$N$455,MATCH($A294,'RQ1'!$A$2:$A$455,0)))=1,"REVISAR DETALLE","REGISTRADA")</f>
        <v/>
      </c>
      <c r="F294" s="4">
        <f>IF(IF(COUNTIFS('RQ3'!$A$2:$A$455,$A294,'RQ3'!$P$2:$P$455,"")&gt;0,"",INDEX('RQ3'!$P$2:$P$455,MATCH($A294,'RQ3'!$A$2:$A$455,0)))="","NO REGISTRADO",IF(IF(COUNTIFS('RQ3'!$A$2:$A$455,$A294,'RQ3'!$P$2:$P$455,"")&gt;0,"",INDEX('RQ3'!$P$2:$P$455,MATCH($A294,'RQ3'!$A$2:$A$455,0)))=1,"MARCA ACTIVA","SIN MARCA"))</f>
        <v/>
      </c>
      <c r="G294" s="4">
        <f>IF(IF(COUNTIFS('ESTUDIOS'!$A$2:$A$455,$A294,'ESTUDIOS'!$N$2:$N$455,"")&gt;0,"",INDEX('ESTUDIOS'!$N$2:$N$455,MATCH($A294,'ESTUDIOS'!$A$2:$A$455,0)))="Verified","DOCUMENTADA","NO DOCUMENTADA")</f>
        <v/>
      </c>
      <c r="H294" s="4">
        <f>IF(D294="PENDIENTE","Leer evidencia ya extraída; registrar uso propuesto o evaluado, función, fuente y revisor en RQ2.","Comprobar evidencia y cautelas registradas; documentar verificación sin recodificar lo ya respaldado.")</f>
        <v/>
      </c>
      <c r="I294" s="4" t="inlineStr">
        <is>
          <t>https://doi.org/10.3389/fpubh.2026.1881829</t>
        </is>
      </c>
    </row>
    <row r="295" ht="64" customHeight="1">
      <c r="A295" s="4" t="inlineStr">
        <is>
          <t>new_185</t>
        </is>
      </c>
      <c r="B295" s="4" t="inlineStr">
        <is>
          <t>Early multimodal behavioral cues in autism: a micro-analytical exploration of actions, gestures and speech during naturalistic parent-child interactions</t>
        </is>
      </c>
      <c r="C295" s="4">
        <f>IF(IF(COUNTIFS('ESTUDIOS'!$A$2:$A$455,$A295,'ESTUDIOS'!$I$2:$I$455,"")&gt;0,"",INDEX('ESTUDIOS'!$I$2:$I$455,MATCH($A295,'ESTUDIOS'!$A$2:$A$455,0)))=1,"1 - Integrity",IF(OR(IF(COUNTIFS('RQ2'!$A$2:$A$455,$A295,'RQ2'!$D$2:$D$455,"")&gt;0,"",INDEX('RQ2'!$D$2:$D$455,MATCH($A295,'RQ2'!$A$2:$A$455,0)))="",IF(COUNTIFS('RQ2'!$A$2:$A$455,$A295,'RQ2'!$E$2:$E$455,"")&gt;0,"",INDEX('RQ2'!$E$2:$E$455,MATCH($A295,'RQ2'!$A$2:$A$455,0)))=""),"2 - RQ2 historical","3 - Verify recorded evidence"))</f>
        <v/>
      </c>
      <c r="D295" s="4">
        <f>IF(OR(IF(COUNTIFS('RQ2'!$A$2:$A$455,$A295,'RQ2'!$D$2:$D$455,"")&gt;0,"",INDEX('RQ2'!$D$2:$D$455,MATCH($A295,'RQ2'!$A$2:$A$455,0)))="",IF(COUNTIFS('RQ2'!$A$2:$A$455,$A295,'RQ2'!$E$2:$E$455,"")&gt;0,"",INDEX('RQ2'!$E$2:$E$455,MATCH($A295,'RQ2'!$A$2:$A$455,0)))=""),"PENDIENTE","REGISTRADA")</f>
        <v/>
      </c>
      <c r="E295" s="4">
        <f>IF(IF(COUNTIFS('RQ1'!$A$2:$A$455,$A295,'RQ1'!$N$2:$N$455,"")&gt;0,"",INDEX('RQ1'!$N$2:$N$455,MATCH($A295,'RQ1'!$A$2:$A$455,0)))=1,"REVISAR DETALLE","REGISTRADA")</f>
        <v/>
      </c>
      <c r="F295" s="4">
        <f>IF(IF(COUNTIFS('RQ3'!$A$2:$A$455,$A295,'RQ3'!$P$2:$P$455,"")&gt;0,"",INDEX('RQ3'!$P$2:$P$455,MATCH($A295,'RQ3'!$A$2:$A$455,0)))="","NO REGISTRADO",IF(IF(COUNTIFS('RQ3'!$A$2:$A$455,$A295,'RQ3'!$P$2:$P$455,"")&gt;0,"",INDEX('RQ3'!$P$2:$P$455,MATCH($A295,'RQ3'!$A$2:$A$455,0)))=1,"MARCA ACTIVA","SIN MARCA"))</f>
        <v/>
      </c>
      <c r="G295" s="4">
        <f>IF(IF(COUNTIFS('ESTUDIOS'!$A$2:$A$455,$A295,'ESTUDIOS'!$N$2:$N$455,"")&gt;0,"",INDEX('ESTUDIOS'!$N$2:$N$455,MATCH($A295,'ESTUDIOS'!$A$2:$A$455,0)))="Verified","DOCUMENTADA","NO DOCUMENTADA")</f>
        <v/>
      </c>
      <c r="H295" s="4">
        <f>IF(D295="PENDIENTE","Leer evidencia ya extraída; registrar uso propuesto o evaluado, función, fuente y revisor en RQ2.","Comprobar evidencia y cautelas registradas; documentar verificación sin recodificar lo ya respaldado.")</f>
        <v/>
      </c>
      <c r="I295" s="4" t="inlineStr">
        <is>
          <t>https://doi.org/10.1016/j.ijchp.2026.100664</t>
        </is>
      </c>
    </row>
    <row r="296" ht="64" customHeight="1">
      <c r="A296" s="4" t="inlineStr">
        <is>
          <t>new_186</t>
        </is>
      </c>
      <c r="B296" s="4" t="inlineStr">
        <is>
          <t>Mood instability and mental health service use in autism and attention-deficit/hyperactivity disorder: a natural language processing analysis of CRIS electronic healthcare records from 21 906 children and adolescents.</t>
        </is>
      </c>
      <c r="C296" s="4">
        <f>IF(IF(COUNTIFS('ESTUDIOS'!$A$2:$A$455,$A296,'ESTUDIOS'!$I$2:$I$455,"")&gt;0,"",INDEX('ESTUDIOS'!$I$2:$I$455,MATCH($A296,'ESTUDIOS'!$A$2:$A$455,0)))=1,"1 - Integrity",IF(OR(IF(COUNTIFS('RQ2'!$A$2:$A$455,$A296,'RQ2'!$D$2:$D$455,"")&gt;0,"",INDEX('RQ2'!$D$2:$D$455,MATCH($A296,'RQ2'!$A$2:$A$455,0)))="",IF(COUNTIFS('RQ2'!$A$2:$A$455,$A296,'RQ2'!$E$2:$E$455,"")&gt;0,"",INDEX('RQ2'!$E$2:$E$455,MATCH($A296,'RQ2'!$A$2:$A$455,0)))=""),"2 - RQ2 historical","3 - Verify recorded evidence"))</f>
        <v/>
      </c>
      <c r="D296" s="4">
        <f>IF(OR(IF(COUNTIFS('RQ2'!$A$2:$A$455,$A296,'RQ2'!$D$2:$D$455,"")&gt;0,"",INDEX('RQ2'!$D$2:$D$455,MATCH($A296,'RQ2'!$A$2:$A$455,0)))="",IF(COUNTIFS('RQ2'!$A$2:$A$455,$A296,'RQ2'!$E$2:$E$455,"")&gt;0,"",INDEX('RQ2'!$E$2:$E$455,MATCH($A296,'RQ2'!$A$2:$A$455,0)))=""),"PENDIENTE","REGISTRADA")</f>
        <v/>
      </c>
      <c r="E296" s="4">
        <f>IF(IF(COUNTIFS('RQ1'!$A$2:$A$455,$A296,'RQ1'!$N$2:$N$455,"")&gt;0,"",INDEX('RQ1'!$N$2:$N$455,MATCH($A296,'RQ1'!$A$2:$A$455,0)))=1,"REVISAR DETALLE","REGISTRADA")</f>
        <v/>
      </c>
      <c r="F296" s="4">
        <f>IF(IF(COUNTIFS('RQ3'!$A$2:$A$455,$A296,'RQ3'!$P$2:$P$455,"")&gt;0,"",INDEX('RQ3'!$P$2:$P$455,MATCH($A296,'RQ3'!$A$2:$A$455,0)))="","NO REGISTRADO",IF(IF(COUNTIFS('RQ3'!$A$2:$A$455,$A296,'RQ3'!$P$2:$P$455,"")&gt;0,"",INDEX('RQ3'!$P$2:$P$455,MATCH($A296,'RQ3'!$A$2:$A$455,0)))=1,"MARCA ACTIVA","SIN MARCA"))</f>
        <v/>
      </c>
      <c r="G296" s="4">
        <f>IF(IF(COUNTIFS('ESTUDIOS'!$A$2:$A$455,$A296,'ESTUDIOS'!$N$2:$N$455,"")&gt;0,"",INDEX('ESTUDIOS'!$N$2:$N$455,MATCH($A296,'ESTUDIOS'!$A$2:$A$455,0)))="Verified","DOCUMENTADA","NO DOCUMENTADA")</f>
        <v/>
      </c>
      <c r="H296" s="4">
        <f>IF(D296="PENDIENTE","Leer evidencia ya extraída; registrar uso propuesto o evaluado, función, fuente y revisor en RQ2.","Comprobar evidencia y cautelas registradas; documentar verificación sin recodificar lo ya respaldado.")</f>
        <v/>
      </c>
      <c r="I296" s="4" t="inlineStr">
        <is>
          <t>https://doi.org/10.1136/bmjment-2026-302488</t>
        </is>
      </c>
    </row>
    <row r="297" ht="64" customHeight="1">
      <c r="A297" s="4" t="inlineStr">
        <is>
          <t>new_191</t>
        </is>
      </c>
      <c r="B297" s="4" t="inlineStr">
        <is>
          <t>A functional system-informed graph neural network framework to quantify interpretable brain dysfunction in ASD</t>
        </is>
      </c>
      <c r="C297" s="4">
        <f>IF(IF(COUNTIFS('ESTUDIOS'!$A$2:$A$455,$A297,'ESTUDIOS'!$I$2:$I$455,"")&gt;0,"",INDEX('ESTUDIOS'!$I$2:$I$455,MATCH($A297,'ESTUDIOS'!$A$2:$A$455,0)))=1,"1 - Integrity",IF(OR(IF(COUNTIFS('RQ2'!$A$2:$A$455,$A297,'RQ2'!$D$2:$D$455,"")&gt;0,"",INDEX('RQ2'!$D$2:$D$455,MATCH($A297,'RQ2'!$A$2:$A$455,0)))="",IF(COUNTIFS('RQ2'!$A$2:$A$455,$A297,'RQ2'!$E$2:$E$455,"")&gt;0,"",INDEX('RQ2'!$E$2:$E$455,MATCH($A297,'RQ2'!$A$2:$A$455,0)))=""),"2 - RQ2 historical","3 - Verify recorded evidence"))</f>
        <v/>
      </c>
      <c r="D297" s="4">
        <f>IF(OR(IF(COUNTIFS('RQ2'!$A$2:$A$455,$A297,'RQ2'!$D$2:$D$455,"")&gt;0,"",INDEX('RQ2'!$D$2:$D$455,MATCH($A297,'RQ2'!$A$2:$A$455,0)))="",IF(COUNTIFS('RQ2'!$A$2:$A$455,$A297,'RQ2'!$E$2:$E$455,"")&gt;0,"",INDEX('RQ2'!$E$2:$E$455,MATCH($A297,'RQ2'!$A$2:$A$455,0)))=""),"PENDIENTE","REGISTRADA")</f>
        <v/>
      </c>
      <c r="E297" s="4">
        <f>IF(IF(COUNTIFS('RQ1'!$A$2:$A$455,$A297,'RQ1'!$N$2:$N$455,"")&gt;0,"",INDEX('RQ1'!$N$2:$N$455,MATCH($A297,'RQ1'!$A$2:$A$455,0)))=1,"REVISAR DETALLE","REGISTRADA")</f>
        <v/>
      </c>
      <c r="F297" s="4">
        <f>IF(IF(COUNTIFS('RQ3'!$A$2:$A$455,$A297,'RQ3'!$P$2:$P$455,"")&gt;0,"",INDEX('RQ3'!$P$2:$P$455,MATCH($A297,'RQ3'!$A$2:$A$455,0)))="","NO REGISTRADO",IF(IF(COUNTIFS('RQ3'!$A$2:$A$455,$A297,'RQ3'!$P$2:$P$455,"")&gt;0,"",INDEX('RQ3'!$P$2:$P$455,MATCH($A297,'RQ3'!$A$2:$A$455,0)))=1,"MARCA ACTIVA","SIN MARCA"))</f>
        <v/>
      </c>
      <c r="G297" s="4">
        <f>IF(IF(COUNTIFS('ESTUDIOS'!$A$2:$A$455,$A297,'ESTUDIOS'!$N$2:$N$455,"")&gt;0,"",INDEX('ESTUDIOS'!$N$2:$N$455,MATCH($A297,'ESTUDIOS'!$A$2:$A$455,0)))="Verified","DOCUMENTADA","NO DOCUMENTADA")</f>
        <v/>
      </c>
      <c r="H297" s="4">
        <f>IF(D297="PENDIENTE","Leer evidencia ya extraída; registrar uso propuesto o evaluado, función, fuente y revisor en RQ2.","Comprobar evidencia y cautelas registradas; documentar verificación sin recodificar lo ya respaldado.")</f>
        <v/>
      </c>
      <c r="I297" s="4" t="inlineStr">
        <is>
          <t>https://doi.org/10.1016/j.neunet.2025.108295</t>
        </is>
      </c>
    </row>
    <row r="298" ht="64" customHeight="1">
      <c r="A298" s="4" t="inlineStr">
        <is>
          <t>new_197</t>
        </is>
      </c>
      <c r="B298" s="4" t="inlineStr">
        <is>
          <t>Deep learning for autism detection using clinical notes: A comparison of transfer learning for a transparent and black-box approach</t>
        </is>
      </c>
      <c r="C298" s="4">
        <f>IF(IF(COUNTIFS('ESTUDIOS'!$A$2:$A$455,$A298,'ESTUDIOS'!$I$2:$I$455,"")&gt;0,"",INDEX('ESTUDIOS'!$I$2:$I$455,MATCH($A298,'ESTUDIOS'!$A$2:$A$455,0)))=1,"1 - Integrity",IF(OR(IF(COUNTIFS('RQ2'!$A$2:$A$455,$A298,'RQ2'!$D$2:$D$455,"")&gt;0,"",INDEX('RQ2'!$D$2:$D$455,MATCH($A298,'RQ2'!$A$2:$A$455,0)))="",IF(COUNTIFS('RQ2'!$A$2:$A$455,$A298,'RQ2'!$E$2:$E$455,"")&gt;0,"",INDEX('RQ2'!$E$2:$E$455,MATCH($A298,'RQ2'!$A$2:$A$455,0)))=""),"2 - RQ2 historical","3 - Verify recorded evidence"))</f>
        <v/>
      </c>
      <c r="D298" s="4">
        <f>IF(OR(IF(COUNTIFS('RQ2'!$A$2:$A$455,$A298,'RQ2'!$D$2:$D$455,"")&gt;0,"",INDEX('RQ2'!$D$2:$D$455,MATCH($A298,'RQ2'!$A$2:$A$455,0)))="",IF(COUNTIFS('RQ2'!$A$2:$A$455,$A298,'RQ2'!$E$2:$E$455,"")&gt;0,"",INDEX('RQ2'!$E$2:$E$455,MATCH($A298,'RQ2'!$A$2:$A$455,0)))=""),"PENDIENTE","REGISTRADA")</f>
        <v/>
      </c>
      <c r="E298" s="4">
        <f>IF(IF(COUNTIFS('RQ1'!$A$2:$A$455,$A298,'RQ1'!$N$2:$N$455,"")&gt;0,"",INDEX('RQ1'!$N$2:$N$455,MATCH($A298,'RQ1'!$A$2:$A$455,0)))=1,"REVISAR DETALLE","REGISTRADA")</f>
        <v/>
      </c>
      <c r="F298" s="4">
        <f>IF(IF(COUNTIFS('RQ3'!$A$2:$A$455,$A298,'RQ3'!$P$2:$P$455,"")&gt;0,"",INDEX('RQ3'!$P$2:$P$455,MATCH($A298,'RQ3'!$A$2:$A$455,0)))="","NO REGISTRADO",IF(IF(COUNTIFS('RQ3'!$A$2:$A$455,$A298,'RQ3'!$P$2:$P$455,"")&gt;0,"",INDEX('RQ3'!$P$2:$P$455,MATCH($A298,'RQ3'!$A$2:$A$455,0)))=1,"MARCA ACTIVA","SIN MARCA"))</f>
        <v/>
      </c>
      <c r="G298" s="4">
        <f>IF(IF(COUNTIFS('ESTUDIOS'!$A$2:$A$455,$A298,'ESTUDIOS'!$N$2:$N$455,"")&gt;0,"",INDEX('ESTUDIOS'!$N$2:$N$455,MATCH($A298,'ESTUDIOS'!$A$2:$A$455,0)))="Verified","DOCUMENTADA","NO DOCUMENTADA")</f>
        <v/>
      </c>
      <c r="H298" s="4">
        <f>IF(D298="PENDIENTE","Leer evidencia ya extraída; registrar uso propuesto o evaluado, función, fuente y revisor en RQ2.","Comprobar evidencia y cautelas registradas; documentar verificación sin recodificar lo ya respaldado.")</f>
        <v/>
      </c>
      <c r="I298" s="4" t="inlineStr">
        <is>
          <t>https://doi.org/10.1016/j.artmed.2025.103318</t>
        </is>
      </c>
    </row>
    <row r="299" ht="64" customHeight="1">
      <c r="A299" s="4" t="inlineStr">
        <is>
          <t>new_200</t>
        </is>
      </c>
      <c r="B299" s="4" t="inlineStr">
        <is>
          <t>Finding the forest in the trees: Using machine learning and online cognitive and perceptual measures to predict adult autism diagnosis</t>
        </is>
      </c>
      <c r="C299" s="4">
        <f>IF(IF(COUNTIFS('ESTUDIOS'!$A$2:$A$455,$A299,'ESTUDIOS'!$I$2:$I$455,"")&gt;0,"",INDEX('ESTUDIOS'!$I$2:$I$455,MATCH($A299,'ESTUDIOS'!$A$2:$A$455,0)))=1,"1 - Integrity",IF(OR(IF(COUNTIFS('RQ2'!$A$2:$A$455,$A299,'RQ2'!$D$2:$D$455,"")&gt;0,"",INDEX('RQ2'!$D$2:$D$455,MATCH($A299,'RQ2'!$A$2:$A$455,0)))="",IF(COUNTIFS('RQ2'!$A$2:$A$455,$A299,'RQ2'!$E$2:$E$455,"")&gt;0,"",INDEX('RQ2'!$E$2:$E$455,MATCH($A299,'RQ2'!$A$2:$A$455,0)))=""),"2 - RQ2 historical","3 - Verify recorded evidence"))</f>
        <v/>
      </c>
      <c r="D299" s="4">
        <f>IF(OR(IF(COUNTIFS('RQ2'!$A$2:$A$455,$A299,'RQ2'!$D$2:$D$455,"")&gt;0,"",INDEX('RQ2'!$D$2:$D$455,MATCH($A299,'RQ2'!$A$2:$A$455,0)))="",IF(COUNTIFS('RQ2'!$A$2:$A$455,$A299,'RQ2'!$E$2:$E$455,"")&gt;0,"",INDEX('RQ2'!$E$2:$E$455,MATCH($A299,'RQ2'!$A$2:$A$455,0)))=""),"PENDIENTE","REGISTRADA")</f>
        <v/>
      </c>
      <c r="E299" s="4">
        <f>IF(IF(COUNTIFS('RQ1'!$A$2:$A$455,$A299,'RQ1'!$N$2:$N$455,"")&gt;0,"",INDEX('RQ1'!$N$2:$N$455,MATCH($A299,'RQ1'!$A$2:$A$455,0)))=1,"REVISAR DETALLE","REGISTRADA")</f>
        <v/>
      </c>
      <c r="F299" s="4">
        <f>IF(IF(COUNTIFS('RQ3'!$A$2:$A$455,$A299,'RQ3'!$P$2:$P$455,"")&gt;0,"",INDEX('RQ3'!$P$2:$P$455,MATCH($A299,'RQ3'!$A$2:$A$455,0)))="","NO REGISTRADO",IF(IF(COUNTIFS('RQ3'!$A$2:$A$455,$A299,'RQ3'!$P$2:$P$455,"")&gt;0,"",INDEX('RQ3'!$P$2:$P$455,MATCH($A299,'RQ3'!$A$2:$A$455,0)))=1,"MARCA ACTIVA","SIN MARCA"))</f>
        <v/>
      </c>
      <c r="G299" s="4">
        <f>IF(IF(COUNTIFS('ESTUDIOS'!$A$2:$A$455,$A299,'ESTUDIOS'!$N$2:$N$455,"")&gt;0,"",INDEX('ESTUDIOS'!$N$2:$N$455,MATCH($A299,'ESTUDIOS'!$A$2:$A$455,0)))="Verified","DOCUMENTADA","NO DOCUMENTADA")</f>
        <v/>
      </c>
      <c r="H299" s="4">
        <f>IF(D299="PENDIENTE","Leer evidencia ya extraída; registrar uso propuesto o evaluado, función, fuente y revisor en RQ2.","Comprobar evidencia y cautelas registradas; documentar verificación sin recodificar lo ya respaldado.")</f>
        <v/>
      </c>
      <c r="I299" s="4" t="inlineStr">
        <is>
          <t>https://doi.org/10.1038/s41398-026-03823-y</t>
        </is>
      </c>
    </row>
    <row r="300" ht="64" customHeight="1">
      <c r="A300" s="4" t="inlineStr">
        <is>
          <t>new_210</t>
        </is>
      </c>
      <c r="B300" s="4" t="inlineStr">
        <is>
          <t>Biomarker Discovery for Autism Prediction Using Massive Feature Extraction Based on EEG Signals</t>
        </is>
      </c>
      <c r="C300" s="4">
        <f>IF(IF(COUNTIFS('ESTUDIOS'!$A$2:$A$455,$A300,'ESTUDIOS'!$I$2:$I$455,"")&gt;0,"",INDEX('ESTUDIOS'!$I$2:$I$455,MATCH($A300,'ESTUDIOS'!$A$2:$A$455,0)))=1,"1 - Integrity",IF(OR(IF(COUNTIFS('RQ2'!$A$2:$A$455,$A300,'RQ2'!$D$2:$D$455,"")&gt;0,"",INDEX('RQ2'!$D$2:$D$455,MATCH($A300,'RQ2'!$A$2:$A$455,0)))="",IF(COUNTIFS('RQ2'!$A$2:$A$455,$A300,'RQ2'!$E$2:$E$455,"")&gt;0,"",INDEX('RQ2'!$E$2:$E$455,MATCH($A300,'RQ2'!$A$2:$A$455,0)))=""),"2 - RQ2 historical","3 - Verify recorded evidence"))</f>
        <v/>
      </c>
      <c r="D300" s="4">
        <f>IF(OR(IF(COUNTIFS('RQ2'!$A$2:$A$455,$A300,'RQ2'!$D$2:$D$455,"")&gt;0,"",INDEX('RQ2'!$D$2:$D$455,MATCH($A300,'RQ2'!$A$2:$A$455,0)))="",IF(COUNTIFS('RQ2'!$A$2:$A$455,$A300,'RQ2'!$E$2:$E$455,"")&gt;0,"",INDEX('RQ2'!$E$2:$E$455,MATCH($A300,'RQ2'!$A$2:$A$455,0)))=""),"PENDIENTE","REGISTRADA")</f>
        <v/>
      </c>
      <c r="E300" s="4">
        <f>IF(IF(COUNTIFS('RQ1'!$A$2:$A$455,$A300,'RQ1'!$N$2:$N$455,"")&gt;0,"",INDEX('RQ1'!$N$2:$N$455,MATCH($A300,'RQ1'!$A$2:$A$455,0)))=1,"REVISAR DETALLE","REGISTRADA")</f>
        <v/>
      </c>
      <c r="F300" s="4">
        <f>IF(IF(COUNTIFS('RQ3'!$A$2:$A$455,$A300,'RQ3'!$P$2:$P$455,"")&gt;0,"",INDEX('RQ3'!$P$2:$P$455,MATCH($A300,'RQ3'!$A$2:$A$455,0)))="","NO REGISTRADO",IF(IF(COUNTIFS('RQ3'!$A$2:$A$455,$A300,'RQ3'!$P$2:$P$455,"")&gt;0,"",INDEX('RQ3'!$P$2:$P$455,MATCH($A300,'RQ3'!$A$2:$A$455,0)))=1,"MARCA ACTIVA","SIN MARCA"))</f>
        <v/>
      </c>
      <c r="G300" s="4">
        <f>IF(IF(COUNTIFS('ESTUDIOS'!$A$2:$A$455,$A300,'ESTUDIOS'!$N$2:$N$455,"")&gt;0,"",INDEX('ESTUDIOS'!$N$2:$N$455,MATCH($A300,'ESTUDIOS'!$A$2:$A$455,0)))="Verified","DOCUMENTADA","NO DOCUMENTADA")</f>
        <v/>
      </c>
      <c r="H300" s="4">
        <f>IF(D300="PENDIENTE","Leer evidencia ya extraída; registrar uso propuesto o evaluado, función, fuente y revisor en RQ2.","Comprobar evidencia y cautelas registradas; documentar verificación sin recodificar lo ya respaldado.")</f>
        <v/>
      </c>
      <c r="I300" s="4" t="inlineStr">
        <is>
          <t>https://doi.org/10.3390/s26061862</t>
        </is>
      </c>
    </row>
    <row r="301" ht="64" customHeight="1">
      <c r="A301" s="4" t="inlineStr">
        <is>
          <t>new_212</t>
        </is>
      </c>
      <c r="B301" s="4" t="inlineStr">
        <is>
          <t>Comparison of cognitive ability and its distribution between men with autism spectrum disorder and attention-deficit/hyperactivity disorder</t>
        </is>
      </c>
      <c r="C301" s="4">
        <f>IF(IF(COUNTIFS('ESTUDIOS'!$A$2:$A$455,$A301,'ESTUDIOS'!$I$2:$I$455,"")&gt;0,"",INDEX('ESTUDIOS'!$I$2:$I$455,MATCH($A301,'ESTUDIOS'!$A$2:$A$455,0)))=1,"1 - Integrity",IF(OR(IF(COUNTIFS('RQ2'!$A$2:$A$455,$A301,'RQ2'!$D$2:$D$455,"")&gt;0,"",INDEX('RQ2'!$D$2:$D$455,MATCH($A301,'RQ2'!$A$2:$A$455,0)))="",IF(COUNTIFS('RQ2'!$A$2:$A$455,$A301,'RQ2'!$E$2:$E$455,"")&gt;0,"",INDEX('RQ2'!$E$2:$E$455,MATCH($A301,'RQ2'!$A$2:$A$455,0)))=""),"2 - RQ2 historical","3 - Verify recorded evidence"))</f>
        <v/>
      </c>
      <c r="D301" s="4">
        <f>IF(OR(IF(COUNTIFS('RQ2'!$A$2:$A$455,$A301,'RQ2'!$D$2:$D$455,"")&gt;0,"",INDEX('RQ2'!$D$2:$D$455,MATCH($A301,'RQ2'!$A$2:$A$455,0)))="",IF(COUNTIFS('RQ2'!$A$2:$A$455,$A301,'RQ2'!$E$2:$E$455,"")&gt;0,"",INDEX('RQ2'!$E$2:$E$455,MATCH($A301,'RQ2'!$A$2:$A$455,0)))=""),"PENDIENTE","REGISTRADA")</f>
        <v/>
      </c>
      <c r="E301" s="4">
        <f>IF(IF(COUNTIFS('RQ1'!$A$2:$A$455,$A301,'RQ1'!$N$2:$N$455,"")&gt;0,"",INDEX('RQ1'!$N$2:$N$455,MATCH($A301,'RQ1'!$A$2:$A$455,0)))=1,"REVISAR DETALLE","REGISTRADA")</f>
        <v/>
      </c>
      <c r="F301" s="4">
        <f>IF(IF(COUNTIFS('RQ3'!$A$2:$A$455,$A301,'RQ3'!$P$2:$P$455,"")&gt;0,"",INDEX('RQ3'!$P$2:$P$455,MATCH($A301,'RQ3'!$A$2:$A$455,0)))="","NO REGISTRADO",IF(IF(COUNTIFS('RQ3'!$A$2:$A$455,$A301,'RQ3'!$P$2:$P$455,"")&gt;0,"",INDEX('RQ3'!$P$2:$P$455,MATCH($A301,'RQ3'!$A$2:$A$455,0)))=1,"MARCA ACTIVA","SIN MARCA"))</f>
        <v/>
      </c>
      <c r="G301" s="4">
        <f>IF(IF(COUNTIFS('ESTUDIOS'!$A$2:$A$455,$A301,'ESTUDIOS'!$N$2:$N$455,"")&gt;0,"",INDEX('ESTUDIOS'!$N$2:$N$455,MATCH($A301,'ESTUDIOS'!$A$2:$A$455,0)))="Verified","DOCUMENTADA","NO DOCUMENTADA")</f>
        <v/>
      </c>
      <c r="H301" s="4">
        <f>IF(D301="PENDIENTE","Leer evidencia ya extraída; registrar uso propuesto o evaluado, función, fuente y revisor en RQ2.","Comprobar evidencia y cautelas registradas; documentar verificación sin recodificar lo ya respaldado.")</f>
        <v/>
      </c>
      <c r="I301" s="4" t="inlineStr">
        <is>
          <t>https://doi.org/10.1371/journal.pone.0345522</t>
        </is>
      </c>
    </row>
    <row r="302" ht="64" customHeight="1">
      <c r="A302" s="4" t="inlineStr">
        <is>
          <t>new_214</t>
        </is>
      </c>
      <c r="B302" s="4" t="inlineStr">
        <is>
          <t>Hippocampal Subregion Function and Its Clinical Correlations in Childhood Autism Spectrum Disorders</t>
        </is>
      </c>
      <c r="C302" s="4">
        <f>IF(IF(COUNTIFS('ESTUDIOS'!$A$2:$A$455,$A302,'ESTUDIOS'!$I$2:$I$455,"")&gt;0,"",INDEX('ESTUDIOS'!$I$2:$I$455,MATCH($A302,'ESTUDIOS'!$A$2:$A$455,0)))=1,"1 - Integrity",IF(OR(IF(COUNTIFS('RQ2'!$A$2:$A$455,$A302,'RQ2'!$D$2:$D$455,"")&gt;0,"",INDEX('RQ2'!$D$2:$D$455,MATCH($A302,'RQ2'!$A$2:$A$455,0)))="",IF(COUNTIFS('RQ2'!$A$2:$A$455,$A302,'RQ2'!$E$2:$E$455,"")&gt;0,"",INDEX('RQ2'!$E$2:$E$455,MATCH($A302,'RQ2'!$A$2:$A$455,0)))=""),"2 - RQ2 historical","3 - Verify recorded evidence"))</f>
        <v/>
      </c>
      <c r="D302" s="4">
        <f>IF(OR(IF(COUNTIFS('RQ2'!$A$2:$A$455,$A302,'RQ2'!$D$2:$D$455,"")&gt;0,"",INDEX('RQ2'!$D$2:$D$455,MATCH($A302,'RQ2'!$A$2:$A$455,0)))="",IF(COUNTIFS('RQ2'!$A$2:$A$455,$A302,'RQ2'!$E$2:$E$455,"")&gt;0,"",INDEX('RQ2'!$E$2:$E$455,MATCH($A302,'RQ2'!$A$2:$A$455,0)))=""),"PENDIENTE","REGISTRADA")</f>
        <v/>
      </c>
      <c r="E302" s="4">
        <f>IF(IF(COUNTIFS('RQ1'!$A$2:$A$455,$A302,'RQ1'!$N$2:$N$455,"")&gt;0,"",INDEX('RQ1'!$N$2:$N$455,MATCH($A302,'RQ1'!$A$2:$A$455,0)))=1,"REVISAR DETALLE","REGISTRADA")</f>
        <v/>
      </c>
      <c r="F302" s="4">
        <f>IF(IF(COUNTIFS('RQ3'!$A$2:$A$455,$A302,'RQ3'!$P$2:$P$455,"")&gt;0,"",INDEX('RQ3'!$P$2:$P$455,MATCH($A302,'RQ3'!$A$2:$A$455,0)))="","NO REGISTRADO",IF(IF(COUNTIFS('RQ3'!$A$2:$A$455,$A302,'RQ3'!$P$2:$P$455,"")&gt;0,"",INDEX('RQ3'!$P$2:$P$455,MATCH($A302,'RQ3'!$A$2:$A$455,0)))=1,"MARCA ACTIVA","SIN MARCA"))</f>
        <v/>
      </c>
      <c r="G302" s="4">
        <f>IF(IF(COUNTIFS('ESTUDIOS'!$A$2:$A$455,$A302,'ESTUDIOS'!$N$2:$N$455,"")&gt;0,"",INDEX('ESTUDIOS'!$N$2:$N$455,MATCH($A302,'ESTUDIOS'!$A$2:$A$455,0)))="Verified","DOCUMENTADA","NO DOCUMENTADA")</f>
        <v/>
      </c>
      <c r="H302" s="4">
        <f>IF(D302="PENDIENTE","Leer evidencia ya extraída; registrar uso propuesto o evaluado, función, fuente y revisor en RQ2.","Comprobar evidencia y cautelas registradas; documentar verificación sin recodificar lo ya respaldado.")</f>
        <v/>
      </c>
      <c r="I302" s="4" t="inlineStr">
        <is>
          <t>https://doi.org/10.1002/aur.70124</t>
        </is>
      </c>
    </row>
    <row r="303" ht="64" customHeight="1">
      <c r="A303" s="4" t="inlineStr">
        <is>
          <t>new_216</t>
        </is>
      </c>
      <c r="B303" s="4" t="inlineStr">
        <is>
          <t>Parental Stress and Caregiver Role Modulate Child–Caregiver Prosodic Synchrony in Autism: A Computational Analysis</t>
        </is>
      </c>
      <c r="C303" s="4">
        <f>IF(IF(COUNTIFS('ESTUDIOS'!$A$2:$A$455,$A303,'ESTUDIOS'!$I$2:$I$455,"")&gt;0,"",INDEX('ESTUDIOS'!$I$2:$I$455,MATCH($A303,'ESTUDIOS'!$A$2:$A$455,0)))=1,"1 - Integrity",IF(OR(IF(COUNTIFS('RQ2'!$A$2:$A$455,$A303,'RQ2'!$D$2:$D$455,"")&gt;0,"",INDEX('RQ2'!$D$2:$D$455,MATCH($A303,'RQ2'!$A$2:$A$455,0)))="",IF(COUNTIFS('RQ2'!$A$2:$A$455,$A303,'RQ2'!$E$2:$E$455,"")&gt;0,"",INDEX('RQ2'!$E$2:$E$455,MATCH($A303,'RQ2'!$A$2:$A$455,0)))=""),"2 - RQ2 historical","3 - Verify recorded evidence"))</f>
        <v/>
      </c>
      <c r="D303" s="4">
        <f>IF(OR(IF(COUNTIFS('RQ2'!$A$2:$A$455,$A303,'RQ2'!$D$2:$D$455,"")&gt;0,"",INDEX('RQ2'!$D$2:$D$455,MATCH($A303,'RQ2'!$A$2:$A$455,0)))="",IF(COUNTIFS('RQ2'!$A$2:$A$455,$A303,'RQ2'!$E$2:$E$455,"")&gt;0,"",INDEX('RQ2'!$E$2:$E$455,MATCH($A303,'RQ2'!$A$2:$A$455,0)))=""),"PENDIENTE","REGISTRADA")</f>
        <v/>
      </c>
      <c r="E303" s="4">
        <f>IF(IF(COUNTIFS('RQ1'!$A$2:$A$455,$A303,'RQ1'!$N$2:$N$455,"")&gt;0,"",INDEX('RQ1'!$N$2:$N$455,MATCH($A303,'RQ1'!$A$2:$A$455,0)))=1,"REVISAR DETALLE","REGISTRADA")</f>
        <v/>
      </c>
      <c r="F303" s="4">
        <f>IF(IF(COUNTIFS('RQ3'!$A$2:$A$455,$A303,'RQ3'!$P$2:$P$455,"")&gt;0,"",INDEX('RQ3'!$P$2:$P$455,MATCH($A303,'RQ3'!$A$2:$A$455,0)))="","NO REGISTRADO",IF(IF(COUNTIFS('RQ3'!$A$2:$A$455,$A303,'RQ3'!$P$2:$P$455,"")&gt;0,"",INDEX('RQ3'!$P$2:$P$455,MATCH($A303,'RQ3'!$A$2:$A$455,0)))=1,"MARCA ACTIVA","SIN MARCA"))</f>
        <v/>
      </c>
      <c r="G303" s="4">
        <f>IF(IF(COUNTIFS('ESTUDIOS'!$A$2:$A$455,$A303,'ESTUDIOS'!$N$2:$N$455,"")&gt;0,"",INDEX('ESTUDIOS'!$N$2:$N$455,MATCH($A303,'ESTUDIOS'!$A$2:$A$455,0)))="Verified","DOCUMENTADA","NO DOCUMENTADA")</f>
        <v/>
      </c>
      <c r="H303" s="4">
        <f>IF(D303="PENDIENTE","Leer evidencia ya extraída; registrar uso propuesto o evaluado, función, fuente y revisor en RQ2.","Comprobar evidencia y cautelas registradas; documentar verificación sin recodificar lo ya respaldado.")</f>
        <v/>
      </c>
      <c r="I303" s="4" t="inlineStr">
        <is>
          <t>https://doi.org/10.1002/aur.70189</t>
        </is>
      </c>
    </row>
    <row r="304" ht="64" customHeight="1">
      <c r="A304" s="4" t="inlineStr">
        <is>
          <t>new_217</t>
        </is>
      </c>
      <c r="B304" s="4" t="inlineStr">
        <is>
          <t>Predicting brain age in children aged 2–6 years with autism spectrum disorders using routine T1- and T2-weighted magnetic resonance imaging</t>
        </is>
      </c>
      <c r="C304" s="4">
        <f>IF(IF(COUNTIFS('ESTUDIOS'!$A$2:$A$455,$A304,'ESTUDIOS'!$I$2:$I$455,"")&gt;0,"",INDEX('ESTUDIOS'!$I$2:$I$455,MATCH($A304,'ESTUDIOS'!$A$2:$A$455,0)))=1,"1 - Integrity",IF(OR(IF(COUNTIFS('RQ2'!$A$2:$A$455,$A304,'RQ2'!$D$2:$D$455,"")&gt;0,"",INDEX('RQ2'!$D$2:$D$455,MATCH($A304,'RQ2'!$A$2:$A$455,0)))="",IF(COUNTIFS('RQ2'!$A$2:$A$455,$A304,'RQ2'!$E$2:$E$455,"")&gt;0,"",INDEX('RQ2'!$E$2:$E$455,MATCH($A304,'RQ2'!$A$2:$A$455,0)))=""),"2 - RQ2 historical","3 - Verify recorded evidence"))</f>
        <v/>
      </c>
      <c r="D304" s="4">
        <f>IF(OR(IF(COUNTIFS('RQ2'!$A$2:$A$455,$A304,'RQ2'!$D$2:$D$455,"")&gt;0,"",INDEX('RQ2'!$D$2:$D$455,MATCH($A304,'RQ2'!$A$2:$A$455,0)))="",IF(COUNTIFS('RQ2'!$A$2:$A$455,$A304,'RQ2'!$E$2:$E$455,"")&gt;0,"",INDEX('RQ2'!$E$2:$E$455,MATCH($A304,'RQ2'!$A$2:$A$455,0)))=""),"PENDIENTE","REGISTRADA")</f>
        <v/>
      </c>
      <c r="E304" s="4">
        <f>IF(IF(COUNTIFS('RQ1'!$A$2:$A$455,$A304,'RQ1'!$N$2:$N$455,"")&gt;0,"",INDEX('RQ1'!$N$2:$N$455,MATCH($A304,'RQ1'!$A$2:$A$455,0)))=1,"REVISAR DETALLE","REGISTRADA")</f>
        <v/>
      </c>
      <c r="F304" s="4">
        <f>IF(IF(COUNTIFS('RQ3'!$A$2:$A$455,$A304,'RQ3'!$P$2:$P$455,"")&gt;0,"",INDEX('RQ3'!$P$2:$P$455,MATCH($A304,'RQ3'!$A$2:$A$455,0)))="","NO REGISTRADO",IF(IF(COUNTIFS('RQ3'!$A$2:$A$455,$A304,'RQ3'!$P$2:$P$455,"")&gt;0,"",INDEX('RQ3'!$P$2:$P$455,MATCH($A304,'RQ3'!$A$2:$A$455,0)))=1,"MARCA ACTIVA","SIN MARCA"))</f>
        <v/>
      </c>
      <c r="G304" s="4">
        <f>IF(IF(COUNTIFS('ESTUDIOS'!$A$2:$A$455,$A304,'ESTUDIOS'!$N$2:$N$455,"")&gt;0,"",INDEX('ESTUDIOS'!$N$2:$N$455,MATCH($A304,'ESTUDIOS'!$A$2:$A$455,0)))="Verified","DOCUMENTADA","NO DOCUMENTADA")</f>
        <v/>
      </c>
      <c r="H304" s="4">
        <f>IF(D304="PENDIENTE","Leer evidencia ya extraída; registrar uso propuesto o evaluado, función, fuente y revisor en RQ2.","Comprobar evidencia y cautelas registradas; documentar verificación sin recodificar lo ya respaldado.")</f>
        <v/>
      </c>
      <c r="I304" s="4" t="inlineStr">
        <is>
          <t>https://doi.org/10.1002/ped4.70064</t>
        </is>
      </c>
    </row>
    <row r="305" ht="64" customHeight="1">
      <c r="A305" s="4" t="inlineStr">
        <is>
          <t>new_228</t>
        </is>
      </c>
      <c r="B305" s="4" t="inlineStr">
        <is>
          <t>Unveiling Diagnostic Biomarkers in Autism: A Comparative Proteome Analysis of CNTNAP2 Knockout Mice and Human ASD Patients</t>
        </is>
      </c>
      <c r="C305" s="4">
        <f>IF(IF(COUNTIFS('ESTUDIOS'!$A$2:$A$455,$A305,'ESTUDIOS'!$I$2:$I$455,"")&gt;0,"",INDEX('ESTUDIOS'!$I$2:$I$455,MATCH($A305,'ESTUDIOS'!$A$2:$A$455,0)))=1,"1 - Integrity",IF(OR(IF(COUNTIFS('RQ2'!$A$2:$A$455,$A305,'RQ2'!$D$2:$D$455,"")&gt;0,"",INDEX('RQ2'!$D$2:$D$455,MATCH($A305,'RQ2'!$A$2:$A$455,0)))="",IF(COUNTIFS('RQ2'!$A$2:$A$455,$A305,'RQ2'!$E$2:$E$455,"")&gt;0,"",INDEX('RQ2'!$E$2:$E$455,MATCH($A305,'RQ2'!$A$2:$A$455,0)))=""),"2 - RQ2 historical","3 - Verify recorded evidence"))</f>
        <v/>
      </c>
      <c r="D305" s="4">
        <f>IF(OR(IF(COUNTIFS('RQ2'!$A$2:$A$455,$A305,'RQ2'!$D$2:$D$455,"")&gt;0,"",INDEX('RQ2'!$D$2:$D$455,MATCH($A305,'RQ2'!$A$2:$A$455,0)))="",IF(COUNTIFS('RQ2'!$A$2:$A$455,$A305,'RQ2'!$E$2:$E$455,"")&gt;0,"",INDEX('RQ2'!$E$2:$E$455,MATCH($A305,'RQ2'!$A$2:$A$455,0)))=""),"PENDIENTE","REGISTRADA")</f>
        <v/>
      </c>
      <c r="E305" s="4">
        <f>IF(IF(COUNTIFS('RQ1'!$A$2:$A$455,$A305,'RQ1'!$N$2:$N$455,"")&gt;0,"",INDEX('RQ1'!$N$2:$N$455,MATCH($A305,'RQ1'!$A$2:$A$455,0)))=1,"REVISAR DETALLE","REGISTRADA")</f>
        <v/>
      </c>
      <c r="F305" s="4">
        <f>IF(IF(COUNTIFS('RQ3'!$A$2:$A$455,$A305,'RQ3'!$P$2:$P$455,"")&gt;0,"",INDEX('RQ3'!$P$2:$P$455,MATCH($A305,'RQ3'!$A$2:$A$455,0)))="","NO REGISTRADO",IF(IF(COUNTIFS('RQ3'!$A$2:$A$455,$A305,'RQ3'!$P$2:$P$455,"")&gt;0,"",INDEX('RQ3'!$P$2:$P$455,MATCH($A305,'RQ3'!$A$2:$A$455,0)))=1,"MARCA ACTIVA","SIN MARCA"))</f>
        <v/>
      </c>
      <c r="G305" s="4">
        <f>IF(IF(COUNTIFS('ESTUDIOS'!$A$2:$A$455,$A305,'ESTUDIOS'!$N$2:$N$455,"")&gt;0,"",INDEX('ESTUDIOS'!$N$2:$N$455,MATCH($A305,'ESTUDIOS'!$A$2:$A$455,0)))="Verified","DOCUMENTADA","NO DOCUMENTADA")</f>
        <v/>
      </c>
      <c r="H305" s="4">
        <f>IF(D305="PENDIENTE","Leer evidencia ya extraída; registrar uso propuesto o evaluado, función, fuente y revisor en RQ2.","Comprobar evidencia y cautelas registradas; documentar verificación sin recodificar lo ya respaldado.")</f>
        <v/>
      </c>
      <c r="I305" s="4" t="inlineStr">
        <is>
          <t>https://doi.org/10.3390/biom16030340</t>
        </is>
      </c>
    </row>
    <row r="306" ht="64" customHeight="1">
      <c r="A306" s="4" t="inlineStr">
        <is>
          <t>new_237</t>
        </is>
      </c>
      <c r="B306" s="4" t="inlineStr">
        <is>
          <t>Late Fusion Model for Emotion Recognition from Facial Expressions and Biosignals in a Dataset of Children with Autism Spectrum Disorder</t>
        </is>
      </c>
      <c r="C306" s="4">
        <f>IF(IF(COUNTIFS('ESTUDIOS'!$A$2:$A$455,$A306,'ESTUDIOS'!$I$2:$I$455,"")&gt;0,"",INDEX('ESTUDIOS'!$I$2:$I$455,MATCH($A306,'ESTUDIOS'!$A$2:$A$455,0)))=1,"1 - Integrity",IF(OR(IF(COUNTIFS('RQ2'!$A$2:$A$455,$A306,'RQ2'!$D$2:$D$455,"")&gt;0,"",INDEX('RQ2'!$D$2:$D$455,MATCH($A306,'RQ2'!$A$2:$A$455,0)))="",IF(COUNTIFS('RQ2'!$A$2:$A$455,$A306,'RQ2'!$E$2:$E$455,"")&gt;0,"",INDEX('RQ2'!$E$2:$E$455,MATCH($A306,'RQ2'!$A$2:$A$455,0)))=""),"2 - RQ2 historical","3 - Verify recorded evidence"))</f>
        <v/>
      </c>
      <c r="D306" s="4">
        <f>IF(OR(IF(COUNTIFS('RQ2'!$A$2:$A$455,$A306,'RQ2'!$D$2:$D$455,"")&gt;0,"",INDEX('RQ2'!$D$2:$D$455,MATCH($A306,'RQ2'!$A$2:$A$455,0)))="",IF(COUNTIFS('RQ2'!$A$2:$A$455,$A306,'RQ2'!$E$2:$E$455,"")&gt;0,"",INDEX('RQ2'!$E$2:$E$455,MATCH($A306,'RQ2'!$A$2:$A$455,0)))=""),"PENDIENTE","REGISTRADA")</f>
        <v/>
      </c>
      <c r="E306" s="4">
        <f>IF(IF(COUNTIFS('RQ1'!$A$2:$A$455,$A306,'RQ1'!$N$2:$N$455,"")&gt;0,"",INDEX('RQ1'!$N$2:$N$455,MATCH($A306,'RQ1'!$A$2:$A$455,0)))=1,"REVISAR DETALLE","REGISTRADA")</f>
        <v/>
      </c>
      <c r="F306" s="4">
        <f>IF(IF(COUNTIFS('RQ3'!$A$2:$A$455,$A306,'RQ3'!$P$2:$P$455,"")&gt;0,"",INDEX('RQ3'!$P$2:$P$455,MATCH($A306,'RQ3'!$A$2:$A$455,0)))="","NO REGISTRADO",IF(IF(COUNTIFS('RQ3'!$A$2:$A$455,$A306,'RQ3'!$P$2:$P$455,"")&gt;0,"",INDEX('RQ3'!$P$2:$P$455,MATCH($A306,'RQ3'!$A$2:$A$455,0)))=1,"MARCA ACTIVA","SIN MARCA"))</f>
        <v/>
      </c>
      <c r="G306" s="4">
        <f>IF(IF(COUNTIFS('ESTUDIOS'!$A$2:$A$455,$A306,'ESTUDIOS'!$N$2:$N$455,"")&gt;0,"",INDEX('ESTUDIOS'!$N$2:$N$455,MATCH($A306,'ESTUDIOS'!$A$2:$A$455,0)))="Verified","DOCUMENTADA","NO DOCUMENTADA")</f>
        <v/>
      </c>
      <c r="H306" s="4">
        <f>IF(D306="PENDIENTE","Leer evidencia ya extraída; registrar uso propuesto o evaluado, función, fuente y revisor en RQ2.","Comprobar evidencia y cautelas registradas; documentar verificación sin recodificar lo ya respaldado.")</f>
        <v/>
      </c>
      <c r="I306" s="4" t="inlineStr">
        <is>
          <t>https://doi.org/10.3390/s25247485</t>
        </is>
      </c>
    </row>
    <row r="307" ht="64" customHeight="1">
      <c r="A307" s="4" t="inlineStr">
        <is>
          <t>new_247</t>
        </is>
      </c>
      <c r="B307" s="4" t="inlineStr">
        <is>
          <t>New intelligent music therapy method for applications of enhancing social skills of autism children based on TL-GCN and deep learning</t>
        </is>
      </c>
      <c r="C307" s="4">
        <f>IF(IF(COUNTIFS('ESTUDIOS'!$A$2:$A$455,$A307,'ESTUDIOS'!$I$2:$I$455,"")&gt;0,"",INDEX('ESTUDIOS'!$I$2:$I$455,MATCH($A307,'ESTUDIOS'!$A$2:$A$455,0)))=1,"1 - Integrity",IF(OR(IF(COUNTIFS('RQ2'!$A$2:$A$455,$A307,'RQ2'!$D$2:$D$455,"")&gt;0,"",INDEX('RQ2'!$D$2:$D$455,MATCH($A307,'RQ2'!$A$2:$A$455,0)))="",IF(COUNTIFS('RQ2'!$A$2:$A$455,$A307,'RQ2'!$E$2:$E$455,"")&gt;0,"",INDEX('RQ2'!$E$2:$E$455,MATCH($A307,'RQ2'!$A$2:$A$455,0)))=""),"2 - RQ2 historical","3 - Verify recorded evidence"))</f>
        <v/>
      </c>
      <c r="D307" s="4">
        <f>IF(OR(IF(COUNTIFS('RQ2'!$A$2:$A$455,$A307,'RQ2'!$D$2:$D$455,"")&gt;0,"",INDEX('RQ2'!$D$2:$D$455,MATCH($A307,'RQ2'!$A$2:$A$455,0)))="",IF(COUNTIFS('RQ2'!$A$2:$A$455,$A307,'RQ2'!$E$2:$E$455,"")&gt;0,"",INDEX('RQ2'!$E$2:$E$455,MATCH($A307,'RQ2'!$A$2:$A$455,0)))=""),"PENDIENTE","REGISTRADA")</f>
        <v/>
      </c>
      <c r="E307" s="4">
        <f>IF(IF(COUNTIFS('RQ1'!$A$2:$A$455,$A307,'RQ1'!$N$2:$N$455,"")&gt;0,"",INDEX('RQ1'!$N$2:$N$455,MATCH($A307,'RQ1'!$A$2:$A$455,0)))=1,"REVISAR DETALLE","REGISTRADA")</f>
        <v/>
      </c>
      <c r="F307" s="4">
        <f>IF(IF(COUNTIFS('RQ3'!$A$2:$A$455,$A307,'RQ3'!$P$2:$P$455,"")&gt;0,"",INDEX('RQ3'!$P$2:$P$455,MATCH($A307,'RQ3'!$A$2:$A$455,0)))="","NO REGISTRADO",IF(IF(COUNTIFS('RQ3'!$A$2:$A$455,$A307,'RQ3'!$P$2:$P$455,"")&gt;0,"",INDEX('RQ3'!$P$2:$P$455,MATCH($A307,'RQ3'!$A$2:$A$455,0)))=1,"MARCA ACTIVA","SIN MARCA"))</f>
        <v/>
      </c>
      <c r="G307" s="4">
        <f>IF(IF(COUNTIFS('ESTUDIOS'!$A$2:$A$455,$A307,'ESTUDIOS'!$N$2:$N$455,"")&gt;0,"",INDEX('ESTUDIOS'!$N$2:$N$455,MATCH($A307,'ESTUDIOS'!$A$2:$A$455,0)))="Verified","DOCUMENTADA","NO DOCUMENTADA")</f>
        <v/>
      </c>
      <c r="H307" s="4">
        <f>IF(D307="PENDIENTE","Leer evidencia ya extraída; registrar uso propuesto o evaluado, función, fuente y revisor en RQ2.","Comprobar evidencia y cautelas registradas; documentar verificación sin recodificar lo ya respaldado.")</f>
        <v/>
      </c>
      <c r="I307" s="4" t="inlineStr">
        <is>
          <t>https://doi.org/10.1038/s41598-025-26307-3</t>
        </is>
      </c>
    </row>
    <row r="308" ht="64" customHeight="1">
      <c r="A308" s="4" t="inlineStr">
        <is>
          <t>new_257</t>
        </is>
      </c>
      <c r="B308" s="4" t="inlineStr">
        <is>
          <t>The Use of the Social Robot LOVOT for Children with Autism Spectrum Disorder: A Feasibility Study</t>
        </is>
      </c>
      <c r="C308" s="4">
        <f>IF(IF(COUNTIFS('ESTUDIOS'!$A$2:$A$455,$A308,'ESTUDIOS'!$I$2:$I$455,"")&gt;0,"",INDEX('ESTUDIOS'!$I$2:$I$455,MATCH($A308,'ESTUDIOS'!$A$2:$A$455,0)))=1,"1 - Integrity",IF(OR(IF(COUNTIFS('RQ2'!$A$2:$A$455,$A308,'RQ2'!$D$2:$D$455,"")&gt;0,"",INDEX('RQ2'!$D$2:$D$455,MATCH($A308,'RQ2'!$A$2:$A$455,0)))="",IF(COUNTIFS('RQ2'!$A$2:$A$455,$A308,'RQ2'!$E$2:$E$455,"")&gt;0,"",INDEX('RQ2'!$E$2:$E$455,MATCH($A308,'RQ2'!$A$2:$A$455,0)))=""),"2 - RQ2 historical","3 - Verify recorded evidence"))</f>
        <v/>
      </c>
      <c r="D308" s="4">
        <f>IF(OR(IF(COUNTIFS('RQ2'!$A$2:$A$455,$A308,'RQ2'!$D$2:$D$455,"")&gt;0,"",INDEX('RQ2'!$D$2:$D$455,MATCH($A308,'RQ2'!$A$2:$A$455,0)))="",IF(COUNTIFS('RQ2'!$A$2:$A$455,$A308,'RQ2'!$E$2:$E$455,"")&gt;0,"",INDEX('RQ2'!$E$2:$E$455,MATCH($A308,'RQ2'!$A$2:$A$455,0)))=""),"PENDIENTE","REGISTRADA")</f>
        <v/>
      </c>
      <c r="E308" s="4">
        <f>IF(IF(COUNTIFS('RQ1'!$A$2:$A$455,$A308,'RQ1'!$N$2:$N$455,"")&gt;0,"",INDEX('RQ1'!$N$2:$N$455,MATCH($A308,'RQ1'!$A$2:$A$455,0)))=1,"REVISAR DETALLE","REGISTRADA")</f>
        <v/>
      </c>
      <c r="F308" s="4">
        <f>IF(IF(COUNTIFS('RQ3'!$A$2:$A$455,$A308,'RQ3'!$P$2:$P$455,"")&gt;0,"",INDEX('RQ3'!$P$2:$P$455,MATCH($A308,'RQ3'!$A$2:$A$455,0)))="","NO REGISTRADO",IF(IF(COUNTIFS('RQ3'!$A$2:$A$455,$A308,'RQ3'!$P$2:$P$455,"")&gt;0,"",INDEX('RQ3'!$P$2:$P$455,MATCH($A308,'RQ3'!$A$2:$A$455,0)))=1,"MARCA ACTIVA","SIN MARCA"))</f>
        <v/>
      </c>
      <c r="G308" s="4">
        <f>IF(IF(COUNTIFS('ESTUDIOS'!$A$2:$A$455,$A308,'ESTUDIOS'!$N$2:$N$455,"")&gt;0,"",INDEX('ESTUDIOS'!$N$2:$N$455,MATCH($A308,'ESTUDIOS'!$A$2:$A$455,0)))="Verified","DOCUMENTADA","NO DOCUMENTADA")</f>
        <v/>
      </c>
      <c r="H308" s="4">
        <f>IF(D308="PENDIENTE","Leer evidencia ya extraída; registrar uso propuesto o evaluado, función, fuente y revisor en RQ2.","Comprobar evidencia y cautelas registradas; documentar verificación sin recodificar lo ya respaldado.")</f>
        <v/>
      </c>
      <c r="I308" s="4" t="inlineStr">
        <is>
          <t>https://doi.org/10.3233/shti251499</t>
        </is>
      </c>
    </row>
    <row r="309" ht="64" customHeight="1">
      <c r="A309" s="4" t="inlineStr">
        <is>
          <t>new_259</t>
        </is>
      </c>
      <c r="B309" s="4" t="inlineStr">
        <is>
          <t>Data-Driven and Explainable Discovery of Autism Spectrum Disorder Patterns Across Age Groups</t>
        </is>
      </c>
      <c r="C309" s="4">
        <f>IF(IF(COUNTIFS('ESTUDIOS'!$A$2:$A$455,$A309,'ESTUDIOS'!$I$2:$I$455,"")&gt;0,"",INDEX('ESTUDIOS'!$I$2:$I$455,MATCH($A309,'ESTUDIOS'!$A$2:$A$455,0)))=1,"1 - Integrity",IF(OR(IF(COUNTIFS('RQ2'!$A$2:$A$455,$A309,'RQ2'!$D$2:$D$455,"")&gt;0,"",INDEX('RQ2'!$D$2:$D$455,MATCH($A309,'RQ2'!$A$2:$A$455,0)))="",IF(COUNTIFS('RQ2'!$A$2:$A$455,$A309,'RQ2'!$E$2:$E$455,"")&gt;0,"",INDEX('RQ2'!$E$2:$E$455,MATCH($A309,'RQ2'!$A$2:$A$455,0)))=""),"2 - RQ2 historical","3 - Verify recorded evidence"))</f>
        <v/>
      </c>
      <c r="D309" s="4">
        <f>IF(OR(IF(COUNTIFS('RQ2'!$A$2:$A$455,$A309,'RQ2'!$D$2:$D$455,"")&gt;0,"",INDEX('RQ2'!$D$2:$D$455,MATCH($A309,'RQ2'!$A$2:$A$455,0)))="",IF(COUNTIFS('RQ2'!$A$2:$A$455,$A309,'RQ2'!$E$2:$E$455,"")&gt;0,"",INDEX('RQ2'!$E$2:$E$455,MATCH($A309,'RQ2'!$A$2:$A$455,0)))=""),"PENDIENTE","REGISTRADA")</f>
        <v/>
      </c>
      <c r="E309" s="4">
        <f>IF(IF(COUNTIFS('RQ1'!$A$2:$A$455,$A309,'RQ1'!$N$2:$N$455,"")&gt;0,"",INDEX('RQ1'!$N$2:$N$455,MATCH($A309,'RQ1'!$A$2:$A$455,0)))=1,"REVISAR DETALLE","REGISTRADA")</f>
        <v/>
      </c>
      <c r="F309" s="4">
        <f>IF(IF(COUNTIFS('RQ3'!$A$2:$A$455,$A309,'RQ3'!$P$2:$P$455,"")&gt;0,"",INDEX('RQ3'!$P$2:$P$455,MATCH($A309,'RQ3'!$A$2:$A$455,0)))="","NO REGISTRADO",IF(IF(COUNTIFS('RQ3'!$A$2:$A$455,$A309,'RQ3'!$P$2:$P$455,"")&gt;0,"",INDEX('RQ3'!$P$2:$P$455,MATCH($A309,'RQ3'!$A$2:$A$455,0)))=1,"MARCA ACTIVA","SIN MARCA"))</f>
        <v/>
      </c>
      <c r="G309" s="4">
        <f>IF(IF(COUNTIFS('ESTUDIOS'!$A$2:$A$455,$A309,'ESTUDIOS'!$N$2:$N$455,"")&gt;0,"",INDEX('ESTUDIOS'!$N$2:$N$455,MATCH($A309,'ESTUDIOS'!$A$2:$A$455,0)))="Verified","DOCUMENTADA","NO DOCUMENTADA")</f>
        <v/>
      </c>
      <c r="H309" s="4">
        <f>IF(D309="PENDIENTE","Leer evidencia ya extraída; registrar uso propuesto o evaluado, función, fuente y revisor en RQ2.","Comprobar evidencia y cautelas registradas; documentar verificación sin recodificar lo ya respaldado.")</f>
        <v/>
      </c>
      <c r="I309" s="4" t="inlineStr">
        <is>
          <t>https://doi.org/10.1155/hbe2/1923339</t>
        </is>
      </c>
    </row>
    <row r="310" ht="64" customHeight="1">
      <c r="A310" s="4" t="inlineStr">
        <is>
          <t>new_261</t>
        </is>
      </c>
      <c r="B310" s="4" t="inlineStr">
        <is>
          <t>Artificial Intelligence Networks Combining Histopathology and Machine Learning Can Extract Axon Pathology in Autism Spectrum Disorder</t>
        </is>
      </c>
      <c r="C310" s="4">
        <f>IF(IF(COUNTIFS('ESTUDIOS'!$A$2:$A$455,$A310,'ESTUDIOS'!$I$2:$I$455,"")&gt;0,"",INDEX('ESTUDIOS'!$I$2:$I$455,MATCH($A310,'ESTUDIOS'!$A$2:$A$455,0)))=1,"1 - Integrity",IF(OR(IF(COUNTIFS('RQ2'!$A$2:$A$455,$A310,'RQ2'!$D$2:$D$455,"")&gt;0,"",INDEX('RQ2'!$D$2:$D$455,MATCH($A310,'RQ2'!$A$2:$A$455,0)))="",IF(COUNTIFS('RQ2'!$A$2:$A$455,$A310,'RQ2'!$E$2:$E$455,"")&gt;0,"",INDEX('RQ2'!$E$2:$E$455,MATCH($A310,'RQ2'!$A$2:$A$455,0)))=""),"2 - RQ2 historical","3 - Verify recorded evidence"))</f>
        <v/>
      </c>
      <c r="D310" s="4">
        <f>IF(OR(IF(COUNTIFS('RQ2'!$A$2:$A$455,$A310,'RQ2'!$D$2:$D$455,"")&gt;0,"",INDEX('RQ2'!$D$2:$D$455,MATCH($A310,'RQ2'!$A$2:$A$455,0)))="",IF(COUNTIFS('RQ2'!$A$2:$A$455,$A310,'RQ2'!$E$2:$E$455,"")&gt;0,"",INDEX('RQ2'!$E$2:$E$455,MATCH($A310,'RQ2'!$A$2:$A$455,0)))=""),"PENDIENTE","REGISTRADA")</f>
        <v/>
      </c>
      <c r="E310" s="4">
        <f>IF(IF(COUNTIFS('RQ1'!$A$2:$A$455,$A310,'RQ1'!$N$2:$N$455,"")&gt;0,"",INDEX('RQ1'!$N$2:$N$455,MATCH($A310,'RQ1'!$A$2:$A$455,0)))=1,"REVISAR DETALLE","REGISTRADA")</f>
        <v/>
      </c>
      <c r="F310" s="4">
        <f>IF(IF(COUNTIFS('RQ3'!$A$2:$A$455,$A310,'RQ3'!$P$2:$P$455,"")&gt;0,"",INDEX('RQ3'!$P$2:$P$455,MATCH($A310,'RQ3'!$A$2:$A$455,0)))="","NO REGISTRADO",IF(IF(COUNTIFS('RQ3'!$A$2:$A$455,$A310,'RQ3'!$P$2:$P$455,"")&gt;0,"",INDEX('RQ3'!$P$2:$P$455,MATCH($A310,'RQ3'!$A$2:$A$455,0)))=1,"MARCA ACTIVA","SIN MARCA"))</f>
        <v/>
      </c>
      <c r="G310" s="4">
        <f>IF(IF(COUNTIFS('ESTUDIOS'!$A$2:$A$455,$A310,'ESTUDIOS'!$N$2:$N$455,"")&gt;0,"",INDEX('ESTUDIOS'!$N$2:$N$455,MATCH($A310,'ESTUDIOS'!$A$2:$A$455,0)))="Verified","DOCUMENTADA","NO DOCUMENTADA")</f>
        <v/>
      </c>
      <c r="H310" s="4">
        <f>IF(D310="PENDIENTE","Leer evidencia ya extraída; registrar uso propuesto o evaluado, función, fuente y revisor en RQ2.","Comprobar evidencia y cautelas registradas; documentar verificación sin recodificar lo ya respaldado.")</f>
        <v/>
      </c>
      <c r="I310" s="4" t="inlineStr">
        <is>
          <t>https://doi.org/10.1002/aur.70135</t>
        </is>
      </c>
    </row>
    <row r="311" ht="64" customHeight="1">
      <c r="A311" s="4" t="inlineStr">
        <is>
          <t>new_262</t>
        </is>
      </c>
      <c r="B311" s="4" t="inlineStr">
        <is>
          <t>Profiling Chinese children with symptoms of SpLD, ADHD, or ASD: a transdiagnostic and biopsychosocial study</t>
        </is>
      </c>
      <c r="C311" s="4">
        <f>IF(IF(COUNTIFS('ESTUDIOS'!$A$2:$A$455,$A311,'ESTUDIOS'!$I$2:$I$455,"")&gt;0,"",INDEX('ESTUDIOS'!$I$2:$I$455,MATCH($A311,'ESTUDIOS'!$A$2:$A$455,0)))=1,"1 - Integrity",IF(OR(IF(COUNTIFS('RQ2'!$A$2:$A$455,$A311,'RQ2'!$D$2:$D$455,"")&gt;0,"",INDEX('RQ2'!$D$2:$D$455,MATCH($A311,'RQ2'!$A$2:$A$455,0)))="",IF(COUNTIFS('RQ2'!$A$2:$A$455,$A311,'RQ2'!$E$2:$E$455,"")&gt;0,"",INDEX('RQ2'!$E$2:$E$455,MATCH($A311,'RQ2'!$A$2:$A$455,0)))=""),"2 - RQ2 historical","3 - Verify recorded evidence"))</f>
        <v/>
      </c>
      <c r="D311" s="4">
        <f>IF(OR(IF(COUNTIFS('RQ2'!$A$2:$A$455,$A311,'RQ2'!$D$2:$D$455,"")&gt;0,"",INDEX('RQ2'!$D$2:$D$455,MATCH($A311,'RQ2'!$A$2:$A$455,0)))="",IF(COUNTIFS('RQ2'!$A$2:$A$455,$A311,'RQ2'!$E$2:$E$455,"")&gt;0,"",INDEX('RQ2'!$E$2:$E$455,MATCH($A311,'RQ2'!$A$2:$A$455,0)))=""),"PENDIENTE","REGISTRADA")</f>
        <v/>
      </c>
      <c r="E311" s="4">
        <f>IF(IF(COUNTIFS('RQ1'!$A$2:$A$455,$A311,'RQ1'!$N$2:$N$455,"")&gt;0,"",INDEX('RQ1'!$N$2:$N$455,MATCH($A311,'RQ1'!$A$2:$A$455,0)))=1,"REVISAR DETALLE","REGISTRADA")</f>
        <v/>
      </c>
      <c r="F311" s="4">
        <f>IF(IF(COUNTIFS('RQ3'!$A$2:$A$455,$A311,'RQ3'!$P$2:$P$455,"")&gt;0,"",INDEX('RQ3'!$P$2:$P$455,MATCH($A311,'RQ3'!$A$2:$A$455,0)))="","NO REGISTRADO",IF(IF(COUNTIFS('RQ3'!$A$2:$A$455,$A311,'RQ3'!$P$2:$P$455,"")&gt;0,"",INDEX('RQ3'!$P$2:$P$455,MATCH($A311,'RQ3'!$A$2:$A$455,0)))=1,"MARCA ACTIVA","SIN MARCA"))</f>
        <v/>
      </c>
      <c r="G311" s="4">
        <f>IF(IF(COUNTIFS('ESTUDIOS'!$A$2:$A$455,$A311,'ESTUDIOS'!$N$2:$N$455,"")&gt;0,"",INDEX('ESTUDIOS'!$N$2:$N$455,MATCH($A311,'ESTUDIOS'!$A$2:$A$455,0)))="Verified","DOCUMENTADA","NO DOCUMENTADA")</f>
        <v/>
      </c>
      <c r="H311" s="4">
        <f>IF(D311="PENDIENTE","Leer evidencia ya extraída; registrar uso propuesto o evaluado, función, fuente y revisor en RQ2.","Comprobar evidencia y cautelas registradas; documentar verificación sin recodificar lo ya respaldado.")</f>
        <v/>
      </c>
      <c r="I311" s="4" t="inlineStr">
        <is>
          <t>https://doi.org/10.1186/s12888-025-07754-8</t>
        </is>
      </c>
    </row>
    <row r="312" ht="64" customHeight="1">
      <c r="A312" s="4" t="inlineStr">
        <is>
          <t>new_263</t>
        </is>
      </c>
      <c r="B312" s="4" t="inlineStr">
        <is>
          <t>Enhancing Psychological Assessments with Open-Ended Questionnaires and Large Language Models: An ASD Case Study</t>
        </is>
      </c>
      <c r="C312" s="4">
        <f>IF(IF(COUNTIFS('ESTUDIOS'!$A$2:$A$455,$A312,'ESTUDIOS'!$I$2:$I$455,"")&gt;0,"",INDEX('ESTUDIOS'!$I$2:$I$455,MATCH($A312,'ESTUDIOS'!$A$2:$A$455,0)))=1,"1 - Integrity",IF(OR(IF(COUNTIFS('RQ2'!$A$2:$A$455,$A312,'RQ2'!$D$2:$D$455,"")&gt;0,"",INDEX('RQ2'!$D$2:$D$455,MATCH($A312,'RQ2'!$A$2:$A$455,0)))="",IF(COUNTIFS('RQ2'!$A$2:$A$455,$A312,'RQ2'!$E$2:$E$455,"")&gt;0,"",INDEX('RQ2'!$E$2:$E$455,MATCH($A312,'RQ2'!$A$2:$A$455,0)))=""),"2 - RQ2 historical","3 - Verify recorded evidence"))</f>
        <v/>
      </c>
      <c r="D312" s="4">
        <f>IF(OR(IF(COUNTIFS('RQ2'!$A$2:$A$455,$A312,'RQ2'!$D$2:$D$455,"")&gt;0,"",INDEX('RQ2'!$D$2:$D$455,MATCH($A312,'RQ2'!$A$2:$A$455,0)))="",IF(COUNTIFS('RQ2'!$A$2:$A$455,$A312,'RQ2'!$E$2:$E$455,"")&gt;0,"",INDEX('RQ2'!$E$2:$E$455,MATCH($A312,'RQ2'!$A$2:$A$455,0)))=""),"PENDIENTE","REGISTRADA")</f>
        <v/>
      </c>
      <c r="E312" s="4">
        <f>IF(IF(COUNTIFS('RQ1'!$A$2:$A$455,$A312,'RQ1'!$N$2:$N$455,"")&gt;0,"",INDEX('RQ1'!$N$2:$N$455,MATCH($A312,'RQ1'!$A$2:$A$455,0)))=1,"REVISAR DETALLE","REGISTRADA")</f>
        <v/>
      </c>
      <c r="F312" s="4">
        <f>IF(IF(COUNTIFS('RQ3'!$A$2:$A$455,$A312,'RQ3'!$P$2:$P$455,"")&gt;0,"",INDEX('RQ3'!$P$2:$P$455,MATCH($A312,'RQ3'!$A$2:$A$455,0)))="","NO REGISTRADO",IF(IF(COUNTIFS('RQ3'!$A$2:$A$455,$A312,'RQ3'!$P$2:$P$455,"")&gt;0,"",INDEX('RQ3'!$P$2:$P$455,MATCH($A312,'RQ3'!$A$2:$A$455,0)))=1,"MARCA ACTIVA","SIN MARCA"))</f>
        <v/>
      </c>
      <c r="G312" s="4">
        <f>IF(IF(COUNTIFS('ESTUDIOS'!$A$2:$A$455,$A312,'ESTUDIOS'!$N$2:$N$455,"")&gt;0,"",INDEX('ESTUDIOS'!$N$2:$N$455,MATCH($A312,'ESTUDIOS'!$A$2:$A$455,0)))="Verified","DOCUMENTADA","NO DOCUMENTADA")</f>
        <v/>
      </c>
      <c r="H312" s="4">
        <f>IF(D312="PENDIENTE","Leer evidencia ya extraída; registrar uso propuesto o evaluado, función, fuente y revisor en RQ2.","Comprobar evidencia y cautelas registradas; documentar verificación sin recodificar lo ya respaldado.")</f>
        <v/>
      </c>
      <c r="I312" s="4" t="inlineStr">
        <is>
          <t>https://doi.org/10.1109/jbhi.2025.3599643</t>
        </is>
      </c>
    </row>
    <row r="313" ht="64" customHeight="1">
      <c r="A313" s="4" t="inlineStr">
        <is>
          <t>new_268</t>
        </is>
      </c>
      <c r="B313" s="4" t="inlineStr">
        <is>
          <t>Compact subsets of autism screening items predict clinical diagnoses with a machine learning analysis of the QCHAT-10</t>
        </is>
      </c>
      <c r="C313" s="4">
        <f>IF(IF(COUNTIFS('ESTUDIOS'!$A$2:$A$455,$A313,'ESTUDIOS'!$I$2:$I$455,"")&gt;0,"",INDEX('ESTUDIOS'!$I$2:$I$455,MATCH($A313,'ESTUDIOS'!$A$2:$A$455,0)))=1,"1 - Integrity",IF(OR(IF(COUNTIFS('RQ2'!$A$2:$A$455,$A313,'RQ2'!$D$2:$D$455,"")&gt;0,"",INDEX('RQ2'!$D$2:$D$455,MATCH($A313,'RQ2'!$A$2:$A$455,0)))="",IF(COUNTIFS('RQ2'!$A$2:$A$455,$A313,'RQ2'!$E$2:$E$455,"")&gt;0,"",INDEX('RQ2'!$E$2:$E$455,MATCH($A313,'RQ2'!$A$2:$A$455,0)))=""),"2 - RQ2 historical","3 - Verify recorded evidence"))</f>
        <v/>
      </c>
      <c r="D313" s="4">
        <f>IF(OR(IF(COUNTIFS('RQ2'!$A$2:$A$455,$A313,'RQ2'!$D$2:$D$455,"")&gt;0,"",INDEX('RQ2'!$D$2:$D$455,MATCH($A313,'RQ2'!$A$2:$A$455,0)))="",IF(COUNTIFS('RQ2'!$A$2:$A$455,$A313,'RQ2'!$E$2:$E$455,"")&gt;0,"",INDEX('RQ2'!$E$2:$E$455,MATCH($A313,'RQ2'!$A$2:$A$455,0)))=""),"PENDIENTE","REGISTRADA")</f>
        <v/>
      </c>
      <c r="E313" s="4">
        <f>IF(IF(COUNTIFS('RQ1'!$A$2:$A$455,$A313,'RQ1'!$N$2:$N$455,"")&gt;0,"",INDEX('RQ1'!$N$2:$N$455,MATCH($A313,'RQ1'!$A$2:$A$455,0)))=1,"REVISAR DETALLE","REGISTRADA")</f>
        <v/>
      </c>
      <c r="F313" s="4">
        <f>IF(IF(COUNTIFS('RQ3'!$A$2:$A$455,$A313,'RQ3'!$P$2:$P$455,"")&gt;0,"",INDEX('RQ3'!$P$2:$P$455,MATCH($A313,'RQ3'!$A$2:$A$455,0)))="","NO REGISTRADO",IF(IF(COUNTIFS('RQ3'!$A$2:$A$455,$A313,'RQ3'!$P$2:$P$455,"")&gt;0,"",INDEX('RQ3'!$P$2:$P$455,MATCH($A313,'RQ3'!$A$2:$A$455,0)))=1,"MARCA ACTIVA","SIN MARCA"))</f>
        <v/>
      </c>
      <c r="G313" s="4">
        <f>IF(IF(COUNTIFS('ESTUDIOS'!$A$2:$A$455,$A313,'ESTUDIOS'!$N$2:$N$455,"")&gt;0,"",INDEX('ESTUDIOS'!$N$2:$N$455,MATCH($A313,'ESTUDIOS'!$A$2:$A$455,0)))="Verified","DOCUMENTADA","NO DOCUMENTADA")</f>
        <v/>
      </c>
      <c r="H313" s="4">
        <f>IF(D313="PENDIENTE","Leer evidencia ya extraída; registrar uso propuesto o evaluado, función, fuente y revisor en RQ2.","Comprobar evidencia y cautelas registradas; documentar verificación sin recodificar lo ya respaldado.")</f>
        <v/>
      </c>
      <c r="I313" s="4" t="inlineStr">
        <is>
          <t>https://doi.org/10.1038/s41598-025-26131-9</t>
        </is>
      </c>
    </row>
    <row r="314" ht="64" customHeight="1">
      <c r="A314" s="4" t="inlineStr">
        <is>
          <t>new_288</t>
        </is>
      </c>
      <c r="B314" s="4" t="inlineStr">
        <is>
          <t>Nonparametric motion control in functional connectivity studies in children with autism spectrum disorder</t>
        </is>
      </c>
      <c r="C314" s="4">
        <f>IF(IF(COUNTIFS('ESTUDIOS'!$A$2:$A$455,$A314,'ESTUDIOS'!$I$2:$I$455,"")&gt;0,"",INDEX('ESTUDIOS'!$I$2:$I$455,MATCH($A314,'ESTUDIOS'!$A$2:$A$455,0)))=1,"1 - Integrity",IF(OR(IF(COUNTIFS('RQ2'!$A$2:$A$455,$A314,'RQ2'!$D$2:$D$455,"")&gt;0,"",INDEX('RQ2'!$D$2:$D$455,MATCH($A314,'RQ2'!$A$2:$A$455,0)))="",IF(COUNTIFS('RQ2'!$A$2:$A$455,$A314,'RQ2'!$E$2:$E$455,"")&gt;0,"",INDEX('RQ2'!$E$2:$E$455,MATCH($A314,'RQ2'!$A$2:$A$455,0)))=""),"2 - RQ2 historical","3 - Verify recorded evidence"))</f>
        <v/>
      </c>
      <c r="D314" s="4">
        <f>IF(OR(IF(COUNTIFS('RQ2'!$A$2:$A$455,$A314,'RQ2'!$D$2:$D$455,"")&gt;0,"",INDEX('RQ2'!$D$2:$D$455,MATCH($A314,'RQ2'!$A$2:$A$455,0)))="",IF(COUNTIFS('RQ2'!$A$2:$A$455,$A314,'RQ2'!$E$2:$E$455,"")&gt;0,"",INDEX('RQ2'!$E$2:$E$455,MATCH($A314,'RQ2'!$A$2:$A$455,0)))=""),"PENDIENTE","REGISTRADA")</f>
        <v/>
      </c>
      <c r="E314" s="4">
        <f>IF(IF(COUNTIFS('RQ1'!$A$2:$A$455,$A314,'RQ1'!$N$2:$N$455,"")&gt;0,"",INDEX('RQ1'!$N$2:$N$455,MATCH($A314,'RQ1'!$A$2:$A$455,0)))=1,"REVISAR DETALLE","REGISTRADA")</f>
        <v/>
      </c>
      <c r="F314" s="4">
        <f>IF(IF(COUNTIFS('RQ3'!$A$2:$A$455,$A314,'RQ3'!$P$2:$P$455,"")&gt;0,"",INDEX('RQ3'!$P$2:$P$455,MATCH($A314,'RQ3'!$A$2:$A$455,0)))="","NO REGISTRADO",IF(IF(COUNTIFS('RQ3'!$A$2:$A$455,$A314,'RQ3'!$P$2:$P$455,"")&gt;0,"",INDEX('RQ3'!$P$2:$P$455,MATCH($A314,'RQ3'!$A$2:$A$455,0)))=1,"MARCA ACTIVA","SIN MARCA"))</f>
        <v/>
      </c>
      <c r="G314" s="4">
        <f>IF(IF(COUNTIFS('ESTUDIOS'!$A$2:$A$455,$A314,'ESTUDIOS'!$N$2:$N$455,"")&gt;0,"",INDEX('ESTUDIOS'!$N$2:$N$455,MATCH($A314,'ESTUDIOS'!$A$2:$A$455,0)))="Verified","DOCUMENTADA","NO DOCUMENTADA")</f>
        <v/>
      </c>
      <c r="H314" s="4">
        <f>IF(D314="PENDIENTE","Leer evidencia ya extraída; registrar uso propuesto o evaluado, función, fuente y revisor en RQ2.","Comprobar evidencia y cautelas registradas; documentar verificación sin recodificar lo ya respaldado.")</f>
        <v/>
      </c>
      <c r="I314" s="4" t="inlineStr">
        <is>
          <t>https://doi.org/10.1093/biomtc/ujag099</t>
        </is>
      </c>
    </row>
    <row r="315" ht="64" customHeight="1">
      <c r="A315" s="4" t="inlineStr">
        <is>
          <t>new_305</t>
        </is>
      </c>
      <c r="B315" s="4" t="inlineStr">
        <is>
          <t>Integrating Multimodal Neuroimaging and Physical-Health Markers for Autism Spectrum Disorder in the ABCD Study</t>
        </is>
      </c>
      <c r="C315" s="4">
        <f>IF(IF(COUNTIFS('ESTUDIOS'!$A$2:$A$455,$A315,'ESTUDIOS'!$I$2:$I$455,"")&gt;0,"",INDEX('ESTUDIOS'!$I$2:$I$455,MATCH($A315,'ESTUDIOS'!$A$2:$A$455,0)))=1,"1 - Integrity",IF(OR(IF(COUNTIFS('RQ2'!$A$2:$A$455,$A315,'RQ2'!$D$2:$D$455,"")&gt;0,"",INDEX('RQ2'!$D$2:$D$455,MATCH($A315,'RQ2'!$A$2:$A$455,0)))="",IF(COUNTIFS('RQ2'!$A$2:$A$455,$A315,'RQ2'!$E$2:$E$455,"")&gt;0,"",INDEX('RQ2'!$E$2:$E$455,MATCH($A315,'RQ2'!$A$2:$A$455,0)))=""),"2 - RQ2 historical","3 - Verify recorded evidence"))</f>
        <v/>
      </c>
      <c r="D315" s="4">
        <f>IF(OR(IF(COUNTIFS('RQ2'!$A$2:$A$455,$A315,'RQ2'!$D$2:$D$455,"")&gt;0,"",INDEX('RQ2'!$D$2:$D$455,MATCH($A315,'RQ2'!$A$2:$A$455,0)))="",IF(COUNTIFS('RQ2'!$A$2:$A$455,$A315,'RQ2'!$E$2:$E$455,"")&gt;0,"",INDEX('RQ2'!$E$2:$E$455,MATCH($A315,'RQ2'!$A$2:$A$455,0)))=""),"PENDIENTE","REGISTRADA")</f>
        <v/>
      </c>
      <c r="E315" s="4">
        <f>IF(IF(COUNTIFS('RQ1'!$A$2:$A$455,$A315,'RQ1'!$N$2:$N$455,"")&gt;0,"",INDEX('RQ1'!$N$2:$N$455,MATCH($A315,'RQ1'!$A$2:$A$455,0)))=1,"REVISAR DETALLE","REGISTRADA")</f>
        <v/>
      </c>
      <c r="F315" s="4">
        <f>IF(IF(COUNTIFS('RQ3'!$A$2:$A$455,$A315,'RQ3'!$P$2:$P$455,"")&gt;0,"",INDEX('RQ3'!$P$2:$P$455,MATCH($A315,'RQ3'!$A$2:$A$455,0)))="","NO REGISTRADO",IF(IF(COUNTIFS('RQ3'!$A$2:$A$455,$A315,'RQ3'!$P$2:$P$455,"")&gt;0,"",INDEX('RQ3'!$P$2:$P$455,MATCH($A315,'RQ3'!$A$2:$A$455,0)))=1,"MARCA ACTIVA","SIN MARCA"))</f>
        <v/>
      </c>
      <c r="G315" s="4">
        <f>IF(IF(COUNTIFS('ESTUDIOS'!$A$2:$A$455,$A315,'ESTUDIOS'!$N$2:$N$455,"")&gt;0,"",INDEX('ESTUDIOS'!$N$2:$N$455,MATCH($A315,'ESTUDIOS'!$A$2:$A$455,0)))="Verified","DOCUMENTADA","NO DOCUMENTADA")</f>
        <v/>
      </c>
      <c r="H315" s="4">
        <f>IF(D315="PENDIENTE","Leer evidencia ya extraída; registrar uso propuesto o evaluado, función, fuente y revisor en RQ2.","Comprobar evidencia y cautelas registradas; documentar verificación sin recodificar lo ya respaldado.")</f>
        <v/>
      </c>
      <c r="I315" s="4" t="inlineStr">
        <is>
          <t>https://doi.org/10.31083/jin48212</t>
        </is>
      </c>
    </row>
    <row r="316" ht="64" customHeight="1">
      <c r="A316" s="4" t="inlineStr">
        <is>
          <t>new_307</t>
        </is>
      </c>
      <c r="B316" s="4" t="inlineStr">
        <is>
          <t>Spatial structure based deep feature fusion network for autism spectrum disorder classification</t>
        </is>
      </c>
      <c r="C316" s="4">
        <f>IF(IF(COUNTIFS('ESTUDIOS'!$A$2:$A$455,$A316,'ESTUDIOS'!$I$2:$I$455,"")&gt;0,"",INDEX('ESTUDIOS'!$I$2:$I$455,MATCH($A316,'ESTUDIOS'!$A$2:$A$455,0)))=1,"1 - Integrity",IF(OR(IF(COUNTIFS('RQ2'!$A$2:$A$455,$A316,'RQ2'!$D$2:$D$455,"")&gt;0,"",INDEX('RQ2'!$D$2:$D$455,MATCH($A316,'RQ2'!$A$2:$A$455,0)))="",IF(COUNTIFS('RQ2'!$A$2:$A$455,$A316,'RQ2'!$E$2:$E$455,"")&gt;0,"",INDEX('RQ2'!$E$2:$E$455,MATCH($A316,'RQ2'!$A$2:$A$455,0)))=""),"2 - RQ2 historical","3 - Verify recorded evidence"))</f>
        <v/>
      </c>
      <c r="D316" s="4">
        <f>IF(OR(IF(COUNTIFS('RQ2'!$A$2:$A$455,$A316,'RQ2'!$D$2:$D$455,"")&gt;0,"",INDEX('RQ2'!$D$2:$D$455,MATCH($A316,'RQ2'!$A$2:$A$455,0)))="",IF(COUNTIFS('RQ2'!$A$2:$A$455,$A316,'RQ2'!$E$2:$E$455,"")&gt;0,"",INDEX('RQ2'!$E$2:$E$455,MATCH($A316,'RQ2'!$A$2:$A$455,0)))=""),"PENDIENTE","REGISTRADA")</f>
        <v/>
      </c>
      <c r="E316" s="4">
        <f>IF(IF(COUNTIFS('RQ1'!$A$2:$A$455,$A316,'RQ1'!$N$2:$N$455,"")&gt;0,"",INDEX('RQ1'!$N$2:$N$455,MATCH($A316,'RQ1'!$A$2:$A$455,0)))=1,"REVISAR DETALLE","REGISTRADA")</f>
        <v/>
      </c>
      <c r="F316" s="4">
        <f>IF(IF(COUNTIFS('RQ3'!$A$2:$A$455,$A316,'RQ3'!$P$2:$P$455,"")&gt;0,"",INDEX('RQ3'!$P$2:$P$455,MATCH($A316,'RQ3'!$A$2:$A$455,0)))="","NO REGISTRADO",IF(IF(COUNTIFS('RQ3'!$A$2:$A$455,$A316,'RQ3'!$P$2:$P$455,"")&gt;0,"",INDEX('RQ3'!$P$2:$P$455,MATCH($A316,'RQ3'!$A$2:$A$455,0)))=1,"MARCA ACTIVA","SIN MARCA"))</f>
        <v/>
      </c>
      <c r="G316" s="4">
        <f>IF(IF(COUNTIFS('ESTUDIOS'!$A$2:$A$455,$A316,'ESTUDIOS'!$N$2:$N$455,"")&gt;0,"",INDEX('ESTUDIOS'!$N$2:$N$455,MATCH($A316,'ESTUDIOS'!$A$2:$A$455,0)))="Verified","DOCUMENTADA","NO DOCUMENTADA")</f>
        <v/>
      </c>
      <c r="H316" s="4">
        <f>IF(D316="PENDIENTE","Leer evidencia ya extraída; registrar uso propuesto o evaluado, función, fuente y revisor en RQ2.","Comprobar evidencia y cautelas registradas; documentar verificación sin recodificar lo ya respaldado.")</f>
        <v/>
      </c>
      <c r="I316" s="4" t="inlineStr">
        <is>
          <t>https://doi.org/10.1038/s41598-026-48562-8</t>
        </is>
      </c>
    </row>
    <row r="317" ht="64" customHeight="1">
      <c r="A317" s="4" t="inlineStr">
        <is>
          <t>new_313</t>
        </is>
      </c>
      <c r="B317" s="4" t="inlineStr">
        <is>
          <t>Metaheuristic hyperparameter optimization of deep neural networks for demographic-aware autism spectrum disorder classification.</t>
        </is>
      </c>
      <c r="C317" s="4">
        <f>IF(IF(COUNTIFS('ESTUDIOS'!$A$2:$A$455,$A317,'ESTUDIOS'!$I$2:$I$455,"")&gt;0,"",INDEX('ESTUDIOS'!$I$2:$I$455,MATCH($A317,'ESTUDIOS'!$A$2:$A$455,0)))=1,"1 - Integrity",IF(OR(IF(COUNTIFS('RQ2'!$A$2:$A$455,$A317,'RQ2'!$D$2:$D$455,"")&gt;0,"",INDEX('RQ2'!$D$2:$D$455,MATCH($A317,'RQ2'!$A$2:$A$455,0)))="",IF(COUNTIFS('RQ2'!$A$2:$A$455,$A317,'RQ2'!$E$2:$E$455,"")&gt;0,"",INDEX('RQ2'!$E$2:$E$455,MATCH($A317,'RQ2'!$A$2:$A$455,0)))=""),"2 - RQ2 historical","3 - Verify recorded evidence"))</f>
        <v/>
      </c>
      <c r="D317" s="4">
        <f>IF(OR(IF(COUNTIFS('RQ2'!$A$2:$A$455,$A317,'RQ2'!$D$2:$D$455,"")&gt;0,"",INDEX('RQ2'!$D$2:$D$455,MATCH($A317,'RQ2'!$A$2:$A$455,0)))="",IF(COUNTIFS('RQ2'!$A$2:$A$455,$A317,'RQ2'!$E$2:$E$455,"")&gt;0,"",INDEX('RQ2'!$E$2:$E$455,MATCH($A317,'RQ2'!$A$2:$A$455,0)))=""),"PENDIENTE","REGISTRADA")</f>
        <v/>
      </c>
      <c r="E317" s="4">
        <f>IF(IF(COUNTIFS('RQ1'!$A$2:$A$455,$A317,'RQ1'!$N$2:$N$455,"")&gt;0,"",INDEX('RQ1'!$N$2:$N$455,MATCH($A317,'RQ1'!$A$2:$A$455,0)))=1,"REVISAR DETALLE","REGISTRADA")</f>
        <v/>
      </c>
      <c r="F317" s="4">
        <f>IF(IF(COUNTIFS('RQ3'!$A$2:$A$455,$A317,'RQ3'!$P$2:$P$455,"")&gt;0,"",INDEX('RQ3'!$P$2:$P$455,MATCH($A317,'RQ3'!$A$2:$A$455,0)))="","NO REGISTRADO",IF(IF(COUNTIFS('RQ3'!$A$2:$A$455,$A317,'RQ3'!$P$2:$P$455,"")&gt;0,"",INDEX('RQ3'!$P$2:$P$455,MATCH($A317,'RQ3'!$A$2:$A$455,0)))=1,"MARCA ACTIVA","SIN MARCA"))</f>
        <v/>
      </c>
      <c r="G317" s="4">
        <f>IF(IF(COUNTIFS('ESTUDIOS'!$A$2:$A$455,$A317,'ESTUDIOS'!$N$2:$N$455,"")&gt;0,"",INDEX('ESTUDIOS'!$N$2:$N$455,MATCH($A317,'ESTUDIOS'!$A$2:$A$455,0)))="Verified","DOCUMENTADA","NO DOCUMENTADA")</f>
        <v/>
      </c>
      <c r="H317" s="4">
        <f>IF(D317="PENDIENTE","Leer evidencia ya extraída; registrar uso propuesto o evaluado, función, fuente y revisor en RQ2.","Comprobar evidencia y cautelas registradas; documentar verificación sin recodificar lo ya respaldado.")</f>
        <v/>
      </c>
      <c r="I317" s="4" t="inlineStr">
        <is>
          <t>https://doi.org/10.1038/s41598-026-58789-0</t>
        </is>
      </c>
    </row>
    <row r="318" ht="64" customHeight="1">
      <c r="A318" s="4" t="inlineStr">
        <is>
          <t>new_321</t>
        </is>
      </c>
      <c r="B318" s="4" t="inlineStr">
        <is>
          <t>Bridging the gap: explainable ai for autism diagnosis and parental support with TabPFNMix and SHAP</t>
        </is>
      </c>
      <c r="C318" s="4">
        <f>IF(IF(COUNTIFS('ESTUDIOS'!$A$2:$A$455,$A318,'ESTUDIOS'!$I$2:$I$455,"")&gt;0,"",INDEX('ESTUDIOS'!$I$2:$I$455,MATCH($A318,'ESTUDIOS'!$A$2:$A$455,0)))=1,"1 - Integrity",IF(OR(IF(COUNTIFS('RQ2'!$A$2:$A$455,$A318,'RQ2'!$D$2:$D$455,"")&gt;0,"",INDEX('RQ2'!$D$2:$D$455,MATCH($A318,'RQ2'!$A$2:$A$455,0)))="",IF(COUNTIFS('RQ2'!$A$2:$A$455,$A318,'RQ2'!$E$2:$E$455,"")&gt;0,"",INDEX('RQ2'!$E$2:$E$455,MATCH($A318,'RQ2'!$A$2:$A$455,0)))=""),"2 - RQ2 historical","3 - Verify recorded evidence"))</f>
        <v/>
      </c>
      <c r="D318" s="4">
        <f>IF(OR(IF(COUNTIFS('RQ2'!$A$2:$A$455,$A318,'RQ2'!$D$2:$D$455,"")&gt;0,"",INDEX('RQ2'!$D$2:$D$455,MATCH($A318,'RQ2'!$A$2:$A$455,0)))="",IF(COUNTIFS('RQ2'!$A$2:$A$455,$A318,'RQ2'!$E$2:$E$455,"")&gt;0,"",INDEX('RQ2'!$E$2:$E$455,MATCH($A318,'RQ2'!$A$2:$A$455,0)))=""),"PENDIENTE","REGISTRADA")</f>
        <v/>
      </c>
      <c r="E318" s="4">
        <f>IF(IF(COUNTIFS('RQ1'!$A$2:$A$455,$A318,'RQ1'!$N$2:$N$455,"")&gt;0,"",INDEX('RQ1'!$N$2:$N$455,MATCH($A318,'RQ1'!$A$2:$A$455,0)))=1,"REVISAR DETALLE","REGISTRADA")</f>
        <v/>
      </c>
      <c r="F318" s="4">
        <f>IF(IF(COUNTIFS('RQ3'!$A$2:$A$455,$A318,'RQ3'!$P$2:$P$455,"")&gt;0,"",INDEX('RQ3'!$P$2:$P$455,MATCH($A318,'RQ3'!$A$2:$A$455,0)))="","NO REGISTRADO",IF(IF(COUNTIFS('RQ3'!$A$2:$A$455,$A318,'RQ3'!$P$2:$P$455,"")&gt;0,"",INDEX('RQ3'!$P$2:$P$455,MATCH($A318,'RQ3'!$A$2:$A$455,0)))=1,"MARCA ACTIVA","SIN MARCA"))</f>
        <v/>
      </c>
      <c r="G318" s="4">
        <f>IF(IF(COUNTIFS('ESTUDIOS'!$A$2:$A$455,$A318,'ESTUDIOS'!$N$2:$N$455,"")&gt;0,"",INDEX('ESTUDIOS'!$N$2:$N$455,MATCH($A318,'ESTUDIOS'!$A$2:$A$455,0)))="Verified","DOCUMENTADA","NO DOCUMENTADA")</f>
        <v/>
      </c>
      <c r="H318" s="4">
        <f>IF(D318="PENDIENTE","Leer evidencia ya extraída; registrar uso propuesto o evaluado, función, fuente y revisor en RQ2.","Comprobar evidencia y cautelas registradas; documentar verificación sin recodificar lo ya respaldado.")</f>
        <v/>
      </c>
      <c r="I318" s="4" t="inlineStr">
        <is>
          <t>https://doi.org/10.1038/s41598-025-24662-9</t>
        </is>
      </c>
    </row>
    <row r="319" ht="64" customHeight="1">
      <c r="A319" s="4" t="inlineStr">
        <is>
          <t>new_331</t>
        </is>
      </c>
      <c r="B319" s="4" t="inlineStr">
        <is>
          <t>Hybrid deep learning and feature selection approach for autism detection from rs-fMRI data</t>
        </is>
      </c>
      <c r="C319" s="4">
        <f>IF(IF(COUNTIFS('ESTUDIOS'!$A$2:$A$455,$A319,'ESTUDIOS'!$I$2:$I$455,"")&gt;0,"",INDEX('ESTUDIOS'!$I$2:$I$455,MATCH($A319,'ESTUDIOS'!$A$2:$A$455,0)))=1,"1 - Integrity",IF(OR(IF(COUNTIFS('RQ2'!$A$2:$A$455,$A319,'RQ2'!$D$2:$D$455,"")&gt;0,"",INDEX('RQ2'!$D$2:$D$455,MATCH($A319,'RQ2'!$A$2:$A$455,0)))="",IF(COUNTIFS('RQ2'!$A$2:$A$455,$A319,'RQ2'!$E$2:$E$455,"")&gt;0,"",INDEX('RQ2'!$E$2:$E$455,MATCH($A319,'RQ2'!$A$2:$A$455,0)))=""),"2 - RQ2 historical","3 - Verify recorded evidence"))</f>
        <v/>
      </c>
      <c r="D319" s="4">
        <f>IF(OR(IF(COUNTIFS('RQ2'!$A$2:$A$455,$A319,'RQ2'!$D$2:$D$455,"")&gt;0,"",INDEX('RQ2'!$D$2:$D$455,MATCH($A319,'RQ2'!$A$2:$A$455,0)))="",IF(COUNTIFS('RQ2'!$A$2:$A$455,$A319,'RQ2'!$E$2:$E$455,"")&gt;0,"",INDEX('RQ2'!$E$2:$E$455,MATCH($A319,'RQ2'!$A$2:$A$455,0)))=""),"PENDIENTE","REGISTRADA")</f>
        <v/>
      </c>
      <c r="E319" s="4">
        <f>IF(IF(COUNTIFS('RQ1'!$A$2:$A$455,$A319,'RQ1'!$N$2:$N$455,"")&gt;0,"",INDEX('RQ1'!$N$2:$N$455,MATCH($A319,'RQ1'!$A$2:$A$455,0)))=1,"REVISAR DETALLE","REGISTRADA")</f>
        <v/>
      </c>
      <c r="F319" s="4">
        <f>IF(IF(COUNTIFS('RQ3'!$A$2:$A$455,$A319,'RQ3'!$P$2:$P$455,"")&gt;0,"",INDEX('RQ3'!$P$2:$P$455,MATCH($A319,'RQ3'!$A$2:$A$455,0)))="","NO REGISTRADO",IF(IF(COUNTIFS('RQ3'!$A$2:$A$455,$A319,'RQ3'!$P$2:$P$455,"")&gt;0,"",INDEX('RQ3'!$P$2:$P$455,MATCH($A319,'RQ3'!$A$2:$A$455,0)))=1,"MARCA ACTIVA","SIN MARCA"))</f>
        <v/>
      </c>
      <c r="G319" s="4">
        <f>IF(IF(COUNTIFS('ESTUDIOS'!$A$2:$A$455,$A319,'ESTUDIOS'!$N$2:$N$455,"")&gt;0,"",INDEX('ESTUDIOS'!$N$2:$N$455,MATCH($A319,'ESTUDIOS'!$A$2:$A$455,0)))="Verified","DOCUMENTADA","NO DOCUMENTADA")</f>
        <v/>
      </c>
      <c r="H319" s="4">
        <f>IF(D319="PENDIENTE","Leer evidencia ya extraída; registrar uso propuesto o evaluado, función, fuente y revisor en RQ2.","Comprobar evidencia y cautelas registradas; documentar verificación sin recodificar lo ya respaldado.")</f>
        <v/>
      </c>
      <c r="I319" s="4" t="inlineStr">
        <is>
          <t>https://doi.org/10.1371/journal.pone.0339921</t>
        </is>
      </c>
    </row>
    <row r="320" ht="64" customHeight="1">
      <c r="A320" s="4" t="inlineStr">
        <is>
          <t>new_335</t>
        </is>
      </c>
      <c r="B320" s="4" t="inlineStr">
        <is>
          <t>Diagnostic Classification of Autism Spectrum Disorder in the Frequency Domain Using Resting-State fMRI</t>
        </is>
      </c>
      <c r="C320" s="4">
        <f>IF(IF(COUNTIFS('ESTUDIOS'!$A$2:$A$455,$A320,'ESTUDIOS'!$I$2:$I$455,"")&gt;0,"",INDEX('ESTUDIOS'!$I$2:$I$455,MATCH($A320,'ESTUDIOS'!$A$2:$A$455,0)))=1,"1 - Integrity",IF(OR(IF(COUNTIFS('RQ2'!$A$2:$A$455,$A320,'RQ2'!$D$2:$D$455,"")&gt;0,"",INDEX('RQ2'!$D$2:$D$455,MATCH($A320,'RQ2'!$A$2:$A$455,0)))="",IF(COUNTIFS('RQ2'!$A$2:$A$455,$A320,'RQ2'!$E$2:$E$455,"")&gt;0,"",INDEX('RQ2'!$E$2:$E$455,MATCH($A320,'RQ2'!$A$2:$A$455,0)))=""),"2 - RQ2 historical","3 - Verify recorded evidence"))</f>
        <v/>
      </c>
      <c r="D320" s="4">
        <f>IF(OR(IF(COUNTIFS('RQ2'!$A$2:$A$455,$A320,'RQ2'!$D$2:$D$455,"")&gt;0,"",INDEX('RQ2'!$D$2:$D$455,MATCH($A320,'RQ2'!$A$2:$A$455,0)))="",IF(COUNTIFS('RQ2'!$A$2:$A$455,$A320,'RQ2'!$E$2:$E$455,"")&gt;0,"",INDEX('RQ2'!$E$2:$E$455,MATCH($A320,'RQ2'!$A$2:$A$455,0)))=""),"PENDIENTE","REGISTRADA")</f>
        <v/>
      </c>
      <c r="E320" s="4">
        <f>IF(IF(COUNTIFS('RQ1'!$A$2:$A$455,$A320,'RQ1'!$N$2:$N$455,"")&gt;0,"",INDEX('RQ1'!$N$2:$N$455,MATCH($A320,'RQ1'!$A$2:$A$455,0)))=1,"REVISAR DETALLE","REGISTRADA")</f>
        <v/>
      </c>
      <c r="F320" s="4">
        <f>IF(IF(COUNTIFS('RQ3'!$A$2:$A$455,$A320,'RQ3'!$P$2:$P$455,"")&gt;0,"",INDEX('RQ3'!$P$2:$P$455,MATCH($A320,'RQ3'!$A$2:$A$455,0)))="","NO REGISTRADO",IF(IF(COUNTIFS('RQ3'!$A$2:$A$455,$A320,'RQ3'!$P$2:$P$455,"")&gt;0,"",INDEX('RQ3'!$P$2:$P$455,MATCH($A320,'RQ3'!$A$2:$A$455,0)))=1,"MARCA ACTIVA","SIN MARCA"))</f>
        <v/>
      </c>
      <c r="G320" s="4">
        <f>IF(IF(COUNTIFS('ESTUDIOS'!$A$2:$A$455,$A320,'ESTUDIOS'!$N$2:$N$455,"")&gt;0,"",INDEX('ESTUDIOS'!$N$2:$N$455,MATCH($A320,'ESTUDIOS'!$A$2:$A$455,0)))="Verified","DOCUMENTADA","NO DOCUMENTADA")</f>
        <v/>
      </c>
      <c r="H320" s="4">
        <f>IF(D320="PENDIENTE","Leer evidencia ya extraída; registrar uso propuesto o evaluado, función, fuente y revisor en RQ2.","Comprobar evidencia y cautelas registradas; documentar verificación sin recodificar lo ya respaldado.")</f>
        <v/>
      </c>
      <c r="I320" s="4" t="inlineStr">
        <is>
          <t>https://doi.org/10.1007/s12021-026-09782-5</t>
        </is>
      </c>
    </row>
    <row r="321" ht="64" customHeight="1">
      <c r="A321" s="4" t="inlineStr">
        <is>
          <t>new_352</t>
        </is>
      </c>
      <c r="B321" s="4" t="inlineStr">
        <is>
          <t>Efficient Kulczynski EEG feature selection for autism spectrum disorder diagnosis over fog and cloud computing</t>
        </is>
      </c>
      <c r="C321" s="4">
        <f>IF(IF(COUNTIFS('ESTUDIOS'!$A$2:$A$455,$A321,'ESTUDIOS'!$I$2:$I$455,"")&gt;0,"",INDEX('ESTUDIOS'!$I$2:$I$455,MATCH($A321,'ESTUDIOS'!$A$2:$A$455,0)))=1,"1 - Integrity",IF(OR(IF(COUNTIFS('RQ2'!$A$2:$A$455,$A321,'RQ2'!$D$2:$D$455,"")&gt;0,"",INDEX('RQ2'!$D$2:$D$455,MATCH($A321,'RQ2'!$A$2:$A$455,0)))="",IF(COUNTIFS('RQ2'!$A$2:$A$455,$A321,'RQ2'!$E$2:$E$455,"")&gt;0,"",INDEX('RQ2'!$E$2:$E$455,MATCH($A321,'RQ2'!$A$2:$A$455,0)))=""),"2 - RQ2 historical","3 - Verify recorded evidence"))</f>
        <v/>
      </c>
      <c r="D321" s="4">
        <f>IF(OR(IF(COUNTIFS('RQ2'!$A$2:$A$455,$A321,'RQ2'!$D$2:$D$455,"")&gt;0,"",INDEX('RQ2'!$D$2:$D$455,MATCH($A321,'RQ2'!$A$2:$A$455,0)))="",IF(COUNTIFS('RQ2'!$A$2:$A$455,$A321,'RQ2'!$E$2:$E$455,"")&gt;0,"",INDEX('RQ2'!$E$2:$E$455,MATCH($A321,'RQ2'!$A$2:$A$455,0)))=""),"PENDIENTE","REGISTRADA")</f>
        <v/>
      </c>
      <c r="E321" s="4">
        <f>IF(IF(COUNTIFS('RQ1'!$A$2:$A$455,$A321,'RQ1'!$N$2:$N$455,"")&gt;0,"",INDEX('RQ1'!$N$2:$N$455,MATCH($A321,'RQ1'!$A$2:$A$455,0)))=1,"REVISAR DETALLE","REGISTRADA")</f>
        <v/>
      </c>
      <c r="F321" s="4">
        <f>IF(IF(COUNTIFS('RQ3'!$A$2:$A$455,$A321,'RQ3'!$P$2:$P$455,"")&gt;0,"",INDEX('RQ3'!$P$2:$P$455,MATCH($A321,'RQ3'!$A$2:$A$455,0)))="","NO REGISTRADO",IF(IF(COUNTIFS('RQ3'!$A$2:$A$455,$A321,'RQ3'!$P$2:$P$455,"")&gt;0,"",INDEX('RQ3'!$P$2:$P$455,MATCH($A321,'RQ3'!$A$2:$A$455,0)))=1,"MARCA ACTIVA","SIN MARCA"))</f>
        <v/>
      </c>
      <c r="G321" s="4">
        <f>IF(IF(COUNTIFS('ESTUDIOS'!$A$2:$A$455,$A321,'ESTUDIOS'!$N$2:$N$455,"")&gt;0,"",INDEX('ESTUDIOS'!$N$2:$N$455,MATCH($A321,'ESTUDIOS'!$A$2:$A$455,0)))="Verified","DOCUMENTADA","NO DOCUMENTADA")</f>
        <v/>
      </c>
      <c r="H321" s="4">
        <f>IF(D321="PENDIENTE","Leer evidencia ya extraída; registrar uso propuesto o evaluado, función, fuente y revisor en RQ2.","Comprobar evidencia y cautelas registradas; documentar verificación sin recodificar lo ya respaldado.")</f>
        <v/>
      </c>
      <c r="I321" s="4" t="inlineStr">
        <is>
          <t>https://doi.org/10.1007/s41870-025-02987-y</t>
        </is>
      </c>
    </row>
    <row r="322" ht="64" customHeight="1">
      <c r="A322" s="4" t="inlineStr">
        <is>
          <t>new_359</t>
        </is>
      </c>
      <c r="B322" s="4" t="inlineStr">
        <is>
          <t>Privacy preserving federated framework for autism spectrum disorder screening with ensemble stacking and deep learning approaches</t>
        </is>
      </c>
      <c r="C322" s="4">
        <f>IF(IF(COUNTIFS('ESTUDIOS'!$A$2:$A$455,$A322,'ESTUDIOS'!$I$2:$I$455,"")&gt;0,"",INDEX('ESTUDIOS'!$I$2:$I$455,MATCH($A322,'ESTUDIOS'!$A$2:$A$455,0)))=1,"1 - Integrity",IF(OR(IF(COUNTIFS('RQ2'!$A$2:$A$455,$A322,'RQ2'!$D$2:$D$455,"")&gt;0,"",INDEX('RQ2'!$D$2:$D$455,MATCH($A322,'RQ2'!$A$2:$A$455,0)))="",IF(COUNTIFS('RQ2'!$A$2:$A$455,$A322,'RQ2'!$E$2:$E$455,"")&gt;0,"",INDEX('RQ2'!$E$2:$E$455,MATCH($A322,'RQ2'!$A$2:$A$455,0)))=""),"2 - RQ2 historical","3 - Verify recorded evidence"))</f>
        <v/>
      </c>
      <c r="D322" s="4">
        <f>IF(OR(IF(COUNTIFS('RQ2'!$A$2:$A$455,$A322,'RQ2'!$D$2:$D$455,"")&gt;0,"",INDEX('RQ2'!$D$2:$D$455,MATCH($A322,'RQ2'!$A$2:$A$455,0)))="",IF(COUNTIFS('RQ2'!$A$2:$A$455,$A322,'RQ2'!$E$2:$E$455,"")&gt;0,"",INDEX('RQ2'!$E$2:$E$455,MATCH($A322,'RQ2'!$A$2:$A$455,0)))=""),"PENDIENTE","REGISTRADA")</f>
        <v/>
      </c>
      <c r="E322" s="4">
        <f>IF(IF(COUNTIFS('RQ1'!$A$2:$A$455,$A322,'RQ1'!$N$2:$N$455,"")&gt;0,"",INDEX('RQ1'!$N$2:$N$455,MATCH($A322,'RQ1'!$A$2:$A$455,0)))=1,"REVISAR DETALLE","REGISTRADA")</f>
        <v/>
      </c>
      <c r="F322" s="4">
        <f>IF(IF(COUNTIFS('RQ3'!$A$2:$A$455,$A322,'RQ3'!$P$2:$P$455,"")&gt;0,"",INDEX('RQ3'!$P$2:$P$455,MATCH($A322,'RQ3'!$A$2:$A$455,0)))="","NO REGISTRADO",IF(IF(COUNTIFS('RQ3'!$A$2:$A$455,$A322,'RQ3'!$P$2:$P$455,"")&gt;0,"",INDEX('RQ3'!$P$2:$P$455,MATCH($A322,'RQ3'!$A$2:$A$455,0)))=1,"MARCA ACTIVA","SIN MARCA"))</f>
        <v/>
      </c>
      <c r="G322" s="4">
        <f>IF(IF(COUNTIFS('ESTUDIOS'!$A$2:$A$455,$A322,'ESTUDIOS'!$N$2:$N$455,"")&gt;0,"",INDEX('ESTUDIOS'!$N$2:$N$455,MATCH($A322,'ESTUDIOS'!$A$2:$A$455,0)))="Verified","DOCUMENTADA","NO DOCUMENTADA")</f>
        <v/>
      </c>
      <c r="H322" s="4">
        <f>IF(D322="PENDIENTE","Leer evidencia ya extraída; registrar uso propuesto o evaluado, función, fuente y revisor en RQ2.","Comprobar evidencia y cautelas registradas; documentar verificación sin recodificar lo ya respaldado.")</f>
        <v/>
      </c>
      <c r="I322" s="4" t="inlineStr">
        <is>
          <t>https://doi.org/10.1007/s44163-026-01103-8</t>
        </is>
      </c>
    </row>
    <row r="323" ht="64" customHeight="1">
      <c r="A323" s="4" t="inlineStr">
        <is>
          <t>new_372</t>
        </is>
      </c>
      <c r="B323" s="4" t="inlineStr">
        <is>
          <t>Machine learning of clinical phenotypes facilitates autism screening and identifies novel subgroups with distinct transcriptomic profiles</t>
        </is>
      </c>
      <c r="C323" s="4">
        <f>IF(IF(COUNTIFS('ESTUDIOS'!$A$2:$A$455,$A323,'ESTUDIOS'!$I$2:$I$455,"")&gt;0,"",INDEX('ESTUDIOS'!$I$2:$I$455,MATCH($A323,'ESTUDIOS'!$A$2:$A$455,0)))=1,"1 - Integrity",IF(OR(IF(COUNTIFS('RQ2'!$A$2:$A$455,$A323,'RQ2'!$D$2:$D$455,"")&gt;0,"",INDEX('RQ2'!$D$2:$D$455,MATCH($A323,'RQ2'!$A$2:$A$455,0)))="",IF(COUNTIFS('RQ2'!$A$2:$A$455,$A323,'RQ2'!$E$2:$E$455,"")&gt;0,"",INDEX('RQ2'!$E$2:$E$455,MATCH($A323,'RQ2'!$A$2:$A$455,0)))=""),"2 - RQ2 historical","3 - Verify recorded evidence"))</f>
        <v/>
      </c>
      <c r="D323" s="4">
        <f>IF(OR(IF(COUNTIFS('RQ2'!$A$2:$A$455,$A323,'RQ2'!$D$2:$D$455,"")&gt;0,"",INDEX('RQ2'!$D$2:$D$455,MATCH($A323,'RQ2'!$A$2:$A$455,0)))="",IF(COUNTIFS('RQ2'!$A$2:$A$455,$A323,'RQ2'!$E$2:$E$455,"")&gt;0,"",INDEX('RQ2'!$E$2:$E$455,MATCH($A323,'RQ2'!$A$2:$A$455,0)))=""),"PENDIENTE","REGISTRADA")</f>
        <v/>
      </c>
      <c r="E323" s="4">
        <f>IF(IF(COUNTIFS('RQ1'!$A$2:$A$455,$A323,'RQ1'!$N$2:$N$455,"")&gt;0,"",INDEX('RQ1'!$N$2:$N$455,MATCH($A323,'RQ1'!$A$2:$A$455,0)))=1,"REVISAR DETALLE","REGISTRADA")</f>
        <v/>
      </c>
      <c r="F323" s="4">
        <f>IF(IF(COUNTIFS('RQ3'!$A$2:$A$455,$A323,'RQ3'!$P$2:$P$455,"")&gt;0,"",INDEX('RQ3'!$P$2:$P$455,MATCH($A323,'RQ3'!$A$2:$A$455,0)))="","NO REGISTRADO",IF(IF(COUNTIFS('RQ3'!$A$2:$A$455,$A323,'RQ3'!$P$2:$P$455,"")&gt;0,"",INDEX('RQ3'!$P$2:$P$455,MATCH($A323,'RQ3'!$A$2:$A$455,0)))=1,"MARCA ACTIVA","SIN MARCA"))</f>
        <v/>
      </c>
      <c r="G323" s="4">
        <f>IF(IF(COUNTIFS('ESTUDIOS'!$A$2:$A$455,$A323,'ESTUDIOS'!$N$2:$N$455,"")&gt;0,"",INDEX('ESTUDIOS'!$N$2:$N$455,MATCH($A323,'ESTUDIOS'!$A$2:$A$455,0)))="Verified","DOCUMENTADA","NO DOCUMENTADA")</f>
        <v/>
      </c>
      <c r="H323" s="4">
        <f>IF(D323="PENDIENTE","Leer evidencia ya extraída; registrar uso propuesto o evaluado, función, fuente y revisor en RQ2.","Comprobar evidencia y cautelas registradas; documentar verificación sin recodificar lo ya respaldado.")</f>
        <v/>
      </c>
      <c r="I323" s="4" t="inlineStr">
        <is>
          <t>https://doi.org/10.1038/s41598-025-95291-5</t>
        </is>
      </c>
    </row>
    <row r="324" ht="64" customHeight="1">
      <c r="A324" s="4" t="inlineStr">
        <is>
          <t>new_378</t>
        </is>
      </c>
      <c r="B324" s="4" t="inlineStr">
        <is>
          <t>Integrating Network Analysis and Machine Learning Identifies Key Autism Spectrum Disorder Genes Linked to Immune Dysregulation and Therapeutic Targets</t>
        </is>
      </c>
      <c r="C324" s="4">
        <f>IF(IF(COUNTIFS('ESTUDIOS'!$A$2:$A$455,$A324,'ESTUDIOS'!$I$2:$I$455,"")&gt;0,"",INDEX('ESTUDIOS'!$I$2:$I$455,MATCH($A324,'ESTUDIOS'!$A$2:$A$455,0)))=1,"1 - Integrity",IF(OR(IF(COUNTIFS('RQ2'!$A$2:$A$455,$A324,'RQ2'!$D$2:$D$455,"")&gt;0,"",INDEX('RQ2'!$D$2:$D$455,MATCH($A324,'RQ2'!$A$2:$A$455,0)))="",IF(COUNTIFS('RQ2'!$A$2:$A$455,$A324,'RQ2'!$E$2:$E$455,"")&gt;0,"",INDEX('RQ2'!$E$2:$E$455,MATCH($A324,'RQ2'!$A$2:$A$455,0)))=""),"2 - RQ2 historical","3 - Verify recorded evidence"))</f>
        <v/>
      </c>
      <c r="D324" s="4">
        <f>IF(OR(IF(COUNTIFS('RQ2'!$A$2:$A$455,$A324,'RQ2'!$D$2:$D$455,"")&gt;0,"",INDEX('RQ2'!$D$2:$D$455,MATCH($A324,'RQ2'!$A$2:$A$455,0)))="",IF(COUNTIFS('RQ2'!$A$2:$A$455,$A324,'RQ2'!$E$2:$E$455,"")&gt;0,"",INDEX('RQ2'!$E$2:$E$455,MATCH($A324,'RQ2'!$A$2:$A$455,0)))=""),"PENDIENTE","REGISTRADA")</f>
        <v/>
      </c>
      <c r="E324" s="4">
        <f>IF(IF(COUNTIFS('RQ1'!$A$2:$A$455,$A324,'RQ1'!$N$2:$N$455,"")&gt;0,"",INDEX('RQ1'!$N$2:$N$455,MATCH($A324,'RQ1'!$A$2:$A$455,0)))=1,"REVISAR DETALLE","REGISTRADA")</f>
        <v/>
      </c>
      <c r="F324" s="4">
        <f>IF(IF(COUNTIFS('RQ3'!$A$2:$A$455,$A324,'RQ3'!$P$2:$P$455,"")&gt;0,"",INDEX('RQ3'!$P$2:$P$455,MATCH($A324,'RQ3'!$A$2:$A$455,0)))="","NO REGISTRADO",IF(IF(COUNTIFS('RQ3'!$A$2:$A$455,$A324,'RQ3'!$P$2:$P$455,"")&gt;0,"",INDEX('RQ3'!$P$2:$P$455,MATCH($A324,'RQ3'!$A$2:$A$455,0)))=1,"MARCA ACTIVA","SIN MARCA"))</f>
        <v/>
      </c>
      <c r="G324" s="4">
        <f>IF(IF(COUNTIFS('ESTUDIOS'!$A$2:$A$455,$A324,'ESTUDIOS'!$N$2:$N$455,"")&gt;0,"",INDEX('ESTUDIOS'!$N$2:$N$455,MATCH($A324,'ESTUDIOS'!$A$2:$A$455,0)))="Verified","DOCUMENTADA","NO DOCUMENTADA")</f>
        <v/>
      </c>
      <c r="H324" s="4">
        <f>IF(D324="PENDIENTE","Leer evidencia ya extraída; registrar uso propuesto o evaluado, función, fuente y revisor en RQ2.","Comprobar evidencia y cautelas registradas; documentar verificación sin recodificar lo ya respaldado.")</f>
        <v/>
      </c>
      <c r="I324" s="4" t="inlineStr">
        <is>
          <t>https://doi.org/10.3390/genes16091109</t>
        </is>
      </c>
    </row>
    <row r="325" ht="64" customHeight="1">
      <c r="A325" s="4" t="inlineStr">
        <is>
          <t>new_384</t>
        </is>
      </c>
      <c r="B325" s="4" t="inlineStr">
        <is>
          <t>Air pollution and autism-like traits: Sensitive periods and joint effects of exposure to sources and constituents of fine particulate matter</t>
        </is>
      </c>
      <c r="C325" s="4">
        <f>IF(IF(COUNTIFS('ESTUDIOS'!$A$2:$A$455,$A325,'ESTUDIOS'!$I$2:$I$455,"")&gt;0,"",INDEX('ESTUDIOS'!$I$2:$I$455,MATCH($A325,'ESTUDIOS'!$A$2:$A$455,0)))=1,"1 - Integrity",IF(OR(IF(COUNTIFS('RQ2'!$A$2:$A$455,$A325,'RQ2'!$D$2:$D$455,"")&gt;0,"",INDEX('RQ2'!$D$2:$D$455,MATCH($A325,'RQ2'!$A$2:$A$455,0)))="",IF(COUNTIFS('RQ2'!$A$2:$A$455,$A325,'RQ2'!$E$2:$E$455,"")&gt;0,"",INDEX('RQ2'!$E$2:$E$455,MATCH($A325,'RQ2'!$A$2:$A$455,0)))=""),"2 - RQ2 historical","3 - Verify recorded evidence"))</f>
        <v/>
      </c>
      <c r="D325" s="4">
        <f>IF(OR(IF(COUNTIFS('RQ2'!$A$2:$A$455,$A325,'RQ2'!$D$2:$D$455,"")&gt;0,"",INDEX('RQ2'!$D$2:$D$455,MATCH($A325,'RQ2'!$A$2:$A$455,0)))="",IF(COUNTIFS('RQ2'!$A$2:$A$455,$A325,'RQ2'!$E$2:$E$455,"")&gt;0,"",INDEX('RQ2'!$E$2:$E$455,MATCH($A325,'RQ2'!$A$2:$A$455,0)))=""),"PENDIENTE","REGISTRADA")</f>
        <v/>
      </c>
      <c r="E325" s="4">
        <f>IF(IF(COUNTIFS('RQ1'!$A$2:$A$455,$A325,'RQ1'!$N$2:$N$455,"")&gt;0,"",INDEX('RQ1'!$N$2:$N$455,MATCH($A325,'RQ1'!$A$2:$A$455,0)))=1,"REVISAR DETALLE","REGISTRADA")</f>
        <v/>
      </c>
      <c r="F325" s="4">
        <f>IF(IF(COUNTIFS('RQ3'!$A$2:$A$455,$A325,'RQ3'!$P$2:$P$455,"")&gt;0,"",INDEX('RQ3'!$P$2:$P$455,MATCH($A325,'RQ3'!$A$2:$A$455,0)))="","NO REGISTRADO",IF(IF(COUNTIFS('RQ3'!$A$2:$A$455,$A325,'RQ3'!$P$2:$P$455,"")&gt;0,"",INDEX('RQ3'!$P$2:$P$455,MATCH($A325,'RQ3'!$A$2:$A$455,0)))=1,"MARCA ACTIVA","SIN MARCA"))</f>
        <v/>
      </c>
      <c r="G325" s="4">
        <f>IF(IF(COUNTIFS('ESTUDIOS'!$A$2:$A$455,$A325,'ESTUDIOS'!$N$2:$N$455,"")&gt;0,"",INDEX('ESTUDIOS'!$N$2:$N$455,MATCH($A325,'ESTUDIOS'!$A$2:$A$455,0)))="Verified","DOCUMENTADA","NO DOCUMENTADA")</f>
        <v/>
      </c>
      <c r="H325" s="4">
        <f>IF(D325="PENDIENTE","Leer evidencia ya extraída; registrar uso propuesto o evaluado, función, fuente y revisor en RQ2.","Comprobar evidencia y cautelas registradas; documentar verificación sin recodificar lo ya respaldado.")</f>
        <v/>
      </c>
      <c r="I325" s="4" t="inlineStr">
        <is>
          <t>https://doi.org/10.1016/j.envres.2026.125213</t>
        </is>
      </c>
    </row>
    <row r="326" ht="64" customHeight="1">
      <c r="A326" s="4" t="inlineStr">
        <is>
          <t>new_395</t>
        </is>
      </c>
      <c r="B326" s="4" t="inlineStr">
        <is>
          <t>Prematurity and genetic liability for autism spectrum disorder</t>
        </is>
      </c>
      <c r="C326" s="4">
        <f>IF(IF(COUNTIFS('ESTUDIOS'!$A$2:$A$455,$A326,'ESTUDIOS'!$I$2:$I$455,"")&gt;0,"",INDEX('ESTUDIOS'!$I$2:$I$455,MATCH($A326,'ESTUDIOS'!$A$2:$A$455,0)))=1,"1 - Integrity",IF(OR(IF(COUNTIFS('RQ2'!$A$2:$A$455,$A326,'RQ2'!$D$2:$D$455,"")&gt;0,"",INDEX('RQ2'!$D$2:$D$455,MATCH($A326,'RQ2'!$A$2:$A$455,0)))="",IF(COUNTIFS('RQ2'!$A$2:$A$455,$A326,'RQ2'!$E$2:$E$455,"")&gt;0,"",INDEX('RQ2'!$E$2:$E$455,MATCH($A326,'RQ2'!$A$2:$A$455,0)))=""),"2 - RQ2 historical","3 - Verify recorded evidence"))</f>
        <v/>
      </c>
      <c r="D326" s="4">
        <f>IF(OR(IF(COUNTIFS('RQ2'!$A$2:$A$455,$A326,'RQ2'!$D$2:$D$455,"")&gt;0,"",INDEX('RQ2'!$D$2:$D$455,MATCH($A326,'RQ2'!$A$2:$A$455,0)))="",IF(COUNTIFS('RQ2'!$A$2:$A$455,$A326,'RQ2'!$E$2:$E$455,"")&gt;0,"",INDEX('RQ2'!$E$2:$E$455,MATCH($A326,'RQ2'!$A$2:$A$455,0)))=""),"PENDIENTE","REGISTRADA")</f>
        <v/>
      </c>
      <c r="E326" s="4">
        <f>IF(IF(COUNTIFS('RQ1'!$A$2:$A$455,$A326,'RQ1'!$N$2:$N$455,"")&gt;0,"",INDEX('RQ1'!$N$2:$N$455,MATCH($A326,'RQ1'!$A$2:$A$455,0)))=1,"REVISAR DETALLE","REGISTRADA")</f>
        <v/>
      </c>
      <c r="F326" s="4">
        <f>IF(IF(COUNTIFS('RQ3'!$A$2:$A$455,$A326,'RQ3'!$P$2:$P$455,"")&gt;0,"",INDEX('RQ3'!$P$2:$P$455,MATCH($A326,'RQ3'!$A$2:$A$455,0)))="","NO REGISTRADO",IF(IF(COUNTIFS('RQ3'!$A$2:$A$455,$A326,'RQ3'!$P$2:$P$455,"")&gt;0,"",INDEX('RQ3'!$P$2:$P$455,MATCH($A326,'RQ3'!$A$2:$A$455,0)))=1,"MARCA ACTIVA","SIN MARCA"))</f>
        <v/>
      </c>
      <c r="G326" s="4">
        <f>IF(IF(COUNTIFS('ESTUDIOS'!$A$2:$A$455,$A326,'ESTUDIOS'!$N$2:$N$455,"")&gt;0,"",INDEX('ESTUDIOS'!$N$2:$N$455,MATCH($A326,'ESTUDIOS'!$A$2:$A$455,0)))="Verified","DOCUMENTADA","NO DOCUMENTADA")</f>
        <v/>
      </c>
      <c r="H326" s="4">
        <f>IF(D326="PENDIENTE","Leer evidencia ya extraída; registrar uso propuesto o evaluado, función, fuente y revisor en RQ2.","Comprobar evidencia y cautelas registradas; documentar verificación sin recodificar lo ya respaldado.")</f>
        <v/>
      </c>
      <c r="I326" s="4" t="inlineStr">
        <is>
          <t>https://doi.org/10.1186/s13073-025-01552-3</t>
        </is>
      </c>
    </row>
    <row r="327" ht="64" customHeight="1">
      <c r="A327" s="4" t="inlineStr">
        <is>
          <t>new_406</t>
        </is>
      </c>
      <c r="B327" s="4" t="inlineStr">
        <is>
          <t>NeuroCypher ASD: Machine Learning with Knowledge Graph-Based Representation for ASD Screening in Toddlers</t>
        </is>
      </c>
      <c r="C327" s="4">
        <f>IF(IF(COUNTIFS('ESTUDIOS'!$A$2:$A$455,$A327,'ESTUDIOS'!$I$2:$I$455,"")&gt;0,"",INDEX('ESTUDIOS'!$I$2:$I$455,MATCH($A327,'ESTUDIOS'!$A$2:$A$455,0)))=1,"1 - Integrity",IF(OR(IF(COUNTIFS('RQ2'!$A$2:$A$455,$A327,'RQ2'!$D$2:$D$455,"")&gt;0,"",INDEX('RQ2'!$D$2:$D$455,MATCH($A327,'RQ2'!$A$2:$A$455,0)))="",IF(COUNTIFS('RQ2'!$A$2:$A$455,$A327,'RQ2'!$E$2:$E$455,"")&gt;0,"",INDEX('RQ2'!$E$2:$E$455,MATCH($A327,'RQ2'!$A$2:$A$455,0)))=""),"2 - RQ2 historical","3 - Verify recorded evidence"))</f>
        <v/>
      </c>
      <c r="D327" s="4">
        <f>IF(OR(IF(COUNTIFS('RQ2'!$A$2:$A$455,$A327,'RQ2'!$D$2:$D$455,"")&gt;0,"",INDEX('RQ2'!$D$2:$D$455,MATCH($A327,'RQ2'!$A$2:$A$455,0)))="",IF(COUNTIFS('RQ2'!$A$2:$A$455,$A327,'RQ2'!$E$2:$E$455,"")&gt;0,"",INDEX('RQ2'!$E$2:$E$455,MATCH($A327,'RQ2'!$A$2:$A$455,0)))=""),"PENDIENTE","REGISTRADA")</f>
        <v/>
      </c>
      <c r="E327" s="4">
        <f>IF(IF(COUNTIFS('RQ1'!$A$2:$A$455,$A327,'RQ1'!$N$2:$N$455,"")&gt;0,"",INDEX('RQ1'!$N$2:$N$455,MATCH($A327,'RQ1'!$A$2:$A$455,0)))=1,"REVISAR DETALLE","REGISTRADA")</f>
        <v/>
      </c>
      <c r="F327" s="4">
        <f>IF(IF(COUNTIFS('RQ3'!$A$2:$A$455,$A327,'RQ3'!$P$2:$P$455,"")&gt;0,"",INDEX('RQ3'!$P$2:$P$455,MATCH($A327,'RQ3'!$A$2:$A$455,0)))="","NO REGISTRADO",IF(IF(COUNTIFS('RQ3'!$A$2:$A$455,$A327,'RQ3'!$P$2:$P$455,"")&gt;0,"",INDEX('RQ3'!$P$2:$P$455,MATCH($A327,'RQ3'!$A$2:$A$455,0)))=1,"MARCA ACTIVA","SIN MARCA"))</f>
        <v/>
      </c>
      <c r="G327" s="4">
        <f>IF(IF(COUNTIFS('ESTUDIOS'!$A$2:$A$455,$A327,'ESTUDIOS'!$N$2:$N$455,"")&gt;0,"",INDEX('ESTUDIOS'!$N$2:$N$455,MATCH($A327,'ESTUDIOS'!$A$2:$A$455,0)))="Verified","DOCUMENTADA","NO DOCUMENTADA")</f>
        <v/>
      </c>
      <c r="H327" s="4">
        <f>IF(D327="PENDIENTE","Leer evidencia ya extraída; registrar uso propuesto o evaluado, función, fuente y revisor en RQ2.","Comprobar evidencia y cautelas registradas; documentar verificación sin recodificar lo ya respaldado.")</f>
        <v/>
      </c>
      <c r="I327" s="4" t="inlineStr">
        <is>
          <t>https://doi.org/10.1007/s41666-026-00243-x</t>
        </is>
      </c>
    </row>
    <row r="328" ht="64" customHeight="1">
      <c r="A328" s="4" t="inlineStr">
        <is>
          <t>new_410</t>
        </is>
      </c>
      <c r="B328" s="4" t="inlineStr">
        <is>
          <t>Robust deep learning pipeline to improve access to autism triage and diagnosis</t>
        </is>
      </c>
      <c r="C328" s="4">
        <f>IF(IF(COUNTIFS('ESTUDIOS'!$A$2:$A$455,$A328,'ESTUDIOS'!$I$2:$I$455,"")&gt;0,"",INDEX('ESTUDIOS'!$I$2:$I$455,MATCH($A328,'ESTUDIOS'!$A$2:$A$455,0)))=1,"1 - Integrity",IF(OR(IF(COUNTIFS('RQ2'!$A$2:$A$455,$A328,'RQ2'!$D$2:$D$455,"")&gt;0,"",INDEX('RQ2'!$D$2:$D$455,MATCH($A328,'RQ2'!$A$2:$A$455,0)))="",IF(COUNTIFS('RQ2'!$A$2:$A$455,$A328,'RQ2'!$E$2:$E$455,"")&gt;0,"",INDEX('RQ2'!$E$2:$E$455,MATCH($A328,'RQ2'!$A$2:$A$455,0)))=""),"2 - RQ2 historical","3 - Verify recorded evidence"))</f>
        <v/>
      </c>
      <c r="D328" s="4">
        <f>IF(OR(IF(COUNTIFS('RQ2'!$A$2:$A$455,$A328,'RQ2'!$D$2:$D$455,"")&gt;0,"",INDEX('RQ2'!$D$2:$D$455,MATCH($A328,'RQ2'!$A$2:$A$455,0)))="",IF(COUNTIFS('RQ2'!$A$2:$A$455,$A328,'RQ2'!$E$2:$E$455,"")&gt;0,"",INDEX('RQ2'!$E$2:$E$455,MATCH($A328,'RQ2'!$A$2:$A$455,0)))=""),"PENDIENTE","REGISTRADA")</f>
        <v/>
      </c>
      <c r="E328" s="4">
        <f>IF(IF(COUNTIFS('RQ1'!$A$2:$A$455,$A328,'RQ1'!$N$2:$N$455,"")&gt;0,"",INDEX('RQ1'!$N$2:$N$455,MATCH($A328,'RQ1'!$A$2:$A$455,0)))=1,"REVISAR DETALLE","REGISTRADA")</f>
        <v/>
      </c>
      <c r="F328" s="4">
        <f>IF(IF(COUNTIFS('RQ3'!$A$2:$A$455,$A328,'RQ3'!$P$2:$P$455,"")&gt;0,"",INDEX('RQ3'!$P$2:$P$455,MATCH($A328,'RQ3'!$A$2:$A$455,0)))="","NO REGISTRADO",IF(IF(COUNTIFS('RQ3'!$A$2:$A$455,$A328,'RQ3'!$P$2:$P$455,"")&gt;0,"",INDEX('RQ3'!$P$2:$P$455,MATCH($A328,'RQ3'!$A$2:$A$455,0)))=1,"MARCA ACTIVA","SIN MARCA"))</f>
        <v/>
      </c>
      <c r="G328" s="4">
        <f>IF(IF(COUNTIFS('ESTUDIOS'!$A$2:$A$455,$A328,'ESTUDIOS'!$N$2:$N$455,"")&gt;0,"",INDEX('ESTUDIOS'!$N$2:$N$455,MATCH($A328,'ESTUDIOS'!$A$2:$A$455,0)))="Verified","DOCUMENTADA","NO DOCUMENTADA")</f>
        <v/>
      </c>
      <c r="H328" s="4">
        <f>IF(D328="PENDIENTE","Leer evidencia ya extraída; registrar uso propuesto o evaluado, función, fuente y revisor en RQ2.","Comprobar evidencia y cautelas registradas; documentar verificación sin recodificar lo ya respaldado.")</f>
        <v/>
      </c>
      <c r="I328" s="4" t="inlineStr">
        <is>
          <t>https://doi.org/10.1007/s44163-026-01299-9</t>
        </is>
      </c>
    </row>
    <row r="329" ht="64" customHeight="1">
      <c r="A329" s="4" t="inlineStr">
        <is>
          <t>new_417</t>
        </is>
      </c>
      <c r="B329" s="4" t="inlineStr">
        <is>
          <t>Perivascular Space Burden in Children With Autism Spectrum Disorder Correlates With Neurodevelopmental Severity</t>
        </is>
      </c>
      <c r="C329" s="4">
        <f>IF(IF(COUNTIFS('ESTUDIOS'!$A$2:$A$455,$A329,'ESTUDIOS'!$I$2:$I$455,"")&gt;0,"",INDEX('ESTUDIOS'!$I$2:$I$455,MATCH($A329,'ESTUDIOS'!$A$2:$A$455,0)))=1,"1 - Integrity",IF(OR(IF(COUNTIFS('RQ2'!$A$2:$A$455,$A329,'RQ2'!$D$2:$D$455,"")&gt;0,"",INDEX('RQ2'!$D$2:$D$455,MATCH($A329,'RQ2'!$A$2:$A$455,0)))="",IF(COUNTIFS('RQ2'!$A$2:$A$455,$A329,'RQ2'!$E$2:$E$455,"")&gt;0,"",INDEX('RQ2'!$E$2:$E$455,MATCH($A329,'RQ2'!$A$2:$A$455,0)))=""),"2 - RQ2 historical","3 - Verify recorded evidence"))</f>
        <v/>
      </c>
      <c r="D329" s="4">
        <f>IF(OR(IF(COUNTIFS('RQ2'!$A$2:$A$455,$A329,'RQ2'!$D$2:$D$455,"")&gt;0,"",INDEX('RQ2'!$D$2:$D$455,MATCH($A329,'RQ2'!$A$2:$A$455,0)))="",IF(COUNTIFS('RQ2'!$A$2:$A$455,$A329,'RQ2'!$E$2:$E$455,"")&gt;0,"",INDEX('RQ2'!$E$2:$E$455,MATCH($A329,'RQ2'!$A$2:$A$455,0)))=""),"PENDIENTE","REGISTRADA")</f>
        <v/>
      </c>
      <c r="E329" s="4">
        <f>IF(IF(COUNTIFS('RQ1'!$A$2:$A$455,$A329,'RQ1'!$N$2:$N$455,"")&gt;0,"",INDEX('RQ1'!$N$2:$N$455,MATCH($A329,'RQ1'!$A$2:$A$455,0)))=1,"REVISAR DETALLE","REGISTRADA")</f>
        <v/>
      </c>
      <c r="F329" s="4">
        <f>IF(IF(COUNTIFS('RQ3'!$A$2:$A$455,$A329,'RQ3'!$P$2:$P$455,"")&gt;0,"",INDEX('RQ3'!$P$2:$P$455,MATCH($A329,'RQ3'!$A$2:$A$455,0)))="","NO REGISTRADO",IF(IF(COUNTIFS('RQ3'!$A$2:$A$455,$A329,'RQ3'!$P$2:$P$455,"")&gt;0,"",INDEX('RQ3'!$P$2:$P$455,MATCH($A329,'RQ3'!$A$2:$A$455,0)))=1,"MARCA ACTIVA","SIN MARCA"))</f>
        <v/>
      </c>
      <c r="G329" s="4">
        <f>IF(IF(COUNTIFS('ESTUDIOS'!$A$2:$A$455,$A329,'ESTUDIOS'!$N$2:$N$455,"")&gt;0,"",INDEX('ESTUDIOS'!$N$2:$N$455,MATCH($A329,'ESTUDIOS'!$A$2:$A$455,0)))="Verified","DOCUMENTADA","NO DOCUMENTADA")</f>
        <v/>
      </c>
      <c r="H329" s="4">
        <f>IF(D329="PENDIENTE","Leer evidencia ya extraída; registrar uso propuesto o evaluado, función, fuente y revisor en RQ2.","Comprobar evidencia y cautelas registradas; documentar verificación sin recodificar lo ya respaldado.")</f>
        <v/>
      </c>
      <c r="I329" s="4" t="inlineStr">
        <is>
          <t>https://doi.org/10.1002/jmri.70023</t>
        </is>
      </c>
    </row>
    <row r="330" ht="64" customHeight="1">
      <c r="A330" s="4" t="inlineStr">
        <is>
          <t>new_420</t>
        </is>
      </c>
      <c r="B330" s="4" t="inlineStr">
        <is>
          <t>Two-tier nature inspired optimization-driven ensemble of deep learning models for effective autism spectrum disorder diagnosis in disabled persons</t>
        </is>
      </c>
      <c r="C330" s="4">
        <f>IF(IF(COUNTIFS('ESTUDIOS'!$A$2:$A$455,$A330,'ESTUDIOS'!$I$2:$I$455,"")&gt;0,"",INDEX('ESTUDIOS'!$I$2:$I$455,MATCH($A330,'ESTUDIOS'!$A$2:$A$455,0)))=1,"1 - Integrity",IF(OR(IF(COUNTIFS('RQ2'!$A$2:$A$455,$A330,'RQ2'!$D$2:$D$455,"")&gt;0,"",INDEX('RQ2'!$D$2:$D$455,MATCH($A330,'RQ2'!$A$2:$A$455,0)))="",IF(COUNTIFS('RQ2'!$A$2:$A$455,$A330,'RQ2'!$E$2:$E$455,"")&gt;0,"",INDEX('RQ2'!$E$2:$E$455,MATCH($A330,'RQ2'!$A$2:$A$455,0)))=""),"2 - RQ2 historical","3 - Verify recorded evidence"))</f>
        <v/>
      </c>
      <c r="D330" s="4">
        <f>IF(OR(IF(COUNTIFS('RQ2'!$A$2:$A$455,$A330,'RQ2'!$D$2:$D$455,"")&gt;0,"",INDEX('RQ2'!$D$2:$D$455,MATCH($A330,'RQ2'!$A$2:$A$455,0)))="",IF(COUNTIFS('RQ2'!$A$2:$A$455,$A330,'RQ2'!$E$2:$E$455,"")&gt;0,"",INDEX('RQ2'!$E$2:$E$455,MATCH($A330,'RQ2'!$A$2:$A$455,0)))=""),"PENDIENTE","REGISTRADA")</f>
        <v/>
      </c>
      <c r="E330" s="4">
        <f>IF(IF(COUNTIFS('RQ1'!$A$2:$A$455,$A330,'RQ1'!$N$2:$N$455,"")&gt;0,"",INDEX('RQ1'!$N$2:$N$455,MATCH($A330,'RQ1'!$A$2:$A$455,0)))=1,"REVISAR DETALLE","REGISTRADA")</f>
        <v/>
      </c>
      <c r="F330" s="4">
        <f>IF(IF(COUNTIFS('RQ3'!$A$2:$A$455,$A330,'RQ3'!$P$2:$P$455,"")&gt;0,"",INDEX('RQ3'!$P$2:$P$455,MATCH($A330,'RQ3'!$A$2:$A$455,0)))="","NO REGISTRADO",IF(IF(COUNTIFS('RQ3'!$A$2:$A$455,$A330,'RQ3'!$P$2:$P$455,"")&gt;0,"",INDEX('RQ3'!$P$2:$P$455,MATCH($A330,'RQ3'!$A$2:$A$455,0)))=1,"MARCA ACTIVA","SIN MARCA"))</f>
        <v/>
      </c>
      <c r="G330" s="4">
        <f>IF(IF(COUNTIFS('ESTUDIOS'!$A$2:$A$455,$A330,'ESTUDIOS'!$N$2:$N$455,"")&gt;0,"",INDEX('ESTUDIOS'!$N$2:$N$455,MATCH($A330,'ESTUDIOS'!$A$2:$A$455,0)))="Verified","DOCUMENTADA","NO DOCUMENTADA")</f>
        <v/>
      </c>
      <c r="H330" s="4">
        <f>IF(D330="PENDIENTE","Leer evidencia ya extraída; registrar uso propuesto o evaluado, función, fuente y revisor en RQ2.","Comprobar evidencia y cautelas registradas; documentar verificación sin recodificar lo ya respaldado.")</f>
        <v/>
      </c>
      <c r="I330" s="4" t="inlineStr">
        <is>
          <t>https://doi.org/10.1038/s41598-025-93802-y</t>
        </is>
      </c>
    </row>
    <row r="331" ht="64" customHeight="1">
      <c r="A331" s="4" t="inlineStr">
        <is>
          <t>new_422</t>
        </is>
      </c>
      <c r="B331" s="4" t="inlineStr">
        <is>
          <t>MIND-TEA: An Adaptive Multi-Agent Framework for Multimodal Autism Diagnosis</t>
        </is>
      </c>
      <c r="C331" s="4">
        <f>IF(IF(COUNTIFS('ESTUDIOS'!$A$2:$A$455,$A331,'ESTUDIOS'!$I$2:$I$455,"")&gt;0,"",INDEX('ESTUDIOS'!$I$2:$I$455,MATCH($A331,'ESTUDIOS'!$A$2:$A$455,0)))=1,"1 - Integrity",IF(OR(IF(COUNTIFS('RQ2'!$A$2:$A$455,$A331,'RQ2'!$D$2:$D$455,"")&gt;0,"",INDEX('RQ2'!$D$2:$D$455,MATCH($A331,'RQ2'!$A$2:$A$455,0)))="",IF(COUNTIFS('RQ2'!$A$2:$A$455,$A331,'RQ2'!$E$2:$E$455,"")&gt;0,"",INDEX('RQ2'!$E$2:$E$455,MATCH($A331,'RQ2'!$A$2:$A$455,0)))=""),"2 - RQ2 historical","3 - Verify recorded evidence"))</f>
        <v/>
      </c>
      <c r="D331" s="4">
        <f>IF(OR(IF(COUNTIFS('RQ2'!$A$2:$A$455,$A331,'RQ2'!$D$2:$D$455,"")&gt;0,"",INDEX('RQ2'!$D$2:$D$455,MATCH($A331,'RQ2'!$A$2:$A$455,0)))="",IF(COUNTIFS('RQ2'!$A$2:$A$455,$A331,'RQ2'!$E$2:$E$455,"")&gt;0,"",INDEX('RQ2'!$E$2:$E$455,MATCH($A331,'RQ2'!$A$2:$A$455,0)))=""),"PENDIENTE","REGISTRADA")</f>
        <v/>
      </c>
      <c r="E331" s="4">
        <f>IF(IF(COUNTIFS('RQ1'!$A$2:$A$455,$A331,'RQ1'!$N$2:$N$455,"")&gt;0,"",INDEX('RQ1'!$N$2:$N$455,MATCH($A331,'RQ1'!$A$2:$A$455,0)))=1,"REVISAR DETALLE","REGISTRADA")</f>
        <v/>
      </c>
      <c r="F331" s="4">
        <f>IF(IF(COUNTIFS('RQ3'!$A$2:$A$455,$A331,'RQ3'!$P$2:$P$455,"")&gt;0,"",INDEX('RQ3'!$P$2:$P$455,MATCH($A331,'RQ3'!$A$2:$A$455,0)))="","NO REGISTRADO",IF(IF(COUNTIFS('RQ3'!$A$2:$A$455,$A331,'RQ3'!$P$2:$P$455,"")&gt;0,"",INDEX('RQ3'!$P$2:$P$455,MATCH($A331,'RQ3'!$A$2:$A$455,0)))=1,"MARCA ACTIVA","SIN MARCA"))</f>
        <v/>
      </c>
      <c r="G331" s="4">
        <f>IF(IF(COUNTIFS('ESTUDIOS'!$A$2:$A$455,$A331,'ESTUDIOS'!$N$2:$N$455,"")&gt;0,"",INDEX('ESTUDIOS'!$N$2:$N$455,MATCH($A331,'ESTUDIOS'!$A$2:$A$455,0)))="Verified","DOCUMENTADA","NO DOCUMENTADA")</f>
        <v/>
      </c>
      <c r="H331" s="4">
        <f>IF(D331="PENDIENTE","Leer evidencia ya extraída; registrar uso propuesto o evaluado, función, fuente y revisor en RQ2.","Comprobar evidencia y cautelas registradas; documentar verificación sin recodificar lo ya respaldado.")</f>
        <v/>
      </c>
      <c r="I331" s="4" t="inlineStr">
        <is>
          <t>https://doi.org/10.1109/access.2026.3688987</t>
        </is>
      </c>
    </row>
    <row r="332" ht="64" customHeight="1">
      <c r="A332" s="4" t="inlineStr">
        <is>
          <t>new_424</t>
        </is>
      </c>
      <c r="B332" s="4" t="inlineStr">
        <is>
          <t>Interpretable Autism Screening via Object-Based Analysis of Child-Drawn Sketches</t>
        </is>
      </c>
      <c r="C332" s="4">
        <f>IF(IF(COUNTIFS('ESTUDIOS'!$A$2:$A$455,$A332,'ESTUDIOS'!$I$2:$I$455,"")&gt;0,"",INDEX('ESTUDIOS'!$I$2:$I$455,MATCH($A332,'ESTUDIOS'!$A$2:$A$455,0)))=1,"1 - Integrity",IF(OR(IF(COUNTIFS('RQ2'!$A$2:$A$455,$A332,'RQ2'!$D$2:$D$455,"")&gt;0,"",INDEX('RQ2'!$D$2:$D$455,MATCH($A332,'RQ2'!$A$2:$A$455,0)))="",IF(COUNTIFS('RQ2'!$A$2:$A$455,$A332,'RQ2'!$E$2:$E$455,"")&gt;0,"",INDEX('RQ2'!$E$2:$E$455,MATCH($A332,'RQ2'!$A$2:$A$455,0)))=""),"2 - RQ2 historical","3 - Verify recorded evidence"))</f>
        <v/>
      </c>
      <c r="D332" s="4">
        <f>IF(OR(IF(COUNTIFS('RQ2'!$A$2:$A$455,$A332,'RQ2'!$D$2:$D$455,"")&gt;0,"",INDEX('RQ2'!$D$2:$D$455,MATCH($A332,'RQ2'!$A$2:$A$455,0)))="",IF(COUNTIFS('RQ2'!$A$2:$A$455,$A332,'RQ2'!$E$2:$E$455,"")&gt;0,"",INDEX('RQ2'!$E$2:$E$455,MATCH($A332,'RQ2'!$A$2:$A$455,0)))=""),"PENDIENTE","REGISTRADA")</f>
        <v/>
      </c>
      <c r="E332" s="4">
        <f>IF(IF(COUNTIFS('RQ1'!$A$2:$A$455,$A332,'RQ1'!$N$2:$N$455,"")&gt;0,"",INDEX('RQ1'!$N$2:$N$455,MATCH($A332,'RQ1'!$A$2:$A$455,0)))=1,"REVISAR DETALLE","REGISTRADA")</f>
        <v/>
      </c>
      <c r="F332" s="4">
        <f>IF(IF(COUNTIFS('RQ3'!$A$2:$A$455,$A332,'RQ3'!$P$2:$P$455,"")&gt;0,"",INDEX('RQ3'!$P$2:$P$455,MATCH($A332,'RQ3'!$A$2:$A$455,0)))="","NO REGISTRADO",IF(IF(COUNTIFS('RQ3'!$A$2:$A$455,$A332,'RQ3'!$P$2:$P$455,"")&gt;0,"",INDEX('RQ3'!$P$2:$P$455,MATCH($A332,'RQ3'!$A$2:$A$455,0)))=1,"MARCA ACTIVA","SIN MARCA"))</f>
        <v/>
      </c>
      <c r="G332" s="4">
        <f>IF(IF(COUNTIFS('ESTUDIOS'!$A$2:$A$455,$A332,'ESTUDIOS'!$N$2:$N$455,"")&gt;0,"",INDEX('ESTUDIOS'!$N$2:$N$455,MATCH($A332,'ESTUDIOS'!$A$2:$A$455,0)))="Verified","DOCUMENTADA","NO DOCUMENTADA")</f>
        <v/>
      </c>
      <c r="H332" s="4">
        <f>IF(D332="PENDIENTE","Leer evidencia ya extraída; registrar uso propuesto o evaluado, función, fuente y revisor en RQ2.","Comprobar evidencia y cautelas registradas; documentar verificación sin recodificar lo ya respaldado.")</f>
        <v/>
      </c>
      <c r="I332" s="4" t="inlineStr">
        <is>
          <t>https://doi.org/10.1109/access.2025.3642950</t>
        </is>
      </c>
    </row>
    <row r="333" ht="64" customHeight="1">
      <c r="A333" s="4" t="inlineStr">
        <is>
          <t>new_425</t>
        </is>
      </c>
      <c r="B333" s="4" t="inlineStr">
        <is>
          <t>Bridging Deep Learning and Quantum Computing for EEG-Driven P300 Targeted ASD Response Detection</t>
        </is>
      </c>
      <c r="C333" s="4">
        <f>IF(IF(COUNTIFS('ESTUDIOS'!$A$2:$A$455,$A333,'ESTUDIOS'!$I$2:$I$455,"")&gt;0,"",INDEX('ESTUDIOS'!$I$2:$I$455,MATCH($A333,'ESTUDIOS'!$A$2:$A$455,0)))=1,"1 - Integrity",IF(OR(IF(COUNTIFS('RQ2'!$A$2:$A$455,$A333,'RQ2'!$D$2:$D$455,"")&gt;0,"",INDEX('RQ2'!$D$2:$D$455,MATCH($A333,'RQ2'!$A$2:$A$455,0)))="",IF(COUNTIFS('RQ2'!$A$2:$A$455,$A333,'RQ2'!$E$2:$E$455,"")&gt;0,"",INDEX('RQ2'!$E$2:$E$455,MATCH($A333,'RQ2'!$A$2:$A$455,0)))=""),"2 - RQ2 historical","3 - Verify recorded evidence"))</f>
        <v/>
      </c>
      <c r="D333" s="4">
        <f>IF(OR(IF(COUNTIFS('RQ2'!$A$2:$A$455,$A333,'RQ2'!$D$2:$D$455,"")&gt;0,"",INDEX('RQ2'!$D$2:$D$455,MATCH($A333,'RQ2'!$A$2:$A$455,0)))="",IF(COUNTIFS('RQ2'!$A$2:$A$455,$A333,'RQ2'!$E$2:$E$455,"")&gt;0,"",INDEX('RQ2'!$E$2:$E$455,MATCH($A333,'RQ2'!$A$2:$A$455,0)))=""),"PENDIENTE","REGISTRADA")</f>
        <v/>
      </c>
      <c r="E333" s="4">
        <f>IF(IF(COUNTIFS('RQ1'!$A$2:$A$455,$A333,'RQ1'!$N$2:$N$455,"")&gt;0,"",INDEX('RQ1'!$N$2:$N$455,MATCH($A333,'RQ1'!$A$2:$A$455,0)))=1,"REVISAR DETALLE","REGISTRADA")</f>
        <v/>
      </c>
      <c r="F333" s="4">
        <f>IF(IF(COUNTIFS('RQ3'!$A$2:$A$455,$A333,'RQ3'!$P$2:$P$455,"")&gt;0,"",INDEX('RQ3'!$P$2:$P$455,MATCH($A333,'RQ3'!$A$2:$A$455,0)))="","NO REGISTRADO",IF(IF(COUNTIFS('RQ3'!$A$2:$A$455,$A333,'RQ3'!$P$2:$P$455,"")&gt;0,"",INDEX('RQ3'!$P$2:$P$455,MATCH($A333,'RQ3'!$A$2:$A$455,0)))=1,"MARCA ACTIVA","SIN MARCA"))</f>
        <v/>
      </c>
      <c r="G333" s="4">
        <f>IF(IF(COUNTIFS('ESTUDIOS'!$A$2:$A$455,$A333,'ESTUDIOS'!$N$2:$N$455,"")&gt;0,"",INDEX('ESTUDIOS'!$N$2:$N$455,MATCH($A333,'ESTUDIOS'!$A$2:$A$455,0)))="Verified","DOCUMENTADA","NO DOCUMENTADA")</f>
        <v/>
      </c>
      <c r="H333" s="4">
        <f>IF(D333="PENDIENTE","Leer evidencia ya extraída; registrar uso propuesto o evaluado, función, fuente y revisor en RQ2.","Comprobar evidencia y cautelas registradas; documentar verificación sin recodificar lo ya respaldado.")</f>
        <v/>
      </c>
      <c r="I333" s="4" t="inlineStr">
        <is>
          <t>https://doi.org/10.1109/access.2025.3646589</t>
        </is>
      </c>
    </row>
    <row r="334" ht="64" customHeight="1">
      <c r="A334" s="4" t="inlineStr">
        <is>
          <t>new_427</t>
        </is>
      </c>
      <c r="B334" s="4" t="inlineStr">
        <is>
          <t>A Hybrid Multi-Branch Deep Learning Model for Autism Spectrum Disorder Detection Using Spatiotemporal Gait Analysis</t>
        </is>
      </c>
      <c r="C334" s="4">
        <f>IF(IF(COUNTIFS('ESTUDIOS'!$A$2:$A$455,$A334,'ESTUDIOS'!$I$2:$I$455,"")&gt;0,"",INDEX('ESTUDIOS'!$I$2:$I$455,MATCH($A334,'ESTUDIOS'!$A$2:$A$455,0)))=1,"1 - Integrity",IF(OR(IF(COUNTIFS('RQ2'!$A$2:$A$455,$A334,'RQ2'!$D$2:$D$455,"")&gt;0,"",INDEX('RQ2'!$D$2:$D$455,MATCH($A334,'RQ2'!$A$2:$A$455,0)))="",IF(COUNTIFS('RQ2'!$A$2:$A$455,$A334,'RQ2'!$E$2:$E$455,"")&gt;0,"",INDEX('RQ2'!$E$2:$E$455,MATCH($A334,'RQ2'!$A$2:$A$455,0)))=""),"2 - RQ2 historical","3 - Verify recorded evidence"))</f>
        <v/>
      </c>
      <c r="D334" s="4">
        <f>IF(OR(IF(COUNTIFS('RQ2'!$A$2:$A$455,$A334,'RQ2'!$D$2:$D$455,"")&gt;0,"",INDEX('RQ2'!$D$2:$D$455,MATCH($A334,'RQ2'!$A$2:$A$455,0)))="",IF(COUNTIFS('RQ2'!$A$2:$A$455,$A334,'RQ2'!$E$2:$E$455,"")&gt;0,"",INDEX('RQ2'!$E$2:$E$455,MATCH($A334,'RQ2'!$A$2:$A$455,0)))=""),"PENDIENTE","REGISTRADA")</f>
        <v/>
      </c>
      <c r="E334" s="4">
        <f>IF(IF(COUNTIFS('RQ1'!$A$2:$A$455,$A334,'RQ1'!$N$2:$N$455,"")&gt;0,"",INDEX('RQ1'!$N$2:$N$455,MATCH($A334,'RQ1'!$A$2:$A$455,0)))=1,"REVISAR DETALLE","REGISTRADA")</f>
        <v/>
      </c>
      <c r="F334" s="4">
        <f>IF(IF(COUNTIFS('RQ3'!$A$2:$A$455,$A334,'RQ3'!$P$2:$P$455,"")&gt;0,"",INDEX('RQ3'!$P$2:$P$455,MATCH($A334,'RQ3'!$A$2:$A$455,0)))="","NO REGISTRADO",IF(IF(COUNTIFS('RQ3'!$A$2:$A$455,$A334,'RQ3'!$P$2:$P$455,"")&gt;0,"",INDEX('RQ3'!$P$2:$P$455,MATCH($A334,'RQ3'!$A$2:$A$455,0)))=1,"MARCA ACTIVA","SIN MARCA"))</f>
        <v/>
      </c>
      <c r="G334" s="4">
        <f>IF(IF(COUNTIFS('ESTUDIOS'!$A$2:$A$455,$A334,'ESTUDIOS'!$N$2:$N$455,"")&gt;0,"",INDEX('ESTUDIOS'!$N$2:$N$455,MATCH($A334,'ESTUDIOS'!$A$2:$A$455,0)))="Verified","DOCUMENTADA","NO DOCUMENTADA")</f>
        <v/>
      </c>
      <c r="H334" s="4">
        <f>IF(D334="PENDIENTE","Leer evidencia ya extraída; registrar uso propuesto o evaluado, función, fuente y revisor en RQ2.","Comprobar evidencia y cautelas registradas; documentar verificación sin recodificar lo ya respaldado.")</f>
        <v/>
      </c>
      <c r="I334" s="4" t="inlineStr">
        <is>
          <t>https://doi.org/10.1109/access.2026.3704046</t>
        </is>
      </c>
    </row>
    <row r="335" ht="64" customHeight="1">
      <c r="A335" s="4" t="inlineStr">
        <is>
          <t>new_428</t>
        </is>
      </c>
      <c r="B335" s="4" t="inlineStr">
        <is>
          <t>Autism Action Dataset (AAD): A Comprehensive Video Benchmark for ASD Behavior Recognition Using Deep Learning</t>
        </is>
      </c>
      <c r="C335" s="4">
        <f>IF(IF(COUNTIFS('ESTUDIOS'!$A$2:$A$455,$A335,'ESTUDIOS'!$I$2:$I$455,"")&gt;0,"",INDEX('ESTUDIOS'!$I$2:$I$455,MATCH($A335,'ESTUDIOS'!$A$2:$A$455,0)))=1,"1 - Integrity",IF(OR(IF(COUNTIFS('RQ2'!$A$2:$A$455,$A335,'RQ2'!$D$2:$D$455,"")&gt;0,"",INDEX('RQ2'!$D$2:$D$455,MATCH($A335,'RQ2'!$A$2:$A$455,0)))="",IF(COUNTIFS('RQ2'!$A$2:$A$455,$A335,'RQ2'!$E$2:$E$455,"")&gt;0,"",INDEX('RQ2'!$E$2:$E$455,MATCH($A335,'RQ2'!$A$2:$A$455,0)))=""),"2 - RQ2 historical","3 - Verify recorded evidence"))</f>
        <v/>
      </c>
      <c r="D335" s="4">
        <f>IF(OR(IF(COUNTIFS('RQ2'!$A$2:$A$455,$A335,'RQ2'!$D$2:$D$455,"")&gt;0,"",INDEX('RQ2'!$D$2:$D$455,MATCH($A335,'RQ2'!$A$2:$A$455,0)))="",IF(COUNTIFS('RQ2'!$A$2:$A$455,$A335,'RQ2'!$E$2:$E$455,"")&gt;0,"",INDEX('RQ2'!$E$2:$E$455,MATCH($A335,'RQ2'!$A$2:$A$455,0)))=""),"PENDIENTE","REGISTRADA")</f>
        <v/>
      </c>
      <c r="E335" s="4">
        <f>IF(IF(COUNTIFS('RQ1'!$A$2:$A$455,$A335,'RQ1'!$N$2:$N$455,"")&gt;0,"",INDEX('RQ1'!$N$2:$N$455,MATCH($A335,'RQ1'!$A$2:$A$455,0)))=1,"REVISAR DETALLE","REGISTRADA")</f>
        <v/>
      </c>
      <c r="F335" s="4">
        <f>IF(IF(COUNTIFS('RQ3'!$A$2:$A$455,$A335,'RQ3'!$P$2:$P$455,"")&gt;0,"",INDEX('RQ3'!$P$2:$P$455,MATCH($A335,'RQ3'!$A$2:$A$455,0)))="","NO REGISTRADO",IF(IF(COUNTIFS('RQ3'!$A$2:$A$455,$A335,'RQ3'!$P$2:$P$455,"")&gt;0,"",INDEX('RQ3'!$P$2:$P$455,MATCH($A335,'RQ3'!$A$2:$A$455,0)))=1,"MARCA ACTIVA","SIN MARCA"))</f>
        <v/>
      </c>
      <c r="G335" s="4">
        <f>IF(IF(COUNTIFS('ESTUDIOS'!$A$2:$A$455,$A335,'ESTUDIOS'!$N$2:$N$455,"")&gt;0,"",INDEX('ESTUDIOS'!$N$2:$N$455,MATCH($A335,'ESTUDIOS'!$A$2:$A$455,0)))="Verified","DOCUMENTADA","NO DOCUMENTADA")</f>
        <v/>
      </c>
      <c r="H335" s="4">
        <f>IF(D335="PENDIENTE","Leer evidencia ya extraída; registrar uso propuesto o evaluado, función, fuente y revisor en RQ2.","Comprobar evidencia y cautelas registradas; documentar verificación sin recodificar lo ya respaldado.")</f>
        <v/>
      </c>
      <c r="I335" s="4" t="inlineStr">
        <is>
          <t>https://doi.org/10.1109/access.2026.3686583</t>
        </is>
      </c>
    </row>
    <row r="336" ht="64" customHeight="1">
      <c r="A336" s="4" t="inlineStr">
        <is>
          <t>new_429</t>
        </is>
      </c>
      <c r="B336" s="4" t="inlineStr">
        <is>
          <t>A Data-Driven Approach for Autism Spectrum Disorder Screening</t>
        </is>
      </c>
      <c r="C336" s="4">
        <f>IF(IF(COUNTIFS('ESTUDIOS'!$A$2:$A$455,$A336,'ESTUDIOS'!$I$2:$I$455,"")&gt;0,"",INDEX('ESTUDIOS'!$I$2:$I$455,MATCH($A336,'ESTUDIOS'!$A$2:$A$455,0)))=1,"1 - Integrity",IF(OR(IF(COUNTIFS('RQ2'!$A$2:$A$455,$A336,'RQ2'!$D$2:$D$455,"")&gt;0,"",INDEX('RQ2'!$D$2:$D$455,MATCH($A336,'RQ2'!$A$2:$A$455,0)))="",IF(COUNTIFS('RQ2'!$A$2:$A$455,$A336,'RQ2'!$E$2:$E$455,"")&gt;0,"",INDEX('RQ2'!$E$2:$E$455,MATCH($A336,'RQ2'!$A$2:$A$455,0)))=""),"2 - RQ2 historical","3 - Verify recorded evidence"))</f>
        <v/>
      </c>
      <c r="D336" s="4">
        <f>IF(OR(IF(COUNTIFS('RQ2'!$A$2:$A$455,$A336,'RQ2'!$D$2:$D$455,"")&gt;0,"",INDEX('RQ2'!$D$2:$D$455,MATCH($A336,'RQ2'!$A$2:$A$455,0)))="",IF(COUNTIFS('RQ2'!$A$2:$A$455,$A336,'RQ2'!$E$2:$E$455,"")&gt;0,"",INDEX('RQ2'!$E$2:$E$455,MATCH($A336,'RQ2'!$A$2:$A$455,0)))=""),"PENDIENTE","REGISTRADA")</f>
        <v/>
      </c>
      <c r="E336" s="4">
        <f>IF(IF(COUNTIFS('RQ1'!$A$2:$A$455,$A336,'RQ1'!$N$2:$N$455,"")&gt;0,"",INDEX('RQ1'!$N$2:$N$455,MATCH($A336,'RQ1'!$A$2:$A$455,0)))=1,"REVISAR DETALLE","REGISTRADA")</f>
        <v/>
      </c>
      <c r="F336" s="4">
        <f>IF(IF(COUNTIFS('RQ3'!$A$2:$A$455,$A336,'RQ3'!$P$2:$P$455,"")&gt;0,"",INDEX('RQ3'!$P$2:$P$455,MATCH($A336,'RQ3'!$A$2:$A$455,0)))="","NO REGISTRADO",IF(IF(COUNTIFS('RQ3'!$A$2:$A$455,$A336,'RQ3'!$P$2:$P$455,"")&gt;0,"",INDEX('RQ3'!$P$2:$P$455,MATCH($A336,'RQ3'!$A$2:$A$455,0)))=1,"MARCA ACTIVA","SIN MARCA"))</f>
        <v/>
      </c>
      <c r="G336" s="4">
        <f>IF(IF(COUNTIFS('ESTUDIOS'!$A$2:$A$455,$A336,'ESTUDIOS'!$N$2:$N$455,"")&gt;0,"",INDEX('ESTUDIOS'!$N$2:$N$455,MATCH($A336,'ESTUDIOS'!$A$2:$A$455,0)))="Verified","DOCUMENTADA","NO DOCUMENTADA")</f>
        <v/>
      </c>
      <c r="H336" s="4">
        <f>IF(D336="PENDIENTE","Leer evidencia ya extraída; registrar uso propuesto o evaluado, función, fuente y revisor en RQ2.","Comprobar evidencia y cautelas registradas; documentar verificación sin recodificar lo ya respaldado.")</f>
        <v/>
      </c>
      <c r="I336" s="4" t="inlineStr">
        <is>
          <t>https://doi.org/10.1109/access.2026.3650856</t>
        </is>
      </c>
    </row>
    <row r="337" ht="64" customHeight="1">
      <c r="A337" s="4" t="inlineStr">
        <is>
          <t>new_1</t>
        </is>
      </c>
      <c r="B337" s="4" t="inlineStr">
        <is>
          <t>A novel thermal imaging-based framework for continuous ASD classification and behavior analysis using facial mood and skin temperature features</t>
        </is>
      </c>
      <c r="C337" s="4">
        <f>IF(IF(COUNTIFS('ESTUDIOS'!$A$2:$A$455,$A337,'ESTUDIOS'!$I$2:$I$455,"")&gt;0,"",INDEX('ESTUDIOS'!$I$2:$I$455,MATCH($A337,'ESTUDIOS'!$A$2:$A$455,0)))=1,"1 - Integrity",IF(OR(IF(COUNTIFS('RQ2'!$A$2:$A$455,$A337,'RQ2'!$D$2:$D$455,"")&gt;0,"",INDEX('RQ2'!$D$2:$D$455,MATCH($A337,'RQ2'!$A$2:$A$455,0)))="",IF(COUNTIFS('RQ2'!$A$2:$A$455,$A337,'RQ2'!$E$2:$E$455,"")&gt;0,"",INDEX('RQ2'!$E$2:$E$455,MATCH($A337,'RQ2'!$A$2:$A$455,0)))=""),"2 - RQ2 historical","3 - Verify recorded evidence"))</f>
        <v/>
      </c>
      <c r="D337" s="4">
        <f>IF(OR(IF(COUNTIFS('RQ2'!$A$2:$A$455,$A337,'RQ2'!$D$2:$D$455,"")&gt;0,"",INDEX('RQ2'!$D$2:$D$455,MATCH($A337,'RQ2'!$A$2:$A$455,0)))="",IF(COUNTIFS('RQ2'!$A$2:$A$455,$A337,'RQ2'!$E$2:$E$455,"")&gt;0,"",INDEX('RQ2'!$E$2:$E$455,MATCH($A337,'RQ2'!$A$2:$A$455,0)))=""),"PENDIENTE","REGISTRADA")</f>
        <v/>
      </c>
      <c r="E337" s="4">
        <f>IF(IF(COUNTIFS('RQ1'!$A$2:$A$455,$A337,'RQ1'!$N$2:$N$455,"")&gt;0,"",INDEX('RQ1'!$N$2:$N$455,MATCH($A337,'RQ1'!$A$2:$A$455,0)))=1,"REVISAR DETALLE","REGISTRADA")</f>
        <v/>
      </c>
      <c r="F337" s="4">
        <f>IF(IF(COUNTIFS('RQ3'!$A$2:$A$455,$A337,'RQ3'!$P$2:$P$455,"")&gt;0,"",INDEX('RQ3'!$P$2:$P$455,MATCH($A337,'RQ3'!$A$2:$A$455,0)))="","NO REGISTRADO",IF(IF(COUNTIFS('RQ3'!$A$2:$A$455,$A337,'RQ3'!$P$2:$P$455,"")&gt;0,"",INDEX('RQ3'!$P$2:$P$455,MATCH($A337,'RQ3'!$A$2:$A$455,0)))=1,"MARCA ACTIVA","SIN MARCA"))</f>
        <v/>
      </c>
      <c r="G337" s="4">
        <f>IF(IF(COUNTIFS('ESTUDIOS'!$A$2:$A$455,$A337,'ESTUDIOS'!$N$2:$N$455,"")&gt;0,"",INDEX('ESTUDIOS'!$N$2:$N$455,MATCH($A337,'ESTUDIOS'!$A$2:$A$455,0)))="Verified","DOCUMENTADA","NO DOCUMENTADA")</f>
        <v/>
      </c>
      <c r="H337" s="4">
        <f>IF(D337="PENDIENTE","Leer evidencia ya extraída; registrar uso propuesto o evaluado, función, fuente y revisor en RQ2.","Comprobar evidencia y cautelas registradas; documentar verificación sin recodificar lo ya respaldado.")</f>
        <v/>
      </c>
      <c r="I337" s="4" t="inlineStr">
        <is>
          <t>https://doi.org/10.1016/j.bspc.2024.107009</t>
        </is>
      </c>
    </row>
    <row r="338" ht="64" customHeight="1">
      <c r="A338" s="4" t="inlineStr">
        <is>
          <t>new_3</t>
        </is>
      </c>
      <c r="B338" s="4" t="inlineStr">
        <is>
          <t>Efficient machine learning models across multiple datasets for autism spectrum disorder diagnoses</t>
        </is>
      </c>
      <c r="C338" s="4">
        <f>IF(IF(COUNTIFS('ESTUDIOS'!$A$2:$A$455,$A338,'ESTUDIOS'!$I$2:$I$455,"")&gt;0,"",INDEX('ESTUDIOS'!$I$2:$I$455,MATCH($A338,'ESTUDIOS'!$A$2:$A$455,0)))=1,"1 - Integrity",IF(OR(IF(COUNTIFS('RQ2'!$A$2:$A$455,$A338,'RQ2'!$D$2:$D$455,"")&gt;0,"",INDEX('RQ2'!$D$2:$D$455,MATCH($A338,'RQ2'!$A$2:$A$455,0)))="",IF(COUNTIFS('RQ2'!$A$2:$A$455,$A338,'RQ2'!$E$2:$E$455,"")&gt;0,"",INDEX('RQ2'!$E$2:$E$455,MATCH($A338,'RQ2'!$A$2:$A$455,0)))=""),"2 - RQ2 historical","3 - Verify recorded evidence"))</f>
        <v/>
      </c>
      <c r="D338" s="4">
        <f>IF(OR(IF(COUNTIFS('RQ2'!$A$2:$A$455,$A338,'RQ2'!$D$2:$D$455,"")&gt;0,"",INDEX('RQ2'!$D$2:$D$455,MATCH($A338,'RQ2'!$A$2:$A$455,0)))="",IF(COUNTIFS('RQ2'!$A$2:$A$455,$A338,'RQ2'!$E$2:$E$455,"")&gt;0,"",INDEX('RQ2'!$E$2:$E$455,MATCH($A338,'RQ2'!$A$2:$A$455,0)))=""),"PENDIENTE","REGISTRADA")</f>
        <v/>
      </c>
      <c r="E338" s="4">
        <f>IF(IF(COUNTIFS('RQ1'!$A$2:$A$455,$A338,'RQ1'!$N$2:$N$455,"")&gt;0,"",INDEX('RQ1'!$N$2:$N$455,MATCH($A338,'RQ1'!$A$2:$A$455,0)))=1,"REVISAR DETALLE","REGISTRADA")</f>
        <v/>
      </c>
      <c r="F338" s="4">
        <f>IF(IF(COUNTIFS('RQ3'!$A$2:$A$455,$A338,'RQ3'!$P$2:$P$455,"")&gt;0,"",INDEX('RQ3'!$P$2:$P$455,MATCH($A338,'RQ3'!$A$2:$A$455,0)))="","NO REGISTRADO",IF(IF(COUNTIFS('RQ3'!$A$2:$A$455,$A338,'RQ3'!$P$2:$P$455,"")&gt;0,"",INDEX('RQ3'!$P$2:$P$455,MATCH($A338,'RQ3'!$A$2:$A$455,0)))=1,"MARCA ACTIVA","SIN MARCA"))</f>
        <v/>
      </c>
      <c r="G338" s="4">
        <f>IF(IF(COUNTIFS('ESTUDIOS'!$A$2:$A$455,$A338,'ESTUDIOS'!$N$2:$N$455,"")&gt;0,"",INDEX('ESTUDIOS'!$N$2:$N$455,MATCH($A338,'ESTUDIOS'!$A$2:$A$455,0)))="Verified","DOCUMENTADA","NO DOCUMENTADA")</f>
        <v/>
      </c>
      <c r="H338" s="4">
        <f>IF(D338="PENDIENTE","Leer evidencia ya extraída; registrar uso propuesto o evaluado, función, fuente y revisor en RQ2.","Comprobar evidencia y cautelas registradas; documentar verificación sin recodificar lo ya respaldado.")</f>
        <v/>
      </c>
      <c r="I338" s="4" t="inlineStr">
        <is>
          <t>https://doi.org/10.1016/j.bspc.2024.106949</t>
        </is>
      </c>
    </row>
    <row r="339" ht="64" customHeight="1">
      <c r="A339" s="4" t="inlineStr">
        <is>
          <t>new_4</t>
        </is>
      </c>
      <c r="B339" s="4" t="inlineStr">
        <is>
          <t>EmoLand: Utilizing narrative animations, multilevel games, and affective computing to foster emotional development in children with autism spectrum disorder</t>
        </is>
      </c>
      <c r="C339" s="4">
        <f>IF(IF(COUNTIFS('ESTUDIOS'!$A$2:$A$455,$A339,'ESTUDIOS'!$I$2:$I$455,"")&gt;0,"",INDEX('ESTUDIOS'!$I$2:$I$455,MATCH($A339,'ESTUDIOS'!$A$2:$A$455,0)))=1,"1 - Integrity",IF(OR(IF(COUNTIFS('RQ2'!$A$2:$A$455,$A339,'RQ2'!$D$2:$D$455,"")&gt;0,"",INDEX('RQ2'!$D$2:$D$455,MATCH($A339,'RQ2'!$A$2:$A$455,0)))="",IF(COUNTIFS('RQ2'!$A$2:$A$455,$A339,'RQ2'!$E$2:$E$455,"")&gt;0,"",INDEX('RQ2'!$E$2:$E$455,MATCH($A339,'RQ2'!$A$2:$A$455,0)))=""),"2 - RQ2 historical","3 - Verify recorded evidence"))</f>
        <v/>
      </c>
      <c r="D339" s="4">
        <f>IF(OR(IF(COUNTIFS('RQ2'!$A$2:$A$455,$A339,'RQ2'!$D$2:$D$455,"")&gt;0,"",INDEX('RQ2'!$D$2:$D$455,MATCH($A339,'RQ2'!$A$2:$A$455,0)))="",IF(COUNTIFS('RQ2'!$A$2:$A$455,$A339,'RQ2'!$E$2:$E$455,"")&gt;0,"",INDEX('RQ2'!$E$2:$E$455,MATCH($A339,'RQ2'!$A$2:$A$455,0)))=""),"PENDIENTE","REGISTRADA")</f>
        <v/>
      </c>
      <c r="E339" s="4">
        <f>IF(IF(COUNTIFS('RQ1'!$A$2:$A$455,$A339,'RQ1'!$N$2:$N$455,"")&gt;0,"",INDEX('RQ1'!$N$2:$N$455,MATCH($A339,'RQ1'!$A$2:$A$455,0)))=1,"REVISAR DETALLE","REGISTRADA")</f>
        <v/>
      </c>
      <c r="F339" s="4">
        <f>IF(IF(COUNTIFS('RQ3'!$A$2:$A$455,$A339,'RQ3'!$P$2:$P$455,"")&gt;0,"",INDEX('RQ3'!$P$2:$P$455,MATCH($A339,'RQ3'!$A$2:$A$455,0)))="","NO REGISTRADO",IF(IF(COUNTIFS('RQ3'!$A$2:$A$455,$A339,'RQ3'!$P$2:$P$455,"")&gt;0,"",INDEX('RQ3'!$P$2:$P$455,MATCH($A339,'RQ3'!$A$2:$A$455,0)))=1,"MARCA ACTIVA","SIN MARCA"))</f>
        <v/>
      </c>
      <c r="G339" s="4">
        <f>IF(IF(COUNTIFS('ESTUDIOS'!$A$2:$A$455,$A339,'ESTUDIOS'!$N$2:$N$455,"")&gt;0,"",INDEX('ESTUDIOS'!$N$2:$N$455,MATCH($A339,'ESTUDIOS'!$A$2:$A$455,0)))="Verified","DOCUMENTADA","NO DOCUMENTADA")</f>
        <v/>
      </c>
      <c r="H339" s="4">
        <f>IF(D339="PENDIENTE","Leer evidencia ya extraída; registrar uso propuesto o evaluado, función, fuente y revisor en RQ2.","Comprobar evidencia y cautelas registradas; documentar verificación sin recodificar lo ya respaldado.")</f>
        <v/>
      </c>
      <c r="I339" s="4" t="inlineStr">
        <is>
          <t>https://doi.org/10.1016/j.ijhcs.2025.103486</t>
        </is>
      </c>
    </row>
    <row r="340" ht="64" customHeight="1">
      <c r="A340" s="4" t="inlineStr">
        <is>
          <t>new_7</t>
        </is>
      </c>
      <c r="B340" s="4" t="inlineStr">
        <is>
          <t>Hybrid optimization enabled DenseNet for autism spectrum disorders using MRI image</t>
        </is>
      </c>
      <c r="C340" s="4">
        <f>IF(IF(COUNTIFS('ESTUDIOS'!$A$2:$A$455,$A340,'ESTUDIOS'!$I$2:$I$455,"")&gt;0,"",INDEX('ESTUDIOS'!$I$2:$I$455,MATCH($A340,'ESTUDIOS'!$A$2:$A$455,0)))=1,"1 - Integrity",IF(OR(IF(COUNTIFS('RQ2'!$A$2:$A$455,$A340,'RQ2'!$D$2:$D$455,"")&gt;0,"",INDEX('RQ2'!$D$2:$D$455,MATCH($A340,'RQ2'!$A$2:$A$455,0)))="",IF(COUNTIFS('RQ2'!$A$2:$A$455,$A340,'RQ2'!$E$2:$E$455,"")&gt;0,"",INDEX('RQ2'!$E$2:$E$455,MATCH($A340,'RQ2'!$A$2:$A$455,0)))=""),"2 - RQ2 historical","3 - Verify recorded evidence"))</f>
        <v/>
      </c>
      <c r="D340" s="4">
        <f>IF(OR(IF(COUNTIFS('RQ2'!$A$2:$A$455,$A340,'RQ2'!$D$2:$D$455,"")&gt;0,"",INDEX('RQ2'!$D$2:$D$455,MATCH($A340,'RQ2'!$A$2:$A$455,0)))="",IF(COUNTIFS('RQ2'!$A$2:$A$455,$A340,'RQ2'!$E$2:$E$455,"")&gt;0,"",INDEX('RQ2'!$E$2:$E$455,MATCH($A340,'RQ2'!$A$2:$A$455,0)))=""),"PENDIENTE","REGISTRADA")</f>
        <v/>
      </c>
      <c r="E340" s="4">
        <f>IF(IF(COUNTIFS('RQ1'!$A$2:$A$455,$A340,'RQ1'!$N$2:$N$455,"")&gt;0,"",INDEX('RQ1'!$N$2:$N$455,MATCH($A340,'RQ1'!$A$2:$A$455,0)))=1,"REVISAR DETALLE","REGISTRADA")</f>
        <v/>
      </c>
      <c r="F340" s="4">
        <f>IF(IF(COUNTIFS('RQ3'!$A$2:$A$455,$A340,'RQ3'!$P$2:$P$455,"")&gt;0,"",INDEX('RQ3'!$P$2:$P$455,MATCH($A340,'RQ3'!$A$2:$A$455,0)))="","NO REGISTRADO",IF(IF(COUNTIFS('RQ3'!$A$2:$A$455,$A340,'RQ3'!$P$2:$P$455,"")&gt;0,"",INDEX('RQ3'!$P$2:$P$455,MATCH($A340,'RQ3'!$A$2:$A$455,0)))=1,"MARCA ACTIVA","SIN MARCA"))</f>
        <v/>
      </c>
      <c r="G340" s="4">
        <f>IF(IF(COUNTIFS('ESTUDIOS'!$A$2:$A$455,$A340,'ESTUDIOS'!$N$2:$N$455,"")&gt;0,"",INDEX('ESTUDIOS'!$N$2:$N$455,MATCH($A340,'ESTUDIOS'!$A$2:$A$455,0)))="Verified","DOCUMENTADA","NO DOCUMENTADA")</f>
        <v/>
      </c>
      <c r="H340" s="4">
        <f>IF(D340="PENDIENTE","Leer evidencia ya extraída; registrar uso propuesto o evaluado, función, fuente y revisor en RQ2.","Comprobar evidencia y cautelas registradas; documentar verificación sin recodificar lo ya respaldado.")</f>
        <v/>
      </c>
      <c r="I340" s="4" t="inlineStr">
        <is>
          <t>https://doi.org/10.1016/j.compbiolchem.2024.108335</t>
        </is>
      </c>
    </row>
    <row r="341" ht="64" customHeight="1">
      <c r="A341" s="4" t="inlineStr">
        <is>
          <t>new_15</t>
        </is>
      </c>
      <c r="B341" s="4" t="inlineStr">
        <is>
          <t>MCBERT: A multi-modal framework for the diagnosis of autism spectrum disorder</t>
        </is>
      </c>
      <c r="C341" s="4">
        <f>IF(IF(COUNTIFS('ESTUDIOS'!$A$2:$A$455,$A341,'ESTUDIOS'!$I$2:$I$455,"")&gt;0,"",INDEX('ESTUDIOS'!$I$2:$I$455,MATCH($A341,'ESTUDIOS'!$A$2:$A$455,0)))=1,"1 - Integrity",IF(OR(IF(COUNTIFS('RQ2'!$A$2:$A$455,$A341,'RQ2'!$D$2:$D$455,"")&gt;0,"",INDEX('RQ2'!$D$2:$D$455,MATCH($A341,'RQ2'!$A$2:$A$455,0)))="",IF(COUNTIFS('RQ2'!$A$2:$A$455,$A341,'RQ2'!$E$2:$E$455,"")&gt;0,"",INDEX('RQ2'!$E$2:$E$455,MATCH($A341,'RQ2'!$A$2:$A$455,0)))=""),"2 - RQ2 historical","3 - Verify recorded evidence"))</f>
        <v/>
      </c>
      <c r="D341" s="4">
        <f>IF(OR(IF(COUNTIFS('RQ2'!$A$2:$A$455,$A341,'RQ2'!$D$2:$D$455,"")&gt;0,"",INDEX('RQ2'!$D$2:$D$455,MATCH($A341,'RQ2'!$A$2:$A$455,0)))="",IF(COUNTIFS('RQ2'!$A$2:$A$455,$A341,'RQ2'!$E$2:$E$455,"")&gt;0,"",INDEX('RQ2'!$E$2:$E$455,MATCH($A341,'RQ2'!$A$2:$A$455,0)))=""),"PENDIENTE","REGISTRADA")</f>
        <v/>
      </c>
      <c r="E341" s="4">
        <f>IF(IF(COUNTIFS('RQ1'!$A$2:$A$455,$A341,'RQ1'!$N$2:$N$455,"")&gt;0,"",INDEX('RQ1'!$N$2:$N$455,MATCH($A341,'RQ1'!$A$2:$A$455,0)))=1,"REVISAR DETALLE","REGISTRADA")</f>
        <v/>
      </c>
      <c r="F341" s="4">
        <f>IF(IF(COUNTIFS('RQ3'!$A$2:$A$455,$A341,'RQ3'!$P$2:$P$455,"")&gt;0,"",INDEX('RQ3'!$P$2:$P$455,MATCH($A341,'RQ3'!$A$2:$A$455,0)))="","NO REGISTRADO",IF(IF(COUNTIFS('RQ3'!$A$2:$A$455,$A341,'RQ3'!$P$2:$P$455,"")&gt;0,"",INDEX('RQ3'!$P$2:$P$455,MATCH($A341,'RQ3'!$A$2:$A$455,0)))=1,"MARCA ACTIVA","SIN MARCA"))</f>
        <v/>
      </c>
      <c r="G341" s="4">
        <f>IF(IF(COUNTIFS('ESTUDIOS'!$A$2:$A$455,$A341,'ESTUDIOS'!$N$2:$N$455,"")&gt;0,"",INDEX('ESTUDIOS'!$N$2:$N$455,MATCH($A341,'ESTUDIOS'!$A$2:$A$455,0)))="Verified","DOCUMENTADA","NO DOCUMENTADA")</f>
        <v/>
      </c>
      <c r="H341" s="4">
        <f>IF(D341="PENDIENTE","Leer evidencia ya extraída; registrar uso propuesto o evaluado, función, fuente y revisor en RQ2.","Comprobar evidencia y cautelas registradas; documentar verificación sin recodificar lo ya respaldado.")</f>
        <v/>
      </c>
      <c r="I341" s="4" t="inlineStr">
        <is>
          <t>https://doi.org/10.1016/j.biopsycho.2024.108976</t>
        </is>
      </c>
    </row>
    <row r="342" ht="64" customHeight="1">
      <c r="A342" s="4" t="inlineStr">
        <is>
          <t>new_21</t>
        </is>
      </c>
      <c r="B342" s="4" t="inlineStr">
        <is>
          <t>Screening biomarkers for autism spectrum disorder using plasma proteomics combined with machine learning methods</t>
        </is>
      </c>
      <c r="C342" s="4">
        <f>IF(IF(COUNTIFS('ESTUDIOS'!$A$2:$A$455,$A342,'ESTUDIOS'!$I$2:$I$455,"")&gt;0,"",INDEX('ESTUDIOS'!$I$2:$I$455,MATCH($A342,'ESTUDIOS'!$A$2:$A$455,0)))=1,"1 - Integrity",IF(OR(IF(COUNTIFS('RQ2'!$A$2:$A$455,$A342,'RQ2'!$D$2:$D$455,"")&gt;0,"",INDEX('RQ2'!$D$2:$D$455,MATCH($A342,'RQ2'!$A$2:$A$455,0)))="",IF(COUNTIFS('RQ2'!$A$2:$A$455,$A342,'RQ2'!$E$2:$E$455,"")&gt;0,"",INDEX('RQ2'!$E$2:$E$455,MATCH($A342,'RQ2'!$A$2:$A$455,0)))=""),"2 - RQ2 historical","3 - Verify recorded evidence"))</f>
        <v/>
      </c>
      <c r="D342" s="4">
        <f>IF(OR(IF(COUNTIFS('RQ2'!$A$2:$A$455,$A342,'RQ2'!$D$2:$D$455,"")&gt;0,"",INDEX('RQ2'!$D$2:$D$455,MATCH($A342,'RQ2'!$A$2:$A$455,0)))="",IF(COUNTIFS('RQ2'!$A$2:$A$455,$A342,'RQ2'!$E$2:$E$455,"")&gt;0,"",INDEX('RQ2'!$E$2:$E$455,MATCH($A342,'RQ2'!$A$2:$A$455,0)))=""),"PENDIENTE","REGISTRADA")</f>
        <v/>
      </c>
      <c r="E342" s="4">
        <f>IF(IF(COUNTIFS('RQ1'!$A$2:$A$455,$A342,'RQ1'!$N$2:$N$455,"")&gt;0,"",INDEX('RQ1'!$N$2:$N$455,MATCH($A342,'RQ1'!$A$2:$A$455,0)))=1,"REVISAR DETALLE","REGISTRADA")</f>
        <v/>
      </c>
      <c r="F342" s="4">
        <f>IF(IF(COUNTIFS('RQ3'!$A$2:$A$455,$A342,'RQ3'!$P$2:$P$455,"")&gt;0,"",INDEX('RQ3'!$P$2:$P$455,MATCH($A342,'RQ3'!$A$2:$A$455,0)))="","NO REGISTRADO",IF(IF(COUNTIFS('RQ3'!$A$2:$A$455,$A342,'RQ3'!$P$2:$P$455,"")&gt;0,"",INDEX('RQ3'!$P$2:$P$455,MATCH($A342,'RQ3'!$A$2:$A$455,0)))=1,"MARCA ACTIVA","SIN MARCA"))</f>
        <v/>
      </c>
      <c r="G342" s="4">
        <f>IF(IF(COUNTIFS('ESTUDIOS'!$A$2:$A$455,$A342,'ESTUDIOS'!$N$2:$N$455,"")&gt;0,"",INDEX('ESTUDIOS'!$N$2:$N$455,MATCH($A342,'ESTUDIOS'!$A$2:$A$455,0)))="Verified","DOCUMENTADA","NO DOCUMENTADA")</f>
        <v/>
      </c>
      <c r="H342" s="4">
        <f>IF(D342="PENDIENTE","Leer evidencia ya extraída; registrar uso propuesto o evaluado, función, fuente y revisor en RQ2.","Comprobar evidencia y cautelas registradas; documentar verificación sin recodificar lo ya respaldado.")</f>
        <v/>
      </c>
      <c r="I342" s="4" t="inlineStr">
        <is>
          <t>https://doi.org/10.1016/j.cca.2024.120018</t>
        </is>
      </c>
    </row>
    <row r="343" ht="64" customHeight="1">
      <c r="A343" s="4" t="inlineStr">
        <is>
          <t>new_23</t>
        </is>
      </c>
      <c r="B343" s="4" t="inlineStr">
        <is>
          <t>Introducing 3DCNN ResNets for ASD full-body kinematic assessment: A comparison with hand-crafted features</t>
        </is>
      </c>
      <c r="C343" s="4">
        <f>IF(IF(COUNTIFS('ESTUDIOS'!$A$2:$A$455,$A343,'ESTUDIOS'!$I$2:$I$455,"")&gt;0,"",INDEX('ESTUDIOS'!$I$2:$I$455,MATCH($A343,'ESTUDIOS'!$A$2:$A$455,0)))=1,"1 - Integrity",IF(OR(IF(COUNTIFS('RQ2'!$A$2:$A$455,$A343,'RQ2'!$D$2:$D$455,"")&gt;0,"",INDEX('RQ2'!$D$2:$D$455,MATCH($A343,'RQ2'!$A$2:$A$455,0)))="",IF(COUNTIFS('RQ2'!$A$2:$A$455,$A343,'RQ2'!$E$2:$E$455,"")&gt;0,"",INDEX('RQ2'!$E$2:$E$455,MATCH($A343,'RQ2'!$A$2:$A$455,0)))=""),"2 - RQ2 historical","3 - Verify recorded evidence"))</f>
        <v/>
      </c>
      <c r="D343" s="4">
        <f>IF(OR(IF(COUNTIFS('RQ2'!$A$2:$A$455,$A343,'RQ2'!$D$2:$D$455,"")&gt;0,"",INDEX('RQ2'!$D$2:$D$455,MATCH($A343,'RQ2'!$A$2:$A$455,0)))="",IF(COUNTIFS('RQ2'!$A$2:$A$455,$A343,'RQ2'!$E$2:$E$455,"")&gt;0,"",INDEX('RQ2'!$E$2:$E$455,MATCH($A343,'RQ2'!$A$2:$A$455,0)))=""),"PENDIENTE","REGISTRADA")</f>
        <v/>
      </c>
      <c r="E343" s="4">
        <f>IF(IF(COUNTIFS('RQ1'!$A$2:$A$455,$A343,'RQ1'!$N$2:$N$455,"")&gt;0,"",INDEX('RQ1'!$N$2:$N$455,MATCH($A343,'RQ1'!$A$2:$A$455,0)))=1,"REVISAR DETALLE","REGISTRADA")</f>
        <v/>
      </c>
      <c r="F343" s="4">
        <f>IF(IF(COUNTIFS('RQ3'!$A$2:$A$455,$A343,'RQ3'!$P$2:$P$455,"")&gt;0,"",INDEX('RQ3'!$P$2:$P$455,MATCH($A343,'RQ3'!$A$2:$A$455,0)))="","NO REGISTRADO",IF(IF(COUNTIFS('RQ3'!$A$2:$A$455,$A343,'RQ3'!$P$2:$P$455,"")&gt;0,"",INDEX('RQ3'!$P$2:$P$455,MATCH($A343,'RQ3'!$A$2:$A$455,0)))=1,"MARCA ACTIVA","SIN MARCA"))</f>
        <v/>
      </c>
      <c r="G343" s="4">
        <f>IF(IF(COUNTIFS('ESTUDIOS'!$A$2:$A$455,$A343,'ESTUDIOS'!$N$2:$N$455,"")&gt;0,"",INDEX('ESTUDIOS'!$N$2:$N$455,MATCH($A343,'ESTUDIOS'!$A$2:$A$455,0)))="Verified","DOCUMENTADA","NO DOCUMENTADA")</f>
        <v/>
      </c>
      <c r="H343" s="4">
        <f>IF(D343="PENDIENTE","Leer evidencia ya extraída; registrar uso propuesto o evaluado, función, fuente y revisor en RQ2.","Comprobar evidencia y cautelas registradas; documentar verificación sin recodificar lo ya respaldado.")</f>
        <v/>
      </c>
      <c r="I343" s="4" t="inlineStr">
        <is>
          <t>https://doi.org/10.1016/j.eswa.2024.126295</t>
        </is>
      </c>
    </row>
    <row r="344" ht="64" customHeight="1">
      <c r="A344" s="4" t="inlineStr">
        <is>
          <t>new_37</t>
        </is>
      </c>
      <c r="B344" s="4" t="inlineStr">
        <is>
          <t>Design of adaptive recommendation system for autism children using optimal feature selection-based adaptive dilated 1DCNN-LSTM with attention mechanism</t>
        </is>
      </c>
      <c r="C344" s="4">
        <f>IF(IF(COUNTIFS('ESTUDIOS'!$A$2:$A$455,$A344,'ESTUDIOS'!$I$2:$I$455,"")&gt;0,"",INDEX('ESTUDIOS'!$I$2:$I$455,MATCH($A344,'ESTUDIOS'!$A$2:$A$455,0)))=1,"1 - Integrity",IF(OR(IF(COUNTIFS('RQ2'!$A$2:$A$455,$A344,'RQ2'!$D$2:$D$455,"")&gt;0,"",INDEX('RQ2'!$D$2:$D$455,MATCH($A344,'RQ2'!$A$2:$A$455,0)))="",IF(COUNTIFS('RQ2'!$A$2:$A$455,$A344,'RQ2'!$E$2:$E$455,"")&gt;0,"",INDEX('RQ2'!$E$2:$E$455,MATCH($A344,'RQ2'!$A$2:$A$455,0)))=""),"2 - RQ2 historical","3 - Verify recorded evidence"))</f>
        <v/>
      </c>
      <c r="D344" s="4">
        <f>IF(OR(IF(COUNTIFS('RQ2'!$A$2:$A$455,$A344,'RQ2'!$D$2:$D$455,"")&gt;0,"",INDEX('RQ2'!$D$2:$D$455,MATCH($A344,'RQ2'!$A$2:$A$455,0)))="",IF(COUNTIFS('RQ2'!$A$2:$A$455,$A344,'RQ2'!$E$2:$E$455,"")&gt;0,"",INDEX('RQ2'!$E$2:$E$455,MATCH($A344,'RQ2'!$A$2:$A$455,0)))=""),"PENDIENTE","REGISTRADA")</f>
        <v/>
      </c>
      <c r="E344" s="4">
        <f>IF(IF(COUNTIFS('RQ1'!$A$2:$A$455,$A344,'RQ1'!$N$2:$N$455,"")&gt;0,"",INDEX('RQ1'!$N$2:$N$455,MATCH($A344,'RQ1'!$A$2:$A$455,0)))=1,"REVISAR DETALLE","REGISTRADA")</f>
        <v/>
      </c>
      <c r="F344" s="4">
        <f>IF(IF(COUNTIFS('RQ3'!$A$2:$A$455,$A344,'RQ3'!$P$2:$P$455,"")&gt;0,"",INDEX('RQ3'!$P$2:$P$455,MATCH($A344,'RQ3'!$A$2:$A$455,0)))="","NO REGISTRADO",IF(IF(COUNTIFS('RQ3'!$A$2:$A$455,$A344,'RQ3'!$P$2:$P$455,"")&gt;0,"",INDEX('RQ3'!$P$2:$P$455,MATCH($A344,'RQ3'!$A$2:$A$455,0)))=1,"MARCA ACTIVA","SIN MARCA"))</f>
        <v/>
      </c>
      <c r="G344" s="4">
        <f>IF(IF(COUNTIFS('ESTUDIOS'!$A$2:$A$455,$A344,'ESTUDIOS'!$N$2:$N$455,"")&gt;0,"",INDEX('ESTUDIOS'!$N$2:$N$455,MATCH($A344,'ESTUDIOS'!$A$2:$A$455,0)))="Verified","DOCUMENTADA","NO DOCUMENTADA")</f>
        <v/>
      </c>
      <c r="H344" s="4">
        <f>IF(D344="PENDIENTE","Leer evidencia ya extraída; registrar uso propuesto o evaluado, función, fuente y revisor en RQ2.","Comprobar evidencia y cautelas registradas; documentar verificación sin recodificar lo ya respaldado.")</f>
        <v/>
      </c>
      <c r="I344" s="4" t="inlineStr">
        <is>
          <t>https://doi.org/10.1016/j.eswa.2024.125399</t>
        </is>
      </c>
    </row>
    <row r="345" ht="64" customHeight="1">
      <c r="A345" s="4" t="inlineStr">
        <is>
          <t>new_38</t>
        </is>
      </c>
      <c r="B345" s="4" t="inlineStr">
        <is>
          <t>Early detection of autism spectrum disorder using explainable AI and optimized teaching strategies</t>
        </is>
      </c>
      <c r="C345" s="4">
        <f>IF(IF(COUNTIFS('ESTUDIOS'!$A$2:$A$455,$A345,'ESTUDIOS'!$I$2:$I$455,"")&gt;0,"",INDEX('ESTUDIOS'!$I$2:$I$455,MATCH($A345,'ESTUDIOS'!$A$2:$A$455,0)))=1,"1 - Integrity",IF(OR(IF(COUNTIFS('RQ2'!$A$2:$A$455,$A345,'RQ2'!$D$2:$D$455,"")&gt;0,"",INDEX('RQ2'!$D$2:$D$455,MATCH($A345,'RQ2'!$A$2:$A$455,0)))="",IF(COUNTIFS('RQ2'!$A$2:$A$455,$A345,'RQ2'!$E$2:$E$455,"")&gt;0,"",INDEX('RQ2'!$E$2:$E$455,MATCH($A345,'RQ2'!$A$2:$A$455,0)))=""),"2 - RQ2 historical","3 - Verify recorded evidence"))</f>
        <v/>
      </c>
      <c r="D345" s="4">
        <f>IF(OR(IF(COUNTIFS('RQ2'!$A$2:$A$455,$A345,'RQ2'!$D$2:$D$455,"")&gt;0,"",INDEX('RQ2'!$D$2:$D$455,MATCH($A345,'RQ2'!$A$2:$A$455,0)))="",IF(COUNTIFS('RQ2'!$A$2:$A$455,$A345,'RQ2'!$E$2:$E$455,"")&gt;0,"",INDEX('RQ2'!$E$2:$E$455,MATCH($A345,'RQ2'!$A$2:$A$455,0)))=""),"PENDIENTE","REGISTRADA")</f>
        <v/>
      </c>
      <c r="E345" s="4">
        <f>IF(IF(COUNTIFS('RQ1'!$A$2:$A$455,$A345,'RQ1'!$N$2:$N$455,"")&gt;0,"",INDEX('RQ1'!$N$2:$N$455,MATCH($A345,'RQ1'!$A$2:$A$455,0)))=1,"REVISAR DETALLE","REGISTRADA")</f>
        <v/>
      </c>
      <c r="F345" s="4">
        <f>IF(IF(COUNTIFS('RQ3'!$A$2:$A$455,$A345,'RQ3'!$P$2:$P$455,"")&gt;0,"",INDEX('RQ3'!$P$2:$P$455,MATCH($A345,'RQ3'!$A$2:$A$455,0)))="","NO REGISTRADO",IF(IF(COUNTIFS('RQ3'!$A$2:$A$455,$A345,'RQ3'!$P$2:$P$455,"")&gt;0,"",INDEX('RQ3'!$P$2:$P$455,MATCH($A345,'RQ3'!$A$2:$A$455,0)))=1,"MARCA ACTIVA","SIN MARCA"))</f>
        <v/>
      </c>
      <c r="G345" s="4">
        <f>IF(IF(COUNTIFS('ESTUDIOS'!$A$2:$A$455,$A345,'ESTUDIOS'!$N$2:$N$455,"")&gt;0,"",INDEX('ESTUDIOS'!$N$2:$N$455,MATCH($A345,'ESTUDIOS'!$A$2:$A$455,0)))="Verified","DOCUMENTADA","NO DOCUMENTADA")</f>
        <v/>
      </c>
      <c r="H345" s="4">
        <f>IF(D345="PENDIENTE","Leer evidencia ya extraída; registrar uso propuesto o evaluado, función, fuente y revisor en RQ2.","Comprobar evidencia y cautelas registradas; documentar verificación sin recodificar lo ya respaldado.")</f>
        <v/>
      </c>
      <c r="I345" s="4" t="inlineStr">
        <is>
          <t>https://doi.org/10.1016/j.jneumeth.2024.110315</t>
        </is>
      </c>
    </row>
    <row r="346" ht="64" customHeight="1">
      <c r="A346" s="4" t="inlineStr">
        <is>
          <t>new_41</t>
        </is>
      </c>
      <c r="B346" s="4" t="inlineStr">
        <is>
          <t>A systematic evaluation of autism spectrum disorder identification with Scanpath Trend Analysis (STA)</t>
        </is>
      </c>
      <c r="C346" s="4">
        <f>IF(IF(COUNTIFS('ESTUDIOS'!$A$2:$A$455,$A346,'ESTUDIOS'!$I$2:$I$455,"")&gt;0,"",INDEX('ESTUDIOS'!$I$2:$I$455,MATCH($A346,'ESTUDIOS'!$A$2:$A$455,0)))=1,"1 - Integrity",IF(OR(IF(COUNTIFS('RQ2'!$A$2:$A$455,$A346,'RQ2'!$D$2:$D$455,"")&gt;0,"",INDEX('RQ2'!$D$2:$D$455,MATCH($A346,'RQ2'!$A$2:$A$455,0)))="",IF(COUNTIFS('RQ2'!$A$2:$A$455,$A346,'RQ2'!$E$2:$E$455,"")&gt;0,"",INDEX('RQ2'!$E$2:$E$455,MATCH($A346,'RQ2'!$A$2:$A$455,0)))=""),"2 - RQ2 historical","3 - Verify recorded evidence"))</f>
        <v/>
      </c>
      <c r="D346" s="4">
        <f>IF(OR(IF(COUNTIFS('RQ2'!$A$2:$A$455,$A346,'RQ2'!$D$2:$D$455,"")&gt;0,"",INDEX('RQ2'!$D$2:$D$455,MATCH($A346,'RQ2'!$A$2:$A$455,0)))="",IF(COUNTIFS('RQ2'!$A$2:$A$455,$A346,'RQ2'!$E$2:$E$455,"")&gt;0,"",INDEX('RQ2'!$E$2:$E$455,MATCH($A346,'RQ2'!$A$2:$A$455,0)))=""),"PENDIENTE","REGISTRADA")</f>
        <v/>
      </c>
      <c r="E346" s="4">
        <f>IF(IF(COUNTIFS('RQ1'!$A$2:$A$455,$A346,'RQ1'!$N$2:$N$455,"")&gt;0,"",INDEX('RQ1'!$N$2:$N$455,MATCH($A346,'RQ1'!$A$2:$A$455,0)))=1,"REVISAR DETALLE","REGISTRADA")</f>
        <v/>
      </c>
      <c r="F346" s="4">
        <f>IF(IF(COUNTIFS('RQ3'!$A$2:$A$455,$A346,'RQ3'!$P$2:$P$455,"")&gt;0,"",INDEX('RQ3'!$P$2:$P$455,MATCH($A346,'RQ3'!$A$2:$A$455,0)))="","NO REGISTRADO",IF(IF(COUNTIFS('RQ3'!$A$2:$A$455,$A346,'RQ3'!$P$2:$P$455,"")&gt;0,"",INDEX('RQ3'!$P$2:$P$455,MATCH($A346,'RQ3'!$A$2:$A$455,0)))=1,"MARCA ACTIVA","SIN MARCA"))</f>
        <v/>
      </c>
      <c r="G346" s="4">
        <f>IF(IF(COUNTIFS('ESTUDIOS'!$A$2:$A$455,$A346,'ESTUDIOS'!$N$2:$N$455,"")&gt;0,"",INDEX('ESTUDIOS'!$N$2:$N$455,MATCH($A346,'ESTUDIOS'!$A$2:$A$455,0)))="Verified","DOCUMENTADA","NO DOCUMENTADA")</f>
        <v/>
      </c>
      <c r="H346" s="4">
        <f>IF(D346="PENDIENTE","Leer evidencia ya extraída; registrar uso propuesto o evaluado, función, fuente y revisor en RQ2.","Comprobar evidencia y cautelas registradas; documentar verificación sin recodificar lo ya respaldado.")</f>
        <v/>
      </c>
      <c r="I346" s="4" t="inlineStr">
        <is>
          <t>https://doi.org/10.1016/j.bspc.2024.107414</t>
        </is>
      </c>
    </row>
    <row r="347" ht="64" customHeight="1">
      <c r="A347" s="4" t="inlineStr">
        <is>
          <t>new_46</t>
        </is>
      </c>
      <c r="B347" s="4" t="inlineStr">
        <is>
          <t>Recognition of autism in subcortical brain volumetric images using autoencoding-based region selection method and Siamese Convolutional Neural Network</t>
        </is>
      </c>
      <c r="C347" s="4">
        <f>IF(IF(COUNTIFS('ESTUDIOS'!$A$2:$A$455,$A347,'ESTUDIOS'!$I$2:$I$455,"")&gt;0,"",INDEX('ESTUDIOS'!$I$2:$I$455,MATCH($A347,'ESTUDIOS'!$A$2:$A$455,0)))=1,"1 - Integrity",IF(OR(IF(COUNTIFS('RQ2'!$A$2:$A$455,$A347,'RQ2'!$D$2:$D$455,"")&gt;0,"",INDEX('RQ2'!$D$2:$D$455,MATCH($A347,'RQ2'!$A$2:$A$455,0)))="",IF(COUNTIFS('RQ2'!$A$2:$A$455,$A347,'RQ2'!$E$2:$E$455,"")&gt;0,"",INDEX('RQ2'!$E$2:$E$455,MATCH($A347,'RQ2'!$A$2:$A$455,0)))=""),"2 - RQ2 historical","3 - Verify recorded evidence"))</f>
        <v/>
      </c>
      <c r="D347" s="4">
        <f>IF(OR(IF(COUNTIFS('RQ2'!$A$2:$A$455,$A347,'RQ2'!$D$2:$D$455,"")&gt;0,"",INDEX('RQ2'!$D$2:$D$455,MATCH($A347,'RQ2'!$A$2:$A$455,0)))="",IF(COUNTIFS('RQ2'!$A$2:$A$455,$A347,'RQ2'!$E$2:$E$455,"")&gt;0,"",INDEX('RQ2'!$E$2:$E$455,MATCH($A347,'RQ2'!$A$2:$A$455,0)))=""),"PENDIENTE","REGISTRADA")</f>
        <v/>
      </c>
      <c r="E347" s="4">
        <f>IF(IF(COUNTIFS('RQ1'!$A$2:$A$455,$A347,'RQ1'!$N$2:$N$455,"")&gt;0,"",INDEX('RQ1'!$N$2:$N$455,MATCH($A347,'RQ1'!$A$2:$A$455,0)))=1,"REVISAR DETALLE","REGISTRADA")</f>
        <v/>
      </c>
      <c r="F347" s="4">
        <f>IF(IF(COUNTIFS('RQ3'!$A$2:$A$455,$A347,'RQ3'!$P$2:$P$455,"")&gt;0,"",INDEX('RQ3'!$P$2:$P$455,MATCH($A347,'RQ3'!$A$2:$A$455,0)))="","NO REGISTRADO",IF(IF(COUNTIFS('RQ3'!$A$2:$A$455,$A347,'RQ3'!$P$2:$P$455,"")&gt;0,"",INDEX('RQ3'!$P$2:$P$455,MATCH($A347,'RQ3'!$A$2:$A$455,0)))=1,"MARCA ACTIVA","SIN MARCA"))</f>
        <v/>
      </c>
      <c r="G347" s="4">
        <f>IF(IF(COUNTIFS('ESTUDIOS'!$A$2:$A$455,$A347,'ESTUDIOS'!$N$2:$N$455,"")&gt;0,"",INDEX('ESTUDIOS'!$N$2:$N$455,MATCH($A347,'ESTUDIOS'!$A$2:$A$455,0)))="Verified","DOCUMENTADA","NO DOCUMENTADA")</f>
        <v/>
      </c>
      <c r="H347" s="4">
        <f>IF(D347="PENDIENTE","Leer evidencia ya extraída; registrar uso propuesto o evaluado, función, fuente y revisor en RQ2.","Comprobar evidencia y cautelas registradas; documentar verificación sin recodificar lo ya respaldado.")</f>
        <v/>
      </c>
      <c r="I347" s="4" t="inlineStr">
        <is>
          <t>https://doi.org/10.1016/j.ijmedinf.2024.105707</t>
        </is>
      </c>
    </row>
    <row r="348" ht="64" customHeight="1">
      <c r="A348" s="4" t="inlineStr">
        <is>
          <t>new_47</t>
        </is>
      </c>
      <c r="B348" s="4" t="inlineStr">
        <is>
          <t>Leveraging deep learning for enhanced diagnosis of autism spectrum disorder using resting-state functional magnetic resonance imaging and clinical data</t>
        </is>
      </c>
      <c r="C348" s="4">
        <f>IF(IF(COUNTIFS('ESTUDIOS'!$A$2:$A$455,$A348,'ESTUDIOS'!$I$2:$I$455,"")&gt;0,"",INDEX('ESTUDIOS'!$I$2:$I$455,MATCH($A348,'ESTUDIOS'!$A$2:$A$455,0)))=1,"1 - Integrity",IF(OR(IF(COUNTIFS('RQ2'!$A$2:$A$455,$A348,'RQ2'!$D$2:$D$455,"")&gt;0,"",INDEX('RQ2'!$D$2:$D$455,MATCH($A348,'RQ2'!$A$2:$A$455,0)))="",IF(COUNTIFS('RQ2'!$A$2:$A$455,$A348,'RQ2'!$E$2:$E$455,"")&gt;0,"",INDEX('RQ2'!$E$2:$E$455,MATCH($A348,'RQ2'!$A$2:$A$455,0)))=""),"2 - RQ2 historical","3 - Verify recorded evidence"))</f>
        <v/>
      </c>
      <c r="D348" s="4">
        <f>IF(OR(IF(COUNTIFS('RQ2'!$A$2:$A$455,$A348,'RQ2'!$D$2:$D$455,"")&gt;0,"",INDEX('RQ2'!$D$2:$D$455,MATCH($A348,'RQ2'!$A$2:$A$455,0)))="",IF(COUNTIFS('RQ2'!$A$2:$A$455,$A348,'RQ2'!$E$2:$E$455,"")&gt;0,"",INDEX('RQ2'!$E$2:$E$455,MATCH($A348,'RQ2'!$A$2:$A$455,0)))=""),"PENDIENTE","REGISTRADA")</f>
        <v/>
      </c>
      <c r="E348" s="4">
        <f>IF(IF(COUNTIFS('RQ1'!$A$2:$A$455,$A348,'RQ1'!$N$2:$N$455,"")&gt;0,"",INDEX('RQ1'!$N$2:$N$455,MATCH($A348,'RQ1'!$A$2:$A$455,0)))=1,"REVISAR DETALLE","REGISTRADA")</f>
        <v/>
      </c>
      <c r="F348" s="4">
        <f>IF(IF(COUNTIFS('RQ3'!$A$2:$A$455,$A348,'RQ3'!$P$2:$P$455,"")&gt;0,"",INDEX('RQ3'!$P$2:$P$455,MATCH($A348,'RQ3'!$A$2:$A$455,0)))="","NO REGISTRADO",IF(IF(COUNTIFS('RQ3'!$A$2:$A$455,$A348,'RQ3'!$P$2:$P$455,"")&gt;0,"",INDEX('RQ3'!$P$2:$P$455,MATCH($A348,'RQ3'!$A$2:$A$455,0)))=1,"MARCA ACTIVA","SIN MARCA"))</f>
        <v/>
      </c>
      <c r="G348" s="4">
        <f>IF(IF(COUNTIFS('ESTUDIOS'!$A$2:$A$455,$A348,'ESTUDIOS'!$N$2:$N$455,"")&gt;0,"",INDEX('ESTUDIOS'!$N$2:$N$455,MATCH($A348,'ESTUDIOS'!$A$2:$A$455,0)))="Verified","DOCUMENTADA","NO DOCUMENTADA")</f>
        <v/>
      </c>
      <c r="H348" s="4">
        <f>IF(D348="PENDIENTE","Leer evidencia ya extraída; registrar uso propuesto o evaluado, función, fuente y revisor en RQ2.","Comprobar evidencia y cautelas registradas; documentar verificación sin recodificar lo ya respaldado.")</f>
        <v/>
      </c>
      <c r="I348" s="4" t="inlineStr">
        <is>
          <t>https://doi.org/10.1016/j.rineng.2025.104444</t>
        </is>
      </c>
    </row>
    <row r="349" ht="64" customHeight="1">
      <c r="A349" s="4" t="inlineStr">
        <is>
          <t>new_51</t>
        </is>
      </c>
      <c r="B349" s="4" t="inlineStr">
        <is>
          <t>Involution fused convolution for classifying eye-tracking patterns of children with Autism Spectrum Disorder</t>
        </is>
      </c>
      <c r="C349" s="4">
        <f>IF(IF(COUNTIFS('ESTUDIOS'!$A$2:$A$455,$A349,'ESTUDIOS'!$I$2:$I$455,"")&gt;0,"",INDEX('ESTUDIOS'!$I$2:$I$455,MATCH($A349,'ESTUDIOS'!$A$2:$A$455,0)))=1,"1 - Integrity",IF(OR(IF(COUNTIFS('RQ2'!$A$2:$A$455,$A349,'RQ2'!$D$2:$D$455,"")&gt;0,"",INDEX('RQ2'!$D$2:$D$455,MATCH($A349,'RQ2'!$A$2:$A$455,0)))="",IF(COUNTIFS('RQ2'!$A$2:$A$455,$A349,'RQ2'!$E$2:$E$455,"")&gt;0,"",INDEX('RQ2'!$E$2:$E$455,MATCH($A349,'RQ2'!$A$2:$A$455,0)))=""),"2 - RQ2 historical","3 - Verify recorded evidence"))</f>
        <v/>
      </c>
      <c r="D349" s="4">
        <f>IF(OR(IF(COUNTIFS('RQ2'!$A$2:$A$455,$A349,'RQ2'!$D$2:$D$455,"")&gt;0,"",INDEX('RQ2'!$D$2:$D$455,MATCH($A349,'RQ2'!$A$2:$A$455,0)))="",IF(COUNTIFS('RQ2'!$A$2:$A$455,$A349,'RQ2'!$E$2:$E$455,"")&gt;0,"",INDEX('RQ2'!$E$2:$E$455,MATCH($A349,'RQ2'!$A$2:$A$455,0)))=""),"PENDIENTE","REGISTRADA")</f>
        <v/>
      </c>
      <c r="E349" s="4">
        <f>IF(IF(COUNTIFS('RQ1'!$A$2:$A$455,$A349,'RQ1'!$N$2:$N$455,"")&gt;0,"",INDEX('RQ1'!$N$2:$N$455,MATCH($A349,'RQ1'!$A$2:$A$455,0)))=1,"REVISAR DETALLE","REGISTRADA")</f>
        <v/>
      </c>
      <c r="F349" s="4">
        <f>IF(IF(COUNTIFS('RQ3'!$A$2:$A$455,$A349,'RQ3'!$P$2:$P$455,"")&gt;0,"",INDEX('RQ3'!$P$2:$P$455,MATCH($A349,'RQ3'!$A$2:$A$455,0)))="","NO REGISTRADO",IF(IF(COUNTIFS('RQ3'!$A$2:$A$455,$A349,'RQ3'!$P$2:$P$455,"")&gt;0,"",INDEX('RQ3'!$P$2:$P$455,MATCH($A349,'RQ3'!$A$2:$A$455,0)))=1,"MARCA ACTIVA","SIN MARCA"))</f>
        <v/>
      </c>
      <c r="G349" s="4">
        <f>IF(IF(COUNTIFS('ESTUDIOS'!$A$2:$A$455,$A349,'ESTUDIOS'!$N$2:$N$455,"")&gt;0,"",INDEX('ESTUDIOS'!$N$2:$N$455,MATCH($A349,'ESTUDIOS'!$A$2:$A$455,0)))="Verified","DOCUMENTADA","NO DOCUMENTADA")</f>
        <v/>
      </c>
      <c r="H349" s="4">
        <f>IF(D349="PENDIENTE","Leer evidencia ya extraída; registrar uso propuesto o evaluado, función, fuente y revisor en RQ2.","Comprobar evidencia y cautelas registradas; documentar verificación sin recodificar lo ya respaldado.")</f>
        <v/>
      </c>
      <c r="I349" s="4" t="inlineStr">
        <is>
          <t>https://doi.org/10.1016/j.engappai.2024.109475</t>
        </is>
      </c>
    </row>
    <row r="350" ht="64" customHeight="1">
      <c r="A350" s="4" t="inlineStr">
        <is>
          <t>new_59</t>
        </is>
      </c>
      <c r="B350" s="4" t="inlineStr">
        <is>
          <t>Advanced autism detection and visualization through XGBoost algorithm for fNIRS hemo-dynamic signals</t>
        </is>
      </c>
      <c r="C350" s="4">
        <f>IF(IF(COUNTIFS('ESTUDIOS'!$A$2:$A$455,$A350,'ESTUDIOS'!$I$2:$I$455,"")&gt;0,"",INDEX('ESTUDIOS'!$I$2:$I$455,MATCH($A350,'ESTUDIOS'!$A$2:$A$455,0)))=1,"1 - Integrity",IF(OR(IF(COUNTIFS('RQ2'!$A$2:$A$455,$A350,'RQ2'!$D$2:$D$455,"")&gt;0,"",INDEX('RQ2'!$D$2:$D$455,MATCH($A350,'RQ2'!$A$2:$A$455,0)))="",IF(COUNTIFS('RQ2'!$A$2:$A$455,$A350,'RQ2'!$E$2:$E$455,"")&gt;0,"",INDEX('RQ2'!$E$2:$E$455,MATCH($A350,'RQ2'!$A$2:$A$455,0)))=""),"2 - RQ2 historical","3 - Verify recorded evidence"))</f>
        <v/>
      </c>
      <c r="D350" s="4">
        <f>IF(OR(IF(COUNTIFS('RQ2'!$A$2:$A$455,$A350,'RQ2'!$D$2:$D$455,"")&gt;0,"",INDEX('RQ2'!$D$2:$D$455,MATCH($A350,'RQ2'!$A$2:$A$455,0)))="",IF(COUNTIFS('RQ2'!$A$2:$A$455,$A350,'RQ2'!$E$2:$E$455,"")&gt;0,"",INDEX('RQ2'!$E$2:$E$455,MATCH($A350,'RQ2'!$A$2:$A$455,0)))=""),"PENDIENTE","REGISTRADA")</f>
        <v/>
      </c>
      <c r="E350" s="4">
        <f>IF(IF(COUNTIFS('RQ1'!$A$2:$A$455,$A350,'RQ1'!$N$2:$N$455,"")&gt;0,"",INDEX('RQ1'!$N$2:$N$455,MATCH($A350,'RQ1'!$A$2:$A$455,0)))=1,"REVISAR DETALLE","REGISTRADA")</f>
        <v/>
      </c>
      <c r="F350" s="4">
        <f>IF(IF(COUNTIFS('RQ3'!$A$2:$A$455,$A350,'RQ3'!$P$2:$P$455,"")&gt;0,"",INDEX('RQ3'!$P$2:$P$455,MATCH($A350,'RQ3'!$A$2:$A$455,0)))="","NO REGISTRADO",IF(IF(COUNTIFS('RQ3'!$A$2:$A$455,$A350,'RQ3'!$P$2:$P$455,"")&gt;0,"",INDEX('RQ3'!$P$2:$P$455,MATCH($A350,'RQ3'!$A$2:$A$455,0)))=1,"MARCA ACTIVA","SIN MARCA"))</f>
        <v/>
      </c>
      <c r="G350" s="4">
        <f>IF(IF(COUNTIFS('ESTUDIOS'!$A$2:$A$455,$A350,'ESTUDIOS'!$N$2:$N$455,"")&gt;0,"",INDEX('ESTUDIOS'!$N$2:$N$455,MATCH($A350,'ESTUDIOS'!$A$2:$A$455,0)))="Verified","DOCUMENTADA","NO DOCUMENTADA")</f>
        <v/>
      </c>
      <c r="H350" s="4">
        <f>IF(D350="PENDIENTE","Leer evidencia ya extraída; registrar uso propuesto o evaluado, función, fuente y revisor en RQ2.","Comprobar evidencia y cautelas registradas; documentar verificación sin recodificar lo ya respaldado.")</f>
        <v/>
      </c>
      <c r="I350" s="4" t="inlineStr">
        <is>
          <t>https://doi.org/10.1016/j.eswa.2025.127013</t>
        </is>
      </c>
    </row>
    <row r="351" ht="64" customHeight="1">
      <c r="A351" s="4" t="inlineStr">
        <is>
          <t>new_60</t>
        </is>
      </c>
      <c r="B351" s="4" t="inlineStr">
        <is>
          <t>Using convolutional network in graphical model detection of autism disorders with fuzzy inference systems</t>
        </is>
      </c>
      <c r="C351" s="4">
        <f>IF(IF(COUNTIFS('ESTUDIOS'!$A$2:$A$455,$A351,'ESTUDIOS'!$I$2:$I$455,"")&gt;0,"",INDEX('ESTUDIOS'!$I$2:$I$455,MATCH($A351,'ESTUDIOS'!$A$2:$A$455,0)))=1,"1 - Integrity",IF(OR(IF(COUNTIFS('RQ2'!$A$2:$A$455,$A351,'RQ2'!$D$2:$D$455,"")&gt;0,"",INDEX('RQ2'!$D$2:$D$455,MATCH($A351,'RQ2'!$A$2:$A$455,0)))="",IF(COUNTIFS('RQ2'!$A$2:$A$455,$A351,'RQ2'!$E$2:$E$455,"")&gt;0,"",INDEX('RQ2'!$E$2:$E$455,MATCH($A351,'RQ2'!$A$2:$A$455,0)))=""),"2 - RQ2 historical","3 - Verify recorded evidence"))</f>
        <v/>
      </c>
      <c r="D351" s="4">
        <f>IF(OR(IF(COUNTIFS('RQ2'!$A$2:$A$455,$A351,'RQ2'!$D$2:$D$455,"")&gt;0,"",INDEX('RQ2'!$D$2:$D$455,MATCH($A351,'RQ2'!$A$2:$A$455,0)))="",IF(COUNTIFS('RQ2'!$A$2:$A$455,$A351,'RQ2'!$E$2:$E$455,"")&gt;0,"",INDEX('RQ2'!$E$2:$E$455,MATCH($A351,'RQ2'!$A$2:$A$455,0)))=""),"PENDIENTE","REGISTRADA")</f>
        <v/>
      </c>
      <c r="E351" s="4">
        <f>IF(IF(COUNTIFS('RQ1'!$A$2:$A$455,$A351,'RQ1'!$N$2:$N$455,"")&gt;0,"",INDEX('RQ1'!$N$2:$N$455,MATCH($A351,'RQ1'!$A$2:$A$455,0)))=1,"REVISAR DETALLE","REGISTRADA")</f>
        <v/>
      </c>
      <c r="F351" s="4">
        <f>IF(IF(COUNTIFS('RQ3'!$A$2:$A$455,$A351,'RQ3'!$P$2:$P$455,"")&gt;0,"",INDEX('RQ3'!$P$2:$P$455,MATCH($A351,'RQ3'!$A$2:$A$455,0)))="","NO REGISTRADO",IF(IF(COUNTIFS('RQ3'!$A$2:$A$455,$A351,'RQ3'!$P$2:$P$455,"")&gt;0,"",INDEX('RQ3'!$P$2:$P$455,MATCH($A351,'RQ3'!$A$2:$A$455,0)))=1,"MARCA ACTIVA","SIN MARCA"))</f>
        <v/>
      </c>
      <c r="G351" s="4">
        <f>IF(IF(COUNTIFS('ESTUDIOS'!$A$2:$A$455,$A351,'ESTUDIOS'!$N$2:$N$455,"")&gt;0,"",INDEX('ESTUDIOS'!$N$2:$N$455,MATCH($A351,'ESTUDIOS'!$A$2:$A$455,0)))="Verified","DOCUMENTADA","NO DOCUMENTADA")</f>
        <v/>
      </c>
      <c r="H351" s="4">
        <f>IF(D351="PENDIENTE","Leer evidencia ya extraída; registrar uso propuesto o evaluado, función, fuente y revisor en RQ2.","Comprobar evidencia y cautelas registradas; documentar verificación sin recodificar lo ya respaldado.")</f>
        <v/>
      </c>
      <c r="I351" s="4" t="inlineStr">
        <is>
          <t>https://doi.org/10.1016/j.ibmed.2025.100213</t>
        </is>
      </c>
    </row>
    <row r="352" ht="64" customHeight="1">
      <c r="A352" s="4" t="inlineStr">
        <is>
          <t>new_63</t>
        </is>
      </c>
      <c r="B352" s="4" t="inlineStr">
        <is>
          <t>Enhancing autism spectrum disorder early detection with parent-child dyads block-play protocol and attention-enhanced hybrid deep learning framework</t>
        </is>
      </c>
      <c r="C352" s="4">
        <f>IF(IF(COUNTIFS('ESTUDIOS'!$A$2:$A$455,$A352,'ESTUDIOS'!$I$2:$I$455,"")&gt;0,"",INDEX('ESTUDIOS'!$I$2:$I$455,MATCH($A352,'ESTUDIOS'!$A$2:$A$455,0)))=1,"1 - Integrity",IF(OR(IF(COUNTIFS('RQ2'!$A$2:$A$455,$A352,'RQ2'!$D$2:$D$455,"")&gt;0,"",INDEX('RQ2'!$D$2:$D$455,MATCH($A352,'RQ2'!$A$2:$A$455,0)))="",IF(COUNTIFS('RQ2'!$A$2:$A$455,$A352,'RQ2'!$E$2:$E$455,"")&gt;0,"",INDEX('RQ2'!$E$2:$E$455,MATCH($A352,'RQ2'!$A$2:$A$455,0)))=""),"2 - RQ2 historical","3 - Verify recorded evidence"))</f>
        <v/>
      </c>
      <c r="D352" s="4">
        <f>IF(OR(IF(COUNTIFS('RQ2'!$A$2:$A$455,$A352,'RQ2'!$D$2:$D$455,"")&gt;0,"",INDEX('RQ2'!$D$2:$D$455,MATCH($A352,'RQ2'!$A$2:$A$455,0)))="",IF(COUNTIFS('RQ2'!$A$2:$A$455,$A352,'RQ2'!$E$2:$E$455,"")&gt;0,"",INDEX('RQ2'!$E$2:$E$455,MATCH($A352,'RQ2'!$A$2:$A$455,0)))=""),"PENDIENTE","REGISTRADA")</f>
        <v/>
      </c>
      <c r="E352" s="4">
        <f>IF(IF(COUNTIFS('RQ1'!$A$2:$A$455,$A352,'RQ1'!$N$2:$N$455,"")&gt;0,"",INDEX('RQ1'!$N$2:$N$455,MATCH($A352,'RQ1'!$A$2:$A$455,0)))=1,"REVISAR DETALLE","REGISTRADA")</f>
        <v/>
      </c>
      <c r="F352" s="4">
        <f>IF(IF(COUNTIFS('RQ3'!$A$2:$A$455,$A352,'RQ3'!$P$2:$P$455,"")&gt;0,"",INDEX('RQ3'!$P$2:$P$455,MATCH($A352,'RQ3'!$A$2:$A$455,0)))="","NO REGISTRADO",IF(IF(COUNTIFS('RQ3'!$A$2:$A$455,$A352,'RQ3'!$P$2:$P$455,"")&gt;0,"",INDEX('RQ3'!$P$2:$P$455,MATCH($A352,'RQ3'!$A$2:$A$455,0)))=1,"MARCA ACTIVA","SIN MARCA"))</f>
        <v/>
      </c>
      <c r="G352" s="4">
        <f>IF(IF(COUNTIFS('ESTUDIOS'!$A$2:$A$455,$A352,'ESTUDIOS'!$N$2:$N$455,"")&gt;0,"",INDEX('ESTUDIOS'!$N$2:$N$455,MATCH($A352,'ESTUDIOS'!$A$2:$A$455,0)))="Verified","DOCUMENTADA","NO DOCUMENTADA")</f>
        <v/>
      </c>
      <c r="H352" s="4">
        <f>IF(D352="PENDIENTE","Leer evidencia ya extraída; registrar uso propuesto o evaluado, función, fuente y revisor en RQ2.","Comprobar evidencia y cautelas registradas; documentar verificación sin recodificar lo ya respaldado.")</f>
        <v/>
      </c>
      <c r="I352" s="4" t="inlineStr">
        <is>
          <t>https://doi.org/10.1016/j.engappai.2025.110430</t>
        </is>
      </c>
    </row>
    <row r="353" ht="64" customHeight="1">
      <c r="A353" s="4" t="inlineStr">
        <is>
          <t>new_64</t>
        </is>
      </c>
      <c r="B353" s="4" t="inlineStr">
        <is>
          <t>Involvement of disulfidptosis in the pathophysiology of autism spectrum disorder</t>
        </is>
      </c>
      <c r="C353" s="4">
        <f>IF(IF(COUNTIFS('ESTUDIOS'!$A$2:$A$455,$A353,'ESTUDIOS'!$I$2:$I$455,"")&gt;0,"",INDEX('ESTUDIOS'!$I$2:$I$455,MATCH($A353,'ESTUDIOS'!$A$2:$A$455,0)))=1,"1 - Integrity",IF(OR(IF(COUNTIFS('RQ2'!$A$2:$A$455,$A353,'RQ2'!$D$2:$D$455,"")&gt;0,"",INDEX('RQ2'!$D$2:$D$455,MATCH($A353,'RQ2'!$A$2:$A$455,0)))="",IF(COUNTIFS('RQ2'!$A$2:$A$455,$A353,'RQ2'!$E$2:$E$455,"")&gt;0,"",INDEX('RQ2'!$E$2:$E$455,MATCH($A353,'RQ2'!$A$2:$A$455,0)))=""),"2 - RQ2 historical","3 - Verify recorded evidence"))</f>
        <v/>
      </c>
      <c r="D353" s="4">
        <f>IF(OR(IF(COUNTIFS('RQ2'!$A$2:$A$455,$A353,'RQ2'!$D$2:$D$455,"")&gt;0,"",INDEX('RQ2'!$D$2:$D$455,MATCH($A353,'RQ2'!$A$2:$A$455,0)))="",IF(COUNTIFS('RQ2'!$A$2:$A$455,$A353,'RQ2'!$E$2:$E$455,"")&gt;0,"",INDEX('RQ2'!$E$2:$E$455,MATCH($A353,'RQ2'!$A$2:$A$455,0)))=""),"PENDIENTE","REGISTRADA")</f>
        <v/>
      </c>
      <c r="E353" s="4">
        <f>IF(IF(COUNTIFS('RQ1'!$A$2:$A$455,$A353,'RQ1'!$N$2:$N$455,"")&gt;0,"",INDEX('RQ1'!$N$2:$N$455,MATCH($A353,'RQ1'!$A$2:$A$455,0)))=1,"REVISAR DETALLE","REGISTRADA")</f>
        <v/>
      </c>
      <c r="F353" s="4">
        <f>IF(IF(COUNTIFS('RQ3'!$A$2:$A$455,$A353,'RQ3'!$P$2:$P$455,"")&gt;0,"",INDEX('RQ3'!$P$2:$P$455,MATCH($A353,'RQ3'!$A$2:$A$455,0)))="","NO REGISTRADO",IF(IF(COUNTIFS('RQ3'!$A$2:$A$455,$A353,'RQ3'!$P$2:$P$455,"")&gt;0,"",INDEX('RQ3'!$P$2:$P$455,MATCH($A353,'RQ3'!$A$2:$A$455,0)))=1,"MARCA ACTIVA","SIN MARCA"))</f>
        <v/>
      </c>
      <c r="G353" s="4">
        <f>IF(IF(COUNTIFS('ESTUDIOS'!$A$2:$A$455,$A353,'ESTUDIOS'!$N$2:$N$455,"")&gt;0,"",INDEX('ESTUDIOS'!$N$2:$N$455,MATCH($A353,'ESTUDIOS'!$A$2:$A$455,0)))="Verified","DOCUMENTADA","NO DOCUMENTADA")</f>
        <v/>
      </c>
      <c r="H353" s="4">
        <f>IF(D353="PENDIENTE","Leer evidencia ya extraída; registrar uso propuesto o evaluado, función, fuente y revisor en RQ2.","Comprobar evidencia y cautelas registradas; documentar verificación sin recodificar lo ya respaldado.")</f>
        <v/>
      </c>
      <c r="I353" s="4" t="inlineStr">
        <is>
          <t>https://doi.org/10.1016/j.lfs.2025.123531</t>
        </is>
      </c>
    </row>
    <row r="354" ht="64" customHeight="1">
      <c r="A354" s="4" t="inlineStr">
        <is>
          <t>new_67</t>
        </is>
      </c>
      <c r="B354" s="4" t="inlineStr">
        <is>
          <t>Enhancing the identification of autism spectrum disorder in facial expressions using DenseResNet-Based transfer learning approach</t>
        </is>
      </c>
      <c r="C354" s="4">
        <f>IF(IF(COUNTIFS('ESTUDIOS'!$A$2:$A$455,$A354,'ESTUDIOS'!$I$2:$I$455,"")&gt;0,"",INDEX('ESTUDIOS'!$I$2:$I$455,MATCH($A354,'ESTUDIOS'!$A$2:$A$455,0)))=1,"1 - Integrity",IF(OR(IF(COUNTIFS('RQ2'!$A$2:$A$455,$A354,'RQ2'!$D$2:$D$455,"")&gt;0,"",INDEX('RQ2'!$D$2:$D$455,MATCH($A354,'RQ2'!$A$2:$A$455,0)))="",IF(COUNTIFS('RQ2'!$A$2:$A$455,$A354,'RQ2'!$E$2:$E$455,"")&gt;0,"",INDEX('RQ2'!$E$2:$E$455,MATCH($A354,'RQ2'!$A$2:$A$455,0)))=""),"2 - RQ2 historical","3 - Verify recorded evidence"))</f>
        <v/>
      </c>
      <c r="D354" s="4">
        <f>IF(OR(IF(COUNTIFS('RQ2'!$A$2:$A$455,$A354,'RQ2'!$D$2:$D$455,"")&gt;0,"",INDEX('RQ2'!$D$2:$D$455,MATCH($A354,'RQ2'!$A$2:$A$455,0)))="",IF(COUNTIFS('RQ2'!$A$2:$A$455,$A354,'RQ2'!$E$2:$E$455,"")&gt;0,"",INDEX('RQ2'!$E$2:$E$455,MATCH($A354,'RQ2'!$A$2:$A$455,0)))=""),"PENDIENTE","REGISTRADA")</f>
        <v/>
      </c>
      <c r="E354" s="4">
        <f>IF(IF(COUNTIFS('RQ1'!$A$2:$A$455,$A354,'RQ1'!$N$2:$N$455,"")&gt;0,"",INDEX('RQ1'!$N$2:$N$455,MATCH($A354,'RQ1'!$A$2:$A$455,0)))=1,"REVISAR DETALLE","REGISTRADA")</f>
        <v/>
      </c>
      <c r="F354" s="4">
        <f>IF(IF(COUNTIFS('RQ3'!$A$2:$A$455,$A354,'RQ3'!$P$2:$P$455,"")&gt;0,"",INDEX('RQ3'!$P$2:$P$455,MATCH($A354,'RQ3'!$A$2:$A$455,0)))="","NO REGISTRADO",IF(IF(COUNTIFS('RQ3'!$A$2:$A$455,$A354,'RQ3'!$P$2:$P$455,"")&gt;0,"",INDEX('RQ3'!$P$2:$P$455,MATCH($A354,'RQ3'!$A$2:$A$455,0)))=1,"MARCA ACTIVA","SIN MARCA"))</f>
        <v/>
      </c>
      <c r="G354" s="4">
        <f>IF(IF(COUNTIFS('ESTUDIOS'!$A$2:$A$455,$A354,'ESTUDIOS'!$N$2:$N$455,"")&gt;0,"",INDEX('ESTUDIOS'!$N$2:$N$455,MATCH($A354,'ESTUDIOS'!$A$2:$A$455,0)))="Verified","DOCUMENTADA","NO DOCUMENTADA")</f>
        <v/>
      </c>
      <c r="H354" s="4">
        <f>IF(D354="PENDIENTE","Leer evidencia ya extraída; registrar uso propuesto o evaluado, función, fuente y revisor en RQ2.","Comprobar evidencia y cautelas registradas; documentar verificación sin recodificar lo ya respaldado.")</f>
        <v/>
      </c>
      <c r="I354" s="4" t="inlineStr">
        <is>
          <t>https://doi.org/10.1016/j.bspc.2024.107433</t>
        </is>
      </c>
    </row>
    <row r="355" ht="64" customHeight="1">
      <c r="A355" s="4" t="inlineStr">
        <is>
          <t>new_74</t>
        </is>
      </c>
      <c r="B355" s="4" t="inlineStr">
        <is>
          <t>Deep neurocomputational fusion for ASD diagnosis using multi-domain EEG analysis</t>
        </is>
      </c>
      <c r="C355" s="4">
        <f>IF(IF(COUNTIFS('ESTUDIOS'!$A$2:$A$455,$A355,'ESTUDIOS'!$I$2:$I$455,"")&gt;0,"",INDEX('ESTUDIOS'!$I$2:$I$455,MATCH($A355,'ESTUDIOS'!$A$2:$A$455,0)))=1,"1 - Integrity",IF(OR(IF(COUNTIFS('RQ2'!$A$2:$A$455,$A355,'RQ2'!$D$2:$D$455,"")&gt;0,"",INDEX('RQ2'!$D$2:$D$455,MATCH($A355,'RQ2'!$A$2:$A$455,0)))="",IF(COUNTIFS('RQ2'!$A$2:$A$455,$A355,'RQ2'!$E$2:$E$455,"")&gt;0,"",INDEX('RQ2'!$E$2:$E$455,MATCH($A355,'RQ2'!$A$2:$A$455,0)))=""),"2 - RQ2 historical","3 - Verify recorded evidence"))</f>
        <v/>
      </c>
      <c r="D355" s="4">
        <f>IF(OR(IF(COUNTIFS('RQ2'!$A$2:$A$455,$A355,'RQ2'!$D$2:$D$455,"")&gt;0,"",INDEX('RQ2'!$D$2:$D$455,MATCH($A355,'RQ2'!$A$2:$A$455,0)))="",IF(COUNTIFS('RQ2'!$A$2:$A$455,$A355,'RQ2'!$E$2:$E$455,"")&gt;0,"",INDEX('RQ2'!$E$2:$E$455,MATCH($A355,'RQ2'!$A$2:$A$455,0)))=""),"PENDIENTE","REGISTRADA")</f>
        <v/>
      </c>
      <c r="E355" s="4">
        <f>IF(IF(COUNTIFS('RQ1'!$A$2:$A$455,$A355,'RQ1'!$N$2:$N$455,"")&gt;0,"",INDEX('RQ1'!$N$2:$N$455,MATCH($A355,'RQ1'!$A$2:$A$455,0)))=1,"REVISAR DETALLE","REGISTRADA")</f>
        <v/>
      </c>
      <c r="F355" s="4">
        <f>IF(IF(COUNTIFS('RQ3'!$A$2:$A$455,$A355,'RQ3'!$P$2:$P$455,"")&gt;0,"",INDEX('RQ3'!$P$2:$P$455,MATCH($A355,'RQ3'!$A$2:$A$455,0)))="","NO REGISTRADO",IF(IF(COUNTIFS('RQ3'!$A$2:$A$455,$A355,'RQ3'!$P$2:$P$455,"")&gt;0,"",INDEX('RQ3'!$P$2:$P$455,MATCH($A355,'RQ3'!$A$2:$A$455,0)))=1,"MARCA ACTIVA","SIN MARCA"))</f>
        <v/>
      </c>
      <c r="G355" s="4">
        <f>IF(IF(COUNTIFS('ESTUDIOS'!$A$2:$A$455,$A355,'ESTUDIOS'!$N$2:$N$455,"")&gt;0,"",INDEX('ESTUDIOS'!$N$2:$N$455,MATCH($A355,'ESTUDIOS'!$A$2:$A$455,0)))="Verified","DOCUMENTADA","NO DOCUMENTADA")</f>
        <v/>
      </c>
      <c r="H355" s="4">
        <f>IF(D355="PENDIENTE","Leer evidencia ya extraída; registrar uso propuesto o evaluado, función, fuente y revisor en RQ2.","Comprobar evidencia y cautelas registradas; documentar verificación sin recodificar lo ya respaldado.")</f>
        <v/>
      </c>
      <c r="I355" s="4" t="inlineStr">
        <is>
          <t>https://doi.org/10.1016/j.neucom.2025.130353</t>
        </is>
      </c>
    </row>
    <row r="356" ht="64" customHeight="1">
      <c r="A356" s="4" t="inlineStr">
        <is>
          <t>new_76</t>
        </is>
      </c>
      <c r="B356" s="4" t="inlineStr">
        <is>
          <t>Female autism categorization using CNN based NeuroNet57 and ant colony optimization</t>
        </is>
      </c>
      <c r="C356" s="4">
        <f>IF(IF(COUNTIFS('ESTUDIOS'!$A$2:$A$455,$A356,'ESTUDIOS'!$I$2:$I$455,"")&gt;0,"",INDEX('ESTUDIOS'!$I$2:$I$455,MATCH($A356,'ESTUDIOS'!$A$2:$A$455,0)))=1,"1 - Integrity",IF(OR(IF(COUNTIFS('RQ2'!$A$2:$A$455,$A356,'RQ2'!$D$2:$D$455,"")&gt;0,"",INDEX('RQ2'!$D$2:$D$455,MATCH($A356,'RQ2'!$A$2:$A$455,0)))="",IF(COUNTIFS('RQ2'!$A$2:$A$455,$A356,'RQ2'!$E$2:$E$455,"")&gt;0,"",INDEX('RQ2'!$E$2:$E$455,MATCH($A356,'RQ2'!$A$2:$A$455,0)))=""),"2 - RQ2 historical","3 - Verify recorded evidence"))</f>
        <v/>
      </c>
      <c r="D356" s="4">
        <f>IF(OR(IF(COUNTIFS('RQ2'!$A$2:$A$455,$A356,'RQ2'!$D$2:$D$455,"")&gt;0,"",INDEX('RQ2'!$D$2:$D$455,MATCH($A356,'RQ2'!$A$2:$A$455,0)))="",IF(COUNTIFS('RQ2'!$A$2:$A$455,$A356,'RQ2'!$E$2:$E$455,"")&gt;0,"",INDEX('RQ2'!$E$2:$E$455,MATCH($A356,'RQ2'!$A$2:$A$455,0)))=""),"PENDIENTE","REGISTRADA")</f>
        <v/>
      </c>
      <c r="E356" s="4">
        <f>IF(IF(COUNTIFS('RQ1'!$A$2:$A$455,$A356,'RQ1'!$N$2:$N$455,"")&gt;0,"",INDEX('RQ1'!$N$2:$N$455,MATCH($A356,'RQ1'!$A$2:$A$455,0)))=1,"REVISAR DETALLE","REGISTRADA")</f>
        <v/>
      </c>
      <c r="F356" s="4">
        <f>IF(IF(COUNTIFS('RQ3'!$A$2:$A$455,$A356,'RQ3'!$P$2:$P$455,"")&gt;0,"",INDEX('RQ3'!$P$2:$P$455,MATCH($A356,'RQ3'!$A$2:$A$455,0)))="","NO REGISTRADO",IF(IF(COUNTIFS('RQ3'!$A$2:$A$455,$A356,'RQ3'!$P$2:$P$455,"")&gt;0,"",INDEX('RQ3'!$P$2:$P$455,MATCH($A356,'RQ3'!$A$2:$A$455,0)))=1,"MARCA ACTIVA","SIN MARCA"))</f>
        <v/>
      </c>
      <c r="G356" s="4">
        <f>IF(IF(COUNTIFS('ESTUDIOS'!$A$2:$A$455,$A356,'ESTUDIOS'!$N$2:$N$455,"")&gt;0,"",INDEX('ESTUDIOS'!$N$2:$N$455,MATCH($A356,'ESTUDIOS'!$A$2:$A$455,0)))="Verified","DOCUMENTADA","NO DOCUMENTADA")</f>
        <v/>
      </c>
      <c r="H356" s="4">
        <f>IF(D356="PENDIENTE","Leer evidencia ya extraída; registrar uso propuesto o evaluado, función, fuente y revisor en RQ2.","Comprobar evidencia y cautelas registradas; documentar verificación sin recodificar lo ya respaldado.")</f>
        <v/>
      </c>
      <c r="I356" s="4" t="inlineStr">
        <is>
          <t>https://doi.org/10.1016/j.compbiomed.2025.109926</t>
        </is>
      </c>
    </row>
    <row r="357" ht="64" customHeight="1">
      <c r="A357" s="4" t="inlineStr">
        <is>
          <t>new_78</t>
        </is>
      </c>
      <c r="B357" s="4" t="inlineStr">
        <is>
          <t>Capsule DenseNet++: Enhanced autism detection framework with deep learning and reinforcement learning-based lifestyle recommendation</t>
        </is>
      </c>
      <c r="C357" s="4">
        <f>IF(IF(COUNTIFS('ESTUDIOS'!$A$2:$A$455,$A357,'ESTUDIOS'!$I$2:$I$455,"")&gt;0,"",INDEX('ESTUDIOS'!$I$2:$I$455,MATCH($A357,'ESTUDIOS'!$A$2:$A$455,0)))=1,"1 - Integrity",IF(OR(IF(COUNTIFS('RQ2'!$A$2:$A$455,$A357,'RQ2'!$D$2:$D$455,"")&gt;0,"",INDEX('RQ2'!$D$2:$D$455,MATCH($A357,'RQ2'!$A$2:$A$455,0)))="",IF(COUNTIFS('RQ2'!$A$2:$A$455,$A357,'RQ2'!$E$2:$E$455,"")&gt;0,"",INDEX('RQ2'!$E$2:$E$455,MATCH($A357,'RQ2'!$A$2:$A$455,0)))=""),"2 - RQ2 historical","3 - Verify recorded evidence"))</f>
        <v/>
      </c>
      <c r="D357" s="4">
        <f>IF(OR(IF(COUNTIFS('RQ2'!$A$2:$A$455,$A357,'RQ2'!$D$2:$D$455,"")&gt;0,"",INDEX('RQ2'!$D$2:$D$455,MATCH($A357,'RQ2'!$A$2:$A$455,0)))="",IF(COUNTIFS('RQ2'!$A$2:$A$455,$A357,'RQ2'!$E$2:$E$455,"")&gt;0,"",INDEX('RQ2'!$E$2:$E$455,MATCH($A357,'RQ2'!$A$2:$A$455,0)))=""),"PENDIENTE","REGISTRADA")</f>
        <v/>
      </c>
      <c r="E357" s="4">
        <f>IF(IF(COUNTIFS('RQ1'!$A$2:$A$455,$A357,'RQ1'!$N$2:$N$455,"")&gt;0,"",INDEX('RQ1'!$N$2:$N$455,MATCH($A357,'RQ1'!$A$2:$A$455,0)))=1,"REVISAR DETALLE","REGISTRADA")</f>
        <v/>
      </c>
      <c r="F357" s="4">
        <f>IF(IF(COUNTIFS('RQ3'!$A$2:$A$455,$A357,'RQ3'!$P$2:$P$455,"")&gt;0,"",INDEX('RQ3'!$P$2:$P$455,MATCH($A357,'RQ3'!$A$2:$A$455,0)))="","NO REGISTRADO",IF(IF(COUNTIFS('RQ3'!$A$2:$A$455,$A357,'RQ3'!$P$2:$P$455,"")&gt;0,"",INDEX('RQ3'!$P$2:$P$455,MATCH($A357,'RQ3'!$A$2:$A$455,0)))=1,"MARCA ACTIVA","SIN MARCA"))</f>
        <v/>
      </c>
      <c r="G357" s="4">
        <f>IF(IF(COUNTIFS('ESTUDIOS'!$A$2:$A$455,$A357,'ESTUDIOS'!$N$2:$N$455,"")&gt;0,"",INDEX('ESTUDIOS'!$N$2:$N$455,MATCH($A357,'ESTUDIOS'!$A$2:$A$455,0)))="Verified","DOCUMENTADA","NO DOCUMENTADA")</f>
        <v/>
      </c>
      <c r="H357" s="4">
        <f>IF(D357="PENDIENTE","Leer evidencia ya extraída; registrar uso propuesto o evaluado, función, fuente y revisor en RQ2.","Comprobar evidencia y cautelas registradas; documentar verificación sin recodificar lo ya respaldado.")</f>
        <v/>
      </c>
      <c r="I357" s="4" t="inlineStr">
        <is>
          <t>https://doi.org/10.1016/j.compbiomed.2025.110038</t>
        </is>
      </c>
    </row>
    <row r="358" ht="64" customHeight="1">
      <c r="A358" s="4" t="inlineStr">
        <is>
          <t>new_81</t>
        </is>
      </c>
      <c r="B358" s="4" t="inlineStr">
        <is>
          <t>Self-training EEG discrimination model with weakly supervised sample construction: An age-based perspective on ASD evaluation</t>
        </is>
      </c>
      <c r="C358" s="4">
        <f>IF(IF(COUNTIFS('ESTUDIOS'!$A$2:$A$455,$A358,'ESTUDIOS'!$I$2:$I$455,"")&gt;0,"",INDEX('ESTUDIOS'!$I$2:$I$455,MATCH($A358,'ESTUDIOS'!$A$2:$A$455,0)))=1,"1 - Integrity",IF(OR(IF(COUNTIFS('RQ2'!$A$2:$A$455,$A358,'RQ2'!$D$2:$D$455,"")&gt;0,"",INDEX('RQ2'!$D$2:$D$455,MATCH($A358,'RQ2'!$A$2:$A$455,0)))="",IF(COUNTIFS('RQ2'!$A$2:$A$455,$A358,'RQ2'!$E$2:$E$455,"")&gt;0,"",INDEX('RQ2'!$E$2:$E$455,MATCH($A358,'RQ2'!$A$2:$A$455,0)))=""),"2 - RQ2 historical","3 - Verify recorded evidence"))</f>
        <v/>
      </c>
      <c r="D358" s="4">
        <f>IF(OR(IF(COUNTIFS('RQ2'!$A$2:$A$455,$A358,'RQ2'!$D$2:$D$455,"")&gt;0,"",INDEX('RQ2'!$D$2:$D$455,MATCH($A358,'RQ2'!$A$2:$A$455,0)))="",IF(COUNTIFS('RQ2'!$A$2:$A$455,$A358,'RQ2'!$E$2:$E$455,"")&gt;0,"",INDEX('RQ2'!$E$2:$E$455,MATCH($A358,'RQ2'!$A$2:$A$455,0)))=""),"PENDIENTE","REGISTRADA")</f>
        <v/>
      </c>
      <c r="E358" s="4">
        <f>IF(IF(COUNTIFS('RQ1'!$A$2:$A$455,$A358,'RQ1'!$N$2:$N$455,"")&gt;0,"",INDEX('RQ1'!$N$2:$N$455,MATCH($A358,'RQ1'!$A$2:$A$455,0)))=1,"REVISAR DETALLE","REGISTRADA")</f>
        <v/>
      </c>
      <c r="F358" s="4">
        <f>IF(IF(COUNTIFS('RQ3'!$A$2:$A$455,$A358,'RQ3'!$P$2:$P$455,"")&gt;0,"",INDEX('RQ3'!$P$2:$P$455,MATCH($A358,'RQ3'!$A$2:$A$455,0)))="","NO REGISTRADO",IF(IF(COUNTIFS('RQ3'!$A$2:$A$455,$A358,'RQ3'!$P$2:$P$455,"")&gt;0,"",INDEX('RQ3'!$P$2:$P$455,MATCH($A358,'RQ3'!$A$2:$A$455,0)))=1,"MARCA ACTIVA","SIN MARCA"))</f>
        <v/>
      </c>
      <c r="G358" s="4">
        <f>IF(IF(COUNTIFS('ESTUDIOS'!$A$2:$A$455,$A358,'ESTUDIOS'!$N$2:$N$455,"")&gt;0,"",INDEX('ESTUDIOS'!$N$2:$N$455,MATCH($A358,'ESTUDIOS'!$A$2:$A$455,0)))="Verified","DOCUMENTADA","NO DOCUMENTADA")</f>
        <v/>
      </c>
      <c r="H358" s="4">
        <f>IF(D358="PENDIENTE","Leer evidencia ya extraída; registrar uso propuesto o evaluado, función, fuente y revisor en RQ2.","Comprobar evidencia y cautelas registradas; documentar verificación sin recodificar lo ya respaldado.")</f>
        <v/>
      </c>
      <c r="I358" s="4" t="inlineStr">
        <is>
          <t>https://doi.org/10.1016/j.neunet.2025.107337</t>
        </is>
      </c>
    </row>
    <row r="359" ht="64" customHeight="1">
      <c r="A359" s="4" t="inlineStr">
        <is>
          <t>new_84</t>
        </is>
      </c>
      <c r="B359" s="4" t="inlineStr">
        <is>
          <t>Towards screening of children students with autism spectrum disorder based on executive functions with serious game and machine learning approaches</t>
        </is>
      </c>
      <c r="C359" s="4">
        <f>IF(IF(COUNTIFS('ESTUDIOS'!$A$2:$A$455,$A359,'ESTUDIOS'!$I$2:$I$455,"")&gt;0,"",INDEX('ESTUDIOS'!$I$2:$I$455,MATCH($A359,'ESTUDIOS'!$A$2:$A$455,0)))=1,"1 - Integrity",IF(OR(IF(COUNTIFS('RQ2'!$A$2:$A$455,$A359,'RQ2'!$D$2:$D$455,"")&gt;0,"",INDEX('RQ2'!$D$2:$D$455,MATCH($A359,'RQ2'!$A$2:$A$455,0)))="",IF(COUNTIFS('RQ2'!$A$2:$A$455,$A359,'RQ2'!$E$2:$E$455,"")&gt;0,"",INDEX('RQ2'!$E$2:$E$455,MATCH($A359,'RQ2'!$A$2:$A$455,0)))=""),"2 - RQ2 historical","3 - Verify recorded evidence"))</f>
        <v/>
      </c>
      <c r="D359" s="4">
        <f>IF(OR(IF(COUNTIFS('RQ2'!$A$2:$A$455,$A359,'RQ2'!$D$2:$D$455,"")&gt;0,"",INDEX('RQ2'!$D$2:$D$455,MATCH($A359,'RQ2'!$A$2:$A$455,0)))="",IF(COUNTIFS('RQ2'!$A$2:$A$455,$A359,'RQ2'!$E$2:$E$455,"")&gt;0,"",INDEX('RQ2'!$E$2:$E$455,MATCH($A359,'RQ2'!$A$2:$A$455,0)))=""),"PENDIENTE","REGISTRADA")</f>
        <v/>
      </c>
      <c r="E359" s="4">
        <f>IF(IF(COUNTIFS('RQ1'!$A$2:$A$455,$A359,'RQ1'!$N$2:$N$455,"")&gt;0,"",INDEX('RQ1'!$N$2:$N$455,MATCH($A359,'RQ1'!$A$2:$A$455,0)))=1,"REVISAR DETALLE","REGISTRADA")</f>
        <v/>
      </c>
      <c r="F359" s="4">
        <f>IF(IF(COUNTIFS('RQ3'!$A$2:$A$455,$A359,'RQ3'!$P$2:$P$455,"")&gt;0,"",INDEX('RQ3'!$P$2:$P$455,MATCH($A359,'RQ3'!$A$2:$A$455,0)))="","NO REGISTRADO",IF(IF(COUNTIFS('RQ3'!$A$2:$A$455,$A359,'RQ3'!$P$2:$P$455,"")&gt;0,"",INDEX('RQ3'!$P$2:$P$455,MATCH($A359,'RQ3'!$A$2:$A$455,0)))=1,"MARCA ACTIVA","SIN MARCA"))</f>
        <v/>
      </c>
      <c r="G359" s="4">
        <f>IF(IF(COUNTIFS('ESTUDIOS'!$A$2:$A$455,$A359,'ESTUDIOS'!$N$2:$N$455,"")&gt;0,"",INDEX('ESTUDIOS'!$N$2:$N$455,MATCH($A359,'ESTUDIOS'!$A$2:$A$455,0)))="Verified","DOCUMENTADA","NO DOCUMENTADA")</f>
        <v/>
      </c>
      <c r="H359" s="4">
        <f>IF(D359="PENDIENTE","Leer evidencia ya extraída; registrar uso propuesto o evaluado, función, fuente y revisor en RQ2.","Comprobar evidencia y cautelas registradas; documentar verificación sin recodificar lo ya respaldado.")</f>
        <v/>
      </c>
      <c r="I359" s="4" t="inlineStr">
        <is>
          <t>https://doi.org/10.1016/j.eswa.2025.128884</t>
        </is>
      </c>
    </row>
    <row r="360" ht="64" customHeight="1">
      <c r="A360" s="4" t="inlineStr">
        <is>
          <t>new_86</t>
        </is>
      </c>
      <c r="B360" s="4" t="inlineStr">
        <is>
          <t>Optimized attention-enhanced U-Net for autism detection and region localization in MRI</t>
        </is>
      </c>
      <c r="C360" s="4">
        <f>IF(IF(COUNTIFS('ESTUDIOS'!$A$2:$A$455,$A360,'ESTUDIOS'!$I$2:$I$455,"")&gt;0,"",INDEX('ESTUDIOS'!$I$2:$I$455,MATCH($A360,'ESTUDIOS'!$A$2:$A$455,0)))=1,"1 - Integrity",IF(OR(IF(COUNTIFS('RQ2'!$A$2:$A$455,$A360,'RQ2'!$D$2:$D$455,"")&gt;0,"",INDEX('RQ2'!$D$2:$D$455,MATCH($A360,'RQ2'!$A$2:$A$455,0)))="",IF(COUNTIFS('RQ2'!$A$2:$A$455,$A360,'RQ2'!$E$2:$E$455,"")&gt;0,"",INDEX('RQ2'!$E$2:$E$455,MATCH($A360,'RQ2'!$A$2:$A$455,0)))=""),"2 - RQ2 historical","3 - Verify recorded evidence"))</f>
        <v/>
      </c>
      <c r="D360" s="4">
        <f>IF(OR(IF(COUNTIFS('RQ2'!$A$2:$A$455,$A360,'RQ2'!$D$2:$D$455,"")&gt;0,"",INDEX('RQ2'!$D$2:$D$455,MATCH($A360,'RQ2'!$A$2:$A$455,0)))="",IF(COUNTIFS('RQ2'!$A$2:$A$455,$A360,'RQ2'!$E$2:$E$455,"")&gt;0,"",INDEX('RQ2'!$E$2:$E$455,MATCH($A360,'RQ2'!$A$2:$A$455,0)))=""),"PENDIENTE","REGISTRADA")</f>
        <v/>
      </c>
      <c r="E360" s="4">
        <f>IF(IF(COUNTIFS('RQ1'!$A$2:$A$455,$A360,'RQ1'!$N$2:$N$455,"")&gt;0,"",INDEX('RQ1'!$N$2:$N$455,MATCH($A360,'RQ1'!$A$2:$A$455,0)))=1,"REVISAR DETALLE","REGISTRADA")</f>
        <v/>
      </c>
      <c r="F360" s="4">
        <f>IF(IF(COUNTIFS('RQ3'!$A$2:$A$455,$A360,'RQ3'!$P$2:$P$455,"")&gt;0,"",INDEX('RQ3'!$P$2:$P$455,MATCH($A360,'RQ3'!$A$2:$A$455,0)))="","NO REGISTRADO",IF(IF(COUNTIFS('RQ3'!$A$2:$A$455,$A360,'RQ3'!$P$2:$P$455,"")&gt;0,"",INDEX('RQ3'!$P$2:$P$455,MATCH($A360,'RQ3'!$A$2:$A$455,0)))=1,"MARCA ACTIVA","SIN MARCA"))</f>
        <v/>
      </c>
      <c r="G360" s="4">
        <f>IF(IF(COUNTIFS('ESTUDIOS'!$A$2:$A$455,$A360,'ESTUDIOS'!$N$2:$N$455,"")&gt;0,"",INDEX('ESTUDIOS'!$N$2:$N$455,MATCH($A360,'ESTUDIOS'!$A$2:$A$455,0)))="Verified","DOCUMENTADA","NO DOCUMENTADA")</f>
        <v/>
      </c>
      <c r="H360" s="4">
        <f>IF(D360="PENDIENTE","Leer evidencia ya extraída; registrar uso propuesto o evaluado, función, fuente y revisor en RQ2.","Comprobar evidencia y cautelas registradas; documentar verificación sin recodificar lo ya respaldado.")</f>
        <v/>
      </c>
      <c r="I360" s="4" t="inlineStr">
        <is>
          <t>https://doi.org/10.1016/j.pscychresns.2025.111970</t>
        </is>
      </c>
    </row>
    <row r="361" ht="64" customHeight="1">
      <c r="A361" s="4" t="inlineStr">
        <is>
          <t>new_97</t>
        </is>
      </c>
      <c r="B361" s="4" t="inlineStr">
        <is>
          <t>Child-therapist acoustic synchrony and response trajectories in autism intervention: an AI-based automated analysis using dynamic systems theory and affective computing</t>
        </is>
      </c>
      <c r="C361" s="4">
        <f>IF(IF(COUNTIFS('ESTUDIOS'!$A$2:$A$455,$A361,'ESTUDIOS'!$I$2:$I$455,"")&gt;0,"",INDEX('ESTUDIOS'!$I$2:$I$455,MATCH($A361,'ESTUDIOS'!$A$2:$A$455,0)))=1,"1 - Integrity",IF(OR(IF(COUNTIFS('RQ2'!$A$2:$A$455,$A361,'RQ2'!$D$2:$D$455,"")&gt;0,"",INDEX('RQ2'!$D$2:$D$455,MATCH($A361,'RQ2'!$A$2:$A$455,0)))="",IF(COUNTIFS('RQ2'!$A$2:$A$455,$A361,'RQ2'!$E$2:$E$455,"")&gt;0,"",INDEX('RQ2'!$E$2:$E$455,MATCH($A361,'RQ2'!$A$2:$A$455,0)))=""),"2 - RQ2 historical","3 - Verify recorded evidence"))</f>
        <v/>
      </c>
      <c r="D361" s="4">
        <f>IF(OR(IF(COUNTIFS('RQ2'!$A$2:$A$455,$A361,'RQ2'!$D$2:$D$455,"")&gt;0,"",INDEX('RQ2'!$D$2:$D$455,MATCH($A361,'RQ2'!$A$2:$A$455,0)))="",IF(COUNTIFS('RQ2'!$A$2:$A$455,$A361,'RQ2'!$E$2:$E$455,"")&gt;0,"",INDEX('RQ2'!$E$2:$E$455,MATCH($A361,'RQ2'!$A$2:$A$455,0)))=""),"PENDIENTE","REGISTRADA")</f>
        <v/>
      </c>
      <c r="E361" s="4">
        <f>IF(IF(COUNTIFS('RQ1'!$A$2:$A$455,$A361,'RQ1'!$N$2:$N$455,"")&gt;0,"",INDEX('RQ1'!$N$2:$N$455,MATCH($A361,'RQ1'!$A$2:$A$455,0)))=1,"REVISAR DETALLE","REGISTRADA")</f>
        <v/>
      </c>
      <c r="F361" s="4">
        <f>IF(IF(COUNTIFS('RQ3'!$A$2:$A$455,$A361,'RQ3'!$P$2:$P$455,"")&gt;0,"",INDEX('RQ3'!$P$2:$P$455,MATCH($A361,'RQ3'!$A$2:$A$455,0)))="","NO REGISTRADO",IF(IF(COUNTIFS('RQ3'!$A$2:$A$455,$A361,'RQ3'!$P$2:$P$455,"")&gt;0,"",INDEX('RQ3'!$P$2:$P$455,MATCH($A361,'RQ3'!$A$2:$A$455,0)))=1,"MARCA ACTIVA","SIN MARCA"))</f>
        <v/>
      </c>
      <c r="G361" s="4">
        <f>IF(IF(COUNTIFS('ESTUDIOS'!$A$2:$A$455,$A361,'ESTUDIOS'!$N$2:$N$455,"")&gt;0,"",INDEX('ESTUDIOS'!$N$2:$N$455,MATCH($A361,'ESTUDIOS'!$A$2:$A$455,0)))="Verified","DOCUMENTADA","NO DOCUMENTADA")</f>
        <v/>
      </c>
      <c r="H361" s="4">
        <f>IF(D361="PENDIENTE","Leer evidencia ya extraída; registrar uso propuesto o evaluado, función, fuente y revisor en RQ2.","Comprobar evidencia y cautelas registradas; documentar verificación sin recodificar lo ya respaldado.")</f>
        <v/>
      </c>
      <c r="I361" s="4" t="inlineStr">
        <is>
          <t>https://doi.org/10.1016/j.etdah.2025.100176</t>
        </is>
      </c>
    </row>
    <row r="362" ht="64" customHeight="1">
      <c r="A362" s="4" t="inlineStr">
        <is>
          <t>new_103</t>
        </is>
      </c>
      <c r="B362" s="4" t="inlineStr">
        <is>
          <t>Early fusion for Autism classification with biomarker detection using rs-fMRI and phenotypic data</t>
        </is>
      </c>
      <c r="C362" s="4">
        <f>IF(IF(COUNTIFS('ESTUDIOS'!$A$2:$A$455,$A362,'ESTUDIOS'!$I$2:$I$455,"")&gt;0,"",INDEX('ESTUDIOS'!$I$2:$I$455,MATCH($A362,'ESTUDIOS'!$A$2:$A$455,0)))=1,"1 - Integrity",IF(OR(IF(COUNTIFS('RQ2'!$A$2:$A$455,$A362,'RQ2'!$D$2:$D$455,"")&gt;0,"",INDEX('RQ2'!$D$2:$D$455,MATCH($A362,'RQ2'!$A$2:$A$455,0)))="",IF(COUNTIFS('RQ2'!$A$2:$A$455,$A362,'RQ2'!$E$2:$E$455,"")&gt;0,"",INDEX('RQ2'!$E$2:$E$455,MATCH($A362,'RQ2'!$A$2:$A$455,0)))=""),"2 - RQ2 historical","3 - Verify recorded evidence"))</f>
        <v/>
      </c>
      <c r="D362" s="4">
        <f>IF(OR(IF(COUNTIFS('RQ2'!$A$2:$A$455,$A362,'RQ2'!$D$2:$D$455,"")&gt;0,"",INDEX('RQ2'!$D$2:$D$455,MATCH($A362,'RQ2'!$A$2:$A$455,0)))="",IF(COUNTIFS('RQ2'!$A$2:$A$455,$A362,'RQ2'!$E$2:$E$455,"")&gt;0,"",INDEX('RQ2'!$E$2:$E$455,MATCH($A362,'RQ2'!$A$2:$A$455,0)))=""),"PENDIENTE","REGISTRADA")</f>
        <v/>
      </c>
      <c r="E362" s="4">
        <f>IF(IF(COUNTIFS('RQ1'!$A$2:$A$455,$A362,'RQ1'!$N$2:$N$455,"")&gt;0,"",INDEX('RQ1'!$N$2:$N$455,MATCH($A362,'RQ1'!$A$2:$A$455,0)))=1,"REVISAR DETALLE","REGISTRADA")</f>
        <v/>
      </c>
      <c r="F362" s="4">
        <f>IF(IF(COUNTIFS('RQ3'!$A$2:$A$455,$A362,'RQ3'!$P$2:$P$455,"")&gt;0,"",INDEX('RQ3'!$P$2:$P$455,MATCH($A362,'RQ3'!$A$2:$A$455,0)))="","NO REGISTRADO",IF(IF(COUNTIFS('RQ3'!$A$2:$A$455,$A362,'RQ3'!$P$2:$P$455,"")&gt;0,"",INDEX('RQ3'!$P$2:$P$455,MATCH($A362,'RQ3'!$A$2:$A$455,0)))=1,"MARCA ACTIVA","SIN MARCA"))</f>
        <v/>
      </c>
      <c r="G362" s="4">
        <f>IF(IF(COUNTIFS('ESTUDIOS'!$A$2:$A$455,$A362,'ESTUDIOS'!$N$2:$N$455,"")&gt;0,"",INDEX('ESTUDIOS'!$N$2:$N$455,MATCH($A362,'ESTUDIOS'!$A$2:$A$455,0)))="Verified","DOCUMENTADA","NO DOCUMENTADA")</f>
        <v/>
      </c>
      <c r="H362" s="4">
        <f>IF(D362="PENDIENTE","Leer evidencia ya extraída; registrar uso propuesto o evaluado, función, fuente y revisor en RQ2.","Comprobar evidencia y cautelas registradas; documentar verificación sin recodificar lo ya respaldado.")</f>
        <v/>
      </c>
      <c r="I362" s="4" t="inlineStr">
        <is>
          <t>https://doi.org/10.1016/j.bspc.2025.108020</t>
        </is>
      </c>
    </row>
    <row r="363" ht="64" customHeight="1">
      <c r="A363" s="4" t="inlineStr">
        <is>
          <t>new_110</t>
        </is>
      </c>
      <c r="B363" s="4" t="inlineStr">
        <is>
          <t>A deep learning model for diagnosing autism using brain time series</t>
        </is>
      </c>
      <c r="C363" s="4">
        <f>IF(IF(COUNTIFS('ESTUDIOS'!$A$2:$A$455,$A363,'ESTUDIOS'!$I$2:$I$455,"")&gt;0,"",INDEX('ESTUDIOS'!$I$2:$I$455,MATCH($A363,'ESTUDIOS'!$A$2:$A$455,0)))=1,"1 - Integrity",IF(OR(IF(COUNTIFS('RQ2'!$A$2:$A$455,$A363,'RQ2'!$D$2:$D$455,"")&gt;0,"",INDEX('RQ2'!$D$2:$D$455,MATCH($A363,'RQ2'!$A$2:$A$455,0)))="",IF(COUNTIFS('RQ2'!$A$2:$A$455,$A363,'RQ2'!$E$2:$E$455,"")&gt;0,"",INDEX('RQ2'!$E$2:$E$455,MATCH($A363,'RQ2'!$A$2:$A$455,0)))=""),"2 - RQ2 historical","3 - Verify recorded evidence"))</f>
        <v/>
      </c>
      <c r="D363" s="4">
        <f>IF(OR(IF(COUNTIFS('RQ2'!$A$2:$A$455,$A363,'RQ2'!$D$2:$D$455,"")&gt;0,"",INDEX('RQ2'!$D$2:$D$455,MATCH($A363,'RQ2'!$A$2:$A$455,0)))="",IF(COUNTIFS('RQ2'!$A$2:$A$455,$A363,'RQ2'!$E$2:$E$455,"")&gt;0,"",INDEX('RQ2'!$E$2:$E$455,MATCH($A363,'RQ2'!$A$2:$A$455,0)))=""),"PENDIENTE","REGISTRADA")</f>
        <v/>
      </c>
      <c r="E363" s="4">
        <f>IF(IF(COUNTIFS('RQ1'!$A$2:$A$455,$A363,'RQ1'!$N$2:$N$455,"")&gt;0,"",INDEX('RQ1'!$N$2:$N$455,MATCH($A363,'RQ1'!$A$2:$A$455,0)))=1,"REVISAR DETALLE","REGISTRADA")</f>
        <v/>
      </c>
      <c r="F363" s="4">
        <f>IF(IF(COUNTIFS('RQ3'!$A$2:$A$455,$A363,'RQ3'!$P$2:$P$455,"")&gt;0,"",INDEX('RQ3'!$P$2:$P$455,MATCH($A363,'RQ3'!$A$2:$A$455,0)))="","NO REGISTRADO",IF(IF(COUNTIFS('RQ3'!$A$2:$A$455,$A363,'RQ3'!$P$2:$P$455,"")&gt;0,"",INDEX('RQ3'!$P$2:$P$455,MATCH($A363,'RQ3'!$A$2:$A$455,0)))=1,"MARCA ACTIVA","SIN MARCA"))</f>
        <v/>
      </c>
      <c r="G363" s="4">
        <f>IF(IF(COUNTIFS('ESTUDIOS'!$A$2:$A$455,$A363,'ESTUDIOS'!$N$2:$N$455,"")&gt;0,"",INDEX('ESTUDIOS'!$N$2:$N$455,MATCH($A363,'ESTUDIOS'!$A$2:$A$455,0)))="Verified","DOCUMENTADA","NO DOCUMENTADA")</f>
        <v/>
      </c>
      <c r="H363" s="4">
        <f>IF(D363="PENDIENTE","Leer evidencia ya extraída; registrar uso propuesto o evaluado, función, fuente y revisor en RQ2.","Comprobar evidencia y cautelas registradas; documentar verificación sin recodificar lo ya respaldado.")</f>
        <v/>
      </c>
      <c r="I363" s="4" t="inlineStr">
        <is>
          <t>https://doi.org/10.1016/j.neuroscience.2025.08.001</t>
        </is>
      </c>
    </row>
    <row r="364" ht="64" customHeight="1">
      <c r="A364" s="4" t="inlineStr">
        <is>
          <t>new_118</t>
        </is>
      </c>
      <c r="B364" s="4" t="inlineStr">
        <is>
          <t>Massively parallel characterization of non-coding de novo mutations in autism spectrum disorder</t>
        </is>
      </c>
      <c r="C364" s="4">
        <f>IF(IF(COUNTIFS('ESTUDIOS'!$A$2:$A$455,$A364,'ESTUDIOS'!$I$2:$I$455,"")&gt;0,"",INDEX('ESTUDIOS'!$I$2:$I$455,MATCH($A364,'ESTUDIOS'!$A$2:$A$455,0)))=1,"1 - Integrity",IF(OR(IF(COUNTIFS('RQ2'!$A$2:$A$455,$A364,'RQ2'!$D$2:$D$455,"")&gt;0,"",INDEX('RQ2'!$D$2:$D$455,MATCH($A364,'RQ2'!$A$2:$A$455,0)))="",IF(COUNTIFS('RQ2'!$A$2:$A$455,$A364,'RQ2'!$E$2:$E$455,"")&gt;0,"",INDEX('RQ2'!$E$2:$E$455,MATCH($A364,'RQ2'!$A$2:$A$455,0)))=""),"2 - RQ2 historical","3 - Verify recorded evidence"))</f>
        <v/>
      </c>
      <c r="D364" s="4">
        <f>IF(OR(IF(COUNTIFS('RQ2'!$A$2:$A$455,$A364,'RQ2'!$D$2:$D$455,"")&gt;0,"",INDEX('RQ2'!$D$2:$D$455,MATCH($A364,'RQ2'!$A$2:$A$455,0)))="",IF(COUNTIFS('RQ2'!$A$2:$A$455,$A364,'RQ2'!$E$2:$E$455,"")&gt;0,"",INDEX('RQ2'!$E$2:$E$455,MATCH($A364,'RQ2'!$A$2:$A$455,0)))=""),"PENDIENTE","REGISTRADA")</f>
        <v/>
      </c>
      <c r="E364" s="4">
        <f>IF(IF(COUNTIFS('RQ1'!$A$2:$A$455,$A364,'RQ1'!$N$2:$N$455,"")&gt;0,"",INDEX('RQ1'!$N$2:$N$455,MATCH($A364,'RQ1'!$A$2:$A$455,0)))=1,"REVISAR DETALLE","REGISTRADA")</f>
        <v/>
      </c>
      <c r="F364" s="4">
        <f>IF(IF(COUNTIFS('RQ3'!$A$2:$A$455,$A364,'RQ3'!$P$2:$P$455,"")&gt;0,"",INDEX('RQ3'!$P$2:$P$455,MATCH($A364,'RQ3'!$A$2:$A$455,0)))="","NO REGISTRADO",IF(IF(COUNTIFS('RQ3'!$A$2:$A$455,$A364,'RQ3'!$P$2:$P$455,"")&gt;0,"",INDEX('RQ3'!$P$2:$P$455,MATCH($A364,'RQ3'!$A$2:$A$455,0)))=1,"MARCA ACTIVA","SIN MARCA"))</f>
        <v/>
      </c>
      <c r="G364" s="4">
        <f>IF(IF(COUNTIFS('ESTUDIOS'!$A$2:$A$455,$A364,'ESTUDIOS'!$N$2:$N$455,"")&gt;0,"",INDEX('ESTUDIOS'!$N$2:$N$455,MATCH($A364,'ESTUDIOS'!$A$2:$A$455,0)))="Verified","DOCUMENTADA","NO DOCUMENTADA")</f>
        <v/>
      </c>
      <c r="H364" s="4">
        <f>IF(D364="PENDIENTE","Leer evidencia ya extraída; registrar uso propuesto o evaluado, función, fuente y revisor en RQ2.","Comprobar evidencia y cautelas registradas; documentar verificación sin recodificar lo ya respaldado.")</f>
        <v/>
      </c>
      <c r="I364" s="4" t="inlineStr">
        <is>
          <t>https://doi.org/10.1016/j.jgg.2025.07.008</t>
        </is>
      </c>
    </row>
    <row r="365" ht="64" customHeight="1">
      <c r="A365" s="4" t="inlineStr">
        <is>
          <t>new_122</t>
        </is>
      </c>
      <c r="B365" s="4" t="inlineStr">
        <is>
          <t>A novel hybrid deep learning model using MEResNextfor autism spectrum disorder detection</t>
        </is>
      </c>
      <c r="C365" s="4">
        <f>IF(IF(COUNTIFS('ESTUDIOS'!$A$2:$A$455,$A365,'ESTUDIOS'!$I$2:$I$455,"")&gt;0,"",INDEX('ESTUDIOS'!$I$2:$I$455,MATCH($A365,'ESTUDIOS'!$A$2:$A$455,0)))=1,"1 - Integrity",IF(OR(IF(COUNTIFS('RQ2'!$A$2:$A$455,$A365,'RQ2'!$D$2:$D$455,"")&gt;0,"",INDEX('RQ2'!$D$2:$D$455,MATCH($A365,'RQ2'!$A$2:$A$455,0)))="",IF(COUNTIFS('RQ2'!$A$2:$A$455,$A365,'RQ2'!$E$2:$E$455,"")&gt;0,"",INDEX('RQ2'!$E$2:$E$455,MATCH($A365,'RQ2'!$A$2:$A$455,0)))=""),"2 - RQ2 historical","3 - Verify recorded evidence"))</f>
        <v/>
      </c>
      <c r="D365" s="4">
        <f>IF(OR(IF(COUNTIFS('RQ2'!$A$2:$A$455,$A365,'RQ2'!$D$2:$D$455,"")&gt;0,"",INDEX('RQ2'!$D$2:$D$455,MATCH($A365,'RQ2'!$A$2:$A$455,0)))="",IF(COUNTIFS('RQ2'!$A$2:$A$455,$A365,'RQ2'!$E$2:$E$455,"")&gt;0,"",INDEX('RQ2'!$E$2:$E$455,MATCH($A365,'RQ2'!$A$2:$A$455,0)))=""),"PENDIENTE","REGISTRADA")</f>
        <v/>
      </c>
      <c r="E365" s="4">
        <f>IF(IF(COUNTIFS('RQ1'!$A$2:$A$455,$A365,'RQ1'!$N$2:$N$455,"")&gt;0,"",INDEX('RQ1'!$N$2:$N$455,MATCH($A365,'RQ1'!$A$2:$A$455,0)))=1,"REVISAR DETALLE","REGISTRADA")</f>
        <v/>
      </c>
      <c r="F365" s="4">
        <f>IF(IF(COUNTIFS('RQ3'!$A$2:$A$455,$A365,'RQ3'!$P$2:$P$455,"")&gt;0,"",INDEX('RQ3'!$P$2:$P$455,MATCH($A365,'RQ3'!$A$2:$A$455,0)))="","NO REGISTRADO",IF(IF(COUNTIFS('RQ3'!$A$2:$A$455,$A365,'RQ3'!$P$2:$P$455,"")&gt;0,"",INDEX('RQ3'!$P$2:$P$455,MATCH($A365,'RQ3'!$A$2:$A$455,0)))=1,"MARCA ACTIVA","SIN MARCA"))</f>
        <v/>
      </c>
      <c r="G365" s="4">
        <f>IF(IF(COUNTIFS('ESTUDIOS'!$A$2:$A$455,$A365,'ESTUDIOS'!$N$2:$N$455,"")&gt;0,"",INDEX('ESTUDIOS'!$N$2:$N$455,MATCH($A365,'ESTUDIOS'!$A$2:$A$455,0)))="Verified","DOCUMENTADA","NO DOCUMENTADA")</f>
        <v/>
      </c>
      <c r="H365" s="4">
        <f>IF(D365="PENDIENTE","Leer evidencia ya extraída; registrar uso propuesto o evaluado, función, fuente y revisor en RQ2.","Comprobar evidencia y cautelas registradas; documentar verificación sin recodificar lo ya respaldado.")</f>
        <v/>
      </c>
      <c r="I365" s="4" t="inlineStr">
        <is>
          <t>https://doi.org/10.1016/j.compbiolchem.2025.108619</t>
        </is>
      </c>
    </row>
    <row r="366" ht="64" customHeight="1">
      <c r="A366" s="4" t="inlineStr">
        <is>
          <t>new_123</t>
        </is>
      </c>
      <c r="B366" s="4" t="inlineStr">
        <is>
          <t>FaithfulNet: An explainable deep learning framework for autism diagnosis using structural MRI</t>
        </is>
      </c>
      <c r="C366" s="4">
        <f>IF(IF(COUNTIFS('ESTUDIOS'!$A$2:$A$455,$A366,'ESTUDIOS'!$I$2:$I$455,"")&gt;0,"",INDEX('ESTUDIOS'!$I$2:$I$455,MATCH($A366,'ESTUDIOS'!$A$2:$A$455,0)))=1,"1 - Integrity",IF(OR(IF(COUNTIFS('RQ2'!$A$2:$A$455,$A366,'RQ2'!$D$2:$D$455,"")&gt;0,"",INDEX('RQ2'!$D$2:$D$455,MATCH($A366,'RQ2'!$A$2:$A$455,0)))="",IF(COUNTIFS('RQ2'!$A$2:$A$455,$A366,'RQ2'!$E$2:$E$455,"")&gt;0,"",INDEX('RQ2'!$E$2:$E$455,MATCH($A366,'RQ2'!$A$2:$A$455,0)))=""),"2 - RQ2 historical","3 - Verify recorded evidence"))</f>
        <v/>
      </c>
      <c r="D366" s="4">
        <f>IF(OR(IF(COUNTIFS('RQ2'!$A$2:$A$455,$A366,'RQ2'!$D$2:$D$455,"")&gt;0,"",INDEX('RQ2'!$D$2:$D$455,MATCH($A366,'RQ2'!$A$2:$A$455,0)))="",IF(COUNTIFS('RQ2'!$A$2:$A$455,$A366,'RQ2'!$E$2:$E$455,"")&gt;0,"",INDEX('RQ2'!$E$2:$E$455,MATCH($A366,'RQ2'!$A$2:$A$455,0)))=""),"PENDIENTE","REGISTRADA")</f>
        <v/>
      </c>
      <c r="E366" s="4">
        <f>IF(IF(COUNTIFS('RQ1'!$A$2:$A$455,$A366,'RQ1'!$N$2:$N$455,"")&gt;0,"",INDEX('RQ1'!$N$2:$N$455,MATCH($A366,'RQ1'!$A$2:$A$455,0)))=1,"REVISAR DETALLE","REGISTRADA")</f>
        <v/>
      </c>
      <c r="F366" s="4">
        <f>IF(IF(COUNTIFS('RQ3'!$A$2:$A$455,$A366,'RQ3'!$P$2:$P$455,"")&gt;0,"",INDEX('RQ3'!$P$2:$P$455,MATCH($A366,'RQ3'!$A$2:$A$455,0)))="","NO REGISTRADO",IF(IF(COUNTIFS('RQ3'!$A$2:$A$455,$A366,'RQ3'!$P$2:$P$455,"")&gt;0,"",INDEX('RQ3'!$P$2:$P$455,MATCH($A366,'RQ3'!$A$2:$A$455,0)))=1,"MARCA ACTIVA","SIN MARCA"))</f>
        <v/>
      </c>
      <c r="G366" s="4">
        <f>IF(IF(COUNTIFS('ESTUDIOS'!$A$2:$A$455,$A366,'ESTUDIOS'!$N$2:$N$455,"")&gt;0,"",INDEX('ESTUDIOS'!$N$2:$N$455,MATCH($A366,'ESTUDIOS'!$A$2:$A$455,0)))="Verified","DOCUMENTADA","NO DOCUMENTADA")</f>
        <v/>
      </c>
      <c r="H366" s="4">
        <f>IF(D366="PENDIENTE","Leer evidencia ya extraída; registrar uso propuesto o evaluado, función, fuente y revisor en RQ2.","Comprobar evidencia y cautelas registradas; documentar verificación sin recodificar lo ya respaldado.")</f>
        <v/>
      </c>
      <c r="I366" s="4" t="inlineStr">
        <is>
          <t>https://doi.org/10.1016/j.brainres.2025.149904</t>
        </is>
      </c>
    </row>
    <row r="367" ht="64" customHeight="1">
      <c r="A367" s="4" t="inlineStr">
        <is>
          <t>new_126</t>
        </is>
      </c>
      <c r="B367" s="4" t="inlineStr">
        <is>
          <t>CARE: Comprehensive Artificial Intelligence Techniques for Reliable Autism Evaluation in Pediatric Care</t>
        </is>
      </c>
      <c r="C367" s="4">
        <f>IF(IF(COUNTIFS('ESTUDIOS'!$A$2:$A$455,$A367,'ESTUDIOS'!$I$2:$I$455,"")&gt;0,"",INDEX('ESTUDIOS'!$I$2:$I$455,MATCH($A367,'ESTUDIOS'!$A$2:$A$455,0)))=1,"1 - Integrity",IF(OR(IF(COUNTIFS('RQ2'!$A$2:$A$455,$A367,'RQ2'!$D$2:$D$455,"")&gt;0,"",INDEX('RQ2'!$D$2:$D$455,MATCH($A367,'RQ2'!$A$2:$A$455,0)))="",IF(COUNTIFS('RQ2'!$A$2:$A$455,$A367,'RQ2'!$E$2:$E$455,"")&gt;0,"",INDEX('RQ2'!$E$2:$E$455,MATCH($A367,'RQ2'!$A$2:$A$455,0)))=""),"2 - RQ2 historical","3 - Verify recorded evidence"))</f>
        <v/>
      </c>
      <c r="D367" s="4">
        <f>IF(OR(IF(COUNTIFS('RQ2'!$A$2:$A$455,$A367,'RQ2'!$D$2:$D$455,"")&gt;0,"",INDEX('RQ2'!$D$2:$D$455,MATCH($A367,'RQ2'!$A$2:$A$455,0)))="",IF(COUNTIFS('RQ2'!$A$2:$A$455,$A367,'RQ2'!$E$2:$E$455,"")&gt;0,"",INDEX('RQ2'!$E$2:$E$455,MATCH($A367,'RQ2'!$A$2:$A$455,0)))=""),"PENDIENTE","REGISTRADA")</f>
        <v/>
      </c>
      <c r="E367" s="4">
        <f>IF(IF(COUNTIFS('RQ1'!$A$2:$A$455,$A367,'RQ1'!$N$2:$N$455,"")&gt;0,"",INDEX('RQ1'!$N$2:$N$455,MATCH($A367,'RQ1'!$A$2:$A$455,0)))=1,"REVISAR DETALLE","REGISTRADA")</f>
        <v/>
      </c>
      <c r="F367" s="4">
        <f>IF(IF(COUNTIFS('RQ3'!$A$2:$A$455,$A367,'RQ3'!$P$2:$P$455,"")&gt;0,"",INDEX('RQ3'!$P$2:$P$455,MATCH($A367,'RQ3'!$A$2:$A$455,0)))="","NO REGISTRADO",IF(IF(COUNTIFS('RQ3'!$A$2:$A$455,$A367,'RQ3'!$P$2:$P$455,"")&gt;0,"",INDEX('RQ3'!$P$2:$P$455,MATCH($A367,'RQ3'!$A$2:$A$455,0)))=1,"MARCA ACTIVA","SIN MARCA"))</f>
        <v/>
      </c>
      <c r="G367" s="4">
        <f>IF(IF(COUNTIFS('ESTUDIOS'!$A$2:$A$455,$A367,'ESTUDIOS'!$N$2:$N$455,"")&gt;0,"",INDEX('ESTUDIOS'!$N$2:$N$455,MATCH($A367,'ESTUDIOS'!$A$2:$A$455,0)))="Verified","DOCUMENTADA","NO DOCUMENTADA")</f>
        <v/>
      </c>
      <c r="H367" s="4">
        <f>IF(D367="PENDIENTE","Leer evidencia ya extraída; registrar uso propuesto o evaluado, función, fuente y revisor en RQ2.","Comprobar evidencia y cautelas registradas; documentar verificación sin recodificar lo ya respaldado.")</f>
        <v/>
      </c>
      <c r="I367" s="4" t="inlineStr">
        <is>
          <t>https://doi.org/10.32604/cmc.2025.067784</t>
        </is>
      </c>
    </row>
    <row r="368" ht="64" customHeight="1">
      <c r="A368" s="4" t="inlineStr">
        <is>
          <t>new_134</t>
        </is>
      </c>
      <c r="B368" s="4" t="inlineStr">
        <is>
          <t>ASD-HybridNet: A hybrid deep learning framework for detection of autism spectrum disorder</t>
        </is>
      </c>
      <c r="C368" s="4">
        <f>IF(IF(COUNTIFS('ESTUDIOS'!$A$2:$A$455,$A368,'ESTUDIOS'!$I$2:$I$455,"")&gt;0,"",INDEX('ESTUDIOS'!$I$2:$I$455,MATCH($A368,'ESTUDIOS'!$A$2:$A$455,0)))=1,"1 - Integrity",IF(OR(IF(COUNTIFS('RQ2'!$A$2:$A$455,$A368,'RQ2'!$D$2:$D$455,"")&gt;0,"",INDEX('RQ2'!$D$2:$D$455,MATCH($A368,'RQ2'!$A$2:$A$455,0)))="",IF(COUNTIFS('RQ2'!$A$2:$A$455,$A368,'RQ2'!$E$2:$E$455,"")&gt;0,"",INDEX('RQ2'!$E$2:$E$455,MATCH($A368,'RQ2'!$A$2:$A$455,0)))=""),"2 - RQ2 historical","3 - Verify recorded evidence"))</f>
        <v/>
      </c>
      <c r="D368" s="4">
        <f>IF(OR(IF(COUNTIFS('RQ2'!$A$2:$A$455,$A368,'RQ2'!$D$2:$D$455,"")&gt;0,"",INDEX('RQ2'!$D$2:$D$455,MATCH($A368,'RQ2'!$A$2:$A$455,0)))="",IF(COUNTIFS('RQ2'!$A$2:$A$455,$A368,'RQ2'!$E$2:$E$455,"")&gt;0,"",INDEX('RQ2'!$E$2:$E$455,MATCH($A368,'RQ2'!$A$2:$A$455,0)))=""),"PENDIENTE","REGISTRADA")</f>
        <v/>
      </c>
      <c r="E368" s="4">
        <f>IF(IF(COUNTIFS('RQ1'!$A$2:$A$455,$A368,'RQ1'!$N$2:$N$455,"")&gt;0,"",INDEX('RQ1'!$N$2:$N$455,MATCH($A368,'RQ1'!$A$2:$A$455,0)))=1,"REVISAR DETALLE","REGISTRADA")</f>
        <v/>
      </c>
      <c r="F368" s="4">
        <f>IF(IF(COUNTIFS('RQ3'!$A$2:$A$455,$A368,'RQ3'!$P$2:$P$455,"")&gt;0,"",INDEX('RQ3'!$P$2:$P$455,MATCH($A368,'RQ3'!$A$2:$A$455,0)))="","NO REGISTRADO",IF(IF(COUNTIFS('RQ3'!$A$2:$A$455,$A368,'RQ3'!$P$2:$P$455,"")&gt;0,"",INDEX('RQ3'!$P$2:$P$455,MATCH($A368,'RQ3'!$A$2:$A$455,0)))=1,"MARCA ACTIVA","SIN MARCA"))</f>
        <v/>
      </c>
      <c r="G368" s="4">
        <f>IF(IF(COUNTIFS('ESTUDIOS'!$A$2:$A$455,$A368,'ESTUDIOS'!$N$2:$N$455,"")&gt;0,"",INDEX('ESTUDIOS'!$N$2:$N$455,MATCH($A368,'ESTUDIOS'!$A$2:$A$455,0)))="Verified","DOCUMENTADA","NO DOCUMENTADA")</f>
        <v/>
      </c>
      <c r="H368" s="4">
        <f>IF(D368="PENDIENTE","Leer evidencia ya extraída; registrar uso propuesto o evaluado, función, fuente y revisor en RQ2.","Comprobar evidencia y cautelas registradas; documentar verificación sin recodificar lo ya respaldado.")</f>
        <v/>
      </c>
      <c r="I368" s="4" t="inlineStr">
        <is>
          <t>https://doi.org/10.1016/j.mri.2025.110492</t>
        </is>
      </c>
    </row>
    <row r="369" ht="64" customHeight="1">
      <c r="A369" s="4" t="inlineStr">
        <is>
          <t>new_146</t>
        </is>
      </c>
      <c r="B369" s="4" t="inlineStr">
        <is>
          <t>Deep learning-based detection of autism spectrum disorder and emotion recognition in children</t>
        </is>
      </c>
      <c r="C369" s="4">
        <f>IF(IF(COUNTIFS('ESTUDIOS'!$A$2:$A$455,$A369,'ESTUDIOS'!$I$2:$I$455,"")&gt;0,"",INDEX('ESTUDIOS'!$I$2:$I$455,MATCH($A369,'ESTUDIOS'!$A$2:$A$455,0)))=1,"1 - Integrity",IF(OR(IF(COUNTIFS('RQ2'!$A$2:$A$455,$A369,'RQ2'!$D$2:$D$455,"")&gt;0,"",INDEX('RQ2'!$D$2:$D$455,MATCH($A369,'RQ2'!$A$2:$A$455,0)))="",IF(COUNTIFS('RQ2'!$A$2:$A$455,$A369,'RQ2'!$E$2:$E$455,"")&gt;0,"",INDEX('RQ2'!$E$2:$E$455,MATCH($A369,'RQ2'!$A$2:$A$455,0)))=""),"2 - RQ2 historical","3 - Verify recorded evidence"))</f>
        <v/>
      </c>
      <c r="D369" s="4">
        <f>IF(OR(IF(COUNTIFS('RQ2'!$A$2:$A$455,$A369,'RQ2'!$D$2:$D$455,"")&gt;0,"",INDEX('RQ2'!$D$2:$D$455,MATCH($A369,'RQ2'!$A$2:$A$455,0)))="",IF(COUNTIFS('RQ2'!$A$2:$A$455,$A369,'RQ2'!$E$2:$E$455,"")&gt;0,"",INDEX('RQ2'!$E$2:$E$455,MATCH($A369,'RQ2'!$A$2:$A$455,0)))=""),"PENDIENTE","REGISTRADA")</f>
        <v/>
      </c>
      <c r="E369" s="4">
        <f>IF(IF(COUNTIFS('RQ1'!$A$2:$A$455,$A369,'RQ1'!$N$2:$N$455,"")&gt;0,"",INDEX('RQ1'!$N$2:$N$455,MATCH($A369,'RQ1'!$A$2:$A$455,0)))=1,"REVISAR DETALLE","REGISTRADA")</f>
        <v/>
      </c>
      <c r="F369" s="4">
        <f>IF(IF(COUNTIFS('RQ3'!$A$2:$A$455,$A369,'RQ3'!$P$2:$P$455,"")&gt;0,"",INDEX('RQ3'!$P$2:$P$455,MATCH($A369,'RQ3'!$A$2:$A$455,0)))="","NO REGISTRADO",IF(IF(COUNTIFS('RQ3'!$A$2:$A$455,$A369,'RQ3'!$P$2:$P$455,"")&gt;0,"",INDEX('RQ3'!$P$2:$P$455,MATCH($A369,'RQ3'!$A$2:$A$455,0)))=1,"MARCA ACTIVA","SIN MARCA"))</f>
        <v/>
      </c>
      <c r="G369" s="4">
        <f>IF(IF(COUNTIFS('ESTUDIOS'!$A$2:$A$455,$A369,'ESTUDIOS'!$N$2:$N$455,"")&gt;0,"",INDEX('ESTUDIOS'!$N$2:$N$455,MATCH($A369,'ESTUDIOS'!$A$2:$A$455,0)))="Verified","DOCUMENTADA","NO DOCUMENTADA")</f>
        <v/>
      </c>
      <c r="H369" s="4">
        <f>IF(D369="PENDIENTE","Leer evidencia ya extraída; registrar uso propuesto o evaluado, función, fuente y revisor en RQ2.","Comprobar evidencia y cautelas registradas; documentar verificación sin recodificar lo ya respaldado.")</f>
        <v/>
      </c>
      <c r="I369" s="4" t="inlineStr">
        <is>
          <t>https://doi.org/10.1016/j.patcog.2025.112906</t>
        </is>
      </c>
    </row>
    <row r="370" ht="64" customHeight="1">
      <c r="A370" s="4" t="inlineStr">
        <is>
          <t>new_149</t>
        </is>
      </c>
      <c r="B370" s="4" t="inlineStr">
        <is>
          <t>A new approach in autism diagnosis: Evaluating natural interaction using point of view (POV) glasses</t>
        </is>
      </c>
      <c r="C370" s="4">
        <f>IF(IF(COUNTIFS('ESTUDIOS'!$A$2:$A$455,$A370,'ESTUDIOS'!$I$2:$I$455,"")&gt;0,"",INDEX('ESTUDIOS'!$I$2:$I$455,MATCH($A370,'ESTUDIOS'!$A$2:$A$455,0)))=1,"1 - Integrity",IF(OR(IF(COUNTIFS('RQ2'!$A$2:$A$455,$A370,'RQ2'!$D$2:$D$455,"")&gt;0,"",INDEX('RQ2'!$D$2:$D$455,MATCH($A370,'RQ2'!$A$2:$A$455,0)))="",IF(COUNTIFS('RQ2'!$A$2:$A$455,$A370,'RQ2'!$E$2:$E$455,"")&gt;0,"",INDEX('RQ2'!$E$2:$E$455,MATCH($A370,'RQ2'!$A$2:$A$455,0)))=""),"2 - RQ2 historical","3 - Verify recorded evidence"))</f>
        <v/>
      </c>
      <c r="D370" s="4">
        <f>IF(OR(IF(COUNTIFS('RQ2'!$A$2:$A$455,$A370,'RQ2'!$D$2:$D$455,"")&gt;0,"",INDEX('RQ2'!$D$2:$D$455,MATCH($A370,'RQ2'!$A$2:$A$455,0)))="",IF(COUNTIFS('RQ2'!$A$2:$A$455,$A370,'RQ2'!$E$2:$E$455,"")&gt;0,"",INDEX('RQ2'!$E$2:$E$455,MATCH($A370,'RQ2'!$A$2:$A$455,0)))=""),"PENDIENTE","REGISTRADA")</f>
        <v/>
      </c>
      <c r="E370" s="4">
        <f>IF(IF(COUNTIFS('RQ1'!$A$2:$A$455,$A370,'RQ1'!$N$2:$N$455,"")&gt;0,"",INDEX('RQ1'!$N$2:$N$455,MATCH($A370,'RQ1'!$A$2:$A$455,0)))=1,"REVISAR DETALLE","REGISTRADA")</f>
        <v/>
      </c>
      <c r="F370" s="4">
        <f>IF(IF(COUNTIFS('RQ3'!$A$2:$A$455,$A370,'RQ3'!$P$2:$P$455,"")&gt;0,"",INDEX('RQ3'!$P$2:$P$455,MATCH($A370,'RQ3'!$A$2:$A$455,0)))="","NO REGISTRADO",IF(IF(COUNTIFS('RQ3'!$A$2:$A$455,$A370,'RQ3'!$P$2:$P$455,"")&gt;0,"",INDEX('RQ3'!$P$2:$P$455,MATCH($A370,'RQ3'!$A$2:$A$455,0)))=1,"MARCA ACTIVA","SIN MARCA"))</f>
        <v/>
      </c>
      <c r="G370" s="4">
        <f>IF(IF(COUNTIFS('ESTUDIOS'!$A$2:$A$455,$A370,'ESTUDIOS'!$N$2:$N$455,"")&gt;0,"",INDEX('ESTUDIOS'!$N$2:$N$455,MATCH($A370,'ESTUDIOS'!$A$2:$A$455,0)))="Verified","DOCUMENTADA","NO DOCUMENTADA")</f>
        <v/>
      </c>
      <c r="H370" s="4">
        <f>IF(D370="PENDIENTE","Leer evidencia ya extraída; registrar uso propuesto o evaluado, función, fuente y revisor en RQ2.","Comprobar evidencia y cautelas registradas; documentar verificación sin recodificar lo ya respaldado.")</f>
        <v/>
      </c>
      <c r="I370" s="4" t="inlineStr">
        <is>
          <t>https://doi.org/10.1016/j.ajp.2025.104798</t>
        </is>
      </c>
    </row>
    <row r="371" ht="64" customHeight="1">
      <c r="A371" s="4" t="inlineStr">
        <is>
          <t>new_154</t>
        </is>
      </c>
      <c r="B371" s="4" t="inlineStr">
        <is>
          <t>A two-step temporal data augmentation and supervised learning framework for predicting autism diagnosis at 36 months in patients with tuberous sclerosis complex</t>
        </is>
      </c>
      <c r="C371" s="4">
        <f>IF(IF(COUNTIFS('ESTUDIOS'!$A$2:$A$455,$A371,'ESTUDIOS'!$I$2:$I$455,"")&gt;0,"",INDEX('ESTUDIOS'!$I$2:$I$455,MATCH($A371,'ESTUDIOS'!$A$2:$A$455,0)))=1,"1 - Integrity",IF(OR(IF(COUNTIFS('RQ2'!$A$2:$A$455,$A371,'RQ2'!$D$2:$D$455,"")&gt;0,"",INDEX('RQ2'!$D$2:$D$455,MATCH($A371,'RQ2'!$A$2:$A$455,0)))="",IF(COUNTIFS('RQ2'!$A$2:$A$455,$A371,'RQ2'!$E$2:$E$455,"")&gt;0,"",INDEX('RQ2'!$E$2:$E$455,MATCH($A371,'RQ2'!$A$2:$A$455,0)))=""),"2 - RQ2 historical","3 - Verify recorded evidence"))</f>
        <v/>
      </c>
      <c r="D371" s="4">
        <f>IF(OR(IF(COUNTIFS('RQ2'!$A$2:$A$455,$A371,'RQ2'!$D$2:$D$455,"")&gt;0,"",INDEX('RQ2'!$D$2:$D$455,MATCH($A371,'RQ2'!$A$2:$A$455,0)))="",IF(COUNTIFS('RQ2'!$A$2:$A$455,$A371,'RQ2'!$E$2:$E$455,"")&gt;0,"",INDEX('RQ2'!$E$2:$E$455,MATCH($A371,'RQ2'!$A$2:$A$455,0)))=""),"PENDIENTE","REGISTRADA")</f>
        <v/>
      </c>
      <c r="E371" s="4">
        <f>IF(IF(COUNTIFS('RQ1'!$A$2:$A$455,$A371,'RQ1'!$N$2:$N$455,"")&gt;0,"",INDEX('RQ1'!$N$2:$N$455,MATCH($A371,'RQ1'!$A$2:$A$455,0)))=1,"REVISAR DETALLE","REGISTRADA")</f>
        <v/>
      </c>
      <c r="F371" s="4">
        <f>IF(IF(COUNTIFS('RQ3'!$A$2:$A$455,$A371,'RQ3'!$P$2:$P$455,"")&gt;0,"",INDEX('RQ3'!$P$2:$P$455,MATCH($A371,'RQ3'!$A$2:$A$455,0)))="","NO REGISTRADO",IF(IF(COUNTIFS('RQ3'!$A$2:$A$455,$A371,'RQ3'!$P$2:$P$455,"")&gt;0,"",INDEX('RQ3'!$P$2:$P$455,MATCH($A371,'RQ3'!$A$2:$A$455,0)))=1,"MARCA ACTIVA","SIN MARCA"))</f>
        <v/>
      </c>
      <c r="G371" s="4">
        <f>IF(IF(COUNTIFS('ESTUDIOS'!$A$2:$A$455,$A371,'ESTUDIOS'!$N$2:$N$455,"")&gt;0,"",INDEX('ESTUDIOS'!$N$2:$N$455,MATCH($A371,'ESTUDIOS'!$A$2:$A$455,0)))="Verified","DOCUMENTADA","NO DOCUMENTADA")</f>
        <v/>
      </c>
      <c r="H371" s="4">
        <f>IF(D371="PENDIENTE","Leer evidencia ya extraída; registrar uso propuesto o evaluado, función, fuente y revisor en RQ2.","Comprobar evidencia y cautelas registradas; documentar verificación sin recodificar lo ya respaldado.")</f>
        <v/>
      </c>
      <c r="I371" s="4" t="inlineStr">
        <is>
          <t>https://doi.org/10.1016/j.compbiomed.2026.111719</t>
        </is>
      </c>
    </row>
    <row r="372" ht="64" customHeight="1">
      <c r="A372" s="4" t="inlineStr">
        <is>
          <t>new_162</t>
        </is>
      </c>
      <c r="B372" s="4" t="inlineStr">
        <is>
          <t>EMLF-Net: A multi-level feature fusion network based on autism EEG signals for autism spectrum disorder classification</t>
        </is>
      </c>
      <c r="C372" s="4">
        <f>IF(IF(COUNTIFS('ESTUDIOS'!$A$2:$A$455,$A372,'ESTUDIOS'!$I$2:$I$455,"")&gt;0,"",INDEX('ESTUDIOS'!$I$2:$I$455,MATCH($A372,'ESTUDIOS'!$A$2:$A$455,0)))=1,"1 - Integrity",IF(OR(IF(COUNTIFS('RQ2'!$A$2:$A$455,$A372,'RQ2'!$D$2:$D$455,"")&gt;0,"",INDEX('RQ2'!$D$2:$D$455,MATCH($A372,'RQ2'!$A$2:$A$455,0)))="",IF(COUNTIFS('RQ2'!$A$2:$A$455,$A372,'RQ2'!$E$2:$E$455,"")&gt;0,"",INDEX('RQ2'!$E$2:$E$455,MATCH($A372,'RQ2'!$A$2:$A$455,0)))=""),"2 - RQ2 historical","3 - Verify recorded evidence"))</f>
        <v/>
      </c>
      <c r="D372" s="4">
        <f>IF(OR(IF(COUNTIFS('RQ2'!$A$2:$A$455,$A372,'RQ2'!$D$2:$D$455,"")&gt;0,"",INDEX('RQ2'!$D$2:$D$455,MATCH($A372,'RQ2'!$A$2:$A$455,0)))="",IF(COUNTIFS('RQ2'!$A$2:$A$455,$A372,'RQ2'!$E$2:$E$455,"")&gt;0,"",INDEX('RQ2'!$E$2:$E$455,MATCH($A372,'RQ2'!$A$2:$A$455,0)))=""),"PENDIENTE","REGISTRADA")</f>
        <v/>
      </c>
      <c r="E372" s="4">
        <f>IF(IF(COUNTIFS('RQ1'!$A$2:$A$455,$A372,'RQ1'!$N$2:$N$455,"")&gt;0,"",INDEX('RQ1'!$N$2:$N$455,MATCH($A372,'RQ1'!$A$2:$A$455,0)))=1,"REVISAR DETALLE","REGISTRADA")</f>
        <v/>
      </c>
      <c r="F372" s="4">
        <f>IF(IF(COUNTIFS('RQ3'!$A$2:$A$455,$A372,'RQ3'!$P$2:$P$455,"")&gt;0,"",INDEX('RQ3'!$P$2:$P$455,MATCH($A372,'RQ3'!$A$2:$A$455,0)))="","NO REGISTRADO",IF(IF(COUNTIFS('RQ3'!$A$2:$A$455,$A372,'RQ3'!$P$2:$P$455,"")&gt;0,"",INDEX('RQ3'!$P$2:$P$455,MATCH($A372,'RQ3'!$A$2:$A$455,0)))=1,"MARCA ACTIVA","SIN MARCA"))</f>
        <v/>
      </c>
      <c r="G372" s="4">
        <f>IF(IF(COUNTIFS('ESTUDIOS'!$A$2:$A$455,$A372,'ESTUDIOS'!$N$2:$N$455,"")&gt;0,"",INDEX('ESTUDIOS'!$N$2:$N$455,MATCH($A372,'ESTUDIOS'!$A$2:$A$455,0)))="Verified","DOCUMENTADA","NO DOCUMENTADA")</f>
        <v/>
      </c>
      <c r="H372" s="4">
        <f>IF(D372="PENDIENTE","Leer evidencia ya extraída; registrar uso propuesto o evaluado, función, fuente y revisor en RQ2.","Comprobar evidencia y cautelas registradas; documentar verificación sin recodificar lo ya respaldado.")</f>
        <v/>
      </c>
      <c r="I372" s="4" t="inlineStr">
        <is>
          <t>https://doi.org/10.1016/j.bspc.2025.109180</t>
        </is>
      </c>
    </row>
    <row r="373" ht="64" customHeight="1">
      <c r="A373" s="4" t="inlineStr">
        <is>
          <t>new_180</t>
        </is>
      </c>
      <c r="B373" s="4" t="inlineStr">
        <is>
          <t>The effect of spatial and intensity level augmentation of structural magnetic resonance images on autism diagnosis model</t>
        </is>
      </c>
      <c r="C373" s="4">
        <f>IF(IF(COUNTIFS('ESTUDIOS'!$A$2:$A$455,$A373,'ESTUDIOS'!$I$2:$I$455,"")&gt;0,"",INDEX('ESTUDIOS'!$I$2:$I$455,MATCH($A373,'ESTUDIOS'!$A$2:$A$455,0)))=1,"1 - Integrity",IF(OR(IF(COUNTIFS('RQ2'!$A$2:$A$455,$A373,'RQ2'!$D$2:$D$455,"")&gt;0,"",INDEX('RQ2'!$D$2:$D$455,MATCH($A373,'RQ2'!$A$2:$A$455,0)))="",IF(COUNTIFS('RQ2'!$A$2:$A$455,$A373,'RQ2'!$E$2:$E$455,"")&gt;0,"",INDEX('RQ2'!$E$2:$E$455,MATCH($A373,'RQ2'!$A$2:$A$455,0)))=""),"2 - RQ2 historical","3 - Verify recorded evidence"))</f>
        <v/>
      </c>
      <c r="D373" s="4">
        <f>IF(OR(IF(COUNTIFS('RQ2'!$A$2:$A$455,$A373,'RQ2'!$D$2:$D$455,"")&gt;0,"",INDEX('RQ2'!$D$2:$D$455,MATCH($A373,'RQ2'!$A$2:$A$455,0)))="",IF(COUNTIFS('RQ2'!$A$2:$A$455,$A373,'RQ2'!$E$2:$E$455,"")&gt;0,"",INDEX('RQ2'!$E$2:$E$455,MATCH($A373,'RQ2'!$A$2:$A$455,0)))=""),"PENDIENTE","REGISTRADA")</f>
        <v/>
      </c>
      <c r="E373" s="4">
        <f>IF(IF(COUNTIFS('RQ1'!$A$2:$A$455,$A373,'RQ1'!$N$2:$N$455,"")&gt;0,"",INDEX('RQ1'!$N$2:$N$455,MATCH($A373,'RQ1'!$A$2:$A$455,0)))=1,"REVISAR DETALLE","REGISTRADA")</f>
        <v/>
      </c>
      <c r="F373" s="4">
        <f>IF(IF(COUNTIFS('RQ3'!$A$2:$A$455,$A373,'RQ3'!$P$2:$P$455,"")&gt;0,"",INDEX('RQ3'!$P$2:$P$455,MATCH($A373,'RQ3'!$A$2:$A$455,0)))="","NO REGISTRADO",IF(IF(COUNTIFS('RQ3'!$A$2:$A$455,$A373,'RQ3'!$P$2:$P$455,"")&gt;0,"",INDEX('RQ3'!$P$2:$P$455,MATCH($A373,'RQ3'!$A$2:$A$455,0)))=1,"MARCA ACTIVA","SIN MARCA"))</f>
        <v/>
      </c>
      <c r="G373" s="4">
        <f>IF(IF(COUNTIFS('ESTUDIOS'!$A$2:$A$455,$A373,'ESTUDIOS'!$N$2:$N$455,"")&gt;0,"",INDEX('ESTUDIOS'!$N$2:$N$455,MATCH($A373,'ESTUDIOS'!$A$2:$A$455,0)))="Verified","DOCUMENTADA","NO DOCUMENTADA")</f>
        <v/>
      </c>
      <c r="H373" s="4">
        <f>IF(D373="PENDIENTE","Leer evidencia ya extraída; registrar uso propuesto o evaluado, función, fuente y revisor en RQ2.","Comprobar evidencia y cautelas registradas; documentar verificación sin recodificar lo ya respaldado.")</f>
        <v/>
      </c>
      <c r="I373" s="4" t="inlineStr">
        <is>
          <t>https://doi.org/10.1016/j.ajp.2026.104830</t>
        </is>
      </c>
    </row>
    <row r="374" ht="64" customHeight="1">
      <c r="A374" s="4" t="inlineStr">
        <is>
          <t>new_181</t>
        </is>
      </c>
      <c r="B374" s="4" t="inlineStr">
        <is>
          <t>Human-centered AI for inclusive tourism: enhancing travel planning for adults with autism spectrum disorder</t>
        </is>
      </c>
      <c r="C374" s="4">
        <f>IF(IF(COUNTIFS('ESTUDIOS'!$A$2:$A$455,$A374,'ESTUDIOS'!$I$2:$I$455,"")&gt;0,"",INDEX('ESTUDIOS'!$I$2:$I$455,MATCH($A374,'ESTUDIOS'!$A$2:$A$455,0)))=1,"1 - Integrity",IF(OR(IF(COUNTIFS('RQ2'!$A$2:$A$455,$A374,'RQ2'!$D$2:$D$455,"")&gt;0,"",INDEX('RQ2'!$D$2:$D$455,MATCH($A374,'RQ2'!$A$2:$A$455,0)))="",IF(COUNTIFS('RQ2'!$A$2:$A$455,$A374,'RQ2'!$E$2:$E$455,"")&gt;0,"",INDEX('RQ2'!$E$2:$E$455,MATCH($A374,'RQ2'!$A$2:$A$455,0)))=""),"2 - RQ2 historical","3 - Verify recorded evidence"))</f>
        <v/>
      </c>
      <c r="D374" s="4">
        <f>IF(OR(IF(COUNTIFS('RQ2'!$A$2:$A$455,$A374,'RQ2'!$D$2:$D$455,"")&gt;0,"",INDEX('RQ2'!$D$2:$D$455,MATCH($A374,'RQ2'!$A$2:$A$455,0)))="",IF(COUNTIFS('RQ2'!$A$2:$A$455,$A374,'RQ2'!$E$2:$E$455,"")&gt;0,"",INDEX('RQ2'!$E$2:$E$455,MATCH($A374,'RQ2'!$A$2:$A$455,0)))=""),"PENDIENTE","REGISTRADA")</f>
        <v/>
      </c>
      <c r="E374" s="4">
        <f>IF(IF(COUNTIFS('RQ1'!$A$2:$A$455,$A374,'RQ1'!$N$2:$N$455,"")&gt;0,"",INDEX('RQ1'!$N$2:$N$455,MATCH($A374,'RQ1'!$A$2:$A$455,0)))=1,"REVISAR DETALLE","REGISTRADA")</f>
        <v/>
      </c>
      <c r="F374" s="4">
        <f>IF(IF(COUNTIFS('RQ3'!$A$2:$A$455,$A374,'RQ3'!$P$2:$P$455,"")&gt;0,"",INDEX('RQ3'!$P$2:$P$455,MATCH($A374,'RQ3'!$A$2:$A$455,0)))="","NO REGISTRADO",IF(IF(COUNTIFS('RQ3'!$A$2:$A$455,$A374,'RQ3'!$P$2:$P$455,"")&gt;0,"",INDEX('RQ3'!$P$2:$P$455,MATCH($A374,'RQ3'!$A$2:$A$455,0)))=1,"MARCA ACTIVA","SIN MARCA"))</f>
        <v/>
      </c>
      <c r="G374" s="4">
        <f>IF(IF(COUNTIFS('ESTUDIOS'!$A$2:$A$455,$A374,'ESTUDIOS'!$N$2:$N$455,"")&gt;0,"",INDEX('ESTUDIOS'!$N$2:$N$455,MATCH($A374,'ESTUDIOS'!$A$2:$A$455,0)))="Verified","DOCUMENTADA","NO DOCUMENTADA")</f>
        <v/>
      </c>
      <c r="H374" s="4">
        <f>IF(D374="PENDIENTE","Leer evidencia ya extraída; registrar uso propuesto o evaluado, función, fuente y revisor en RQ2.","Comprobar evidencia y cautelas registradas; documentar verificación sin recodificar lo ya respaldado.")</f>
        <v/>
      </c>
      <c r="I374" s="4" t="inlineStr">
        <is>
          <t>https://doi.org/10.1016/j.ijhcs.2025.103696</t>
        </is>
      </c>
    </row>
    <row r="375" ht="64" customHeight="1">
      <c r="A375" s="4" t="inlineStr">
        <is>
          <t>new_187</t>
        </is>
      </c>
      <c r="B375" s="4" t="inlineStr">
        <is>
          <t>Early Identification of Autism Spectrum Disorder using a Hybrid ViT–Mamba Multimodal Architecture</t>
        </is>
      </c>
      <c r="C375" s="4">
        <f>IF(IF(COUNTIFS('ESTUDIOS'!$A$2:$A$455,$A375,'ESTUDIOS'!$I$2:$I$455,"")&gt;0,"",INDEX('ESTUDIOS'!$I$2:$I$455,MATCH($A375,'ESTUDIOS'!$A$2:$A$455,0)))=1,"1 - Integrity",IF(OR(IF(COUNTIFS('RQ2'!$A$2:$A$455,$A375,'RQ2'!$D$2:$D$455,"")&gt;0,"",INDEX('RQ2'!$D$2:$D$455,MATCH($A375,'RQ2'!$A$2:$A$455,0)))="",IF(COUNTIFS('RQ2'!$A$2:$A$455,$A375,'RQ2'!$E$2:$E$455,"")&gt;0,"",INDEX('RQ2'!$E$2:$E$455,MATCH($A375,'RQ2'!$A$2:$A$455,0)))=""),"2 - RQ2 historical","3 - Verify recorded evidence"))</f>
        <v/>
      </c>
      <c r="D375" s="4">
        <f>IF(OR(IF(COUNTIFS('RQ2'!$A$2:$A$455,$A375,'RQ2'!$D$2:$D$455,"")&gt;0,"",INDEX('RQ2'!$D$2:$D$455,MATCH($A375,'RQ2'!$A$2:$A$455,0)))="",IF(COUNTIFS('RQ2'!$A$2:$A$455,$A375,'RQ2'!$E$2:$E$455,"")&gt;0,"",INDEX('RQ2'!$E$2:$E$455,MATCH($A375,'RQ2'!$A$2:$A$455,0)))=""),"PENDIENTE","REGISTRADA")</f>
        <v/>
      </c>
      <c r="E375" s="4">
        <f>IF(IF(COUNTIFS('RQ1'!$A$2:$A$455,$A375,'RQ1'!$N$2:$N$455,"")&gt;0,"",INDEX('RQ1'!$N$2:$N$455,MATCH($A375,'RQ1'!$A$2:$A$455,0)))=1,"REVISAR DETALLE","REGISTRADA")</f>
        <v/>
      </c>
      <c r="F375" s="4">
        <f>IF(IF(COUNTIFS('RQ3'!$A$2:$A$455,$A375,'RQ3'!$P$2:$P$455,"")&gt;0,"",INDEX('RQ3'!$P$2:$P$455,MATCH($A375,'RQ3'!$A$2:$A$455,0)))="","NO REGISTRADO",IF(IF(COUNTIFS('RQ3'!$A$2:$A$455,$A375,'RQ3'!$P$2:$P$455,"")&gt;0,"",INDEX('RQ3'!$P$2:$P$455,MATCH($A375,'RQ3'!$A$2:$A$455,0)))=1,"MARCA ACTIVA","SIN MARCA"))</f>
        <v/>
      </c>
      <c r="G375" s="4">
        <f>IF(IF(COUNTIFS('ESTUDIOS'!$A$2:$A$455,$A375,'ESTUDIOS'!$N$2:$N$455,"")&gt;0,"",INDEX('ESTUDIOS'!$N$2:$N$455,MATCH($A375,'ESTUDIOS'!$A$2:$A$455,0)))="Verified","DOCUMENTADA","NO DOCUMENTADA")</f>
        <v/>
      </c>
      <c r="H375" s="4">
        <f>IF(D375="PENDIENTE","Leer evidencia ya extraída; registrar uso propuesto o evaluado, función, fuente y revisor en RQ2.","Comprobar evidencia y cautelas registradas; documentar verificación sin recodificar lo ya respaldado.")</f>
        <v/>
      </c>
      <c r="I375" s="4" t="inlineStr">
        <is>
          <t>https://doi.org/10.1016/j.procs.2026.06.363</t>
        </is>
      </c>
    </row>
    <row r="376" ht="64" customHeight="1">
      <c r="A376" s="4" t="inlineStr">
        <is>
          <t>new_188</t>
        </is>
      </c>
      <c r="B376" s="4" t="inlineStr">
        <is>
          <t>Baseline symptom severity and response to multisession cathodal transcranial direct current stimulation in adolescents and young adults with autism: an exploratory analysis</t>
        </is>
      </c>
      <c r="C376" s="4">
        <f>IF(IF(COUNTIFS('ESTUDIOS'!$A$2:$A$455,$A376,'ESTUDIOS'!$I$2:$I$455,"")&gt;0,"",INDEX('ESTUDIOS'!$I$2:$I$455,MATCH($A376,'ESTUDIOS'!$A$2:$A$455,0)))=1,"1 - Integrity",IF(OR(IF(COUNTIFS('RQ2'!$A$2:$A$455,$A376,'RQ2'!$D$2:$D$455,"")&gt;0,"",INDEX('RQ2'!$D$2:$D$455,MATCH($A376,'RQ2'!$A$2:$A$455,0)))="",IF(COUNTIFS('RQ2'!$A$2:$A$455,$A376,'RQ2'!$E$2:$E$455,"")&gt;0,"",INDEX('RQ2'!$E$2:$E$455,MATCH($A376,'RQ2'!$A$2:$A$455,0)))=""),"2 - RQ2 historical","3 - Verify recorded evidence"))</f>
        <v/>
      </c>
      <c r="D376" s="4">
        <f>IF(OR(IF(COUNTIFS('RQ2'!$A$2:$A$455,$A376,'RQ2'!$D$2:$D$455,"")&gt;0,"",INDEX('RQ2'!$D$2:$D$455,MATCH($A376,'RQ2'!$A$2:$A$455,0)))="",IF(COUNTIFS('RQ2'!$A$2:$A$455,$A376,'RQ2'!$E$2:$E$455,"")&gt;0,"",INDEX('RQ2'!$E$2:$E$455,MATCH($A376,'RQ2'!$A$2:$A$455,0)))=""),"PENDIENTE","REGISTRADA")</f>
        <v/>
      </c>
      <c r="E376" s="4">
        <f>IF(IF(COUNTIFS('RQ1'!$A$2:$A$455,$A376,'RQ1'!$N$2:$N$455,"")&gt;0,"",INDEX('RQ1'!$N$2:$N$455,MATCH($A376,'RQ1'!$A$2:$A$455,0)))=1,"REVISAR DETALLE","REGISTRADA")</f>
        <v/>
      </c>
      <c r="F376" s="4">
        <f>IF(IF(COUNTIFS('RQ3'!$A$2:$A$455,$A376,'RQ3'!$P$2:$P$455,"")&gt;0,"",INDEX('RQ3'!$P$2:$P$455,MATCH($A376,'RQ3'!$A$2:$A$455,0)))="","NO REGISTRADO",IF(IF(COUNTIFS('RQ3'!$A$2:$A$455,$A376,'RQ3'!$P$2:$P$455,"")&gt;0,"",INDEX('RQ3'!$P$2:$P$455,MATCH($A376,'RQ3'!$A$2:$A$455,0)))=1,"MARCA ACTIVA","SIN MARCA"))</f>
        <v/>
      </c>
      <c r="G376" s="4">
        <f>IF(IF(COUNTIFS('ESTUDIOS'!$A$2:$A$455,$A376,'ESTUDIOS'!$N$2:$N$455,"")&gt;0,"",INDEX('ESTUDIOS'!$N$2:$N$455,MATCH($A376,'ESTUDIOS'!$A$2:$A$455,0)))="Verified","DOCUMENTADA","NO DOCUMENTADA")</f>
        <v/>
      </c>
      <c r="H376" s="4">
        <f>IF(D376="PENDIENTE","Leer evidencia ya extraída; registrar uso propuesto o evaluado, función, fuente y revisor en RQ2.","Comprobar evidencia y cautelas registradas; documentar verificación sin recodificar lo ya respaldado.")</f>
        <v/>
      </c>
      <c r="I376" s="4" t="inlineStr">
        <is>
          <t>https://doi.org/10.1016/j.jpsychires.2026.03.043</t>
        </is>
      </c>
    </row>
    <row r="377" ht="64" customHeight="1">
      <c r="A377" s="4" t="inlineStr">
        <is>
          <t>new_190</t>
        </is>
      </c>
      <c r="B377" s="4" t="inlineStr">
        <is>
          <t>DenWide-Net: Dense WideresNet for autism spectrum disorder detection using MRI image</t>
        </is>
      </c>
      <c r="C377" s="4">
        <f>IF(IF(COUNTIFS('ESTUDIOS'!$A$2:$A$455,$A377,'ESTUDIOS'!$I$2:$I$455,"")&gt;0,"",INDEX('ESTUDIOS'!$I$2:$I$455,MATCH($A377,'ESTUDIOS'!$A$2:$A$455,0)))=1,"1 - Integrity",IF(OR(IF(COUNTIFS('RQ2'!$A$2:$A$455,$A377,'RQ2'!$D$2:$D$455,"")&gt;0,"",INDEX('RQ2'!$D$2:$D$455,MATCH($A377,'RQ2'!$A$2:$A$455,0)))="",IF(COUNTIFS('RQ2'!$A$2:$A$455,$A377,'RQ2'!$E$2:$E$455,"")&gt;0,"",INDEX('RQ2'!$E$2:$E$455,MATCH($A377,'RQ2'!$A$2:$A$455,0)))=""),"2 - RQ2 historical","3 - Verify recorded evidence"))</f>
        <v/>
      </c>
      <c r="D377" s="4">
        <f>IF(OR(IF(COUNTIFS('RQ2'!$A$2:$A$455,$A377,'RQ2'!$D$2:$D$455,"")&gt;0,"",INDEX('RQ2'!$D$2:$D$455,MATCH($A377,'RQ2'!$A$2:$A$455,0)))="",IF(COUNTIFS('RQ2'!$A$2:$A$455,$A377,'RQ2'!$E$2:$E$455,"")&gt;0,"",INDEX('RQ2'!$E$2:$E$455,MATCH($A377,'RQ2'!$A$2:$A$455,0)))=""),"PENDIENTE","REGISTRADA")</f>
        <v/>
      </c>
      <c r="E377" s="4">
        <f>IF(IF(COUNTIFS('RQ1'!$A$2:$A$455,$A377,'RQ1'!$N$2:$N$455,"")&gt;0,"",INDEX('RQ1'!$N$2:$N$455,MATCH($A377,'RQ1'!$A$2:$A$455,0)))=1,"REVISAR DETALLE","REGISTRADA")</f>
        <v/>
      </c>
      <c r="F377" s="4">
        <f>IF(IF(COUNTIFS('RQ3'!$A$2:$A$455,$A377,'RQ3'!$P$2:$P$455,"")&gt;0,"",INDEX('RQ3'!$P$2:$P$455,MATCH($A377,'RQ3'!$A$2:$A$455,0)))="","NO REGISTRADO",IF(IF(COUNTIFS('RQ3'!$A$2:$A$455,$A377,'RQ3'!$P$2:$P$455,"")&gt;0,"",INDEX('RQ3'!$P$2:$P$455,MATCH($A377,'RQ3'!$A$2:$A$455,0)))=1,"MARCA ACTIVA","SIN MARCA"))</f>
        <v/>
      </c>
      <c r="G377" s="4">
        <f>IF(IF(COUNTIFS('ESTUDIOS'!$A$2:$A$455,$A377,'ESTUDIOS'!$N$2:$N$455,"")&gt;0,"",INDEX('ESTUDIOS'!$N$2:$N$455,MATCH($A377,'ESTUDIOS'!$A$2:$A$455,0)))="Verified","DOCUMENTADA","NO DOCUMENTADA")</f>
        <v/>
      </c>
      <c r="H377" s="4">
        <f>IF(D377="PENDIENTE","Leer evidencia ya extraída; registrar uso propuesto o evaluado, función, fuente y revisor en RQ2.","Comprobar evidencia y cautelas registradas; documentar verificación sin recodificar lo ya respaldado.")</f>
        <v/>
      </c>
      <c r="I377" s="4" t="inlineStr">
        <is>
          <t>https://doi.org/10.1016/j.bspc.2025.108976</t>
        </is>
      </c>
    </row>
    <row r="378" ht="64" customHeight="1">
      <c r="A378" s="4" t="inlineStr">
        <is>
          <t>new_199</t>
        </is>
      </c>
      <c r="B378" s="4" t="inlineStr">
        <is>
          <t>Artificial Intelligence for Enhancing Emotion Expression in Augmentative and Alternative Communication Systems: A Preliminary Study Including Children Both With and Without Autism.</t>
        </is>
      </c>
      <c r="C378" s="4">
        <f>IF(IF(COUNTIFS('ESTUDIOS'!$A$2:$A$455,$A378,'ESTUDIOS'!$I$2:$I$455,"")&gt;0,"",INDEX('ESTUDIOS'!$I$2:$I$455,MATCH($A378,'ESTUDIOS'!$A$2:$A$455,0)))=1,"1 - Integrity",IF(OR(IF(COUNTIFS('RQ2'!$A$2:$A$455,$A378,'RQ2'!$D$2:$D$455,"")&gt;0,"",INDEX('RQ2'!$D$2:$D$455,MATCH($A378,'RQ2'!$A$2:$A$455,0)))="",IF(COUNTIFS('RQ2'!$A$2:$A$455,$A378,'RQ2'!$E$2:$E$455,"")&gt;0,"",INDEX('RQ2'!$E$2:$E$455,MATCH($A378,'RQ2'!$A$2:$A$455,0)))=""),"2 - RQ2 historical","3 - Verify recorded evidence"))</f>
        <v/>
      </c>
      <c r="D378" s="4">
        <f>IF(OR(IF(COUNTIFS('RQ2'!$A$2:$A$455,$A378,'RQ2'!$D$2:$D$455,"")&gt;0,"",INDEX('RQ2'!$D$2:$D$455,MATCH($A378,'RQ2'!$A$2:$A$455,0)))="",IF(COUNTIFS('RQ2'!$A$2:$A$455,$A378,'RQ2'!$E$2:$E$455,"")&gt;0,"",INDEX('RQ2'!$E$2:$E$455,MATCH($A378,'RQ2'!$A$2:$A$455,0)))=""),"PENDIENTE","REGISTRADA")</f>
        <v/>
      </c>
      <c r="E378" s="4">
        <f>IF(IF(COUNTIFS('RQ1'!$A$2:$A$455,$A378,'RQ1'!$N$2:$N$455,"")&gt;0,"",INDEX('RQ1'!$N$2:$N$455,MATCH($A378,'RQ1'!$A$2:$A$455,0)))=1,"REVISAR DETALLE","REGISTRADA")</f>
        <v/>
      </c>
      <c r="F378" s="4">
        <f>IF(IF(COUNTIFS('RQ3'!$A$2:$A$455,$A378,'RQ3'!$P$2:$P$455,"")&gt;0,"",INDEX('RQ3'!$P$2:$P$455,MATCH($A378,'RQ3'!$A$2:$A$455,0)))="","NO REGISTRADO",IF(IF(COUNTIFS('RQ3'!$A$2:$A$455,$A378,'RQ3'!$P$2:$P$455,"")&gt;0,"",INDEX('RQ3'!$P$2:$P$455,MATCH($A378,'RQ3'!$A$2:$A$455,0)))=1,"MARCA ACTIVA","SIN MARCA"))</f>
        <v/>
      </c>
      <c r="G378" s="4">
        <f>IF(IF(COUNTIFS('ESTUDIOS'!$A$2:$A$455,$A378,'ESTUDIOS'!$N$2:$N$455,"")&gt;0,"",INDEX('ESTUDIOS'!$N$2:$N$455,MATCH($A378,'ESTUDIOS'!$A$2:$A$455,0)))="Verified","DOCUMENTADA","NO DOCUMENTADA")</f>
        <v/>
      </c>
      <c r="H378" s="4">
        <f>IF(D378="PENDIENTE","Leer evidencia ya extraída; registrar uso propuesto o evaluado, función, fuente y revisor en RQ2.","Comprobar evidencia y cautelas registradas; documentar verificación sin recodificar lo ya respaldado.")</f>
        <v/>
      </c>
      <c r="I378" s="4" t="inlineStr">
        <is>
          <t>https://doi.org/10.1044/2026_ajslp-25-00469</t>
        </is>
      </c>
    </row>
    <row r="379" ht="64" customHeight="1">
      <c r="A379" s="4" t="inlineStr">
        <is>
          <t>new_203</t>
        </is>
      </c>
      <c r="B379" s="4" t="inlineStr">
        <is>
          <t>Individuation of predictive parameters of posterior cranial fossa decompression in pediatric patients with Chiari I malformation and autism spectrum disorder</t>
        </is>
      </c>
      <c r="C379" s="4">
        <f>IF(IF(COUNTIFS('ESTUDIOS'!$A$2:$A$455,$A379,'ESTUDIOS'!$I$2:$I$455,"")&gt;0,"",INDEX('ESTUDIOS'!$I$2:$I$455,MATCH($A379,'ESTUDIOS'!$A$2:$A$455,0)))=1,"1 - Integrity",IF(OR(IF(COUNTIFS('RQ2'!$A$2:$A$455,$A379,'RQ2'!$D$2:$D$455,"")&gt;0,"",INDEX('RQ2'!$D$2:$D$455,MATCH($A379,'RQ2'!$A$2:$A$455,0)))="",IF(COUNTIFS('RQ2'!$A$2:$A$455,$A379,'RQ2'!$E$2:$E$455,"")&gt;0,"",INDEX('RQ2'!$E$2:$E$455,MATCH($A379,'RQ2'!$A$2:$A$455,0)))=""),"2 - RQ2 historical","3 - Verify recorded evidence"))</f>
        <v/>
      </c>
      <c r="D379" s="4">
        <f>IF(OR(IF(COUNTIFS('RQ2'!$A$2:$A$455,$A379,'RQ2'!$D$2:$D$455,"")&gt;0,"",INDEX('RQ2'!$D$2:$D$455,MATCH($A379,'RQ2'!$A$2:$A$455,0)))="",IF(COUNTIFS('RQ2'!$A$2:$A$455,$A379,'RQ2'!$E$2:$E$455,"")&gt;0,"",INDEX('RQ2'!$E$2:$E$455,MATCH($A379,'RQ2'!$A$2:$A$455,0)))=""),"PENDIENTE","REGISTRADA")</f>
        <v/>
      </c>
      <c r="E379" s="4">
        <f>IF(IF(COUNTIFS('RQ1'!$A$2:$A$455,$A379,'RQ1'!$N$2:$N$455,"")&gt;0,"",INDEX('RQ1'!$N$2:$N$455,MATCH($A379,'RQ1'!$A$2:$A$455,0)))=1,"REVISAR DETALLE","REGISTRADA")</f>
        <v/>
      </c>
      <c r="F379" s="4">
        <f>IF(IF(COUNTIFS('RQ3'!$A$2:$A$455,$A379,'RQ3'!$P$2:$P$455,"")&gt;0,"",INDEX('RQ3'!$P$2:$P$455,MATCH($A379,'RQ3'!$A$2:$A$455,0)))="","NO REGISTRADO",IF(IF(COUNTIFS('RQ3'!$A$2:$A$455,$A379,'RQ3'!$P$2:$P$455,"")&gt;0,"",INDEX('RQ3'!$P$2:$P$455,MATCH($A379,'RQ3'!$A$2:$A$455,0)))=1,"MARCA ACTIVA","SIN MARCA"))</f>
        <v/>
      </c>
      <c r="G379" s="4">
        <f>IF(IF(COUNTIFS('ESTUDIOS'!$A$2:$A$455,$A379,'ESTUDIOS'!$N$2:$N$455,"")&gt;0,"",INDEX('ESTUDIOS'!$N$2:$N$455,MATCH($A379,'ESTUDIOS'!$A$2:$A$455,0)))="Verified","DOCUMENTADA","NO DOCUMENTADA")</f>
        <v/>
      </c>
      <c r="H379" s="4">
        <f>IF(D379="PENDIENTE","Leer evidencia ya extraída; registrar uso propuesto o evaluado, función, fuente y revisor en RQ2.","Comprobar evidencia y cautelas registradas; documentar verificación sin recodificar lo ya respaldado.")</f>
        <v/>
      </c>
      <c r="I379" s="4" t="inlineStr">
        <is>
          <t>https://doi.org/10.1007/s00381-025-07119-2</t>
        </is>
      </c>
    </row>
    <row r="380" ht="64" customHeight="1">
      <c r="A380" s="4" t="inlineStr">
        <is>
          <t>new_204</t>
        </is>
      </c>
      <c r="B380" s="4" t="inlineStr">
        <is>
          <t>An automated detection system of autism spectrum disorder using meta-heuristic approach of adaptive LSTM with bayesian learning technique</t>
        </is>
      </c>
      <c r="C380" s="4">
        <f>IF(IF(COUNTIFS('ESTUDIOS'!$A$2:$A$455,$A380,'ESTUDIOS'!$I$2:$I$455,"")&gt;0,"",INDEX('ESTUDIOS'!$I$2:$I$455,MATCH($A380,'ESTUDIOS'!$A$2:$A$455,0)))=1,"1 - Integrity",IF(OR(IF(COUNTIFS('RQ2'!$A$2:$A$455,$A380,'RQ2'!$D$2:$D$455,"")&gt;0,"",INDEX('RQ2'!$D$2:$D$455,MATCH($A380,'RQ2'!$A$2:$A$455,0)))="",IF(COUNTIFS('RQ2'!$A$2:$A$455,$A380,'RQ2'!$E$2:$E$455,"")&gt;0,"",INDEX('RQ2'!$E$2:$E$455,MATCH($A380,'RQ2'!$A$2:$A$455,0)))=""),"2 - RQ2 historical","3 - Verify recorded evidence"))</f>
        <v/>
      </c>
      <c r="D380" s="4">
        <f>IF(OR(IF(COUNTIFS('RQ2'!$A$2:$A$455,$A380,'RQ2'!$D$2:$D$455,"")&gt;0,"",INDEX('RQ2'!$D$2:$D$455,MATCH($A380,'RQ2'!$A$2:$A$455,0)))="",IF(COUNTIFS('RQ2'!$A$2:$A$455,$A380,'RQ2'!$E$2:$E$455,"")&gt;0,"",INDEX('RQ2'!$E$2:$E$455,MATCH($A380,'RQ2'!$A$2:$A$455,0)))=""),"PENDIENTE","REGISTRADA")</f>
        <v/>
      </c>
      <c r="E380" s="4">
        <f>IF(IF(COUNTIFS('RQ1'!$A$2:$A$455,$A380,'RQ1'!$N$2:$N$455,"")&gt;0,"",INDEX('RQ1'!$N$2:$N$455,MATCH($A380,'RQ1'!$A$2:$A$455,0)))=1,"REVISAR DETALLE","REGISTRADA")</f>
        <v/>
      </c>
      <c r="F380" s="4">
        <f>IF(IF(COUNTIFS('RQ3'!$A$2:$A$455,$A380,'RQ3'!$P$2:$P$455,"")&gt;0,"",INDEX('RQ3'!$P$2:$P$455,MATCH($A380,'RQ3'!$A$2:$A$455,0)))="","NO REGISTRADO",IF(IF(COUNTIFS('RQ3'!$A$2:$A$455,$A380,'RQ3'!$P$2:$P$455,"")&gt;0,"",INDEX('RQ3'!$P$2:$P$455,MATCH($A380,'RQ3'!$A$2:$A$455,0)))=1,"MARCA ACTIVA","SIN MARCA"))</f>
        <v/>
      </c>
      <c r="G380" s="4">
        <f>IF(IF(COUNTIFS('ESTUDIOS'!$A$2:$A$455,$A380,'ESTUDIOS'!$N$2:$N$455,"")&gt;0,"",INDEX('ESTUDIOS'!$N$2:$N$455,MATCH($A380,'ESTUDIOS'!$A$2:$A$455,0)))="Verified","DOCUMENTADA","NO DOCUMENTADA")</f>
        <v/>
      </c>
      <c r="H380" s="4">
        <f>IF(D380="PENDIENTE","Leer evidencia ya extraída; registrar uso propuesto o evaluado, función, fuente y revisor en RQ2.","Comprobar evidencia y cautelas registradas; documentar verificación sin recodificar lo ya respaldado.")</f>
        <v/>
      </c>
      <c r="I380" s="4" t="inlineStr">
        <is>
          <t>https://doi.org/10.1007/s13246-025-01681-4</t>
        </is>
      </c>
    </row>
    <row r="381" ht="64" customHeight="1">
      <c r="A381" s="4" t="inlineStr">
        <is>
          <t>new_208</t>
        </is>
      </c>
      <c r="B381" s="4" t="inlineStr">
        <is>
          <t>ADBrainNet: a deep neural network for Autism Spectrum Disorder (ASD) and Attention Deficit and Hyperactivity Disorder (ADHD) classification using resting-state fMRI images based on explainable artificial intelligence.</t>
        </is>
      </c>
      <c r="C381" s="4">
        <f>IF(IF(COUNTIFS('ESTUDIOS'!$A$2:$A$455,$A381,'ESTUDIOS'!$I$2:$I$455,"")&gt;0,"",INDEX('ESTUDIOS'!$I$2:$I$455,MATCH($A381,'ESTUDIOS'!$A$2:$A$455,0)))=1,"1 - Integrity",IF(OR(IF(COUNTIFS('RQ2'!$A$2:$A$455,$A381,'RQ2'!$D$2:$D$455,"")&gt;0,"",INDEX('RQ2'!$D$2:$D$455,MATCH($A381,'RQ2'!$A$2:$A$455,0)))="",IF(COUNTIFS('RQ2'!$A$2:$A$455,$A381,'RQ2'!$E$2:$E$455,"")&gt;0,"",INDEX('RQ2'!$E$2:$E$455,MATCH($A381,'RQ2'!$A$2:$A$455,0)))=""),"2 - RQ2 historical","3 - Verify recorded evidence"))</f>
        <v/>
      </c>
      <c r="D381" s="4">
        <f>IF(OR(IF(COUNTIFS('RQ2'!$A$2:$A$455,$A381,'RQ2'!$D$2:$D$455,"")&gt;0,"",INDEX('RQ2'!$D$2:$D$455,MATCH($A381,'RQ2'!$A$2:$A$455,0)))="",IF(COUNTIFS('RQ2'!$A$2:$A$455,$A381,'RQ2'!$E$2:$E$455,"")&gt;0,"",INDEX('RQ2'!$E$2:$E$455,MATCH($A381,'RQ2'!$A$2:$A$455,0)))=""),"PENDIENTE","REGISTRADA")</f>
        <v/>
      </c>
      <c r="E381" s="4">
        <f>IF(IF(COUNTIFS('RQ1'!$A$2:$A$455,$A381,'RQ1'!$N$2:$N$455,"")&gt;0,"",INDEX('RQ1'!$N$2:$N$455,MATCH($A381,'RQ1'!$A$2:$A$455,0)))=1,"REVISAR DETALLE","REGISTRADA")</f>
        <v/>
      </c>
      <c r="F381" s="4">
        <f>IF(IF(COUNTIFS('RQ3'!$A$2:$A$455,$A381,'RQ3'!$P$2:$P$455,"")&gt;0,"",INDEX('RQ3'!$P$2:$P$455,MATCH($A381,'RQ3'!$A$2:$A$455,0)))="","NO REGISTRADO",IF(IF(COUNTIFS('RQ3'!$A$2:$A$455,$A381,'RQ3'!$P$2:$P$455,"")&gt;0,"",INDEX('RQ3'!$P$2:$P$455,MATCH($A381,'RQ3'!$A$2:$A$455,0)))=1,"MARCA ACTIVA","SIN MARCA"))</f>
        <v/>
      </c>
      <c r="G381" s="4">
        <f>IF(IF(COUNTIFS('ESTUDIOS'!$A$2:$A$455,$A381,'ESTUDIOS'!$N$2:$N$455,"")&gt;0,"",INDEX('ESTUDIOS'!$N$2:$N$455,MATCH($A381,'ESTUDIOS'!$A$2:$A$455,0)))="Verified","DOCUMENTADA","NO DOCUMENTADA")</f>
        <v/>
      </c>
      <c r="H381" s="4">
        <f>IF(D381="PENDIENTE","Leer evidencia ya extraída; registrar uso propuesto o evaluado, función, fuente y revisor en RQ2.","Comprobar evidencia y cautelas registradas; documentar verificación sin recodificar lo ya respaldado.")</f>
        <v/>
      </c>
      <c r="I381" s="4" t="inlineStr">
        <is>
          <t>https://doi.org/10.1007/s11517-026-03530-2</t>
        </is>
      </c>
    </row>
    <row r="382" ht="64" customHeight="1">
      <c r="A382" s="4" t="inlineStr">
        <is>
          <t>new_209</t>
        </is>
      </c>
      <c r="B382" s="4" t="inlineStr">
        <is>
          <t>Integrating EEG microstate dynamics in a stacked ensemble for neurodiagnostic ASD assessment</t>
        </is>
      </c>
      <c r="C382" s="4">
        <f>IF(IF(COUNTIFS('ESTUDIOS'!$A$2:$A$455,$A382,'ESTUDIOS'!$I$2:$I$455,"")&gt;0,"",INDEX('ESTUDIOS'!$I$2:$I$455,MATCH($A382,'ESTUDIOS'!$A$2:$A$455,0)))=1,"1 - Integrity",IF(OR(IF(COUNTIFS('RQ2'!$A$2:$A$455,$A382,'RQ2'!$D$2:$D$455,"")&gt;0,"",INDEX('RQ2'!$D$2:$D$455,MATCH($A382,'RQ2'!$A$2:$A$455,0)))="",IF(COUNTIFS('RQ2'!$A$2:$A$455,$A382,'RQ2'!$E$2:$E$455,"")&gt;0,"",INDEX('RQ2'!$E$2:$E$455,MATCH($A382,'RQ2'!$A$2:$A$455,0)))=""),"2 - RQ2 historical","3 - Verify recorded evidence"))</f>
        <v/>
      </c>
      <c r="D382" s="4">
        <f>IF(OR(IF(COUNTIFS('RQ2'!$A$2:$A$455,$A382,'RQ2'!$D$2:$D$455,"")&gt;0,"",INDEX('RQ2'!$D$2:$D$455,MATCH($A382,'RQ2'!$A$2:$A$455,0)))="",IF(COUNTIFS('RQ2'!$A$2:$A$455,$A382,'RQ2'!$E$2:$E$455,"")&gt;0,"",INDEX('RQ2'!$E$2:$E$455,MATCH($A382,'RQ2'!$A$2:$A$455,0)))=""),"PENDIENTE","REGISTRADA")</f>
        <v/>
      </c>
      <c r="E382" s="4">
        <f>IF(IF(COUNTIFS('RQ1'!$A$2:$A$455,$A382,'RQ1'!$N$2:$N$455,"")&gt;0,"",INDEX('RQ1'!$N$2:$N$455,MATCH($A382,'RQ1'!$A$2:$A$455,0)))=1,"REVISAR DETALLE","REGISTRADA")</f>
        <v/>
      </c>
      <c r="F382" s="4">
        <f>IF(IF(COUNTIFS('RQ3'!$A$2:$A$455,$A382,'RQ3'!$P$2:$P$455,"")&gt;0,"",INDEX('RQ3'!$P$2:$P$455,MATCH($A382,'RQ3'!$A$2:$A$455,0)))="","NO REGISTRADO",IF(IF(COUNTIFS('RQ3'!$A$2:$A$455,$A382,'RQ3'!$P$2:$P$455,"")&gt;0,"",INDEX('RQ3'!$P$2:$P$455,MATCH($A382,'RQ3'!$A$2:$A$455,0)))=1,"MARCA ACTIVA","SIN MARCA"))</f>
        <v/>
      </c>
      <c r="G382" s="4">
        <f>IF(IF(COUNTIFS('ESTUDIOS'!$A$2:$A$455,$A382,'ESTUDIOS'!$N$2:$N$455,"")&gt;0,"",INDEX('ESTUDIOS'!$N$2:$N$455,MATCH($A382,'ESTUDIOS'!$A$2:$A$455,0)))="Verified","DOCUMENTADA","NO DOCUMENTADA")</f>
        <v/>
      </c>
      <c r="H382" s="4">
        <f>IF(D382="PENDIENTE","Leer evidencia ya extraída; registrar uso propuesto o evaluado, función, fuente y revisor en RQ2.","Comprobar evidencia y cautelas registradas; documentar verificación sin recodificar lo ya respaldado.")</f>
        <v/>
      </c>
      <c r="I382" s="4" t="inlineStr">
        <is>
          <t>https://doi.org/10.1016/j.bbr.2026.116220</t>
        </is>
      </c>
    </row>
    <row r="383" ht="64" customHeight="1">
      <c r="A383" s="4" t="inlineStr">
        <is>
          <t>new_213</t>
        </is>
      </c>
      <c r="B383" s="4" t="inlineStr">
        <is>
          <t>Identifying autism spectrum disorder diagnosis in children via temporal-frequency hyperdimensional computing with resting-state EEG</t>
        </is>
      </c>
      <c r="C383" s="4">
        <f>IF(IF(COUNTIFS('ESTUDIOS'!$A$2:$A$455,$A383,'ESTUDIOS'!$I$2:$I$455,"")&gt;0,"",INDEX('ESTUDIOS'!$I$2:$I$455,MATCH($A383,'ESTUDIOS'!$A$2:$A$455,0)))=1,"1 - Integrity",IF(OR(IF(COUNTIFS('RQ2'!$A$2:$A$455,$A383,'RQ2'!$D$2:$D$455,"")&gt;0,"",INDEX('RQ2'!$D$2:$D$455,MATCH($A383,'RQ2'!$A$2:$A$455,0)))="",IF(COUNTIFS('RQ2'!$A$2:$A$455,$A383,'RQ2'!$E$2:$E$455,"")&gt;0,"",INDEX('RQ2'!$E$2:$E$455,MATCH($A383,'RQ2'!$A$2:$A$455,0)))=""),"2 - RQ2 historical","3 - Verify recorded evidence"))</f>
        <v/>
      </c>
      <c r="D383" s="4">
        <f>IF(OR(IF(COUNTIFS('RQ2'!$A$2:$A$455,$A383,'RQ2'!$D$2:$D$455,"")&gt;0,"",INDEX('RQ2'!$D$2:$D$455,MATCH($A383,'RQ2'!$A$2:$A$455,0)))="",IF(COUNTIFS('RQ2'!$A$2:$A$455,$A383,'RQ2'!$E$2:$E$455,"")&gt;0,"",INDEX('RQ2'!$E$2:$E$455,MATCH($A383,'RQ2'!$A$2:$A$455,0)))=""),"PENDIENTE","REGISTRADA")</f>
        <v/>
      </c>
      <c r="E383" s="4">
        <f>IF(IF(COUNTIFS('RQ1'!$A$2:$A$455,$A383,'RQ1'!$N$2:$N$455,"")&gt;0,"",INDEX('RQ1'!$N$2:$N$455,MATCH($A383,'RQ1'!$A$2:$A$455,0)))=1,"REVISAR DETALLE","REGISTRADA")</f>
        <v/>
      </c>
      <c r="F383" s="4">
        <f>IF(IF(COUNTIFS('RQ3'!$A$2:$A$455,$A383,'RQ3'!$P$2:$P$455,"")&gt;0,"",INDEX('RQ3'!$P$2:$P$455,MATCH($A383,'RQ3'!$A$2:$A$455,0)))="","NO REGISTRADO",IF(IF(COUNTIFS('RQ3'!$A$2:$A$455,$A383,'RQ3'!$P$2:$P$455,"")&gt;0,"",INDEX('RQ3'!$P$2:$P$455,MATCH($A383,'RQ3'!$A$2:$A$455,0)))=1,"MARCA ACTIVA","SIN MARCA"))</f>
        <v/>
      </c>
      <c r="G383" s="4">
        <f>IF(IF(COUNTIFS('ESTUDIOS'!$A$2:$A$455,$A383,'ESTUDIOS'!$N$2:$N$455,"")&gt;0,"",INDEX('ESTUDIOS'!$N$2:$N$455,MATCH($A383,'ESTUDIOS'!$A$2:$A$455,0)))="Verified","DOCUMENTADA","NO DOCUMENTADA")</f>
        <v/>
      </c>
      <c r="H383" s="4">
        <f>IF(D383="PENDIENTE","Leer evidencia ya extraída; registrar uso propuesto o evaluado, función, fuente y revisor en RQ2.","Comprobar evidencia y cautelas registradas; documentar verificación sin recodificar lo ya respaldado.")</f>
        <v/>
      </c>
      <c r="I383" s="4" t="inlineStr">
        <is>
          <t>https://doi.org/10.1016/j.eswa.2025.130671</t>
        </is>
      </c>
    </row>
    <row r="384" ht="64" customHeight="1">
      <c r="A384" s="4" t="inlineStr">
        <is>
          <t>new_215</t>
        </is>
      </c>
      <c r="B384" s="4" t="inlineStr">
        <is>
          <t>Integrated transcriptomic and clinical analysis of autism spectrum disorder reveals structured heterogeneity and links Methyl-CpG Binding Domain Protein 2 expression with symptom severity</t>
        </is>
      </c>
      <c r="C384" s="4">
        <f>IF(IF(COUNTIFS('ESTUDIOS'!$A$2:$A$455,$A384,'ESTUDIOS'!$I$2:$I$455,"")&gt;0,"",INDEX('ESTUDIOS'!$I$2:$I$455,MATCH($A384,'ESTUDIOS'!$A$2:$A$455,0)))=1,"1 - Integrity",IF(OR(IF(COUNTIFS('RQ2'!$A$2:$A$455,$A384,'RQ2'!$D$2:$D$455,"")&gt;0,"",INDEX('RQ2'!$D$2:$D$455,MATCH($A384,'RQ2'!$A$2:$A$455,0)))="",IF(COUNTIFS('RQ2'!$A$2:$A$455,$A384,'RQ2'!$E$2:$E$455,"")&gt;0,"",INDEX('RQ2'!$E$2:$E$455,MATCH($A384,'RQ2'!$A$2:$A$455,0)))=""),"2 - RQ2 historical","3 - Verify recorded evidence"))</f>
        <v/>
      </c>
      <c r="D384" s="4">
        <f>IF(OR(IF(COUNTIFS('RQ2'!$A$2:$A$455,$A384,'RQ2'!$D$2:$D$455,"")&gt;0,"",INDEX('RQ2'!$D$2:$D$455,MATCH($A384,'RQ2'!$A$2:$A$455,0)))="",IF(COUNTIFS('RQ2'!$A$2:$A$455,$A384,'RQ2'!$E$2:$E$455,"")&gt;0,"",INDEX('RQ2'!$E$2:$E$455,MATCH($A384,'RQ2'!$A$2:$A$455,0)))=""),"PENDIENTE","REGISTRADA")</f>
        <v/>
      </c>
      <c r="E384" s="4">
        <f>IF(IF(COUNTIFS('RQ1'!$A$2:$A$455,$A384,'RQ1'!$N$2:$N$455,"")&gt;0,"",INDEX('RQ1'!$N$2:$N$455,MATCH($A384,'RQ1'!$A$2:$A$455,0)))=1,"REVISAR DETALLE","REGISTRADA")</f>
        <v/>
      </c>
      <c r="F384" s="4">
        <f>IF(IF(COUNTIFS('RQ3'!$A$2:$A$455,$A384,'RQ3'!$P$2:$P$455,"")&gt;0,"",INDEX('RQ3'!$P$2:$P$455,MATCH($A384,'RQ3'!$A$2:$A$455,0)))="","NO REGISTRADO",IF(IF(COUNTIFS('RQ3'!$A$2:$A$455,$A384,'RQ3'!$P$2:$P$455,"")&gt;0,"",INDEX('RQ3'!$P$2:$P$455,MATCH($A384,'RQ3'!$A$2:$A$455,0)))=1,"MARCA ACTIVA","SIN MARCA"))</f>
        <v/>
      </c>
      <c r="G384" s="4">
        <f>IF(IF(COUNTIFS('ESTUDIOS'!$A$2:$A$455,$A384,'ESTUDIOS'!$N$2:$N$455,"")&gt;0,"",INDEX('ESTUDIOS'!$N$2:$N$455,MATCH($A384,'ESTUDIOS'!$A$2:$A$455,0)))="Verified","DOCUMENTADA","NO DOCUMENTADA")</f>
        <v/>
      </c>
      <c r="H384" s="4">
        <f>IF(D384="PENDIENTE","Leer evidencia ya extraída; registrar uso propuesto o evaluado, función, fuente y revisor en RQ2.","Comprobar evidencia y cautelas registradas; documentar verificación sin recodificar lo ya respaldado.")</f>
        <v/>
      </c>
      <c r="I384" s="4" t="inlineStr">
        <is>
          <t>https://doi.org/10.1111/pcn.70065</t>
        </is>
      </c>
    </row>
    <row r="385" ht="64" customHeight="1">
      <c r="A385" s="4" t="inlineStr">
        <is>
          <t>new_218</t>
        </is>
      </c>
      <c r="B385" s="4" t="inlineStr">
        <is>
          <t>A Robust Computational Framework for Autism Spectrum Disorder Identification Using Optimized Image Processing and Hybrid Learning Models</t>
        </is>
      </c>
      <c r="C385" s="4">
        <f>IF(IF(COUNTIFS('ESTUDIOS'!$A$2:$A$455,$A385,'ESTUDIOS'!$I$2:$I$455,"")&gt;0,"",INDEX('ESTUDIOS'!$I$2:$I$455,MATCH($A385,'ESTUDIOS'!$A$2:$A$455,0)))=1,"1 - Integrity",IF(OR(IF(COUNTIFS('RQ2'!$A$2:$A$455,$A385,'RQ2'!$D$2:$D$455,"")&gt;0,"",INDEX('RQ2'!$D$2:$D$455,MATCH($A385,'RQ2'!$A$2:$A$455,0)))="",IF(COUNTIFS('RQ2'!$A$2:$A$455,$A385,'RQ2'!$E$2:$E$455,"")&gt;0,"",INDEX('RQ2'!$E$2:$E$455,MATCH($A385,'RQ2'!$A$2:$A$455,0)))=""),"2 - RQ2 historical","3 - Verify recorded evidence"))</f>
        <v/>
      </c>
      <c r="D385" s="4">
        <f>IF(OR(IF(COUNTIFS('RQ2'!$A$2:$A$455,$A385,'RQ2'!$D$2:$D$455,"")&gt;0,"",INDEX('RQ2'!$D$2:$D$455,MATCH($A385,'RQ2'!$A$2:$A$455,0)))="",IF(COUNTIFS('RQ2'!$A$2:$A$455,$A385,'RQ2'!$E$2:$E$455,"")&gt;0,"",INDEX('RQ2'!$E$2:$E$455,MATCH($A385,'RQ2'!$A$2:$A$455,0)))=""),"PENDIENTE","REGISTRADA")</f>
        <v/>
      </c>
      <c r="E385" s="4">
        <f>IF(IF(COUNTIFS('RQ1'!$A$2:$A$455,$A385,'RQ1'!$N$2:$N$455,"")&gt;0,"",INDEX('RQ1'!$N$2:$N$455,MATCH($A385,'RQ1'!$A$2:$A$455,0)))=1,"REVISAR DETALLE","REGISTRADA")</f>
        <v/>
      </c>
      <c r="F385" s="4">
        <f>IF(IF(COUNTIFS('RQ3'!$A$2:$A$455,$A385,'RQ3'!$P$2:$P$455,"")&gt;0,"",INDEX('RQ3'!$P$2:$P$455,MATCH($A385,'RQ3'!$A$2:$A$455,0)))="","NO REGISTRADO",IF(IF(COUNTIFS('RQ3'!$A$2:$A$455,$A385,'RQ3'!$P$2:$P$455,"")&gt;0,"",INDEX('RQ3'!$P$2:$P$455,MATCH($A385,'RQ3'!$A$2:$A$455,0)))=1,"MARCA ACTIVA","SIN MARCA"))</f>
        <v/>
      </c>
      <c r="G385" s="4">
        <f>IF(IF(COUNTIFS('ESTUDIOS'!$A$2:$A$455,$A385,'ESTUDIOS'!$N$2:$N$455,"")&gt;0,"",INDEX('ESTUDIOS'!$N$2:$N$455,MATCH($A385,'ESTUDIOS'!$A$2:$A$455,0)))="Verified","DOCUMENTADA","NO DOCUMENTADA")</f>
        <v/>
      </c>
      <c r="H385" s="4">
        <f>IF(D385="PENDIENTE","Leer evidencia ya extraída; registrar uso propuesto o evaluado, función, fuente y revisor en RQ2.","Comprobar evidencia y cautelas registradas; documentar verificación sin recodificar lo ya respaldado.")</f>
        <v/>
      </c>
      <c r="I385" s="4" t="inlineStr">
        <is>
          <t>https://doi.org/10.1002/dneu.70028</t>
        </is>
      </c>
    </row>
    <row r="386" ht="64" customHeight="1">
      <c r="A386" s="4" t="inlineStr">
        <is>
          <t>new_222</t>
        </is>
      </c>
      <c r="B386" s="4" t="inlineStr">
        <is>
          <t>Adaptive network based fuzzy inference system efficientnet for autism spectrum disorder detection with optimization based pivotal region extraction</t>
        </is>
      </c>
      <c r="C386" s="4">
        <f>IF(IF(COUNTIFS('ESTUDIOS'!$A$2:$A$455,$A386,'ESTUDIOS'!$I$2:$I$455,"")&gt;0,"",INDEX('ESTUDIOS'!$I$2:$I$455,MATCH($A386,'ESTUDIOS'!$A$2:$A$455,0)))=1,"1 - Integrity",IF(OR(IF(COUNTIFS('RQ2'!$A$2:$A$455,$A386,'RQ2'!$D$2:$D$455,"")&gt;0,"",INDEX('RQ2'!$D$2:$D$455,MATCH($A386,'RQ2'!$A$2:$A$455,0)))="",IF(COUNTIFS('RQ2'!$A$2:$A$455,$A386,'RQ2'!$E$2:$E$455,"")&gt;0,"",INDEX('RQ2'!$E$2:$E$455,MATCH($A386,'RQ2'!$A$2:$A$455,0)))=""),"2 - RQ2 historical","3 - Verify recorded evidence"))</f>
        <v/>
      </c>
      <c r="D386" s="4">
        <f>IF(OR(IF(COUNTIFS('RQ2'!$A$2:$A$455,$A386,'RQ2'!$D$2:$D$455,"")&gt;0,"",INDEX('RQ2'!$D$2:$D$455,MATCH($A386,'RQ2'!$A$2:$A$455,0)))="",IF(COUNTIFS('RQ2'!$A$2:$A$455,$A386,'RQ2'!$E$2:$E$455,"")&gt;0,"",INDEX('RQ2'!$E$2:$E$455,MATCH($A386,'RQ2'!$A$2:$A$455,0)))=""),"PENDIENTE","REGISTRADA")</f>
        <v/>
      </c>
      <c r="E386" s="4">
        <f>IF(IF(COUNTIFS('RQ1'!$A$2:$A$455,$A386,'RQ1'!$N$2:$N$455,"")&gt;0,"",INDEX('RQ1'!$N$2:$N$455,MATCH($A386,'RQ1'!$A$2:$A$455,0)))=1,"REVISAR DETALLE","REGISTRADA")</f>
        <v/>
      </c>
      <c r="F386" s="4">
        <f>IF(IF(COUNTIFS('RQ3'!$A$2:$A$455,$A386,'RQ3'!$P$2:$P$455,"")&gt;0,"",INDEX('RQ3'!$P$2:$P$455,MATCH($A386,'RQ3'!$A$2:$A$455,0)))="","NO REGISTRADO",IF(IF(COUNTIFS('RQ3'!$A$2:$A$455,$A386,'RQ3'!$P$2:$P$455,"")&gt;0,"",INDEX('RQ3'!$P$2:$P$455,MATCH($A386,'RQ3'!$A$2:$A$455,0)))=1,"MARCA ACTIVA","SIN MARCA"))</f>
        <v/>
      </c>
      <c r="G386" s="4">
        <f>IF(IF(COUNTIFS('ESTUDIOS'!$A$2:$A$455,$A386,'ESTUDIOS'!$N$2:$N$455,"")&gt;0,"",INDEX('ESTUDIOS'!$N$2:$N$455,MATCH($A386,'ESTUDIOS'!$A$2:$A$455,0)))="Verified","DOCUMENTADA","NO DOCUMENTADA")</f>
        <v/>
      </c>
      <c r="H386" s="4">
        <f>IF(D386="PENDIENTE","Leer evidencia ya extraída; registrar uso propuesto o evaluado, función, fuente y revisor en RQ2.","Comprobar evidencia y cautelas registradas; documentar verificación sin recodificar lo ya respaldado.")</f>
        <v/>
      </c>
      <c r="I386" s="4" t="inlineStr">
        <is>
          <t>https://doi.org/10.1016/j.pscychresns.2025.112109</t>
        </is>
      </c>
    </row>
    <row r="387" ht="64" customHeight="1">
      <c r="A387" s="4" t="inlineStr">
        <is>
          <t>new_223</t>
        </is>
      </c>
      <c r="B387" s="4" t="inlineStr">
        <is>
          <t>Identification of Autism Through Fractal Analysis of EEG Signals and Bayesian Optimized Artificial Neural Network</t>
        </is>
      </c>
      <c r="C387" s="4">
        <f>IF(IF(COUNTIFS('ESTUDIOS'!$A$2:$A$455,$A387,'ESTUDIOS'!$I$2:$I$455,"")&gt;0,"",INDEX('ESTUDIOS'!$I$2:$I$455,MATCH($A387,'ESTUDIOS'!$A$2:$A$455,0)))=1,"1 - Integrity",IF(OR(IF(COUNTIFS('RQ2'!$A$2:$A$455,$A387,'RQ2'!$D$2:$D$455,"")&gt;0,"",INDEX('RQ2'!$D$2:$D$455,MATCH($A387,'RQ2'!$A$2:$A$455,0)))="",IF(COUNTIFS('RQ2'!$A$2:$A$455,$A387,'RQ2'!$E$2:$E$455,"")&gt;0,"",INDEX('RQ2'!$E$2:$E$455,MATCH($A387,'RQ2'!$A$2:$A$455,0)))=""),"2 - RQ2 historical","3 - Verify recorded evidence"))</f>
        <v/>
      </c>
      <c r="D387" s="4">
        <f>IF(OR(IF(COUNTIFS('RQ2'!$A$2:$A$455,$A387,'RQ2'!$D$2:$D$455,"")&gt;0,"",INDEX('RQ2'!$D$2:$D$455,MATCH($A387,'RQ2'!$A$2:$A$455,0)))="",IF(COUNTIFS('RQ2'!$A$2:$A$455,$A387,'RQ2'!$E$2:$E$455,"")&gt;0,"",INDEX('RQ2'!$E$2:$E$455,MATCH($A387,'RQ2'!$A$2:$A$455,0)))=""),"PENDIENTE","REGISTRADA")</f>
        <v/>
      </c>
      <c r="E387" s="4">
        <f>IF(IF(COUNTIFS('RQ1'!$A$2:$A$455,$A387,'RQ1'!$N$2:$N$455,"")&gt;0,"",INDEX('RQ1'!$N$2:$N$455,MATCH($A387,'RQ1'!$A$2:$A$455,0)))=1,"REVISAR DETALLE","REGISTRADA")</f>
        <v/>
      </c>
      <c r="F387" s="4">
        <f>IF(IF(COUNTIFS('RQ3'!$A$2:$A$455,$A387,'RQ3'!$P$2:$P$455,"")&gt;0,"",INDEX('RQ3'!$P$2:$P$455,MATCH($A387,'RQ3'!$A$2:$A$455,0)))="","NO REGISTRADO",IF(IF(COUNTIFS('RQ3'!$A$2:$A$455,$A387,'RQ3'!$P$2:$P$455,"")&gt;0,"",INDEX('RQ3'!$P$2:$P$455,MATCH($A387,'RQ3'!$A$2:$A$455,0)))=1,"MARCA ACTIVA","SIN MARCA"))</f>
        <v/>
      </c>
      <c r="G387" s="4">
        <f>IF(IF(COUNTIFS('ESTUDIOS'!$A$2:$A$455,$A387,'ESTUDIOS'!$N$2:$N$455,"")&gt;0,"",INDEX('ESTUDIOS'!$N$2:$N$455,MATCH($A387,'ESTUDIOS'!$A$2:$A$455,0)))="Verified","DOCUMENTADA","NO DOCUMENTADA")</f>
        <v/>
      </c>
      <c r="H387" s="4">
        <f>IF(D387="PENDIENTE","Leer evidencia ya extraída; registrar uso propuesto o evaluado, función, fuente y revisor en RQ2.","Comprobar evidencia y cautelas registradas; documentar verificación sin recodificar lo ya respaldado.")</f>
        <v/>
      </c>
      <c r="I387" s="4" t="inlineStr">
        <is>
          <t>https://doi.org/10.1002/ima.70326</t>
        </is>
      </c>
    </row>
    <row r="388" ht="64" customHeight="1">
      <c r="A388" s="4" t="inlineStr">
        <is>
          <t>new_231</t>
        </is>
      </c>
      <c r="B388" s="4" t="inlineStr">
        <is>
          <t>Linguistic Explanations of Deep Models in Detecting Autism and Schizophrenia</t>
        </is>
      </c>
      <c r="C388" s="4">
        <f>IF(IF(COUNTIFS('ESTUDIOS'!$A$2:$A$455,$A388,'ESTUDIOS'!$I$2:$I$455,"")&gt;0,"",INDEX('ESTUDIOS'!$I$2:$I$455,MATCH($A388,'ESTUDIOS'!$A$2:$A$455,0)))=1,"1 - Integrity",IF(OR(IF(COUNTIFS('RQ2'!$A$2:$A$455,$A388,'RQ2'!$D$2:$D$455,"")&gt;0,"",INDEX('RQ2'!$D$2:$D$455,MATCH($A388,'RQ2'!$A$2:$A$455,0)))="",IF(COUNTIFS('RQ2'!$A$2:$A$455,$A388,'RQ2'!$E$2:$E$455,"")&gt;0,"",INDEX('RQ2'!$E$2:$E$455,MATCH($A388,'RQ2'!$A$2:$A$455,0)))=""),"2 - RQ2 historical","3 - Verify recorded evidence"))</f>
        <v/>
      </c>
      <c r="D388" s="4">
        <f>IF(OR(IF(COUNTIFS('RQ2'!$A$2:$A$455,$A388,'RQ2'!$D$2:$D$455,"")&gt;0,"",INDEX('RQ2'!$D$2:$D$455,MATCH($A388,'RQ2'!$A$2:$A$455,0)))="",IF(COUNTIFS('RQ2'!$A$2:$A$455,$A388,'RQ2'!$E$2:$E$455,"")&gt;0,"",INDEX('RQ2'!$E$2:$E$455,MATCH($A388,'RQ2'!$A$2:$A$455,0)))=""),"PENDIENTE","REGISTRADA")</f>
        <v/>
      </c>
      <c r="E388" s="4">
        <f>IF(IF(COUNTIFS('RQ1'!$A$2:$A$455,$A388,'RQ1'!$N$2:$N$455,"")&gt;0,"",INDEX('RQ1'!$N$2:$N$455,MATCH($A388,'RQ1'!$A$2:$A$455,0)))=1,"REVISAR DETALLE","REGISTRADA")</f>
        <v/>
      </c>
      <c r="F388" s="4">
        <f>IF(IF(COUNTIFS('RQ3'!$A$2:$A$455,$A388,'RQ3'!$P$2:$P$455,"")&gt;0,"",INDEX('RQ3'!$P$2:$P$455,MATCH($A388,'RQ3'!$A$2:$A$455,0)))="","NO REGISTRADO",IF(IF(COUNTIFS('RQ3'!$A$2:$A$455,$A388,'RQ3'!$P$2:$P$455,"")&gt;0,"",INDEX('RQ3'!$P$2:$P$455,MATCH($A388,'RQ3'!$A$2:$A$455,0)))=1,"MARCA ACTIVA","SIN MARCA"))</f>
        <v/>
      </c>
      <c r="G388" s="4">
        <f>IF(IF(COUNTIFS('ESTUDIOS'!$A$2:$A$455,$A388,'ESTUDIOS'!$N$2:$N$455,"")&gt;0,"",INDEX('ESTUDIOS'!$N$2:$N$455,MATCH($A388,'ESTUDIOS'!$A$2:$A$455,0)))="Verified","DOCUMENTADA","NO DOCUMENTADA")</f>
        <v/>
      </c>
      <c r="H388" s="4">
        <f>IF(D388="PENDIENTE","Leer evidencia ya extraída; registrar uso propuesto o evaluado, función, fuente y revisor en RQ2.","Comprobar evidencia y cautelas registradas; documentar verificación sin recodificar lo ya respaldado.")</f>
        <v/>
      </c>
      <c r="I388" s="4" t="inlineStr">
        <is>
          <t>https://doi.org/10.1111/coin.70158</t>
        </is>
      </c>
    </row>
    <row r="389" ht="64" customHeight="1">
      <c r="A389" s="4" t="inlineStr">
        <is>
          <t>new_233</t>
        </is>
      </c>
      <c r="B389" s="4" t="inlineStr">
        <is>
          <t>Autism Screening Based on Deep Learning Analysis of Eye Movement Trajectories</t>
        </is>
      </c>
      <c r="C389" s="4">
        <f>IF(IF(COUNTIFS('ESTUDIOS'!$A$2:$A$455,$A389,'ESTUDIOS'!$I$2:$I$455,"")&gt;0,"",INDEX('ESTUDIOS'!$I$2:$I$455,MATCH($A389,'ESTUDIOS'!$A$2:$A$455,0)))=1,"1 - Integrity",IF(OR(IF(COUNTIFS('RQ2'!$A$2:$A$455,$A389,'RQ2'!$D$2:$D$455,"")&gt;0,"",INDEX('RQ2'!$D$2:$D$455,MATCH($A389,'RQ2'!$A$2:$A$455,0)))="",IF(COUNTIFS('RQ2'!$A$2:$A$455,$A389,'RQ2'!$E$2:$E$455,"")&gt;0,"",INDEX('RQ2'!$E$2:$E$455,MATCH($A389,'RQ2'!$A$2:$A$455,0)))=""),"2 - RQ2 historical","3 - Verify recorded evidence"))</f>
        <v/>
      </c>
      <c r="D389" s="4">
        <f>IF(OR(IF(COUNTIFS('RQ2'!$A$2:$A$455,$A389,'RQ2'!$D$2:$D$455,"")&gt;0,"",INDEX('RQ2'!$D$2:$D$455,MATCH($A389,'RQ2'!$A$2:$A$455,0)))="",IF(COUNTIFS('RQ2'!$A$2:$A$455,$A389,'RQ2'!$E$2:$E$455,"")&gt;0,"",INDEX('RQ2'!$E$2:$E$455,MATCH($A389,'RQ2'!$A$2:$A$455,0)))=""),"PENDIENTE","REGISTRADA")</f>
        <v/>
      </c>
      <c r="E389" s="4">
        <f>IF(IF(COUNTIFS('RQ1'!$A$2:$A$455,$A389,'RQ1'!$N$2:$N$455,"")&gt;0,"",INDEX('RQ1'!$N$2:$N$455,MATCH($A389,'RQ1'!$A$2:$A$455,0)))=1,"REVISAR DETALLE","REGISTRADA")</f>
        <v/>
      </c>
      <c r="F389" s="4">
        <f>IF(IF(COUNTIFS('RQ3'!$A$2:$A$455,$A389,'RQ3'!$P$2:$P$455,"")&gt;0,"",INDEX('RQ3'!$P$2:$P$455,MATCH($A389,'RQ3'!$A$2:$A$455,0)))="","NO REGISTRADO",IF(IF(COUNTIFS('RQ3'!$A$2:$A$455,$A389,'RQ3'!$P$2:$P$455,"")&gt;0,"",INDEX('RQ3'!$P$2:$P$455,MATCH($A389,'RQ3'!$A$2:$A$455,0)))=1,"MARCA ACTIVA","SIN MARCA"))</f>
        <v/>
      </c>
      <c r="G389" s="4">
        <f>IF(IF(COUNTIFS('ESTUDIOS'!$A$2:$A$455,$A389,'ESTUDIOS'!$N$2:$N$455,"")&gt;0,"",INDEX('ESTUDIOS'!$N$2:$N$455,MATCH($A389,'ESTUDIOS'!$A$2:$A$455,0)))="Verified","DOCUMENTADA","NO DOCUMENTADA")</f>
        <v/>
      </c>
      <c r="H389" s="4">
        <f>IF(D389="PENDIENTE","Leer evidencia ya extraída; registrar uso propuesto o evaluado, función, fuente y revisor en RQ2.","Comprobar evidencia y cautelas registradas; documentar verificación sin recodificar lo ya respaldado.")</f>
        <v/>
      </c>
      <c r="I389" s="4" t="inlineStr">
        <is>
          <t>https://doi.org/10.1049/cvi2.70078</t>
        </is>
      </c>
    </row>
    <row r="390" ht="64" customHeight="1">
      <c r="A390" s="4" t="inlineStr">
        <is>
          <t>new_235</t>
        </is>
      </c>
      <c r="B390" s="4" t="inlineStr">
        <is>
          <t>Automatic measurement of social gaze during naturalistic conversations in autism</t>
        </is>
      </c>
      <c r="C390" s="4">
        <f>IF(IF(COUNTIFS('ESTUDIOS'!$A$2:$A$455,$A390,'ESTUDIOS'!$I$2:$I$455,"")&gt;0,"",INDEX('ESTUDIOS'!$I$2:$I$455,MATCH($A390,'ESTUDIOS'!$A$2:$A$455,0)))=1,"1 - Integrity",IF(OR(IF(COUNTIFS('RQ2'!$A$2:$A$455,$A390,'RQ2'!$D$2:$D$455,"")&gt;0,"",INDEX('RQ2'!$D$2:$D$455,MATCH($A390,'RQ2'!$A$2:$A$455,0)))="",IF(COUNTIFS('RQ2'!$A$2:$A$455,$A390,'RQ2'!$E$2:$E$455,"")&gt;0,"",INDEX('RQ2'!$E$2:$E$455,MATCH($A390,'RQ2'!$A$2:$A$455,0)))=""),"2 - RQ2 historical","3 - Verify recorded evidence"))</f>
        <v/>
      </c>
      <c r="D390" s="4">
        <f>IF(OR(IF(COUNTIFS('RQ2'!$A$2:$A$455,$A390,'RQ2'!$D$2:$D$455,"")&gt;0,"",INDEX('RQ2'!$D$2:$D$455,MATCH($A390,'RQ2'!$A$2:$A$455,0)))="",IF(COUNTIFS('RQ2'!$A$2:$A$455,$A390,'RQ2'!$E$2:$E$455,"")&gt;0,"",INDEX('RQ2'!$E$2:$E$455,MATCH($A390,'RQ2'!$A$2:$A$455,0)))=""),"PENDIENTE","REGISTRADA")</f>
        <v/>
      </c>
      <c r="E390" s="4">
        <f>IF(IF(COUNTIFS('RQ1'!$A$2:$A$455,$A390,'RQ1'!$N$2:$N$455,"")&gt;0,"",INDEX('RQ1'!$N$2:$N$455,MATCH($A390,'RQ1'!$A$2:$A$455,0)))=1,"REVISAR DETALLE","REGISTRADA")</f>
        <v/>
      </c>
      <c r="F390" s="4">
        <f>IF(IF(COUNTIFS('RQ3'!$A$2:$A$455,$A390,'RQ3'!$P$2:$P$455,"")&gt;0,"",INDEX('RQ3'!$P$2:$P$455,MATCH($A390,'RQ3'!$A$2:$A$455,0)))="","NO REGISTRADO",IF(IF(COUNTIFS('RQ3'!$A$2:$A$455,$A390,'RQ3'!$P$2:$P$455,"")&gt;0,"",INDEX('RQ3'!$P$2:$P$455,MATCH($A390,'RQ3'!$A$2:$A$455,0)))=1,"MARCA ACTIVA","SIN MARCA"))</f>
        <v/>
      </c>
      <c r="G390" s="4">
        <f>IF(IF(COUNTIFS('ESTUDIOS'!$A$2:$A$455,$A390,'ESTUDIOS'!$N$2:$N$455,"")&gt;0,"",INDEX('ESTUDIOS'!$N$2:$N$455,MATCH($A390,'ESTUDIOS'!$A$2:$A$455,0)))="Verified","DOCUMENTADA","NO DOCUMENTADA")</f>
        <v/>
      </c>
      <c r="H390" s="4">
        <f>IF(D390="PENDIENTE","Leer evidencia ya extraída; registrar uso propuesto o evaluado, función, fuente y revisor en RQ2.","Comprobar evidencia y cautelas registradas; documentar verificación sin recodificar lo ya respaldado.")</f>
        <v/>
      </c>
      <c r="I390" s="4" t="inlineStr">
        <is>
          <t>https://doi.org/10.1016/j.jpsychires.2026.05.015</t>
        </is>
      </c>
    </row>
    <row r="391" ht="64" customHeight="1">
      <c r="A391" s="4" t="inlineStr">
        <is>
          <t>new_236</t>
        </is>
      </c>
      <c r="B391" s="4" t="inlineStr">
        <is>
          <t>An image-based analytics framework for early autism detection using eye movements</t>
        </is>
      </c>
      <c r="C391" s="4">
        <f>IF(IF(COUNTIFS('ESTUDIOS'!$A$2:$A$455,$A391,'ESTUDIOS'!$I$2:$I$455,"")&gt;0,"",INDEX('ESTUDIOS'!$I$2:$I$455,MATCH($A391,'ESTUDIOS'!$A$2:$A$455,0)))=1,"1 - Integrity",IF(OR(IF(COUNTIFS('RQ2'!$A$2:$A$455,$A391,'RQ2'!$D$2:$D$455,"")&gt;0,"",INDEX('RQ2'!$D$2:$D$455,MATCH($A391,'RQ2'!$A$2:$A$455,0)))="",IF(COUNTIFS('RQ2'!$A$2:$A$455,$A391,'RQ2'!$E$2:$E$455,"")&gt;0,"",INDEX('RQ2'!$E$2:$E$455,MATCH($A391,'RQ2'!$A$2:$A$455,0)))=""),"2 - RQ2 historical","3 - Verify recorded evidence"))</f>
        <v/>
      </c>
      <c r="D391" s="4">
        <f>IF(OR(IF(COUNTIFS('RQ2'!$A$2:$A$455,$A391,'RQ2'!$D$2:$D$455,"")&gt;0,"",INDEX('RQ2'!$D$2:$D$455,MATCH($A391,'RQ2'!$A$2:$A$455,0)))="",IF(COUNTIFS('RQ2'!$A$2:$A$455,$A391,'RQ2'!$E$2:$E$455,"")&gt;0,"",INDEX('RQ2'!$E$2:$E$455,MATCH($A391,'RQ2'!$A$2:$A$455,0)))=""),"PENDIENTE","REGISTRADA")</f>
        <v/>
      </c>
      <c r="E391" s="4">
        <f>IF(IF(COUNTIFS('RQ1'!$A$2:$A$455,$A391,'RQ1'!$N$2:$N$455,"")&gt;0,"",INDEX('RQ1'!$N$2:$N$455,MATCH($A391,'RQ1'!$A$2:$A$455,0)))=1,"REVISAR DETALLE","REGISTRADA")</f>
        <v/>
      </c>
      <c r="F391" s="4">
        <f>IF(IF(COUNTIFS('RQ3'!$A$2:$A$455,$A391,'RQ3'!$P$2:$P$455,"")&gt;0,"",INDEX('RQ3'!$P$2:$P$455,MATCH($A391,'RQ3'!$A$2:$A$455,0)))="","NO REGISTRADO",IF(IF(COUNTIFS('RQ3'!$A$2:$A$455,$A391,'RQ3'!$P$2:$P$455,"")&gt;0,"",INDEX('RQ3'!$P$2:$P$455,MATCH($A391,'RQ3'!$A$2:$A$455,0)))=1,"MARCA ACTIVA","SIN MARCA"))</f>
        <v/>
      </c>
      <c r="G391" s="4">
        <f>IF(IF(COUNTIFS('ESTUDIOS'!$A$2:$A$455,$A391,'ESTUDIOS'!$N$2:$N$455,"")&gt;0,"",INDEX('ESTUDIOS'!$N$2:$N$455,MATCH($A391,'ESTUDIOS'!$A$2:$A$455,0)))="Verified","DOCUMENTADA","NO DOCUMENTADA")</f>
        <v/>
      </c>
      <c r="H391" s="4">
        <f>IF(D391="PENDIENTE","Leer evidencia ya extraída; registrar uso propuesto o evaluado, función, fuente y revisor en RQ2.","Comprobar evidencia y cautelas registradas; documentar verificación sin recodificar lo ya respaldado.")</f>
        <v/>
      </c>
      <c r="I391" s="4" t="inlineStr">
        <is>
          <t>https://doi.org/10.1016/j.health.2025.100439</t>
        </is>
      </c>
    </row>
    <row r="392" ht="64" customHeight="1">
      <c r="A392" s="4" t="inlineStr">
        <is>
          <t>new_242</t>
        </is>
      </c>
      <c r="B392" s="4" t="inlineStr">
        <is>
          <t>Neurophysiological EEG Characterization of Autism Spectrum Disorder Using DWT-Based Frequency Analysis With Selective Electrodes and Brain Segmentation: An Explainable AI-Driven Approach</t>
        </is>
      </c>
      <c r="C392" s="4">
        <f>IF(IF(COUNTIFS('ESTUDIOS'!$A$2:$A$455,$A392,'ESTUDIOS'!$I$2:$I$455,"")&gt;0,"",INDEX('ESTUDIOS'!$I$2:$I$455,MATCH($A392,'ESTUDIOS'!$A$2:$A$455,0)))=1,"1 - Integrity",IF(OR(IF(COUNTIFS('RQ2'!$A$2:$A$455,$A392,'RQ2'!$D$2:$D$455,"")&gt;0,"",INDEX('RQ2'!$D$2:$D$455,MATCH($A392,'RQ2'!$A$2:$A$455,0)))="",IF(COUNTIFS('RQ2'!$A$2:$A$455,$A392,'RQ2'!$E$2:$E$455,"")&gt;0,"",INDEX('RQ2'!$E$2:$E$455,MATCH($A392,'RQ2'!$A$2:$A$455,0)))=""),"2 - RQ2 historical","3 - Verify recorded evidence"))</f>
        <v/>
      </c>
      <c r="D392" s="4">
        <f>IF(OR(IF(COUNTIFS('RQ2'!$A$2:$A$455,$A392,'RQ2'!$D$2:$D$455,"")&gt;0,"",INDEX('RQ2'!$D$2:$D$455,MATCH($A392,'RQ2'!$A$2:$A$455,0)))="",IF(COUNTIFS('RQ2'!$A$2:$A$455,$A392,'RQ2'!$E$2:$E$455,"")&gt;0,"",INDEX('RQ2'!$E$2:$E$455,MATCH($A392,'RQ2'!$A$2:$A$455,0)))=""),"PENDIENTE","REGISTRADA")</f>
        <v/>
      </c>
      <c r="E392" s="4">
        <f>IF(IF(COUNTIFS('RQ1'!$A$2:$A$455,$A392,'RQ1'!$N$2:$N$455,"")&gt;0,"",INDEX('RQ1'!$N$2:$N$455,MATCH($A392,'RQ1'!$A$2:$A$455,0)))=1,"REVISAR DETALLE","REGISTRADA")</f>
        <v/>
      </c>
      <c r="F392" s="4">
        <f>IF(IF(COUNTIFS('RQ3'!$A$2:$A$455,$A392,'RQ3'!$P$2:$P$455,"")&gt;0,"",INDEX('RQ3'!$P$2:$P$455,MATCH($A392,'RQ3'!$A$2:$A$455,0)))="","NO REGISTRADO",IF(IF(COUNTIFS('RQ3'!$A$2:$A$455,$A392,'RQ3'!$P$2:$P$455,"")&gt;0,"",INDEX('RQ3'!$P$2:$P$455,MATCH($A392,'RQ3'!$A$2:$A$455,0)))=1,"MARCA ACTIVA","SIN MARCA"))</f>
        <v/>
      </c>
      <c r="G392" s="4">
        <f>IF(IF(COUNTIFS('ESTUDIOS'!$A$2:$A$455,$A392,'ESTUDIOS'!$N$2:$N$455,"")&gt;0,"",INDEX('ESTUDIOS'!$N$2:$N$455,MATCH($A392,'ESTUDIOS'!$A$2:$A$455,0)))="Verified","DOCUMENTADA","NO DOCUMENTADA")</f>
        <v/>
      </c>
      <c r="H392" s="4">
        <f>IF(D392="PENDIENTE","Leer evidencia ya extraída; registrar uso propuesto o evaluado, función, fuente y revisor en RQ2.","Comprobar evidencia y cautelas registradas; documentar verificación sin recodificar lo ya respaldado.")</f>
        <v/>
      </c>
      <c r="I392" s="4" t="inlineStr">
        <is>
          <t>https://doi.org/10.1096/fj.202600019r</t>
        </is>
      </c>
    </row>
    <row r="393" ht="64" customHeight="1">
      <c r="A393" s="4" t="inlineStr">
        <is>
          <t>new_244</t>
        </is>
      </c>
      <c r="B393" s="4" t="inlineStr">
        <is>
          <t>DHCA-Net: A Novel Dual-Stream Hierarchical Channel Attention Network for Explainable Autism Spectrum Disorder Detection From Facial Images</t>
        </is>
      </c>
      <c r="C393" s="4">
        <f>IF(IF(COUNTIFS('ESTUDIOS'!$A$2:$A$455,$A393,'ESTUDIOS'!$I$2:$I$455,"")&gt;0,"",INDEX('ESTUDIOS'!$I$2:$I$455,MATCH($A393,'ESTUDIOS'!$A$2:$A$455,0)))=1,"1 - Integrity",IF(OR(IF(COUNTIFS('RQ2'!$A$2:$A$455,$A393,'RQ2'!$D$2:$D$455,"")&gt;0,"",INDEX('RQ2'!$D$2:$D$455,MATCH($A393,'RQ2'!$A$2:$A$455,0)))="",IF(COUNTIFS('RQ2'!$A$2:$A$455,$A393,'RQ2'!$E$2:$E$455,"")&gt;0,"",INDEX('RQ2'!$E$2:$E$455,MATCH($A393,'RQ2'!$A$2:$A$455,0)))=""),"2 - RQ2 historical","3 - Verify recorded evidence"))</f>
        <v/>
      </c>
      <c r="D393" s="4">
        <f>IF(OR(IF(COUNTIFS('RQ2'!$A$2:$A$455,$A393,'RQ2'!$D$2:$D$455,"")&gt;0,"",INDEX('RQ2'!$D$2:$D$455,MATCH($A393,'RQ2'!$A$2:$A$455,0)))="",IF(COUNTIFS('RQ2'!$A$2:$A$455,$A393,'RQ2'!$E$2:$E$455,"")&gt;0,"",INDEX('RQ2'!$E$2:$E$455,MATCH($A393,'RQ2'!$A$2:$A$455,0)))=""),"PENDIENTE","REGISTRADA")</f>
        <v/>
      </c>
      <c r="E393" s="4">
        <f>IF(IF(COUNTIFS('RQ1'!$A$2:$A$455,$A393,'RQ1'!$N$2:$N$455,"")&gt;0,"",INDEX('RQ1'!$N$2:$N$455,MATCH($A393,'RQ1'!$A$2:$A$455,0)))=1,"REVISAR DETALLE","REGISTRADA")</f>
        <v/>
      </c>
      <c r="F393" s="4">
        <f>IF(IF(COUNTIFS('RQ3'!$A$2:$A$455,$A393,'RQ3'!$P$2:$P$455,"")&gt;0,"",INDEX('RQ3'!$P$2:$P$455,MATCH($A393,'RQ3'!$A$2:$A$455,0)))="","NO REGISTRADO",IF(IF(COUNTIFS('RQ3'!$A$2:$A$455,$A393,'RQ3'!$P$2:$P$455,"")&gt;0,"",INDEX('RQ3'!$P$2:$P$455,MATCH($A393,'RQ3'!$A$2:$A$455,0)))=1,"MARCA ACTIVA","SIN MARCA"))</f>
        <v/>
      </c>
      <c r="G393" s="4">
        <f>IF(IF(COUNTIFS('ESTUDIOS'!$A$2:$A$455,$A393,'ESTUDIOS'!$N$2:$N$455,"")&gt;0,"",INDEX('ESTUDIOS'!$N$2:$N$455,MATCH($A393,'ESTUDIOS'!$A$2:$A$455,0)))="Verified","DOCUMENTADA","NO DOCUMENTADA")</f>
        <v/>
      </c>
      <c r="H393" s="4">
        <f>IF(D393="PENDIENTE","Leer evidencia ya extraída; registrar uso propuesto o evaluado, función, fuente y revisor en RQ2.","Comprobar evidencia y cautelas registradas; documentar verificación sin recodificar lo ya respaldado.")</f>
        <v/>
      </c>
      <c r="I393" s="4" t="inlineStr">
        <is>
          <t>https://doi.org/10.1002/jdn.70158</t>
        </is>
      </c>
    </row>
    <row r="394" ht="64" customHeight="1">
      <c r="A394" s="4" t="inlineStr">
        <is>
          <t>new_246</t>
        </is>
      </c>
      <c r="B394" s="4" t="inlineStr">
        <is>
          <t>MTT: Multi-Tier Transformer for Early Diagnosis of Autism Spectrum Disorder and Language Disorder in Infants</t>
        </is>
      </c>
      <c r="C394" s="4">
        <f>IF(IF(COUNTIFS('ESTUDIOS'!$A$2:$A$455,$A394,'ESTUDIOS'!$I$2:$I$455,"")&gt;0,"",INDEX('ESTUDIOS'!$I$2:$I$455,MATCH($A394,'ESTUDIOS'!$A$2:$A$455,0)))=1,"1 - Integrity",IF(OR(IF(COUNTIFS('RQ2'!$A$2:$A$455,$A394,'RQ2'!$D$2:$D$455,"")&gt;0,"",INDEX('RQ2'!$D$2:$D$455,MATCH($A394,'RQ2'!$A$2:$A$455,0)))="",IF(COUNTIFS('RQ2'!$A$2:$A$455,$A394,'RQ2'!$E$2:$E$455,"")&gt;0,"",INDEX('RQ2'!$E$2:$E$455,MATCH($A394,'RQ2'!$A$2:$A$455,0)))=""),"2 - RQ2 historical","3 - Verify recorded evidence"))</f>
        <v/>
      </c>
      <c r="D394" s="4">
        <f>IF(OR(IF(COUNTIFS('RQ2'!$A$2:$A$455,$A394,'RQ2'!$D$2:$D$455,"")&gt;0,"",INDEX('RQ2'!$D$2:$D$455,MATCH($A394,'RQ2'!$A$2:$A$455,0)))="",IF(COUNTIFS('RQ2'!$A$2:$A$455,$A394,'RQ2'!$E$2:$E$455,"")&gt;0,"",INDEX('RQ2'!$E$2:$E$455,MATCH($A394,'RQ2'!$A$2:$A$455,0)))=""),"PENDIENTE","REGISTRADA")</f>
        <v/>
      </c>
      <c r="E394" s="4">
        <f>IF(IF(COUNTIFS('RQ1'!$A$2:$A$455,$A394,'RQ1'!$N$2:$N$455,"")&gt;0,"",INDEX('RQ1'!$N$2:$N$455,MATCH($A394,'RQ1'!$A$2:$A$455,0)))=1,"REVISAR DETALLE","REGISTRADA")</f>
        <v/>
      </c>
      <c r="F394" s="4">
        <f>IF(IF(COUNTIFS('RQ3'!$A$2:$A$455,$A394,'RQ3'!$P$2:$P$455,"")&gt;0,"",INDEX('RQ3'!$P$2:$P$455,MATCH($A394,'RQ3'!$A$2:$A$455,0)))="","NO REGISTRADO",IF(IF(COUNTIFS('RQ3'!$A$2:$A$455,$A394,'RQ3'!$P$2:$P$455,"")&gt;0,"",INDEX('RQ3'!$P$2:$P$455,MATCH($A394,'RQ3'!$A$2:$A$455,0)))=1,"MARCA ACTIVA","SIN MARCA"))</f>
        <v/>
      </c>
      <c r="G394" s="4">
        <f>IF(IF(COUNTIFS('ESTUDIOS'!$A$2:$A$455,$A394,'ESTUDIOS'!$N$2:$N$455,"")&gt;0,"",INDEX('ESTUDIOS'!$N$2:$N$455,MATCH($A394,'ESTUDIOS'!$A$2:$A$455,0)))="Verified","DOCUMENTADA","NO DOCUMENTADA")</f>
        <v/>
      </c>
      <c r="H394" s="4">
        <f>IF(D394="PENDIENTE","Leer evidencia ya extraída; registrar uso propuesto o evaluado, función, fuente y revisor en RQ2.","Comprobar evidencia y cautelas registradas; documentar verificación sin recodificar lo ya respaldado.")</f>
        <v/>
      </c>
      <c r="I394" s="4" t="inlineStr">
        <is>
          <t>https://doi.org/10.1111/coin.70131</t>
        </is>
      </c>
    </row>
    <row r="395" ht="64" customHeight="1">
      <c r="A395" s="4" t="inlineStr">
        <is>
          <t>new_248</t>
        </is>
      </c>
      <c r="B395" s="4" t="inlineStr">
        <is>
          <t>Optimized quadrangle attention consolidated convolutional multi-scale vision transformer based autism detection</t>
        </is>
      </c>
      <c r="C395" s="4">
        <f>IF(IF(COUNTIFS('ESTUDIOS'!$A$2:$A$455,$A395,'ESTUDIOS'!$I$2:$I$455,"")&gt;0,"",INDEX('ESTUDIOS'!$I$2:$I$455,MATCH($A395,'ESTUDIOS'!$A$2:$A$455,0)))=1,"1 - Integrity",IF(OR(IF(COUNTIFS('RQ2'!$A$2:$A$455,$A395,'RQ2'!$D$2:$D$455,"")&gt;0,"",INDEX('RQ2'!$D$2:$D$455,MATCH($A395,'RQ2'!$A$2:$A$455,0)))="",IF(COUNTIFS('RQ2'!$A$2:$A$455,$A395,'RQ2'!$E$2:$E$455,"")&gt;0,"",INDEX('RQ2'!$E$2:$E$455,MATCH($A395,'RQ2'!$A$2:$A$455,0)))=""),"2 - RQ2 historical","3 - Verify recorded evidence"))</f>
        <v/>
      </c>
      <c r="D395" s="4">
        <f>IF(OR(IF(COUNTIFS('RQ2'!$A$2:$A$455,$A395,'RQ2'!$D$2:$D$455,"")&gt;0,"",INDEX('RQ2'!$D$2:$D$455,MATCH($A395,'RQ2'!$A$2:$A$455,0)))="",IF(COUNTIFS('RQ2'!$A$2:$A$455,$A395,'RQ2'!$E$2:$E$455,"")&gt;0,"",INDEX('RQ2'!$E$2:$E$455,MATCH($A395,'RQ2'!$A$2:$A$455,0)))=""),"PENDIENTE","REGISTRADA")</f>
        <v/>
      </c>
      <c r="E395" s="4">
        <f>IF(IF(COUNTIFS('RQ1'!$A$2:$A$455,$A395,'RQ1'!$N$2:$N$455,"")&gt;0,"",INDEX('RQ1'!$N$2:$N$455,MATCH($A395,'RQ1'!$A$2:$A$455,0)))=1,"REVISAR DETALLE","REGISTRADA")</f>
        <v/>
      </c>
      <c r="F395" s="4">
        <f>IF(IF(COUNTIFS('RQ3'!$A$2:$A$455,$A395,'RQ3'!$P$2:$P$455,"")&gt;0,"",INDEX('RQ3'!$P$2:$P$455,MATCH($A395,'RQ3'!$A$2:$A$455,0)))="","NO REGISTRADO",IF(IF(COUNTIFS('RQ3'!$A$2:$A$455,$A395,'RQ3'!$P$2:$P$455,"")&gt;0,"",INDEX('RQ3'!$P$2:$P$455,MATCH($A395,'RQ3'!$A$2:$A$455,0)))=1,"MARCA ACTIVA","SIN MARCA"))</f>
        <v/>
      </c>
      <c r="G395" s="4">
        <f>IF(IF(COUNTIFS('ESTUDIOS'!$A$2:$A$455,$A395,'ESTUDIOS'!$N$2:$N$455,"")&gt;0,"",INDEX('ESTUDIOS'!$N$2:$N$455,MATCH($A395,'ESTUDIOS'!$A$2:$A$455,0)))="Verified","DOCUMENTADA","NO DOCUMENTADA")</f>
        <v/>
      </c>
      <c r="H395" s="4">
        <f>IF(D395="PENDIENTE","Leer evidencia ya extraída; registrar uso propuesto o evaluado, función, fuente y revisor en RQ2.","Comprobar evidencia y cautelas registradas; documentar verificación sin recodificar lo ya respaldado.")</f>
        <v/>
      </c>
      <c r="I395" s="4" t="inlineStr">
        <is>
          <t>https://doi.org/10.1016/j.pscychresns.2026.112251</t>
        </is>
      </c>
    </row>
    <row r="396" ht="64" customHeight="1">
      <c r="A396" s="4" t="inlineStr">
        <is>
          <t>new_249</t>
        </is>
      </c>
      <c r="B396" s="4" t="inlineStr">
        <is>
          <t>An early detection of autism spectrum disorder using machine learning</t>
        </is>
      </c>
      <c r="C396" s="4">
        <f>IF(IF(COUNTIFS('ESTUDIOS'!$A$2:$A$455,$A396,'ESTUDIOS'!$I$2:$I$455,"")&gt;0,"",INDEX('ESTUDIOS'!$I$2:$I$455,MATCH($A396,'ESTUDIOS'!$A$2:$A$455,0)))=1,"1 - Integrity",IF(OR(IF(COUNTIFS('RQ2'!$A$2:$A$455,$A396,'RQ2'!$D$2:$D$455,"")&gt;0,"",INDEX('RQ2'!$D$2:$D$455,MATCH($A396,'RQ2'!$A$2:$A$455,0)))="",IF(COUNTIFS('RQ2'!$A$2:$A$455,$A396,'RQ2'!$E$2:$E$455,"")&gt;0,"",INDEX('RQ2'!$E$2:$E$455,MATCH($A396,'RQ2'!$A$2:$A$455,0)))=""),"2 - RQ2 historical","3 - Verify recorded evidence"))</f>
        <v/>
      </c>
      <c r="D396" s="4">
        <f>IF(OR(IF(COUNTIFS('RQ2'!$A$2:$A$455,$A396,'RQ2'!$D$2:$D$455,"")&gt;0,"",INDEX('RQ2'!$D$2:$D$455,MATCH($A396,'RQ2'!$A$2:$A$455,0)))="",IF(COUNTIFS('RQ2'!$A$2:$A$455,$A396,'RQ2'!$E$2:$E$455,"")&gt;0,"",INDEX('RQ2'!$E$2:$E$455,MATCH($A396,'RQ2'!$A$2:$A$455,0)))=""),"PENDIENTE","REGISTRADA")</f>
        <v/>
      </c>
      <c r="E396" s="4">
        <f>IF(IF(COUNTIFS('RQ1'!$A$2:$A$455,$A396,'RQ1'!$N$2:$N$455,"")&gt;0,"",INDEX('RQ1'!$N$2:$N$455,MATCH($A396,'RQ1'!$A$2:$A$455,0)))=1,"REVISAR DETALLE","REGISTRADA")</f>
        <v/>
      </c>
      <c r="F396" s="4">
        <f>IF(IF(COUNTIFS('RQ3'!$A$2:$A$455,$A396,'RQ3'!$P$2:$P$455,"")&gt;0,"",INDEX('RQ3'!$P$2:$P$455,MATCH($A396,'RQ3'!$A$2:$A$455,0)))="","NO REGISTRADO",IF(IF(COUNTIFS('RQ3'!$A$2:$A$455,$A396,'RQ3'!$P$2:$P$455,"")&gt;0,"",INDEX('RQ3'!$P$2:$P$455,MATCH($A396,'RQ3'!$A$2:$A$455,0)))=1,"MARCA ACTIVA","SIN MARCA"))</f>
        <v/>
      </c>
      <c r="G396" s="4">
        <f>IF(IF(COUNTIFS('ESTUDIOS'!$A$2:$A$455,$A396,'ESTUDIOS'!$N$2:$N$455,"")&gt;0,"",INDEX('ESTUDIOS'!$N$2:$N$455,MATCH($A396,'ESTUDIOS'!$A$2:$A$455,0)))="Verified","DOCUMENTADA","NO DOCUMENTADA")</f>
        <v/>
      </c>
      <c r="H396" s="4">
        <f>IF(D396="PENDIENTE","Leer evidencia ya extraída; registrar uso propuesto o evaluado, función, fuente y revisor en RQ2.","Comprobar evidencia y cautelas registradas; documentar verificación sin recodificar lo ya respaldado.")</f>
        <v/>
      </c>
      <c r="I396" s="4" t="inlineStr">
        <is>
          <t>https://doi.org/10.1016/j.compbiomed.2025.111238</t>
        </is>
      </c>
    </row>
    <row r="397" ht="64" customHeight="1">
      <c r="A397" s="4" t="inlineStr">
        <is>
          <t>new_250</t>
        </is>
      </c>
      <c r="B397" s="4" t="inlineStr">
        <is>
          <t>An Effective LRSF-DLNN-Based Autism Spectrum Disorder Prediction Using EEG and fMRI</t>
        </is>
      </c>
      <c r="C397" s="4">
        <f>IF(IF(COUNTIFS('ESTUDIOS'!$A$2:$A$455,$A397,'ESTUDIOS'!$I$2:$I$455,"")&gt;0,"",INDEX('ESTUDIOS'!$I$2:$I$455,MATCH($A397,'ESTUDIOS'!$A$2:$A$455,0)))=1,"1 - Integrity",IF(OR(IF(COUNTIFS('RQ2'!$A$2:$A$455,$A397,'RQ2'!$D$2:$D$455,"")&gt;0,"",INDEX('RQ2'!$D$2:$D$455,MATCH($A397,'RQ2'!$A$2:$A$455,0)))="",IF(COUNTIFS('RQ2'!$A$2:$A$455,$A397,'RQ2'!$E$2:$E$455,"")&gt;0,"",INDEX('RQ2'!$E$2:$E$455,MATCH($A397,'RQ2'!$A$2:$A$455,0)))=""),"2 - RQ2 historical","3 - Verify recorded evidence"))</f>
        <v/>
      </c>
      <c r="D397" s="4">
        <f>IF(OR(IF(COUNTIFS('RQ2'!$A$2:$A$455,$A397,'RQ2'!$D$2:$D$455,"")&gt;0,"",INDEX('RQ2'!$D$2:$D$455,MATCH($A397,'RQ2'!$A$2:$A$455,0)))="",IF(COUNTIFS('RQ2'!$A$2:$A$455,$A397,'RQ2'!$E$2:$E$455,"")&gt;0,"",INDEX('RQ2'!$E$2:$E$455,MATCH($A397,'RQ2'!$A$2:$A$455,0)))=""),"PENDIENTE","REGISTRADA")</f>
        <v/>
      </c>
      <c r="E397" s="4">
        <f>IF(IF(COUNTIFS('RQ1'!$A$2:$A$455,$A397,'RQ1'!$N$2:$N$455,"")&gt;0,"",INDEX('RQ1'!$N$2:$N$455,MATCH($A397,'RQ1'!$A$2:$A$455,0)))=1,"REVISAR DETALLE","REGISTRADA")</f>
        <v/>
      </c>
      <c r="F397" s="4">
        <f>IF(IF(COUNTIFS('RQ3'!$A$2:$A$455,$A397,'RQ3'!$P$2:$P$455,"")&gt;0,"",INDEX('RQ3'!$P$2:$P$455,MATCH($A397,'RQ3'!$A$2:$A$455,0)))="","NO REGISTRADO",IF(IF(COUNTIFS('RQ3'!$A$2:$A$455,$A397,'RQ3'!$P$2:$P$455,"")&gt;0,"",INDEX('RQ3'!$P$2:$P$455,MATCH($A397,'RQ3'!$A$2:$A$455,0)))=1,"MARCA ACTIVA","SIN MARCA"))</f>
        <v/>
      </c>
      <c r="G397" s="4">
        <f>IF(IF(COUNTIFS('ESTUDIOS'!$A$2:$A$455,$A397,'ESTUDIOS'!$N$2:$N$455,"")&gt;0,"",INDEX('ESTUDIOS'!$N$2:$N$455,MATCH($A397,'ESTUDIOS'!$A$2:$A$455,0)))="Verified","DOCUMENTADA","NO DOCUMENTADA")</f>
        <v/>
      </c>
      <c r="H397" s="4">
        <f>IF(D397="PENDIENTE","Leer evidencia ya extraída; registrar uso propuesto o evaluado, función, fuente y revisor en RQ2.","Comprobar evidencia y cautelas registradas; documentar verificación sin recodificar lo ya respaldado.")</f>
        <v/>
      </c>
      <c r="I397" s="4" t="inlineStr">
        <is>
          <t>https://doi.org/10.1002/dneu.70047</t>
        </is>
      </c>
    </row>
    <row r="398" ht="64" customHeight="1">
      <c r="A398" s="4" t="inlineStr">
        <is>
          <t>new_252</t>
        </is>
      </c>
      <c r="B398" s="4" t="inlineStr">
        <is>
          <t>A New Paradigm for Autism Spectrum Disorder Discrimination in Children Utilizing EEG Data Collected During Cartoon Viewing With a Focus on Atypical Semantic Processing</t>
        </is>
      </c>
      <c r="C398" s="4">
        <f>IF(IF(COUNTIFS('ESTUDIOS'!$A$2:$A$455,$A398,'ESTUDIOS'!$I$2:$I$455,"")&gt;0,"",INDEX('ESTUDIOS'!$I$2:$I$455,MATCH($A398,'ESTUDIOS'!$A$2:$A$455,0)))=1,"1 - Integrity",IF(OR(IF(COUNTIFS('RQ2'!$A$2:$A$455,$A398,'RQ2'!$D$2:$D$455,"")&gt;0,"",INDEX('RQ2'!$D$2:$D$455,MATCH($A398,'RQ2'!$A$2:$A$455,0)))="",IF(COUNTIFS('RQ2'!$A$2:$A$455,$A398,'RQ2'!$E$2:$E$455,"")&gt;0,"",INDEX('RQ2'!$E$2:$E$455,MATCH($A398,'RQ2'!$A$2:$A$455,0)))=""),"2 - RQ2 historical","3 - Verify recorded evidence"))</f>
        <v/>
      </c>
      <c r="D398" s="4">
        <f>IF(OR(IF(COUNTIFS('RQ2'!$A$2:$A$455,$A398,'RQ2'!$D$2:$D$455,"")&gt;0,"",INDEX('RQ2'!$D$2:$D$455,MATCH($A398,'RQ2'!$A$2:$A$455,0)))="",IF(COUNTIFS('RQ2'!$A$2:$A$455,$A398,'RQ2'!$E$2:$E$455,"")&gt;0,"",INDEX('RQ2'!$E$2:$E$455,MATCH($A398,'RQ2'!$A$2:$A$455,0)))=""),"PENDIENTE","REGISTRADA")</f>
        <v/>
      </c>
      <c r="E398" s="4">
        <f>IF(IF(COUNTIFS('RQ1'!$A$2:$A$455,$A398,'RQ1'!$N$2:$N$455,"")&gt;0,"",INDEX('RQ1'!$N$2:$N$455,MATCH($A398,'RQ1'!$A$2:$A$455,0)))=1,"REVISAR DETALLE","REGISTRADA")</f>
        <v/>
      </c>
      <c r="F398" s="4">
        <f>IF(IF(COUNTIFS('RQ3'!$A$2:$A$455,$A398,'RQ3'!$P$2:$P$455,"")&gt;0,"",INDEX('RQ3'!$P$2:$P$455,MATCH($A398,'RQ3'!$A$2:$A$455,0)))="","NO REGISTRADO",IF(IF(COUNTIFS('RQ3'!$A$2:$A$455,$A398,'RQ3'!$P$2:$P$455,"")&gt;0,"",INDEX('RQ3'!$P$2:$P$455,MATCH($A398,'RQ3'!$A$2:$A$455,0)))=1,"MARCA ACTIVA","SIN MARCA"))</f>
        <v/>
      </c>
      <c r="G398" s="4">
        <f>IF(IF(COUNTIFS('ESTUDIOS'!$A$2:$A$455,$A398,'ESTUDIOS'!$N$2:$N$455,"")&gt;0,"",INDEX('ESTUDIOS'!$N$2:$N$455,MATCH($A398,'ESTUDIOS'!$A$2:$A$455,0)))="Verified","DOCUMENTADA","NO DOCUMENTADA")</f>
        <v/>
      </c>
      <c r="H398" s="4">
        <f>IF(D398="PENDIENTE","Leer evidencia ya extraída; registrar uso propuesto o evaluado, función, fuente y revisor en RQ2.","Comprobar evidencia y cautelas registradas; documentar verificación sin recodificar lo ya respaldado.")</f>
        <v/>
      </c>
      <c r="I398" s="4" t="inlineStr">
        <is>
          <t>https://doi.org/10.1002/aur.70105</t>
        </is>
      </c>
    </row>
    <row r="399" ht="64" customHeight="1">
      <c r="A399" s="4" t="inlineStr">
        <is>
          <t>new_254</t>
        </is>
      </c>
      <c r="B399" s="4" t="inlineStr">
        <is>
          <t>Hybrid groupers-moray orangutan optimization algorithm-based dense-resolution network for autism spectrum disorder detection using multimodal data</t>
        </is>
      </c>
      <c r="C399" s="4">
        <f>IF(IF(COUNTIFS('ESTUDIOS'!$A$2:$A$455,$A399,'ESTUDIOS'!$I$2:$I$455,"")&gt;0,"",INDEX('ESTUDIOS'!$I$2:$I$455,MATCH($A399,'ESTUDIOS'!$A$2:$A$455,0)))=1,"1 - Integrity",IF(OR(IF(COUNTIFS('RQ2'!$A$2:$A$455,$A399,'RQ2'!$D$2:$D$455,"")&gt;0,"",INDEX('RQ2'!$D$2:$D$455,MATCH($A399,'RQ2'!$A$2:$A$455,0)))="",IF(COUNTIFS('RQ2'!$A$2:$A$455,$A399,'RQ2'!$E$2:$E$455,"")&gt;0,"",INDEX('RQ2'!$E$2:$E$455,MATCH($A399,'RQ2'!$A$2:$A$455,0)))=""),"2 - RQ2 historical","3 - Verify recorded evidence"))</f>
        <v/>
      </c>
      <c r="D399" s="4">
        <f>IF(OR(IF(COUNTIFS('RQ2'!$A$2:$A$455,$A399,'RQ2'!$D$2:$D$455,"")&gt;0,"",INDEX('RQ2'!$D$2:$D$455,MATCH($A399,'RQ2'!$A$2:$A$455,0)))="",IF(COUNTIFS('RQ2'!$A$2:$A$455,$A399,'RQ2'!$E$2:$E$455,"")&gt;0,"",INDEX('RQ2'!$E$2:$E$455,MATCH($A399,'RQ2'!$A$2:$A$455,0)))=""),"PENDIENTE","REGISTRADA")</f>
        <v/>
      </c>
      <c r="E399" s="4">
        <f>IF(IF(COUNTIFS('RQ1'!$A$2:$A$455,$A399,'RQ1'!$N$2:$N$455,"")&gt;0,"",INDEX('RQ1'!$N$2:$N$455,MATCH($A399,'RQ1'!$A$2:$A$455,0)))=1,"REVISAR DETALLE","REGISTRADA")</f>
        <v/>
      </c>
      <c r="F399" s="4">
        <f>IF(IF(COUNTIFS('RQ3'!$A$2:$A$455,$A399,'RQ3'!$P$2:$P$455,"")&gt;0,"",INDEX('RQ3'!$P$2:$P$455,MATCH($A399,'RQ3'!$A$2:$A$455,0)))="","NO REGISTRADO",IF(IF(COUNTIFS('RQ3'!$A$2:$A$455,$A399,'RQ3'!$P$2:$P$455,"")&gt;0,"",INDEX('RQ3'!$P$2:$P$455,MATCH($A399,'RQ3'!$A$2:$A$455,0)))=1,"MARCA ACTIVA","SIN MARCA"))</f>
        <v/>
      </c>
      <c r="G399" s="4">
        <f>IF(IF(COUNTIFS('ESTUDIOS'!$A$2:$A$455,$A399,'ESTUDIOS'!$N$2:$N$455,"")&gt;0,"",INDEX('ESTUDIOS'!$N$2:$N$455,MATCH($A399,'ESTUDIOS'!$A$2:$A$455,0)))="Verified","DOCUMENTADA","NO DOCUMENTADA")</f>
        <v/>
      </c>
      <c r="H399" s="4">
        <f>IF(D399="PENDIENTE","Leer evidencia ya extraída; registrar uso propuesto o evaluado, función, fuente y revisor en RQ2.","Comprobar evidencia y cautelas registradas; documentar verificación sin recodificar lo ya respaldado.")</f>
        <v/>
      </c>
      <c r="I399" s="4" t="inlineStr">
        <is>
          <t>https://doi.org/10.1016/j.pscychresns.2026.112204</t>
        </is>
      </c>
    </row>
    <row r="400" ht="64" customHeight="1">
      <c r="A400" s="4" t="inlineStr">
        <is>
          <t>new_266</t>
        </is>
      </c>
      <c r="B400" s="4" t="inlineStr">
        <is>
          <t>Machine Learning-Based Early Prediction Model for Autism Spectrum Disorder in Infants Using Acoustic Feature</t>
        </is>
      </c>
      <c r="C400" s="4">
        <f>IF(IF(COUNTIFS('ESTUDIOS'!$A$2:$A$455,$A400,'ESTUDIOS'!$I$2:$I$455,"")&gt;0,"",INDEX('ESTUDIOS'!$I$2:$I$455,MATCH($A400,'ESTUDIOS'!$A$2:$A$455,0)))=1,"1 - Integrity",IF(OR(IF(COUNTIFS('RQ2'!$A$2:$A$455,$A400,'RQ2'!$D$2:$D$455,"")&gt;0,"",INDEX('RQ2'!$D$2:$D$455,MATCH($A400,'RQ2'!$A$2:$A$455,0)))="",IF(COUNTIFS('RQ2'!$A$2:$A$455,$A400,'RQ2'!$E$2:$E$455,"")&gt;0,"",INDEX('RQ2'!$E$2:$E$455,MATCH($A400,'RQ2'!$A$2:$A$455,0)))=""),"2 - RQ2 historical","3 - Verify recorded evidence"))</f>
        <v/>
      </c>
      <c r="D400" s="4">
        <f>IF(OR(IF(COUNTIFS('RQ2'!$A$2:$A$455,$A400,'RQ2'!$D$2:$D$455,"")&gt;0,"",INDEX('RQ2'!$D$2:$D$455,MATCH($A400,'RQ2'!$A$2:$A$455,0)))="",IF(COUNTIFS('RQ2'!$A$2:$A$455,$A400,'RQ2'!$E$2:$E$455,"")&gt;0,"",INDEX('RQ2'!$E$2:$E$455,MATCH($A400,'RQ2'!$A$2:$A$455,0)))=""),"PENDIENTE","REGISTRADA")</f>
        <v/>
      </c>
      <c r="E400" s="4">
        <f>IF(IF(COUNTIFS('RQ1'!$A$2:$A$455,$A400,'RQ1'!$N$2:$N$455,"")&gt;0,"",INDEX('RQ1'!$N$2:$N$455,MATCH($A400,'RQ1'!$A$2:$A$455,0)))=1,"REVISAR DETALLE","REGISTRADA")</f>
        <v/>
      </c>
      <c r="F400" s="4">
        <f>IF(IF(COUNTIFS('RQ3'!$A$2:$A$455,$A400,'RQ3'!$P$2:$P$455,"")&gt;0,"",INDEX('RQ3'!$P$2:$P$455,MATCH($A400,'RQ3'!$A$2:$A$455,0)))="","NO REGISTRADO",IF(IF(COUNTIFS('RQ3'!$A$2:$A$455,$A400,'RQ3'!$P$2:$P$455,"")&gt;0,"",INDEX('RQ3'!$P$2:$P$455,MATCH($A400,'RQ3'!$A$2:$A$455,0)))=1,"MARCA ACTIVA","SIN MARCA"))</f>
        <v/>
      </c>
      <c r="G400" s="4">
        <f>IF(IF(COUNTIFS('ESTUDIOS'!$A$2:$A$455,$A400,'ESTUDIOS'!$N$2:$N$455,"")&gt;0,"",INDEX('ESTUDIOS'!$N$2:$N$455,MATCH($A400,'ESTUDIOS'!$A$2:$A$455,0)))="Verified","DOCUMENTADA","NO DOCUMENTADA")</f>
        <v/>
      </c>
      <c r="H400" s="4">
        <f>IF(D400="PENDIENTE","Leer evidencia ya extraída; registrar uso propuesto o evaluado, función, fuente y revisor en RQ2.","Comprobar evidencia y cautelas registradas; documentar verificación sin recodificar lo ya respaldado.")</f>
        <v/>
      </c>
      <c r="I400" s="4" t="inlineStr">
        <is>
          <t>https://doi.org/10.1002/aur.70179</t>
        </is>
      </c>
    </row>
    <row r="401" ht="64" customHeight="1">
      <c r="A401" s="4" t="inlineStr">
        <is>
          <t>new_269</t>
        </is>
      </c>
      <c r="B401" s="4" t="inlineStr">
        <is>
          <t>Predicting fine motor deficit in autism by measuring brain activities and characterizing motor impairments</t>
        </is>
      </c>
      <c r="C401" s="4">
        <f>IF(IF(COUNTIFS('ESTUDIOS'!$A$2:$A$455,$A401,'ESTUDIOS'!$I$2:$I$455,"")&gt;0,"",INDEX('ESTUDIOS'!$I$2:$I$455,MATCH($A401,'ESTUDIOS'!$A$2:$A$455,0)))=1,"1 - Integrity",IF(OR(IF(COUNTIFS('RQ2'!$A$2:$A$455,$A401,'RQ2'!$D$2:$D$455,"")&gt;0,"",INDEX('RQ2'!$D$2:$D$455,MATCH($A401,'RQ2'!$A$2:$A$455,0)))="",IF(COUNTIFS('RQ2'!$A$2:$A$455,$A401,'RQ2'!$E$2:$E$455,"")&gt;0,"",INDEX('RQ2'!$E$2:$E$455,MATCH($A401,'RQ2'!$A$2:$A$455,0)))=""),"2 - RQ2 historical","3 - Verify recorded evidence"))</f>
        <v/>
      </c>
      <c r="D401" s="4">
        <f>IF(OR(IF(COUNTIFS('RQ2'!$A$2:$A$455,$A401,'RQ2'!$D$2:$D$455,"")&gt;0,"",INDEX('RQ2'!$D$2:$D$455,MATCH($A401,'RQ2'!$A$2:$A$455,0)))="",IF(COUNTIFS('RQ2'!$A$2:$A$455,$A401,'RQ2'!$E$2:$E$455,"")&gt;0,"",INDEX('RQ2'!$E$2:$E$455,MATCH($A401,'RQ2'!$A$2:$A$455,0)))=""),"PENDIENTE","REGISTRADA")</f>
        <v/>
      </c>
      <c r="E401" s="4">
        <f>IF(IF(COUNTIFS('RQ1'!$A$2:$A$455,$A401,'RQ1'!$N$2:$N$455,"")&gt;0,"",INDEX('RQ1'!$N$2:$N$455,MATCH($A401,'RQ1'!$A$2:$A$455,0)))=1,"REVISAR DETALLE","REGISTRADA")</f>
        <v/>
      </c>
      <c r="F401" s="4">
        <f>IF(IF(COUNTIFS('RQ3'!$A$2:$A$455,$A401,'RQ3'!$P$2:$P$455,"")&gt;0,"",INDEX('RQ3'!$P$2:$P$455,MATCH($A401,'RQ3'!$A$2:$A$455,0)))="","NO REGISTRADO",IF(IF(COUNTIFS('RQ3'!$A$2:$A$455,$A401,'RQ3'!$P$2:$P$455,"")&gt;0,"",INDEX('RQ3'!$P$2:$P$455,MATCH($A401,'RQ3'!$A$2:$A$455,0)))=1,"MARCA ACTIVA","SIN MARCA"))</f>
        <v/>
      </c>
      <c r="G401" s="4">
        <f>IF(IF(COUNTIFS('ESTUDIOS'!$A$2:$A$455,$A401,'ESTUDIOS'!$N$2:$N$455,"")&gt;0,"",INDEX('ESTUDIOS'!$N$2:$N$455,MATCH($A401,'ESTUDIOS'!$A$2:$A$455,0)))="Verified","DOCUMENTADA","NO DOCUMENTADA")</f>
        <v/>
      </c>
      <c r="H401" s="4">
        <f>IF(D401="PENDIENTE","Leer evidencia ya extraída; registrar uso propuesto o evaluado, función, fuente y revisor en RQ2.","Comprobar evidencia y cautelas registradas; documentar verificación sin recodificar lo ya respaldado.")</f>
        <v/>
      </c>
      <c r="I401" s="4" t="inlineStr">
        <is>
          <t>https://doi.org/10.1016/j.compbiomed.2026.111470</t>
        </is>
      </c>
    </row>
    <row r="402" ht="64" customHeight="1">
      <c r="A402" s="4" t="inlineStr">
        <is>
          <t>new_270</t>
        </is>
      </c>
      <c r="B402" s="4" t="inlineStr">
        <is>
          <t>Diagnosing autism spectrum disorders using ensemble-aided weighted fused features and attention-based residual LSTM with brain MRI images</t>
        </is>
      </c>
      <c r="C402" s="4">
        <f>IF(IF(COUNTIFS('ESTUDIOS'!$A$2:$A$455,$A402,'ESTUDIOS'!$I$2:$I$455,"")&gt;0,"",INDEX('ESTUDIOS'!$I$2:$I$455,MATCH($A402,'ESTUDIOS'!$A$2:$A$455,0)))=1,"1 - Integrity",IF(OR(IF(COUNTIFS('RQ2'!$A$2:$A$455,$A402,'RQ2'!$D$2:$D$455,"")&gt;0,"",INDEX('RQ2'!$D$2:$D$455,MATCH($A402,'RQ2'!$A$2:$A$455,0)))="",IF(COUNTIFS('RQ2'!$A$2:$A$455,$A402,'RQ2'!$E$2:$E$455,"")&gt;0,"",INDEX('RQ2'!$E$2:$E$455,MATCH($A402,'RQ2'!$A$2:$A$455,0)))=""),"2 - RQ2 historical","3 - Verify recorded evidence"))</f>
        <v/>
      </c>
      <c r="D402" s="4">
        <f>IF(OR(IF(COUNTIFS('RQ2'!$A$2:$A$455,$A402,'RQ2'!$D$2:$D$455,"")&gt;0,"",INDEX('RQ2'!$D$2:$D$455,MATCH($A402,'RQ2'!$A$2:$A$455,0)))="",IF(COUNTIFS('RQ2'!$A$2:$A$455,$A402,'RQ2'!$E$2:$E$455,"")&gt;0,"",INDEX('RQ2'!$E$2:$E$455,MATCH($A402,'RQ2'!$A$2:$A$455,0)))=""),"PENDIENTE","REGISTRADA")</f>
        <v/>
      </c>
      <c r="E402" s="4">
        <f>IF(IF(COUNTIFS('RQ1'!$A$2:$A$455,$A402,'RQ1'!$N$2:$N$455,"")&gt;0,"",INDEX('RQ1'!$N$2:$N$455,MATCH($A402,'RQ1'!$A$2:$A$455,0)))=1,"REVISAR DETALLE","REGISTRADA")</f>
        <v/>
      </c>
      <c r="F402" s="4">
        <f>IF(IF(COUNTIFS('RQ3'!$A$2:$A$455,$A402,'RQ3'!$P$2:$P$455,"")&gt;0,"",INDEX('RQ3'!$P$2:$P$455,MATCH($A402,'RQ3'!$A$2:$A$455,0)))="","NO REGISTRADO",IF(IF(COUNTIFS('RQ3'!$A$2:$A$455,$A402,'RQ3'!$P$2:$P$455,"")&gt;0,"",INDEX('RQ3'!$P$2:$P$455,MATCH($A402,'RQ3'!$A$2:$A$455,0)))=1,"MARCA ACTIVA","SIN MARCA"))</f>
        <v/>
      </c>
      <c r="G402" s="4">
        <f>IF(IF(COUNTIFS('ESTUDIOS'!$A$2:$A$455,$A402,'ESTUDIOS'!$N$2:$N$455,"")&gt;0,"",INDEX('ESTUDIOS'!$N$2:$N$455,MATCH($A402,'ESTUDIOS'!$A$2:$A$455,0)))="Verified","DOCUMENTADA","NO DOCUMENTADA")</f>
        <v/>
      </c>
      <c r="H402" s="4">
        <f>IF(D402="PENDIENTE","Leer evidencia ya extraída; registrar uso propuesto o evaluado, función, fuente y revisor en RQ2.","Comprobar evidencia y cautelas registradas; documentar verificación sin recodificar lo ya respaldado.")</f>
        <v/>
      </c>
      <c r="I402" s="4" t="inlineStr">
        <is>
          <t>https://doi.org/10.1016/j.pscychresns.2026.112230</t>
        </is>
      </c>
    </row>
    <row r="403" ht="64" customHeight="1">
      <c r="A403" s="4" t="inlineStr">
        <is>
          <t>new_271</t>
        </is>
      </c>
      <c r="B403" s="4" t="inlineStr">
        <is>
          <t>Early Autism Spectrum Disorder Detection Using SMOTE-Enhanced 1D-CNN and Behavioral Screening Data</t>
        </is>
      </c>
      <c r="C403" s="4">
        <f>IF(IF(COUNTIFS('ESTUDIOS'!$A$2:$A$455,$A403,'ESTUDIOS'!$I$2:$I$455,"")&gt;0,"",INDEX('ESTUDIOS'!$I$2:$I$455,MATCH($A403,'ESTUDIOS'!$A$2:$A$455,0)))=1,"1 - Integrity",IF(OR(IF(COUNTIFS('RQ2'!$A$2:$A$455,$A403,'RQ2'!$D$2:$D$455,"")&gt;0,"",INDEX('RQ2'!$D$2:$D$455,MATCH($A403,'RQ2'!$A$2:$A$455,0)))="",IF(COUNTIFS('RQ2'!$A$2:$A$455,$A403,'RQ2'!$E$2:$E$455,"")&gt;0,"",INDEX('RQ2'!$E$2:$E$455,MATCH($A403,'RQ2'!$A$2:$A$455,0)))=""),"2 - RQ2 historical","3 - Verify recorded evidence"))</f>
        <v/>
      </c>
      <c r="D403" s="4">
        <f>IF(OR(IF(COUNTIFS('RQ2'!$A$2:$A$455,$A403,'RQ2'!$D$2:$D$455,"")&gt;0,"",INDEX('RQ2'!$D$2:$D$455,MATCH($A403,'RQ2'!$A$2:$A$455,0)))="",IF(COUNTIFS('RQ2'!$A$2:$A$455,$A403,'RQ2'!$E$2:$E$455,"")&gt;0,"",INDEX('RQ2'!$E$2:$E$455,MATCH($A403,'RQ2'!$A$2:$A$455,0)))=""),"PENDIENTE","REGISTRADA")</f>
        <v/>
      </c>
      <c r="E403" s="4">
        <f>IF(IF(COUNTIFS('RQ1'!$A$2:$A$455,$A403,'RQ1'!$N$2:$N$455,"")&gt;0,"",INDEX('RQ1'!$N$2:$N$455,MATCH($A403,'RQ1'!$A$2:$A$455,0)))=1,"REVISAR DETALLE","REGISTRADA")</f>
        <v/>
      </c>
      <c r="F403" s="4">
        <f>IF(IF(COUNTIFS('RQ3'!$A$2:$A$455,$A403,'RQ3'!$P$2:$P$455,"")&gt;0,"",INDEX('RQ3'!$P$2:$P$455,MATCH($A403,'RQ3'!$A$2:$A$455,0)))="","NO REGISTRADO",IF(IF(COUNTIFS('RQ3'!$A$2:$A$455,$A403,'RQ3'!$P$2:$P$455,"")&gt;0,"",INDEX('RQ3'!$P$2:$P$455,MATCH($A403,'RQ3'!$A$2:$A$455,0)))=1,"MARCA ACTIVA","SIN MARCA"))</f>
        <v/>
      </c>
      <c r="G403" s="4">
        <f>IF(IF(COUNTIFS('ESTUDIOS'!$A$2:$A$455,$A403,'ESTUDIOS'!$N$2:$N$455,"")&gt;0,"",INDEX('ESTUDIOS'!$N$2:$N$455,MATCH($A403,'ESTUDIOS'!$A$2:$A$455,0)))="Verified","DOCUMENTADA","NO DOCUMENTADA")</f>
        <v/>
      </c>
      <c r="H403" s="4">
        <f>IF(D403="PENDIENTE","Leer evidencia ya extraída; registrar uso propuesto o evaluado, función, fuente y revisor en RQ2.","Comprobar evidencia y cautelas registradas; documentar verificación sin recodificar lo ya respaldado.")</f>
        <v/>
      </c>
      <c r="I403" s="4" t="inlineStr">
        <is>
          <t>https://doi.org/10.1155/ahci/1316854</t>
        </is>
      </c>
    </row>
    <row r="404" ht="64" customHeight="1">
      <c r="A404" s="4" t="inlineStr">
        <is>
          <t>new_273</t>
        </is>
      </c>
      <c r="B404" s="4" t="inlineStr">
        <is>
          <t>Optimizing Autism Spectrum Disorder Diagnosis with VGG16-Based Facial Landmark Recognition</t>
        </is>
      </c>
      <c r="C404" s="4">
        <f>IF(IF(COUNTIFS('ESTUDIOS'!$A$2:$A$455,$A404,'ESTUDIOS'!$I$2:$I$455,"")&gt;0,"",INDEX('ESTUDIOS'!$I$2:$I$455,MATCH($A404,'ESTUDIOS'!$A$2:$A$455,0)))=1,"1 - Integrity",IF(OR(IF(COUNTIFS('RQ2'!$A$2:$A$455,$A404,'RQ2'!$D$2:$D$455,"")&gt;0,"",INDEX('RQ2'!$D$2:$D$455,MATCH($A404,'RQ2'!$A$2:$A$455,0)))="",IF(COUNTIFS('RQ2'!$A$2:$A$455,$A404,'RQ2'!$E$2:$E$455,"")&gt;0,"",INDEX('RQ2'!$E$2:$E$455,MATCH($A404,'RQ2'!$A$2:$A$455,0)))=""),"2 - RQ2 historical","3 - Verify recorded evidence"))</f>
        <v/>
      </c>
      <c r="D404" s="4">
        <f>IF(OR(IF(COUNTIFS('RQ2'!$A$2:$A$455,$A404,'RQ2'!$D$2:$D$455,"")&gt;0,"",INDEX('RQ2'!$D$2:$D$455,MATCH($A404,'RQ2'!$A$2:$A$455,0)))="",IF(COUNTIFS('RQ2'!$A$2:$A$455,$A404,'RQ2'!$E$2:$E$455,"")&gt;0,"",INDEX('RQ2'!$E$2:$E$455,MATCH($A404,'RQ2'!$A$2:$A$455,0)))=""),"PENDIENTE","REGISTRADA")</f>
        <v/>
      </c>
      <c r="E404" s="4">
        <f>IF(IF(COUNTIFS('RQ1'!$A$2:$A$455,$A404,'RQ1'!$N$2:$N$455,"")&gt;0,"",INDEX('RQ1'!$N$2:$N$455,MATCH($A404,'RQ1'!$A$2:$A$455,0)))=1,"REVISAR DETALLE","REGISTRADA")</f>
        <v/>
      </c>
      <c r="F404" s="4">
        <f>IF(IF(COUNTIFS('RQ3'!$A$2:$A$455,$A404,'RQ3'!$P$2:$P$455,"")&gt;0,"",INDEX('RQ3'!$P$2:$P$455,MATCH($A404,'RQ3'!$A$2:$A$455,0)))="","NO REGISTRADO",IF(IF(COUNTIFS('RQ3'!$A$2:$A$455,$A404,'RQ3'!$P$2:$P$455,"")&gt;0,"",INDEX('RQ3'!$P$2:$P$455,MATCH($A404,'RQ3'!$A$2:$A$455,0)))=1,"MARCA ACTIVA","SIN MARCA"))</f>
        <v/>
      </c>
      <c r="G404" s="4">
        <f>IF(IF(COUNTIFS('ESTUDIOS'!$A$2:$A$455,$A404,'ESTUDIOS'!$N$2:$N$455,"")&gt;0,"",INDEX('ESTUDIOS'!$N$2:$N$455,MATCH($A404,'ESTUDIOS'!$A$2:$A$455,0)))="Verified","DOCUMENTADA","NO DOCUMENTADA")</f>
        <v/>
      </c>
      <c r="H404" s="4">
        <f>IF(D404="PENDIENTE","Leer evidencia ya extraída; registrar uso propuesto o evaluado, función, fuente y revisor en RQ2.","Comprobar evidencia y cautelas registradas; documentar verificación sin recodificar lo ya respaldado.")</f>
        <v/>
      </c>
      <c r="I404" s="4" t="inlineStr">
        <is>
          <t>https://doi.org/10.1016/j.procs.2026.06.483</t>
        </is>
      </c>
    </row>
    <row r="405" ht="64" customHeight="1">
      <c r="A405" s="4" t="inlineStr">
        <is>
          <t>new_275</t>
        </is>
      </c>
      <c r="B405" s="4" t="inlineStr">
        <is>
          <t>Machine Learning Techniques to Uncover Sociodemographic Risk Factors of Autism Spectrum Disorder (ASD) Among Children and Adolescents in Bangladesh</t>
        </is>
      </c>
      <c r="C405" s="4">
        <f>IF(IF(COUNTIFS('ESTUDIOS'!$A$2:$A$455,$A405,'ESTUDIOS'!$I$2:$I$455,"")&gt;0,"",INDEX('ESTUDIOS'!$I$2:$I$455,MATCH($A405,'ESTUDIOS'!$A$2:$A$455,0)))=1,"1 - Integrity",IF(OR(IF(COUNTIFS('RQ2'!$A$2:$A$455,$A405,'RQ2'!$D$2:$D$455,"")&gt;0,"",INDEX('RQ2'!$D$2:$D$455,MATCH($A405,'RQ2'!$A$2:$A$455,0)))="",IF(COUNTIFS('RQ2'!$A$2:$A$455,$A405,'RQ2'!$E$2:$E$455,"")&gt;0,"",INDEX('RQ2'!$E$2:$E$455,MATCH($A405,'RQ2'!$A$2:$A$455,0)))=""),"2 - RQ2 historical","3 - Verify recorded evidence"))</f>
        <v/>
      </c>
      <c r="D405" s="4">
        <f>IF(OR(IF(COUNTIFS('RQ2'!$A$2:$A$455,$A405,'RQ2'!$D$2:$D$455,"")&gt;0,"",INDEX('RQ2'!$D$2:$D$455,MATCH($A405,'RQ2'!$A$2:$A$455,0)))="",IF(COUNTIFS('RQ2'!$A$2:$A$455,$A405,'RQ2'!$E$2:$E$455,"")&gt;0,"",INDEX('RQ2'!$E$2:$E$455,MATCH($A405,'RQ2'!$A$2:$A$455,0)))=""),"PENDIENTE","REGISTRADA")</f>
        <v/>
      </c>
      <c r="E405" s="4">
        <f>IF(IF(COUNTIFS('RQ1'!$A$2:$A$455,$A405,'RQ1'!$N$2:$N$455,"")&gt;0,"",INDEX('RQ1'!$N$2:$N$455,MATCH($A405,'RQ1'!$A$2:$A$455,0)))=1,"REVISAR DETALLE","REGISTRADA")</f>
        <v/>
      </c>
      <c r="F405" s="4">
        <f>IF(IF(COUNTIFS('RQ3'!$A$2:$A$455,$A405,'RQ3'!$P$2:$P$455,"")&gt;0,"",INDEX('RQ3'!$P$2:$P$455,MATCH($A405,'RQ3'!$A$2:$A$455,0)))="","NO REGISTRADO",IF(IF(COUNTIFS('RQ3'!$A$2:$A$455,$A405,'RQ3'!$P$2:$P$455,"")&gt;0,"",INDEX('RQ3'!$P$2:$P$455,MATCH($A405,'RQ3'!$A$2:$A$455,0)))=1,"MARCA ACTIVA","SIN MARCA"))</f>
        <v/>
      </c>
      <c r="G405" s="4">
        <f>IF(IF(COUNTIFS('ESTUDIOS'!$A$2:$A$455,$A405,'ESTUDIOS'!$N$2:$N$455,"")&gt;0,"",INDEX('ESTUDIOS'!$N$2:$N$455,MATCH($A405,'ESTUDIOS'!$A$2:$A$455,0)))="Verified","DOCUMENTADA","NO DOCUMENTADA")</f>
        <v/>
      </c>
      <c r="H405" s="4">
        <f>IF(D405="PENDIENTE","Leer evidencia ya extraída; registrar uso propuesto o evaluado, función, fuente y revisor en RQ2.","Comprobar evidencia y cautelas registradas; documentar verificación sin recodificar lo ya respaldado.")</f>
        <v/>
      </c>
      <c r="I405" s="4" t="inlineStr">
        <is>
          <t>https://doi.org/10.1155/acis/6410913</t>
        </is>
      </c>
    </row>
    <row r="406" ht="64" customHeight="1">
      <c r="A406" s="4" t="inlineStr">
        <is>
          <t>new_277</t>
        </is>
      </c>
      <c r="B406" s="4" t="inlineStr">
        <is>
          <t>A comprehensive causal and machine learning framework for autism spectrum disorder risk prediction and high-risk subgroup identification from children with chronic health and genetic disorders in the United States</t>
        </is>
      </c>
      <c r="C406" s="4">
        <f>IF(IF(COUNTIFS('ESTUDIOS'!$A$2:$A$455,$A406,'ESTUDIOS'!$I$2:$I$455,"")&gt;0,"",INDEX('ESTUDIOS'!$I$2:$I$455,MATCH($A406,'ESTUDIOS'!$A$2:$A$455,0)))=1,"1 - Integrity",IF(OR(IF(COUNTIFS('RQ2'!$A$2:$A$455,$A406,'RQ2'!$D$2:$D$455,"")&gt;0,"",INDEX('RQ2'!$D$2:$D$455,MATCH($A406,'RQ2'!$A$2:$A$455,0)))="",IF(COUNTIFS('RQ2'!$A$2:$A$455,$A406,'RQ2'!$E$2:$E$455,"")&gt;0,"",INDEX('RQ2'!$E$2:$E$455,MATCH($A406,'RQ2'!$A$2:$A$455,0)))=""),"2 - RQ2 historical","3 - Verify recorded evidence"))</f>
        <v/>
      </c>
      <c r="D406" s="4">
        <f>IF(OR(IF(COUNTIFS('RQ2'!$A$2:$A$455,$A406,'RQ2'!$D$2:$D$455,"")&gt;0,"",INDEX('RQ2'!$D$2:$D$455,MATCH($A406,'RQ2'!$A$2:$A$455,0)))="",IF(COUNTIFS('RQ2'!$A$2:$A$455,$A406,'RQ2'!$E$2:$E$455,"")&gt;0,"",INDEX('RQ2'!$E$2:$E$455,MATCH($A406,'RQ2'!$A$2:$A$455,0)))=""),"PENDIENTE","REGISTRADA")</f>
        <v/>
      </c>
      <c r="E406" s="4">
        <f>IF(IF(COUNTIFS('RQ1'!$A$2:$A$455,$A406,'RQ1'!$N$2:$N$455,"")&gt;0,"",INDEX('RQ1'!$N$2:$N$455,MATCH($A406,'RQ1'!$A$2:$A$455,0)))=1,"REVISAR DETALLE","REGISTRADA")</f>
        <v/>
      </c>
      <c r="F406" s="4">
        <f>IF(IF(COUNTIFS('RQ3'!$A$2:$A$455,$A406,'RQ3'!$P$2:$P$455,"")&gt;0,"",INDEX('RQ3'!$P$2:$P$455,MATCH($A406,'RQ3'!$A$2:$A$455,0)))="","NO REGISTRADO",IF(IF(COUNTIFS('RQ3'!$A$2:$A$455,$A406,'RQ3'!$P$2:$P$455,"")&gt;0,"",INDEX('RQ3'!$P$2:$P$455,MATCH($A406,'RQ3'!$A$2:$A$455,0)))=1,"MARCA ACTIVA","SIN MARCA"))</f>
        <v/>
      </c>
      <c r="G406" s="4">
        <f>IF(IF(COUNTIFS('ESTUDIOS'!$A$2:$A$455,$A406,'ESTUDIOS'!$N$2:$N$455,"")&gt;0,"",INDEX('ESTUDIOS'!$N$2:$N$455,MATCH($A406,'ESTUDIOS'!$A$2:$A$455,0)))="Verified","DOCUMENTADA","NO DOCUMENTADA")</f>
        <v/>
      </c>
      <c r="H406" s="4">
        <f>IF(D406="PENDIENTE","Leer evidencia ya extraída; registrar uso propuesto o evaluado, función, fuente y revisor en RQ2.","Comprobar evidencia y cautelas registradas; documentar verificación sin recodificar lo ya respaldado.")</f>
        <v/>
      </c>
      <c r="I406" s="4" t="inlineStr">
        <is>
          <t>https://doi.org/10.1016/j.reia.2026.202826</t>
        </is>
      </c>
    </row>
    <row r="407" ht="64" customHeight="1">
      <c r="A407" s="4" t="inlineStr">
        <is>
          <t>new_280</t>
        </is>
      </c>
      <c r="B407" s="4" t="inlineStr">
        <is>
          <t>Sleep pattern consistency and autism spectrum disorder in U.S. children: Associations and identification of high-risk subgroups</t>
        </is>
      </c>
      <c r="C407" s="4">
        <f>IF(IF(COUNTIFS('ESTUDIOS'!$A$2:$A$455,$A407,'ESTUDIOS'!$I$2:$I$455,"")&gt;0,"",INDEX('ESTUDIOS'!$I$2:$I$455,MATCH($A407,'ESTUDIOS'!$A$2:$A$455,0)))=1,"1 - Integrity",IF(OR(IF(COUNTIFS('RQ2'!$A$2:$A$455,$A407,'RQ2'!$D$2:$D$455,"")&gt;0,"",INDEX('RQ2'!$D$2:$D$455,MATCH($A407,'RQ2'!$A$2:$A$455,0)))="",IF(COUNTIFS('RQ2'!$A$2:$A$455,$A407,'RQ2'!$E$2:$E$455,"")&gt;0,"",INDEX('RQ2'!$E$2:$E$455,MATCH($A407,'RQ2'!$A$2:$A$455,0)))=""),"2 - RQ2 historical","3 - Verify recorded evidence"))</f>
        <v/>
      </c>
      <c r="D407" s="4">
        <f>IF(OR(IF(COUNTIFS('RQ2'!$A$2:$A$455,$A407,'RQ2'!$D$2:$D$455,"")&gt;0,"",INDEX('RQ2'!$D$2:$D$455,MATCH($A407,'RQ2'!$A$2:$A$455,0)))="",IF(COUNTIFS('RQ2'!$A$2:$A$455,$A407,'RQ2'!$E$2:$E$455,"")&gt;0,"",INDEX('RQ2'!$E$2:$E$455,MATCH($A407,'RQ2'!$A$2:$A$455,0)))=""),"PENDIENTE","REGISTRADA")</f>
        <v/>
      </c>
      <c r="E407" s="4">
        <f>IF(IF(COUNTIFS('RQ1'!$A$2:$A$455,$A407,'RQ1'!$N$2:$N$455,"")&gt;0,"",INDEX('RQ1'!$N$2:$N$455,MATCH($A407,'RQ1'!$A$2:$A$455,0)))=1,"REVISAR DETALLE","REGISTRADA")</f>
        <v/>
      </c>
      <c r="F407" s="4">
        <f>IF(IF(COUNTIFS('RQ3'!$A$2:$A$455,$A407,'RQ3'!$P$2:$P$455,"")&gt;0,"",INDEX('RQ3'!$P$2:$P$455,MATCH($A407,'RQ3'!$A$2:$A$455,0)))="","NO REGISTRADO",IF(IF(COUNTIFS('RQ3'!$A$2:$A$455,$A407,'RQ3'!$P$2:$P$455,"")&gt;0,"",INDEX('RQ3'!$P$2:$P$455,MATCH($A407,'RQ3'!$A$2:$A$455,0)))=1,"MARCA ACTIVA","SIN MARCA"))</f>
        <v/>
      </c>
      <c r="G407" s="4">
        <f>IF(IF(COUNTIFS('ESTUDIOS'!$A$2:$A$455,$A407,'ESTUDIOS'!$N$2:$N$455,"")&gt;0,"",INDEX('ESTUDIOS'!$N$2:$N$455,MATCH($A407,'ESTUDIOS'!$A$2:$A$455,0)))="Verified","DOCUMENTADA","NO DOCUMENTADA")</f>
        <v/>
      </c>
      <c r="H407" s="4">
        <f>IF(D407="PENDIENTE","Leer evidencia ya extraída; registrar uso propuesto o evaluado, función, fuente y revisor en RQ2.","Comprobar evidencia y cautelas registradas; documentar verificación sin recodificar lo ya respaldado.")</f>
        <v/>
      </c>
      <c r="I407" s="4" t="inlineStr">
        <is>
          <t>https://doi.org/10.1016/j.ridd.2025.105201</t>
        </is>
      </c>
    </row>
    <row r="408" ht="64" customHeight="1">
      <c r="A408" s="4" t="inlineStr">
        <is>
          <t>new_286</t>
        </is>
      </c>
      <c r="B408" s="4" t="inlineStr">
        <is>
          <t>Identification of Potential Biomarkers in ASD Integrating RNA Seq Data and Machine Learning Approaches</t>
        </is>
      </c>
      <c r="C408" s="4">
        <f>IF(IF(COUNTIFS('ESTUDIOS'!$A$2:$A$455,$A408,'ESTUDIOS'!$I$2:$I$455,"")&gt;0,"",INDEX('ESTUDIOS'!$I$2:$I$455,MATCH($A408,'ESTUDIOS'!$A$2:$A$455,0)))=1,"1 - Integrity",IF(OR(IF(COUNTIFS('RQ2'!$A$2:$A$455,$A408,'RQ2'!$D$2:$D$455,"")&gt;0,"",INDEX('RQ2'!$D$2:$D$455,MATCH($A408,'RQ2'!$A$2:$A$455,0)))="",IF(COUNTIFS('RQ2'!$A$2:$A$455,$A408,'RQ2'!$E$2:$E$455,"")&gt;0,"",INDEX('RQ2'!$E$2:$E$455,MATCH($A408,'RQ2'!$A$2:$A$455,0)))=""),"2 - RQ2 historical","3 - Verify recorded evidence"))</f>
        <v/>
      </c>
      <c r="D408" s="4">
        <f>IF(OR(IF(COUNTIFS('RQ2'!$A$2:$A$455,$A408,'RQ2'!$D$2:$D$455,"")&gt;0,"",INDEX('RQ2'!$D$2:$D$455,MATCH($A408,'RQ2'!$A$2:$A$455,0)))="",IF(COUNTIFS('RQ2'!$A$2:$A$455,$A408,'RQ2'!$E$2:$E$455,"")&gt;0,"",INDEX('RQ2'!$E$2:$E$455,MATCH($A408,'RQ2'!$A$2:$A$455,0)))=""),"PENDIENTE","REGISTRADA")</f>
        <v/>
      </c>
      <c r="E408" s="4">
        <f>IF(IF(COUNTIFS('RQ1'!$A$2:$A$455,$A408,'RQ1'!$N$2:$N$455,"")&gt;0,"",INDEX('RQ1'!$N$2:$N$455,MATCH($A408,'RQ1'!$A$2:$A$455,0)))=1,"REVISAR DETALLE","REGISTRADA")</f>
        <v/>
      </c>
      <c r="F408" s="4">
        <f>IF(IF(COUNTIFS('RQ3'!$A$2:$A$455,$A408,'RQ3'!$P$2:$P$455,"")&gt;0,"",INDEX('RQ3'!$P$2:$P$455,MATCH($A408,'RQ3'!$A$2:$A$455,0)))="","NO REGISTRADO",IF(IF(COUNTIFS('RQ3'!$A$2:$A$455,$A408,'RQ3'!$P$2:$P$455,"")&gt;0,"",INDEX('RQ3'!$P$2:$P$455,MATCH($A408,'RQ3'!$A$2:$A$455,0)))=1,"MARCA ACTIVA","SIN MARCA"))</f>
        <v/>
      </c>
      <c r="G408" s="4">
        <f>IF(IF(COUNTIFS('ESTUDIOS'!$A$2:$A$455,$A408,'ESTUDIOS'!$N$2:$N$455,"")&gt;0,"",INDEX('ESTUDIOS'!$N$2:$N$455,MATCH($A408,'ESTUDIOS'!$A$2:$A$455,0)))="Verified","DOCUMENTADA","NO DOCUMENTADA")</f>
        <v/>
      </c>
      <c r="H408" s="4">
        <f>IF(D408="PENDIENTE","Leer evidencia ya extraída; registrar uso propuesto o evaluado, función, fuente y revisor en RQ2.","Comprobar evidencia y cautelas registradas; documentar verificación sin recodificar lo ya respaldado.")</f>
        <v/>
      </c>
      <c r="I408" s="4" t="inlineStr">
        <is>
          <t>https://doi.org/10.3233/shti260609</t>
        </is>
      </c>
    </row>
    <row r="409" ht="64" customHeight="1">
      <c r="A409" s="4" t="inlineStr">
        <is>
          <t>new_287</t>
        </is>
      </c>
      <c r="B409" s="4" t="inlineStr">
        <is>
          <t>REM Sleep Abnormalities in Children With Autism Spectrum Disorder</t>
        </is>
      </c>
      <c r="C409" s="4">
        <f>IF(IF(COUNTIFS('ESTUDIOS'!$A$2:$A$455,$A409,'ESTUDIOS'!$I$2:$I$455,"")&gt;0,"",INDEX('ESTUDIOS'!$I$2:$I$455,MATCH($A409,'ESTUDIOS'!$A$2:$A$455,0)))=1,"1 - Integrity",IF(OR(IF(COUNTIFS('RQ2'!$A$2:$A$455,$A409,'RQ2'!$D$2:$D$455,"")&gt;0,"",INDEX('RQ2'!$D$2:$D$455,MATCH($A409,'RQ2'!$A$2:$A$455,0)))="",IF(COUNTIFS('RQ2'!$A$2:$A$455,$A409,'RQ2'!$E$2:$E$455,"")&gt;0,"",INDEX('RQ2'!$E$2:$E$455,MATCH($A409,'RQ2'!$A$2:$A$455,0)))=""),"2 - RQ2 historical","3 - Verify recorded evidence"))</f>
        <v/>
      </c>
      <c r="D409" s="4">
        <f>IF(OR(IF(COUNTIFS('RQ2'!$A$2:$A$455,$A409,'RQ2'!$D$2:$D$455,"")&gt;0,"",INDEX('RQ2'!$D$2:$D$455,MATCH($A409,'RQ2'!$A$2:$A$455,0)))="",IF(COUNTIFS('RQ2'!$A$2:$A$455,$A409,'RQ2'!$E$2:$E$455,"")&gt;0,"",INDEX('RQ2'!$E$2:$E$455,MATCH($A409,'RQ2'!$A$2:$A$455,0)))=""),"PENDIENTE","REGISTRADA")</f>
        <v/>
      </c>
      <c r="E409" s="4">
        <f>IF(IF(COUNTIFS('RQ1'!$A$2:$A$455,$A409,'RQ1'!$N$2:$N$455,"")&gt;0,"",INDEX('RQ1'!$N$2:$N$455,MATCH($A409,'RQ1'!$A$2:$A$455,0)))=1,"REVISAR DETALLE","REGISTRADA")</f>
        <v/>
      </c>
      <c r="F409" s="4">
        <f>IF(IF(COUNTIFS('RQ3'!$A$2:$A$455,$A409,'RQ3'!$P$2:$P$455,"")&gt;0,"",INDEX('RQ3'!$P$2:$P$455,MATCH($A409,'RQ3'!$A$2:$A$455,0)))="","NO REGISTRADO",IF(IF(COUNTIFS('RQ3'!$A$2:$A$455,$A409,'RQ3'!$P$2:$P$455,"")&gt;0,"",INDEX('RQ3'!$P$2:$P$455,MATCH($A409,'RQ3'!$A$2:$A$455,0)))=1,"MARCA ACTIVA","SIN MARCA"))</f>
        <v/>
      </c>
      <c r="G409" s="4">
        <f>IF(IF(COUNTIFS('ESTUDIOS'!$A$2:$A$455,$A409,'ESTUDIOS'!$N$2:$N$455,"")&gt;0,"",INDEX('ESTUDIOS'!$N$2:$N$455,MATCH($A409,'ESTUDIOS'!$A$2:$A$455,0)))="Verified","DOCUMENTADA","NO DOCUMENTADA")</f>
        <v/>
      </c>
      <c r="H409" s="4">
        <f>IF(D409="PENDIENTE","Leer evidencia ya extraída; registrar uso propuesto o evaluado, función, fuente y revisor en RQ2.","Comprobar evidencia y cautelas registradas; documentar verificación sin recodificar lo ya respaldado.")</f>
        <v/>
      </c>
      <c r="I409" s="4" t="inlineStr">
        <is>
          <t>https://doi.org/10.1002/aur.70222</t>
        </is>
      </c>
    </row>
    <row r="410" ht="64" customHeight="1">
      <c r="A410" s="4" t="inlineStr">
        <is>
          <t>new_289</t>
        </is>
      </c>
      <c r="B410" s="4" t="inlineStr">
        <is>
          <t>Diagnosis of autism disorder from rs-fMRI brain images through hierarchical YOLO and mechanism of attention (HYMA)</t>
        </is>
      </c>
      <c r="C410" s="4">
        <f>IF(IF(COUNTIFS('ESTUDIOS'!$A$2:$A$455,$A410,'ESTUDIOS'!$I$2:$I$455,"")&gt;0,"",INDEX('ESTUDIOS'!$I$2:$I$455,MATCH($A410,'ESTUDIOS'!$A$2:$A$455,0)))=1,"1 - Integrity",IF(OR(IF(COUNTIFS('RQ2'!$A$2:$A$455,$A410,'RQ2'!$D$2:$D$455,"")&gt;0,"",INDEX('RQ2'!$D$2:$D$455,MATCH($A410,'RQ2'!$A$2:$A$455,0)))="",IF(COUNTIFS('RQ2'!$A$2:$A$455,$A410,'RQ2'!$E$2:$E$455,"")&gt;0,"",INDEX('RQ2'!$E$2:$E$455,MATCH($A410,'RQ2'!$A$2:$A$455,0)))=""),"2 - RQ2 historical","3 - Verify recorded evidence"))</f>
        <v/>
      </c>
      <c r="D410" s="4">
        <f>IF(OR(IF(COUNTIFS('RQ2'!$A$2:$A$455,$A410,'RQ2'!$D$2:$D$455,"")&gt;0,"",INDEX('RQ2'!$D$2:$D$455,MATCH($A410,'RQ2'!$A$2:$A$455,0)))="",IF(COUNTIFS('RQ2'!$A$2:$A$455,$A410,'RQ2'!$E$2:$E$455,"")&gt;0,"",INDEX('RQ2'!$E$2:$E$455,MATCH($A410,'RQ2'!$A$2:$A$455,0)))=""),"PENDIENTE","REGISTRADA")</f>
        <v/>
      </c>
      <c r="E410" s="4">
        <f>IF(IF(COUNTIFS('RQ1'!$A$2:$A$455,$A410,'RQ1'!$N$2:$N$455,"")&gt;0,"",INDEX('RQ1'!$N$2:$N$455,MATCH($A410,'RQ1'!$A$2:$A$455,0)))=1,"REVISAR DETALLE","REGISTRADA")</f>
        <v/>
      </c>
      <c r="F410" s="4">
        <f>IF(IF(COUNTIFS('RQ3'!$A$2:$A$455,$A410,'RQ3'!$P$2:$P$455,"")&gt;0,"",INDEX('RQ3'!$P$2:$P$455,MATCH($A410,'RQ3'!$A$2:$A$455,0)))="","NO REGISTRADO",IF(IF(COUNTIFS('RQ3'!$A$2:$A$455,$A410,'RQ3'!$P$2:$P$455,"")&gt;0,"",INDEX('RQ3'!$P$2:$P$455,MATCH($A410,'RQ3'!$A$2:$A$455,0)))=1,"MARCA ACTIVA","SIN MARCA"))</f>
        <v/>
      </c>
      <c r="G410" s="4">
        <f>IF(IF(COUNTIFS('ESTUDIOS'!$A$2:$A$455,$A410,'ESTUDIOS'!$N$2:$N$455,"")&gt;0,"",INDEX('ESTUDIOS'!$N$2:$N$455,MATCH($A410,'ESTUDIOS'!$A$2:$A$455,0)))="Verified","DOCUMENTADA","NO DOCUMENTADA")</f>
        <v/>
      </c>
      <c r="H410" s="4">
        <f>IF(D410="PENDIENTE","Leer evidencia ya extraída; registrar uso propuesto o evaluado, función, fuente y revisor en RQ2.","Comprobar evidencia y cautelas registradas; documentar verificación sin recodificar lo ya respaldado.")</f>
        <v/>
      </c>
      <c r="I410" s="4" t="inlineStr">
        <is>
          <t>https://doi.org/10.1016/j.asoc.2026.114655</t>
        </is>
      </c>
    </row>
    <row r="411" ht="64" customHeight="1">
      <c r="A411" s="4" t="inlineStr">
        <is>
          <t>new_295</t>
        </is>
      </c>
      <c r="B411" s="4" t="inlineStr">
        <is>
          <t>Comparing Machine Learning Models for Pupillary Light Reflex–Based Autism Spectrum Disorder Classification</t>
        </is>
      </c>
      <c r="C411" s="4">
        <f>IF(IF(COUNTIFS('ESTUDIOS'!$A$2:$A$455,$A411,'ESTUDIOS'!$I$2:$I$455,"")&gt;0,"",INDEX('ESTUDIOS'!$I$2:$I$455,MATCH($A411,'ESTUDIOS'!$A$2:$A$455,0)))=1,"1 - Integrity",IF(OR(IF(COUNTIFS('RQ2'!$A$2:$A$455,$A411,'RQ2'!$D$2:$D$455,"")&gt;0,"",INDEX('RQ2'!$D$2:$D$455,MATCH($A411,'RQ2'!$A$2:$A$455,0)))="",IF(COUNTIFS('RQ2'!$A$2:$A$455,$A411,'RQ2'!$E$2:$E$455,"")&gt;0,"",INDEX('RQ2'!$E$2:$E$455,MATCH($A411,'RQ2'!$A$2:$A$455,0)))=""),"2 - RQ2 historical","3 - Verify recorded evidence"))</f>
        <v/>
      </c>
      <c r="D411" s="4">
        <f>IF(OR(IF(COUNTIFS('RQ2'!$A$2:$A$455,$A411,'RQ2'!$D$2:$D$455,"")&gt;0,"",INDEX('RQ2'!$D$2:$D$455,MATCH($A411,'RQ2'!$A$2:$A$455,0)))="",IF(COUNTIFS('RQ2'!$A$2:$A$455,$A411,'RQ2'!$E$2:$E$455,"")&gt;0,"",INDEX('RQ2'!$E$2:$E$455,MATCH($A411,'RQ2'!$A$2:$A$455,0)))=""),"PENDIENTE","REGISTRADA")</f>
        <v/>
      </c>
      <c r="E411" s="4">
        <f>IF(IF(COUNTIFS('RQ1'!$A$2:$A$455,$A411,'RQ1'!$N$2:$N$455,"")&gt;0,"",INDEX('RQ1'!$N$2:$N$455,MATCH($A411,'RQ1'!$A$2:$A$455,0)))=1,"REVISAR DETALLE","REGISTRADA")</f>
        <v/>
      </c>
      <c r="F411" s="4">
        <f>IF(IF(COUNTIFS('RQ3'!$A$2:$A$455,$A411,'RQ3'!$P$2:$P$455,"")&gt;0,"",INDEX('RQ3'!$P$2:$P$455,MATCH($A411,'RQ3'!$A$2:$A$455,0)))="","NO REGISTRADO",IF(IF(COUNTIFS('RQ3'!$A$2:$A$455,$A411,'RQ3'!$P$2:$P$455,"")&gt;0,"",INDEX('RQ3'!$P$2:$P$455,MATCH($A411,'RQ3'!$A$2:$A$455,0)))=1,"MARCA ACTIVA","SIN MARCA"))</f>
        <v/>
      </c>
      <c r="G411" s="4">
        <f>IF(IF(COUNTIFS('ESTUDIOS'!$A$2:$A$455,$A411,'ESTUDIOS'!$N$2:$N$455,"")&gt;0,"",INDEX('ESTUDIOS'!$N$2:$N$455,MATCH($A411,'ESTUDIOS'!$A$2:$A$455,0)))="Verified","DOCUMENTADA","NO DOCUMENTADA")</f>
        <v/>
      </c>
      <c r="H411" s="4">
        <f>IF(D411="PENDIENTE","Leer evidencia ya extraída; registrar uso propuesto o evaluado, función, fuente y revisor en RQ2.","Comprobar evidencia y cautelas registradas; documentar verificación sin recodificar lo ya respaldado.")</f>
        <v/>
      </c>
      <c r="I411" s="4" t="inlineStr">
        <is>
          <t>https://doi.org/10.1155/acis/1906938</t>
        </is>
      </c>
    </row>
    <row r="412" ht="64" customHeight="1">
      <c r="A412" s="4" t="inlineStr">
        <is>
          <t>new_296</t>
        </is>
      </c>
      <c r="B412" s="4" t="inlineStr">
        <is>
          <t>Deep learning for diagnosing autism spectrum disorder using EEG with upright and inverted face processing tasks</t>
        </is>
      </c>
      <c r="C412" s="4">
        <f>IF(IF(COUNTIFS('ESTUDIOS'!$A$2:$A$455,$A412,'ESTUDIOS'!$I$2:$I$455,"")&gt;0,"",INDEX('ESTUDIOS'!$I$2:$I$455,MATCH($A412,'ESTUDIOS'!$A$2:$A$455,0)))=1,"1 - Integrity",IF(OR(IF(COUNTIFS('RQ2'!$A$2:$A$455,$A412,'RQ2'!$D$2:$D$455,"")&gt;0,"",INDEX('RQ2'!$D$2:$D$455,MATCH($A412,'RQ2'!$A$2:$A$455,0)))="",IF(COUNTIFS('RQ2'!$A$2:$A$455,$A412,'RQ2'!$E$2:$E$455,"")&gt;0,"",INDEX('RQ2'!$E$2:$E$455,MATCH($A412,'RQ2'!$A$2:$A$455,0)))=""),"2 - RQ2 historical","3 - Verify recorded evidence"))</f>
        <v/>
      </c>
      <c r="D412" s="4">
        <f>IF(OR(IF(COUNTIFS('RQ2'!$A$2:$A$455,$A412,'RQ2'!$D$2:$D$455,"")&gt;0,"",INDEX('RQ2'!$D$2:$D$455,MATCH($A412,'RQ2'!$A$2:$A$455,0)))="",IF(COUNTIFS('RQ2'!$A$2:$A$455,$A412,'RQ2'!$E$2:$E$455,"")&gt;0,"",INDEX('RQ2'!$E$2:$E$455,MATCH($A412,'RQ2'!$A$2:$A$455,0)))=""),"PENDIENTE","REGISTRADA")</f>
        <v/>
      </c>
      <c r="E412" s="4">
        <f>IF(IF(COUNTIFS('RQ1'!$A$2:$A$455,$A412,'RQ1'!$N$2:$N$455,"")&gt;0,"",INDEX('RQ1'!$N$2:$N$455,MATCH($A412,'RQ1'!$A$2:$A$455,0)))=1,"REVISAR DETALLE","REGISTRADA")</f>
        <v/>
      </c>
      <c r="F412" s="4">
        <f>IF(IF(COUNTIFS('RQ3'!$A$2:$A$455,$A412,'RQ3'!$P$2:$P$455,"")&gt;0,"",INDEX('RQ3'!$P$2:$P$455,MATCH($A412,'RQ3'!$A$2:$A$455,0)))="","NO REGISTRADO",IF(IF(COUNTIFS('RQ3'!$A$2:$A$455,$A412,'RQ3'!$P$2:$P$455,"")&gt;0,"",INDEX('RQ3'!$P$2:$P$455,MATCH($A412,'RQ3'!$A$2:$A$455,0)))=1,"MARCA ACTIVA","SIN MARCA"))</f>
        <v/>
      </c>
      <c r="G412" s="4">
        <f>IF(IF(COUNTIFS('ESTUDIOS'!$A$2:$A$455,$A412,'ESTUDIOS'!$N$2:$N$455,"")&gt;0,"",INDEX('ESTUDIOS'!$N$2:$N$455,MATCH($A412,'ESTUDIOS'!$A$2:$A$455,0)))="Verified","DOCUMENTADA","NO DOCUMENTADA")</f>
        <v/>
      </c>
      <c r="H412" s="4">
        <f>IF(D412="PENDIENTE","Leer evidencia ya extraída; registrar uso propuesto o evaluado, función, fuente y revisor en RQ2.","Comprobar evidencia y cautelas registradas; documentar verificación sin recodificar lo ya respaldado.")</f>
        <v/>
      </c>
      <c r="I412" s="4" t="inlineStr">
        <is>
          <t>https://doi.org/10.1016/j.bspc.2026.109655</t>
        </is>
      </c>
    </row>
    <row r="413" ht="64" customHeight="1">
      <c r="A413" s="4" t="inlineStr">
        <is>
          <t>new_298</t>
        </is>
      </c>
      <c r="B413" s="4" t="inlineStr">
        <is>
          <t>Effects of conversational AI-enhanced peer-mediated intervention by peers with intellectual disabilities on conversational skills in children with ASD</t>
        </is>
      </c>
      <c r="C413" s="4">
        <f>IF(IF(COUNTIFS('ESTUDIOS'!$A$2:$A$455,$A413,'ESTUDIOS'!$I$2:$I$455,"")&gt;0,"",INDEX('ESTUDIOS'!$I$2:$I$455,MATCH($A413,'ESTUDIOS'!$A$2:$A$455,0)))=1,"1 - Integrity",IF(OR(IF(COUNTIFS('RQ2'!$A$2:$A$455,$A413,'RQ2'!$D$2:$D$455,"")&gt;0,"",INDEX('RQ2'!$D$2:$D$455,MATCH($A413,'RQ2'!$A$2:$A$455,0)))="",IF(COUNTIFS('RQ2'!$A$2:$A$455,$A413,'RQ2'!$E$2:$E$455,"")&gt;0,"",INDEX('RQ2'!$E$2:$E$455,MATCH($A413,'RQ2'!$A$2:$A$455,0)))=""),"2 - RQ2 historical","3 - Verify recorded evidence"))</f>
        <v/>
      </c>
      <c r="D413" s="4">
        <f>IF(OR(IF(COUNTIFS('RQ2'!$A$2:$A$455,$A413,'RQ2'!$D$2:$D$455,"")&gt;0,"",INDEX('RQ2'!$D$2:$D$455,MATCH($A413,'RQ2'!$A$2:$A$455,0)))="",IF(COUNTIFS('RQ2'!$A$2:$A$455,$A413,'RQ2'!$E$2:$E$455,"")&gt;0,"",INDEX('RQ2'!$E$2:$E$455,MATCH($A413,'RQ2'!$A$2:$A$455,0)))=""),"PENDIENTE","REGISTRADA")</f>
        <v/>
      </c>
      <c r="E413" s="4">
        <f>IF(IF(COUNTIFS('RQ1'!$A$2:$A$455,$A413,'RQ1'!$N$2:$N$455,"")&gt;0,"",INDEX('RQ1'!$N$2:$N$455,MATCH($A413,'RQ1'!$A$2:$A$455,0)))=1,"REVISAR DETALLE","REGISTRADA")</f>
        <v/>
      </c>
      <c r="F413" s="4">
        <f>IF(IF(COUNTIFS('RQ3'!$A$2:$A$455,$A413,'RQ3'!$P$2:$P$455,"")&gt;0,"",INDEX('RQ3'!$P$2:$P$455,MATCH($A413,'RQ3'!$A$2:$A$455,0)))="","NO REGISTRADO",IF(IF(COUNTIFS('RQ3'!$A$2:$A$455,$A413,'RQ3'!$P$2:$P$455,"")&gt;0,"",INDEX('RQ3'!$P$2:$P$455,MATCH($A413,'RQ3'!$A$2:$A$455,0)))=1,"MARCA ACTIVA","SIN MARCA"))</f>
        <v/>
      </c>
      <c r="G413" s="4">
        <f>IF(IF(COUNTIFS('ESTUDIOS'!$A$2:$A$455,$A413,'ESTUDIOS'!$N$2:$N$455,"")&gt;0,"",INDEX('ESTUDIOS'!$N$2:$N$455,MATCH($A413,'ESTUDIOS'!$A$2:$A$455,0)))="Verified","DOCUMENTADA","NO DOCUMENTADA")</f>
        <v/>
      </c>
      <c r="H413" s="4">
        <f>IF(D413="PENDIENTE","Leer evidencia ya extraída; registrar uso propuesto o evaluado, función, fuente y revisor en RQ2.","Comprobar evidencia y cautelas registradas; documentar verificación sin recodificar lo ya respaldado.")</f>
        <v/>
      </c>
      <c r="I413" s="4" t="inlineStr">
        <is>
          <t>https://doi.org/10.1016/j.ridd.2026.105249</t>
        </is>
      </c>
    </row>
    <row r="414" ht="64" customHeight="1">
      <c r="A414" s="4" t="inlineStr">
        <is>
          <t>new_299</t>
        </is>
      </c>
      <c r="B414" s="4" t="inlineStr">
        <is>
          <t>Decoding the Neural Basis of Sensory Phenotypes in Autism</t>
        </is>
      </c>
      <c r="C414" s="4">
        <f>IF(IF(COUNTIFS('ESTUDIOS'!$A$2:$A$455,$A414,'ESTUDIOS'!$I$2:$I$455,"")&gt;0,"",INDEX('ESTUDIOS'!$I$2:$I$455,MATCH($A414,'ESTUDIOS'!$A$2:$A$455,0)))=1,"1 - Integrity",IF(OR(IF(COUNTIFS('RQ2'!$A$2:$A$455,$A414,'RQ2'!$D$2:$D$455,"")&gt;0,"",INDEX('RQ2'!$D$2:$D$455,MATCH($A414,'RQ2'!$A$2:$A$455,0)))="",IF(COUNTIFS('RQ2'!$A$2:$A$455,$A414,'RQ2'!$E$2:$E$455,"")&gt;0,"",INDEX('RQ2'!$E$2:$E$455,MATCH($A414,'RQ2'!$A$2:$A$455,0)))=""),"2 - RQ2 historical","3 - Verify recorded evidence"))</f>
        <v/>
      </c>
      <c r="D414" s="4">
        <f>IF(OR(IF(COUNTIFS('RQ2'!$A$2:$A$455,$A414,'RQ2'!$D$2:$D$455,"")&gt;0,"",INDEX('RQ2'!$D$2:$D$455,MATCH($A414,'RQ2'!$A$2:$A$455,0)))="",IF(COUNTIFS('RQ2'!$A$2:$A$455,$A414,'RQ2'!$E$2:$E$455,"")&gt;0,"",INDEX('RQ2'!$E$2:$E$455,MATCH($A414,'RQ2'!$A$2:$A$455,0)))=""),"PENDIENTE","REGISTRADA")</f>
        <v/>
      </c>
      <c r="E414" s="4">
        <f>IF(IF(COUNTIFS('RQ1'!$A$2:$A$455,$A414,'RQ1'!$N$2:$N$455,"")&gt;0,"",INDEX('RQ1'!$N$2:$N$455,MATCH($A414,'RQ1'!$A$2:$A$455,0)))=1,"REVISAR DETALLE","REGISTRADA")</f>
        <v/>
      </c>
      <c r="F414" s="4">
        <f>IF(IF(COUNTIFS('RQ3'!$A$2:$A$455,$A414,'RQ3'!$P$2:$P$455,"")&gt;0,"",INDEX('RQ3'!$P$2:$P$455,MATCH($A414,'RQ3'!$A$2:$A$455,0)))="","NO REGISTRADO",IF(IF(COUNTIFS('RQ3'!$A$2:$A$455,$A414,'RQ3'!$P$2:$P$455,"")&gt;0,"",INDEX('RQ3'!$P$2:$P$455,MATCH($A414,'RQ3'!$A$2:$A$455,0)))=1,"MARCA ACTIVA","SIN MARCA"))</f>
        <v/>
      </c>
      <c r="G414" s="4">
        <f>IF(IF(COUNTIFS('ESTUDIOS'!$A$2:$A$455,$A414,'ESTUDIOS'!$N$2:$N$455,"")&gt;0,"",INDEX('ESTUDIOS'!$N$2:$N$455,MATCH($A414,'ESTUDIOS'!$A$2:$A$455,0)))="Verified","DOCUMENTADA","NO DOCUMENTADA")</f>
        <v/>
      </c>
      <c r="H414" s="4">
        <f>IF(D414="PENDIENTE","Leer evidencia ya extraída; registrar uso propuesto o evaluado, función, fuente y revisor en RQ2.","Comprobar evidencia y cautelas registradas; documentar verificación sin recodificar lo ya respaldado.")</f>
        <v/>
      </c>
      <c r="I414" s="4" t="inlineStr">
        <is>
          <t>https://doi.org/10.1016/j.bpsc.2025.12.013</t>
        </is>
      </c>
    </row>
    <row r="415" ht="64" customHeight="1">
      <c r="A415" s="4" t="inlineStr">
        <is>
          <t>new_306</t>
        </is>
      </c>
      <c r="B415" s="4" t="inlineStr">
        <is>
          <t>Hybrid ensemble learning for Autism Spectrum Disorder screening using eye-tracking scanpath</t>
        </is>
      </c>
      <c r="C415" s="4">
        <f>IF(IF(COUNTIFS('ESTUDIOS'!$A$2:$A$455,$A415,'ESTUDIOS'!$I$2:$I$455,"")&gt;0,"",INDEX('ESTUDIOS'!$I$2:$I$455,MATCH($A415,'ESTUDIOS'!$A$2:$A$455,0)))=1,"1 - Integrity",IF(OR(IF(COUNTIFS('RQ2'!$A$2:$A$455,$A415,'RQ2'!$D$2:$D$455,"")&gt;0,"",INDEX('RQ2'!$D$2:$D$455,MATCH($A415,'RQ2'!$A$2:$A$455,0)))="",IF(COUNTIFS('RQ2'!$A$2:$A$455,$A415,'RQ2'!$E$2:$E$455,"")&gt;0,"",INDEX('RQ2'!$E$2:$E$455,MATCH($A415,'RQ2'!$A$2:$A$455,0)))=""),"2 - RQ2 historical","3 - Verify recorded evidence"))</f>
        <v/>
      </c>
      <c r="D415" s="4">
        <f>IF(OR(IF(COUNTIFS('RQ2'!$A$2:$A$455,$A415,'RQ2'!$D$2:$D$455,"")&gt;0,"",INDEX('RQ2'!$D$2:$D$455,MATCH($A415,'RQ2'!$A$2:$A$455,0)))="",IF(COUNTIFS('RQ2'!$A$2:$A$455,$A415,'RQ2'!$E$2:$E$455,"")&gt;0,"",INDEX('RQ2'!$E$2:$E$455,MATCH($A415,'RQ2'!$A$2:$A$455,0)))=""),"PENDIENTE","REGISTRADA")</f>
        <v/>
      </c>
      <c r="E415" s="4">
        <f>IF(IF(COUNTIFS('RQ1'!$A$2:$A$455,$A415,'RQ1'!$N$2:$N$455,"")&gt;0,"",INDEX('RQ1'!$N$2:$N$455,MATCH($A415,'RQ1'!$A$2:$A$455,0)))=1,"REVISAR DETALLE","REGISTRADA")</f>
        <v/>
      </c>
      <c r="F415" s="4">
        <f>IF(IF(COUNTIFS('RQ3'!$A$2:$A$455,$A415,'RQ3'!$P$2:$P$455,"")&gt;0,"",INDEX('RQ3'!$P$2:$P$455,MATCH($A415,'RQ3'!$A$2:$A$455,0)))="","NO REGISTRADO",IF(IF(COUNTIFS('RQ3'!$A$2:$A$455,$A415,'RQ3'!$P$2:$P$455,"")&gt;0,"",INDEX('RQ3'!$P$2:$P$455,MATCH($A415,'RQ3'!$A$2:$A$455,0)))=1,"MARCA ACTIVA","SIN MARCA"))</f>
        <v/>
      </c>
      <c r="G415" s="4">
        <f>IF(IF(COUNTIFS('ESTUDIOS'!$A$2:$A$455,$A415,'ESTUDIOS'!$N$2:$N$455,"")&gt;0,"",INDEX('ESTUDIOS'!$N$2:$N$455,MATCH($A415,'ESTUDIOS'!$A$2:$A$455,0)))="Verified","DOCUMENTADA","NO DOCUMENTADA")</f>
        <v/>
      </c>
      <c r="H415" s="4">
        <f>IF(D415="PENDIENTE","Leer evidencia ya extraída; registrar uso propuesto o evaluado, función, fuente y revisor en RQ2.","Comprobar evidencia y cautelas registradas; documentar verificación sin recodificar lo ya respaldado.")</f>
        <v/>
      </c>
      <c r="I415" s="4" t="inlineStr">
        <is>
          <t>https://doi.org/10.1016/j.array.2026.100753</t>
        </is>
      </c>
    </row>
    <row r="416" ht="64" customHeight="1">
      <c r="A416" s="4" t="inlineStr">
        <is>
          <t>new_316</t>
        </is>
      </c>
      <c r="B416" s="4" t="inlineStr">
        <is>
          <t>Identifying Immune-related Molecular Biomarkers in Autism Spectrum Disorder Using Data-independent Acquisition Proteomics and Machine Learning.</t>
        </is>
      </c>
      <c r="C416" s="4">
        <f>IF(IF(COUNTIFS('ESTUDIOS'!$A$2:$A$455,$A416,'ESTUDIOS'!$I$2:$I$455,"")&gt;0,"",INDEX('ESTUDIOS'!$I$2:$I$455,MATCH($A416,'ESTUDIOS'!$A$2:$A$455,0)))=1,"1 - Integrity",IF(OR(IF(COUNTIFS('RQ2'!$A$2:$A$455,$A416,'RQ2'!$D$2:$D$455,"")&gt;0,"",INDEX('RQ2'!$D$2:$D$455,MATCH($A416,'RQ2'!$A$2:$A$455,0)))="",IF(COUNTIFS('RQ2'!$A$2:$A$455,$A416,'RQ2'!$E$2:$E$455,"")&gt;0,"",INDEX('RQ2'!$E$2:$E$455,MATCH($A416,'RQ2'!$A$2:$A$455,0)))=""),"2 - RQ2 historical","3 - Verify recorded evidence"))</f>
        <v/>
      </c>
      <c r="D416" s="4">
        <f>IF(OR(IF(COUNTIFS('RQ2'!$A$2:$A$455,$A416,'RQ2'!$D$2:$D$455,"")&gt;0,"",INDEX('RQ2'!$D$2:$D$455,MATCH($A416,'RQ2'!$A$2:$A$455,0)))="",IF(COUNTIFS('RQ2'!$A$2:$A$455,$A416,'RQ2'!$E$2:$E$455,"")&gt;0,"",INDEX('RQ2'!$E$2:$E$455,MATCH($A416,'RQ2'!$A$2:$A$455,0)))=""),"PENDIENTE","REGISTRADA")</f>
        <v/>
      </c>
      <c r="E416" s="4">
        <f>IF(IF(COUNTIFS('RQ1'!$A$2:$A$455,$A416,'RQ1'!$N$2:$N$455,"")&gt;0,"",INDEX('RQ1'!$N$2:$N$455,MATCH($A416,'RQ1'!$A$2:$A$455,0)))=1,"REVISAR DETALLE","REGISTRADA")</f>
        <v/>
      </c>
      <c r="F416" s="4">
        <f>IF(IF(COUNTIFS('RQ3'!$A$2:$A$455,$A416,'RQ3'!$P$2:$P$455,"")&gt;0,"",INDEX('RQ3'!$P$2:$P$455,MATCH($A416,'RQ3'!$A$2:$A$455,0)))="","NO REGISTRADO",IF(IF(COUNTIFS('RQ3'!$A$2:$A$455,$A416,'RQ3'!$P$2:$P$455,"")&gt;0,"",INDEX('RQ3'!$P$2:$P$455,MATCH($A416,'RQ3'!$A$2:$A$455,0)))=1,"MARCA ACTIVA","SIN MARCA"))</f>
        <v/>
      </c>
      <c r="G416" s="4">
        <f>IF(IF(COUNTIFS('ESTUDIOS'!$A$2:$A$455,$A416,'ESTUDIOS'!$N$2:$N$455,"")&gt;0,"",INDEX('ESTUDIOS'!$N$2:$N$455,MATCH($A416,'ESTUDIOS'!$A$2:$A$455,0)))="Verified","DOCUMENTADA","NO DOCUMENTADA")</f>
        <v/>
      </c>
      <c r="H416" s="4">
        <f>IF(D416="PENDIENTE","Leer evidencia ya extraída; registrar uso propuesto o evaluado, función, fuente y revisor en RQ2.","Comprobar evidencia y cautelas registradas; documentar verificación sin recodificar lo ya respaldado.")</f>
        <v/>
      </c>
      <c r="I416" s="4" t="inlineStr">
        <is>
          <t>https://doi.org/10.3791/68949</t>
        </is>
      </c>
    </row>
    <row r="417" ht="64" customHeight="1">
      <c r="A417" s="4" t="inlineStr">
        <is>
          <t>new_319</t>
        </is>
      </c>
      <c r="B417" s="4" t="inlineStr">
        <is>
          <t>Enhanced detection of autism spectrum disorder through neuroimaging data using stack classifier ensembled with modified VGG-19</t>
        </is>
      </c>
      <c r="C417" s="4">
        <f>IF(IF(COUNTIFS('ESTUDIOS'!$A$2:$A$455,$A417,'ESTUDIOS'!$I$2:$I$455,"")&gt;0,"",INDEX('ESTUDIOS'!$I$2:$I$455,MATCH($A417,'ESTUDIOS'!$A$2:$A$455,0)))=1,"1 - Integrity",IF(OR(IF(COUNTIFS('RQ2'!$A$2:$A$455,$A417,'RQ2'!$D$2:$D$455,"")&gt;0,"",INDEX('RQ2'!$D$2:$D$455,MATCH($A417,'RQ2'!$A$2:$A$455,0)))="",IF(COUNTIFS('RQ2'!$A$2:$A$455,$A417,'RQ2'!$E$2:$E$455,"")&gt;0,"",INDEX('RQ2'!$E$2:$E$455,MATCH($A417,'RQ2'!$A$2:$A$455,0)))=""),"2 - RQ2 historical","3 - Verify recorded evidence"))</f>
        <v/>
      </c>
      <c r="D417" s="4">
        <f>IF(OR(IF(COUNTIFS('RQ2'!$A$2:$A$455,$A417,'RQ2'!$D$2:$D$455,"")&gt;0,"",INDEX('RQ2'!$D$2:$D$455,MATCH($A417,'RQ2'!$A$2:$A$455,0)))="",IF(COUNTIFS('RQ2'!$A$2:$A$455,$A417,'RQ2'!$E$2:$E$455,"")&gt;0,"",INDEX('RQ2'!$E$2:$E$455,MATCH($A417,'RQ2'!$A$2:$A$455,0)))=""),"PENDIENTE","REGISTRADA")</f>
        <v/>
      </c>
      <c r="E417" s="4">
        <f>IF(IF(COUNTIFS('RQ1'!$A$2:$A$455,$A417,'RQ1'!$N$2:$N$455,"")&gt;0,"",INDEX('RQ1'!$N$2:$N$455,MATCH($A417,'RQ1'!$A$2:$A$455,0)))=1,"REVISAR DETALLE","REGISTRADA")</f>
        <v/>
      </c>
      <c r="F417" s="4">
        <f>IF(IF(COUNTIFS('RQ3'!$A$2:$A$455,$A417,'RQ3'!$P$2:$P$455,"")&gt;0,"",INDEX('RQ3'!$P$2:$P$455,MATCH($A417,'RQ3'!$A$2:$A$455,0)))="","NO REGISTRADO",IF(IF(COUNTIFS('RQ3'!$A$2:$A$455,$A417,'RQ3'!$P$2:$P$455,"")&gt;0,"",INDEX('RQ3'!$P$2:$P$455,MATCH($A417,'RQ3'!$A$2:$A$455,0)))=1,"MARCA ACTIVA","SIN MARCA"))</f>
        <v/>
      </c>
      <c r="G417" s="4">
        <f>IF(IF(COUNTIFS('ESTUDIOS'!$A$2:$A$455,$A417,'ESTUDIOS'!$N$2:$N$455,"")&gt;0,"",INDEX('ESTUDIOS'!$N$2:$N$455,MATCH($A417,'ESTUDIOS'!$A$2:$A$455,0)))="Verified","DOCUMENTADA","NO DOCUMENTADA")</f>
        <v/>
      </c>
      <c r="H417" s="4">
        <f>IF(D417="PENDIENTE","Leer evidencia ya extraída; registrar uso propuesto o evaluado, función, fuente y revisor en RQ2.","Comprobar evidencia y cautelas registradas; documentar verificación sin recodificar lo ya respaldado.")</f>
        <v/>
      </c>
      <c r="I417" s="4" t="inlineStr">
        <is>
          <t>https://doi.org/10.1177/02841851251333974</t>
        </is>
      </c>
    </row>
    <row r="418" ht="64" customHeight="1">
      <c r="A418" s="4" t="inlineStr">
        <is>
          <t>new_323</t>
        </is>
      </c>
      <c r="B418" s="4" t="inlineStr">
        <is>
          <t>Energy-Efficient EEG-Based Autism Spectrum Disorder Detection Using a Hyperbolic Attention Neural Network</t>
        </is>
      </c>
      <c r="C418" s="4">
        <f>IF(IF(COUNTIFS('ESTUDIOS'!$A$2:$A$455,$A418,'ESTUDIOS'!$I$2:$I$455,"")&gt;0,"",INDEX('ESTUDIOS'!$I$2:$I$455,MATCH($A418,'ESTUDIOS'!$A$2:$A$455,0)))=1,"1 - Integrity",IF(OR(IF(COUNTIFS('RQ2'!$A$2:$A$455,$A418,'RQ2'!$D$2:$D$455,"")&gt;0,"",INDEX('RQ2'!$D$2:$D$455,MATCH($A418,'RQ2'!$A$2:$A$455,0)))="",IF(COUNTIFS('RQ2'!$A$2:$A$455,$A418,'RQ2'!$E$2:$E$455,"")&gt;0,"",INDEX('RQ2'!$E$2:$E$455,MATCH($A418,'RQ2'!$A$2:$A$455,0)))=""),"2 - RQ2 historical","3 - Verify recorded evidence"))</f>
        <v/>
      </c>
      <c r="D418" s="4">
        <f>IF(OR(IF(COUNTIFS('RQ2'!$A$2:$A$455,$A418,'RQ2'!$D$2:$D$455,"")&gt;0,"",INDEX('RQ2'!$D$2:$D$455,MATCH($A418,'RQ2'!$A$2:$A$455,0)))="",IF(COUNTIFS('RQ2'!$A$2:$A$455,$A418,'RQ2'!$E$2:$E$455,"")&gt;0,"",INDEX('RQ2'!$E$2:$E$455,MATCH($A418,'RQ2'!$A$2:$A$455,0)))=""),"PENDIENTE","REGISTRADA")</f>
        <v/>
      </c>
      <c r="E418" s="4">
        <f>IF(IF(COUNTIFS('RQ1'!$A$2:$A$455,$A418,'RQ1'!$N$2:$N$455,"")&gt;0,"",INDEX('RQ1'!$N$2:$N$455,MATCH($A418,'RQ1'!$A$2:$A$455,0)))=1,"REVISAR DETALLE","REGISTRADA")</f>
        <v/>
      </c>
      <c r="F418" s="4">
        <f>IF(IF(COUNTIFS('RQ3'!$A$2:$A$455,$A418,'RQ3'!$P$2:$P$455,"")&gt;0,"",INDEX('RQ3'!$P$2:$P$455,MATCH($A418,'RQ3'!$A$2:$A$455,0)))="","NO REGISTRADO",IF(IF(COUNTIFS('RQ3'!$A$2:$A$455,$A418,'RQ3'!$P$2:$P$455,"")&gt;0,"",INDEX('RQ3'!$P$2:$P$455,MATCH($A418,'RQ3'!$A$2:$A$455,0)))=1,"MARCA ACTIVA","SIN MARCA"))</f>
        <v/>
      </c>
      <c r="G418" s="4">
        <f>IF(IF(COUNTIFS('ESTUDIOS'!$A$2:$A$455,$A418,'ESTUDIOS'!$N$2:$N$455,"")&gt;0,"",INDEX('ESTUDIOS'!$N$2:$N$455,MATCH($A418,'ESTUDIOS'!$A$2:$A$455,0)))="Verified","DOCUMENTADA","NO DOCUMENTADA")</f>
        <v/>
      </c>
      <c r="H418" s="4">
        <f>IF(D418="PENDIENTE","Leer evidencia ya extraída; registrar uso propuesto o evaluado, función, fuente y revisor en RQ2.","Comprobar evidencia y cautelas registradas; documentar verificación sin recodificar lo ya respaldado.")</f>
        <v/>
      </c>
      <c r="I418" s="4" t="inlineStr">
        <is>
          <t>https://doi.org/10.1002/dneu.70011</t>
        </is>
      </c>
    </row>
    <row r="419" ht="64" customHeight="1">
      <c r="A419" s="4" t="inlineStr">
        <is>
          <t>new_326</t>
        </is>
      </c>
      <c r="B419" s="4" t="inlineStr">
        <is>
          <t>Classification of Autism Spectrum Disorder Using Edge-Weight Enhanced Graph Attention Network With Multiple Features of Resting-State fNIRS Signals</t>
        </is>
      </c>
      <c r="C419" s="4">
        <f>IF(IF(COUNTIFS('ESTUDIOS'!$A$2:$A$455,$A419,'ESTUDIOS'!$I$2:$I$455,"")&gt;0,"",INDEX('ESTUDIOS'!$I$2:$I$455,MATCH($A419,'ESTUDIOS'!$A$2:$A$455,0)))=1,"1 - Integrity",IF(OR(IF(COUNTIFS('RQ2'!$A$2:$A$455,$A419,'RQ2'!$D$2:$D$455,"")&gt;0,"",INDEX('RQ2'!$D$2:$D$455,MATCH($A419,'RQ2'!$A$2:$A$455,0)))="",IF(COUNTIFS('RQ2'!$A$2:$A$455,$A419,'RQ2'!$E$2:$E$455,"")&gt;0,"",INDEX('RQ2'!$E$2:$E$455,MATCH($A419,'RQ2'!$A$2:$A$455,0)))=""),"2 - RQ2 historical","3 - Verify recorded evidence"))</f>
        <v/>
      </c>
      <c r="D419" s="4">
        <f>IF(OR(IF(COUNTIFS('RQ2'!$A$2:$A$455,$A419,'RQ2'!$D$2:$D$455,"")&gt;0,"",INDEX('RQ2'!$D$2:$D$455,MATCH($A419,'RQ2'!$A$2:$A$455,0)))="",IF(COUNTIFS('RQ2'!$A$2:$A$455,$A419,'RQ2'!$E$2:$E$455,"")&gt;0,"",INDEX('RQ2'!$E$2:$E$455,MATCH($A419,'RQ2'!$A$2:$A$455,0)))=""),"PENDIENTE","REGISTRADA")</f>
        <v/>
      </c>
      <c r="E419" s="4">
        <f>IF(IF(COUNTIFS('RQ1'!$A$2:$A$455,$A419,'RQ1'!$N$2:$N$455,"")&gt;0,"",INDEX('RQ1'!$N$2:$N$455,MATCH($A419,'RQ1'!$A$2:$A$455,0)))=1,"REVISAR DETALLE","REGISTRADA")</f>
        <v/>
      </c>
      <c r="F419" s="4">
        <f>IF(IF(COUNTIFS('RQ3'!$A$2:$A$455,$A419,'RQ3'!$P$2:$P$455,"")&gt;0,"",INDEX('RQ3'!$P$2:$P$455,MATCH($A419,'RQ3'!$A$2:$A$455,0)))="","NO REGISTRADO",IF(IF(COUNTIFS('RQ3'!$A$2:$A$455,$A419,'RQ3'!$P$2:$P$455,"")&gt;0,"",INDEX('RQ3'!$P$2:$P$455,MATCH($A419,'RQ3'!$A$2:$A$455,0)))=1,"MARCA ACTIVA","SIN MARCA"))</f>
        <v/>
      </c>
      <c r="G419" s="4">
        <f>IF(IF(COUNTIFS('ESTUDIOS'!$A$2:$A$455,$A419,'ESTUDIOS'!$N$2:$N$455,"")&gt;0,"",INDEX('ESTUDIOS'!$N$2:$N$455,MATCH($A419,'ESTUDIOS'!$A$2:$A$455,0)))="Verified","DOCUMENTADA","NO DOCUMENTADA")</f>
        <v/>
      </c>
      <c r="H419" s="4">
        <f>IF(D419="PENDIENTE","Leer evidencia ya extraída; registrar uso propuesto o evaluado, función, fuente y revisor en RQ2.","Comprobar evidencia y cautelas registradas; documentar verificación sin recodificar lo ya respaldado.")</f>
        <v/>
      </c>
      <c r="I419" s="4" t="inlineStr">
        <is>
          <t>https://doi.org/10.1002/jbio.202500138</t>
        </is>
      </c>
    </row>
    <row r="420" ht="64" customHeight="1">
      <c r="A420" s="4" t="inlineStr">
        <is>
          <t>new_334</t>
        </is>
      </c>
      <c r="B420" s="4" t="inlineStr">
        <is>
          <t>Constructing a Predictive Model for Children with Autism Spectrum Disorder Based on Whole-Brain MR Radiomics: A Machine Learning Study</t>
        </is>
      </c>
      <c r="C420" s="4">
        <f>IF(IF(COUNTIFS('ESTUDIOS'!$A$2:$A$455,$A420,'ESTUDIOS'!$I$2:$I$455,"")&gt;0,"",INDEX('ESTUDIOS'!$I$2:$I$455,MATCH($A420,'ESTUDIOS'!$A$2:$A$455,0)))=1,"1 - Integrity",IF(OR(IF(COUNTIFS('RQ2'!$A$2:$A$455,$A420,'RQ2'!$D$2:$D$455,"")&gt;0,"",INDEX('RQ2'!$D$2:$D$455,MATCH($A420,'RQ2'!$A$2:$A$455,0)))="",IF(COUNTIFS('RQ2'!$A$2:$A$455,$A420,'RQ2'!$E$2:$E$455,"")&gt;0,"",INDEX('RQ2'!$E$2:$E$455,MATCH($A420,'RQ2'!$A$2:$A$455,0)))=""),"2 - RQ2 historical","3 - Verify recorded evidence"))</f>
        <v/>
      </c>
      <c r="D420" s="4">
        <f>IF(OR(IF(COUNTIFS('RQ2'!$A$2:$A$455,$A420,'RQ2'!$D$2:$D$455,"")&gt;0,"",INDEX('RQ2'!$D$2:$D$455,MATCH($A420,'RQ2'!$A$2:$A$455,0)))="",IF(COUNTIFS('RQ2'!$A$2:$A$455,$A420,'RQ2'!$E$2:$E$455,"")&gt;0,"",INDEX('RQ2'!$E$2:$E$455,MATCH($A420,'RQ2'!$A$2:$A$455,0)))=""),"PENDIENTE","REGISTRADA")</f>
        <v/>
      </c>
      <c r="E420" s="4">
        <f>IF(IF(COUNTIFS('RQ1'!$A$2:$A$455,$A420,'RQ1'!$N$2:$N$455,"")&gt;0,"",INDEX('RQ1'!$N$2:$N$455,MATCH($A420,'RQ1'!$A$2:$A$455,0)))=1,"REVISAR DETALLE","REGISTRADA")</f>
        <v/>
      </c>
      <c r="F420" s="4">
        <f>IF(IF(COUNTIFS('RQ3'!$A$2:$A$455,$A420,'RQ3'!$P$2:$P$455,"")&gt;0,"",INDEX('RQ3'!$P$2:$P$455,MATCH($A420,'RQ3'!$A$2:$A$455,0)))="","NO REGISTRADO",IF(IF(COUNTIFS('RQ3'!$A$2:$A$455,$A420,'RQ3'!$P$2:$P$455,"")&gt;0,"",INDEX('RQ3'!$P$2:$P$455,MATCH($A420,'RQ3'!$A$2:$A$455,0)))=1,"MARCA ACTIVA","SIN MARCA"))</f>
        <v/>
      </c>
      <c r="G420" s="4">
        <f>IF(IF(COUNTIFS('ESTUDIOS'!$A$2:$A$455,$A420,'ESTUDIOS'!$N$2:$N$455,"")&gt;0,"",INDEX('ESTUDIOS'!$N$2:$N$455,MATCH($A420,'ESTUDIOS'!$A$2:$A$455,0)))="Verified","DOCUMENTADA","NO DOCUMENTADA")</f>
        <v/>
      </c>
      <c r="H420" s="4">
        <f>IF(D420="PENDIENTE","Leer evidencia ya extraída; registrar uso propuesto o evaluado, función, fuente y revisor en RQ2.","Comprobar evidencia y cautelas registradas; documentar verificación sin recodificar lo ya respaldado.")</f>
        <v/>
      </c>
      <c r="I420" s="4" t="inlineStr">
        <is>
          <t>https://doi.org/10.3174/ajnr.a8939</t>
        </is>
      </c>
    </row>
    <row r="421" ht="64" customHeight="1">
      <c r="A421" s="4" t="inlineStr">
        <is>
          <t>new_342</t>
        </is>
      </c>
      <c r="B421" s="4" t="inlineStr">
        <is>
          <t>Auditory brainstem response abnormalities in autism spectrum disorder: A deep learning approach to characterize time-frequency signatures</t>
        </is>
      </c>
      <c r="C421" s="4">
        <f>IF(IF(COUNTIFS('ESTUDIOS'!$A$2:$A$455,$A421,'ESTUDIOS'!$I$2:$I$455,"")&gt;0,"",INDEX('ESTUDIOS'!$I$2:$I$455,MATCH($A421,'ESTUDIOS'!$A$2:$A$455,0)))=1,"1 - Integrity",IF(OR(IF(COUNTIFS('RQ2'!$A$2:$A$455,$A421,'RQ2'!$D$2:$D$455,"")&gt;0,"",INDEX('RQ2'!$D$2:$D$455,MATCH($A421,'RQ2'!$A$2:$A$455,0)))="",IF(COUNTIFS('RQ2'!$A$2:$A$455,$A421,'RQ2'!$E$2:$E$455,"")&gt;0,"",INDEX('RQ2'!$E$2:$E$455,MATCH($A421,'RQ2'!$A$2:$A$455,0)))=""),"2 - RQ2 historical","3 - Verify recorded evidence"))</f>
        <v/>
      </c>
      <c r="D421" s="4">
        <f>IF(OR(IF(COUNTIFS('RQ2'!$A$2:$A$455,$A421,'RQ2'!$D$2:$D$455,"")&gt;0,"",INDEX('RQ2'!$D$2:$D$455,MATCH($A421,'RQ2'!$A$2:$A$455,0)))="",IF(COUNTIFS('RQ2'!$A$2:$A$455,$A421,'RQ2'!$E$2:$E$455,"")&gt;0,"",INDEX('RQ2'!$E$2:$E$455,MATCH($A421,'RQ2'!$A$2:$A$455,0)))=""),"PENDIENTE","REGISTRADA")</f>
        <v/>
      </c>
      <c r="E421" s="4">
        <f>IF(IF(COUNTIFS('RQ1'!$A$2:$A$455,$A421,'RQ1'!$N$2:$N$455,"")&gt;0,"",INDEX('RQ1'!$N$2:$N$455,MATCH($A421,'RQ1'!$A$2:$A$455,0)))=1,"REVISAR DETALLE","REGISTRADA")</f>
        <v/>
      </c>
      <c r="F421" s="4">
        <f>IF(IF(COUNTIFS('RQ3'!$A$2:$A$455,$A421,'RQ3'!$P$2:$P$455,"")&gt;0,"",INDEX('RQ3'!$P$2:$P$455,MATCH($A421,'RQ3'!$A$2:$A$455,0)))="","NO REGISTRADO",IF(IF(COUNTIFS('RQ3'!$A$2:$A$455,$A421,'RQ3'!$P$2:$P$455,"")&gt;0,"",INDEX('RQ3'!$P$2:$P$455,MATCH($A421,'RQ3'!$A$2:$A$455,0)))=1,"MARCA ACTIVA","SIN MARCA"))</f>
        <v/>
      </c>
      <c r="G421" s="4">
        <f>IF(IF(COUNTIFS('ESTUDIOS'!$A$2:$A$455,$A421,'ESTUDIOS'!$N$2:$N$455,"")&gt;0,"",INDEX('ESTUDIOS'!$N$2:$N$455,MATCH($A421,'ESTUDIOS'!$A$2:$A$455,0)))="Verified","DOCUMENTADA","NO DOCUMENTADA")</f>
        <v/>
      </c>
      <c r="H421" s="4">
        <f>IF(D421="PENDIENTE","Leer evidencia ya extraída; registrar uso propuesto o evaluado, función, fuente y revisor en RQ2.","Comprobar evidencia y cautelas registradas; documentar verificación sin recodificar lo ya respaldado.")</f>
        <v/>
      </c>
      <c r="I421" s="4" t="inlineStr">
        <is>
          <t>https://doi.org/10.1016/j.heares.2026.109654</t>
        </is>
      </c>
    </row>
    <row r="422" ht="64" customHeight="1">
      <c r="A422" s="4" t="inlineStr">
        <is>
          <t>new_343</t>
        </is>
      </c>
      <c r="B422" s="4" t="inlineStr">
        <is>
          <t>An explainable machine unlearning algorithm framework for early detection of autism spectrum disorder and brain disabilities in newborns</t>
        </is>
      </c>
      <c r="C422" s="4">
        <f>IF(IF(COUNTIFS('ESTUDIOS'!$A$2:$A$455,$A422,'ESTUDIOS'!$I$2:$I$455,"")&gt;0,"",INDEX('ESTUDIOS'!$I$2:$I$455,MATCH($A422,'ESTUDIOS'!$A$2:$A$455,0)))=1,"1 - Integrity",IF(OR(IF(COUNTIFS('RQ2'!$A$2:$A$455,$A422,'RQ2'!$D$2:$D$455,"")&gt;0,"",INDEX('RQ2'!$D$2:$D$455,MATCH($A422,'RQ2'!$A$2:$A$455,0)))="",IF(COUNTIFS('RQ2'!$A$2:$A$455,$A422,'RQ2'!$E$2:$E$455,"")&gt;0,"",INDEX('RQ2'!$E$2:$E$455,MATCH($A422,'RQ2'!$A$2:$A$455,0)))=""),"2 - RQ2 historical","3 - Verify recorded evidence"))</f>
        <v/>
      </c>
      <c r="D422" s="4">
        <f>IF(OR(IF(COUNTIFS('RQ2'!$A$2:$A$455,$A422,'RQ2'!$D$2:$D$455,"")&gt;0,"",INDEX('RQ2'!$D$2:$D$455,MATCH($A422,'RQ2'!$A$2:$A$455,0)))="",IF(COUNTIFS('RQ2'!$A$2:$A$455,$A422,'RQ2'!$E$2:$E$455,"")&gt;0,"",INDEX('RQ2'!$E$2:$E$455,MATCH($A422,'RQ2'!$A$2:$A$455,0)))=""),"PENDIENTE","REGISTRADA")</f>
        <v/>
      </c>
      <c r="E422" s="4">
        <f>IF(IF(COUNTIFS('RQ1'!$A$2:$A$455,$A422,'RQ1'!$N$2:$N$455,"")&gt;0,"",INDEX('RQ1'!$N$2:$N$455,MATCH($A422,'RQ1'!$A$2:$A$455,0)))=1,"REVISAR DETALLE","REGISTRADA")</f>
        <v/>
      </c>
      <c r="F422" s="4">
        <f>IF(IF(COUNTIFS('RQ3'!$A$2:$A$455,$A422,'RQ3'!$P$2:$P$455,"")&gt;0,"",INDEX('RQ3'!$P$2:$P$455,MATCH($A422,'RQ3'!$A$2:$A$455,0)))="","NO REGISTRADO",IF(IF(COUNTIFS('RQ3'!$A$2:$A$455,$A422,'RQ3'!$P$2:$P$455,"")&gt;0,"",INDEX('RQ3'!$P$2:$P$455,MATCH($A422,'RQ3'!$A$2:$A$455,0)))=1,"MARCA ACTIVA","SIN MARCA"))</f>
        <v/>
      </c>
      <c r="G422" s="4">
        <f>IF(IF(COUNTIFS('ESTUDIOS'!$A$2:$A$455,$A422,'ESTUDIOS'!$N$2:$N$455,"")&gt;0,"",INDEX('ESTUDIOS'!$N$2:$N$455,MATCH($A422,'ESTUDIOS'!$A$2:$A$455,0)))="Verified","DOCUMENTADA","NO DOCUMENTADA")</f>
        <v/>
      </c>
      <c r="H422" s="4">
        <f>IF(D422="PENDIENTE","Leer evidencia ya extraída; registrar uso propuesto o evaluado, función, fuente y revisor en RQ2.","Comprobar evidencia y cautelas registradas; documentar verificación sin recodificar lo ya respaldado.")</f>
        <v/>
      </c>
      <c r="I422" s="4" t="inlineStr">
        <is>
          <t>https://doi.org/10.1016/j.aej.2026.04.002</t>
        </is>
      </c>
    </row>
    <row r="423" ht="64" customHeight="1">
      <c r="A423" s="4" t="inlineStr">
        <is>
          <t>new_347</t>
        </is>
      </c>
      <c r="B423" s="4" t="inlineStr">
        <is>
          <t>Vision transformer and complex network analysis for autism spectrum disorder classification in T1 structural MRI</t>
        </is>
      </c>
      <c r="C423" s="4">
        <f>IF(IF(COUNTIFS('ESTUDIOS'!$A$2:$A$455,$A423,'ESTUDIOS'!$I$2:$I$455,"")&gt;0,"",INDEX('ESTUDIOS'!$I$2:$I$455,MATCH($A423,'ESTUDIOS'!$A$2:$A$455,0)))=1,"1 - Integrity",IF(OR(IF(COUNTIFS('RQ2'!$A$2:$A$455,$A423,'RQ2'!$D$2:$D$455,"")&gt;0,"",INDEX('RQ2'!$D$2:$D$455,MATCH($A423,'RQ2'!$A$2:$A$455,0)))="",IF(COUNTIFS('RQ2'!$A$2:$A$455,$A423,'RQ2'!$E$2:$E$455,"")&gt;0,"",INDEX('RQ2'!$E$2:$E$455,MATCH($A423,'RQ2'!$A$2:$A$455,0)))=""),"2 - RQ2 historical","3 - Verify recorded evidence"))</f>
        <v/>
      </c>
      <c r="D423" s="4">
        <f>IF(OR(IF(COUNTIFS('RQ2'!$A$2:$A$455,$A423,'RQ2'!$D$2:$D$455,"")&gt;0,"",INDEX('RQ2'!$D$2:$D$455,MATCH($A423,'RQ2'!$A$2:$A$455,0)))="",IF(COUNTIFS('RQ2'!$A$2:$A$455,$A423,'RQ2'!$E$2:$E$455,"")&gt;0,"",INDEX('RQ2'!$E$2:$E$455,MATCH($A423,'RQ2'!$A$2:$A$455,0)))=""),"PENDIENTE","REGISTRADA")</f>
        <v/>
      </c>
      <c r="E423" s="4">
        <f>IF(IF(COUNTIFS('RQ1'!$A$2:$A$455,$A423,'RQ1'!$N$2:$N$455,"")&gt;0,"",INDEX('RQ1'!$N$2:$N$455,MATCH($A423,'RQ1'!$A$2:$A$455,0)))=1,"REVISAR DETALLE","REGISTRADA")</f>
        <v/>
      </c>
      <c r="F423" s="4">
        <f>IF(IF(COUNTIFS('RQ3'!$A$2:$A$455,$A423,'RQ3'!$P$2:$P$455,"")&gt;0,"",INDEX('RQ3'!$P$2:$P$455,MATCH($A423,'RQ3'!$A$2:$A$455,0)))="","NO REGISTRADO",IF(IF(COUNTIFS('RQ3'!$A$2:$A$455,$A423,'RQ3'!$P$2:$P$455,"")&gt;0,"",INDEX('RQ3'!$P$2:$P$455,MATCH($A423,'RQ3'!$A$2:$A$455,0)))=1,"MARCA ACTIVA","SIN MARCA"))</f>
        <v/>
      </c>
      <c r="G423" s="4">
        <f>IF(IF(COUNTIFS('ESTUDIOS'!$A$2:$A$455,$A423,'ESTUDIOS'!$N$2:$N$455,"")&gt;0,"",INDEX('ESTUDIOS'!$N$2:$N$455,MATCH($A423,'ESTUDIOS'!$A$2:$A$455,0)))="Verified","DOCUMENTADA","NO DOCUMENTADA")</f>
        <v/>
      </c>
      <c r="H423" s="4">
        <f>IF(D423="PENDIENTE","Leer evidencia ya extraída; registrar uso propuesto o evaluado, función, fuente y revisor en RQ2.","Comprobar evidencia y cautelas registradas; documentar verificación sin recodificar lo ya respaldado.")</f>
        <v/>
      </c>
      <c r="I423" s="4" t="inlineStr">
        <is>
          <t>https://doi.org/10.1007/s11604-025-01832-3</t>
        </is>
      </c>
    </row>
    <row r="424" ht="64" customHeight="1">
      <c r="A424" s="4" t="inlineStr">
        <is>
          <t>new_349</t>
        </is>
      </c>
      <c r="B424" s="4" t="inlineStr">
        <is>
          <t>Dominant cross-frequency analysis-based early diagnosis of Autism Spectrum Disorder in pediatrics using FRHIS and DSTCNN</t>
        </is>
      </c>
      <c r="C424" s="4">
        <f>IF(IF(COUNTIFS('ESTUDIOS'!$A$2:$A$455,$A424,'ESTUDIOS'!$I$2:$I$455,"")&gt;0,"",INDEX('ESTUDIOS'!$I$2:$I$455,MATCH($A424,'ESTUDIOS'!$A$2:$A$455,0)))=1,"1 - Integrity",IF(OR(IF(COUNTIFS('RQ2'!$A$2:$A$455,$A424,'RQ2'!$D$2:$D$455,"")&gt;0,"",INDEX('RQ2'!$D$2:$D$455,MATCH($A424,'RQ2'!$A$2:$A$455,0)))="",IF(COUNTIFS('RQ2'!$A$2:$A$455,$A424,'RQ2'!$E$2:$E$455,"")&gt;0,"",INDEX('RQ2'!$E$2:$E$455,MATCH($A424,'RQ2'!$A$2:$A$455,0)))=""),"2 - RQ2 historical","3 - Verify recorded evidence"))</f>
        <v/>
      </c>
      <c r="D424" s="4">
        <f>IF(OR(IF(COUNTIFS('RQ2'!$A$2:$A$455,$A424,'RQ2'!$D$2:$D$455,"")&gt;0,"",INDEX('RQ2'!$D$2:$D$455,MATCH($A424,'RQ2'!$A$2:$A$455,0)))="",IF(COUNTIFS('RQ2'!$A$2:$A$455,$A424,'RQ2'!$E$2:$E$455,"")&gt;0,"",INDEX('RQ2'!$E$2:$E$455,MATCH($A424,'RQ2'!$A$2:$A$455,0)))=""),"PENDIENTE","REGISTRADA")</f>
        <v/>
      </c>
      <c r="E424" s="4">
        <f>IF(IF(COUNTIFS('RQ1'!$A$2:$A$455,$A424,'RQ1'!$N$2:$N$455,"")&gt;0,"",INDEX('RQ1'!$N$2:$N$455,MATCH($A424,'RQ1'!$A$2:$A$455,0)))=1,"REVISAR DETALLE","REGISTRADA")</f>
        <v/>
      </c>
      <c r="F424" s="4">
        <f>IF(IF(COUNTIFS('RQ3'!$A$2:$A$455,$A424,'RQ3'!$P$2:$P$455,"")&gt;0,"",INDEX('RQ3'!$P$2:$P$455,MATCH($A424,'RQ3'!$A$2:$A$455,0)))="","NO REGISTRADO",IF(IF(COUNTIFS('RQ3'!$A$2:$A$455,$A424,'RQ3'!$P$2:$P$455,"")&gt;0,"",INDEX('RQ3'!$P$2:$P$455,MATCH($A424,'RQ3'!$A$2:$A$455,0)))=1,"MARCA ACTIVA","SIN MARCA"))</f>
        <v/>
      </c>
      <c r="G424" s="4">
        <f>IF(IF(COUNTIFS('ESTUDIOS'!$A$2:$A$455,$A424,'ESTUDIOS'!$N$2:$N$455,"")&gt;0,"",INDEX('ESTUDIOS'!$N$2:$N$455,MATCH($A424,'ESTUDIOS'!$A$2:$A$455,0)))="Verified","DOCUMENTADA","NO DOCUMENTADA")</f>
        <v/>
      </c>
      <c r="H424" s="4">
        <f>IF(D424="PENDIENTE","Leer evidencia ya extraída; registrar uso propuesto o evaluado, función, fuente y revisor en RQ2.","Comprobar evidencia y cautelas registradas; documentar verificación sin recodificar lo ya respaldado.")</f>
        <v/>
      </c>
      <c r="I424" s="4" t="inlineStr">
        <is>
          <t>https://doi.org/10.1016/j.pscychresns.2026.112270</t>
        </is>
      </c>
    </row>
    <row r="425" ht="64" customHeight="1">
      <c r="A425" s="4" t="inlineStr">
        <is>
          <t>new_354</t>
        </is>
      </c>
      <c r="B425" s="4" t="inlineStr">
        <is>
          <t>Contrastive diffusion adaptation network with rs-fMRI for domain adaptation classification of autism spectrum disorder</t>
        </is>
      </c>
      <c r="C425" s="4">
        <f>IF(IF(COUNTIFS('ESTUDIOS'!$A$2:$A$455,$A425,'ESTUDIOS'!$I$2:$I$455,"")&gt;0,"",INDEX('ESTUDIOS'!$I$2:$I$455,MATCH($A425,'ESTUDIOS'!$A$2:$A$455,0)))=1,"1 - Integrity",IF(OR(IF(COUNTIFS('RQ2'!$A$2:$A$455,$A425,'RQ2'!$D$2:$D$455,"")&gt;0,"",INDEX('RQ2'!$D$2:$D$455,MATCH($A425,'RQ2'!$A$2:$A$455,0)))="",IF(COUNTIFS('RQ2'!$A$2:$A$455,$A425,'RQ2'!$E$2:$E$455,"")&gt;0,"",INDEX('RQ2'!$E$2:$E$455,MATCH($A425,'RQ2'!$A$2:$A$455,0)))=""),"2 - RQ2 historical","3 - Verify recorded evidence"))</f>
        <v/>
      </c>
      <c r="D425" s="4">
        <f>IF(OR(IF(COUNTIFS('RQ2'!$A$2:$A$455,$A425,'RQ2'!$D$2:$D$455,"")&gt;0,"",INDEX('RQ2'!$D$2:$D$455,MATCH($A425,'RQ2'!$A$2:$A$455,0)))="",IF(COUNTIFS('RQ2'!$A$2:$A$455,$A425,'RQ2'!$E$2:$E$455,"")&gt;0,"",INDEX('RQ2'!$E$2:$E$455,MATCH($A425,'RQ2'!$A$2:$A$455,0)))=""),"PENDIENTE","REGISTRADA")</f>
        <v/>
      </c>
      <c r="E425" s="4">
        <f>IF(IF(COUNTIFS('RQ1'!$A$2:$A$455,$A425,'RQ1'!$N$2:$N$455,"")&gt;0,"",INDEX('RQ1'!$N$2:$N$455,MATCH($A425,'RQ1'!$A$2:$A$455,0)))=1,"REVISAR DETALLE","REGISTRADA")</f>
        <v/>
      </c>
      <c r="F425" s="4">
        <f>IF(IF(COUNTIFS('RQ3'!$A$2:$A$455,$A425,'RQ3'!$P$2:$P$455,"")&gt;0,"",INDEX('RQ3'!$P$2:$P$455,MATCH($A425,'RQ3'!$A$2:$A$455,0)))="","NO REGISTRADO",IF(IF(COUNTIFS('RQ3'!$A$2:$A$455,$A425,'RQ3'!$P$2:$P$455,"")&gt;0,"",INDEX('RQ3'!$P$2:$P$455,MATCH($A425,'RQ3'!$A$2:$A$455,0)))=1,"MARCA ACTIVA","SIN MARCA"))</f>
        <v/>
      </c>
      <c r="G425" s="4">
        <f>IF(IF(COUNTIFS('ESTUDIOS'!$A$2:$A$455,$A425,'ESTUDIOS'!$N$2:$N$455,"")&gt;0,"",INDEX('ESTUDIOS'!$N$2:$N$455,MATCH($A425,'ESTUDIOS'!$A$2:$A$455,0)))="Verified","DOCUMENTADA","NO DOCUMENTADA")</f>
        <v/>
      </c>
      <c r="H425" s="4">
        <f>IF(D425="PENDIENTE","Leer evidencia ya extraída; registrar uso propuesto o evaluado, función, fuente y revisor en RQ2.","Comprobar evidencia y cautelas registradas; documentar verificación sin recodificar lo ya respaldado.")</f>
        <v/>
      </c>
      <c r="I425" s="4" t="inlineStr">
        <is>
          <t>https://doi.org/10.1016/j.asoc.2026.115959</t>
        </is>
      </c>
    </row>
    <row r="426" ht="64" customHeight="1">
      <c r="A426" s="4" t="inlineStr">
        <is>
          <t>new_355</t>
        </is>
      </c>
      <c r="B426" s="4" t="inlineStr">
        <is>
          <t>Hybrid HOG–ResNet50V2 framework for early autism spectrum disorder detection from facial images</t>
        </is>
      </c>
      <c r="C426" s="4">
        <f>IF(IF(COUNTIFS('ESTUDIOS'!$A$2:$A$455,$A426,'ESTUDIOS'!$I$2:$I$455,"")&gt;0,"",INDEX('ESTUDIOS'!$I$2:$I$455,MATCH($A426,'ESTUDIOS'!$A$2:$A$455,0)))=1,"1 - Integrity",IF(OR(IF(COUNTIFS('RQ2'!$A$2:$A$455,$A426,'RQ2'!$D$2:$D$455,"")&gt;0,"",INDEX('RQ2'!$D$2:$D$455,MATCH($A426,'RQ2'!$A$2:$A$455,0)))="",IF(COUNTIFS('RQ2'!$A$2:$A$455,$A426,'RQ2'!$E$2:$E$455,"")&gt;0,"",INDEX('RQ2'!$E$2:$E$455,MATCH($A426,'RQ2'!$A$2:$A$455,0)))=""),"2 - RQ2 historical","3 - Verify recorded evidence"))</f>
        <v/>
      </c>
      <c r="D426" s="4">
        <f>IF(OR(IF(COUNTIFS('RQ2'!$A$2:$A$455,$A426,'RQ2'!$D$2:$D$455,"")&gt;0,"",INDEX('RQ2'!$D$2:$D$455,MATCH($A426,'RQ2'!$A$2:$A$455,0)))="",IF(COUNTIFS('RQ2'!$A$2:$A$455,$A426,'RQ2'!$E$2:$E$455,"")&gt;0,"",INDEX('RQ2'!$E$2:$E$455,MATCH($A426,'RQ2'!$A$2:$A$455,0)))=""),"PENDIENTE","REGISTRADA")</f>
        <v/>
      </c>
      <c r="E426" s="4">
        <f>IF(IF(COUNTIFS('RQ1'!$A$2:$A$455,$A426,'RQ1'!$N$2:$N$455,"")&gt;0,"",INDEX('RQ1'!$N$2:$N$455,MATCH($A426,'RQ1'!$A$2:$A$455,0)))=1,"REVISAR DETALLE","REGISTRADA")</f>
        <v/>
      </c>
      <c r="F426" s="4">
        <f>IF(IF(COUNTIFS('RQ3'!$A$2:$A$455,$A426,'RQ3'!$P$2:$P$455,"")&gt;0,"",INDEX('RQ3'!$P$2:$P$455,MATCH($A426,'RQ3'!$A$2:$A$455,0)))="","NO REGISTRADO",IF(IF(COUNTIFS('RQ3'!$A$2:$A$455,$A426,'RQ3'!$P$2:$P$455,"")&gt;0,"",INDEX('RQ3'!$P$2:$P$455,MATCH($A426,'RQ3'!$A$2:$A$455,0)))=1,"MARCA ACTIVA","SIN MARCA"))</f>
        <v/>
      </c>
      <c r="G426" s="4">
        <f>IF(IF(COUNTIFS('ESTUDIOS'!$A$2:$A$455,$A426,'ESTUDIOS'!$N$2:$N$455,"")&gt;0,"",INDEX('ESTUDIOS'!$N$2:$N$455,MATCH($A426,'ESTUDIOS'!$A$2:$A$455,0)))="Verified","DOCUMENTADA","NO DOCUMENTADA")</f>
        <v/>
      </c>
      <c r="H426" s="4">
        <f>IF(D426="PENDIENTE","Leer evidencia ya extraída; registrar uso propuesto o evaluado, función, fuente y revisor en RQ2.","Comprobar evidencia y cautelas registradas; documentar verificación sin recodificar lo ya respaldado.")</f>
        <v/>
      </c>
      <c r="I426" s="4" t="inlineStr">
        <is>
          <t>https://doi.org/10.1016/j.array.2026.100936</t>
        </is>
      </c>
    </row>
    <row r="427" ht="64" customHeight="1">
      <c r="A427" s="4" t="inlineStr">
        <is>
          <t>new_364</t>
        </is>
      </c>
      <c r="B427" s="4" t="inlineStr">
        <is>
          <t>Smart detection of autism spectrum disorder using optimized deep learner for transforming early diagnosis and intervention</t>
        </is>
      </c>
      <c r="C427" s="4">
        <f>IF(IF(COUNTIFS('ESTUDIOS'!$A$2:$A$455,$A427,'ESTUDIOS'!$I$2:$I$455,"")&gt;0,"",INDEX('ESTUDIOS'!$I$2:$I$455,MATCH($A427,'ESTUDIOS'!$A$2:$A$455,0)))=1,"1 - Integrity",IF(OR(IF(COUNTIFS('RQ2'!$A$2:$A$455,$A427,'RQ2'!$D$2:$D$455,"")&gt;0,"",INDEX('RQ2'!$D$2:$D$455,MATCH($A427,'RQ2'!$A$2:$A$455,0)))="",IF(COUNTIFS('RQ2'!$A$2:$A$455,$A427,'RQ2'!$E$2:$E$455,"")&gt;0,"",INDEX('RQ2'!$E$2:$E$455,MATCH($A427,'RQ2'!$A$2:$A$455,0)))=""),"2 - RQ2 historical","3 - Verify recorded evidence"))</f>
        <v/>
      </c>
      <c r="D427" s="4">
        <f>IF(OR(IF(COUNTIFS('RQ2'!$A$2:$A$455,$A427,'RQ2'!$D$2:$D$455,"")&gt;0,"",INDEX('RQ2'!$D$2:$D$455,MATCH($A427,'RQ2'!$A$2:$A$455,0)))="",IF(COUNTIFS('RQ2'!$A$2:$A$455,$A427,'RQ2'!$E$2:$E$455,"")&gt;0,"",INDEX('RQ2'!$E$2:$E$455,MATCH($A427,'RQ2'!$A$2:$A$455,0)))=""),"PENDIENTE","REGISTRADA")</f>
        <v/>
      </c>
      <c r="E427" s="4">
        <f>IF(IF(COUNTIFS('RQ1'!$A$2:$A$455,$A427,'RQ1'!$N$2:$N$455,"")&gt;0,"",INDEX('RQ1'!$N$2:$N$455,MATCH($A427,'RQ1'!$A$2:$A$455,0)))=1,"REVISAR DETALLE","REGISTRADA")</f>
        <v/>
      </c>
      <c r="F427" s="4">
        <f>IF(IF(COUNTIFS('RQ3'!$A$2:$A$455,$A427,'RQ3'!$P$2:$P$455,"")&gt;0,"",INDEX('RQ3'!$P$2:$P$455,MATCH($A427,'RQ3'!$A$2:$A$455,0)))="","NO REGISTRADO",IF(IF(COUNTIFS('RQ3'!$A$2:$A$455,$A427,'RQ3'!$P$2:$P$455,"")&gt;0,"",INDEX('RQ3'!$P$2:$P$455,MATCH($A427,'RQ3'!$A$2:$A$455,0)))=1,"MARCA ACTIVA","SIN MARCA"))</f>
        <v/>
      </c>
      <c r="G427" s="4">
        <f>IF(IF(COUNTIFS('ESTUDIOS'!$A$2:$A$455,$A427,'ESTUDIOS'!$N$2:$N$455,"")&gt;0,"",INDEX('ESTUDIOS'!$N$2:$N$455,MATCH($A427,'ESTUDIOS'!$A$2:$A$455,0)))="Verified","DOCUMENTADA","NO DOCUMENTADA")</f>
        <v/>
      </c>
      <c r="H427" s="4">
        <f>IF(D427="PENDIENTE","Leer evidencia ya extraída; registrar uso propuesto o evaluado, función, fuente y revisor en RQ2.","Comprobar evidencia y cautelas registradas; documentar verificación sin recodificar lo ya respaldado.")</f>
        <v/>
      </c>
      <c r="I427" s="4" t="inlineStr">
        <is>
          <t>https://doi.org/10.1007/s12065-026-01162-x</t>
        </is>
      </c>
    </row>
    <row r="428" ht="64" customHeight="1">
      <c r="A428" s="4" t="inlineStr">
        <is>
          <t>new_366</t>
        </is>
      </c>
      <c r="B428" s="4" t="inlineStr">
        <is>
          <t>Hybrid deep learning with cross-attention fusion for autism spectrum disorder classification from facial images</t>
        </is>
      </c>
      <c r="C428" s="4">
        <f>IF(IF(COUNTIFS('ESTUDIOS'!$A$2:$A$455,$A428,'ESTUDIOS'!$I$2:$I$455,"")&gt;0,"",INDEX('ESTUDIOS'!$I$2:$I$455,MATCH($A428,'ESTUDIOS'!$A$2:$A$455,0)))=1,"1 - Integrity",IF(OR(IF(COUNTIFS('RQ2'!$A$2:$A$455,$A428,'RQ2'!$D$2:$D$455,"")&gt;0,"",INDEX('RQ2'!$D$2:$D$455,MATCH($A428,'RQ2'!$A$2:$A$455,0)))="",IF(COUNTIFS('RQ2'!$A$2:$A$455,$A428,'RQ2'!$E$2:$E$455,"")&gt;0,"",INDEX('RQ2'!$E$2:$E$455,MATCH($A428,'RQ2'!$A$2:$A$455,0)))=""),"2 - RQ2 historical","3 - Verify recorded evidence"))</f>
        <v/>
      </c>
      <c r="D428" s="4">
        <f>IF(OR(IF(COUNTIFS('RQ2'!$A$2:$A$455,$A428,'RQ2'!$D$2:$D$455,"")&gt;0,"",INDEX('RQ2'!$D$2:$D$455,MATCH($A428,'RQ2'!$A$2:$A$455,0)))="",IF(COUNTIFS('RQ2'!$A$2:$A$455,$A428,'RQ2'!$E$2:$E$455,"")&gt;0,"",INDEX('RQ2'!$E$2:$E$455,MATCH($A428,'RQ2'!$A$2:$A$455,0)))=""),"PENDIENTE","REGISTRADA")</f>
        <v/>
      </c>
      <c r="E428" s="4">
        <f>IF(IF(COUNTIFS('RQ1'!$A$2:$A$455,$A428,'RQ1'!$N$2:$N$455,"")&gt;0,"",INDEX('RQ1'!$N$2:$N$455,MATCH($A428,'RQ1'!$A$2:$A$455,0)))=1,"REVISAR DETALLE","REGISTRADA")</f>
        <v/>
      </c>
      <c r="F428" s="4">
        <f>IF(IF(COUNTIFS('RQ3'!$A$2:$A$455,$A428,'RQ3'!$P$2:$P$455,"")&gt;0,"",INDEX('RQ3'!$P$2:$P$455,MATCH($A428,'RQ3'!$A$2:$A$455,0)))="","NO REGISTRADO",IF(IF(COUNTIFS('RQ3'!$A$2:$A$455,$A428,'RQ3'!$P$2:$P$455,"")&gt;0,"",INDEX('RQ3'!$P$2:$P$455,MATCH($A428,'RQ3'!$A$2:$A$455,0)))=1,"MARCA ACTIVA","SIN MARCA"))</f>
        <v/>
      </c>
      <c r="G428" s="4">
        <f>IF(IF(COUNTIFS('ESTUDIOS'!$A$2:$A$455,$A428,'ESTUDIOS'!$N$2:$N$455,"")&gt;0,"",INDEX('ESTUDIOS'!$N$2:$N$455,MATCH($A428,'ESTUDIOS'!$A$2:$A$455,0)))="Verified","DOCUMENTADA","NO DOCUMENTADA")</f>
        <v/>
      </c>
      <c r="H428" s="4">
        <f>IF(D428="PENDIENTE","Leer evidencia ya extraída; registrar uso propuesto o evaluado, función, fuente y revisor en RQ2.","Comprobar evidencia y cautelas registradas; documentar verificación sin recodificar lo ya respaldado.")</f>
        <v/>
      </c>
      <c r="I428" s="4" t="inlineStr">
        <is>
          <t>https://doi.org/10.1016/j.ibmed.2026.100421</t>
        </is>
      </c>
    </row>
    <row r="429" ht="64" customHeight="1">
      <c r="A429" s="4" t="inlineStr">
        <is>
          <t>new_371</t>
        </is>
      </c>
      <c r="B429" s="4" t="inlineStr">
        <is>
          <t>A Hybrid CNN-GAT Model for MRI Screening of Autism Spectrum Disorder</t>
        </is>
      </c>
      <c r="C429" s="4">
        <f>IF(IF(COUNTIFS('ESTUDIOS'!$A$2:$A$455,$A429,'ESTUDIOS'!$I$2:$I$455,"")&gt;0,"",INDEX('ESTUDIOS'!$I$2:$I$455,MATCH($A429,'ESTUDIOS'!$A$2:$A$455,0)))=1,"1 - Integrity",IF(OR(IF(COUNTIFS('RQ2'!$A$2:$A$455,$A429,'RQ2'!$D$2:$D$455,"")&gt;0,"",INDEX('RQ2'!$D$2:$D$455,MATCH($A429,'RQ2'!$A$2:$A$455,0)))="",IF(COUNTIFS('RQ2'!$A$2:$A$455,$A429,'RQ2'!$E$2:$E$455,"")&gt;0,"",INDEX('RQ2'!$E$2:$E$455,MATCH($A429,'RQ2'!$A$2:$A$455,0)))=""),"2 - RQ2 historical","3 - Verify recorded evidence"))</f>
        <v/>
      </c>
      <c r="D429" s="4">
        <f>IF(OR(IF(COUNTIFS('RQ2'!$A$2:$A$455,$A429,'RQ2'!$D$2:$D$455,"")&gt;0,"",INDEX('RQ2'!$D$2:$D$455,MATCH($A429,'RQ2'!$A$2:$A$455,0)))="",IF(COUNTIFS('RQ2'!$A$2:$A$455,$A429,'RQ2'!$E$2:$E$455,"")&gt;0,"",INDEX('RQ2'!$E$2:$E$455,MATCH($A429,'RQ2'!$A$2:$A$455,0)))=""),"PENDIENTE","REGISTRADA")</f>
        <v/>
      </c>
      <c r="E429" s="4">
        <f>IF(IF(COUNTIFS('RQ1'!$A$2:$A$455,$A429,'RQ1'!$N$2:$N$455,"")&gt;0,"",INDEX('RQ1'!$N$2:$N$455,MATCH($A429,'RQ1'!$A$2:$A$455,0)))=1,"REVISAR DETALLE","REGISTRADA")</f>
        <v/>
      </c>
      <c r="F429" s="4">
        <f>IF(IF(COUNTIFS('RQ3'!$A$2:$A$455,$A429,'RQ3'!$P$2:$P$455,"")&gt;0,"",INDEX('RQ3'!$P$2:$P$455,MATCH($A429,'RQ3'!$A$2:$A$455,0)))="","NO REGISTRADO",IF(IF(COUNTIFS('RQ3'!$A$2:$A$455,$A429,'RQ3'!$P$2:$P$455,"")&gt;0,"",INDEX('RQ3'!$P$2:$P$455,MATCH($A429,'RQ3'!$A$2:$A$455,0)))=1,"MARCA ACTIVA","SIN MARCA"))</f>
        <v/>
      </c>
      <c r="G429" s="4">
        <f>IF(IF(COUNTIFS('ESTUDIOS'!$A$2:$A$455,$A429,'ESTUDIOS'!$N$2:$N$455,"")&gt;0,"",INDEX('ESTUDIOS'!$N$2:$N$455,MATCH($A429,'ESTUDIOS'!$A$2:$A$455,0)))="Verified","DOCUMENTADA","NO DOCUMENTADA")</f>
        <v/>
      </c>
      <c r="H429" s="4">
        <f>IF(D429="PENDIENTE","Leer evidencia ya extraída; registrar uso propuesto o evaluado, función, fuente y revisor en RQ2.","Comprobar evidencia y cautelas registradas; documentar verificación sin recodificar lo ya respaldado.")</f>
        <v/>
      </c>
      <c r="I429" s="4" t="inlineStr">
        <is>
          <t>https://doi.org/10.1007/978-3-032-14531-4_4</t>
        </is>
      </c>
    </row>
    <row r="430" ht="64" customHeight="1">
      <c r="A430" s="4" t="inlineStr">
        <is>
          <t>new_373</t>
        </is>
      </c>
      <c r="B430" s="4" t="inlineStr">
        <is>
          <t>Multi-feature fusion transformer network for Autism spectrum disorder detection via facial images</t>
        </is>
      </c>
      <c r="C430" s="4">
        <f>IF(IF(COUNTIFS('ESTUDIOS'!$A$2:$A$455,$A430,'ESTUDIOS'!$I$2:$I$455,"")&gt;0,"",INDEX('ESTUDIOS'!$I$2:$I$455,MATCH($A430,'ESTUDIOS'!$A$2:$A$455,0)))=1,"1 - Integrity",IF(OR(IF(COUNTIFS('RQ2'!$A$2:$A$455,$A430,'RQ2'!$D$2:$D$455,"")&gt;0,"",INDEX('RQ2'!$D$2:$D$455,MATCH($A430,'RQ2'!$A$2:$A$455,0)))="",IF(COUNTIFS('RQ2'!$A$2:$A$455,$A430,'RQ2'!$E$2:$E$455,"")&gt;0,"",INDEX('RQ2'!$E$2:$E$455,MATCH($A430,'RQ2'!$A$2:$A$455,0)))=""),"2 - RQ2 historical","3 - Verify recorded evidence"))</f>
        <v/>
      </c>
      <c r="D430" s="4">
        <f>IF(OR(IF(COUNTIFS('RQ2'!$A$2:$A$455,$A430,'RQ2'!$D$2:$D$455,"")&gt;0,"",INDEX('RQ2'!$D$2:$D$455,MATCH($A430,'RQ2'!$A$2:$A$455,0)))="",IF(COUNTIFS('RQ2'!$A$2:$A$455,$A430,'RQ2'!$E$2:$E$455,"")&gt;0,"",INDEX('RQ2'!$E$2:$E$455,MATCH($A430,'RQ2'!$A$2:$A$455,0)))=""),"PENDIENTE","REGISTRADA")</f>
        <v/>
      </c>
      <c r="E430" s="4">
        <f>IF(IF(COUNTIFS('RQ1'!$A$2:$A$455,$A430,'RQ1'!$N$2:$N$455,"")&gt;0,"",INDEX('RQ1'!$N$2:$N$455,MATCH($A430,'RQ1'!$A$2:$A$455,0)))=1,"REVISAR DETALLE","REGISTRADA")</f>
        <v/>
      </c>
      <c r="F430" s="4">
        <f>IF(IF(COUNTIFS('RQ3'!$A$2:$A$455,$A430,'RQ3'!$P$2:$P$455,"")&gt;0,"",INDEX('RQ3'!$P$2:$P$455,MATCH($A430,'RQ3'!$A$2:$A$455,0)))="","NO REGISTRADO",IF(IF(COUNTIFS('RQ3'!$A$2:$A$455,$A430,'RQ3'!$P$2:$P$455,"")&gt;0,"",INDEX('RQ3'!$P$2:$P$455,MATCH($A430,'RQ3'!$A$2:$A$455,0)))=1,"MARCA ACTIVA","SIN MARCA"))</f>
        <v/>
      </c>
      <c r="G430" s="4">
        <f>IF(IF(COUNTIFS('ESTUDIOS'!$A$2:$A$455,$A430,'ESTUDIOS'!$N$2:$N$455,"")&gt;0,"",INDEX('ESTUDIOS'!$N$2:$N$455,MATCH($A430,'ESTUDIOS'!$A$2:$A$455,0)))="Verified","DOCUMENTADA","NO DOCUMENTADA")</f>
        <v/>
      </c>
      <c r="H430" s="4">
        <f>IF(D430="PENDIENTE","Leer evidencia ya extraída; registrar uso propuesto o evaluado, función, fuente y revisor en RQ2.","Comprobar evidencia y cautelas registradas; documentar verificación sin recodificar lo ya respaldado.")</f>
        <v/>
      </c>
      <c r="I430" s="4" t="inlineStr">
        <is>
          <t>https://doi.org/10.1016/j.bspc.2026.110970</t>
        </is>
      </c>
    </row>
    <row r="431" ht="64" customHeight="1">
      <c r="A431" s="4" t="inlineStr">
        <is>
          <t>new_383</t>
        </is>
      </c>
      <c r="B431" s="4" t="inlineStr">
        <is>
          <t>Longitudinal multi-omics analysis of umbilical cord blood and childhood serum in Autism</t>
        </is>
      </c>
      <c r="C431" s="4">
        <f>IF(IF(COUNTIFS('ESTUDIOS'!$A$2:$A$455,$A431,'ESTUDIOS'!$I$2:$I$455,"")&gt;0,"",INDEX('ESTUDIOS'!$I$2:$I$455,MATCH($A431,'ESTUDIOS'!$A$2:$A$455,0)))=1,"1 - Integrity",IF(OR(IF(COUNTIFS('RQ2'!$A$2:$A$455,$A431,'RQ2'!$D$2:$D$455,"")&gt;0,"",INDEX('RQ2'!$D$2:$D$455,MATCH($A431,'RQ2'!$A$2:$A$455,0)))="",IF(COUNTIFS('RQ2'!$A$2:$A$455,$A431,'RQ2'!$E$2:$E$455,"")&gt;0,"",INDEX('RQ2'!$E$2:$E$455,MATCH($A431,'RQ2'!$A$2:$A$455,0)))=""),"2 - RQ2 historical","3 - Verify recorded evidence"))</f>
        <v/>
      </c>
      <c r="D431" s="4">
        <f>IF(OR(IF(COUNTIFS('RQ2'!$A$2:$A$455,$A431,'RQ2'!$D$2:$D$455,"")&gt;0,"",INDEX('RQ2'!$D$2:$D$455,MATCH($A431,'RQ2'!$A$2:$A$455,0)))="",IF(COUNTIFS('RQ2'!$A$2:$A$455,$A431,'RQ2'!$E$2:$E$455,"")&gt;0,"",INDEX('RQ2'!$E$2:$E$455,MATCH($A431,'RQ2'!$A$2:$A$455,0)))=""),"PENDIENTE","REGISTRADA")</f>
        <v/>
      </c>
      <c r="E431" s="4">
        <f>IF(IF(COUNTIFS('RQ1'!$A$2:$A$455,$A431,'RQ1'!$N$2:$N$455,"")&gt;0,"",INDEX('RQ1'!$N$2:$N$455,MATCH($A431,'RQ1'!$A$2:$A$455,0)))=1,"REVISAR DETALLE","REGISTRADA")</f>
        <v/>
      </c>
      <c r="F431" s="4">
        <f>IF(IF(COUNTIFS('RQ3'!$A$2:$A$455,$A431,'RQ3'!$P$2:$P$455,"")&gt;0,"",INDEX('RQ3'!$P$2:$P$455,MATCH($A431,'RQ3'!$A$2:$A$455,0)))="","NO REGISTRADO",IF(IF(COUNTIFS('RQ3'!$A$2:$A$455,$A431,'RQ3'!$P$2:$P$455,"")&gt;0,"",INDEX('RQ3'!$P$2:$P$455,MATCH($A431,'RQ3'!$A$2:$A$455,0)))=1,"MARCA ACTIVA","SIN MARCA"))</f>
        <v/>
      </c>
      <c r="G431" s="4">
        <f>IF(IF(COUNTIFS('ESTUDIOS'!$A$2:$A$455,$A431,'ESTUDIOS'!$N$2:$N$455,"")&gt;0,"",INDEX('ESTUDIOS'!$N$2:$N$455,MATCH($A431,'ESTUDIOS'!$A$2:$A$455,0)))="Verified","DOCUMENTADA","NO DOCUMENTADA")</f>
        <v/>
      </c>
      <c r="H431" s="4">
        <f>IF(D431="PENDIENTE","Leer evidencia ya extraída; registrar uso propuesto o evaluado, función, fuente y revisor en RQ2.","Comprobar evidencia y cautelas registradas; documentar verificación sin recodificar lo ya respaldado.")</f>
        <v/>
      </c>
      <c r="I431" s="4" t="inlineStr">
        <is>
          <t>https://doi.org/10.1038/s41380-025-03157-z</t>
        </is>
      </c>
    </row>
    <row r="432" ht="64" customHeight="1">
      <c r="A432" s="4" t="inlineStr">
        <is>
          <t>new_386</t>
        </is>
      </c>
      <c r="B432" s="4" t="inlineStr">
        <is>
          <t>3T dilated inception network for enhanced autism spectrum disorder diagnosis using resting-state fMRI data</t>
        </is>
      </c>
      <c r="C432" s="4">
        <f>IF(IF(COUNTIFS('ESTUDIOS'!$A$2:$A$455,$A432,'ESTUDIOS'!$I$2:$I$455,"")&gt;0,"",INDEX('ESTUDIOS'!$I$2:$I$455,MATCH($A432,'ESTUDIOS'!$A$2:$A$455,0)))=1,"1 - Integrity",IF(OR(IF(COUNTIFS('RQ2'!$A$2:$A$455,$A432,'RQ2'!$D$2:$D$455,"")&gt;0,"",INDEX('RQ2'!$D$2:$D$455,MATCH($A432,'RQ2'!$A$2:$A$455,0)))="",IF(COUNTIFS('RQ2'!$A$2:$A$455,$A432,'RQ2'!$E$2:$E$455,"")&gt;0,"",INDEX('RQ2'!$E$2:$E$455,MATCH($A432,'RQ2'!$A$2:$A$455,0)))=""),"2 - RQ2 historical","3 - Verify recorded evidence"))</f>
        <v/>
      </c>
      <c r="D432" s="4">
        <f>IF(OR(IF(COUNTIFS('RQ2'!$A$2:$A$455,$A432,'RQ2'!$D$2:$D$455,"")&gt;0,"",INDEX('RQ2'!$D$2:$D$455,MATCH($A432,'RQ2'!$A$2:$A$455,0)))="",IF(COUNTIFS('RQ2'!$A$2:$A$455,$A432,'RQ2'!$E$2:$E$455,"")&gt;0,"",INDEX('RQ2'!$E$2:$E$455,MATCH($A432,'RQ2'!$A$2:$A$455,0)))=""),"PENDIENTE","REGISTRADA")</f>
        <v/>
      </c>
      <c r="E432" s="4">
        <f>IF(IF(COUNTIFS('RQ1'!$A$2:$A$455,$A432,'RQ1'!$N$2:$N$455,"")&gt;0,"",INDEX('RQ1'!$N$2:$N$455,MATCH($A432,'RQ1'!$A$2:$A$455,0)))=1,"REVISAR DETALLE","REGISTRADA")</f>
        <v/>
      </c>
      <c r="F432" s="4">
        <f>IF(IF(COUNTIFS('RQ3'!$A$2:$A$455,$A432,'RQ3'!$P$2:$P$455,"")&gt;0,"",INDEX('RQ3'!$P$2:$P$455,MATCH($A432,'RQ3'!$A$2:$A$455,0)))="","NO REGISTRADO",IF(IF(COUNTIFS('RQ3'!$A$2:$A$455,$A432,'RQ3'!$P$2:$P$455,"")&gt;0,"",INDEX('RQ3'!$P$2:$P$455,MATCH($A432,'RQ3'!$A$2:$A$455,0)))=1,"MARCA ACTIVA","SIN MARCA"))</f>
        <v/>
      </c>
      <c r="G432" s="4">
        <f>IF(IF(COUNTIFS('ESTUDIOS'!$A$2:$A$455,$A432,'ESTUDIOS'!$N$2:$N$455,"")&gt;0,"",INDEX('ESTUDIOS'!$N$2:$N$455,MATCH($A432,'ESTUDIOS'!$A$2:$A$455,0)))="Verified","DOCUMENTADA","NO DOCUMENTADA")</f>
        <v/>
      </c>
      <c r="H432" s="4">
        <f>IF(D432="PENDIENTE","Leer evidencia ya extraída; registrar uso propuesto o evaluado, función, fuente y revisor en RQ2.","Comprobar evidencia y cautelas registradas; documentar verificación sin recodificar lo ya respaldado.")</f>
        <v/>
      </c>
      <c r="I432" s="4" t="inlineStr">
        <is>
          <t>https://doi.org/10.1007/s11571-024-10202-0</t>
        </is>
      </c>
    </row>
    <row r="433" ht="64" customHeight="1">
      <c r="A433" s="4" t="inlineStr">
        <is>
          <t>new_387</t>
        </is>
      </c>
      <c r="B433" s="4" t="inlineStr">
        <is>
          <t>Predicting pragmatic language abilities from brain structural MRI in preschool children with ASD by NBS-Predict</t>
        </is>
      </c>
      <c r="C433" s="4">
        <f>IF(IF(COUNTIFS('ESTUDIOS'!$A$2:$A$455,$A433,'ESTUDIOS'!$I$2:$I$455,"")&gt;0,"",INDEX('ESTUDIOS'!$I$2:$I$455,MATCH($A433,'ESTUDIOS'!$A$2:$A$455,0)))=1,"1 - Integrity",IF(OR(IF(COUNTIFS('RQ2'!$A$2:$A$455,$A433,'RQ2'!$D$2:$D$455,"")&gt;0,"",INDEX('RQ2'!$D$2:$D$455,MATCH($A433,'RQ2'!$A$2:$A$455,0)))="",IF(COUNTIFS('RQ2'!$A$2:$A$455,$A433,'RQ2'!$E$2:$E$455,"")&gt;0,"",INDEX('RQ2'!$E$2:$E$455,MATCH($A433,'RQ2'!$A$2:$A$455,0)))=""),"2 - RQ2 historical","3 - Verify recorded evidence"))</f>
        <v/>
      </c>
      <c r="D433" s="4">
        <f>IF(OR(IF(COUNTIFS('RQ2'!$A$2:$A$455,$A433,'RQ2'!$D$2:$D$455,"")&gt;0,"",INDEX('RQ2'!$D$2:$D$455,MATCH($A433,'RQ2'!$A$2:$A$455,0)))="",IF(COUNTIFS('RQ2'!$A$2:$A$455,$A433,'RQ2'!$E$2:$E$455,"")&gt;0,"",INDEX('RQ2'!$E$2:$E$455,MATCH($A433,'RQ2'!$A$2:$A$455,0)))=""),"PENDIENTE","REGISTRADA")</f>
        <v/>
      </c>
      <c r="E433" s="4">
        <f>IF(IF(COUNTIFS('RQ1'!$A$2:$A$455,$A433,'RQ1'!$N$2:$N$455,"")&gt;0,"",INDEX('RQ1'!$N$2:$N$455,MATCH($A433,'RQ1'!$A$2:$A$455,0)))=1,"REVISAR DETALLE","REGISTRADA")</f>
        <v/>
      </c>
      <c r="F433" s="4">
        <f>IF(IF(COUNTIFS('RQ3'!$A$2:$A$455,$A433,'RQ3'!$P$2:$P$455,"")&gt;0,"",INDEX('RQ3'!$P$2:$P$455,MATCH($A433,'RQ3'!$A$2:$A$455,0)))="","NO REGISTRADO",IF(IF(COUNTIFS('RQ3'!$A$2:$A$455,$A433,'RQ3'!$P$2:$P$455,"")&gt;0,"",INDEX('RQ3'!$P$2:$P$455,MATCH($A433,'RQ3'!$A$2:$A$455,0)))=1,"MARCA ACTIVA","SIN MARCA"))</f>
        <v/>
      </c>
      <c r="G433" s="4">
        <f>IF(IF(COUNTIFS('ESTUDIOS'!$A$2:$A$455,$A433,'ESTUDIOS'!$N$2:$N$455,"")&gt;0,"",INDEX('ESTUDIOS'!$N$2:$N$455,MATCH($A433,'ESTUDIOS'!$A$2:$A$455,0)))="Verified","DOCUMENTADA","NO DOCUMENTADA")</f>
        <v/>
      </c>
      <c r="H433" s="4">
        <f>IF(D433="PENDIENTE","Leer evidencia ya extraída; registrar uso propuesto o evaluado, función, fuente y revisor en RQ2.","Comprobar evidencia y cautelas registradas; documentar verificación sin recodificar lo ya respaldado.")</f>
        <v/>
      </c>
      <c r="I433" s="4" t="inlineStr">
        <is>
          <t>https://doi.org/10.1007/s00787-025-02775-w</t>
        </is>
      </c>
    </row>
    <row r="434" ht="64" customHeight="1">
      <c r="A434" s="4" t="inlineStr">
        <is>
          <t>new_391</t>
        </is>
      </c>
      <c r="B434" s="4" t="inlineStr">
        <is>
          <t>Cell death-associated genes as novel diagnostic biomarkers for autism spectrum disorder</t>
        </is>
      </c>
      <c r="C434" s="4">
        <f>IF(IF(COUNTIFS('ESTUDIOS'!$A$2:$A$455,$A434,'ESTUDIOS'!$I$2:$I$455,"")&gt;0,"",INDEX('ESTUDIOS'!$I$2:$I$455,MATCH($A434,'ESTUDIOS'!$A$2:$A$455,0)))=1,"1 - Integrity",IF(OR(IF(COUNTIFS('RQ2'!$A$2:$A$455,$A434,'RQ2'!$D$2:$D$455,"")&gt;0,"",INDEX('RQ2'!$D$2:$D$455,MATCH($A434,'RQ2'!$A$2:$A$455,0)))="",IF(COUNTIFS('RQ2'!$A$2:$A$455,$A434,'RQ2'!$E$2:$E$455,"")&gt;0,"",INDEX('RQ2'!$E$2:$E$455,MATCH($A434,'RQ2'!$A$2:$A$455,0)))=""),"2 - RQ2 historical","3 - Verify recorded evidence"))</f>
        <v/>
      </c>
      <c r="D434" s="4">
        <f>IF(OR(IF(COUNTIFS('RQ2'!$A$2:$A$455,$A434,'RQ2'!$D$2:$D$455,"")&gt;0,"",INDEX('RQ2'!$D$2:$D$455,MATCH($A434,'RQ2'!$A$2:$A$455,0)))="",IF(COUNTIFS('RQ2'!$A$2:$A$455,$A434,'RQ2'!$E$2:$E$455,"")&gt;0,"",INDEX('RQ2'!$E$2:$E$455,MATCH($A434,'RQ2'!$A$2:$A$455,0)))=""),"PENDIENTE","REGISTRADA")</f>
        <v/>
      </c>
      <c r="E434" s="4">
        <f>IF(IF(COUNTIFS('RQ1'!$A$2:$A$455,$A434,'RQ1'!$N$2:$N$455,"")&gt;0,"",INDEX('RQ1'!$N$2:$N$455,MATCH($A434,'RQ1'!$A$2:$A$455,0)))=1,"REVISAR DETALLE","REGISTRADA")</f>
        <v/>
      </c>
      <c r="F434" s="4">
        <f>IF(IF(COUNTIFS('RQ3'!$A$2:$A$455,$A434,'RQ3'!$P$2:$P$455,"")&gt;0,"",INDEX('RQ3'!$P$2:$P$455,MATCH($A434,'RQ3'!$A$2:$A$455,0)))="","NO REGISTRADO",IF(IF(COUNTIFS('RQ3'!$A$2:$A$455,$A434,'RQ3'!$P$2:$P$455,"")&gt;0,"",INDEX('RQ3'!$P$2:$P$455,MATCH($A434,'RQ3'!$A$2:$A$455,0)))=1,"MARCA ACTIVA","SIN MARCA"))</f>
        <v/>
      </c>
      <c r="G434" s="4">
        <f>IF(IF(COUNTIFS('ESTUDIOS'!$A$2:$A$455,$A434,'ESTUDIOS'!$N$2:$N$455,"")&gt;0,"",INDEX('ESTUDIOS'!$N$2:$N$455,MATCH($A434,'ESTUDIOS'!$A$2:$A$455,0)))="Verified","DOCUMENTADA","NO DOCUMENTADA")</f>
        <v/>
      </c>
      <c r="H434" s="4">
        <f>IF(D434="PENDIENTE","Leer evidencia ya extraída; registrar uso propuesto o evaluado, función, fuente y revisor en RQ2.","Comprobar evidencia y cautelas registradas; documentar verificación sin recodificar lo ya respaldado.")</f>
        <v/>
      </c>
      <c r="I434" s="4" t="inlineStr">
        <is>
          <t>https://doi.org/10.1007/s10495-025-02201-1</t>
        </is>
      </c>
    </row>
    <row r="435" ht="64" customHeight="1">
      <c r="A435" s="4" t="inlineStr">
        <is>
          <t>new_393</t>
        </is>
      </c>
      <c r="B435" s="4" t="inlineStr">
        <is>
          <t>Integrating explainable AI with machine learning for reliable autism spectrum disorder diagnosis</t>
        </is>
      </c>
      <c r="C435" s="4">
        <f>IF(IF(COUNTIFS('ESTUDIOS'!$A$2:$A$455,$A435,'ESTUDIOS'!$I$2:$I$455,"")&gt;0,"",INDEX('ESTUDIOS'!$I$2:$I$455,MATCH($A435,'ESTUDIOS'!$A$2:$A$455,0)))=1,"1 - Integrity",IF(OR(IF(COUNTIFS('RQ2'!$A$2:$A$455,$A435,'RQ2'!$D$2:$D$455,"")&gt;0,"",INDEX('RQ2'!$D$2:$D$455,MATCH($A435,'RQ2'!$A$2:$A$455,0)))="",IF(COUNTIFS('RQ2'!$A$2:$A$455,$A435,'RQ2'!$E$2:$E$455,"")&gt;0,"",INDEX('RQ2'!$E$2:$E$455,MATCH($A435,'RQ2'!$A$2:$A$455,0)))=""),"2 - RQ2 historical","3 - Verify recorded evidence"))</f>
        <v/>
      </c>
      <c r="D435" s="4">
        <f>IF(OR(IF(COUNTIFS('RQ2'!$A$2:$A$455,$A435,'RQ2'!$D$2:$D$455,"")&gt;0,"",INDEX('RQ2'!$D$2:$D$455,MATCH($A435,'RQ2'!$A$2:$A$455,0)))="",IF(COUNTIFS('RQ2'!$A$2:$A$455,$A435,'RQ2'!$E$2:$E$455,"")&gt;0,"",INDEX('RQ2'!$E$2:$E$455,MATCH($A435,'RQ2'!$A$2:$A$455,0)))=""),"PENDIENTE","REGISTRADA")</f>
        <v/>
      </c>
      <c r="E435" s="4">
        <f>IF(IF(COUNTIFS('RQ1'!$A$2:$A$455,$A435,'RQ1'!$N$2:$N$455,"")&gt;0,"",INDEX('RQ1'!$N$2:$N$455,MATCH($A435,'RQ1'!$A$2:$A$455,0)))=1,"REVISAR DETALLE","REGISTRADA")</f>
        <v/>
      </c>
      <c r="F435" s="4">
        <f>IF(IF(COUNTIFS('RQ3'!$A$2:$A$455,$A435,'RQ3'!$P$2:$P$455,"")&gt;0,"",INDEX('RQ3'!$P$2:$P$455,MATCH($A435,'RQ3'!$A$2:$A$455,0)))="","NO REGISTRADO",IF(IF(COUNTIFS('RQ3'!$A$2:$A$455,$A435,'RQ3'!$P$2:$P$455,"")&gt;0,"",INDEX('RQ3'!$P$2:$P$455,MATCH($A435,'RQ3'!$A$2:$A$455,0)))=1,"MARCA ACTIVA","SIN MARCA"))</f>
        <v/>
      </c>
      <c r="G435" s="4">
        <f>IF(IF(COUNTIFS('ESTUDIOS'!$A$2:$A$455,$A435,'ESTUDIOS'!$N$2:$N$455,"")&gt;0,"",INDEX('ESTUDIOS'!$N$2:$N$455,MATCH($A435,'ESTUDIOS'!$A$2:$A$455,0)))="Verified","DOCUMENTADA","NO DOCUMENTADA")</f>
        <v/>
      </c>
      <c r="H435" s="4">
        <f>IF(D435="PENDIENTE","Leer evidencia ya extraída; registrar uso propuesto o evaluado, función, fuente y revisor en RQ2.","Comprobar evidencia y cautelas registradas; documentar verificación sin recodificar lo ya respaldado.")</f>
        <v/>
      </c>
      <c r="I435" s="4" t="inlineStr">
        <is>
          <t>https://doi.org/10.1007/s42454-025-00087-7</t>
        </is>
      </c>
    </row>
    <row r="436" ht="64" customHeight="1">
      <c r="A436" s="4" t="inlineStr">
        <is>
          <t>new_398</t>
        </is>
      </c>
      <c r="B436" s="4" t="inlineStr">
        <is>
          <t>Diagnostic Classification of Autism Spectrum Disorder Using SD Maps of fMRI Data and Machine Learning</t>
        </is>
      </c>
      <c r="C436" s="4">
        <f>IF(IF(COUNTIFS('ESTUDIOS'!$A$2:$A$455,$A436,'ESTUDIOS'!$I$2:$I$455,"")&gt;0,"",INDEX('ESTUDIOS'!$I$2:$I$455,MATCH($A436,'ESTUDIOS'!$A$2:$A$455,0)))=1,"1 - Integrity",IF(OR(IF(COUNTIFS('RQ2'!$A$2:$A$455,$A436,'RQ2'!$D$2:$D$455,"")&gt;0,"",INDEX('RQ2'!$D$2:$D$455,MATCH($A436,'RQ2'!$A$2:$A$455,0)))="",IF(COUNTIFS('RQ2'!$A$2:$A$455,$A436,'RQ2'!$E$2:$E$455,"")&gt;0,"",INDEX('RQ2'!$E$2:$E$455,MATCH($A436,'RQ2'!$A$2:$A$455,0)))=""),"2 - RQ2 historical","3 - Verify recorded evidence"))</f>
        <v/>
      </c>
      <c r="D436" s="4">
        <f>IF(OR(IF(COUNTIFS('RQ2'!$A$2:$A$455,$A436,'RQ2'!$D$2:$D$455,"")&gt;0,"",INDEX('RQ2'!$D$2:$D$455,MATCH($A436,'RQ2'!$A$2:$A$455,0)))="",IF(COUNTIFS('RQ2'!$A$2:$A$455,$A436,'RQ2'!$E$2:$E$455,"")&gt;0,"",INDEX('RQ2'!$E$2:$E$455,MATCH($A436,'RQ2'!$A$2:$A$455,0)))=""),"PENDIENTE","REGISTRADA")</f>
        <v/>
      </c>
      <c r="E436" s="4">
        <f>IF(IF(COUNTIFS('RQ1'!$A$2:$A$455,$A436,'RQ1'!$N$2:$N$455,"")&gt;0,"",INDEX('RQ1'!$N$2:$N$455,MATCH($A436,'RQ1'!$A$2:$A$455,0)))=1,"REVISAR DETALLE","REGISTRADA")</f>
        <v/>
      </c>
      <c r="F436" s="4">
        <f>IF(IF(COUNTIFS('RQ3'!$A$2:$A$455,$A436,'RQ3'!$P$2:$P$455,"")&gt;0,"",INDEX('RQ3'!$P$2:$P$455,MATCH($A436,'RQ3'!$A$2:$A$455,0)))="","NO REGISTRADO",IF(IF(COUNTIFS('RQ3'!$A$2:$A$455,$A436,'RQ3'!$P$2:$P$455,"")&gt;0,"",INDEX('RQ3'!$P$2:$P$455,MATCH($A436,'RQ3'!$A$2:$A$455,0)))=1,"MARCA ACTIVA","SIN MARCA"))</f>
        <v/>
      </c>
      <c r="G436" s="4">
        <f>IF(IF(COUNTIFS('ESTUDIOS'!$A$2:$A$455,$A436,'ESTUDIOS'!$N$2:$N$455,"")&gt;0,"",INDEX('ESTUDIOS'!$N$2:$N$455,MATCH($A436,'ESTUDIOS'!$A$2:$A$455,0)))="Verified","DOCUMENTADA","NO DOCUMENTADA")</f>
        <v/>
      </c>
      <c r="H436" s="4">
        <f>IF(D436="PENDIENTE","Leer evidencia ya extraída; registrar uso propuesto o evaluado, función, fuente y revisor en RQ2.","Comprobar evidencia y cautelas registradas; documentar verificación sin recodificar lo ya respaldado.")</f>
        <v/>
      </c>
      <c r="I436" s="4" t="inlineStr">
        <is>
          <t>https://doi.org/10.1007/s40846-026-01044-8</t>
        </is>
      </c>
    </row>
    <row r="437" ht="64" customHeight="1">
      <c r="A437" s="4" t="inlineStr">
        <is>
          <t>new_5</t>
        </is>
      </c>
      <c r="B437" s="4" t="inlineStr">
        <is>
          <t>An exploration of machine learning approaches for early Autism Spectrum Disorder detection</t>
        </is>
      </c>
      <c r="C437" s="4">
        <f>IF(IF(COUNTIFS('ESTUDIOS'!$A$2:$A$455,$A437,'ESTUDIOS'!$I$2:$I$455,"")&gt;0,"",INDEX('ESTUDIOS'!$I$2:$I$455,MATCH($A437,'ESTUDIOS'!$A$2:$A$455,0)))=1,"1 - Integrity",IF(OR(IF(COUNTIFS('RQ2'!$A$2:$A$455,$A437,'RQ2'!$D$2:$D$455,"")&gt;0,"",INDEX('RQ2'!$D$2:$D$455,MATCH($A437,'RQ2'!$A$2:$A$455,0)))="",IF(COUNTIFS('RQ2'!$A$2:$A$455,$A437,'RQ2'!$E$2:$E$455,"")&gt;0,"",INDEX('RQ2'!$E$2:$E$455,MATCH($A437,'RQ2'!$A$2:$A$455,0)))=""),"2 - RQ2 historical","3 - Verify recorded evidence"))</f>
        <v/>
      </c>
      <c r="D437" s="4">
        <f>IF(OR(IF(COUNTIFS('RQ2'!$A$2:$A$455,$A437,'RQ2'!$D$2:$D$455,"")&gt;0,"",INDEX('RQ2'!$D$2:$D$455,MATCH($A437,'RQ2'!$A$2:$A$455,0)))="",IF(COUNTIFS('RQ2'!$A$2:$A$455,$A437,'RQ2'!$E$2:$E$455,"")&gt;0,"",INDEX('RQ2'!$E$2:$E$455,MATCH($A437,'RQ2'!$A$2:$A$455,0)))=""),"PENDIENTE","REGISTRADA")</f>
        <v/>
      </c>
      <c r="E437" s="4">
        <f>IF(IF(COUNTIFS('RQ1'!$A$2:$A$455,$A437,'RQ1'!$N$2:$N$455,"")&gt;0,"",INDEX('RQ1'!$N$2:$N$455,MATCH($A437,'RQ1'!$A$2:$A$455,0)))=1,"REVISAR DETALLE","REGISTRADA")</f>
        <v/>
      </c>
      <c r="F437" s="4">
        <f>IF(IF(COUNTIFS('RQ3'!$A$2:$A$455,$A437,'RQ3'!$P$2:$P$455,"")&gt;0,"",INDEX('RQ3'!$P$2:$P$455,MATCH($A437,'RQ3'!$A$2:$A$455,0)))="","NO REGISTRADO",IF(IF(COUNTIFS('RQ3'!$A$2:$A$455,$A437,'RQ3'!$P$2:$P$455,"")&gt;0,"",INDEX('RQ3'!$P$2:$P$455,MATCH($A437,'RQ3'!$A$2:$A$455,0)))=1,"MARCA ACTIVA","SIN MARCA"))</f>
        <v/>
      </c>
      <c r="G437" s="4">
        <f>IF(IF(COUNTIFS('ESTUDIOS'!$A$2:$A$455,$A437,'ESTUDIOS'!$N$2:$N$455,"")&gt;0,"",INDEX('ESTUDIOS'!$N$2:$N$455,MATCH($A437,'ESTUDIOS'!$A$2:$A$455,0)))="Verified","DOCUMENTADA","NO DOCUMENTADA")</f>
        <v/>
      </c>
      <c r="H437" s="4">
        <f>IF(D437="PENDIENTE","Leer evidencia ya extraída; registrar uso propuesto o evaluado, función, fuente y revisor en RQ2.","Comprobar evidencia y cautelas registradas; documentar verificación sin recodificar lo ya respaldado.")</f>
        <v/>
      </c>
      <c r="I437" s="4" t="inlineStr">
        <is>
          <t>https://doi.org/10.1016/j.health.2024.100379</t>
        </is>
      </c>
    </row>
    <row r="438" ht="64" customHeight="1">
      <c r="A438" s="4" t="inlineStr">
        <is>
          <t>new_11</t>
        </is>
      </c>
      <c r="B438" s="4" t="inlineStr">
        <is>
          <t>Ensembler_fMRI: An Intelligent Approach for the Early Prediction of Autism Disorder</t>
        </is>
      </c>
      <c r="C438" s="4">
        <f>IF(IF(COUNTIFS('ESTUDIOS'!$A$2:$A$455,$A438,'ESTUDIOS'!$I$2:$I$455,"")&gt;0,"",INDEX('ESTUDIOS'!$I$2:$I$455,MATCH($A438,'ESTUDIOS'!$A$2:$A$455,0)))=1,"1 - Integrity",IF(OR(IF(COUNTIFS('RQ2'!$A$2:$A$455,$A438,'RQ2'!$D$2:$D$455,"")&gt;0,"",INDEX('RQ2'!$D$2:$D$455,MATCH($A438,'RQ2'!$A$2:$A$455,0)))="",IF(COUNTIFS('RQ2'!$A$2:$A$455,$A438,'RQ2'!$E$2:$E$455,"")&gt;0,"",INDEX('RQ2'!$E$2:$E$455,MATCH($A438,'RQ2'!$A$2:$A$455,0)))=""),"2 - RQ2 historical","3 - Verify recorded evidence"))</f>
        <v/>
      </c>
      <c r="D438" s="4">
        <f>IF(OR(IF(COUNTIFS('RQ2'!$A$2:$A$455,$A438,'RQ2'!$D$2:$D$455,"")&gt;0,"",INDEX('RQ2'!$D$2:$D$455,MATCH($A438,'RQ2'!$A$2:$A$455,0)))="",IF(COUNTIFS('RQ2'!$A$2:$A$455,$A438,'RQ2'!$E$2:$E$455,"")&gt;0,"",INDEX('RQ2'!$E$2:$E$455,MATCH($A438,'RQ2'!$A$2:$A$455,0)))=""),"PENDIENTE","REGISTRADA")</f>
        <v/>
      </c>
      <c r="E438" s="4">
        <f>IF(IF(COUNTIFS('RQ1'!$A$2:$A$455,$A438,'RQ1'!$N$2:$N$455,"")&gt;0,"",INDEX('RQ1'!$N$2:$N$455,MATCH($A438,'RQ1'!$A$2:$A$455,0)))=1,"REVISAR DETALLE","REGISTRADA")</f>
        <v/>
      </c>
      <c r="F438" s="4">
        <f>IF(IF(COUNTIFS('RQ3'!$A$2:$A$455,$A438,'RQ3'!$P$2:$P$455,"")&gt;0,"",INDEX('RQ3'!$P$2:$P$455,MATCH($A438,'RQ3'!$A$2:$A$455,0)))="","NO REGISTRADO",IF(IF(COUNTIFS('RQ3'!$A$2:$A$455,$A438,'RQ3'!$P$2:$P$455,"")&gt;0,"",INDEX('RQ3'!$P$2:$P$455,MATCH($A438,'RQ3'!$A$2:$A$455,0)))=1,"MARCA ACTIVA","SIN MARCA"))</f>
        <v/>
      </c>
      <c r="G438" s="4">
        <f>IF(IF(COUNTIFS('ESTUDIOS'!$A$2:$A$455,$A438,'ESTUDIOS'!$N$2:$N$455,"")&gt;0,"",INDEX('ESTUDIOS'!$N$2:$N$455,MATCH($A438,'ESTUDIOS'!$A$2:$A$455,0)))="Verified","DOCUMENTADA","NO DOCUMENTADA")</f>
        <v/>
      </c>
      <c r="H438" s="4">
        <f>IF(D438="PENDIENTE","Leer evidencia ya extraída; registrar uso propuesto o evaluado, función, fuente y revisor en RQ2.","Comprobar evidencia y cautelas registradas; documentar verificación sin recodificar lo ya respaldado.")</f>
        <v/>
      </c>
      <c r="I438" s="4" t="inlineStr">
        <is>
          <t>https://doi.org/10.1016/j.procs.2025.04.142</t>
        </is>
      </c>
    </row>
    <row r="439" ht="64" customHeight="1">
      <c r="A439" s="4" t="inlineStr">
        <is>
          <t>new_16</t>
        </is>
      </c>
      <c r="B439" s="4" t="inlineStr">
        <is>
          <t>Unraveling pathogenesis and potential biomarkers for autism spectrum disorder associated with HIF1A pathway based on machine learning and experiment validation</t>
        </is>
      </c>
      <c r="C439" s="4">
        <f>IF(IF(COUNTIFS('ESTUDIOS'!$A$2:$A$455,$A439,'ESTUDIOS'!$I$2:$I$455,"")&gt;0,"",INDEX('ESTUDIOS'!$I$2:$I$455,MATCH($A439,'ESTUDIOS'!$A$2:$A$455,0)))=1,"1 - Integrity",IF(OR(IF(COUNTIFS('RQ2'!$A$2:$A$455,$A439,'RQ2'!$D$2:$D$455,"")&gt;0,"",INDEX('RQ2'!$D$2:$D$455,MATCH($A439,'RQ2'!$A$2:$A$455,0)))="",IF(COUNTIFS('RQ2'!$A$2:$A$455,$A439,'RQ2'!$E$2:$E$455,"")&gt;0,"",INDEX('RQ2'!$E$2:$E$455,MATCH($A439,'RQ2'!$A$2:$A$455,0)))=""),"2 - RQ2 historical","3 - Verify recorded evidence"))</f>
        <v/>
      </c>
      <c r="D439" s="4">
        <f>IF(OR(IF(COUNTIFS('RQ2'!$A$2:$A$455,$A439,'RQ2'!$D$2:$D$455,"")&gt;0,"",INDEX('RQ2'!$D$2:$D$455,MATCH($A439,'RQ2'!$A$2:$A$455,0)))="",IF(COUNTIFS('RQ2'!$A$2:$A$455,$A439,'RQ2'!$E$2:$E$455,"")&gt;0,"",INDEX('RQ2'!$E$2:$E$455,MATCH($A439,'RQ2'!$A$2:$A$455,0)))=""),"PENDIENTE","REGISTRADA")</f>
        <v/>
      </c>
      <c r="E439" s="4">
        <f>IF(IF(COUNTIFS('RQ1'!$A$2:$A$455,$A439,'RQ1'!$N$2:$N$455,"")&gt;0,"",INDEX('RQ1'!$N$2:$N$455,MATCH($A439,'RQ1'!$A$2:$A$455,0)))=1,"REVISAR DETALLE","REGISTRADA")</f>
        <v/>
      </c>
      <c r="F439" s="4">
        <f>IF(IF(COUNTIFS('RQ3'!$A$2:$A$455,$A439,'RQ3'!$P$2:$P$455,"")&gt;0,"",INDEX('RQ3'!$P$2:$P$455,MATCH($A439,'RQ3'!$A$2:$A$455,0)))="","NO REGISTRADO",IF(IF(COUNTIFS('RQ3'!$A$2:$A$455,$A439,'RQ3'!$P$2:$P$455,"")&gt;0,"",INDEX('RQ3'!$P$2:$P$455,MATCH($A439,'RQ3'!$A$2:$A$455,0)))=1,"MARCA ACTIVA","SIN MARCA"))</f>
        <v/>
      </c>
      <c r="G439" s="4">
        <f>IF(IF(COUNTIFS('ESTUDIOS'!$A$2:$A$455,$A439,'ESTUDIOS'!$N$2:$N$455,"")&gt;0,"",INDEX('ESTUDIOS'!$N$2:$N$455,MATCH($A439,'ESTUDIOS'!$A$2:$A$455,0)))="Verified","DOCUMENTADA","NO DOCUMENTADA")</f>
        <v/>
      </c>
      <c r="H439" s="4">
        <f>IF(D439="PENDIENTE","Leer evidencia ya extraída; registrar uso propuesto o evaluado, función, fuente y revisor en RQ2.","Comprobar evidencia y cautelas registradas; documentar verificación sin recodificar lo ya respaldado.")</f>
        <v/>
      </c>
      <c r="I439" s="4" t="inlineStr">
        <is>
          <t>https://doi.org/10.1016/j.nbd.2024.106763</t>
        </is>
      </c>
    </row>
    <row r="440" ht="64" customHeight="1">
      <c r="A440" s="4" t="inlineStr">
        <is>
          <t>new_27</t>
        </is>
      </c>
      <c r="B440" s="4" t="inlineStr">
        <is>
          <t>Developing a simplified measure to predict the risk of autism spectrum disorders: Abbreviating the M-CHAT-R using a machine learning approach in China</t>
        </is>
      </c>
      <c r="C440" s="4">
        <f>IF(IF(COUNTIFS('ESTUDIOS'!$A$2:$A$455,$A440,'ESTUDIOS'!$I$2:$I$455,"")&gt;0,"",INDEX('ESTUDIOS'!$I$2:$I$455,MATCH($A440,'ESTUDIOS'!$A$2:$A$455,0)))=1,"1 - Integrity",IF(OR(IF(COUNTIFS('RQ2'!$A$2:$A$455,$A440,'RQ2'!$D$2:$D$455,"")&gt;0,"",INDEX('RQ2'!$D$2:$D$455,MATCH($A440,'RQ2'!$A$2:$A$455,0)))="",IF(COUNTIFS('RQ2'!$A$2:$A$455,$A440,'RQ2'!$E$2:$E$455,"")&gt;0,"",INDEX('RQ2'!$E$2:$E$455,MATCH($A440,'RQ2'!$A$2:$A$455,0)))=""),"2 - RQ2 historical","3 - Verify recorded evidence"))</f>
        <v/>
      </c>
      <c r="D440" s="4">
        <f>IF(OR(IF(COUNTIFS('RQ2'!$A$2:$A$455,$A440,'RQ2'!$D$2:$D$455,"")&gt;0,"",INDEX('RQ2'!$D$2:$D$455,MATCH($A440,'RQ2'!$A$2:$A$455,0)))="",IF(COUNTIFS('RQ2'!$A$2:$A$455,$A440,'RQ2'!$E$2:$E$455,"")&gt;0,"",INDEX('RQ2'!$E$2:$E$455,MATCH($A440,'RQ2'!$A$2:$A$455,0)))=""),"PENDIENTE","REGISTRADA")</f>
        <v/>
      </c>
      <c r="E440" s="4">
        <f>IF(IF(COUNTIFS('RQ1'!$A$2:$A$455,$A440,'RQ1'!$N$2:$N$455,"")&gt;0,"",INDEX('RQ1'!$N$2:$N$455,MATCH($A440,'RQ1'!$A$2:$A$455,0)))=1,"REVISAR DETALLE","REGISTRADA")</f>
        <v/>
      </c>
      <c r="F440" s="4">
        <f>IF(IF(COUNTIFS('RQ3'!$A$2:$A$455,$A440,'RQ3'!$P$2:$P$455,"")&gt;0,"",INDEX('RQ3'!$P$2:$P$455,MATCH($A440,'RQ3'!$A$2:$A$455,0)))="","NO REGISTRADO",IF(IF(COUNTIFS('RQ3'!$A$2:$A$455,$A440,'RQ3'!$P$2:$P$455,"")&gt;0,"",INDEX('RQ3'!$P$2:$P$455,MATCH($A440,'RQ3'!$A$2:$A$455,0)))=1,"MARCA ACTIVA","SIN MARCA"))</f>
        <v/>
      </c>
      <c r="G440" s="4">
        <f>IF(IF(COUNTIFS('ESTUDIOS'!$A$2:$A$455,$A440,'ESTUDIOS'!$N$2:$N$455,"")&gt;0,"",INDEX('ESTUDIOS'!$N$2:$N$455,MATCH($A440,'ESTUDIOS'!$A$2:$A$455,0)))="Verified","DOCUMENTADA","NO DOCUMENTADA")</f>
        <v/>
      </c>
      <c r="H440" s="4">
        <f>IF(D440="PENDIENTE","Leer evidencia ya extraída; registrar uso propuesto o evaluado, función, fuente y revisor en RQ2.","Comprobar evidencia y cautelas registradas; documentar verificación sin recodificar lo ya respaldado.")</f>
        <v/>
      </c>
      <c r="I440" s="4" t="inlineStr">
        <is>
          <t>https://doi.org/10.1016/j.psychres.2025.116353</t>
        </is>
      </c>
    </row>
    <row r="441" ht="64" customHeight="1">
      <c r="A441" s="4" t="inlineStr">
        <is>
          <t>new_31</t>
        </is>
      </c>
      <c r="B441" s="4" t="inlineStr">
        <is>
          <t>Replication of rs10099100 Association with Autism Spectrum Disorder Risk in a Polish‐Origin Cohort</t>
        </is>
      </c>
      <c r="C441" s="4">
        <f>IF(IF(COUNTIFS('ESTUDIOS'!$A$2:$A$455,$A441,'ESTUDIOS'!$I$2:$I$455,"")&gt;0,"",INDEX('ESTUDIOS'!$I$2:$I$455,MATCH($A441,'ESTUDIOS'!$A$2:$A$455,0)))=1,"1 - Integrity",IF(OR(IF(COUNTIFS('RQ2'!$A$2:$A$455,$A441,'RQ2'!$D$2:$D$455,"")&gt;0,"",INDEX('RQ2'!$D$2:$D$455,MATCH($A441,'RQ2'!$A$2:$A$455,0)))="",IF(COUNTIFS('RQ2'!$A$2:$A$455,$A441,'RQ2'!$E$2:$E$455,"")&gt;0,"",INDEX('RQ2'!$E$2:$E$455,MATCH($A441,'RQ2'!$A$2:$A$455,0)))=""),"2 - RQ2 historical","3 - Verify recorded evidence"))</f>
        <v/>
      </c>
      <c r="D441" s="4">
        <f>IF(OR(IF(COUNTIFS('RQ2'!$A$2:$A$455,$A441,'RQ2'!$D$2:$D$455,"")&gt;0,"",INDEX('RQ2'!$D$2:$D$455,MATCH($A441,'RQ2'!$A$2:$A$455,0)))="",IF(COUNTIFS('RQ2'!$A$2:$A$455,$A441,'RQ2'!$E$2:$E$455,"")&gt;0,"",INDEX('RQ2'!$E$2:$E$455,MATCH($A441,'RQ2'!$A$2:$A$455,0)))=""),"PENDIENTE","REGISTRADA")</f>
        <v/>
      </c>
      <c r="E441" s="4">
        <f>IF(IF(COUNTIFS('RQ1'!$A$2:$A$455,$A441,'RQ1'!$N$2:$N$455,"")&gt;0,"",INDEX('RQ1'!$N$2:$N$455,MATCH($A441,'RQ1'!$A$2:$A$455,0)))=1,"REVISAR DETALLE","REGISTRADA")</f>
        <v/>
      </c>
      <c r="F441" s="4">
        <f>IF(IF(COUNTIFS('RQ3'!$A$2:$A$455,$A441,'RQ3'!$P$2:$P$455,"")&gt;0,"",INDEX('RQ3'!$P$2:$P$455,MATCH($A441,'RQ3'!$A$2:$A$455,0)))="","NO REGISTRADO",IF(IF(COUNTIFS('RQ3'!$A$2:$A$455,$A441,'RQ3'!$P$2:$P$455,"")&gt;0,"",INDEX('RQ3'!$P$2:$P$455,MATCH($A441,'RQ3'!$A$2:$A$455,0)))=1,"MARCA ACTIVA","SIN MARCA"))</f>
        <v/>
      </c>
      <c r="G441" s="4">
        <f>IF(IF(COUNTIFS('ESTUDIOS'!$A$2:$A$455,$A441,'ESTUDIOS'!$N$2:$N$455,"")&gt;0,"",INDEX('ESTUDIOS'!$N$2:$N$455,MATCH($A441,'ESTUDIOS'!$A$2:$A$455,0)))="Verified","DOCUMENTADA","NO DOCUMENTADA")</f>
        <v/>
      </c>
      <c r="H441" s="4">
        <f>IF(D441="PENDIENTE","Leer evidencia ya extraída; registrar uso propuesto o evaluado, función, fuente y revisor en RQ2.","Comprobar evidencia y cautelas registradas; documentar verificación sin recodificar lo ya respaldado.")</f>
        <v/>
      </c>
      <c r="I441" s="4" t="inlineStr">
        <is>
          <t>https://doi.org/10.1016/j.reia.2025.202542</t>
        </is>
      </c>
    </row>
    <row r="442" ht="64" customHeight="1">
      <c r="A442" s="4" t="inlineStr">
        <is>
          <t>new_42</t>
        </is>
      </c>
      <c r="B442" s="4" t="inlineStr">
        <is>
          <t>Enhancing Early Diagnosis of Autism Spectrum Disorder Using a Bayesian-Optimized Random Forest Algorithm</t>
        </is>
      </c>
      <c r="C442" s="4">
        <f>IF(IF(COUNTIFS('ESTUDIOS'!$A$2:$A$455,$A442,'ESTUDIOS'!$I$2:$I$455,"")&gt;0,"",INDEX('ESTUDIOS'!$I$2:$I$455,MATCH($A442,'ESTUDIOS'!$A$2:$A$455,0)))=1,"1 - Integrity",IF(OR(IF(COUNTIFS('RQ2'!$A$2:$A$455,$A442,'RQ2'!$D$2:$D$455,"")&gt;0,"",INDEX('RQ2'!$D$2:$D$455,MATCH($A442,'RQ2'!$A$2:$A$455,0)))="",IF(COUNTIFS('RQ2'!$A$2:$A$455,$A442,'RQ2'!$E$2:$E$455,"")&gt;0,"",INDEX('RQ2'!$E$2:$E$455,MATCH($A442,'RQ2'!$A$2:$A$455,0)))=""),"2 - RQ2 historical","3 - Verify recorded evidence"))</f>
        <v/>
      </c>
      <c r="D442" s="4">
        <f>IF(OR(IF(COUNTIFS('RQ2'!$A$2:$A$455,$A442,'RQ2'!$D$2:$D$455,"")&gt;0,"",INDEX('RQ2'!$D$2:$D$455,MATCH($A442,'RQ2'!$A$2:$A$455,0)))="",IF(COUNTIFS('RQ2'!$A$2:$A$455,$A442,'RQ2'!$E$2:$E$455,"")&gt;0,"",INDEX('RQ2'!$E$2:$E$455,MATCH($A442,'RQ2'!$A$2:$A$455,0)))=""),"PENDIENTE","REGISTRADA")</f>
        <v/>
      </c>
      <c r="E442" s="4">
        <f>IF(IF(COUNTIFS('RQ1'!$A$2:$A$455,$A442,'RQ1'!$N$2:$N$455,"")&gt;0,"",INDEX('RQ1'!$N$2:$N$455,MATCH($A442,'RQ1'!$A$2:$A$455,0)))=1,"REVISAR DETALLE","REGISTRADA")</f>
        <v/>
      </c>
      <c r="F442" s="4">
        <f>IF(IF(COUNTIFS('RQ3'!$A$2:$A$455,$A442,'RQ3'!$P$2:$P$455,"")&gt;0,"",INDEX('RQ3'!$P$2:$P$455,MATCH($A442,'RQ3'!$A$2:$A$455,0)))="","NO REGISTRADO",IF(IF(COUNTIFS('RQ3'!$A$2:$A$455,$A442,'RQ3'!$P$2:$P$455,"")&gt;0,"",INDEX('RQ3'!$P$2:$P$455,MATCH($A442,'RQ3'!$A$2:$A$455,0)))=1,"MARCA ACTIVA","SIN MARCA"))</f>
        <v/>
      </c>
      <c r="G442" s="4">
        <f>IF(IF(COUNTIFS('ESTUDIOS'!$A$2:$A$455,$A442,'ESTUDIOS'!$N$2:$N$455,"")&gt;0,"",INDEX('ESTUDIOS'!$N$2:$N$455,MATCH($A442,'ESTUDIOS'!$A$2:$A$455,0)))="Verified","DOCUMENTADA","NO DOCUMENTADA")</f>
        <v/>
      </c>
      <c r="H442" s="4">
        <f>IF(D442="PENDIENTE","Leer evidencia ya extraída; registrar uso propuesto o evaluado, función, fuente y revisor en RQ2.","Comprobar evidencia y cautelas registradas; documentar verificación sin recodificar lo ya respaldado.")</f>
        <v/>
      </c>
      <c r="I442" s="4" t="inlineStr">
        <is>
          <t>https://doi.org/10.1016/j.procs.2025.04.389</t>
        </is>
      </c>
    </row>
    <row r="443" ht="64" customHeight="1">
      <c r="A443" s="4" t="inlineStr">
        <is>
          <t>new_45</t>
        </is>
      </c>
      <c r="B443" s="4" t="inlineStr">
        <is>
          <t>Autism Spectrum Disorder Detection using Attention-Based CNN and ML Classifiers</t>
        </is>
      </c>
      <c r="C443" s="4">
        <f>IF(IF(COUNTIFS('ESTUDIOS'!$A$2:$A$455,$A443,'ESTUDIOS'!$I$2:$I$455,"")&gt;0,"",INDEX('ESTUDIOS'!$I$2:$I$455,MATCH($A443,'ESTUDIOS'!$A$2:$A$455,0)))=1,"1 - Integrity",IF(OR(IF(COUNTIFS('RQ2'!$A$2:$A$455,$A443,'RQ2'!$D$2:$D$455,"")&gt;0,"",INDEX('RQ2'!$D$2:$D$455,MATCH($A443,'RQ2'!$A$2:$A$455,0)))="",IF(COUNTIFS('RQ2'!$A$2:$A$455,$A443,'RQ2'!$E$2:$E$455,"")&gt;0,"",INDEX('RQ2'!$E$2:$E$455,MATCH($A443,'RQ2'!$A$2:$A$455,0)))=""),"2 - RQ2 historical","3 - Verify recorded evidence"))</f>
        <v/>
      </c>
      <c r="D443" s="4">
        <f>IF(OR(IF(COUNTIFS('RQ2'!$A$2:$A$455,$A443,'RQ2'!$D$2:$D$455,"")&gt;0,"",INDEX('RQ2'!$D$2:$D$455,MATCH($A443,'RQ2'!$A$2:$A$455,0)))="",IF(COUNTIFS('RQ2'!$A$2:$A$455,$A443,'RQ2'!$E$2:$E$455,"")&gt;0,"",INDEX('RQ2'!$E$2:$E$455,MATCH($A443,'RQ2'!$A$2:$A$455,0)))=""),"PENDIENTE","REGISTRADA")</f>
        <v/>
      </c>
      <c r="E443" s="4">
        <f>IF(IF(COUNTIFS('RQ1'!$A$2:$A$455,$A443,'RQ1'!$N$2:$N$455,"")&gt;0,"",INDEX('RQ1'!$N$2:$N$455,MATCH($A443,'RQ1'!$A$2:$A$455,0)))=1,"REVISAR DETALLE","REGISTRADA")</f>
        <v/>
      </c>
      <c r="F443" s="4">
        <f>IF(IF(COUNTIFS('RQ3'!$A$2:$A$455,$A443,'RQ3'!$P$2:$P$455,"")&gt;0,"",INDEX('RQ3'!$P$2:$P$455,MATCH($A443,'RQ3'!$A$2:$A$455,0)))="","NO REGISTRADO",IF(IF(COUNTIFS('RQ3'!$A$2:$A$455,$A443,'RQ3'!$P$2:$P$455,"")&gt;0,"",INDEX('RQ3'!$P$2:$P$455,MATCH($A443,'RQ3'!$A$2:$A$455,0)))=1,"MARCA ACTIVA","SIN MARCA"))</f>
        <v/>
      </c>
      <c r="G443" s="4">
        <f>IF(IF(COUNTIFS('ESTUDIOS'!$A$2:$A$455,$A443,'ESTUDIOS'!$N$2:$N$455,"")&gt;0,"",INDEX('ESTUDIOS'!$N$2:$N$455,MATCH($A443,'ESTUDIOS'!$A$2:$A$455,0)))="Verified","DOCUMENTADA","NO DOCUMENTADA")</f>
        <v/>
      </c>
      <c r="H443" s="4">
        <f>IF(D443="PENDIENTE","Leer evidencia ya extraída; registrar uso propuesto o evaluado, función, fuente y revisor en RQ2.","Comprobar evidencia y cautelas registradas; documentar verificación sin recodificar lo ya respaldado.")</f>
        <v/>
      </c>
      <c r="I443" s="4" t="inlineStr">
        <is>
          <t>https://doi.org/10.1016/j.procs.2025.04.671</t>
        </is>
      </c>
    </row>
    <row r="444" ht="64" customHeight="1">
      <c r="A444" s="4" t="inlineStr">
        <is>
          <t>new_56</t>
        </is>
      </c>
      <c r="B444" s="4" t="inlineStr">
        <is>
          <t>Effective AI Techniques for Analyzing Risk Factors in Autism Spectrum Disorder (ASD)</t>
        </is>
      </c>
      <c r="C444" s="4">
        <f>IF(IF(COUNTIFS('ESTUDIOS'!$A$2:$A$455,$A444,'ESTUDIOS'!$I$2:$I$455,"")&gt;0,"",INDEX('ESTUDIOS'!$I$2:$I$455,MATCH($A444,'ESTUDIOS'!$A$2:$A$455,0)))=1,"1 - Integrity",IF(OR(IF(COUNTIFS('RQ2'!$A$2:$A$455,$A444,'RQ2'!$D$2:$D$455,"")&gt;0,"",INDEX('RQ2'!$D$2:$D$455,MATCH($A444,'RQ2'!$A$2:$A$455,0)))="",IF(COUNTIFS('RQ2'!$A$2:$A$455,$A444,'RQ2'!$E$2:$E$455,"")&gt;0,"",INDEX('RQ2'!$E$2:$E$455,MATCH($A444,'RQ2'!$A$2:$A$455,0)))=""),"2 - RQ2 historical","3 - Verify recorded evidence"))</f>
        <v/>
      </c>
      <c r="D444" s="4">
        <f>IF(OR(IF(COUNTIFS('RQ2'!$A$2:$A$455,$A444,'RQ2'!$D$2:$D$455,"")&gt;0,"",INDEX('RQ2'!$D$2:$D$455,MATCH($A444,'RQ2'!$A$2:$A$455,0)))="",IF(COUNTIFS('RQ2'!$A$2:$A$455,$A444,'RQ2'!$E$2:$E$455,"")&gt;0,"",INDEX('RQ2'!$E$2:$E$455,MATCH($A444,'RQ2'!$A$2:$A$455,0)))=""),"PENDIENTE","REGISTRADA")</f>
        <v/>
      </c>
      <c r="E444" s="4">
        <f>IF(IF(COUNTIFS('RQ1'!$A$2:$A$455,$A444,'RQ1'!$N$2:$N$455,"")&gt;0,"",INDEX('RQ1'!$N$2:$N$455,MATCH($A444,'RQ1'!$A$2:$A$455,0)))=1,"REVISAR DETALLE","REGISTRADA")</f>
        <v/>
      </c>
      <c r="F444" s="4">
        <f>IF(IF(COUNTIFS('RQ3'!$A$2:$A$455,$A444,'RQ3'!$P$2:$P$455,"")&gt;0,"",INDEX('RQ3'!$P$2:$P$455,MATCH($A444,'RQ3'!$A$2:$A$455,0)))="","NO REGISTRADO",IF(IF(COUNTIFS('RQ3'!$A$2:$A$455,$A444,'RQ3'!$P$2:$P$455,"")&gt;0,"",INDEX('RQ3'!$P$2:$P$455,MATCH($A444,'RQ3'!$A$2:$A$455,0)))=1,"MARCA ACTIVA","SIN MARCA"))</f>
        <v/>
      </c>
      <c r="G444" s="4">
        <f>IF(IF(COUNTIFS('ESTUDIOS'!$A$2:$A$455,$A444,'ESTUDIOS'!$N$2:$N$455,"")&gt;0,"",INDEX('ESTUDIOS'!$N$2:$N$455,MATCH($A444,'ESTUDIOS'!$A$2:$A$455,0)))="Verified","DOCUMENTADA","NO DOCUMENTADA")</f>
        <v/>
      </c>
      <c r="H444" s="4">
        <f>IF(D444="PENDIENTE","Leer evidencia ya extraída; registrar uso propuesto o evaluado, función, fuente y revisor en RQ2.","Comprobar evidencia y cautelas registradas; documentar verificación sin recodificar lo ya respaldado.")</f>
        <v/>
      </c>
      <c r="I444" s="4" t="inlineStr">
        <is>
          <t>https://doi.org/10.1016/j.procs.2025.10.018</t>
        </is>
      </c>
    </row>
    <row r="445" ht="64" customHeight="1">
      <c r="A445" s="4" t="inlineStr">
        <is>
          <t>new_92</t>
        </is>
      </c>
      <c r="B445" s="4" t="inlineStr">
        <is>
          <t>Data independent acquisition proteomics and machine learning reveals that proteins associated with immunity are potential molecular markers for early diagnosis of autism</t>
        </is>
      </c>
      <c r="C445" s="4">
        <f>IF(IF(COUNTIFS('ESTUDIOS'!$A$2:$A$455,$A445,'ESTUDIOS'!$I$2:$I$455,"")&gt;0,"",INDEX('ESTUDIOS'!$I$2:$I$455,MATCH($A445,'ESTUDIOS'!$A$2:$A$455,0)))=1,"1 - Integrity",IF(OR(IF(COUNTIFS('RQ2'!$A$2:$A$455,$A445,'RQ2'!$D$2:$D$455,"")&gt;0,"",INDEX('RQ2'!$D$2:$D$455,MATCH($A445,'RQ2'!$A$2:$A$455,0)))="",IF(COUNTIFS('RQ2'!$A$2:$A$455,$A445,'RQ2'!$E$2:$E$455,"")&gt;0,"",INDEX('RQ2'!$E$2:$E$455,MATCH($A445,'RQ2'!$A$2:$A$455,0)))=""),"2 - RQ2 historical","3 - Verify recorded evidence"))</f>
        <v/>
      </c>
      <c r="D445" s="4">
        <f>IF(OR(IF(COUNTIFS('RQ2'!$A$2:$A$455,$A445,'RQ2'!$D$2:$D$455,"")&gt;0,"",INDEX('RQ2'!$D$2:$D$455,MATCH($A445,'RQ2'!$A$2:$A$455,0)))="",IF(COUNTIFS('RQ2'!$A$2:$A$455,$A445,'RQ2'!$E$2:$E$455,"")&gt;0,"",INDEX('RQ2'!$E$2:$E$455,MATCH($A445,'RQ2'!$A$2:$A$455,0)))=""),"PENDIENTE","REGISTRADA")</f>
        <v/>
      </c>
      <c r="E445" s="4">
        <f>IF(IF(COUNTIFS('RQ1'!$A$2:$A$455,$A445,'RQ1'!$N$2:$N$455,"")&gt;0,"",INDEX('RQ1'!$N$2:$N$455,MATCH($A445,'RQ1'!$A$2:$A$455,0)))=1,"REVISAR DETALLE","REGISTRADA")</f>
        <v/>
      </c>
      <c r="F445" s="4">
        <f>IF(IF(COUNTIFS('RQ3'!$A$2:$A$455,$A445,'RQ3'!$P$2:$P$455,"")&gt;0,"",INDEX('RQ3'!$P$2:$P$455,MATCH($A445,'RQ3'!$A$2:$A$455,0)))="","NO REGISTRADO",IF(IF(COUNTIFS('RQ3'!$A$2:$A$455,$A445,'RQ3'!$P$2:$P$455,"")&gt;0,"",INDEX('RQ3'!$P$2:$P$455,MATCH($A445,'RQ3'!$A$2:$A$455,0)))=1,"MARCA ACTIVA","SIN MARCA"))</f>
        <v/>
      </c>
      <c r="G445" s="4">
        <f>IF(IF(COUNTIFS('ESTUDIOS'!$A$2:$A$455,$A445,'ESTUDIOS'!$N$2:$N$455,"")&gt;0,"",INDEX('ESTUDIOS'!$N$2:$N$455,MATCH($A445,'ESTUDIOS'!$A$2:$A$455,0)))="Verified","DOCUMENTADA","NO DOCUMENTADA")</f>
        <v/>
      </c>
      <c r="H445" s="4">
        <f>IF(D445="PENDIENTE","Leer evidencia ya extraída; registrar uso propuesto o evaluado, función, fuente y revisor en RQ2.","Comprobar evidencia y cautelas registradas; documentar verificación sin recodificar lo ya respaldado.")</f>
        <v/>
      </c>
      <c r="I445" s="4" t="inlineStr">
        <is>
          <t>https://doi.org/10.1016/j.cca.2025.120238</t>
        </is>
      </c>
    </row>
    <row r="446" ht="64" customHeight="1">
      <c r="A446" s="4" t="inlineStr">
        <is>
          <t>new_183</t>
        </is>
      </c>
      <c r="B446" s="4" t="inlineStr">
        <is>
          <t>Adaptive Multi-Scale Dynamic Graph Representation Learning With Overlapping Community-Awareness for ASD Classification</t>
        </is>
      </c>
      <c r="C446" s="4">
        <f>IF(IF(COUNTIFS('ESTUDIOS'!$A$2:$A$455,$A446,'ESTUDIOS'!$I$2:$I$455,"")&gt;0,"",INDEX('ESTUDIOS'!$I$2:$I$455,MATCH($A446,'ESTUDIOS'!$A$2:$A$455,0)))=1,"1 - Integrity",IF(OR(IF(COUNTIFS('RQ2'!$A$2:$A$455,$A446,'RQ2'!$D$2:$D$455,"")&gt;0,"",INDEX('RQ2'!$D$2:$D$455,MATCH($A446,'RQ2'!$A$2:$A$455,0)))="",IF(COUNTIFS('RQ2'!$A$2:$A$455,$A446,'RQ2'!$E$2:$E$455,"")&gt;0,"",INDEX('RQ2'!$E$2:$E$455,MATCH($A446,'RQ2'!$A$2:$A$455,0)))=""),"2 - RQ2 historical","3 - Verify recorded evidence"))</f>
        <v/>
      </c>
      <c r="D446" s="4">
        <f>IF(OR(IF(COUNTIFS('RQ2'!$A$2:$A$455,$A446,'RQ2'!$D$2:$D$455,"")&gt;0,"",INDEX('RQ2'!$D$2:$D$455,MATCH($A446,'RQ2'!$A$2:$A$455,0)))="",IF(COUNTIFS('RQ2'!$A$2:$A$455,$A446,'RQ2'!$E$2:$E$455,"")&gt;0,"",INDEX('RQ2'!$E$2:$E$455,MATCH($A446,'RQ2'!$A$2:$A$455,0)))=""),"PENDIENTE","REGISTRADA")</f>
        <v/>
      </c>
      <c r="E446" s="4">
        <f>IF(IF(COUNTIFS('RQ1'!$A$2:$A$455,$A446,'RQ1'!$N$2:$N$455,"")&gt;0,"",INDEX('RQ1'!$N$2:$N$455,MATCH($A446,'RQ1'!$A$2:$A$455,0)))=1,"REVISAR DETALLE","REGISTRADA")</f>
        <v/>
      </c>
      <c r="F446" s="4">
        <f>IF(IF(COUNTIFS('RQ3'!$A$2:$A$455,$A446,'RQ3'!$P$2:$P$455,"")&gt;0,"",INDEX('RQ3'!$P$2:$P$455,MATCH($A446,'RQ3'!$A$2:$A$455,0)))="","NO REGISTRADO",IF(IF(COUNTIFS('RQ3'!$A$2:$A$455,$A446,'RQ3'!$P$2:$P$455,"")&gt;0,"",INDEX('RQ3'!$P$2:$P$455,MATCH($A446,'RQ3'!$A$2:$A$455,0)))=1,"MARCA ACTIVA","SIN MARCA"))</f>
        <v/>
      </c>
      <c r="G446" s="4">
        <f>IF(IF(COUNTIFS('ESTUDIOS'!$A$2:$A$455,$A446,'ESTUDIOS'!$N$2:$N$455,"")&gt;0,"",INDEX('ESTUDIOS'!$N$2:$N$455,MATCH($A446,'ESTUDIOS'!$A$2:$A$455,0)))="Verified","DOCUMENTADA","NO DOCUMENTADA")</f>
        <v/>
      </c>
      <c r="H446" s="4">
        <f>IF(D446="PENDIENTE","Leer evidencia ya extraída; registrar uso propuesto o evaluado, función, fuente y revisor en RQ2.","Comprobar evidencia y cautelas registradas; documentar verificación sin recodificar lo ya respaldado.")</f>
        <v/>
      </c>
      <c r="I446" s="4" t="inlineStr">
        <is>
          <t>https://doi.org/10.1109/jbhi.2025.3622540</t>
        </is>
      </c>
    </row>
    <row r="447" ht="64" customHeight="1">
      <c r="A447" s="4" t="inlineStr">
        <is>
          <t>new_198</t>
        </is>
      </c>
      <c r="B447" s="4" t="inlineStr">
        <is>
          <t>A Multimodal AI Framework for Early Autism Identification Using CbRNN–Ensemble Modelling and Advanced NCIAPPF-Based Temporal Encoding</t>
        </is>
      </c>
      <c r="C447" s="4">
        <f>IF(IF(COUNTIFS('ESTUDIOS'!$A$2:$A$455,$A447,'ESTUDIOS'!$I$2:$I$455,"")&gt;0,"",INDEX('ESTUDIOS'!$I$2:$I$455,MATCH($A447,'ESTUDIOS'!$A$2:$A$455,0)))=1,"1 - Integrity",IF(OR(IF(COUNTIFS('RQ2'!$A$2:$A$455,$A447,'RQ2'!$D$2:$D$455,"")&gt;0,"",INDEX('RQ2'!$D$2:$D$455,MATCH($A447,'RQ2'!$A$2:$A$455,0)))="",IF(COUNTIFS('RQ2'!$A$2:$A$455,$A447,'RQ2'!$E$2:$E$455,"")&gt;0,"",INDEX('RQ2'!$E$2:$E$455,MATCH($A447,'RQ2'!$A$2:$A$455,0)))=""),"2 - RQ2 historical","3 - Verify recorded evidence"))</f>
        <v/>
      </c>
      <c r="D447" s="4">
        <f>IF(OR(IF(COUNTIFS('RQ2'!$A$2:$A$455,$A447,'RQ2'!$D$2:$D$455,"")&gt;0,"",INDEX('RQ2'!$D$2:$D$455,MATCH($A447,'RQ2'!$A$2:$A$455,0)))="",IF(COUNTIFS('RQ2'!$A$2:$A$455,$A447,'RQ2'!$E$2:$E$455,"")&gt;0,"",INDEX('RQ2'!$E$2:$E$455,MATCH($A447,'RQ2'!$A$2:$A$455,0)))=""),"PENDIENTE","REGISTRADA")</f>
        <v/>
      </c>
      <c r="E447" s="4">
        <f>IF(IF(COUNTIFS('RQ1'!$A$2:$A$455,$A447,'RQ1'!$N$2:$N$455,"")&gt;0,"",INDEX('RQ1'!$N$2:$N$455,MATCH($A447,'RQ1'!$A$2:$A$455,0)))=1,"REVISAR DETALLE","REGISTRADA")</f>
        <v/>
      </c>
      <c r="F447" s="4">
        <f>IF(IF(COUNTIFS('RQ3'!$A$2:$A$455,$A447,'RQ3'!$P$2:$P$455,"")&gt;0,"",INDEX('RQ3'!$P$2:$P$455,MATCH($A447,'RQ3'!$A$2:$A$455,0)))="","NO REGISTRADO",IF(IF(COUNTIFS('RQ3'!$A$2:$A$455,$A447,'RQ3'!$P$2:$P$455,"")&gt;0,"",INDEX('RQ3'!$P$2:$P$455,MATCH($A447,'RQ3'!$A$2:$A$455,0)))=1,"MARCA ACTIVA","SIN MARCA"))</f>
        <v/>
      </c>
      <c r="G447" s="4">
        <f>IF(IF(COUNTIFS('ESTUDIOS'!$A$2:$A$455,$A447,'ESTUDIOS'!$N$2:$N$455,"")&gt;0,"",INDEX('ESTUDIOS'!$N$2:$N$455,MATCH($A447,'ESTUDIOS'!$A$2:$A$455,0)))="Verified","DOCUMENTADA","NO DOCUMENTADA")</f>
        <v/>
      </c>
      <c r="H447" s="4">
        <f>IF(D447="PENDIENTE","Leer evidencia ya extraída; registrar uso propuesto o evaluado, función, fuente y revisor en RQ2.","Comprobar evidencia y cautelas registradas; documentar verificación sin recodificar lo ya respaldado.")</f>
        <v/>
      </c>
      <c r="I447" s="4" t="inlineStr">
        <is>
          <t>https://doi.org/10.1002/jdn.70117</t>
        </is>
      </c>
    </row>
    <row r="448" ht="64" customHeight="1">
      <c r="A448" s="4" t="inlineStr">
        <is>
          <t>new_239</t>
        </is>
      </c>
      <c r="B448" s="4" t="inlineStr">
        <is>
          <t>Real-Time Classification for EEG Data in Children With ASD Using Deep Learning Techniques</t>
        </is>
      </c>
      <c r="C448" s="4">
        <f>IF(IF(COUNTIFS('ESTUDIOS'!$A$2:$A$455,$A448,'ESTUDIOS'!$I$2:$I$455,"")&gt;0,"",INDEX('ESTUDIOS'!$I$2:$I$455,MATCH($A448,'ESTUDIOS'!$A$2:$A$455,0)))=1,"1 - Integrity",IF(OR(IF(COUNTIFS('RQ2'!$A$2:$A$455,$A448,'RQ2'!$D$2:$D$455,"")&gt;0,"",INDEX('RQ2'!$D$2:$D$455,MATCH($A448,'RQ2'!$A$2:$A$455,0)))="",IF(COUNTIFS('RQ2'!$A$2:$A$455,$A448,'RQ2'!$E$2:$E$455,"")&gt;0,"",INDEX('RQ2'!$E$2:$E$455,MATCH($A448,'RQ2'!$A$2:$A$455,0)))=""),"2 - RQ2 historical","3 - Verify recorded evidence"))</f>
        <v/>
      </c>
      <c r="D448" s="4">
        <f>IF(OR(IF(COUNTIFS('RQ2'!$A$2:$A$455,$A448,'RQ2'!$D$2:$D$455,"")&gt;0,"",INDEX('RQ2'!$D$2:$D$455,MATCH($A448,'RQ2'!$A$2:$A$455,0)))="",IF(COUNTIFS('RQ2'!$A$2:$A$455,$A448,'RQ2'!$E$2:$E$455,"")&gt;0,"",INDEX('RQ2'!$E$2:$E$455,MATCH($A448,'RQ2'!$A$2:$A$455,0)))=""),"PENDIENTE","REGISTRADA")</f>
        <v/>
      </c>
      <c r="E448" s="4">
        <f>IF(IF(COUNTIFS('RQ1'!$A$2:$A$455,$A448,'RQ1'!$N$2:$N$455,"")&gt;0,"",INDEX('RQ1'!$N$2:$N$455,MATCH($A448,'RQ1'!$A$2:$A$455,0)))=1,"REVISAR DETALLE","REGISTRADA")</f>
        <v/>
      </c>
      <c r="F448" s="4">
        <f>IF(IF(COUNTIFS('RQ3'!$A$2:$A$455,$A448,'RQ3'!$P$2:$P$455,"")&gt;0,"",INDEX('RQ3'!$P$2:$P$455,MATCH($A448,'RQ3'!$A$2:$A$455,0)))="","NO REGISTRADO",IF(IF(COUNTIFS('RQ3'!$A$2:$A$455,$A448,'RQ3'!$P$2:$P$455,"")&gt;0,"",INDEX('RQ3'!$P$2:$P$455,MATCH($A448,'RQ3'!$A$2:$A$455,0)))=1,"MARCA ACTIVA","SIN MARCA"))</f>
        <v/>
      </c>
      <c r="G448" s="4">
        <f>IF(IF(COUNTIFS('ESTUDIOS'!$A$2:$A$455,$A448,'ESTUDIOS'!$N$2:$N$455,"")&gt;0,"",INDEX('ESTUDIOS'!$N$2:$N$455,MATCH($A448,'ESTUDIOS'!$A$2:$A$455,0)))="Verified","DOCUMENTADA","NO DOCUMENTADA")</f>
        <v/>
      </c>
      <c r="H448" s="4">
        <f>IF(D448="PENDIENTE","Leer evidencia ya extraída; registrar uso propuesto o evaluado, función, fuente y revisor en RQ2.","Comprobar evidencia y cautelas registradas; documentar verificación sin recodificar lo ya respaldado.")</f>
        <v/>
      </c>
      <c r="I448" s="4" t="inlineStr">
        <is>
          <t>https://doi.org/10.1002/dneu.23009</t>
        </is>
      </c>
    </row>
    <row r="449" ht="64" customHeight="1">
      <c r="A449" s="4" t="inlineStr">
        <is>
          <t>new_400</t>
        </is>
      </c>
      <c r="B449" s="4" t="inlineStr">
        <is>
          <t>Mitochondrial Gene Signature Reveals Novel Diagnostic Biomarkers for Autism Spectrum Disorder</t>
        </is>
      </c>
      <c r="C449" s="4">
        <f>IF(IF(COUNTIFS('ESTUDIOS'!$A$2:$A$455,$A449,'ESTUDIOS'!$I$2:$I$455,"")&gt;0,"",INDEX('ESTUDIOS'!$I$2:$I$455,MATCH($A449,'ESTUDIOS'!$A$2:$A$455,0)))=1,"1 - Integrity",IF(OR(IF(COUNTIFS('RQ2'!$A$2:$A$455,$A449,'RQ2'!$D$2:$D$455,"")&gt;0,"",INDEX('RQ2'!$D$2:$D$455,MATCH($A449,'RQ2'!$A$2:$A$455,0)))="",IF(COUNTIFS('RQ2'!$A$2:$A$455,$A449,'RQ2'!$E$2:$E$455,"")&gt;0,"",INDEX('RQ2'!$E$2:$E$455,MATCH($A449,'RQ2'!$A$2:$A$455,0)))=""),"2 - RQ2 historical","3 - Verify recorded evidence"))</f>
        <v/>
      </c>
      <c r="D449" s="4">
        <f>IF(OR(IF(COUNTIFS('RQ2'!$A$2:$A$455,$A449,'RQ2'!$D$2:$D$455,"")&gt;0,"",INDEX('RQ2'!$D$2:$D$455,MATCH($A449,'RQ2'!$A$2:$A$455,0)))="",IF(COUNTIFS('RQ2'!$A$2:$A$455,$A449,'RQ2'!$E$2:$E$455,"")&gt;0,"",INDEX('RQ2'!$E$2:$E$455,MATCH($A449,'RQ2'!$A$2:$A$455,0)))=""),"PENDIENTE","REGISTRADA")</f>
        <v/>
      </c>
      <c r="E449" s="4">
        <f>IF(IF(COUNTIFS('RQ1'!$A$2:$A$455,$A449,'RQ1'!$N$2:$N$455,"")&gt;0,"",INDEX('RQ1'!$N$2:$N$455,MATCH($A449,'RQ1'!$A$2:$A$455,0)))=1,"REVISAR DETALLE","REGISTRADA")</f>
        <v/>
      </c>
      <c r="F449" s="4">
        <f>IF(IF(COUNTIFS('RQ3'!$A$2:$A$455,$A449,'RQ3'!$P$2:$P$455,"")&gt;0,"",INDEX('RQ3'!$P$2:$P$455,MATCH($A449,'RQ3'!$A$2:$A$455,0)))="","NO REGISTRADO",IF(IF(COUNTIFS('RQ3'!$A$2:$A$455,$A449,'RQ3'!$P$2:$P$455,"")&gt;0,"",INDEX('RQ3'!$P$2:$P$455,MATCH($A449,'RQ3'!$A$2:$A$455,0)))=1,"MARCA ACTIVA","SIN MARCA"))</f>
        <v/>
      </c>
      <c r="G449" s="4">
        <f>IF(IF(COUNTIFS('ESTUDIOS'!$A$2:$A$455,$A449,'ESTUDIOS'!$N$2:$N$455,"")&gt;0,"",INDEX('ESTUDIOS'!$N$2:$N$455,MATCH($A449,'ESTUDIOS'!$A$2:$A$455,0)))="Verified","DOCUMENTADA","NO DOCUMENTADA")</f>
        <v/>
      </c>
      <c r="H449" s="4">
        <f>IF(D449="PENDIENTE","Leer evidencia ya extraída; registrar uso propuesto o evaluado, función, fuente y revisor en RQ2.","Comprobar evidencia y cautelas registradas; documentar verificación sin recodificar lo ya respaldado.")</f>
        <v/>
      </c>
      <c r="I449" s="4" t="inlineStr">
        <is>
          <t>https://doi.org/10.1007/s12035-026-05911-y</t>
        </is>
      </c>
    </row>
    <row r="450" ht="64" customHeight="1">
      <c r="A450" s="4" t="inlineStr">
        <is>
          <t>new_411</t>
        </is>
      </c>
      <c r="B450" s="4" t="inlineStr">
        <is>
          <t>Blood-based DNA methylation markers for autism spectrum disorder identification using machine learning</t>
        </is>
      </c>
      <c r="C450" s="4">
        <f>IF(IF(COUNTIFS('ESTUDIOS'!$A$2:$A$455,$A450,'ESTUDIOS'!$I$2:$I$455,"")&gt;0,"",INDEX('ESTUDIOS'!$I$2:$I$455,MATCH($A450,'ESTUDIOS'!$A$2:$A$455,0)))=1,"1 - Integrity",IF(OR(IF(COUNTIFS('RQ2'!$A$2:$A$455,$A450,'RQ2'!$D$2:$D$455,"")&gt;0,"",INDEX('RQ2'!$D$2:$D$455,MATCH($A450,'RQ2'!$A$2:$A$455,0)))="",IF(COUNTIFS('RQ2'!$A$2:$A$455,$A450,'RQ2'!$E$2:$E$455,"")&gt;0,"",INDEX('RQ2'!$E$2:$E$455,MATCH($A450,'RQ2'!$A$2:$A$455,0)))=""),"2 - RQ2 historical","3 - Verify recorded evidence"))</f>
        <v/>
      </c>
      <c r="D450" s="4">
        <f>IF(OR(IF(COUNTIFS('RQ2'!$A$2:$A$455,$A450,'RQ2'!$D$2:$D$455,"")&gt;0,"",INDEX('RQ2'!$D$2:$D$455,MATCH($A450,'RQ2'!$A$2:$A$455,0)))="",IF(COUNTIFS('RQ2'!$A$2:$A$455,$A450,'RQ2'!$E$2:$E$455,"")&gt;0,"",INDEX('RQ2'!$E$2:$E$455,MATCH($A450,'RQ2'!$A$2:$A$455,0)))=""),"PENDIENTE","REGISTRADA")</f>
        <v/>
      </c>
      <c r="E450" s="4">
        <f>IF(IF(COUNTIFS('RQ1'!$A$2:$A$455,$A450,'RQ1'!$N$2:$N$455,"")&gt;0,"",INDEX('RQ1'!$N$2:$N$455,MATCH($A450,'RQ1'!$A$2:$A$455,0)))=1,"REVISAR DETALLE","REGISTRADA")</f>
        <v/>
      </c>
      <c r="F450" s="4">
        <f>IF(IF(COUNTIFS('RQ3'!$A$2:$A$455,$A450,'RQ3'!$P$2:$P$455,"")&gt;0,"",INDEX('RQ3'!$P$2:$P$455,MATCH($A450,'RQ3'!$A$2:$A$455,0)))="","NO REGISTRADO",IF(IF(COUNTIFS('RQ3'!$A$2:$A$455,$A450,'RQ3'!$P$2:$P$455,"")&gt;0,"",INDEX('RQ3'!$P$2:$P$455,MATCH($A450,'RQ3'!$A$2:$A$455,0)))=1,"MARCA ACTIVA","SIN MARCA"))</f>
        <v/>
      </c>
      <c r="G450" s="4">
        <f>IF(IF(COUNTIFS('ESTUDIOS'!$A$2:$A$455,$A450,'ESTUDIOS'!$N$2:$N$455,"")&gt;0,"",INDEX('ESTUDIOS'!$N$2:$N$455,MATCH($A450,'ESTUDIOS'!$A$2:$A$455,0)))="Verified","DOCUMENTADA","NO DOCUMENTADA")</f>
        <v/>
      </c>
      <c r="H450" s="4">
        <f>IF(D450="PENDIENTE","Leer evidencia ya extraída; registrar uso propuesto o evaluado, función, fuente y revisor en RQ2.","Comprobar evidencia y cautelas registradas; documentar verificación sin recodificar lo ya respaldado.")</f>
        <v/>
      </c>
      <c r="I450" s="4" t="inlineStr">
        <is>
          <t>https://doi.org/10.1080/17501911.2025.2557186</t>
        </is>
      </c>
    </row>
    <row r="451" ht="64" customHeight="1">
      <c r="A451" s="4" t="inlineStr">
        <is>
          <t>new_412</t>
        </is>
      </c>
      <c r="B451" s="4" t="inlineStr">
        <is>
          <t>Federated Transformer-Based Deep Learning Framework for Secure and Early Autism Diagnosis</t>
        </is>
      </c>
      <c r="C451" s="4">
        <f>IF(IF(COUNTIFS('ESTUDIOS'!$A$2:$A$455,$A451,'ESTUDIOS'!$I$2:$I$455,"")&gt;0,"",INDEX('ESTUDIOS'!$I$2:$I$455,MATCH($A451,'ESTUDIOS'!$A$2:$A$455,0)))=1,"1 - Integrity",IF(OR(IF(COUNTIFS('RQ2'!$A$2:$A$455,$A451,'RQ2'!$D$2:$D$455,"")&gt;0,"",INDEX('RQ2'!$D$2:$D$455,MATCH($A451,'RQ2'!$A$2:$A$455,0)))="",IF(COUNTIFS('RQ2'!$A$2:$A$455,$A451,'RQ2'!$E$2:$E$455,"")&gt;0,"",INDEX('RQ2'!$E$2:$E$455,MATCH($A451,'RQ2'!$A$2:$A$455,0)))=""),"2 - RQ2 historical","3 - Verify recorded evidence"))</f>
        <v/>
      </c>
      <c r="D451" s="4">
        <f>IF(OR(IF(COUNTIFS('RQ2'!$A$2:$A$455,$A451,'RQ2'!$D$2:$D$455,"")&gt;0,"",INDEX('RQ2'!$D$2:$D$455,MATCH($A451,'RQ2'!$A$2:$A$455,0)))="",IF(COUNTIFS('RQ2'!$A$2:$A$455,$A451,'RQ2'!$E$2:$E$455,"")&gt;0,"",INDEX('RQ2'!$E$2:$E$455,MATCH($A451,'RQ2'!$A$2:$A$455,0)))=""),"PENDIENTE","REGISTRADA")</f>
        <v/>
      </c>
      <c r="E451" s="4">
        <f>IF(IF(COUNTIFS('RQ1'!$A$2:$A$455,$A451,'RQ1'!$N$2:$N$455,"")&gt;0,"",INDEX('RQ1'!$N$2:$N$455,MATCH($A451,'RQ1'!$A$2:$A$455,0)))=1,"REVISAR DETALLE","REGISTRADA")</f>
        <v/>
      </c>
      <c r="F451" s="4">
        <f>IF(IF(COUNTIFS('RQ3'!$A$2:$A$455,$A451,'RQ3'!$P$2:$P$455,"")&gt;0,"",INDEX('RQ3'!$P$2:$P$455,MATCH($A451,'RQ3'!$A$2:$A$455,0)))="","NO REGISTRADO",IF(IF(COUNTIFS('RQ3'!$A$2:$A$455,$A451,'RQ3'!$P$2:$P$455,"")&gt;0,"",INDEX('RQ3'!$P$2:$P$455,MATCH($A451,'RQ3'!$A$2:$A$455,0)))=1,"MARCA ACTIVA","SIN MARCA"))</f>
        <v/>
      </c>
      <c r="G451" s="4">
        <f>IF(IF(COUNTIFS('ESTUDIOS'!$A$2:$A$455,$A451,'ESTUDIOS'!$N$2:$N$455,"")&gt;0,"",INDEX('ESTUDIOS'!$N$2:$N$455,MATCH($A451,'ESTUDIOS'!$A$2:$A$455,0)))="Verified","DOCUMENTADA","NO DOCUMENTADA")</f>
        <v/>
      </c>
      <c r="H451" s="4">
        <f>IF(D451="PENDIENTE","Leer evidencia ya extraída; registrar uso propuesto o evaluado, función, fuente y revisor en RQ2.","Comprobar evidencia y cautelas registradas; documentar verificación sin recodificar lo ya respaldado.")</f>
        <v/>
      </c>
      <c r="I451" s="4" t="inlineStr">
        <is>
          <t>https://doi.org/10.1007/s42979-026-04806-y</t>
        </is>
      </c>
    </row>
    <row r="452" ht="64" customHeight="1">
      <c r="A452" s="4" t="inlineStr">
        <is>
          <t>new_415</t>
        </is>
      </c>
      <c r="B452" s="4" t="inlineStr">
        <is>
          <t>Artificial intelligence-based diagnostic model for autism spectrum disorder using blood biomarkers</t>
        </is>
      </c>
      <c r="C452" s="4">
        <f>IF(IF(COUNTIFS('ESTUDIOS'!$A$2:$A$455,$A452,'ESTUDIOS'!$I$2:$I$455,"")&gt;0,"",INDEX('ESTUDIOS'!$I$2:$I$455,MATCH($A452,'ESTUDIOS'!$A$2:$A$455,0)))=1,"1 - Integrity",IF(OR(IF(COUNTIFS('RQ2'!$A$2:$A$455,$A452,'RQ2'!$D$2:$D$455,"")&gt;0,"",INDEX('RQ2'!$D$2:$D$455,MATCH($A452,'RQ2'!$A$2:$A$455,0)))="",IF(COUNTIFS('RQ2'!$A$2:$A$455,$A452,'RQ2'!$E$2:$E$455,"")&gt;0,"",INDEX('RQ2'!$E$2:$E$455,MATCH($A452,'RQ2'!$A$2:$A$455,0)))=""),"2 - RQ2 historical","3 - Verify recorded evidence"))</f>
        <v/>
      </c>
      <c r="D452" s="4">
        <f>IF(OR(IF(COUNTIFS('RQ2'!$A$2:$A$455,$A452,'RQ2'!$D$2:$D$455,"")&gt;0,"",INDEX('RQ2'!$D$2:$D$455,MATCH($A452,'RQ2'!$A$2:$A$455,0)))="",IF(COUNTIFS('RQ2'!$A$2:$A$455,$A452,'RQ2'!$E$2:$E$455,"")&gt;0,"",INDEX('RQ2'!$E$2:$E$455,MATCH($A452,'RQ2'!$A$2:$A$455,0)))=""),"PENDIENTE","REGISTRADA")</f>
        <v/>
      </c>
      <c r="E452" s="4">
        <f>IF(IF(COUNTIFS('RQ1'!$A$2:$A$455,$A452,'RQ1'!$N$2:$N$455,"")&gt;0,"",INDEX('RQ1'!$N$2:$N$455,MATCH($A452,'RQ1'!$A$2:$A$455,0)))=1,"REVISAR DETALLE","REGISTRADA")</f>
        <v/>
      </c>
      <c r="F452" s="4">
        <f>IF(IF(COUNTIFS('RQ3'!$A$2:$A$455,$A452,'RQ3'!$P$2:$P$455,"")&gt;0,"",INDEX('RQ3'!$P$2:$P$455,MATCH($A452,'RQ3'!$A$2:$A$455,0)))="","NO REGISTRADO",IF(IF(COUNTIFS('RQ3'!$A$2:$A$455,$A452,'RQ3'!$P$2:$P$455,"")&gt;0,"",INDEX('RQ3'!$P$2:$P$455,MATCH($A452,'RQ3'!$A$2:$A$455,0)))=1,"MARCA ACTIVA","SIN MARCA"))</f>
        <v/>
      </c>
      <c r="G452" s="4">
        <f>IF(IF(COUNTIFS('ESTUDIOS'!$A$2:$A$455,$A452,'ESTUDIOS'!$N$2:$N$455,"")&gt;0,"",INDEX('ESTUDIOS'!$N$2:$N$455,MATCH($A452,'ESTUDIOS'!$A$2:$A$455,0)))="Verified","DOCUMENTADA","NO DOCUMENTADA")</f>
        <v/>
      </c>
      <c r="H452" s="4">
        <f>IF(D452="PENDIENTE","Leer evidencia ya extraída; registrar uso propuesto o evaluado, función, fuente y revisor en RQ2.","Comprobar evidencia y cautelas registradas; documentar verificación sin recodificar lo ya respaldado.")</f>
        <v/>
      </c>
      <c r="I452" s="4" t="inlineStr">
        <is>
          <t>https://doi.org/10.1007/s00521-025-11553-3</t>
        </is>
      </c>
    </row>
    <row r="453" ht="64" customHeight="1">
      <c r="A453" s="4" t="inlineStr">
        <is>
          <t>new_416</t>
        </is>
      </c>
      <c r="B453" s="4" t="inlineStr">
        <is>
          <t>An explainable deep learning framework for screening level autism severity using behavioural data</t>
        </is>
      </c>
      <c r="C453" s="4">
        <f>IF(IF(COUNTIFS('ESTUDIOS'!$A$2:$A$455,$A453,'ESTUDIOS'!$I$2:$I$455,"")&gt;0,"",INDEX('ESTUDIOS'!$I$2:$I$455,MATCH($A453,'ESTUDIOS'!$A$2:$A$455,0)))=1,"1 - Integrity",IF(OR(IF(COUNTIFS('RQ2'!$A$2:$A$455,$A453,'RQ2'!$D$2:$D$455,"")&gt;0,"",INDEX('RQ2'!$D$2:$D$455,MATCH($A453,'RQ2'!$A$2:$A$455,0)))="",IF(COUNTIFS('RQ2'!$A$2:$A$455,$A453,'RQ2'!$E$2:$E$455,"")&gt;0,"",INDEX('RQ2'!$E$2:$E$455,MATCH($A453,'RQ2'!$A$2:$A$455,0)))=""),"2 - RQ2 historical","3 - Verify recorded evidence"))</f>
        <v/>
      </c>
      <c r="D453" s="4">
        <f>IF(OR(IF(COUNTIFS('RQ2'!$A$2:$A$455,$A453,'RQ2'!$D$2:$D$455,"")&gt;0,"",INDEX('RQ2'!$D$2:$D$455,MATCH($A453,'RQ2'!$A$2:$A$455,0)))="",IF(COUNTIFS('RQ2'!$A$2:$A$455,$A453,'RQ2'!$E$2:$E$455,"")&gt;0,"",INDEX('RQ2'!$E$2:$E$455,MATCH($A453,'RQ2'!$A$2:$A$455,0)))=""),"PENDIENTE","REGISTRADA")</f>
        <v/>
      </c>
      <c r="E453" s="4">
        <f>IF(IF(COUNTIFS('RQ1'!$A$2:$A$455,$A453,'RQ1'!$N$2:$N$455,"")&gt;0,"",INDEX('RQ1'!$N$2:$N$455,MATCH($A453,'RQ1'!$A$2:$A$455,0)))=1,"REVISAR DETALLE","REGISTRADA")</f>
        <v/>
      </c>
      <c r="F453" s="4">
        <f>IF(IF(COUNTIFS('RQ3'!$A$2:$A$455,$A453,'RQ3'!$P$2:$P$455,"")&gt;0,"",INDEX('RQ3'!$P$2:$P$455,MATCH($A453,'RQ3'!$A$2:$A$455,0)))="","NO REGISTRADO",IF(IF(COUNTIFS('RQ3'!$A$2:$A$455,$A453,'RQ3'!$P$2:$P$455,"")&gt;0,"",INDEX('RQ3'!$P$2:$P$455,MATCH($A453,'RQ3'!$A$2:$A$455,0)))=1,"MARCA ACTIVA","SIN MARCA"))</f>
        <v/>
      </c>
      <c r="G453" s="4">
        <f>IF(IF(COUNTIFS('ESTUDIOS'!$A$2:$A$455,$A453,'ESTUDIOS'!$N$2:$N$455,"")&gt;0,"",INDEX('ESTUDIOS'!$N$2:$N$455,MATCH($A453,'ESTUDIOS'!$A$2:$A$455,0)))="Verified","DOCUMENTADA","NO DOCUMENTADA")</f>
        <v/>
      </c>
      <c r="H453" s="4">
        <f>IF(D453="PENDIENTE","Leer evidencia ya extraída; registrar uso propuesto o evaluado, función, fuente y revisor en RQ2.","Comprobar evidencia y cautelas registradas; documentar verificación sin recodificar lo ya respaldado.")</f>
        <v/>
      </c>
      <c r="I453" s="4" t="inlineStr">
        <is>
          <t>https://doi.org/10.1007/s42452-026-08352-3</t>
        </is>
      </c>
    </row>
    <row r="454" ht="64" customHeight="1">
      <c r="A454" s="4" t="inlineStr">
        <is>
          <t>new_421</t>
        </is>
      </c>
      <c r="B454" s="4" t="inlineStr">
        <is>
          <t>Edge-Based Robot-Assisted Hand Gesture Recognition for Autism Intervention Using Hybrid Keyframe Selection and Contrastive Learning</t>
        </is>
      </c>
      <c r="C454" s="4">
        <f>IF(IF(COUNTIFS('ESTUDIOS'!$A$2:$A$455,$A454,'ESTUDIOS'!$I$2:$I$455,"")&gt;0,"",INDEX('ESTUDIOS'!$I$2:$I$455,MATCH($A454,'ESTUDIOS'!$A$2:$A$455,0)))=1,"1 - Integrity",IF(OR(IF(COUNTIFS('RQ2'!$A$2:$A$455,$A454,'RQ2'!$D$2:$D$455,"")&gt;0,"",INDEX('RQ2'!$D$2:$D$455,MATCH($A454,'RQ2'!$A$2:$A$455,0)))="",IF(COUNTIFS('RQ2'!$A$2:$A$455,$A454,'RQ2'!$E$2:$E$455,"")&gt;0,"",INDEX('RQ2'!$E$2:$E$455,MATCH($A454,'RQ2'!$A$2:$A$455,0)))=""),"2 - RQ2 historical","3 - Verify recorded evidence"))</f>
        <v/>
      </c>
      <c r="D454" s="4">
        <f>IF(OR(IF(COUNTIFS('RQ2'!$A$2:$A$455,$A454,'RQ2'!$D$2:$D$455,"")&gt;0,"",INDEX('RQ2'!$D$2:$D$455,MATCH($A454,'RQ2'!$A$2:$A$455,0)))="",IF(COUNTIFS('RQ2'!$A$2:$A$455,$A454,'RQ2'!$E$2:$E$455,"")&gt;0,"",INDEX('RQ2'!$E$2:$E$455,MATCH($A454,'RQ2'!$A$2:$A$455,0)))=""),"PENDIENTE","REGISTRADA")</f>
        <v/>
      </c>
      <c r="E454" s="4">
        <f>IF(IF(COUNTIFS('RQ1'!$A$2:$A$455,$A454,'RQ1'!$N$2:$N$455,"")&gt;0,"",INDEX('RQ1'!$N$2:$N$455,MATCH($A454,'RQ1'!$A$2:$A$455,0)))=1,"REVISAR DETALLE","REGISTRADA")</f>
        <v/>
      </c>
      <c r="F454" s="4">
        <f>IF(IF(COUNTIFS('RQ3'!$A$2:$A$455,$A454,'RQ3'!$P$2:$P$455,"")&gt;0,"",INDEX('RQ3'!$P$2:$P$455,MATCH($A454,'RQ3'!$A$2:$A$455,0)))="","NO REGISTRADO",IF(IF(COUNTIFS('RQ3'!$A$2:$A$455,$A454,'RQ3'!$P$2:$P$455,"")&gt;0,"",INDEX('RQ3'!$P$2:$P$455,MATCH($A454,'RQ3'!$A$2:$A$455,0)))=1,"MARCA ACTIVA","SIN MARCA"))</f>
        <v/>
      </c>
      <c r="G454" s="4">
        <f>IF(IF(COUNTIFS('ESTUDIOS'!$A$2:$A$455,$A454,'ESTUDIOS'!$N$2:$N$455,"")&gt;0,"",INDEX('ESTUDIOS'!$N$2:$N$455,MATCH($A454,'ESTUDIOS'!$A$2:$A$455,0)))="Verified","DOCUMENTADA","NO DOCUMENTADA")</f>
        <v/>
      </c>
      <c r="H454" s="4">
        <f>IF(D454="PENDIENTE","Leer evidencia ya extraída; registrar uso propuesto o evaluado, función, fuente y revisor en RQ2.","Comprobar evidencia y cautelas registradas; documentar verificación sin recodificar lo ya respaldado.")</f>
        <v/>
      </c>
      <c r="I454" s="4" t="inlineStr">
        <is>
          <t>https://doi.org/10.1109/tmrb.2026.3680976</t>
        </is>
      </c>
    </row>
    <row r="455" ht="64" customHeight="1">
      <c r="A455" s="4" t="inlineStr">
        <is>
          <t>new_423</t>
        </is>
      </c>
      <c r="B455" s="4" t="inlineStr">
        <is>
          <t>Toward a Smartwatch-Based System for Automated Social Interaction Monitoring in Autism</t>
        </is>
      </c>
      <c r="C455" s="4">
        <f>IF(IF(COUNTIFS('ESTUDIOS'!$A$2:$A$455,$A455,'ESTUDIOS'!$I$2:$I$455,"")&gt;0,"",INDEX('ESTUDIOS'!$I$2:$I$455,MATCH($A455,'ESTUDIOS'!$A$2:$A$455,0)))=1,"1 - Integrity",IF(OR(IF(COUNTIFS('RQ2'!$A$2:$A$455,$A455,'RQ2'!$D$2:$D$455,"")&gt;0,"",INDEX('RQ2'!$D$2:$D$455,MATCH($A455,'RQ2'!$A$2:$A$455,0)))="",IF(COUNTIFS('RQ2'!$A$2:$A$455,$A455,'RQ2'!$E$2:$E$455,"")&gt;0,"",INDEX('RQ2'!$E$2:$E$455,MATCH($A455,'RQ2'!$A$2:$A$455,0)))=""),"2 - RQ2 historical","3 - Verify recorded evidence"))</f>
        <v/>
      </c>
      <c r="D455" s="4">
        <f>IF(OR(IF(COUNTIFS('RQ2'!$A$2:$A$455,$A455,'RQ2'!$D$2:$D$455,"")&gt;0,"",INDEX('RQ2'!$D$2:$D$455,MATCH($A455,'RQ2'!$A$2:$A$455,0)))="",IF(COUNTIFS('RQ2'!$A$2:$A$455,$A455,'RQ2'!$E$2:$E$455,"")&gt;0,"",INDEX('RQ2'!$E$2:$E$455,MATCH($A455,'RQ2'!$A$2:$A$455,0)))=""),"PENDIENTE","REGISTRADA")</f>
        <v/>
      </c>
      <c r="E455" s="4">
        <f>IF(IF(COUNTIFS('RQ1'!$A$2:$A$455,$A455,'RQ1'!$N$2:$N$455,"")&gt;0,"",INDEX('RQ1'!$N$2:$N$455,MATCH($A455,'RQ1'!$A$2:$A$455,0)))=1,"REVISAR DETALLE","REGISTRADA")</f>
        <v/>
      </c>
      <c r="F455" s="4">
        <f>IF(IF(COUNTIFS('RQ3'!$A$2:$A$455,$A455,'RQ3'!$P$2:$P$455,"")&gt;0,"",INDEX('RQ3'!$P$2:$P$455,MATCH($A455,'RQ3'!$A$2:$A$455,0)))="","NO REGISTRADO",IF(IF(COUNTIFS('RQ3'!$A$2:$A$455,$A455,'RQ3'!$P$2:$P$455,"")&gt;0,"",INDEX('RQ3'!$P$2:$P$455,MATCH($A455,'RQ3'!$A$2:$A$455,0)))=1,"MARCA ACTIVA","SIN MARCA"))</f>
        <v/>
      </c>
      <c r="G455" s="4">
        <f>IF(IF(COUNTIFS('ESTUDIOS'!$A$2:$A$455,$A455,'ESTUDIOS'!$N$2:$N$455,"")&gt;0,"",INDEX('ESTUDIOS'!$N$2:$N$455,MATCH($A455,'ESTUDIOS'!$A$2:$A$455,0)))="Verified","DOCUMENTADA","NO DOCUMENTADA")</f>
        <v/>
      </c>
      <c r="H455" s="4">
        <f>IF(D455="PENDIENTE","Leer evidencia ya extraída; registrar uso propuesto o evaluado, función, fuente y revisor en RQ2.","Comprobar evidencia y cautelas registradas; documentar verificación sin recodificar lo ya respaldado.")</f>
        <v/>
      </c>
      <c r="I455" s="4" t="inlineStr">
        <is>
          <t>https://doi.org/10.1109/access.2026.3674057</t>
        </is>
      </c>
    </row>
  </sheetData>
  <conditionalFormatting sqref="D2:G455">
    <cfRule type="containsText" priority="1" operator="containsText" dxfId="0" text="PENDIENTE"/>
  </conditionalFormatting>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P455"/>
  <sheetViews>
    <sheetView showGridLines="0" workbookViewId="0">
      <selection activeCell="A1" sqref="A1"/>
    </sheetView>
  </sheetViews>
  <sheetFormatPr baseColWidth="8" defaultRowHeight="15"/>
  <cols>
    <col width="14" customWidth="1" min="1" max="1"/>
    <col width="14" customWidth="1" min="2" max="2"/>
    <col width="14" customWidth="1" min="3" max="3"/>
    <col width="55" customWidth="1" min="4" max="4"/>
    <col width="44" customWidth="1" min="5" max="5"/>
    <col width="20" customWidth="1" min="6" max="6"/>
    <col width="20" customWidth="1" min="7" max="7"/>
    <col width="28" customWidth="1" min="8" max="8"/>
    <col width="20" customWidth="1" min="9" max="9"/>
    <col width="44" customWidth="1" min="10" max="10"/>
    <col width="28" customWidth="1" min="11" max="11"/>
    <col width="28" customWidth="1" min="12" max="12"/>
    <col width="17" customWidth="1" min="13" max="13"/>
    <col width="28" customWidth="1" min="14" max="14"/>
    <col width="20" customWidth="1" min="15" max="15"/>
    <col width="14" customWidth="1" min="16" max="16"/>
  </cols>
  <sheetData>
    <row r="1" ht="52" customHeight="1">
      <c r="A1" s="6" t="inlineStr">
        <is>
          <t>study_id</t>
        </is>
      </c>
      <c r="B1" s="6" t="inlineStr">
        <is>
          <t>cohort</t>
        </is>
      </c>
      <c r="C1" s="6" t="inlineStr">
        <is>
          <t>source_record_id</t>
        </is>
      </c>
      <c r="D1" s="6" t="inlineStr">
        <is>
          <t>title</t>
        </is>
      </c>
      <c r="E1" s="6" t="inlineStr">
        <is>
          <t>doi</t>
        </is>
      </c>
      <c r="F1" s="6" t="inlineStr">
        <is>
          <t>year</t>
        </is>
      </c>
      <c r="G1" s="6" t="inlineStr">
        <is>
          <t>inclusion_decision</t>
        </is>
      </c>
      <c r="H1" s="6" t="inlineStr">
        <is>
          <t>integrity_status</t>
        </is>
      </c>
      <c r="I1" s="6" t="inlineStr">
        <is>
          <t>exclude_sensitivity</t>
        </is>
      </c>
      <c r="J1" s="6" t="inlineStr">
        <is>
          <t>source_url</t>
        </is>
      </c>
      <c r="K1" s="6" t="inlineStr">
        <is>
          <t>reported_access_status</t>
        </is>
      </c>
      <c r="L1" s="6" t="inlineStr">
        <is>
          <t>reviewer_recorded</t>
        </is>
      </c>
      <c r="M1" s="39" t="inlineStr">
        <is>
          <t>decision_date</t>
        </is>
      </c>
      <c r="N1" s="6" t="inlineStr">
        <is>
          <t>verification_state</t>
        </is>
      </c>
      <c r="O1" s="6" t="inlineStr">
        <is>
          <t>source_sheet</t>
        </is>
      </c>
      <c r="P1" s="6" t="inlineStr">
        <is>
          <t>source_excel_row</t>
        </is>
      </c>
    </row>
    <row r="2" ht="47" customHeight="1">
      <c r="A2" s="4" t="inlineStr">
        <is>
          <t>1</t>
        </is>
      </c>
      <c r="B2" s="4" t="inlineStr">
        <is>
          <t>Historical</t>
        </is>
      </c>
      <c r="C2" s="4" t="n">
        <v>1</v>
      </c>
      <c r="D2" s="4" t="inlineStr">
        <is>
          <t>A Clinically Interpretable Approach for Early Detection of Autism Using Machine Learning With Explainable AI</t>
        </is>
      </c>
      <c r="E2" s="4" t="inlineStr">
        <is>
          <t>10.1109/access.2025.3586314</t>
        </is>
      </c>
      <c r="F2" s="4" t="n">
        <v>2025</v>
      </c>
      <c r="G2" s="4" t="inlineStr">
        <is>
          <t>Historical include</t>
        </is>
      </c>
      <c r="H2" s="4" t="inlineStr">
        <is>
          <t>Not recorded</t>
        </is>
      </c>
      <c r="I2" s="4" t="n">
        <v>0</v>
      </c>
      <c r="J2" s="4" t="inlineStr">
        <is>
          <t>https://doi.org/10.1109/access.2025.3586314</t>
        </is>
      </c>
      <c r="K2" s="4" t="inlineStr">
        <is>
          <t>Not recorded; historical inclusion retained</t>
        </is>
      </c>
      <c r="L2" s="4" t="str"/>
      <c r="M2" s="40" t="n"/>
      <c r="N2" s="4" t="inlineStr">
        <is>
          <t>Pending independent/source verification</t>
        </is>
      </c>
      <c r="O2" s="4" t="inlineStr">
        <is>
          <t>RQ1_RQ2_base_276 / RQ3_base_276</t>
        </is>
      </c>
      <c r="P2" s="4" t="n">
        <v>2</v>
      </c>
    </row>
    <row r="3" ht="47" customHeight="1">
      <c r="A3" s="4" t="inlineStr">
        <is>
          <t>2</t>
        </is>
      </c>
      <c r="B3" s="4" t="inlineStr">
        <is>
          <t>Historical</t>
        </is>
      </c>
      <c r="C3" s="4" t="n">
        <v>2</v>
      </c>
      <c r="D3" s="4" t="inlineStr">
        <is>
          <t>Searching for a minimal set of behaviors for autism detection through feature selection-based machine learning</t>
        </is>
      </c>
      <c r="E3" s="4" t="inlineStr">
        <is>
          <t>10.1038/tp.2015.7</t>
        </is>
      </c>
      <c r="F3" s="4" t="n">
        <v>2015</v>
      </c>
      <c r="G3" s="4" t="inlineStr">
        <is>
          <t>Historical include</t>
        </is>
      </c>
      <c r="H3" s="4" t="inlineStr">
        <is>
          <t>Not recorded</t>
        </is>
      </c>
      <c r="I3" s="4" t="n">
        <v>0</v>
      </c>
      <c r="J3" s="4" t="inlineStr">
        <is>
          <t>https://doi.org/10.1038/tp.2015.7</t>
        </is>
      </c>
      <c r="K3" s="4" t="inlineStr">
        <is>
          <t>Not recorded; historical inclusion retained</t>
        </is>
      </c>
      <c r="L3" s="4" t="inlineStr">
        <is>
          <t>RA</t>
        </is>
      </c>
      <c r="M3" s="40" t="n"/>
      <c r="N3" s="4" t="inlineStr">
        <is>
          <t>Pending independent/source verification</t>
        </is>
      </c>
      <c r="O3" s="4" t="inlineStr">
        <is>
          <t>RQ1_RQ2_base_276 / RQ3_base_276</t>
        </is>
      </c>
      <c r="P3" s="4" t="n">
        <v>3</v>
      </c>
    </row>
    <row r="4" ht="47" customHeight="1">
      <c r="A4" s="4" t="inlineStr">
        <is>
          <t>3</t>
        </is>
      </c>
      <c r="B4" s="4" t="inlineStr">
        <is>
          <t>Historical</t>
        </is>
      </c>
      <c r="C4" s="4" t="n">
        <v>3</v>
      </c>
      <c r="D4" s="4" t="inlineStr">
        <is>
          <t>The use of data independent acquisition based proteomic analysis and machine learning to reveal potential biomarkers for autism spectrum disorder</t>
        </is>
      </c>
      <c r="E4" s="4" t="inlineStr">
        <is>
          <t>10.1016/j.jprot.2023.104872</t>
        </is>
      </c>
      <c r="F4" s="4" t="n">
        <v>2023</v>
      </c>
      <c r="G4" s="4" t="inlineStr">
        <is>
          <t>Historical include</t>
        </is>
      </c>
      <c r="H4" s="4" t="inlineStr">
        <is>
          <t>Not recorded</t>
        </is>
      </c>
      <c r="I4" s="4" t="n">
        <v>0</v>
      </c>
      <c r="J4" s="4" t="inlineStr">
        <is>
          <t>https://doi.org/10.1016/j.jprot.2023.104872</t>
        </is>
      </c>
      <c r="K4" s="4" t="inlineStr">
        <is>
          <t>Not recorded; historical inclusion retained</t>
        </is>
      </c>
      <c r="L4" s="4" t="inlineStr">
        <is>
          <t>RA</t>
        </is>
      </c>
      <c r="M4" s="40" t="n"/>
      <c r="N4" s="4" t="inlineStr">
        <is>
          <t>Pending independent/source verification</t>
        </is>
      </c>
      <c r="O4" s="4" t="inlineStr">
        <is>
          <t>RQ1_RQ2_base_276 / RQ3_base_276</t>
        </is>
      </c>
      <c r="P4" s="4" t="n">
        <v>4</v>
      </c>
    </row>
    <row r="5" ht="47" customHeight="1">
      <c r="A5" s="4" t="inlineStr">
        <is>
          <t>4</t>
        </is>
      </c>
      <c r="B5" s="4" t="inlineStr">
        <is>
          <t>Historical</t>
        </is>
      </c>
      <c r="C5" s="4" t="n">
        <v>4</v>
      </c>
      <c r="D5" s="4" t="inlineStr">
        <is>
          <t>Cognitive Disorder Detection Used for Early Autism Screening Using Deep Learning</t>
        </is>
      </c>
      <c r="E5" s="4" t="inlineStr">
        <is>
          <t>10.1007/978-981-96-3942-7_18</t>
        </is>
      </c>
      <c r="F5" s="4" t="n">
        <v>2025</v>
      </c>
      <c r="G5" s="4" t="inlineStr">
        <is>
          <t>Historical include</t>
        </is>
      </c>
      <c r="H5" s="4" t="inlineStr">
        <is>
          <t>Not recorded</t>
        </is>
      </c>
      <c r="I5" s="4" t="n">
        <v>0</v>
      </c>
      <c r="J5" s="4" t="inlineStr">
        <is>
          <t>https://doi.org/10.1007/978-981-96-3942-7_18</t>
        </is>
      </c>
      <c r="K5" s="4" t="inlineStr">
        <is>
          <t>Not recorded; historical inclusion retained</t>
        </is>
      </c>
      <c r="L5" s="4" t="str"/>
      <c r="M5" s="40" t="n"/>
      <c r="N5" s="4" t="inlineStr">
        <is>
          <t>Pending independent/source verification</t>
        </is>
      </c>
      <c r="O5" s="4" t="inlineStr">
        <is>
          <t>RQ1_RQ2_base_276 / RQ3_base_276</t>
        </is>
      </c>
      <c r="P5" s="4" t="n">
        <v>5</v>
      </c>
    </row>
    <row r="6" ht="47" customHeight="1">
      <c r="A6" s="4" t="inlineStr">
        <is>
          <t>5</t>
        </is>
      </c>
      <c r="B6" s="4" t="inlineStr">
        <is>
          <t>Historical</t>
        </is>
      </c>
      <c r="C6" s="4" t="n">
        <v>5</v>
      </c>
      <c r="D6" s="4" t="inlineStr">
        <is>
          <t>Metabolomics as a tool for discovery of biomarkers of autism spectrum disorder in the blood plasma of children</t>
        </is>
      </c>
      <c r="E6" s="4" t="inlineStr">
        <is>
          <t>10.1371/journal.pone.0112445</t>
        </is>
      </c>
      <c r="F6" s="4" t="n">
        <v>2014</v>
      </c>
      <c r="G6" s="4" t="inlineStr">
        <is>
          <t>Historical include</t>
        </is>
      </c>
      <c r="H6" s="4" t="inlineStr">
        <is>
          <t>Not recorded</t>
        </is>
      </c>
      <c r="I6" s="4" t="n">
        <v>0</v>
      </c>
      <c r="J6" s="4" t="inlineStr">
        <is>
          <t>https://doi.org/10.1371/journal.pone.0112445</t>
        </is>
      </c>
      <c r="K6" s="4" t="inlineStr">
        <is>
          <t>Not recorded; historical inclusion retained</t>
        </is>
      </c>
      <c r="L6" s="4" t="inlineStr">
        <is>
          <t>RA</t>
        </is>
      </c>
      <c r="M6" s="40" t="n"/>
      <c r="N6" s="4" t="inlineStr">
        <is>
          <t>Pending independent/source verification</t>
        </is>
      </c>
      <c r="O6" s="4" t="inlineStr">
        <is>
          <t>RQ1_RQ2_base_276 / RQ3_base_276</t>
        </is>
      </c>
      <c r="P6" s="4" t="n">
        <v>6</v>
      </c>
    </row>
    <row r="7" ht="47" customHeight="1">
      <c r="A7" s="4" t="inlineStr">
        <is>
          <t>6</t>
        </is>
      </c>
      <c r="B7" s="4" t="inlineStr">
        <is>
          <t>Historical</t>
        </is>
      </c>
      <c r="C7" s="4" t="n">
        <v>6</v>
      </c>
      <c r="D7" s="4" t="inlineStr">
        <is>
          <t>Sparsifying machine learning models identify stable subsets of predictive features for behavioral detection of autism</t>
        </is>
      </c>
      <c r="E7" s="4" t="inlineStr">
        <is>
          <t>10.1186/s13229-017-0180-6</t>
        </is>
      </c>
      <c r="F7" s="4" t="n">
        <v>2017</v>
      </c>
      <c r="G7" s="4" t="inlineStr">
        <is>
          <t>Historical include</t>
        </is>
      </c>
      <c r="H7" s="4" t="inlineStr">
        <is>
          <t>Not recorded</t>
        </is>
      </c>
      <c r="I7" s="4" t="n">
        <v>0</v>
      </c>
      <c r="J7" s="4" t="inlineStr">
        <is>
          <t>https://doi.org/10.1186/s13229-017-0180-6</t>
        </is>
      </c>
      <c r="K7" s="4" t="inlineStr">
        <is>
          <t>Not recorded; historical inclusion retained</t>
        </is>
      </c>
      <c r="L7" s="4" t="str"/>
      <c r="M7" s="40" t="n"/>
      <c r="N7" s="4" t="inlineStr">
        <is>
          <t>Pending independent/source verification</t>
        </is>
      </c>
      <c r="O7" s="4" t="inlineStr">
        <is>
          <t>RQ1_RQ2_base_276 / RQ3_base_276</t>
        </is>
      </c>
      <c r="P7" s="4" t="n">
        <v>7</v>
      </c>
    </row>
    <row r="8" ht="47" customHeight="1">
      <c r="A8" s="4" t="inlineStr">
        <is>
          <t>7</t>
        </is>
      </c>
      <c r="B8" s="4" t="inlineStr">
        <is>
          <t>Historical</t>
        </is>
      </c>
      <c r="C8" s="4" t="n">
        <v>7</v>
      </c>
      <c r="D8" s="4" t="inlineStr">
        <is>
          <t>Transformer-based deep learning ensemble framework predicts autism spectrum disorder using health administrative and birth registry data</t>
        </is>
      </c>
      <c r="E8" s="4" t="inlineStr">
        <is>
          <t>10.1038/s41598-025-90216-8</t>
        </is>
      </c>
      <c r="F8" s="4" t="n">
        <v>2025</v>
      </c>
      <c r="G8" s="4" t="inlineStr">
        <is>
          <t>Historical include</t>
        </is>
      </c>
      <c r="H8" s="4" t="inlineStr">
        <is>
          <t>Not recorded</t>
        </is>
      </c>
      <c r="I8" s="4" t="n">
        <v>0</v>
      </c>
      <c r="J8" s="4" t="inlineStr">
        <is>
          <t>https://doi.org/10.1038/s41598-025-90216-8</t>
        </is>
      </c>
      <c r="K8" s="4" t="inlineStr">
        <is>
          <t>Not recorded; historical inclusion retained</t>
        </is>
      </c>
      <c r="L8" s="4" t="inlineStr">
        <is>
          <t>RA</t>
        </is>
      </c>
      <c r="M8" s="40" t="n"/>
      <c r="N8" s="4" t="inlineStr">
        <is>
          <t>Pending independent/source verification</t>
        </is>
      </c>
      <c r="O8" s="4" t="inlineStr">
        <is>
          <t>RQ1_RQ2_base_276 / RQ3_base_276</t>
        </is>
      </c>
      <c r="P8" s="4" t="n">
        <v>8</v>
      </c>
    </row>
    <row r="9" ht="47" customHeight="1">
      <c r="A9" s="4" t="inlineStr">
        <is>
          <t>8</t>
        </is>
      </c>
      <c r="B9" s="4" t="inlineStr">
        <is>
          <t>Historical</t>
        </is>
      </c>
      <c r="C9" s="4" t="n">
        <v>8</v>
      </c>
      <c r="D9" s="4" t="inlineStr">
        <is>
          <t>A Closed-Loop Ear-Worn Wearable EEG System with Real-Time Passive Electrode Skin Impedance Measurement for Early Autism Detection †</t>
        </is>
      </c>
      <c r="E9" s="4" t="inlineStr">
        <is>
          <t>10.3390/s24237489</t>
        </is>
      </c>
      <c r="F9" s="4" t="n">
        <v>2024</v>
      </c>
      <c r="G9" s="4" t="inlineStr">
        <is>
          <t>Historical include</t>
        </is>
      </c>
      <c r="H9" s="4" t="inlineStr">
        <is>
          <t>Not recorded</t>
        </is>
      </c>
      <c r="I9" s="4" t="n">
        <v>0</v>
      </c>
      <c r="J9" s="4" t="inlineStr">
        <is>
          <t>https://doi.org/10.3390/s24237489</t>
        </is>
      </c>
      <c r="K9" s="4" t="inlineStr">
        <is>
          <t>Not recorded; historical inclusion retained</t>
        </is>
      </c>
      <c r="L9" s="4" t="str"/>
      <c r="M9" s="40" t="n"/>
      <c r="N9" s="4" t="inlineStr">
        <is>
          <t>Pending independent/source verification</t>
        </is>
      </c>
      <c r="O9" s="4" t="inlineStr">
        <is>
          <t>RQ1_RQ2_base_276 / RQ3_base_276</t>
        </is>
      </c>
      <c r="P9" s="4" t="n">
        <v>9</v>
      </c>
    </row>
    <row r="10" ht="47" customHeight="1">
      <c r="A10" s="4" t="inlineStr">
        <is>
          <t>9</t>
        </is>
      </c>
      <c r="B10" s="4" t="inlineStr">
        <is>
          <t>Historical</t>
        </is>
      </c>
      <c r="C10" s="4" t="n">
        <v>9</v>
      </c>
      <c r="D10" s="4" t="inlineStr">
        <is>
          <t>An automated assessment framework for atypical prosody and stereotyped idiosyncratic phrases related to autism spectrum disorder</t>
        </is>
      </c>
      <c r="E10" s="4" t="inlineStr">
        <is>
          <t>10.1016/j.csl.2018.11.002</t>
        </is>
      </c>
      <c r="F10" s="4" t="n">
        <v>2019</v>
      </c>
      <c r="G10" s="4" t="inlineStr">
        <is>
          <t>Historical include</t>
        </is>
      </c>
      <c r="H10" s="4" t="inlineStr">
        <is>
          <t>Not recorded</t>
        </is>
      </c>
      <c r="I10" s="4" t="n">
        <v>0</v>
      </c>
      <c r="J10" s="4" t="inlineStr">
        <is>
          <t>https://doi.org/10.1016/j.csl.2018.11.002</t>
        </is>
      </c>
      <c r="K10" s="4" t="inlineStr">
        <is>
          <t>Not recorded; historical inclusion retained</t>
        </is>
      </c>
      <c r="L10" s="4" t="str"/>
      <c r="M10" s="40" t="n"/>
      <c r="N10" s="4" t="inlineStr">
        <is>
          <t>Pending independent/source verification</t>
        </is>
      </c>
      <c r="O10" s="4" t="inlineStr">
        <is>
          <t>RQ1_RQ2_base_276 / RQ3_base_276</t>
        </is>
      </c>
      <c r="P10" s="4" t="n">
        <v>10</v>
      </c>
    </row>
    <row r="11" ht="47" customHeight="1">
      <c r="A11" s="4" t="inlineStr">
        <is>
          <t>10</t>
        </is>
      </c>
      <c r="B11" s="4" t="inlineStr">
        <is>
          <t>Historical</t>
        </is>
      </c>
      <c r="C11" s="4" t="n">
        <v>10</v>
      </c>
      <c r="D11" s="4" t="inlineStr">
        <is>
          <t>Artificial Intelligence Driven Predictive Analysis of Acoustic and Linguistic Behaviors for ASD Identification</t>
        </is>
      </c>
      <c r="E11" s="4" t="inlineStr">
        <is>
          <t>10.1109/tai.2024.3439288</t>
        </is>
      </c>
      <c r="F11" s="4" t="n">
        <v>2024</v>
      </c>
      <c r="G11" s="4" t="inlineStr">
        <is>
          <t>Historical include</t>
        </is>
      </c>
      <c r="H11" s="4" t="inlineStr">
        <is>
          <t>Not recorded</t>
        </is>
      </c>
      <c r="I11" s="4" t="n">
        <v>0</v>
      </c>
      <c r="J11" s="4" t="inlineStr">
        <is>
          <t>https://doi.org/10.1109/tai.2024.3439288</t>
        </is>
      </c>
      <c r="K11" s="4" t="inlineStr">
        <is>
          <t>Not recorded; historical inclusion retained</t>
        </is>
      </c>
      <c r="L11" s="4" t="str"/>
      <c r="M11" s="40" t="n"/>
      <c r="N11" s="4" t="inlineStr">
        <is>
          <t>Pending independent/source verification</t>
        </is>
      </c>
      <c r="O11" s="4" t="inlineStr">
        <is>
          <t>RQ1_RQ2_base_276 / RQ3_base_276</t>
        </is>
      </c>
      <c r="P11" s="4" t="n">
        <v>11</v>
      </c>
    </row>
    <row r="12" ht="47" customHeight="1">
      <c r="A12" s="4" t="inlineStr">
        <is>
          <t>11</t>
        </is>
      </c>
      <c r="B12" s="4" t="inlineStr">
        <is>
          <t>Historical</t>
        </is>
      </c>
      <c r="C12" s="4" t="n">
        <v>11</v>
      </c>
      <c r="D12" s="4" t="inlineStr">
        <is>
          <t>Data Mining-Based Model for Computer-Aided Diagnosis of Autism and Gelotophobia: Mixed Methods Deep Learning Approach.</t>
        </is>
      </c>
      <c r="E12" s="4" t="inlineStr">
        <is>
          <t>10.2196/72115</t>
        </is>
      </c>
      <c r="F12" s="4" t="n">
        <v>2025</v>
      </c>
      <c r="G12" s="4" t="inlineStr">
        <is>
          <t>Historical include</t>
        </is>
      </c>
      <c r="H12" s="4" t="inlineStr">
        <is>
          <t>Expression of Concern</t>
        </is>
      </c>
      <c r="I12" s="4" t="n">
        <v>1</v>
      </c>
      <c r="J12" s="4" t="inlineStr">
        <is>
          <t>https://doi.org/10.2196/72115</t>
        </is>
      </c>
      <c r="K12" s="4" t="inlineStr">
        <is>
          <t>Not recorded; historical inclusion retained</t>
        </is>
      </c>
      <c r="L12" s="4" t="str"/>
      <c r="M12" s="40" t="n"/>
      <c r="N12" s="4" t="inlineStr">
        <is>
          <t>Pending independent/source verification</t>
        </is>
      </c>
      <c r="O12" s="4" t="inlineStr">
        <is>
          <t>RQ1_RQ2_base_276 / RQ3_base_276</t>
        </is>
      </c>
      <c r="P12" s="4" t="n">
        <v>12</v>
      </c>
    </row>
    <row r="13" ht="47" customHeight="1">
      <c r="A13" s="4" t="inlineStr">
        <is>
          <t>12</t>
        </is>
      </c>
      <c r="B13" s="4" t="inlineStr">
        <is>
          <t>Historical</t>
        </is>
      </c>
      <c r="C13" s="4" t="n">
        <v>12</v>
      </c>
      <c r="D13" s="4" t="inlineStr">
        <is>
          <t>Effect of Wearable Digital Intervention for Improving Socialization in Children with Autism Spectrum Disorder: A Randomized Clinical Trial</t>
        </is>
      </c>
      <c r="E13" s="4" t="inlineStr">
        <is>
          <t>10.1001/jamapediatrics.2019.0285</t>
        </is>
      </c>
      <c r="F13" s="4" t="n">
        <v>2019</v>
      </c>
      <c r="G13" s="4" t="inlineStr">
        <is>
          <t>Historical include</t>
        </is>
      </c>
      <c r="H13" s="4" t="inlineStr">
        <is>
          <t>Not recorded</t>
        </is>
      </c>
      <c r="I13" s="4" t="n">
        <v>0</v>
      </c>
      <c r="J13" s="4" t="inlineStr">
        <is>
          <t>https://doi.org/10.1001/jamapediatrics.2019.0285</t>
        </is>
      </c>
      <c r="K13" s="4" t="inlineStr">
        <is>
          <t>Not recorded; historical inclusion retained</t>
        </is>
      </c>
      <c r="L13" s="4" t="str"/>
      <c r="M13" s="40" t="n"/>
      <c r="N13" s="4" t="inlineStr">
        <is>
          <t>Pending independent/source verification</t>
        </is>
      </c>
      <c r="O13" s="4" t="inlineStr">
        <is>
          <t>RQ1_RQ2_base_276 / RQ3_base_276</t>
        </is>
      </c>
      <c r="P13" s="4" t="n">
        <v>13</v>
      </c>
    </row>
    <row r="14" ht="47" customHeight="1">
      <c r="A14" s="4" t="inlineStr">
        <is>
          <t>13</t>
        </is>
      </c>
      <c r="B14" s="4" t="inlineStr">
        <is>
          <t>Historical</t>
        </is>
      </c>
      <c r="C14" s="4" t="n">
        <v>13</v>
      </c>
      <c r="D14" s="4" t="inlineStr">
        <is>
          <t>Feature Signature Discovery for Autism Detection: An Automated Machine Learning Based Feature Ranking Framework</t>
        </is>
      </c>
      <c r="E14" s="4" t="inlineStr">
        <is>
          <t>10.1155/2023/6330002</t>
        </is>
      </c>
      <c r="F14" s="4" t="n">
        <v>2023</v>
      </c>
      <c r="G14" s="4" t="inlineStr">
        <is>
          <t>Historical include</t>
        </is>
      </c>
      <c r="H14" s="4" t="inlineStr">
        <is>
          <t>Not recorded</t>
        </is>
      </c>
      <c r="I14" s="4" t="n">
        <v>0</v>
      </c>
      <c r="J14" s="4" t="inlineStr">
        <is>
          <t>https://doi.org/10.1155/2023/6330002</t>
        </is>
      </c>
      <c r="K14" s="4" t="inlineStr">
        <is>
          <t>Not recorded; historical inclusion retained</t>
        </is>
      </c>
      <c r="L14" s="4" t="inlineStr">
        <is>
          <t>RA</t>
        </is>
      </c>
      <c r="M14" s="40" t="n"/>
      <c r="N14" s="4" t="inlineStr">
        <is>
          <t>Pending independent/source verification</t>
        </is>
      </c>
      <c r="O14" s="4" t="inlineStr">
        <is>
          <t>RQ1_RQ2_base_276 / RQ3_base_276</t>
        </is>
      </c>
      <c r="P14" s="4" t="n">
        <v>14</v>
      </c>
    </row>
    <row r="15" ht="47" customHeight="1">
      <c r="A15" s="4" t="inlineStr">
        <is>
          <t>14</t>
        </is>
      </c>
      <c r="B15" s="4" t="inlineStr">
        <is>
          <t>Historical</t>
        </is>
      </c>
      <c r="C15" s="4" t="n">
        <v>14</v>
      </c>
      <c r="D15" s="4" t="inlineStr">
        <is>
          <t>Functional neuroimaging of high-risk 6-month-old infants predicts a diagnosis of autism at 24 months of age</t>
        </is>
      </c>
      <c r="E15" s="4" t="inlineStr">
        <is>
          <t>10.1126/scitranslmed.aag2882</t>
        </is>
      </c>
      <c r="F15" s="4" t="n">
        <v>2017</v>
      </c>
      <c r="G15" s="4" t="inlineStr">
        <is>
          <t>Historical include</t>
        </is>
      </c>
      <c r="H15" s="4" t="inlineStr">
        <is>
          <t>Not recorded</t>
        </is>
      </c>
      <c r="I15" s="4" t="n">
        <v>0</v>
      </c>
      <c r="J15" s="4" t="inlineStr">
        <is>
          <t>https://doi.org/10.1126/scitranslmed.aag2882</t>
        </is>
      </c>
      <c r="K15" s="4" t="inlineStr">
        <is>
          <t>Not recorded; historical inclusion retained</t>
        </is>
      </c>
      <c r="L15" s="4" t="inlineStr">
        <is>
          <t>RA</t>
        </is>
      </c>
      <c r="M15" s="40" t="n"/>
      <c r="N15" s="4" t="inlineStr">
        <is>
          <t>Pending independent/source verification</t>
        </is>
      </c>
      <c r="O15" s="4" t="inlineStr">
        <is>
          <t>RQ1_RQ2_base_276 / RQ3_base_276</t>
        </is>
      </c>
      <c r="P15" s="4" t="n">
        <v>15</v>
      </c>
    </row>
    <row r="16" ht="47" customHeight="1">
      <c r="A16" s="4" t="inlineStr">
        <is>
          <t>15</t>
        </is>
      </c>
      <c r="B16" s="4" t="inlineStr">
        <is>
          <t>Historical</t>
        </is>
      </c>
      <c r="C16" s="4" t="n">
        <v>15</v>
      </c>
      <c r="D16" s="4" t="inlineStr">
        <is>
          <t>Hybrid CNN and random forest model with late fusion for detection of autism spectrum disorder in Toddlers</t>
        </is>
      </c>
      <c r="E16" s="4" t="inlineStr">
        <is>
          <t>10.1016/j.mex.2025.103278</t>
        </is>
      </c>
      <c r="F16" s="4" t="n">
        <v>2025</v>
      </c>
      <c r="G16" s="4" t="inlineStr">
        <is>
          <t>Historical include</t>
        </is>
      </c>
      <c r="H16" s="4" t="inlineStr">
        <is>
          <t>Not recorded</t>
        </is>
      </c>
      <c r="I16" s="4" t="n">
        <v>0</v>
      </c>
      <c r="J16" s="4" t="inlineStr">
        <is>
          <t>https://doi.org/10.1016/j.mex.2025.103278</t>
        </is>
      </c>
      <c r="K16" s="4" t="inlineStr">
        <is>
          <t>Not recorded; historical inclusion retained</t>
        </is>
      </c>
      <c r="L16" s="4" t="str"/>
      <c r="M16" s="40" t="n"/>
      <c r="N16" s="4" t="inlineStr">
        <is>
          <t>Pending independent/source verification</t>
        </is>
      </c>
      <c r="O16" s="4" t="inlineStr">
        <is>
          <t>RQ1_RQ2_base_276 / RQ3_base_276</t>
        </is>
      </c>
      <c r="P16" s="4" t="n">
        <v>16</v>
      </c>
    </row>
    <row r="17" ht="47" customHeight="1">
      <c r="A17" s="4" t="inlineStr">
        <is>
          <t>16</t>
        </is>
      </c>
      <c r="B17" s="4" t="inlineStr">
        <is>
          <t>Historical</t>
        </is>
      </c>
      <c r="C17" s="4" t="n">
        <v>16</v>
      </c>
      <c r="D17" s="4" t="inlineStr">
        <is>
          <t>Machine Learning Approaches for the Early Diagnosis of Autism Spectrum Disorder: A Systematic Framework</t>
        </is>
      </c>
      <c r="E17" s="4" t="inlineStr">
        <is>
          <t>10.1007/978-3-031-81083-1_7</t>
        </is>
      </c>
      <c r="F17" s="4" t="n">
        <v>2025</v>
      </c>
      <c r="G17" s="4" t="inlineStr">
        <is>
          <t>Historical include</t>
        </is>
      </c>
      <c r="H17" s="4" t="inlineStr">
        <is>
          <t>Not recorded</t>
        </is>
      </c>
      <c r="I17" s="4" t="n">
        <v>0</v>
      </c>
      <c r="J17" s="4" t="inlineStr">
        <is>
          <t>https://doi.org/10.1007/978-3-031-81083-1_7</t>
        </is>
      </c>
      <c r="K17" s="4" t="inlineStr">
        <is>
          <t>Not recorded; historical inclusion retained</t>
        </is>
      </c>
      <c r="L17" s="4" t="str"/>
      <c r="M17" s="40" t="n"/>
      <c r="N17" s="4" t="inlineStr">
        <is>
          <t>Pending independent/source verification</t>
        </is>
      </c>
      <c r="O17" s="4" t="inlineStr">
        <is>
          <t>RQ1_RQ2_base_276 / RQ3_base_276</t>
        </is>
      </c>
      <c r="P17" s="4" t="n">
        <v>17</v>
      </c>
    </row>
    <row r="18" ht="47" customHeight="1">
      <c r="A18" s="4" t="inlineStr">
        <is>
          <t>17</t>
        </is>
      </c>
      <c r="B18" s="4" t="inlineStr">
        <is>
          <t>Historical</t>
        </is>
      </c>
      <c r="C18" s="4" t="n">
        <v>17</v>
      </c>
      <c r="D18" s="4" t="inlineStr">
        <is>
          <t>Machine learning classification of autism spectrum disorder based on reciprocity in naturalistic social interactions</t>
        </is>
      </c>
      <c r="E18" s="4" t="inlineStr">
        <is>
          <t>10.1038/s41398-024-02802-5</t>
        </is>
      </c>
      <c r="F18" s="4" t="n">
        <v>2024</v>
      </c>
      <c r="G18" s="4" t="inlineStr">
        <is>
          <t>Historical include</t>
        </is>
      </c>
      <c r="H18" s="4" t="inlineStr">
        <is>
          <t>Not recorded</t>
        </is>
      </c>
      <c r="I18" s="4" t="n">
        <v>0</v>
      </c>
      <c r="J18" s="4" t="inlineStr">
        <is>
          <t>https://doi.org/10.1038/s41398-024-02802-5</t>
        </is>
      </c>
      <c r="K18" s="4" t="inlineStr">
        <is>
          <t>Not recorded; historical inclusion retained</t>
        </is>
      </c>
      <c r="L18" s="4" t="str"/>
      <c r="M18" s="40" t="n"/>
      <c r="N18" s="4" t="inlineStr">
        <is>
          <t>Pending independent/source verification</t>
        </is>
      </c>
      <c r="O18" s="4" t="inlineStr">
        <is>
          <t>RQ1_RQ2_base_276 / RQ3_base_276</t>
        </is>
      </c>
      <c r="P18" s="4" t="n">
        <v>18</v>
      </c>
    </row>
    <row r="19" ht="47" customHeight="1">
      <c r="A19" s="4" t="inlineStr">
        <is>
          <t>18</t>
        </is>
      </c>
      <c r="B19" s="4" t="inlineStr">
        <is>
          <t>Historical</t>
        </is>
      </c>
      <c r="C19" s="4" t="n">
        <v>18</v>
      </c>
      <c r="D19" s="4" t="inlineStr">
        <is>
          <t>Multiparametric MRI characterization and prediction in autism spectrum disorder using graph theory and machine learning</t>
        </is>
      </c>
      <c r="E19" s="4" t="inlineStr">
        <is>
          <t>10.1371/journal.pone.0090405</t>
        </is>
      </c>
      <c r="F19" s="4" t="n">
        <v>2014</v>
      </c>
      <c r="G19" s="4" t="inlineStr">
        <is>
          <t>Historical include</t>
        </is>
      </c>
      <c r="H19" s="4" t="inlineStr">
        <is>
          <t>Not recorded</t>
        </is>
      </c>
      <c r="I19" s="4" t="n">
        <v>0</v>
      </c>
      <c r="J19" s="4" t="inlineStr">
        <is>
          <t>https://doi.org/10.1371/journal.pone.0090405</t>
        </is>
      </c>
      <c r="K19" s="4" t="inlineStr">
        <is>
          <t>Not recorded; historical inclusion retained</t>
        </is>
      </c>
      <c r="L19" s="4" t="inlineStr">
        <is>
          <t>RA</t>
        </is>
      </c>
      <c r="M19" s="40" t="n"/>
      <c r="N19" s="4" t="inlineStr">
        <is>
          <t>Pending independent/source verification</t>
        </is>
      </c>
      <c r="O19" s="4" t="inlineStr">
        <is>
          <t>RQ1_RQ2_base_276 / RQ3_base_276</t>
        </is>
      </c>
      <c r="P19" s="4" t="n">
        <v>19</v>
      </c>
    </row>
    <row r="20" ht="47" customHeight="1">
      <c r="A20" s="4" t="inlineStr">
        <is>
          <t>19</t>
        </is>
      </c>
      <c r="B20" s="4" t="inlineStr">
        <is>
          <t>Historical</t>
        </is>
      </c>
      <c r="C20" s="4" t="n">
        <v>19</v>
      </c>
      <c r="D20" s="4" t="inlineStr">
        <is>
          <t>Multivariate Neural Connectivity Patterns in Early Infancy Predict Later Autism Symptoms</t>
        </is>
      </c>
      <c r="E20" s="4" t="inlineStr">
        <is>
          <t>10.1016/j.bpsc.2020.06.003</t>
        </is>
      </c>
      <c r="F20" s="4" t="n">
        <v>2021</v>
      </c>
      <c r="G20" s="4" t="inlineStr">
        <is>
          <t>Historical include</t>
        </is>
      </c>
      <c r="H20" s="4" t="inlineStr">
        <is>
          <t>Not recorded</t>
        </is>
      </c>
      <c r="I20" s="4" t="n">
        <v>0</v>
      </c>
      <c r="J20" s="4" t="inlineStr">
        <is>
          <t>https://doi.org/10.1016/j.bpsc.2020.06.003</t>
        </is>
      </c>
      <c r="K20" s="4" t="inlineStr">
        <is>
          <t>Not recorded; historical inclusion retained</t>
        </is>
      </c>
      <c r="L20" s="4" t="inlineStr">
        <is>
          <t>RA</t>
        </is>
      </c>
      <c r="M20" s="40" t="n"/>
      <c r="N20" s="4" t="inlineStr">
        <is>
          <t>Pending independent/source verification</t>
        </is>
      </c>
      <c r="O20" s="4" t="inlineStr">
        <is>
          <t>RQ1_RQ2_base_276 / RQ3_base_276</t>
        </is>
      </c>
      <c r="P20" s="4" t="n">
        <v>20</v>
      </c>
    </row>
    <row r="21" ht="47" customHeight="1">
      <c r="A21" s="4" t="inlineStr">
        <is>
          <t>20</t>
        </is>
      </c>
      <c r="B21" s="4" t="inlineStr">
        <is>
          <t>Historical</t>
        </is>
      </c>
      <c r="C21" s="4" t="n">
        <v>20</v>
      </c>
      <c r="D21" s="4" t="inlineStr">
        <is>
          <t>Testing the accuracy of an observation-based classifier for rapid detection of autism risk.</t>
        </is>
      </c>
      <c r="E21" s="4" t="inlineStr">
        <is>
          <t>10.1038/tp.2014.65</t>
        </is>
      </c>
      <c r="F21" s="4" t="n">
        <v>2014</v>
      </c>
      <c r="G21" s="4" t="inlineStr">
        <is>
          <t>Historical include</t>
        </is>
      </c>
      <c r="H21" s="4" t="inlineStr">
        <is>
          <t>Not recorded</t>
        </is>
      </c>
      <c r="I21" s="4" t="n">
        <v>0</v>
      </c>
      <c r="J21" s="4" t="inlineStr">
        <is>
          <t>https://doi.org/10.1038/tp.2014.65</t>
        </is>
      </c>
      <c r="K21" s="4" t="inlineStr">
        <is>
          <t>Not recorded; historical inclusion retained</t>
        </is>
      </c>
      <c r="L21" s="4" t="str"/>
      <c r="M21" s="40" t="n"/>
      <c r="N21" s="4" t="inlineStr">
        <is>
          <t>Pending independent/source verification</t>
        </is>
      </c>
      <c r="O21" s="4" t="inlineStr">
        <is>
          <t>RQ1_RQ2_base_276 / RQ3_base_276</t>
        </is>
      </c>
      <c r="P21" s="4" t="n">
        <v>21</v>
      </c>
    </row>
    <row r="22" ht="47" customHeight="1">
      <c r="A22" s="4" t="inlineStr">
        <is>
          <t>21</t>
        </is>
      </c>
      <c r="B22" s="4" t="inlineStr">
        <is>
          <t>Historical</t>
        </is>
      </c>
      <c r="C22" s="4" t="n">
        <v>21</v>
      </c>
      <c r="D22" s="4" t="inlineStr">
        <is>
          <t>Using deep learning to classify developmental differences in reaching and placing movements in children with and without autism spectrum disorder</t>
        </is>
      </c>
      <c r="E22" s="4" t="inlineStr">
        <is>
          <t>10.1038/s41598-024-81652-z</t>
        </is>
      </c>
      <c r="F22" s="4" t="n">
        <v>2024</v>
      </c>
      <c r="G22" s="4" t="inlineStr">
        <is>
          <t>Historical include</t>
        </is>
      </c>
      <c r="H22" s="4" t="inlineStr">
        <is>
          <t>Not recorded</t>
        </is>
      </c>
      <c r="I22" s="4" t="n">
        <v>0</v>
      </c>
      <c r="J22" s="4" t="inlineStr">
        <is>
          <t>https://doi.org/10.1038/s41598-024-81652-z</t>
        </is>
      </c>
      <c r="K22" s="4" t="inlineStr">
        <is>
          <t>Not recorded; historical inclusion retained</t>
        </is>
      </c>
      <c r="L22" s="4" t="str"/>
      <c r="M22" s="40" t="n"/>
      <c r="N22" s="4" t="inlineStr">
        <is>
          <t>Pending independent/source verification</t>
        </is>
      </c>
      <c r="O22" s="4" t="inlineStr">
        <is>
          <t>RQ1_RQ2_base_276 / RQ3_base_276</t>
        </is>
      </c>
      <c r="P22" s="4" t="n">
        <v>22</v>
      </c>
    </row>
    <row r="23" ht="47" customHeight="1">
      <c r="A23" s="4" t="inlineStr">
        <is>
          <t>22</t>
        </is>
      </c>
      <c r="B23" s="4" t="inlineStr">
        <is>
          <t>Historical</t>
        </is>
      </c>
      <c r="C23" s="4" t="n">
        <v>22</v>
      </c>
      <c r="D23" s="4" t="inlineStr">
        <is>
          <t>A CNN deep local and global ASD classification approach with continuous wavelet transform using task-based FMRI</t>
        </is>
      </c>
      <c r="E23" s="4" t="inlineStr">
        <is>
          <t>10.3390/s21175822</t>
        </is>
      </c>
      <c r="F23" s="4" t="n">
        <v>2021</v>
      </c>
      <c r="G23" s="4" t="inlineStr">
        <is>
          <t>Historical include</t>
        </is>
      </c>
      <c r="H23" s="4" t="inlineStr">
        <is>
          <t>Not recorded</t>
        </is>
      </c>
      <c r="I23" s="4" t="n">
        <v>0</v>
      </c>
      <c r="J23" s="4" t="inlineStr">
        <is>
          <t>https://doi.org/10.3390/s21175822</t>
        </is>
      </c>
      <c r="K23" s="4" t="inlineStr">
        <is>
          <t>Not recorded; historical inclusion retained</t>
        </is>
      </c>
      <c r="L23" s="4" t="str"/>
      <c r="M23" s="40" t="n"/>
      <c r="N23" s="4" t="inlineStr">
        <is>
          <t>Pending independent/source verification</t>
        </is>
      </c>
      <c r="O23" s="4" t="inlineStr">
        <is>
          <t>RQ1_RQ2_base_276 / RQ3_base_276</t>
        </is>
      </c>
      <c r="P23" s="4" t="n">
        <v>23</v>
      </c>
    </row>
    <row r="24" ht="47" customHeight="1">
      <c r="A24" s="4" t="inlineStr">
        <is>
          <t>23</t>
        </is>
      </c>
      <c r="B24" s="4" t="inlineStr">
        <is>
          <t>Historical</t>
        </is>
      </c>
      <c r="C24" s="4" t="n">
        <v>23</v>
      </c>
      <c r="D24" s="4" t="inlineStr">
        <is>
          <t>A new machine learning model based on induction of rules for autism detection</t>
        </is>
      </c>
      <c r="E24" s="4" t="inlineStr">
        <is>
          <t>10.1177/1460458218824711</t>
        </is>
      </c>
      <c r="F24" s="4" t="n">
        <v>2020</v>
      </c>
      <c r="G24" s="4" t="inlineStr">
        <is>
          <t>Historical include</t>
        </is>
      </c>
      <c r="H24" s="4" t="inlineStr">
        <is>
          <t>Not recorded</t>
        </is>
      </c>
      <c r="I24" s="4" t="n">
        <v>0</v>
      </c>
      <c r="J24" s="4" t="inlineStr">
        <is>
          <t>https://doi.org/10.1177/1460458218824711</t>
        </is>
      </c>
      <c r="K24" s="4" t="inlineStr">
        <is>
          <t>Not recorded; historical inclusion retained</t>
        </is>
      </c>
      <c r="L24" s="4" t="inlineStr">
        <is>
          <t>RA</t>
        </is>
      </c>
      <c r="M24" s="40" t="n"/>
      <c r="N24" s="4" t="inlineStr">
        <is>
          <t>Pending independent/source verification</t>
        </is>
      </c>
      <c r="O24" s="4" t="inlineStr">
        <is>
          <t>RQ1_RQ2_base_276 / RQ3_base_276</t>
        </is>
      </c>
      <c r="P24" s="4" t="n">
        <v>24</v>
      </c>
    </row>
    <row r="25" ht="47" customHeight="1">
      <c r="A25" s="4" t="inlineStr">
        <is>
          <t>24</t>
        </is>
      </c>
      <c r="B25" s="4" t="inlineStr">
        <is>
          <t>Historical</t>
        </is>
      </c>
      <c r="C25" s="4" t="n">
        <v>24</v>
      </c>
      <c r="D25" s="4" t="inlineStr">
        <is>
          <t>A Novel Grading System for Autism Severity Level Using Task-Based Functional MRI: A Response to Speech Study</t>
        </is>
      </c>
      <c r="E25" s="4" t="inlineStr">
        <is>
          <t>10.1109/access.2021.3097606</t>
        </is>
      </c>
      <c r="F25" s="4" t="n">
        <v>2021</v>
      </c>
      <c r="G25" s="4" t="inlineStr">
        <is>
          <t>Historical include</t>
        </is>
      </c>
      <c r="H25" s="4" t="inlineStr">
        <is>
          <t>Not recorded</t>
        </is>
      </c>
      <c r="I25" s="4" t="n">
        <v>0</v>
      </c>
      <c r="J25" s="4" t="inlineStr">
        <is>
          <t>https://doi.org/10.1109/access.2021.3097606</t>
        </is>
      </c>
      <c r="K25" s="4" t="inlineStr">
        <is>
          <t>Not recorded; historical inclusion retained</t>
        </is>
      </c>
      <c r="L25" s="4" t="inlineStr">
        <is>
          <t>RA</t>
        </is>
      </c>
      <c r="M25" s="40" t="n"/>
      <c r="N25" s="4" t="inlineStr">
        <is>
          <t>Pending independent/source verification</t>
        </is>
      </c>
      <c r="O25" s="4" t="inlineStr">
        <is>
          <t>RQ1_RQ2_base_276 / RQ3_base_276</t>
        </is>
      </c>
      <c r="P25" s="4" t="n">
        <v>25</v>
      </c>
    </row>
    <row r="26" ht="47" customHeight="1">
      <c r="A26" s="4" t="inlineStr">
        <is>
          <t>26</t>
        </is>
      </c>
      <c r="B26" s="4" t="inlineStr">
        <is>
          <t>Historical</t>
        </is>
      </c>
      <c r="C26" s="4" t="n">
        <v>26</v>
      </c>
      <c r="D26" s="4" t="inlineStr">
        <is>
          <t>An Analysis of the Use of Machine Learning in the Diagnosis of Autism Spectrum Disorder</t>
        </is>
      </c>
      <c r="E26" s="4" t="inlineStr">
        <is>
          <t>10.1007/978-3-031-23683-9_12</t>
        </is>
      </c>
      <c r="F26" s="4" t="n">
        <v>2023</v>
      </c>
      <c r="G26" s="4" t="inlineStr">
        <is>
          <t>Historical include</t>
        </is>
      </c>
      <c r="H26" s="4" t="inlineStr">
        <is>
          <t>Not recorded</t>
        </is>
      </c>
      <c r="I26" s="4" t="n">
        <v>0</v>
      </c>
      <c r="J26" s="4" t="inlineStr">
        <is>
          <t>https://doi.org/10.1007/978-3-031-23683-9_12</t>
        </is>
      </c>
      <c r="K26" s="4" t="inlineStr">
        <is>
          <t>Not recorded; historical inclusion retained</t>
        </is>
      </c>
      <c r="L26" s="4" t="str"/>
      <c r="M26" s="40" t="n"/>
      <c r="N26" s="4" t="inlineStr">
        <is>
          <t>Pending independent/source verification</t>
        </is>
      </c>
      <c r="O26" s="4" t="inlineStr">
        <is>
          <t>RQ1_RQ2_base_276 / RQ3_base_276</t>
        </is>
      </c>
      <c r="P26" s="4" t="n">
        <v>26</v>
      </c>
    </row>
    <row r="27" ht="47" customHeight="1">
      <c r="A27" s="4" t="inlineStr">
        <is>
          <t>27</t>
        </is>
      </c>
      <c r="B27" s="4" t="inlineStr">
        <is>
          <t>Historical</t>
        </is>
      </c>
      <c r="C27" s="4" t="n">
        <v>27</v>
      </c>
      <c r="D27" s="4" t="inlineStr">
        <is>
          <t>An analytics-driven model for identifying autism spectrum disorder using eye tracking</t>
        </is>
      </c>
      <c r="E27" s="4" t="inlineStr">
        <is>
          <t>10.1016/j.health.2025.100409</t>
        </is>
      </c>
      <c r="F27" s="4" t="n">
        <v>2025</v>
      </c>
      <c r="G27" s="4" t="inlineStr">
        <is>
          <t>Historical include</t>
        </is>
      </c>
      <c r="H27" s="4" t="inlineStr">
        <is>
          <t>Not recorded</t>
        </is>
      </c>
      <c r="I27" s="4" t="n">
        <v>0</v>
      </c>
      <c r="J27" s="4" t="inlineStr">
        <is>
          <t>https://doi.org/10.1016/j.health.2025.100409</t>
        </is>
      </c>
      <c r="K27" s="4" t="inlineStr">
        <is>
          <t>Not recorded; historical inclusion retained</t>
        </is>
      </c>
      <c r="L27" s="4" t="inlineStr">
        <is>
          <t>RA</t>
        </is>
      </c>
      <c r="M27" s="40" t="n"/>
      <c r="N27" s="4" t="inlineStr">
        <is>
          <t>Pending independent/source verification</t>
        </is>
      </c>
      <c r="O27" s="4" t="inlineStr">
        <is>
          <t>RQ1_RQ2_base_276 / RQ3_base_276</t>
        </is>
      </c>
      <c r="P27" s="4" t="n">
        <v>27</v>
      </c>
    </row>
    <row r="28" ht="47" customHeight="1">
      <c r="A28" s="4" t="inlineStr">
        <is>
          <t>28</t>
        </is>
      </c>
      <c r="B28" s="4" t="inlineStr">
        <is>
          <t>Historical</t>
        </is>
      </c>
      <c r="C28" s="4" t="n">
        <v>28</v>
      </c>
      <c r="D28" s="4" t="inlineStr">
        <is>
          <t>An evaluation of machine learning approaches for early diagnosis of autism spectrum disorder</t>
        </is>
      </c>
      <c r="E28" s="4" t="inlineStr">
        <is>
          <t>10.1016/j.health.2023.100293</t>
        </is>
      </c>
      <c r="F28" s="4" t="n">
        <v>2024</v>
      </c>
      <c r="G28" s="4" t="inlineStr">
        <is>
          <t>Historical include</t>
        </is>
      </c>
      <c r="H28" s="4" t="inlineStr">
        <is>
          <t>Not recorded</t>
        </is>
      </c>
      <c r="I28" s="4" t="n">
        <v>0</v>
      </c>
      <c r="J28" s="4" t="inlineStr">
        <is>
          <t>https://doi.org/10.1016/j.health.2023.100293</t>
        </is>
      </c>
      <c r="K28" s="4" t="inlineStr">
        <is>
          <t>Not recorded; historical inclusion retained</t>
        </is>
      </c>
      <c r="L28" s="4" t="inlineStr">
        <is>
          <t>RA</t>
        </is>
      </c>
      <c r="M28" s="40" t="n"/>
      <c r="N28" s="4" t="inlineStr">
        <is>
          <t>Pending independent/source verification</t>
        </is>
      </c>
      <c r="O28" s="4" t="inlineStr">
        <is>
          <t>RQ1_RQ2_base_276 / RQ3_base_276</t>
        </is>
      </c>
      <c r="P28" s="4" t="n">
        <v>28</v>
      </c>
    </row>
    <row r="29" ht="47" customHeight="1">
      <c r="A29" s="4" t="inlineStr">
        <is>
          <t>29</t>
        </is>
      </c>
      <c r="B29" s="4" t="inlineStr">
        <is>
          <t>Historical</t>
        </is>
      </c>
      <c r="C29" s="4" t="n">
        <v>29</v>
      </c>
      <c r="D29" s="4" t="inlineStr">
        <is>
          <t>An intellectual autism spectrum disorder classification framework in healthcare industry using ViT-based adaptive deep learning model</t>
        </is>
      </c>
      <c r="E29" s="4" t="inlineStr">
        <is>
          <t>10.1016/j.bspc.2025.107737</t>
        </is>
      </c>
      <c r="F29" s="4" t="n">
        <v>2025</v>
      </c>
      <c r="G29" s="4" t="inlineStr">
        <is>
          <t>Historical include</t>
        </is>
      </c>
      <c r="H29" s="4" t="inlineStr">
        <is>
          <t>Not recorded</t>
        </is>
      </c>
      <c r="I29" s="4" t="n">
        <v>0</v>
      </c>
      <c r="J29" s="4" t="inlineStr">
        <is>
          <t>https://doi.org/10.1016/j.bspc.2025.107737</t>
        </is>
      </c>
      <c r="K29" s="4" t="inlineStr">
        <is>
          <t>Not recorded; historical inclusion retained</t>
        </is>
      </c>
      <c r="L29" s="4" t="str"/>
      <c r="M29" s="40" t="n"/>
      <c r="N29" s="4" t="inlineStr">
        <is>
          <t>Pending independent/source verification</t>
        </is>
      </c>
      <c r="O29" s="4" t="inlineStr">
        <is>
          <t>RQ1_RQ2_base_276 / RQ3_base_276</t>
        </is>
      </c>
      <c r="P29" s="4" t="n">
        <v>29</v>
      </c>
    </row>
    <row r="30" ht="47" customHeight="1">
      <c r="A30" s="4" t="inlineStr">
        <is>
          <t>30</t>
        </is>
      </c>
      <c r="B30" s="4" t="inlineStr">
        <is>
          <t>Historical</t>
        </is>
      </c>
      <c r="C30" s="4" t="n">
        <v>30</v>
      </c>
      <c r="D30" s="4" t="inlineStr">
        <is>
          <t>Analysis and Detection of Autism Spectrum Disorder Using Machine Learning Techniques</t>
        </is>
      </c>
      <c r="E30" s="4" t="inlineStr">
        <is>
          <t>10.1016/j.procs.2020.03.399</t>
        </is>
      </c>
      <c r="F30" s="4" t="n">
        <v>2020</v>
      </c>
      <c r="G30" s="4" t="inlineStr">
        <is>
          <t>Historical include</t>
        </is>
      </c>
      <c r="H30" s="4" t="inlineStr">
        <is>
          <t>Not recorded</t>
        </is>
      </c>
      <c r="I30" s="4" t="n">
        <v>0</v>
      </c>
      <c r="J30" s="4" t="inlineStr">
        <is>
          <t>https://doi.org/10.1016/j.procs.2020.03.399</t>
        </is>
      </c>
      <c r="K30" s="4" t="inlineStr">
        <is>
          <t>Not recorded; historical inclusion retained</t>
        </is>
      </c>
      <c r="L30" s="4" t="str"/>
      <c r="M30" s="40" t="n"/>
      <c r="N30" s="4" t="inlineStr">
        <is>
          <t>Pending independent/source verification</t>
        </is>
      </c>
      <c r="O30" s="4" t="inlineStr">
        <is>
          <t>RQ1_RQ2_base_276 / RQ3_base_276</t>
        </is>
      </c>
      <c r="P30" s="4" t="n">
        <v>30</v>
      </c>
    </row>
    <row r="31" ht="47" customHeight="1">
      <c r="A31" s="4" t="inlineStr">
        <is>
          <t>31</t>
        </is>
      </c>
      <c r="B31" s="4" t="inlineStr">
        <is>
          <t>Historical</t>
        </is>
      </c>
      <c r="C31" s="4" t="n">
        <v>31</v>
      </c>
      <c r="D31" s="4" t="inlineStr">
        <is>
          <t>ASD classification for children using deep neural network</t>
        </is>
      </c>
      <c r="E31" s="4" t="inlineStr">
        <is>
          <t>10.1016/j.gltp.2021.08.042</t>
        </is>
      </c>
      <c r="F31" s="4" t="n">
        <v>2021</v>
      </c>
      <c r="G31" s="4" t="inlineStr">
        <is>
          <t>Historical include</t>
        </is>
      </c>
      <c r="H31" s="4" t="inlineStr">
        <is>
          <t>Not recorded</t>
        </is>
      </c>
      <c r="I31" s="4" t="n">
        <v>0</v>
      </c>
      <c r="J31" s="4" t="inlineStr">
        <is>
          <t>https://doi.org/10.1016/j.gltp.2021.08.042</t>
        </is>
      </c>
      <c r="K31" s="4" t="inlineStr">
        <is>
          <t>Not recorded; historical inclusion retained</t>
        </is>
      </c>
      <c r="L31" s="4" t="str"/>
      <c r="M31" s="40" t="n"/>
      <c r="N31" s="4" t="inlineStr">
        <is>
          <t>Pending independent/source verification</t>
        </is>
      </c>
      <c r="O31" s="4" t="inlineStr">
        <is>
          <t>RQ1_RQ2_base_276 / RQ3_base_276</t>
        </is>
      </c>
      <c r="P31" s="4" t="n">
        <v>31</v>
      </c>
    </row>
    <row r="32" ht="47" customHeight="1">
      <c r="A32" s="4" t="inlineStr">
        <is>
          <t>32</t>
        </is>
      </c>
      <c r="B32" s="4" t="inlineStr">
        <is>
          <t>Historical</t>
        </is>
      </c>
      <c r="C32" s="4" t="n">
        <v>32</v>
      </c>
      <c r="D32" s="4" t="inlineStr">
        <is>
          <t>ASD-GraphNet: A novel graph learning approach for Autism Spectrum Disorder diagnosis using fMRI data</t>
        </is>
      </c>
      <c r="E32" s="4" t="inlineStr">
        <is>
          <t>10.1016/j.compbiomed.2025.110723</t>
        </is>
      </c>
      <c r="F32" s="4" t="n">
        <v>2025</v>
      </c>
      <c r="G32" s="4" t="inlineStr">
        <is>
          <t>Historical include</t>
        </is>
      </c>
      <c r="H32" s="4" t="inlineStr">
        <is>
          <t>Not recorded</t>
        </is>
      </c>
      <c r="I32" s="4" t="n">
        <v>0</v>
      </c>
      <c r="J32" s="4" t="inlineStr">
        <is>
          <t>https://doi.org/10.1016/j.compbiomed.2025.110723</t>
        </is>
      </c>
      <c r="K32" s="4" t="inlineStr">
        <is>
          <t>Not recorded; historical inclusion retained</t>
        </is>
      </c>
      <c r="L32" s="4" t="str"/>
      <c r="M32" s="40" t="n"/>
      <c r="N32" s="4" t="inlineStr">
        <is>
          <t>Pending independent/source verification</t>
        </is>
      </c>
      <c r="O32" s="4" t="inlineStr">
        <is>
          <t>RQ1_RQ2_base_276 / RQ3_base_276</t>
        </is>
      </c>
      <c r="P32" s="4" t="n">
        <v>32</v>
      </c>
    </row>
    <row r="33" ht="47" customHeight="1">
      <c r="A33" s="4" t="inlineStr">
        <is>
          <t>33</t>
        </is>
      </c>
      <c r="B33" s="4" t="inlineStr">
        <is>
          <t>Historical</t>
        </is>
      </c>
      <c r="C33" s="4" t="n">
        <v>33</v>
      </c>
      <c r="D33" s="4" t="inlineStr">
        <is>
          <t>Automated identification of postural control for children with autism spectrum disorder using a machine learning approach</t>
        </is>
      </c>
      <c r="E33" s="4" t="inlineStr">
        <is>
          <t>10.1016/j.jbiomech.2020.110073</t>
        </is>
      </c>
      <c r="F33" s="4" t="n">
        <v>2020</v>
      </c>
      <c r="G33" s="4" t="inlineStr">
        <is>
          <t>Historical include</t>
        </is>
      </c>
      <c r="H33" s="4" t="inlineStr">
        <is>
          <t>Not recorded</t>
        </is>
      </c>
      <c r="I33" s="4" t="n">
        <v>0</v>
      </c>
      <c r="J33" s="4" t="inlineStr">
        <is>
          <t>https://doi.org/10.1016/j.jbiomech.2020.110073</t>
        </is>
      </c>
      <c r="K33" s="4" t="inlineStr">
        <is>
          <t>Not recorded; historical inclusion retained</t>
        </is>
      </c>
      <c r="L33" s="4" t="inlineStr">
        <is>
          <t>RA</t>
        </is>
      </c>
      <c r="M33" s="40" t="n"/>
      <c r="N33" s="4" t="inlineStr">
        <is>
          <t>Pending independent/source verification</t>
        </is>
      </c>
      <c r="O33" s="4" t="inlineStr">
        <is>
          <t>RQ1_RQ2_base_276 / RQ3_base_276</t>
        </is>
      </c>
      <c r="P33" s="4" t="n">
        <v>33</v>
      </c>
    </row>
    <row r="34" ht="47" customHeight="1">
      <c r="A34" s="4" t="inlineStr">
        <is>
          <t>34</t>
        </is>
      </c>
      <c r="B34" s="4" t="inlineStr">
        <is>
          <t>Historical</t>
        </is>
      </c>
      <c r="C34" s="4" t="n">
        <v>34</v>
      </c>
      <c r="D34" s="4" t="inlineStr">
        <is>
          <t>Distributed Intrinsic Functional Connectivity Patterns Predict Diagnostic Status in Large Autism Cohort</t>
        </is>
      </c>
      <c r="E34" s="4" t="inlineStr">
        <is>
          <t>10.1089/brain.2017.0496</t>
        </is>
      </c>
      <c r="F34" s="4" t="n">
        <v>2017</v>
      </c>
      <c r="G34" s="4" t="inlineStr">
        <is>
          <t>Historical include</t>
        </is>
      </c>
      <c r="H34" s="4" t="inlineStr">
        <is>
          <t>Not recorded</t>
        </is>
      </c>
      <c r="I34" s="4" t="n">
        <v>0</v>
      </c>
      <c r="J34" s="4" t="inlineStr">
        <is>
          <t>https://doi.org/10.1089/brain.2017.0496</t>
        </is>
      </c>
      <c r="K34" s="4" t="inlineStr">
        <is>
          <t>Not recorded; historical inclusion retained</t>
        </is>
      </c>
      <c r="L34" s="4" t="inlineStr">
        <is>
          <t>RA</t>
        </is>
      </c>
      <c r="M34" s="40" t="n"/>
      <c r="N34" s="4" t="inlineStr">
        <is>
          <t>Pending independent/source verification</t>
        </is>
      </c>
      <c r="O34" s="4" t="inlineStr">
        <is>
          <t>RQ1_RQ2_base_276 / RQ3_base_276</t>
        </is>
      </c>
      <c r="P34" s="4" t="n">
        <v>34</v>
      </c>
    </row>
    <row r="35" ht="47" customHeight="1">
      <c r="A35" s="4" t="inlineStr">
        <is>
          <t>35</t>
        </is>
      </c>
      <c r="B35" s="4" t="inlineStr">
        <is>
          <t>Historical</t>
        </is>
      </c>
      <c r="C35" s="4" t="n">
        <v>35</v>
      </c>
      <c r="D35" s="4" t="inlineStr">
        <is>
          <t>Enhancing diagnosis of autism with optimized machine learning models and personal characteristic data</t>
        </is>
      </c>
      <c r="E35" s="4" t="inlineStr">
        <is>
          <t>10.3389/fncom.2019.00009/full</t>
        </is>
      </c>
      <c r="F35" s="4" t="n">
        <v>2019</v>
      </c>
      <c r="G35" s="4" t="inlineStr">
        <is>
          <t>Historical include</t>
        </is>
      </c>
      <c r="H35" s="4" t="inlineStr">
        <is>
          <t>Not recorded</t>
        </is>
      </c>
      <c r="I35" s="4" t="n">
        <v>0</v>
      </c>
      <c r="J35" s="4" t="inlineStr">
        <is>
          <t>https://doi.org/10.3389/fncom.2019.00009/full</t>
        </is>
      </c>
      <c r="K35" s="4" t="inlineStr">
        <is>
          <t>Not recorded; historical inclusion retained</t>
        </is>
      </c>
      <c r="L35" s="4" t="inlineStr">
        <is>
          <t>RA</t>
        </is>
      </c>
      <c r="M35" s="40" t="n"/>
      <c r="N35" s="4" t="inlineStr">
        <is>
          <t>Pending independent/source verification</t>
        </is>
      </c>
      <c r="O35" s="4" t="inlineStr">
        <is>
          <t>RQ1_RQ2_base_276 / RQ3_base_276</t>
        </is>
      </c>
      <c r="P35" s="4" t="n">
        <v>35</v>
      </c>
    </row>
    <row r="36" ht="47" customHeight="1">
      <c r="A36" s="4" t="inlineStr">
        <is>
          <t>36</t>
        </is>
      </c>
      <c r="B36" s="4" t="inlineStr">
        <is>
          <t>Historical</t>
        </is>
      </c>
      <c r="C36" s="4" t="n">
        <v>36</v>
      </c>
      <c r="D36" s="4" t="inlineStr">
        <is>
          <t>Investigating multiclass autism spectrum disorder classification using machine learning techniques</t>
        </is>
      </c>
      <c r="E36" s="4" t="inlineStr">
        <is>
          <t>10.1016/j.prime.2024.100602</t>
        </is>
      </c>
      <c r="F36" s="4" t="n">
        <v>2024</v>
      </c>
      <c r="G36" s="4" t="inlineStr">
        <is>
          <t>Historical include</t>
        </is>
      </c>
      <c r="H36" s="4" t="inlineStr">
        <is>
          <t>Not recorded</t>
        </is>
      </c>
      <c r="I36" s="4" t="n">
        <v>0</v>
      </c>
      <c r="J36" s="4" t="inlineStr">
        <is>
          <t>https://doi.org/10.1016/j.prime.2024.100602</t>
        </is>
      </c>
      <c r="K36" s="4" t="inlineStr">
        <is>
          <t>Not recorded; historical inclusion retained</t>
        </is>
      </c>
      <c r="L36" s="4" t="inlineStr">
        <is>
          <t>RA</t>
        </is>
      </c>
      <c r="M36" s="40" t="n"/>
      <c r="N36" s="4" t="inlineStr">
        <is>
          <t>Pending independent/source verification</t>
        </is>
      </c>
      <c r="O36" s="4" t="inlineStr">
        <is>
          <t>RQ1_RQ2_base_276 / RQ3_base_276</t>
        </is>
      </c>
      <c r="P36" s="4" t="n">
        <v>36</v>
      </c>
    </row>
    <row r="37" ht="47" customHeight="1">
      <c r="A37" s="4" t="inlineStr">
        <is>
          <t>37</t>
        </is>
      </c>
      <c r="B37" s="4" t="inlineStr">
        <is>
          <t>Historical</t>
        </is>
      </c>
      <c r="C37" s="4" t="n">
        <v>37</v>
      </c>
      <c r="D37" s="4" t="inlineStr">
        <is>
          <t>Jellyfish Search Optimization with Deep Learning Driven Autism Spectrum Disorder Classification</t>
        </is>
      </c>
      <c r="E37" s="4" t="inlineStr">
        <is>
          <t>10.32604/cmc.2023.032586</t>
        </is>
      </c>
      <c r="F37" s="4" t="n">
        <v>2023</v>
      </c>
      <c r="G37" s="4" t="inlineStr">
        <is>
          <t>Historical include</t>
        </is>
      </c>
      <c r="H37" s="4" t="inlineStr">
        <is>
          <t>Not recorded</t>
        </is>
      </c>
      <c r="I37" s="4" t="n">
        <v>0</v>
      </c>
      <c r="J37" s="4" t="inlineStr">
        <is>
          <t>https://doi.org/10.32604/cmc.2023.032586</t>
        </is>
      </c>
      <c r="K37" s="4" t="inlineStr">
        <is>
          <t>Not recorded; historical inclusion retained</t>
        </is>
      </c>
      <c r="L37" s="4" t="str"/>
      <c r="M37" s="40" t="n"/>
      <c r="N37" s="4" t="inlineStr">
        <is>
          <t>Pending independent/source verification</t>
        </is>
      </c>
      <c r="O37" s="4" t="inlineStr">
        <is>
          <t>RQ1_RQ2_base_276 / RQ3_base_276</t>
        </is>
      </c>
      <c r="P37" s="4" t="n">
        <v>37</v>
      </c>
    </row>
    <row r="38" ht="47" customHeight="1">
      <c r="A38" s="4" t="inlineStr">
        <is>
          <t>38</t>
        </is>
      </c>
      <c r="B38" s="4" t="inlineStr">
        <is>
          <t>Historical</t>
        </is>
      </c>
      <c r="C38" s="4" t="n">
        <v>38</v>
      </c>
      <c r="D38" s="4" t="inlineStr">
        <is>
          <t>Machine learning analysis of pregnancy data enables early identification of a subpopulation of newborns with ASD</t>
        </is>
      </c>
      <c r="E38" s="4" t="inlineStr">
        <is>
          <t>10.1038/s41598-021-86320-0</t>
        </is>
      </c>
      <c r="F38" s="4" t="n">
        <v>2021</v>
      </c>
      <c r="G38" s="4" t="inlineStr">
        <is>
          <t>Historical include</t>
        </is>
      </c>
      <c r="H38" s="4" t="inlineStr">
        <is>
          <t>Not recorded</t>
        </is>
      </c>
      <c r="I38" s="4" t="n">
        <v>0</v>
      </c>
      <c r="J38" s="4" t="inlineStr">
        <is>
          <t>https://doi.org/10.1038/s41598-021-86320-0</t>
        </is>
      </c>
      <c r="K38" s="4" t="inlineStr">
        <is>
          <t>Not recorded; historical inclusion retained</t>
        </is>
      </c>
      <c r="L38" s="4" t="str"/>
      <c r="M38" s="40" t="n"/>
      <c r="N38" s="4" t="inlineStr">
        <is>
          <t>Pending independent/source verification</t>
        </is>
      </c>
      <c r="O38" s="4" t="inlineStr">
        <is>
          <t>RQ1_RQ2_base_276 / RQ3_base_276</t>
        </is>
      </c>
      <c r="P38" s="4" t="n">
        <v>38</v>
      </c>
    </row>
    <row r="39" ht="47" customHeight="1">
      <c r="A39" s="4" t="inlineStr">
        <is>
          <t>39</t>
        </is>
      </c>
      <c r="B39" s="4" t="inlineStr">
        <is>
          <t>Historical</t>
        </is>
      </c>
      <c r="C39" s="4" t="n">
        <v>39</v>
      </c>
      <c r="D39" s="4" t="inlineStr">
        <is>
          <t>Machine Learning-Based Blood RNA Signature for Diagnosis of Autism Spectrum Disorder</t>
        </is>
      </c>
      <c r="E39" s="4" t="inlineStr">
        <is>
          <t>10.3390/ijms24032082</t>
        </is>
      </c>
      <c r="F39" s="4" t="n">
        <v>2023</v>
      </c>
      <c r="G39" s="4" t="inlineStr">
        <is>
          <t>Historical include</t>
        </is>
      </c>
      <c r="H39" s="4" t="inlineStr">
        <is>
          <t>Not recorded</t>
        </is>
      </c>
      <c r="I39" s="4" t="n">
        <v>0</v>
      </c>
      <c r="J39" s="4" t="inlineStr">
        <is>
          <t>https://doi.org/10.3390/ijms24032082</t>
        </is>
      </c>
      <c r="K39" s="4" t="inlineStr">
        <is>
          <t>Not recorded; historical inclusion retained</t>
        </is>
      </c>
      <c r="L39" s="4" t="str"/>
      <c r="M39" s="40" t="n"/>
      <c r="N39" s="4" t="inlineStr">
        <is>
          <t>Pending independent/source verification</t>
        </is>
      </c>
      <c r="O39" s="4" t="inlineStr">
        <is>
          <t>RQ1_RQ2_base_276 / RQ3_base_276</t>
        </is>
      </c>
      <c r="P39" s="4" t="n">
        <v>39</v>
      </c>
    </row>
    <row r="40" ht="47" customHeight="1">
      <c r="A40" s="4" t="inlineStr">
        <is>
          <t>40</t>
        </is>
      </c>
      <c r="B40" s="4" t="inlineStr">
        <is>
          <t>Historical</t>
        </is>
      </c>
      <c r="C40" s="4" t="n">
        <v>40</v>
      </c>
      <c r="D40" s="4" t="inlineStr">
        <is>
          <t>Metabolomic analysis of maternal mid-gestation plasma and cord blood in autism spectrum disorders</t>
        </is>
      </c>
      <c r="E40" s="4" t="inlineStr">
        <is>
          <t>10.1038/s41380-023-02051-w</t>
        </is>
      </c>
      <c r="F40" s="4" t="n">
        <v>2023</v>
      </c>
      <c r="G40" s="4" t="inlineStr">
        <is>
          <t>Historical include</t>
        </is>
      </c>
      <c r="H40" s="4" t="inlineStr">
        <is>
          <t>Not recorded</t>
        </is>
      </c>
      <c r="I40" s="4" t="n">
        <v>0</v>
      </c>
      <c r="J40" s="4" t="inlineStr">
        <is>
          <t>https://doi.org/10.1038/s41380-023-02051-w</t>
        </is>
      </c>
      <c r="K40" s="4" t="inlineStr">
        <is>
          <t>Not recorded; historical inclusion retained</t>
        </is>
      </c>
      <c r="L40" s="4" t="str"/>
      <c r="M40" s="40" t="n"/>
      <c r="N40" s="4" t="inlineStr">
        <is>
          <t>Pending independent/source verification</t>
        </is>
      </c>
      <c r="O40" s="4" t="inlineStr">
        <is>
          <t>RQ1_RQ2_base_276 / RQ3_base_276</t>
        </is>
      </c>
      <c r="P40" s="4" t="n">
        <v>40</v>
      </c>
    </row>
    <row r="41" ht="47" customHeight="1">
      <c r="A41" s="4" t="inlineStr">
        <is>
          <t>41</t>
        </is>
      </c>
      <c r="B41" s="4" t="inlineStr">
        <is>
          <t>Historical</t>
        </is>
      </c>
      <c r="C41" s="4" t="n">
        <v>41</v>
      </c>
      <c r="D41" s="4" t="inlineStr">
        <is>
          <t>Predictors of age at diagnosis in autism spectrum disorders: the use of multiple regression analyses and a classification tree on a clinical sample</t>
        </is>
      </c>
      <c r="E41" s="4" t="inlineStr">
        <is>
          <t>10.1007/s00787-023-02189-6</t>
        </is>
      </c>
      <c r="F41" s="4" t="n">
        <v>2023</v>
      </c>
      <c r="G41" s="4" t="inlineStr">
        <is>
          <t>Historical include</t>
        </is>
      </c>
      <c r="H41" s="4" t="inlineStr">
        <is>
          <t>Not recorded</t>
        </is>
      </c>
      <c r="I41" s="4" t="n">
        <v>0</v>
      </c>
      <c r="J41" s="4" t="inlineStr">
        <is>
          <t>https://doi.org/10.1007/s00787-023-02189-6</t>
        </is>
      </c>
      <c r="K41" s="4" t="inlineStr">
        <is>
          <t>Not recorded; historical inclusion retained</t>
        </is>
      </c>
      <c r="L41" s="4" t="inlineStr">
        <is>
          <t>RA</t>
        </is>
      </c>
      <c r="M41" s="40" t="n"/>
      <c r="N41" s="4" t="inlineStr">
        <is>
          <t>Pending independent/source verification</t>
        </is>
      </c>
      <c r="O41" s="4" t="inlineStr">
        <is>
          <t>RQ1_RQ2_base_276 / RQ3_base_276</t>
        </is>
      </c>
      <c r="P41" s="4" t="n">
        <v>41</v>
      </c>
    </row>
    <row r="42" ht="47" customHeight="1">
      <c r="A42" s="4" t="inlineStr">
        <is>
          <t>42</t>
        </is>
      </c>
      <c r="B42" s="4" t="inlineStr">
        <is>
          <t>Historical</t>
        </is>
      </c>
      <c r="C42" s="4" t="n">
        <v>42</v>
      </c>
      <c r="D42" s="4" t="inlineStr">
        <is>
          <t>Promoting emotional and behavioral interventions in ASD treatment: Evidence from EPIGRAM, A naturalistic, prospective and longitudinal study</t>
        </is>
      </c>
      <c r="E42" s="4" t="inlineStr">
        <is>
          <t>10.1016/j.ridd.2024.104688</t>
        </is>
      </c>
      <c r="F42" s="4" t="n">
        <v>2024</v>
      </c>
      <c r="G42" s="4" t="inlineStr">
        <is>
          <t>Historical include</t>
        </is>
      </c>
      <c r="H42" s="4" t="inlineStr">
        <is>
          <t>Not recorded</t>
        </is>
      </c>
      <c r="I42" s="4" t="n">
        <v>0</v>
      </c>
      <c r="J42" s="4" t="inlineStr">
        <is>
          <t>https://doi.org/10.1016/j.ridd.2024.104688</t>
        </is>
      </c>
      <c r="K42" s="4" t="inlineStr">
        <is>
          <t>Not recorded; historical inclusion retained</t>
        </is>
      </c>
      <c r="L42" s="4" t="inlineStr">
        <is>
          <t>RA</t>
        </is>
      </c>
      <c r="M42" s="40" t="n"/>
      <c r="N42" s="4" t="inlineStr">
        <is>
          <t>Pending independent/source verification</t>
        </is>
      </c>
      <c r="O42" s="4" t="inlineStr">
        <is>
          <t>RQ1_RQ2_base_276 / RQ3_base_276</t>
        </is>
      </c>
      <c r="P42" s="4" t="n">
        <v>42</v>
      </c>
    </row>
    <row r="43" ht="47" customHeight="1">
      <c r="A43" s="4" t="inlineStr">
        <is>
          <t>43</t>
        </is>
      </c>
      <c r="B43" s="4" t="inlineStr">
        <is>
          <t>Historical</t>
        </is>
      </c>
      <c r="C43" s="4" t="n">
        <v>43</v>
      </c>
      <c r="D43" s="4" t="inlineStr">
        <is>
          <t>The role of the dopamine system in autism spectrum disorder revealed using machine learning: an ABIDE database–based study</t>
        </is>
      </c>
      <c r="E43" s="4" t="inlineStr">
        <is>
          <t>10.1093/cercor/bhaf022</t>
        </is>
      </c>
      <c r="F43" s="4" t="n">
        <v>2025</v>
      </c>
      <c r="G43" s="4" t="inlineStr">
        <is>
          <t>Historical include</t>
        </is>
      </c>
      <c r="H43" s="4" t="inlineStr">
        <is>
          <t>Not recorded</t>
        </is>
      </c>
      <c r="I43" s="4" t="n">
        <v>0</v>
      </c>
      <c r="J43" s="4" t="inlineStr">
        <is>
          <t>https://doi.org/10.1093/cercor/bhaf022</t>
        </is>
      </c>
      <c r="K43" s="4" t="inlineStr">
        <is>
          <t>Not recorded; historical inclusion retained</t>
        </is>
      </c>
      <c r="L43" s="4" t="str"/>
      <c r="M43" s="40" t="n"/>
      <c r="N43" s="4" t="inlineStr">
        <is>
          <t>Pending independent/source verification</t>
        </is>
      </c>
      <c r="O43" s="4" t="inlineStr">
        <is>
          <t>RQ1_RQ2_base_276 / RQ3_base_276</t>
        </is>
      </c>
      <c r="P43" s="4" t="n">
        <v>43</v>
      </c>
    </row>
    <row r="44" ht="47" customHeight="1">
      <c r="A44" s="4" t="inlineStr">
        <is>
          <t>44</t>
        </is>
      </c>
      <c r="B44" s="4" t="inlineStr">
        <is>
          <t>Historical</t>
        </is>
      </c>
      <c r="C44" s="4" t="n">
        <v>44</v>
      </c>
      <c r="D44" s="4" t="inlineStr">
        <is>
          <t>Using Artificial Intelligence to Identify Factors Associated with Autism Spectrum Disorder in Adolescents with Cerebral Palsy</t>
        </is>
      </c>
      <c r="E44" s="4" t="inlineStr">
        <is>
          <t>10.1055/s-0039-1685525</t>
        </is>
      </c>
      <c r="F44" s="4" t="n">
        <v>2019</v>
      </c>
      <c r="G44" s="4" t="inlineStr">
        <is>
          <t>Historical include</t>
        </is>
      </c>
      <c r="H44" s="4" t="inlineStr">
        <is>
          <t>Not recorded</t>
        </is>
      </c>
      <c r="I44" s="4" t="n">
        <v>0</v>
      </c>
      <c r="J44" s="4" t="inlineStr">
        <is>
          <t>https://doi.org/10.1055/s-0039-1685525</t>
        </is>
      </c>
      <c r="K44" s="4" t="inlineStr">
        <is>
          <t>Not recorded; historical inclusion retained</t>
        </is>
      </c>
      <c r="L44" s="4" t="inlineStr">
        <is>
          <t>RA</t>
        </is>
      </c>
      <c r="M44" s="40" t="n"/>
      <c r="N44" s="4" t="inlineStr">
        <is>
          <t>Pending independent/source verification</t>
        </is>
      </c>
      <c r="O44" s="4" t="inlineStr">
        <is>
          <t>RQ1_RQ2_base_276 / RQ3_base_276</t>
        </is>
      </c>
      <c r="P44" s="4" t="n">
        <v>44</v>
      </c>
    </row>
    <row r="45" ht="47" customHeight="1">
      <c r="A45" s="4" t="inlineStr">
        <is>
          <t>45</t>
        </is>
      </c>
      <c r="B45" s="4" t="inlineStr">
        <is>
          <t>Historical</t>
        </is>
      </c>
      <c r="C45" s="4" t="n">
        <v>45</v>
      </c>
      <c r="D45" s="4" t="inlineStr">
        <is>
          <t>Using resting state functional MRI to build a personalized autism diagnosis system</t>
        </is>
      </c>
      <c r="E45" s="4" t="inlineStr">
        <is>
          <t>10.1371/journal.pone.0206351</t>
        </is>
      </c>
      <c r="F45" s="4" t="n">
        <v>2018</v>
      </c>
      <c r="G45" s="4" t="inlineStr">
        <is>
          <t>Historical include</t>
        </is>
      </c>
      <c r="H45" s="4" t="inlineStr">
        <is>
          <t>Not recorded</t>
        </is>
      </c>
      <c r="I45" s="4" t="n">
        <v>0</v>
      </c>
      <c r="J45" s="4" t="inlineStr">
        <is>
          <t>https://doi.org/10.1371/journal.pone.0206351</t>
        </is>
      </c>
      <c r="K45" s="4" t="inlineStr">
        <is>
          <t>Not recorded; historical inclusion retained</t>
        </is>
      </c>
      <c r="L45" s="4" t="inlineStr">
        <is>
          <t>RA</t>
        </is>
      </c>
      <c r="M45" s="40" t="n"/>
      <c r="N45" s="4" t="inlineStr">
        <is>
          <t>Pending independent/source verification</t>
        </is>
      </c>
      <c r="O45" s="4" t="inlineStr">
        <is>
          <t>RQ1_RQ2_base_276 / RQ3_base_276</t>
        </is>
      </c>
      <c r="P45" s="4" t="n">
        <v>45</v>
      </c>
    </row>
    <row r="46" ht="47" customHeight="1">
      <c r="A46" s="4" t="inlineStr">
        <is>
          <t>46</t>
        </is>
      </c>
      <c r="B46" s="4" t="inlineStr">
        <is>
          <t>Historical</t>
        </is>
      </c>
      <c r="C46" s="4" t="n">
        <v>46</v>
      </c>
      <c r="D46" s="4" t="inlineStr">
        <is>
          <t>A Model to Support the Prediction of Indicators in the Diagnosis and Intervention of Autism Spectrum Disorder</t>
        </is>
      </c>
      <c r="E46" s="4" t="inlineStr">
        <is>
          <t>10.1007/978-3-031-48642-5_7</t>
        </is>
      </c>
      <c r="F46" s="4" t="n">
        <v>2023</v>
      </c>
      <c r="G46" s="4" t="inlineStr">
        <is>
          <t>Historical include</t>
        </is>
      </c>
      <c r="H46" s="4" t="inlineStr">
        <is>
          <t>Not recorded</t>
        </is>
      </c>
      <c r="I46" s="4" t="n">
        <v>0</v>
      </c>
      <c r="J46" s="4" t="inlineStr">
        <is>
          <t>https://doi.org/10.1007/978-3-031-48642-5_7</t>
        </is>
      </c>
      <c r="K46" s="4" t="inlineStr">
        <is>
          <t>Not recorded; historical inclusion retained</t>
        </is>
      </c>
      <c r="L46" s="4" t="inlineStr">
        <is>
          <t>RA</t>
        </is>
      </c>
      <c r="M46" s="40" t="n"/>
      <c r="N46" s="4" t="inlineStr">
        <is>
          <t>Pending independent/source verification</t>
        </is>
      </c>
      <c r="O46" s="4" t="inlineStr">
        <is>
          <t>RQ1_RQ2_base_276 / RQ3_base_276</t>
        </is>
      </c>
      <c r="P46" s="4" t="n">
        <v>46</v>
      </c>
    </row>
    <row r="47" ht="47" customHeight="1">
      <c r="A47" s="4" t="inlineStr">
        <is>
          <t>47</t>
        </is>
      </c>
      <c r="B47" s="4" t="inlineStr">
        <is>
          <t>Historical</t>
        </is>
      </c>
      <c r="C47" s="4" t="n">
        <v>47</v>
      </c>
      <c r="D47" s="4" t="inlineStr">
        <is>
          <t>A novel multi-modal model to assist the diagnosis of autism spectrum disorder using eye-tracking data</t>
        </is>
      </c>
      <c r="E47" s="4" t="inlineStr">
        <is>
          <t>10.1007/s13755-024-00299-2</t>
        </is>
      </c>
      <c r="F47" s="4" t="n">
        <v>2024</v>
      </c>
      <c r="G47" s="4" t="inlineStr">
        <is>
          <t>Historical include</t>
        </is>
      </c>
      <c r="H47" s="4" t="inlineStr">
        <is>
          <t>Not recorded</t>
        </is>
      </c>
      <c r="I47" s="4" t="n">
        <v>0</v>
      </c>
      <c r="J47" s="4" t="inlineStr">
        <is>
          <t>https://doi.org/10.1007/s13755-024-00299-2</t>
        </is>
      </c>
      <c r="K47" s="4" t="inlineStr">
        <is>
          <t>Not recorded; historical inclusion retained</t>
        </is>
      </c>
      <c r="L47" s="4" t="str"/>
      <c r="M47" s="40" t="n"/>
      <c r="N47" s="4" t="inlineStr">
        <is>
          <t>Pending independent/source verification</t>
        </is>
      </c>
      <c r="O47" s="4" t="inlineStr">
        <is>
          <t>RQ1_RQ2_base_276 / RQ3_base_276</t>
        </is>
      </c>
      <c r="P47" s="4" t="n">
        <v>47</v>
      </c>
    </row>
    <row r="48" ht="47" customHeight="1">
      <c r="A48" s="4" t="inlineStr">
        <is>
          <t>48</t>
        </is>
      </c>
      <c r="B48" s="4" t="inlineStr">
        <is>
          <t>Historical</t>
        </is>
      </c>
      <c r="C48" s="4" t="n">
        <v>48</v>
      </c>
      <c r="D48" s="4" t="inlineStr">
        <is>
          <t>A randomized controlled trial of 25 sessions comparing music therapy and music listening for children with autism spectrum disorder</t>
        </is>
      </c>
      <c r="E48" s="4" t="inlineStr">
        <is>
          <t>10.1016/j.psychres.2020.113377</t>
        </is>
      </c>
      <c r="F48" s="4" t="n">
        <v>2020</v>
      </c>
      <c r="G48" s="4" t="inlineStr">
        <is>
          <t>Historical include</t>
        </is>
      </c>
      <c r="H48" s="4" t="inlineStr">
        <is>
          <t>Not recorded</t>
        </is>
      </c>
      <c r="I48" s="4" t="n">
        <v>0</v>
      </c>
      <c r="J48" s="4" t="inlineStr">
        <is>
          <t>https://doi.org/10.1016/j.psychres.2020.113377</t>
        </is>
      </c>
      <c r="K48" s="4" t="inlineStr">
        <is>
          <t>Not recorded; historical inclusion retained</t>
        </is>
      </c>
      <c r="L48" s="4" t="inlineStr">
        <is>
          <t>RA</t>
        </is>
      </c>
      <c r="M48" s="40" t="n"/>
      <c r="N48" s="4" t="inlineStr">
        <is>
          <t>Pending independent/source verification</t>
        </is>
      </c>
      <c r="O48" s="4" t="inlineStr">
        <is>
          <t>RQ1_RQ2_base_276 / RQ3_base_276</t>
        </is>
      </c>
      <c r="P48" s="4" t="n">
        <v>48</v>
      </c>
    </row>
    <row r="49" ht="47" customHeight="1">
      <c r="A49" s="4" t="inlineStr">
        <is>
          <t>49</t>
        </is>
      </c>
      <c r="B49" s="4" t="inlineStr">
        <is>
          <t>Historical</t>
        </is>
      </c>
      <c r="C49" s="4" t="n">
        <v>49</v>
      </c>
      <c r="D49" s="4" t="inlineStr">
        <is>
          <t>A Triple-Pooling Graph Neural Network for\&amp;#xa0;Multi-scale Topological Learning of\&amp;#xa0;Brain Functional Connectivity: Application to\&amp;#xa0;ASD Diagnosis</t>
        </is>
      </c>
      <c r="E49" s="4" t="inlineStr">
        <is>
          <t>10.1007/978-3-030-93049-3_30</t>
        </is>
      </c>
      <c r="F49" s="4" t="n">
        <v>2021</v>
      </c>
      <c r="G49" s="4" t="inlineStr">
        <is>
          <t>Historical include</t>
        </is>
      </c>
      <c r="H49" s="4" t="inlineStr">
        <is>
          <t>Not recorded</t>
        </is>
      </c>
      <c r="I49" s="4" t="n">
        <v>0</v>
      </c>
      <c r="J49" s="4" t="inlineStr">
        <is>
          <t>https://doi.org/10.1007/978-3-030-93049-3_30</t>
        </is>
      </c>
      <c r="K49" s="4" t="inlineStr">
        <is>
          <t>Not recorded; historical inclusion retained</t>
        </is>
      </c>
      <c r="L49" s="4" t="str"/>
      <c r="M49" s="40" t="n"/>
      <c r="N49" s="4" t="inlineStr">
        <is>
          <t>Pending independent/source verification</t>
        </is>
      </c>
      <c r="O49" s="4" t="inlineStr">
        <is>
          <t>RQ1_RQ2_base_276 / RQ3_base_276</t>
        </is>
      </c>
      <c r="P49" s="4" t="n">
        <v>49</v>
      </c>
    </row>
    <row r="50" ht="47" customHeight="1">
      <c r="A50" s="4" t="inlineStr">
        <is>
          <t>51</t>
        </is>
      </c>
      <c r="B50" s="4" t="inlineStr">
        <is>
          <t>Historical</t>
        </is>
      </c>
      <c r="C50" s="4" t="n">
        <v>51</v>
      </c>
      <c r="D50" s="4" t="inlineStr">
        <is>
          <t>Bilinear Perceptual Fusion Algorithm Based on Brain Functional and Structural Data for ASD Diagnosis and Regions of Interest Identification</t>
        </is>
      </c>
      <c r="E50" s="4" t="inlineStr">
        <is>
          <t>10.1007/s12539-024-00651-w</t>
        </is>
      </c>
      <c r="F50" s="4" t="n">
        <v>2024</v>
      </c>
      <c r="G50" s="4" t="inlineStr">
        <is>
          <t>Historical include</t>
        </is>
      </c>
      <c r="H50" s="4" t="inlineStr">
        <is>
          <t>Not recorded</t>
        </is>
      </c>
      <c r="I50" s="4" t="n">
        <v>0</v>
      </c>
      <c r="J50" s="4" t="inlineStr">
        <is>
          <t>https://doi.org/10.1007/s12539-024-00651-w</t>
        </is>
      </c>
      <c r="K50" s="4" t="inlineStr">
        <is>
          <t>Not recorded; historical inclusion retained</t>
        </is>
      </c>
      <c r="L50" s="4" t="inlineStr">
        <is>
          <t>RA</t>
        </is>
      </c>
      <c r="M50" s="40" t="n"/>
      <c r="N50" s="4" t="inlineStr">
        <is>
          <t>Pending independent/source verification</t>
        </is>
      </c>
      <c r="O50" s="4" t="inlineStr">
        <is>
          <t>RQ1_RQ2_base_276 / RQ3_base_276</t>
        </is>
      </c>
      <c r="P50" s="4" t="n">
        <v>50</v>
      </c>
    </row>
    <row r="51" ht="47" customHeight="1">
      <c r="A51" s="4" t="inlineStr">
        <is>
          <t>52</t>
        </is>
      </c>
      <c r="B51" s="4" t="inlineStr">
        <is>
          <t>Historical</t>
        </is>
      </c>
      <c r="C51" s="4" t="n">
        <v>52</v>
      </c>
      <c r="D51" s="4" t="inlineStr">
        <is>
          <t>Computer-aided diagnosis of autism spectrum disorder from EEG signals using deep learning with FAWT and multiscale permutation entropy features</t>
        </is>
      </c>
      <c r="E51" s="4" t="inlineStr">
        <is>
          <t>10.1177/09544119221141751</t>
        </is>
      </c>
      <c r="F51" s="4" t="n">
        <v>2023</v>
      </c>
      <c r="G51" s="4" t="inlineStr">
        <is>
          <t>Historical include</t>
        </is>
      </c>
      <c r="H51" s="4" t="inlineStr">
        <is>
          <t>Not recorded</t>
        </is>
      </c>
      <c r="I51" s="4" t="n">
        <v>0</v>
      </c>
      <c r="J51" s="4" t="inlineStr">
        <is>
          <t>https://doi.org/10.1177/09544119221141751</t>
        </is>
      </c>
      <c r="K51" s="4" t="inlineStr">
        <is>
          <t>Not recorded; historical inclusion retained</t>
        </is>
      </c>
      <c r="L51" s="4" t="inlineStr">
        <is>
          <t>RA</t>
        </is>
      </c>
      <c r="M51" s="40" t="n"/>
      <c r="N51" s="4" t="inlineStr">
        <is>
          <t>Pending independent/source verification</t>
        </is>
      </c>
      <c r="O51" s="4" t="inlineStr">
        <is>
          <t>RQ1_RQ2_base_276 / RQ3_base_276</t>
        </is>
      </c>
      <c r="P51" s="4" t="n">
        <v>51</v>
      </c>
    </row>
    <row r="52" ht="47" customHeight="1">
      <c r="A52" s="4" t="inlineStr">
        <is>
          <t>53</t>
        </is>
      </c>
      <c r="B52" s="4" t="inlineStr">
        <is>
          <t>Historical</t>
        </is>
      </c>
      <c r="C52" s="4" t="n">
        <v>53</v>
      </c>
      <c r="D52" s="4" t="inlineStr">
        <is>
          <t>Development and validation of a machine learning-based tool to predict autism among children</t>
        </is>
      </c>
      <c r="E52" s="4" t="inlineStr">
        <is>
          <t>10.1002/aur.2912</t>
        </is>
      </c>
      <c r="F52" s="4" t="n">
        <v>2023</v>
      </c>
      <c r="G52" s="4" t="inlineStr">
        <is>
          <t>Historical include</t>
        </is>
      </c>
      <c r="H52" s="4" t="inlineStr">
        <is>
          <t>Not recorded</t>
        </is>
      </c>
      <c r="I52" s="4" t="n">
        <v>0</v>
      </c>
      <c r="J52" s="4" t="inlineStr">
        <is>
          <t>https://doi.org/10.1002/aur.2912</t>
        </is>
      </c>
      <c r="K52" s="4" t="inlineStr">
        <is>
          <t>Not recorded; historical inclusion retained</t>
        </is>
      </c>
      <c r="L52" s="4" t="str"/>
      <c r="M52" s="40" t="n"/>
      <c r="N52" s="4" t="inlineStr">
        <is>
          <t>Pending independent/source verification</t>
        </is>
      </c>
      <c r="O52" s="4" t="inlineStr">
        <is>
          <t>RQ1_RQ2_base_276 / RQ3_base_276</t>
        </is>
      </c>
      <c r="P52" s="4" t="n">
        <v>52</v>
      </c>
    </row>
    <row r="53" ht="47" customHeight="1">
      <c r="A53" s="4" t="inlineStr">
        <is>
          <t>54</t>
        </is>
      </c>
      <c r="B53" s="4" t="inlineStr">
        <is>
          <t>Historical</t>
        </is>
      </c>
      <c r="C53" s="4" t="n">
        <v>54</v>
      </c>
      <c r="D53" s="4" t="inlineStr">
        <is>
          <t>Diagnostic classification of intrinsic functional connectivity highlights somatosensory, default mode, and visual regions in autism</t>
        </is>
      </c>
      <c r="E53" s="4" t="inlineStr">
        <is>
          <t>10.1016/j.nicl.2015.04.002</t>
        </is>
      </c>
      <c r="F53" s="4" t="n">
        <v>2015</v>
      </c>
      <c r="G53" s="4" t="inlineStr">
        <is>
          <t>Historical include</t>
        </is>
      </c>
      <c r="H53" s="4" t="inlineStr">
        <is>
          <t>Not recorded</t>
        </is>
      </c>
      <c r="I53" s="4" t="n">
        <v>0</v>
      </c>
      <c r="J53" s="4" t="inlineStr">
        <is>
          <t>https://doi.org/10.1016/j.nicl.2015.04.002</t>
        </is>
      </c>
      <c r="K53" s="4" t="inlineStr">
        <is>
          <t>Not recorded; historical inclusion retained</t>
        </is>
      </c>
      <c r="L53" s="4" t="str"/>
      <c r="M53" s="40" t="n"/>
      <c r="N53" s="4" t="inlineStr">
        <is>
          <t>Pending independent/source verification</t>
        </is>
      </c>
      <c r="O53" s="4" t="inlineStr">
        <is>
          <t>RQ1_RQ2_base_276 / RQ3_base_276</t>
        </is>
      </c>
      <c r="P53" s="4" t="n">
        <v>53</v>
      </c>
    </row>
    <row r="54" ht="47" customHeight="1">
      <c r="A54" s="4" t="inlineStr">
        <is>
          <t>56</t>
        </is>
      </c>
      <c r="B54" s="4" t="inlineStr">
        <is>
          <t>Historical</t>
        </is>
      </c>
      <c r="C54" s="4" t="n">
        <v>56</v>
      </c>
      <c r="D54" s="4" t="inlineStr">
        <is>
          <t>Epigenomic signatures reveal mechanistic clues and predictive markers for autism spectrum disorder</t>
        </is>
      </c>
      <c r="E54" s="4" t="inlineStr">
        <is>
          <t>10.1038/s41380-022-01917-9</t>
        </is>
      </c>
      <c r="F54" s="4" t="n">
        <v>2023</v>
      </c>
      <c r="G54" s="4" t="inlineStr">
        <is>
          <t>Historical include</t>
        </is>
      </c>
      <c r="H54" s="4" t="inlineStr">
        <is>
          <t>Not recorded</t>
        </is>
      </c>
      <c r="I54" s="4" t="n">
        <v>0</v>
      </c>
      <c r="J54" s="4" t="inlineStr">
        <is>
          <t>https://doi.org/10.1038/s41380-022-01917-9</t>
        </is>
      </c>
      <c r="K54" s="4" t="inlineStr">
        <is>
          <t>Not recorded; historical inclusion retained</t>
        </is>
      </c>
      <c r="L54" s="4" t="str"/>
      <c r="M54" s="40" t="n"/>
      <c r="N54" s="4" t="inlineStr">
        <is>
          <t>Pending independent/source verification</t>
        </is>
      </c>
      <c r="O54" s="4" t="inlineStr">
        <is>
          <t>RQ1_RQ2_base_276 / RQ3_base_276</t>
        </is>
      </c>
      <c r="P54" s="4" t="n">
        <v>54</v>
      </c>
    </row>
    <row r="55" ht="60" customHeight="1">
      <c r="A55" s="4" t="inlineStr">
        <is>
          <t>57</t>
        </is>
      </c>
      <c r="B55" s="4" t="inlineStr">
        <is>
          <t>Historical</t>
        </is>
      </c>
      <c r="C55" s="4" t="n">
        <v>57</v>
      </c>
      <c r="D55" s="4" t="inlineStr">
        <is>
          <t>Evaluation and benchmarking of hybrid machine learning models for autism spectrum disorder diagnosis using a 2-tuple linguistic neutrosophic fuzzy sets-based decision-making model</t>
        </is>
      </c>
      <c r="E55" s="4" t="inlineStr">
        <is>
          <t>10.1007/s00521-024-09905-6</t>
        </is>
      </c>
      <c r="F55" s="4" t="n">
        <v>2024</v>
      </c>
      <c r="G55" s="4" t="inlineStr">
        <is>
          <t>Historical include</t>
        </is>
      </c>
      <c r="H55" s="4" t="inlineStr">
        <is>
          <t>Not recorded</t>
        </is>
      </c>
      <c r="I55" s="4" t="n">
        <v>0</v>
      </c>
      <c r="J55" s="4" t="inlineStr">
        <is>
          <t>https://doi.org/10.1007/s00521-024-09905-6</t>
        </is>
      </c>
      <c r="K55" s="4" t="inlineStr">
        <is>
          <t>Not recorded; historical inclusion retained</t>
        </is>
      </c>
      <c r="L55" s="4" t="inlineStr">
        <is>
          <t>RA</t>
        </is>
      </c>
      <c r="M55" s="40" t="n"/>
      <c r="N55" s="4" t="inlineStr">
        <is>
          <t>Pending independent/source verification</t>
        </is>
      </c>
      <c r="O55" s="4" t="inlineStr">
        <is>
          <t>RQ1_RQ2_base_276 / RQ3_base_276</t>
        </is>
      </c>
      <c r="P55" s="4" t="n">
        <v>55</v>
      </c>
    </row>
    <row r="56" ht="47" customHeight="1">
      <c r="A56" s="4" t="inlineStr">
        <is>
          <t>58</t>
        </is>
      </c>
      <c r="B56" s="4" t="inlineStr">
        <is>
          <t>Historical</t>
        </is>
      </c>
      <c r="C56" s="4" t="n">
        <v>58</v>
      </c>
      <c r="D56" s="4" t="inlineStr">
        <is>
          <t>Event Related Potential Analysis Using Machine Learning to Predict Diagnostic Outcome of Autism Spectrum Disorder</t>
        </is>
      </c>
      <c r="E56" s="4" t="inlineStr">
        <is>
          <t>10.1007/978-3-030-88163-4_7</t>
        </is>
      </c>
      <c r="F56" s="4" t="n">
        <v>2021</v>
      </c>
      <c r="G56" s="4" t="inlineStr">
        <is>
          <t>Historical include</t>
        </is>
      </c>
      <c r="H56" s="4" t="inlineStr">
        <is>
          <t>Not recorded</t>
        </is>
      </c>
      <c r="I56" s="4" t="n">
        <v>0</v>
      </c>
      <c r="J56" s="4" t="inlineStr">
        <is>
          <t>https://doi.org/10.1007/978-3-030-88163-4_7</t>
        </is>
      </c>
      <c r="K56" s="4" t="inlineStr">
        <is>
          <t>Not recorded; historical inclusion retained</t>
        </is>
      </c>
      <c r="L56" s="4" t="str"/>
      <c r="M56" s="40" t="n"/>
      <c r="N56" s="4" t="inlineStr">
        <is>
          <t>Pending independent/source verification</t>
        </is>
      </c>
      <c r="O56" s="4" t="inlineStr">
        <is>
          <t>RQ1_RQ2_base_276 / RQ3_base_276</t>
        </is>
      </c>
      <c r="P56" s="4" t="n">
        <v>56</v>
      </c>
    </row>
    <row r="57" ht="47" customHeight="1">
      <c r="A57" s="4" t="inlineStr">
        <is>
          <t>59</t>
        </is>
      </c>
      <c r="B57" s="4" t="inlineStr">
        <is>
          <t>Historical</t>
        </is>
      </c>
      <c r="C57" s="4" t="n">
        <v>59</v>
      </c>
      <c r="D57" s="4" t="inlineStr">
        <is>
          <t>Functional Connectivities Are More Informative Than Anatomical Variables in Diagnostic Classification of Autism</t>
        </is>
      </c>
      <c r="E57" s="4" t="inlineStr">
        <is>
          <t>10.1089/brain.2019.0689</t>
        </is>
      </c>
      <c r="F57" s="4" t="n">
        <v>2019</v>
      </c>
      <c r="G57" s="4" t="inlineStr">
        <is>
          <t>Historical include</t>
        </is>
      </c>
      <c r="H57" s="4" t="inlineStr">
        <is>
          <t>Not recorded</t>
        </is>
      </c>
      <c r="I57" s="4" t="n">
        <v>0</v>
      </c>
      <c r="J57" s="4" t="inlineStr">
        <is>
          <t>https://doi.org/10.1089/brain.2019.0689</t>
        </is>
      </c>
      <c r="K57" s="4" t="inlineStr">
        <is>
          <t>Not recorded; historical inclusion retained</t>
        </is>
      </c>
      <c r="L57" s="4" t="str"/>
      <c r="M57" s="40" t="n"/>
      <c r="N57" s="4" t="inlineStr">
        <is>
          <t>Pending independent/source verification</t>
        </is>
      </c>
      <c r="O57" s="4" t="inlineStr">
        <is>
          <t>RQ1_RQ2_base_276 / RQ3_base_276</t>
        </is>
      </c>
      <c r="P57" s="4" t="n">
        <v>57</v>
      </c>
    </row>
    <row r="58" ht="47" customHeight="1">
      <c r="A58" s="4" t="inlineStr">
        <is>
          <t>60</t>
        </is>
      </c>
      <c r="B58" s="4" t="inlineStr">
        <is>
          <t>Historical</t>
        </is>
      </c>
      <c r="C58" s="4" t="n">
        <v>60</v>
      </c>
      <c r="D58" s="4" t="inlineStr">
        <is>
          <t>Hyperuricemia and Metabolic Adverse Effect in Children and Adolescents with Autism Spectrum Disorder Treated with Risperidone</t>
        </is>
      </c>
      <c r="E58" s="4" t="inlineStr">
        <is>
          <t>10.1016/j.eurpsy.2017.02.198</t>
        </is>
      </c>
      <c r="F58" s="4" t="n">
        <v>2017</v>
      </c>
      <c r="G58" s="4" t="inlineStr">
        <is>
          <t>Historical include</t>
        </is>
      </c>
      <c r="H58" s="4" t="inlineStr">
        <is>
          <t>Not recorded</t>
        </is>
      </c>
      <c r="I58" s="4" t="n">
        <v>0</v>
      </c>
      <c r="J58" s="4" t="inlineStr">
        <is>
          <t>https://doi.org/10.1016/j.eurpsy.2017.02.198</t>
        </is>
      </c>
      <c r="K58" s="4" t="inlineStr">
        <is>
          <t>Not recorded; historical inclusion retained</t>
        </is>
      </c>
      <c r="L58" s="4" t="inlineStr">
        <is>
          <t>RA</t>
        </is>
      </c>
      <c r="M58" s="40" t="n"/>
      <c r="N58" s="4" t="inlineStr">
        <is>
          <t>Pending independent/source verification</t>
        </is>
      </c>
      <c r="O58" s="4" t="inlineStr">
        <is>
          <t>RQ1_RQ2_base_276 / RQ3_base_276</t>
        </is>
      </c>
      <c r="P58" s="4" t="n">
        <v>58</v>
      </c>
    </row>
    <row r="59" ht="47" customHeight="1">
      <c r="A59" s="4" t="inlineStr">
        <is>
          <t>61</t>
        </is>
      </c>
      <c r="B59" s="4" t="inlineStr">
        <is>
          <t>Historical</t>
        </is>
      </c>
      <c r="C59" s="4" t="n">
        <v>61</v>
      </c>
      <c r="D59" s="4" t="inlineStr">
        <is>
          <t>Identifying Visual Attention Features Accurately Discerning Between Autism and Typically Developing: a Deep Learning Framework</t>
        </is>
      </c>
      <c r="E59" s="4" t="inlineStr">
        <is>
          <t>10.1007/s12539-022-00510-6</t>
        </is>
      </c>
      <c r="F59" s="4" t="n">
        <v>2022</v>
      </c>
      <c r="G59" s="4" t="inlineStr">
        <is>
          <t>Historical include</t>
        </is>
      </c>
      <c r="H59" s="4" t="inlineStr">
        <is>
          <t>Not recorded</t>
        </is>
      </c>
      <c r="I59" s="4" t="n">
        <v>0</v>
      </c>
      <c r="J59" s="4" t="inlineStr">
        <is>
          <t>https://doi.org/10.1007/s12539-022-00510-6</t>
        </is>
      </c>
      <c r="K59" s="4" t="inlineStr">
        <is>
          <t>Not recorded; historical inclusion retained</t>
        </is>
      </c>
      <c r="L59" s="4" t="str"/>
      <c r="M59" s="40" t="n"/>
      <c r="N59" s="4" t="inlineStr">
        <is>
          <t>Pending independent/source verification</t>
        </is>
      </c>
      <c r="O59" s="4" t="inlineStr">
        <is>
          <t>RQ1_RQ2_base_276 / RQ3_base_276</t>
        </is>
      </c>
      <c r="P59" s="4" t="n">
        <v>59</v>
      </c>
    </row>
    <row r="60" ht="47" customHeight="1">
      <c r="A60" s="4" t="inlineStr">
        <is>
          <t>62</t>
        </is>
      </c>
      <c r="B60" s="4" t="inlineStr">
        <is>
          <t>Historical</t>
        </is>
      </c>
      <c r="C60" s="4" t="n">
        <v>62</v>
      </c>
      <c r="D60" s="4" t="inlineStr">
        <is>
          <t>Impact of DRD2 polymorphisms on prolactin level in risperidone-treated Thai children and adolescent with autism spectrum disorders</t>
        </is>
      </c>
      <c r="E60" s="4" t="inlineStr">
        <is>
          <t>10.1016/j.eurpsy.2016.01.060</t>
        </is>
      </c>
      <c r="F60" s="4" t="n">
        <v>2016</v>
      </c>
      <c r="G60" s="4" t="inlineStr">
        <is>
          <t>Historical include</t>
        </is>
      </c>
      <c r="H60" s="4" t="inlineStr">
        <is>
          <t>Not recorded</t>
        </is>
      </c>
      <c r="I60" s="4" t="n">
        <v>0</v>
      </c>
      <c r="J60" s="4" t="inlineStr">
        <is>
          <t>https://doi.org/10.1016/j.eurpsy.2016.01.060</t>
        </is>
      </c>
      <c r="K60" s="4" t="inlineStr">
        <is>
          <t>Not recorded; historical inclusion retained</t>
        </is>
      </c>
      <c r="L60" s="4" t="inlineStr">
        <is>
          <t>RA</t>
        </is>
      </c>
      <c r="M60" s="40" t="n"/>
      <c r="N60" s="4" t="inlineStr">
        <is>
          <t>Pending independent/source verification</t>
        </is>
      </c>
      <c r="O60" s="4" t="inlineStr">
        <is>
          <t>RQ1_RQ2_base_276 / RQ3_base_276</t>
        </is>
      </c>
      <c r="P60" s="4" t="n">
        <v>60</v>
      </c>
    </row>
    <row r="61" ht="47" customHeight="1">
      <c r="A61" s="4" t="inlineStr">
        <is>
          <t>63</t>
        </is>
      </c>
      <c r="B61" s="4" t="inlineStr">
        <is>
          <t>Historical</t>
        </is>
      </c>
      <c r="C61" s="4" t="n">
        <v>63</v>
      </c>
      <c r="D61" s="4" t="inlineStr">
        <is>
          <t>Improving fMRI-Based Autism Severity Identification via Brain Network Distance and Adaptive Label Distribution Learning</t>
        </is>
      </c>
      <c r="E61" s="4" t="inlineStr">
        <is>
          <t>10.1109/tnsre.2024.3516216</t>
        </is>
      </c>
      <c r="F61" s="4" t="n">
        <v>2025</v>
      </c>
      <c r="G61" s="4" t="inlineStr">
        <is>
          <t>Historical include</t>
        </is>
      </c>
      <c r="H61" s="4" t="inlineStr">
        <is>
          <t>Not recorded</t>
        </is>
      </c>
      <c r="I61" s="4" t="n">
        <v>0</v>
      </c>
      <c r="J61" s="4" t="inlineStr">
        <is>
          <t>https://doi.org/10.1109/tnsre.2024.3516216</t>
        </is>
      </c>
      <c r="K61" s="4" t="inlineStr">
        <is>
          <t>Not recorded; historical inclusion retained</t>
        </is>
      </c>
      <c r="L61" s="4" t="inlineStr">
        <is>
          <t>RA</t>
        </is>
      </c>
      <c r="M61" s="40" t="n"/>
      <c r="N61" s="4" t="inlineStr">
        <is>
          <t>Pending independent/source verification</t>
        </is>
      </c>
      <c r="O61" s="4" t="inlineStr">
        <is>
          <t>RQ1_RQ2_base_276 / RQ3_base_276</t>
        </is>
      </c>
      <c r="P61" s="4" t="n">
        <v>61</v>
      </c>
    </row>
    <row r="62" ht="47" customHeight="1">
      <c r="A62" s="4" t="inlineStr">
        <is>
          <t>64</t>
        </is>
      </c>
      <c r="B62" s="4" t="inlineStr">
        <is>
          <t>Historical</t>
        </is>
      </c>
      <c r="C62" s="4" t="n">
        <v>64</v>
      </c>
      <c r="D62" s="4" t="inlineStr">
        <is>
          <t>Leveraging hybrid model of ConvNextBase and LightGBM for early ASD detection via eye-gaze analysis</t>
        </is>
      </c>
      <c r="E62" s="4" t="inlineStr">
        <is>
          <t>10.1016/j.mex.2025.103166</t>
        </is>
      </c>
      <c r="F62" s="4" t="n">
        <v>2025</v>
      </c>
      <c r="G62" s="4" t="inlineStr">
        <is>
          <t>Historical include</t>
        </is>
      </c>
      <c r="H62" s="4" t="inlineStr">
        <is>
          <t>Not recorded</t>
        </is>
      </c>
      <c r="I62" s="4" t="n">
        <v>0</v>
      </c>
      <c r="J62" s="4" t="inlineStr">
        <is>
          <t>https://doi.org/10.1016/j.mex.2025.103166</t>
        </is>
      </c>
      <c r="K62" s="4" t="inlineStr">
        <is>
          <t>Not recorded; historical inclusion retained</t>
        </is>
      </c>
      <c r="L62" s="4" t="str"/>
      <c r="M62" s="40" t="n"/>
      <c r="N62" s="4" t="inlineStr">
        <is>
          <t>Pending independent/source verification</t>
        </is>
      </c>
      <c r="O62" s="4" t="inlineStr">
        <is>
          <t>RQ1_RQ2_base_276 / RQ3_base_276</t>
        </is>
      </c>
      <c r="P62" s="4" t="n">
        <v>62</v>
      </c>
    </row>
    <row r="63" ht="47" customHeight="1">
      <c r="A63" s="4" t="inlineStr">
        <is>
          <t>65</t>
        </is>
      </c>
      <c r="B63" s="4" t="inlineStr">
        <is>
          <t>Historical</t>
        </is>
      </c>
      <c r="C63" s="4" t="n">
        <v>65</v>
      </c>
      <c r="D63" s="4" t="inlineStr">
        <is>
          <t>Modified Grasshopper Optimization Algorithm for detection of Autism Spectrum Disorder</t>
        </is>
      </c>
      <c r="E63" s="4" t="inlineStr">
        <is>
          <t>10.1016/j.phycom.2020.101115</t>
        </is>
      </c>
      <c r="F63" s="4" t="n">
        <v>2020</v>
      </c>
      <c r="G63" s="4" t="inlineStr">
        <is>
          <t>Historical include</t>
        </is>
      </c>
      <c r="H63" s="4" t="inlineStr">
        <is>
          <t>Not recorded</t>
        </is>
      </c>
      <c r="I63" s="4" t="n">
        <v>0</v>
      </c>
      <c r="J63" s="4" t="inlineStr">
        <is>
          <t>https://doi.org/10.1016/j.phycom.2020.101115</t>
        </is>
      </c>
      <c r="K63" s="4" t="inlineStr">
        <is>
          <t>Not recorded; historical inclusion retained</t>
        </is>
      </c>
      <c r="L63" s="4" t="inlineStr">
        <is>
          <t>RA</t>
        </is>
      </c>
      <c r="M63" s="40" t="n"/>
      <c r="N63" s="4" t="inlineStr">
        <is>
          <t>Pending independent/source verification</t>
        </is>
      </c>
      <c r="O63" s="4" t="inlineStr">
        <is>
          <t>RQ1_RQ2_base_276 / RQ3_base_276</t>
        </is>
      </c>
      <c r="P63" s="4" t="n">
        <v>63</v>
      </c>
    </row>
    <row r="64" ht="47" customHeight="1">
      <c r="A64" s="4" t="inlineStr">
        <is>
          <t>66</t>
        </is>
      </c>
      <c r="B64" s="4" t="inlineStr">
        <is>
          <t>Historical</t>
        </is>
      </c>
      <c r="C64" s="4" t="n">
        <v>66</v>
      </c>
      <c r="D64" s="4" t="inlineStr">
        <is>
          <t>Motor Signature Differences Between Autism Spectrum Disorder and Developmental Coordination Disorder, and Their Neural Mechanisms</t>
        </is>
      </c>
      <c r="E64" s="4" t="inlineStr">
        <is>
          <t>10.1007/s10803-023-06171-8</t>
        </is>
      </c>
      <c r="F64" s="4" t="n">
        <v>2023</v>
      </c>
      <c r="G64" s="4" t="inlineStr">
        <is>
          <t>Historical include</t>
        </is>
      </c>
      <c r="H64" s="4" t="inlineStr">
        <is>
          <t>Not recorded</t>
        </is>
      </c>
      <c r="I64" s="4" t="n">
        <v>0</v>
      </c>
      <c r="J64" s="4" t="inlineStr">
        <is>
          <t>https://doi.org/10.1007/s10803-023-06171-8</t>
        </is>
      </c>
      <c r="K64" s="4" t="inlineStr">
        <is>
          <t>Not recorded; historical inclusion retained</t>
        </is>
      </c>
      <c r="L64" s="4" t="inlineStr">
        <is>
          <t>RA</t>
        </is>
      </c>
      <c r="M64" s="40" t="n"/>
      <c r="N64" s="4" t="inlineStr">
        <is>
          <t>Pending independent/source verification</t>
        </is>
      </c>
      <c r="O64" s="4" t="inlineStr">
        <is>
          <t>RQ1_RQ2_base_276 / RQ3_base_276</t>
        </is>
      </c>
      <c r="P64" s="4" t="n">
        <v>64</v>
      </c>
    </row>
    <row r="65" ht="47" customHeight="1">
      <c r="A65" s="4" t="inlineStr">
        <is>
          <t>67</t>
        </is>
      </c>
      <c r="B65" s="4" t="inlineStr">
        <is>
          <t>Historical</t>
        </is>
      </c>
      <c r="C65" s="4" t="n">
        <v>67</v>
      </c>
      <c r="D65" s="4" t="inlineStr">
        <is>
          <t>Novelty detection using deep normative modeling for imu-based abnormal movement monitoring in parkinson’s disease and autism spectrum disorders</t>
        </is>
      </c>
      <c r="E65" s="4" t="inlineStr">
        <is>
          <t>10.3390/s18103533</t>
        </is>
      </c>
      <c r="F65" s="4" t="n">
        <v>2018</v>
      </c>
      <c r="G65" s="4" t="inlineStr">
        <is>
          <t>Historical include</t>
        </is>
      </c>
      <c r="H65" s="4" t="inlineStr">
        <is>
          <t>Not recorded</t>
        </is>
      </c>
      <c r="I65" s="4" t="n">
        <v>0</v>
      </c>
      <c r="J65" s="4" t="inlineStr">
        <is>
          <t>https://doi.org/10.3390/s18103533</t>
        </is>
      </c>
      <c r="K65" s="4" t="inlineStr">
        <is>
          <t>Not recorded; historical inclusion retained</t>
        </is>
      </c>
      <c r="L65" s="4" t="inlineStr">
        <is>
          <t>RA</t>
        </is>
      </c>
      <c r="M65" s="40" t="n"/>
      <c r="N65" s="4" t="inlineStr">
        <is>
          <t>Pending independent/source verification</t>
        </is>
      </c>
      <c r="O65" s="4" t="inlineStr">
        <is>
          <t>RQ1_RQ2_base_276 / RQ3_base_276</t>
        </is>
      </c>
      <c r="P65" s="4" t="n">
        <v>65</v>
      </c>
    </row>
    <row r="66" ht="47" customHeight="1">
      <c r="A66" s="4" t="inlineStr">
        <is>
          <t>68</t>
        </is>
      </c>
      <c r="B66" s="4" t="inlineStr">
        <is>
          <t>Historical</t>
        </is>
      </c>
      <c r="C66" s="4" t="n">
        <v>68</v>
      </c>
      <c r="D66" s="4" t="inlineStr">
        <is>
          <t>Perceived social support in adults with autism spectrum disorder and attention-deficit/hyperactivity disorder</t>
        </is>
      </c>
      <c r="E66" s="4" t="inlineStr">
        <is>
          <t>10.1002/aur.1735</t>
        </is>
      </c>
      <c r="F66" s="4" t="n">
        <v>2017</v>
      </c>
      <c r="G66" s="4" t="inlineStr">
        <is>
          <t>Historical include</t>
        </is>
      </c>
      <c r="H66" s="4" t="inlineStr">
        <is>
          <t>Not recorded</t>
        </is>
      </c>
      <c r="I66" s="4" t="n">
        <v>0</v>
      </c>
      <c r="J66" s="4" t="inlineStr">
        <is>
          <t>https://doi.org/10.1002/aur.1735</t>
        </is>
      </c>
      <c r="K66" s="4" t="inlineStr">
        <is>
          <t>Not recorded; historical inclusion retained</t>
        </is>
      </c>
      <c r="L66" s="4" t="str"/>
      <c r="M66" s="40" t="n"/>
      <c r="N66" s="4" t="inlineStr">
        <is>
          <t>Pending independent/source verification</t>
        </is>
      </c>
      <c r="O66" s="4" t="inlineStr">
        <is>
          <t>RQ1_RQ2_base_276 / RQ3_base_276</t>
        </is>
      </c>
      <c r="P66" s="4" t="n">
        <v>66</v>
      </c>
    </row>
    <row r="67" ht="47" customHeight="1">
      <c r="A67" s="4" t="inlineStr">
        <is>
          <t>69</t>
        </is>
      </c>
      <c r="B67" s="4" t="inlineStr">
        <is>
          <t>Historical</t>
        </is>
      </c>
      <c r="C67" s="4" t="n">
        <v>69</v>
      </c>
      <c r="D67" s="4" t="inlineStr">
        <is>
          <t>Regional-Asymmetric Adaptive Graph Convolutional Neural Network for Diagnosis of Autism in Children with Resting-State EEG</t>
        </is>
      </c>
      <c r="E67" s="4" t="inlineStr">
        <is>
          <t>10.1109/tnsre.2023.3347134</t>
        </is>
      </c>
      <c r="F67" s="4" t="n">
        <v>2024</v>
      </c>
      <c r="G67" s="4" t="inlineStr">
        <is>
          <t>Historical include</t>
        </is>
      </c>
      <c r="H67" s="4" t="inlineStr">
        <is>
          <t>Not recorded</t>
        </is>
      </c>
      <c r="I67" s="4" t="n">
        <v>0</v>
      </c>
      <c r="J67" s="4" t="inlineStr">
        <is>
          <t>https://doi.org/10.1109/tnsre.2023.3347134</t>
        </is>
      </c>
      <c r="K67" s="4" t="inlineStr">
        <is>
          <t>Not recorded; historical inclusion retained</t>
        </is>
      </c>
      <c r="L67" s="4" t="inlineStr">
        <is>
          <t>RA</t>
        </is>
      </c>
      <c r="M67" s="40" t="n"/>
      <c r="N67" s="4" t="inlineStr">
        <is>
          <t>Pending independent/source verification</t>
        </is>
      </c>
      <c r="O67" s="4" t="inlineStr">
        <is>
          <t>RQ1_RQ2_base_276 / RQ3_base_276</t>
        </is>
      </c>
      <c r="P67" s="4" t="n">
        <v>67</v>
      </c>
    </row>
    <row r="68" ht="47" customHeight="1">
      <c r="A68" s="4" t="inlineStr">
        <is>
          <t>70</t>
        </is>
      </c>
      <c r="B68" s="4" t="inlineStr">
        <is>
          <t>Historical</t>
        </is>
      </c>
      <c r="C68" s="4" t="n">
        <v>70</v>
      </c>
      <c r="D68" s="4" t="inlineStr">
        <is>
          <t>Relationship between abnormal intrinsic functional connectivity of subcortices and autism symptoms in high-functioning adults with autism spectrum disorder</t>
        </is>
      </c>
      <c r="E68" s="4" t="inlineStr">
        <is>
          <t>10.1016/j.pscychresns.2023.111762</t>
        </is>
      </c>
      <c r="F68" s="4" t="n">
        <v>2024</v>
      </c>
      <c r="G68" s="4" t="inlineStr">
        <is>
          <t>Historical include</t>
        </is>
      </c>
      <c r="H68" s="4" t="inlineStr">
        <is>
          <t>Not recorded</t>
        </is>
      </c>
      <c r="I68" s="4" t="n">
        <v>0</v>
      </c>
      <c r="J68" s="4" t="inlineStr">
        <is>
          <t>https://doi.org/10.1016/j.pscychresns.2023.111762</t>
        </is>
      </c>
      <c r="K68" s="4" t="inlineStr">
        <is>
          <t>Not recorded; historical inclusion retained</t>
        </is>
      </c>
      <c r="L68" s="4" t="str"/>
      <c r="M68" s="40" t="n"/>
      <c r="N68" s="4" t="inlineStr">
        <is>
          <t>Pending independent/source verification</t>
        </is>
      </c>
      <c r="O68" s="4" t="inlineStr">
        <is>
          <t>RQ1_RQ2_base_276 / RQ3_base_276</t>
        </is>
      </c>
      <c r="P68" s="4" t="n">
        <v>68</v>
      </c>
    </row>
    <row r="69" ht="60" customHeight="1">
      <c r="A69" s="4" t="inlineStr">
        <is>
          <t>72</t>
        </is>
      </c>
      <c r="B69" s="4" t="inlineStr">
        <is>
          <t>Historical</t>
        </is>
      </c>
      <c r="C69" s="4" t="n">
        <v>72</v>
      </c>
      <c r="D69" s="4" t="inlineStr">
        <is>
          <t>Transdiagnostic symptom subtypes across autism spectrum disorders and attention deficit hyperactivity disorder: validated by measures of neurocognition and structural connectivity</t>
        </is>
      </c>
      <c r="E69" s="4" t="inlineStr">
        <is>
          <t>10.1186/s12888-022-03734-4</t>
        </is>
      </c>
      <c r="F69" s="4" t="n">
        <v>2022</v>
      </c>
      <c r="G69" s="4" t="inlineStr">
        <is>
          <t>Historical include</t>
        </is>
      </c>
      <c r="H69" s="4" t="inlineStr">
        <is>
          <t>Not recorded</t>
        </is>
      </c>
      <c r="I69" s="4" t="n">
        <v>0</v>
      </c>
      <c r="J69" s="4" t="inlineStr">
        <is>
          <t>https://doi.org/10.1186/s12888-022-03734-4</t>
        </is>
      </c>
      <c r="K69" s="4" t="inlineStr">
        <is>
          <t>Not recorded; historical inclusion retained</t>
        </is>
      </c>
      <c r="L69" s="4" t="inlineStr">
        <is>
          <t>RA</t>
        </is>
      </c>
      <c r="M69" s="40" t="n"/>
      <c r="N69" s="4" t="inlineStr">
        <is>
          <t>Pending independent/source verification</t>
        </is>
      </c>
      <c r="O69" s="4" t="inlineStr">
        <is>
          <t>RQ1_RQ2_base_276 / RQ3_base_276</t>
        </is>
      </c>
      <c r="P69" s="4" t="n">
        <v>69</v>
      </c>
    </row>
    <row r="70" ht="47" customHeight="1">
      <c r="A70" s="4" t="inlineStr">
        <is>
          <t>73</t>
        </is>
      </c>
      <c r="B70" s="4" t="inlineStr">
        <is>
          <t>Historical</t>
        </is>
      </c>
      <c r="C70" s="4" t="n">
        <v>73</v>
      </c>
      <c r="D70" s="4" t="inlineStr">
        <is>
          <t>A Convolutional Neural Network Combined With Prototype Learning Framework for Brain Functional Network Classification of Autism Spectrum Disorder</t>
        </is>
      </c>
      <c r="E70" s="4" t="inlineStr">
        <is>
          <t>10.1109/tnsre.2021.3120024</t>
        </is>
      </c>
      <c r="F70" s="4" t="n">
        <v>2021</v>
      </c>
      <c r="G70" s="4" t="inlineStr">
        <is>
          <t>Historical include</t>
        </is>
      </c>
      <c r="H70" s="4" t="inlineStr">
        <is>
          <t>Not recorded</t>
        </is>
      </c>
      <c r="I70" s="4" t="n">
        <v>0</v>
      </c>
      <c r="J70" s="4" t="inlineStr">
        <is>
          <t>https://doi.org/10.1109/tnsre.2021.3120024</t>
        </is>
      </c>
      <c r="K70" s="4" t="inlineStr">
        <is>
          <t>Not recorded; historical inclusion retained</t>
        </is>
      </c>
      <c r="L70" s="4" t="str"/>
      <c r="M70" s="40" t="n"/>
      <c r="N70" s="4" t="inlineStr">
        <is>
          <t>Pending independent/source verification</t>
        </is>
      </c>
      <c r="O70" s="4" t="inlineStr">
        <is>
          <t>RQ1_RQ2_base_276 / RQ3_base_276</t>
        </is>
      </c>
      <c r="P70" s="4" t="n">
        <v>70</v>
      </c>
    </row>
    <row r="71" ht="47" customHeight="1">
      <c r="A71" s="4" t="inlineStr">
        <is>
          <t>74</t>
        </is>
      </c>
      <c r="B71" s="4" t="inlineStr">
        <is>
          <t>Historical</t>
        </is>
      </c>
      <c r="C71" s="4" t="n">
        <v>74</v>
      </c>
      <c r="D71" s="4" t="inlineStr">
        <is>
          <t>A heterogeneous graph convolutional attention network method for classification of autism spectrum disorder</t>
        </is>
      </c>
      <c r="E71" s="4" t="inlineStr">
        <is>
          <t>10.1186/s12859-023-05495-7</t>
        </is>
      </c>
      <c r="F71" s="4" t="n">
        <v>2023</v>
      </c>
      <c r="G71" s="4" t="inlineStr">
        <is>
          <t>Historical include</t>
        </is>
      </c>
      <c r="H71" s="4" t="inlineStr">
        <is>
          <t>Not recorded</t>
        </is>
      </c>
      <c r="I71" s="4" t="n">
        <v>0</v>
      </c>
      <c r="J71" s="4" t="inlineStr">
        <is>
          <t>https://doi.org/10.1186/s12859-023-05495-7</t>
        </is>
      </c>
      <c r="K71" s="4" t="inlineStr">
        <is>
          <t>Not recorded; historical inclusion retained</t>
        </is>
      </c>
      <c r="L71" s="4" t="inlineStr">
        <is>
          <t>RA</t>
        </is>
      </c>
      <c r="M71" s="40" t="n"/>
      <c r="N71" s="4" t="inlineStr">
        <is>
          <t>Pending independent/source verification</t>
        </is>
      </c>
      <c r="O71" s="4" t="inlineStr">
        <is>
          <t>RQ1_RQ2_base_276 / RQ3_base_276</t>
        </is>
      </c>
      <c r="P71" s="4" t="n">
        <v>71</v>
      </c>
    </row>
    <row r="72" ht="47" customHeight="1">
      <c r="A72" s="4" t="inlineStr">
        <is>
          <t>75</t>
        </is>
      </c>
      <c r="B72" s="4" t="inlineStr">
        <is>
          <t>Historical</t>
        </is>
      </c>
      <c r="C72" s="4" t="n">
        <v>75</v>
      </c>
      <c r="D72" s="4" t="inlineStr">
        <is>
          <t>A monitoring system for patients of autism spectrum disorder using artificial intelligence</t>
        </is>
      </c>
      <c r="E72" s="4" t="inlineStr">
        <is>
          <t>10.1007/978-3-030-59277-6_23</t>
        </is>
      </c>
      <c r="F72" s="4" t="n">
        <v>2020</v>
      </c>
      <c r="G72" s="4" t="inlineStr">
        <is>
          <t>Historical include</t>
        </is>
      </c>
      <c r="H72" s="4" t="inlineStr">
        <is>
          <t>Not recorded</t>
        </is>
      </c>
      <c r="I72" s="4" t="n">
        <v>0</v>
      </c>
      <c r="J72" s="4" t="inlineStr">
        <is>
          <t>https://doi.org/10.1007/978-3-030-59277-6_23</t>
        </is>
      </c>
      <c r="K72" s="4" t="inlineStr">
        <is>
          <t>Not recorded; historical inclusion retained</t>
        </is>
      </c>
      <c r="L72" s="4" t="str"/>
      <c r="M72" s="40" t="n"/>
      <c r="N72" s="4" t="inlineStr">
        <is>
          <t>Pending independent/source verification</t>
        </is>
      </c>
      <c r="O72" s="4" t="inlineStr">
        <is>
          <t>RQ1_RQ2_base_276 / RQ3_base_276</t>
        </is>
      </c>
      <c r="P72" s="4" t="n">
        <v>72</v>
      </c>
    </row>
    <row r="73" ht="47" customHeight="1">
      <c r="A73" s="4" t="inlineStr">
        <is>
          <t>77</t>
        </is>
      </c>
      <c r="B73" s="4" t="inlineStr">
        <is>
          <t>Historical</t>
        </is>
      </c>
      <c r="C73" s="4" t="n">
        <v>77</v>
      </c>
      <c r="D73" s="4" t="inlineStr">
        <is>
          <t>Age-Specific Diagnostic Classification of ASD Using Deep Learning Approaches</t>
        </is>
      </c>
      <c r="E73" s="4" t="inlineStr">
        <is>
          <t>10.3233/shti230794</t>
        </is>
      </c>
      <c r="F73" s="4" t="n">
        <v>2023</v>
      </c>
      <c r="G73" s="4" t="inlineStr">
        <is>
          <t>Historical include</t>
        </is>
      </c>
      <c r="H73" s="4" t="inlineStr">
        <is>
          <t>Not recorded</t>
        </is>
      </c>
      <c r="I73" s="4" t="n">
        <v>0</v>
      </c>
      <c r="J73" s="4" t="inlineStr">
        <is>
          <t>https://doi.org/10.3233/shti230794</t>
        </is>
      </c>
      <c r="K73" s="4" t="inlineStr">
        <is>
          <t>Not recorded; historical inclusion retained</t>
        </is>
      </c>
      <c r="L73" s="4" t="inlineStr">
        <is>
          <t>RA</t>
        </is>
      </c>
      <c r="M73" s="40" t="n"/>
      <c r="N73" s="4" t="inlineStr">
        <is>
          <t>Pending independent/source verification</t>
        </is>
      </c>
      <c r="O73" s="4" t="inlineStr">
        <is>
          <t>RQ1_RQ2_base_276 / RQ3_base_276</t>
        </is>
      </c>
      <c r="P73" s="4" t="n">
        <v>73</v>
      </c>
    </row>
    <row r="74" ht="47" customHeight="1">
      <c r="A74" s="4" t="inlineStr">
        <is>
          <t>78</t>
        </is>
      </c>
      <c r="B74" s="4" t="inlineStr">
        <is>
          <t>Historical</t>
        </is>
      </c>
      <c r="C74" s="4" t="n">
        <v>78</v>
      </c>
      <c r="D74" s="4" t="inlineStr">
        <is>
          <t>An Automatic Framework for Detecting Autism Spectrum Disorder From EEG Signals Using TFD</t>
        </is>
      </c>
      <c r="E74" s="4" t="inlineStr">
        <is>
          <t>10.1109/jsen.2024.3362341</t>
        </is>
      </c>
      <c r="F74" s="4" t="n">
        <v>2024</v>
      </c>
      <c r="G74" s="4" t="inlineStr">
        <is>
          <t>Historical include</t>
        </is>
      </c>
      <c r="H74" s="4" t="inlineStr">
        <is>
          <t>Not recorded</t>
        </is>
      </c>
      <c r="I74" s="4" t="n">
        <v>0</v>
      </c>
      <c r="J74" s="4" t="inlineStr">
        <is>
          <t>https://doi.org/10.1109/jsen.2024.3362341</t>
        </is>
      </c>
      <c r="K74" s="4" t="inlineStr">
        <is>
          <t>Not recorded; historical inclusion retained</t>
        </is>
      </c>
      <c r="L74" s="4" t="inlineStr">
        <is>
          <t>RA</t>
        </is>
      </c>
      <c r="M74" s="40" t="n"/>
      <c r="N74" s="4" t="inlineStr">
        <is>
          <t>Pending independent/source verification</t>
        </is>
      </c>
      <c r="O74" s="4" t="inlineStr">
        <is>
          <t>RQ1_RQ2_base_276 / RQ3_base_276</t>
        </is>
      </c>
      <c r="P74" s="4" t="n">
        <v>74</v>
      </c>
    </row>
    <row r="75" ht="47" customHeight="1">
      <c r="A75" s="4" t="inlineStr">
        <is>
          <t>79</t>
        </is>
      </c>
      <c r="B75" s="4" t="inlineStr">
        <is>
          <t>Historical</t>
        </is>
      </c>
      <c r="C75" s="4" t="n">
        <v>79</v>
      </c>
      <c r="D75" s="4" t="inlineStr">
        <is>
          <t>Applying Machine Learning to Kinematic and Eye Movement Features of a Movement Imitation Task to Predict Autism Diagnosis</t>
        </is>
      </c>
      <c r="E75" s="4" t="inlineStr">
        <is>
          <t>10.1038/s41598-020-65384-4</t>
        </is>
      </c>
      <c r="F75" s="4" t="n">
        <v>2020</v>
      </c>
      <c r="G75" s="4" t="inlineStr">
        <is>
          <t>Historical include</t>
        </is>
      </c>
      <c r="H75" s="4" t="inlineStr">
        <is>
          <t>Not recorded</t>
        </is>
      </c>
      <c r="I75" s="4" t="n">
        <v>0</v>
      </c>
      <c r="J75" s="4" t="inlineStr">
        <is>
          <t>https://doi.org/10.1038/s41598-020-65384-4</t>
        </is>
      </c>
      <c r="K75" s="4" t="inlineStr">
        <is>
          <t>Not recorded; historical inclusion retained</t>
        </is>
      </c>
      <c r="L75" s="4" t="inlineStr">
        <is>
          <t>RA</t>
        </is>
      </c>
      <c r="M75" s="40" t="n"/>
      <c r="N75" s="4" t="inlineStr">
        <is>
          <t>Pending independent/source verification</t>
        </is>
      </c>
      <c r="O75" s="4" t="inlineStr">
        <is>
          <t>RQ1_RQ2_base_276 / RQ3_base_276</t>
        </is>
      </c>
      <c r="P75" s="4" t="n">
        <v>75</v>
      </c>
    </row>
    <row r="76" ht="47" customHeight="1">
      <c r="A76" s="4" t="inlineStr">
        <is>
          <t>80</t>
        </is>
      </c>
      <c r="B76" s="4" t="inlineStr">
        <is>
          <t>Historical</t>
        </is>
      </c>
      <c r="C76" s="4" t="n">
        <v>80</v>
      </c>
      <c r="D76" s="4" t="inlineStr">
        <is>
          <t>Artificial intelligence analysis of newborn leucocyte epigenomic markers for the prediction of autism</t>
        </is>
      </c>
      <c r="E76" s="4" t="inlineStr">
        <is>
          <t>10.1016/j.brainres.2019.146457</t>
        </is>
      </c>
      <c r="F76" s="4" t="n">
        <v>2019</v>
      </c>
      <c r="G76" s="4" t="inlineStr">
        <is>
          <t>Historical include</t>
        </is>
      </c>
      <c r="H76" s="4" t="inlineStr">
        <is>
          <t>Not recorded</t>
        </is>
      </c>
      <c r="I76" s="4" t="n">
        <v>0</v>
      </c>
      <c r="J76" s="4" t="inlineStr">
        <is>
          <t>https://doi.org/10.1016/j.brainres.2019.146457</t>
        </is>
      </c>
      <c r="K76" s="4" t="inlineStr">
        <is>
          <t>Not recorded; historical inclusion retained</t>
        </is>
      </c>
      <c r="L76" s="4" t="inlineStr">
        <is>
          <t>RA</t>
        </is>
      </c>
      <c r="M76" s="40" t="n"/>
      <c r="N76" s="4" t="inlineStr">
        <is>
          <t>Pending independent/source verification</t>
        </is>
      </c>
      <c r="O76" s="4" t="inlineStr">
        <is>
          <t>RQ1_RQ2_base_276 / RQ3_base_276</t>
        </is>
      </c>
      <c r="P76" s="4" t="n">
        <v>76</v>
      </c>
    </row>
    <row r="77" ht="47" customHeight="1">
      <c r="A77" s="4" t="inlineStr">
        <is>
          <t>81</t>
        </is>
      </c>
      <c r="B77" s="4" t="inlineStr">
        <is>
          <t>Historical</t>
        </is>
      </c>
      <c r="C77" s="4" t="n">
        <v>81</v>
      </c>
      <c r="D77" s="4" t="inlineStr">
        <is>
          <t>Autism Detection in Children using Common Spatial Patterns of MEG Signals</t>
        </is>
      </c>
      <c r="E77" s="4" t="inlineStr">
        <is>
          <t>10.1109/embc40787.2023.10340449</t>
        </is>
      </c>
      <c r="F77" s="4" t="n">
        <v>2023</v>
      </c>
      <c r="G77" s="4" t="inlineStr">
        <is>
          <t>Historical include</t>
        </is>
      </c>
      <c r="H77" s="4" t="inlineStr">
        <is>
          <t>Not recorded</t>
        </is>
      </c>
      <c r="I77" s="4" t="n">
        <v>0</v>
      </c>
      <c r="J77" s="4" t="inlineStr">
        <is>
          <t>https://doi.org/10.1109/embc40787.2023.10340449</t>
        </is>
      </c>
      <c r="K77" s="4" t="inlineStr">
        <is>
          <t>Not recorded; historical inclusion retained</t>
        </is>
      </c>
      <c r="L77" s="4" t="inlineStr">
        <is>
          <t>RA</t>
        </is>
      </c>
      <c r="M77" s="40" t="n"/>
      <c r="N77" s="4" t="inlineStr">
        <is>
          <t>Pending independent/source verification</t>
        </is>
      </c>
      <c r="O77" s="4" t="inlineStr">
        <is>
          <t>RQ1_RQ2_base_276 / RQ3_base_276</t>
        </is>
      </c>
      <c r="P77" s="4" t="n">
        <v>77</v>
      </c>
    </row>
    <row r="78" ht="47" customHeight="1">
      <c r="A78" s="4" t="inlineStr">
        <is>
          <t>82</t>
        </is>
      </c>
      <c r="B78" s="4" t="inlineStr">
        <is>
          <t>Historical</t>
        </is>
      </c>
      <c r="C78" s="4" t="n">
        <v>82</v>
      </c>
      <c r="D78" s="4" t="inlineStr">
        <is>
          <t>Autism Spectrum Disorder detection framework for children based on federated learning integrated CNN-LSTM</t>
        </is>
      </c>
      <c r="E78" s="4" t="inlineStr">
        <is>
          <t>10.1016/j.compbiomed.2023.107539</t>
        </is>
      </c>
      <c r="F78" s="4" t="n">
        <v>2023</v>
      </c>
      <c r="G78" s="4" t="inlineStr">
        <is>
          <t>Historical include</t>
        </is>
      </c>
      <c r="H78" s="4" t="inlineStr">
        <is>
          <t>Not recorded</t>
        </is>
      </c>
      <c r="I78" s="4" t="n">
        <v>0</v>
      </c>
      <c r="J78" s="4" t="inlineStr">
        <is>
          <t>https://doi.org/10.1016/j.compbiomed.2023.107539</t>
        </is>
      </c>
      <c r="K78" s="4" t="inlineStr">
        <is>
          <t>Not recorded; historical inclusion retained</t>
        </is>
      </c>
      <c r="L78" s="4" t="inlineStr">
        <is>
          <t>RA</t>
        </is>
      </c>
      <c r="M78" s="40" t="n"/>
      <c r="N78" s="4" t="inlineStr">
        <is>
          <t>Pending independent/source verification</t>
        </is>
      </c>
      <c r="O78" s="4" t="inlineStr">
        <is>
          <t>RQ1_RQ2_base_276 / RQ3_base_276</t>
        </is>
      </c>
      <c r="P78" s="4" t="n">
        <v>78</v>
      </c>
    </row>
    <row r="79" ht="47" customHeight="1">
      <c r="A79" s="4" t="inlineStr">
        <is>
          <t>83</t>
        </is>
      </c>
      <c r="B79" s="4" t="inlineStr">
        <is>
          <t>Historical</t>
        </is>
      </c>
      <c r="C79" s="4" t="n">
        <v>83</v>
      </c>
      <c r="D79" s="4" t="inlineStr">
        <is>
          <t>Converging Representations of Attention-Deficit/Hyperactivity Disorder and Autism on Social Media: Linguistic and Topic Analysis of Trends in Reddit Data</t>
        </is>
      </c>
      <c r="E79" s="4" t="inlineStr">
        <is>
          <t>10.2196/70914</t>
        </is>
      </c>
      <c r="F79" s="4" t="n">
        <v>2025</v>
      </c>
      <c r="G79" s="4" t="inlineStr">
        <is>
          <t>Historical include</t>
        </is>
      </c>
      <c r="H79" s="4" t="inlineStr">
        <is>
          <t>Not recorded</t>
        </is>
      </c>
      <c r="I79" s="4" t="n">
        <v>0</v>
      </c>
      <c r="J79" s="4" t="inlineStr">
        <is>
          <t>https://doi.org/10.2196/70914</t>
        </is>
      </c>
      <c r="K79" s="4" t="inlineStr">
        <is>
          <t>Not recorded; historical inclusion retained</t>
        </is>
      </c>
      <c r="L79" s="4" t="str"/>
      <c r="M79" s="40" t="n"/>
      <c r="N79" s="4" t="inlineStr">
        <is>
          <t>Pending independent/source verification</t>
        </is>
      </c>
      <c r="O79" s="4" t="inlineStr">
        <is>
          <t>RQ1_RQ2_base_276 / RQ3_base_276</t>
        </is>
      </c>
      <c r="P79" s="4" t="n">
        <v>79</v>
      </c>
    </row>
    <row r="80" ht="47" customHeight="1">
      <c r="A80" s="4" t="inlineStr">
        <is>
          <t>84</t>
        </is>
      </c>
      <c r="B80" s="4" t="inlineStr">
        <is>
          <t>Historical</t>
        </is>
      </c>
      <c r="C80" s="4" t="n">
        <v>84</v>
      </c>
      <c r="D80" s="4" t="inlineStr">
        <is>
          <t>Creating a diagnostic assessment model for autism spectrum disorder by differentiating lexicogrammatical choices through machine learning</t>
        </is>
      </c>
      <c r="E80" s="4" t="inlineStr">
        <is>
          <t>10.1371/journal.pone.0311209</t>
        </is>
      </c>
      <c r="F80" s="4" t="n">
        <v>2024</v>
      </c>
      <c r="G80" s="4" t="inlineStr">
        <is>
          <t>Historical include</t>
        </is>
      </c>
      <c r="H80" s="4" t="inlineStr">
        <is>
          <t>Not recorded</t>
        </is>
      </c>
      <c r="I80" s="4" t="n">
        <v>0</v>
      </c>
      <c r="J80" s="4" t="inlineStr">
        <is>
          <t>https://doi.org/10.1371/journal.pone.0311209</t>
        </is>
      </c>
      <c r="K80" s="4" t="inlineStr">
        <is>
          <t>Not recorded; historical inclusion retained</t>
        </is>
      </c>
      <c r="L80" s="4" t="str"/>
      <c r="M80" s="40" t="n"/>
      <c r="N80" s="4" t="inlineStr">
        <is>
          <t>Pending independent/source verification</t>
        </is>
      </c>
      <c r="O80" s="4" t="inlineStr">
        <is>
          <t>RQ1_RQ2_base_276 / RQ3_base_276</t>
        </is>
      </c>
      <c r="P80" s="4" t="n">
        <v>80</v>
      </c>
    </row>
    <row r="81" ht="47" customHeight="1">
      <c r="A81" s="4" t="inlineStr">
        <is>
          <t>85</t>
        </is>
      </c>
      <c r="B81" s="4" t="inlineStr">
        <is>
          <t>Historical</t>
        </is>
      </c>
      <c r="C81" s="4" t="n">
        <v>85</v>
      </c>
      <c r="D81" s="4" t="inlineStr">
        <is>
          <t>Diagnosing autism spectrum disorder in children using conventional MRI and apparent diffusion coefficient based deep learning algorithms</t>
        </is>
      </c>
      <c r="E81" s="4" t="inlineStr">
        <is>
          <t>10.1007/s00330-021-08239-4</t>
        </is>
      </c>
      <c r="F81" s="4" t="n">
        <v>2022</v>
      </c>
      <c r="G81" s="4" t="inlineStr">
        <is>
          <t>Historical include</t>
        </is>
      </c>
      <c r="H81" s="4" t="inlineStr">
        <is>
          <t>Not recorded</t>
        </is>
      </c>
      <c r="I81" s="4" t="n">
        <v>0</v>
      </c>
      <c r="J81" s="4" t="inlineStr">
        <is>
          <t>https://doi.org/10.1007/s00330-021-08239-4</t>
        </is>
      </c>
      <c r="K81" s="4" t="inlineStr">
        <is>
          <t>Not recorded; historical inclusion retained</t>
        </is>
      </c>
      <c r="L81" s="4" t="inlineStr">
        <is>
          <t>RA</t>
        </is>
      </c>
      <c r="M81" s="40" t="n"/>
      <c r="N81" s="4" t="inlineStr">
        <is>
          <t>Pending independent/source verification</t>
        </is>
      </c>
      <c r="O81" s="4" t="inlineStr">
        <is>
          <t>RQ1_RQ2_base_276 / RQ3_base_276</t>
        </is>
      </c>
      <c r="P81" s="4" t="n">
        <v>81</v>
      </c>
    </row>
    <row r="82" ht="47" customHeight="1">
      <c r="A82" s="4" t="inlineStr">
        <is>
          <t>86</t>
        </is>
      </c>
      <c r="B82" s="4" t="inlineStr">
        <is>
          <t>Historical</t>
        </is>
      </c>
      <c r="C82" s="4" t="n">
        <v>86</v>
      </c>
      <c r="D82" s="4" t="inlineStr">
        <is>
          <t>Dissecting the heterogeneity of autism spectrum disorder with sensory behavior, brain, and epigenetic factors</t>
        </is>
      </c>
      <c r="E82" s="4" t="inlineStr">
        <is>
          <t>10.1038/s41398-025-03566-2</t>
        </is>
      </c>
      <c r="F82" s="4" t="n">
        <v>2025</v>
      </c>
      <c r="G82" s="4" t="inlineStr">
        <is>
          <t>Historical include</t>
        </is>
      </c>
      <c r="H82" s="4" t="inlineStr">
        <is>
          <t>Not recorded</t>
        </is>
      </c>
      <c r="I82" s="4" t="n">
        <v>0</v>
      </c>
      <c r="J82" s="4" t="inlineStr">
        <is>
          <t>https://doi.org/10.1038/s41398-025-03566-2</t>
        </is>
      </c>
      <c r="K82" s="4" t="inlineStr">
        <is>
          <t>Not recorded; historical inclusion retained</t>
        </is>
      </c>
      <c r="L82" s="4" t="str"/>
      <c r="M82" s="40" t="n"/>
      <c r="N82" s="4" t="inlineStr">
        <is>
          <t>Pending independent/source verification</t>
        </is>
      </c>
      <c r="O82" s="4" t="inlineStr">
        <is>
          <t>RQ1_RQ2_base_276 / RQ3_base_276</t>
        </is>
      </c>
      <c r="P82" s="4" t="n">
        <v>82</v>
      </c>
    </row>
    <row r="83" ht="47" customHeight="1">
      <c r="A83" s="4" t="inlineStr">
        <is>
          <t>88</t>
        </is>
      </c>
      <c r="B83" s="4" t="inlineStr">
        <is>
          <t>Historical</t>
        </is>
      </c>
      <c r="C83" s="4" t="n">
        <v>88</v>
      </c>
      <c r="D83" s="4" t="inlineStr">
        <is>
          <t>Facial Emotions Are Accurately Encoded in the Neural Signal of Those With Autism Spectrum Disorder: A Deep Learning Approach</t>
        </is>
      </c>
      <c r="E83" s="4" t="inlineStr">
        <is>
          <t>10.1016/j.bpsc.2021.03.015</t>
        </is>
      </c>
      <c r="F83" s="4" t="n">
        <v>2022</v>
      </c>
      <c r="G83" s="4" t="inlineStr">
        <is>
          <t>Historical include</t>
        </is>
      </c>
      <c r="H83" s="4" t="inlineStr">
        <is>
          <t>Not recorded</t>
        </is>
      </c>
      <c r="I83" s="4" t="n">
        <v>0</v>
      </c>
      <c r="J83" s="4" t="inlineStr">
        <is>
          <t>https://doi.org/10.1016/j.bpsc.2021.03.015</t>
        </is>
      </c>
      <c r="K83" s="4" t="inlineStr">
        <is>
          <t>Not recorded; historical inclusion retained</t>
        </is>
      </c>
      <c r="L83" s="4" t="inlineStr">
        <is>
          <t>RA</t>
        </is>
      </c>
      <c r="M83" s="40" t="n"/>
      <c r="N83" s="4" t="inlineStr">
        <is>
          <t>Pending independent/source verification</t>
        </is>
      </c>
      <c r="O83" s="4" t="inlineStr">
        <is>
          <t>RQ1_RQ2_base_276 / RQ3_base_276</t>
        </is>
      </c>
      <c r="P83" s="4" t="n">
        <v>83</v>
      </c>
    </row>
    <row r="84" ht="47" customHeight="1">
      <c r="A84" s="4" t="inlineStr">
        <is>
          <t>89</t>
        </is>
      </c>
      <c r="B84" s="4" t="inlineStr">
        <is>
          <t>Historical</t>
        </is>
      </c>
      <c r="C84" s="4" t="n">
        <v>89</v>
      </c>
      <c r="D84" s="4" t="inlineStr">
        <is>
          <t>Feasibility Testing of a Wearable Behavioral Aid for Social Learning in Children with Autism</t>
        </is>
      </c>
      <c r="E84" s="4" t="inlineStr">
        <is>
          <t>10.1055/s-0038-1626727</t>
        </is>
      </c>
      <c r="F84" s="4" t="n">
        <v>2018</v>
      </c>
      <c r="G84" s="4" t="inlineStr">
        <is>
          <t>Historical include</t>
        </is>
      </c>
      <c r="H84" s="4" t="inlineStr">
        <is>
          <t>Not recorded</t>
        </is>
      </c>
      <c r="I84" s="4" t="n">
        <v>0</v>
      </c>
      <c r="J84" s="4" t="inlineStr">
        <is>
          <t>https://doi.org/10.1055/s-0038-1626727</t>
        </is>
      </c>
      <c r="K84" s="4" t="inlineStr">
        <is>
          <t>Not recorded; historical inclusion retained</t>
        </is>
      </c>
      <c r="L84" s="4" t="str"/>
      <c r="M84" s="40" t="n"/>
      <c r="N84" s="4" t="inlineStr">
        <is>
          <t>Pending independent/source verification</t>
        </is>
      </c>
      <c r="O84" s="4" t="inlineStr">
        <is>
          <t>RQ1_RQ2_base_276 / RQ3_base_276</t>
        </is>
      </c>
      <c r="P84" s="4" t="n">
        <v>84</v>
      </c>
    </row>
    <row r="85" ht="47" customHeight="1">
      <c r="A85" s="4" t="inlineStr">
        <is>
          <t>90</t>
        </is>
      </c>
      <c r="B85" s="4" t="inlineStr">
        <is>
          <t>Historical</t>
        </is>
      </c>
      <c r="C85" s="4" t="n">
        <v>90</v>
      </c>
      <c r="D85" s="4" t="inlineStr">
        <is>
          <t>Handwriting-Based ADHD Detection for Children Having ASD Using Machine Learning Approaches</t>
        </is>
      </c>
      <c r="E85" s="4" t="inlineStr">
        <is>
          <t>10.1109/access.2023.3302903</t>
        </is>
      </c>
      <c r="F85" s="4" t="n">
        <v>2023</v>
      </c>
      <c r="G85" s="4" t="inlineStr">
        <is>
          <t>Historical include</t>
        </is>
      </c>
      <c r="H85" s="4" t="inlineStr">
        <is>
          <t>Not recorded</t>
        </is>
      </c>
      <c r="I85" s="4" t="n">
        <v>0</v>
      </c>
      <c r="J85" s="4" t="inlineStr">
        <is>
          <t>https://doi.org/10.1109/access.2023.3302903</t>
        </is>
      </c>
      <c r="K85" s="4" t="inlineStr">
        <is>
          <t>Not recorded; historical inclusion retained</t>
        </is>
      </c>
      <c r="L85" s="4" t="str"/>
      <c r="M85" s="40" t="n"/>
      <c r="N85" s="4" t="inlineStr">
        <is>
          <t>Pending independent/source verification</t>
        </is>
      </c>
      <c r="O85" s="4" t="inlineStr">
        <is>
          <t>RQ1_RQ2_base_276 / RQ3_base_276</t>
        </is>
      </c>
      <c r="P85" s="4" t="n">
        <v>85</v>
      </c>
    </row>
    <row r="86" ht="47" customHeight="1">
      <c r="A86" s="4" t="inlineStr">
        <is>
          <t>91</t>
        </is>
      </c>
      <c r="B86" s="4" t="inlineStr">
        <is>
          <t>Historical</t>
        </is>
      </c>
      <c r="C86" s="4" t="n">
        <v>91</v>
      </c>
      <c r="D86" s="4" t="inlineStr">
        <is>
          <t>Integrating Graph Convolutional Networks (GCNNs) and Long Short-Term Memory (LSTM) for Efficient Diagnosis of Autism</t>
        </is>
      </c>
      <c r="E86" s="4" t="inlineStr">
        <is>
          <t>10.1007/978-3-031-09342-5_11</t>
        </is>
      </c>
      <c r="F86" s="4" t="n">
        <v>2022</v>
      </c>
      <c r="G86" s="4" t="inlineStr">
        <is>
          <t>Historical include</t>
        </is>
      </c>
      <c r="H86" s="4" t="inlineStr">
        <is>
          <t>Not recorded</t>
        </is>
      </c>
      <c r="I86" s="4" t="n">
        <v>0</v>
      </c>
      <c r="J86" s="4" t="inlineStr">
        <is>
          <t>https://doi.org/10.1007/978-3-031-09342-5_11</t>
        </is>
      </c>
      <c r="K86" s="4" t="inlineStr">
        <is>
          <t>Not recorded; historical inclusion retained</t>
        </is>
      </c>
      <c r="L86" s="4" t="str"/>
      <c r="M86" s="40" t="n"/>
      <c r="N86" s="4" t="inlineStr">
        <is>
          <t>Pending independent/source verification</t>
        </is>
      </c>
      <c r="O86" s="4" t="inlineStr">
        <is>
          <t>RQ1_RQ2_base_276 / RQ3_base_276</t>
        </is>
      </c>
      <c r="P86" s="4" t="n">
        <v>86</v>
      </c>
    </row>
    <row r="87" ht="47" customHeight="1">
      <c r="A87" s="4" t="inlineStr">
        <is>
          <t>92</t>
        </is>
      </c>
      <c r="B87" s="4" t="inlineStr">
        <is>
          <t>Historical</t>
        </is>
      </c>
      <c r="C87" s="4" t="n">
        <v>92</v>
      </c>
      <c r="D87" s="4" t="inlineStr">
        <is>
          <t>Learning discriminative functional connectivity networks for identifying Autism spectrum disorder</t>
        </is>
      </c>
      <c r="E87" s="4" t="inlineStr">
        <is>
          <t>10.1016/j.bspc.2024.107466</t>
        </is>
      </c>
      <c r="F87" s="4" t="n">
        <v>2025</v>
      </c>
      <c r="G87" s="4" t="inlineStr">
        <is>
          <t>Historical include</t>
        </is>
      </c>
      <c r="H87" s="4" t="inlineStr">
        <is>
          <t>Not recorded</t>
        </is>
      </c>
      <c r="I87" s="4" t="n">
        <v>0</v>
      </c>
      <c r="J87" s="4" t="inlineStr">
        <is>
          <t>https://doi.org/10.1016/j.bspc.2024.107466</t>
        </is>
      </c>
      <c r="K87" s="4" t="inlineStr">
        <is>
          <t>Not recorded; historical inclusion retained</t>
        </is>
      </c>
      <c r="L87" s="4" t="inlineStr">
        <is>
          <t>RA</t>
        </is>
      </c>
      <c r="M87" s="40" t="n"/>
      <c r="N87" s="4" t="inlineStr">
        <is>
          <t>Pending independent/source verification</t>
        </is>
      </c>
      <c r="O87" s="4" t="inlineStr">
        <is>
          <t>RQ1_RQ2_base_276 / RQ3_base_276</t>
        </is>
      </c>
      <c r="P87" s="4" t="n">
        <v>87</v>
      </c>
    </row>
    <row r="88" ht="60" customHeight="1">
      <c r="A88" s="4" t="inlineStr">
        <is>
          <t>94</t>
        </is>
      </c>
      <c r="B88" s="4" t="inlineStr">
        <is>
          <t>Historical</t>
        </is>
      </c>
      <c r="C88" s="4" t="n">
        <v>94</v>
      </c>
      <c r="D88" s="4" t="inlineStr">
        <is>
          <t>Optimizing a de novo artificial intelligence-based medical device under a predetermined change control plan: Improved ability to detect or rule out pediatric autism</t>
        </is>
      </c>
      <c r="E88" s="4" t="inlineStr">
        <is>
          <t>10.1016/j.ibmed.2023.100102</t>
        </is>
      </c>
      <c r="F88" s="4" t="n">
        <v>2023</v>
      </c>
      <c r="G88" s="4" t="inlineStr">
        <is>
          <t>Historical include</t>
        </is>
      </c>
      <c r="H88" s="4" t="inlineStr">
        <is>
          <t>Not recorded</t>
        </is>
      </c>
      <c r="I88" s="4" t="n">
        <v>0</v>
      </c>
      <c r="J88" s="4" t="inlineStr">
        <is>
          <t>https://doi.org/10.1016/j.ibmed.2023.100102</t>
        </is>
      </c>
      <c r="K88" s="4" t="inlineStr">
        <is>
          <t>Not recorded; historical inclusion retained</t>
        </is>
      </c>
      <c r="L88" s="4" t="inlineStr">
        <is>
          <t>RA</t>
        </is>
      </c>
      <c r="M88" s="40" t="n"/>
      <c r="N88" s="4" t="inlineStr">
        <is>
          <t>Pending independent/source verification</t>
        </is>
      </c>
      <c r="O88" s="4" t="inlineStr">
        <is>
          <t>RQ1_RQ2_base_276 / RQ3_base_276</t>
        </is>
      </c>
      <c r="P88" s="4" t="n">
        <v>88</v>
      </c>
    </row>
    <row r="89" ht="47" customHeight="1">
      <c r="A89" s="4" t="inlineStr">
        <is>
          <t>95</t>
        </is>
      </c>
      <c r="B89" s="4" t="inlineStr">
        <is>
          <t>Historical</t>
        </is>
      </c>
      <c r="C89" s="4" t="n">
        <v>95</v>
      </c>
      <c r="D89" s="4" t="inlineStr">
        <is>
          <t>Physician Versus Large Language Model Chatbot Responses to Web-Based Questions From Autistic Patients in Chinese: Cross-Sectional Comparative Analysis</t>
        </is>
      </c>
      <c r="E89" s="4" t="inlineStr">
        <is>
          <t>10.2196/54706</t>
        </is>
      </c>
      <c r="F89" s="4" t="n">
        <v>2024</v>
      </c>
      <c r="G89" s="4" t="inlineStr">
        <is>
          <t>Historical include</t>
        </is>
      </c>
      <c r="H89" s="4" t="inlineStr">
        <is>
          <t>Not recorded</t>
        </is>
      </c>
      <c r="I89" s="4" t="n">
        <v>0</v>
      </c>
      <c r="J89" s="4" t="inlineStr">
        <is>
          <t>https://doi.org/10.2196/54706</t>
        </is>
      </c>
      <c r="K89" s="4" t="inlineStr">
        <is>
          <t>Not recorded; historical inclusion retained</t>
        </is>
      </c>
      <c r="L89" s="4" t="inlineStr">
        <is>
          <t>RA</t>
        </is>
      </c>
      <c r="M89" s="40" t="n"/>
      <c r="N89" s="4" t="inlineStr">
        <is>
          <t>Pending independent/source verification</t>
        </is>
      </c>
      <c r="O89" s="4" t="inlineStr">
        <is>
          <t>RQ1_RQ2_base_276 / RQ3_base_276</t>
        </is>
      </c>
      <c r="P89" s="4" t="n">
        <v>89</v>
      </c>
    </row>
    <row r="90" ht="47" customHeight="1">
      <c r="A90" s="4" t="inlineStr">
        <is>
          <t>96</t>
        </is>
      </c>
      <c r="B90" s="4" t="inlineStr">
        <is>
          <t>Historical</t>
        </is>
      </c>
      <c r="C90" s="4" t="n">
        <v>96</v>
      </c>
      <c r="D90" s="4" t="inlineStr">
        <is>
          <t>Polychlorinated biphenyls influence on autism spectrum disorder risk in the MARBLES cohort</t>
        </is>
      </c>
      <c r="E90" s="4" t="inlineStr">
        <is>
          <t>10.1016/j.envres.2018.12.061</t>
        </is>
      </c>
      <c r="F90" s="4" t="n">
        <v>2019</v>
      </c>
      <c r="G90" s="4" t="inlineStr">
        <is>
          <t>Historical include</t>
        </is>
      </c>
      <c r="H90" s="4" t="inlineStr">
        <is>
          <t>Not recorded</t>
        </is>
      </c>
      <c r="I90" s="4" t="n">
        <v>0</v>
      </c>
      <c r="J90" s="4" t="inlineStr">
        <is>
          <t>https://doi.org/10.1016/j.envres.2018.12.061</t>
        </is>
      </c>
      <c r="K90" s="4" t="inlineStr">
        <is>
          <t>Not recorded; historical inclusion retained</t>
        </is>
      </c>
      <c r="L90" s="4" t="str"/>
      <c r="M90" s="40" t="n"/>
      <c r="N90" s="4" t="inlineStr">
        <is>
          <t>Pending independent/source verification</t>
        </is>
      </c>
      <c r="O90" s="4" t="inlineStr">
        <is>
          <t>RQ1_RQ2_base_276 / RQ3_base_276</t>
        </is>
      </c>
      <c r="P90" s="4" t="n">
        <v>90</v>
      </c>
    </row>
    <row r="91" ht="47" customHeight="1">
      <c r="A91" s="4" t="inlineStr">
        <is>
          <t>97</t>
        </is>
      </c>
      <c r="B91" s="4" t="inlineStr">
        <is>
          <t>Historical</t>
        </is>
      </c>
      <c r="C91" s="4" t="n">
        <v>97</v>
      </c>
      <c r="D91" s="4" t="inlineStr">
        <is>
          <t>Predicting Core Characteristics of ASD Through Facial Emotion Recognition and Eye Tracking in Youth.</t>
        </is>
      </c>
      <c r="E91" s="4" t="inlineStr">
        <is>
          <t>10.1109/embc44109.2020.9176843</t>
        </is>
      </c>
      <c r="F91" s="4" t="n">
        <v>2020</v>
      </c>
      <c r="G91" s="4" t="inlineStr">
        <is>
          <t>Historical include</t>
        </is>
      </c>
      <c r="H91" s="4" t="inlineStr">
        <is>
          <t>Not recorded</t>
        </is>
      </c>
      <c r="I91" s="4" t="n">
        <v>0</v>
      </c>
      <c r="J91" s="4" t="inlineStr">
        <is>
          <t>https://doi.org/10.1109/embc44109.2020.9176843</t>
        </is>
      </c>
      <c r="K91" s="4" t="inlineStr">
        <is>
          <t>Not recorded; historical inclusion retained</t>
        </is>
      </c>
      <c r="L91" s="4" t="str"/>
      <c r="M91" s="40" t="n"/>
      <c r="N91" s="4" t="inlineStr">
        <is>
          <t>Pending independent/source verification</t>
        </is>
      </c>
      <c r="O91" s="4" t="inlineStr">
        <is>
          <t>RQ1_RQ2_base_276 / RQ3_base_276</t>
        </is>
      </c>
      <c r="P91" s="4" t="n">
        <v>91</v>
      </c>
    </row>
    <row r="92" ht="47" customHeight="1">
      <c r="A92" s="4" t="inlineStr">
        <is>
          <t>98</t>
        </is>
      </c>
      <c r="B92" s="4" t="inlineStr">
        <is>
          <t>Historical</t>
        </is>
      </c>
      <c r="C92" s="4" t="n">
        <v>98</v>
      </c>
      <c r="D92" s="4" t="inlineStr">
        <is>
          <t>Self-supervised machine learning approach for autism detection in young children using MEG signals</t>
        </is>
      </c>
      <c r="E92" s="4" t="inlineStr">
        <is>
          <t>10.1016/j.bspc.2024.106671</t>
        </is>
      </c>
      <c r="F92" s="4" t="n">
        <v>2024</v>
      </c>
      <c r="G92" s="4" t="inlineStr">
        <is>
          <t>Historical include</t>
        </is>
      </c>
      <c r="H92" s="4" t="inlineStr">
        <is>
          <t>Not recorded</t>
        </is>
      </c>
      <c r="I92" s="4" t="n">
        <v>0</v>
      </c>
      <c r="J92" s="4" t="inlineStr">
        <is>
          <t>https://doi.org/10.1016/j.bspc.2024.106671</t>
        </is>
      </c>
      <c r="K92" s="4" t="inlineStr">
        <is>
          <t>Not recorded; historical inclusion retained</t>
        </is>
      </c>
      <c r="L92" s="4" t="inlineStr">
        <is>
          <t>RA</t>
        </is>
      </c>
      <c r="M92" s="40" t="n"/>
      <c r="N92" s="4" t="inlineStr">
        <is>
          <t>Pending independent/source verification</t>
        </is>
      </c>
      <c r="O92" s="4" t="inlineStr">
        <is>
          <t>RQ1_RQ2_base_276 / RQ3_base_276</t>
        </is>
      </c>
      <c r="P92" s="4" t="n">
        <v>92</v>
      </c>
    </row>
    <row r="93" ht="47" customHeight="1">
      <c r="A93" s="4" t="inlineStr">
        <is>
          <t>99</t>
        </is>
      </c>
      <c r="B93" s="4" t="inlineStr">
        <is>
          <t>Historical</t>
        </is>
      </c>
      <c r="C93" s="4" t="n">
        <v>99</v>
      </c>
      <c r="D93" s="4" t="inlineStr">
        <is>
          <t>Serum Brain-derived neurotrophic factor levels in Chinese children with autism spectrum disorders: A pilot study</t>
        </is>
      </c>
      <c r="E93" s="4" t="inlineStr">
        <is>
          <t>10.1016/j.ijdevneu.2014.06.013</t>
        </is>
      </c>
      <c r="F93" s="4" t="n">
        <v>2014</v>
      </c>
      <c r="G93" s="4" t="inlineStr">
        <is>
          <t>Historical include</t>
        </is>
      </c>
      <c r="H93" s="4" t="inlineStr">
        <is>
          <t>Not recorded</t>
        </is>
      </c>
      <c r="I93" s="4" t="n">
        <v>0</v>
      </c>
      <c r="J93" s="4" t="inlineStr">
        <is>
          <t>https://doi.org/10.1016/j.ijdevneu.2014.06.013</t>
        </is>
      </c>
      <c r="K93" s="4" t="inlineStr">
        <is>
          <t>Not recorded; historical inclusion retained</t>
        </is>
      </c>
      <c r="L93" s="4" t="inlineStr">
        <is>
          <t>RA</t>
        </is>
      </c>
      <c r="M93" s="40" t="n"/>
      <c r="N93" s="4" t="inlineStr">
        <is>
          <t>Pending independent/source verification</t>
        </is>
      </c>
      <c r="O93" s="4" t="inlineStr">
        <is>
          <t>RQ1_RQ2_base_276 / RQ3_base_276</t>
        </is>
      </c>
      <c r="P93" s="4" t="n">
        <v>93</v>
      </c>
    </row>
    <row r="94" ht="47" customHeight="1">
      <c r="A94" s="4" t="inlineStr">
        <is>
          <t>100</t>
        </is>
      </c>
      <c r="B94" s="4" t="inlineStr">
        <is>
          <t>Historical</t>
        </is>
      </c>
      <c r="C94" s="4" t="n">
        <v>100</v>
      </c>
      <c r="D94" s="4" t="inlineStr">
        <is>
          <t>Sex Differences in Functional Gradients and Dynamic Functional Connectivity in Preschool-Aged Children With ASD</t>
        </is>
      </c>
      <c r="E94" s="4" t="inlineStr">
        <is>
          <t>10.1111/cns.70562</t>
        </is>
      </c>
      <c r="F94" s="4" t="n">
        <v>2025</v>
      </c>
      <c r="G94" s="4" t="inlineStr">
        <is>
          <t>Historical include</t>
        </is>
      </c>
      <c r="H94" s="4" t="inlineStr">
        <is>
          <t>Not recorded</t>
        </is>
      </c>
      <c r="I94" s="4" t="n">
        <v>0</v>
      </c>
      <c r="J94" s="4" t="inlineStr">
        <is>
          <t>https://doi.org/10.1111/cns.70562</t>
        </is>
      </c>
      <c r="K94" s="4" t="inlineStr">
        <is>
          <t>Not recorded; historical inclusion retained</t>
        </is>
      </c>
      <c r="L94" s="4" t="inlineStr">
        <is>
          <t>RA</t>
        </is>
      </c>
      <c r="M94" s="40" t="n"/>
      <c r="N94" s="4" t="inlineStr">
        <is>
          <t>Pending independent/source verification</t>
        </is>
      </c>
      <c r="O94" s="4" t="inlineStr">
        <is>
          <t>RQ1_RQ2_base_276 / RQ3_base_276</t>
        </is>
      </c>
      <c r="P94" s="4" t="n">
        <v>94</v>
      </c>
    </row>
    <row r="95" ht="47" customHeight="1">
      <c r="A95" s="4" t="inlineStr">
        <is>
          <t>102</t>
        </is>
      </c>
      <c r="B95" s="4" t="inlineStr">
        <is>
          <t>Historical</t>
        </is>
      </c>
      <c r="C95" s="4" t="n">
        <v>102</v>
      </c>
      <c r="D95" s="4" t="inlineStr">
        <is>
          <t>Toward continuous social phenotyping: Analyzing gaze patterns in an emotion recognition task for children with autism through wearable smart glasses</t>
        </is>
      </c>
      <c r="E95" s="4" t="inlineStr">
        <is>
          <t>10.2196/13810</t>
        </is>
      </c>
      <c r="F95" s="4" t="n">
        <v>2020</v>
      </c>
      <c r="G95" s="4" t="inlineStr">
        <is>
          <t>Historical include</t>
        </is>
      </c>
      <c r="H95" s="4" t="inlineStr">
        <is>
          <t>Not recorded</t>
        </is>
      </c>
      <c r="I95" s="4" t="n">
        <v>0</v>
      </c>
      <c r="J95" s="4" t="inlineStr">
        <is>
          <t>https://doi.org/10.2196/13810</t>
        </is>
      </c>
      <c r="K95" s="4" t="inlineStr">
        <is>
          <t>Not recorded; historical inclusion retained</t>
        </is>
      </c>
      <c r="L95" s="4" t="inlineStr">
        <is>
          <t>RA</t>
        </is>
      </c>
      <c r="M95" s="40" t="n"/>
      <c r="N95" s="4" t="inlineStr">
        <is>
          <t>Pending independent/source verification</t>
        </is>
      </c>
      <c r="O95" s="4" t="inlineStr">
        <is>
          <t>RQ1_RQ2_base_276 / RQ3_base_276</t>
        </is>
      </c>
      <c r="P95" s="4" t="n">
        <v>95</v>
      </c>
    </row>
    <row r="96" ht="47" customHeight="1">
      <c r="A96" s="4" t="inlineStr">
        <is>
          <t>103</t>
        </is>
      </c>
      <c r="B96" s="4" t="inlineStr">
        <is>
          <t>Historical</t>
        </is>
      </c>
      <c r="C96" s="4" t="n">
        <v>103</v>
      </c>
      <c r="D96" s="4" t="inlineStr">
        <is>
          <t>Using machine learning to identify patterns of lifetime health problems in decedents with autism spectrum disorder</t>
        </is>
      </c>
      <c r="E96" s="4" t="inlineStr">
        <is>
          <t>10.1002/aur.1960</t>
        </is>
      </c>
      <c r="F96" s="4" t="n">
        <v>2018</v>
      </c>
      <c r="G96" s="4" t="inlineStr">
        <is>
          <t>Historical include</t>
        </is>
      </c>
      <c r="H96" s="4" t="inlineStr">
        <is>
          <t>Not recorded</t>
        </is>
      </c>
      <c r="I96" s="4" t="n">
        <v>0</v>
      </c>
      <c r="J96" s="4" t="inlineStr">
        <is>
          <t>https://doi.org/10.1002/aur.1960</t>
        </is>
      </c>
      <c r="K96" s="4" t="inlineStr">
        <is>
          <t>Not recorded; historical inclusion retained</t>
        </is>
      </c>
      <c r="L96" s="4" t="str"/>
      <c r="M96" s="40" t="n"/>
      <c r="N96" s="4" t="inlineStr">
        <is>
          <t>Pending independent/source verification</t>
        </is>
      </c>
      <c r="O96" s="4" t="inlineStr">
        <is>
          <t>RQ1_RQ2_base_276 / RQ3_base_276</t>
        </is>
      </c>
      <c r="P96" s="4" t="n">
        <v>96</v>
      </c>
    </row>
    <row r="97" ht="47" customHeight="1">
      <c r="A97" s="4" t="inlineStr">
        <is>
          <t>104</t>
        </is>
      </c>
      <c r="B97" s="4" t="inlineStr">
        <is>
          <t>Historical</t>
        </is>
      </c>
      <c r="C97" s="4" t="n">
        <v>104</v>
      </c>
      <c r="D97" s="4" t="inlineStr">
        <is>
          <t>A Framework for Comparison and Interpretation of Machine Learning Classifiers to Predict Autism on the ABIDE Dataset</t>
        </is>
      </c>
      <c r="E97" s="4" t="inlineStr">
        <is>
          <t>10.1002/hbm.70190</t>
        </is>
      </c>
      <c r="F97" s="4" t="n">
        <v>2025</v>
      </c>
      <c r="G97" s="4" t="inlineStr">
        <is>
          <t>Historical include</t>
        </is>
      </c>
      <c r="H97" s="4" t="inlineStr">
        <is>
          <t>Not recorded</t>
        </is>
      </c>
      <c r="I97" s="4" t="n">
        <v>0</v>
      </c>
      <c r="J97" s="4" t="inlineStr">
        <is>
          <t>https://doi.org/10.1002/hbm.70190</t>
        </is>
      </c>
      <c r="K97" s="4" t="inlineStr">
        <is>
          <t>Not recorded; historical inclusion retained</t>
        </is>
      </c>
      <c r="L97" s="4" t="str"/>
      <c r="M97" s="40" t="n"/>
      <c r="N97" s="4" t="inlineStr">
        <is>
          <t>Pending independent/source verification</t>
        </is>
      </c>
      <c r="O97" s="4" t="inlineStr">
        <is>
          <t>RQ1_RQ2_base_276 / RQ3_base_276</t>
        </is>
      </c>
      <c r="P97" s="4" t="n">
        <v>97</v>
      </c>
    </row>
    <row r="98" ht="47" customHeight="1">
      <c r="A98" s="4" t="inlineStr">
        <is>
          <t>105</t>
        </is>
      </c>
      <c r="B98" s="4" t="inlineStr">
        <is>
          <t>Historical</t>
        </is>
      </c>
      <c r="C98" s="4" t="n">
        <v>105</v>
      </c>
      <c r="D98" s="4" t="inlineStr">
        <is>
          <t>A Novel Deep Learning Approach for Recognizing Stereotypical Motor Movements within and across Subjects on the Autism Spectrum Disorder</t>
        </is>
      </c>
      <c r="E98" s="4" t="inlineStr">
        <is>
          <t>10.1155/2018/7186762</t>
        </is>
      </c>
      <c r="F98" s="4" t="n">
        <v>2018</v>
      </c>
      <c r="G98" s="4" t="inlineStr">
        <is>
          <t>Historical include</t>
        </is>
      </c>
      <c r="H98" s="4" t="inlineStr">
        <is>
          <t>Not recorded</t>
        </is>
      </c>
      <c r="I98" s="4" t="n">
        <v>0</v>
      </c>
      <c r="J98" s="4" t="inlineStr">
        <is>
          <t>https://doi.org/10.1155/2018/7186762</t>
        </is>
      </c>
      <c r="K98" s="4" t="inlineStr">
        <is>
          <t>Not recorded; historical inclusion retained</t>
        </is>
      </c>
      <c r="L98" s="4" t="str"/>
      <c r="M98" s="40" t="n"/>
      <c r="N98" s="4" t="inlineStr">
        <is>
          <t>Pending independent/source verification</t>
        </is>
      </c>
      <c r="O98" s="4" t="inlineStr">
        <is>
          <t>RQ1_RQ2_base_276 / RQ3_base_276</t>
        </is>
      </c>
      <c r="P98" s="4" t="n">
        <v>98</v>
      </c>
    </row>
    <row r="99" ht="47" customHeight="1">
      <c r="A99" s="4" t="inlineStr">
        <is>
          <t>106</t>
        </is>
      </c>
      <c r="B99" s="4" t="inlineStr">
        <is>
          <t>Historical</t>
        </is>
      </c>
      <c r="C99" s="4" t="n">
        <v>106</v>
      </c>
      <c r="D99" s="4" t="inlineStr">
        <is>
          <t>Analysis of variant interactions in families with autism points to genes involved in the development of the central nervous system</t>
        </is>
      </c>
      <c r="E99" s="4" t="inlineStr">
        <is>
          <t>10.1371/journal.pone.0326022</t>
        </is>
      </c>
      <c r="F99" s="4" t="n">
        <v>2025</v>
      </c>
      <c r="G99" s="4" t="inlineStr">
        <is>
          <t>Historical include</t>
        </is>
      </c>
      <c r="H99" s="4" t="inlineStr">
        <is>
          <t>Not recorded</t>
        </is>
      </c>
      <c r="I99" s="4" t="n">
        <v>0</v>
      </c>
      <c r="J99" s="4" t="inlineStr">
        <is>
          <t>https://doi.org/10.1371/journal.pone.0326022</t>
        </is>
      </c>
      <c r="K99" s="4" t="inlineStr">
        <is>
          <t>Not recorded; historical inclusion retained</t>
        </is>
      </c>
      <c r="L99" s="4" t="str"/>
      <c r="M99" s="40" t="n"/>
      <c r="N99" s="4" t="inlineStr">
        <is>
          <t>Pending independent/source verification</t>
        </is>
      </c>
      <c r="O99" s="4" t="inlineStr">
        <is>
          <t>RQ1_RQ2_base_276 / RQ3_base_276</t>
        </is>
      </c>
      <c r="P99" s="4" t="n">
        <v>99</v>
      </c>
    </row>
    <row r="100" ht="47" customHeight="1">
      <c r="A100" s="4" t="inlineStr">
        <is>
          <t>107</t>
        </is>
      </c>
      <c r="B100" s="4" t="inlineStr">
        <is>
          <t>Historical</t>
        </is>
      </c>
      <c r="C100" s="4" t="n">
        <v>107</v>
      </c>
      <c r="D100" s="4" t="inlineStr">
        <is>
          <t>Detecting High-Functioning Autism in Adults Using Eye Tracking and Machine Learning</t>
        </is>
      </c>
      <c r="E100" s="4" t="inlineStr">
        <is>
          <t>10.1109/tnsre.2020.2991675</t>
        </is>
      </c>
      <c r="F100" s="4" t="n">
        <v>2020</v>
      </c>
      <c r="G100" s="4" t="inlineStr">
        <is>
          <t>Historical include</t>
        </is>
      </c>
      <c r="H100" s="4" t="inlineStr">
        <is>
          <t>Not recorded</t>
        </is>
      </c>
      <c r="I100" s="4" t="n">
        <v>0</v>
      </c>
      <c r="J100" s="4" t="inlineStr">
        <is>
          <t>https://doi.org/10.1109/tnsre.2020.2991675</t>
        </is>
      </c>
      <c r="K100" s="4" t="inlineStr">
        <is>
          <t>Not recorded; historical inclusion retained</t>
        </is>
      </c>
      <c r="L100" s="4" t="str"/>
      <c r="M100" s="40" t="n"/>
      <c r="N100" s="4" t="inlineStr">
        <is>
          <t>Pending independent/source verification</t>
        </is>
      </c>
      <c r="O100" s="4" t="inlineStr">
        <is>
          <t>RQ1_RQ2_base_276 / RQ3_base_276</t>
        </is>
      </c>
      <c r="P100" s="4" t="n">
        <v>100</v>
      </c>
    </row>
    <row r="101" ht="47" customHeight="1">
      <c r="A101" s="4" t="inlineStr">
        <is>
          <t>108</t>
        </is>
      </c>
      <c r="B101" s="4" t="inlineStr">
        <is>
          <t>Historical</t>
        </is>
      </c>
      <c r="C101" s="4" t="n">
        <v>108</v>
      </c>
      <c r="D101" s="4" t="inlineStr">
        <is>
          <t>Identification of neural connectivity signatures of autism using machine learning</t>
        </is>
      </c>
      <c r="E101" s="4" t="inlineStr">
        <is>
          <t>10.3389/fnhum.2013.00670/full</t>
        </is>
      </c>
      <c r="F101" s="4" t="n">
        <v>2013</v>
      </c>
      <c r="G101" s="4" t="inlineStr">
        <is>
          <t>Historical include</t>
        </is>
      </c>
      <c r="H101" s="4" t="inlineStr">
        <is>
          <t>Not recorded</t>
        </is>
      </c>
      <c r="I101" s="4" t="n">
        <v>0</v>
      </c>
      <c r="J101" s="4" t="inlineStr">
        <is>
          <t>https://doi.org/10.3389/fnhum.2013.00670/full</t>
        </is>
      </c>
      <c r="K101" s="4" t="inlineStr">
        <is>
          <t>Not recorded; historical inclusion retained</t>
        </is>
      </c>
      <c r="L101" s="4" t="inlineStr">
        <is>
          <t>RA</t>
        </is>
      </c>
      <c r="M101" s="40" t="n"/>
      <c r="N101" s="4" t="inlineStr">
        <is>
          <t>Pending independent/source verification</t>
        </is>
      </c>
      <c r="O101" s="4" t="inlineStr">
        <is>
          <t>RQ1_RQ2_base_276 / RQ3_base_276</t>
        </is>
      </c>
      <c r="P101" s="4" t="n">
        <v>101</v>
      </c>
    </row>
    <row r="102" ht="47" customHeight="1">
      <c r="A102" s="4" t="inlineStr">
        <is>
          <t>109</t>
        </is>
      </c>
      <c r="B102" s="4" t="inlineStr">
        <is>
          <t>Historical</t>
        </is>
      </c>
      <c r="C102" s="4" t="n">
        <v>109</v>
      </c>
      <c r="D102" s="4" t="inlineStr">
        <is>
          <t>Identifying autism from neural representations of social interactions: Neurocognitive markers of autism</t>
        </is>
      </c>
      <c r="E102" s="4" t="inlineStr">
        <is>
          <t>10.1371/journal.pone.0113879</t>
        </is>
      </c>
      <c r="F102" s="4" t="n">
        <v>2014</v>
      </c>
      <c r="G102" s="4" t="inlineStr">
        <is>
          <t>Historical include</t>
        </is>
      </c>
      <c r="H102" s="4" t="inlineStr">
        <is>
          <t>Not recorded</t>
        </is>
      </c>
      <c r="I102" s="4" t="n">
        <v>0</v>
      </c>
      <c r="J102" s="4" t="inlineStr">
        <is>
          <t>https://doi.org/10.1371/journal.pone.0113879</t>
        </is>
      </c>
      <c r="K102" s="4" t="inlineStr">
        <is>
          <t>Not recorded; historical inclusion retained</t>
        </is>
      </c>
      <c r="L102" s="4" t="inlineStr">
        <is>
          <t>RA</t>
        </is>
      </c>
      <c r="M102" s="40" t="n"/>
      <c r="N102" s="4" t="inlineStr">
        <is>
          <t>Pending independent/source verification</t>
        </is>
      </c>
      <c r="O102" s="4" t="inlineStr">
        <is>
          <t>RQ1_RQ2_base_276 / RQ3_base_276</t>
        </is>
      </c>
      <c r="P102" s="4" t="n">
        <v>102</v>
      </c>
    </row>
    <row r="103" ht="47" customHeight="1">
      <c r="A103" s="4" t="inlineStr">
        <is>
          <t>110</t>
        </is>
      </c>
      <c r="B103" s="4" t="inlineStr">
        <is>
          <t>Historical</t>
        </is>
      </c>
      <c r="C103" s="4" t="n">
        <v>110</v>
      </c>
      <c r="D103" s="4" t="inlineStr">
        <is>
          <t>Identifying Language and Cognitive Profiles in Children With ASD via a Cluster Analysis Exploration: Implications for the New ICD-11</t>
        </is>
      </c>
      <c r="E103" s="4" t="inlineStr">
        <is>
          <t>10.1002/aur.2268</t>
        </is>
      </c>
      <c r="F103" s="4" t="n">
        <v>2020</v>
      </c>
      <c r="G103" s="4" t="inlineStr">
        <is>
          <t>Historical include</t>
        </is>
      </c>
      <c r="H103" s="4" t="inlineStr">
        <is>
          <t>Not recorded</t>
        </is>
      </c>
      <c r="I103" s="4" t="n">
        <v>0</v>
      </c>
      <c r="J103" s="4" t="inlineStr">
        <is>
          <t>https://doi.org/10.1002/aur.2268</t>
        </is>
      </c>
      <c r="K103" s="4" t="inlineStr">
        <is>
          <t>Not recorded; historical inclusion retained</t>
        </is>
      </c>
      <c r="L103" s="4" t="str"/>
      <c r="M103" s="40" t="n"/>
      <c r="N103" s="4" t="inlineStr">
        <is>
          <t>Pending independent/source verification</t>
        </is>
      </c>
      <c r="O103" s="4" t="inlineStr">
        <is>
          <t>RQ1_RQ2_base_276 / RQ3_base_276</t>
        </is>
      </c>
      <c r="P103" s="4" t="n">
        <v>103</v>
      </c>
    </row>
    <row r="104" ht="47" customHeight="1">
      <c r="A104" s="4" t="inlineStr">
        <is>
          <t>111</t>
        </is>
      </c>
      <c r="B104" s="4" t="inlineStr">
        <is>
          <t>Historical</t>
        </is>
      </c>
      <c r="C104" s="4" t="n">
        <v>111</v>
      </c>
      <c r="D104" s="4" t="inlineStr">
        <is>
          <t>On the Utility of Parents' Historical Data to Investigate the Causes of Autism Spectrum Disorder: A Data Mining-Based Framework</t>
        </is>
      </c>
      <c r="E104" s="4" t="inlineStr">
        <is>
          <t>10.1016/j.irbm.2023.100780</t>
        </is>
      </c>
      <c r="F104" s="4" t="n">
        <v>2023</v>
      </c>
      <c r="G104" s="4" t="inlineStr">
        <is>
          <t>Historical include</t>
        </is>
      </c>
      <c r="H104" s="4" t="inlineStr">
        <is>
          <t>Not recorded</t>
        </is>
      </c>
      <c r="I104" s="4" t="n">
        <v>0</v>
      </c>
      <c r="J104" s="4" t="inlineStr">
        <is>
          <t>https://doi.org/10.1016/j.irbm.2023.100780</t>
        </is>
      </c>
      <c r="K104" s="4" t="inlineStr">
        <is>
          <t>Not recorded; historical inclusion retained</t>
        </is>
      </c>
      <c r="L104" s="4" t="inlineStr">
        <is>
          <t>RA</t>
        </is>
      </c>
      <c r="M104" s="40" t="n"/>
      <c r="N104" s="4" t="inlineStr">
        <is>
          <t>Pending independent/source verification</t>
        </is>
      </c>
      <c r="O104" s="4" t="inlineStr">
        <is>
          <t>RQ1_RQ2_base_276 / RQ3_base_276</t>
        </is>
      </c>
      <c r="P104" s="4" t="n">
        <v>104</v>
      </c>
    </row>
    <row r="105" ht="47" customHeight="1">
      <c r="A105" s="4" t="inlineStr">
        <is>
          <t>112</t>
        </is>
      </c>
      <c r="B105" s="4" t="inlineStr">
        <is>
          <t>Historical</t>
        </is>
      </c>
      <c r="C105" s="4" t="n">
        <v>112</v>
      </c>
      <c r="D105" s="4" t="inlineStr">
        <is>
          <t>Structural variants identified using non-Mendelian inheritance patterns advance the mechanistic understanding of autism spectrum disorder</t>
        </is>
      </c>
      <c r="E105" s="4" t="inlineStr">
        <is>
          <t>10.1016/j.xhgg.2022.100150</t>
        </is>
      </c>
      <c r="F105" s="4" t="n">
        <v>2023</v>
      </c>
      <c r="G105" s="4" t="inlineStr">
        <is>
          <t>Historical include</t>
        </is>
      </c>
      <c r="H105" s="4" t="inlineStr">
        <is>
          <t>Not recorded</t>
        </is>
      </c>
      <c r="I105" s="4" t="n">
        <v>0</v>
      </c>
      <c r="J105" s="4" t="inlineStr">
        <is>
          <t>https://doi.org/10.1016/j.xhgg.2022.100150</t>
        </is>
      </c>
      <c r="K105" s="4" t="inlineStr">
        <is>
          <t>Not recorded; historical inclusion retained</t>
        </is>
      </c>
      <c r="L105" s="4" t="inlineStr">
        <is>
          <t>RA</t>
        </is>
      </c>
      <c r="M105" s="40" t="n"/>
      <c r="N105" s="4" t="inlineStr">
        <is>
          <t>Pending independent/source verification</t>
        </is>
      </c>
      <c r="O105" s="4" t="inlineStr">
        <is>
          <t>RQ1_RQ2_base_276 / RQ3_base_276</t>
        </is>
      </c>
      <c r="P105" s="4" t="n">
        <v>105</v>
      </c>
    </row>
    <row r="106" ht="47" customHeight="1">
      <c r="A106" s="4" t="inlineStr">
        <is>
          <t>113</t>
        </is>
      </c>
      <c r="B106" s="4" t="inlineStr">
        <is>
          <t>Historical</t>
        </is>
      </c>
      <c r="C106" s="4" t="n">
        <v>113</v>
      </c>
      <c r="D106" s="4" t="inlineStr">
        <is>
          <t>Transient hearing abnormalities precede social deficits in a mouse model of autism</t>
        </is>
      </c>
      <c r="E106" s="4" t="inlineStr">
        <is>
          <t>10.1016/j.bbr.2022.114149</t>
        </is>
      </c>
      <c r="F106" s="4" t="n">
        <v>2023</v>
      </c>
      <c r="G106" s="4" t="inlineStr">
        <is>
          <t>Historical include</t>
        </is>
      </c>
      <c r="H106" s="4" t="inlineStr">
        <is>
          <t>Not recorded</t>
        </is>
      </c>
      <c r="I106" s="4" t="n">
        <v>0</v>
      </c>
      <c r="J106" s="4" t="inlineStr">
        <is>
          <t>https://doi.org/10.1016/j.bbr.2022.114149</t>
        </is>
      </c>
      <c r="K106" s="4" t="inlineStr">
        <is>
          <t>Not recorded; historical inclusion retained</t>
        </is>
      </c>
      <c r="L106" s="4" t="str"/>
      <c r="M106" s="40" t="n"/>
      <c r="N106" s="4" t="inlineStr">
        <is>
          <t>Pending independent/source verification</t>
        </is>
      </c>
      <c r="O106" s="4" t="inlineStr">
        <is>
          <t>RQ1_RQ2_base_276 / RQ3_base_276</t>
        </is>
      </c>
      <c r="P106" s="4" t="n">
        <v>106</v>
      </c>
    </row>
    <row r="107" ht="47" customHeight="1">
      <c r="A107" s="4" t="inlineStr">
        <is>
          <t>114</t>
        </is>
      </c>
      <c r="B107" s="4" t="inlineStr">
        <is>
          <t>Historical</t>
        </is>
      </c>
      <c r="C107" s="4" t="n">
        <v>114</v>
      </c>
      <c r="D107" s="4" t="inlineStr">
        <is>
          <t>Early-stage identification of autism in children using gesture monitoring based on artificial intelligence</t>
        </is>
      </c>
      <c r="E107" s="4" t="inlineStr">
        <is>
          <t>10.1016/b978-0-443-19073-5.00018-5</t>
        </is>
      </c>
      <c r="F107" s="4" t="n">
        <v>2024</v>
      </c>
      <c r="G107" s="4" t="inlineStr">
        <is>
          <t>Historical include</t>
        </is>
      </c>
      <c r="H107" s="4" t="inlineStr">
        <is>
          <t>Not recorded</t>
        </is>
      </c>
      <c r="I107" s="4" t="n">
        <v>0</v>
      </c>
      <c r="J107" s="4" t="inlineStr">
        <is>
          <t>https://doi.org/10.1016/b978-0-443-19073-5.00018-5</t>
        </is>
      </c>
      <c r="K107" s="4" t="inlineStr">
        <is>
          <t>Not recorded; historical inclusion retained</t>
        </is>
      </c>
      <c r="L107" s="4" t="str"/>
      <c r="M107" s="40" t="n"/>
      <c r="N107" s="4" t="inlineStr">
        <is>
          <t>Pending independent/source verification</t>
        </is>
      </c>
      <c r="O107" s="4" t="inlineStr">
        <is>
          <t>RQ1_RQ2_base_276 / RQ3_base_276</t>
        </is>
      </c>
      <c r="P107" s="4" t="n">
        <v>107</v>
      </c>
    </row>
    <row r="108" ht="60" customHeight="1">
      <c r="A108" s="4" t="inlineStr">
        <is>
          <t>115</t>
        </is>
      </c>
      <c r="B108" s="4" t="inlineStr">
        <is>
          <t>Historical</t>
        </is>
      </c>
      <c r="C108" s="4" t="n">
        <v>115</v>
      </c>
      <c r="D108" s="4" t="inlineStr">
        <is>
          <t>Electromagnetic Interaction Algorithm (EIA)-Based Feature Selection With Adaptive Kernel Attention Network (AKAttNet) for Autism Spectrum Disorder Classification</t>
        </is>
      </c>
      <c r="E108" s="4" t="inlineStr">
        <is>
          <t>10.1002/jdn.70034</t>
        </is>
      </c>
      <c r="F108" s="4" t="n">
        <v>2025</v>
      </c>
      <c r="G108" s="4" t="inlineStr">
        <is>
          <t>Historical include</t>
        </is>
      </c>
      <c r="H108" s="4" t="inlineStr">
        <is>
          <t>Not recorded</t>
        </is>
      </c>
      <c r="I108" s="4" t="n">
        <v>0</v>
      </c>
      <c r="J108" s="4" t="inlineStr">
        <is>
          <t>https://doi.org/10.1002/jdn.70034</t>
        </is>
      </c>
      <c r="K108" s="4" t="inlineStr">
        <is>
          <t>Not recorded; historical inclusion retained</t>
        </is>
      </c>
      <c r="L108" s="4" t="inlineStr">
        <is>
          <t>RA</t>
        </is>
      </c>
      <c r="M108" s="40" t="n"/>
      <c r="N108" s="4" t="inlineStr">
        <is>
          <t>Pending independent/source verification</t>
        </is>
      </c>
      <c r="O108" s="4" t="inlineStr">
        <is>
          <t>RQ1_RQ2_base_276 / RQ3_base_276</t>
        </is>
      </c>
      <c r="P108" s="4" t="n">
        <v>108</v>
      </c>
    </row>
    <row r="109" ht="47" customHeight="1">
      <c r="A109" s="4" t="inlineStr">
        <is>
          <t>116</t>
        </is>
      </c>
      <c r="B109" s="4" t="inlineStr">
        <is>
          <t>Historical</t>
        </is>
      </c>
      <c r="C109" s="4" t="n">
        <v>116</v>
      </c>
      <c r="D109" s="4" t="inlineStr">
        <is>
          <t>Use of machine learning for behavioral distinction of autism and ADHD</t>
        </is>
      </c>
      <c r="E109" s="4" t="inlineStr">
        <is>
          <t>10.1038/tp.2015.221</t>
        </is>
      </c>
      <c r="F109" s="4" t="n">
        <v>2016</v>
      </c>
      <c r="G109" s="4" t="inlineStr">
        <is>
          <t>Historical include</t>
        </is>
      </c>
      <c r="H109" s="4" t="inlineStr">
        <is>
          <t>Not recorded</t>
        </is>
      </c>
      <c r="I109" s="4" t="n">
        <v>0</v>
      </c>
      <c r="J109" s="4" t="inlineStr">
        <is>
          <t>https://doi.org/10.1038/tp.2015.221</t>
        </is>
      </c>
      <c r="K109" s="4" t="inlineStr">
        <is>
          <t>Not recorded; historical inclusion retained</t>
        </is>
      </c>
      <c r="L109" s="4" t="inlineStr">
        <is>
          <t>RA</t>
        </is>
      </c>
      <c r="M109" s="40" t="n"/>
      <c r="N109" s="4" t="inlineStr">
        <is>
          <t>Pending independent/source verification</t>
        </is>
      </c>
      <c r="O109" s="4" t="inlineStr">
        <is>
          <t>RQ1_RQ2_base_276 / RQ3_base_276</t>
        </is>
      </c>
      <c r="P109" s="4" t="n">
        <v>109</v>
      </c>
    </row>
    <row r="110" ht="47" customHeight="1">
      <c r="A110" s="4" t="inlineStr">
        <is>
          <t>117</t>
        </is>
      </c>
      <c r="B110" s="4" t="inlineStr">
        <is>
          <t>Historical</t>
        </is>
      </c>
      <c r="C110" s="4" t="n">
        <v>117</v>
      </c>
      <c r="D110" s="4" t="inlineStr">
        <is>
          <t>A Machine Learning Strategy for Autism Screening in Toddlers</t>
        </is>
      </c>
      <c r="E110" s="4" t="inlineStr">
        <is>
          <t>10.1097/dbp.0000000000000668</t>
        </is>
      </c>
      <c r="F110" s="4" t="n">
        <v>2019</v>
      </c>
      <c r="G110" s="4" t="inlineStr">
        <is>
          <t>Historical include</t>
        </is>
      </c>
      <c r="H110" s="4" t="inlineStr">
        <is>
          <t>Not recorded</t>
        </is>
      </c>
      <c r="I110" s="4" t="n">
        <v>0</v>
      </c>
      <c r="J110" s="4" t="inlineStr">
        <is>
          <t>https://doi.org/10.1097/dbp.0000000000000668</t>
        </is>
      </c>
      <c r="K110" s="4" t="inlineStr">
        <is>
          <t>Not recorded; historical inclusion retained</t>
        </is>
      </c>
      <c r="L110" s="4" t="inlineStr">
        <is>
          <t>RA</t>
        </is>
      </c>
      <c r="M110" s="40" t="n"/>
      <c r="N110" s="4" t="inlineStr">
        <is>
          <t>Pending independent/source verification</t>
        </is>
      </c>
      <c r="O110" s="4" t="inlineStr">
        <is>
          <t>RQ1_RQ2_base_276 / RQ3_base_276</t>
        </is>
      </c>
      <c r="P110" s="4" t="n">
        <v>110</v>
      </c>
    </row>
    <row r="111" ht="47" customHeight="1">
      <c r="A111" s="4" t="inlineStr">
        <is>
          <t>118</t>
        </is>
      </c>
      <c r="B111" s="4" t="inlineStr">
        <is>
          <t>Historical</t>
        </is>
      </c>
      <c r="C111" s="4" t="n">
        <v>118</v>
      </c>
      <c r="D111" s="4" t="inlineStr">
        <is>
          <t>Early detection of autism using digital behavioral phenotyping</t>
        </is>
      </c>
      <c r="E111" s="4" t="inlineStr">
        <is>
          <t>10.1038/s41591-023-02574-3</t>
        </is>
      </c>
      <c r="F111" s="4" t="n">
        <v>2023</v>
      </c>
      <c r="G111" s="4" t="inlineStr">
        <is>
          <t>Historical include</t>
        </is>
      </c>
      <c r="H111" s="4" t="inlineStr">
        <is>
          <t>Not recorded</t>
        </is>
      </c>
      <c r="I111" s="4" t="n">
        <v>0</v>
      </c>
      <c r="J111" s="4" t="inlineStr">
        <is>
          <t>https://doi.org/10.1038/s41591-023-02574-3</t>
        </is>
      </c>
      <c r="K111" s="4" t="inlineStr">
        <is>
          <t>Not recorded; historical inclusion retained</t>
        </is>
      </c>
      <c r="L111" s="4" t="str"/>
      <c r="M111" s="40" t="n"/>
      <c r="N111" s="4" t="inlineStr">
        <is>
          <t>Pending independent/source verification</t>
        </is>
      </c>
      <c r="O111" s="4" t="inlineStr">
        <is>
          <t>RQ1_RQ2_base_276 / RQ3_base_276</t>
        </is>
      </c>
      <c r="P111" s="4" t="n">
        <v>111</v>
      </c>
    </row>
    <row r="112" ht="47" customHeight="1">
      <c r="A112" s="4" t="inlineStr">
        <is>
          <t>119</t>
        </is>
      </c>
      <c r="B112" s="4" t="inlineStr">
        <is>
          <t>Historical</t>
        </is>
      </c>
      <c r="C112" s="4" t="n">
        <v>119</v>
      </c>
      <c r="D112" s="4" t="inlineStr">
        <is>
          <t>Ensemble statistical and subspace clustering model for analysis of autism spectrum disorder phenotypes</t>
        </is>
      </c>
      <c r="E112" s="4" t="inlineStr">
        <is>
          <t>10.1109/embc.2016.7591440</t>
        </is>
      </c>
      <c r="F112" s="4" t="n">
        <v>2016</v>
      </c>
      <c r="G112" s="4" t="inlineStr">
        <is>
          <t>Historical include</t>
        </is>
      </c>
      <c r="H112" s="4" t="inlineStr">
        <is>
          <t>Not recorded</t>
        </is>
      </c>
      <c r="I112" s="4" t="n">
        <v>0</v>
      </c>
      <c r="J112" s="4" t="inlineStr">
        <is>
          <t>https://doi.org/10.1109/embc.2016.7591440</t>
        </is>
      </c>
      <c r="K112" s="4" t="inlineStr">
        <is>
          <t>Not recorded; historical inclusion retained</t>
        </is>
      </c>
      <c r="L112" s="4" t="str"/>
      <c r="M112" s="40" t="n"/>
      <c r="N112" s="4" t="inlineStr">
        <is>
          <t>Pending independent/source verification</t>
        </is>
      </c>
      <c r="O112" s="4" t="inlineStr">
        <is>
          <t>RQ1_RQ2_base_276 / RQ3_base_276</t>
        </is>
      </c>
      <c r="P112" s="4" t="n">
        <v>112</v>
      </c>
    </row>
    <row r="113" ht="47" customHeight="1">
      <c r="A113" s="4" t="inlineStr">
        <is>
          <t>120</t>
        </is>
      </c>
      <c r="B113" s="4" t="inlineStr">
        <is>
          <t>Historical</t>
        </is>
      </c>
      <c r="C113" s="4" t="n">
        <v>120</v>
      </c>
      <c r="D113" s="4" t="inlineStr">
        <is>
          <t>Screening autism spectrum disorder in children using machine learning on speech transcripts</t>
        </is>
      </c>
      <c r="E113" s="4" t="inlineStr">
        <is>
          <t>10.1038/s41598-025-01500-6</t>
        </is>
      </c>
      <c r="F113" s="4" t="n">
        <v>2025</v>
      </c>
      <c r="G113" s="4" t="inlineStr">
        <is>
          <t>Historical include</t>
        </is>
      </c>
      <c r="H113" s="4" t="inlineStr">
        <is>
          <t>Not recorded</t>
        </is>
      </c>
      <c r="I113" s="4" t="n">
        <v>0</v>
      </c>
      <c r="J113" s="4" t="inlineStr">
        <is>
          <t>https://doi.org/10.1038/s41598-025-01500-6</t>
        </is>
      </c>
      <c r="K113" s="4" t="inlineStr">
        <is>
          <t>Not recorded; historical inclusion retained</t>
        </is>
      </c>
      <c r="L113" s="4" t="inlineStr">
        <is>
          <t>RA</t>
        </is>
      </c>
      <c r="M113" s="40" t="n"/>
      <c r="N113" s="4" t="inlineStr">
        <is>
          <t>Pending independent/source verification</t>
        </is>
      </c>
      <c r="O113" s="4" t="inlineStr">
        <is>
          <t>RQ1_RQ2_base_276 / RQ3_base_276</t>
        </is>
      </c>
      <c r="P113" s="4" t="n">
        <v>113</v>
      </c>
    </row>
    <row r="114" ht="47" customHeight="1">
      <c r="A114" s="4" t="inlineStr">
        <is>
          <t>121</t>
        </is>
      </c>
      <c r="B114" s="4" t="inlineStr">
        <is>
          <t>Historical</t>
        </is>
      </c>
      <c r="C114" s="4" t="n">
        <v>121</v>
      </c>
      <c r="D114" s="4" t="inlineStr">
        <is>
          <t>46.3 ARTIFICIAL INTELLIGENCE: UTILIZING GOOGLE GLASS AND OTHER MOBILE APPLICATIONS FOR SOCIAL SKILLS TRAINING IN AUTISM SPECTRUM DISORDERS</t>
        </is>
      </c>
      <c r="E114" s="4" t="inlineStr">
        <is>
          <t>10.1016/j.jaac.2016.07.715</t>
        </is>
      </c>
      <c r="F114" s="4" t="n">
        <v>2016</v>
      </c>
      <c r="G114" s="4" t="inlineStr">
        <is>
          <t>Historical include</t>
        </is>
      </c>
      <c r="H114" s="4" t="inlineStr">
        <is>
          <t>Not recorded</t>
        </is>
      </c>
      <c r="I114" s="4" t="n">
        <v>0</v>
      </c>
      <c r="J114" s="4" t="inlineStr">
        <is>
          <t>https://doi.org/10.1016/j.jaac.2016.07.715</t>
        </is>
      </c>
      <c r="K114" s="4" t="inlineStr">
        <is>
          <t>Not recorded; historical inclusion retained</t>
        </is>
      </c>
      <c r="L114" s="4" t="str"/>
      <c r="M114" s="40" t="n"/>
      <c r="N114" s="4" t="inlineStr">
        <is>
          <t>Pending independent/source verification</t>
        </is>
      </c>
      <c r="O114" s="4" t="inlineStr">
        <is>
          <t>RQ1_RQ2_base_276 / RQ3_base_276</t>
        </is>
      </c>
      <c r="P114" s="4" t="n">
        <v>114</v>
      </c>
    </row>
    <row r="115" ht="47" customHeight="1">
      <c r="A115" s="4" t="inlineStr">
        <is>
          <t>122</t>
        </is>
      </c>
      <c r="B115" s="4" t="inlineStr">
        <is>
          <t>Historical</t>
        </is>
      </c>
      <c r="C115" s="4" t="n">
        <v>122</v>
      </c>
      <c r="D115" s="4" t="inlineStr">
        <is>
          <t>A Quantum-Based Machine Learning Approach for Autism Detection Using Common Spatial Patterns of EEG Signals</t>
        </is>
      </c>
      <c r="E115" s="4" t="inlineStr">
        <is>
          <t>10.1109/access.2025.3531979</t>
        </is>
      </c>
      <c r="F115" s="4" t="n">
        <v>2025</v>
      </c>
      <c r="G115" s="4" t="inlineStr">
        <is>
          <t>Historical include</t>
        </is>
      </c>
      <c r="H115" s="4" t="inlineStr">
        <is>
          <t>Not recorded</t>
        </is>
      </c>
      <c r="I115" s="4" t="n">
        <v>0</v>
      </c>
      <c r="J115" s="4" t="inlineStr">
        <is>
          <t>https://doi.org/10.1109/access.2025.3531979</t>
        </is>
      </c>
      <c r="K115" s="4" t="inlineStr">
        <is>
          <t>Not recorded; historical inclusion retained</t>
        </is>
      </c>
      <c r="L115" s="4" t="str"/>
      <c r="M115" s="40" t="n"/>
      <c r="N115" s="4" t="inlineStr">
        <is>
          <t>Pending independent/source verification</t>
        </is>
      </c>
      <c r="O115" s="4" t="inlineStr">
        <is>
          <t>RQ1_RQ2_base_276 / RQ3_base_276</t>
        </is>
      </c>
      <c r="P115" s="4" t="n">
        <v>115</v>
      </c>
    </row>
    <row r="116" ht="47" customHeight="1">
      <c r="A116" s="4" t="inlineStr">
        <is>
          <t>124</t>
        </is>
      </c>
      <c r="B116" s="4" t="inlineStr">
        <is>
          <t>Historical</t>
        </is>
      </c>
      <c r="C116" s="4" t="n">
        <v>124</v>
      </c>
      <c r="D116" s="4" t="inlineStr">
        <is>
          <t>ASD2-TL∗ GTO: Autism spectrum disorders detection via transfer learning with gorilla troops optimizer framework</t>
        </is>
      </c>
      <c r="E116" s="4" t="inlineStr">
        <is>
          <t>10.1016/j.heliyon.2023.e21530</t>
        </is>
      </c>
      <c r="F116" s="4" t="n">
        <v>2023</v>
      </c>
      <c r="G116" s="4" t="inlineStr">
        <is>
          <t>Historical include</t>
        </is>
      </c>
      <c r="H116" s="4" t="inlineStr">
        <is>
          <t>Not recorded</t>
        </is>
      </c>
      <c r="I116" s="4" t="n">
        <v>0</v>
      </c>
      <c r="J116" s="4" t="inlineStr">
        <is>
          <t>https://doi.org/10.1016/j.heliyon.2023.e21530</t>
        </is>
      </c>
      <c r="K116" s="4" t="inlineStr">
        <is>
          <t>Not recorded; historical inclusion retained</t>
        </is>
      </c>
      <c r="L116" s="4" t="str"/>
      <c r="M116" s="40" t="n"/>
      <c r="N116" s="4" t="inlineStr">
        <is>
          <t>Pending independent/source verification</t>
        </is>
      </c>
      <c r="O116" s="4" t="inlineStr">
        <is>
          <t>RQ1_RQ2_base_276 / RQ3_base_276</t>
        </is>
      </c>
      <c r="P116" s="4" t="n">
        <v>116</v>
      </c>
    </row>
    <row r="117" ht="60" customHeight="1">
      <c r="A117" s="4" t="inlineStr">
        <is>
          <t>125</t>
        </is>
      </c>
      <c r="B117" s="4" t="inlineStr">
        <is>
          <t>Historical</t>
        </is>
      </c>
      <c r="C117" s="4" t="n">
        <v>125</v>
      </c>
      <c r="D117" s="4" t="inlineStr">
        <is>
          <t>Diagnosis of Autism Spectrum Disorders in Young Children Based on Resting-State Functional Magnetic Resonance Imaging Data Using Convolutional Neural Networks</t>
        </is>
      </c>
      <c r="E117" s="4" t="inlineStr">
        <is>
          <t>10.1007/s10278-019-00196-1</t>
        </is>
      </c>
      <c r="F117" s="4" t="n">
        <v>2019</v>
      </c>
      <c r="G117" s="4" t="inlineStr">
        <is>
          <t>Historical include</t>
        </is>
      </c>
      <c r="H117" s="4" t="inlineStr">
        <is>
          <t>Not recorded</t>
        </is>
      </c>
      <c r="I117" s="4" t="n">
        <v>0</v>
      </c>
      <c r="J117" s="4" t="inlineStr">
        <is>
          <t>https://doi.org/10.1007/s10278-019-00196-1</t>
        </is>
      </c>
      <c r="K117" s="4" t="inlineStr">
        <is>
          <t>Not recorded; historical inclusion retained</t>
        </is>
      </c>
      <c r="L117" s="4" t="str"/>
      <c r="M117" s="40" t="n"/>
      <c r="N117" s="4" t="inlineStr">
        <is>
          <t>Pending independent/source verification</t>
        </is>
      </c>
      <c r="O117" s="4" t="inlineStr">
        <is>
          <t>RQ1_RQ2_base_276 / RQ3_base_276</t>
        </is>
      </c>
      <c r="P117" s="4" t="n">
        <v>117</v>
      </c>
    </row>
    <row r="118" ht="73" customHeight="1">
      <c r="A118" s="4" t="inlineStr">
        <is>
          <t>128</t>
        </is>
      </c>
      <c r="B118" s="4" t="inlineStr">
        <is>
          <t>Historical</t>
        </is>
      </c>
      <c r="C118" s="4" t="n">
        <v>128</v>
      </c>
      <c r="D118" s="4" t="inlineStr">
        <is>
          <t>Improvement of attention-deficit/hyperactivity disorder symptoms in school-aged children, adolescents, and young adults with autism via a digital smartglasses-based socioemotional coaching aid: Short-term, uncontrolled pilot study</t>
        </is>
      </c>
      <c r="E118" s="4" t="inlineStr">
        <is>
          <t>10.2196/mental.9631</t>
        </is>
      </c>
      <c r="F118" s="4" t="n">
        <v>2018</v>
      </c>
      <c r="G118" s="4" t="inlineStr">
        <is>
          <t>Historical include</t>
        </is>
      </c>
      <c r="H118" s="4" t="inlineStr">
        <is>
          <t>Not recorded</t>
        </is>
      </c>
      <c r="I118" s="4" t="n">
        <v>0</v>
      </c>
      <c r="J118" s="4" t="inlineStr">
        <is>
          <t>https://doi.org/10.2196/mental.9631</t>
        </is>
      </c>
      <c r="K118" s="4" t="inlineStr">
        <is>
          <t>Not recorded; historical inclusion retained</t>
        </is>
      </c>
      <c r="L118" s="4" t="str"/>
      <c r="M118" s="40" t="n"/>
      <c r="N118" s="4" t="inlineStr">
        <is>
          <t>Pending independent/source verification</t>
        </is>
      </c>
      <c r="O118" s="4" t="inlineStr">
        <is>
          <t>RQ1_RQ2_base_276 / RQ3_base_276</t>
        </is>
      </c>
      <c r="P118" s="4" t="n">
        <v>118</v>
      </c>
    </row>
    <row r="119" ht="47" customHeight="1">
      <c r="A119" s="4" t="inlineStr">
        <is>
          <t>129</t>
        </is>
      </c>
      <c r="B119" s="4" t="inlineStr">
        <is>
          <t>Historical</t>
        </is>
      </c>
      <c r="C119" s="4" t="n">
        <v>129</v>
      </c>
      <c r="D119" s="4" t="inlineStr">
        <is>
          <t>Investigating Diagnostic Data and Performance Implications in the Autism AI Dataset</t>
        </is>
      </c>
      <c r="E119" s="4" t="inlineStr">
        <is>
          <t>10.1007/978-981-96-6960-8_26</t>
        </is>
      </c>
      <c r="F119" s="4" t="n">
        <v>2025</v>
      </c>
      <c r="G119" s="4" t="inlineStr">
        <is>
          <t>Historical include</t>
        </is>
      </c>
      <c r="H119" s="4" t="inlineStr">
        <is>
          <t>Not recorded</t>
        </is>
      </c>
      <c r="I119" s="4" t="n">
        <v>0</v>
      </c>
      <c r="J119" s="4" t="inlineStr">
        <is>
          <t>https://doi.org/10.1007/978-981-96-6960-8_26</t>
        </is>
      </c>
      <c r="K119" s="4" t="inlineStr">
        <is>
          <t>Not recorded; historical inclusion retained</t>
        </is>
      </c>
      <c r="L119" s="4" t="str"/>
      <c r="M119" s="40" t="n"/>
      <c r="N119" s="4" t="inlineStr">
        <is>
          <t>Pending independent/source verification</t>
        </is>
      </c>
      <c r="O119" s="4" t="inlineStr">
        <is>
          <t>RQ1_RQ2_base_276 / RQ3_base_276</t>
        </is>
      </c>
      <c r="P119" s="4" t="n">
        <v>119</v>
      </c>
    </row>
    <row r="120" ht="47" customHeight="1">
      <c r="A120" s="4" t="inlineStr">
        <is>
          <t>130</t>
        </is>
      </c>
      <c r="B120" s="4" t="inlineStr">
        <is>
          <t>Historical</t>
        </is>
      </c>
      <c r="C120" s="4" t="n">
        <v>130</v>
      </c>
      <c r="D120" s="4" t="inlineStr">
        <is>
          <t>Large-scale examination of early-age sex differences in neurotypical toddlers and those with autism spectrum disorder or other developmental conditions</t>
        </is>
      </c>
      <c r="E120" s="4" t="inlineStr">
        <is>
          <t>10.1038/s41562-025-02132-6</t>
        </is>
      </c>
      <c r="F120" s="4" t="n">
        <v>2025</v>
      </c>
      <c r="G120" s="4" t="inlineStr">
        <is>
          <t>Historical include</t>
        </is>
      </c>
      <c r="H120" s="4" t="inlineStr">
        <is>
          <t>Not recorded</t>
        </is>
      </c>
      <c r="I120" s="4" t="n">
        <v>0</v>
      </c>
      <c r="J120" s="4" t="inlineStr">
        <is>
          <t>https://doi.org/10.1038/s41562-025-02132-6</t>
        </is>
      </c>
      <c r="K120" s="4" t="inlineStr">
        <is>
          <t>Not recorded; historical inclusion retained</t>
        </is>
      </c>
      <c r="L120" s="4" t="inlineStr">
        <is>
          <t>RA</t>
        </is>
      </c>
      <c r="M120" s="40" t="n"/>
      <c r="N120" s="4" t="inlineStr">
        <is>
          <t>Pending independent/source verification</t>
        </is>
      </c>
      <c r="O120" s="4" t="inlineStr">
        <is>
          <t>RQ1_RQ2_base_276 / RQ3_base_276</t>
        </is>
      </c>
      <c r="P120" s="4" t="n">
        <v>120</v>
      </c>
    </row>
    <row r="121" ht="47" customHeight="1">
      <c r="A121" s="4" t="inlineStr">
        <is>
          <t>131</t>
        </is>
      </c>
      <c r="B121" s="4" t="inlineStr">
        <is>
          <t>Historical</t>
        </is>
      </c>
      <c r="C121" s="4" t="n">
        <v>131</v>
      </c>
      <c r="D121" s="4" t="inlineStr">
        <is>
          <t>Online concerns of parents suspecting autism spectrum disorder in their child: Content analysis of signs and automated prediction of risk</t>
        </is>
      </c>
      <c r="E121" s="4" t="inlineStr">
        <is>
          <t>10.2196/jmir.5439</t>
        </is>
      </c>
      <c r="F121" s="4" t="n">
        <v>2016</v>
      </c>
      <c r="G121" s="4" t="inlineStr">
        <is>
          <t>Historical include</t>
        </is>
      </c>
      <c r="H121" s="4" t="inlineStr">
        <is>
          <t>Not recorded</t>
        </is>
      </c>
      <c r="I121" s="4" t="n">
        <v>0</v>
      </c>
      <c r="J121" s="4" t="inlineStr">
        <is>
          <t>https://doi.org/10.2196/jmir.5439</t>
        </is>
      </c>
      <c r="K121" s="4" t="inlineStr">
        <is>
          <t>Not recorded; historical inclusion retained</t>
        </is>
      </c>
      <c r="L121" s="4" t="inlineStr">
        <is>
          <t>RA</t>
        </is>
      </c>
      <c r="M121" s="40" t="n"/>
      <c r="N121" s="4" t="inlineStr">
        <is>
          <t>Pending independent/source verification</t>
        </is>
      </c>
      <c r="O121" s="4" t="inlineStr">
        <is>
          <t>RQ1_RQ2_base_276 / RQ3_base_276</t>
        </is>
      </c>
      <c r="P121" s="4" t="n">
        <v>121</v>
      </c>
    </row>
    <row r="122" ht="47" customHeight="1">
      <c r="A122" s="4" t="inlineStr">
        <is>
          <t>132</t>
        </is>
      </c>
      <c r="B122" s="4" t="inlineStr">
        <is>
          <t>Historical</t>
        </is>
      </c>
      <c r="C122" s="4" t="n">
        <v>132</v>
      </c>
      <c r="D122" s="4" t="inlineStr">
        <is>
          <t>Use of machine learning to improve autism screening and diagnostic instruments: Effectiveness, efficiency, and multi‐instrument fusion</t>
        </is>
      </c>
      <c r="E122" s="4" t="inlineStr">
        <is>
          <t>10.1111/jcpp.12559</t>
        </is>
      </c>
      <c r="F122" s="4" t="n">
        <v>2016</v>
      </c>
      <c r="G122" s="4" t="inlineStr">
        <is>
          <t>Historical include</t>
        </is>
      </c>
      <c r="H122" s="4" t="inlineStr">
        <is>
          <t>Not recorded</t>
        </is>
      </c>
      <c r="I122" s="4" t="n">
        <v>0</v>
      </c>
      <c r="J122" s="4" t="inlineStr">
        <is>
          <t>https://doi.org/10.1111/jcpp.12559</t>
        </is>
      </c>
      <c r="K122" s="4" t="inlineStr">
        <is>
          <t>Not recorded; historical inclusion retained</t>
        </is>
      </c>
      <c r="L122" s="4" t="str"/>
      <c r="M122" s="40" t="n"/>
      <c r="N122" s="4" t="inlineStr">
        <is>
          <t>Pending independent/source verification</t>
        </is>
      </c>
      <c r="O122" s="4" t="inlineStr">
        <is>
          <t>RQ1_RQ2_base_276 / RQ3_base_276</t>
        </is>
      </c>
      <c r="P122" s="4" t="n">
        <v>122</v>
      </c>
    </row>
    <row r="123" ht="60" customHeight="1">
      <c r="A123" s="4" t="inlineStr">
        <is>
          <t>133</t>
        </is>
      </c>
      <c r="B123" s="4" t="inlineStr">
        <is>
          <t>Historical</t>
        </is>
      </c>
      <c r="C123" s="4" t="n">
        <v>133</v>
      </c>
      <c r="D123" s="4" t="inlineStr">
        <is>
          <t>A data driven machine learning approach to differentiate between autism spectrum disorder and attention-deficit/hyperactivity disorder based on the best-practice diagnostic instruments for autism</t>
        </is>
      </c>
      <c r="E123" s="4" t="inlineStr">
        <is>
          <t>10.1038/s41598-022-21719-x</t>
        </is>
      </c>
      <c r="F123" s="4" t="n">
        <v>2022</v>
      </c>
      <c r="G123" s="4" t="inlineStr">
        <is>
          <t>Historical include</t>
        </is>
      </c>
      <c r="H123" s="4" t="inlineStr">
        <is>
          <t>Not recorded</t>
        </is>
      </c>
      <c r="I123" s="4" t="n">
        <v>0</v>
      </c>
      <c r="J123" s="4" t="inlineStr">
        <is>
          <t>https://doi.org/10.1038/s41598-022-21719-x</t>
        </is>
      </c>
      <c r="K123" s="4" t="inlineStr">
        <is>
          <t>Not recorded; historical inclusion retained</t>
        </is>
      </c>
      <c r="L123" s="4" t="inlineStr">
        <is>
          <t>RA</t>
        </is>
      </c>
      <c r="M123" s="40" t="n"/>
      <c r="N123" s="4" t="inlineStr">
        <is>
          <t>Pending independent/source verification</t>
        </is>
      </c>
      <c r="O123" s="4" t="inlineStr">
        <is>
          <t>RQ1_RQ2_base_276 / RQ3_base_276</t>
        </is>
      </c>
      <c r="P123" s="4" t="n">
        <v>123</v>
      </c>
    </row>
    <row r="124" ht="47" customHeight="1">
      <c r="A124" s="4" t="inlineStr">
        <is>
          <t>134</t>
        </is>
      </c>
      <c r="B124" s="4" t="inlineStr">
        <is>
          <t>Historical</t>
        </is>
      </c>
      <c r="C124" s="4" t="n">
        <v>134</v>
      </c>
      <c r="D124" s="4" t="inlineStr">
        <is>
          <t>A deep learning predictive classifier for autism screening and diagnosis</t>
        </is>
      </c>
      <c r="E124" s="4" t="inlineStr">
        <is>
          <t>10.1016/b978-0-12-822822-7.00011-9</t>
        </is>
      </c>
      <c r="F124" s="4" t="n">
        <v>2021</v>
      </c>
      <c r="G124" s="4" t="inlineStr">
        <is>
          <t>Historical include</t>
        </is>
      </c>
      <c r="H124" s="4" t="inlineStr">
        <is>
          <t>Not recorded</t>
        </is>
      </c>
      <c r="I124" s="4" t="n">
        <v>0</v>
      </c>
      <c r="J124" s="4" t="inlineStr">
        <is>
          <t>https://doi.org/10.1016/b978-0-12-822822-7.00011-9</t>
        </is>
      </c>
      <c r="K124" s="4" t="inlineStr">
        <is>
          <t>Not recorded; historical inclusion retained</t>
        </is>
      </c>
      <c r="L124" s="4" t="inlineStr">
        <is>
          <t>RA</t>
        </is>
      </c>
      <c r="M124" s="40" t="n"/>
      <c r="N124" s="4" t="inlineStr">
        <is>
          <t>Pending independent/source verification</t>
        </is>
      </c>
      <c r="O124" s="4" t="inlineStr">
        <is>
          <t>RQ1_RQ2_base_276 / RQ3_base_276</t>
        </is>
      </c>
      <c r="P124" s="4" t="n">
        <v>124</v>
      </c>
    </row>
    <row r="125" ht="47" customHeight="1">
      <c r="A125" s="4" t="inlineStr">
        <is>
          <t>135</t>
        </is>
      </c>
      <c r="B125" s="4" t="inlineStr">
        <is>
          <t>Historical</t>
        </is>
      </c>
      <c r="C125" s="4" t="n">
        <v>135</v>
      </c>
      <c r="D125" s="4" t="inlineStr">
        <is>
          <t>A Deep Neural Network-Based Model for Screening Autism Spectrum Disorder Using the Quantitative Checklist for Autism in Toddlers (QCHAT)</t>
        </is>
      </c>
      <c r="E125" s="4" t="inlineStr">
        <is>
          <t>10.1007/s10803-021-05141-2</t>
        </is>
      </c>
      <c r="F125" s="4" t="n">
        <v>2022</v>
      </c>
      <c r="G125" s="4" t="inlineStr">
        <is>
          <t>Historical include</t>
        </is>
      </c>
      <c r="H125" s="4" t="inlineStr">
        <is>
          <t>Not recorded</t>
        </is>
      </c>
      <c r="I125" s="4" t="n">
        <v>0</v>
      </c>
      <c r="J125" s="4" t="inlineStr">
        <is>
          <t>https://doi.org/10.1007/s10803-021-05141-2</t>
        </is>
      </c>
      <c r="K125" s="4" t="inlineStr">
        <is>
          <t>Not recorded; historical inclusion retained</t>
        </is>
      </c>
      <c r="L125" s="4" t="inlineStr">
        <is>
          <t>RA</t>
        </is>
      </c>
      <c r="M125" s="40" t="n"/>
      <c r="N125" s="4" t="inlineStr">
        <is>
          <t>Pending independent/source verification</t>
        </is>
      </c>
      <c r="O125" s="4" t="inlineStr">
        <is>
          <t>RQ1_RQ2_base_276 / RQ3_base_276</t>
        </is>
      </c>
      <c r="P125" s="4" t="n">
        <v>125</v>
      </c>
    </row>
    <row r="126" ht="47" customHeight="1">
      <c r="A126" s="4" t="inlineStr">
        <is>
          <t>136</t>
        </is>
      </c>
      <c r="B126" s="4" t="inlineStr">
        <is>
          <t>Historical</t>
        </is>
      </c>
      <c r="C126" s="4" t="n">
        <v>136</v>
      </c>
      <c r="D126" s="4" t="inlineStr">
        <is>
          <t>A semi-supervised autoencoder for autism disease diagnosis</t>
        </is>
      </c>
      <c r="E126" s="4" t="inlineStr">
        <is>
          <t>10.1016/j.neucom.2022.02.017</t>
        </is>
      </c>
      <c r="F126" s="4" t="n">
        <v>2022</v>
      </c>
      <c r="G126" s="4" t="inlineStr">
        <is>
          <t>Historical include</t>
        </is>
      </c>
      <c r="H126" s="4" t="inlineStr">
        <is>
          <t>Not recorded</t>
        </is>
      </c>
      <c r="I126" s="4" t="n">
        <v>0</v>
      </c>
      <c r="J126" s="4" t="inlineStr">
        <is>
          <t>https://doi.org/10.1016/j.neucom.2022.02.017</t>
        </is>
      </c>
      <c r="K126" s="4" t="inlineStr">
        <is>
          <t>Not recorded; historical inclusion retained</t>
        </is>
      </c>
      <c r="L126" s="4" t="str"/>
      <c r="M126" s="40" t="n"/>
      <c r="N126" s="4" t="inlineStr">
        <is>
          <t>Pending independent/source verification</t>
        </is>
      </c>
      <c r="O126" s="4" t="inlineStr">
        <is>
          <t>RQ1_RQ2_base_276 / RQ3_base_276</t>
        </is>
      </c>
      <c r="P126" s="4" t="n">
        <v>126</v>
      </c>
    </row>
    <row r="127" ht="47" customHeight="1">
      <c r="A127" s="4" t="inlineStr">
        <is>
          <t>137</t>
        </is>
      </c>
      <c r="B127" s="4" t="inlineStr">
        <is>
          <t>Historical</t>
        </is>
      </c>
      <c r="C127" s="4" t="n">
        <v>137</v>
      </c>
      <c r="D127" s="4" t="inlineStr">
        <is>
          <t>Applying machine learning on home videos for remote autism diagnosis: Further study and analysis</t>
        </is>
      </c>
      <c r="E127" s="4" t="inlineStr">
        <is>
          <t>10.1177/1460458221991882</t>
        </is>
      </c>
      <c r="F127" s="4" t="n">
        <v>2021</v>
      </c>
      <c r="G127" s="4" t="inlineStr">
        <is>
          <t>Historical include</t>
        </is>
      </c>
      <c r="H127" s="4" t="inlineStr">
        <is>
          <t>Not recorded</t>
        </is>
      </c>
      <c r="I127" s="4" t="n">
        <v>0</v>
      </c>
      <c r="J127" s="4" t="inlineStr">
        <is>
          <t>https://doi.org/10.1177/1460458221991882</t>
        </is>
      </c>
      <c r="K127" s="4" t="inlineStr">
        <is>
          <t>Not recorded; historical inclusion retained</t>
        </is>
      </c>
      <c r="L127" s="4" t="inlineStr">
        <is>
          <t>RA</t>
        </is>
      </c>
      <c r="M127" s="40" t="n"/>
      <c r="N127" s="4" t="inlineStr">
        <is>
          <t>Pending independent/source verification</t>
        </is>
      </c>
      <c r="O127" s="4" t="inlineStr">
        <is>
          <t>RQ1_RQ2_base_276 / RQ3_base_276</t>
        </is>
      </c>
      <c r="P127" s="4" t="n">
        <v>127</v>
      </c>
    </row>
    <row r="128" ht="47" customHeight="1">
      <c r="A128" s="4" t="inlineStr">
        <is>
          <t>138</t>
        </is>
      </c>
      <c r="B128" s="4" t="inlineStr">
        <is>
          <t>Historical</t>
        </is>
      </c>
      <c r="C128" s="4" t="n">
        <v>138</v>
      </c>
      <c r="D128" s="4" t="inlineStr">
        <is>
          <t>ASD-SWNet: a novel shared-weight feature extraction and classification network for autism spectrum disorder diagnosis</t>
        </is>
      </c>
      <c r="E128" s="4" t="inlineStr">
        <is>
          <t>10.1038/s41598-024-64299-8</t>
        </is>
      </c>
      <c r="F128" s="4" t="n">
        <v>2024</v>
      </c>
      <c r="G128" s="4" t="inlineStr">
        <is>
          <t>Historical include</t>
        </is>
      </c>
      <c r="H128" s="4" t="inlineStr">
        <is>
          <t>Not recorded</t>
        </is>
      </c>
      <c r="I128" s="4" t="n">
        <v>0</v>
      </c>
      <c r="J128" s="4" t="inlineStr">
        <is>
          <t>https://doi.org/10.1038/s41598-024-64299-8</t>
        </is>
      </c>
      <c r="K128" s="4" t="inlineStr">
        <is>
          <t>Not recorded; historical inclusion retained</t>
        </is>
      </c>
      <c r="L128" s="4" t="inlineStr">
        <is>
          <t>RA</t>
        </is>
      </c>
      <c r="M128" s="40" t="n"/>
      <c r="N128" s="4" t="inlineStr">
        <is>
          <t>Pending independent/source verification</t>
        </is>
      </c>
      <c r="O128" s="4" t="inlineStr">
        <is>
          <t>RQ1_RQ2_base_276 / RQ3_base_276</t>
        </is>
      </c>
      <c r="P128" s="4" t="n">
        <v>128</v>
      </c>
    </row>
    <row r="129" ht="47" customHeight="1">
      <c r="A129" s="4" t="inlineStr">
        <is>
          <t>140</t>
        </is>
      </c>
      <c r="B129" s="4" t="inlineStr">
        <is>
          <t>Historical</t>
        </is>
      </c>
      <c r="C129" s="4" t="n">
        <v>140</v>
      </c>
      <c r="D129" s="4" t="inlineStr">
        <is>
          <t>Autism spectrum disorder diagnosis based on deep unrolling-based spatial constraint representation.</t>
        </is>
      </c>
      <c r="E129" s="4" t="inlineStr">
        <is>
          <t>10.1007/s11517-023-02859-2</t>
        </is>
      </c>
      <c r="F129" s="4" t="n">
        <v>2023</v>
      </c>
      <c r="G129" s="4" t="inlineStr">
        <is>
          <t>Historical include</t>
        </is>
      </c>
      <c r="H129" s="4" t="inlineStr">
        <is>
          <t>Not recorded</t>
        </is>
      </c>
      <c r="I129" s="4" t="n">
        <v>0</v>
      </c>
      <c r="J129" s="4" t="inlineStr">
        <is>
          <t>https://doi.org/10.1007/s11517-023-02859-2</t>
        </is>
      </c>
      <c r="K129" s="4" t="inlineStr">
        <is>
          <t>Not recorded; historical inclusion retained</t>
        </is>
      </c>
      <c r="L129" s="4" t="str"/>
      <c r="M129" s="40" t="n"/>
      <c r="N129" s="4" t="inlineStr">
        <is>
          <t>Pending independent/source verification</t>
        </is>
      </c>
      <c r="O129" s="4" t="inlineStr">
        <is>
          <t>RQ1_RQ2_base_276 / RQ3_base_276</t>
        </is>
      </c>
      <c r="P129" s="4" t="n">
        <v>129</v>
      </c>
    </row>
    <row r="130" ht="47" customHeight="1">
      <c r="A130" s="4" t="inlineStr">
        <is>
          <t>141</t>
        </is>
      </c>
      <c r="B130" s="4" t="inlineStr">
        <is>
          <t>Historical</t>
        </is>
      </c>
      <c r="C130" s="4" t="n">
        <v>141</v>
      </c>
      <c r="D130" s="4" t="inlineStr">
        <is>
          <t>Automatic Cry Analysis: Deep Learning for Screening of Autism Spectrum Disorder in Early Childhood</t>
        </is>
      </c>
      <c r="E130" s="4" t="inlineStr">
        <is>
          <t>10.1007/s10803-025-06811-1</t>
        </is>
      </c>
      <c r="F130" s="4" t="n">
        <v>2025</v>
      </c>
      <c r="G130" s="4" t="inlineStr">
        <is>
          <t>Historical include</t>
        </is>
      </c>
      <c r="H130" s="4" t="inlineStr">
        <is>
          <t>Not recorded</t>
        </is>
      </c>
      <c r="I130" s="4" t="n">
        <v>0</v>
      </c>
      <c r="J130" s="4" t="inlineStr">
        <is>
          <t>https://doi.org/10.1007/s10803-025-06811-1</t>
        </is>
      </c>
      <c r="K130" s="4" t="inlineStr">
        <is>
          <t>Not recorded; historical inclusion retained</t>
        </is>
      </c>
      <c r="L130" s="4" t="str"/>
      <c r="M130" s="40" t="n"/>
      <c r="N130" s="4" t="inlineStr">
        <is>
          <t>Pending independent/source verification</t>
        </is>
      </c>
      <c r="O130" s="4" t="inlineStr">
        <is>
          <t>RQ1_RQ2_base_276 / RQ3_base_276</t>
        </is>
      </c>
      <c r="P130" s="4" t="n">
        <v>130</v>
      </c>
    </row>
    <row r="131" ht="60" customHeight="1">
      <c r="A131" s="4" t="inlineStr">
        <is>
          <t>142</t>
        </is>
      </c>
      <c r="B131" s="4" t="inlineStr">
        <is>
          <t>Historical</t>
        </is>
      </c>
      <c r="C131" s="4" t="n">
        <v>142</v>
      </c>
      <c r="D131" s="4" t="inlineStr">
        <is>
          <t>AV-FOS: Transformer-Based Audio-Visual Multimodal Interaction Style Recognition for Children With Autism Using the Revised Family Observation Schedule 3rd Edition (FOS-R-III)</t>
        </is>
      </c>
      <c r="E131" s="4" t="inlineStr">
        <is>
          <t>10.1109/jbhi.2025.3542066</t>
        </is>
      </c>
      <c r="F131" s="4" t="n">
        <v>2025</v>
      </c>
      <c r="G131" s="4" t="inlineStr">
        <is>
          <t>Historical include</t>
        </is>
      </c>
      <c r="H131" s="4" t="inlineStr">
        <is>
          <t>Not recorded</t>
        </is>
      </c>
      <c r="I131" s="4" t="n">
        <v>0</v>
      </c>
      <c r="J131" s="4" t="inlineStr">
        <is>
          <t>https://doi.org/10.1109/jbhi.2025.3542066</t>
        </is>
      </c>
      <c r="K131" s="4" t="inlineStr">
        <is>
          <t>Not recorded; historical inclusion retained</t>
        </is>
      </c>
      <c r="L131" s="4" t="inlineStr">
        <is>
          <t>RA</t>
        </is>
      </c>
      <c r="M131" s="40" t="n"/>
      <c r="N131" s="4" t="inlineStr">
        <is>
          <t>Pending independent/source verification</t>
        </is>
      </c>
      <c r="O131" s="4" t="inlineStr">
        <is>
          <t>RQ1_RQ2_base_276 / RQ3_base_276</t>
        </is>
      </c>
      <c r="P131" s="4" t="n">
        <v>131</v>
      </c>
    </row>
    <row r="132" ht="47" customHeight="1">
      <c r="A132" s="4" t="inlineStr">
        <is>
          <t>143</t>
        </is>
      </c>
      <c r="B132" s="4" t="inlineStr">
        <is>
          <t>Historical</t>
        </is>
      </c>
      <c r="C132" s="4" t="n">
        <v>143</v>
      </c>
      <c r="D132" s="4" t="inlineStr">
        <is>
          <t>Biomarker prediction in autism spectrum disorder using a network-based approach</t>
        </is>
      </c>
      <c r="E132" s="4" t="inlineStr">
        <is>
          <t>10.1186/s12920-023-01439-5</t>
        </is>
      </c>
      <c r="F132" s="4" t="n">
        <v>2023</v>
      </c>
      <c r="G132" s="4" t="inlineStr">
        <is>
          <t>Historical include</t>
        </is>
      </c>
      <c r="H132" s="4" t="inlineStr">
        <is>
          <t>Not recorded</t>
        </is>
      </c>
      <c r="I132" s="4" t="n">
        <v>0</v>
      </c>
      <c r="J132" s="4" t="inlineStr">
        <is>
          <t>https://doi.org/10.1186/s12920-023-01439-5</t>
        </is>
      </c>
      <c r="K132" s="4" t="inlineStr">
        <is>
          <t>Not recorded; historical inclusion retained</t>
        </is>
      </c>
      <c r="L132" s="4" t="inlineStr">
        <is>
          <t>RA</t>
        </is>
      </c>
      <c r="M132" s="40" t="n"/>
      <c r="N132" s="4" t="inlineStr">
        <is>
          <t>Pending independent/source verification</t>
        </is>
      </c>
      <c r="O132" s="4" t="inlineStr">
        <is>
          <t>RQ1_RQ2_base_276 / RQ3_base_276</t>
        </is>
      </c>
      <c r="P132" s="4" t="n">
        <v>132</v>
      </c>
    </row>
    <row r="133" ht="47" customHeight="1">
      <c r="A133" s="4" t="inlineStr">
        <is>
          <t>144</t>
        </is>
      </c>
      <c r="B133" s="4" t="inlineStr">
        <is>
          <t>Historical</t>
        </is>
      </c>
      <c r="C133" s="4" t="n">
        <v>144</v>
      </c>
      <c r="D133" s="4" t="inlineStr">
        <is>
          <t>Classifying autism in a clinical population based on motion synchrony: a proof-of-concept study using real-life diagnostic interviews</t>
        </is>
      </c>
      <c r="E133" s="4" t="inlineStr">
        <is>
          <t>10.1038/s41598-024-56098-y</t>
        </is>
      </c>
      <c r="F133" s="4" t="n">
        <v>2024</v>
      </c>
      <c r="G133" s="4" t="inlineStr">
        <is>
          <t>Historical include</t>
        </is>
      </c>
      <c r="H133" s="4" t="inlineStr">
        <is>
          <t>Not recorded</t>
        </is>
      </c>
      <c r="I133" s="4" t="n">
        <v>0</v>
      </c>
      <c r="J133" s="4" t="inlineStr">
        <is>
          <t>https://doi.org/10.1038/s41598-024-56098-y</t>
        </is>
      </c>
      <c r="K133" s="4" t="inlineStr">
        <is>
          <t>Not recorded; historical inclusion retained</t>
        </is>
      </c>
      <c r="L133" s="4" t="inlineStr">
        <is>
          <t>RA</t>
        </is>
      </c>
      <c r="M133" s="40" t="n"/>
      <c r="N133" s="4" t="inlineStr">
        <is>
          <t>Pending independent/source verification</t>
        </is>
      </c>
      <c r="O133" s="4" t="inlineStr">
        <is>
          <t>RQ1_RQ2_base_276 / RQ3_base_276</t>
        </is>
      </c>
      <c r="P133" s="4" t="n">
        <v>133</v>
      </c>
    </row>
    <row r="134" ht="47" customHeight="1">
      <c r="A134" s="4" t="inlineStr">
        <is>
          <t>145</t>
        </is>
      </c>
      <c r="B134" s="4" t="inlineStr">
        <is>
          <t>Historical</t>
        </is>
      </c>
      <c r="C134" s="4" t="n">
        <v>145</v>
      </c>
      <c r="D134" s="4" t="inlineStr">
        <is>
          <t>Clinical Evaluation of a Novel and Mobile Autism Risk Assessment</t>
        </is>
      </c>
      <c r="E134" s="4" t="inlineStr">
        <is>
          <t>10.1007/s10803-016-2718-4</t>
        </is>
      </c>
      <c r="F134" s="4" t="n">
        <v>2016</v>
      </c>
      <c r="G134" s="4" t="inlineStr">
        <is>
          <t>Historical include</t>
        </is>
      </c>
      <c r="H134" s="4" t="inlineStr">
        <is>
          <t>Not recorded</t>
        </is>
      </c>
      <c r="I134" s="4" t="n">
        <v>0</v>
      </c>
      <c r="J134" s="4" t="inlineStr">
        <is>
          <t>https://doi.org/10.1007/s10803-016-2718-4</t>
        </is>
      </c>
      <c r="K134" s="4" t="inlineStr">
        <is>
          <t>Not recorded; historical inclusion retained</t>
        </is>
      </c>
      <c r="L134" s="4" t="str"/>
      <c r="M134" s="40" t="n"/>
      <c r="N134" s="4" t="inlineStr">
        <is>
          <t>Pending independent/source verification</t>
        </is>
      </c>
      <c r="O134" s="4" t="inlineStr">
        <is>
          <t>RQ1_RQ2_base_276 / RQ3_base_276</t>
        </is>
      </c>
      <c r="P134" s="4" t="n">
        <v>134</v>
      </c>
    </row>
    <row r="135" ht="47" customHeight="1">
      <c r="A135" s="4" t="inlineStr">
        <is>
          <t>146</t>
        </is>
      </c>
      <c r="B135" s="4" t="inlineStr">
        <is>
          <t>Historical</t>
        </is>
      </c>
      <c r="C135" s="4" t="n">
        <v>146</v>
      </c>
      <c r="D135" s="4" t="inlineStr">
        <is>
          <t>Comparison of classification algorithms for predicting autistic spectrum disorder using WEKA modeler</t>
        </is>
      </c>
      <c r="E135" s="4" t="inlineStr">
        <is>
          <t>10.1186/s12911-022-02050-x</t>
        </is>
      </c>
      <c r="F135" s="4" t="n">
        <v>2022</v>
      </c>
      <c r="G135" s="4" t="inlineStr">
        <is>
          <t>Historical include</t>
        </is>
      </c>
      <c r="H135" s="4" t="inlineStr">
        <is>
          <t>Not recorded</t>
        </is>
      </c>
      <c r="I135" s="4" t="n">
        <v>0</v>
      </c>
      <c r="J135" s="4" t="inlineStr">
        <is>
          <t>https://doi.org/10.1186/s12911-022-02050-x</t>
        </is>
      </c>
      <c r="K135" s="4" t="inlineStr">
        <is>
          <t>Not recorded; historical inclusion retained</t>
        </is>
      </c>
      <c r="L135" s="4" t="inlineStr">
        <is>
          <t>RA</t>
        </is>
      </c>
      <c r="M135" s="40" t="n"/>
      <c r="N135" s="4" t="inlineStr">
        <is>
          <t>Pending independent/source verification</t>
        </is>
      </c>
      <c r="O135" s="4" t="inlineStr">
        <is>
          <t>RQ1_RQ2_base_276 / RQ3_base_276</t>
        </is>
      </c>
      <c r="P135" s="4" t="n">
        <v>135</v>
      </c>
    </row>
    <row r="136" ht="47" customHeight="1">
      <c r="A136" s="4" t="inlineStr">
        <is>
          <t>147</t>
        </is>
      </c>
      <c r="B136" s="4" t="inlineStr">
        <is>
          <t>Historical</t>
        </is>
      </c>
      <c r="C136" s="4" t="n">
        <v>147</v>
      </c>
      <c r="D136" s="4" t="inlineStr">
        <is>
          <t>DALNN: Dual Attention Learning Neural Network for Diagnosis of Autism Spectrum Disorders and Exploration of Lesion Brain Regions</t>
        </is>
      </c>
      <c r="E136" s="4" t="inlineStr">
        <is>
          <t>10.1109/tcss.2025.3593119</t>
        </is>
      </c>
      <c r="F136" s="4" t="n">
        <v>2025</v>
      </c>
      <c r="G136" s="4" t="inlineStr">
        <is>
          <t>Historical include</t>
        </is>
      </c>
      <c r="H136" s="4" t="inlineStr">
        <is>
          <t>Not recorded</t>
        </is>
      </c>
      <c r="I136" s="4" t="n">
        <v>0</v>
      </c>
      <c r="J136" s="4" t="inlineStr">
        <is>
          <t>https://doi.org/10.1109/tcss.2025.3593119</t>
        </is>
      </c>
      <c r="K136" s="4" t="inlineStr">
        <is>
          <t>Not recorded; historical inclusion retained</t>
        </is>
      </c>
      <c r="L136" s="4" t="inlineStr">
        <is>
          <t>RA</t>
        </is>
      </c>
      <c r="M136" s="40" t="n"/>
      <c r="N136" s="4" t="inlineStr">
        <is>
          <t>Pending independent/source verification</t>
        </is>
      </c>
      <c r="O136" s="4" t="inlineStr">
        <is>
          <t>RQ1_RQ2_base_276 / RQ3_base_276</t>
        </is>
      </c>
      <c r="P136" s="4" t="n">
        <v>136</v>
      </c>
    </row>
    <row r="137" ht="60" customHeight="1">
      <c r="A137" s="4" t="inlineStr">
        <is>
          <t>148</t>
        </is>
      </c>
      <c r="B137" s="4" t="inlineStr">
        <is>
          <t>Historical</t>
        </is>
      </c>
      <c r="C137" s="4" t="n">
        <v>148</v>
      </c>
      <c r="D137" s="4" t="inlineStr">
        <is>
          <t>Detecting Autism Spectrum Disorder and Attention Deficit Hyperactivity Disorder Using Multimodal Time-Frequency Analysis with Machine Learning Using the Electroretinogram from Two Flash Strengths</t>
        </is>
      </c>
      <c r="E137" s="4" t="inlineStr">
        <is>
          <t>10.1007/s10803-024-06290-w</t>
        </is>
      </c>
      <c r="F137" s="4" t="n">
        <v>2025</v>
      </c>
      <c r="G137" s="4" t="inlineStr">
        <is>
          <t>Historical include</t>
        </is>
      </c>
      <c r="H137" s="4" t="inlineStr">
        <is>
          <t>Not recorded</t>
        </is>
      </c>
      <c r="I137" s="4" t="n">
        <v>0</v>
      </c>
      <c r="J137" s="4" t="inlineStr">
        <is>
          <t>https://doi.org/10.1007/s10803-024-06290-w</t>
        </is>
      </c>
      <c r="K137" s="4" t="inlineStr">
        <is>
          <t>Not recorded; historical inclusion retained</t>
        </is>
      </c>
      <c r="L137" s="4" t="str"/>
      <c r="M137" s="40" t="n"/>
      <c r="N137" s="4" t="inlineStr">
        <is>
          <t>Pending independent/source verification</t>
        </is>
      </c>
      <c r="O137" s="4" t="inlineStr">
        <is>
          <t>RQ1_RQ2_base_276 / RQ3_base_276</t>
        </is>
      </c>
      <c r="P137" s="4" t="n">
        <v>137</v>
      </c>
    </row>
    <row r="138" ht="47" customHeight="1">
      <c r="A138" s="4" t="inlineStr">
        <is>
          <t>149</t>
        </is>
      </c>
      <c r="B138" s="4" t="inlineStr">
        <is>
          <t>Historical</t>
        </is>
      </c>
      <c r="C138" s="4" t="n">
        <v>149</v>
      </c>
      <c r="D138" s="4" t="inlineStr">
        <is>
          <t>Diagnostic classification for human autism and obsessive-compulsive disorder based on machine learning from a primate genetic model</t>
        </is>
      </c>
      <c r="E138" s="4" t="inlineStr">
        <is>
          <t>10.1176/appi.ajp.2020.19101091</t>
        </is>
      </c>
      <c r="F138" s="4" t="n">
        <v>2021</v>
      </c>
      <c r="G138" s="4" t="inlineStr">
        <is>
          <t>Historical include</t>
        </is>
      </c>
      <c r="H138" s="4" t="inlineStr">
        <is>
          <t>Not recorded</t>
        </is>
      </c>
      <c r="I138" s="4" t="n">
        <v>0</v>
      </c>
      <c r="J138" s="4" t="inlineStr">
        <is>
          <t>https://doi.org/10.1176/appi.ajp.2020.19101091</t>
        </is>
      </c>
      <c r="K138" s="4" t="inlineStr">
        <is>
          <t>Not recorded; historical inclusion retained</t>
        </is>
      </c>
      <c r="L138" s="4" t="inlineStr">
        <is>
          <t>RA</t>
        </is>
      </c>
      <c r="M138" s="40" t="n"/>
      <c r="N138" s="4" t="inlineStr">
        <is>
          <t>Pending independent/source verification</t>
        </is>
      </c>
      <c r="O138" s="4" t="inlineStr">
        <is>
          <t>RQ1_RQ2_base_276 / RQ3_base_276</t>
        </is>
      </c>
      <c r="P138" s="4" t="n">
        <v>138</v>
      </c>
    </row>
    <row r="139" ht="47" customHeight="1">
      <c r="A139" s="4" t="inlineStr">
        <is>
          <t>150</t>
        </is>
      </c>
      <c r="B139" s="4" t="inlineStr">
        <is>
          <t>Historical</t>
        </is>
      </c>
      <c r="C139" s="4" t="n">
        <v>150</v>
      </c>
      <c r="D139" s="4" t="inlineStr">
        <is>
          <t>Diagnostic shifts in autism spectrum disorder can be linked to the fuzzy nature of the diagnostic boundary: a data-driven approach</t>
        </is>
      </c>
      <c r="E139" s="4" t="inlineStr">
        <is>
          <t>10.1111/jcpp.13406</t>
        </is>
      </c>
      <c r="F139" s="4" t="n">
        <v>2021</v>
      </c>
      <c r="G139" s="4" t="inlineStr">
        <is>
          <t>Historical include</t>
        </is>
      </c>
      <c r="H139" s="4" t="inlineStr">
        <is>
          <t>Not recorded</t>
        </is>
      </c>
      <c r="I139" s="4" t="n">
        <v>0</v>
      </c>
      <c r="J139" s="4" t="inlineStr">
        <is>
          <t>https://doi.org/10.1111/jcpp.13406</t>
        </is>
      </c>
      <c r="K139" s="4" t="inlineStr">
        <is>
          <t>Not recorded; historical inclusion retained</t>
        </is>
      </c>
      <c r="L139" s="4" t="inlineStr">
        <is>
          <t>RA</t>
        </is>
      </c>
      <c r="M139" s="40" t="n"/>
      <c r="N139" s="4" t="inlineStr">
        <is>
          <t>Pending independent/source verification</t>
        </is>
      </c>
      <c r="O139" s="4" t="inlineStr">
        <is>
          <t>RQ1_RQ2_base_276 / RQ3_base_276</t>
        </is>
      </c>
      <c r="P139" s="4" t="n">
        <v>139</v>
      </c>
    </row>
    <row r="140" ht="47" customHeight="1">
      <c r="A140" s="4" t="inlineStr">
        <is>
          <t>151</t>
        </is>
      </c>
      <c r="B140" s="4" t="inlineStr">
        <is>
          <t>Historical</t>
        </is>
      </c>
      <c r="C140" s="4" t="n">
        <v>151</v>
      </c>
      <c r="D140" s="4" t="inlineStr">
        <is>
          <t>Early identification of autism spectrum disorder by multi-instrument fusion: A clinically applicable machine learning approach</t>
        </is>
      </c>
      <c r="E140" s="4" t="inlineStr">
        <is>
          <t>10.1016/j.psychres.2023.115050</t>
        </is>
      </c>
      <c r="F140" s="4" t="n">
        <v>2023</v>
      </c>
      <c r="G140" s="4" t="inlineStr">
        <is>
          <t>Historical include</t>
        </is>
      </c>
      <c r="H140" s="4" t="inlineStr">
        <is>
          <t>Not recorded</t>
        </is>
      </c>
      <c r="I140" s="4" t="n">
        <v>0</v>
      </c>
      <c r="J140" s="4" t="inlineStr">
        <is>
          <t>https://doi.org/10.1016/j.psychres.2023.115050</t>
        </is>
      </c>
      <c r="K140" s="4" t="inlineStr">
        <is>
          <t>Not recorded; historical inclusion retained</t>
        </is>
      </c>
      <c r="L140" s="4" t="inlineStr">
        <is>
          <t>RA</t>
        </is>
      </c>
      <c r="M140" s="40" t="n"/>
      <c r="N140" s="4" t="inlineStr">
        <is>
          <t>Pending independent/source verification</t>
        </is>
      </c>
      <c r="O140" s="4" t="inlineStr">
        <is>
          <t>RQ1_RQ2_base_276 / RQ3_base_276</t>
        </is>
      </c>
      <c r="P140" s="4" t="n">
        <v>140</v>
      </c>
    </row>
    <row r="141" ht="47" customHeight="1">
      <c r="A141" s="4" t="inlineStr">
        <is>
          <t>152</t>
        </is>
      </c>
      <c r="B141" s="4" t="inlineStr">
        <is>
          <t>Historical</t>
        </is>
      </c>
      <c r="C141" s="4" t="n">
        <v>152</v>
      </c>
      <c r="D141" s="4" t="inlineStr">
        <is>
          <t>Early screening of autism spectrum disorder diagnoses of children using artificial intelligence</t>
        </is>
      </c>
      <c r="E141" s="4" t="inlineStr">
        <is>
          <t>10.57197/jdr-2023-0004</t>
        </is>
      </c>
      <c r="F141" s="4" t="n">
        <v>2023</v>
      </c>
      <c r="G141" s="4" t="inlineStr">
        <is>
          <t>Historical include</t>
        </is>
      </c>
      <c r="H141" s="4" t="inlineStr">
        <is>
          <t>Not recorded</t>
        </is>
      </c>
      <c r="I141" s="4" t="n">
        <v>0</v>
      </c>
      <c r="J141" s="4" t="inlineStr">
        <is>
          <t>https://doi.org/10.57197/jdr-2023-0004</t>
        </is>
      </c>
      <c r="K141" s="4" t="inlineStr">
        <is>
          <t>Not recorded; historical inclusion retained</t>
        </is>
      </c>
      <c r="L141" s="4" t="str"/>
      <c r="M141" s="40" t="n"/>
      <c r="N141" s="4" t="inlineStr">
        <is>
          <t>Pending independent/source verification</t>
        </is>
      </c>
      <c r="O141" s="4" t="inlineStr">
        <is>
          <t>RQ1_RQ2_base_276 / RQ3_base_276</t>
        </is>
      </c>
      <c r="P141" s="4" t="n">
        <v>141</v>
      </c>
    </row>
    <row r="142" ht="47" customHeight="1">
      <c r="A142" s="4" t="inlineStr">
        <is>
          <t>153</t>
        </is>
      </c>
      <c r="B142" s="4" t="inlineStr">
        <is>
          <t>Historical</t>
        </is>
      </c>
      <c r="C142" s="4" t="n">
        <v>153</v>
      </c>
      <c r="D142" s="4" t="inlineStr">
        <is>
          <t>Enhanced Special Needs Assessment: A Multimodal Approach for Autism Prediction</t>
        </is>
      </c>
      <c r="E142" s="4" t="inlineStr">
        <is>
          <t>10.1109/access.2024.3453440</t>
        </is>
      </c>
      <c r="F142" s="4" t="n">
        <v>2024</v>
      </c>
      <c r="G142" s="4" t="inlineStr">
        <is>
          <t>Historical include</t>
        </is>
      </c>
      <c r="H142" s="4" t="inlineStr">
        <is>
          <t>Not recorded</t>
        </is>
      </c>
      <c r="I142" s="4" t="n">
        <v>0</v>
      </c>
      <c r="J142" s="4" t="inlineStr">
        <is>
          <t>https://doi.org/10.1109/access.2024.3453440</t>
        </is>
      </c>
      <c r="K142" s="4" t="inlineStr">
        <is>
          <t>Not recorded; historical inclusion retained</t>
        </is>
      </c>
      <c r="L142" s="4" t="str"/>
      <c r="M142" s="40" t="n"/>
      <c r="N142" s="4" t="inlineStr">
        <is>
          <t>Pending independent/source verification</t>
        </is>
      </c>
      <c r="O142" s="4" t="inlineStr">
        <is>
          <t>RQ1_RQ2_base_276 / RQ3_base_276</t>
        </is>
      </c>
      <c r="P142" s="4" t="n">
        <v>142</v>
      </c>
    </row>
    <row r="143" ht="47" customHeight="1">
      <c r="A143" s="4" t="inlineStr">
        <is>
          <t>154</t>
        </is>
      </c>
      <c r="B143" s="4" t="inlineStr">
        <is>
          <t>Historical</t>
        </is>
      </c>
      <c r="C143" s="4" t="n">
        <v>154</v>
      </c>
      <c r="D143" s="4" t="inlineStr">
        <is>
          <t>Enhancing Early Diagnosis of Autism Spectrum Disorder in Children: A Comparative Analysis of Machine Learning Techniques</t>
        </is>
      </c>
      <c r="E143" s="4" t="inlineStr">
        <is>
          <t>10.1007/978-981-97-6995-7_34</t>
        </is>
      </c>
      <c r="F143" s="4" t="n">
        <v>2024</v>
      </c>
      <c r="G143" s="4" t="inlineStr">
        <is>
          <t>Historical include</t>
        </is>
      </c>
      <c r="H143" s="4" t="inlineStr">
        <is>
          <t>Not recorded</t>
        </is>
      </c>
      <c r="I143" s="4" t="n">
        <v>0</v>
      </c>
      <c r="J143" s="4" t="inlineStr">
        <is>
          <t>https://doi.org/10.1007/978-981-97-6995-7_34</t>
        </is>
      </c>
      <c r="K143" s="4" t="inlineStr">
        <is>
          <t>Not recorded; historical inclusion retained</t>
        </is>
      </c>
      <c r="L143" s="4" t="str"/>
      <c r="M143" s="40" t="n"/>
      <c r="N143" s="4" t="inlineStr">
        <is>
          <t>Pending independent/source verification</t>
        </is>
      </c>
      <c r="O143" s="4" t="inlineStr">
        <is>
          <t>RQ1_RQ2_base_276 / RQ3_base_276</t>
        </is>
      </c>
      <c r="P143" s="4" t="n">
        <v>143</v>
      </c>
    </row>
    <row r="144" ht="47" customHeight="1">
      <c r="A144" s="4" t="inlineStr">
        <is>
          <t>155</t>
        </is>
      </c>
      <c r="B144" s="4" t="inlineStr">
        <is>
          <t>Historical</t>
        </is>
      </c>
      <c r="C144" s="4" t="n">
        <v>155</v>
      </c>
      <c r="D144" s="4" t="inlineStr">
        <is>
          <t>Evaluation of AI tools for healthcare networks at the cloud-edge interaction to diagnose autism in educational environments</t>
        </is>
      </c>
      <c r="E144" s="4" t="inlineStr">
        <is>
          <t>10.1186/s13677-023-00558-9</t>
        </is>
      </c>
      <c r="F144" s="4" t="n">
        <v>2024</v>
      </c>
      <c r="G144" s="4" t="inlineStr">
        <is>
          <t>Historical include</t>
        </is>
      </c>
      <c r="H144" s="4" t="inlineStr">
        <is>
          <t>Not recorded</t>
        </is>
      </c>
      <c r="I144" s="4" t="n">
        <v>0</v>
      </c>
      <c r="J144" s="4" t="inlineStr">
        <is>
          <t>https://doi.org/10.1186/s13677-023-00558-9</t>
        </is>
      </c>
      <c r="K144" s="4" t="inlineStr">
        <is>
          <t>Not recorded; historical inclusion retained</t>
        </is>
      </c>
      <c r="L144" s="4" t="inlineStr">
        <is>
          <t>RA</t>
        </is>
      </c>
      <c r="M144" s="40" t="n"/>
      <c r="N144" s="4" t="inlineStr">
        <is>
          <t>Pending independent/source verification</t>
        </is>
      </c>
      <c r="O144" s="4" t="inlineStr">
        <is>
          <t>RQ1_RQ2_base_276 / RQ3_base_276</t>
        </is>
      </c>
      <c r="P144" s="4" t="n">
        <v>144</v>
      </c>
    </row>
    <row r="145" ht="47" customHeight="1">
      <c r="A145" s="4" t="inlineStr">
        <is>
          <t>156</t>
        </is>
      </c>
      <c r="B145" s="4" t="inlineStr">
        <is>
          <t>Historical</t>
        </is>
      </c>
      <c r="C145" s="4" t="n">
        <v>156</v>
      </c>
      <c r="D145" s="4" t="inlineStr">
        <is>
          <t>Exploring sMRI Biomarkers for Diagnosis of Autism Spectrum Disorders Based on Multi Class Activation Mapping Models</t>
        </is>
      </c>
      <c r="E145" s="4" t="inlineStr">
        <is>
          <t>10.1109/access.2021.3069211</t>
        </is>
      </c>
      <c r="F145" s="4" t="n">
        <v>2021</v>
      </c>
      <c r="G145" s="4" t="inlineStr">
        <is>
          <t>Historical include</t>
        </is>
      </c>
      <c r="H145" s="4" t="inlineStr">
        <is>
          <t>Not recorded</t>
        </is>
      </c>
      <c r="I145" s="4" t="n">
        <v>0</v>
      </c>
      <c r="J145" s="4" t="inlineStr">
        <is>
          <t>https://doi.org/10.1109/access.2021.3069211</t>
        </is>
      </c>
      <c r="K145" s="4" t="inlineStr">
        <is>
          <t>Not recorded; historical inclusion retained</t>
        </is>
      </c>
      <c r="L145" s="4" t="inlineStr">
        <is>
          <t>RA</t>
        </is>
      </c>
      <c r="M145" s="40" t="n"/>
      <c r="N145" s="4" t="inlineStr">
        <is>
          <t>Pending independent/source verification</t>
        </is>
      </c>
      <c r="O145" s="4" t="inlineStr">
        <is>
          <t>RQ1_RQ2_base_276 / RQ3_base_276</t>
        </is>
      </c>
      <c r="P145" s="4" t="n">
        <v>145</v>
      </c>
    </row>
    <row r="146" ht="47" customHeight="1">
      <c r="A146" s="4" t="inlineStr">
        <is>
          <t>157</t>
        </is>
      </c>
      <c r="B146" s="4" t="inlineStr">
        <is>
          <t>Historical</t>
        </is>
      </c>
      <c r="C146" s="4" t="n">
        <v>157</v>
      </c>
      <c r="D146" s="4" t="inlineStr">
        <is>
          <t>Functional connectivity classification of autism identifies highly predictive brain features but falls short of biomarker standards</t>
        </is>
      </c>
      <c r="E146" s="4" t="inlineStr">
        <is>
          <t>10.1016/j.nicl.2014.12.013</t>
        </is>
      </c>
      <c r="F146" s="4" t="n">
        <v>2015</v>
      </c>
      <c r="G146" s="4" t="inlineStr">
        <is>
          <t>Historical include</t>
        </is>
      </c>
      <c r="H146" s="4" t="inlineStr">
        <is>
          <t>Not recorded</t>
        </is>
      </c>
      <c r="I146" s="4" t="n">
        <v>0</v>
      </c>
      <c r="J146" s="4" t="inlineStr">
        <is>
          <t>https://doi.org/10.1016/j.nicl.2014.12.013</t>
        </is>
      </c>
      <c r="K146" s="4" t="inlineStr">
        <is>
          <t>Not recorded; historical inclusion retained</t>
        </is>
      </c>
      <c r="L146" s="4" t="str"/>
      <c r="M146" s="40" t="n"/>
      <c r="N146" s="4" t="inlineStr">
        <is>
          <t>Pending independent/source verification</t>
        </is>
      </c>
      <c r="O146" s="4" t="inlineStr">
        <is>
          <t>RQ1_RQ2_base_276 / RQ3_base_276</t>
        </is>
      </c>
      <c r="P146" s="4" t="n">
        <v>146</v>
      </c>
    </row>
    <row r="147" ht="47" customHeight="1">
      <c r="A147" s="4" t="inlineStr">
        <is>
          <t>158</t>
        </is>
      </c>
      <c r="B147" s="4" t="inlineStr">
        <is>
          <t>Historical</t>
        </is>
      </c>
      <c r="C147" s="4" t="n">
        <v>158</v>
      </c>
      <c r="D147" s="4" t="inlineStr">
        <is>
          <t>Graph Convolutional Networks Based on\&amp;#xa0;Relational Attention Mechanism for\&amp;#xa0;Autism Spectrum Disorders Diagnosis</t>
        </is>
      </c>
      <c r="E147" s="4" t="inlineStr">
        <is>
          <t>10.1007/978-3-031-13844-7_33</t>
        </is>
      </c>
      <c r="F147" s="4" t="n">
        <v>2022</v>
      </c>
      <c r="G147" s="4" t="inlineStr">
        <is>
          <t>Historical include</t>
        </is>
      </c>
      <c r="H147" s="4" t="inlineStr">
        <is>
          <t>Not recorded</t>
        </is>
      </c>
      <c r="I147" s="4" t="n">
        <v>0</v>
      </c>
      <c r="J147" s="4" t="inlineStr">
        <is>
          <t>https://doi.org/10.1007/978-3-031-13844-7_33</t>
        </is>
      </c>
      <c r="K147" s="4" t="inlineStr">
        <is>
          <t>Not recorded; historical inclusion retained</t>
        </is>
      </c>
      <c r="L147" s="4" t="inlineStr">
        <is>
          <t>RA</t>
        </is>
      </c>
      <c r="M147" s="40" t="n"/>
      <c r="N147" s="4" t="inlineStr">
        <is>
          <t>Pending independent/source verification</t>
        </is>
      </c>
      <c r="O147" s="4" t="inlineStr">
        <is>
          <t>RQ1_RQ2_base_276 / RQ3_base_276</t>
        </is>
      </c>
      <c r="P147" s="4" t="n">
        <v>147</v>
      </c>
    </row>
    <row r="148" ht="47" customHeight="1">
      <c r="A148" s="4" t="inlineStr">
        <is>
          <t>159</t>
        </is>
      </c>
      <c r="B148" s="4" t="inlineStr">
        <is>
          <t>Historical</t>
        </is>
      </c>
      <c r="C148" s="4" t="n">
        <v>159</v>
      </c>
      <c r="D148" s="4" t="inlineStr">
        <is>
          <t>Hybrid similarity based feature selection and cascade deep maxout fuzzy network for Autism Spectrum Disorder detection using EEG signal</t>
        </is>
      </c>
      <c r="E148" s="4" t="inlineStr">
        <is>
          <t>10.1016/j.compbiolchem.2024.108177</t>
        </is>
      </c>
      <c r="F148" s="4" t="n">
        <v>2024</v>
      </c>
      <c r="G148" s="4" t="inlineStr">
        <is>
          <t>Historical include</t>
        </is>
      </c>
      <c r="H148" s="4" t="inlineStr">
        <is>
          <t>Not recorded</t>
        </is>
      </c>
      <c r="I148" s="4" t="n">
        <v>0</v>
      </c>
      <c r="J148" s="4" t="inlineStr">
        <is>
          <t>https://doi.org/10.1016/j.compbiolchem.2024.108177</t>
        </is>
      </c>
      <c r="K148" s="4" t="inlineStr">
        <is>
          <t>Not recorded; historical inclusion retained</t>
        </is>
      </c>
      <c r="L148" s="4" t="str"/>
      <c r="M148" s="40" t="n"/>
      <c r="N148" s="4" t="inlineStr">
        <is>
          <t>Pending independent/source verification</t>
        </is>
      </c>
      <c r="O148" s="4" t="inlineStr">
        <is>
          <t>RQ1_RQ2_base_276 / RQ3_base_276</t>
        </is>
      </c>
      <c r="P148" s="4" t="n">
        <v>148</v>
      </c>
    </row>
    <row r="149" ht="47" customHeight="1">
      <c r="A149" s="4" t="inlineStr">
        <is>
          <t>160</t>
        </is>
      </c>
      <c r="B149" s="4" t="inlineStr">
        <is>
          <t>Historical</t>
        </is>
      </c>
      <c r="C149" s="4" t="n">
        <v>160</v>
      </c>
      <c r="D149" s="4" t="inlineStr">
        <is>
          <t>Imputing cognitive impairment in SPARK, a large autism cohort</t>
        </is>
      </c>
      <c r="E149" s="4" t="inlineStr">
        <is>
          <t>10.1002/aur.2622</t>
        </is>
      </c>
      <c r="F149" s="4" t="n">
        <v>2022</v>
      </c>
      <c r="G149" s="4" t="inlineStr">
        <is>
          <t>Historical include</t>
        </is>
      </c>
      <c r="H149" s="4" t="inlineStr">
        <is>
          <t>Not recorded</t>
        </is>
      </c>
      <c r="I149" s="4" t="n">
        <v>0</v>
      </c>
      <c r="J149" s="4" t="inlineStr">
        <is>
          <t>https://doi.org/10.1002/aur.2622</t>
        </is>
      </c>
      <c r="K149" s="4" t="inlineStr">
        <is>
          <t>Not recorded; historical inclusion retained</t>
        </is>
      </c>
      <c r="L149" s="4" t="str"/>
      <c r="M149" s="40" t="n"/>
      <c r="N149" s="4" t="inlineStr">
        <is>
          <t>Pending independent/source verification</t>
        </is>
      </c>
      <c r="O149" s="4" t="inlineStr">
        <is>
          <t>RQ1_RQ2_base_276 / RQ3_base_276</t>
        </is>
      </c>
      <c r="P149" s="4" t="n">
        <v>149</v>
      </c>
    </row>
    <row r="150" ht="47" customHeight="1">
      <c r="A150" s="4" t="inlineStr">
        <is>
          <t>162</t>
        </is>
      </c>
      <c r="B150" s="4" t="inlineStr">
        <is>
          <t>Historical</t>
        </is>
      </c>
      <c r="C150" s="4" t="n">
        <v>162</v>
      </c>
      <c r="D150" s="4" t="inlineStr">
        <is>
          <t>Machine Learning in ASD: An Intensive Study of Automated Disease Prediction System</t>
        </is>
      </c>
      <c r="E150" s="4" t="inlineStr">
        <is>
          <t>10.1002/9781119896838.ch18</t>
        </is>
      </c>
      <c r="F150" s="4" t="n">
        <v>2023</v>
      </c>
      <c r="G150" s="4" t="inlineStr">
        <is>
          <t>Historical include</t>
        </is>
      </c>
      <c r="H150" s="4" t="inlineStr">
        <is>
          <t>Not recorded</t>
        </is>
      </c>
      <c r="I150" s="4" t="n">
        <v>0</v>
      </c>
      <c r="J150" s="4" t="inlineStr">
        <is>
          <t>https://doi.org/10.1002/9781119896838.ch18</t>
        </is>
      </c>
      <c r="K150" s="4" t="inlineStr">
        <is>
          <t>Not recorded; historical inclusion retained</t>
        </is>
      </c>
      <c r="L150" s="4" t="str"/>
      <c r="M150" s="40" t="n"/>
      <c r="N150" s="4" t="inlineStr">
        <is>
          <t>Pending independent/source verification</t>
        </is>
      </c>
      <c r="O150" s="4" t="inlineStr">
        <is>
          <t>RQ1_RQ2_base_276 / RQ3_base_276</t>
        </is>
      </c>
      <c r="P150" s="4" t="n">
        <v>150</v>
      </c>
    </row>
    <row r="151" ht="47" customHeight="1">
      <c r="A151" s="4" t="inlineStr">
        <is>
          <t>163</t>
        </is>
      </c>
      <c r="B151" s="4" t="inlineStr">
        <is>
          <t>Historical</t>
        </is>
      </c>
      <c r="C151" s="4" t="n">
        <v>163</v>
      </c>
      <c r="D151" s="4" t="inlineStr">
        <is>
          <t>Multichannel Deep Attention Neural Networks for the Classification of Autism Spectrum Disorder Using Neuroimaging and Personal Characteristic Data</t>
        </is>
      </c>
      <c r="E151" s="4" t="inlineStr">
        <is>
          <t>10.1155/2020/1357853</t>
        </is>
      </c>
      <c r="F151" s="4" t="n">
        <v>2020</v>
      </c>
      <c r="G151" s="4" t="inlineStr">
        <is>
          <t>Historical include</t>
        </is>
      </c>
      <c r="H151" s="4" t="inlineStr">
        <is>
          <t>Not recorded</t>
        </is>
      </c>
      <c r="I151" s="4" t="n">
        <v>0</v>
      </c>
      <c r="J151" s="4" t="inlineStr">
        <is>
          <t>https://doi.org/10.1155/2020/1357853</t>
        </is>
      </c>
      <c r="K151" s="4" t="inlineStr">
        <is>
          <t>Not recorded; historical inclusion retained</t>
        </is>
      </c>
      <c r="L151" s="4" t="inlineStr">
        <is>
          <t>RA</t>
        </is>
      </c>
      <c r="M151" s="40" t="n"/>
      <c r="N151" s="4" t="inlineStr">
        <is>
          <t>Pending independent/source verification</t>
        </is>
      </c>
      <c r="O151" s="4" t="inlineStr">
        <is>
          <t>RQ1_RQ2_base_276 / RQ3_base_276</t>
        </is>
      </c>
      <c r="P151" s="4" t="n">
        <v>151</v>
      </c>
    </row>
    <row r="152" ht="47" customHeight="1">
      <c r="A152" s="4" t="inlineStr">
        <is>
          <t>164</t>
        </is>
      </c>
      <c r="B152" s="4" t="inlineStr">
        <is>
          <t>Historical</t>
        </is>
      </c>
      <c r="C152" s="4" t="n">
        <v>164</v>
      </c>
      <c r="D152" s="4" t="inlineStr">
        <is>
          <t>Multimodal Kernel-based discriminant correlation analysis data-fusion approach: an automated autism spectrum disorder diagnostic system</t>
        </is>
      </c>
      <c r="E152" s="4" t="inlineStr">
        <is>
          <t>10.1007/s13246-023-01350-4</t>
        </is>
      </c>
      <c r="F152" s="4" t="n">
        <v>2024</v>
      </c>
      <c r="G152" s="4" t="inlineStr">
        <is>
          <t>Historical include</t>
        </is>
      </c>
      <c r="H152" s="4" t="inlineStr">
        <is>
          <t>Not recorded</t>
        </is>
      </c>
      <c r="I152" s="4" t="n">
        <v>0</v>
      </c>
      <c r="J152" s="4" t="inlineStr">
        <is>
          <t>https://doi.org/10.1007/s13246-023-01350-4</t>
        </is>
      </c>
      <c r="K152" s="4" t="inlineStr">
        <is>
          <t>Not recorded; historical inclusion retained</t>
        </is>
      </c>
      <c r="L152" s="4" t="str"/>
      <c r="M152" s="40" t="n"/>
      <c r="N152" s="4" t="inlineStr">
        <is>
          <t>Pending independent/source verification</t>
        </is>
      </c>
      <c r="O152" s="4" t="inlineStr">
        <is>
          <t>RQ1_RQ2_base_276 / RQ3_base_276</t>
        </is>
      </c>
      <c r="P152" s="4" t="n">
        <v>152</v>
      </c>
    </row>
    <row r="153" ht="47" customHeight="1">
      <c r="A153" s="4" t="inlineStr">
        <is>
          <t>165</t>
        </is>
      </c>
      <c r="B153" s="4" t="inlineStr">
        <is>
          <t>Historical</t>
        </is>
      </c>
      <c r="C153" s="4" t="n">
        <v>165</v>
      </c>
      <c r="D153" s="4" t="inlineStr">
        <is>
          <t>Phase 3 diagnostic evaluation of a smart tablet serious game to identify autism in 760 children 3-5 years old in Sweden and the United Kingdom</t>
        </is>
      </c>
      <c r="E153" s="4" t="inlineStr">
        <is>
          <t>10.1136/bmjopen-2018-026226</t>
        </is>
      </c>
      <c r="F153" s="4" t="n">
        <v>2019</v>
      </c>
      <c r="G153" s="4" t="inlineStr">
        <is>
          <t>Historical include</t>
        </is>
      </c>
      <c r="H153" s="4" t="inlineStr">
        <is>
          <t>Not recorded</t>
        </is>
      </c>
      <c r="I153" s="4" t="n">
        <v>0</v>
      </c>
      <c r="J153" s="4" t="inlineStr">
        <is>
          <t>https://doi.org/10.1136/bmjopen-2018-026226</t>
        </is>
      </c>
      <c r="K153" s="4" t="inlineStr">
        <is>
          <t>Not recorded; historical inclusion retained</t>
        </is>
      </c>
      <c r="L153" s="4" t="str"/>
      <c r="M153" s="40" t="n"/>
      <c r="N153" s="4" t="inlineStr">
        <is>
          <t>Pending independent/source verification</t>
        </is>
      </c>
      <c r="O153" s="4" t="inlineStr">
        <is>
          <t>RQ1_RQ2_base_276 / RQ3_base_276</t>
        </is>
      </c>
      <c r="P153" s="4" t="n">
        <v>153</v>
      </c>
    </row>
    <row r="154" ht="47" customHeight="1">
      <c r="A154" s="4" t="inlineStr">
        <is>
          <t>166</t>
        </is>
      </c>
      <c r="B154" s="4" t="inlineStr">
        <is>
          <t>Historical</t>
        </is>
      </c>
      <c r="C154" s="4" t="n">
        <v>166</v>
      </c>
      <c r="D154" s="4" t="inlineStr">
        <is>
          <t>Research and development of autism diagnosis information system based on deep convolution neural network and facial expression data</t>
        </is>
      </c>
      <c r="E154" s="4" t="inlineStr">
        <is>
          <t>10.1108/lht-08-2019-0176</t>
        </is>
      </c>
      <c r="F154" s="4" t="n">
        <v>2020</v>
      </c>
      <c r="G154" s="4" t="inlineStr">
        <is>
          <t>Historical include</t>
        </is>
      </c>
      <c r="H154" s="4" t="inlineStr">
        <is>
          <t>Not recorded</t>
        </is>
      </c>
      <c r="I154" s="4" t="n">
        <v>0</v>
      </c>
      <c r="J154" s="4" t="inlineStr">
        <is>
          <t>https://doi.org/10.1108/lht-08-2019-0176</t>
        </is>
      </c>
      <c r="K154" s="4" t="inlineStr">
        <is>
          <t>Not recorded; historical inclusion retained</t>
        </is>
      </c>
      <c r="L154" s="4" t="inlineStr">
        <is>
          <t>RA</t>
        </is>
      </c>
      <c r="M154" s="40" t="n"/>
      <c r="N154" s="4" t="inlineStr">
        <is>
          <t>Pending independent/source verification</t>
        </is>
      </c>
      <c r="O154" s="4" t="inlineStr">
        <is>
          <t>RQ1_RQ2_base_276 / RQ3_base_276</t>
        </is>
      </c>
      <c r="P154" s="4" t="n">
        <v>154</v>
      </c>
    </row>
    <row r="155" ht="47" customHeight="1">
      <c r="A155" s="4" t="inlineStr">
        <is>
          <t>168</t>
        </is>
      </c>
      <c r="B155" s="4" t="inlineStr">
        <is>
          <t>Historical</t>
        </is>
      </c>
      <c r="C155" s="4" t="n">
        <v>168</v>
      </c>
      <c r="D155" s="4" t="inlineStr">
        <is>
          <t>Stratification of Children with Autism Spectrum Disorder Through Fusion of Temporal Information in Eye-gaze Scan-Paths</t>
        </is>
      </c>
      <c r="E155" s="4" t="inlineStr">
        <is>
          <t>10.1145/3539226</t>
        </is>
      </c>
      <c r="F155" s="4" t="n">
        <v>2023</v>
      </c>
      <c r="G155" s="4" t="inlineStr">
        <is>
          <t>Historical include</t>
        </is>
      </c>
      <c r="H155" s="4" t="inlineStr">
        <is>
          <t>Not recorded</t>
        </is>
      </c>
      <c r="I155" s="4" t="n">
        <v>0</v>
      </c>
      <c r="J155" s="4" t="inlineStr">
        <is>
          <t>https://doi.org/10.1145/3539226</t>
        </is>
      </c>
      <c r="K155" s="4" t="inlineStr">
        <is>
          <t>Not recorded; historical inclusion retained</t>
        </is>
      </c>
      <c r="L155" s="4" t="inlineStr">
        <is>
          <t>RA</t>
        </is>
      </c>
      <c r="M155" s="40" t="n"/>
      <c r="N155" s="4" t="inlineStr">
        <is>
          <t>Pending independent/source verification</t>
        </is>
      </c>
      <c r="O155" s="4" t="inlineStr">
        <is>
          <t>RQ1_RQ2_base_276 / RQ3_base_276</t>
        </is>
      </c>
      <c r="P155" s="4" t="n">
        <v>155</v>
      </c>
    </row>
    <row r="156" ht="47" customHeight="1">
      <c r="A156" s="4" t="inlineStr">
        <is>
          <t>169</t>
        </is>
      </c>
      <c r="B156" s="4" t="inlineStr">
        <is>
          <t>Historical</t>
        </is>
      </c>
      <c r="C156" s="4" t="n">
        <v>169</v>
      </c>
      <c r="D156" s="4" t="inlineStr">
        <is>
          <t>The Classification of Abnormal Hand Movement to Aid in Autism Detection: Machine Learning Study</t>
        </is>
      </c>
      <c r="E156" s="4" t="inlineStr">
        <is>
          <t>10.2196/33771</t>
        </is>
      </c>
      <c r="F156" s="4" t="n">
        <v>2022</v>
      </c>
      <c r="G156" s="4" t="inlineStr">
        <is>
          <t>Historical include</t>
        </is>
      </c>
      <c r="H156" s="4" t="inlineStr">
        <is>
          <t>Not recorded</t>
        </is>
      </c>
      <c r="I156" s="4" t="n">
        <v>0</v>
      </c>
      <c r="J156" s="4" t="inlineStr">
        <is>
          <t>https://doi.org/10.2196/33771</t>
        </is>
      </c>
      <c r="K156" s="4" t="inlineStr">
        <is>
          <t>Not recorded; historical inclusion retained</t>
        </is>
      </c>
      <c r="L156" s="4" t="inlineStr">
        <is>
          <t>RA</t>
        </is>
      </c>
      <c r="M156" s="40" t="n"/>
      <c r="N156" s="4" t="inlineStr">
        <is>
          <t>Pending independent/source verification</t>
        </is>
      </c>
      <c r="O156" s="4" t="inlineStr">
        <is>
          <t>RQ1_RQ2_base_276 / RQ3_base_276</t>
        </is>
      </c>
      <c r="P156" s="4" t="n">
        <v>156</v>
      </c>
    </row>
    <row r="157" ht="47" customHeight="1">
      <c r="A157" s="4" t="inlineStr">
        <is>
          <t>170</t>
        </is>
      </c>
      <c r="B157" s="4" t="inlineStr">
        <is>
          <t>Historical</t>
        </is>
      </c>
      <c r="C157" s="4" t="n">
        <v>170</v>
      </c>
      <c r="D157" s="4" t="inlineStr">
        <is>
          <t>The development of a practical artificial intelligence tool for diagnosing and evaluating autism spectrum disorder: Multicenter study</t>
        </is>
      </c>
      <c r="E157" s="4" t="inlineStr">
        <is>
          <t>10.2196/15767</t>
        </is>
      </c>
      <c r="F157" s="4" t="n">
        <v>2020</v>
      </c>
      <c r="G157" s="4" t="inlineStr">
        <is>
          <t>Historical include</t>
        </is>
      </c>
      <c r="H157" s="4" t="inlineStr">
        <is>
          <t>Not recorded</t>
        </is>
      </c>
      <c r="I157" s="4" t="n">
        <v>0</v>
      </c>
      <c r="J157" s="4" t="inlineStr">
        <is>
          <t>https://doi.org/10.2196/15767</t>
        </is>
      </c>
      <c r="K157" s="4" t="inlineStr">
        <is>
          <t>Not recorded; historical inclusion retained</t>
        </is>
      </c>
      <c r="L157" s="4" t="inlineStr">
        <is>
          <t>RA</t>
        </is>
      </c>
      <c r="M157" s="40" t="n"/>
      <c r="N157" s="4" t="inlineStr">
        <is>
          <t>Pending independent/source verification</t>
        </is>
      </c>
      <c r="O157" s="4" t="inlineStr">
        <is>
          <t>RQ1_RQ2_base_276 / RQ3_base_276</t>
        </is>
      </c>
      <c r="P157" s="4" t="n">
        <v>157</v>
      </c>
    </row>
    <row r="158" ht="47" customHeight="1">
      <c r="A158" s="4" t="inlineStr">
        <is>
          <t>171</t>
        </is>
      </c>
      <c r="B158" s="4" t="inlineStr">
        <is>
          <t>Historical</t>
        </is>
      </c>
      <c r="C158" s="4" t="n">
        <v>171</v>
      </c>
      <c r="D158" s="4" t="inlineStr">
        <is>
          <t>Toward the Autism Motor Signature: Gesture patterns during smart tablet gameplay identify children with autism</t>
        </is>
      </c>
      <c r="E158" s="4" t="inlineStr">
        <is>
          <t>10.1038/srep31107</t>
        </is>
      </c>
      <c r="F158" s="4" t="n">
        <v>2016</v>
      </c>
      <c r="G158" s="4" t="inlineStr">
        <is>
          <t>Historical include</t>
        </is>
      </c>
      <c r="H158" s="4" t="inlineStr">
        <is>
          <t>Not recorded</t>
        </is>
      </c>
      <c r="I158" s="4" t="n">
        <v>0</v>
      </c>
      <c r="J158" s="4" t="inlineStr">
        <is>
          <t>https://doi.org/10.1038/srep31107</t>
        </is>
      </c>
      <c r="K158" s="4" t="inlineStr">
        <is>
          <t>Not recorded; historical inclusion retained</t>
        </is>
      </c>
      <c r="L158" s="4" t="inlineStr">
        <is>
          <t>RA</t>
        </is>
      </c>
      <c r="M158" s="40" t="n"/>
      <c r="N158" s="4" t="inlineStr">
        <is>
          <t>Pending independent/source verification</t>
        </is>
      </c>
      <c r="O158" s="4" t="inlineStr">
        <is>
          <t>RQ1_RQ2_base_276 / RQ3_base_276</t>
        </is>
      </c>
      <c r="P158" s="4" t="n">
        <v>158</v>
      </c>
    </row>
    <row r="159" ht="47" customHeight="1">
      <c r="A159" s="4" t="inlineStr">
        <is>
          <t>172</t>
        </is>
      </c>
      <c r="B159" s="4" t="inlineStr">
        <is>
          <t>Historical</t>
        </is>
      </c>
      <c r="C159" s="4" t="n">
        <v>172</v>
      </c>
      <c r="D159" s="4" t="inlineStr">
        <is>
          <t>Using #ActuallyAutistic on Twitter for Precision Diagnosis of Autism Spectrum Disorder: Machine Learning Study</t>
        </is>
      </c>
      <c r="E159" s="4" t="inlineStr">
        <is>
          <t>10.2196/52660</t>
        </is>
      </c>
      <c r="F159" s="4" t="n">
        <v>2024</v>
      </c>
      <c r="G159" s="4" t="inlineStr">
        <is>
          <t>Historical include</t>
        </is>
      </c>
      <c r="H159" s="4" t="inlineStr">
        <is>
          <t>Not recorded</t>
        </is>
      </c>
      <c r="I159" s="4" t="n">
        <v>0</v>
      </c>
      <c r="J159" s="4" t="inlineStr">
        <is>
          <t>https://doi.org/10.2196/52660</t>
        </is>
      </c>
      <c r="K159" s="4" t="inlineStr">
        <is>
          <t>Not recorded; historical inclusion retained</t>
        </is>
      </c>
      <c r="L159" s="4" t="inlineStr">
        <is>
          <t>RA</t>
        </is>
      </c>
      <c r="M159" s="40" t="n"/>
      <c r="N159" s="4" t="inlineStr">
        <is>
          <t>Pending independent/source verification</t>
        </is>
      </c>
      <c r="O159" s="4" t="inlineStr">
        <is>
          <t>RQ1_RQ2_base_276 / RQ3_base_276</t>
        </is>
      </c>
      <c r="P159" s="4" t="n">
        <v>159</v>
      </c>
    </row>
    <row r="160" ht="47" customHeight="1">
      <c r="A160" s="4" t="inlineStr">
        <is>
          <t>173</t>
        </is>
      </c>
      <c r="B160" s="4" t="inlineStr">
        <is>
          <t>Historical</t>
        </is>
      </c>
      <c r="C160" s="4" t="n">
        <v>173</v>
      </c>
      <c r="D160" s="4" t="inlineStr">
        <is>
          <t>Using machine learning to improve diagnostic assessment of ASD in the light of specific differential and co-occurring diagnoses</t>
        </is>
      </c>
      <c r="E160" s="4" t="inlineStr">
        <is>
          <t>10.1111/jcpp.13650</t>
        </is>
      </c>
      <c r="F160" s="4" t="n">
        <v>2023</v>
      </c>
      <c r="G160" s="4" t="inlineStr">
        <is>
          <t>Historical include</t>
        </is>
      </c>
      <c r="H160" s="4" t="inlineStr">
        <is>
          <t>Not recorded</t>
        </is>
      </c>
      <c r="I160" s="4" t="n">
        <v>0</v>
      </c>
      <c r="J160" s="4" t="inlineStr">
        <is>
          <t>https://doi.org/10.1111/jcpp.13650</t>
        </is>
      </c>
      <c r="K160" s="4" t="inlineStr">
        <is>
          <t>Not recorded; historical inclusion retained</t>
        </is>
      </c>
      <c r="L160" s="4" t="inlineStr">
        <is>
          <t>RA</t>
        </is>
      </c>
      <c r="M160" s="40" t="n"/>
      <c r="N160" s="4" t="inlineStr">
        <is>
          <t>Pending independent/source verification</t>
        </is>
      </c>
      <c r="O160" s="4" t="inlineStr">
        <is>
          <t>RQ1_RQ2_base_276 / RQ3_base_276</t>
        </is>
      </c>
      <c r="P160" s="4" t="n">
        <v>160</v>
      </c>
    </row>
    <row r="161" ht="47" customHeight="1">
      <c r="A161" s="4" t="inlineStr">
        <is>
          <t>174</t>
        </is>
      </c>
      <c r="B161" s="4" t="inlineStr">
        <is>
          <t>Historical</t>
        </is>
      </c>
      <c r="C161" s="4" t="n">
        <v>174</v>
      </c>
      <c r="D161" s="4" t="inlineStr">
        <is>
          <t>A Framework to Diagnose Autism Spectrum Disorder Using Morphological Connectivity of sMRI and XGBoost</t>
        </is>
      </c>
      <c r="E161" s="4" t="inlineStr">
        <is>
          <t>10.3233/shti230734</t>
        </is>
      </c>
      <c r="F161" s="4" t="n">
        <v>2023</v>
      </c>
      <c r="G161" s="4" t="inlineStr">
        <is>
          <t>Historical include</t>
        </is>
      </c>
      <c r="H161" s="4" t="inlineStr">
        <is>
          <t>Not recorded</t>
        </is>
      </c>
      <c r="I161" s="4" t="n">
        <v>0</v>
      </c>
      <c r="J161" s="4" t="inlineStr">
        <is>
          <t>https://doi.org/10.3233/shti230734</t>
        </is>
      </c>
      <c r="K161" s="4" t="inlineStr">
        <is>
          <t>Not recorded; historical inclusion retained</t>
        </is>
      </c>
      <c r="L161" s="4" t="inlineStr">
        <is>
          <t>RA</t>
        </is>
      </c>
      <c r="M161" s="40" t="n"/>
      <c r="N161" s="4" t="inlineStr">
        <is>
          <t>Pending independent/source verification</t>
        </is>
      </c>
      <c r="O161" s="4" t="inlineStr">
        <is>
          <t>RQ1_RQ2_base_276 / RQ3_base_276</t>
        </is>
      </c>
      <c r="P161" s="4" t="n">
        <v>161</v>
      </c>
    </row>
    <row r="162" ht="47" customHeight="1">
      <c r="A162" s="4" t="inlineStr">
        <is>
          <t>175</t>
        </is>
      </c>
      <c r="B162" s="4" t="inlineStr">
        <is>
          <t>Historical</t>
        </is>
      </c>
      <c r="C162" s="4" t="n">
        <v>175</v>
      </c>
      <c r="D162" s="4" t="inlineStr">
        <is>
          <t>A machine learning approach for understanding the metabolomics response of children with autism spectrum disorder to medical cannabis treatment</t>
        </is>
      </c>
      <c r="E162" s="4" t="inlineStr">
        <is>
          <t>10.1038/s41598-023-40073-0</t>
        </is>
      </c>
      <c r="F162" s="4" t="n">
        <v>2023</v>
      </c>
      <c r="G162" s="4" t="inlineStr">
        <is>
          <t>Historical include</t>
        </is>
      </c>
      <c r="H162" s="4" t="inlineStr">
        <is>
          <t>Not recorded</t>
        </is>
      </c>
      <c r="I162" s="4" t="n">
        <v>0</v>
      </c>
      <c r="J162" s="4" t="inlineStr">
        <is>
          <t>https://doi.org/10.1038/s41598-023-40073-0</t>
        </is>
      </c>
      <c r="K162" s="4" t="inlineStr">
        <is>
          <t>Not recorded; historical inclusion retained</t>
        </is>
      </c>
      <c r="L162" s="4" t="inlineStr">
        <is>
          <t>RA</t>
        </is>
      </c>
      <c r="M162" s="40" t="n"/>
      <c r="N162" s="4" t="inlineStr">
        <is>
          <t>Pending independent/source verification</t>
        </is>
      </c>
      <c r="O162" s="4" t="inlineStr">
        <is>
          <t>RQ1_RQ2_base_276 / RQ3_base_276</t>
        </is>
      </c>
      <c r="P162" s="4" t="n">
        <v>162</v>
      </c>
    </row>
    <row r="163" ht="47" customHeight="1">
      <c r="A163" s="4" t="inlineStr">
        <is>
          <t>177</t>
        </is>
      </c>
      <c r="B163" s="4" t="inlineStr">
        <is>
          <t>Historical</t>
        </is>
      </c>
      <c r="C163" s="4" t="n">
        <v>177</v>
      </c>
      <c r="D163" s="4" t="inlineStr">
        <is>
          <t>Aided Diagnosis of\&amp;#xa0;Autism Spectrum Disorder Based on\&amp;#xa0;a\&amp;#xa0;Mixed Neural Network Model</t>
        </is>
      </c>
      <c r="E163" s="4" t="inlineStr">
        <is>
          <t>10.1007/978-981-99-8141-0_12</t>
        </is>
      </c>
      <c r="F163" s="4" t="n">
        <v>2024</v>
      </c>
      <c r="G163" s="4" t="inlineStr">
        <is>
          <t>Historical include</t>
        </is>
      </c>
      <c r="H163" s="4" t="inlineStr">
        <is>
          <t>Not recorded</t>
        </is>
      </c>
      <c r="I163" s="4" t="n">
        <v>0</v>
      </c>
      <c r="J163" s="4" t="inlineStr">
        <is>
          <t>https://doi.org/10.1007/978-981-99-8141-0_12</t>
        </is>
      </c>
      <c r="K163" s="4" t="inlineStr">
        <is>
          <t>Not recorded; historical inclusion retained</t>
        </is>
      </c>
      <c r="L163" s="4" t="inlineStr">
        <is>
          <t>RA</t>
        </is>
      </c>
      <c r="M163" s="40" t="n"/>
      <c r="N163" s="4" t="inlineStr">
        <is>
          <t>Pending independent/source verification</t>
        </is>
      </c>
      <c r="O163" s="4" t="inlineStr">
        <is>
          <t>RQ1_RQ2_base_276 / RQ3_base_276</t>
        </is>
      </c>
      <c r="P163" s="4" t="n">
        <v>163</v>
      </c>
    </row>
    <row r="164" ht="47" customHeight="1">
      <c r="A164" s="4" t="inlineStr">
        <is>
          <t>178</t>
        </is>
      </c>
      <c r="B164" s="4" t="inlineStr">
        <is>
          <t>Historical</t>
        </is>
      </c>
      <c r="C164" s="4" t="n">
        <v>178</v>
      </c>
      <c r="D164" s="4" t="inlineStr">
        <is>
          <t>Application of Single-Nucleotide Polymorphisms in the Diagnosis of Autism Spectrum Disorders: A Preliminary Study with Artificial Neural Networks</t>
        </is>
      </c>
      <c r="E164" s="4" t="inlineStr">
        <is>
          <t>10.1007/s12031-019-01311-1</t>
        </is>
      </c>
      <c r="F164" s="4" t="n">
        <v>2019</v>
      </c>
      <c r="G164" s="4" t="inlineStr">
        <is>
          <t>Historical include</t>
        </is>
      </c>
      <c r="H164" s="4" t="inlineStr">
        <is>
          <t>Not recorded</t>
        </is>
      </c>
      <c r="I164" s="4" t="n">
        <v>0</v>
      </c>
      <c r="J164" s="4" t="inlineStr">
        <is>
          <t>https://doi.org/10.1007/s12031-019-01311-1</t>
        </is>
      </c>
      <c r="K164" s="4" t="inlineStr">
        <is>
          <t>Not recorded; historical inclusion retained</t>
        </is>
      </c>
      <c r="L164" s="4" t="str"/>
      <c r="M164" s="40" t="n"/>
      <c r="N164" s="4" t="inlineStr">
        <is>
          <t>Pending independent/source verification</t>
        </is>
      </c>
      <c r="O164" s="4" t="inlineStr">
        <is>
          <t>RQ1_RQ2_base_276 / RQ3_base_276</t>
        </is>
      </c>
      <c r="P164" s="4" t="n">
        <v>164</v>
      </c>
    </row>
    <row r="165" ht="47" customHeight="1">
      <c r="A165" s="4" t="inlineStr">
        <is>
          <t>179</t>
        </is>
      </c>
      <c r="B165" s="4" t="inlineStr">
        <is>
          <t>Historical</t>
        </is>
      </c>
      <c r="C165" s="4" t="n">
        <v>179</v>
      </c>
      <c r="D165" s="4" t="inlineStr">
        <is>
          <t>Autism spectrum disorder detection with machine learning methods</t>
        </is>
      </c>
      <c r="E165" s="4" t="inlineStr">
        <is>
          <t>10.2174/2666082215666191111121115</t>
        </is>
      </c>
      <c r="F165" s="4" t="n">
        <v>2019</v>
      </c>
      <c r="G165" s="4" t="inlineStr">
        <is>
          <t>Historical include</t>
        </is>
      </c>
      <c r="H165" s="4" t="inlineStr">
        <is>
          <t>Not recorded</t>
        </is>
      </c>
      <c r="I165" s="4" t="n">
        <v>0</v>
      </c>
      <c r="J165" s="4" t="inlineStr">
        <is>
          <t>https://doi.org/10.2174/2666082215666191111121115</t>
        </is>
      </c>
      <c r="K165" s="4" t="inlineStr">
        <is>
          <t>Not recorded; historical inclusion retained</t>
        </is>
      </c>
      <c r="L165" s="4" t="inlineStr">
        <is>
          <t>RA</t>
        </is>
      </c>
      <c r="M165" s="40" t="n"/>
      <c r="N165" s="4" t="inlineStr">
        <is>
          <t>Pending independent/source verification</t>
        </is>
      </c>
      <c r="O165" s="4" t="inlineStr">
        <is>
          <t>RQ1_RQ2_base_276 / RQ3_base_276</t>
        </is>
      </c>
      <c r="P165" s="4" t="n">
        <v>165</v>
      </c>
    </row>
    <row r="166" ht="47" customHeight="1">
      <c r="A166" s="4" t="inlineStr">
        <is>
          <t>180</t>
        </is>
      </c>
      <c r="B166" s="4" t="inlineStr">
        <is>
          <t>Historical</t>
        </is>
      </c>
      <c r="C166" s="4" t="n">
        <v>180</v>
      </c>
      <c r="D166" s="4" t="inlineStr">
        <is>
          <t>Biosignal comparison for autism assessment using machine learning models and virtual reality</t>
        </is>
      </c>
      <c r="E166" s="4" t="inlineStr">
        <is>
          <t>10.1016/j.compbiomed.2024.108194</t>
        </is>
      </c>
      <c r="F166" s="4" t="n">
        <v>2024</v>
      </c>
      <c r="G166" s="4" t="inlineStr">
        <is>
          <t>Historical include</t>
        </is>
      </c>
      <c r="H166" s="4" t="inlineStr">
        <is>
          <t>Not recorded</t>
        </is>
      </c>
      <c r="I166" s="4" t="n">
        <v>0</v>
      </c>
      <c r="J166" s="4" t="inlineStr">
        <is>
          <t>https://doi.org/10.1016/j.compbiomed.2024.108194</t>
        </is>
      </c>
      <c r="K166" s="4" t="inlineStr">
        <is>
          <t>Not recorded; historical inclusion retained</t>
        </is>
      </c>
      <c r="L166" s="4" t="inlineStr">
        <is>
          <t>RA</t>
        </is>
      </c>
      <c r="M166" s="40" t="n"/>
      <c r="N166" s="4" t="inlineStr">
        <is>
          <t>Pending independent/source verification</t>
        </is>
      </c>
      <c r="O166" s="4" t="inlineStr">
        <is>
          <t>RQ1_RQ2_base_276 / RQ3_base_276</t>
        </is>
      </c>
      <c r="P166" s="4" t="n">
        <v>166</v>
      </c>
    </row>
    <row r="167" ht="47" customHeight="1">
      <c r="A167" s="4" t="inlineStr">
        <is>
          <t>182</t>
        </is>
      </c>
      <c r="B167" s="4" t="inlineStr">
        <is>
          <t>Historical</t>
        </is>
      </c>
      <c r="C167" s="4" t="n">
        <v>182</v>
      </c>
      <c r="D167" s="4" t="inlineStr">
        <is>
          <t>COMBINED ANALYSIS OF THE ORAL MICROBIOME AND MICROTRANSCRIPTOME OF AUTISM SPECTRUM DISORDER</t>
        </is>
      </c>
      <c r="E167" s="4" t="inlineStr">
        <is>
          <t>10.1016/j.euroneuro.2017.08.321</t>
        </is>
      </c>
      <c r="F167" s="4" t="n">
        <v>2019</v>
      </c>
      <c r="G167" s="4" t="inlineStr">
        <is>
          <t>Historical include</t>
        </is>
      </c>
      <c r="H167" s="4" t="inlineStr">
        <is>
          <t>Not recorded</t>
        </is>
      </c>
      <c r="I167" s="4" t="n">
        <v>0</v>
      </c>
      <c r="J167" s="4" t="inlineStr">
        <is>
          <t>https://doi.org/10.1016/j.euroneuro.2017.08.321</t>
        </is>
      </c>
      <c r="K167" s="4" t="inlineStr">
        <is>
          <t>Not recorded; historical inclusion retained</t>
        </is>
      </c>
      <c r="L167" s="4" t="str"/>
      <c r="M167" s="40" t="n"/>
      <c r="N167" s="4" t="inlineStr">
        <is>
          <t>Pending independent/source verification</t>
        </is>
      </c>
      <c r="O167" s="4" t="inlineStr">
        <is>
          <t>RQ1_RQ2_base_276 / RQ3_base_276</t>
        </is>
      </c>
      <c r="P167" s="4" t="n">
        <v>167</v>
      </c>
    </row>
    <row r="168" ht="47" customHeight="1">
      <c r="A168" s="4" t="inlineStr">
        <is>
          <t>183</t>
        </is>
      </c>
      <c r="B168" s="4" t="inlineStr">
        <is>
          <t>Historical</t>
        </is>
      </c>
      <c r="C168" s="4" t="n">
        <v>183</v>
      </c>
      <c r="D168" s="4" t="inlineStr">
        <is>
          <t>Computational Methods to Measure Patterns of Gaze in Toddlers with Autism Spectrum Disorder</t>
        </is>
      </c>
      <c r="E168" s="4" t="inlineStr">
        <is>
          <t>10.1001/jamapediatrics.2021.0530</t>
        </is>
      </c>
      <c r="F168" s="4" t="n">
        <v>2021</v>
      </c>
      <c r="G168" s="4" t="inlineStr">
        <is>
          <t>Historical include</t>
        </is>
      </c>
      <c r="H168" s="4" t="inlineStr">
        <is>
          <t>Not recorded</t>
        </is>
      </c>
      <c r="I168" s="4" t="n">
        <v>0</v>
      </c>
      <c r="J168" s="4" t="inlineStr">
        <is>
          <t>https://doi.org/10.1001/jamapediatrics.2021.0530</t>
        </is>
      </c>
      <c r="K168" s="4" t="inlineStr">
        <is>
          <t>Not recorded; historical inclusion retained</t>
        </is>
      </c>
      <c r="L168" s="4" t="str"/>
      <c r="M168" s="40" t="n"/>
      <c r="N168" s="4" t="inlineStr">
        <is>
          <t>Pending independent/source verification</t>
        </is>
      </c>
      <c r="O168" s="4" t="inlineStr">
        <is>
          <t>RQ1_RQ2_base_276 / RQ3_base_276</t>
        </is>
      </c>
      <c r="P168" s="4" t="n">
        <v>168</v>
      </c>
    </row>
    <row r="169" ht="47" customHeight="1">
      <c r="A169" s="4" t="inlineStr">
        <is>
          <t>184</t>
        </is>
      </c>
      <c r="B169" s="4" t="inlineStr">
        <is>
          <t>Historical</t>
        </is>
      </c>
      <c r="C169" s="4" t="n">
        <v>184</v>
      </c>
      <c r="D169" s="4" t="inlineStr">
        <is>
          <t>Computerized Assessment of Motor Imitation as a Scalable Method for Distinguishing Children With Autism</t>
        </is>
      </c>
      <c r="E169" s="4" t="inlineStr">
        <is>
          <t>10.1016/j.bpsc.2020.09.001</t>
        </is>
      </c>
      <c r="F169" s="4" t="n">
        <v>2021</v>
      </c>
      <c r="G169" s="4" t="inlineStr">
        <is>
          <t>Historical include</t>
        </is>
      </c>
      <c r="H169" s="4" t="inlineStr">
        <is>
          <t>Not recorded</t>
        </is>
      </c>
      <c r="I169" s="4" t="n">
        <v>0</v>
      </c>
      <c r="J169" s="4" t="inlineStr">
        <is>
          <t>https://doi.org/10.1016/j.bpsc.2020.09.001</t>
        </is>
      </c>
      <c r="K169" s="4" t="inlineStr">
        <is>
          <t>Not recorded; historical inclusion retained</t>
        </is>
      </c>
      <c r="L169" s="4" t="inlineStr">
        <is>
          <t>RA</t>
        </is>
      </c>
      <c r="M169" s="40" t="n"/>
      <c r="N169" s="4" t="inlineStr">
        <is>
          <t>Pending independent/source verification</t>
        </is>
      </c>
      <c r="O169" s="4" t="inlineStr">
        <is>
          <t>RQ1_RQ2_base_276 / RQ3_base_276</t>
        </is>
      </c>
      <c r="P169" s="4" t="n">
        <v>169</v>
      </c>
    </row>
    <row r="170" ht="47" customHeight="1">
      <c r="A170" s="4" t="inlineStr">
        <is>
          <t>185</t>
        </is>
      </c>
      <c r="B170" s="4" t="inlineStr">
        <is>
          <t>Historical</t>
        </is>
      </c>
      <c r="C170" s="4" t="n">
        <v>185</v>
      </c>
      <c r="D170" s="4" t="inlineStr">
        <is>
          <t>Construction of ASD Intervention System Based On Neural Network Model</t>
        </is>
      </c>
      <c r="E170" s="4" t="inlineStr">
        <is>
          <t>10.1016/j.procs.2025.05.032</t>
        </is>
      </c>
      <c r="F170" s="4" t="n">
        <v>2025</v>
      </c>
      <c r="G170" s="4" t="inlineStr">
        <is>
          <t>Historical include</t>
        </is>
      </c>
      <c r="H170" s="4" t="inlineStr">
        <is>
          <t>Not recorded</t>
        </is>
      </c>
      <c r="I170" s="4" t="n">
        <v>0</v>
      </c>
      <c r="J170" s="4" t="inlineStr">
        <is>
          <t>https://doi.org/10.1016/j.procs.2025.05.032</t>
        </is>
      </c>
      <c r="K170" s="4" t="inlineStr">
        <is>
          <t>Not recorded; historical inclusion retained</t>
        </is>
      </c>
      <c r="L170" s="4" t="inlineStr">
        <is>
          <t>RA</t>
        </is>
      </c>
      <c r="M170" s="40" t="n"/>
      <c r="N170" s="4" t="inlineStr">
        <is>
          <t>Pending independent/source verification</t>
        </is>
      </c>
      <c r="O170" s="4" t="inlineStr">
        <is>
          <t>RQ1_RQ2_base_276 / RQ3_base_276</t>
        </is>
      </c>
      <c r="P170" s="4" t="n">
        <v>170</v>
      </c>
    </row>
    <row r="171" ht="47" customHeight="1">
      <c r="A171" s="4" t="inlineStr">
        <is>
          <t>186</t>
        </is>
      </c>
      <c r="B171" s="4" t="inlineStr">
        <is>
          <t>Historical</t>
        </is>
      </c>
      <c r="C171" s="4" t="n">
        <v>186</v>
      </c>
      <c r="D171" s="4" t="inlineStr">
        <is>
          <t>Decoding Autism: Uncovering patterns in brain connectivity through sparsity analysis with rs-fMRI data</t>
        </is>
      </c>
      <c r="E171" s="4" t="inlineStr">
        <is>
          <t>10.1016/j.jneumeth.2024.110100</t>
        </is>
      </c>
      <c r="F171" s="4" t="n">
        <v>2024</v>
      </c>
      <c r="G171" s="4" t="inlineStr">
        <is>
          <t>Historical include</t>
        </is>
      </c>
      <c r="H171" s="4" t="inlineStr">
        <is>
          <t>Not recorded</t>
        </is>
      </c>
      <c r="I171" s="4" t="n">
        <v>0</v>
      </c>
      <c r="J171" s="4" t="inlineStr">
        <is>
          <t>https://doi.org/10.1016/j.jneumeth.2024.110100</t>
        </is>
      </c>
      <c r="K171" s="4" t="inlineStr">
        <is>
          <t>Not recorded; historical inclusion retained</t>
        </is>
      </c>
      <c r="L171" s="4" t="inlineStr">
        <is>
          <t>RA</t>
        </is>
      </c>
      <c r="M171" s="40" t="n"/>
      <c r="N171" s="4" t="inlineStr">
        <is>
          <t>Pending independent/source verification</t>
        </is>
      </c>
      <c r="O171" s="4" t="inlineStr">
        <is>
          <t>RQ1_RQ2_base_276 / RQ3_base_276</t>
        </is>
      </c>
      <c r="P171" s="4" t="n">
        <v>171</v>
      </c>
    </row>
    <row r="172" ht="47" customHeight="1">
      <c r="A172" s="4" t="inlineStr">
        <is>
          <t>187</t>
        </is>
      </c>
      <c r="B172" s="4" t="inlineStr">
        <is>
          <t>Historical</t>
        </is>
      </c>
      <c r="C172" s="4" t="n">
        <v>187</v>
      </c>
      <c r="D172" s="4" t="inlineStr">
        <is>
          <t>Deep Radiomics for Autism Diagnosis and Age Prediction</t>
        </is>
      </c>
      <c r="E172" s="4" t="inlineStr">
        <is>
          <t>10.1109/thms.2025.3526957</t>
        </is>
      </c>
      <c r="F172" s="4" t="n">
        <v>2025</v>
      </c>
      <c r="G172" s="4" t="inlineStr">
        <is>
          <t>Historical include</t>
        </is>
      </c>
      <c r="H172" s="4" t="inlineStr">
        <is>
          <t>Not recorded</t>
        </is>
      </c>
      <c r="I172" s="4" t="n">
        <v>0</v>
      </c>
      <c r="J172" s="4" t="inlineStr">
        <is>
          <t>https://doi.org/10.1109/thms.2025.3526957</t>
        </is>
      </c>
      <c r="K172" s="4" t="inlineStr">
        <is>
          <t>Not recorded; historical inclusion retained</t>
        </is>
      </c>
      <c r="L172" s="4" t="str"/>
      <c r="M172" s="40" t="n"/>
      <c r="N172" s="4" t="inlineStr">
        <is>
          <t>Pending independent/source verification</t>
        </is>
      </c>
      <c r="O172" s="4" t="inlineStr">
        <is>
          <t>RQ1_RQ2_base_276 / RQ3_base_276</t>
        </is>
      </c>
      <c r="P172" s="4" t="n">
        <v>172</v>
      </c>
    </row>
    <row r="173" ht="47" customHeight="1">
      <c r="A173" s="4" t="inlineStr">
        <is>
          <t>188</t>
        </is>
      </c>
      <c r="B173" s="4" t="inlineStr">
        <is>
          <t>Historical</t>
        </is>
      </c>
      <c r="C173" s="4" t="n">
        <v>188</v>
      </c>
      <c r="D173" s="4" t="inlineStr">
        <is>
          <t>Deep-learning-based detection of infants with autism spectrum disorder using auto-encoder feature representation</t>
        </is>
      </c>
      <c r="E173" s="4" t="inlineStr">
        <is>
          <t>10.3390/s20236762</t>
        </is>
      </c>
      <c r="F173" s="4" t="n">
        <v>2020</v>
      </c>
      <c r="G173" s="4" t="inlineStr">
        <is>
          <t>Historical include</t>
        </is>
      </c>
      <c r="H173" s="4" t="inlineStr">
        <is>
          <t>Not recorded</t>
        </is>
      </c>
      <c r="I173" s="4" t="n">
        <v>0</v>
      </c>
      <c r="J173" s="4" t="inlineStr">
        <is>
          <t>https://doi.org/10.3390/s20236762</t>
        </is>
      </c>
      <c r="K173" s="4" t="inlineStr">
        <is>
          <t>Not recorded; historical inclusion retained</t>
        </is>
      </c>
      <c r="L173" s="4" t="inlineStr">
        <is>
          <t>RA</t>
        </is>
      </c>
      <c r="M173" s="40" t="n"/>
      <c r="N173" s="4" t="inlineStr">
        <is>
          <t>Pending independent/source verification</t>
        </is>
      </c>
      <c r="O173" s="4" t="inlineStr">
        <is>
          <t>RQ1_RQ2_base_276 / RQ3_base_276</t>
        </is>
      </c>
      <c r="P173" s="4" t="n">
        <v>173</v>
      </c>
    </row>
    <row r="174" ht="47" customHeight="1">
      <c r="A174" s="4" t="inlineStr">
        <is>
          <t>189</t>
        </is>
      </c>
      <c r="B174" s="4" t="inlineStr">
        <is>
          <t>Historical</t>
        </is>
      </c>
      <c r="C174" s="4" t="n">
        <v>189</v>
      </c>
      <c r="D174" s="4" t="inlineStr">
        <is>
          <t>Early identification of autism spectrum disorder based on machine learning with eye-tracking data</t>
        </is>
      </c>
      <c r="E174" s="4" t="inlineStr">
        <is>
          <t>10.1016/j.jad.2024.04.049</t>
        </is>
      </c>
      <c r="F174" s="4" t="n">
        <v>2024</v>
      </c>
      <c r="G174" s="4" t="inlineStr">
        <is>
          <t>Historical include</t>
        </is>
      </c>
      <c r="H174" s="4" t="inlineStr">
        <is>
          <t>Not recorded</t>
        </is>
      </c>
      <c r="I174" s="4" t="n">
        <v>0</v>
      </c>
      <c r="J174" s="4" t="inlineStr">
        <is>
          <t>https://doi.org/10.1016/j.jad.2024.04.049</t>
        </is>
      </c>
      <c r="K174" s="4" t="inlineStr">
        <is>
          <t>Not recorded; historical inclusion retained</t>
        </is>
      </c>
      <c r="L174" s="4" t="inlineStr">
        <is>
          <t>RA</t>
        </is>
      </c>
      <c r="M174" s="40" t="n"/>
      <c r="N174" s="4" t="inlineStr">
        <is>
          <t>Pending independent/source verification</t>
        </is>
      </c>
      <c r="O174" s="4" t="inlineStr">
        <is>
          <t>RQ1_RQ2_base_276 / RQ3_base_276</t>
        </is>
      </c>
      <c r="P174" s="4" t="n">
        <v>174</v>
      </c>
    </row>
    <row r="175" ht="47" customHeight="1">
      <c r="A175" s="4" t="inlineStr">
        <is>
          <t>190</t>
        </is>
      </c>
      <c r="B175" s="4" t="inlineStr">
        <is>
          <t>Historical</t>
        </is>
      </c>
      <c r="C175" s="4" t="n">
        <v>190</v>
      </c>
      <c r="D175" s="4" t="inlineStr">
        <is>
          <t>Examining overlap and homogeneity in ASD, ADHD, and OCD: a data-driven, diagnosis-agnostic approach</t>
        </is>
      </c>
      <c r="E175" s="4" t="inlineStr">
        <is>
          <t>10.1038/s41398-019-0631-2</t>
        </is>
      </c>
      <c r="F175" s="4" t="n">
        <v>2019</v>
      </c>
      <c r="G175" s="4" t="inlineStr">
        <is>
          <t>Historical include</t>
        </is>
      </c>
      <c r="H175" s="4" t="inlineStr">
        <is>
          <t>Not recorded</t>
        </is>
      </c>
      <c r="I175" s="4" t="n">
        <v>0</v>
      </c>
      <c r="J175" s="4" t="inlineStr">
        <is>
          <t>https://doi.org/10.1038/s41398-019-0631-2</t>
        </is>
      </c>
      <c r="K175" s="4" t="inlineStr">
        <is>
          <t>Not recorded; historical inclusion retained</t>
        </is>
      </c>
      <c r="L175" s="4" t="str"/>
      <c r="M175" s="40" t="n"/>
      <c r="N175" s="4" t="inlineStr">
        <is>
          <t>Pending independent/source verification</t>
        </is>
      </c>
      <c r="O175" s="4" t="inlineStr">
        <is>
          <t>RQ1_RQ2_base_276 / RQ3_base_276</t>
        </is>
      </c>
      <c r="P175" s="4" t="n">
        <v>175</v>
      </c>
    </row>
    <row r="176" ht="47" customHeight="1">
      <c r="A176" s="4" t="inlineStr">
        <is>
          <t>191</t>
        </is>
      </c>
      <c r="B176" s="4" t="inlineStr">
        <is>
          <t>Historical</t>
        </is>
      </c>
      <c r="C176" s="4" t="n">
        <v>191</v>
      </c>
      <c r="D176" s="4" t="inlineStr">
        <is>
          <t>Explainable and scalable machine learning algorithms for detection of autism spectrum disorder using fMRI data</t>
        </is>
      </c>
      <c r="E176" s="4" t="inlineStr">
        <is>
          <t>10.1016/b978-0-12-822822-7.00004-1</t>
        </is>
      </c>
      <c r="F176" s="4" t="n">
        <v>2021</v>
      </c>
      <c r="G176" s="4" t="inlineStr">
        <is>
          <t>Historical include</t>
        </is>
      </c>
      <c r="H176" s="4" t="inlineStr">
        <is>
          <t>Not recorded</t>
        </is>
      </c>
      <c r="I176" s="4" t="n">
        <v>0</v>
      </c>
      <c r="J176" s="4" t="inlineStr">
        <is>
          <t>https://doi.org/10.1016/b978-0-12-822822-7.00004-1</t>
        </is>
      </c>
      <c r="K176" s="4" t="inlineStr">
        <is>
          <t>Not recorded; historical inclusion retained</t>
        </is>
      </c>
      <c r="L176" s="4" t="str"/>
      <c r="M176" s="40" t="n"/>
      <c r="N176" s="4" t="inlineStr">
        <is>
          <t>Pending independent/source verification</t>
        </is>
      </c>
      <c r="O176" s="4" t="inlineStr">
        <is>
          <t>RQ1_RQ2_base_276 / RQ3_base_276</t>
        </is>
      </c>
      <c r="P176" s="4" t="n">
        <v>176</v>
      </c>
    </row>
    <row r="177" ht="47" customHeight="1">
      <c r="A177" s="4" t="inlineStr">
        <is>
          <t>193</t>
        </is>
      </c>
      <c r="B177" s="4" t="inlineStr">
        <is>
          <t>Historical</t>
        </is>
      </c>
      <c r="C177" s="4" t="n">
        <v>193</v>
      </c>
      <c r="D177" s="4" t="inlineStr">
        <is>
          <t>Feasibility Study of\&amp;#xa0;a\&amp;#xa0;ML-Based ASD Monitoring System</t>
        </is>
      </c>
      <c r="E177" s="4" t="inlineStr">
        <is>
          <t>10.1007/978-3-031-06242-1_27</t>
        </is>
      </c>
      <c r="F177" s="4" t="n">
        <v>2022</v>
      </c>
      <c r="G177" s="4" t="inlineStr">
        <is>
          <t>Historical include</t>
        </is>
      </c>
      <c r="H177" s="4" t="inlineStr">
        <is>
          <t>Not recorded</t>
        </is>
      </c>
      <c r="I177" s="4" t="n">
        <v>0</v>
      </c>
      <c r="J177" s="4" t="inlineStr">
        <is>
          <t>https://doi.org/10.1007/978-3-031-06242-1_27</t>
        </is>
      </c>
      <c r="K177" s="4" t="inlineStr">
        <is>
          <t>Not recorded; historical inclusion retained</t>
        </is>
      </c>
      <c r="L177" s="4" t="str"/>
      <c r="M177" s="40" t="n"/>
      <c r="N177" s="4" t="inlineStr">
        <is>
          <t>Pending independent/source verification</t>
        </is>
      </c>
      <c r="O177" s="4" t="inlineStr">
        <is>
          <t>RQ1_RQ2_base_276 / RQ3_base_276</t>
        </is>
      </c>
      <c r="P177" s="4" t="n">
        <v>177</v>
      </c>
    </row>
    <row r="178" ht="47" customHeight="1">
      <c r="A178" s="4" t="inlineStr">
        <is>
          <t>194</t>
        </is>
      </c>
      <c r="B178" s="4" t="inlineStr">
        <is>
          <t>Historical</t>
        </is>
      </c>
      <c r="C178" s="4" t="n">
        <v>194</v>
      </c>
      <c r="D178" s="4" t="inlineStr">
        <is>
          <t>Feature replacement methods enable reliable home video analysis for machine learning detection of autism</t>
        </is>
      </c>
      <c r="E178" s="4" t="inlineStr">
        <is>
          <t>10.1038/s41598-020-76874-w</t>
        </is>
      </c>
      <c r="F178" s="4" t="n">
        <v>2020</v>
      </c>
      <c r="G178" s="4" t="inlineStr">
        <is>
          <t>Historical include</t>
        </is>
      </c>
      <c r="H178" s="4" t="inlineStr">
        <is>
          <t>Not recorded</t>
        </is>
      </c>
      <c r="I178" s="4" t="n">
        <v>0</v>
      </c>
      <c r="J178" s="4" t="inlineStr">
        <is>
          <t>https://doi.org/10.1038/s41598-020-76874-w</t>
        </is>
      </c>
      <c r="K178" s="4" t="inlineStr">
        <is>
          <t>Not recorded; historical inclusion retained</t>
        </is>
      </c>
      <c r="L178" s="4" t="str"/>
      <c r="M178" s="40" t="n"/>
      <c r="N178" s="4" t="inlineStr">
        <is>
          <t>Pending independent/source verification</t>
        </is>
      </c>
      <c r="O178" s="4" t="inlineStr">
        <is>
          <t>RQ1_RQ2_base_276 / RQ3_base_276</t>
        </is>
      </c>
      <c r="P178" s="4" t="n">
        <v>178</v>
      </c>
    </row>
    <row r="179" ht="47" customHeight="1">
      <c r="A179" s="4" t="inlineStr">
        <is>
          <t>195</t>
        </is>
      </c>
      <c r="B179" s="4" t="inlineStr">
        <is>
          <t>Historical</t>
        </is>
      </c>
      <c r="C179" s="4" t="n">
        <v>195</v>
      </c>
      <c r="D179" s="4" t="inlineStr">
        <is>
          <t>Fuzzy logic-based hybrid knowledge systems for the detection and diagnosis of childhood autism</t>
        </is>
      </c>
      <c r="E179" s="4" t="inlineStr">
        <is>
          <t>10.1016/b978-0-12-822271-3.00016-5</t>
        </is>
      </c>
      <c r="F179" s="4" t="n">
        <v>2021</v>
      </c>
      <c r="G179" s="4" t="inlineStr">
        <is>
          <t>Historical include</t>
        </is>
      </c>
      <c r="H179" s="4" t="inlineStr">
        <is>
          <t>Not recorded</t>
        </is>
      </c>
      <c r="I179" s="4" t="n">
        <v>0</v>
      </c>
      <c r="J179" s="4" t="inlineStr">
        <is>
          <t>https://doi.org/10.1016/b978-0-12-822271-3.00016-5</t>
        </is>
      </c>
      <c r="K179" s="4" t="inlineStr">
        <is>
          <t>Not recorded; historical inclusion retained</t>
        </is>
      </c>
      <c r="L179" s="4" t="str"/>
      <c r="M179" s="40" t="n"/>
      <c r="N179" s="4" t="inlineStr">
        <is>
          <t>Pending independent/source verification</t>
        </is>
      </c>
      <c r="O179" s="4" t="inlineStr">
        <is>
          <t>RQ1_RQ2_base_276 / RQ3_base_276</t>
        </is>
      </c>
      <c r="P179" s="4" t="n">
        <v>179</v>
      </c>
    </row>
    <row r="180" ht="47" customHeight="1">
      <c r="A180" s="4" t="inlineStr">
        <is>
          <t>196</t>
        </is>
      </c>
      <c r="B180" s="4" t="inlineStr">
        <is>
          <t>Historical</t>
        </is>
      </c>
      <c r="C180" s="4" t="n">
        <v>196</v>
      </c>
      <c r="D180" s="4" t="inlineStr">
        <is>
          <t>Genetic factor analysis for an early diagnosis of autism through machine learning</t>
        </is>
      </c>
      <c r="E180" s="4" t="inlineStr">
        <is>
          <t>10.1016/b978-0-323-98352-5.00001-x</t>
        </is>
      </c>
      <c r="F180" s="4" t="n">
        <v>2022</v>
      </c>
      <c r="G180" s="4" t="inlineStr">
        <is>
          <t>Historical include</t>
        </is>
      </c>
      <c r="H180" s="4" t="inlineStr">
        <is>
          <t>Not recorded</t>
        </is>
      </c>
      <c r="I180" s="4" t="n">
        <v>0</v>
      </c>
      <c r="J180" s="4" t="inlineStr">
        <is>
          <t>https://doi.org/10.1016/b978-0-323-98352-5.00001-x</t>
        </is>
      </c>
      <c r="K180" s="4" t="inlineStr">
        <is>
          <t>Not recorded; historical inclusion retained</t>
        </is>
      </c>
      <c r="L180" s="4" t="str"/>
      <c r="M180" s="40" t="n"/>
      <c r="N180" s="4" t="inlineStr">
        <is>
          <t>Pending independent/source verification</t>
        </is>
      </c>
      <c r="O180" s="4" t="inlineStr">
        <is>
          <t>RQ1_RQ2_base_276 / RQ3_base_276</t>
        </is>
      </c>
      <c r="P180" s="4" t="n">
        <v>180</v>
      </c>
    </row>
    <row r="181" ht="60" customHeight="1">
      <c r="A181" s="4" t="inlineStr">
        <is>
          <t>197</t>
        </is>
      </c>
      <c r="B181" s="4" t="inlineStr">
        <is>
          <t>Historical</t>
        </is>
      </c>
      <c r="C181" s="4" t="n">
        <v>197</v>
      </c>
      <c r="D181" s="4" t="inlineStr">
        <is>
          <t>Hybrid Diagnosis Models for Autism Patients Based on Medical and Sociodemographic Features Using Machine Learning and Multicriteria Decision-Making (MCDM) Techniques: An Evaluation and Benchmarking Framework</t>
        </is>
      </c>
      <c r="E181" s="4" t="inlineStr">
        <is>
          <t>10.1155/2022/9410222</t>
        </is>
      </c>
      <c r="F181" s="4" t="n">
        <v>2022</v>
      </c>
      <c r="G181" s="4" t="inlineStr">
        <is>
          <t>Historical include</t>
        </is>
      </c>
      <c r="H181" s="4" t="inlineStr">
        <is>
          <t>Not recorded</t>
        </is>
      </c>
      <c r="I181" s="4" t="n">
        <v>0</v>
      </c>
      <c r="J181" s="4" t="inlineStr">
        <is>
          <t>https://doi.org/10.1155/2022/9410222</t>
        </is>
      </c>
      <c r="K181" s="4" t="inlineStr">
        <is>
          <t>Not recorded; historical inclusion retained</t>
        </is>
      </c>
      <c r="L181" s="4" t="inlineStr">
        <is>
          <t>RA</t>
        </is>
      </c>
      <c r="M181" s="40" t="n"/>
      <c r="N181" s="4" t="inlineStr">
        <is>
          <t>Pending independent/source verification</t>
        </is>
      </c>
      <c r="O181" s="4" t="inlineStr">
        <is>
          <t>RQ1_RQ2_base_276 / RQ3_base_276</t>
        </is>
      </c>
      <c r="P181" s="4" t="n">
        <v>181</v>
      </c>
    </row>
    <row r="182" ht="47" customHeight="1">
      <c r="A182" s="4" t="inlineStr">
        <is>
          <t>199</t>
        </is>
      </c>
      <c r="B182" s="4" t="inlineStr">
        <is>
          <t>Historical</t>
        </is>
      </c>
      <c r="C182" s="4" t="n">
        <v>199</v>
      </c>
      <c r="D182" s="4" t="inlineStr">
        <is>
          <t>Informing developmental milestone achievement for children with autism: Machine learning approach</t>
        </is>
      </c>
      <c r="E182" s="4" t="inlineStr">
        <is>
          <t>10.2196/29242</t>
        </is>
      </c>
      <c r="F182" s="4" t="n">
        <v>2021</v>
      </c>
      <c r="G182" s="4" t="inlineStr">
        <is>
          <t>Historical include</t>
        </is>
      </c>
      <c r="H182" s="4" t="inlineStr">
        <is>
          <t>Not recorded</t>
        </is>
      </c>
      <c r="I182" s="4" t="n">
        <v>0</v>
      </c>
      <c r="J182" s="4" t="inlineStr">
        <is>
          <t>https://doi.org/10.2196/29242</t>
        </is>
      </c>
      <c r="K182" s="4" t="inlineStr">
        <is>
          <t>Not recorded; historical inclusion retained</t>
        </is>
      </c>
      <c r="L182" s="4" t="str"/>
      <c r="M182" s="40" t="n"/>
      <c r="N182" s="4" t="inlineStr">
        <is>
          <t>Pending independent/source verification</t>
        </is>
      </c>
      <c r="O182" s="4" t="inlineStr">
        <is>
          <t>RQ1_RQ2_base_276 / RQ3_base_276</t>
        </is>
      </c>
      <c r="P182" s="4" t="n">
        <v>182</v>
      </c>
    </row>
    <row r="183" ht="47" customHeight="1">
      <c r="A183" s="4" t="inlineStr">
        <is>
          <t>200</t>
        </is>
      </c>
      <c r="B183" s="4" t="inlineStr">
        <is>
          <t>Historical</t>
        </is>
      </c>
      <c r="C183" s="4" t="n">
        <v>200</v>
      </c>
      <c r="D183" s="4" t="inlineStr">
        <is>
          <t>Machine learning based autism screening tool—a modified approach</t>
        </is>
      </c>
      <c r="E183" s="4" t="inlineStr">
        <is>
          <t>10.1007/s11042-024-18519-y</t>
        </is>
      </c>
      <c r="F183" s="4" t="n">
        <v>2024</v>
      </c>
      <c r="G183" s="4" t="inlineStr">
        <is>
          <t>Historical include</t>
        </is>
      </c>
      <c r="H183" s="4" t="inlineStr">
        <is>
          <t>Not recorded</t>
        </is>
      </c>
      <c r="I183" s="4" t="n">
        <v>0</v>
      </c>
      <c r="J183" s="4" t="inlineStr">
        <is>
          <t>https://doi.org/10.1007/s11042-024-18519-y</t>
        </is>
      </c>
      <c r="K183" s="4" t="inlineStr">
        <is>
          <t>Not recorded; historical inclusion retained</t>
        </is>
      </c>
      <c r="L183" s="4" t="inlineStr">
        <is>
          <t>RA</t>
        </is>
      </c>
      <c r="M183" s="40" t="n"/>
      <c r="N183" s="4" t="inlineStr">
        <is>
          <t>Pending independent/source verification</t>
        </is>
      </c>
      <c r="O183" s="4" t="inlineStr">
        <is>
          <t>RQ1_RQ2_base_276 / RQ3_base_276</t>
        </is>
      </c>
      <c r="P183" s="4" t="n">
        <v>183</v>
      </c>
    </row>
    <row r="184" ht="47" customHeight="1">
      <c r="A184" s="4" t="inlineStr">
        <is>
          <t>201</t>
        </is>
      </c>
      <c r="B184" s="4" t="inlineStr">
        <is>
          <t>Historical</t>
        </is>
      </c>
      <c r="C184" s="4" t="n">
        <v>201</v>
      </c>
      <c r="D184" s="4" t="inlineStr">
        <is>
          <t>Machine Learning–Based Approach for Early Screening of Autism Spectrum Disorders</t>
        </is>
      </c>
      <c r="E184" s="4" t="inlineStr">
        <is>
          <t>10.1155/acis/9975499</t>
        </is>
      </c>
      <c r="F184" s="4" t="n">
        <v>2025</v>
      </c>
      <c r="G184" s="4" t="inlineStr">
        <is>
          <t>Historical include</t>
        </is>
      </c>
      <c r="H184" s="4" t="inlineStr">
        <is>
          <t>Not recorded</t>
        </is>
      </c>
      <c r="I184" s="4" t="n">
        <v>0</v>
      </c>
      <c r="J184" s="4" t="inlineStr">
        <is>
          <t>https://doi.org/10.1155/acis/9975499</t>
        </is>
      </c>
      <c r="K184" s="4" t="inlineStr">
        <is>
          <t>Not recorded; historical inclusion retained</t>
        </is>
      </c>
      <c r="L184" s="4" t="inlineStr">
        <is>
          <t>RA</t>
        </is>
      </c>
      <c r="M184" s="40" t="n"/>
      <c r="N184" s="4" t="inlineStr">
        <is>
          <t>Pending independent/source verification</t>
        </is>
      </c>
      <c r="O184" s="4" t="inlineStr">
        <is>
          <t>RQ1_RQ2_base_276 / RQ3_base_276</t>
        </is>
      </c>
      <c r="P184" s="4" t="n">
        <v>184</v>
      </c>
    </row>
    <row r="185" ht="47" customHeight="1">
      <c r="A185" s="4" t="inlineStr">
        <is>
          <t>202</t>
        </is>
      </c>
      <c r="B185" s="4" t="inlineStr">
        <is>
          <t>Historical</t>
        </is>
      </c>
      <c r="C185" s="4" t="n">
        <v>202</v>
      </c>
      <c r="D185" s="4" t="inlineStr">
        <is>
          <t>Model selection to achieve reproducible associations between resting state EEG features and autism</t>
        </is>
      </c>
      <c r="E185" s="4" t="inlineStr">
        <is>
          <t>10.1038/s41598-024-76659-5</t>
        </is>
      </c>
      <c r="F185" s="4" t="n">
        <v>2024</v>
      </c>
      <c r="G185" s="4" t="inlineStr">
        <is>
          <t>Historical include</t>
        </is>
      </c>
      <c r="H185" s="4" t="inlineStr">
        <is>
          <t>Not recorded</t>
        </is>
      </c>
      <c r="I185" s="4" t="n">
        <v>0</v>
      </c>
      <c r="J185" s="4" t="inlineStr">
        <is>
          <t>https://doi.org/10.1038/s41598-024-76659-5</t>
        </is>
      </c>
      <c r="K185" s="4" t="inlineStr">
        <is>
          <t>Not recorded; historical inclusion retained</t>
        </is>
      </c>
      <c r="L185" s="4" t="inlineStr">
        <is>
          <t>RA</t>
        </is>
      </c>
      <c r="M185" s="40" t="n"/>
      <c r="N185" s="4" t="inlineStr">
        <is>
          <t>Pending independent/source verification</t>
        </is>
      </c>
      <c r="O185" s="4" t="inlineStr">
        <is>
          <t>RQ1_RQ2_base_276 / RQ3_base_276</t>
        </is>
      </c>
      <c r="P185" s="4" t="n">
        <v>185</v>
      </c>
    </row>
    <row r="186" ht="47" customHeight="1">
      <c r="A186" s="4" t="inlineStr">
        <is>
          <t>203</t>
        </is>
      </c>
      <c r="B186" s="4" t="inlineStr">
        <is>
          <t>Historical</t>
        </is>
      </c>
      <c r="C186" s="4" t="n">
        <v>203</v>
      </c>
      <c r="D186" s="4" t="inlineStr">
        <is>
          <t>Multimodal autism detection: Deep hybrid model with improved feature level fusion</t>
        </is>
      </c>
      <c r="E186" s="4" t="inlineStr">
        <is>
          <t>10.1016/j.cmpb.2024.108492</t>
        </is>
      </c>
      <c r="F186" s="4" t="n">
        <v>2025</v>
      </c>
      <c r="G186" s="4" t="inlineStr">
        <is>
          <t>Historical include</t>
        </is>
      </c>
      <c r="H186" s="4" t="inlineStr">
        <is>
          <t>Not recorded</t>
        </is>
      </c>
      <c r="I186" s="4" t="n">
        <v>0</v>
      </c>
      <c r="J186" s="4" t="inlineStr">
        <is>
          <t>https://doi.org/10.1016/j.cmpb.2024.108492</t>
        </is>
      </c>
      <c r="K186" s="4" t="inlineStr">
        <is>
          <t>Not recorded; historical inclusion retained</t>
        </is>
      </c>
      <c r="L186" s="4" t="str"/>
      <c r="M186" s="40" t="n"/>
      <c r="N186" s="4" t="inlineStr">
        <is>
          <t>Pending independent/source verification</t>
        </is>
      </c>
      <c r="O186" s="4" t="inlineStr">
        <is>
          <t>RQ1_RQ2_base_276 / RQ3_base_276</t>
        </is>
      </c>
      <c r="P186" s="4" t="n">
        <v>186</v>
      </c>
    </row>
    <row r="187" ht="47" customHeight="1">
      <c r="A187" s="4" t="inlineStr">
        <is>
          <t>204</t>
        </is>
      </c>
      <c r="B187" s="4" t="inlineStr">
        <is>
          <t>Historical</t>
        </is>
      </c>
      <c r="C187" s="4" t="n">
        <v>204</v>
      </c>
      <c r="D187" s="4" t="inlineStr">
        <is>
          <t>Multi-task feature selection via supervised canonical graph matching for diagnosis of autism spectrum disorder</t>
        </is>
      </c>
      <c r="E187" s="4" t="inlineStr">
        <is>
          <t>10.1007/s11682-015-9360-1</t>
        </is>
      </c>
      <c r="F187" s="4" t="n">
        <v>2016</v>
      </c>
      <c r="G187" s="4" t="inlineStr">
        <is>
          <t>Historical include</t>
        </is>
      </c>
      <c r="H187" s="4" t="inlineStr">
        <is>
          <t>Not recorded</t>
        </is>
      </c>
      <c r="I187" s="4" t="n">
        <v>0</v>
      </c>
      <c r="J187" s="4" t="inlineStr">
        <is>
          <t>https://doi.org/10.1007/s11682-015-9360-1</t>
        </is>
      </c>
      <c r="K187" s="4" t="inlineStr">
        <is>
          <t>Not recorded; historical inclusion retained</t>
        </is>
      </c>
      <c r="L187" s="4" t="str"/>
      <c r="M187" s="40" t="n"/>
      <c r="N187" s="4" t="inlineStr">
        <is>
          <t>Pending independent/source verification</t>
        </is>
      </c>
      <c r="O187" s="4" t="inlineStr">
        <is>
          <t>RQ1_RQ2_base_276 / RQ3_base_276</t>
        </is>
      </c>
      <c r="P187" s="4" t="n">
        <v>187</v>
      </c>
    </row>
    <row r="188" ht="47" customHeight="1">
      <c r="A188" s="4" t="inlineStr">
        <is>
          <t>205</t>
        </is>
      </c>
      <c r="B188" s="4" t="inlineStr">
        <is>
          <t>Historical</t>
        </is>
      </c>
      <c r="C188" s="4" t="n">
        <v>205</v>
      </c>
      <c r="D188" s="4" t="inlineStr">
        <is>
          <t>Off-Body Sleep Analysis for Predicting Adverse Behavior in Individuals With Autism Spectrum Disorder</t>
        </is>
      </c>
      <c r="E188" s="4" t="inlineStr">
        <is>
          <t>10.1109/jbhi.2024.3455942</t>
        </is>
      </c>
      <c r="F188" s="4" t="n">
        <v>2024</v>
      </c>
      <c r="G188" s="4" t="inlineStr">
        <is>
          <t>Historical include</t>
        </is>
      </c>
      <c r="H188" s="4" t="inlineStr">
        <is>
          <t>Not recorded</t>
        </is>
      </c>
      <c r="I188" s="4" t="n">
        <v>0</v>
      </c>
      <c r="J188" s="4" t="inlineStr">
        <is>
          <t>https://doi.org/10.1109/jbhi.2024.3455942</t>
        </is>
      </c>
      <c r="K188" s="4" t="inlineStr">
        <is>
          <t>Not recorded; historical inclusion retained</t>
        </is>
      </c>
      <c r="L188" s="4" t="inlineStr">
        <is>
          <t>RA</t>
        </is>
      </c>
      <c r="M188" s="40" t="n"/>
      <c r="N188" s="4" t="inlineStr">
        <is>
          <t>Pending independent/source verification</t>
        </is>
      </c>
      <c r="O188" s="4" t="inlineStr">
        <is>
          <t>RQ1_RQ2_base_276 / RQ3_base_276</t>
        </is>
      </c>
      <c r="P188" s="4" t="n">
        <v>188</v>
      </c>
    </row>
    <row r="189" ht="47" customHeight="1">
      <c r="A189" s="4" t="inlineStr">
        <is>
          <t>206</t>
        </is>
      </c>
      <c r="B189" s="4" t="inlineStr">
        <is>
          <t>Historical</t>
        </is>
      </c>
      <c r="C189" s="4" t="n">
        <v>206</v>
      </c>
      <c r="D189" s="4" t="inlineStr">
        <is>
          <t>Overlaps in brain dynamic functional connectivity between schizophrenia and autism spectrum disorder</t>
        </is>
      </c>
      <c r="E189" s="4" t="inlineStr">
        <is>
          <t>10.1016/j.sciaf.2018.e00019</t>
        </is>
      </c>
      <c r="F189" s="4" t="n">
        <v>2019</v>
      </c>
      <c r="G189" s="4" t="inlineStr">
        <is>
          <t>Historical include</t>
        </is>
      </c>
      <c r="H189" s="4" t="inlineStr">
        <is>
          <t>Not recorded</t>
        </is>
      </c>
      <c r="I189" s="4" t="n">
        <v>0</v>
      </c>
      <c r="J189" s="4" t="inlineStr">
        <is>
          <t>https://doi.org/10.1016/j.sciaf.2018.e00019</t>
        </is>
      </c>
      <c r="K189" s="4" t="inlineStr">
        <is>
          <t>Not recorded; historical inclusion retained</t>
        </is>
      </c>
      <c r="L189" s="4" t="inlineStr">
        <is>
          <t>RA</t>
        </is>
      </c>
      <c r="M189" s="40" t="n"/>
      <c r="N189" s="4" t="inlineStr">
        <is>
          <t>Pending independent/source verification</t>
        </is>
      </c>
      <c r="O189" s="4" t="inlineStr">
        <is>
          <t>RQ1_RQ2_base_276 / RQ3_base_276</t>
        </is>
      </c>
      <c r="P189" s="4" t="n">
        <v>189</v>
      </c>
    </row>
    <row r="190" ht="47" customHeight="1">
      <c r="A190" s="4" t="inlineStr">
        <is>
          <t>207</t>
        </is>
      </c>
      <c r="B190" s="4" t="inlineStr">
        <is>
          <t>Historical</t>
        </is>
      </c>
      <c r="C190" s="4" t="n">
        <v>207</v>
      </c>
      <c r="D190" s="4" t="inlineStr">
        <is>
          <t>Persistent spectral based machine learning method for autism spectrum disorder classification</t>
        </is>
      </c>
      <c r="E190" s="4" t="inlineStr">
        <is>
          <t>10.1016/j.neucom.2025.130780</t>
        </is>
      </c>
      <c r="F190" s="4" t="n">
        <v>2025</v>
      </c>
      <c r="G190" s="4" t="inlineStr">
        <is>
          <t>Historical include</t>
        </is>
      </c>
      <c r="H190" s="4" t="inlineStr">
        <is>
          <t>Not recorded</t>
        </is>
      </c>
      <c r="I190" s="4" t="n">
        <v>0</v>
      </c>
      <c r="J190" s="4" t="inlineStr">
        <is>
          <t>https://doi.org/10.1016/j.neucom.2025.130780</t>
        </is>
      </c>
      <c r="K190" s="4" t="inlineStr">
        <is>
          <t>Not recorded; historical inclusion retained</t>
        </is>
      </c>
      <c r="L190" s="4" t="str"/>
      <c r="M190" s="40" t="n"/>
      <c r="N190" s="4" t="inlineStr">
        <is>
          <t>Pending independent/source verification</t>
        </is>
      </c>
      <c r="O190" s="4" t="inlineStr">
        <is>
          <t>RQ1_RQ2_base_276 / RQ3_base_276</t>
        </is>
      </c>
      <c r="P190" s="4" t="n">
        <v>190</v>
      </c>
    </row>
    <row r="191" ht="47" customHeight="1">
      <c r="A191" s="4" t="inlineStr">
        <is>
          <t>208</t>
        </is>
      </c>
      <c r="B191" s="4" t="inlineStr">
        <is>
          <t>Historical</t>
        </is>
      </c>
      <c r="C191" s="4" t="n">
        <v>208</v>
      </c>
      <c r="D191" s="4" t="inlineStr">
        <is>
          <t>Phenotypic differences between female and male individuals with suspicion of autism spectrum disorder</t>
        </is>
      </c>
      <c r="E191" s="4" t="inlineStr">
        <is>
          <t>10.1186/s13229-022-00491-9</t>
        </is>
      </c>
      <c r="F191" s="4" t="n">
        <v>2022</v>
      </c>
      <c r="G191" s="4" t="inlineStr">
        <is>
          <t>Historical include</t>
        </is>
      </c>
      <c r="H191" s="4" t="inlineStr">
        <is>
          <t>Not recorded</t>
        </is>
      </c>
      <c r="I191" s="4" t="n">
        <v>0</v>
      </c>
      <c r="J191" s="4" t="inlineStr">
        <is>
          <t>https://doi.org/10.1186/s13229-022-00491-9</t>
        </is>
      </c>
      <c r="K191" s="4" t="inlineStr">
        <is>
          <t>Not recorded; historical inclusion retained</t>
        </is>
      </c>
      <c r="L191" s="4" t="str"/>
      <c r="M191" s="40" t="n"/>
      <c r="N191" s="4" t="inlineStr">
        <is>
          <t>Pending independent/source verification</t>
        </is>
      </c>
      <c r="O191" s="4" t="inlineStr">
        <is>
          <t>RQ1_RQ2_base_276 / RQ3_base_276</t>
        </is>
      </c>
      <c r="P191" s="4" t="n">
        <v>191</v>
      </c>
    </row>
    <row r="192" ht="47" customHeight="1">
      <c r="A192" s="4" t="inlineStr">
        <is>
          <t>209</t>
        </is>
      </c>
      <c r="B192" s="4" t="inlineStr">
        <is>
          <t>Historical</t>
        </is>
      </c>
      <c r="C192" s="4" t="n">
        <v>209</v>
      </c>
      <c r="D192" s="4" t="inlineStr">
        <is>
          <t>Predicting individual autistic symptoms for patients with autism spectrum disorder using interregional morphological connectivity</t>
        </is>
      </c>
      <c r="E192" s="4" t="inlineStr">
        <is>
          <t>10.1016/j.pscychresns.2024.111822</t>
        </is>
      </c>
      <c r="F192" s="4" t="n">
        <v>2024</v>
      </c>
      <c r="G192" s="4" t="inlineStr">
        <is>
          <t>Historical include</t>
        </is>
      </c>
      <c r="H192" s="4" t="inlineStr">
        <is>
          <t>Not recorded</t>
        </is>
      </c>
      <c r="I192" s="4" t="n">
        <v>0</v>
      </c>
      <c r="J192" s="4" t="inlineStr">
        <is>
          <t>https://doi.org/10.1016/j.pscychresns.2024.111822</t>
        </is>
      </c>
      <c r="K192" s="4" t="inlineStr">
        <is>
          <t>Not recorded; historical inclusion retained</t>
        </is>
      </c>
      <c r="L192" s="4" t="inlineStr">
        <is>
          <t>RA</t>
        </is>
      </c>
      <c r="M192" s="40" t="n"/>
      <c r="N192" s="4" t="inlineStr">
        <is>
          <t>Pending independent/source verification</t>
        </is>
      </c>
      <c r="O192" s="4" t="inlineStr">
        <is>
          <t>RQ1_RQ2_base_276 / RQ3_base_276</t>
        </is>
      </c>
      <c r="P192" s="4" t="n">
        <v>192</v>
      </c>
    </row>
    <row r="193" ht="60" customHeight="1">
      <c r="A193" s="4" t="inlineStr">
        <is>
          <t>210</t>
        </is>
      </c>
      <c r="B193" s="4" t="inlineStr">
        <is>
          <t>Historical</t>
        </is>
      </c>
      <c r="C193" s="4" t="n">
        <v>210</v>
      </c>
      <c r="D193" s="4" t="inlineStr">
        <is>
          <t>Prediction of Behavioral Improvement Through Resting-State Electroencephalography and Clinical Severity in a Randomized Controlled Trial Testing Bumetanide in Autism Spectrum Disorder</t>
        </is>
      </c>
      <c r="E193" s="4" t="inlineStr">
        <is>
          <t>10.1016/j.bpsc.2021.08.009</t>
        </is>
      </c>
      <c r="F193" s="4" t="n">
        <v>2023</v>
      </c>
      <c r="G193" s="4" t="inlineStr">
        <is>
          <t>Historical include</t>
        </is>
      </c>
      <c r="H193" s="4" t="inlineStr">
        <is>
          <t>Not recorded</t>
        </is>
      </c>
      <c r="I193" s="4" t="n">
        <v>0</v>
      </c>
      <c r="J193" s="4" t="inlineStr">
        <is>
          <t>https://doi.org/10.1016/j.bpsc.2021.08.009</t>
        </is>
      </c>
      <c r="K193" s="4" t="inlineStr">
        <is>
          <t>Not recorded; historical inclusion retained</t>
        </is>
      </c>
      <c r="L193" s="4" t="inlineStr">
        <is>
          <t>RA</t>
        </is>
      </c>
      <c r="M193" s="40" t="n"/>
      <c r="N193" s="4" t="inlineStr">
        <is>
          <t>Pending independent/source verification</t>
        </is>
      </c>
      <c r="O193" s="4" t="inlineStr">
        <is>
          <t>RQ1_RQ2_base_276 / RQ3_base_276</t>
        </is>
      </c>
      <c r="P193" s="4" t="n">
        <v>193</v>
      </c>
    </row>
    <row r="194" ht="47" customHeight="1">
      <c r="A194" s="4" t="inlineStr">
        <is>
          <t>211</t>
        </is>
      </c>
      <c r="B194" s="4" t="inlineStr">
        <is>
          <t>Historical</t>
        </is>
      </c>
      <c r="C194" s="4" t="n">
        <v>211</v>
      </c>
      <c r="D194" s="4" t="inlineStr">
        <is>
          <t>Prediction of Outcomes in Mini-Basketball Training Program for Preschool Children with Autism Using Machine Learning Models</t>
        </is>
      </c>
      <c r="E194" s="4" t="inlineStr">
        <is>
          <t>10.32604/ijmhp.2022.020075</t>
        </is>
      </c>
      <c r="F194" s="4" t="n">
        <v>2022</v>
      </c>
      <c r="G194" s="4" t="inlineStr">
        <is>
          <t>Historical include</t>
        </is>
      </c>
      <c r="H194" s="4" t="inlineStr">
        <is>
          <t>Not recorded</t>
        </is>
      </c>
      <c r="I194" s="4" t="n">
        <v>0</v>
      </c>
      <c r="J194" s="4" t="inlineStr">
        <is>
          <t>https://doi.org/10.32604/ijmhp.2022.020075</t>
        </is>
      </c>
      <c r="K194" s="4" t="inlineStr">
        <is>
          <t>Not recorded; historical inclusion retained</t>
        </is>
      </c>
      <c r="L194" s="4" t="str"/>
      <c r="M194" s="40" t="n"/>
      <c r="N194" s="4" t="inlineStr">
        <is>
          <t>Pending independent/source verification</t>
        </is>
      </c>
      <c r="O194" s="4" t="inlineStr">
        <is>
          <t>RQ1_RQ2_base_276 / RQ3_base_276</t>
        </is>
      </c>
      <c r="P194" s="4" t="n">
        <v>194</v>
      </c>
    </row>
    <row r="195" ht="47" customHeight="1">
      <c r="A195" s="4" t="inlineStr">
        <is>
          <t>212</t>
        </is>
      </c>
      <c r="B195" s="4" t="inlineStr">
        <is>
          <t>Historical</t>
        </is>
      </c>
      <c r="C195" s="4" t="n">
        <v>212</v>
      </c>
      <c r="D195" s="4" t="inlineStr">
        <is>
          <t>Pre-trained artificial intelligence language model represents pragmatic language variability central to autism and genetically related phenotypes</t>
        </is>
      </c>
      <c r="E195" s="4" t="inlineStr">
        <is>
          <t>10.1177/13623613241304488</t>
        </is>
      </c>
      <c r="F195" s="4" t="n">
        <v>2025</v>
      </c>
      <c r="G195" s="4" t="inlineStr">
        <is>
          <t>Historical include</t>
        </is>
      </c>
      <c r="H195" s="4" t="inlineStr">
        <is>
          <t>Not recorded</t>
        </is>
      </c>
      <c r="I195" s="4" t="n">
        <v>0</v>
      </c>
      <c r="J195" s="4" t="inlineStr">
        <is>
          <t>https://doi.org/10.1177/13623613241304488</t>
        </is>
      </c>
      <c r="K195" s="4" t="inlineStr">
        <is>
          <t>Not recorded; historical inclusion retained</t>
        </is>
      </c>
      <c r="L195" s="4" t="str"/>
      <c r="M195" s="40" t="n"/>
      <c r="N195" s="4" t="inlineStr">
        <is>
          <t>Pending independent/source verification</t>
        </is>
      </c>
      <c r="O195" s="4" t="inlineStr">
        <is>
          <t>RQ1_RQ2_base_276 / RQ3_base_276</t>
        </is>
      </c>
      <c r="P195" s="4" t="n">
        <v>195</v>
      </c>
    </row>
    <row r="196" ht="47" customHeight="1">
      <c r="A196" s="4" t="inlineStr">
        <is>
          <t>213</t>
        </is>
      </c>
      <c r="B196" s="4" t="inlineStr">
        <is>
          <t>Historical</t>
        </is>
      </c>
      <c r="C196" s="4" t="n">
        <v>213</v>
      </c>
      <c r="D196" s="4" t="inlineStr">
        <is>
          <t>Resting state functional magnetic resonance imaging and neural network classified autism and control</t>
        </is>
      </c>
      <c r="E196" s="4" t="inlineStr">
        <is>
          <t>10.1016/j.cortex.2014.08.011</t>
        </is>
      </c>
      <c r="F196" s="4" t="n">
        <v>2015</v>
      </c>
      <c r="G196" s="4" t="inlineStr">
        <is>
          <t>Historical include</t>
        </is>
      </c>
      <c r="H196" s="4" t="inlineStr">
        <is>
          <t>Not recorded</t>
        </is>
      </c>
      <c r="I196" s="4" t="n">
        <v>0</v>
      </c>
      <c r="J196" s="4" t="inlineStr">
        <is>
          <t>https://doi.org/10.1016/j.cortex.2014.08.011</t>
        </is>
      </c>
      <c r="K196" s="4" t="inlineStr">
        <is>
          <t>Not recorded; historical inclusion retained</t>
        </is>
      </c>
      <c r="L196" s="4" t="inlineStr">
        <is>
          <t>RA</t>
        </is>
      </c>
      <c r="M196" s="40" t="n"/>
      <c r="N196" s="4" t="inlineStr">
        <is>
          <t>Pending independent/source verification</t>
        </is>
      </c>
      <c r="O196" s="4" t="inlineStr">
        <is>
          <t>RQ1_RQ2_base_276 / RQ3_base_276</t>
        </is>
      </c>
      <c r="P196" s="4" t="n">
        <v>196</v>
      </c>
    </row>
    <row r="197" ht="47" customHeight="1">
      <c r="A197" s="4" t="inlineStr">
        <is>
          <t>214</t>
        </is>
      </c>
      <c r="B197" s="4" t="inlineStr">
        <is>
          <t>Historical</t>
        </is>
      </c>
      <c r="C197" s="4" t="n">
        <v>214</v>
      </c>
      <c r="D197" s="4" t="inlineStr">
        <is>
          <t>Self-Paced Learning and Privileged Information based Cascaded Multi-column Classification algorithm for ASD diagnosis</t>
        </is>
      </c>
      <c r="E197" s="4" t="inlineStr">
        <is>
          <t>10.1109/embc46164.2021.9630150</t>
        </is>
      </c>
      <c r="F197" s="4" t="n">
        <v>2021</v>
      </c>
      <c r="G197" s="4" t="inlineStr">
        <is>
          <t>Historical include</t>
        </is>
      </c>
      <c r="H197" s="4" t="inlineStr">
        <is>
          <t>Not recorded</t>
        </is>
      </c>
      <c r="I197" s="4" t="n">
        <v>0</v>
      </c>
      <c r="J197" s="4" t="inlineStr">
        <is>
          <t>https://doi.org/10.1109/embc46164.2021.9630150</t>
        </is>
      </c>
      <c r="K197" s="4" t="inlineStr">
        <is>
          <t>Not recorded; historical inclusion retained</t>
        </is>
      </c>
      <c r="L197" s="4" t="str"/>
      <c r="M197" s="40" t="n"/>
      <c r="N197" s="4" t="inlineStr">
        <is>
          <t>Pending independent/source verification</t>
        </is>
      </c>
      <c r="O197" s="4" t="inlineStr">
        <is>
          <t>RQ1_RQ2_base_276 / RQ3_base_276</t>
        </is>
      </c>
      <c r="P197" s="4" t="n">
        <v>197</v>
      </c>
    </row>
    <row r="198" ht="47" customHeight="1">
      <c r="A198" s="4" t="inlineStr">
        <is>
          <t>215</t>
        </is>
      </c>
      <c r="B198" s="4" t="inlineStr">
        <is>
          <t>Historical</t>
        </is>
      </c>
      <c r="C198" s="4" t="n">
        <v>215</v>
      </c>
      <c r="D198" s="4" t="inlineStr">
        <is>
          <t>Smartphone Haptics Can Uncover Differences in Touch Interactions Between ASD and Neurotypicals</t>
        </is>
      </c>
      <c r="E198" s="4" t="inlineStr">
        <is>
          <t>10.1145/3699749</t>
        </is>
      </c>
      <c r="F198" s="4" t="n">
        <v>2024</v>
      </c>
      <c r="G198" s="4" t="inlineStr">
        <is>
          <t>Historical include</t>
        </is>
      </c>
      <c r="H198" s="4" t="inlineStr">
        <is>
          <t>Not recorded</t>
        </is>
      </c>
      <c r="I198" s="4" t="n">
        <v>0</v>
      </c>
      <c r="J198" s="4" t="inlineStr">
        <is>
          <t>https://doi.org/10.1145/3699749</t>
        </is>
      </c>
      <c r="K198" s="4" t="inlineStr">
        <is>
          <t>Not recorded; historical inclusion retained</t>
        </is>
      </c>
      <c r="L198" s="4" t="str"/>
      <c r="M198" s="40" t="n"/>
      <c r="N198" s="4" t="inlineStr">
        <is>
          <t>Pending independent/source verification</t>
        </is>
      </c>
      <c r="O198" s="4" t="inlineStr">
        <is>
          <t>RQ1_RQ2_base_276 / RQ3_base_276</t>
        </is>
      </c>
      <c r="P198" s="4" t="n">
        <v>198</v>
      </c>
    </row>
    <row r="199" ht="47" customHeight="1">
      <c r="A199" s="4" t="inlineStr">
        <is>
          <t>216</t>
        </is>
      </c>
      <c r="B199" s="4" t="inlineStr">
        <is>
          <t>Historical</t>
        </is>
      </c>
      <c r="C199" s="4" t="n">
        <v>216</v>
      </c>
      <c r="D199" s="4" t="inlineStr">
        <is>
          <t>Targeted metabolomics in children with autism spectrum disorder with and without developmental regression</t>
        </is>
      </c>
      <c r="E199" s="4" t="inlineStr">
        <is>
          <t>10.1007/s11011-025-01604-y</t>
        </is>
      </c>
      <c r="F199" s="4" t="n">
        <v>2025</v>
      </c>
      <c r="G199" s="4" t="inlineStr">
        <is>
          <t>Historical include</t>
        </is>
      </c>
      <c r="H199" s="4" t="inlineStr">
        <is>
          <t>Not recorded</t>
        </is>
      </c>
      <c r="I199" s="4" t="n">
        <v>0</v>
      </c>
      <c r="J199" s="4" t="inlineStr">
        <is>
          <t>https://doi.org/10.1007/s11011-025-01604-y</t>
        </is>
      </c>
      <c r="K199" s="4" t="inlineStr">
        <is>
          <t>Not recorded; historical inclusion retained</t>
        </is>
      </c>
      <c r="L199" s="4" t="str"/>
      <c r="M199" s="40" t="n"/>
      <c r="N199" s="4" t="inlineStr">
        <is>
          <t>Pending independent/source verification</t>
        </is>
      </c>
      <c r="O199" s="4" t="inlineStr">
        <is>
          <t>RQ1_RQ2_base_276 / RQ3_base_276</t>
        </is>
      </c>
      <c r="P199" s="4" t="n">
        <v>199</v>
      </c>
    </row>
    <row r="200" ht="47" customHeight="1">
      <c r="A200" s="4" t="inlineStr">
        <is>
          <t>217</t>
        </is>
      </c>
      <c r="B200" s="4" t="inlineStr">
        <is>
          <t>Historical</t>
        </is>
      </c>
      <c r="C200" s="4" t="n">
        <v>217</v>
      </c>
      <c r="D200" s="4" t="inlineStr">
        <is>
          <t>Twinned neuroimaging analysis contributes to improving the classification of young people with autism spectrum disorder</t>
        </is>
      </c>
      <c r="E200" s="4" t="inlineStr">
        <is>
          <t>10.1038/s41598-024-71174-z</t>
        </is>
      </c>
      <c r="F200" s="4" t="n">
        <v>2024</v>
      </c>
      <c r="G200" s="4" t="inlineStr">
        <is>
          <t>Historical include</t>
        </is>
      </c>
      <c r="H200" s="4" t="inlineStr">
        <is>
          <t>Not recorded</t>
        </is>
      </c>
      <c r="I200" s="4" t="n">
        <v>0</v>
      </c>
      <c r="J200" s="4" t="inlineStr">
        <is>
          <t>https://doi.org/10.1038/s41598-024-71174-z</t>
        </is>
      </c>
      <c r="K200" s="4" t="inlineStr">
        <is>
          <t>Not recorded; historical inclusion retained</t>
        </is>
      </c>
      <c r="L200" s="4" t="str"/>
      <c r="M200" s="40" t="n"/>
      <c r="N200" s="4" t="inlineStr">
        <is>
          <t>Pending independent/source verification</t>
        </is>
      </c>
      <c r="O200" s="4" t="inlineStr">
        <is>
          <t>RQ1_RQ2_base_276 / RQ3_base_276</t>
        </is>
      </c>
      <c r="P200" s="4" t="n">
        <v>200</v>
      </c>
    </row>
    <row r="201" ht="47" customHeight="1">
      <c r="A201" s="4" t="inlineStr">
        <is>
          <t>218</t>
        </is>
      </c>
      <c r="B201" s="4" t="inlineStr">
        <is>
          <t>Historical</t>
        </is>
      </c>
      <c r="C201" s="4" t="n">
        <v>218</v>
      </c>
      <c r="D201" s="4" t="inlineStr">
        <is>
          <t>Using a small dataset to classify strength-interactions with an elastic display: a case study for the screening of autism spectrum disorder</t>
        </is>
      </c>
      <c r="E201" s="4" t="inlineStr">
        <is>
          <t>10.1007/s13042-022-01554-2</t>
        </is>
      </c>
      <c r="F201" s="4" t="n">
        <v>2022</v>
      </c>
      <c r="G201" s="4" t="inlineStr">
        <is>
          <t>Historical include</t>
        </is>
      </c>
      <c r="H201" s="4" t="inlineStr">
        <is>
          <t>Not recorded</t>
        </is>
      </c>
      <c r="I201" s="4" t="n">
        <v>0</v>
      </c>
      <c r="J201" s="4" t="inlineStr">
        <is>
          <t>https://doi.org/10.1007/s13042-022-01554-2</t>
        </is>
      </c>
      <c r="K201" s="4" t="inlineStr">
        <is>
          <t>Not recorded; historical inclusion retained</t>
        </is>
      </c>
      <c r="L201" s="4" t="inlineStr">
        <is>
          <t>RA</t>
        </is>
      </c>
      <c r="M201" s="40" t="n"/>
      <c r="N201" s="4" t="inlineStr">
        <is>
          <t>Pending independent/source verification</t>
        </is>
      </c>
      <c r="O201" s="4" t="inlineStr">
        <is>
          <t>RQ1_RQ2_base_276 / RQ3_base_276</t>
        </is>
      </c>
      <c r="P201" s="4" t="n">
        <v>201</v>
      </c>
    </row>
    <row r="202" ht="47" customHeight="1">
      <c r="A202" s="4" t="inlineStr">
        <is>
          <t>219</t>
        </is>
      </c>
      <c r="B202" s="4" t="inlineStr">
        <is>
          <t>Historical</t>
        </is>
      </c>
      <c r="C202" s="4" t="n">
        <v>219</v>
      </c>
      <c r="D202" s="4" t="inlineStr">
        <is>
          <t>Wearable EEG Neurofeedback Based-on Machine Learning Algorithms for Children with Autism: A Randomized, Placebo-controlled Study</t>
        </is>
      </c>
      <c r="E202" s="4" t="inlineStr">
        <is>
          <t>10.1007/s11596-024-2938-3</t>
        </is>
      </c>
      <c r="F202" s="4" t="n">
        <v>2024</v>
      </c>
      <c r="G202" s="4" t="inlineStr">
        <is>
          <t>Historical include</t>
        </is>
      </c>
      <c r="H202" s="4" t="inlineStr">
        <is>
          <t>Not recorded</t>
        </is>
      </c>
      <c r="I202" s="4" t="n">
        <v>0</v>
      </c>
      <c r="J202" s="4" t="inlineStr">
        <is>
          <t>https://doi.org/10.1007/s11596-024-2938-3</t>
        </is>
      </c>
      <c r="K202" s="4" t="inlineStr">
        <is>
          <t>Not recorded; historical inclusion retained</t>
        </is>
      </c>
      <c r="L202" s="4" t="str"/>
      <c r="M202" s="40" t="n"/>
      <c r="N202" s="4" t="inlineStr">
        <is>
          <t>Pending independent/source verification</t>
        </is>
      </c>
      <c r="O202" s="4" t="inlineStr">
        <is>
          <t>RQ1_RQ2_base_276 / RQ3_base_276</t>
        </is>
      </c>
      <c r="P202" s="4" t="n">
        <v>202</v>
      </c>
    </row>
    <row r="203" ht="47" customHeight="1">
      <c r="A203" s="4" t="inlineStr">
        <is>
          <t>220</t>
        </is>
      </c>
      <c r="B203" s="4" t="inlineStr">
        <is>
          <t>Historical</t>
        </is>
      </c>
      <c r="C203" s="4" t="n">
        <v>220</v>
      </c>
      <c r="D203" s="4" t="inlineStr">
        <is>
          <t>1D-convolutional neural network and fast Walsh–Hadamard transform approach for diagnosing autism spectrum disorder</t>
        </is>
      </c>
      <c r="E203" s="4" t="inlineStr">
        <is>
          <t>10.1007/s00521-025-11208-3</t>
        </is>
      </c>
      <c r="F203" s="4" t="n">
        <v>2025</v>
      </c>
      <c r="G203" s="4" t="inlineStr">
        <is>
          <t>Historical include</t>
        </is>
      </c>
      <c r="H203" s="4" t="inlineStr">
        <is>
          <t>Not recorded</t>
        </is>
      </c>
      <c r="I203" s="4" t="n">
        <v>0</v>
      </c>
      <c r="J203" s="4" t="inlineStr">
        <is>
          <t>https://doi.org/10.1007/s00521-025-11208-3</t>
        </is>
      </c>
      <c r="K203" s="4" t="inlineStr">
        <is>
          <t>Not recorded; historical inclusion retained</t>
        </is>
      </c>
      <c r="L203" s="4" t="str"/>
      <c r="M203" s="40" t="n"/>
      <c r="N203" s="4" t="inlineStr">
        <is>
          <t>Pending independent/source verification</t>
        </is>
      </c>
      <c r="O203" s="4" t="inlineStr">
        <is>
          <t>RQ1_RQ2_base_276 / RQ3_base_276</t>
        </is>
      </c>
      <c r="P203" s="4" t="n">
        <v>203</v>
      </c>
    </row>
    <row r="204" ht="47" customHeight="1">
      <c r="A204" s="4" t="inlineStr">
        <is>
          <t>221</t>
        </is>
      </c>
      <c r="B204" s="4" t="inlineStr">
        <is>
          <t>Historical</t>
        </is>
      </c>
      <c r="C204" s="4" t="n">
        <v>221</v>
      </c>
      <c r="D204" s="4" t="inlineStr">
        <is>
          <t>A hybrid Stacking-SMOTE model for optimizing the prediction of autistic genes</t>
        </is>
      </c>
      <c r="E204" s="4" t="inlineStr">
        <is>
          <t>10.1186/s12859-023-05501-y</t>
        </is>
      </c>
      <c r="F204" s="4" t="n">
        <v>2023</v>
      </c>
      <c r="G204" s="4" t="inlineStr">
        <is>
          <t>Historical include</t>
        </is>
      </c>
      <c r="H204" s="4" t="inlineStr">
        <is>
          <t>Not recorded</t>
        </is>
      </c>
      <c r="I204" s="4" t="n">
        <v>0</v>
      </c>
      <c r="J204" s="4" t="inlineStr">
        <is>
          <t>https://doi.org/10.1186/s12859-023-05501-y</t>
        </is>
      </c>
      <c r="K204" s="4" t="inlineStr">
        <is>
          <t>Not recorded; historical inclusion retained</t>
        </is>
      </c>
      <c r="L204" s="4" t="inlineStr">
        <is>
          <t>RA</t>
        </is>
      </c>
      <c r="M204" s="40" t="n"/>
      <c r="N204" s="4" t="inlineStr">
        <is>
          <t>Pending independent/source verification</t>
        </is>
      </c>
      <c r="O204" s="4" t="inlineStr">
        <is>
          <t>RQ1_RQ2_base_276 / RQ3_base_276</t>
        </is>
      </c>
      <c r="P204" s="4" t="n">
        <v>204</v>
      </c>
    </row>
    <row r="205" ht="47" customHeight="1">
      <c r="A205" s="4" t="inlineStr">
        <is>
          <t>222</t>
        </is>
      </c>
      <c r="B205" s="4" t="inlineStr">
        <is>
          <t>Historical</t>
        </is>
      </c>
      <c r="C205" s="4" t="n">
        <v>222</v>
      </c>
      <c r="D205" s="4" t="inlineStr">
        <is>
          <t>An amygdala-centered hyper-connectivity signature of threatening face processing predicts anxiety in youths with autism spectrum conditions</t>
        </is>
      </c>
      <c r="E205" s="4" t="inlineStr">
        <is>
          <t>10.1002/aur.2595</t>
        </is>
      </c>
      <c r="F205" s="4" t="n">
        <v>2021</v>
      </c>
      <c r="G205" s="4" t="inlineStr">
        <is>
          <t>Historical include</t>
        </is>
      </c>
      <c r="H205" s="4" t="inlineStr">
        <is>
          <t>Not recorded</t>
        </is>
      </c>
      <c r="I205" s="4" t="n">
        <v>0</v>
      </c>
      <c r="J205" s="4" t="inlineStr">
        <is>
          <t>https://doi.org/10.1002/aur.2595</t>
        </is>
      </c>
      <c r="K205" s="4" t="inlineStr">
        <is>
          <t>Not recorded; historical inclusion retained</t>
        </is>
      </c>
      <c r="L205" s="4" t="inlineStr">
        <is>
          <t>RA</t>
        </is>
      </c>
      <c r="M205" s="40" t="n"/>
      <c r="N205" s="4" t="inlineStr">
        <is>
          <t>Pending independent/source verification</t>
        </is>
      </c>
      <c r="O205" s="4" t="inlineStr">
        <is>
          <t>RQ1_RQ2_base_276 / RQ3_base_276</t>
        </is>
      </c>
      <c r="P205" s="4" t="n">
        <v>205</v>
      </c>
    </row>
    <row r="206" ht="47" customHeight="1">
      <c r="A206" s="4" t="inlineStr">
        <is>
          <t>223</t>
        </is>
      </c>
      <c r="B206" s="4" t="inlineStr">
        <is>
          <t>Historical</t>
        </is>
      </c>
      <c r="C206" s="4" t="n">
        <v>223</v>
      </c>
      <c r="D206" s="4" t="inlineStr">
        <is>
          <t>An effective autism spectrum disorder screening method using machine learning classification techniques</t>
        </is>
      </c>
      <c r="E206" s="4" t="inlineStr">
        <is>
          <t>10.1002/cpe.7898</t>
        </is>
      </c>
      <c r="F206" s="4" t="n">
        <v>2024</v>
      </c>
      <c r="G206" s="4" t="inlineStr">
        <is>
          <t>Historical include</t>
        </is>
      </c>
      <c r="H206" s="4" t="inlineStr">
        <is>
          <t>Not recorded</t>
        </is>
      </c>
      <c r="I206" s="4" t="n">
        <v>0</v>
      </c>
      <c r="J206" s="4" t="inlineStr">
        <is>
          <t>https://doi.org/10.1002/cpe.7898</t>
        </is>
      </c>
      <c r="K206" s="4" t="inlineStr">
        <is>
          <t>Not recorded; historical inclusion retained</t>
        </is>
      </c>
      <c r="L206" s="4" t="str"/>
      <c r="M206" s="40" t="n"/>
      <c r="N206" s="4" t="inlineStr">
        <is>
          <t>Pending independent/source verification</t>
        </is>
      </c>
      <c r="O206" s="4" t="inlineStr">
        <is>
          <t>RQ1_RQ2_base_276 / RQ3_base_276</t>
        </is>
      </c>
      <c r="P206" s="4" t="n">
        <v>206</v>
      </c>
    </row>
    <row r="207" ht="47" customHeight="1">
      <c r="A207" s="4" t="inlineStr">
        <is>
          <t>224</t>
        </is>
      </c>
      <c r="B207" s="4" t="inlineStr">
        <is>
          <t>Historical</t>
        </is>
      </c>
      <c r="C207" s="4" t="n">
        <v>224</v>
      </c>
      <c r="D207" s="4" t="inlineStr">
        <is>
          <t>An ensemble classifier for emotion classification from EEG and GSR signals for autism detection</t>
        </is>
      </c>
      <c r="E207" s="4" t="inlineStr">
        <is>
          <t>10.1016/j.cmpb.2025.108921</t>
        </is>
      </c>
      <c r="F207" s="4" t="n">
        <v>2025</v>
      </c>
      <c r="G207" s="4" t="inlineStr">
        <is>
          <t>Historical include</t>
        </is>
      </c>
      <c r="H207" s="4" t="inlineStr">
        <is>
          <t>Not recorded</t>
        </is>
      </c>
      <c r="I207" s="4" t="n">
        <v>0</v>
      </c>
      <c r="J207" s="4" t="inlineStr">
        <is>
          <t>https://doi.org/10.1016/j.cmpb.2025.108921</t>
        </is>
      </c>
      <c r="K207" s="4" t="inlineStr">
        <is>
          <t>Not recorded; historical inclusion retained</t>
        </is>
      </c>
      <c r="L207" s="4" t="str"/>
      <c r="M207" s="40" t="n"/>
      <c r="N207" s="4" t="inlineStr">
        <is>
          <t>Pending independent/source verification</t>
        </is>
      </c>
      <c r="O207" s="4" t="inlineStr">
        <is>
          <t>RQ1_RQ2_base_276 / RQ3_base_276</t>
        </is>
      </c>
      <c r="P207" s="4" t="n">
        <v>207</v>
      </c>
    </row>
    <row r="208" ht="47" customHeight="1">
      <c r="A208" s="4" t="inlineStr">
        <is>
          <t>225</t>
        </is>
      </c>
      <c r="B208" s="4" t="inlineStr">
        <is>
          <t>Historical</t>
        </is>
      </c>
      <c r="C208" s="4" t="n">
        <v>225</v>
      </c>
      <c r="D208" s="4" t="inlineStr">
        <is>
          <t>Applying Eye Tracking to Identify Autism Spectrum Disorder in Children</t>
        </is>
      </c>
      <c r="E208" s="4" t="inlineStr">
        <is>
          <t>10.1007/s10803-018-3690-y</t>
        </is>
      </c>
      <c r="F208" s="4" t="n">
        <v>2019</v>
      </c>
      <c r="G208" s="4" t="inlineStr">
        <is>
          <t>Historical include</t>
        </is>
      </c>
      <c r="H208" s="4" t="inlineStr">
        <is>
          <t>Not recorded</t>
        </is>
      </c>
      <c r="I208" s="4" t="n">
        <v>0</v>
      </c>
      <c r="J208" s="4" t="inlineStr">
        <is>
          <t>https://doi.org/10.1007/s10803-018-3690-y</t>
        </is>
      </c>
      <c r="K208" s="4" t="inlineStr">
        <is>
          <t>Not recorded; historical inclusion retained</t>
        </is>
      </c>
      <c r="L208" s="4" t="inlineStr">
        <is>
          <t>RA</t>
        </is>
      </c>
      <c r="M208" s="40" t="n"/>
      <c r="N208" s="4" t="inlineStr">
        <is>
          <t>Pending independent/source verification</t>
        </is>
      </c>
      <c r="O208" s="4" t="inlineStr">
        <is>
          <t>RQ1_RQ2_base_276 / RQ3_base_276</t>
        </is>
      </c>
      <c r="P208" s="4" t="n">
        <v>208</v>
      </c>
    </row>
    <row r="209" ht="47" customHeight="1">
      <c r="A209" s="4" t="inlineStr">
        <is>
          <t>226</t>
        </is>
      </c>
      <c r="B209" s="4" t="inlineStr">
        <is>
          <t>Historical</t>
        </is>
      </c>
      <c r="C209" s="4" t="n">
        <v>226</v>
      </c>
      <c r="D209" s="4" t="inlineStr">
        <is>
          <t>Artificial intelligence and sensor-based autism spectrum disorder diagnosis using brain connectivity analysis</t>
        </is>
      </c>
      <c r="E209" s="4" t="inlineStr">
        <is>
          <t>10.1016/j.compeleceng.2023.108720</t>
        </is>
      </c>
      <c r="F209" s="4" t="n">
        <v>2023</v>
      </c>
      <c r="G209" s="4" t="inlineStr">
        <is>
          <t>Historical include</t>
        </is>
      </c>
      <c r="H209" s="4" t="inlineStr">
        <is>
          <t>Not recorded</t>
        </is>
      </c>
      <c r="I209" s="4" t="n">
        <v>0</v>
      </c>
      <c r="J209" s="4" t="inlineStr">
        <is>
          <t>https://doi.org/10.1016/j.compeleceng.2023.108720</t>
        </is>
      </c>
      <c r="K209" s="4" t="inlineStr">
        <is>
          <t>Not recorded; historical inclusion retained</t>
        </is>
      </c>
      <c r="L209" s="4" t="inlineStr">
        <is>
          <t>RA</t>
        </is>
      </c>
      <c r="M209" s="40" t="n"/>
      <c r="N209" s="4" t="inlineStr">
        <is>
          <t>Pending independent/source verification</t>
        </is>
      </c>
      <c r="O209" s="4" t="inlineStr">
        <is>
          <t>RQ1_RQ2_base_276 / RQ3_base_276</t>
        </is>
      </c>
      <c r="P209" s="4" t="n">
        <v>209</v>
      </c>
    </row>
    <row r="210" ht="47" customHeight="1">
      <c r="A210" s="4" t="inlineStr">
        <is>
          <t>227</t>
        </is>
      </c>
      <c r="B210" s="4" t="inlineStr">
        <is>
          <t>Historical</t>
        </is>
      </c>
      <c r="C210" s="4" t="n">
        <v>227</v>
      </c>
      <c r="D210" s="4" t="inlineStr">
        <is>
          <t>Attention Level Evaluation in Children With Autism: Leveraging Head Pose and Gaze Parameters From Videos for Educational Intervention</t>
        </is>
      </c>
      <c r="E210" s="4" t="inlineStr">
        <is>
          <t>10.1109/tlt.2024.3409702</t>
        </is>
      </c>
      <c r="F210" s="4" t="n">
        <v>2024</v>
      </c>
      <c r="G210" s="4" t="inlineStr">
        <is>
          <t>Historical include</t>
        </is>
      </c>
      <c r="H210" s="4" t="inlineStr">
        <is>
          <t>Not recorded</t>
        </is>
      </c>
      <c r="I210" s="4" t="n">
        <v>0</v>
      </c>
      <c r="J210" s="4" t="inlineStr">
        <is>
          <t>https://doi.org/10.1109/tlt.2024.3409702</t>
        </is>
      </c>
      <c r="K210" s="4" t="inlineStr">
        <is>
          <t>Not recorded; historical inclusion retained</t>
        </is>
      </c>
      <c r="L210" s="4" t="str"/>
      <c r="M210" s="40" t="n"/>
      <c r="N210" s="4" t="inlineStr">
        <is>
          <t>Pending independent/source verification</t>
        </is>
      </c>
      <c r="O210" s="4" t="inlineStr">
        <is>
          <t>RQ1_RQ2_base_276 / RQ3_base_276</t>
        </is>
      </c>
      <c r="P210" s="4" t="n">
        <v>210</v>
      </c>
    </row>
    <row r="211" ht="47" customHeight="1">
      <c r="A211" s="4" t="inlineStr">
        <is>
          <t>228</t>
        </is>
      </c>
      <c r="B211" s="4" t="inlineStr">
        <is>
          <t>Historical</t>
        </is>
      </c>
      <c r="C211" s="4" t="n">
        <v>228</v>
      </c>
      <c r="D211" s="4" t="inlineStr">
        <is>
          <t>Autism Spectrum Disorder Diagnosis Using Graph Neural Network Based on\&amp;#xa0;Graph Pooling and\&amp;#xa0;Self-adjust Filter</t>
        </is>
      </c>
      <c r="E211" s="4" t="inlineStr">
        <is>
          <t>10.1007/978-981-99-8558-6_35</t>
        </is>
      </c>
      <c r="F211" s="4" t="n">
        <v>2024</v>
      </c>
      <c r="G211" s="4" t="inlineStr">
        <is>
          <t>Historical include</t>
        </is>
      </c>
      <c r="H211" s="4" t="inlineStr">
        <is>
          <t>Not recorded</t>
        </is>
      </c>
      <c r="I211" s="4" t="n">
        <v>0</v>
      </c>
      <c r="J211" s="4" t="inlineStr">
        <is>
          <t>https://doi.org/10.1007/978-981-99-8558-6_35</t>
        </is>
      </c>
      <c r="K211" s="4" t="inlineStr">
        <is>
          <t>Not recorded; historical inclusion retained</t>
        </is>
      </c>
      <c r="L211" s="4" t="str"/>
      <c r="M211" s="40" t="n"/>
      <c r="N211" s="4" t="inlineStr">
        <is>
          <t>Pending independent/source verification</t>
        </is>
      </c>
      <c r="O211" s="4" t="inlineStr">
        <is>
          <t>RQ1_RQ2_base_276 / RQ3_base_276</t>
        </is>
      </c>
      <c r="P211" s="4" t="n">
        <v>211</v>
      </c>
    </row>
    <row r="212" ht="47" customHeight="1">
      <c r="A212" s="4" t="inlineStr">
        <is>
          <t>229</t>
        </is>
      </c>
      <c r="B212" s="4" t="inlineStr">
        <is>
          <t>Historical</t>
        </is>
      </c>
      <c r="C212" s="4" t="n">
        <v>229</v>
      </c>
      <c r="D212" s="4" t="inlineStr">
        <is>
          <t>Autoencoder Based Methods for Diagnosis of Autism Spectrum Disorder</t>
        </is>
      </c>
      <c r="E212" s="4" t="inlineStr">
        <is>
          <t>10.1007/978-3-030-46165-2_4</t>
        </is>
      </c>
      <c r="F212" s="4" t="n">
        <v>2020</v>
      </c>
      <c r="G212" s="4" t="inlineStr">
        <is>
          <t>Historical include</t>
        </is>
      </c>
      <c r="H212" s="4" t="inlineStr">
        <is>
          <t>Not recorded</t>
        </is>
      </c>
      <c r="I212" s="4" t="n">
        <v>0</v>
      </c>
      <c r="J212" s="4" t="inlineStr">
        <is>
          <t>https://doi.org/10.1007/978-3-030-46165-2_4</t>
        </is>
      </c>
      <c r="K212" s="4" t="inlineStr">
        <is>
          <t>Not recorded; historical inclusion retained</t>
        </is>
      </c>
      <c r="L212" s="4" t="str"/>
      <c r="M212" s="40" t="n"/>
      <c r="N212" s="4" t="inlineStr">
        <is>
          <t>Pending independent/source verification</t>
        </is>
      </c>
      <c r="O212" s="4" t="inlineStr">
        <is>
          <t>RQ1_RQ2_base_276 / RQ3_base_276</t>
        </is>
      </c>
      <c r="P212" s="4" t="n">
        <v>212</v>
      </c>
    </row>
    <row r="213" ht="47" customHeight="1">
      <c r="A213" s="4" t="inlineStr">
        <is>
          <t>230</t>
        </is>
      </c>
      <c r="B213" s="4" t="inlineStr">
        <is>
          <t>Historical</t>
        </is>
      </c>
      <c r="C213" s="4" t="n">
        <v>230</v>
      </c>
      <c r="D213" s="4" t="inlineStr">
        <is>
          <t>BrainWaveNet: Wavelet-based Transformer for Autism Spectrum Disorder Diagnosis</t>
        </is>
      </c>
      <c r="E213" s="4" t="inlineStr">
        <is>
          <t>10.1007/978-3-031-72069-7_6</t>
        </is>
      </c>
      <c r="F213" s="4" t="n">
        <v>2024</v>
      </c>
      <c r="G213" s="4" t="inlineStr">
        <is>
          <t>Historical include</t>
        </is>
      </c>
      <c r="H213" s="4" t="inlineStr">
        <is>
          <t>Not recorded</t>
        </is>
      </c>
      <c r="I213" s="4" t="n">
        <v>0</v>
      </c>
      <c r="J213" s="4" t="inlineStr">
        <is>
          <t>https://doi.org/10.1007/978-3-031-72069-7_6</t>
        </is>
      </c>
      <c r="K213" s="4" t="inlineStr">
        <is>
          <t>Not recorded; historical inclusion retained</t>
        </is>
      </c>
      <c r="L213" s="4" t="inlineStr">
        <is>
          <t>RA</t>
        </is>
      </c>
      <c r="M213" s="40" t="n"/>
      <c r="N213" s="4" t="inlineStr">
        <is>
          <t>Pending independent/source verification</t>
        </is>
      </c>
      <c r="O213" s="4" t="inlineStr">
        <is>
          <t>RQ1_RQ2_base_276 / RQ3_base_276</t>
        </is>
      </c>
      <c r="P213" s="4" t="n">
        <v>213</v>
      </c>
    </row>
    <row r="214" ht="47" customHeight="1">
      <c r="A214" s="4" t="inlineStr">
        <is>
          <t>231</t>
        </is>
      </c>
      <c r="B214" s="4" t="inlineStr">
        <is>
          <t>Historical</t>
        </is>
      </c>
      <c r="C214" s="4" t="n">
        <v>231</v>
      </c>
      <c r="D214" s="4" t="inlineStr">
        <is>
          <t>Can lung airway geometry be used to predict autism? A preliminary machine learning-based study</t>
        </is>
      </c>
      <c r="E214" s="4" t="inlineStr">
        <is>
          <t>10.1002/ar.25332</t>
        </is>
      </c>
      <c r="F214" s="4" t="n">
        <v>2024</v>
      </c>
      <c r="G214" s="4" t="inlineStr">
        <is>
          <t>Historical include</t>
        </is>
      </c>
      <c r="H214" s="4" t="inlineStr">
        <is>
          <t>Not recorded</t>
        </is>
      </c>
      <c r="I214" s="4" t="n">
        <v>0</v>
      </c>
      <c r="J214" s="4" t="inlineStr">
        <is>
          <t>https://doi.org/10.1002/ar.25332</t>
        </is>
      </c>
      <c r="K214" s="4" t="inlineStr">
        <is>
          <t>Not recorded; historical inclusion retained</t>
        </is>
      </c>
      <c r="L214" s="4" t="inlineStr">
        <is>
          <t>RA</t>
        </is>
      </c>
      <c r="M214" s="40" t="n"/>
      <c r="N214" s="4" t="inlineStr">
        <is>
          <t>Pending independent/source verification</t>
        </is>
      </c>
      <c r="O214" s="4" t="inlineStr">
        <is>
          <t>RQ1_RQ2_base_276 / RQ3_base_276</t>
        </is>
      </c>
      <c r="P214" s="4" t="n">
        <v>214</v>
      </c>
    </row>
    <row r="215" ht="47" customHeight="1">
      <c r="A215" s="4" t="inlineStr">
        <is>
          <t>232</t>
        </is>
      </c>
      <c r="B215" s="4" t="inlineStr">
        <is>
          <t>Historical</t>
        </is>
      </c>
      <c r="C215" s="4" t="n">
        <v>232</v>
      </c>
      <c r="D215" s="4" t="inlineStr">
        <is>
          <t>Classification of autism spectrum disorder based on fluctuation entropy of spontaneous hemodynamic fluctuations</t>
        </is>
      </c>
      <c r="E215" s="4" t="inlineStr">
        <is>
          <t>10.1016/j.bspc.2020.101958</t>
        </is>
      </c>
      <c r="F215" s="4" t="n">
        <v>2020</v>
      </c>
      <c r="G215" s="4" t="inlineStr">
        <is>
          <t>Historical include</t>
        </is>
      </c>
      <c r="H215" s="4" t="inlineStr">
        <is>
          <t>Not recorded</t>
        </is>
      </c>
      <c r="I215" s="4" t="n">
        <v>0</v>
      </c>
      <c r="J215" s="4" t="inlineStr">
        <is>
          <t>https://doi.org/10.1016/j.bspc.2020.101958</t>
        </is>
      </c>
      <c r="K215" s="4" t="inlineStr">
        <is>
          <t>Not recorded; historical inclusion retained</t>
        </is>
      </c>
      <c r="L215" s="4" t="str"/>
      <c r="M215" s="40" t="n"/>
      <c r="N215" s="4" t="inlineStr">
        <is>
          <t>Pending independent/source verification</t>
        </is>
      </c>
      <c r="O215" s="4" t="inlineStr">
        <is>
          <t>RQ1_RQ2_base_276 / RQ3_base_276</t>
        </is>
      </c>
      <c r="P215" s="4" t="n">
        <v>215</v>
      </c>
    </row>
    <row r="216" ht="47" customHeight="1">
      <c r="A216" s="4" t="inlineStr">
        <is>
          <t>233</t>
        </is>
      </c>
      <c r="B216" s="4" t="inlineStr">
        <is>
          <t>Historical</t>
        </is>
      </c>
      <c r="C216" s="4" t="n">
        <v>233</v>
      </c>
      <c r="D216" s="4" t="inlineStr">
        <is>
          <t>Classification of autism spectrum disorder based on sample entropy of spontaneous functional near infra-red spectroscopy signal</t>
        </is>
      </c>
      <c r="E216" s="4" t="inlineStr">
        <is>
          <t>10.1016/j.clinph.2019.12.400</t>
        </is>
      </c>
      <c r="F216" s="4" t="n">
        <v>2020</v>
      </c>
      <c r="G216" s="4" t="inlineStr">
        <is>
          <t>Historical include</t>
        </is>
      </c>
      <c r="H216" s="4" t="inlineStr">
        <is>
          <t>Not recorded</t>
        </is>
      </c>
      <c r="I216" s="4" t="n">
        <v>0</v>
      </c>
      <c r="J216" s="4" t="inlineStr">
        <is>
          <t>https://doi.org/10.1016/j.clinph.2019.12.400</t>
        </is>
      </c>
      <c r="K216" s="4" t="inlineStr">
        <is>
          <t>Not recorded; historical inclusion retained</t>
        </is>
      </c>
      <c r="L216" s="4" t="str"/>
      <c r="M216" s="40" t="n"/>
      <c r="N216" s="4" t="inlineStr">
        <is>
          <t>Pending independent/source verification</t>
        </is>
      </c>
      <c r="O216" s="4" t="inlineStr">
        <is>
          <t>RQ1_RQ2_base_276 / RQ3_base_276</t>
        </is>
      </c>
      <c r="P216" s="4" t="n">
        <v>216</v>
      </c>
    </row>
    <row r="217" ht="73" customHeight="1">
      <c r="A217" s="4" t="inlineStr">
        <is>
          <t>234</t>
        </is>
      </c>
      <c r="B217" s="4" t="inlineStr">
        <is>
          <t>Historical</t>
        </is>
      </c>
      <c r="C217" s="4" t="n">
        <v>234</v>
      </c>
      <c r="D217" s="4" t="inlineStr">
        <is>
          <t>Classification of\&amp;#xa0;Facial Images to\&amp;#xa0;Assist in\&amp;#xa0;the\&amp;#xa0;Diagnosis of\&amp;#xa0;Autism Spectrum Disorder: A Study on\&amp;#xa0;the\&amp;#xa0;Effect of\&amp;#xa0;Face Detection and\&amp;#xa0;Landmark Identification Algorithms</t>
        </is>
      </c>
      <c r="E217" s="4" t="inlineStr">
        <is>
          <t>10.1007/978-3-031-45389-2_18</t>
        </is>
      </c>
      <c r="F217" s="4" t="n">
        <v>2023</v>
      </c>
      <c r="G217" s="4" t="inlineStr">
        <is>
          <t>Historical include</t>
        </is>
      </c>
      <c r="H217" s="4" t="inlineStr">
        <is>
          <t>Not recorded</t>
        </is>
      </c>
      <c r="I217" s="4" t="n">
        <v>0</v>
      </c>
      <c r="J217" s="4" t="inlineStr">
        <is>
          <t>https://doi.org/10.1007/978-3-031-45389-2_18</t>
        </is>
      </c>
      <c r="K217" s="4" t="inlineStr">
        <is>
          <t>Not recorded; historical inclusion retained</t>
        </is>
      </c>
      <c r="L217" s="4" t="inlineStr">
        <is>
          <t>RA</t>
        </is>
      </c>
      <c r="M217" s="40" t="n"/>
      <c r="N217" s="4" t="inlineStr">
        <is>
          <t>Pending independent/source verification</t>
        </is>
      </c>
      <c r="O217" s="4" t="inlineStr">
        <is>
          <t>RQ1_RQ2_base_276 / RQ3_base_276</t>
        </is>
      </c>
      <c r="P217" s="4" t="n">
        <v>217</v>
      </c>
    </row>
    <row r="218" ht="47" customHeight="1">
      <c r="A218" s="4" t="inlineStr">
        <is>
          <t>235</t>
        </is>
      </c>
      <c r="B218" s="4" t="inlineStr">
        <is>
          <t>Historical</t>
        </is>
      </c>
      <c r="C218" s="4" t="n">
        <v>235</v>
      </c>
      <c r="D218" s="4" t="inlineStr">
        <is>
          <t>Combining anatomical and functional networks for neuropathology identification: A case study on autism spectrum disorder</t>
        </is>
      </c>
      <c r="E218" s="4" t="inlineStr">
        <is>
          <t>10.1016/j.media.2021.101986</t>
        </is>
      </c>
      <c r="F218" s="4" t="n">
        <v>2021</v>
      </c>
      <c r="G218" s="4" t="inlineStr">
        <is>
          <t>Historical include</t>
        </is>
      </c>
      <c r="H218" s="4" t="inlineStr">
        <is>
          <t>Not recorded</t>
        </is>
      </c>
      <c r="I218" s="4" t="n">
        <v>0</v>
      </c>
      <c r="J218" s="4" t="inlineStr">
        <is>
          <t>https://doi.org/10.1016/j.media.2021.101986</t>
        </is>
      </c>
      <c r="K218" s="4" t="inlineStr">
        <is>
          <t>Not recorded; historical inclusion retained</t>
        </is>
      </c>
      <c r="L218" s="4" t="str"/>
      <c r="M218" s="40" t="n"/>
      <c r="N218" s="4" t="inlineStr">
        <is>
          <t>Pending independent/source verification</t>
        </is>
      </c>
      <c r="O218" s="4" t="inlineStr">
        <is>
          <t>RQ1_RQ2_base_276 / RQ3_base_276</t>
        </is>
      </c>
      <c r="P218" s="4" t="n">
        <v>218</v>
      </c>
    </row>
    <row r="219" ht="47" customHeight="1">
      <c r="A219" s="4" t="inlineStr">
        <is>
          <t>236</t>
        </is>
      </c>
      <c r="B219" s="4" t="inlineStr">
        <is>
          <t>Historical</t>
        </is>
      </c>
      <c r="C219" s="4" t="n">
        <v>236</v>
      </c>
      <c r="D219" s="4" t="inlineStr">
        <is>
          <t>Correlations between blood group and Rh factor in families and autism spectrum disorder: A comprehensive analysis</t>
        </is>
      </c>
      <c r="E219" s="4" t="inlineStr">
        <is>
          <t>10.1038/s41598-025-97313-8</t>
        </is>
      </c>
      <c r="F219" s="4" t="n">
        <v>2025</v>
      </c>
      <c r="G219" s="4" t="inlineStr">
        <is>
          <t>Historical include</t>
        </is>
      </c>
      <c r="H219" s="4" t="inlineStr">
        <is>
          <t>Not recorded</t>
        </is>
      </c>
      <c r="I219" s="4" t="n">
        <v>0</v>
      </c>
      <c r="J219" s="4" t="inlineStr">
        <is>
          <t>https://doi.org/10.1038/s41598-025-97313-8</t>
        </is>
      </c>
      <c r="K219" s="4" t="inlineStr">
        <is>
          <t>Not recorded; historical inclusion retained</t>
        </is>
      </c>
      <c r="L219" s="4" t="inlineStr">
        <is>
          <t>RA</t>
        </is>
      </c>
      <c r="M219" s="40" t="n"/>
      <c r="N219" s="4" t="inlineStr">
        <is>
          <t>Pending independent/source verification</t>
        </is>
      </c>
      <c r="O219" s="4" t="inlineStr">
        <is>
          <t>RQ1_RQ2_base_276 / RQ3_base_276</t>
        </is>
      </c>
      <c r="P219" s="4" t="n">
        <v>219</v>
      </c>
    </row>
    <row r="220" ht="47" customHeight="1">
      <c r="A220" s="4" t="inlineStr">
        <is>
          <t>237</t>
        </is>
      </c>
      <c r="B220" s="4" t="inlineStr">
        <is>
          <t>Historical</t>
        </is>
      </c>
      <c r="C220" s="4" t="n">
        <v>237</v>
      </c>
      <c r="D220" s="4" t="inlineStr">
        <is>
          <t>Cross-linguistic patterns of speech prosodic differences in autism: A machine learning study</t>
        </is>
      </c>
      <c r="E220" s="4" t="inlineStr">
        <is>
          <t>10.1371/journal.pone.0269637</t>
        </is>
      </c>
      <c r="F220" s="4" t="n">
        <v>2022</v>
      </c>
      <c r="G220" s="4" t="inlineStr">
        <is>
          <t>Historical include</t>
        </is>
      </c>
      <c r="H220" s="4" t="inlineStr">
        <is>
          <t>Not recorded</t>
        </is>
      </c>
      <c r="I220" s="4" t="n">
        <v>0</v>
      </c>
      <c r="J220" s="4" t="inlineStr">
        <is>
          <t>https://doi.org/10.1371/journal.pone.0269637</t>
        </is>
      </c>
      <c r="K220" s="4" t="inlineStr">
        <is>
          <t>Not recorded; historical inclusion retained</t>
        </is>
      </c>
      <c r="L220" s="4" t="inlineStr">
        <is>
          <t>RA</t>
        </is>
      </c>
      <c r="M220" s="40" t="n"/>
      <c r="N220" s="4" t="inlineStr">
        <is>
          <t>Pending independent/source verification</t>
        </is>
      </c>
      <c r="O220" s="4" t="inlineStr">
        <is>
          <t>RQ1_RQ2_base_276 / RQ3_base_276</t>
        </is>
      </c>
      <c r="P220" s="4" t="n">
        <v>220</v>
      </c>
    </row>
    <row r="221" ht="47" customHeight="1">
      <c r="A221" s="4" t="inlineStr">
        <is>
          <t>238</t>
        </is>
      </c>
      <c r="B221" s="4" t="inlineStr">
        <is>
          <t>Historical</t>
        </is>
      </c>
      <c r="C221" s="4" t="n">
        <v>238</v>
      </c>
      <c r="D221" s="4" t="inlineStr">
        <is>
          <t>Data mining and machine learning techniques for early detection in autism spectrum disorder</t>
        </is>
      </c>
      <c r="E221" s="4" t="inlineStr">
        <is>
          <t>10.1016/b978-0-12-822822-7.00006-5</t>
        </is>
      </c>
      <c r="F221" s="4" t="n">
        <v>2021</v>
      </c>
      <c r="G221" s="4" t="inlineStr">
        <is>
          <t>Historical include</t>
        </is>
      </c>
      <c r="H221" s="4" t="inlineStr">
        <is>
          <t>Not recorded</t>
        </is>
      </c>
      <c r="I221" s="4" t="n">
        <v>0</v>
      </c>
      <c r="J221" s="4" t="inlineStr">
        <is>
          <t>https://doi.org/10.1016/b978-0-12-822822-7.00006-5</t>
        </is>
      </c>
      <c r="K221" s="4" t="inlineStr">
        <is>
          <t>Not recorded; historical inclusion retained</t>
        </is>
      </c>
      <c r="L221" s="4" t="str"/>
      <c r="M221" s="40" t="n"/>
      <c r="N221" s="4" t="inlineStr">
        <is>
          <t>Pending independent/source verification</t>
        </is>
      </c>
      <c r="O221" s="4" t="inlineStr">
        <is>
          <t>RQ1_RQ2_base_276 / RQ3_base_276</t>
        </is>
      </c>
      <c r="P221" s="4" t="n">
        <v>221</v>
      </c>
    </row>
    <row r="222" ht="60" customHeight="1">
      <c r="A222" s="4" t="inlineStr">
        <is>
          <t>239</t>
        </is>
      </c>
      <c r="B222" s="4" t="inlineStr">
        <is>
          <t>Historical</t>
        </is>
      </c>
      <c r="C222" s="4" t="n">
        <v>239</v>
      </c>
      <c r="D222" s="4" t="inlineStr">
        <is>
          <t>Diagnosing autism severity associated with physical fitness and gray matter volume in children with autism spectrum disorder: Explainable machine learning method</t>
        </is>
      </c>
      <c r="E222" s="4" t="inlineStr">
        <is>
          <t>10.1016/j.ctcp.2023.101825</t>
        </is>
      </c>
      <c r="F222" s="4" t="n">
        <v>2024</v>
      </c>
      <c r="G222" s="4" t="inlineStr">
        <is>
          <t>Historical include</t>
        </is>
      </c>
      <c r="H222" s="4" t="inlineStr">
        <is>
          <t>Not recorded</t>
        </is>
      </c>
      <c r="I222" s="4" t="n">
        <v>0</v>
      </c>
      <c r="J222" s="4" t="inlineStr">
        <is>
          <t>https://doi.org/10.1016/j.ctcp.2023.101825</t>
        </is>
      </c>
      <c r="K222" s="4" t="inlineStr">
        <is>
          <t>Not recorded; historical inclusion retained</t>
        </is>
      </c>
      <c r="L222" s="4" t="inlineStr">
        <is>
          <t>RA</t>
        </is>
      </c>
      <c r="M222" s="40" t="n"/>
      <c r="N222" s="4" t="inlineStr">
        <is>
          <t>Pending independent/source verification</t>
        </is>
      </c>
      <c r="O222" s="4" t="inlineStr">
        <is>
          <t>RQ1_RQ2_base_276 / RQ3_base_276</t>
        </is>
      </c>
      <c r="P222" s="4" t="n">
        <v>222</v>
      </c>
    </row>
    <row r="223" ht="47" customHeight="1">
      <c r="A223" s="4" t="inlineStr">
        <is>
          <t>240</t>
        </is>
      </c>
      <c r="B223" s="4" t="inlineStr">
        <is>
          <t>Historical</t>
        </is>
      </c>
      <c r="C223" s="4" t="n">
        <v>240</v>
      </c>
      <c r="D223" s="4" t="inlineStr">
        <is>
          <t>Diagnosis of Autism Disorder Based on Deep Network Trained by Augmented EEG Signals</t>
        </is>
      </c>
      <c r="E223" s="4" t="inlineStr">
        <is>
          <t>10.1142/s0129065722500460</t>
        </is>
      </c>
      <c r="F223" s="4" t="n">
        <v>2022</v>
      </c>
      <c r="G223" s="4" t="inlineStr">
        <is>
          <t>Historical include</t>
        </is>
      </c>
      <c r="H223" s="4" t="inlineStr">
        <is>
          <t>Not recorded</t>
        </is>
      </c>
      <c r="I223" s="4" t="n">
        <v>0</v>
      </c>
      <c r="J223" s="4" t="inlineStr">
        <is>
          <t>https://doi.org/10.1142/s0129065722500460</t>
        </is>
      </c>
      <c r="K223" s="4" t="inlineStr">
        <is>
          <t>Not recorded; historical inclusion retained</t>
        </is>
      </c>
      <c r="L223" s="4" t="inlineStr">
        <is>
          <t>RA</t>
        </is>
      </c>
      <c r="M223" s="40" t="n"/>
      <c r="N223" s="4" t="inlineStr">
        <is>
          <t>Pending independent/source verification</t>
        </is>
      </c>
      <c r="O223" s="4" t="inlineStr">
        <is>
          <t>RQ1_RQ2_base_276 / RQ3_base_276</t>
        </is>
      </c>
      <c r="P223" s="4" t="n">
        <v>223</v>
      </c>
    </row>
    <row r="224" ht="47" customHeight="1">
      <c r="A224" s="4" t="inlineStr">
        <is>
          <t>241</t>
        </is>
      </c>
      <c r="B224" s="4" t="inlineStr">
        <is>
          <t>Historical</t>
        </is>
      </c>
      <c r="C224" s="4" t="n">
        <v>241</v>
      </c>
      <c r="D224" s="4" t="inlineStr">
        <is>
          <t>Differences in atypical resting-state effective connectivity distinguish autism from schizophrenia</t>
        </is>
      </c>
      <c r="E224" s="4" t="inlineStr">
        <is>
          <t>10.1016/j.nicl.2018.01.014</t>
        </is>
      </c>
      <c r="F224" s="4" t="n">
        <v>2018</v>
      </c>
      <c r="G224" s="4" t="inlineStr">
        <is>
          <t>Historical include</t>
        </is>
      </c>
      <c r="H224" s="4" t="inlineStr">
        <is>
          <t>Not recorded</t>
        </is>
      </c>
      <c r="I224" s="4" t="n">
        <v>0</v>
      </c>
      <c r="J224" s="4" t="inlineStr">
        <is>
          <t>https://doi.org/10.1016/j.nicl.2018.01.014</t>
        </is>
      </c>
      <c r="K224" s="4" t="inlineStr">
        <is>
          <t>Not recorded; historical inclusion retained</t>
        </is>
      </c>
      <c r="L224" s="4" t="inlineStr">
        <is>
          <t>RA</t>
        </is>
      </c>
      <c r="M224" s="40" t="n"/>
      <c r="N224" s="4" t="inlineStr">
        <is>
          <t>Pending independent/source verification</t>
        </is>
      </c>
      <c r="O224" s="4" t="inlineStr">
        <is>
          <t>RQ1_RQ2_base_276 / RQ3_base_276</t>
        </is>
      </c>
      <c r="P224" s="4" t="n">
        <v>224</v>
      </c>
    </row>
    <row r="225" ht="47" customHeight="1">
      <c r="A225" s="4" t="inlineStr">
        <is>
          <t>242</t>
        </is>
      </c>
      <c r="B225" s="4" t="inlineStr">
        <is>
          <t>Historical</t>
        </is>
      </c>
      <c r="C225" s="4" t="n">
        <v>242</v>
      </c>
      <c r="D225" s="4" t="inlineStr">
        <is>
          <t>Eigenvector Centrality Characterization on fMRI Data: Gender and Node Differences in Normal and ASD Subjects: Author name</t>
        </is>
      </c>
      <c r="E225" s="4" t="inlineStr">
        <is>
          <t>10.1007/s10803-023-05922-x</t>
        </is>
      </c>
      <c r="F225" s="4" t="n">
        <v>2024</v>
      </c>
      <c r="G225" s="4" t="inlineStr">
        <is>
          <t>Historical include</t>
        </is>
      </c>
      <c r="H225" s="4" t="inlineStr">
        <is>
          <t>Not recorded</t>
        </is>
      </c>
      <c r="I225" s="4" t="n">
        <v>0</v>
      </c>
      <c r="J225" s="4" t="inlineStr">
        <is>
          <t>https://doi.org/10.1007/s10803-023-05922-x</t>
        </is>
      </c>
      <c r="K225" s="4" t="inlineStr">
        <is>
          <t>Not recorded; historical inclusion retained</t>
        </is>
      </c>
      <c r="L225" s="4" t="str"/>
      <c r="M225" s="40" t="n"/>
      <c r="N225" s="4" t="inlineStr">
        <is>
          <t>Pending independent/source verification</t>
        </is>
      </c>
      <c r="O225" s="4" t="inlineStr">
        <is>
          <t>RQ1_RQ2_base_276 / RQ3_base_276</t>
        </is>
      </c>
      <c r="P225" s="4" t="n">
        <v>225</v>
      </c>
    </row>
    <row r="226" ht="47" customHeight="1">
      <c r="A226" s="4" t="inlineStr">
        <is>
          <t>243</t>
        </is>
      </c>
      <c r="B226" s="4" t="inlineStr">
        <is>
          <t>Historical</t>
        </is>
      </c>
      <c r="C226" s="4" t="n">
        <v>243</v>
      </c>
      <c r="D226" s="4" t="inlineStr">
        <is>
          <t>Enhancing Multi-view ASD Diagnosis Using Structural MRI and Pretrained CNN</t>
        </is>
      </c>
      <c r="E226" s="4" t="inlineStr">
        <is>
          <t>10.1007/978-3-031-83845-3_26</t>
        </is>
      </c>
      <c r="F226" s="4" t="n">
        <v>2025</v>
      </c>
      <c r="G226" s="4" t="inlineStr">
        <is>
          <t>Historical include</t>
        </is>
      </c>
      <c r="H226" s="4" t="inlineStr">
        <is>
          <t>Not recorded</t>
        </is>
      </c>
      <c r="I226" s="4" t="n">
        <v>0</v>
      </c>
      <c r="J226" s="4" t="inlineStr">
        <is>
          <t>https://doi.org/10.1007/978-3-031-83845-3_26</t>
        </is>
      </c>
      <c r="K226" s="4" t="inlineStr">
        <is>
          <t>Not recorded; historical inclusion retained</t>
        </is>
      </c>
      <c r="L226" s="4" t="str"/>
      <c r="M226" s="40" t="n"/>
      <c r="N226" s="4" t="inlineStr">
        <is>
          <t>Pending independent/source verification</t>
        </is>
      </c>
      <c r="O226" s="4" t="inlineStr">
        <is>
          <t>RQ1_RQ2_base_276 / RQ3_base_276</t>
        </is>
      </c>
      <c r="P226" s="4" t="n">
        <v>226</v>
      </c>
    </row>
    <row r="227" ht="47" customHeight="1">
      <c r="A227" s="4" t="inlineStr">
        <is>
          <t>245</t>
        </is>
      </c>
      <c r="B227" s="4" t="inlineStr">
        <is>
          <t>Historical</t>
        </is>
      </c>
      <c r="C227" s="4" t="n">
        <v>245</v>
      </c>
      <c r="D227" s="4" t="inlineStr">
        <is>
          <t>Exploring Sparse Gaussian Processes for Bayesian Optimization in Convolutional Neural Networks for Autism Classification</t>
        </is>
      </c>
      <c r="E227" s="4" t="inlineStr">
        <is>
          <t>10.1109/access.2024.3351168</t>
        </is>
      </c>
      <c r="F227" s="4" t="n">
        <v>2024</v>
      </c>
      <c r="G227" s="4" t="inlineStr">
        <is>
          <t>Historical include</t>
        </is>
      </c>
      <c r="H227" s="4" t="inlineStr">
        <is>
          <t>Not recorded</t>
        </is>
      </c>
      <c r="I227" s="4" t="n">
        <v>0</v>
      </c>
      <c r="J227" s="4" t="inlineStr">
        <is>
          <t>https://doi.org/10.1109/access.2024.3351168</t>
        </is>
      </c>
      <c r="K227" s="4" t="inlineStr">
        <is>
          <t>Not recorded; historical inclusion retained</t>
        </is>
      </c>
      <c r="L227" s="4" t="str"/>
      <c r="M227" s="40" t="n"/>
      <c r="N227" s="4" t="inlineStr">
        <is>
          <t>Pending independent/source verification</t>
        </is>
      </c>
      <c r="O227" s="4" t="inlineStr">
        <is>
          <t>RQ1_RQ2_base_276 / RQ3_base_276</t>
        </is>
      </c>
      <c r="P227" s="4" t="n">
        <v>227</v>
      </c>
    </row>
    <row r="228" ht="47" customHeight="1">
      <c r="A228" s="4" t="inlineStr">
        <is>
          <t>246</t>
        </is>
      </c>
      <c r="B228" s="4" t="inlineStr">
        <is>
          <t>Historical</t>
        </is>
      </c>
      <c r="C228" s="4" t="n">
        <v>246</v>
      </c>
      <c r="D228" s="4" t="inlineStr">
        <is>
          <t>Exploring tree-based machine learning methods to predict autism spectrum disorder</t>
        </is>
      </c>
      <c r="E228" s="4" t="inlineStr">
        <is>
          <t>10.1016/b978-0-12-822822-7.00009-0</t>
        </is>
      </c>
      <c r="F228" s="4" t="n">
        <v>2021</v>
      </c>
      <c r="G228" s="4" t="inlineStr">
        <is>
          <t>Historical include</t>
        </is>
      </c>
      <c r="H228" s="4" t="inlineStr">
        <is>
          <t>Not recorded</t>
        </is>
      </c>
      <c r="I228" s="4" t="n">
        <v>0</v>
      </c>
      <c r="J228" s="4" t="inlineStr">
        <is>
          <t>https://doi.org/10.1016/b978-0-12-822822-7.00009-0</t>
        </is>
      </c>
      <c r="K228" s="4" t="inlineStr">
        <is>
          <t>Not recorded; historical inclusion retained</t>
        </is>
      </c>
      <c r="L228" s="4" t="inlineStr">
        <is>
          <t>RA</t>
        </is>
      </c>
      <c r="M228" s="40" t="n"/>
      <c r="N228" s="4" t="inlineStr">
        <is>
          <t>Pending independent/source verification</t>
        </is>
      </c>
      <c r="O228" s="4" t="inlineStr">
        <is>
          <t>RQ1_RQ2_base_276 / RQ3_base_276</t>
        </is>
      </c>
      <c r="P228" s="4" t="n">
        <v>228</v>
      </c>
    </row>
    <row r="229" ht="47" customHeight="1">
      <c r="A229" s="4" t="inlineStr">
        <is>
          <t>247</t>
        </is>
      </c>
      <c r="B229" s="4" t="inlineStr">
        <is>
          <t>Historical</t>
        </is>
      </c>
      <c r="C229" s="4" t="n">
        <v>247</v>
      </c>
      <c r="D229" s="4" t="inlineStr">
        <is>
          <t>Few-Shot Classification of Autism Spectrum Disorder using Site-Agnostic Meta-Learning and Brain MRI</t>
        </is>
      </c>
      <c r="E229" s="4" t="inlineStr">
        <is>
          <t>10.1109/embc40787.2023.10340852</t>
        </is>
      </c>
      <c r="F229" s="4" t="n">
        <v>2023</v>
      </c>
      <c r="G229" s="4" t="inlineStr">
        <is>
          <t>Historical include</t>
        </is>
      </c>
      <c r="H229" s="4" t="inlineStr">
        <is>
          <t>Not recorded</t>
        </is>
      </c>
      <c r="I229" s="4" t="n">
        <v>0</v>
      </c>
      <c r="J229" s="4" t="inlineStr">
        <is>
          <t>https://doi.org/10.1109/embc40787.2023.10340852</t>
        </is>
      </c>
      <c r="K229" s="4" t="inlineStr">
        <is>
          <t>Not recorded; historical inclusion retained</t>
        </is>
      </c>
      <c r="L229" s="4" t="str"/>
      <c r="M229" s="40" t="n"/>
      <c r="N229" s="4" t="inlineStr">
        <is>
          <t>Pending independent/source verification</t>
        </is>
      </c>
      <c r="O229" s="4" t="inlineStr">
        <is>
          <t>RQ1_RQ2_base_276 / RQ3_base_276</t>
        </is>
      </c>
      <c r="P229" s="4" t="n">
        <v>229</v>
      </c>
    </row>
    <row r="230" ht="47" customHeight="1">
      <c r="A230" s="4" t="inlineStr">
        <is>
          <t>248</t>
        </is>
      </c>
      <c r="B230" s="4" t="inlineStr">
        <is>
          <t>Historical</t>
        </is>
      </c>
      <c r="C230" s="4" t="n">
        <v>248</v>
      </c>
      <c r="D230" s="4" t="inlineStr">
        <is>
          <t>Gaze Patterns in Children With Autism Spectrum Disorder to Emotional Faces: Scanpath and Similarity</t>
        </is>
      </c>
      <c r="E230" s="4" t="inlineStr">
        <is>
          <t>10.1109/tnsre.2024.3361935</t>
        </is>
      </c>
      <c r="F230" s="4" t="n">
        <v>2024</v>
      </c>
      <c r="G230" s="4" t="inlineStr">
        <is>
          <t>Historical include</t>
        </is>
      </c>
      <c r="H230" s="4" t="inlineStr">
        <is>
          <t>Not recorded</t>
        </is>
      </c>
      <c r="I230" s="4" t="n">
        <v>0</v>
      </c>
      <c r="J230" s="4" t="inlineStr">
        <is>
          <t>https://doi.org/10.1109/tnsre.2024.3361935</t>
        </is>
      </c>
      <c r="K230" s="4" t="inlineStr">
        <is>
          <t>Not recorded; historical inclusion retained</t>
        </is>
      </c>
      <c r="L230" s="4" t="str"/>
      <c r="M230" s="40" t="n"/>
      <c r="N230" s="4" t="inlineStr">
        <is>
          <t>Pending independent/source verification</t>
        </is>
      </c>
      <c r="O230" s="4" t="inlineStr">
        <is>
          <t>RQ1_RQ2_base_276 / RQ3_base_276</t>
        </is>
      </c>
      <c r="P230" s="4" t="n">
        <v>230</v>
      </c>
    </row>
    <row r="231" ht="47" customHeight="1">
      <c r="A231" s="4" t="inlineStr">
        <is>
          <t>249</t>
        </is>
      </c>
      <c r="B231" s="4" t="inlineStr">
        <is>
          <t>Historical</t>
        </is>
      </c>
      <c r="C231" s="4" t="n">
        <v>249</v>
      </c>
      <c r="D231" s="4" t="inlineStr">
        <is>
          <t>Gray Matter Alterations in Young Children with Autism Spectrum Disorders: Comparing Morphometry at the Voxel and Regional Level</t>
        </is>
      </c>
      <c r="E231" s="4" t="inlineStr">
        <is>
          <t>10.1111/jon.12280</t>
        </is>
      </c>
      <c r="F231" s="4" t="n">
        <v>2015</v>
      </c>
      <c r="G231" s="4" t="inlineStr">
        <is>
          <t>Historical include</t>
        </is>
      </c>
      <c r="H231" s="4" t="inlineStr">
        <is>
          <t>Not recorded</t>
        </is>
      </c>
      <c r="I231" s="4" t="n">
        <v>0</v>
      </c>
      <c r="J231" s="4" t="inlineStr">
        <is>
          <t>https://doi.org/10.1111/jon.12280</t>
        </is>
      </c>
      <c r="K231" s="4" t="inlineStr">
        <is>
          <t>Not recorded; historical inclusion retained</t>
        </is>
      </c>
      <c r="L231" s="4" t="inlineStr">
        <is>
          <t>RA</t>
        </is>
      </c>
      <c r="M231" s="40" t="n"/>
      <c r="N231" s="4" t="inlineStr">
        <is>
          <t>Pending independent/source verification</t>
        </is>
      </c>
      <c r="O231" s="4" t="inlineStr">
        <is>
          <t>RQ1_RQ2_base_276 / RQ3_base_276</t>
        </is>
      </c>
      <c r="P231" s="4" t="n">
        <v>231</v>
      </c>
    </row>
    <row r="232" ht="47" customHeight="1">
      <c r="A232" s="4" t="inlineStr">
        <is>
          <t>250</t>
        </is>
      </c>
      <c r="B232" s="4" t="inlineStr">
        <is>
          <t>Historical</t>
        </is>
      </c>
      <c r="C232" s="4" t="n">
        <v>250</v>
      </c>
      <c r="D232" s="4" t="inlineStr">
        <is>
          <t>Identification of Autism spectrum disorder based on a novel feature selection method and Variational Autoencoder</t>
        </is>
      </c>
      <c r="E232" s="4" t="inlineStr">
        <is>
          <t>10.1016/j.compbiomed.2022.105854</t>
        </is>
      </c>
      <c r="F232" s="4" t="n">
        <v>2022</v>
      </c>
      <c r="G232" s="4" t="inlineStr">
        <is>
          <t>Historical include</t>
        </is>
      </c>
      <c r="H232" s="4" t="inlineStr">
        <is>
          <t>Not recorded</t>
        </is>
      </c>
      <c r="I232" s="4" t="n">
        <v>0</v>
      </c>
      <c r="J232" s="4" t="inlineStr">
        <is>
          <t>https://doi.org/10.1016/j.compbiomed.2022.105854</t>
        </is>
      </c>
      <c r="K232" s="4" t="inlineStr">
        <is>
          <t>Not recorded; historical inclusion retained</t>
        </is>
      </c>
      <c r="L232" s="4" t="inlineStr">
        <is>
          <t>RA</t>
        </is>
      </c>
      <c r="M232" s="40" t="n"/>
      <c r="N232" s="4" t="inlineStr">
        <is>
          <t>Pending independent/source verification</t>
        </is>
      </c>
      <c r="O232" s="4" t="inlineStr">
        <is>
          <t>RQ1_RQ2_base_276 / RQ3_base_276</t>
        </is>
      </c>
      <c r="P232" s="4" t="n">
        <v>232</v>
      </c>
    </row>
    <row r="233" ht="47" customHeight="1">
      <c r="A233" s="4" t="inlineStr">
        <is>
          <t>251</t>
        </is>
      </c>
      <c r="B233" s="4" t="inlineStr">
        <is>
          <t>Historical</t>
        </is>
      </c>
      <c r="C233" s="4" t="n">
        <v>251</v>
      </c>
      <c r="D233" s="4" t="inlineStr">
        <is>
          <t>Integrative analysis of long noncoding RNAs dysregulation and synapse-associated ceRNA regulatory axes in autism</t>
        </is>
      </c>
      <c r="E233" s="4" t="inlineStr">
        <is>
          <t>10.1038/s41398-023-02662-5</t>
        </is>
      </c>
      <c r="F233" s="4" t="n">
        <v>2023</v>
      </c>
      <c r="G233" s="4" t="inlineStr">
        <is>
          <t>Historical include</t>
        </is>
      </c>
      <c r="H233" s="4" t="inlineStr">
        <is>
          <t>Not recorded</t>
        </is>
      </c>
      <c r="I233" s="4" t="n">
        <v>0</v>
      </c>
      <c r="J233" s="4" t="inlineStr">
        <is>
          <t>https://doi.org/10.1038/s41398-023-02662-5</t>
        </is>
      </c>
      <c r="K233" s="4" t="inlineStr">
        <is>
          <t>Not recorded; historical inclusion retained</t>
        </is>
      </c>
      <c r="L233" s="4" t="inlineStr">
        <is>
          <t>RA</t>
        </is>
      </c>
      <c r="M233" s="40" t="n"/>
      <c r="N233" s="4" t="inlineStr">
        <is>
          <t>Pending independent/source verification</t>
        </is>
      </c>
      <c r="O233" s="4" t="inlineStr">
        <is>
          <t>RQ1_RQ2_base_276 / RQ3_base_276</t>
        </is>
      </c>
      <c r="P233" s="4" t="n">
        <v>233</v>
      </c>
    </row>
    <row r="234" ht="60" customHeight="1">
      <c r="A234" s="4" t="inlineStr">
        <is>
          <t>253</t>
        </is>
      </c>
      <c r="B234" s="4" t="inlineStr">
        <is>
          <t>Historical</t>
        </is>
      </c>
      <c r="C234" s="4" t="n">
        <v>253</v>
      </c>
      <c r="D234" s="4" t="inlineStr">
        <is>
          <t>Interpersonal Motor Coordination in Children with Autism and the Establishment of Machine Learning Models to Objectively Classify Children with Autism and Typical Development</t>
        </is>
      </c>
      <c r="E234" s="4" t="inlineStr">
        <is>
          <t>10.1016/j.irbm.2024.100838</t>
        </is>
      </c>
      <c r="F234" s="4" t="n">
        <v>2024</v>
      </c>
      <c r="G234" s="4" t="inlineStr">
        <is>
          <t>Historical include</t>
        </is>
      </c>
      <c r="H234" s="4" t="inlineStr">
        <is>
          <t>Not recorded</t>
        </is>
      </c>
      <c r="I234" s="4" t="n">
        <v>0</v>
      </c>
      <c r="J234" s="4" t="inlineStr">
        <is>
          <t>https://doi.org/10.1016/j.irbm.2024.100838</t>
        </is>
      </c>
      <c r="K234" s="4" t="inlineStr">
        <is>
          <t>Not recorded; historical inclusion retained</t>
        </is>
      </c>
      <c r="L234" s="4" t="inlineStr">
        <is>
          <t>RA</t>
        </is>
      </c>
      <c r="M234" s="40" t="n"/>
      <c r="N234" s="4" t="inlineStr">
        <is>
          <t>Pending independent/source verification</t>
        </is>
      </c>
      <c r="O234" s="4" t="inlineStr">
        <is>
          <t>RQ1_RQ2_base_276 / RQ3_base_276</t>
        </is>
      </c>
      <c r="P234" s="4" t="n">
        <v>234</v>
      </c>
    </row>
    <row r="235" ht="47" customHeight="1">
      <c r="A235" s="4" t="inlineStr">
        <is>
          <t>254</t>
        </is>
      </c>
      <c r="B235" s="4" t="inlineStr">
        <is>
          <t>Historical</t>
        </is>
      </c>
      <c r="C235" s="4" t="n">
        <v>254</v>
      </c>
      <c r="D235" s="4" t="inlineStr">
        <is>
          <t>Low-Rank Representation for Multi-center Autism Spectrum Disorder Identification.</t>
        </is>
      </c>
      <c r="E235" s="4" t="inlineStr">
        <is>
          <t>10.1007/978-3-030-00928-1_73</t>
        </is>
      </c>
      <c r="F235" s="4" t="n">
        <v>2018</v>
      </c>
      <c r="G235" s="4" t="inlineStr">
        <is>
          <t>Historical include</t>
        </is>
      </c>
      <c r="H235" s="4" t="inlineStr">
        <is>
          <t>Not recorded</t>
        </is>
      </c>
      <c r="I235" s="4" t="n">
        <v>0</v>
      </c>
      <c r="J235" s="4" t="inlineStr">
        <is>
          <t>https://doi.org/10.1007/978-3-030-00928-1_73</t>
        </is>
      </c>
      <c r="K235" s="4" t="inlineStr">
        <is>
          <t>Not recorded; historical inclusion retained</t>
        </is>
      </c>
      <c r="L235" s="4" t="inlineStr">
        <is>
          <t>RA</t>
        </is>
      </c>
      <c r="M235" s="40" t="n"/>
      <c r="N235" s="4" t="inlineStr">
        <is>
          <t>Pending independent/source verification</t>
        </is>
      </c>
      <c r="O235" s="4" t="inlineStr">
        <is>
          <t>RQ1_RQ2_base_276 / RQ3_base_276</t>
        </is>
      </c>
      <c r="P235" s="4" t="n">
        <v>235</v>
      </c>
    </row>
    <row r="236" ht="47" customHeight="1">
      <c r="A236" s="4" t="inlineStr">
        <is>
          <t>255</t>
        </is>
      </c>
      <c r="B236" s="4" t="inlineStr">
        <is>
          <t>Historical</t>
        </is>
      </c>
      <c r="C236" s="4" t="n">
        <v>255</v>
      </c>
      <c r="D236" s="4" t="inlineStr">
        <is>
          <t>LSTA-CNN: A Lightweight Spatiotemporal Attention-Based Convolutional Neural Network for ASD Diagnosis Using EEG</t>
        </is>
      </c>
      <c r="E236" s="4" t="inlineStr">
        <is>
          <t>10.1109/tnsre.2025.3580593</t>
        </is>
      </c>
      <c r="F236" s="4" t="n">
        <v>2025</v>
      </c>
      <c r="G236" s="4" t="inlineStr">
        <is>
          <t>Historical include</t>
        </is>
      </c>
      <c r="H236" s="4" t="inlineStr">
        <is>
          <t>Not recorded</t>
        </is>
      </c>
      <c r="I236" s="4" t="n">
        <v>0</v>
      </c>
      <c r="J236" s="4" t="inlineStr">
        <is>
          <t>https://doi.org/10.1109/tnsre.2025.3580593</t>
        </is>
      </c>
      <c r="K236" s="4" t="inlineStr">
        <is>
          <t>Not recorded; historical inclusion retained</t>
        </is>
      </c>
      <c r="L236" s="4" t="inlineStr">
        <is>
          <t>RA</t>
        </is>
      </c>
      <c r="M236" s="40" t="n"/>
      <c r="N236" s="4" t="inlineStr">
        <is>
          <t>Pending independent/source verification</t>
        </is>
      </c>
      <c r="O236" s="4" t="inlineStr">
        <is>
          <t>RQ1_RQ2_base_276 / RQ3_base_276</t>
        </is>
      </c>
      <c r="P236" s="4" t="n">
        <v>236</v>
      </c>
    </row>
    <row r="237" ht="47" customHeight="1">
      <c r="A237" s="4" t="inlineStr">
        <is>
          <t>256</t>
        </is>
      </c>
      <c r="B237" s="4" t="inlineStr">
        <is>
          <t>Historical</t>
        </is>
      </c>
      <c r="C237" s="4" t="n">
        <v>256</v>
      </c>
      <c r="D237" s="4" t="inlineStr">
        <is>
          <t>Machine learning methods for autism spectrum disorder classification</t>
        </is>
      </c>
      <c r="E237" s="4" t="inlineStr">
        <is>
          <t>10.1016/b978-0-12-822822-7.00008-9</t>
        </is>
      </c>
      <c r="F237" s="4" t="n">
        <v>2021</v>
      </c>
      <c r="G237" s="4" t="inlineStr">
        <is>
          <t>Historical include</t>
        </is>
      </c>
      <c r="H237" s="4" t="inlineStr">
        <is>
          <t>Not recorded</t>
        </is>
      </c>
      <c r="I237" s="4" t="n">
        <v>0</v>
      </c>
      <c r="J237" s="4" t="inlineStr">
        <is>
          <t>https://doi.org/10.1016/b978-0-12-822822-7.00008-9</t>
        </is>
      </c>
      <c r="K237" s="4" t="inlineStr">
        <is>
          <t>Not recorded; historical inclusion retained</t>
        </is>
      </c>
      <c r="L237" s="4" t="str"/>
      <c r="M237" s="40" t="n"/>
      <c r="N237" s="4" t="inlineStr">
        <is>
          <t>Pending independent/source verification</t>
        </is>
      </c>
      <c r="O237" s="4" t="inlineStr">
        <is>
          <t>RQ1_RQ2_base_276 / RQ3_base_276</t>
        </is>
      </c>
      <c r="P237" s="4" t="n">
        <v>237</v>
      </c>
    </row>
    <row r="238" ht="47" customHeight="1">
      <c r="A238" s="4" t="inlineStr">
        <is>
          <t>258</t>
        </is>
      </c>
      <c r="B238" s="4" t="inlineStr">
        <is>
          <t>Historical</t>
        </is>
      </c>
      <c r="C238" s="4" t="n">
        <v>258</v>
      </c>
      <c r="D238" s="4" t="inlineStr">
        <is>
          <t>MDNCT: a multi-domain neurocognitive transformer architecture approach for early prediction of autism spectrum disorders</t>
        </is>
      </c>
      <c r="E238" s="4" t="inlineStr">
        <is>
          <t>10.1038/s41598-025-09862-7</t>
        </is>
      </c>
      <c r="F238" s="4" t="n">
        <v>2025</v>
      </c>
      <c r="G238" s="4" t="inlineStr">
        <is>
          <t>Historical include</t>
        </is>
      </c>
      <c r="H238" s="4" t="inlineStr">
        <is>
          <t>Not recorded</t>
        </is>
      </c>
      <c r="I238" s="4" t="n">
        <v>0</v>
      </c>
      <c r="J238" s="4" t="inlineStr">
        <is>
          <t>https://doi.org/10.1038/s41598-025-09862-7</t>
        </is>
      </c>
      <c r="K238" s="4" t="inlineStr">
        <is>
          <t>Not recorded; historical inclusion retained</t>
        </is>
      </c>
      <c r="L238" s="4" t="inlineStr">
        <is>
          <t>RA</t>
        </is>
      </c>
      <c r="M238" s="40" t="n"/>
      <c r="N238" s="4" t="inlineStr">
        <is>
          <t>Pending independent/source verification</t>
        </is>
      </c>
      <c r="O238" s="4" t="inlineStr">
        <is>
          <t>RQ1_RQ2_base_276 / RQ3_base_276</t>
        </is>
      </c>
      <c r="P238" s="4" t="n">
        <v>238</v>
      </c>
    </row>
    <row r="239" ht="47" customHeight="1">
      <c r="A239" s="4" t="inlineStr">
        <is>
          <t>259</t>
        </is>
      </c>
      <c r="B239" s="4" t="inlineStr">
        <is>
          <t>Historical</t>
        </is>
      </c>
      <c r="C239" s="4" t="n">
        <v>259</v>
      </c>
      <c r="D239" s="4" t="inlineStr">
        <is>
          <t>MHATC: Autism Spectrum Disorder Identification Utilizing Multi-Head Attention Encoder Along with Temporal Consolidation Modules</t>
        </is>
      </c>
      <c r="E239" s="4" t="inlineStr">
        <is>
          <t>10.1109/embc48229.2022.9871130</t>
        </is>
      </c>
      <c r="F239" s="4" t="n">
        <v>2022</v>
      </c>
      <c r="G239" s="4" t="inlineStr">
        <is>
          <t>Historical include</t>
        </is>
      </c>
      <c r="H239" s="4" t="inlineStr">
        <is>
          <t>Not recorded</t>
        </is>
      </c>
      <c r="I239" s="4" t="n">
        <v>0</v>
      </c>
      <c r="J239" s="4" t="inlineStr">
        <is>
          <t>https://doi.org/10.1109/embc48229.2022.9871130</t>
        </is>
      </c>
      <c r="K239" s="4" t="inlineStr">
        <is>
          <t>Not recorded; historical inclusion retained</t>
        </is>
      </c>
      <c r="L239" s="4" t="str"/>
      <c r="M239" s="40" t="n"/>
      <c r="N239" s="4" t="inlineStr">
        <is>
          <t>Pending independent/source verification</t>
        </is>
      </c>
      <c r="O239" s="4" t="inlineStr">
        <is>
          <t>RQ1_RQ2_base_276 / RQ3_base_276</t>
        </is>
      </c>
      <c r="P239" s="4" t="n">
        <v>239</v>
      </c>
    </row>
    <row r="240" ht="47" customHeight="1">
      <c r="A240" s="4" t="inlineStr">
        <is>
          <t>260</t>
        </is>
      </c>
      <c r="B240" s="4" t="inlineStr">
        <is>
          <t>Historical</t>
        </is>
      </c>
      <c r="C240" s="4" t="n">
        <v>260</v>
      </c>
      <c r="D240" s="4" t="inlineStr">
        <is>
          <t>Multi-atlas Representations Based on\&amp;#xa0;Graph Convolutional Networks for\&amp;#xa0;Autism Spectrum Disorder Diagnosis</t>
        </is>
      </c>
      <c r="E240" s="4" t="inlineStr">
        <is>
          <t>10.1007/978-981-99-8558-6_38</t>
        </is>
      </c>
      <c r="F240" s="4" t="n">
        <v>2024</v>
      </c>
      <c r="G240" s="4" t="inlineStr">
        <is>
          <t>Historical include</t>
        </is>
      </c>
      <c r="H240" s="4" t="inlineStr">
        <is>
          <t>Not recorded</t>
        </is>
      </c>
      <c r="I240" s="4" t="n">
        <v>0</v>
      </c>
      <c r="J240" s="4" t="inlineStr">
        <is>
          <t>https://doi.org/10.1007/978-981-99-8558-6_38</t>
        </is>
      </c>
      <c r="K240" s="4" t="inlineStr">
        <is>
          <t>Not recorded; historical inclusion retained</t>
        </is>
      </c>
      <c r="L240" s="4" t="inlineStr">
        <is>
          <t>RA</t>
        </is>
      </c>
      <c r="M240" s="40" t="n"/>
      <c r="N240" s="4" t="inlineStr">
        <is>
          <t>Pending independent/source verification</t>
        </is>
      </c>
      <c r="O240" s="4" t="inlineStr">
        <is>
          <t>RQ1_RQ2_base_276 / RQ3_base_276</t>
        </is>
      </c>
      <c r="P240" s="4" t="n">
        <v>240</v>
      </c>
    </row>
    <row r="241" ht="47" customHeight="1">
      <c r="A241" s="4" t="inlineStr">
        <is>
          <t>261</t>
        </is>
      </c>
      <c r="B241" s="4" t="inlineStr">
        <is>
          <t>Historical</t>
        </is>
      </c>
      <c r="C241" s="4" t="n">
        <v>261</v>
      </c>
      <c r="D241" s="4" t="inlineStr">
        <is>
          <t>Multiple Classification of Brain MRI Autism Spectrum Disorder by Age and Gender Using Deep Learning</t>
        </is>
      </c>
      <c r="E241" s="4" t="inlineStr">
        <is>
          <t>10.1007/s10916-023-02032-0</t>
        </is>
      </c>
      <c r="F241" s="4" t="n">
        <v>2024</v>
      </c>
      <c r="G241" s="4" t="inlineStr">
        <is>
          <t>Historical include</t>
        </is>
      </c>
      <c r="H241" s="4" t="inlineStr">
        <is>
          <t>Not recorded</t>
        </is>
      </c>
      <c r="I241" s="4" t="n">
        <v>0</v>
      </c>
      <c r="J241" s="4" t="inlineStr">
        <is>
          <t>https://doi.org/10.1007/s10916-023-02032-0</t>
        </is>
      </c>
      <c r="K241" s="4" t="inlineStr">
        <is>
          <t>Not recorded; historical inclusion retained</t>
        </is>
      </c>
      <c r="L241" s="4" t="str"/>
      <c r="M241" s="40" t="n"/>
      <c r="N241" s="4" t="inlineStr">
        <is>
          <t>Pending independent/source verification</t>
        </is>
      </c>
      <c r="O241" s="4" t="inlineStr">
        <is>
          <t>RQ1_RQ2_base_276 / RQ3_base_276</t>
        </is>
      </c>
      <c r="P241" s="4" t="n">
        <v>241</v>
      </c>
    </row>
    <row r="242" ht="47" customHeight="1">
      <c r="A242" s="4" t="inlineStr">
        <is>
          <t>262</t>
        </is>
      </c>
      <c r="B242" s="4" t="inlineStr">
        <is>
          <t>Historical</t>
        </is>
      </c>
      <c r="C242" s="4" t="n">
        <v>262</v>
      </c>
      <c r="D242" s="4" t="inlineStr">
        <is>
          <t>MVS-GCN: A prior brain structure learning-guided multi-view graph convolution network for autism spectrum disorder diagnosis</t>
        </is>
      </c>
      <c r="E242" s="4" t="inlineStr">
        <is>
          <t>10.1016/j.compbiomed.2022.105239</t>
        </is>
      </c>
      <c r="F242" s="4" t="n">
        <v>2022</v>
      </c>
      <c r="G242" s="4" t="inlineStr">
        <is>
          <t>Historical include</t>
        </is>
      </c>
      <c r="H242" s="4" t="inlineStr">
        <is>
          <t>Not recorded</t>
        </is>
      </c>
      <c r="I242" s="4" t="n">
        <v>0</v>
      </c>
      <c r="J242" s="4" t="inlineStr">
        <is>
          <t>https://doi.org/10.1016/j.compbiomed.2022.105239</t>
        </is>
      </c>
      <c r="K242" s="4" t="inlineStr">
        <is>
          <t>Not recorded; historical inclusion retained</t>
        </is>
      </c>
      <c r="L242" s="4" t="str"/>
      <c r="M242" s="40" t="n"/>
      <c r="N242" s="4" t="inlineStr">
        <is>
          <t>Pending independent/source verification</t>
        </is>
      </c>
      <c r="O242" s="4" t="inlineStr">
        <is>
          <t>RQ1_RQ2_base_276 / RQ3_base_276</t>
        </is>
      </c>
      <c r="P242" s="4" t="n">
        <v>242</v>
      </c>
    </row>
    <row r="243" ht="73" customHeight="1">
      <c r="A243" s="4" t="inlineStr">
        <is>
          <t>263</t>
        </is>
      </c>
      <c r="B243" s="4" t="inlineStr">
        <is>
          <t>Historical</t>
        </is>
      </c>
      <c r="C243" s="4" t="n">
        <v>263</v>
      </c>
      <c r="D243" s="4" t="inlineStr">
        <is>
          <t>Neurodevelopmental model of schizophrenia revisited: similarity in individual deviation and idiosyncrasy from the normative model of whole-brain white matter tracts and shared brain-cognition covariation with ADHD and ASD</t>
        </is>
      </c>
      <c r="E243" s="4" t="inlineStr">
        <is>
          <t>10.1038/s41380-022-01636-1</t>
        </is>
      </c>
      <c r="F243" s="4" t="n">
        <v>2022</v>
      </c>
      <c r="G243" s="4" t="inlineStr">
        <is>
          <t>Historical include</t>
        </is>
      </c>
      <c r="H243" s="4" t="inlineStr">
        <is>
          <t>Not recorded</t>
        </is>
      </c>
      <c r="I243" s="4" t="n">
        <v>0</v>
      </c>
      <c r="J243" s="4" t="inlineStr">
        <is>
          <t>https://doi.org/10.1038/s41380-022-01636-1</t>
        </is>
      </c>
      <c r="K243" s="4" t="inlineStr">
        <is>
          <t>Not recorded; historical inclusion retained</t>
        </is>
      </c>
      <c r="L243" s="4" t="str"/>
      <c r="M243" s="40" t="n"/>
      <c r="N243" s="4" t="inlineStr">
        <is>
          <t>Pending independent/source verification</t>
        </is>
      </c>
      <c r="O243" s="4" t="inlineStr">
        <is>
          <t>RQ1_RQ2_base_276 / RQ3_base_276</t>
        </is>
      </c>
      <c r="P243" s="4" t="n">
        <v>243</v>
      </c>
    </row>
    <row r="244" ht="47" customHeight="1">
      <c r="A244" s="4" t="inlineStr">
        <is>
          <t>264</t>
        </is>
      </c>
      <c r="B244" s="4" t="inlineStr">
        <is>
          <t>Historical</t>
        </is>
      </c>
      <c r="C244" s="4" t="n">
        <v>264</v>
      </c>
      <c r="D244" s="4" t="inlineStr">
        <is>
          <t>Non-Oscillatory Connectivity Approach for Classification of Autism Spectrum Disorder Subtypes Using Resting-State fMRI</t>
        </is>
      </c>
      <c r="E244" s="4" t="inlineStr">
        <is>
          <t>10.1109/access.2022.3146719</t>
        </is>
      </c>
      <c r="F244" s="4" t="n">
        <v>2022</v>
      </c>
      <c r="G244" s="4" t="inlineStr">
        <is>
          <t>Historical include</t>
        </is>
      </c>
      <c r="H244" s="4" t="inlineStr">
        <is>
          <t>Not recorded</t>
        </is>
      </c>
      <c r="I244" s="4" t="n">
        <v>0</v>
      </c>
      <c r="J244" s="4" t="inlineStr">
        <is>
          <t>https://doi.org/10.1109/access.2022.3146719</t>
        </is>
      </c>
      <c r="K244" s="4" t="inlineStr">
        <is>
          <t>Not recorded; historical inclusion retained</t>
        </is>
      </c>
      <c r="L244" s="4" t="str"/>
      <c r="M244" s="40" t="n"/>
      <c r="N244" s="4" t="inlineStr">
        <is>
          <t>Pending independent/source verification</t>
        </is>
      </c>
      <c r="O244" s="4" t="inlineStr">
        <is>
          <t>RQ1_RQ2_base_276 / RQ3_base_276</t>
        </is>
      </c>
      <c r="P244" s="4" t="n">
        <v>244</v>
      </c>
    </row>
    <row r="245" ht="47" customHeight="1">
      <c r="A245" s="4" t="inlineStr">
        <is>
          <t>265</t>
        </is>
      </c>
      <c r="B245" s="4" t="inlineStr">
        <is>
          <t>Historical</t>
        </is>
      </c>
      <c r="C245" s="4" t="n">
        <v>265</v>
      </c>
      <c r="D245" s="4" t="inlineStr">
        <is>
          <t>Personalized identification of autism-related bacteria in the gut microbiome using explainable artificial intelligence</t>
        </is>
      </c>
      <c r="E245" s="4" t="inlineStr">
        <is>
          <t>10.1016/j.isci.2024.110709</t>
        </is>
      </c>
      <c r="F245" s="4" t="n">
        <v>2024</v>
      </c>
      <c r="G245" s="4" t="inlineStr">
        <is>
          <t>Historical include</t>
        </is>
      </c>
      <c r="H245" s="4" t="inlineStr">
        <is>
          <t>Not recorded</t>
        </is>
      </c>
      <c r="I245" s="4" t="n">
        <v>0</v>
      </c>
      <c r="J245" s="4" t="inlineStr">
        <is>
          <t>https://doi.org/10.1016/j.isci.2024.110709</t>
        </is>
      </c>
      <c r="K245" s="4" t="inlineStr">
        <is>
          <t>Not recorded; historical inclusion retained</t>
        </is>
      </c>
      <c r="L245" s="4" t="str"/>
      <c r="M245" s="40" t="n"/>
      <c r="N245" s="4" t="inlineStr">
        <is>
          <t>Pending independent/source verification</t>
        </is>
      </c>
      <c r="O245" s="4" t="inlineStr">
        <is>
          <t>RQ1_RQ2_base_276 / RQ3_base_276</t>
        </is>
      </c>
      <c r="P245" s="4" t="n">
        <v>245</v>
      </c>
    </row>
    <row r="246" ht="60" customHeight="1">
      <c r="A246" s="4" t="inlineStr">
        <is>
          <t>266</t>
        </is>
      </c>
      <c r="B246" s="4" t="inlineStr">
        <is>
          <t>Historical</t>
        </is>
      </c>
      <c r="C246" s="4" t="n">
        <v>266</v>
      </c>
      <c r="D246" s="4" t="inlineStr">
        <is>
          <t>Prenatal exposure to criteria air pollution and traffic-related air toxics and risk of autism spectrum disorder: A population-based cohort study of California births (1990–2018)</t>
        </is>
      </c>
      <c r="E246" s="4" t="inlineStr">
        <is>
          <t>10.1016/j.envint.2025.109562</t>
        </is>
      </c>
      <c r="F246" s="4" t="n">
        <v>2025</v>
      </c>
      <c r="G246" s="4" t="inlineStr">
        <is>
          <t>Historical include</t>
        </is>
      </c>
      <c r="H246" s="4" t="inlineStr">
        <is>
          <t>Not recorded</t>
        </is>
      </c>
      <c r="I246" s="4" t="n">
        <v>0</v>
      </c>
      <c r="J246" s="4" t="inlineStr">
        <is>
          <t>https://doi.org/10.1016/j.envint.2025.109562</t>
        </is>
      </c>
      <c r="K246" s="4" t="inlineStr">
        <is>
          <t>Not recorded; historical inclusion retained</t>
        </is>
      </c>
      <c r="L246" s="4" t="inlineStr">
        <is>
          <t>RA</t>
        </is>
      </c>
      <c r="M246" s="40" t="n"/>
      <c r="N246" s="4" t="inlineStr">
        <is>
          <t>Pending independent/source verification</t>
        </is>
      </c>
      <c r="O246" s="4" t="inlineStr">
        <is>
          <t>RQ1_RQ2_base_276 / RQ3_base_276</t>
        </is>
      </c>
      <c r="P246" s="4" t="n">
        <v>246</v>
      </c>
    </row>
    <row r="247" ht="47" customHeight="1">
      <c r="A247" s="4" t="inlineStr">
        <is>
          <t>267</t>
        </is>
      </c>
      <c r="B247" s="4" t="inlineStr">
        <is>
          <t>Historical</t>
        </is>
      </c>
      <c r="C247" s="4" t="n">
        <v>267</v>
      </c>
      <c r="D247" s="4" t="inlineStr">
        <is>
          <t>Risk assessment for parents who suspect their child has autism spectrum disorder: Machine learning approach</t>
        </is>
      </c>
      <c r="E247" s="4" t="inlineStr">
        <is>
          <t>10.2196/jmir.9496</t>
        </is>
      </c>
      <c r="F247" s="4" t="n">
        <v>2018</v>
      </c>
      <c r="G247" s="4" t="inlineStr">
        <is>
          <t>Historical include</t>
        </is>
      </c>
      <c r="H247" s="4" t="inlineStr">
        <is>
          <t>Not recorded</t>
        </is>
      </c>
      <c r="I247" s="4" t="n">
        <v>0</v>
      </c>
      <c r="J247" s="4" t="inlineStr">
        <is>
          <t>https://doi.org/10.2196/jmir.9496</t>
        </is>
      </c>
      <c r="K247" s="4" t="inlineStr">
        <is>
          <t>Not recorded; historical inclusion retained</t>
        </is>
      </c>
      <c r="L247" s="4" t="inlineStr">
        <is>
          <t>RA</t>
        </is>
      </c>
      <c r="M247" s="40" t="n"/>
      <c r="N247" s="4" t="inlineStr">
        <is>
          <t>Pending independent/source verification</t>
        </is>
      </c>
      <c r="O247" s="4" t="inlineStr">
        <is>
          <t>RQ1_RQ2_base_276 / RQ3_base_276</t>
        </is>
      </c>
      <c r="P247" s="4" t="n">
        <v>247</v>
      </c>
    </row>
    <row r="248" ht="47" customHeight="1">
      <c r="A248" s="4" t="inlineStr">
        <is>
          <t>268</t>
        </is>
      </c>
      <c r="B248" s="4" t="inlineStr">
        <is>
          <t>Historical</t>
        </is>
      </c>
      <c r="C248" s="4" t="n">
        <v>268</v>
      </c>
      <c r="D248" s="4" t="inlineStr">
        <is>
          <t>Robust Low Complexity Framework for Early Diagnosis of Autism Spectrum Disorder Based on Cross Wavelet Transform and Deep Transfer Learning</t>
        </is>
      </c>
      <c r="E248" s="4" t="inlineStr">
        <is>
          <t>10.1007/s42979-023-02564-9</t>
        </is>
      </c>
      <c r="F248" s="4" t="n">
        <v>2024</v>
      </c>
      <c r="G248" s="4" t="inlineStr">
        <is>
          <t>Historical include</t>
        </is>
      </c>
      <c r="H248" s="4" t="inlineStr">
        <is>
          <t>Not recorded</t>
        </is>
      </c>
      <c r="I248" s="4" t="n">
        <v>0</v>
      </c>
      <c r="J248" s="4" t="inlineStr">
        <is>
          <t>https://doi.org/10.1007/s42979-023-02564-9</t>
        </is>
      </c>
      <c r="K248" s="4" t="inlineStr">
        <is>
          <t>Not recorded; historical inclusion retained</t>
        </is>
      </c>
      <c r="L248" s="4" t="str"/>
      <c r="M248" s="40" t="n"/>
      <c r="N248" s="4" t="inlineStr">
        <is>
          <t>Pending independent/source verification</t>
        </is>
      </c>
      <c r="O248" s="4" t="inlineStr">
        <is>
          <t>RQ1_RQ2_base_276 / RQ3_base_276</t>
        </is>
      </c>
      <c r="P248" s="4" t="n">
        <v>248</v>
      </c>
    </row>
    <row r="249" ht="47" customHeight="1">
      <c r="A249" s="4" t="inlineStr">
        <is>
          <t>269</t>
        </is>
      </c>
      <c r="B249" s="4" t="inlineStr">
        <is>
          <t>Historical</t>
        </is>
      </c>
      <c r="C249" s="4" t="n">
        <v>269</v>
      </c>
      <c r="D249" s="4" t="inlineStr">
        <is>
          <t>Self-weighted adaptive structure learning for ASD diagnosis via multi-template multi-center representation</t>
        </is>
      </c>
      <c r="E249" s="4" t="inlineStr">
        <is>
          <t>10.1016/j.media.2020.101662</t>
        </is>
      </c>
      <c r="F249" s="4" t="n">
        <v>2020</v>
      </c>
      <c r="G249" s="4" t="inlineStr">
        <is>
          <t>Historical include</t>
        </is>
      </c>
      <c r="H249" s="4" t="inlineStr">
        <is>
          <t>Not recorded</t>
        </is>
      </c>
      <c r="I249" s="4" t="n">
        <v>0</v>
      </c>
      <c r="J249" s="4" t="inlineStr">
        <is>
          <t>https://doi.org/10.1016/j.media.2020.101662</t>
        </is>
      </c>
      <c r="K249" s="4" t="inlineStr">
        <is>
          <t>Not recorded; historical inclusion retained</t>
        </is>
      </c>
      <c r="L249" s="4" t="str"/>
      <c r="M249" s="40" t="n"/>
      <c r="N249" s="4" t="inlineStr">
        <is>
          <t>Pending independent/source verification</t>
        </is>
      </c>
      <c r="O249" s="4" t="inlineStr">
        <is>
          <t>RQ1_RQ2_base_276 / RQ3_base_276</t>
        </is>
      </c>
      <c r="P249" s="4" t="n">
        <v>249</v>
      </c>
    </row>
    <row r="250" ht="47" customHeight="1">
      <c r="A250" s="4" t="inlineStr">
        <is>
          <t>270</t>
        </is>
      </c>
      <c r="B250" s="4" t="inlineStr">
        <is>
          <t>Historical</t>
        </is>
      </c>
      <c r="C250" s="4" t="n">
        <v>270</v>
      </c>
      <c r="D250" s="4" t="inlineStr">
        <is>
          <t>Smart bed based daytime behavior prediction in Children with autism spectrum disorder - A Pilot Study</t>
        </is>
      </c>
      <c r="E250" s="4" t="inlineStr">
        <is>
          <t>10.1016/j.medengphy.2020.07.004</t>
        </is>
      </c>
      <c r="F250" s="4" t="n">
        <v>2020</v>
      </c>
      <c r="G250" s="4" t="inlineStr">
        <is>
          <t>Historical include</t>
        </is>
      </c>
      <c r="H250" s="4" t="inlineStr">
        <is>
          <t>Not recorded</t>
        </is>
      </c>
      <c r="I250" s="4" t="n">
        <v>0</v>
      </c>
      <c r="J250" s="4" t="inlineStr">
        <is>
          <t>https://doi.org/10.1016/j.medengphy.2020.07.004</t>
        </is>
      </c>
      <c r="K250" s="4" t="inlineStr">
        <is>
          <t>Not recorded; historical inclusion retained</t>
        </is>
      </c>
      <c r="L250" s="4" t="inlineStr">
        <is>
          <t>RA</t>
        </is>
      </c>
      <c r="M250" s="40" t="n"/>
      <c r="N250" s="4" t="inlineStr">
        <is>
          <t>Pending independent/source verification</t>
        </is>
      </c>
      <c r="O250" s="4" t="inlineStr">
        <is>
          <t>RQ1_RQ2_base_276 / RQ3_base_276</t>
        </is>
      </c>
      <c r="P250" s="4" t="n">
        <v>250</v>
      </c>
    </row>
    <row r="251" ht="47" customHeight="1">
      <c r="A251" s="4" t="inlineStr">
        <is>
          <t>272</t>
        </is>
      </c>
      <c r="B251" s="4" t="inlineStr">
        <is>
          <t>Historical</t>
        </is>
      </c>
      <c r="C251" s="4" t="n">
        <v>272</v>
      </c>
      <c r="D251" s="4" t="inlineStr">
        <is>
          <t>Subtyping cognitive profiles in Autism Spectrum Disorder using a Functional Random Forest algorithm</t>
        </is>
      </c>
      <c r="E251" s="4" t="inlineStr">
        <is>
          <t>10.1016/j.neuroimage.2017.12.044</t>
        </is>
      </c>
      <c r="F251" s="4" t="n">
        <v>2018</v>
      </c>
      <c r="G251" s="4" t="inlineStr">
        <is>
          <t>Historical include</t>
        </is>
      </c>
      <c r="H251" s="4" t="inlineStr">
        <is>
          <t>Not recorded</t>
        </is>
      </c>
      <c r="I251" s="4" t="n">
        <v>0</v>
      </c>
      <c r="J251" s="4" t="inlineStr">
        <is>
          <t>https://doi.org/10.1016/j.neuroimage.2017.12.044</t>
        </is>
      </c>
      <c r="K251" s="4" t="inlineStr">
        <is>
          <t>Not recorded; historical inclusion retained</t>
        </is>
      </c>
      <c r="L251" s="4" t="inlineStr">
        <is>
          <t>RA</t>
        </is>
      </c>
      <c r="M251" s="40" t="n"/>
      <c r="N251" s="4" t="inlineStr">
        <is>
          <t>Pending independent/source verification</t>
        </is>
      </c>
      <c r="O251" s="4" t="inlineStr">
        <is>
          <t>RQ1_RQ2_base_276 / RQ3_base_276</t>
        </is>
      </c>
      <c r="P251" s="4" t="n">
        <v>251</v>
      </c>
    </row>
    <row r="252" ht="47" customHeight="1">
      <c r="A252" s="4" t="inlineStr">
        <is>
          <t>273</t>
        </is>
      </c>
      <c r="B252" s="4" t="inlineStr">
        <is>
          <t>Historical</t>
        </is>
      </c>
      <c r="C252" s="4" t="n">
        <v>273</v>
      </c>
      <c r="D252" s="4" t="inlineStr">
        <is>
          <t>Towards autism subtype detection through identification of discriminatory factors using machine learning</t>
        </is>
      </c>
      <c r="E252" s="4" t="inlineStr">
        <is>
          <t>10.1007/978-3-030-86993-9_36</t>
        </is>
      </c>
      <c r="F252" s="4" t="n">
        <v>2021</v>
      </c>
      <c r="G252" s="4" t="inlineStr">
        <is>
          <t>Historical include</t>
        </is>
      </c>
      <c r="H252" s="4" t="inlineStr">
        <is>
          <t>Not recorded</t>
        </is>
      </c>
      <c r="I252" s="4" t="n">
        <v>0</v>
      </c>
      <c r="J252" s="4" t="inlineStr">
        <is>
          <t>https://doi.org/10.1007/978-3-030-86993-9_36</t>
        </is>
      </c>
      <c r="K252" s="4" t="inlineStr">
        <is>
          <t>Not recorded; historical inclusion retained</t>
        </is>
      </c>
      <c r="L252" s="4" t="inlineStr">
        <is>
          <t>RA</t>
        </is>
      </c>
      <c r="M252" s="40" t="n"/>
      <c r="N252" s="4" t="inlineStr">
        <is>
          <t>Pending independent/source verification</t>
        </is>
      </c>
      <c r="O252" s="4" t="inlineStr">
        <is>
          <t>RQ1_RQ2_base_276 / RQ3_base_276</t>
        </is>
      </c>
      <c r="P252" s="4" t="n">
        <v>252</v>
      </c>
    </row>
    <row r="253" ht="47" customHeight="1">
      <c r="A253" s="4" t="inlineStr">
        <is>
          <t>274</t>
        </is>
      </c>
      <c r="B253" s="4" t="inlineStr">
        <is>
          <t>Historical</t>
        </is>
      </c>
      <c r="C253" s="4" t="n">
        <v>274</v>
      </c>
      <c r="D253" s="4" t="inlineStr">
        <is>
          <t>‘IoT and AI-Based Application for Automatic Interpretation of the Affective State of Children Diagnosed with Autism</t>
        </is>
      </c>
      <c r="E253" s="4" t="inlineStr">
        <is>
          <t>10.3390/s22072528</t>
        </is>
      </c>
      <c r="F253" s="4" t="n">
        <v>2022</v>
      </c>
      <c r="G253" s="4" t="inlineStr">
        <is>
          <t>Historical include</t>
        </is>
      </c>
      <c r="H253" s="4" t="inlineStr">
        <is>
          <t>Not recorded</t>
        </is>
      </c>
      <c r="I253" s="4" t="n">
        <v>0</v>
      </c>
      <c r="J253" s="4" t="inlineStr">
        <is>
          <t>https://doi.org/10.3390/s22072528</t>
        </is>
      </c>
      <c r="K253" s="4" t="inlineStr">
        <is>
          <t>Not recorded; historical inclusion retained</t>
        </is>
      </c>
      <c r="L253" s="4" t="inlineStr">
        <is>
          <t>RA</t>
        </is>
      </c>
      <c r="M253" s="40" t="n"/>
      <c r="N253" s="4" t="inlineStr">
        <is>
          <t>Pending independent/source verification</t>
        </is>
      </c>
      <c r="O253" s="4" t="inlineStr">
        <is>
          <t>RQ1_RQ2_base_276 / RQ3_base_276</t>
        </is>
      </c>
      <c r="P253" s="4" t="n">
        <v>253</v>
      </c>
    </row>
    <row r="254" ht="47" customHeight="1">
      <c r="A254" s="4" t="inlineStr">
        <is>
          <t>275</t>
        </is>
      </c>
      <c r="B254" s="4" t="inlineStr">
        <is>
          <t>Historical</t>
        </is>
      </c>
      <c r="C254" s="4" t="n">
        <v>275</v>
      </c>
      <c r="D254" s="4" t="inlineStr">
        <is>
          <t>A Fusion-Based Machine Learning Approach for Autism Detection in Young Children Using Magnetoencephalography Signals</t>
        </is>
      </c>
      <c r="E254" s="4" t="inlineStr">
        <is>
          <t>10.1007/s10803-022-05767-w</t>
        </is>
      </c>
      <c r="F254" s="4" t="n">
        <v>2023</v>
      </c>
      <c r="G254" s="4" t="inlineStr">
        <is>
          <t>Historical include</t>
        </is>
      </c>
      <c r="H254" s="4" t="inlineStr">
        <is>
          <t>Not recorded</t>
        </is>
      </c>
      <c r="I254" s="4" t="n">
        <v>0</v>
      </c>
      <c r="J254" s="4" t="inlineStr">
        <is>
          <t>https://doi.org/10.1007/s10803-022-05767-w</t>
        </is>
      </c>
      <c r="K254" s="4" t="inlineStr">
        <is>
          <t>Not recorded; historical inclusion retained</t>
        </is>
      </c>
      <c r="L254" s="4" t="str"/>
      <c r="M254" s="40" t="n"/>
      <c r="N254" s="4" t="inlineStr">
        <is>
          <t>Pending independent/source verification</t>
        </is>
      </c>
      <c r="O254" s="4" t="inlineStr">
        <is>
          <t>RQ1_RQ2_base_276 / RQ3_base_276</t>
        </is>
      </c>
      <c r="P254" s="4" t="n">
        <v>254</v>
      </c>
    </row>
    <row r="255" ht="47" customHeight="1">
      <c r="A255" s="4" t="inlineStr">
        <is>
          <t>276</t>
        </is>
      </c>
      <c r="B255" s="4" t="inlineStr">
        <is>
          <t>Historical</t>
        </is>
      </c>
      <c r="C255" s="4" t="n">
        <v>276</v>
      </c>
      <c r="D255" s="4" t="inlineStr">
        <is>
          <t>A situation-aware system for the detection of motion disorders of patients with Autism Spectrum Disorders</t>
        </is>
      </c>
      <c r="E255" s="4" t="inlineStr">
        <is>
          <t>10.1016/j.eswa.2014.05.011</t>
        </is>
      </c>
      <c r="F255" s="4" t="n">
        <v>2014</v>
      </c>
      <c r="G255" s="4" t="inlineStr">
        <is>
          <t>Historical include</t>
        </is>
      </c>
      <c r="H255" s="4" t="inlineStr">
        <is>
          <t>Not recorded</t>
        </is>
      </c>
      <c r="I255" s="4" t="n">
        <v>0</v>
      </c>
      <c r="J255" s="4" t="inlineStr">
        <is>
          <t>https://doi.org/10.1016/j.eswa.2014.05.011</t>
        </is>
      </c>
      <c r="K255" s="4" t="inlineStr">
        <is>
          <t>Not recorded; historical inclusion retained</t>
        </is>
      </c>
      <c r="L255" s="4" t="inlineStr">
        <is>
          <t>RA</t>
        </is>
      </c>
      <c r="M255" s="40" t="n"/>
      <c r="N255" s="4" t="inlineStr">
        <is>
          <t>Pending independent/source verification</t>
        </is>
      </c>
      <c r="O255" s="4" t="inlineStr">
        <is>
          <t>RQ1_RQ2_base_276 / RQ3_base_276</t>
        </is>
      </c>
      <c r="P255" s="4" t="n">
        <v>255</v>
      </c>
    </row>
    <row r="256" ht="47" customHeight="1">
      <c r="A256" s="4" t="inlineStr">
        <is>
          <t>277</t>
        </is>
      </c>
      <c r="B256" s="4" t="inlineStr">
        <is>
          <t>Historical</t>
        </is>
      </c>
      <c r="C256" s="4" t="n">
        <v>277</v>
      </c>
      <c r="D256" s="4" t="inlineStr">
        <is>
          <t>Accurate corresponding fiber tract segmentation via FiberGeoMap learner with application to autism</t>
        </is>
      </c>
      <c r="E256" s="4" t="inlineStr">
        <is>
          <t>10.1093/cercor/bhad125</t>
        </is>
      </c>
      <c r="F256" s="4" t="n">
        <v>2023</v>
      </c>
      <c r="G256" s="4" t="inlineStr">
        <is>
          <t>Historical include</t>
        </is>
      </c>
      <c r="H256" s="4" t="inlineStr">
        <is>
          <t>Not recorded</t>
        </is>
      </c>
      <c r="I256" s="4" t="n">
        <v>0</v>
      </c>
      <c r="J256" s="4" t="inlineStr">
        <is>
          <t>https://doi.org/10.1093/cercor/bhad125</t>
        </is>
      </c>
      <c r="K256" s="4" t="inlineStr">
        <is>
          <t>Not recorded; historical inclusion retained</t>
        </is>
      </c>
      <c r="L256" s="4" t="inlineStr">
        <is>
          <t>RA</t>
        </is>
      </c>
      <c r="M256" s="40" t="n"/>
      <c r="N256" s="4" t="inlineStr">
        <is>
          <t>Pending independent/source verification</t>
        </is>
      </c>
      <c r="O256" s="4" t="inlineStr">
        <is>
          <t>RQ1_RQ2_base_276 / RQ3_base_276</t>
        </is>
      </c>
      <c r="P256" s="4" t="n">
        <v>256</v>
      </c>
    </row>
    <row r="257" ht="47" customHeight="1">
      <c r="A257" s="4" t="inlineStr">
        <is>
          <t>278</t>
        </is>
      </c>
      <c r="B257" s="4" t="inlineStr">
        <is>
          <t>Historical</t>
        </is>
      </c>
      <c r="C257" s="4" t="n">
        <v>278</v>
      </c>
      <c r="D257" s="4" t="inlineStr">
        <is>
          <t>Autism risk classification using placental chorionic surface vascular network features</t>
        </is>
      </c>
      <c r="E257" s="4" t="inlineStr">
        <is>
          <t>10.1186/s12911-017-0564-8</t>
        </is>
      </c>
      <c r="F257" s="4" t="n">
        <v>2017</v>
      </c>
      <c r="G257" s="4" t="inlineStr">
        <is>
          <t>Historical include</t>
        </is>
      </c>
      <c r="H257" s="4" t="inlineStr">
        <is>
          <t>Not recorded</t>
        </is>
      </c>
      <c r="I257" s="4" t="n">
        <v>0</v>
      </c>
      <c r="J257" s="4" t="inlineStr">
        <is>
          <t>https://doi.org/10.1186/s12911-017-0564-8</t>
        </is>
      </c>
      <c r="K257" s="4" t="inlineStr">
        <is>
          <t>Not recorded; historical inclusion retained</t>
        </is>
      </c>
      <c r="L257" s="4" t="inlineStr">
        <is>
          <t>RA</t>
        </is>
      </c>
      <c r="M257" s="40" t="n"/>
      <c r="N257" s="4" t="inlineStr">
        <is>
          <t>Pending independent/source verification</t>
        </is>
      </c>
      <c r="O257" s="4" t="inlineStr">
        <is>
          <t>RQ1_RQ2_base_276 / RQ3_base_276</t>
        </is>
      </c>
      <c r="P257" s="4" t="n">
        <v>257</v>
      </c>
    </row>
    <row r="258" ht="60" customHeight="1">
      <c r="A258" s="4" t="inlineStr">
        <is>
          <t>279</t>
        </is>
      </c>
      <c r="B258" s="4" t="inlineStr">
        <is>
          <t>Historical</t>
        </is>
      </c>
      <c r="C258" s="4" t="n">
        <v>279</v>
      </c>
      <c r="D258" s="4" t="inlineStr">
        <is>
          <t>Autism spectrum disorder detection using sequential minimal optimization-support vector machine hybrid classifier according to history of jaundice and family autism in children</t>
        </is>
      </c>
      <c r="E258" s="4" t="inlineStr">
        <is>
          <t>10.1002/cpe.6498</t>
        </is>
      </c>
      <c r="F258" s="4" t="n">
        <v>2022</v>
      </c>
      <c r="G258" s="4" t="inlineStr">
        <is>
          <t>Historical include</t>
        </is>
      </c>
      <c r="H258" s="4" t="inlineStr">
        <is>
          <t>Not recorded</t>
        </is>
      </c>
      <c r="I258" s="4" t="n">
        <v>0</v>
      </c>
      <c r="J258" s="4" t="inlineStr">
        <is>
          <t>https://doi.org/10.1002/cpe.6498</t>
        </is>
      </c>
      <c r="K258" s="4" t="inlineStr">
        <is>
          <t>Not recorded; historical inclusion retained</t>
        </is>
      </c>
      <c r="L258" s="4" t="inlineStr">
        <is>
          <t>RA</t>
        </is>
      </c>
      <c r="M258" s="40" t="n"/>
      <c r="N258" s="4" t="inlineStr">
        <is>
          <t>Pending independent/source verification</t>
        </is>
      </c>
      <c r="O258" s="4" t="inlineStr">
        <is>
          <t>RQ1_RQ2_base_276 / RQ3_base_276</t>
        </is>
      </c>
      <c r="P258" s="4" t="n">
        <v>258</v>
      </c>
    </row>
    <row r="259" ht="47" customHeight="1">
      <c r="A259" s="4" t="inlineStr">
        <is>
          <t>280</t>
        </is>
      </c>
      <c r="B259" s="4" t="inlineStr">
        <is>
          <t>Historical</t>
        </is>
      </c>
      <c r="C259" s="4" t="n">
        <v>280</v>
      </c>
      <c r="D259" s="4" t="inlineStr">
        <is>
          <t>Classification of autism based on short-term spontaneous hemodynamic fluctuations using an adaptive graph neural network</t>
        </is>
      </c>
      <c r="E259" s="4" t="inlineStr">
        <is>
          <t>10.1016/j.jneumeth.2023.109901</t>
        </is>
      </c>
      <c r="F259" s="4" t="n">
        <v>2023</v>
      </c>
      <c r="G259" s="4" t="inlineStr">
        <is>
          <t>Historical include</t>
        </is>
      </c>
      <c r="H259" s="4" t="inlineStr">
        <is>
          <t>Not recorded</t>
        </is>
      </c>
      <c r="I259" s="4" t="n">
        <v>0</v>
      </c>
      <c r="J259" s="4" t="inlineStr">
        <is>
          <t>https://doi.org/10.1016/j.jneumeth.2023.109901</t>
        </is>
      </c>
      <c r="K259" s="4" t="inlineStr">
        <is>
          <t>Not recorded; historical inclusion retained</t>
        </is>
      </c>
      <c r="L259" s="4" t="inlineStr">
        <is>
          <t>RA</t>
        </is>
      </c>
      <c r="M259" s="40" t="n"/>
      <c r="N259" s="4" t="inlineStr">
        <is>
          <t>Pending independent/source verification</t>
        </is>
      </c>
      <c r="O259" s="4" t="inlineStr">
        <is>
          <t>RQ1_RQ2_base_276 / RQ3_base_276</t>
        </is>
      </c>
      <c r="P259" s="4" t="n">
        <v>259</v>
      </c>
    </row>
    <row r="260" ht="47" customHeight="1">
      <c r="A260" s="4" t="inlineStr">
        <is>
          <t>281</t>
        </is>
      </c>
      <c r="B260" s="4" t="inlineStr">
        <is>
          <t>Historical</t>
        </is>
      </c>
      <c r="C260" s="4" t="n">
        <v>281</v>
      </c>
      <c r="D260" s="4" t="inlineStr">
        <is>
          <t>Deep Mobile Linguistic Therapy for Patients with ASD</t>
        </is>
      </c>
      <c r="E260" s="4" t="inlineStr">
        <is>
          <t>10.3390/ijerph191912857</t>
        </is>
      </c>
      <c r="F260" s="4" t="n">
        <v>2022</v>
      </c>
      <c r="G260" s="4" t="inlineStr">
        <is>
          <t>Historical include</t>
        </is>
      </c>
      <c r="H260" s="4" t="inlineStr">
        <is>
          <t>Not recorded</t>
        </is>
      </c>
      <c r="I260" s="4" t="n">
        <v>0</v>
      </c>
      <c r="J260" s="4" t="inlineStr">
        <is>
          <t>https://doi.org/10.3390/ijerph191912857</t>
        </is>
      </c>
      <c r="K260" s="4" t="inlineStr">
        <is>
          <t>Not recorded; historical inclusion retained</t>
        </is>
      </c>
      <c r="L260" s="4" t="inlineStr">
        <is>
          <t>RA</t>
        </is>
      </c>
      <c r="M260" s="40" t="n"/>
      <c r="N260" s="4" t="inlineStr">
        <is>
          <t>Pending independent/source verification</t>
        </is>
      </c>
      <c r="O260" s="4" t="inlineStr">
        <is>
          <t>RQ1_RQ2_base_276 / RQ3_base_276</t>
        </is>
      </c>
      <c r="P260" s="4" t="n">
        <v>260</v>
      </c>
    </row>
    <row r="261" ht="47" customHeight="1">
      <c r="A261" s="4" t="inlineStr">
        <is>
          <t>282</t>
        </is>
      </c>
      <c r="B261" s="4" t="inlineStr">
        <is>
          <t>Historical</t>
        </is>
      </c>
      <c r="C261" s="4" t="n">
        <v>282</v>
      </c>
      <c r="D261" s="4" t="inlineStr">
        <is>
          <t>DeepASDPred: a CNN-LSTM-based deep learning method for Autism spectrum disorders risk RNA identification</t>
        </is>
      </c>
      <c r="E261" s="4" t="inlineStr">
        <is>
          <t>10.1186/s12859-023-05378-x</t>
        </is>
      </c>
      <c r="F261" s="4" t="n">
        <v>2023</v>
      </c>
      <c r="G261" s="4" t="inlineStr">
        <is>
          <t>Historical include</t>
        </is>
      </c>
      <c r="H261" s="4" t="inlineStr">
        <is>
          <t>Not recorded</t>
        </is>
      </c>
      <c r="I261" s="4" t="n">
        <v>0</v>
      </c>
      <c r="J261" s="4" t="inlineStr">
        <is>
          <t>https://doi.org/10.1186/s12859-023-05378-x</t>
        </is>
      </c>
      <c r="K261" s="4" t="inlineStr">
        <is>
          <t>Not recorded; historical inclusion retained</t>
        </is>
      </c>
      <c r="L261" s="4" t="inlineStr">
        <is>
          <t>RA</t>
        </is>
      </c>
      <c r="M261" s="40" t="n"/>
      <c r="N261" s="4" t="inlineStr">
        <is>
          <t>Pending independent/source verification</t>
        </is>
      </c>
      <c r="O261" s="4" t="inlineStr">
        <is>
          <t>RQ1_RQ2_base_276 / RQ3_base_276</t>
        </is>
      </c>
      <c r="P261" s="4" t="n">
        <v>261</v>
      </c>
    </row>
    <row r="262" ht="47" customHeight="1">
      <c r="A262" s="4" t="inlineStr">
        <is>
          <t>283</t>
        </is>
      </c>
      <c r="B262" s="4" t="inlineStr">
        <is>
          <t>Historical</t>
        </is>
      </c>
      <c r="C262" s="4" t="n">
        <v>283</v>
      </c>
      <c r="D262" s="4" t="inlineStr">
        <is>
          <t>Employing Machine Learning-Based Predictive Analytical Approaches to Classify Autism Spectrum Disorder Types</t>
        </is>
      </c>
      <c r="E262" s="4" t="inlineStr">
        <is>
          <t>10.1155/2022/8134018</t>
        </is>
      </c>
      <c r="F262" s="4" t="n">
        <v>2022</v>
      </c>
      <c r="G262" s="4" t="inlineStr">
        <is>
          <t>Historical include</t>
        </is>
      </c>
      <c r="H262" s="4" t="inlineStr">
        <is>
          <t>Not recorded</t>
        </is>
      </c>
      <c r="I262" s="4" t="n">
        <v>0</v>
      </c>
      <c r="J262" s="4" t="inlineStr">
        <is>
          <t>https://doi.org/10.1155/2022/8134018</t>
        </is>
      </c>
      <c r="K262" s="4" t="inlineStr">
        <is>
          <t>Not recorded; historical inclusion retained</t>
        </is>
      </c>
      <c r="L262" s="4" t="str"/>
      <c r="M262" s="40" t="n"/>
      <c r="N262" s="4" t="inlineStr">
        <is>
          <t>Pending independent/source verification</t>
        </is>
      </c>
      <c r="O262" s="4" t="inlineStr">
        <is>
          <t>RQ1_RQ2_base_276 / RQ3_base_276</t>
        </is>
      </c>
      <c r="P262" s="4" t="n">
        <v>262</v>
      </c>
    </row>
    <row r="263" ht="47" customHeight="1">
      <c r="A263" s="4" t="inlineStr">
        <is>
          <t>284</t>
        </is>
      </c>
      <c r="B263" s="4" t="inlineStr">
        <is>
          <t>Historical</t>
        </is>
      </c>
      <c r="C263" s="4" t="n">
        <v>284</v>
      </c>
      <c r="D263" s="4" t="inlineStr">
        <is>
          <t>Exploration of Autism Spectrum Disorder using Classification Algorithms</t>
        </is>
      </c>
      <c r="E263" s="4" t="inlineStr">
        <is>
          <t>10.1016/j.procs.2020.01.098</t>
        </is>
      </c>
      <c r="F263" s="4" t="n">
        <v>2019</v>
      </c>
      <c r="G263" s="4" t="inlineStr">
        <is>
          <t>Historical include</t>
        </is>
      </c>
      <c r="H263" s="4" t="inlineStr">
        <is>
          <t>Not recorded</t>
        </is>
      </c>
      <c r="I263" s="4" t="n">
        <v>0</v>
      </c>
      <c r="J263" s="4" t="inlineStr">
        <is>
          <t>https://doi.org/10.1016/j.procs.2020.01.098</t>
        </is>
      </c>
      <c r="K263" s="4" t="inlineStr">
        <is>
          <t>Not recorded; historical inclusion retained</t>
        </is>
      </c>
      <c r="L263" s="4" t="str"/>
      <c r="M263" s="40" t="n"/>
      <c r="N263" s="4" t="inlineStr">
        <is>
          <t>Pending independent/source verification</t>
        </is>
      </c>
      <c r="O263" s="4" t="inlineStr">
        <is>
          <t>RQ1_RQ2_base_276 / RQ3_base_276</t>
        </is>
      </c>
      <c r="P263" s="4" t="n">
        <v>263</v>
      </c>
    </row>
    <row r="264" ht="47" customHeight="1">
      <c r="A264" s="4" t="inlineStr">
        <is>
          <t>285</t>
        </is>
      </c>
      <c r="B264" s="4" t="inlineStr">
        <is>
          <t>Historical</t>
        </is>
      </c>
      <c r="C264" s="4" t="n">
        <v>285</v>
      </c>
      <c r="D264" s="4" t="inlineStr">
        <is>
          <t>Exploring pesticide risk in autism via integrative machine learning and network toxicology</t>
        </is>
      </c>
      <c r="E264" s="4" t="inlineStr">
        <is>
          <t>10.1016/j.ecoenv.2025.118233</t>
        </is>
      </c>
      <c r="F264" s="4" t="n">
        <v>2025</v>
      </c>
      <c r="G264" s="4" t="inlineStr">
        <is>
          <t>Historical include</t>
        </is>
      </c>
      <c r="H264" s="4" t="inlineStr">
        <is>
          <t>Not recorded</t>
        </is>
      </c>
      <c r="I264" s="4" t="n">
        <v>0</v>
      </c>
      <c r="J264" s="4" t="inlineStr">
        <is>
          <t>https://doi.org/10.1016/j.ecoenv.2025.118233</t>
        </is>
      </c>
      <c r="K264" s="4" t="inlineStr">
        <is>
          <t>Not recorded; historical inclusion retained</t>
        </is>
      </c>
      <c r="L264" s="4" t="str"/>
      <c r="M264" s="40" t="n"/>
      <c r="N264" s="4" t="inlineStr">
        <is>
          <t>Pending independent/source verification</t>
        </is>
      </c>
      <c r="O264" s="4" t="inlineStr">
        <is>
          <t>RQ1_RQ2_base_276 / RQ3_base_276</t>
        </is>
      </c>
      <c r="P264" s="4" t="n">
        <v>264</v>
      </c>
    </row>
    <row r="265" ht="47" customHeight="1">
      <c r="A265" s="4" t="inlineStr">
        <is>
          <t>286</t>
        </is>
      </c>
      <c r="B265" s="4" t="inlineStr">
        <is>
          <t>Historical</t>
        </is>
      </c>
      <c r="C265" s="4" t="n">
        <v>286</v>
      </c>
      <c r="D265" s="4" t="inlineStr">
        <is>
          <t>Feedback Artificial Tree-Anti Corona Virus Optimization enabled deep learning for detecting autism spectrum disorder</t>
        </is>
      </c>
      <c r="E265" s="4" t="inlineStr">
        <is>
          <t>10.1111/exsy.13040</t>
        </is>
      </c>
      <c r="F265" s="4" t="n">
        <v>2022</v>
      </c>
      <c r="G265" s="4" t="inlineStr">
        <is>
          <t>Historical include</t>
        </is>
      </c>
      <c r="H265" s="4" t="inlineStr">
        <is>
          <t>Not recorded</t>
        </is>
      </c>
      <c r="I265" s="4" t="n">
        <v>0</v>
      </c>
      <c r="J265" s="4" t="inlineStr">
        <is>
          <t>https://doi.org/10.1111/exsy.13040</t>
        </is>
      </c>
      <c r="K265" s="4" t="inlineStr">
        <is>
          <t>Not recorded; historical inclusion retained</t>
        </is>
      </c>
      <c r="L265" s="4" t="inlineStr">
        <is>
          <t>RA</t>
        </is>
      </c>
      <c r="M265" s="40" t="n"/>
      <c r="N265" s="4" t="inlineStr">
        <is>
          <t>Pending independent/source verification</t>
        </is>
      </c>
      <c r="O265" s="4" t="inlineStr">
        <is>
          <t>RQ1_RQ2_base_276 / RQ3_base_276</t>
        </is>
      </c>
      <c r="P265" s="4" t="n">
        <v>265</v>
      </c>
    </row>
    <row r="266" ht="47" customHeight="1">
      <c r="A266" s="4" t="inlineStr">
        <is>
          <t>287</t>
        </is>
      </c>
      <c r="B266" s="4" t="inlineStr">
        <is>
          <t>Historical</t>
        </is>
      </c>
      <c r="C266" s="4" t="n">
        <v>287</v>
      </c>
      <c r="D266" s="4" t="inlineStr">
        <is>
          <t>Forecasting risk gene discovery in autism with machine learning and genome-scale data</t>
        </is>
      </c>
      <c r="E266" s="4" t="inlineStr">
        <is>
          <t>10.1038/s41598-020-61288-5</t>
        </is>
      </c>
      <c r="F266" s="4" t="n">
        <v>2020</v>
      </c>
      <c r="G266" s="4" t="inlineStr">
        <is>
          <t>Historical include</t>
        </is>
      </c>
      <c r="H266" s="4" t="inlineStr">
        <is>
          <t>Not recorded</t>
        </is>
      </c>
      <c r="I266" s="4" t="n">
        <v>0</v>
      </c>
      <c r="J266" s="4" t="inlineStr">
        <is>
          <t>https://doi.org/10.1038/s41598-020-61288-5</t>
        </is>
      </c>
      <c r="K266" s="4" t="inlineStr">
        <is>
          <t>Not recorded; historical inclusion retained</t>
        </is>
      </c>
      <c r="L266" s="4" t="inlineStr">
        <is>
          <t>RA</t>
        </is>
      </c>
      <c r="M266" s="40" t="n"/>
      <c r="N266" s="4" t="inlineStr">
        <is>
          <t>Pending independent/source verification</t>
        </is>
      </c>
      <c r="O266" s="4" t="inlineStr">
        <is>
          <t>RQ1_RQ2_base_276 / RQ3_base_276</t>
        </is>
      </c>
      <c r="P266" s="4" t="n">
        <v>266</v>
      </c>
    </row>
    <row r="267" ht="47" customHeight="1">
      <c r="A267" s="4" t="inlineStr">
        <is>
          <t>288</t>
        </is>
      </c>
      <c r="B267" s="4" t="inlineStr">
        <is>
          <t>Historical</t>
        </is>
      </c>
      <c r="C267" s="4" t="n">
        <v>288</v>
      </c>
      <c r="D267" s="4" t="inlineStr">
        <is>
          <t>Identifying Autism with Head Movement Features by Implementing Machine Learning Algorithms</t>
        </is>
      </c>
      <c r="E267" s="4" t="inlineStr">
        <is>
          <t>10.1007/s10803-021-05179-2</t>
        </is>
      </c>
      <c r="F267" s="4" t="n">
        <v>2022</v>
      </c>
      <c r="G267" s="4" t="inlineStr">
        <is>
          <t>Historical include</t>
        </is>
      </c>
      <c r="H267" s="4" t="inlineStr">
        <is>
          <t>Not recorded</t>
        </is>
      </c>
      <c r="I267" s="4" t="n">
        <v>0</v>
      </c>
      <c r="J267" s="4" t="inlineStr">
        <is>
          <t>https://doi.org/10.1007/s10803-021-05179-2</t>
        </is>
      </c>
      <c r="K267" s="4" t="inlineStr">
        <is>
          <t>Not recorded; historical inclusion retained</t>
        </is>
      </c>
      <c r="L267" s="4" t="inlineStr">
        <is>
          <t>RA</t>
        </is>
      </c>
      <c r="M267" s="40" t="n"/>
      <c r="N267" s="4" t="inlineStr">
        <is>
          <t>Pending independent/source verification</t>
        </is>
      </c>
      <c r="O267" s="4" t="inlineStr">
        <is>
          <t>RQ1_RQ2_base_276 / RQ3_base_276</t>
        </is>
      </c>
      <c r="P267" s="4" t="n">
        <v>267</v>
      </c>
    </row>
    <row r="268" ht="47" customHeight="1">
      <c r="A268" s="4" t="inlineStr">
        <is>
          <t>289</t>
        </is>
      </c>
      <c r="B268" s="4" t="inlineStr">
        <is>
          <t>Historical</t>
        </is>
      </c>
      <c r="C268" s="4" t="n">
        <v>289</v>
      </c>
      <c r="D268" s="4" t="inlineStr">
        <is>
          <t>Increased serum levels of macrophage migration inhibitory factor in autism spectrum disorders</t>
        </is>
      </c>
      <c r="E268" s="4" t="inlineStr">
        <is>
          <t>10.1016/j.neuro.2018.11.015</t>
        </is>
      </c>
      <c r="F268" s="4" t="n">
        <v>2019</v>
      </c>
      <c r="G268" s="4" t="inlineStr">
        <is>
          <t>Historical include</t>
        </is>
      </c>
      <c r="H268" s="4" t="inlineStr">
        <is>
          <t>Not recorded</t>
        </is>
      </c>
      <c r="I268" s="4" t="n">
        <v>0</v>
      </c>
      <c r="J268" s="4" t="inlineStr">
        <is>
          <t>https://doi.org/10.1016/j.neuro.2018.11.015</t>
        </is>
      </c>
      <c r="K268" s="4" t="inlineStr">
        <is>
          <t>Not recorded; historical inclusion retained</t>
        </is>
      </c>
      <c r="L268" s="4" t="inlineStr">
        <is>
          <t>RA</t>
        </is>
      </c>
      <c r="M268" s="40" t="n"/>
      <c r="N268" s="4" t="inlineStr">
        <is>
          <t>Pending independent/source verification</t>
        </is>
      </c>
      <c r="O268" s="4" t="inlineStr">
        <is>
          <t>RQ1_RQ2_base_276 / RQ3_base_276</t>
        </is>
      </c>
      <c r="P268" s="4" t="n">
        <v>268</v>
      </c>
    </row>
    <row r="269" ht="60" customHeight="1">
      <c r="A269" s="4" t="inlineStr">
        <is>
          <t>290</t>
        </is>
      </c>
      <c r="B269" s="4" t="inlineStr">
        <is>
          <t>Historical</t>
        </is>
      </c>
      <c r="C269" s="4" t="n">
        <v>290</v>
      </c>
      <c r="D269" s="4" t="inlineStr">
        <is>
          <t>Machine Learning and Structural Dynamics-Based Approach to Reveal Molecular Mechanism of PTEN Missense Mutations Shared by Cancer and Autism Spectrum Disorder</t>
        </is>
      </c>
      <c r="E269" s="4" t="inlineStr">
        <is>
          <t>10.1021/acs.jcim.5c00134</t>
        </is>
      </c>
      <c r="F269" s="4" t="n">
        <v>2025</v>
      </c>
      <c r="G269" s="4" t="inlineStr">
        <is>
          <t>Historical include</t>
        </is>
      </c>
      <c r="H269" s="4" t="inlineStr">
        <is>
          <t>Not recorded</t>
        </is>
      </c>
      <c r="I269" s="4" t="n">
        <v>0</v>
      </c>
      <c r="J269" s="4" t="inlineStr">
        <is>
          <t>https://doi.org/10.1021/acs.jcim.5c00134</t>
        </is>
      </c>
      <c r="K269" s="4" t="inlineStr">
        <is>
          <t>Not recorded; historical inclusion retained</t>
        </is>
      </c>
      <c r="L269" s="4" t="str"/>
      <c r="M269" s="40" t="n"/>
      <c r="N269" s="4" t="inlineStr">
        <is>
          <t>Pending independent/source verification</t>
        </is>
      </c>
      <c r="O269" s="4" t="inlineStr">
        <is>
          <t>RQ1_RQ2_base_276 / RQ3_base_276</t>
        </is>
      </c>
      <c r="P269" s="4" t="n">
        <v>269</v>
      </c>
    </row>
    <row r="270" ht="47" customHeight="1">
      <c r="A270" s="4" t="inlineStr">
        <is>
          <t>291</t>
        </is>
      </c>
      <c r="B270" s="4" t="inlineStr">
        <is>
          <t>Historical</t>
        </is>
      </c>
      <c r="C270" s="4" t="n">
        <v>291</v>
      </c>
      <c r="D270" s="4" t="inlineStr">
        <is>
          <t>MCDGLN: Masked connection-based dynamic graph learning network for autism spectrum disorder</t>
        </is>
      </c>
      <c r="E270" s="4" t="inlineStr">
        <is>
          <t>10.1016/j.brainresbull.2025.111290</t>
        </is>
      </c>
      <c r="F270" s="4" t="n">
        <v>2025</v>
      </c>
      <c r="G270" s="4" t="inlineStr">
        <is>
          <t>Historical include</t>
        </is>
      </c>
      <c r="H270" s="4" t="inlineStr">
        <is>
          <t>Not recorded</t>
        </is>
      </c>
      <c r="I270" s="4" t="n">
        <v>0</v>
      </c>
      <c r="J270" s="4" t="inlineStr">
        <is>
          <t>https://doi.org/10.1016/j.brainresbull.2025.111290</t>
        </is>
      </c>
      <c r="K270" s="4" t="inlineStr">
        <is>
          <t>Not recorded; historical inclusion retained</t>
        </is>
      </c>
      <c r="L270" s="4" t="str"/>
      <c r="M270" s="40" t="n"/>
      <c r="N270" s="4" t="inlineStr">
        <is>
          <t>Pending independent/source verification</t>
        </is>
      </c>
      <c r="O270" s="4" t="inlineStr">
        <is>
          <t>RQ1_RQ2_base_276 / RQ3_base_276</t>
        </is>
      </c>
      <c r="P270" s="4" t="n">
        <v>270</v>
      </c>
    </row>
    <row r="271" ht="47" customHeight="1">
      <c r="A271" s="4" t="inlineStr">
        <is>
          <t>292</t>
        </is>
      </c>
      <c r="B271" s="4" t="inlineStr">
        <is>
          <t>Historical</t>
        </is>
      </c>
      <c r="C271" s="4" t="n">
        <v>292</v>
      </c>
      <c r="D271" s="4" t="inlineStr">
        <is>
          <t>Performance of case-control rare copy number variation annotation in classification of autism</t>
        </is>
      </c>
      <c r="E271" s="4" t="inlineStr">
        <is>
          <t>10.1186/1755-8794-8-s1-s7</t>
        </is>
      </c>
      <c r="F271" s="4" t="n">
        <v>2015</v>
      </c>
      <c r="G271" s="4" t="inlineStr">
        <is>
          <t>Historical include</t>
        </is>
      </c>
      <c r="H271" s="4" t="inlineStr">
        <is>
          <t>Not recorded</t>
        </is>
      </c>
      <c r="I271" s="4" t="n">
        <v>0</v>
      </c>
      <c r="J271" s="4" t="inlineStr">
        <is>
          <t>https://doi.org/10.1186/1755-8794-8-s1-s7</t>
        </is>
      </c>
      <c r="K271" s="4" t="inlineStr">
        <is>
          <t>Not recorded; historical inclusion retained</t>
        </is>
      </c>
      <c r="L271" s="4" t="inlineStr">
        <is>
          <t>RA</t>
        </is>
      </c>
      <c r="M271" s="40" t="n"/>
      <c r="N271" s="4" t="inlineStr">
        <is>
          <t>Pending independent/source verification</t>
        </is>
      </c>
      <c r="O271" s="4" t="inlineStr">
        <is>
          <t>RQ1_RQ2_base_276 / RQ3_base_276</t>
        </is>
      </c>
      <c r="P271" s="4" t="n">
        <v>271</v>
      </c>
    </row>
    <row r="272" ht="47" customHeight="1">
      <c r="A272" s="4" t="inlineStr">
        <is>
          <t>293</t>
        </is>
      </c>
      <c r="B272" s="4" t="inlineStr">
        <is>
          <t>Historical</t>
        </is>
      </c>
      <c r="C272" s="4" t="n">
        <v>293</v>
      </c>
      <c r="D272" s="4" t="inlineStr">
        <is>
          <t>Personalized machine learning for robot perception of affect and engagement in autism therapy</t>
        </is>
      </c>
      <c r="E272" s="4" t="inlineStr">
        <is>
          <t>10.1126/scirobotics.aao6760</t>
        </is>
      </c>
      <c r="F272" s="4" t="n">
        <v>2018</v>
      </c>
      <c r="G272" s="4" t="inlineStr">
        <is>
          <t>Historical include</t>
        </is>
      </c>
      <c r="H272" s="4" t="inlineStr">
        <is>
          <t>Not recorded</t>
        </is>
      </c>
      <c r="I272" s="4" t="n">
        <v>0</v>
      </c>
      <c r="J272" s="4" t="inlineStr">
        <is>
          <t>https://doi.org/10.1126/scirobotics.aao6760</t>
        </is>
      </c>
      <c r="K272" s="4" t="inlineStr">
        <is>
          <t>Not recorded; historical inclusion retained</t>
        </is>
      </c>
      <c r="L272" s="4" t="str"/>
      <c r="M272" s="40" t="n"/>
      <c r="N272" s="4" t="inlineStr">
        <is>
          <t>Pending independent/source verification</t>
        </is>
      </c>
      <c r="O272" s="4" t="inlineStr">
        <is>
          <t>RQ1_RQ2_base_276 / RQ3_base_276</t>
        </is>
      </c>
      <c r="P272" s="4" t="n">
        <v>272</v>
      </c>
    </row>
    <row r="273" ht="47" customHeight="1">
      <c r="A273" s="4" t="inlineStr">
        <is>
          <t>295</t>
        </is>
      </c>
      <c r="B273" s="4" t="inlineStr">
        <is>
          <t>Historical</t>
        </is>
      </c>
      <c r="C273" s="4" t="n">
        <v>295</v>
      </c>
      <c r="D273" s="4" t="inlineStr">
        <is>
          <t>Prediction of Autism at 3 Years from Behavioural and Developmental Measures in High-Risk Infants: A Longitudinal Cross-Domain Classifier Analysis</t>
        </is>
      </c>
      <c r="E273" s="4" t="inlineStr">
        <is>
          <t>10.1007/s10803-018-3509-x</t>
        </is>
      </c>
      <c r="F273" s="4" t="n">
        <v>2018</v>
      </c>
      <c r="G273" s="4" t="inlineStr">
        <is>
          <t>Historical include</t>
        </is>
      </c>
      <c r="H273" s="4" t="inlineStr">
        <is>
          <t>Not recorded</t>
        </is>
      </c>
      <c r="I273" s="4" t="n">
        <v>0</v>
      </c>
      <c r="J273" s="4" t="inlineStr">
        <is>
          <t>https://doi.org/10.1007/s10803-018-3509-x</t>
        </is>
      </c>
      <c r="K273" s="4" t="inlineStr">
        <is>
          <t>Not recorded; historical inclusion retained</t>
        </is>
      </c>
      <c r="L273" s="4" t="str"/>
      <c r="M273" s="40" t="n"/>
      <c r="N273" s="4" t="inlineStr">
        <is>
          <t>Pending independent/source verification</t>
        </is>
      </c>
      <c r="O273" s="4" t="inlineStr">
        <is>
          <t>RQ1_RQ2_base_276 / RQ3_base_276</t>
        </is>
      </c>
      <c r="P273" s="4" t="n">
        <v>273</v>
      </c>
    </row>
    <row r="274" ht="47" customHeight="1">
      <c r="A274" s="4" t="inlineStr">
        <is>
          <t>296</t>
        </is>
      </c>
      <c r="B274" s="4" t="inlineStr">
        <is>
          <t>Historical</t>
        </is>
      </c>
      <c r="C274" s="4" t="n">
        <v>296</v>
      </c>
      <c r="D274" s="4" t="inlineStr">
        <is>
          <t>STDCformer: Spatial-temporal dual-path cross-attention model for fMRI-based autism spectrum disorder identification</t>
        </is>
      </c>
      <c r="E274" s="4" t="inlineStr">
        <is>
          <t>10.1016/j.heliyon.2024.e34245</t>
        </is>
      </c>
      <c r="F274" s="4" t="n">
        <v>2024</v>
      </c>
      <c r="G274" s="4" t="inlineStr">
        <is>
          <t>Historical include</t>
        </is>
      </c>
      <c r="H274" s="4" t="inlineStr">
        <is>
          <t>Not recorded</t>
        </is>
      </c>
      <c r="I274" s="4" t="n">
        <v>0</v>
      </c>
      <c r="J274" s="4" t="inlineStr">
        <is>
          <t>https://doi.org/10.1016/j.heliyon.2024.e34245</t>
        </is>
      </c>
      <c r="K274" s="4" t="inlineStr">
        <is>
          <t>Not recorded; historical inclusion retained</t>
        </is>
      </c>
      <c r="L274" s="4" t="str"/>
      <c r="M274" s="40" t="n"/>
      <c r="N274" s="4" t="inlineStr">
        <is>
          <t>Pending independent/source verification</t>
        </is>
      </c>
      <c r="O274" s="4" t="inlineStr">
        <is>
          <t>RQ1_RQ2_base_276 / RQ3_base_276</t>
        </is>
      </c>
      <c r="P274" s="4" t="n">
        <v>274</v>
      </c>
    </row>
    <row r="275" ht="47" customHeight="1">
      <c r="A275" s="4" t="inlineStr">
        <is>
          <t>298</t>
        </is>
      </c>
      <c r="B275" s="4" t="inlineStr">
        <is>
          <t>Historical</t>
        </is>
      </c>
      <c r="C275" s="4" t="n">
        <v>298</v>
      </c>
      <c r="D275" s="4" t="inlineStr">
        <is>
          <t>Three Distinct Neuroanatomical Subtypes of Autism Spectrum Disorder, Revealed via Machine Learning, and Their Similarities With Schizophrenia Subtypes</t>
        </is>
      </c>
      <c r="E275" s="4" t="inlineStr">
        <is>
          <t>10.1016/j.biopsych.2021.02.931</t>
        </is>
      </c>
      <c r="F275" s="4" t="n">
        <v>2021</v>
      </c>
      <c r="G275" s="4" t="inlineStr">
        <is>
          <t>Historical include</t>
        </is>
      </c>
      <c r="H275" s="4" t="inlineStr">
        <is>
          <t>Not recorded</t>
        </is>
      </c>
      <c r="I275" s="4" t="n">
        <v>0</v>
      </c>
      <c r="J275" s="4" t="inlineStr">
        <is>
          <t>https://doi.org/10.1016/j.biopsych.2021.02.931</t>
        </is>
      </c>
      <c r="K275" s="4" t="inlineStr">
        <is>
          <t>Not recorded; historical inclusion retained</t>
        </is>
      </c>
      <c r="L275" s="4" t="str"/>
      <c r="M275" s="40" t="n"/>
      <c r="N275" s="4" t="inlineStr">
        <is>
          <t>Pending independent/source verification</t>
        </is>
      </c>
      <c r="O275" s="4" t="inlineStr">
        <is>
          <t>RQ1_RQ2_base_276 / RQ3_base_276</t>
        </is>
      </c>
      <c r="P275" s="4" t="n">
        <v>275</v>
      </c>
    </row>
    <row r="276" ht="60" customHeight="1">
      <c r="A276" s="4" t="inlineStr">
        <is>
          <t>299</t>
        </is>
      </c>
      <c r="B276" s="4" t="inlineStr">
        <is>
          <t>Historical</t>
        </is>
      </c>
      <c r="C276" s="4" t="n">
        <v>299</v>
      </c>
      <c r="D276" s="4" t="inlineStr">
        <is>
          <t>Three-dimensional quantification of oxytocin neurons in the hypothalamic paraventricular nucleus reveals sex- and subregion-specific differences in two genetic mouse models of autism</t>
        </is>
      </c>
      <c r="E276" s="4" t="inlineStr">
        <is>
          <t>10.1111/jne.70092</t>
        </is>
      </c>
      <c r="F276" s="4" t="n">
        <v>2025</v>
      </c>
      <c r="G276" s="4" t="inlineStr">
        <is>
          <t>Historical include</t>
        </is>
      </c>
      <c r="H276" s="4" t="inlineStr">
        <is>
          <t>Not recorded</t>
        </is>
      </c>
      <c r="I276" s="4" t="n">
        <v>0</v>
      </c>
      <c r="J276" s="4" t="inlineStr">
        <is>
          <t>https://doi.org/10.1111/jne.70092</t>
        </is>
      </c>
      <c r="K276" s="4" t="inlineStr">
        <is>
          <t>Not recorded; historical inclusion retained</t>
        </is>
      </c>
      <c r="L276" s="4" t="str"/>
      <c r="M276" s="40" t="n"/>
      <c r="N276" s="4" t="inlineStr">
        <is>
          <t>Pending independent/source verification</t>
        </is>
      </c>
      <c r="O276" s="4" t="inlineStr">
        <is>
          <t>RQ1_RQ2_base_276 / RQ3_base_276</t>
        </is>
      </c>
      <c r="P276" s="4" t="n">
        <v>276</v>
      </c>
    </row>
    <row r="277" ht="47" customHeight="1">
      <c r="A277" s="4" t="inlineStr">
        <is>
          <t>300</t>
        </is>
      </c>
      <c r="B277" s="4" t="inlineStr">
        <is>
          <t>Historical</t>
        </is>
      </c>
      <c r="C277" s="4" t="n">
        <v>300</v>
      </c>
      <c r="D277" s="4" t="inlineStr">
        <is>
          <t>Application of Speech Signal for Early Screening of Children with Autism Spectrum Disorder</t>
        </is>
      </c>
      <c r="E277" s="4" t="inlineStr">
        <is>
          <t>10.1007/978-3-031-62273-1_36</t>
        </is>
      </c>
      <c r="F277" s="4" t="n">
        <v>2024</v>
      </c>
      <c r="G277" s="4" t="inlineStr">
        <is>
          <t>Historical include</t>
        </is>
      </c>
      <c r="H277" s="4" t="inlineStr">
        <is>
          <t>Not recorded</t>
        </is>
      </c>
      <c r="I277" s="4" t="n">
        <v>0</v>
      </c>
      <c r="J277" s="4" t="inlineStr">
        <is>
          <t>https://doi.org/10.1007/978-3-031-62273-1_36</t>
        </is>
      </c>
      <c r="K277" s="4" t="inlineStr">
        <is>
          <t>Not recorded; historical inclusion retained</t>
        </is>
      </c>
      <c r="L277" s="4" t="inlineStr">
        <is>
          <t>RA</t>
        </is>
      </c>
      <c r="M277" s="40" t="n"/>
      <c r="N277" s="4" t="inlineStr">
        <is>
          <t>Pending independent/source verification</t>
        </is>
      </c>
      <c r="O277" s="4" t="inlineStr">
        <is>
          <t>RQ1_RQ2_base_276 / RQ3_base_276</t>
        </is>
      </c>
      <c r="P277" s="4" t="n">
        <v>277</v>
      </c>
    </row>
    <row r="278" ht="60" customHeight="1">
      <c r="A278" s="4" t="inlineStr">
        <is>
          <t>new_12</t>
        </is>
      </c>
      <c r="B278" s="4" t="inlineStr">
        <is>
          <t>Update</t>
        </is>
      </c>
      <c r="C278" s="4" t="n">
        <v>12</v>
      </c>
      <c r="D278" s="4" t="inlineStr">
        <is>
          <t>Integration of an Artificial Intelligence–Based Autism Diagnostic Device into the ECHO Autism Primary Care Workflow: Prospective Observational Study</t>
        </is>
      </c>
      <c r="E278" s="4" t="inlineStr">
        <is>
          <t>10.2196/80733</t>
        </is>
      </c>
      <c r="F278" s="4" t="n">
        <v>2025</v>
      </c>
      <c r="G278" s="4" t="inlineStr">
        <is>
          <t>Include</t>
        </is>
      </c>
      <c r="H278" s="4" t="str"/>
      <c r="I278" s="4" t="n">
        <v>0</v>
      </c>
      <c r="J278" s="4" t="inlineStr">
        <is>
          <t>https://doi.org/10.2196/80733</t>
        </is>
      </c>
      <c r="K278" s="4" t="inlineStr">
        <is>
          <t>Retrieved and reviewed</t>
        </is>
      </c>
      <c r="L278" s="4" t="inlineStr">
        <is>
          <t>Revisión asistida por IA (un revisor; requiere verificación independiente)</t>
        </is>
      </c>
      <c r="M278" s="40" t="n">
        <v>46269</v>
      </c>
      <c r="N278" s="4" t="inlineStr">
        <is>
          <t>Pending independent/source verification</t>
        </is>
      </c>
      <c r="O278" s="4" t="inlineStr">
        <is>
          <t>Extraccion_RQ_nuevos</t>
        </is>
      </c>
      <c r="P278" s="4" t="n">
        <v>2</v>
      </c>
    </row>
    <row r="279" ht="60" customHeight="1">
      <c r="A279" s="4" t="inlineStr">
        <is>
          <t>new_13</t>
        </is>
      </c>
      <c r="B279" s="4" t="inlineStr">
        <is>
          <t>Update</t>
        </is>
      </c>
      <c r="C279" s="4" t="n">
        <v>13</v>
      </c>
      <c r="D279" s="4" t="inlineStr">
        <is>
          <t>In-silico assessment of dynamic symbiotic microbial interactions in a reduced microbiota related to the autism spectrum disorder symptoms</t>
        </is>
      </c>
      <c r="E279" s="4" t="inlineStr">
        <is>
          <t>10.1016/j.csbj.2025.09.006</t>
        </is>
      </c>
      <c r="F279" s="4" t="n">
        <v>2025</v>
      </c>
      <c r="G279" s="4" t="inlineStr">
        <is>
          <t>Include</t>
        </is>
      </c>
      <c r="H279" s="4" t="str"/>
      <c r="I279" s="4" t="n">
        <v>0</v>
      </c>
      <c r="J279" s="4" t="inlineStr">
        <is>
          <t>https://doi.org/10.1016/j.csbj.2025.09.006</t>
        </is>
      </c>
      <c r="K279" s="4" t="inlineStr">
        <is>
          <t>Retrieved and reviewed</t>
        </is>
      </c>
      <c r="L279" s="4" t="inlineStr">
        <is>
          <t>Revisión asistida por IA (un revisor; requiere verificación independiente)</t>
        </is>
      </c>
      <c r="M279" s="40" t="n">
        <v>46269</v>
      </c>
      <c r="N279" s="4" t="inlineStr">
        <is>
          <t>Pending independent/source verification</t>
        </is>
      </c>
      <c r="O279" s="4" t="inlineStr">
        <is>
          <t>Extraccion_RQ_nuevos</t>
        </is>
      </c>
      <c r="P279" s="4" t="n">
        <v>3</v>
      </c>
    </row>
    <row r="280" ht="60" customHeight="1">
      <c r="A280" s="4" t="inlineStr">
        <is>
          <t>new_35</t>
        </is>
      </c>
      <c r="B280" s="4" t="inlineStr">
        <is>
          <t>Update</t>
        </is>
      </c>
      <c r="C280" s="4" t="n">
        <v>35</v>
      </c>
      <c r="D280" s="4" t="inlineStr">
        <is>
          <t>Deep Learning Approaches for Classifying Children With and Without Autism Spectrum Disorder Using Inertial Measurement Unit Hand Tracking Data: Comparative Study</t>
        </is>
      </c>
      <c r="E280" s="4" t="inlineStr">
        <is>
          <t>10.2196/73440</t>
        </is>
      </c>
      <c r="F280" s="4" t="n">
        <v>2025</v>
      </c>
      <c r="G280" s="4" t="inlineStr">
        <is>
          <t>Include</t>
        </is>
      </c>
      <c r="H280" s="4" t="str"/>
      <c r="I280" s="4" t="n">
        <v>0</v>
      </c>
      <c r="J280" s="4" t="inlineStr">
        <is>
          <t>https://doi.org/10.2196/73440</t>
        </is>
      </c>
      <c r="K280" s="4" t="inlineStr">
        <is>
          <t>Retrieved and reviewed</t>
        </is>
      </c>
      <c r="L280" s="4" t="inlineStr">
        <is>
          <t>Revisión asistida por IA (un revisor; requiere verificación independiente)</t>
        </is>
      </c>
      <c r="M280" s="40" t="n">
        <v>46269</v>
      </c>
      <c r="N280" s="4" t="inlineStr">
        <is>
          <t>Pending independent/source verification</t>
        </is>
      </c>
      <c r="O280" s="4" t="inlineStr">
        <is>
          <t>Extraccion_RQ_nuevos</t>
        </is>
      </c>
      <c r="P280" s="4" t="n">
        <v>4</v>
      </c>
    </row>
    <row r="281" ht="60" customHeight="1">
      <c r="A281" s="4" t="inlineStr">
        <is>
          <t>new_50</t>
        </is>
      </c>
      <c r="B281" s="4" t="inlineStr">
        <is>
          <t>Update</t>
        </is>
      </c>
      <c r="C281" s="4" t="n">
        <v>50</v>
      </c>
      <c r="D281" s="4" t="inlineStr">
        <is>
          <t>Effectiveness of Artificial Intelligence–Based Platform in Administering Therapies for Children With Autism Spectrum Disorder: 12-Month Observational Study</t>
        </is>
      </c>
      <c r="E281" s="4" t="inlineStr">
        <is>
          <t>10.2196/70589</t>
        </is>
      </c>
      <c r="F281" s="4" t="n">
        <v>2025</v>
      </c>
      <c r="G281" s="4" t="inlineStr">
        <is>
          <t>Include</t>
        </is>
      </c>
      <c r="H281" s="4" t="str"/>
      <c r="I281" s="4" t="n">
        <v>0</v>
      </c>
      <c r="J281" s="4" t="inlineStr">
        <is>
          <t>https://doi.org/10.2196/70589</t>
        </is>
      </c>
      <c r="K281" s="4" t="inlineStr">
        <is>
          <t>Retrieved and reviewed</t>
        </is>
      </c>
      <c r="L281" s="4" t="inlineStr">
        <is>
          <t>Revisión asistida por IA (un revisor; requiere verificación independiente)</t>
        </is>
      </c>
      <c r="M281" s="40" t="n">
        <v>46269</v>
      </c>
      <c r="N281" s="4" t="inlineStr">
        <is>
          <t>Pending independent/source verification</t>
        </is>
      </c>
      <c r="O281" s="4" t="inlineStr">
        <is>
          <t>Extraccion_RQ_nuevos</t>
        </is>
      </c>
      <c r="P281" s="4" t="n">
        <v>5</v>
      </c>
    </row>
    <row r="282" ht="60" customHeight="1">
      <c r="A282" s="4" t="inlineStr">
        <is>
          <t>new_93</t>
        </is>
      </c>
      <c r="B282" s="4" t="inlineStr">
        <is>
          <t>Update</t>
        </is>
      </c>
      <c r="C282" s="4" t="n">
        <v>93</v>
      </c>
      <c r="D282" s="4" t="inlineStr">
        <is>
          <t>Large language models deconstruct the clinical intuition behind diagnosing autism</t>
        </is>
      </c>
      <c r="E282" s="4" t="inlineStr">
        <is>
          <t>10.1016/j.cell.2025.02.025</t>
        </is>
      </c>
      <c r="F282" s="4" t="n">
        <v>2025</v>
      </c>
      <c r="G282" s="4" t="inlineStr">
        <is>
          <t>Include</t>
        </is>
      </c>
      <c r="H282" s="4" t="str"/>
      <c r="I282" s="4" t="n">
        <v>0</v>
      </c>
      <c r="J282" s="4" t="inlineStr">
        <is>
          <t>https://doi.org/10.1016/j.cell.2025.02.025</t>
        </is>
      </c>
      <c r="K282" s="4" t="inlineStr">
        <is>
          <t>Retrieved and reviewed</t>
        </is>
      </c>
      <c r="L282" s="4" t="inlineStr">
        <is>
          <t>Revisión asistida por IA (un revisor; requiere verificación independiente)</t>
        </is>
      </c>
      <c r="M282" s="40" t="n">
        <v>46269</v>
      </c>
      <c r="N282" s="4" t="inlineStr">
        <is>
          <t>Pending independent/source verification</t>
        </is>
      </c>
      <c r="O282" s="4" t="inlineStr">
        <is>
          <t>Extraccion_RQ_nuevos</t>
        </is>
      </c>
      <c r="P282" s="4" t="n">
        <v>6</v>
      </c>
    </row>
    <row r="283" ht="60" customHeight="1">
      <c r="A283" s="4" t="inlineStr">
        <is>
          <t>new_96</t>
        </is>
      </c>
      <c r="B283" s="4" t="inlineStr">
        <is>
          <t>Update</t>
        </is>
      </c>
      <c r="C283" s="4" t="n">
        <v>96</v>
      </c>
      <c r="D283" s="4" t="inlineStr">
        <is>
          <t>Ensemble of Deep Learning with Crested Porcupine Optimizer Based Autism Spectrum Disorder Detection Using Facial Images</t>
        </is>
      </c>
      <c r="E283" s="4" t="inlineStr">
        <is>
          <t>10.32604/cmc.2025.062266</t>
        </is>
      </c>
      <c r="F283" s="4" t="n">
        <v>2025</v>
      </c>
      <c r="G283" s="4" t="inlineStr">
        <is>
          <t>Include</t>
        </is>
      </c>
      <c r="H283" s="4" t="str"/>
      <c r="I283" s="4" t="n">
        <v>0</v>
      </c>
      <c r="J283" s="4" t="inlineStr">
        <is>
          <t>https://doi.org/10.32604/cmc.2025.062266</t>
        </is>
      </c>
      <c r="K283" s="4" t="inlineStr">
        <is>
          <t>Retrieved and reviewed</t>
        </is>
      </c>
      <c r="L283" s="4" t="inlineStr">
        <is>
          <t>Revisión asistida por IA (un revisor; requiere verificación independiente)</t>
        </is>
      </c>
      <c r="M283" s="40" t="n">
        <v>46269</v>
      </c>
      <c r="N283" s="4" t="inlineStr">
        <is>
          <t>Pending independent/source verification</t>
        </is>
      </c>
      <c r="O283" s="4" t="inlineStr">
        <is>
          <t>Extraccion_RQ_nuevos</t>
        </is>
      </c>
      <c r="P283" s="4" t="n">
        <v>7</v>
      </c>
    </row>
    <row r="284" ht="60" customHeight="1">
      <c r="A284" s="4" t="inlineStr">
        <is>
          <t>new_108</t>
        </is>
      </c>
      <c r="B284" s="4" t="inlineStr">
        <is>
          <t>Update</t>
        </is>
      </c>
      <c r="C284" s="4" t="n">
        <v>108</v>
      </c>
      <c r="D284" s="4" t="inlineStr">
        <is>
          <t>Awareness with Machine: Hybrid Approach to Detecting ASD with a Clustering</t>
        </is>
      </c>
      <c r="E284" s="4" t="inlineStr">
        <is>
          <t>10.32604/cmc.2025.062643</t>
        </is>
      </c>
      <c r="F284" s="4" t="n">
        <v>2025</v>
      </c>
      <c r="G284" s="4" t="inlineStr">
        <is>
          <t>Include</t>
        </is>
      </c>
      <c r="H284" s="4" t="str"/>
      <c r="I284" s="4" t="n">
        <v>0</v>
      </c>
      <c r="J284" s="4" t="inlineStr">
        <is>
          <t>https://doi.org/10.32604/cmc.2025.062643</t>
        </is>
      </c>
      <c r="K284" s="4" t="inlineStr">
        <is>
          <t>Retrieved and reviewed</t>
        </is>
      </c>
      <c r="L284" s="4" t="inlineStr">
        <is>
          <t>Revisión asistida por IA (un revisor; requiere verificación independiente)</t>
        </is>
      </c>
      <c r="M284" s="40" t="n">
        <v>46269</v>
      </c>
      <c r="N284" s="4" t="inlineStr">
        <is>
          <t>Pending independent/source verification</t>
        </is>
      </c>
      <c r="O284" s="4" t="inlineStr">
        <is>
          <t>Extraccion_RQ_nuevos</t>
        </is>
      </c>
      <c r="P284" s="4" t="n">
        <v>8</v>
      </c>
    </row>
    <row r="285" ht="60" customHeight="1">
      <c r="A285" s="4" t="inlineStr">
        <is>
          <t>new_125</t>
        </is>
      </c>
      <c r="B285" s="4" t="inlineStr">
        <is>
          <t>Update</t>
        </is>
      </c>
      <c r="C285" s="4" t="n">
        <v>125</v>
      </c>
      <c r="D285" s="4" t="inlineStr">
        <is>
          <t>Identification of critical brain regions for autism diagnosis from fMRI data using explainable AI: an observational analysis of the ABIDE dataset</t>
        </is>
      </c>
      <c r="E285" s="4" t="inlineStr">
        <is>
          <t>10.1016/j.eclinm.2025.103452</t>
        </is>
      </c>
      <c r="F285" s="4" t="n">
        <v>2025</v>
      </c>
      <c r="G285" s="4" t="inlineStr">
        <is>
          <t>Include with integrity flag</t>
        </is>
      </c>
      <c r="H285" s="4" t="inlineStr">
        <is>
          <t>Expression of Concern</t>
        </is>
      </c>
      <c r="I285" s="4" t="n">
        <v>1</v>
      </c>
      <c r="J285" s="4" t="inlineStr">
        <is>
          <t>https://doi.org/10.1016/j.eclinm.2025.103452</t>
        </is>
      </c>
      <c r="K285" s="4" t="inlineStr">
        <is>
          <t>Retrieved and reviewed</t>
        </is>
      </c>
      <c r="L285" s="4" t="inlineStr">
        <is>
          <t>Revisión asistida por IA (un revisor; requiere verificación independiente)</t>
        </is>
      </c>
      <c r="M285" s="40" t="n">
        <v>46269</v>
      </c>
      <c r="N285" s="4" t="inlineStr">
        <is>
          <t>Pending independent/source verification</t>
        </is>
      </c>
      <c r="O285" s="4" t="inlineStr">
        <is>
          <t>Extraccion_RQ_nuevos</t>
        </is>
      </c>
      <c r="P285" s="4" t="n">
        <v>9</v>
      </c>
    </row>
    <row r="286" ht="60" customHeight="1">
      <c r="A286" s="4" t="inlineStr">
        <is>
          <t>new_132</t>
        </is>
      </c>
      <c r="B286" s="4" t="inlineStr">
        <is>
          <t>Update</t>
        </is>
      </c>
      <c r="C286" s="4" t="n">
        <v>132</v>
      </c>
      <c r="D286" s="4" t="inlineStr">
        <is>
          <t>A Brief Observation to Screen Autism in Toddlers and Predict Developmental Trajectory</t>
        </is>
      </c>
      <c r="E286" s="4" t="inlineStr">
        <is>
          <t>10.1016/j.jpedcp.2025.200176</t>
        </is>
      </c>
      <c r="F286" s="4" t="n">
        <v>2025</v>
      </c>
      <c r="G286" s="4" t="inlineStr">
        <is>
          <t>Include</t>
        </is>
      </c>
      <c r="H286" s="4" t="str"/>
      <c r="I286" s="4" t="n">
        <v>0</v>
      </c>
      <c r="J286" s="4" t="inlineStr">
        <is>
          <t>https://doi.org/10.1016/j.jpedcp.2025.200176</t>
        </is>
      </c>
      <c r="K286" s="4" t="inlineStr">
        <is>
          <t>Retrieved and reviewed</t>
        </is>
      </c>
      <c r="L286" s="4" t="inlineStr">
        <is>
          <t>Revisión asistida por IA (un revisor; requiere verificación independiente)</t>
        </is>
      </c>
      <c r="M286" s="40" t="n">
        <v>46269</v>
      </c>
      <c r="N286" s="4" t="inlineStr">
        <is>
          <t>Pending independent/source verification</t>
        </is>
      </c>
      <c r="O286" s="4" t="inlineStr">
        <is>
          <t>Extraccion_RQ_nuevos</t>
        </is>
      </c>
      <c r="P286" s="4" t="n">
        <v>10</v>
      </c>
    </row>
    <row r="287" ht="60" customHeight="1">
      <c r="A287" s="4" t="inlineStr">
        <is>
          <t>new_145</t>
        </is>
      </c>
      <c r="B287" s="4" t="inlineStr">
        <is>
          <t>Update</t>
        </is>
      </c>
      <c r="C287" s="4" t="n">
        <v>145</v>
      </c>
      <c r="D287" s="4" t="inlineStr">
        <is>
          <t>Explainable Ensemble Learning Framework for Early Detection of Autism Spectrum Disorder: Enhancing Trust, Interpretability and Reliability in AI-Driven Healthcare</t>
        </is>
      </c>
      <c r="E287" s="4" t="inlineStr">
        <is>
          <t>10.32604/cmes.2025.074627</t>
        </is>
      </c>
      <c r="F287" s="4" t="n">
        <v>2026</v>
      </c>
      <c r="G287" s="4" t="inlineStr">
        <is>
          <t>Include</t>
        </is>
      </c>
      <c r="H287" s="4" t="str"/>
      <c r="I287" s="4" t="n">
        <v>0</v>
      </c>
      <c r="J287" s="4" t="inlineStr">
        <is>
          <t>https://doi.org/10.32604/cmes.2025.074627</t>
        </is>
      </c>
      <c r="K287" s="4" t="inlineStr">
        <is>
          <t>Retrieved and reviewed</t>
        </is>
      </c>
      <c r="L287" s="4" t="inlineStr">
        <is>
          <t>Revisión asistida por IA (un revisor; requiere verificación independiente)</t>
        </is>
      </c>
      <c r="M287" s="40" t="n">
        <v>46269</v>
      </c>
      <c r="N287" s="4" t="inlineStr">
        <is>
          <t>Pending independent/source verification</t>
        </is>
      </c>
      <c r="O287" s="4" t="inlineStr">
        <is>
          <t>Extraccion_RQ_nuevos</t>
        </is>
      </c>
      <c r="P287" s="4" t="n">
        <v>11</v>
      </c>
    </row>
    <row r="288" ht="60" customHeight="1">
      <c r="A288" s="4" t="inlineStr">
        <is>
          <t>new_160</t>
        </is>
      </c>
      <c r="B288" s="4" t="inlineStr">
        <is>
          <t>Update</t>
        </is>
      </c>
      <c r="C288" s="4" t="n">
        <v>160</v>
      </c>
      <c r="D288" s="4" t="inlineStr">
        <is>
          <t>LLM-Assisted Annotation Framework for Cross Platform Analysis of Autism Online Communities: Implications for Parent Education and Digital Support (Preprint)</t>
        </is>
      </c>
      <c r="E288" s="4" t="inlineStr">
        <is>
          <t>10.2196/85290</t>
        </is>
      </c>
      <c r="F288" s="4" t="n">
        <v>2025</v>
      </c>
      <c r="G288" s="4" t="inlineStr">
        <is>
          <t>Include</t>
        </is>
      </c>
      <c r="H288" s="4" t="str"/>
      <c r="I288" s="4" t="n">
        <v>0</v>
      </c>
      <c r="J288" s="4" t="inlineStr">
        <is>
          <t>https://doi.org/10.2196/85290</t>
        </is>
      </c>
      <c r="K288" s="4" t="inlineStr">
        <is>
          <t>Retrieved and reviewed</t>
        </is>
      </c>
      <c r="L288" s="4" t="inlineStr">
        <is>
          <t>Revisión asistida por IA (un revisor; requiere verificación independiente)</t>
        </is>
      </c>
      <c r="M288" s="40" t="n">
        <v>46269</v>
      </c>
      <c r="N288" s="4" t="inlineStr">
        <is>
          <t>Pending independent/source verification</t>
        </is>
      </c>
      <c r="O288" s="4" t="inlineStr">
        <is>
          <t>Extraccion_RQ_nuevos</t>
        </is>
      </c>
      <c r="P288" s="4" t="n">
        <v>12</v>
      </c>
    </row>
    <row r="289" ht="60" customHeight="1">
      <c r="A289" s="4" t="inlineStr">
        <is>
          <t>new_169</t>
        </is>
      </c>
      <c r="B289" s="4" t="inlineStr">
        <is>
          <t>Update</t>
        </is>
      </c>
      <c r="C289" s="4" t="n">
        <v>169</v>
      </c>
      <c r="D289" s="4" t="inlineStr">
        <is>
          <t>GPT-Powered Chatbot-Based Positive Psychology Intervention for Well-Being Among Parents of Children With Autism Spectrum Disorder: Single-Arm Mixed Methods Study</t>
        </is>
      </c>
      <c r="E289" s="4" t="inlineStr">
        <is>
          <t>10.2196/85060</t>
        </is>
      </c>
      <c r="F289" s="4" t="n">
        <v>2026</v>
      </c>
      <c r="G289" s="4" t="inlineStr">
        <is>
          <t>Include</t>
        </is>
      </c>
      <c r="H289" s="4" t="str"/>
      <c r="I289" s="4" t="n">
        <v>0</v>
      </c>
      <c r="J289" s="4" t="inlineStr">
        <is>
          <t>https://doi.org/10.2196/85060</t>
        </is>
      </c>
      <c r="K289" s="4" t="inlineStr">
        <is>
          <t>Retrieved and reviewed</t>
        </is>
      </c>
      <c r="L289" s="4" t="inlineStr">
        <is>
          <t>Revisión asistida por IA (un revisor; requiere verificación independiente)</t>
        </is>
      </c>
      <c r="M289" s="40" t="n">
        <v>46269</v>
      </c>
      <c r="N289" s="4" t="inlineStr">
        <is>
          <t>Pending independent/source verification</t>
        </is>
      </c>
      <c r="O289" s="4" t="inlineStr">
        <is>
          <t>Extraccion_RQ_nuevos</t>
        </is>
      </c>
      <c r="P289" s="4" t="n">
        <v>13</v>
      </c>
    </row>
    <row r="290" ht="60" customHeight="1">
      <c r="A290" s="4" t="inlineStr">
        <is>
          <t>new_171</t>
        </is>
      </c>
      <c r="B290" s="4" t="inlineStr">
        <is>
          <t>Update</t>
        </is>
      </c>
      <c r="C290" s="4" t="n">
        <v>171</v>
      </c>
      <c r="D290" s="4" t="inlineStr">
        <is>
          <t>Artificial Intelligence Prediction of Individual Treatment Response to Smartphone-Based Mindfulness in Autistic Adults with Anxiety Symptoms: A Randomized Controlled Trial Analysis (Preprint)</t>
        </is>
      </c>
      <c r="E290" s="4" t="inlineStr">
        <is>
          <t>10.2196/89054</t>
        </is>
      </c>
      <c r="F290" s="4" t="n">
        <v>2025</v>
      </c>
      <c r="G290" s="4" t="inlineStr">
        <is>
          <t>Include</t>
        </is>
      </c>
      <c r="H290" s="4" t="str"/>
      <c r="I290" s="4" t="n">
        <v>0</v>
      </c>
      <c r="J290" s="4" t="inlineStr">
        <is>
          <t>https://doi.org/10.2196/89054</t>
        </is>
      </c>
      <c r="K290" s="4" t="inlineStr">
        <is>
          <t>Retrieved and reviewed</t>
        </is>
      </c>
      <c r="L290" s="4" t="inlineStr">
        <is>
          <t>Revisión asistida por IA (un revisor; requiere verificación independiente)</t>
        </is>
      </c>
      <c r="M290" s="40" t="n">
        <v>46269</v>
      </c>
      <c r="N290" s="4" t="inlineStr">
        <is>
          <t>Pending independent/source verification</t>
        </is>
      </c>
      <c r="O290" s="4" t="inlineStr">
        <is>
          <t>Extraccion_RQ_nuevos</t>
        </is>
      </c>
      <c r="P290" s="4" t="n">
        <v>14</v>
      </c>
    </row>
    <row r="291" ht="73" customHeight="1">
      <c r="A291" s="4" t="inlineStr">
        <is>
          <t>new_172</t>
        </is>
      </c>
      <c r="B291" s="4" t="inlineStr">
        <is>
          <t>Update</t>
        </is>
      </c>
      <c r="C291" s="4" t="n">
        <v>172</v>
      </c>
      <c r="D291" s="4" t="inlineStr">
        <is>
          <t>Evaluating Public Sentiment on Attention-Deficit/Hyperactivity Disorder and Autism Spectrum Disorder Compared With Other Mental Health Disorders From Posts on X (Formerly Known as Twitter): Longitudinal Analysis</t>
        </is>
      </c>
      <c r="E291" s="4" t="inlineStr">
        <is>
          <t>10.2196/74440</t>
        </is>
      </c>
      <c r="F291" s="4" t="n">
        <v>2026</v>
      </c>
      <c r="G291" s="4" t="inlineStr">
        <is>
          <t>Include</t>
        </is>
      </c>
      <c r="H291" s="4" t="str"/>
      <c r="I291" s="4" t="n">
        <v>0</v>
      </c>
      <c r="J291" s="4" t="inlineStr">
        <is>
          <t>https://doi.org/10.2196/74440</t>
        </is>
      </c>
      <c r="K291" s="4" t="inlineStr">
        <is>
          <t>Retrieved and reviewed</t>
        </is>
      </c>
      <c r="L291" s="4" t="inlineStr">
        <is>
          <t>Revisión asistida por IA (un revisor; requiere verificación independiente)</t>
        </is>
      </c>
      <c r="M291" s="40" t="n">
        <v>46269</v>
      </c>
      <c r="N291" s="4" t="inlineStr">
        <is>
          <t>Pending independent/source verification</t>
        </is>
      </c>
      <c r="O291" s="4" t="inlineStr">
        <is>
          <t>Extraccion_RQ_nuevos</t>
        </is>
      </c>
      <c r="P291" s="4" t="n">
        <v>15</v>
      </c>
    </row>
    <row r="292" ht="60" customHeight="1">
      <c r="A292" s="4" t="inlineStr">
        <is>
          <t>new_173</t>
        </is>
      </c>
      <c r="B292" s="4" t="inlineStr">
        <is>
          <t>Update</t>
        </is>
      </c>
      <c r="C292" s="4" t="n">
        <v>173</v>
      </c>
      <c r="D292" s="4" t="inlineStr">
        <is>
          <t>From Click to Chat: A Comparative, Bilingual Study of Autism-Related Information on Websites and General-Purpose AI Chatbots (Preprint)</t>
        </is>
      </c>
      <c r="E292" s="4" t="inlineStr">
        <is>
          <t>10.2196/85196</t>
        </is>
      </c>
      <c r="F292" s="4" t="n">
        <v>2025</v>
      </c>
      <c r="G292" s="4" t="inlineStr">
        <is>
          <t>Include</t>
        </is>
      </c>
      <c r="H292" s="4" t="str"/>
      <c r="I292" s="4" t="n">
        <v>0</v>
      </c>
      <c r="J292" s="4" t="inlineStr">
        <is>
          <t>https://doi.org/10.2196/85196</t>
        </is>
      </c>
      <c r="K292" s="4" t="inlineStr">
        <is>
          <t>Retrieved and reviewed</t>
        </is>
      </c>
      <c r="L292" s="4" t="inlineStr">
        <is>
          <t>Revisión asistida por IA (un revisor; requiere verificación independiente)</t>
        </is>
      </c>
      <c r="M292" s="40" t="n">
        <v>46269</v>
      </c>
      <c r="N292" s="4" t="inlineStr">
        <is>
          <t>Pending independent/source verification</t>
        </is>
      </c>
      <c r="O292" s="4" t="inlineStr">
        <is>
          <t>Extraccion_RQ_nuevos</t>
        </is>
      </c>
      <c r="P292" s="4" t="n">
        <v>16</v>
      </c>
    </row>
    <row r="293" ht="60" customHeight="1">
      <c r="A293" s="4" t="inlineStr">
        <is>
          <t>new_179</t>
        </is>
      </c>
      <c r="B293" s="4" t="inlineStr">
        <is>
          <t>Update</t>
        </is>
      </c>
      <c r="C293" s="4" t="n">
        <v>179</v>
      </c>
      <c r="D293" s="4" t="inlineStr">
        <is>
          <t>Free Water Corrected Diffusion Magnetic Resonance Imaging Reveals Microstructural Alterations in Corpus Callosum Subregions of Preschool Children With Autism</t>
        </is>
      </c>
      <c r="E293" s="4" t="inlineStr">
        <is>
          <t>10.1002/hbm.70435</t>
        </is>
      </c>
      <c r="F293" s="4" t="n">
        <v>2025</v>
      </c>
      <c r="G293" s="4" t="inlineStr">
        <is>
          <t>Include</t>
        </is>
      </c>
      <c r="H293" s="4" t="str"/>
      <c r="I293" s="4" t="n">
        <v>0</v>
      </c>
      <c r="J293" s="4" t="inlineStr">
        <is>
          <t>https://doi.org/10.1002/hbm.70435</t>
        </is>
      </c>
      <c r="K293" s="4" t="inlineStr">
        <is>
          <t>Retrieved and reviewed</t>
        </is>
      </c>
      <c r="L293" s="4" t="inlineStr">
        <is>
          <t>Revisión asistida por IA (un revisor; requiere verificación independiente)</t>
        </is>
      </c>
      <c r="M293" s="40" t="n">
        <v>46269</v>
      </c>
      <c r="N293" s="4" t="inlineStr">
        <is>
          <t>Pending independent/source verification</t>
        </is>
      </c>
      <c r="O293" s="4" t="inlineStr">
        <is>
          <t>Extraccion_RQ_nuevos</t>
        </is>
      </c>
      <c r="P293" s="4" t="n">
        <v>17</v>
      </c>
    </row>
    <row r="294" ht="60" customHeight="1">
      <c r="A294" s="4" t="inlineStr">
        <is>
          <t>new_182</t>
        </is>
      </c>
      <c r="B294" s="4" t="inlineStr">
        <is>
          <t>Update</t>
        </is>
      </c>
      <c r="C294" s="4" t="n">
        <v>182</v>
      </c>
      <c r="D294" s="4" t="inlineStr">
        <is>
          <t>Label leakage unmasked: a trustworthy-AI audit of autism screening models using the CLEAR-RD framework.</t>
        </is>
      </c>
      <c r="E294" s="4" t="inlineStr">
        <is>
          <t>10.3389/fpubh.2026.1881829</t>
        </is>
      </c>
      <c r="F294" s="4" t="n">
        <v>2026</v>
      </c>
      <c r="G294" s="4" t="inlineStr">
        <is>
          <t>Include</t>
        </is>
      </c>
      <c r="H294" s="4" t="str"/>
      <c r="I294" s="4" t="n">
        <v>0</v>
      </c>
      <c r="J294" s="4" t="inlineStr">
        <is>
          <t>https://doi.org/10.3389/fpubh.2026.1881829</t>
        </is>
      </c>
      <c r="K294" s="4" t="inlineStr">
        <is>
          <t>Retrieved and reviewed</t>
        </is>
      </c>
      <c r="L294" s="4" t="inlineStr">
        <is>
          <t>Revisión asistida por IA (un revisor; requiere verificación independiente)</t>
        </is>
      </c>
      <c r="M294" s="40" t="n">
        <v>46269</v>
      </c>
      <c r="N294" s="4" t="inlineStr">
        <is>
          <t>Pending independent/source verification</t>
        </is>
      </c>
      <c r="O294" s="4" t="inlineStr">
        <is>
          <t>Extraccion_RQ_nuevos</t>
        </is>
      </c>
      <c r="P294" s="4" t="n">
        <v>18</v>
      </c>
    </row>
    <row r="295" ht="60" customHeight="1">
      <c r="A295" s="4" t="inlineStr">
        <is>
          <t>new_185</t>
        </is>
      </c>
      <c r="B295" s="4" t="inlineStr">
        <is>
          <t>Update</t>
        </is>
      </c>
      <c r="C295" s="4" t="n">
        <v>185</v>
      </c>
      <c r="D295" s="4" t="inlineStr">
        <is>
          <t>Early multimodal behavioral cues in autism: a micro-analytical exploration of actions, gestures and speech during naturalistic parent-child interactions</t>
        </is>
      </c>
      <c r="E295" s="4" t="inlineStr">
        <is>
          <t>10.1016/j.ijchp.2026.100664</t>
        </is>
      </c>
      <c r="F295" s="4" t="n">
        <v>2026</v>
      </c>
      <c r="G295" s="4" t="inlineStr">
        <is>
          <t>Include</t>
        </is>
      </c>
      <c r="H295" s="4" t="str"/>
      <c r="I295" s="4" t="n">
        <v>0</v>
      </c>
      <c r="J295" s="4" t="inlineStr">
        <is>
          <t>https://doi.org/10.1016/j.ijchp.2026.100664</t>
        </is>
      </c>
      <c r="K295" s="4" t="inlineStr">
        <is>
          <t>Retrieved and reviewed</t>
        </is>
      </c>
      <c r="L295" s="4" t="inlineStr">
        <is>
          <t>Revisión asistida por IA (un revisor; requiere verificación independiente)</t>
        </is>
      </c>
      <c r="M295" s="40" t="n">
        <v>46269</v>
      </c>
      <c r="N295" s="4" t="inlineStr">
        <is>
          <t>Pending independent/source verification</t>
        </is>
      </c>
      <c r="O295" s="4" t="inlineStr">
        <is>
          <t>Extraccion_RQ_nuevos</t>
        </is>
      </c>
      <c r="P295" s="4" t="n">
        <v>19</v>
      </c>
    </row>
    <row r="296" ht="73" customHeight="1">
      <c r="A296" s="4" t="inlineStr">
        <is>
          <t>new_186</t>
        </is>
      </c>
      <c r="B296" s="4" t="inlineStr">
        <is>
          <t>Update</t>
        </is>
      </c>
      <c r="C296" s="4" t="n">
        <v>186</v>
      </c>
      <c r="D296" s="4" t="inlineStr">
        <is>
          <t>Mood instability and mental health service use in autism and attention-deficit/hyperactivity disorder: a natural language processing analysis of CRIS electronic healthcare records from 21 906 children and adolescents.</t>
        </is>
      </c>
      <c r="E296" s="4" t="inlineStr">
        <is>
          <t>10.1136/bmjment-2026-302488</t>
        </is>
      </c>
      <c r="F296" s="4" t="n">
        <v>2026</v>
      </c>
      <c r="G296" s="4" t="inlineStr">
        <is>
          <t>Include</t>
        </is>
      </c>
      <c r="H296" s="4" t="str"/>
      <c r="I296" s="4" t="n">
        <v>0</v>
      </c>
      <c r="J296" s="4" t="inlineStr">
        <is>
          <t>https://doi.org/10.1136/bmjment-2026-302488</t>
        </is>
      </c>
      <c r="K296" s="4" t="inlineStr">
        <is>
          <t>Retrieved and reviewed</t>
        </is>
      </c>
      <c r="L296" s="4" t="inlineStr">
        <is>
          <t>Revisión asistida por IA (un revisor; requiere verificación independiente)</t>
        </is>
      </c>
      <c r="M296" s="40" t="n">
        <v>46269</v>
      </c>
      <c r="N296" s="4" t="inlineStr">
        <is>
          <t>Pending independent/source verification</t>
        </is>
      </c>
      <c r="O296" s="4" t="inlineStr">
        <is>
          <t>Extraccion_RQ_nuevos</t>
        </is>
      </c>
      <c r="P296" s="4" t="n">
        <v>20</v>
      </c>
    </row>
    <row r="297" ht="60" customHeight="1">
      <c r="A297" s="4" t="inlineStr">
        <is>
          <t>new_191</t>
        </is>
      </c>
      <c r="B297" s="4" t="inlineStr">
        <is>
          <t>Update</t>
        </is>
      </c>
      <c r="C297" s="4" t="n">
        <v>191</v>
      </c>
      <c r="D297" s="4" t="inlineStr">
        <is>
          <t>A functional system-informed graph neural network framework to quantify interpretable brain dysfunction in ASD</t>
        </is>
      </c>
      <c r="E297" s="4" t="inlineStr">
        <is>
          <t>10.1016/j.neunet.2025.108295</t>
        </is>
      </c>
      <c r="F297" s="4" t="n">
        <v>2026</v>
      </c>
      <c r="G297" s="4" t="inlineStr">
        <is>
          <t>Include</t>
        </is>
      </c>
      <c r="H297" s="4" t="str"/>
      <c r="I297" s="4" t="n">
        <v>0</v>
      </c>
      <c r="J297" s="4" t="inlineStr">
        <is>
          <t>https://doi.org/10.1016/j.neunet.2025.108295</t>
        </is>
      </c>
      <c r="K297" s="4" t="inlineStr">
        <is>
          <t>Retrieved and reviewed</t>
        </is>
      </c>
      <c r="L297" s="4" t="inlineStr">
        <is>
          <t>Revisión asistida por IA (un revisor; requiere verificación independiente)</t>
        </is>
      </c>
      <c r="M297" s="40" t="n">
        <v>46269</v>
      </c>
      <c r="N297" s="4" t="inlineStr">
        <is>
          <t>Pending independent/source verification</t>
        </is>
      </c>
      <c r="O297" s="4" t="inlineStr">
        <is>
          <t>Extraccion_RQ_nuevos</t>
        </is>
      </c>
      <c r="P297" s="4" t="n">
        <v>21</v>
      </c>
    </row>
    <row r="298" ht="60" customHeight="1">
      <c r="A298" s="4" t="inlineStr">
        <is>
          <t>new_197</t>
        </is>
      </c>
      <c r="B298" s="4" t="inlineStr">
        <is>
          <t>Update</t>
        </is>
      </c>
      <c r="C298" s="4" t="n">
        <v>197</v>
      </c>
      <c r="D298" s="4" t="inlineStr">
        <is>
          <t>Deep learning for autism detection using clinical notes: A comparison of transfer learning for a transparent and black-box approach</t>
        </is>
      </c>
      <c r="E298" s="4" t="inlineStr">
        <is>
          <t>10.1016/j.artmed.2025.103318</t>
        </is>
      </c>
      <c r="F298" s="4" t="n">
        <v>2026</v>
      </c>
      <c r="G298" s="4" t="inlineStr">
        <is>
          <t>Include</t>
        </is>
      </c>
      <c r="H298" s="4" t="str"/>
      <c r="I298" s="4" t="n">
        <v>0</v>
      </c>
      <c r="J298" s="4" t="inlineStr">
        <is>
          <t>https://doi.org/10.1016/j.artmed.2025.103318</t>
        </is>
      </c>
      <c r="K298" s="4" t="inlineStr">
        <is>
          <t>Retrieved and reviewed</t>
        </is>
      </c>
      <c r="L298" s="4" t="inlineStr">
        <is>
          <t>Revisión asistida por IA (un revisor; requiere verificación independiente)</t>
        </is>
      </c>
      <c r="M298" s="40" t="n">
        <v>46269</v>
      </c>
      <c r="N298" s="4" t="inlineStr">
        <is>
          <t>Pending independent/source verification</t>
        </is>
      </c>
      <c r="O298" s="4" t="inlineStr">
        <is>
          <t>Extraccion_RQ_nuevos</t>
        </is>
      </c>
      <c r="P298" s="4" t="n">
        <v>22</v>
      </c>
    </row>
    <row r="299" ht="60" customHeight="1">
      <c r="A299" s="4" t="inlineStr">
        <is>
          <t>new_200</t>
        </is>
      </c>
      <c r="B299" s="4" t="inlineStr">
        <is>
          <t>Update</t>
        </is>
      </c>
      <c r="C299" s="4" t="n">
        <v>200</v>
      </c>
      <c r="D299" s="4" t="inlineStr">
        <is>
          <t>Finding the forest in the trees: Using machine learning and online cognitive and perceptual measures to predict adult autism diagnosis</t>
        </is>
      </c>
      <c r="E299" s="4" t="inlineStr">
        <is>
          <t>10.1038/s41398-026-03823-y</t>
        </is>
      </c>
      <c r="F299" s="4" t="n">
        <v>2026</v>
      </c>
      <c r="G299" s="4" t="inlineStr">
        <is>
          <t>Include</t>
        </is>
      </c>
      <c r="H299" s="4" t="str"/>
      <c r="I299" s="4" t="n">
        <v>0</v>
      </c>
      <c r="J299" s="4" t="inlineStr">
        <is>
          <t>https://doi.org/10.1038/s41398-026-03823-y</t>
        </is>
      </c>
      <c r="K299" s="4" t="inlineStr">
        <is>
          <t>Retrieved and reviewed</t>
        </is>
      </c>
      <c r="L299" s="4" t="inlineStr">
        <is>
          <t>Revisión asistida por IA (un revisor; requiere verificación independiente)</t>
        </is>
      </c>
      <c r="M299" s="40" t="n">
        <v>46269</v>
      </c>
      <c r="N299" s="4" t="inlineStr">
        <is>
          <t>Pending independent/source verification</t>
        </is>
      </c>
      <c r="O299" s="4" t="inlineStr">
        <is>
          <t>Extraccion_RQ_nuevos</t>
        </is>
      </c>
      <c r="P299" s="4" t="n">
        <v>23</v>
      </c>
    </row>
    <row r="300" ht="60" customHeight="1">
      <c r="A300" s="4" t="inlineStr">
        <is>
          <t>new_210</t>
        </is>
      </c>
      <c r="B300" s="4" t="inlineStr">
        <is>
          <t>Update</t>
        </is>
      </c>
      <c r="C300" s="4" t="n">
        <v>210</v>
      </c>
      <c r="D300" s="4" t="inlineStr">
        <is>
          <t>Biomarker Discovery for Autism Prediction Using Massive Feature Extraction Based on EEG Signals</t>
        </is>
      </c>
      <c r="E300" s="4" t="inlineStr">
        <is>
          <t>10.3390/s26061862</t>
        </is>
      </c>
      <c r="F300" s="4" t="n">
        <v>2026</v>
      </c>
      <c r="G300" s="4" t="inlineStr">
        <is>
          <t>Include</t>
        </is>
      </c>
      <c r="H300" s="4" t="str"/>
      <c r="I300" s="4" t="n">
        <v>0</v>
      </c>
      <c r="J300" s="4" t="inlineStr">
        <is>
          <t>https://doi.org/10.3390/s26061862</t>
        </is>
      </c>
      <c r="K300" s="4" t="inlineStr">
        <is>
          <t>Retrieved and reviewed</t>
        </is>
      </c>
      <c r="L300" s="4" t="inlineStr">
        <is>
          <t>Revisión asistida por IA (un revisor; requiere verificación independiente)</t>
        </is>
      </c>
      <c r="M300" s="40" t="n">
        <v>46269</v>
      </c>
      <c r="N300" s="4" t="inlineStr">
        <is>
          <t>Pending independent/source verification</t>
        </is>
      </c>
      <c r="O300" s="4" t="inlineStr">
        <is>
          <t>Extraccion_RQ_nuevos</t>
        </is>
      </c>
      <c r="P300" s="4" t="n">
        <v>24</v>
      </c>
    </row>
    <row r="301" ht="60" customHeight="1">
      <c r="A301" s="4" t="inlineStr">
        <is>
          <t>new_212</t>
        </is>
      </c>
      <c r="B301" s="4" t="inlineStr">
        <is>
          <t>Update</t>
        </is>
      </c>
      <c r="C301" s="4" t="n">
        <v>212</v>
      </c>
      <c r="D301" s="4" t="inlineStr">
        <is>
          <t>Comparison of cognitive ability and its distribution between men with autism spectrum disorder and attention-deficit/hyperactivity disorder</t>
        </is>
      </c>
      <c r="E301" s="4" t="inlineStr">
        <is>
          <t>10.1371/journal.pone.0345522</t>
        </is>
      </c>
      <c r="F301" s="4" t="n">
        <v>2026</v>
      </c>
      <c r="G301" s="4" t="inlineStr">
        <is>
          <t>Include</t>
        </is>
      </c>
      <c r="H301" s="4" t="str"/>
      <c r="I301" s="4" t="n">
        <v>0</v>
      </c>
      <c r="J301" s="4" t="inlineStr">
        <is>
          <t>https://doi.org/10.1371/journal.pone.0345522</t>
        </is>
      </c>
      <c r="K301" s="4" t="inlineStr">
        <is>
          <t>Retrieved and reviewed</t>
        </is>
      </c>
      <c r="L301" s="4" t="inlineStr">
        <is>
          <t>Revisión asistida por IA (un revisor; requiere verificación independiente)</t>
        </is>
      </c>
      <c r="M301" s="40" t="n">
        <v>46269</v>
      </c>
      <c r="N301" s="4" t="inlineStr">
        <is>
          <t>Pending independent/source verification</t>
        </is>
      </c>
      <c r="O301" s="4" t="inlineStr">
        <is>
          <t>Extraccion_RQ_nuevos</t>
        </is>
      </c>
      <c r="P301" s="4" t="n">
        <v>25</v>
      </c>
    </row>
    <row r="302" ht="60" customHeight="1">
      <c r="A302" s="4" t="inlineStr">
        <is>
          <t>new_214</t>
        </is>
      </c>
      <c r="B302" s="4" t="inlineStr">
        <is>
          <t>Update</t>
        </is>
      </c>
      <c r="C302" s="4" t="n">
        <v>214</v>
      </c>
      <c r="D302" s="4" t="inlineStr">
        <is>
          <t>Hippocampal Subregion Function and Its Clinical Correlations in Childhood Autism Spectrum Disorders</t>
        </is>
      </c>
      <c r="E302" s="4" t="inlineStr">
        <is>
          <t>10.1002/aur.70124</t>
        </is>
      </c>
      <c r="F302" s="4" t="n">
        <v>2025</v>
      </c>
      <c r="G302" s="4" t="inlineStr">
        <is>
          <t>Include</t>
        </is>
      </c>
      <c r="H302" s="4" t="str"/>
      <c r="I302" s="4" t="n">
        <v>0</v>
      </c>
      <c r="J302" s="4" t="inlineStr">
        <is>
          <t>https://doi.org/10.1002/aur.70124</t>
        </is>
      </c>
      <c r="K302" s="4" t="inlineStr">
        <is>
          <t>Retrieved and reviewed</t>
        </is>
      </c>
      <c r="L302" s="4" t="inlineStr">
        <is>
          <t>Revisión asistida por IA (un revisor; requiere verificación independiente)</t>
        </is>
      </c>
      <c r="M302" s="40" t="n">
        <v>46269</v>
      </c>
      <c r="N302" s="4" t="inlineStr">
        <is>
          <t>Pending independent/source verification</t>
        </is>
      </c>
      <c r="O302" s="4" t="inlineStr">
        <is>
          <t>Extraccion_RQ_nuevos</t>
        </is>
      </c>
      <c r="P302" s="4" t="n">
        <v>26</v>
      </c>
    </row>
    <row r="303" ht="60" customHeight="1">
      <c r="A303" s="4" t="inlineStr">
        <is>
          <t>new_216</t>
        </is>
      </c>
      <c r="B303" s="4" t="inlineStr">
        <is>
          <t>Update</t>
        </is>
      </c>
      <c r="C303" s="4" t="n">
        <v>216</v>
      </c>
      <c r="D303" s="4" t="inlineStr">
        <is>
          <t>Parental Stress and Caregiver Role Modulate Child–Caregiver Prosodic Synchrony in Autism: A Computational Analysis</t>
        </is>
      </c>
      <c r="E303" s="4" t="inlineStr">
        <is>
          <t>10.1002/aur.70189</t>
        </is>
      </c>
      <c r="F303" s="4" t="n">
        <v>2026</v>
      </c>
      <c r="G303" s="4" t="inlineStr">
        <is>
          <t>Include</t>
        </is>
      </c>
      <c r="H303" s="4" t="str"/>
      <c r="I303" s="4" t="n">
        <v>0</v>
      </c>
      <c r="J303" s="4" t="inlineStr">
        <is>
          <t>https://doi.org/10.1002/aur.70189</t>
        </is>
      </c>
      <c r="K303" s="4" t="inlineStr">
        <is>
          <t>Retrieved and reviewed</t>
        </is>
      </c>
      <c r="L303" s="4" t="inlineStr">
        <is>
          <t>Revisión asistida por IA (un revisor; requiere verificación independiente)</t>
        </is>
      </c>
      <c r="M303" s="40" t="n">
        <v>46269</v>
      </c>
      <c r="N303" s="4" t="inlineStr">
        <is>
          <t>Pending independent/source verification</t>
        </is>
      </c>
      <c r="O303" s="4" t="inlineStr">
        <is>
          <t>Extraccion_RQ_nuevos</t>
        </is>
      </c>
      <c r="P303" s="4" t="n">
        <v>27</v>
      </c>
    </row>
    <row r="304" ht="60" customHeight="1">
      <c r="A304" s="4" t="inlineStr">
        <is>
          <t>new_217</t>
        </is>
      </c>
      <c r="B304" s="4" t="inlineStr">
        <is>
          <t>Update</t>
        </is>
      </c>
      <c r="C304" s="4" t="n">
        <v>217</v>
      </c>
      <c r="D304" s="4" t="inlineStr">
        <is>
          <t>Predicting brain age in children aged 2–6 years with autism spectrum disorders using routine T1- and T2-weighted magnetic resonance imaging</t>
        </is>
      </c>
      <c r="E304" s="4" t="inlineStr">
        <is>
          <t>10.1002/ped4.70064</t>
        </is>
      </c>
      <c r="F304" s="4" t="n">
        <v>2026</v>
      </c>
      <c r="G304" s="4" t="inlineStr">
        <is>
          <t>Include</t>
        </is>
      </c>
      <c r="H304" s="4" t="str"/>
      <c r="I304" s="4" t="n">
        <v>0</v>
      </c>
      <c r="J304" s="4" t="inlineStr">
        <is>
          <t>https://doi.org/10.1002/ped4.70064</t>
        </is>
      </c>
      <c r="K304" s="4" t="inlineStr">
        <is>
          <t>Retrieved and reviewed</t>
        </is>
      </c>
      <c r="L304" s="4" t="inlineStr">
        <is>
          <t>Revisión asistida por IA (un revisor; requiere verificación independiente)</t>
        </is>
      </c>
      <c r="M304" s="40" t="n">
        <v>46269</v>
      </c>
      <c r="N304" s="4" t="inlineStr">
        <is>
          <t>Pending independent/source verification</t>
        </is>
      </c>
      <c r="O304" s="4" t="inlineStr">
        <is>
          <t>Extraccion_RQ_nuevos</t>
        </is>
      </c>
      <c r="P304" s="4" t="n">
        <v>28</v>
      </c>
    </row>
    <row r="305" ht="60" customHeight="1">
      <c r="A305" s="4" t="inlineStr">
        <is>
          <t>new_228</t>
        </is>
      </c>
      <c r="B305" s="4" t="inlineStr">
        <is>
          <t>Update</t>
        </is>
      </c>
      <c r="C305" s="4" t="n">
        <v>228</v>
      </c>
      <c r="D305" s="4" t="inlineStr">
        <is>
          <t>Unveiling Diagnostic Biomarkers in Autism: A Comparative Proteome Analysis of CNTNAP2 Knockout Mice and Human ASD Patients</t>
        </is>
      </c>
      <c r="E305" s="4" t="inlineStr">
        <is>
          <t>10.3390/biom16030340</t>
        </is>
      </c>
      <c r="F305" s="4" t="n">
        <v>2026</v>
      </c>
      <c r="G305" s="4" t="inlineStr">
        <is>
          <t>Include</t>
        </is>
      </c>
      <c r="H305" s="4" t="str"/>
      <c r="I305" s="4" t="n">
        <v>0</v>
      </c>
      <c r="J305" s="4" t="inlineStr">
        <is>
          <t>https://doi.org/10.3390/biom16030340</t>
        </is>
      </c>
      <c r="K305" s="4" t="inlineStr">
        <is>
          <t>Retrieved and reviewed</t>
        </is>
      </c>
      <c r="L305" s="4" t="inlineStr">
        <is>
          <t>Revisión asistida por IA (un revisor; requiere verificación independiente)</t>
        </is>
      </c>
      <c r="M305" s="40" t="n">
        <v>46269</v>
      </c>
      <c r="N305" s="4" t="inlineStr">
        <is>
          <t>Pending independent/source verification</t>
        </is>
      </c>
      <c r="O305" s="4" t="inlineStr">
        <is>
          <t>Extraccion_RQ_nuevos</t>
        </is>
      </c>
      <c r="P305" s="4" t="n">
        <v>29</v>
      </c>
    </row>
    <row r="306" ht="60" customHeight="1">
      <c r="A306" s="4" t="inlineStr">
        <is>
          <t>new_237</t>
        </is>
      </c>
      <c r="B306" s="4" t="inlineStr">
        <is>
          <t>Update</t>
        </is>
      </c>
      <c r="C306" s="4" t="n">
        <v>237</v>
      </c>
      <c r="D306" s="4" t="inlineStr">
        <is>
          <t>Late Fusion Model for Emotion Recognition from Facial Expressions and Biosignals in a Dataset of Children with Autism Spectrum Disorder</t>
        </is>
      </c>
      <c r="E306" s="4" t="inlineStr">
        <is>
          <t>10.3390/s25247485</t>
        </is>
      </c>
      <c r="F306" s="4" t="n">
        <v>2025</v>
      </c>
      <c r="G306" s="4" t="inlineStr">
        <is>
          <t>Include</t>
        </is>
      </c>
      <c r="H306" s="4" t="str"/>
      <c r="I306" s="4" t="n">
        <v>0</v>
      </c>
      <c r="J306" s="4" t="inlineStr">
        <is>
          <t>https://doi.org/10.3390/s25247485</t>
        </is>
      </c>
      <c r="K306" s="4" t="inlineStr">
        <is>
          <t>Retrieved and reviewed</t>
        </is>
      </c>
      <c r="L306" s="4" t="inlineStr">
        <is>
          <t>Revisión asistida por IA (un revisor; requiere verificación independiente)</t>
        </is>
      </c>
      <c r="M306" s="40" t="n">
        <v>46269</v>
      </c>
      <c r="N306" s="4" t="inlineStr">
        <is>
          <t>Pending independent/source verification</t>
        </is>
      </c>
      <c r="O306" s="4" t="inlineStr">
        <is>
          <t>Extraccion_RQ_nuevos</t>
        </is>
      </c>
      <c r="P306" s="4" t="n">
        <v>30</v>
      </c>
    </row>
    <row r="307" ht="60" customHeight="1">
      <c r="A307" s="4" t="inlineStr">
        <is>
          <t>new_247</t>
        </is>
      </c>
      <c r="B307" s="4" t="inlineStr">
        <is>
          <t>Update</t>
        </is>
      </c>
      <c r="C307" s="4" t="n">
        <v>247</v>
      </c>
      <c r="D307" s="4" t="inlineStr">
        <is>
          <t>New intelligent music therapy method for applications of enhancing social skills of autism children based on TL-GCN and deep learning</t>
        </is>
      </c>
      <c r="E307" s="4" t="inlineStr">
        <is>
          <t>10.1038/s41598-025-26307-3</t>
        </is>
      </c>
      <c r="F307" s="4" t="n">
        <v>2025</v>
      </c>
      <c r="G307" s="4" t="inlineStr">
        <is>
          <t>Include</t>
        </is>
      </c>
      <c r="H307" s="4" t="str"/>
      <c r="I307" s="4" t="n">
        <v>0</v>
      </c>
      <c r="J307" s="4" t="inlineStr">
        <is>
          <t>https://doi.org/10.1038/s41598-025-26307-3</t>
        </is>
      </c>
      <c r="K307" s="4" t="inlineStr">
        <is>
          <t>Retrieved and reviewed</t>
        </is>
      </c>
      <c r="L307" s="4" t="inlineStr">
        <is>
          <t>Revisión asistida por IA (un revisor; requiere verificación independiente)</t>
        </is>
      </c>
      <c r="M307" s="40" t="n">
        <v>46269</v>
      </c>
      <c r="N307" s="4" t="inlineStr">
        <is>
          <t>Pending independent/source verification</t>
        </is>
      </c>
      <c r="O307" s="4" t="inlineStr">
        <is>
          <t>Extraccion_RQ_nuevos</t>
        </is>
      </c>
      <c r="P307" s="4" t="n">
        <v>31</v>
      </c>
    </row>
    <row r="308" ht="60" customHeight="1">
      <c r="A308" s="4" t="inlineStr">
        <is>
          <t>new_257</t>
        </is>
      </c>
      <c r="B308" s="4" t="inlineStr">
        <is>
          <t>Update</t>
        </is>
      </c>
      <c r="C308" s="4" t="n">
        <v>257</v>
      </c>
      <c r="D308" s="4" t="inlineStr">
        <is>
          <t>The Use of the Social Robot LOVOT for Children with Autism Spectrum Disorder: A Feasibility Study</t>
        </is>
      </c>
      <c r="E308" s="4" t="inlineStr">
        <is>
          <t>10.3233/shti251499</t>
        </is>
      </c>
      <c r="F308" s="4" t="n">
        <v>2025</v>
      </c>
      <c r="G308" s="4" t="inlineStr">
        <is>
          <t>Include</t>
        </is>
      </c>
      <c r="H308" s="4" t="str"/>
      <c r="I308" s="4" t="n">
        <v>0</v>
      </c>
      <c r="J308" s="4" t="inlineStr">
        <is>
          <t>https://doi.org/10.3233/shti251499</t>
        </is>
      </c>
      <c r="K308" s="4" t="inlineStr">
        <is>
          <t>Retrieved and reviewed</t>
        </is>
      </c>
      <c r="L308" s="4" t="inlineStr">
        <is>
          <t>Revisión asistida por IA (un revisor; requiere verificación independiente)</t>
        </is>
      </c>
      <c r="M308" s="40" t="n">
        <v>46269</v>
      </c>
      <c r="N308" s="4" t="inlineStr">
        <is>
          <t>Pending independent/source verification</t>
        </is>
      </c>
      <c r="O308" s="4" t="inlineStr">
        <is>
          <t>Extraccion_RQ_nuevos</t>
        </is>
      </c>
      <c r="P308" s="4" t="n">
        <v>32</v>
      </c>
    </row>
    <row r="309" ht="60" customHeight="1">
      <c r="A309" s="4" t="inlineStr">
        <is>
          <t>new_259</t>
        </is>
      </c>
      <c r="B309" s="4" t="inlineStr">
        <is>
          <t>Update</t>
        </is>
      </c>
      <c r="C309" s="4" t="n">
        <v>259</v>
      </c>
      <c r="D309" s="4" t="inlineStr">
        <is>
          <t>Data-Driven and Explainable Discovery of Autism Spectrum Disorder Patterns Across Age Groups</t>
        </is>
      </c>
      <c r="E309" s="4" t="inlineStr">
        <is>
          <t>10.1155/hbe2/1923339</t>
        </is>
      </c>
      <c r="F309" s="4" t="n">
        <v>2026</v>
      </c>
      <c r="G309" s="4" t="inlineStr">
        <is>
          <t>Include</t>
        </is>
      </c>
      <c r="H309" s="4" t="str"/>
      <c r="I309" s="4" t="n">
        <v>0</v>
      </c>
      <c r="J309" s="4" t="inlineStr">
        <is>
          <t>https://doi.org/10.1155/hbe2/1923339</t>
        </is>
      </c>
      <c r="K309" s="4" t="inlineStr">
        <is>
          <t>Retrieved and reviewed</t>
        </is>
      </c>
      <c r="L309" s="4" t="inlineStr">
        <is>
          <t>Revisión asistida por IA (un revisor; requiere verificación independiente)</t>
        </is>
      </c>
      <c r="M309" s="40" t="n">
        <v>46269</v>
      </c>
      <c r="N309" s="4" t="inlineStr">
        <is>
          <t>Pending independent/source verification</t>
        </is>
      </c>
      <c r="O309" s="4" t="inlineStr">
        <is>
          <t>Extraccion_RQ_nuevos</t>
        </is>
      </c>
      <c r="P309" s="4" t="n">
        <v>33</v>
      </c>
    </row>
    <row r="310" ht="60" customHeight="1">
      <c r="A310" s="4" t="inlineStr">
        <is>
          <t>new_261</t>
        </is>
      </c>
      <c r="B310" s="4" t="inlineStr">
        <is>
          <t>Update</t>
        </is>
      </c>
      <c r="C310" s="4" t="n">
        <v>261</v>
      </c>
      <c r="D310" s="4" t="inlineStr">
        <is>
          <t>Artificial Intelligence Networks Combining Histopathology and Machine Learning Can Extract Axon Pathology in Autism Spectrum Disorder</t>
        </is>
      </c>
      <c r="E310" s="4" t="inlineStr">
        <is>
          <t>10.1002/aur.70135</t>
        </is>
      </c>
      <c r="F310" s="4" t="n">
        <v>2025</v>
      </c>
      <c r="G310" s="4" t="inlineStr">
        <is>
          <t>Include</t>
        </is>
      </c>
      <c r="H310" s="4" t="str"/>
      <c r="I310" s="4" t="n">
        <v>0</v>
      </c>
      <c r="J310" s="4" t="inlineStr">
        <is>
          <t>https://doi.org/10.1002/aur.70135</t>
        </is>
      </c>
      <c r="K310" s="4" t="inlineStr">
        <is>
          <t>Retrieved and reviewed</t>
        </is>
      </c>
      <c r="L310" s="4" t="inlineStr">
        <is>
          <t>Revisión asistida por IA (un revisor; requiere verificación independiente)</t>
        </is>
      </c>
      <c r="M310" s="40" t="n">
        <v>46269</v>
      </c>
      <c r="N310" s="4" t="inlineStr">
        <is>
          <t>Pending independent/source verification</t>
        </is>
      </c>
      <c r="O310" s="4" t="inlineStr">
        <is>
          <t>Extraccion_RQ_nuevos</t>
        </is>
      </c>
      <c r="P310" s="4" t="n">
        <v>34</v>
      </c>
    </row>
    <row r="311" ht="60" customHeight="1">
      <c r="A311" s="4" t="inlineStr">
        <is>
          <t>new_262</t>
        </is>
      </c>
      <c r="B311" s="4" t="inlineStr">
        <is>
          <t>Update</t>
        </is>
      </c>
      <c r="C311" s="4" t="n">
        <v>262</v>
      </c>
      <c r="D311" s="4" t="inlineStr">
        <is>
          <t>Profiling Chinese children with symptoms of SpLD, ADHD, or ASD: a transdiagnostic and biopsychosocial study</t>
        </is>
      </c>
      <c r="E311" s="4" t="inlineStr">
        <is>
          <t>10.1186/s12888-025-07754-8</t>
        </is>
      </c>
      <c r="F311" s="4" t="n">
        <v>2026</v>
      </c>
      <c r="G311" s="4" t="inlineStr">
        <is>
          <t>Include</t>
        </is>
      </c>
      <c r="H311" s="4" t="str"/>
      <c r="I311" s="4" t="n">
        <v>0</v>
      </c>
      <c r="J311" s="4" t="inlineStr">
        <is>
          <t>https://doi.org/10.1186/s12888-025-07754-8</t>
        </is>
      </c>
      <c r="K311" s="4" t="inlineStr">
        <is>
          <t>Retrieved and reviewed</t>
        </is>
      </c>
      <c r="L311" s="4" t="inlineStr">
        <is>
          <t>Revisión asistida por IA (un revisor; requiere verificación independiente)</t>
        </is>
      </c>
      <c r="M311" s="40" t="n">
        <v>46269</v>
      </c>
      <c r="N311" s="4" t="inlineStr">
        <is>
          <t>Pending independent/source verification</t>
        </is>
      </c>
      <c r="O311" s="4" t="inlineStr">
        <is>
          <t>Extraccion_RQ_nuevos</t>
        </is>
      </c>
      <c r="P311" s="4" t="n">
        <v>35</v>
      </c>
    </row>
    <row r="312" ht="60" customHeight="1">
      <c r="A312" s="4" t="inlineStr">
        <is>
          <t>new_263</t>
        </is>
      </c>
      <c r="B312" s="4" t="inlineStr">
        <is>
          <t>Update</t>
        </is>
      </c>
      <c r="C312" s="4" t="n">
        <v>263</v>
      </c>
      <c r="D312" s="4" t="inlineStr">
        <is>
          <t>Enhancing Psychological Assessments with Open-Ended Questionnaires and Large Language Models: An ASD Case Study</t>
        </is>
      </c>
      <c r="E312" s="4" t="inlineStr">
        <is>
          <t>10.1109/jbhi.2025.3599643</t>
        </is>
      </c>
      <c r="F312" s="4" t="n">
        <v>2026</v>
      </c>
      <c r="G312" s="4" t="inlineStr">
        <is>
          <t>Include</t>
        </is>
      </c>
      <c r="H312" s="4" t="str"/>
      <c r="I312" s="4" t="n">
        <v>0</v>
      </c>
      <c r="J312" s="4" t="inlineStr">
        <is>
          <t>https://doi.org/10.1109/jbhi.2025.3599643</t>
        </is>
      </c>
      <c r="K312" s="4" t="inlineStr">
        <is>
          <t>Retrieved and reviewed</t>
        </is>
      </c>
      <c r="L312" s="4" t="inlineStr">
        <is>
          <t>Revisión asistida por IA (un revisor; requiere verificación independiente)</t>
        </is>
      </c>
      <c r="M312" s="40" t="n">
        <v>46269</v>
      </c>
      <c r="N312" s="4" t="inlineStr">
        <is>
          <t>Pending independent/source verification</t>
        </is>
      </c>
      <c r="O312" s="4" t="inlineStr">
        <is>
          <t>Extraccion_RQ_nuevos</t>
        </is>
      </c>
      <c r="P312" s="4" t="n">
        <v>36</v>
      </c>
    </row>
    <row r="313" ht="60" customHeight="1">
      <c r="A313" s="4" t="inlineStr">
        <is>
          <t>new_268</t>
        </is>
      </c>
      <c r="B313" s="4" t="inlineStr">
        <is>
          <t>Update</t>
        </is>
      </c>
      <c r="C313" s="4" t="n">
        <v>268</v>
      </c>
      <c r="D313" s="4" t="inlineStr">
        <is>
          <t>Compact subsets of autism screening items predict clinical diagnoses with a machine learning analysis of the QCHAT-10</t>
        </is>
      </c>
      <c r="E313" s="4" t="inlineStr">
        <is>
          <t>10.1038/s41598-025-26131-9</t>
        </is>
      </c>
      <c r="F313" s="4" t="n">
        <v>2025</v>
      </c>
      <c r="G313" s="4" t="inlineStr">
        <is>
          <t>Include</t>
        </is>
      </c>
      <c r="H313" s="4" t="str"/>
      <c r="I313" s="4" t="n">
        <v>0</v>
      </c>
      <c r="J313" s="4" t="inlineStr">
        <is>
          <t>https://doi.org/10.1038/s41598-025-26131-9</t>
        </is>
      </c>
      <c r="K313" s="4" t="inlineStr">
        <is>
          <t>Retrieved and reviewed</t>
        </is>
      </c>
      <c r="L313" s="4" t="inlineStr">
        <is>
          <t>Revisión asistida por IA (un revisor; requiere verificación independiente)</t>
        </is>
      </c>
      <c r="M313" s="40" t="n">
        <v>46269</v>
      </c>
      <c r="N313" s="4" t="inlineStr">
        <is>
          <t>Pending independent/source verification</t>
        </is>
      </c>
      <c r="O313" s="4" t="inlineStr">
        <is>
          <t>Extraccion_RQ_nuevos</t>
        </is>
      </c>
      <c r="P313" s="4" t="n">
        <v>37</v>
      </c>
    </row>
    <row r="314" ht="60" customHeight="1">
      <c r="A314" s="4" t="inlineStr">
        <is>
          <t>new_288</t>
        </is>
      </c>
      <c r="B314" s="4" t="inlineStr">
        <is>
          <t>Update</t>
        </is>
      </c>
      <c r="C314" s="4" t="n">
        <v>288</v>
      </c>
      <c r="D314" s="4" t="inlineStr">
        <is>
          <t>Nonparametric motion control in functional connectivity studies in children with autism spectrum disorder</t>
        </is>
      </c>
      <c r="E314" s="4" t="inlineStr">
        <is>
          <t>10.1093/biomtc/ujag099</t>
        </is>
      </c>
      <c r="F314" s="4" t="n">
        <v>2026</v>
      </c>
      <c r="G314" s="4" t="inlineStr">
        <is>
          <t>Include</t>
        </is>
      </c>
      <c r="H314" s="4" t="str"/>
      <c r="I314" s="4" t="n">
        <v>0</v>
      </c>
      <c r="J314" s="4" t="inlineStr">
        <is>
          <t>https://doi.org/10.1093/biomtc/ujag099</t>
        </is>
      </c>
      <c r="K314" s="4" t="inlineStr">
        <is>
          <t>Retrieved and reviewed</t>
        </is>
      </c>
      <c r="L314" s="4" t="inlineStr">
        <is>
          <t>Revisión asistida por IA (un revisor; requiere verificación independiente)</t>
        </is>
      </c>
      <c r="M314" s="40" t="n">
        <v>46269</v>
      </c>
      <c r="N314" s="4" t="inlineStr">
        <is>
          <t>Pending independent/source verification</t>
        </is>
      </c>
      <c r="O314" s="4" t="inlineStr">
        <is>
          <t>Extraccion_RQ_nuevos</t>
        </is>
      </c>
      <c r="P314" s="4" t="n">
        <v>38</v>
      </c>
    </row>
    <row r="315" ht="60" customHeight="1">
      <c r="A315" s="4" t="inlineStr">
        <is>
          <t>new_305</t>
        </is>
      </c>
      <c r="B315" s="4" t="inlineStr">
        <is>
          <t>Update</t>
        </is>
      </c>
      <c r="C315" s="4" t="n">
        <v>305</v>
      </c>
      <c r="D315" s="4" t="inlineStr">
        <is>
          <t>Integrating Multimodal Neuroimaging and Physical-Health Markers for Autism Spectrum Disorder in the ABCD Study</t>
        </is>
      </c>
      <c r="E315" s="4" t="inlineStr">
        <is>
          <t>10.31083/jin48212</t>
        </is>
      </c>
      <c r="F315" s="4" t="n">
        <v>2026</v>
      </c>
      <c r="G315" s="4" t="inlineStr">
        <is>
          <t>Include</t>
        </is>
      </c>
      <c r="H315" s="4" t="str"/>
      <c r="I315" s="4" t="n">
        <v>0</v>
      </c>
      <c r="J315" s="4" t="inlineStr">
        <is>
          <t>https://doi.org/10.31083/jin48212</t>
        </is>
      </c>
      <c r="K315" s="4" t="inlineStr">
        <is>
          <t>Retrieved and reviewed</t>
        </is>
      </c>
      <c r="L315" s="4" t="inlineStr">
        <is>
          <t>Revisión asistida por IA (un revisor; requiere verificación independiente)</t>
        </is>
      </c>
      <c r="M315" s="40" t="n">
        <v>46269</v>
      </c>
      <c r="N315" s="4" t="inlineStr">
        <is>
          <t>Pending independent/source verification</t>
        </is>
      </c>
      <c r="O315" s="4" t="inlineStr">
        <is>
          <t>Extraccion_RQ_nuevos</t>
        </is>
      </c>
      <c r="P315" s="4" t="n">
        <v>39</v>
      </c>
    </row>
    <row r="316" ht="60" customHeight="1">
      <c r="A316" s="4" t="inlineStr">
        <is>
          <t>new_307</t>
        </is>
      </c>
      <c r="B316" s="4" t="inlineStr">
        <is>
          <t>Update</t>
        </is>
      </c>
      <c r="C316" s="4" t="n">
        <v>307</v>
      </c>
      <c r="D316" s="4" t="inlineStr">
        <is>
          <t>Spatial structure based deep feature fusion network for autism spectrum disorder classification</t>
        </is>
      </c>
      <c r="E316" s="4" t="inlineStr">
        <is>
          <t>10.1038/s41598-026-48562-8</t>
        </is>
      </c>
      <c r="F316" s="4" t="n">
        <v>2026</v>
      </c>
      <c r="G316" s="4" t="inlineStr">
        <is>
          <t>Include</t>
        </is>
      </c>
      <c r="H316" s="4" t="str"/>
      <c r="I316" s="4" t="n">
        <v>0</v>
      </c>
      <c r="J316" s="4" t="inlineStr">
        <is>
          <t>https://doi.org/10.1038/s41598-026-48562-8</t>
        </is>
      </c>
      <c r="K316" s="4" t="inlineStr">
        <is>
          <t>Retrieved and reviewed</t>
        </is>
      </c>
      <c r="L316" s="4" t="inlineStr">
        <is>
          <t>Revisión asistida por IA (un revisor; requiere verificación independiente)</t>
        </is>
      </c>
      <c r="M316" s="40" t="n">
        <v>46269</v>
      </c>
      <c r="N316" s="4" t="inlineStr">
        <is>
          <t>Pending independent/source verification</t>
        </is>
      </c>
      <c r="O316" s="4" t="inlineStr">
        <is>
          <t>Extraccion_RQ_nuevos</t>
        </is>
      </c>
      <c r="P316" s="4" t="n">
        <v>40</v>
      </c>
    </row>
    <row r="317" ht="60" customHeight="1">
      <c r="A317" s="4" t="inlineStr">
        <is>
          <t>new_313</t>
        </is>
      </c>
      <c r="B317" s="4" t="inlineStr">
        <is>
          <t>Update</t>
        </is>
      </c>
      <c r="C317" s="4" t="n">
        <v>313</v>
      </c>
      <c r="D317" s="4" t="inlineStr">
        <is>
          <t>Metaheuristic hyperparameter optimization of deep neural networks for demographic-aware autism spectrum disorder classification.</t>
        </is>
      </c>
      <c r="E317" s="4" t="inlineStr">
        <is>
          <t>10.1038/s41598-026-58789-0</t>
        </is>
      </c>
      <c r="F317" s="4" t="n">
        <v>2026</v>
      </c>
      <c r="G317" s="4" t="inlineStr">
        <is>
          <t>Include</t>
        </is>
      </c>
      <c r="H317" s="4" t="str"/>
      <c r="I317" s="4" t="n">
        <v>0</v>
      </c>
      <c r="J317" s="4" t="inlineStr">
        <is>
          <t>https://doi.org/10.1038/s41598-026-58789-0</t>
        </is>
      </c>
      <c r="K317" s="4" t="inlineStr">
        <is>
          <t>Retrieved and reviewed</t>
        </is>
      </c>
      <c r="L317" s="4" t="inlineStr">
        <is>
          <t>Revisión asistida por IA (un revisor; requiere verificación independiente)</t>
        </is>
      </c>
      <c r="M317" s="40" t="n">
        <v>46269</v>
      </c>
      <c r="N317" s="4" t="inlineStr">
        <is>
          <t>Pending independent/source verification</t>
        </is>
      </c>
      <c r="O317" s="4" t="inlineStr">
        <is>
          <t>Extraccion_RQ_nuevos</t>
        </is>
      </c>
      <c r="P317" s="4" t="n">
        <v>41</v>
      </c>
    </row>
    <row r="318" ht="60" customHeight="1">
      <c r="A318" s="4" t="inlineStr">
        <is>
          <t>new_321</t>
        </is>
      </c>
      <c r="B318" s="4" t="inlineStr">
        <is>
          <t>Update</t>
        </is>
      </c>
      <c r="C318" s="4" t="n">
        <v>321</v>
      </c>
      <c r="D318" s="4" t="inlineStr">
        <is>
          <t>Bridging the gap: explainable ai for autism diagnosis and parental support with TabPFNMix and SHAP</t>
        </is>
      </c>
      <c r="E318" s="4" t="inlineStr">
        <is>
          <t>10.1038/s41598-025-24662-9</t>
        </is>
      </c>
      <c r="F318" s="4" t="n">
        <v>2025</v>
      </c>
      <c r="G318" s="4" t="inlineStr">
        <is>
          <t>Include</t>
        </is>
      </c>
      <c r="H318" s="4" t="str"/>
      <c r="I318" s="4" t="n">
        <v>0</v>
      </c>
      <c r="J318" s="4" t="inlineStr">
        <is>
          <t>https://doi.org/10.1038/s41598-025-24662-9</t>
        </is>
      </c>
      <c r="K318" s="4" t="inlineStr">
        <is>
          <t>Retrieved and reviewed</t>
        </is>
      </c>
      <c r="L318" s="4" t="inlineStr">
        <is>
          <t>Revisión asistida por IA (un revisor; requiere verificación independiente)</t>
        </is>
      </c>
      <c r="M318" s="40" t="n">
        <v>46269</v>
      </c>
      <c r="N318" s="4" t="inlineStr">
        <is>
          <t>Pending independent/source verification</t>
        </is>
      </c>
      <c r="O318" s="4" t="inlineStr">
        <is>
          <t>Extraccion_RQ_nuevos</t>
        </is>
      </c>
      <c r="P318" s="4" t="n">
        <v>42</v>
      </c>
    </row>
    <row r="319" ht="60" customHeight="1">
      <c r="A319" s="4" t="inlineStr">
        <is>
          <t>new_331</t>
        </is>
      </c>
      <c r="B319" s="4" t="inlineStr">
        <is>
          <t>Update</t>
        </is>
      </c>
      <c r="C319" s="4" t="n">
        <v>331</v>
      </c>
      <c r="D319" s="4" t="inlineStr">
        <is>
          <t>Hybrid deep learning and feature selection approach for autism detection from rs-fMRI data</t>
        </is>
      </c>
      <c r="E319" s="4" t="inlineStr">
        <is>
          <t>10.1371/journal.pone.0339921</t>
        </is>
      </c>
      <c r="F319" s="4" t="n">
        <v>2026</v>
      </c>
      <c r="G319" s="4" t="inlineStr">
        <is>
          <t>Include</t>
        </is>
      </c>
      <c r="H319" s="4" t="str"/>
      <c r="I319" s="4" t="n">
        <v>0</v>
      </c>
      <c r="J319" s="4" t="inlineStr">
        <is>
          <t>https://doi.org/10.1371/journal.pone.0339921</t>
        </is>
      </c>
      <c r="K319" s="4" t="inlineStr">
        <is>
          <t>Retrieved and reviewed</t>
        </is>
      </c>
      <c r="L319" s="4" t="inlineStr">
        <is>
          <t>Revisión asistida por IA (un revisor; requiere verificación independiente)</t>
        </is>
      </c>
      <c r="M319" s="40" t="n">
        <v>46269</v>
      </c>
      <c r="N319" s="4" t="inlineStr">
        <is>
          <t>Pending independent/source verification</t>
        </is>
      </c>
      <c r="O319" s="4" t="inlineStr">
        <is>
          <t>Extraccion_RQ_nuevos</t>
        </is>
      </c>
      <c r="P319" s="4" t="n">
        <v>43</v>
      </c>
    </row>
    <row r="320" ht="60" customHeight="1">
      <c r="A320" s="4" t="inlineStr">
        <is>
          <t>new_335</t>
        </is>
      </c>
      <c r="B320" s="4" t="inlineStr">
        <is>
          <t>Update</t>
        </is>
      </c>
      <c r="C320" s="4" t="n">
        <v>335</v>
      </c>
      <c r="D320" s="4" t="inlineStr">
        <is>
          <t>Diagnostic Classification of Autism Spectrum Disorder in the Frequency Domain Using Resting-State fMRI</t>
        </is>
      </c>
      <c r="E320" s="4" t="inlineStr">
        <is>
          <t>10.1007/s12021-026-09782-5</t>
        </is>
      </c>
      <c r="F320" s="4" t="n">
        <v>2026</v>
      </c>
      <c r="G320" s="4" t="inlineStr">
        <is>
          <t>Include</t>
        </is>
      </c>
      <c r="H320" s="4" t="str"/>
      <c r="I320" s="4" t="n">
        <v>0</v>
      </c>
      <c r="J320" s="4" t="inlineStr">
        <is>
          <t>https://doi.org/10.1007/s12021-026-09782-5</t>
        </is>
      </c>
      <c r="K320" s="4" t="inlineStr">
        <is>
          <t>Retrieved and reviewed</t>
        </is>
      </c>
      <c r="L320" s="4" t="inlineStr">
        <is>
          <t>Revisión asistida por IA (un revisor; requiere verificación independiente)</t>
        </is>
      </c>
      <c r="M320" s="40" t="n">
        <v>46269</v>
      </c>
      <c r="N320" s="4" t="inlineStr">
        <is>
          <t>Pending independent/source verification</t>
        </is>
      </c>
      <c r="O320" s="4" t="inlineStr">
        <is>
          <t>Extraccion_RQ_nuevos</t>
        </is>
      </c>
      <c r="P320" s="4" t="n">
        <v>44</v>
      </c>
    </row>
    <row r="321" ht="60" customHeight="1">
      <c r="A321" s="4" t="inlineStr">
        <is>
          <t>new_352</t>
        </is>
      </c>
      <c r="B321" s="4" t="inlineStr">
        <is>
          <t>Update</t>
        </is>
      </c>
      <c r="C321" s="4" t="n">
        <v>352</v>
      </c>
      <c r="D321" s="4" t="inlineStr">
        <is>
          <t>Efficient Kulczynski EEG feature selection for autism spectrum disorder diagnosis over fog and cloud computing</t>
        </is>
      </c>
      <c r="E321" s="4" t="inlineStr">
        <is>
          <t>10.1007/s41870-025-02987-y</t>
        </is>
      </c>
      <c r="F321" s="4" t="n">
        <v>2025</v>
      </c>
      <c r="G321" s="4" t="inlineStr">
        <is>
          <t>Include</t>
        </is>
      </c>
      <c r="H321" s="4" t="str"/>
      <c r="I321" s="4" t="n">
        <v>0</v>
      </c>
      <c r="J321" s="4" t="inlineStr">
        <is>
          <t>https://doi.org/10.1007/s41870-025-02987-y</t>
        </is>
      </c>
      <c r="K321" s="4" t="inlineStr">
        <is>
          <t>Retrieved and reviewed</t>
        </is>
      </c>
      <c r="L321" s="4" t="inlineStr">
        <is>
          <t>Revisión asistida por IA (un revisor; requiere verificación independiente)</t>
        </is>
      </c>
      <c r="M321" s="40" t="n">
        <v>46269</v>
      </c>
      <c r="N321" s="4" t="inlineStr">
        <is>
          <t>Pending independent/source verification</t>
        </is>
      </c>
      <c r="O321" s="4" t="inlineStr">
        <is>
          <t>Extraccion_RQ_nuevos</t>
        </is>
      </c>
      <c r="P321" s="4" t="n">
        <v>45</v>
      </c>
    </row>
    <row r="322" ht="60" customHeight="1">
      <c r="A322" s="4" t="inlineStr">
        <is>
          <t>new_359</t>
        </is>
      </c>
      <c r="B322" s="4" t="inlineStr">
        <is>
          <t>Update</t>
        </is>
      </c>
      <c r="C322" s="4" t="n">
        <v>359</v>
      </c>
      <c r="D322" s="4" t="inlineStr">
        <is>
          <t>Privacy preserving federated framework for autism spectrum disorder screening with ensemble stacking and deep learning approaches</t>
        </is>
      </c>
      <c r="E322" s="4" t="inlineStr">
        <is>
          <t>10.1007/s44163-026-01103-8</t>
        </is>
      </c>
      <c r="F322" s="4" t="n">
        <v>2026</v>
      </c>
      <c r="G322" s="4" t="inlineStr">
        <is>
          <t>Include</t>
        </is>
      </c>
      <c r="H322" s="4" t="str"/>
      <c r="I322" s="4" t="n">
        <v>0</v>
      </c>
      <c r="J322" s="4" t="inlineStr">
        <is>
          <t>https://doi.org/10.1007/s44163-026-01103-8</t>
        </is>
      </c>
      <c r="K322" s="4" t="inlineStr">
        <is>
          <t>Retrieved and reviewed</t>
        </is>
      </c>
      <c r="L322" s="4" t="inlineStr">
        <is>
          <t>Revisión asistida por IA (un revisor; requiere verificación independiente)</t>
        </is>
      </c>
      <c r="M322" s="40" t="n">
        <v>46269</v>
      </c>
      <c r="N322" s="4" t="inlineStr">
        <is>
          <t>Pending independent/source verification</t>
        </is>
      </c>
      <c r="O322" s="4" t="inlineStr">
        <is>
          <t>Extraccion_RQ_nuevos</t>
        </is>
      </c>
      <c r="P322" s="4" t="n">
        <v>46</v>
      </c>
    </row>
    <row r="323" ht="60" customHeight="1">
      <c r="A323" s="4" t="inlineStr">
        <is>
          <t>new_372</t>
        </is>
      </c>
      <c r="B323" s="4" t="inlineStr">
        <is>
          <t>Update</t>
        </is>
      </c>
      <c r="C323" s="4" t="n">
        <v>372</v>
      </c>
      <c r="D323" s="4" t="inlineStr">
        <is>
          <t>Machine learning of clinical phenotypes facilitates autism screening and identifies novel subgroups with distinct transcriptomic profiles</t>
        </is>
      </c>
      <c r="E323" s="4" t="inlineStr">
        <is>
          <t>10.1038/s41598-025-95291-5</t>
        </is>
      </c>
      <c r="F323" s="4" t="n">
        <v>2025</v>
      </c>
      <c r="G323" s="4" t="inlineStr">
        <is>
          <t>Include</t>
        </is>
      </c>
      <c r="H323" s="4" t="str"/>
      <c r="I323" s="4" t="n">
        <v>0</v>
      </c>
      <c r="J323" s="4" t="inlineStr">
        <is>
          <t>https://doi.org/10.1038/s41598-025-95291-5</t>
        </is>
      </c>
      <c r="K323" s="4" t="inlineStr">
        <is>
          <t>Retrieved and reviewed</t>
        </is>
      </c>
      <c r="L323" s="4" t="inlineStr">
        <is>
          <t>Revisión asistida por IA (un revisor; requiere verificación independiente)</t>
        </is>
      </c>
      <c r="M323" s="40" t="n">
        <v>46269</v>
      </c>
      <c r="N323" s="4" t="inlineStr">
        <is>
          <t>Pending independent/source verification</t>
        </is>
      </c>
      <c r="O323" s="4" t="inlineStr">
        <is>
          <t>Extraccion_RQ_nuevos</t>
        </is>
      </c>
      <c r="P323" s="4" t="n">
        <v>47</v>
      </c>
    </row>
    <row r="324" ht="60" customHeight="1">
      <c r="A324" s="4" t="inlineStr">
        <is>
          <t>new_378</t>
        </is>
      </c>
      <c r="B324" s="4" t="inlineStr">
        <is>
          <t>Update</t>
        </is>
      </c>
      <c r="C324" s="4" t="n">
        <v>378</v>
      </c>
      <c r="D324" s="4" t="inlineStr">
        <is>
          <t>Integrating Network Analysis and Machine Learning Identifies Key Autism Spectrum Disorder Genes Linked to Immune Dysregulation and Therapeutic Targets</t>
        </is>
      </c>
      <c r="E324" s="4" t="inlineStr">
        <is>
          <t>10.3390/genes16091109</t>
        </is>
      </c>
      <c r="F324" s="4" t="n">
        <v>2025</v>
      </c>
      <c r="G324" s="4" t="inlineStr">
        <is>
          <t>Include</t>
        </is>
      </c>
      <c r="H324" s="4" t="str"/>
      <c r="I324" s="4" t="n">
        <v>0</v>
      </c>
      <c r="J324" s="4" t="inlineStr">
        <is>
          <t>https://doi.org/10.3390/genes16091109</t>
        </is>
      </c>
      <c r="K324" s="4" t="inlineStr">
        <is>
          <t>Retrieved and reviewed</t>
        </is>
      </c>
      <c r="L324" s="4" t="inlineStr">
        <is>
          <t>Revisión asistida por IA (un revisor; requiere verificación independiente)</t>
        </is>
      </c>
      <c r="M324" s="40" t="n">
        <v>46269</v>
      </c>
      <c r="N324" s="4" t="inlineStr">
        <is>
          <t>Pending independent/source verification</t>
        </is>
      </c>
      <c r="O324" s="4" t="inlineStr">
        <is>
          <t>Extraccion_RQ_nuevos</t>
        </is>
      </c>
      <c r="P324" s="4" t="n">
        <v>48</v>
      </c>
    </row>
    <row r="325" ht="60" customHeight="1">
      <c r="A325" s="4" t="inlineStr">
        <is>
          <t>new_384</t>
        </is>
      </c>
      <c r="B325" s="4" t="inlineStr">
        <is>
          <t>Update</t>
        </is>
      </c>
      <c r="C325" s="4" t="n">
        <v>384</v>
      </c>
      <c r="D325" s="4" t="inlineStr">
        <is>
          <t>Air pollution and autism-like traits: Sensitive periods and joint effects of exposure to sources and constituents of fine particulate matter</t>
        </is>
      </c>
      <c r="E325" s="4" t="inlineStr">
        <is>
          <t>10.1016/j.envres.2026.125213</t>
        </is>
      </c>
      <c r="F325" s="4" t="n">
        <v>2026</v>
      </c>
      <c r="G325" s="4" t="inlineStr">
        <is>
          <t>Include</t>
        </is>
      </c>
      <c r="H325" s="4" t="str"/>
      <c r="I325" s="4" t="n">
        <v>0</v>
      </c>
      <c r="J325" s="4" t="inlineStr">
        <is>
          <t>https://doi.org/10.1016/j.envres.2026.125213</t>
        </is>
      </c>
      <c r="K325" s="4" t="inlineStr">
        <is>
          <t>Retrieved and reviewed</t>
        </is>
      </c>
      <c r="L325" s="4" t="inlineStr">
        <is>
          <t>Revisión asistida por IA (un revisor; requiere verificación independiente)</t>
        </is>
      </c>
      <c r="M325" s="40" t="n">
        <v>46269</v>
      </c>
      <c r="N325" s="4" t="inlineStr">
        <is>
          <t>Pending independent/source verification</t>
        </is>
      </c>
      <c r="O325" s="4" t="inlineStr">
        <is>
          <t>Extraccion_RQ_nuevos</t>
        </is>
      </c>
      <c r="P325" s="4" t="n">
        <v>49</v>
      </c>
    </row>
    <row r="326" ht="60" customHeight="1">
      <c r="A326" s="4" t="inlineStr">
        <is>
          <t>new_395</t>
        </is>
      </c>
      <c r="B326" s="4" t="inlineStr">
        <is>
          <t>Update</t>
        </is>
      </c>
      <c r="C326" s="4" t="n">
        <v>395</v>
      </c>
      <c r="D326" s="4" t="inlineStr">
        <is>
          <t>Prematurity and genetic liability for autism spectrum disorder</t>
        </is>
      </c>
      <c r="E326" s="4" t="inlineStr">
        <is>
          <t>10.1186/s13073-025-01552-3</t>
        </is>
      </c>
      <c r="F326" s="4" t="n">
        <v>2025</v>
      </c>
      <c r="G326" s="4" t="inlineStr">
        <is>
          <t>Include</t>
        </is>
      </c>
      <c r="H326" s="4" t="str"/>
      <c r="I326" s="4" t="n">
        <v>0</v>
      </c>
      <c r="J326" s="4" t="inlineStr">
        <is>
          <t>https://doi.org/10.1186/s13073-025-01552-3</t>
        </is>
      </c>
      <c r="K326" s="4" t="inlineStr">
        <is>
          <t>Retrieved and reviewed</t>
        </is>
      </c>
      <c r="L326" s="4" t="inlineStr">
        <is>
          <t>Revisión asistida por IA (un revisor; requiere verificación independiente)</t>
        </is>
      </c>
      <c r="M326" s="40" t="n">
        <v>46269</v>
      </c>
      <c r="N326" s="4" t="inlineStr">
        <is>
          <t>Pending independent/source verification</t>
        </is>
      </c>
      <c r="O326" s="4" t="inlineStr">
        <is>
          <t>Extraccion_RQ_nuevos</t>
        </is>
      </c>
      <c r="P326" s="4" t="n">
        <v>50</v>
      </c>
    </row>
    <row r="327" ht="60" customHeight="1">
      <c r="A327" s="4" t="inlineStr">
        <is>
          <t>new_406</t>
        </is>
      </c>
      <c r="B327" s="4" t="inlineStr">
        <is>
          <t>Update</t>
        </is>
      </c>
      <c r="C327" s="4" t="n">
        <v>406</v>
      </c>
      <c r="D327" s="4" t="inlineStr">
        <is>
          <t>NeuroCypher ASD: Machine Learning with Knowledge Graph-Based Representation for ASD Screening in Toddlers</t>
        </is>
      </c>
      <c r="E327" s="4" t="inlineStr">
        <is>
          <t>10.1007/s41666-026-00243-x</t>
        </is>
      </c>
      <c r="F327" s="4" t="n">
        <v>2026</v>
      </c>
      <c r="G327" s="4" t="inlineStr">
        <is>
          <t>Include</t>
        </is>
      </c>
      <c r="H327" s="4" t="str"/>
      <c r="I327" s="4" t="n">
        <v>0</v>
      </c>
      <c r="J327" s="4" t="inlineStr">
        <is>
          <t>https://doi.org/10.1007/s41666-026-00243-x</t>
        </is>
      </c>
      <c r="K327" s="4" t="inlineStr">
        <is>
          <t>Retrieved and reviewed</t>
        </is>
      </c>
      <c r="L327" s="4" t="inlineStr">
        <is>
          <t>Revisión asistida por IA (un revisor; requiere verificación independiente)</t>
        </is>
      </c>
      <c r="M327" s="40" t="n">
        <v>46269</v>
      </c>
      <c r="N327" s="4" t="inlineStr">
        <is>
          <t>Pending independent/source verification</t>
        </is>
      </c>
      <c r="O327" s="4" t="inlineStr">
        <is>
          <t>Extraccion_RQ_nuevos</t>
        </is>
      </c>
      <c r="P327" s="4" t="n">
        <v>51</v>
      </c>
    </row>
    <row r="328" ht="60" customHeight="1">
      <c r="A328" s="4" t="inlineStr">
        <is>
          <t>new_410</t>
        </is>
      </c>
      <c r="B328" s="4" t="inlineStr">
        <is>
          <t>Update</t>
        </is>
      </c>
      <c r="C328" s="4" t="n">
        <v>410</v>
      </c>
      <c r="D328" s="4" t="inlineStr">
        <is>
          <t>Robust deep learning pipeline to improve access to autism triage and diagnosis</t>
        </is>
      </c>
      <c r="E328" s="4" t="inlineStr">
        <is>
          <t>10.1007/s44163-026-01299-9</t>
        </is>
      </c>
      <c r="F328" s="4" t="n">
        <v>2026</v>
      </c>
      <c r="G328" s="4" t="inlineStr">
        <is>
          <t>Include</t>
        </is>
      </c>
      <c r="H328" s="4" t="str"/>
      <c r="I328" s="4" t="n">
        <v>0</v>
      </c>
      <c r="J328" s="4" t="inlineStr">
        <is>
          <t>https://doi.org/10.1007/s44163-026-01299-9</t>
        </is>
      </c>
      <c r="K328" s="4" t="inlineStr">
        <is>
          <t>Retrieved and reviewed</t>
        </is>
      </c>
      <c r="L328" s="4" t="inlineStr">
        <is>
          <t>Revisión asistida por IA (un revisor; requiere verificación independiente)</t>
        </is>
      </c>
      <c r="M328" s="40" t="n">
        <v>46269</v>
      </c>
      <c r="N328" s="4" t="inlineStr">
        <is>
          <t>Pending independent/source verification</t>
        </is>
      </c>
      <c r="O328" s="4" t="inlineStr">
        <is>
          <t>Extraccion_RQ_nuevos</t>
        </is>
      </c>
      <c r="P328" s="4" t="n">
        <v>52</v>
      </c>
    </row>
    <row r="329" ht="60" customHeight="1">
      <c r="A329" s="4" t="inlineStr">
        <is>
          <t>new_417</t>
        </is>
      </c>
      <c r="B329" s="4" t="inlineStr">
        <is>
          <t>Update</t>
        </is>
      </c>
      <c r="C329" s="4" t="n">
        <v>417</v>
      </c>
      <c r="D329" s="4" t="inlineStr">
        <is>
          <t>Perivascular Space Burden in Children With Autism Spectrum Disorder Correlates With Neurodevelopmental Severity</t>
        </is>
      </c>
      <c r="E329" s="4" t="inlineStr">
        <is>
          <t>10.1002/jmri.70023</t>
        </is>
      </c>
      <c r="F329" s="4" t="n">
        <v>2025</v>
      </c>
      <c r="G329" s="4" t="inlineStr">
        <is>
          <t>Include</t>
        </is>
      </c>
      <c r="H329" s="4" t="str"/>
      <c r="I329" s="4" t="n">
        <v>0</v>
      </c>
      <c r="J329" s="4" t="inlineStr">
        <is>
          <t>https://doi.org/10.1002/jmri.70023</t>
        </is>
      </c>
      <c r="K329" s="4" t="inlineStr">
        <is>
          <t>Retrieved and reviewed</t>
        </is>
      </c>
      <c r="L329" s="4" t="inlineStr">
        <is>
          <t>Revisión asistida por IA (un revisor; requiere verificación independiente)</t>
        </is>
      </c>
      <c r="M329" s="40" t="n">
        <v>46269</v>
      </c>
      <c r="N329" s="4" t="inlineStr">
        <is>
          <t>Pending independent/source verification</t>
        </is>
      </c>
      <c r="O329" s="4" t="inlineStr">
        <is>
          <t>Extraccion_RQ_nuevos</t>
        </is>
      </c>
      <c r="P329" s="4" t="n">
        <v>53</v>
      </c>
    </row>
    <row r="330" ht="60" customHeight="1">
      <c r="A330" s="4" t="inlineStr">
        <is>
          <t>new_420</t>
        </is>
      </c>
      <c r="B330" s="4" t="inlineStr">
        <is>
          <t>Update</t>
        </is>
      </c>
      <c r="C330" s="4" t="n">
        <v>420</v>
      </c>
      <c r="D330" s="4" t="inlineStr">
        <is>
          <t>Two-tier nature inspired optimization-driven ensemble of deep learning models for effective autism spectrum disorder diagnosis in disabled persons</t>
        </is>
      </c>
      <c r="E330" s="4" t="inlineStr">
        <is>
          <t>10.1038/s41598-025-93802-y</t>
        </is>
      </c>
      <c r="F330" s="4" t="n">
        <v>2025</v>
      </c>
      <c r="G330" s="4" t="inlineStr">
        <is>
          <t>Include</t>
        </is>
      </c>
      <c r="H330" s="4" t="str"/>
      <c r="I330" s="4" t="n">
        <v>0</v>
      </c>
      <c r="J330" s="4" t="inlineStr">
        <is>
          <t>https://doi.org/10.1038/s41598-025-93802-y</t>
        </is>
      </c>
      <c r="K330" s="4" t="inlineStr">
        <is>
          <t>Retrieved and reviewed</t>
        </is>
      </c>
      <c r="L330" s="4" t="inlineStr">
        <is>
          <t>Revisión asistida por IA (un revisor; requiere verificación independiente)</t>
        </is>
      </c>
      <c r="M330" s="40" t="n">
        <v>46269</v>
      </c>
      <c r="N330" s="4" t="inlineStr">
        <is>
          <t>Pending independent/source verification</t>
        </is>
      </c>
      <c r="O330" s="4" t="inlineStr">
        <is>
          <t>Extraccion_RQ_nuevos</t>
        </is>
      </c>
      <c r="P330" s="4" t="n">
        <v>54</v>
      </c>
    </row>
    <row r="331" ht="60" customHeight="1">
      <c r="A331" s="4" t="inlineStr">
        <is>
          <t>new_422</t>
        </is>
      </c>
      <c r="B331" s="4" t="inlineStr">
        <is>
          <t>Update</t>
        </is>
      </c>
      <c r="C331" s="4" t="n">
        <v>422</v>
      </c>
      <c r="D331" s="4" t="inlineStr">
        <is>
          <t>MIND-TEA: An Adaptive Multi-Agent Framework for Multimodal Autism Diagnosis</t>
        </is>
      </c>
      <c r="E331" s="4" t="inlineStr">
        <is>
          <t>10.1109/access.2026.3688987</t>
        </is>
      </c>
      <c r="F331" s="4" t="n">
        <v>2026</v>
      </c>
      <c r="G331" s="4" t="inlineStr">
        <is>
          <t>Include</t>
        </is>
      </c>
      <c r="H331" s="4" t="str"/>
      <c r="I331" s="4" t="n">
        <v>0</v>
      </c>
      <c r="J331" s="4" t="inlineStr">
        <is>
          <t>https://doi.org/10.1109/access.2026.3688987</t>
        </is>
      </c>
      <c r="K331" s="4" t="inlineStr">
        <is>
          <t>Retrieved and reviewed</t>
        </is>
      </c>
      <c r="L331" s="4" t="inlineStr">
        <is>
          <t>Revisión asistida por IA (un revisor; requiere verificación independiente)</t>
        </is>
      </c>
      <c r="M331" s="40" t="n">
        <v>46269</v>
      </c>
      <c r="N331" s="4" t="inlineStr">
        <is>
          <t>Pending independent/source verification</t>
        </is>
      </c>
      <c r="O331" s="4" t="inlineStr">
        <is>
          <t>Extraccion_RQ_nuevos</t>
        </is>
      </c>
      <c r="P331" s="4" t="n">
        <v>55</v>
      </c>
    </row>
    <row r="332" ht="60" customHeight="1">
      <c r="A332" s="4" t="inlineStr">
        <is>
          <t>new_424</t>
        </is>
      </c>
      <c r="B332" s="4" t="inlineStr">
        <is>
          <t>Update</t>
        </is>
      </c>
      <c r="C332" s="4" t="n">
        <v>424</v>
      </c>
      <c r="D332" s="4" t="inlineStr">
        <is>
          <t>Interpretable Autism Screening via Object-Based Analysis of Child-Drawn Sketches</t>
        </is>
      </c>
      <c r="E332" s="4" t="inlineStr">
        <is>
          <t>10.1109/access.2025.3642950</t>
        </is>
      </c>
      <c r="F332" s="4" t="n">
        <v>2025</v>
      </c>
      <c r="G332" s="4" t="inlineStr">
        <is>
          <t>Include</t>
        </is>
      </c>
      <c r="H332" s="4" t="str"/>
      <c r="I332" s="4" t="n">
        <v>0</v>
      </c>
      <c r="J332" s="4" t="inlineStr">
        <is>
          <t>https://doi.org/10.1109/access.2025.3642950</t>
        </is>
      </c>
      <c r="K332" s="4" t="inlineStr">
        <is>
          <t>Retrieved and reviewed</t>
        </is>
      </c>
      <c r="L332" s="4" t="inlineStr">
        <is>
          <t>Revisión asistida por IA (un revisor; requiere verificación independiente)</t>
        </is>
      </c>
      <c r="M332" s="40" t="n">
        <v>46269</v>
      </c>
      <c r="N332" s="4" t="inlineStr">
        <is>
          <t>Pending independent/source verification</t>
        </is>
      </c>
      <c r="O332" s="4" t="inlineStr">
        <is>
          <t>Extraccion_RQ_nuevos</t>
        </is>
      </c>
      <c r="P332" s="4" t="n">
        <v>56</v>
      </c>
    </row>
    <row r="333" ht="60" customHeight="1">
      <c r="A333" s="4" t="inlineStr">
        <is>
          <t>new_425</t>
        </is>
      </c>
      <c r="B333" s="4" t="inlineStr">
        <is>
          <t>Update</t>
        </is>
      </c>
      <c r="C333" s="4" t="n">
        <v>425</v>
      </c>
      <c r="D333" s="4" t="inlineStr">
        <is>
          <t>Bridging Deep Learning and Quantum Computing for EEG-Driven P300 Targeted ASD Response Detection</t>
        </is>
      </c>
      <c r="E333" s="4" t="inlineStr">
        <is>
          <t>10.1109/access.2025.3646589</t>
        </is>
      </c>
      <c r="F333" s="4" t="n">
        <v>2025</v>
      </c>
      <c r="G333" s="4" t="inlineStr">
        <is>
          <t>Include</t>
        </is>
      </c>
      <c r="H333" s="4" t="str"/>
      <c r="I333" s="4" t="n">
        <v>0</v>
      </c>
      <c r="J333" s="4" t="inlineStr">
        <is>
          <t>https://doi.org/10.1109/access.2025.3646589</t>
        </is>
      </c>
      <c r="K333" s="4" t="inlineStr">
        <is>
          <t>Retrieved and reviewed</t>
        </is>
      </c>
      <c r="L333" s="4" t="inlineStr">
        <is>
          <t>Revisión asistida por IA (un revisor; requiere verificación independiente)</t>
        </is>
      </c>
      <c r="M333" s="40" t="n">
        <v>46269</v>
      </c>
      <c r="N333" s="4" t="inlineStr">
        <is>
          <t>Pending independent/source verification</t>
        </is>
      </c>
      <c r="O333" s="4" t="inlineStr">
        <is>
          <t>Extraccion_RQ_nuevos</t>
        </is>
      </c>
      <c r="P333" s="4" t="n">
        <v>57</v>
      </c>
    </row>
    <row r="334" ht="60" customHeight="1">
      <c r="A334" s="4" t="inlineStr">
        <is>
          <t>new_427</t>
        </is>
      </c>
      <c r="B334" s="4" t="inlineStr">
        <is>
          <t>Update</t>
        </is>
      </c>
      <c r="C334" s="4" t="n">
        <v>427</v>
      </c>
      <c r="D334" s="4" t="inlineStr">
        <is>
          <t>A Hybrid Multi-Branch Deep Learning Model for Autism Spectrum Disorder Detection Using Spatiotemporal Gait Analysis</t>
        </is>
      </c>
      <c r="E334" s="4" t="inlineStr">
        <is>
          <t>10.1109/access.2026.3704046</t>
        </is>
      </c>
      <c r="F334" s="4" t="n">
        <v>2026</v>
      </c>
      <c r="G334" s="4" t="inlineStr">
        <is>
          <t>Include</t>
        </is>
      </c>
      <c r="H334" s="4" t="str"/>
      <c r="I334" s="4" t="n">
        <v>0</v>
      </c>
      <c r="J334" s="4" t="inlineStr">
        <is>
          <t>https://doi.org/10.1109/access.2026.3704046</t>
        </is>
      </c>
      <c r="K334" s="4" t="inlineStr">
        <is>
          <t>Retrieved and reviewed</t>
        </is>
      </c>
      <c r="L334" s="4" t="inlineStr">
        <is>
          <t>Revisión asistida por IA (un revisor; requiere verificación independiente)</t>
        </is>
      </c>
      <c r="M334" s="40" t="n">
        <v>46269</v>
      </c>
      <c r="N334" s="4" t="inlineStr">
        <is>
          <t>Pending independent/source verification</t>
        </is>
      </c>
      <c r="O334" s="4" t="inlineStr">
        <is>
          <t>Extraccion_RQ_nuevos</t>
        </is>
      </c>
      <c r="P334" s="4" t="n">
        <v>58</v>
      </c>
    </row>
    <row r="335" ht="60" customHeight="1">
      <c r="A335" s="4" t="inlineStr">
        <is>
          <t>new_428</t>
        </is>
      </c>
      <c r="B335" s="4" t="inlineStr">
        <is>
          <t>Update</t>
        </is>
      </c>
      <c r="C335" s="4" t="n">
        <v>428</v>
      </c>
      <c r="D335" s="4" t="inlineStr">
        <is>
          <t>Autism Action Dataset (AAD): A Comprehensive Video Benchmark for ASD Behavior Recognition Using Deep Learning</t>
        </is>
      </c>
      <c r="E335" s="4" t="inlineStr">
        <is>
          <t>10.1109/access.2026.3686583</t>
        </is>
      </c>
      <c r="F335" s="4" t="n">
        <v>2026</v>
      </c>
      <c r="G335" s="4" t="inlineStr">
        <is>
          <t>Include</t>
        </is>
      </c>
      <c r="H335" s="4" t="str"/>
      <c r="I335" s="4" t="n">
        <v>0</v>
      </c>
      <c r="J335" s="4" t="inlineStr">
        <is>
          <t>https://doi.org/10.1109/access.2026.3686583</t>
        </is>
      </c>
      <c r="K335" s="4" t="inlineStr">
        <is>
          <t>Retrieved and reviewed</t>
        </is>
      </c>
      <c r="L335" s="4" t="inlineStr">
        <is>
          <t>Revisión asistida por IA (un revisor; requiere verificación independiente)</t>
        </is>
      </c>
      <c r="M335" s="40" t="n">
        <v>46269</v>
      </c>
      <c r="N335" s="4" t="inlineStr">
        <is>
          <t>Pending independent/source verification</t>
        </is>
      </c>
      <c r="O335" s="4" t="inlineStr">
        <is>
          <t>Extraccion_RQ_nuevos</t>
        </is>
      </c>
      <c r="P335" s="4" t="n">
        <v>59</v>
      </c>
    </row>
    <row r="336" ht="60" customHeight="1">
      <c r="A336" s="4" t="inlineStr">
        <is>
          <t>new_429</t>
        </is>
      </c>
      <c r="B336" s="4" t="inlineStr">
        <is>
          <t>Update</t>
        </is>
      </c>
      <c r="C336" s="4" t="n">
        <v>429</v>
      </c>
      <c r="D336" s="4" t="inlineStr">
        <is>
          <t>A Data-Driven Approach for Autism Spectrum Disorder Screening</t>
        </is>
      </c>
      <c r="E336" s="4" t="inlineStr">
        <is>
          <t>10.1109/access.2026.3650856</t>
        </is>
      </c>
      <c r="F336" s="4" t="n">
        <v>2026</v>
      </c>
      <c r="G336" s="4" t="inlineStr">
        <is>
          <t>Include</t>
        </is>
      </c>
      <c r="H336" s="4" t="str"/>
      <c r="I336" s="4" t="n">
        <v>0</v>
      </c>
      <c r="J336" s="4" t="inlineStr">
        <is>
          <t>https://doi.org/10.1109/access.2026.3650856</t>
        </is>
      </c>
      <c r="K336" s="4" t="inlineStr">
        <is>
          <t>Retrieved and reviewed</t>
        </is>
      </c>
      <c r="L336" s="4" t="inlineStr">
        <is>
          <t>Revisión asistida por IA (un revisor; requiere verificación independiente)</t>
        </is>
      </c>
      <c r="M336" s="40" t="n">
        <v>46269</v>
      </c>
      <c r="N336" s="4" t="inlineStr">
        <is>
          <t>Pending independent/source verification</t>
        </is>
      </c>
      <c r="O336" s="4" t="inlineStr">
        <is>
          <t>Extraccion_RQ_nuevos</t>
        </is>
      </c>
      <c r="P336" s="4" t="n">
        <v>60</v>
      </c>
    </row>
    <row r="337" ht="60" customHeight="1">
      <c r="A337" s="4" t="inlineStr">
        <is>
          <t>new_1</t>
        </is>
      </c>
      <c r="B337" s="4" t="inlineStr">
        <is>
          <t>Update</t>
        </is>
      </c>
      <c r="C337" s="4" t="n">
        <v>1</v>
      </c>
      <c r="D337" s="4" t="inlineStr">
        <is>
          <t>A novel thermal imaging-based framework for continuous ASD classification and behavior analysis using facial mood and skin temperature features</t>
        </is>
      </c>
      <c r="E337" s="4" t="inlineStr">
        <is>
          <t>10.1016/j.bspc.2024.107009</t>
        </is>
      </c>
      <c r="F337" s="4" t="n">
        <v>2025</v>
      </c>
      <c r="G337" s="4" t="inlineStr">
        <is>
          <t>Include</t>
        </is>
      </c>
      <c r="H337" s="4" t="str"/>
      <c r="I337" s="4" t="n">
        <v>0</v>
      </c>
      <c r="J337" s="4" t="inlineStr">
        <is>
          <t>https://doi.org/10.1016/j.bspc.2024.107009</t>
        </is>
      </c>
      <c r="K337" s="4" t="inlineStr">
        <is>
          <t>Retrieved and reviewed</t>
        </is>
      </c>
      <c r="L337" s="4" t="inlineStr">
        <is>
          <t>Revisión asistida por IA (un revisor; requiere verificación independiente)</t>
        </is>
      </c>
      <c r="M337" s="40" t="n">
        <v>46269</v>
      </c>
      <c r="N337" s="4" t="inlineStr">
        <is>
          <t>Pending independent/source verification</t>
        </is>
      </c>
      <c r="O337" s="4" t="inlineStr">
        <is>
          <t>Extraccion_RQ_nuevos</t>
        </is>
      </c>
      <c r="P337" s="4" t="n">
        <v>61</v>
      </c>
    </row>
    <row r="338" ht="60" customHeight="1">
      <c r="A338" s="4" t="inlineStr">
        <is>
          <t>new_3</t>
        </is>
      </c>
      <c r="B338" s="4" t="inlineStr">
        <is>
          <t>Update</t>
        </is>
      </c>
      <c r="C338" s="4" t="n">
        <v>3</v>
      </c>
      <c r="D338" s="4" t="inlineStr">
        <is>
          <t>Efficient machine learning models across multiple datasets for autism spectrum disorder diagnoses</t>
        </is>
      </c>
      <c r="E338" s="4" t="inlineStr">
        <is>
          <t>10.1016/j.bspc.2024.106949</t>
        </is>
      </c>
      <c r="F338" s="4" t="n">
        <v>2025</v>
      </c>
      <c r="G338" s="4" t="inlineStr">
        <is>
          <t>Include</t>
        </is>
      </c>
      <c r="H338" s="4" t="str"/>
      <c r="I338" s="4" t="n">
        <v>0</v>
      </c>
      <c r="J338" s="4" t="inlineStr">
        <is>
          <t>https://doi.org/10.1016/j.bspc.2024.106949</t>
        </is>
      </c>
      <c r="K338" s="4" t="inlineStr">
        <is>
          <t>Retrieved and reviewed</t>
        </is>
      </c>
      <c r="L338" s="4" t="inlineStr">
        <is>
          <t>Revisión asistida por IA (un revisor; requiere verificación independiente)</t>
        </is>
      </c>
      <c r="M338" s="40" t="n">
        <v>46269</v>
      </c>
      <c r="N338" s="4" t="inlineStr">
        <is>
          <t>Pending independent/source verification</t>
        </is>
      </c>
      <c r="O338" s="4" t="inlineStr">
        <is>
          <t>Extraccion_RQ_nuevos</t>
        </is>
      </c>
      <c r="P338" s="4" t="n">
        <v>62</v>
      </c>
    </row>
    <row r="339" ht="60" customHeight="1">
      <c r="A339" s="4" t="inlineStr">
        <is>
          <t>new_4</t>
        </is>
      </c>
      <c r="B339" s="4" t="inlineStr">
        <is>
          <t>Update</t>
        </is>
      </c>
      <c r="C339" s="4" t="n">
        <v>4</v>
      </c>
      <c r="D339" s="4" t="inlineStr">
        <is>
          <t>EmoLand: Utilizing narrative animations, multilevel games, and affective computing to foster emotional development in children with autism spectrum disorder</t>
        </is>
      </c>
      <c r="E339" s="4" t="inlineStr">
        <is>
          <t>10.1016/j.ijhcs.2025.103486</t>
        </is>
      </c>
      <c r="F339" s="4" t="n">
        <v>2025</v>
      </c>
      <c r="G339" s="4" t="inlineStr">
        <is>
          <t>Include</t>
        </is>
      </c>
      <c r="H339" s="4" t="str"/>
      <c r="I339" s="4" t="n">
        <v>0</v>
      </c>
      <c r="J339" s="4" t="inlineStr">
        <is>
          <t>https://doi.org/10.1016/j.ijhcs.2025.103486</t>
        </is>
      </c>
      <c r="K339" s="4" t="inlineStr">
        <is>
          <t>Retrieved and reviewed</t>
        </is>
      </c>
      <c r="L339" s="4" t="inlineStr">
        <is>
          <t>Revisión asistida por IA (un revisor; requiere verificación independiente)</t>
        </is>
      </c>
      <c r="M339" s="40" t="n">
        <v>46269</v>
      </c>
      <c r="N339" s="4" t="inlineStr">
        <is>
          <t>Pending independent/source verification</t>
        </is>
      </c>
      <c r="O339" s="4" t="inlineStr">
        <is>
          <t>Extraccion_RQ_nuevos</t>
        </is>
      </c>
      <c r="P339" s="4" t="n">
        <v>63</v>
      </c>
    </row>
    <row r="340" ht="60" customHeight="1">
      <c r="A340" s="4" t="inlineStr">
        <is>
          <t>new_7</t>
        </is>
      </c>
      <c r="B340" s="4" t="inlineStr">
        <is>
          <t>Update</t>
        </is>
      </c>
      <c r="C340" s="4" t="n">
        <v>7</v>
      </c>
      <c r="D340" s="4" t="inlineStr">
        <is>
          <t>Hybrid optimization enabled DenseNet for autism spectrum disorders using MRI image</t>
        </is>
      </c>
      <c r="E340" s="4" t="inlineStr">
        <is>
          <t>10.1016/j.compbiolchem.2024.108335</t>
        </is>
      </c>
      <c r="F340" s="4" t="n">
        <v>2025</v>
      </c>
      <c r="G340" s="4" t="inlineStr">
        <is>
          <t>Include</t>
        </is>
      </c>
      <c r="H340" s="4" t="str"/>
      <c r="I340" s="4" t="n">
        <v>0</v>
      </c>
      <c r="J340" s="4" t="inlineStr">
        <is>
          <t>https://doi.org/10.1016/j.compbiolchem.2024.108335</t>
        </is>
      </c>
      <c r="K340" s="4" t="inlineStr">
        <is>
          <t>Retrieved and reviewed</t>
        </is>
      </c>
      <c r="L340" s="4" t="inlineStr">
        <is>
          <t>Revisión asistida por IA (un revisor; requiere verificación independiente)</t>
        </is>
      </c>
      <c r="M340" s="40" t="n">
        <v>46269</v>
      </c>
      <c r="N340" s="4" t="inlineStr">
        <is>
          <t>Pending independent/source verification</t>
        </is>
      </c>
      <c r="O340" s="4" t="inlineStr">
        <is>
          <t>Extraccion_RQ_nuevos</t>
        </is>
      </c>
      <c r="P340" s="4" t="n">
        <v>64</v>
      </c>
    </row>
    <row r="341" ht="60" customHeight="1">
      <c r="A341" s="4" t="inlineStr">
        <is>
          <t>new_15</t>
        </is>
      </c>
      <c r="B341" s="4" t="inlineStr">
        <is>
          <t>Update</t>
        </is>
      </c>
      <c r="C341" s="4" t="n">
        <v>15</v>
      </c>
      <c r="D341" s="4" t="inlineStr">
        <is>
          <t>MCBERT: A multi-modal framework for the diagnosis of autism spectrum disorder</t>
        </is>
      </c>
      <c r="E341" s="4" t="inlineStr">
        <is>
          <t>10.1016/j.biopsycho.2024.108976</t>
        </is>
      </c>
      <c r="F341" s="4" t="n">
        <v>2025</v>
      </c>
      <c r="G341" s="4" t="inlineStr">
        <is>
          <t>Include</t>
        </is>
      </c>
      <c r="H341" s="4" t="str"/>
      <c r="I341" s="4" t="n">
        <v>0</v>
      </c>
      <c r="J341" s="4" t="inlineStr">
        <is>
          <t>https://doi.org/10.1016/j.biopsycho.2024.108976</t>
        </is>
      </c>
      <c r="K341" s="4" t="inlineStr">
        <is>
          <t>Retrieved and reviewed</t>
        </is>
      </c>
      <c r="L341" s="4" t="inlineStr">
        <is>
          <t>Revisión asistida por IA (un revisor; requiere verificación independiente)</t>
        </is>
      </c>
      <c r="M341" s="40" t="n">
        <v>46269</v>
      </c>
      <c r="N341" s="4" t="inlineStr">
        <is>
          <t>Pending independent/source verification</t>
        </is>
      </c>
      <c r="O341" s="4" t="inlineStr">
        <is>
          <t>Extraccion_RQ_nuevos</t>
        </is>
      </c>
      <c r="P341" s="4" t="n">
        <v>65</v>
      </c>
    </row>
    <row r="342" ht="60" customHeight="1">
      <c r="A342" s="4" t="inlineStr">
        <is>
          <t>new_21</t>
        </is>
      </c>
      <c r="B342" s="4" t="inlineStr">
        <is>
          <t>Update</t>
        </is>
      </c>
      <c r="C342" s="4" t="n">
        <v>21</v>
      </c>
      <c r="D342" s="4" t="inlineStr">
        <is>
          <t>Screening biomarkers for autism spectrum disorder using plasma proteomics combined with machine learning methods</t>
        </is>
      </c>
      <c r="E342" s="4" t="inlineStr">
        <is>
          <t>10.1016/j.cca.2024.120018</t>
        </is>
      </c>
      <c r="F342" s="4" t="n">
        <v>2025</v>
      </c>
      <c r="G342" s="4" t="inlineStr">
        <is>
          <t>Include</t>
        </is>
      </c>
      <c r="H342" s="4" t="str"/>
      <c r="I342" s="4" t="n">
        <v>0</v>
      </c>
      <c r="J342" s="4" t="inlineStr">
        <is>
          <t>https://doi.org/10.1016/j.cca.2024.120018</t>
        </is>
      </c>
      <c r="K342" s="4" t="inlineStr">
        <is>
          <t>Retrieved and reviewed</t>
        </is>
      </c>
      <c r="L342" s="4" t="inlineStr">
        <is>
          <t>Revisión asistida por IA (un revisor; requiere verificación independiente)</t>
        </is>
      </c>
      <c r="M342" s="40" t="n">
        <v>46269</v>
      </c>
      <c r="N342" s="4" t="inlineStr">
        <is>
          <t>Pending independent/source verification</t>
        </is>
      </c>
      <c r="O342" s="4" t="inlineStr">
        <is>
          <t>Extraccion_RQ_nuevos</t>
        </is>
      </c>
      <c r="P342" s="4" t="n">
        <v>66</v>
      </c>
    </row>
    <row r="343" ht="60" customHeight="1">
      <c r="A343" s="4" t="inlineStr">
        <is>
          <t>new_23</t>
        </is>
      </c>
      <c r="B343" s="4" t="inlineStr">
        <is>
          <t>Update</t>
        </is>
      </c>
      <c r="C343" s="4" t="n">
        <v>23</v>
      </c>
      <c r="D343" s="4" t="inlineStr">
        <is>
          <t>Introducing 3DCNN ResNets for ASD full-body kinematic assessment: A comparison with hand-crafted features</t>
        </is>
      </c>
      <c r="E343" s="4" t="inlineStr">
        <is>
          <t>10.1016/j.eswa.2024.126295</t>
        </is>
      </c>
      <c r="F343" s="4" t="n">
        <v>2025</v>
      </c>
      <c r="G343" s="4" t="inlineStr">
        <is>
          <t>Include</t>
        </is>
      </c>
      <c r="H343" s="4" t="str"/>
      <c r="I343" s="4" t="n">
        <v>0</v>
      </c>
      <c r="J343" s="4" t="inlineStr">
        <is>
          <t>https://doi.org/10.1016/j.eswa.2024.126295</t>
        </is>
      </c>
      <c r="K343" s="4" t="inlineStr">
        <is>
          <t>Retrieved and reviewed</t>
        </is>
      </c>
      <c r="L343" s="4" t="inlineStr">
        <is>
          <t>Revisión asistida por IA (un revisor; requiere verificación independiente)</t>
        </is>
      </c>
      <c r="M343" s="40" t="n">
        <v>46269</v>
      </c>
      <c r="N343" s="4" t="inlineStr">
        <is>
          <t>Pending independent/source verification</t>
        </is>
      </c>
      <c r="O343" s="4" t="inlineStr">
        <is>
          <t>Extraccion_RQ_nuevos</t>
        </is>
      </c>
      <c r="P343" s="4" t="n">
        <v>67</v>
      </c>
    </row>
    <row r="344" ht="60" customHeight="1">
      <c r="A344" s="4" t="inlineStr">
        <is>
          <t>new_37</t>
        </is>
      </c>
      <c r="B344" s="4" t="inlineStr">
        <is>
          <t>Update</t>
        </is>
      </c>
      <c r="C344" s="4" t="n">
        <v>37</v>
      </c>
      <c r="D344" s="4" t="inlineStr">
        <is>
          <t>Design of adaptive recommendation system for autism children using optimal feature selection-based adaptive dilated 1DCNN-LSTM with attention mechanism</t>
        </is>
      </c>
      <c r="E344" s="4" t="inlineStr">
        <is>
          <t>10.1016/j.eswa.2024.125399</t>
        </is>
      </c>
      <c r="F344" s="4" t="n">
        <v>2025</v>
      </c>
      <c r="G344" s="4" t="inlineStr">
        <is>
          <t>Include</t>
        </is>
      </c>
      <c r="H344" s="4" t="str"/>
      <c r="I344" s="4" t="n">
        <v>0</v>
      </c>
      <c r="J344" s="4" t="inlineStr">
        <is>
          <t>https://doi.org/10.1016/j.eswa.2024.125399</t>
        </is>
      </c>
      <c r="K344" s="4" t="inlineStr">
        <is>
          <t>Retrieved and reviewed</t>
        </is>
      </c>
      <c r="L344" s="4" t="inlineStr">
        <is>
          <t>Revisión asistida por IA (un revisor; requiere verificación independiente)</t>
        </is>
      </c>
      <c r="M344" s="40" t="n">
        <v>46269</v>
      </c>
      <c r="N344" s="4" t="inlineStr">
        <is>
          <t>Pending independent/source verification</t>
        </is>
      </c>
      <c r="O344" s="4" t="inlineStr">
        <is>
          <t>Extraccion_RQ_nuevos</t>
        </is>
      </c>
      <c r="P344" s="4" t="n">
        <v>68</v>
      </c>
    </row>
    <row r="345" ht="60" customHeight="1">
      <c r="A345" s="4" t="inlineStr">
        <is>
          <t>new_38</t>
        </is>
      </c>
      <c r="B345" s="4" t="inlineStr">
        <is>
          <t>Update</t>
        </is>
      </c>
      <c r="C345" s="4" t="n">
        <v>38</v>
      </c>
      <c r="D345" s="4" t="inlineStr">
        <is>
          <t>Early detection of autism spectrum disorder using explainable AI and optimized teaching strategies</t>
        </is>
      </c>
      <c r="E345" s="4" t="inlineStr">
        <is>
          <t>10.1016/j.jneumeth.2024.110315</t>
        </is>
      </c>
      <c r="F345" s="4" t="n">
        <v>2025</v>
      </c>
      <c r="G345" s="4" t="inlineStr">
        <is>
          <t>Include</t>
        </is>
      </c>
      <c r="H345" s="4" t="str"/>
      <c r="I345" s="4" t="n">
        <v>0</v>
      </c>
      <c r="J345" s="4" t="inlineStr">
        <is>
          <t>https://doi.org/10.1016/j.jneumeth.2024.110315</t>
        </is>
      </c>
      <c r="K345" s="4" t="inlineStr">
        <is>
          <t>Retrieved and reviewed</t>
        </is>
      </c>
      <c r="L345" s="4" t="inlineStr">
        <is>
          <t>Revisión asistida por IA (un revisor; requiere verificación independiente)</t>
        </is>
      </c>
      <c r="M345" s="40" t="n">
        <v>46269</v>
      </c>
      <c r="N345" s="4" t="inlineStr">
        <is>
          <t>Pending independent/source verification</t>
        </is>
      </c>
      <c r="O345" s="4" t="inlineStr">
        <is>
          <t>Extraccion_RQ_nuevos</t>
        </is>
      </c>
      <c r="P345" s="4" t="n">
        <v>69</v>
      </c>
    </row>
    <row r="346" ht="60" customHeight="1">
      <c r="A346" s="4" t="inlineStr">
        <is>
          <t>new_41</t>
        </is>
      </c>
      <c r="B346" s="4" t="inlineStr">
        <is>
          <t>Update</t>
        </is>
      </c>
      <c r="C346" s="4" t="n">
        <v>41</v>
      </c>
      <c r="D346" s="4" t="inlineStr">
        <is>
          <t>A systematic evaluation of autism spectrum disorder identification with Scanpath Trend Analysis (STA)</t>
        </is>
      </c>
      <c r="E346" s="4" t="inlineStr">
        <is>
          <t>10.1016/j.bspc.2024.107414</t>
        </is>
      </c>
      <c r="F346" s="4" t="n">
        <v>2025</v>
      </c>
      <c r="G346" s="4" t="inlineStr">
        <is>
          <t>Include</t>
        </is>
      </c>
      <c r="H346" s="4" t="str"/>
      <c r="I346" s="4" t="n">
        <v>0</v>
      </c>
      <c r="J346" s="4" t="inlineStr">
        <is>
          <t>https://doi.org/10.1016/j.bspc.2024.107414</t>
        </is>
      </c>
      <c r="K346" s="4" t="inlineStr">
        <is>
          <t>Retrieved and reviewed</t>
        </is>
      </c>
      <c r="L346" s="4" t="inlineStr">
        <is>
          <t>Revisión asistida por IA (un revisor; requiere verificación independiente)</t>
        </is>
      </c>
      <c r="M346" s="40" t="n">
        <v>46269</v>
      </c>
      <c r="N346" s="4" t="inlineStr">
        <is>
          <t>Pending independent/source verification</t>
        </is>
      </c>
      <c r="O346" s="4" t="inlineStr">
        <is>
          <t>Extraccion_RQ_nuevos</t>
        </is>
      </c>
      <c r="P346" s="4" t="n">
        <v>70</v>
      </c>
    </row>
    <row r="347" ht="60" customHeight="1">
      <c r="A347" s="4" t="inlineStr">
        <is>
          <t>new_46</t>
        </is>
      </c>
      <c r="B347" s="4" t="inlineStr">
        <is>
          <t>Update</t>
        </is>
      </c>
      <c r="C347" s="4" t="n">
        <v>46</v>
      </c>
      <c r="D347" s="4" t="inlineStr">
        <is>
          <t>Recognition of autism in subcortical brain volumetric images using autoencoding-based region selection method and Siamese Convolutional Neural Network</t>
        </is>
      </c>
      <c r="E347" s="4" t="inlineStr">
        <is>
          <t>10.1016/j.ijmedinf.2024.105707</t>
        </is>
      </c>
      <c r="F347" s="4" t="n">
        <v>2025</v>
      </c>
      <c r="G347" s="4" t="inlineStr">
        <is>
          <t>Include</t>
        </is>
      </c>
      <c r="H347" s="4" t="str"/>
      <c r="I347" s="4" t="n">
        <v>0</v>
      </c>
      <c r="J347" s="4" t="inlineStr">
        <is>
          <t>https://doi.org/10.1016/j.ijmedinf.2024.105707</t>
        </is>
      </c>
      <c r="K347" s="4" t="inlineStr">
        <is>
          <t>Retrieved and reviewed</t>
        </is>
      </c>
      <c r="L347" s="4" t="inlineStr">
        <is>
          <t>Revisión asistida por IA (un revisor; requiere verificación independiente)</t>
        </is>
      </c>
      <c r="M347" s="40" t="n">
        <v>46269</v>
      </c>
      <c r="N347" s="4" t="inlineStr">
        <is>
          <t>Pending independent/source verification</t>
        </is>
      </c>
      <c r="O347" s="4" t="inlineStr">
        <is>
          <t>Extraccion_RQ_nuevos</t>
        </is>
      </c>
      <c r="P347" s="4" t="n">
        <v>71</v>
      </c>
    </row>
    <row r="348" ht="60" customHeight="1">
      <c r="A348" s="4" t="inlineStr">
        <is>
          <t>new_47</t>
        </is>
      </c>
      <c r="B348" s="4" t="inlineStr">
        <is>
          <t>Update</t>
        </is>
      </c>
      <c r="C348" s="4" t="n">
        <v>47</v>
      </c>
      <c r="D348" s="4" t="inlineStr">
        <is>
          <t>Leveraging deep learning for enhanced diagnosis of autism spectrum disorder using resting-state functional magnetic resonance imaging and clinical data</t>
        </is>
      </c>
      <c r="E348" s="4" t="inlineStr">
        <is>
          <t>10.1016/j.rineng.2025.104444</t>
        </is>
      </c>
      <c r="F348" s="4" t="n">
        <v>2025</v>
      </c>
      <c r="G348" s="4" t="inlineStr">
        <is>
          <t>Include</t>
        </is>
      </c>
      <c r="H348" s="4" t="str"/>
      <c r="I348" s="4" t="n">
        <v>0</v>
      </c>
      <c r="J348" s="4" t="inlineStr">
        <is>
          <t>https://doi.org/10.1016/j.rineng.2025.104444</t>
        </is>
      </c>
      <c r="K348" s="4" t="inlineStr">
        <is>
          <t>Retrieved and reviewed</t>
        </is>
      </c>
      <c r="L348" s="4" t="inlineStr">
        <is>
          <t>Revisión asistida por IA (un revisor; requiere verificación independiente)</t>
        </is>
      </c>
      <c r="M348" s="40" t="n">
        <v>46269</v>
      </c>
      <c r="N348" s="4" t="inlineStr">
        <is>
          <t>Pending independent/source verification</t>
        </is>
      </c>
      <c r="O348" s="4" t="inlineStr">
        <is>
          <t>Extraccion_RQ_nuevos</t>
        </is>
      </c>
      <c r="P348" s="4" t="n">
        <v>72</v>
      </c>
    </row>
    <row r="349" ht="60" customHeight="1">
      <c r="A349" s="4" t="inlineStr">
        <is>
          <t>new_51</t>
        </is>
      </c>
      <c r="B349" s="4" t="inlineStr">
        <is>
          <t>Update</t>
        </is>
      </c>
      <c r="C349" s="4" t="n">
        <v>51</v>
      </c>
      <c r="D349" s="4" t="inlineStr">
        <is>
          <t>Involution fused convolution for classifying eye-tracking patterns of children with Autism Spectrum Disorder</t>
        </is>
      </c>
      <c r="E349" s="4" t="inlineStr">
        <is>
          <t>10.1016/j.engappai.2024.109475</t>
        </is>
      </c>
      <c r="F349" s="4" t="n">
        <v>2025</v>
      </c>
      <c r="G349" s="4" t="inlineStr">
        <is>
          <t>Include</t>
        </is>
      </c>
      <c r="H349" s="4" t="str"/>
      <c r="I349" s="4" t="n">
        <v>0</v>
      </c>
      <c r="J349" s="4" t="inlineStr">
        <is>
          <t>https://doi.org/10.1016/j.engappai.2024.109475</t>
        </is>
      </c>
      <c r="K349" s="4" t="inlineStr">
        <is>
          <t>Retrieved and reviewed</t>
        </is>
      </c>
      <c r="L349" s="4" t="inlineStr">
        <is>
          <t>Revisión asistida por IA (un revisor; requiere verificación independiente)</t>
        </is>
      </c>
      <c r="M349" s="40" t="n">
        <v>46269</v>
      </c>
      <c r="N349" s="4" t="inlineStr">
        <is>
          <t>Pending independent/source verification</t>
        </is>
      </c>
      <c r="O349" s="4" t="inlineStr">
        <is>
          <t>Extraccion_RQ_nuevos</t>
        </is>
      </c>
      <c r="P349" s="4" t="n">
        <v>73</v>
      </c>
    </row>
    <row r="350" ht="60" customHeight="1">
      <c r="A350" s="4" t="inlineStr">
        <is>
          <t>new_59</t>
        </is>
      </c>
      <c r="B350" s="4" t="inlineStr">
        <is>
          <t>Update</t>
        </is>
      </c>
      <c r="C350" s="4" t="n">
        <v>59</v>
      </c>
      <c r="D350" s="4" t="inlineStr">
        <is>
          <t>Advanced autism detection and visualization through XGBoost algorithm for fNIRS hemo-dynamic signals</t>
        </is>
      </c>
      <c r="E350" s="4" t="inlineStr">
        <is>
          <t>10.1016/j.eswa.2025.127013</t>
        </is>
      </c>
      <c r="F350" s="4" t="n">
        <v>2025</v>
      </c>
      <c r="G350" s="4" t="inlineStr">
        <is>
          <t>Include</t>
        </is>
      </c>
      <c r="H350" s="4" t="str"/>
      <c r="I350" s="4" t="n">
        <v>0</v>
      </c>
      <c r="J350" s="4" t="inlineStr">
        <is>
          <t>https://doi.org/10.1016/j.eswa.2025.127013</t>
        </is>
      </c>
      <c r="K350" s="4" t="inlineStr">
        <is>
          <t>Retrieved and reviewed</t>
        </is>
      </c>
      <c r="L350" s="4" t="inlineStr">
        <is>
          <t>Revisión asistida por IA (un revisor; requiere verificación independiente)</t>
        </is>
      </c>
      <c r="M350" s="40" t="n">
        <v>46269</v>
      </c>
      <c r="N350" s="4" t="inlineStr">
        <is>
          <t>Pending independent/source verification</t>
        </is>
      </c>
      <c r="O350" s="4" t="inlineStr">
        <is>
          <t>Extraccion_RQ_nuevos</t>
        </is>
      </c>
      <c r="P350" s="4" t="n">
        <v>74</v>
      </c>
    </row>
    <row r="351" ht="60" customHeight="1">
      <c r="A351" s="4" t="inlineStr">
        <is>
          <t>new_60</t>
        </is>
      </c>
      <c r="B351" s="4" t="inlineStr">
        <is>
          <t>Update</t>
        </is>
      </c>
      <c r="C351" s="4" t="n">
        <v>60</v>
      </c>
      <c r="D351" s="4" t="inlineStr">
        <is>
          <t>Using convolutional network in graphical model detection of autism disorders with fuzzy inference systems</t>
        </is>
      </c>
      <c r="E351" s="4" t="inlineStr">
        <is>
          <t>10.1016/j.ibmed.2025.100213</t>
        </is>
      </c>
      <c r="F351" s="4" t="n">
        <v>2025</v>
      </c>
      <c r="G351" s="4" t="inlineStr">
        <is>
          <t>Include</t>
        </is>
      </c>
      <c r="H351" s="4" t="str"/>
      <c r="I351" s="4" t="n">
        <v>0</v>
      </c>
      <c r="J351" s="4" t="inlineStr">
        <is>
          <t>https://doi.org/10.1016/j.ibmed.2025.100213</t>
        </is>
      </c>
      <c r="K351" s="4" t="inlineStr">
        <is>
          <t>Retrieved and reviewed</t>
        </is>
      </c>
      <c r="L351" s="4" t="inlineStr">
        <is>
          <t>Revisión asistida por IA (un revisor; requiere verificación independiente)</t>
        </is>
      </c>
      <c r="M351" s="40" t="n">
        <v>46269</v>
      </c>
      <c r="N351" s="4" t="inlineStr">
        <is>
          <t>Pending independent/source verification</t>
        </is>
      </c>
      <c r="O351" s="4" t="inlineStr">
        <is>
          <t>Extraccion_RQ_nuevos</t>
        </is>
      </c>
      <c r="P351" s="4" t="n">
        <v>75</v>
      </c>
    </row>
    <row r="352" ht="60" customHeight="1">
      <c r="A352" s="4" t="inlineStr">
        <is>
          <t>new_63</t>
        </is>
      </c>
      <c r="B352" s="4" t="inlineStr">
        <is>
          <t>Update</t>
        </is>
      </c>
      <c r="C352" s="4" t="n">
        <v>63</v>
      </c>
      <c r="D352" s="4" t="inlineStr">
        <is>
          <t>Enhancing autism spectrum disorder early detection with parent-child dyads block-play protocol and attention-enhanced hybrid deep learning framework</t>
        </is>
      </c>
      <c r="E352" s="4" t="inlineStr">
        <is>
          <t>10.1016/j.engappai.2025.110430</t>
        </is>
      </c>
      <c r="F352" s="4" t="n">
        <v>2025</v>
      </c>
      <c r="G352" s="4" t="inlineStr">
        <is>
          <t>Include</t>
        </is>
      </c>
      <c r="H352" s="4" t="str"/>
      <c r="I352" s="4" t="n">
        <v>0</v>
      </c>
      <c r="J352" s="4" t="inlineStr">
        <is>
          <t>https://doi.org/10.1016/j.engappai.2025.110430</t>
        </is>
      </c>
      <c r="K352" s="4" t="inlineStr">
        <is>
          <t>Retrieved and reviewed</t>
        </is>
      </c>
      <c r="L352" s="4" t="inlineStr">
        <is>
          <t>Revisión asistida por IA (un revisor; requiere verificación independiente)</t>
        </is>
      </c>
      <c r="M352" s="40" t="n">
        <v>46269</v>
      </c>
      <c r="N352" s="4" t="inlineStr">
        <is>
          <t>Pending independent/source verification</t>
        </is>
      </c>
      <c r="O352" s="4" t="inlineStr">
        <is>
          <t>Extraccion_RQ_nuevos</t>
        </is>
      </c>
      <c r="P352" s="4" t="n">
        <v>76</v>
      </c>
    </row>
    <row r="353" ht="60" customHeight="1">
      <c r="A353" s="4" t="inlineStr">
        <is>
          <t>new_64</t>
        </is>
      </c>
      <c r="B353" s="4" t="inlineStr">
        <is>
          <t>Update</t>
        </is>
      </c>
      <c r="C353" s="4" t="n">
        <v>64</v>
      </c>
      <c r="D353" s="4" t="inlineStr">
        <is>
          <t>Involvement of disulfidptosis in the pathophysiology of autism spectrum disorder</t>
        </is>
      </c>
      <c r="E353" s="4" t="inlineStr">
        <is>
          <t>10.1016/j.lfs.2025.123531</t>
        </is>
      </c>
      <c r="F353" s="4" t="n">
        <v>2025</v>
      </c>
      <c r="G353" s="4" t="inlineStr">
        <is>
          <t>Include</t>
        </is>
      </c>
      <c r="H353" s="4" t="str"/>
      <c r="I353" s="4" t="n">
        <v>0</v>
      </c>
      <c r="J353" s="4" t="inlineStr">
        <is>
          <t>https://doi.org/10.1016/j.lfs.2025.123531</t>
        </is>
      </c>
      <c r="K353" s="4" t="inlineStr">
        <is>
          <t>Retrieved and reviewed</t>
        </is>
      </c>
      <c r="L353" s="4" t="inlineStr">
        <is>
          <t>Revisión asistida por IA (un revisor; requiere verificación independiente)</t>
        </is>
      </c>
      <c r="M353" s="40" t="n">
        <v>46269</v>
      </c>
      <c r="N353" s="4" t="inlineStr">
        <is>
          <t>Pending independent/source verification</t>
        </is>
      </c>
      <c r="O353" s="4" t="inlineStr">
        <is>
          <t>Extraccion_RQ_nuevos</t>
        </is>
      </c>
      <c r="P353" s="4" t="n">
        <v>77</v>
      </c>
    </row>
    <row r="354" ht="60" customHeight="1">
      <c r="A354" s="4" t="inlineStr">
        <is>
          <t>new_67</t>
        </is>
      </c>
      <c r="B354" s="4" t="inlineStr">
        <is>
          <t>Update</t>
        </is>
      </c>
      <c r="C354" s="4" t="n">
        <v>67</v>
      </c>
      <c r="D354" s="4" t="inlineStr">
        <is>
          <t>Enhancing the identification of autism spectrum disorder in facial expressions using DenseResNet-Based transfer learning approach</t>
        </is>
      </c>
      <c r="E354" s="4" t="inlineStr">
        <is>
          <t>10.1016/j.bspc.2024.107433</t>
        </is>
      </c>
      <c r="F354" s="4" t="n">
        <v>2025</v>
      </c>
      <c r="G354" s="4" t="inlineStr">
        <is>
          <t>Include</t>
        </is>
      </c>
      <c r="H354" s="4" t="str"/>
      <c r="I354" s="4" t="n">
        <v>0</v>
      </c>
      <c r="J354" s="4" t="inlineStr">
        <is>
          <t>https://doi.org/10.1016/j.bspc.2024.107433</t>
        </is>
      </c>
      <c r="K354" s="4" t="inlineStr">
        <is>
          <t>Retrieved and reviewed</t>
        </is>
      </c>
      <c r="L354" s="4" t="inlineStr">
        <is>
          <t>Revisión asistida por IA (un revisor; requiere verificación independiente)</t>
        </is>
      </c>
      <c r="M354" s="40" t="n">
        <v>46269</v>
      </c>
      <c r="N354" s="4" t="inlineStr">
        <is>
          <t>Pending independent/source verification</t>
        </is>
      </c>
      <c r="O354" s="4" t="inlineStr">
        <is>
          <t>Extraccion_RQ_nuevos</t>
        </is>
      </c>
      <c r="P354" s="4" t="n">
        <v>78</v>
      </c>
    </row>
    <row r="355" ht="60" customHeight="1">
      <c r="A355" s="4" t="inlineStr">
        <is>
          <t>new_74</t>
        </is>
      </c>
      <c r="B355" s="4" t="inlineStr">
        <is>
          <t>Update</t>
        </is>
      </c>
      <c r="C355" s="4" t="n">
        <v>74</v>
      </c>
      <c r="D355" s="4" t="inlineStr">
        <is>
          <t>Deep neurocomputational fusion for ASD diagnosis using multi-domain EEG analysis</t>
        </is>
      </c>
      <c r="E355" s="4" t="inlineStr">
        <is>
          <t>10.1016/j.neucom.2025.130353</t>
        </is>
      </c>
      <c r="F355" s="4" t="n">
        <v>2025</v>
      </c>
      <c r="G355" s="4" t="inlineStr">
        <is>
          <t>Include</t>
        </is>
      </c>
      <c r="H355" s="4" t="str"/>
      <c r="I355" s="4" t="n">
        <v>0</v>
      </c>
      <c r="J355" s="4" t="inlineStr">
        <is>
          <t>https://doi.org/10.1016/j.neucom.2025.130353</t>
        </is>
      </c>
      <c r="K355" s="4" t="inlineStr">
        <is>
          <t>Retrieved and reviewed</t>
        </is>
      </c>
      <c r="L355" s="4" t="inlineStr">
        <is>
          <t>Revisión asistida por IA (un revisor; requiere verificación independiente)</t>
        </is>
      </c>
      <c r="M355" s="40" t="n">
        <v>46269</v>
      </c>
      <c r="N355" s="4" t="inlineStr">
        <is>
          <t>Pending independent/source verification</t>
        </is>
      </c>
      <c r="O355" s="4" t="inlineStr">
        <is>
          <t>Extraccion_RQ_nuevos</t>
        </is>
      </c>
      <c r="P355" s="4" t="n">
        <v>79</v>
      </c>
    </row>
    <row r="356" ht="60" customHeight="1">
      <c r="A356" s="4" t="inlineStr">
        <is>
          <t>new_76</t>
        </is>
      </c>
      <c r="B356" s="4" t="inlineStr">
        <is>
          <t>Update</t>
        </is>
      </c>
      <c r="C356" s="4" t="n">
        <v>76</v>
      </c>
      <c r="D356" s="4" t="inlineStr">
        <is>
          <t>Female autism categorization using CNN based NeuroNet57 and ant colony optimization</t>
        </is>
      </c>
      <c r="E356" s="4" t="inlineStr">
        <is>
          <t>10.1016/j.compbiomed.2025.109926</t>
        </is>
      </c>
      <c r="F356" s="4" t="n">
        <v>2025</v>
      </c>
      <c r="G356" s="4" t="inlineStr">
        <is>
          <t>Include</t>
        </is>
      </c>
      <c r="H356" s="4" t="str"/>
      <c r="I356" s="4" t="n">
        <v>0</v>
      </c>
      <c r="J356" s="4" t="inlineStr">
        <is>
          <t>https://doi.org/10.1016/j.compbiomed.2025.109926</t>
        </is>
      </c>
      <c r="K356" s="4" t="inlineStr">
        <is>
          <t>Retrieved and reviewed</t>
        </is>
      </c>
      <c r="L356" s="4" t="inlineStr">
        <is>
          <t>Revisión asistida por IA (un revisor; requiere verificación independiente)</t>
        </is>
      </c>
      <c r="M356" s="40" t="n">
        <v>46269</v>
      </c>
      <c r="N356" s="4" t="inlineStr">
        <is>
          <t>Pending independent/source verification</t>
        </is>
      </c>
      <c r="O356" s="4" t="inlineStr">
        <is>
          <t>Extraccion_RQ_nuevos</t>
        </is>
      </c>
      <c r="P356" s="4" t="n">
        <v>80</v>
      </c>
    </row>
    <row r="357" ht="60" customHeight="1">
      <c r="A357" s="4" t="inlineStr">
        <is>
          <t>new_78</t>
        </is>
      </c>
      <c r="B357" s="4" t="inlineStr">
        <is>
          <t>Update</t>
        </is>
      </c>
      <c r="C357" s="4" t="n">
        <v>78</v>
      </c>
      <c r="D357" s="4" t="inlineStr">
        <is>
          <t>Capsule DenseNet++: Enhanced autism detection framework with deep learning and reinforcement learning-based lifestyle recommendation</t>
        </is>
      </c>
      <c r="E357" s="4" t="inlineStr">
        <is>
          <t>10.1016/j.compbiomed.2025.110038</t>
        </is>
      </c>
      <c r="F357" s="4" t="n">
        <v>2025</v>
      </c>
      <c r="G357" s="4" t="inlineStr">
        <is>
          <t>Include</t>
        </is>
      </c>
      <c r="H357" s="4" t="str"/>
      <c r="I357" s="4" t="n">
        <v>0</v>
      </c>
      <c r="J357" s="4" t="inlineStr">
        <is>
          <t>https://doi.org/10.1016/j.compbiomed.2025.110038</t>
        </is>
      </c>
      <c r="K357" s="4" t="inlineStr">
        <is>
          <t>Retrieved and reviewed</t>
        </is>
      </c>
      <c r="L357" s="4" t="inlineStr">
        <is>
          <t>Revisión asistida por IA (un revisor; requiere verificación independiente)</t>
        </is>
      </c>
      <c r="M357" s="40" t="n">
        <v>46269</v>
      </c>
      <c r="N357" s="4" t="inlineStr">
        <is>
          <t>Pending independent/source verification</t>
        </is>
      </c>
      <c r="O357" s="4" t="inlineStr">
        <is>
          <t>Extraccion_RQ_nuevos</t>
        </is>
      </c>
      <c r="P357" s="4" t="n">
        <v>81</v>
      </c>
    </row>
    <row r="358" ht="60" customHeight="1">
      <c r="A358" s="4" t="inlineStr">
        <is>
          <t>new_81</t>
        </is>
      </c>
      <c r="B358" s="4" t="inlineStr">
        <is>
          <t>Update</t>
        </is>
      </c>
      <c r="C358" s="4" t="n">
        <v>81</v>
      </c>
      <c r="D358" s="4" t="inlineStr">
        <is>
          <t>Self-training EEG discrimination model with weakly supervised sample construction: An age-based perspective on ASD evaluation</t>
        </is>
      </c>
      <c r="E358" s="4" t="inlineStr">
        <is>
          <t>10.1016/j.neunet.2025.107337</t>
        </is>
      </c>
      <c r="F358" s="4" t="n">
        <v>2025</v>
      </c>
      <c r="G358" s="4" t="inlineStr">
        <is>
          <t>Include</t>
        </is>
      </c>
      <c r="H358" s="4" t="str"/>
      <c r="I358" s="4" t="n">
        <v>0</v>
      </c>
      <c r="J358" s="4" t="inlineStr">
        <is>
          <t>https://doi.org/10.1016/j.neunet.2025.107337</t>
        </is>
      </c>
      <c r="K358" s="4" t="inlineStr">
        <is>
          <t>Retrieved and reviewed</t>
        </is>
      </c>
      <c r="L358" s="4" t="inlineStr">
        <is>
          <t>Revisión asistida por IA (un revisor; requiere verificación independiente)</t>
        </is>
      </c>
      <c r="M358" s="40" t="n">
        <v>46269</v>
      </c>
      <c r="N358" s="4" t="inlineStr">
        <is>
          <t>Pending independent/source verification</t>
        </is>
      </c>
      <c r="O358" s="4" t="inlineStr">
        <is>
          <t>Extraccion_RQ_nuevos</t>
        </is>
      </c>
      <c r="P358" s="4" t="n">
        <v>82</v>
      </c>
    </row>
    <row r="359" ht="60" customHeight="1">
      <c r="A359" s="4" t="inlineStr">
        <is>
          <t>new_84</t>
        </is>
      </c>
      <c r="B359" s="4" t="inlineStr">
        <is>
          <t>Update</t>
        </is>
      </c>
      <c r="C359" s="4" t="n">
        <v>84</v>
      </c>
      <c r="D359" s="4" t="inlineStr">
        <is>
          <t>Towards screening of children students with autism spectrum disorder based on executive functions with serious game and machine learning approaches</t>
        </is>
      </c>
      <c r="E359" s="4" t="inlineStr">
        <is>
          <t>10.1016/j.eswa.2025.128884</t>
        </is>
      </c>
      <c r="F359" s="4" t="n">
        <v>2026</v>
      </c>
      <c r="G359" s="4" t="inlineStr">
        <is>
          <t>Include</t>
        </is>
      </c>
      <c r="H359" s="4" t="str"/>
      <c r="I359" s="4" t="n">
        <v>0</v>
      </c>
      <c r="J359" s="4" t="inlineStr">
        <is>
          <t>https://doi.org/10.1016/j.eswa.2025.128884</t>
        </is>
      </c>
      <c r="K359" s="4" t="inlineStr">
        <is>
          <t>Retrieved and reviewed</t>
        </is>
      </c>
      <c r="L359" s="4" t="inlineStr">
        <is>
          <t>Revisión asistida por IA (un revisor; requiere verificación independiente)</t>
        </is>
      </c>
      <c r="M359" s="40" t="n">
        <v>46269</v>
      </c>
      <c r="N359" s="4" t="inlineStr">
        <is>
          <t>Pending independent/source verification</t>
        </is>
      </c>
      <c r="O359" s="4" t="inlineStr">
        <is>
          <t>Extraccion_RQ_nuevos</t>
        </is>
      </c>
      <c r="P359" s="4" t="n">
        <v>83</v>
      </c>
    </row>
    <row r="360" ht="60" customHeight="1">
      <c r="A360" s="4" t="inlineStr">
        <is>
          <t>new_86</t>
        </is>
      </c>
      <c r="B360" s="4" t="inlineStr">
        <is>
          <t>Update</t>
        </is>
      </c>
      <c r="C360" s="4" t="n">
        <v>86</v>
      </c>
      <c r="D360" s="4" t="inlineStr">
        <is>
          <t>Optimized attention-enhanced U-Net for autism detection and region localization in MRI</t>
        </is>
      </c>
      <c r="E360" s="4" t="inlineStr">
        <is>
          <t>10.1016/j.pscychresns.2025.111970</t>
        </is>
      </c>
      <c r="F360" s="4" t="n">
        <v>2025</v>
      </c>
      <c r="G360" s="4" t="inlineStr">
        <is>
          <t>Include</t>
        </is>
      </c>
      <c r="H360" s="4" t="str"/>
      <c r="I360" s="4" t="n">
        <v>0</v>
      </c>
      <c r="J360" s="4" t="inlineStr">
        <is>
          <t>https://doi.org/10.1016/j.pscychresns.2025.111970</t>
        </is>
      </c>
      <c r="K360" s="4" t="inlineStr">
        <is>
          <t>Retrieved and reviewed</t>
        </is>
      </c>
      <c r="L360" s="4" t="inlineStr">
        <is>
          <t>Revisión asistida por IA (un revisor; requiere verificación independiente)</t>
        </is>
      </c>
      <c r="M360" s="40" t="n">
        <v>46269</v>
      </c>
      <c r="N360" s="4" t="inlineStr">
        <is>
          <t>Pending independent/source verification</t>
        </is>
      </c>
      <c r="O360" s="4" t="inlineStr">
        <is>
          <t>Extraccion_RQ_nuevos</t>
        </is>
      </c>
      <c r="P360" s="4" t="n">
        <v>84</v>
      </c>
    </row>
    <row r="361" ht="60" customHeight="1">
      <c r="A361" s="4" t="inlineStr">
        <is>
          <t>new_97</t>
        </is>
      </c>
      <c r="B361" s="4" t="inlineStr">
        <is>
          <t>Update</t>
        </is>
      </c>
      <c r="C361" s="4" t="n">
        <v>97</v>
      </c>
      <c r="D361" s="4" t="inlineStr">
        <is>
          <t>Child-therapist acoustic synchrony and response trajectories in autism intervention: an AI-based automated analysis using dynamic systems theory and affective computing</t>
        </is>
      </c>
      <c r="E361" s="4" t="inlineStr">
        <is>
          <t>10.1016/j.etdah.2025.100176</t>
        </is>
      </c>
      <c r="F361" s="4" t="n">
        <v>2025</v>
      </c>
      <c r="G361" s="4" t="inlineStr">
        <is>
          <t>Include</t>
        </is>
      </c>
      <c r="H361" s="4" t="str"/>
      <c r="I361" s="4" t="n">
        <v>0</v>
      </c>
      <c r="J361" s="4" t="inlineStr">
        <is>
          <t>https://doi.org/10.1016/j.etdah.2025.100176</t>
        </is>
      </c>
      <c r="K361" s="4" t="inlineStr">
        <is>
          <t>Retrieved and reviewed</t>
        </is>
      </c>
      <c r="L361" s="4" t="inlineStr">
        <is>
          <t>Revisión asistida por IA (un revisor; requiere verificación independiente)</t>
        </is>
      </c>
      <c r="M361" s="40" t="n">
        <v>46269</v>
      </c>
      <c r="N361" s="4" t="inlineStr">
        <is>
          <t>Pending independent/source verification</t>
        </is>
      </c>
      <c r="O361" s="4" t="inlineStr">
        <is>
          <t>Extraccion_RQ_nuevos</t>
        </is>
      </c>
      <c r="P361" s="4" t="n">
        <v>85</v>
      </c>
    </row>
    <row r="362" ht="60" customHeight="1">
      <c r="A362" s="4" t="inlineStr">
        <is>
          <t>new_103</t>
        </is>
      </c>
      <c r="B362" s="4" t="inlineStr">
        <is>
          <t>Update</t>
        </is>
      </c>
      <c r="C362" s="4" t="n">
        <v>103</v>
      </c>
      <c r="D362" s="4" t="inlineStr">
        <is>
          <t>Early fusion for Autism classification with biomarker detection using rs-fMRI and phenotypic data</t>
        </is>
      </c>
      <c r="E362" s="4" t="inlineStr">
        <is>
          <t>10.1016/j.bspc.2025.108020</t>
        </is>
      </c>
      <c r="F362" s="4" t="n">
        <v>2025</v>
      </c>
      <c r="G362" s="4" t="inlineStr">
        <is>
          <t>Include</t>
        </is>
      </c>
      <c r="H362" s="4" t="str"/>
      <c r="I362" s="4" t="n">
        <v>0</v>
      </c>
      <c r="J362" s="4" t="inlineStr">
        <is>
          <t>https://doi.org/10.1016/j.bspc.2025.108020</t>
        </is>
      </c>
      <c r="K362" s="4" t="inlineStr">
        <is>
          <t>Retrieved and reviewed</t>
        </is>
      </c>
      <c r="L362" s="4" t="inlineStr">
        <is>
          <t>Revisión asistida por IA (un revisor; requiere verificación independiente)</t>
        </is>
      </c>
      <c r="M362" s="40" t="n">
        <v>46269</v>
      </c>
      <c r="N362" s="4" t="inlineStr">
        <is>
          <t>Pending independent/source verification</t>
        </is>
      </c>
      <c r="O362" s="4" t="inlineStr">
        <is>
          <t>Extraccion_RQ_nuevos</t>
        </is>
      </c>
      <c r="P362" s="4" t="n">
        <v>86</v>
      </c>
    </row>
    <row r="363" ht="60" customHeight="1">
      <c r="A363" s="4" t="inlineStr">
        <is>
          <t>new_110</t>
        </is>
      </c>
      <c r="B363" s="4" t="inlineStr">
        <is>
          <t>Update</t>
        </is>
      </c>
      <c r="C363" s="4" t="n">
        <v>110</v>
      </c>
      <c r="D363" s="4" t="inlineStr">
        <is>
          <t>A deep learning model for diagnosing autism using brain time series</t>
        </is>
      </c>
      <c r="E363" s="4" t="inlineStr">
        <is>
          <t>10.1016/j.neuroscience.2025.08.001</t>
        </is>
      </c>
      <c r="F363" s="4" t="n">
        <v>2025</v>
      </c>
      <c r="G363" s="4" t="inlineStr">
        <is>
          <t>Include</t>
        </is>
      </c>
      <c r="H363" s="4" t="str"/>
      <c r="I363" s="4" t="n">
        <v>0</v>
      </c>
      <c r="J363" s="4" t="inlineStr">
        <is>
          <t>https://doi.org/10.1016/j.neuroscience.2025.08.001</t>
        </is>
      </c>
      <c r="K363" s="4" t="inlineStr">
        <is>
          <t>Retrieved and reviewed</t>
        </is>
      </c>
      <c r="L363" s="4" t="inlineStr">
        <is>
          <t>Revisión asistida por IA (un revisor; requiere verificación independiente)</t>
        </is>
      </c>
      <c r="M363" s="40" t="n">
        <v>46269</v>
      </c>
      <c r="N363" s="4" t="inlineStr">
        <is>
          <t>Pending independent/source verification</t>
        </is>
      </c>
      <c r="O363" s="4" t="inlineStr">
        <is>
          <t>Extraccion_RQ_nuevos</t>
        </is>
      </c>
      <c r="P363" s="4" t="n">
        <v>87</v>
      </c>
    </row>
    <row r="364" ht="60" customHeight="1">
      <c r="A364" s="4" t="inlineStr">
        <is>
          <t>new_118</t>
        </is>
      </c>
      <c r="B364" s="4" t="inlineStr">
        <is>
          <t>Update</t>
        </is>
      </c>
      <c r="C364" s="4" t="n">
        <v>118</v>
      </c>
      <c r="D364" s="4" t="inlineStr">
        <is>
          <t>Massively parallel characterization of non-coding de novo mutations in autism spectrum disorder</t>
        </is>
      </c>
      <c r="E364" s="4" t="inlineStr">
        <is>
          <t>10.1016/j.jgg.2025.07.008</t>
        </is>
      </c>
      <c r="F364" s="4" t="n">
        <v>2025</v>
      </c>
      <c r="G364" s="4" t="inlineStr">
        <is>
          <t>Include</t>
        </is>
      </c>
      <c r="H364" s="4" t="str"/>
      <c r="I364" s="4" t="n">
        <v>0</v>
      </c>
      <c r="J364" s="4" t="inlineStr">
        <is>
          <t>https://doi.org/10.1016/j.jgg.2025.07.008</t>
        </is>
      </c>
      <c r="K364" s="4" t="inlineStr">
        <is>
          <t>Retrieved and reviewed</t>
        </is>
      </c>
      <c r="L364" s="4" t="inlineStr">
        <is>
          <t>Revisión asistida por IA (un revisor; requiere verificación independiente)</t>
        </is>
      </c>
      <c r="M364" s="40" t="n">
        <v>46269</v>
      </c>
      <c r="N364" s="4" t="inlineStr">
        <is>
          <t>Pending independent/source verification</t>
        </is>
      </c>
      <c r="O364" s="4" t="inlineStr">
        <is>
          <t>Extraccion_RQ_nuevos</t>
        </is>
      </c>
      <c r="P364" s="4" t="n">
        <v>88</v>
      </c>
    </row>
    <row r="365" ht="60" customHeight="1">
      <c r="A365" s="4" t="inlineStr">
        <is>
          <t>new_122</t>
        </is>
      </c>
      <c r="B365" s="4" t="inlineStr">
        <is>
          <t>Update</t>
        </is>
      </c>
      <c r="C365" s="4" t="n">
        <v>122</v>
      </c>
      <c r="D365" s="4" t="inlineStr">
        <is>
          <t>A novel hybrid deep learning model using MEResNextfor autism spectrum disorder detection</t>
        </is>
      </c>
      <c r="E365" s="4" t="inlineStr">
        <is>
          <t>10.1016/j.compbiolchem.2025.108619</t>
        </is>
      </c>
      <c r="F365" s="4" t="n">
        <v>2026</v>
      </c>
      <c r="G365" s="4" t="inlineStr">
        <is>
          <t>Include</t>
        </is>
      </c>
      <c r="H365" s="4" t="str"/>
      <c r="I365" s="4" t="n">
        <v>0</v>
      </c>
      <c r="J365" s="4" t="inlineStr">
        <is>
          <t>https://doi.org/10.1016/j.compbiolchem.2025.108619</t>
        </is>
      </c>
      <c r="K365" s="4" t="inlineStr">
        <is>
          <t>Retrieved and reviewed</t>
        </is>
      </c>
      <c r="L365" s="4" t="inlineStr">
        <is>
          <t>Revisión asistida por IA (un revisor; requiere verificación independiente)</t>
        </is>
      </c>
      <c r="M365" s="40" t="n">
        <v>46269</v>
      </c>
      <c r="N365" s="4" t="inlineStr">
        <is>
          <t>Pending independent/source verification</t>
        </is>
      </c>
      <c r="O365" s="4" t="inlineStr">
        <is>
          <t>Extraccion_RQ_nuevos</t>
        </is>
      </c>
      <c r="P365" s="4" t="n">
        <v>89</v>
      </c>
    </row>
    <row r="366" ht="60" customHeight="1">
      <c r="A366" s="4" t="inlineStr">
        <is>
          <t>new_123</t>
        </is>
      </c>
      <c r="B366" s="4" t="inlineStr">
        <is>
          <t>Update</t>
        </is>
      </c>
      <c r="C366" s="4" t="n">
        <v>123</v>
      </c>
      <c r="D366" s="4" t="inlineStr">
        <is>
          <t>FaithfulNet: An explainable deep learning framework for autism diagnosis using structural MRI</t>
        </is>
      </c>
      <c r="E366" s="4" t="inlineStr">
        <is>
          <t>10.1016/j.brainres.2025.149904</t>
        </is>
      </c>
      <c r="F366" s="4" t="n">
        <v>2025</v>
      </c>
      <c r="G366" s="4" t="inlineStr">
        <is>
          <t>Include</t>
        </is>
      </c>
      <c r="H366" s="4" t="str"/>
      <c r="I366" s="4" t="n">
        <v>0</v>
      </c>
      <c r="J366" s="4" t="inlineStr">
        <is>
          <t>https://doi.org/10.1016/j.brainres.2025.149904</t>
        </is>
      </c>
      <c r="K366" s="4" t="inlineStr">
        <is>
          <t>Retrieved and reviewed</t>
        </is>
      </c>
      <c r="L366" s="4" t="inlineStr">
        <is>
          <t>Revisión asistida por IA (un revisor; requiere verificación independiente)</t>
        </is>
      </c>
      <c r="M366" s="40" t="n">
        <v>46269</v>
      </c>
      <c r="N366" s="4" t="inlineStr">
        <is>
          <t>Pending independent/source verification</t>
        </is>
      </c>
      <c r="O366" s="4" t="inlineStr">
        <is>
          <t>Extraccion_RQ_nuevos</t>
        </is>
      </c>
      <c r="P366" s="4" t="n">
        <v>90</v>
      </c>
    </row>
    <row r="367" ht="60" customHeight="1">
      <c r="A367" s="4" t="inlineStr">
        <is>
          <t>new_126</t>
        </is>
      </c>
      <c r="B367" s="4" t="inlineStr">
        <is>
          <t>Update</t>
        </is>
      </c>
      <c r="C367" s="4" t="n">
        <v>126</v>
      </c>
      <c r="D367" s="4" t="inlineStr">
        <is>
          <t>CARE: Comprehensive Artificial Intelligence Techniques for Reliable Autism Evaluation in Pediatric Care</t>
        </is>
      </c>
      <c r="E367" s="4" t="inlineStr">
        <is>
          <t>10.32604/cmc.2025.067784</t>
        </is>
      </c>
      <c r="F367" s="4" t="n">
        <v>2025</v>
      </c>
      <c r="G367" s="4" t="inlineStr">
        <is>
          <t>Include</t>
        </is>
      </c>
      <c r="H367" s="4" t="str"/>
      <c r="I367" s="4" t="n">
        <v>0</v>
      </c>
      <c r="J367" s="4" t="inlineStr">
        <is>
          <t>https://doi.org/10.32604/cmc.2025.067784</t>
        </is>
      </c>
      <c r="K367" s="4" t="inlineStr">
        <is>
          <t>Retrieved and reviewed</t>
        </is>
      </c>
      <c r="L367" s="4" t="inlineStr">
        <is>
          <t>Revisión asistida por IA (un revisor; requiere verificación independiente)</t>
        </is>
      </c>
      <c r="M367" s="40" t="n">
        <v>46269</v>
      </c>
      <c r="N367" s="4" t="inlineStr">
        <is>
          <t>Pending independent/source verification</t>
        </is>
      </c>
      <c r="O367" s="4" t="inlineStr">
        <is>
          <t>Extraccion_RQ_nuevos</t>
        </is>
      </c>
      <c r="P367" s="4" t="n">
        <v>91</v>
      </c>
    </row>
    <row r="368" ht="60" customHeight="1">
      <c r="A368" s="4" t="inlineStr">
        <is>
          <t>new_134</t>
        </is>
      </c>
      <c r="B368" s="4" t="inlineStr">
        <is>
          <t>Update</t>
        </is>
      </c>
      <c r="C368" s="4" t="n">
        <v>134</v>
      </c>
      <c r="D368" s="4" t="inlineStr">
        <is>
          <t>ASD-HybridNet: A hybrid deep learning framework for detection of autism spectrum disorder</t>
        </is>
      </c>
      <c r="E368" s="4" t="inlineStr">
        <is>
          <t>10.1016/j.mri.2025.110492</t>
        </is>
      </c>
      <c r="F368" s="4" t="n">
        <v>2025</v>
      </c>
      <c r="G368" s="4" t="inlineStr">
        <is>
          <t>Include</t>
        </is>
      </c>
      <c r="H368" s="4" t="str"/>
      <c r="I368" s="4" t="n">
        <v>0</v>
      </c>
      <c r="J368" s="4" t="inlineStr">
        <is>
          <t>https://doi.org/10.1016/j.mri.2025.110492</t>
        </is>
      </c>
      <c r="K368" s="4" t="inlineStr">
        <is>
          <t>Retrieved and reviewed</t>
        </is>
      </c>
      <c r="L368" s="4" t="inlineStr">
        <is>
          <t>Revisión asistida por IA (un revisor; requiere verificación independiente)</t>
        </is>
      </c>
      <c r="M368" s="40" t="n">
        <v>46269</v>
      </c>
      <c r="N368" s="4" t="inlineStr">
        <is>
          <t>Pending independent/source verification</t>
        </is>
      </c>
      <c r="O368" s="4" t="inlineStr">
        <is>
          <t>Extraccion_RQ_nuevos</t>
        </is>
      </c>
      <c r="P368" s="4" t="n">
        <v>92</v>
      </c>
    </row>
    <row r="369" ht="60" customHeight="1">
      <c r="A369" s="4" t="inlineStr">
        <is>
          <t>new_146</t>
        </is>
      </c>
      <c r="B369" s="4" t="inlineStr">
        <is>
          <t>Update</t>
        </is>
      </c>
      <c r="C369" s="4" t="n">
        <v>146</v>
      </c>
      <c r="D369" s="4" t="inlineStr">
        <is>
          <t>Deep learning-based detection of autism spectrum disorder and emotion recognition in children</t>
        </is>
      </c>
      <c r="E369" s="4" t="inlineStr">
        <is>
          <t>10.1016/j.patcog.2025.112906</t>
        </is>
      </c>
      <c r="F369" s="4" t="n">
        <v>2026</v>
      </c>
      <c r="G369" s="4" t="inlineStr">
        <is>
          <t>Include</t>
        </is>
      </c>
      <c r="H369" s="4" t="str"/>
      <c r="I369" s="4" t="n">
        <v>0</v>
      </c>
      <c r="J369" s="4" t="inlineStr">
        <is>
          <t>https://doi.org/10.1016/j.patcog.2025.112906</t>
        </is>
      </c>
      <c r="K369" s="4" t="inlineStr">
        <is>
          <t>Retrieved and reviewed</t>
        </is>
      </c>
      <c r="L369" s="4" t="inlineStr">
        <is>
          <t>Revisión asistida por IA (un revisor; requiere verificación independiente)</t>
        </is>
      </c>
      <c r="M369" s="40" t="n">
        <v>46269</v>
      </c>
      <c r="N369" s="4" t="inlineStr">
        <is>
          <t>Pending independent/source verification</t>
        </is>
      </c>
      <c r="O369" s="4" t="inlineStr">
        <is>
          <t>Extraccion_RQ_nuevos</t>
        </is>
      </c>
      <c r="P369" s="4" t="n">
        <v>93</v>
      </c>
    </row>
    <row r="370" ht="60" customHeight="1">
      <c r="A370" s="4" t="inlineStr">
        <is>
          <t>new_149</t>
        </is>
      </c>
      <c r="B370" s="4" t="inlineStr">
        <is>
          <t>Update</t>
        </is>
      </c>
      <c r="C370" s="4" t="n">
        <v>149</v>
      </c>
      <c r="D370" s="4" t="inlineStr">
        <is>
          <t>A new approach in autism diagnosis: Evaluating natural interaction using point of view (POV) glasses</t>
        </is>
      </c>
      <c r="E370" s="4" t="inlineStr">
        <is>
          <t>10.1016/j.ajp.2025.104798</t>
        </is>
      </c>
      <c r="F370" s="4" t="n">
        <v>2026</v>
      </c>
      <c r="G370" s="4" t="inlineStr">
        <is>
          <t>Include</t>
        </is>
      </c>
      <c r="H370" s="4" t="str"/>
      <c r="I370" s="4" t="n">
        <v>0</v>
      </c>
      <c r="J370" s="4" t="inlineStr">
        <is>
          <t>https://doi.org/10.1016/j.ajp.2025.104798</t>
        </is>
      </c>
      <c r="K370" s="4" t="inlineStr">
        <is>
          <t>Retrieved and reviewed</t>
        </is>
      </c>
      <c r="L370" s="4" t="inlineStr">
        <is>
          <t>Revisión asistida por IA (un revisor; requiere verificación independiente)</t>
        </is>
      </c>
      <c r="M370" s="40" t="n">
        <v>46269</v>
      </c>
      <c r="N370" s="4" t="inlineStr">
        <is>
          <t>Pending independent/source verification</t>
        </is>
      </c>
      <c r="O370" s="4" t="inlineStr">
        <is>
          <t>Extraccion_RQ_nuevos</t>
        </is>
      </c>
      <c r="P370" s="4" t="n">
        <v>94</v>
      </c>
    </row>
    <row r="371" ht="60" customHeight="1">
      <c r="A371" s="4" t="inlineStr">
        <is>
          <t>new_154</t>
        </is>
      </c>
      <c r="B371" s="4" t="inlineStr">
        <is>
          <t>Update</t>
        </is>
      </c>
      <c r="C371" s="4" t="n">
        <v>154</v>
      </c>
      <c r="D371" s="4" t="inlineStr">
        <is>
          <t>A two-step temporal data augmentation and supervised learning framework for predicting autism diagnosis at 36 months in patients with tuberous sclerosis complex</t>
        </is>
      </c>
      <c r="E371" s="4" t="inlineStr">
        <is>
          <t>10.1016/j.compbiomed.2026.111719</t>
        </is>
      </c>
      <c r="F371" s="4" t="n">
        <v>2026</v>
      </c>
      <c r="G371" s="4" t="inlineStr">
        <is>
          <t>Include</t>
        </is>
      </c>
      <c r="H371" s="4" t="str"/>
      <c r="I371" s="4" t="n">
        <v>0</v>
      </c>
      <c r="J371" s="4" t="inlineStr">
        <is>
          <t>https://doi.org/10.1016/j.compbiomed.2026.111719</t>
        </is>
      </c>
      <c r="K371" s="4" t="inlineStr">
        <is>
          <t>Retrieved and reviewed</t>
        </is>
      </c>
      <c r="L371" s="4" t="inlineStr">
        <is>
          <t>Revisión asistida por IA (un revisor; requiere verificación independiente)</t>
        </is>
      </c>
      <c r="M371" s="40" t="n">
        <v>46269</v>
      </c>
      <c r="N371" s="4" t="inlineStr">
        <is>
          <t>Pending independent/source verification</t>
        </is>
      </c>
      <c r="O371" s="4" t="inlineStr">
        <is>
          <t>Extraccion_RQ_nuevos</t>
        </is>
      </c>
      <c r="P371" s="4" t="n">
        <v>95</v>
      </c>
    </row>
    <row r="372" ht="60" customHeight="1">
      <c r="A372" s="4" t="inlineStr">
        <is>
          <t>new_162</t>
        </is>
      </c>
      <c r="B372" s="4" t="inlineStr">
        <is>
          <t>Update</t>
        </is>
      </c>
      <c r="C372" s="4" t="n">
        <v>162</v>
      </c>
      <c r="D372" s="4" t="inlineStr">
        <is>
          <t>EMLF-Net: A multi-level feature fusion network based on autism EEG signals for autism spectrum disorder classification</t>
        </is>
      </c>
      <c r="E372" s="4" t="inlineStr">
        <is>
          <t>10.1016/j.bspc.2025.109180</t>
        </is>
      </c>
      <c r="F372" s="4" t="n">
        <v>2026</v>
      </c>
      <c r="G372" s="4" t="inlineStr">
        <is>
          <t>Include</t>
        </is>
      </c>
      <c r="H372" s="4" t="str"/>
      <c r="I372" s="4" t="n">
        <v>0</v>
      </c>
      <c r="J372" s="4" t="inlineStr">
        <is>
          <t>https://doi.org/10.1016/j.bspc.2025.109180</t>
        </is>
      </c>
      <c r="K372" s="4" t="inlineStr">
        <is>
          <t>Retrieved and reviewed</t>
        </is>
      </c>
      <c r="L372" s="4" t="inlineStr">
        <is>
          <t>Revisión asistida por IA (un revisor; requiere verificación independiente)</t>
        </is>
      </c>
      <c r="M372" s="40" t="n">
        <v>46269</v>
      </c>
      <c r="N372" s="4" t="inlineStr">
        <is>
          <t>Pending independent/source verification</t>
        </is>
      </c>
      <c r="O372" s="4" t="inlineStr">
        <is>
          <t>Extraccion_RQ_nuevos</t>
        </is>
      </c>
      <c r="P372" s="4" t="n">
        <v>96</v>
      </c>
    </row>
    <row r="373" ht="60" customHeight="1">
      <c r="A373" s="4" t="inlineStr">
        <is>
          <t>new_180</t>
        </is>
      </c>
      <c r="B373" s="4" t="inlineStr">
        <is>
          <t>Update</t>
        </is>
      </c>
      <c r="C373" s="4" t="n">
        <v>180</v>
      </c>
      <c r="D373" s="4" t="inlineStr">
        <is>
          <t>The effect of spatial and intensity level augmentation of structural magnetic resonance images on autism diagnosis model</t>
        </is>
      </c>
      <c r="E373" s="4" t="inlineStr">
        <is>
          <t>10.1016/j.ajp.2026.104830</t>
        </is>
      </c>
      <c r="F373" s="4" t="n">
        <v>2026</v>
      </c>
      <c r="G373" s="4" t="inlineStr">
        <is>
          <t>Include</t>
        </is>
      </c>
      <c r="H373" s="4" t="str"/>
      <c r="I373" s="4" t="n">
        <v>0</v>
      </c>
      <c r="J373" s="4" t="inlineStr">
        <is>
          <t>https://doi.org/10.1016/j.ajp.2026.104830</t>
        </is>
      </c>
      <c r="K373" s="4" t="inlineStr">
        <is>
          <t>Retrieved and reviewed</t>
        </is>
      </c>
      <c r="L373" s="4" t="inlineStr">
        <is>
          <t>Revisión asistida por IA (un revisor; requiere verificación independiente)</t>
        </is>
      </c>
      <c r="M373" s="40" t="n">
        <v>46269</v>
      </c>
      <c r="N373" s="4" t="inlineStr">
        <is>
          <t>Pending independent/source verification</t>
        </is>
      </c>
      <c r="O373" s="4" t="inlineStr">
        <is>
          <t>Extraccion_RQ_nuevos</t>
        </is>
      </c>
      <c r="P373" s="4" t="n">
        <v>97</v>
      </c>
    </row>
    <row r="374" ht="60" customHeight="1">
      <c r="A374" s="4" t="inlineStr">
        <is>
          <t>new_181</t>
        </is>
      </c>
      <c r="B374" s="4" t="inlineStr">
        <is>
          <t>Update</t>
        </is>
      </c>
      <c r="C374" s="4" t="n">
        <v>181</v>
      </c>
      <c r="D374" s="4" t="inlineStr">
        <is>
          <t>Human-centered AI for inclusive tourism: enhancing travel planning for adults with autism spectrum disorder</t>
        </is>
      </c>
      <c r="E374" s="4" t="inlineStr">
        <is>
          <t>10.1016/j.ijhcs.2025.103696</t>
        </is>
      </c>
      <c r="F374" s="4" t="n">
        <v>2026</v>
      </c>
      <c r="G374" s="4" t="inlineStr">
        <is>
          <t>Include</t>
        </is>
      </c>
      <c r="H374" s="4" t="str"/>
      <c r="I374" s="4" t="n">
        <v>0</v>
      </c>
      <c r="J374" s="4" t="inlineStr">
        <is>
          <t>https://doi.org/10.1016/j.ijhcs.2025.103696</t>
        </is>
      </c>
      <c r="K374" s="4" t="inlineStr">
        <is>
          <t>Retrieved and reviewed</t>
        </is>
      </c>
      <c r="L374" s="4" t="inlineStr">
        <is>
          <t>Revisión asistida por IA (un revisor; requiere verificación independiente)</t>
        </is>
      </c>
      <c r="M374" s="40" t="n">
        <v>46269</v>
      </c>
      <c r="N374" s="4" t="inlineStr">
        <is>
          <t>Pending independent/source verification</t>
        </is>
      </c>
      <c r="O374" s="4" t="inlineStr">
        <is>
          <t>Extraccion_RQ_nuevos</t>
        </is>
      </c>
      <c r="P374" s="4" t="n">
        <v>98</v>
      </c>
    </row>
    <row r="375" ht="60" customHeight="1">
      <c r="A375" s="4" t="inlineStr">
        <is>
          <t>new_187</t>
        </is>
      </c>
      <c r="B375" s="4" t="inlineStr">
        <is>
          <t>Update</t>
        </is>
      </c>
      <c r="C375" s="4" t="n">
        <v>187</v>
      </c>
      <c r="D375" s="4" t="inlineStr">
        <is>
          <t>Early Identification of Autism Spectrum Disorder using a Hybrid ViT–Mamba Multimodal Architecture</t>
        </is>
      </c>
      <c r="E375" s="4" t="inlineStr">
        <is>
          <t>10.1016/j.procs.2026.06.363</t>
        </is>
      </c>
      <c r="F375" s="4" t="n">
        <v>2026</v>
      </c>
      <c r="G375" s="4" t="inlineStr">
        <is>
          <t>Include</t>
        </is>
      </c>
      <c r="H375" s="4" t="str"/>
      <c r="I375" s="4" t="n">
        <v>0</v>
      </c>
      <c r="J375" s="4" t="inlineStr">
        <is>
          <t>https://doi.org/10.1016/j.procs.2026.06.363</t>
        </is>
      </c>
      <c r="K375" s="4" t="inlineStr">
        <is>
          <t>Retrieved and reviewed</t>
        </is>
      </c>
      <c r="L375" s="4" t="inlineStr">
        <is>
          <t>Revision asistida por IA (un revisor; requiere verificacion independiente)</t>
        </is>
      </c>
      <c r="M375" s="40" t="n">
        <v>46269</v>
      </c>
      <c r="N375" s="4" t="inlineStr">
        <is>
          <t>Pending independent/source verification</t>
        </is>
      </c>
      <c r="O375" s="4" t="inlineStr">
        <is>
          <t>Extraccion_RQ_nuevos</t>
        </is>
      </c>
      <c r="P375" s="4" t="n">
        <v>99</v>
      </c>
    </row>
    <row r="376" ht="60" customHeight="1">
      <c r="A376" s="4" t="inlineStr">
        <is>
          <t>new_188</t>
        </is>
      </c>
      <c r="B376" s="4" t="inlineStr">
        <is>
          <t>Update</t>
        </is>
      </c>
      <c r="C376" s="4" t="n">
        <v>188</v>
      </c>
      <c r="D376" s="4" t="inlineStr">
        <is>
          <t>Baseline symptom severity and response to multisession cathodal transcranial direct current stimulation in adolescents and young adults with autism: an exploratory analysis</t>
        </is>
      </c>
      <c r="E376" s="4" t="inlineStr">
        <is>
          <t>10.1016/j.jpsychires.2026.03.043</t>
        </is>
      </c>
      <c r="F376" s="4" t="n">
        <v>2026</v>
      </c>
      <c r="G376" s="4" t="inlineStr">
        <is>
          <t>Include</t>
        </is>
      </c>
      <c r="H376" s="4" t="str"/>
      <c r="I376" s="4" t="n">
        <v>0</v>
      </c>
      <c r="J376" s="4" t="inlineStr">
        <is>
          <t>https://doi.org/10.1016/j.jpsychires.2026.03.043</t>
        </is>
      </c>
      <c r="K376" s="4" t="inlineStr">
        <is>
          <t>Retrieved and reviewed</t>
        </is>
      </c>
      <c r="L376" s="4" t="inlineStr">
        <is>
          <t>Revision asistida por IA (un revisor; requiere verificacion independiente)</t>
        </is>
      </c>
      <c r="M376" s="40" t="n">
        <v>46269</v>
      </c>
      <c r="N376" s="4" t="inlineStr">
        <is>
          <t>Pending independent/source verification</t>
        </is>
      </c>
      <c r="O376" s="4" t="inlineStr">
        <is>
          <t>Extraccion_RQ_nuevos</t>
        </is>
      </c>
      <c r="P376" s="4" t="n">
        <v>100</v>
      </c>
    </row>
    <row r="377" ht="60" customHeight="1">
      <c r="A377" s="4" t="inlineStr">
        <is>
          <t>new_190</t>
        </is>
      </c>
      <c r="B377" s="4" t="inlineStr">
        <is>
          <t>Update</t>
        </is>
      </c>
      <c r="C377" s="4" t="n">
        <v>190</v>
      </c>
      <c r="D377" s="4" t="inlineStr">
        <is>
          <t>DenWide-Net: Dense WideresNet for autism spectrum disorder detection using MRI image</t>
        </is>
      </c>
      <c r="E377" s="4" t="inlineStr">
        <is>
          <t>10.1016/j.bspc.2025.108976</t>
        </is>
      </c>
      <c r="F377" s="4" t="n">
        <v>2026</v>
      </c>
      <c r="G377" s="4" t="inlineStr">
        <is>
          <t>Include</t>
        </is>
      </c>
      <c r="H377" s="4" t="str"/>
      <c r="I377" s="4" t="n">
        <v>0</v>
      </c>
      <c r="J377" s="4" t="inlineStr">
        <is>
          <t>https://doi.org/10.1016/j.bspc.2025.108976</t>
        </is>
      </c>
      <c r="K377" s="4" t="inlineStr">
        <is>
          <t>Retrieved and reviewed</t>
        </is>
      </c>
      <c r="L377" s="4" t="inlineStr">
        <is>
          <t>Revision asistida por IA (un revisor; requiere verificacion independiente)</t>
        </is>
      </c>
      <c r="M377" s="40" t="n">
        <v>46269</v>
      </c>
      <c r="N377" s="4" t="inlineStr">
        <is>
          <t>Pending independent/source verification</t>
        </is>
      </c>
      <c r="O377" s="4" t="inlineStr">
        <is>
          <t>Extraccion_RQ_nuevos</t>
        </is>
      </c>
      <c r="P377" s="4" t="n">
        <v>101</v>
      </c>
    </row>
    <row r="378" ht="60" customHeight="1">
      <c r="A378" s="4" t="inlineStr">
        <is>
          <t>new_199</t>
        </is>
      </c>
      <c r="B378" s="4" t="inlineStr">
        <is>
          <t>Update</t>
        </is>
      </c>
      <c r="C378" s="4" t="n">
        <v>199</v>
      </c>
      <c r="D378" s="4" t="inlineStr">
        <is>
          <t>Artificial Intelligence for Enhancing Emotion Expression in Augmentative and Alternative Communication Systems: A Preliminary Study Including Children Both With and Without Autism.</t>
        </is>
      </c>
      <c r="E378" s="4" t="inlineStr">
        <is>
          <t>10.1044/2026_ajslp-25-00469</t>
        </is>
      </c>
      <c r="F378" s="4" t="n">
        <v>2026</v>
      </c>
      <c r="G378" s="4" t="inlineStr">
        <is>
          <t>Include</t>
        </is>
      </c>
      <c r="H378" s="4" t="str"/>
      <c r="I378" s="4" t="n">
        <v>0</v>
      </c>
      <c r="J378" s="4" t="inlineStr">
        <is>
          <t>https://doi.org/10.1044/2026_ajslp-25-00469</t>
        </is>
      </c>
      <c r="K378" s="4" t="inlineStr">
        <is>
          <t>Retrieved and reviewed</t>
        </is>
      </c>
      <c r="L378" s="4" t="inlineStr">
        <is>
          <t>Revision asistida por IA (un revisor; requiere verificacion independiente)</t>
        </is>
      </c>
      <c r="M378" s="40" t="n">
        <v>46269</v>
      </c>
      <c r="N378" s="4" t="inlineStr">
        <is>
          <t>Pending independent/source verification</t>
        </is>
      </c>
      <c r="O378" s="4" t="inlineStr">
        <is>
          <t>Extraccion_RQ_nuevos</t>
        </is>
      </c>
      <c r="P378" s="4" t="n">
        <v>102</v>
      </c>
    </row>
    <row r="379" ht="60" customHeight="1">
      <c r="A379" s="4" t="inlineStr">
        <is>
          <t>new_203</t>
        </is>
      </c>
      <c r="B379" s="4" t="inlineStr">
        <is>
          <t>Update</t>
        </is>
      </c>
      <c r="C379" s="4" t="n">
        <v>203</v>
      </c>
      <c r="D379" s="4" t="inlineStr">
        <is>
          <t>Individuation of predictive parameters of posterior cranial fossa decompression in pediatric patients with Chiari I malformation and autism spectrum disorder</t>
        </is>
      </c>
      <c r="E379" s="4" t="inlineStr">
        <is>
          <t>10.1007/s00381-025-07119-2</t>
        </is>
      </c>
      <c r="F379" s="4" t="n">
        <v>2026</v>
      </c>
      <c r="G379" s="4" t="inlineStr">
        <is>
          <t>Include</t>
        </is>
      </c>
      <c r="H379" s="4" t="str"/>
      <c r="I379" s="4" t="n">
        <v>0</v>
      </c>
      <c r="J379" s="4" t="inlineStr">
        <is>
          <t>https://doi.org/10.1007/s00381-025-07119-2</t>
        </is>
      </c>
      <c r="K379" s="4" t="inlineStr">
        <is>
          <t>Retrieved and reviewed</t>
        </is>
      </c>
      <c r="L379" s="4" t="inlineStr">
        <is>
          <t>Revision asistida por IA (un revisor; requiere verificacion independiente)</t>
        </is>
      </c>
      <c r="M379" s="40" t="n">
        <v>46269</v>
      </c>
      <c r="N379" s="4" t="inlineStr">
        <is>
          <t>Pending independent/source verification</t>
        </is>
      </c>
      <c r="O379" s="4" t="inlineStr">
        <is>
          <t>Extraccion_RQ_nuevos</t>
        </is>
      </c>
      <c r="P379" s="4" t="n">
        <v>103</v>
      </c>
    </row>
    <row r="380" ht="60" customHeight="1">
      <c r="A380" s="4" t="inlineStr">
        <is>
          <t>new_204</t>
        </is>
      </c>
      <c r="B380" s="4" t="inlineStr">
        <is>
          <t>Update</t>
        </is>
      </c>
      <c r="C380" s="4" t="n">
        <v>204</v>
      </c>
      <c r="D380" s="4" t="inlineStr">
        <is>
          <t>An automated detection system of autism spectrum disorder using meta-heuristic approach of adaptive LSTM with bayesian learning technique</t>
        </is>
      </c>
      <c r="E380" s="4" t="inlineStr">
        <is>
          <t>10.1007/s13246-025-01681-4</t>
        </is>
      </c>
      <c r="F380" s="4" t="n">
        <v>2026</v>
      </c>
      <c r="G380" s="4" t="inlineStr">
        <is>
          <t>Include</t>
        </is>
      </c>
      <c r="H380" s="4" t="str"/>
      <c r="I380" s="4" t="n">
        <v>0</v>
      </c>
      <c r="J380" s="4" t="inlineStr">
        <is>
          <t>https://doi.org/10.1007/s13246-025-01681-4</t>
        </is>
      </c>
      <c r="K380" s="4" t="inlineStr">
        <is>
          <t>Retrieved and reviewed</t>
        </is>
      </c>
      <c r="L380" s="4" t="inlineStr">
        <is>
          <t>Revision asistida por IA (un revisor; requiere verificacion independiente)</t>
        </is>
      </c>
      <c r="M380" s="40" t="n">
        <v>46269</v>
      </c>
      <c r="N380" s="4" t="inlineStr">
        <is>
          <t>Pending independent/source verification</t>
        </is>
      </c>
      <c r="O380" s="4" t="inlineStr">
        <is>
          <t>Extraccion_RQ_nuevos</t>
        </is>
      </c>
      <c r="P380" s="4" t="n">
        <v>104</v>
      </c>
    </row>
    <row r="381" ht="73" customHeight="1">
      <c r="A381" s="4" t="inlineStr">
        <is>
          <t>new_208</t>
        </is>
      </c>
      <c r="B381" s="4" t="inlineStr">
        <is>
          <t>Update</t>
        </is>
      </c>
      <c r="C381" s="4" t="n">
        <v>208</v>
      </c>
      <c r="D381" s="4" t="inlineStr">
        <is>
          <t>ADBrainNet: a deep neural network for Autism Spectrum Disorder (ASD) and Attention Deficit and Hyperactivity Disorder (ADHD) classification using resting-state fMRI images based on explainable artificial intelligence.</t>
        </is>
      </c>
      <c r="E381" s="4" t="inlineStr">
        <is>
          <t>10.1007/s11517-026-03530-2</t>
        </is>
      </c>
      <c r="F381" s="4" t="n">
        <v>2026</v>
      </c>
      <c r="G381" s="4" t="inlineStr">
        <is>
          <t>Include</t>
        </is>
      </c>
      <c r="H381" s="4" t="str"/>
      <c r="I381" s="4" t="n">
        <v>0</v>
      </c>
      <c r="J381" s="4" t="inlineStr">
        <is>
          <t>https://doi.org/10.1007/s11517-026-03530-2</t>
        </is>
      </c>
      <c r="K381" s="4" t="inlineStr">
        <is>
          <t>Retrieved and reviewed</t>
        </is>
      </c>
      <c r="L381" s="4" t="inlineStr">
        <is>
          <t>Revision asistida por IA (un revisor; requiere verificacion independiente)</t>
        </is>
      </c>
      <c r="M381" s="40" t="n">
        <v>46269</v>
      </c>
      <c r="N381" s="4" t="inlineStr">
        <is>
          <t>Pending independent/source verification</t>
        </is>
      </c>
      <c r="O381" s="4" t="inlineStr">
        <is>
          <t>Extraccion_RQ_nuevos</t>
        </is>
      </c>
      <c r="P381" s="4" t="n">
        <v>105</v>
      </c>
    </row>
    <row r="382" ht="60" customHeight="1">
      <c r="A382" s="4" t="inlineStr">
        <is>
          <t>new_209</t>
        </is>
      </c>
      <c r="B382" s="4" t="inlineStr">
        <is>
          <t>Update</t>
        </is>
      </c>
      <c r="C382" s="4" t="n">
        <v>209</v>
      </c>
      <c r="D382" s="4" t="inlineStr">
        <is>
          <t>Integrating EEG microstate dynamics in a stacked ensemble for neurodiagnostic ASD assessment</t>
        </is>
      </c>
      <c r="E382" s="4" t="inlineStr">
        <is>
          <t>10.1016/j.bbr.2026.116220</t>
        </is>
      </c>
      <c r="F382" s="4" t="n">
        <v>2026</v>
      </c>
      <c r="G382" s="4" t="inlineStr">
        <is>
          <t>Include</t>
        </is>
      </c>
      <c r="H382" s="4" t="str"/>
      <c r="I382" s="4" t="n">
        <v>0</v>
      </c>
      <c r="J382" s="4" t="inlineStr">
        <is>
          <t>https://doi.org/10.1016/j.bbr.2026.116220</t>
        </is>
      </c>
      <c r="K382" s="4" t="inlineStr">
        <is>
          <t>Retrieved and reviewed</t>
        </is>
      </c>
      <c r="L382" s="4" t="inlineStr">
        <is>
          <t>Revision asistida por IA (un revisor; requiere verificacion independiente)</t>
        </is>
      </c>
      <c r="M382" s="40" t="n">
        <v>46269</v>
      </c>
      <c r="N382" s="4" t="inlineStr">
        <is>
          <t>Pending independent/source verification</t>
        </is>
      </c>
      <c r="O382" s="4" t="inlineStr">
        <is>
          <t>Extraccion_RQ_nuevos</t>
        </is>
      </c>
      <c r="P382" s="4" t="n">
        <v>106</v>
      </c>
    </row>
    <row r="383" ht="60" customHeight="1">
      <c r="A383" s="4" t="inlineStr">
        <is>
          <t>new_213</t>
        </is>
      </c>
      <c r="B383" s="4" t="inlineStr">
        <is>
          <t>Update</t>
        </is>
      </c>
      <c r="C383" s="4" t="n">
        <v>213</v>
      </c>
      <c r="D383" s="4" t="inlineStr">
        <is>
          <t>Identifying autism spectrum disorder diagnosis in children via temporal-frequency hyperdimensional computing with resting-state EEG</t>
        </is>
      </c>
      <c r="E383" s="4" t="inlineStr">
        <is>
          <t>10.1016/j.eswa.2025.130671</t>
        </is>
      </c>
      <c r="F383" s="4" t="n">
        <v>2026</v>
      </c>
      <c r="G383" s="4" t="inlineStr">
        <is>
          <t>Include</t>
        </is>
      </c>
      <c r="H383" s="4" t="str"/>
      <c r="I383" s="4" t="n">
        <v>0</v>
      </c>
      <c r="J383" s="4" t="inlineStr">
        <is>
          <t>https://doi.org/10.1016/j.eswa.2025.130671</t>
        </is>
      </c>
      <c r="K383" s="4" t="inlineStr">
        <is>
          <t>Retrieved and reviewed</t>
        </is>
      </c>
      <c r="L383" s="4" t="inlineStr">
        <is>
          <t>Revision asistida por IA (un revisor; requiere verificacion independiente)</t>
        </is>
      </c>
      <c r="M383" s="40" t="n">
        <v>46269</v>
      </c>
      <c r="N383" s="4" t="inlineStr">
        <is>
          <t>Pending independent/source verification</t>
        </is>
      </c>
      <c r="O383" s="4" t="inlineStr">
        <is>
          <t>Extraccion_RQ_nuevos</t>
        </is>
      </c>
      <c r="P383" s="4" t="n">
        <v>107</v>
      </c>
    </row>
    <row r="384" ht="60" customHeight="1">
      <c r="A384" s="4" t="inlineStr">
        <is>
          <t>new_215</t>
        </is>
      </c>
      <c r="B384" s="4" t="inlineStr">
        <is>
          <t>Update</t>
        </is>
      </c>
      <c r="C384" s="4" t="n">
        <v>215</v>
      </c>
      <c r="D384" s="4" t="inlineStr">
        <is>
          <t>Integrated transcriptomic and clinical analysis of autism spectrum disorder reveals structured heterogeneity and links Methyl-CpG Binding Domain Protein 2 expression with symptom severity</t>
        </is>
      </c>
      <c r="E384" s="4" t="inlineStr">
        <is>
          <t>10.1111/pcn.70065</t>
        </is>
      </c>
      <c r="F384" s="4" t="n">
        <v>2026</v>
      </c>
      <c r="G384" s="4" t="inlineStr">
        <is>
          <t>Include</t>
        </is>
      </c>
      <c r="H384" s="4" t="str"/>
      <c r="I384" s="4" t="n">
        <v>0</v>
      </c>
      <c r="J384" s="4" t="inlineStr">
        <is>
          <t>https://doi.org/10.1111/pcn.70065</t>
        </is>
      </c>
      <c r="K384" s="4" t="inlineStr">
        <is>
          <t>Retrieved and reviewed</t>
        </is>
      </c>
      <c r="L384" s="4" t="inlineStr">
        <is>
          <t>Revision asistida por IA (un revisor; requiere verificacion independiente)</t>
        </is>
      </c>
      <c r="M384" s="40" t="n">
        <v>46269</v>
      </c>
      <c r="N384" s="4" t="inlineStr">
        <is>
          <t>Pending independent/source verification</t>
        </is>
      </c>
      <c r="O384" s="4" t="inlineStr">
        <is>
          <t>Extraccion_RQ_nuevos</t>
        </is>
      </c>
      <c r="P384" s="4" t="n">
        <v>108</v>
      </c>
    </row>
    <row r="385" ht="60" customHeight="1">
      <c r="A385" s="4" t="inlineStr">
        <is>
          <t>new_218</t>
        </is>
      </c>
      <c r="B385" s="4" t="inlineStr">
        <is>
          <t>Update</t>
        </is>
      </c>
      <c r="C385" s="4" t="n">
        <v>218</v>
      </c>
      <c r="D385" s="4" t="inlineStr">
        <is>
          <t>A Robust Computational Framework for Autism Spectrum Disorder Identification Using Optimized Image Processing and Hybrid Learning Models</t>
        </is>
      </c>
      <c r="E385" s="4" t="inlineStr">
        <is>
          <t>10.1002/dneu.70028</t>
        </is>
      </c>
      <c r="F385" s="4" t="n">
        <v>2026</v>
      </c>
      <c r="G385" s="4" t="inlineStr">
        <is>
          <t>Include</t>
        </is>
      </c>
      <c r="H385" s="4" t="str"/>
      <c r="I385" s="4" t="n">
        <v>0</v>
      </c>
      <c r="J385" s="4" t="inlineStr">
        <is>
          <t>https://doi.org/10.1002/dneu.70028</t>
        </is>
      </c>
      <c r="K385" s="4" t="inlineStr">
        <is>
          <t>Retrieved and reviewed</t>
        </is>
      </c>
      <c r="L385" s="4" t="inlineStr">
        <is>
          <t>Revision asistida por IA (un revisor; requiere verificacion independiente)</t>
        </is>
      </c>
      <c r="M385" s="40" t="n">
        <v>46269</v>
      </c>
      <c r="N385" s="4" t="inlineStr">
        <is>
          <t>Pending independent/source verification</t>
        </is>
      </c>
      <c r="O385" s="4" t="inlineStr">
        <is>
          <t>Extraccion_RQ_nuevos</t>
        </is>
      </c>
      <c r="P385" s="4" t="n">
        <v>109</v>
      </c>
    </row>
    <row r="386" ht="60" customHeight="1">
      <c r="A386" s="4" t="inlineStr">
        <is>
          <t>new_222</t>
        </is>
      </c>
      <c r="B386" s="4" t="inlineStr">
        <is>
          <t>Update</t>
        </is>
      </c>
      <c r="C386" s="4" t="n">
        <v>222</v>
      </c>
      <c r="D386" s="4" t="inlineStr">
        <is>
          <t>Adaptive network based fuzzy inference system efficientnet for autism spectrum disorder detection with optimization based pivotal region extraction</t>
        </is>
      </c>
      <c r="E386" s="4" t="inlineStr">
        <is>
          <t>10.1016/j.pscychresns.2025.112109</t>
        </is>
      </c>
      <c r="F386" s="4" t="n">
        <v>2026</v>
      </c>
      <c r="G386" s="4" t="inlineStr">
        <is>
          <t>Include</t>
        </is>
      </c>
      <c r="H386" s="4" t="str"/>
      <c r="I386" s="4" t="n">
        <v>0</v>
      </c>
      <c r="J386" s="4" t="inlineStr">
        <is>
          <t>https://doi.org/10.1016/j.pscychresns.2025.112109</t>
        </is>
      </c>
      <c r="K386" s="4" t="inlineStr">
        <is>
          <t>Retrieved and reviewed</t>
        </is>
      </c>
      <c r="L386" s="4" t="inlineStr">
        <is>
          <t>Revision asistida por IA (un revisor; requiere verificacion independiente)</t>
        </is>
      </c>
      <c r="M386" s="40" t="n">
        <v>46269</v>
      </c>
      <c r="N386" s="4" t="inlineStr">
        <is>
          <t>Pending independent/source verification</t>
        </is>
      </c>
      <c r="O386" s="4" t="inlineStr">
        <is>
          <t>Extraccion_RQ_nuevos</t>
        </is>
      </c>
      <c r="P386" s="4" t="n">
        <v>110</v>
      </c>
    </row>
    <row r="387" ht="60" customHeight="1">
      <c r="A387" s="4" t="inlineStr">
        <is>
          <t>new_223</t>
        </is>
      </c>
      <c r="B387" s="4" t="inlineStr">
        <is>
          <t>Update</t>
        </is>
      </c>
      <c r="C387" s="4" t="n">
        <v>223</v>
      </c>
      <c r="D387" s="4" t="inlineStr">
        <is>
          <t>Identification of Autism Through Fractal Analysis of EEG Signals and Bayesian Optimized Artificial Neural Network</t>
        </is>
      </c>
      <c r="E387" s="4" t="inlineStr">
        <is>
          <t>10.1002/ima.70326</t>
        </is>
      </c>
      <c r="F387" s="4" t="n">
        <v>2026</v>
      </c>
      <c r="G387" s="4" t="inlineStr">
        <is>
          <t>Include</t>
        </is>
      </c>
      <c r="H387" s="4" t="str"/>
      <c r="I387" s="4" t="n">
        <v>0</v>
      </c>
      <c r="J387" s="4" t="inlineStr">
        <is>
          <t>https://doi.org/10.1002/ima.70326</t>
        </is>
      </c>
      <c r="K387" s="4" t="inlineStr">
        <is>
          <t>Retrieved and reviewed</t>
        </is>
      </c>
      <c r="L387" s="4" t="inlineStr">
        <is>
          <t>Revision asistida por IA (un revisor; requiere verificacion independiente)</t>
        </is>
      </c>
      <c r="M387" s="40" t="n">
        <v>46269</v>
      </c>
      <c r="N387" s="4" t="inlineStr">
        <is>
          <t>Pending independent/source verification</t>
        </is>
      </c>
      <c r="O387" s="4" t="inlineStr">
        <is>
          <t>Extraccion_RQ_nuevos</t>
        </is>
      </c>
      <c r="P387" s="4" t="n">
        <v>111</v>
      </c>
    </row>
    <row r="388" ht="60" customHeight="1">
      <c r="A388" s="4" t="inlineStr">
        <is>
          <t>new_231</t>
        </is>
      </c>
      <c r="B388" s="4" t="inlineStr">
        <is>
          <t>Update</t>
        </is>
      </c>
      <c r="C388" s="4" t="n">
        <v>231</v>
      </c>
      <c r="D388" s="4" t="inlineStr">
        <is>
          <t>Linguistic Explanations of Deep Models in Detecting Autism and Schizophrenia</t>
        </is>
      </c>
      <c r="E388" s="4" t="inlineStr">
        <is>
          <t>10.1111/coin.70158</t>
        </is>
      </c>
      <c r="F388" s="4" t="n">
        <v>2025</v>
      </c>
      <c r="G388" s="4" t="inlineStr">
        <is>
          <t>Include</t>
        </is>
      </c>
      <c r="H388" s="4" t="str"/>
      <c r="I388" s="4" t="n">
        <v>0</v>
      </c>
      <c r="J388" s="4" t="inlineStr">
        <is>
          <t>https://doi.org/10.1111/coin.70158</t>
        </is>
      </c>
      <c r="K388" s="4" t="inlineStr">
        <is>
          <t>Retrieved and reviewed</t>
        </is>
      </c>
      <c r="L388" s="4" t="inlineStr">
        <is>
          <t>Revision asistida por IA (un revisor; requiere verificacion independiente)</t>
        </is>
      </c>
      <c r="M388" s="40" t="n">
        <v>46269</v>
      </c>
      <c r="N388" s="4" t="inlineStr">
        <is>
          <t>Pending independent/source verification</t>
        </is>
      </c>
      <c r="O388" s="4" t="inlineStr">
        <is>
          <t>Extraccion_RQ_nuevos</t>
        </is>
      </c>
      <c r="P388" s="4" t="n">
        <v>112</v>
      </c>
    </row>
    <row r="389" ht="60" customHeight="1">
      <c r="A389" s="4" t="inlineStr">
        <is>
          <t>new_233</t>
        </is>
      </c>
      <c r="B389" s="4" t="inlineStr">
        <is>
          <t>Update</t>
        </is>
      </c>
      <c r="C389" s="4" t="n">
        <v>233</v>
      </c>
      <c r="D389" s="4" t="inlineStr">
        <is>
          <t>Autism Screening Based on Deep Learning Analysis of Eye Movement Trajectories</t>
        </is>
      </c>
      <c r="E389" s="4" t="inlineStr">
        <is>
          <t>10.1049/cvi2.70078</t>
        </is>
      </c>
      <c r="F389" s="4" t="n">
        <v>2026</v>
      </c>
      <c r="G389" s="4" t="inlineStr">
        <is>
          <t>Include</t>
        </is>
      </c>
      <c r="H389" s="4" t="str"/>
      <c r="I389" s="4" t="n">
        <v>0</v>
      </c>
      <c r="J389" s="4" t="inlineStr">
        <is>
          <t>https://doi.org/10.1049/cvi2.70078</t>
        </is>
      </c>
      <c r="K389" s="4" t="inlineStr">
        <is>
          <t>Retrieved and reviewed</t>
        </is>
      </c>
      <c r="L389" s="4" t="inlineStr">
        <is>
          <t>Revision asistida por IA (un revisor; requiere verificacion independiente)</t>
        </is>
      </c>
      <c r="M389" s="40" t="n">
        <v>46269</v>
      </c>
      <c r="N389" s="4" t="inlineStr">
        <is>
          <t>Pending independent/source verification</t>
        </is>
      </c>
      <c r="O389" s="4" t="inlineStr">
        <is>
          <t>Extraccion_RQ_nuevos</t>
        </is>
      </c>
      <c r="P389" s="4" t="n">
        <v>113</v>
      </c>
    </row>
    <row r="390" ht="60" customHeight="1">
      <c r="A390" s="4" t="inlineStr">
        <is>
          <t>new_235</t>
        </is>
      </c>
      <c r="B390" s="4" t="inlineStr">
        <is>
          <t>Update</t>
        </is>
      </c>
      <c r="C390" s="4" t="n">
        <v>235</v>
      </c>
      <c r="D390" s="4" t="inlineStr">
        <is>
          <t>Automatic measurement of social gaze during naturalistic conversations in autism</t>
        </is>
      </c>
      <c r="E390" s="4" t="inlineStr">
        <is>
          <t>10.1016/j.jpsychires.2026.05.015</t>
        </is>
      </c>
      <c r="F390" s="4" t="n">
        <v>2026</v>
      </c>
      <c r="G390" s="4" t="inlineStr">
        <is>
          <t>Include</t>
        </is>
      </c>
      <c r="H390" s="4" t="str"/>
      <c r="I390" s="4" t="n">
        <v>0</v>
      </c>
      <c r="J390" s="4" t="inlineStr">
        <is>
          <t>https://doi.org/10.1016/j.jpsychires.2026.05.015</t>
        </is>
      </c>
      <c r="K390" s="4" t="inlineStr">
        <is>
          <t>Retrieved and reviewed</t>
        </is>
      </c>
      <c r="L390" s="4" t="inlineStr">
        <is>
          <t>Revision asistida por IA (un revisor; requiere verificacion independiente)</t>
        </is>
      </c>
      <c r="M390" s="40" t="n">
        <v>46269</v>
      </c>
      <c r="N390" s="4" t="inlineStr">
        <is>
          <t>Pending independent/source verification</t>
        </is>
      </c>
      <c r="O390" s="4" t="inlineStr">
        <is>
          <t>Extraccion_RQ_nuevos</t>
        </is>
      </c>
      <c r="P390" s="4" t="n">
        <v>114</v>
      </c>
    </row>
    <row r="391" ht="60" customHeight="1">
      <c r="A391" s="4" t="inlineStr">
        <is>
          <t>new_236</t>
        </is>
      </c>
      <c r="B391" s="4" t="inlineStr">
        <is>
          <t>Update</t>
        </is>
      </c>
      <c r="C391" s="4" t="n">
        <v>236</v>
      </c>
      <c r="D391" s="4" t="inlineStr">
        <is>
          <t>An image-based analytics framework for early autism detection using eye movements</t>
        </is>
      </c>
      <c r="E391" s="4" t="inlineStr">
        <is>
          <t>10.1016/j.health.2025.100439</t>
        </is>
      </c>
      <c r="F391" s="4" t="n">
        <v>2025</v>
      </c>
      <c r="G391" s="4" t="inlineStr">
        <is>
          <t>Include</t>
        </is>
      </c>
      <c r="H391" s="4" t="str"/>
      <c r="I391" s="4" t="n">
        <v>0</v>
      </c>
      <c r="J391" s="4" t="inlineStr">
        <is>
          <t>https://doi.org/10.1016/j.health.2025.100439</t>
        </is>
      </c>
      <c r="K391" s="4" t="inlineStr">
        <is>
          <t>Retrieved and reviewed</t>
        </is>
      </c>
      <c r="L391" s="4" t="inlineStr">
        <is>
          <t>Revision asistida por IA (un revisor; requiere verificacion independiente)</t>
        </is>
      </c>
      <c r="M391" s="40" t="n">
        <v>46269</v>
      </c>
      <c r="N391" s="4" t="inlineStr">
        <is>
          <t>Pending independent/source verification</t>
        </is>
      </c>
      <c r="O391" s="4" t="inlineStr">
        <is>
          <t>Extraccion_RQ_nuevos</t>
        </is>
      </c>
      <c r="P391" s="4" t="n">
        <v>115</v>
      </c>
    </row>
    <row r="392" ht="60" customHeight="1">
      <c r="A392" s="4" t="inlineStr">
        <is>
          <t>new_242</t>
        </is>
      </c>
      <c r="B392" s="4" t="inlineStr">
        <is>
          <t>Update</t>
        </is>
      </c>
      <c r="C392" s="4" t="n">
        <v>242</v>
      </c>
      <c r="D392" s="4" t="inlineStr">
        <is>
          <t>Neurophysiological EEG Characterization of Autism Spectrum Disorder Using DWT-Based Frequency Analysis With Selective Electrodes and Brain Segmentation: An Explainable AI-Driven Approach</t>
        </is>
      </c>
      <c r="E392" s="4" t="inlineStr">
        <is>
          <t>10.1096/fj.202600019r</t>
        </is>
      </c>
      <c r="F392" s="4" t="n">
        <v>2026</v>
      </c>
      <c r="G392" s="4" t="inlineStr">
        <is>
          <t>Include</t>
        </is>
      </c>
      <c r="H392" s="4" t="str"/>
      <c r="I392" s="4" t="n">
        <v>0</v>
      </c>
      <c r="J392" s="4" t="inlineStr">
        <is>
          <t>https://doi.org/10.1096/fj.202600019r</t>
        </is>
      </c>
      <c r="K392" s="4" t="inlineStr">
        <is>
          <t>Retrieved and reviewed</t>
        </is>
      </c>
      <c r="L392" s="4" t="inlineStr">
        <is>
          <t>Revision asistida por IA (un revisor; requiere verificacion independiente)</t>
        </is>
      </c>
      <c r="M392" s="40" t="n">
        <v>46269</v>
      </c>
      <c r="N392" s="4" t="inlineStr">
        <is>
          <t>Pending independent/source verification</t>
        </is>
      </c>
      <c r="O392" s="4" t="inlineStr">
        <is>
          <t>Extraccion_RQ_nuevos</t>
        </is>
      </c>
      <c r="P392" s="4" t="n">
        <v>116</v>
      </c>
    </row>
    <row r="393" ht="60" customHeight="1">
      <c r="A393" s="4" t="inlineStr">
        <is>
          <t>new_244</t>
        </is>
      </c>
      <c r="B393" s="4" t="inlineStr">
        <is>
          <t>Update</t>
        </is>
      </c>
      <c r="C393" s="4" t="n">
        <v>244</v>
      </c>
      <c r="D393" s="4" t="inlineStr">
        <is>
          <t>DHCA-Net: A Novel Dual-Stream Hierarchical Channel Attention Network for Explainable Autism Spectrum Disorder Detection From Facial Images</t>
        </is>
      </c>
      <c r="E393" s="4" t="inlineStr">
        <is>
          <t>10.1002/jdn.70158</t>
        </is>
      </c>
      <c r="F393" s="4" t="n">
        <v>2026</v>
      </c>
      <c r="G393" s="4" t="inlineStr">
        <is>
          <t>Include</t>
        </is>
      </c>
      <c r="H393" s="4" t="str"/>
      <c r="I393" s="4" t="n">
        <v>0</v>
      </c>
      <c r="J393" s="4" t="inlineStr">
        <is>
          <t>https://doi.org/10.1002/jdn.70158</t>
        </is>
      </c>
      <c r="K393" s="4" t="inlineStr">
        <is>
          <t>Retrieved and reviewed</t>
        </is>
      </c>
      <c r="L393" s="4" t="inlineStr">
        <is>
          <t>Revision asistida por IA (un revisor; requiere verificacion independiente)</t>
        </is>
      </c>
      <c r="M393" s="40" t="n">
        <v>46269</v>
      </c>
      <c r="N393" s="4" t="inlineStr">
        <is>
          <t>Pending independent/source verification</t>
        </is>
      </c>
      <c r="O393" s="4" t="inlineStr">
        <is>
          <t>Extraccion_RQ_nuevos</t>
        </is>
      </c>
      <c r="P393" s="4" t="n">
        <v>117</v>
      </c>
    </row>
    <row r="394" ht="60" customHeight="1">
      <c r="A394" s="4" t="inlineStr">
        <is>
          <t>new_246</t>
        </is>
      </c>
      <c r="B394" s="4" t="inlineStr">
        <is>
          <t>Update</t>
        </is>
      </c>
      <c r="C394" s="4" t="n">
        <v>246</v>
      </c>
      <c r="D394" s="4" t="inlineStr">
        <is>
          <t>MTT: Multi-Tier Transformer for Early Diagnosis of Autism Spectrum Disorder and Language Disorder in Infants</t>
        </is>
      </c>
      <c r="E394" s="4" t="inlineStr">
        <is>
          <t>10.1111/coin.70131</t>
        </is>
      </c>
      <c r="F394" s="4" t="n">
        <v>2025</v>
      </c>
      <c r="G394" s="4" t="inlineStr">
        <is>
          <t>Include</t>
        </is>
      </c>
      <c r="H394" s="4" t="str"/>
      <c r="I394" s="4" t="n">
        <v>0</v>
      </c>
      <c r="J394" s="4" t="inlineStr">
        <is>
          <t>https://doi.org/10.1111/coin.70131</t>
        </is>
      </c>
      <c r="K394" s="4" t="inlineStr">
        <is>
          <t>Retrieved and reviewed</t>
        </is>
      </c>
      <c r="L394" s="4" t="inlineStr">
        <is>
          <t>Revision asistida por IA (un revisor; requiere verificacion independiente)</t>
        </is>
      </c>
      <c r="M394" s="40" t="n">
        <v>46269</v>
      </c>
      <c r="N394" s="4" t="inlineStr">
        <is>
          <t>Pending independent/source verification</t>
        </is>
      </c>
      <c r="O394" s="4" t="inlineStr">
        <is>
          <t>Extraccion_RQ_nuevos</t>
        </is>
      </c>
      <c r="P394" s="4" t="n">
        <v>118</v>
      </c>
    </row>
    <row r="395" ht="60" customHeight="1">
      <c r="A395" s="4" t="inlineStr">
        <is>
          <t>new_248</t>
        </is>
      </c>
      <c r="B395" s="4" t="inlineStr">
        <is>
          <t>Update</t>
        </is>
      </c>
      <c r="C395" s="4" t="n">
        <v>248</v>
      </c>
      <c r="D395" s="4" t="inlineStr">
        <is>
          <t>Optimized quadrangle attention consolidated convolutional multi-scale vision transformer based autism detection</t>
        </is>
      </c>
      <c r="E395" s="4" t="inlineStr">
        <is>
          <t>10.1016/j.pscychresns.2026.112251</t>
        </is>
      </c>
      <c r="F395" s="4" t="n">
        <v>2026</v>
      </c>
      <c r="G395" s="4" t="inlineStr">
        <is>
          <t>Include</t>
        </is>
      </c>
      <c r="H395" s="4" t="str"/>
      <c r="I395" s="4" t="n">
        <v>0</v>
      </c>
      <c r="J395" s="4" t="inlineStr">
        <is>
          <t>https://doi.org/10.1016/j.pscychresns.2026.112251</t>
        </is>
      </c>
      <c r="K395" s="4" t="inlineStr">
        <is>
          <t>Report located; publisher/PubMed content sufficient for scoped adjudication</t>
        </is>
      </c>
      <c r="L395" s="4" t="inlineStr">
        <is>
          <t>Revision asistida por IA (un revisor; requiere verificacion independiente)</t>
        </is>
      </c>
      <c r="M395" s="40" t="n">
        <v>46269</v>
      </c>
      <c r="N395" s="4" t="inlineStr">
        <is>
          <t>Pending independent/source verification</t>
        </is>
      </c>
      <c r="O395" s="4" t="inlineStr">
        <is>
          <t>Extraccion_RQ_nuevos</t>
        </is>
      </c>
      <c r="P395" s="4" t="n">
        <v>119</v>
      </c>
    </row>
    <row r="396" ht="60" customHeight="1">
      <c r="A396" s="4" t="inlineStr">
        <is>
          <t>new_249</t>
        </is>
      </c>
      <c r="B396" s="4" t="inlineStr">
        <is>
          <t>Update</t>
        </is>
      </c>
      <c r="C396" s="4" t="n">
        <v>249</v>
      </c>
      <c r="D396" s="4" t="inlineStr">
        <is>
          <t>An early detection of autism spectrum disorder using machine learning</t>
        </is>
      </c>
      <c r="E396" s="4" t="inlineStr">
        <is>
          <t>10.1016/j.compbiomed.2025.111238</t>
        </is>
      </c>
      <c r="F396" s="4" t="n">
        <v>2025</v>
      </c>
      <c r="G396" s="4" t="inlineStr">
        <is>
          <t>Include</t>
        </is>
      </c>
      <c r="H396" s="4" t="str"/>
      <c r="I396" s="4" t="n">
        <v>0</v>
      </c>
      <c r="J396" s="4" t="inlineStr">
        <is>
          <t>https://doi.org/10.1016/j.compbiomed.2025.111238</t>
        </is>
      </c>
      <c r="K396" s="4" t="inlineStr">
        <is>
          <t>Report located; publisher/PubMed content sufficient for scoped adjudication</t>
        </is>
      </c>
      <c r="L396" s="4" t="inlineStr">
        <is>
          <t>Revision asistida por IA (un revisor; requiere verificacion independiente)</t>
        </is>
      </c>
      <c r="M396" s="40" t="n">
        <v>46269</v>
      </c>
      <c r="N396" s="4" t="inlineStr">
        <is>
          <t>Pending independent/source verification</t>
        </is>
      </c>
      <c r="O396" s="4" t="inlineStr">
        <is>
          <t>Extraccion_RQ_nuevos</t>
        </is>
      </c>
      <c r="P396" s="4" t="n">
        <v>120</v>
      </c>
    </row>
    <row r="397" ht="60" customHeight="1">
      <c r="A397" s="4" t="inlineStr">
        <is>
          <t>new_250</t>
        </is>
      </c>
      <c r="B397" s="4" t="inlineStr">
        <is>
          <t>Update</t>
        </is>
      </c>
      <c r="C397" s="4" t="n">
        <v>250</v>
      </c>
      <c r="D397" s="4" t="inlineStr">
        <is>
          <t>An Effective LRSF-DLNN-Based Autism Spectrum Disorder Prediction Using EEG and fMRI</t>
        </is>
      </c>
      <c r="E397" s="4" t="inlineStr">
        <is>
          <t>10.1002/dneu.70047</t>
        </is>
      </c>
      <c r="F397" s="4" t="n">
        <v>2026</v>
      </c>
      <c r="G397" s="4" t="inlineStr">
        <is>
          <t>Include</t>
        </is>
      </c>
      <c r="H397" s="4" t="str"/>
      <c r="I397" s="4" t="n">
        <v>0</v>
      </c>
      <c r="J397" s="4" t="inlineStr">
        <is>
          <t>https://doi.org/10.1002/dneu.70047</t>
        </is>
      </c>
      <c r="K397" s="4" t="inlineStr">
        <is>
          <t>Report located; publisher/PubMed content sufficient for scoped adjudication</t>
        </is>
      </c>
      <c r="L397" s="4" t="inlineStr">
        <is>
          <t>Revision asistida por IA (un revisor; requiere verificacion independiente)</t>
        </is>
      </c>
      <c r="M397" s="40" t="n">
        <v>46269</v>
      </c>
      <c r="N397" s="4" t="inlineStr">
        <is>
          <t>Pending independent/source verification</t>
        </is>
      </c>
      <c r="O397" s="4" t="inlineStr">
        <is>
          <t>Extraccion_RQ_nuevos</t>
        </is>
      </c>
      <c r="P397" s="4" t="n">
        <v>121</v>
      </c>
    </row>
    <row r="398" ht="60" customHeight="1">
      <c r="A398" s="4" t="inlineStr">
        <is>
          <t>new_252</t>
        </is>
      </c>
      <c r="B398" s="4" t="inlineStr">
        <is>
          <t>Update</t>
        </is>
      </c>
      <c r="C398" s="4" t="n">
        <v>252</v>
      </c>
      <c r="D398" s="4" t="inlineStr">
        <is>
          <t>A New Paradigm for Autism Spectrum Disorder Discrimination in Children Utilizing EEG Data Collected During Cartoon Viewing With a Focus on Atypical Semantic Processing</t>
        </is>
      </c>
      <c r="E398" s="4" t="inlineStr">
        <is>
          <t>10.1002/aur.70105</t>
        </is>
      </c>
      <c r="F398" s="4" t="n">
        <v>2025</v>
      </c>
      <c r="G398" s="4" t="inlineStr">
        <is>
          <t>Include</t>
        </is>
      </c>
      <c r="H398" s="4" t="str"/>
      <c r="I398" s="4" t="n">
        <v>0</v>
      </c>
      <c r="J398" s="4" t="inlineStr">
        <is>
          <t>https://doi.org/10.1002/aur.70105</t>
        </is>
      </c>
      <c r="K398" s="4" t="inlineStr">
        <is>
          <t>Report located; publisher/PubMed content sufficient for scoped adjudication</t>
        </is>
      </c>
      <c r="L398" s="4" t="inlineStr">
        <is>
          <t>Revision asistida por IA (un revisor; requiere verificacion independiente)</t>
        </is>
      </c>
      <c r="M398" s="40" t="n">
        <v>46269</v>
      </c>
      <c r="N398" s="4" t="inlineStr">
        <is>
          <t>Pending independent/source verification</t>
        </is>
      </c>
      <c r="O398" s="4" t="inlineStr">
        <is>
          <t>Extraccion_RQ_nuevos</t>
        </is>
      </c>
      <c r="P398" s="4" t="n">
        <v>122</v>
      </c>
    </row>
    <row r="399" ht="60" customHeight="1">
      <c r="A399" s="4" t="inlineStr">
        <is>
          <t>new_254</t>
        </is>
      </c>
      <c r="B399" s="4" t="inlineStr">
        <is>
          <t>Update</t>
        </is>
      </c>
      <c r="C399" s="4" t="n">
        <v>254</v>
      </c>
      <c r="D399" s="4" t="inlineStr">
        <is>
          <t>Hybrid groupers-moray orangutan optimization algorithm-based dense-resolution network for autism spectrum disorder detection using multimodal data</t>
        </is>
      </c>
      <c r="E399" s="4" t="inlineStr">
        <is>
          <t>10.1016/j.pscychresns.2026.112204</t>
        </is>
      </c>
      <c r="F399" s="4" t="n">
        <v>2026</v>
      </c>
      <c r="G399" s="4" t="inlineStr">
        <is>
          <t>Include</t>
        </is>
      </c>
      <c r="H399" s="4" t="str"/>
      <c r="I399" s="4" t="n">
        <v>0</v>
      </c>
      <c r="J399" s="4" t="inlineStr">
        <is>
          <t>https://doi.org/10.1016/j.pscychresns.2026.112204</t>
        </is>
      </c>
      <c r="K399" s="4" t="inlineStr">
        <is>
          <t>Report located; publisher/PubMed content sufficient for scoped adjudication</t>
        </is>
      </c>
      <c r="L399" s="4" t="inlineStr">
        <is>
          <t>Revision asistida por IA (un revisor; requiere verificacion independiente)</t>
        </is>
      </c>
      <c r="M399" s="40" t="n">
        <v>46269</v>
      </c>
      <c r="N399" s="4" t="inlineStr">
        <is>
          <t>Pending independent/source verification</t>
        </is>
      </c>
      <c r="O399" s="4" t="inlineStr">
        <is>
          <t>Extraccion_RQ_nuevos</t>
        </is>
      </c>
      <c r="P399" s="4" t="n">
        <v>123</v>
      </c>
    </row>
    <row r="400" ht="60" customHeight="1">
      <c r="A400" s="4" t="inlineStr">
        <is>
          <t>new_266</t>
        </is>
      </c>
      <c r="B400" s="4" t="inlineStr">
        <is>
          <t>Update</t>
        </is>
      </c>
      <c r="C400" s="4" t="n">
        <v>266</v>
      </c>
      <c r="D400" s="4" t="inlineStr">
        <is>
          <t>Machine Learning-Based Early Prediction Model for Autism Spectrum Disorder in Infants Using Acoustic Feature</t>
        </is>
      </c>
      <c r="E400" s="4" t="inlineStr">
        <is>
          <t>10.1002/aur.70179</t>
        </is>
      </c>
      <c r="F400" s="4" t="n">
        <v>2026</v>
      </c>
      <c r="G400" s="4" t="inlineStr">
        <is>
          <t>Include</t>
        </is>
      </c>
      <c r="H400" s="4" t="str"/>
      <c r="I400" s="4" t="n">
        <v>0</v>
      </c>
      <c r="J400" s="4" t="inlineStr">
        <is>
          <t>https://doi.org/10.1002/aur.70179</t>
        </is>
      </c>
      <c r="K400" s="4" t="inlineStr">
        <is>
          <t>Report located; publisher/PubMed content sufficient for scoped adjudication</t>
        </is>
      </c>
      <c r="L400" s="4" t="inlineStr">
        <is>
          <t>Revision asistida por IA (un revisor; requiere verificacion independiente)</t>
        </is>
      </c>
      <c r="M400" s="40" t="n">
        <v>46269</v>
      </c>
      <c r="N400" s="4" t="inlineStr">
        <is>
          <t>Pending independent/source verification</t>
        </is>
      </c>
      <c r="O400" s="4" t="inlineStr">
        <is>
          <t>Extraccion_RQ_nuevos</t>
        </is>
      </c>
      <c r="P400" s="4" t="n">
        <v>124</v>
      </c>
    </row>
    <row r="401" ht="60" customHeight="1">
      <c r="A401" s="4" t="inlineStr">
        <is>
          <t>new_269</t>
        </is>
      </c>
      <c r="B401" s="4" t="inlineStr">
        <is>
          <t>Update</t>
        </is>
      </c>
      <c r="C401" s="4" t="n">
        <v>269</v>
      </c>
      <c r="D401" s="4" t="inlineStr">
        <is>
          <t>Predicting fine motor deficit in autism by measuring brain activities and characterizing motor impairments</t>
        </is>
      </c>
      <c r="E401" s="4" t="inlineStr">
        <is>
          <t>10.1016/j.compbiomed.2026.111470</t>
        </is>
      </c>
      <c r="F401" s="4" t="n">
        <v>2026</v>
      </c>
      <c r="G401" s="4" t="inlineStr">
        <is>
          <t>Include</t>
        </is>
      </c>
      <c r="H401" s="4" t="str"/>
      <c r="I401" s="4" t="n">
        <v>0</v>
      </c>
      <c r="J401" s="4" t="inlineStr">
        <is>
          <t>https://doi.org/10.1016/j.compbiomed.2026.111470</t>
        </is>
      </c>
      <c r="K401" s="4" t="inlineStr">
        <is>
          <t>Report located; publisher/PubMed content sufficient for scoped adjudication</t>
        </is>
      </c>
      <c r="L401" s="4" t="inlineStr">
        <is>
          <t>Revision asistida por IA (un revisor; requiere verificacion independiente)</t>
        </is>
      </c>
      <c r="M401" s="40" t="n">
        <v>46269</v>
      </c>
      <c r="N401" s="4" t="inlineStr">
        <is>
          <t>Pending independent/source verification</t>
        </is>
      </c>
      <c r="O401" s="4" t="inlineStr">
        <is>
          <t>Extraccion_RQ_nuevos</t>
        </is>
      </c>
      <c r="P401" s="4" t="n">
        <v>125</v>
      </c>
    </row>
    <row r="402" ht="60" customHeight="1">
      <c r="A402" s="4" t="inlineStr">
        <is>
          <t>new_270</t>
        </is>
      </c>
      <c r="B402" s="4" t="inlineStr">
        <is>
          <t>Update</t>
        </is>
      </c>
      <c r="C402" s="4" t="n">
        <v>270</v>
      </c>
      <c r="D402" s="4" t="inlineStr">
        <is>
          <t>Diagnosing autism spectrum disorders using ensemble-aided weighted fused features and attention-based residual LSTM with brain MRI images</t>
        </is>
      </c>
      <c r="E402" s="4" t="inlineStr">
        <is>
          <t>10.1016/j.pscychresns.2026.112230</t>
        </is>
      </c>
      <c r="F402" s="4" t="n">
        <v>2026</v>
      </c>
      <c r="G402" s="4" t="inlineStr">
        <is>
          <t>Include</t>
        </is>
      </c>
      <c r="H402" s="4" t="str"/>
      <c r="I402" s="4" t="n">
        <v>0</v>
      </c>
      <c r="J402" s="4" t="inlineStr">
        <is>
          <t>https://doi.org/10.1016/j.pscychresns.2026.112230</t>
        </is>
      </c>
      <c r="K402" s="4" t="inlineStr">
        <is>
          <t>Report located; publisher/PubMed content sufficient for scoped adjudication</t>
        </is>
      </c>
      <c r="L402" s="4" t="inlineStr">
        <is>
          <t>Revision asistida por IA (un revisor; requiere verificacion independiente)</t>
        </is>
      </c>
      <c r="M402" s="40" t="n">
        <v>46269</v>
      </c>
      <c r="N402" s="4" t="inlineStr">
        <is>
          <t>Pending independent/source verification</t>
        </is>
      </c>
      <c r="O402" s="4" t="inlineStr">
        <is>
          <t>Extraccion_RQ_nuevos</t>
        </is>
      </c>
      <c r="P402" s="4" t="n">
        <v>126</v>
      </c>
    </row>
    <row r="403" ht="60" customHeight="1">
      <c r="A403" s="4" t="inlineStr">
        <is>
          <t>new_271</t>
        </is>
      </c>
      <c r="B403" s="4" t="inlineStr">
        <is>
          <t>Update</t>
        </is>
      </c>
      <c r="C403" s="4" t="n">
        <v>271</v>
      </c>
      <c r="D403" s="4" t="inlineStr">
        <is>
          <t>Early Autism Spectrum Disorder Detection Using SMOTE-Enhanced 1D-CNN and Behavioral Screening Data</t>
        </is>
      </c>
      <c r="E403" s="4" t="inlineStr">
        <is>
          <t>10.1155/ahci/1316854</t>
        </is>
      </c>
      <c r="F403" s="4" t="n">
        <v>2025</v>
      </c>
      <c r="G403" s="4" t="inlineStr">
        <is>
          <t>Include</t>
        </is>
      </c>
      <c r="H403" s="4" t="str"/>
      <c r="I403" s="4" t="n">
        <v>0</v>
      </c>
      <c r="J403" s="4" t="inlineStr">
        <is>
          <t>https://doi.org/10.1155/ahci/1316854</t>
        </is>
      </c>
      <c r="K403" s="4" t="inlineStr">
        <is>
          <t>Retrieved and reviewed</t>
        </is>
      </c>
      <c r="L403" s="4" t="inlineStr">
        <is>
          <t>Revision asistida por IA (un revisor; requiere verificacion independiente)</t>
        </is>
      </c>
      <c r="M403" s="40" t="n">
        <v>46269</v>
      </c>
      <c r="N403" s="4" t="inlineStr">
        <is>
          <t>Pending independent/source verification</t>
        </is>
      </c>
      <c r="O403" s="4" t="inlineStr">
        <is>
          <t>Extraccion_RQ_nuevos</t>
        </is>
      </c>
      <c r="P403" s="4" t="n">
        <v>127</v>
      </c>
    </row>
    <row r="404" ht="60" customHeight="1">
      <c r="A404" s="4" t="inlineStr">
        <is>
          <t>new_273</t>
        </is>
      </c>
      <c r="B404" s="4" t="inlineStr">
        <is>
          <t>Update</t>
        </is>
      </c>
      <c r="C404" s="4" t="n">
        <v>273</v>
      </c>
      <c r="D404" s="4" t="inlineStr">
        <is>
          <t>Optimizing Autism Spectrum Disorder Diagnosis with VGG16-Based Facial Landmark Recognition</t>
        </is>
      </c>
      <c r="E404" s="4" t="inlineStr">
        <is>
          <t>10.1016/j.procs.2026.06.483</t>
        </is>
      </c>
      <c r="F404" s="4" t="n">
        <v>2026</v>
      </c>
      <c r="G404" s="4" t="inlineStr">
        <is>
          <t>Include</t>
        </is>
      </c>
      <c r="H404" s="4" t="str"/>
      <c r="I404" s="4" t="n">
        <v>0</v>
      </c>
      <c r="J404" s="4" t="inlineStr">
        <is>
          <t>https://doi.org/10.1016/j.procs.2026.06.483</t>
        </is>
      </c>
      <c r="K404" s="4" t="inlineStr">
        <is>
          <t>Report located; publisher/PubMed content sufficient for scoped adjudication</t>
        </is>
      </c>
      <c r="L404" s="4" t="inlineStr">
        <is>
          <t>Revision asistida por IA (un revisor; requiere verificacion independiente)</t>
        </is>
      </c>
      <c r="M404" s="40" t="n">
        <v>46269</v>
      </c>
      <c r="N404" s="4" t="inlineStr">
        <is>
          <t>Pending independent/source verification</t>
        </is>
      </c>
      <c r="O404" s="4" t="inlineStr">
        <is>
          <t>Extraccion_RQ_nuevos</t>
        </is>
      </c>
      <c r="P404" s="4" t="n">
        <v>128</v>
      </c>
    </row>
    <row r="405" ht="60" customHeight="1">
      <c r="A405" s="4" t="inlineStr">
        <is>
          <t>new_275</t>
        </is>
      </c>
      <c r="B405" s="4" t="inlineStr">
        <is>
          <t>Update</t>
        </is>
      </c>
      <c r="C405" s="4" t="n">
        <v>275</v>
      </c>
      <c r="D405" s="4" t="inlineStr">
        <is>
          <t>Machine Learning Techniques to Uncover Sociodemographic Risk Factors of Autism Spectrum Disorder (ASD) Among Children and Adolescents in Bangladesh</t>
        </is>
      </c>
      <c r="E405" s="4" t="inlineStr">
        <is>
          <t>10.1155/acis/6410913</t>
        </is>
      </c>
      <c r="F405" s="4" t="n">
        <v>2025</v>
      </c>
      <c r="G405" s="4" t="inlineStr">
        <is>
          <t>Include</t>
        </is>
      </c>
      <c r="H405" s="4" t="str"/>
      <c r="I405" s="4" t="n">
        <v>0</v>
      </c>
      <c r="J405" s="4" t="inlineStr">
        <is>
          <t>https://doi.org/10.1155/acis/6410913</t>
        </is>
      </c>
      <c r="K405" s="4" t="inlineStr">
        <is>
          <t>Retrieved and reviewed</t>
        </is>
      </c>
      <c r="L405" s="4" t="inlineStr">
        <is>
          <t>Revision asistida por IA (un revisor; requiere verificacion independiente)</t>
        </is>
      </c>
      <c r="M405" s="40" t="n">
        <v>46269</v>
      </c>
      <c r="N405" s="4" t="inlineStr">
        <is>
          <t>Pending independent/source verification</t>
        </is>
      </c>
      <c r="O405" s="4" t="inlineStr">
        <is>
          <t>Extraccion_RQ_nuevos</t>
        </is>
      </c>
      <c r="P405" s="4" t="n">
        <v>129</v>
      </c>
    </row>
    <row r="406" ht="73" customHeight="1">
      <c r="A406" s="4" t="inlineStr">
        <is>
          <t>new_277</t>
        </is>
      </c>
      <c r="B406" s="4" t="inlineStr">
        <is>
          <t>Update</t>
        </is>
      </c>
      <c r="C406" s="4" t="n">
        <v>277</v>
      </c>
      <c r="D406" s="4" t="inlineStr">
        <is>
          <t>A comprehensive causal and machine learning framework for autism spectrum disorder risk prediction and high-risk subgroup identification from children with chronic health and genetic disorders in the United States</t>
        </is>
      </c>
      <c r="E406" s="4" t="inlineStr">
        <is>
          <t>10.1016/j.reia.2026.202826</t>
        </is>
      </c>
      <c r="F406" s="4" t="n">
        <v>2026</v>
      </c>
      <c r="G406" s="4" t="inlineStr">
        <is>
          <t>Include</t>
        </is>
      </c>
      <c r="H406" s="4" t="str"/>
      <c r="I406" s="4" t="n">
        <v>0</v>
      </c>
      <c r="J406" s="4" t="inlineStr">
        <is>
          <t>https://doi.org/10.1016/j.reia.2026.202826</t>
        </is>
      </c>
      <c r="K406" s="4" t="inlineStr">
        <is>
          <t>Report located; publisher/PubMed content sufficient for scoped adjudication</t>
        </is>
      </c>
      <c r="L406" s="4" t="inlineStr">
        <is>
          <t>Revision asistida por IA (un revisor; requiere verificacion independiente)</t>
        </is>
      </c>
      <c r="M406" s="40" t="n">
        <v>46269</v>
      </c>
      <c r="N406" s="4" t="inlineStr">
        <is>
          <t>Pending independent/source verification</t>
        </is>
      </c>
      <c r="O406" s="4" t="inlineStr">
        <is>
          <t>Extraccion_RQ_nuevos</t>
        </is>
      </c>
      <c r="P406" s="4" t="n">
        <v>130</v>
      </c>
    </row>
    <row r="407" ht="60" customHeight="1">
      <c r="A407" s="4" t="inlineStr">
        <is>
          <t>new_280</t>
        </is>
      </c>
      <c r="B407" s="4" t="inlineStr">
        <is>
          <t>Update</t>
        </is>
      </c>
      <c r="C407" s="4" t="n">
        <v>280</v>
      </c>
      <c r="D407" s="4" t="inlineStr">
        <is>
          <t>Sleep pattern consistency and autism spectrum disorder in U.S. children: Associations and identification of high-risk subgroups</t>
        </is>
      </c>
      <c r="E407" s="4" t="inlineStr">
        <is>
          <t>10.1016/j.ridd.2025.105201</t>
        </is>
      </c>
      <c r="F407" s="4" t="n">
        <v>2026</v>
      </c>
      <c r="G407" s="4" t="inlineStr">
        <is>
          <t>Include</t>
        </is>
      </c>
      <c r="H407" s="4" t="str"/>
      <c r="I407" s="4" t="n">
        <v>0</v>
      </c>
      <c r="J407" s="4" t="inlineStr">
        <is>
          <t>https://doi.org/10.1016/j.ridd.2025.105201</t>
        </is>
      </c>
      <c r="K407" s="4" t="inlineStr">
        <is>
          <t>Report located; publisher/PubMed content sufficient for scoped adjudication</t>
        </is>
      </c>
      <c r="L407" s="4" t="inlineStr">
        <is>
          <t>Revision asistida por IA (un revisor; requiere verificacion independiente)</t>
        </is>
      </c>
      <c r="M407" s="40" t="n">
        <v>46269</v>
      </c>
      <c r="N407" s="4" t="inlineStr">
        <is>
          <t>Pending independent/source verification</t>
        </is>
      </c>
      <c r="O407" s="4" t="inlineStr">
        <is>
          <t>Extraccion_RQ_nuevos</t>
        </is>
      </c>
      <c r="P407" s="4" t="n">
        <v>131</v>
      </c>
    </row>
    <row r="408" ht="60" customHeight="1">
      <c r="A408" s="4" t="inlineStr">
        <is>
          <t>new_286</t>
        </is>
      </c>
      <c r="B408" s="4" t="inlineStr">
        <is>
          <t>Update</t>
        </is>
      </c>
      <c r="C408" s="4" t="n">
        <v>286</v>
      </c>
      <c r="D408" s="4" t="inlineStr">
        <is>
          <t>Identification of Potential Biomarkers in ASD Integrating RNA Seq Data and Machine Learning Approaches</t>
        </is>
      </c>
      <c r="E408" s="4" t="inlineStr">
        <is>
          <t>10.3233/shti260609</t>
        </is>
      </c>
      <c r="F408" s="4" t="n">
        <v>2026</v>
      </c>
      <c r="G408" s="4" t="inlineStr">
        <is>
          <t>Include</t>
        </is>
      </c>
      <c r="H408" s="4" t="str"/>
      <c r="I408" s="4" t="n">
        <v>0</v>
      </c>
      <c r="J408" s="4" t="inlineStr">
        <is>
          <t>https://doi.org/10.3233/shti260609</t>
        </is>
      </c>
      <c r="K408" s="4" t="inlineStr">
        <is>
          <t>Report located; publisher/PubMed content sufficient for scoped adjudication</t>
        </is>
      </c>
      <c r="L408" s="4" t="inlineStr">
        <is>
          <t>Revision asistida por IA (un revisor; requiere verificacion independiente)</t>
        </is>
      </c>
      <c r="M408" s="40" t="n">
        <v>46269</v>
      </c>
      <c r="N408" s="4" t="inlineStr">
        <is>
          <t>Pending independent/source verification</t>
        </is>
      </c>
      <c r="O408" s="4" t="inlineStr">
        <is>
          <t>Extraccion_RQ_nuevos</t>
        </is>
      </c>
      <c r="P408" s="4" t="n">
        <v>132</v>
      </c>
    </row>
    <row r="409" ht="60" customHeight="1">
      <c r="A409" s="4" t="inlineStr">
        <is>
          <t>new_287</t>
        </is>
      </c>
      <c r="B409" s="4" t="inlineStr">
        <is>
          <t>Update</t>
        </is>
      </c>
      <c r="C409" s="4" t="n">
        <v>287</v>
      </c>
      <c r="D409" s="4" t="inlineStr">
        <is>
          <t>REM Sleep Abnormalities in Children With Autism Spectrum Disorder</t>
        </is>
      </c>
      <c r="E409" s="4" t="inlineStr">
        <is>
          <t>10.1002/aur.70222</t>
        </is>
      </c>
      <c r="F409" s="4" t="n">
        <v>2026</v>
      </c>
      <c r="G409" s="4" t="inlineStr">
        <is>
          <t>Include</t>
        </is>
      </c>
      <c r="H409" s="4" t="str"/>
      <c r="I409" s="4" t="n">
        <v>0</v>
      </c>
      <c r="J409" s="4" t="inlineStr">
        <is>
          <t>https://doi.org/10.1002/aur.70222</t>
        </is>
      </c>
      <c r="K409" s="4" t="inlineStr">
        <is>
          <t>Retrieved and reviewed</t>
        </is>
      </c>
      <c r="L409" s="4" t="inlineStr">
        <is>
          <t>Revision asistida por IA (un revisor; requiere verificacion independiente)</t>
        </is>
      </c>
      <c r="M409" s="40" t="n">
        <v>46269</v>
      </c>
      <c r="N409" s="4" t="inlineStr">
        <is>
          <t>Pending independent/source verification</t>
        </is>
      </c>
      <c r="O409" s="4" t="inlineStr">
        <is>
          <t>Extraccion_RQ_nuevos</t>
        </is>
      </c>
      <c r="P409" s="4" t="n">
        <v>133</v>
      </c>
    </row>
    <row r="410" ht="60" customHeight="1">
      <c r="A410" s="4" t="inlineStr">
        <is>
          <t>new_289</t>
        </is>
      </c>
      <c r="B410" s="4" t="inlineStr">
        <is>
          <t>Update</t>
        </is>
      </c>
      <c r="C410" s="4" t="n">
        <v>289</v>
      </c>
      <c r="D410" s="4" t="inlineStr">
        <is>
          <t>Diagnosis of autism disorder from rs-fMRI brain images through hierarchical YOLO and mechanism of attention (HYMA)</t>
        </is>
      </c>
      <c r="E410" s="4" t="inlineStr">
        <is>
          <t>10.1016/j.asoc.2026.114655</t>
        </is>
      </c>
      <c r="F410" s="4" t="n">
        <v>2026</v>
      </c>
      <c r="G410" s="4" t="inlineStr">
        <is>
          <t>Include</t>
        </is>
      </c>
      <c r="H410" s="4" t="str"/>
      <c r="I410" s="4" t="n">
        <v>0</v>
      </c>
      <c r="J410" s="4" t="inlineStr">
        <is>
          <t>https://doi.org/10.1016/j.asoc.2026.114655</t>
        </is>
      </c>
      <c r="K410" s="4" t="inlineStr">
        <is>
          <t>Retrieved and reviewed</t>
        </is>
      </c>
      <c r="L410" s="4" t="inlineStr">
        <is>
          <t>Revision asistida por IA (un revisor; requiere verificacion independiente)</t>
        </is>
      </c>
      <c r="M410" s="40" t="n">
        <v>46269</v>
      </c>
      <c r="N410" s="4" t="inlineStr">
        <is>
          <t>Pending independent/source verification</t>
        </is>
      </c>
      <c r="O410" s="4" t="inlineStr">
        <is>
          <t>Extraccion_RQ_nuevos</t>
        </is>
      </c>
      <c r="P410" s="4" t="n">
        <v>134</v>
      </c>
    </row>
    <row r="411" ht="60" customHeight="1">
      <c r="A411" s="4" t="inlineStr">
        <is>
          <t>new_295</t>
        </is>
      </c>
      <c r="B411" s="4" t="inlineStr">
        <is>
          <t>Update</t>
        </is>
      </c>
      <c r="C411" s="4" t="n">
        <v>295</v>
      </c>
      <c r="D411" s="4" t="inlineStr">
        <is>
          <t>Comparing Machine Learning Models for Pupillary Light Reflex–Based Autism Spectrum Disorder Classification</t>
        </is>
      </c>
      <c r="E411" s="4" t="inlineStr">
        <is>
          <t>10.1155/acis/1906938</t>
        </is>
      </c>
      <c r="F411" s="4" t="n">
        <v>2026</v>
      </c>
      <c r="G411" s="4" t="inlineStr">
        <is>
          <t>Include</t>
        </is>
      </c>
      <c r="H411" s="4" t="str"/>
      <c r="I411" s="4" t="n">
        <v>0</v>
      </c>
      <c r="J411" s="4" t="inlineStr">
        <is>
          <t>https://doi.org/10.1155/acis/1906938</t>
        </is>
      </c>
      <c r="K411" s="4" t="inlineStr">
        <is>
          <t>Retrieved and reviewed</t>
        </is>
      </c>
      <c r="L411" s="4" t="inlineStr">
        <is>
          <t>Revision asistida por IA (un revisor; requiere verificacion independiente)</t>
        </is>
      </c>
      <c r="M411" s="40" t="n">
        <v>46269</v>
      </c>
      <c r="N411" s="4" t="inlineStr">
        <is>
          <t>Pending independent/source verification</t>
        </is>
      </c>
      <c r="O411" s="4" t="inlineStr">
        <is>
          <t>Extraccion_RQ_nuevos</t>
        </is>
      </c>
      <c r="P411" s="4" t="n">
        <v>135</v>
      </c>
    </row>
    <row r="412" ht="60" customHeight="1">
      <c r="A412" s="4" t="inlineStr">
        <is>
          <t>new_296</t>
        </is>
      </c>
      <c r="B412" s="4" t="inlineStr">
        <is>
          <t>Update</t>
        </is>
      </c>
      <c r="C412" s="4" t="n">
        <v>296</v>
      </c>
      <c r="D412" s="4" t="inlineStr">
        <is>
          <t>Deep learning for diagnosing autism spectrum disorder using EEG with upright and inverted face processing tasks</t>
        </is>
      </c>
      <c r="E412" s="4" t="inlineStr">
        <is>
          <t>10.1016/j.bspc.2026.109655</t>
        </is>
      </c>
      <c r="F412" s="4" t="n">
        <v>2026</v>
      </c>
      <c r="G412" s="4" t="inlineStr">
        <is>
          <t>Include</t>
        </is>
      </c>
      <c r="H412" s="4" t="str"/>
      <c r="I412" s="4" t="n">
        <v>0</v>
      </c>
      <c r="J412" s="4" t="inlineStr">
        <is>
          <t>https://doi.org/10.1016/j.bspc.2026.109655</t>
        </is>
      </c>
      <c r="K412" s="4" t="inlineStr">
        <is>
          <t>Report located; publisher/PubMed content sufficient for scoped adjudication</t>
        </is>
      </c>
      <c r="L412" s="4" t="inlineStr">
        <is>
          <t>Revision asistida por IA (un revisor; requiere verificacion independiente)</t>
        </is>
      </c>
      <c r="M412" s="40" t="n">
        <v>46269</v>
      </c>
      <c r="N412" s="4" t="inlineStr">
        <is>
          <t>Pending independent/source verification</t>
        </is>
      </c>
      <c r="O412" s="4" t="inlineStr">
        <is>
          <t>Extraccion_RQ_nuevos</t>
        </is>
      </c>
      <c r="P412" s="4" t="n">
        <v>136</v>
      </c>
    </row>
    <row r="413" ht="60" customHeight="1">
      <c r="A413" s="4" t="inlineStr">
        <is>
          <t>new_298</t>
        </is>
      </c>
      <c r="B413" s="4" t="inlineStr">
        <is>
          <t>Update</t>
        </is>
      </c>
      <c r="C413" s="4" t="n">
        <v>298</v>
      </c>
      <c r="D413" s="4" t="inlineStr">
        <is>
          <t>Effects of conversational AI-enhanced peer-mediated intervention by peers with intellectual disabilities on conversational skills in children with ASD</t>
        </is>
      </c>
      <c r="E413" s="4" t="inlineStr">
        <is>
          <t>10.1016/j.ridd.2026.105249</t>
        </is>
      </c>
      <c r="F413" s="4" t="n">
        <v>2026</v>
      </c>
      <c r="G413" s="4" t="inlineStr">
        <is>
          <t>Include</t>
        </is>
      </c>
      <c r="H413" s="4" t="str"/>
      <c r="I413" s="4" t="n">
        <v>0</v>
      </c>
      <c r="J413" s="4" t="inlineStr">
        <is>
          <t>https://doi.org/10.1016/j.ridd.2026.105249</t>
        </is>
      </c>
      <c r="K413" s="4" t="inlineStr">
        <is>
          <t>Report located; publisher/PubMed content sufficient for scoped adjudication</t>
        </is>
      </c>
      <c r="L413" s="4" t="inlineStr">
        <is>
          <t>Revision asistida por IA (un revisor; requiere verificacion independiente)</t>
        </is>
      </c>
      <c r="M413" s="40" t="n">
        <v>46269</v>
      </c>
      <c r="N413" s="4" t="inlineStr">
        <is>
          <t>Pending independent/source verification</t>
        </is>
      </c>
      <c r="O413" s="4" t="inlineStr">
        <is>
          <t>Extraccion_RQ_nuevos</t>
        </is>
      </c>
      <c r="P413" s="4" t="n">
        <v>137</v>
      </c>
    </row>
    <row r="414" ht="60" customHeight="1">
      <c r="A414" s="4" t="inlineStr">
        <is>
          <t>new_299</t>
        </is>
      </c>
      <c r="B414" s="4" t="inlineStr">
        <is>
          <t>Update</t>
        </is>
      </c>
      <c r="C414" s="4" t="n">
        <v>299</v>
      </c>
      <c r="D414" s="4" t="inlineStr">
        <is>
          <t>Decoding the Neural Basis of Sensory Phenotypes in Autism</t>
        </is>
      </c>
      <c r="E414" s="4" t="inlineStr">
        <is>
          <t>10.1016/j.bpsc.2025.12.013</t>
        </is>
      </c>
      <c r="F414" s="4" t="n">
        <v>2026</v>
      </c>
      <c r="G414" s="4" t="inlineStr">
        <is>
          <t>Include</t>
        </is>
      </c>
      <c r="H414" s="4" t="str"/>
      <c r="I414" s="4" t="n">
        <v>0</v>
      </c>
      <c r="J414" s="4" t="inlineStr">
        <is>
          <t>https://doi.org/10.1016/j.bpsc.2025.12.013</t>
        </is>
      </c>
      <c r="K414" s="4" t="inlineStr">
        <is>
          <t>Retrieved and reviewed</t>
        </is>
      </c>
      <c r="L414" s="4" t="inlineStr">
        <is>
          <t>Revision asistida por IA (un revisor; requiere verificacion independiente)</t>
        </is>
      </c>
      <c r="M414" s="40" t="n">
        <v>46269</v>
      </c>
      <c r="N414" s="4" t="inlineStr">
        <is>
          <t>Pending independent/source verification</t>
        </is>
      </c>
      <c r="O414" s="4" t="inlineStr">
        <is>
          <t>Extraccion_RQ_nuevos</t>
        </is>
      </c>
      <c r="P414" s="4" t="n">
        <v>138</v>
      </c>
    </row>
    <row r="415" ht="60" customHeight="1">
      <c r="A415" s="4" t="inlineStr">
        <is>
          <t>new_306</t>
        </is>
      </c>
      <c r="B415" s="4" t="inlineStr">
        <is>
          <t>Update</t>
        </is>
      </c>
      <c r="C415" s="4" t="n">
        <v>306</v>
      </c>
      <c r="D415" s="4" t="inlineStr">
        <is>
          <t>Hybrid ensemble learning for Autism Spectrum Disorder screening using eye-tracking scanpath</t>
        </is>
      </c>
      <c r="E415" s="4" t="inlineStr">
        <is>
          <t>10.1016/j.array.2026.100753</t>
        </is>
      </c>
      <c r="F415" s="4" t="n">
        <v>2026</v>
      </c>
      <c r="G415" s="4" t="inlineStr">
        <is>
          <t>Include</t>
        </is>
      </c>
      <c r="H415" s="4" t="str"/>
      <c r="I415" s="4" t="n">
        <v>0</v>
      </c>
      <c r="J415" s="4" t="inlineStr">
        <is>
          <t>https://doi.org/10.1016/j.array.2026.100753</t>
        </is>
      </c>
      <c r="K415" s="4" t="inlineStr">
        <is>
          <t>Retrieved and reviewed</t>
        </is>
      </c>
      <c r="L415" s="4" t="inlineStr">
        <is>
          <t>Revision asistida por IA (un revisor; requiere verificacion independiente)</t>
        </is>
      </c>
      <c r="M415" s="40" t="n">
        <v>46269</v>
      </c>
      <c r="N415" s="4" t="inlineStr">
        <is>
          <t>Pending independent/source verification</t>
        </is>
      </c>
      <c r="O415" s="4" t="inlineStr">
        <is>
          <t>Extraccion_RQ_nuevos</t>
        </is>
      </c>
      <c r="P415" s="4" t="n">
        <v>139</v>
      </c>
    </row>
    <row r="416" ht="60" customHeight="1">
      <c r="A416" s="4" t="inlineStr">
        <is>
          <t>new_316</t>
        </is>
      </c>
      <c r="B416" s="4" t="inlineStr">
        <is>
          <t>Update</t>
        </is>
      </c>
      <c r="C416" s="4" t="n">
        <v>316</v>
      </c>
      <c r="D416" s="4" t="inlineStr">
        <is>
          <t>Identifying Immune-related Molecular Biomarkers in Autism Spectrum Disorder Using Data-independent Acquisition Proteomics and Machine Learning.</t>
        </is>
      </c>
      <c r="E416" s="4" t="inlineStr">
        <is>
          <t>10.3791/68949</t>
        </is>
      </c>
      <c r="F416" s="4" t="n">
        <v>2025</v>
      </c>
      <c r="G416" s="4" t="inlineStr">
        <is>
          <t>Include</t>
        </is>
      </c>
      <c r="H416" s="4" t="str"/>
      <c r="I416" s="4" t="n">
        <v>0</v>
      </c>
      <c r="J416" s="4" t="inlineStr">
        <is>
          <t>https://doi.org/10.3791/68949</t>
        </is>
      </c>
      <c r="K416" s="4" t="inlineStr">
        <is>
          <t>Retrieved and reviewed</t>
        </is>
      </c>
      <c r="L416" s="4" t="inlineStr">
        <is>
          <t>Revision asistida por IA (un revisor; requiere verificacion independiente)</t>
        </is>
      </c>
      <c r="M416" s="40" t="n">
        <v>46269</v>
      </c>
      <c r="N416" s="4" t="inlineStr">
        <is>
          <t>Pending independent/source verification</t>
        </is>
      </c>
      <c r="O416" s="4" t="inlineStr">
        <is>
          <t>Extraccion_RQ_nuevos</t>
        </is>
      </c>
      <c r="P416" s="4" t="n">
        <v>140</v>
      </c>
    </row>
    <row r="417" ht="60" customHeight="1">
      <c r="A417" s="4" t="inlineStr">
        <is>
          <t>new_319</t>
        </is>
      </c>
      <c r="B417" s="4" t="inlineStr">
        <is>
          <t>Update</t>
        </is>
      </c>
      <c r="C417" s="4" t="n">
        <v>319</v>
      </c>
      <c r="D417" s="4" t="inlineStr">
        <is>
          <t>Enhanced detection of autism spectrum disorder through neuroimaging data using stack classifier ensembled with modified VGG-19</t>
        </is>
      </c>
      <c r="E417" s="4" t="inlineStr">
        <is>
          <t>10.1177/02841851251333974</t>
        </is>
      </c>
      <c r="F417" s="4" t="n">
        <v>2025</v>
      </c>
      <c r="G417" s="4" t="inlineStr">
        <is>
          <t>Include</t>
        </is>
      </c>
      <c r="H417" s="4" t="str"/>
      <c r="I417" s="4" t="n">
        <v>0</v>
      </c>
      <c r="J417" s="4" t="inlineStr">
        <is>
          <t>https://doi.org/10.1177/02841851251333974</t>
        </is>
      </c>
      <c r="K417" s="4" t="inlineStr">
        <is>
          <t>Report located; publisher/PubMed content sufficient for scoped adjudication</t>
        </is>
      </c>
      <c r="L417" s="4" t="inlineStr">
        <is>
          <t>Revision asistida por IA (un revisor; requiere verificacion independiente)</t>
        </is>
      </c>
      <c r="M417" s="40" t="n">
        <v>46269</v>
      </c>
      <c r="N417" s="4" t="inlineStr">
        <is>
          <t>Pending independent/source verification</t>
        </is>
      </c>
      <c r="O417" s="4" t="inlineStr">
        <is>
          <t>Extraccion_RQ_nuevos</t>
        </is>
      </c>
      <c r="P417" s="4" t="n">
        <v>141</v>
      </c>
    </row>
    <row r="418" ht="60" customHeight="1">
      <c r="A418" s="4" t="inlineStr">
        <is>
          <t>new_323</t>
        </is>
      </c>
      <c r="B418" s="4" t="inlineStr">
        <is>
          <t>Update</t>
        </is>
      </c>
      <c r="C418" s="4" t="n">
        <v>323</v>
      </c>
      <c r="D418" s="4" t="inlineStr">
        <is>
          <t>Energy-Efficient EEG-Based Autism Spectrum Disorder Detection Using a Hyperbolic Attention Neural Network</t>
        </is>
      </c>
      <c r="E418" s="4" t="inlineStr">
        <is>
          <t>10.1002/dneu.70011</t>
        </is>
      </c>
      <c r="F418" s="4" t="n">
        <v>2026</v>
      </c>
      <c r="G418" s="4" t="inlineStr">
        <is>
          <t>Include</t>
        </is>
      </c>
      <c r="H418" s="4" t="str"/>
      <c r="I418" s="4" t="n">
        <v>0</v>
      </c>
      <c r="J418" s="4" t="inlineStr">
        <is>
          <t>https://doi.org/10.1002/dneu.70011</t>
        </is>
      </c>
      <c r="K418" s="4" t="inlineStr">
        <is>
          <t>Retrieved/reviewed; content sufficient for scoped adjudication</t>
        </is>
      </c>
      <c r="L418" s="4" t="inlineStr">
        <is>
          <t>Revision asistida por IA (un revisor; requiere verificacion independiente)</t>
        </is>
      </c>
      <c r="M418" s="40" t="n">
        <v>46269</v>
      </c>
      <c r="N418" s="4" t="inlineStr">
        <is>
          <t>Pending independent/source verification</t>
        </is>
      </c>
      <c r="O418" s="4" t="inlineStr">
        <is>
          <t>Extraccion_RQ_nuevos</t>
        </is>
      </c>
      <c r="P418" s="4" t="n">
        <v>142</v>
      </c>
    </row>
    <row r="419" ht="60" customHeight="1">
      <c r="A419" s="4" t="inlineStr">
        <is>
          <t>new_326</t>
        </is>
      </c>
      <c r="B419" s="4" t="inlineStr">
        <is>
          <t>Update</t>
        </is>
      </c>
      <c r="C419" s="4" t="n">
        <v>326</v>
      </c>
      <c r="D419" s="4" t="inlineStr">
        <is>
          <t>Classification of Autism Spectrum Disorder Using Edge-Weight Enhanced Graph Attention Network With Multiple Features of Resting-State fNIRS Signals</t>
        </is>
      </c>
      <c r="E419" s="4" t="inlineStr">
        <is>
          <t>10.1002/jbio.202500138</t>
        </is>
      </c>
      <c r="F419" s="4" t="n">
        <v>2025</v>
      </c>
      <c r="G419" s="4" t="inlineStr">
        <is>
          <t>Include</t>
        </is>
      </c>
      <c r="H419" s="4" t="str"/>
      <c r="I419" s="4" t="n">
        <v>0</v>
      </c>
      <c r="J419" s="4" t="inlineStr">
        <is>
          <t>https://doi.org/10.1002/jbio.202500138</t>
        </is>
      </c>
      <c r="K419" s="4" t="inlineStr">
        <is>
          <t>Retrieved/reviewed; content sufficient for scoped adjudication</t>
        </is>
      </c>
      <c r="L419" s="4" t="inlineStr">
        <is>
          <t>Revision asistida por IA (un revisor; requiere verificacion independiente)</t>
        </is>
      </c>
      <c r="M419" s="40" t="n">
        <v>46269</v>
      </c>
      <c r="N419" s="4" t="inlineStr">
        <is>
          <t>Pending independent/source verification</t>
        </is>
      </c>
      <c r="O419" s="4" t="inlineStr">
        <is>
          <t>Extraccion_RQ_nuevos</t>
        </is>
      </c>
      <c r="P419" s="4" t="n">
        <v>143</v>
      </c>
    </row>
    <row r="420" ht="60" customHeight="1">
      <c r="A420" s="4" t="inlineStr">
        <is>
          <t>new_334</t>
        </is>
      </c>
      <c r="B420" s="4" t="inlineStr">
        <is>
          <t>Update</t>
        </is>
      </c>
      <c r="C420" s="4" t="n">
        <v>334</v>
      </c>
      <c r="D420" s="4" t="inlineStr">
        <is>
          <t>Constructing a Predictive Model for Children with Autism Spectrum Disorder Based on Whole-Brain MR Radiomics: A Machine Learning Study</t>
        </is>
      </c>
      <c r="E420" s="4" t="inlineStr">
        <is>
          <t>10.3174/ajnr.a8939</t>
        </is>
      </c>
      <c r="F420" s="4" t="n">
        <v>2026</v>
      </c>
      <c r="G420" s="4" t="inlineStr">
        <is>
          <t>Include</t>
        </is>
      </c>
      <c r="H420" s="4" t="str"/>
      <c r="I420" s="4" t="n">
        <v>0</v>
      </c>
      <c r="J420" s="4" t="inlineStr">
        <is>
          <t>https://doi.org/10.3174/ajnr.a8939</t>
        </is>
      </c>
      <c r="K420" s="4" t="inlineStr">
        <is>
          <t>Retrieved/reviewed; content sufficient for scoped adjudication</t>
        </is>
      </c>
      <c r="L420" s="4" t="inlineStr">
        <is>
          <t>Revision asistida por IA (un revisor; requiere verificacion independiente)</t>
        </is>
      </c>
      <c r="M420" s="40" t="n">
        <v>46269</v>
      </c>
      <c r="N420" s="4" t="inlineStr">
        <is>
          <t>Pending independent/source verification</t>
        </is>
      </c>
      <c r="O420" s="4" t="inlineStr">
        <is>
          <t>Extraccion_RQ_nuevos</t>
        </is>
      </c>
      <c r="P420" s="4" t="n">
        <v>144</v>
      </c>
    </row>
    <row r="421" ht="60" customHeight="1">
      <c r="A421" s="4" t="inlineStr">
        <is>
          <t>new_342</t>
        </is>
      </c>
      <c r="B421" s="4" t="inlineStr">
        <is>
          <t>Update</t>
        </is>
      </c>
      <c r="C421" s="4" t="n">
        <v>342</v>
      </c>
      <c r="D421" s="4" t="inlineStr">
        <is>
          <t>Auditory brainstem response abnormalities in autism spectrum disorder: A deep learning approach to characterize time-frequency signatures</t>
        </is>
      </c>
      <c r="E421" s="4" t="inlineStr">
        <is>
          <t>10.1016/j.heares.2026.109654</t>
        </is>
      </c>
      <c r="F421" s="4" t="n">
        <v>2026</v>
      </c>
      <c r="G421" s="4" t="inlineStr">
        <is>
          <t>Include</t>
        </is>
      </c>
      <c r="H421" s="4" t="str"/>
      <c r="I421" s="4" t="n">
        <v>0</v>
      </c>
      <c r="J421" s="4" t="inlineStr">
        <is>
          <t>https://doi.org/10.1016/j.heares.2026.109654</t>
        </is>
      </c>
      <c r="K421" s="4" t="inlineStr">
        <is>
          <t>Retrieved/reviewed; content sufficient for scoped adjudication</t>
        </is>
      </c>
      <c r="L421" s="4" t="inlineStr">
        <is>
          <t>Revision asistida por IA (un revisor; requiere verificacion independiente)</t>
        </is>
      </c>
      <c r="M421" s="40" t="n">
        <v>46269</v>
      </c>
      <c r="N421" s="4" t="inlineStr">
        <is>
          <t>Pending independent/source verification</t>
        </is>
      </c>
      <c r="O421" s="4" t="inlineStr">
        <is>
          <t>Extraccion_RQ_nuevos</t>
        </is>
      </c>
      <c r="P421" s="4" t="n">
        <v>145</v>
      </c>
    </row>
    <row r="422" ht="60" customHeight="1">
      <c r="A422" s="4" t="inlineStr">
        <is>
          <t>new_343</t>
        </is>
      </c>
      <c r="B422" s="4" t="inlineStr">
        <is>
          <t>Update</t>
        </is>
      </c>
      <c r="C422" s="4" t="n">
        <v>343</v>
      </c>
      <c r="D422" s="4" t="inlineStr">
        <is>
          <t>An explainable machine unlearning algorithm framework for early detection of autism spectrum disorder and brain disabilities in newborns</t>
        </is>
      </c>
      <c r="E422" s="4" t="inlineStr">
        <is>
          <t>10.1016/j.aej.2026.04.002</t>
        </is>
      </c>
      <c r="F422" s="4" t="n">
        <v>2026</v>
      </c>
      <c r="G422" s="4" t="inlineStr">
        <is>
          <t>Include</t>
        </is>
      </c>
      <c r="H422" s="4" t="str"/>
      <c r="I422" s="4" t="n">
        <v>0</v>
      </c>
      <c r="J422" s="4" t="inlineStr">
        <is>
          <t>https://doi.org/10.1016/j.aej.2026.04.002</t>
        </is>
      </c>
      <c r="K422" s="4" t="inlineStr">
        <is>
          <t>Retrieved/reviewed; content sufficient for scoped adjudication</t>
        </is>
      </c>
      <c r="L422" s="4" t="inlineStr">
        <is>
          <t>Revision asistida por IA (un revisor; requiere verificacion independiente)</t>
        </is>
      </c>
      <c r="M422" s="40" t="n">
        <v>46269</v>
      </c>
      <c r="N422" s="4" t="inlineStr">
        <is>
          <t>Pending independent/source verification</t>
        </is>
      </c>
      <c r="O422" s="4" t="inlineStr">
        <is>
          <t>Extraccion_RQ_nuevos</t>
        </is>
      </c>
      <c r="P422" s="4" t="n">
        <v>146</v>
      </c>
    </row>
    <row r="423" ht="60" customHeight="1">
      <c r="A423" s="4" t="inlineStr">
        <is>
          <t>new_347</t>
        </is>
      </c>
      <c r="B423" s="4" t="inlineStr">
        <is>
          <t>Update</t>
        </is>
      </c>
      <c r="C423" s="4" t="n">
        <v>347</v>
      </c>
      <c r="D423" s="4" t="inlineStr">
        <is>
          <t>Vision transformer and complex network analysis for autism spectrum disorder classification in T1 structural MRI</t>
        </is>
      </c>
      <c r="E423" s="4" t="inlineStr">
        <is>
          <t>10.1007/s11604-025-01832-3</t>
        </is>
      </c>
      <c r="F423" s="4" t="n">
        <v>2025</v>
      </c>
      <c r="G423" s="4" t="inlineStr">
        <is>
          <t>Include</t>
        </is>
      </c>
      <c r="H423" s="4" t="str"/>
      <c r="I423" s="4" t="n">
        <v>0</v>
      </c>
      <c r="J423" s="4" t="inlineStr">
        <is>
          <t>https://doi.org/10.1007/s11604-025-01832-3</t>
        </is>
      </c>
      <c r="K423" s="4" t="inlineStr">
        <is>
          <t>Retrieved/reviewed; content sufficient for scoped adjudication</t>
        </is>
      </c>
      <c r="L423" s="4" t="inlineStr">
        <is>
          <t>Revision asistida por IA (un revisor; requiere verificacion independiente)</t>
        </is>
      </c>
      <c r="M423" s="40" t="n">
        <v>46269</v>
      </c>
      <c r="N423" s="4" t="inlineStr">
        <is>
          <t>Pending independent/source verification</t>
        </is>
      </c>
      <c r="O423" s="4" t="inlineStr">
        <is>
          <t>Extraccion_RQ_nuevos</t>
        </is>
      </c>
      <c r="P423" s="4" t="n">
        <v>147</v>
      </c>
    </row>
    <row r="424" ht="60" customHeight="1">
      <c r="A424" s="4" t="inlineStr">
        <is>
          <t>new_349</t>
        </is>
      </c>
      <c r="B424" s="4" t="inlineStr">
        <is>
          <t>Update</t>
        </is>
      </c>
      <c r="C424" s="4" t="n">
        <v>349</v>
      </c>
      <c r="D424" s="4" t="inlineStr">
        <is>
          <t>Dominant cross-frequency analysis-based early diagnosis of Autism Spectrum Disorder in pediatrics using FRHIS and DSTCNN</t>
        </is>
      </c>
      <c r="E424" s="4" t="inlineStr">
        <is>
          <t>10.1016/j.pscychresns.2026.112270</t>
        </is>
      </c>
      <c r="F424" s="4" t="n">
        <v>2026</v>
      </c>
      <c r="G424" s="4" t="inlineStr">
        <is>
          <t>Include</t>
        </is>
      </c>
      <c r="H424" s="4" t="str"/>
      <c r="I424" s="4" t="n">
        <v>0</v>
      </c>
      <c r="J424" s="4" t="inlineStr">
        <is>
          <t>https://doi.org/10.1016/j.pscychresns.2026.112270</t>
        </is>
      </c>
      <c r="K424" s="4" t="inlineStr">
        <is>
          <t>Retrieved/reviewed; content sufficient for scoped adjudication</t>
        </is>
      </c>
      <c r="L424" s="4" t="inlineStr">
        <is>
          <t>Revision asistida por IA (un revisor; requiere verificacion independiente)</t>
        </is>
      </c>
      <c r="M424" s="40" t="n">
        <v>46269</v>
      </c>
      <c r="N424" s="4" t="inlineStr">
        <is>
          <t>Pending independent/source verification</t>
        </is>
      </c>
      <c r="O424" s="4" t="inlineStr">
        <is>
          <t>Extraccion_RQ_nuevos</t>
        </is>
      </c>
      <c r="P424" s="4" t="n">
        <v>148</v>
      </c>
    </row>
    <row r="425" ht="60" customHeight="1">
      <c r="A425" s="4" t="inlineStr">
        <is>
          <t>new_354</t>
        </is>
      </c>
      <c r="B425" s="4" t="inlineStr">
        <is>
          <t>Update</t>
        </is>
      </c>
      <c r="C425" s="4" t="n">
        <v>354</v>
      </c>
      <c r="D425" s="4" t="inlineStr">
        <is>
          <t>Contrastive diffusion adaptation network with rs-fMRI for domain adaptation classification of autism spectrum disorder</t>
        </is>
      </c>
      <c r="E425" s="4" t="inlineStr">
        <is>
          <t>10.1016/j.asoc.2026.115959</t>
        </is>
      </c>
      <c r="F425" s="4" t="n">
        <v>2026</v>
      </c>
      <c r="G425" s="4" t="inlineStr">
        <is>
          <t>Include</t>
        </is>
      </c>
      <c r="H425" s="4" t="str"/>
      <c r="I425" s="4" t="n">
        <v>0</v>
      </c>
      <c r="J425" s="4" t="inlineStr">
        <is>
          <t>https://doi.org/10.1016/j.asoc.2026.115959</t>
        </is>
      </c>
      <c r="K425" s="4" t="inlineStr">
        <is>
          <t>Retrieved/reviewed; content sufficient for scoped adjudication</t>
        </is>
      </c>
      <c r="L425" s="4" t="inlineStr">
        <is>
          <t>Revision asistida por IA (un revisor; requiere verificacion independiente)</t>
        </is>
      </c>
      <c r="M425" s="40" t="n">
        <v>46269</v>
      </c>
      <c r="N425" s="4" t="inlineStr">
        <is>
          <t>Pending independent/source verification</t>
        </is>
      </c>
      <c r="O425" s="4" t="inlineStr">
        <is>
          <t>Extraccion_RQ_nuevos</t>
        </is>
      </c>
      <c r="P425" s="4" t="n">
        <v>149</v>
      </c>
    </row>
    <row r="426" ht="60" customHeight="1">
      <c r="A426" s="4" t="inlineStr">
        <is>
          <t>new_355</t>
        </is>
      </c>
      <c r="B426" s="4" t="inlineStr">
        <is>
          <t>Update</t>
        </is>
      </c>
      <c r="C426" s="4" t="n">
        <v>355</v>
      </c>
      <c r="D426" s="4" t="inlineStr">
        <is>
          <t>Hybrid HOG–ResNet50V2 framework for early autism spectrum disorder detection from facial images</t>
        </is>
      </c>
      <c r="E426" s="4" t="inlineStr">
        <is>
          <t>10.1016/j.array.2026.100936</t>
        </is>
      </c>
      <c r="F426" s="4" t="n">
        <v>2026</v>
      </c>
      <c r="G426" s="4" t="inlineStr">
        <is>
          <t>Include</t>
        </is>
      </c>
      <c r="H426" s="4" t="str"/>
      <c r="I426" s="4" t="n">
        <v>0</v>
      </c>
      <c r="J426" s="4" t="inlineStr">
        <is>
          <t>https://doi.org/10.1016/j.array.2026.100936</t>
        </is>
      </c>
      <c r="K426" s="4" t="inlineStr">
        <is>
          <t>Retrieved/reviewed; content sufficient for scoped adjudication</t>
        </is>
      </c>
      <c r="L426" s="4" t="inlineStr">
        <is>
          <t>Revision asistida por IA (un revisor; requiere verificacion independiente)</t>
        </is>
      </c>
      <c r="M426" s="40" t="n">
        <v>46269</v>
      </c>
      <c r="N426" s="4" t="inlineStr">
        <is>
          <t>Pending independent/source verification</t>
        </is>
      </c>
      <c r="O426" s="4" t="inlineStr">
        <is>
          <t>Extraccion_RQ_nuevos</t>
        </is>
      </c>
      <c r="P426" s="4" t="n">
        <v>150</v>
      </c>
    </row>
    <row r="427" ht="60" customHeight="1">
      <c r="A427" s="4" t="inlineStr">
        <is>
          <t>new_364</t>
        </is>
      </c>
      <c r="B427" s="4" t="inlineStr">
        <is>
          <t>Update</t>
        </is>
      </c>
      <c r="C427" s="4" t="n">
        <v>364</v>
      </c>
      <c r="D427" s="4" t="inlineStr">
        <is>
          <t>Smart detection of autism spectrum disorder using optimized deep learner for transforming early diagnosis and intervention</t>
        </is>
      </c>
      <c r="E427" s="4" t="inlineStr">
        <is>
          <t>10.1007/s12065-026-01162-x</t>
        </is>
      </c>
      <c r="F427" s="4" t="n">
        <v>2026</v>
      </c>
      <c r="G427" s="4" t="inlineStr">
        <is>
          <t>Include</t>
        </is>
      </c>
      <c r="H427" s="4" t="str"/>
      <c r="I427" s="4" t="n">
        <v>0</v>
      </c>
      <c r="J427" s="4" t="inlineStr">
        <is>
          <t>https://doi.org/10.1007/s12065-026-01162-x</t>
        </is>
      </c>
      <c r="K427" s="4" t="inlineStr">
        <is>
          <t>Retrieved/reviewed; content sufficient for scoped adjudication</t>
        </is>
      </c>
      <c r="L427" s="4" t="inlineStr">
        <is>
          <t>Revision asistida por IA (un revisor; requiere verificacion independiente)</t>
        </is>
      </c>
      <c r="M427" s="40" t="n">
        <v>46269</v>
      </c>
      <c r="N427" s="4" t="inlineStr">
        <is>
          <t>Pending independent/source verification</t>
        </is>
      </c>
      <c r="O427" s="4" t="inlineStr">
        <is>
          <t>Extraccion_RQ_nuevos</t>
        </is>
      </c>
      <c r="P427" s="4" t="n">
        <v>151</v>
      </c>
    </row>
    <row r="428" ht="60" customHeight="1">
      <c r="A428" s="4" t="inlineStr">
        <is>
          <t>new_366</t>
        </is>
      </c>
      <c r="B428" s="4" t="inlineStr">
        <is>
          <t>Update</t>
        </is>
      </c>
      <c r="C428" s="4" t="n">
        <v>366</v>
      </c>
      <c r="D428" s="4" t="inlineStr">
        <is>
          <t>Hybrid deep learning with cross-attention fusion for autism spectrum disorder classification from facial images</t>
        </is>
      </c>
      <c r="E428" s="4" t="inlineStr">
        <is>
          <t>10.1016/j.ibmed.2026.100421</t>
        </is>
      </c>
      <c r="F428" s="4" t="n">
        <v>2026</v>
      </c>
      <c r="G428" s="4" t="inlineStr">
        <is>
          <t>Include</t>
        </is>
      </c>
      <c r="H428" s="4" t="str"/>
      <c r="I428" s="4" t="n">
        <v>0</v>
      </c>
      <c r="J428" s="4" t="inlineStr">
        <is>
          <t>https://doi.org/10.1016/j.ibmed.2026.100421</t>
        </is>
      </c>
      <c r="K428" s="4" t="inlineStr">
        <is>
          <t>Retrieved/reviewed; content sufficient for scoped adjudication</t>
        </is>
      </c>
      <c r="L428" s="4" t="inlineStr">
        <is>
          <t>Revision asistida por IA (un revisor; requiere verificacion independiente)</t>
        </is>
      </c>
      <c r="M428" s="40" t="n">
        <v>46269</v>
      </c>
      <c r="N428" s="4" t="inlineStr">
        <is>
          <t>Pending independent/source verification</t>
        </is>
      </c>
      <c r="O428" s="4" t="inlineStr">
        <is>
          <t>Extraccion_RQ_nuevos</t>
        </is>
      </c>
      <c r="P428" s="4" t="n">
        <v>152</v>
      </c>
    </row>
    <row r="429" ht="86" customHeight="1">
      <c r="A429" s="4" t="inlineStr">
        <is>
          <t>new_371</t>
        </is>
      </c>
      <c r="B429" s="4" t="inlineStr">
        <is>
          <t>Update</t>
        </is>
      </c>
      <c r="C429" s="4" t="n">
        <v>371</v>
      </c>
      <c r="D429" s="4" t="inlineStr">
        <is>
          <t>A Hybrid CNN-GAT Model for MRI Screening of Autism Spectrum Disorder</t>
        </is>
      </c>
      <c r="E429" s="4" t="inlineStr">
        <is>
          <t>10.1007/978-3-032-14531-4_4</t>
        </is>
      </c>
      <c r="F429" s="4" t="n">
        <v>2026</v>
      </c>
      <c r="G429" s="4" t="inlineStr">
        <is>
          <t>Include</t>
        </is>
      </c>
      <c r="H429" s="4" t="str"/>
      <c r="I429" s="4" t="n">
        <v>0</v>
      </c>
      <c r="J429" s="4" t="inlineStr">
        <is>
          <t>https://doi.org/10.1007/978-3-032-14531-4_4</t>
        </is>
      </c>
      <c r="K429" s="4" t="inlineStr">
        <is>
          <t>Retrieved/reviewed; conference/proceedings publication type verified; scoped adjudication completed</t>
        </is>
      </c>
      <c r="L429" s="4" t="inlineStr">
        <is>
          <t>Revisión asistida por IA (un revisor; requiere verificación independiente)</t>
        </is>
      </c>
      <c r="M429" s="40" t="n">
        <v>46272</v>
      </c>
      <c r="N429" s="4" t="inlineStr">
        <is>
          <t>Pending independent/source verification</t>
        </is>
      </c>
      <c r="O429" s="4" t="inlineStr">
        <is>
          <t>Extraccion_RQ_nuevos</t>
        </is>
      </c>
      <c r="P429" s="4" t="n">
        <v>153</v>
      </c>
    </row>
    <row r="430" ht="60" customHeight="1">
      <c r="A430" s="4" t="inlineStr">
        <is>
          <t>new_373</t>
        </is>
      </c>
      <c r="B430" s="4" t="inlineStr">
        <is>
          <t>Update</t>
        </is>
      </c>
      <c r="C430" s="4" t="n">
        <v>373</v>
      </c>
      <c r="D430" s="4" t="inlineStr">
        <is>
          <t>Multi-feature fusion transformer network for Autism spectrum disorder detection via facial images</t>
        </is>
      </c>
      <c r="E430" s="4" t="inlineStr">
        <is>
          <t>10.1016/j.bspc.2026.110970</t>
        </is>
      </c>
      <c r="F430" s="4" t="n">
        <v>2026</v>
      </c>
      <c r="G430" s="4" t="inlineStr">
        <is>
          <t>Include</t>
        </is>
      </c>
      <c r="H430" s="4" t="str"/>
      <c r="I430" s="4" t="n">
        <v>0</v>
      </c>
      <c r="J430" s="4" t="inlineStr">
        <is>
          <t>https://doi.org/10.1016/j.bspc.2026.110970</t>
        </is>
      </c>
      <c r="K430" s="4" t="inlineStr">
        <is>
          <t>Retrieved/reviewed; content sufficient for scoped adjudication</t>
        </is>
      </c>
      <c r="L430" s="4" t="inlineStr">
        <is>
          <t>Revision asistida por IA (un revisor; requiere verificacion independiente)</t>
        </is>
      </c>
      <c r="M430" s="40" t="n">
        <v>46269</v>
      </c>
      <c r="N430" s="4" t="inlineStr">
        <is>
          <t>Pending independent/source verification</t>
        </is>
      </c>
      <c r="O430" s="4" t="inlineStr">
        <is>
          <t>Extraccion_RQ_nuevos</t>
        </is>
      </c>
      <c r="P430" s="4" t="n">
        <v>154</v>
      </c>
    </row>
    <row r="431" ht="60" customHeight="1">
      <c r="A431" s="4" t="inlineStr">
        <is>
          <t>new_383</t>
        </is>
      </c>
      <c r="B431" s="4" t="inlineStr">
        <is>
          <t>Update</t>
        </is>
      </c>
      <c r="C431" s="4" t="n">
        <v>383</v>
      </c>
      <c r="D431" s="4" t="inlineStr">
        <is>
          <t>Longitudinal multi-omics analysis of umbilical cord blood and childhood serum in Autism</t>
        </is>
      </c>
      <c r="E431" s="4" t="inlineStr">
        <is>
          <t>10.1038/s41380-025-03157-z</t>
        </is>
      </c>
      <c r="F431" s="4" t="n">
        <v>2026</v>
      </c>
      <c r="G431" s="4" t="inlineStr">
        <is>
          <t>Include</t>
        </is>
      </c>
      <c r="H431" s="4" t="str"/>
      <c r="I431" s="4" t="n">
        <v>0</v>
      </c>
      <c r="J431" s="4" t="inlineStr">
        <is>
          <t>https://doi.org/10.1038/s41380-025-03157-z</t>
        </is>
      </c>
      <c r="K431" s="4" t="inlineStr">
        <is>
          <t>Retrieved/reviewed; content sufficient for scoped adjudication</t>
        </is>
      </c>
      <c r="L431" s="4" t="inlineStr">
        <is>
          <t>Revision asistida por IA (un revisor; requiere verificacion independiente)</t>
        </is>
      </c>
      <c r="M431" s="40" t="n">
        <v>46269</v>
      </c>
      <c r="N431" s="4" t="inlineStr">
        <is>
          <t>Pending independent/source verification</t>
        </is>
      </c>
      <c r="O431" s="4" t="inlineStr">
        <is>
          <t>Extraccion_RQ_nuevos</t>
        </is>
      </c>
      <c r="P431" s="4" t="n">
        <v>155</v>
      </c>
    </row>
    <row r="432" ht="60" customHeight="1">
      <c r="A432" s="4" t="inlineStr">
        <is>
          <t>new_386</t>
        </is>
      </c>
      <c r="B432" s="4" t="inlineStr">
        <is>
          <t>Update</t>
        </is>
      </c>
      <c r="C432" s="4" t="n">
        <v>386</v>
      </c>
      <c r="D432" s="4" t="inlineStr">
        <is>
          <t>3T dilated inception network for enhanced autism spectrum disorder diagnosis using resting-state fMRI data</t>
        </is>
      </c>
      <c r="E432" s="4" t="inlineStr">
        <is>
          <t>10.1007/s11571-024-10202-0</t>
        </is>
      </c>
      <c r="F432" s="4" t="n">
        <v>2025</v>
      </c>
      <c r="G432" s="4" t="inlineStr">
        <is>
          <t>Include</t>
        </is>
      </c>
      <c r="H432" s="4" t="str"/>
      <c r="I432" s="4" t="n">
        <v>0</v>
      </c>
      <c r="J432" s="4" t="inlineStr">
        <is>
          <t>https://doi.org/10.1007/s11571-024-10202-0</t>
        </is>
      </c>
      <c r="K432" s="4" t="inlineStr">
        <is>
          <t>Retrieved/reviewed; content sufficient for scoped adjudication</t>
        </is>
      </c>
      <c r="L432" s="4" t="inlineStr">
        <is>
          <t>Revision asistida por IA (un revisor; requiere verificacion independiente)</t>
        </is>
      </c>
      <c r="M432" s="40" t="n">
        <v>46269</v>
      </c>
      <c r="N432" s="4" t="inlineStr">
        <is>
          <t>Pending independent/source verification</t>
        </is>
      </c>
      <c r="O432" s="4" t="inlineStr">
        <is>
          <t>Extraccion_RQ_nuevos</t>
        </is>
      </c>
      <c r="P432" s="4" t="n">
        <v>156</v>
      </c>
    </row>
    <row r="433" ht="60" customHeight="1">
      <c r="A433" s="4" t="inlineStr">
        <is>
          <t>new_387</t>
        </is>
      </c>
      <c r="B433" s="4" t="inlineStr">
        <is>
          <t>Update</t>
        </is>
      </c>
      <c r="C433" s="4" t="n">
        <v>387</v>
      </c>
      <c r="D433" s="4" t="inlineStr">
        <is>
          <t>Predicting pragmatic language abilities from brain structural MRI in preschool children with ASD by NBS-Predict</t>
        </is>
      </c>
      <c r="E433" s="4" t="inlineStr">
        <is>
          <t>10.1007/s00787-025-02775-w</t>
        </is>
      </c>
      <c r="F433" s="4" t="n">
        <v>2025</v>
      </c>
      <c r="G433" s="4" t="inlineStr">
        <is>
          <t>Include</t>
        </is>
      </c>
      <c r="H433" s="4" t="str"/>
      <c r="I433" s="4" t="n">
        <v>0</v>
      </c>
      <c r="J433" s="4" t="inlineStr">
        <is>
          <t>https://doi.org/10.1007/s00787-025-02775-w</t>
        </is>
      </c>
      <c r="K433" s="4" t="inlineStr">
        <is>
          <t>Retrieved/reviewed; content sufficient for scoped adjudication</t>
        </is>
      </c>
      <c r="L433" s="4" t="inlineStr">
        <is>
          <t>Revision asistida por IA (un revisor; requiere verificacion independiente)</t>
        </is>
      </c>
      <c r="M433" s="40" t="n">
        <v>46269</v>
      </c>
      <c r="N433" s="4" t="inlineStr">
        <is>
          <t>Pending independent/source verification</t>
        </is>
      </c>
      <c r="O433" s="4" t="inlineStr">
        <is>
          <t>Extraccion_RQ_nuevos</t>
        </is>
      </c>
      <c r="P433" s="4" t="n">
        <v>157</v>
      </c>
    </row>
    <row r="434" ht="60" customHeight="1">
      <c r="A434" s="4" t="inlineStr">
        <is>
          <t>new_391</t>
        </is>
      </c>
      <c r="B434" s="4" t="inlineStr">
        <is>
          <t>Update</t>
        </is>
      </c>
      <c r="C434" s="4" t="n">
        <v>391</v>
      </c>
      <c r="D434" s="4" t="inlineStr">
        <is>
          <t>Cell death-associated genes as novel diagnostic biomarkers for autism spectrum disorder</t>
        </is>
      </c>
      <c r="E434" s="4" t="inlineStr">
        <is>
          <t>10.1007/s10495-025-02201-1</t>
        </is>
      </c>
      <c r="F434" s="4" t="n">
        <v>2026</v>
      </c>
      <c r="G434" s="4" t="inlineStr">
        <is>
          <t>Include</t>
        </is>
      </c>
      <c r="H434" s="4" t="str"/>
      <c r="I434" s="4" t="n">
        <v>0</v>
      </c>
      <c r="J434" s="4" t="inlineStr">
        <is>
          <t>https://doi.org/10.1007/s10495-025-02201-1</t>
        </is>
      </c>
      <c r="K434" s="4" t="inlineStr">
        <is>
          <t>Retrieved/reviewed; content sufficient for scoped adjudication</t>
        </is>
      </c>
      <c r="L434" s="4" t="inlineStr">
        <is>
          <t>Revision asistida por IA (un revisor; requiere verificacion independiente)</t>
        </is>
      </c>
      <c r="M434" s="40" t="n">
        <v>46269</v>
      </c>
      <c r="N434" s="4" t="inlineStr">
        <is>
          <t>Pending independent/source verification</t>
        </is>
      </c>
      <c r="O434" s="4" t="inlineStr">
        <is>
          <t>Extraccion_RQ_nuevos</t>
        </is>
      </c>
      <c r="P434" s="4" t="n">
        <v>158</v>
      </c>
    </row>
    <row r="435" ht="60" customHeight="1">
      <c r="A435" s="4" t="inlineStr">
        <is>
          <t>new_393</t>
        </is>
      </c>
      <c r="B435" s="4" t="inlineStr">
        <is>
          <t>Update</t>
        </is>
      </c>
      <c r="C435" s="4" t="n">
        <v>393</v>
      </c>
      <c r="D435" s="4" t="inlineStr">
        <is>
          <t>Integrating explainable AI with machine learning for reliable autism spectrum disorder diagnosis</t>
        </is>
      </c>
      <c r="E435" s="4" t="inlineStr">
        <is>
          <t>10.1007/s42454-025-00087-7</t>
        </is>
      </c>
      <c r="F435" s="4" t="n">
        <v>2025</v>
      </c>
      <c r="G435" s="4" t="inlineStr">
        <is>
          <t>Include</t>
        </is>
      </c>
      <c r="H435" s="4" t="str"/>
      <c r="I435" s="4" t="n">
        <v>0</v>
      </c>
      <c r="J435" s="4" t="inlineStr">
        <is>
          <t>https://doi.org/10.1007/s42454-025-00087-7</t>
        </is>
      </c>
      <c r="K435" s="4" t="inlineStr">
        <is>
          <t>Retrieved/reviewed; content sufficient for scoped adjudication</t>
        </is>
      </c>
      <c r="L435" s="4" t="inlineStr">
        <is>
          <t>Revision asistida por IA (un revisor; requiere verificacion independiente)</t>
        </is>
      </c>
      <c r="M435" s="40" t="n">
        <v>46269</v>
      </c>
      <c r="N435" s="4" t="inlineStr">
        <is>
          <t>Pending independent/source verification</t>
        </is>
      </c>
      <c r="O435" s="4" t="inlineStr">
        <is>
          <t>Extraccion_RQ_nuevos</t>
        </is>
      </c>
      <c r="P435" s="4" t="n">
        <v>159</v>
      </c>
    </row>
    <row r="436" ht="60" customHeight="1">
      <c r="A436" s="4" t="inlineStr">
        <is>
          <t>new_398</t>
        </is>
      </c>
      <c r="B436" s="4" t="inlineStr">
        <is>
          <t>Update</t>
        </is>
      </c>
      <c r="C436" s="4" t="n">
        <v>398</v>
      </c>
      <c r="D436" s="4" t="inlineStr">
        <is>
          <t>Diagnostic Classification of Autism Spectrum Disorder Using SD Maps of fMRI Data and Machine Learning</t>
        </is>
      </c>
      <c r="E436" s="4" t="inlineStr">
        <is>
          <t>10.1007/s40846-026-01044-8</t>
        </is>
      </c>
      <c r="F436" s="4" t="n">
        <v>2026</v>
      </c>
      <c r="G436" s="4" t="inlineStr">
        <is>
          <t>Include</t>
        </is>
      </c>
      <c r="H436" s="4" t="str"/>
      <c r="I436" s="4" t="n">
        <v>0</v>
      </c>
      <c r="J436" s="4" t="inlineStr">
        <is>
          <t>https://doi.org/10.1007/s40846-026-01044-8</t>
        </is>
      </c>
      <c r="K436" s="4" t="inlineStr">
        <is>
          <t>Retrieved/reviewed; content sufficient for scoped adjudication</t>
        </is>
      </c>
      <c r="L436" s="4" t="inlineStr">
        <is>
          <t>Revision asistida por IA (un revisor; requiere verificacion independiente)</t>
        </is>
      </c>
      <c r="M436" s="40" t="n">
        <v>46269</v>
      </c>
      <c r="N436" s="4" t="inlineStr">
        <is>
          <t>Pending independent/source verification</t>
        </is>
      </c>
      <c r="O436" s="4" t="inlineStr">
        <is>
          <t>Extraccion_RQ_nuevos</t>
        </is>
      </c>
      <c r="P436" s="4" t="n">
        <v>160</v>
      </c>
    </row>
    <row r="437" ht="73" customHeight="1">
      <c r="A437" s="4" t="inlineStr">
        <is>
          <t>new_5</t>
        </is>
      </c>
      <c r="B437" s="4" t="inlineStr">
        <is>
          <t>Update</t>
        </is>
      </c>
      <c r="C437" s="4" t="n">
        <v>5</v>
      </c>
      <c r="D437" s="4" t="inlineStr">
        <is>
          <t>An exploration of machine learning approaches for early Autism Spectrum Disorder detection</t>
        </is>
      </c>
      <c r="E437" s="4" t="inlineStr">
        <is>
          <t>10.1016/j.health.2024.100379</t>
        </is>
      </c>
      <c r="F437" s="4" t="n">
        <v>2025</v>
      </c>
      <c r="G437" s="4" t="inlineStr">
        <is>
          <t>Include</t>
        </is>
      </c>
      <c r="H437" s="4" t="str"/>
      <c r="I437" s="4" t="n">
        <v>0</v>
      </c>
      <c r="J437" s="4" t="inlineStr">
        <is>
          <t>https://doi.org/10.1016/j.health.2024.100379</t>
        </is>
      </c>
      <c r="K437" s="4" t="inlineStr">
        <is>
          <t>Eligibility reviewed from accessible primary-source content; scoped adjudication completed</t>
        </is>
      </c>
      <c r="L437" s="4" t="inlineStr">
        <is>
          <t>Revisión asistida por IA (un revisor; requiere verificación independiente)</t>
        </is>
      </c>
      <c r="M437" s="40" t="n">
        <v>46269</v>
      </c>
      <c r="N437" s="4" t="inlineStr">
        <is>
          <t>Pending independent/source verification</t>
        </is>
      </c>
      <c r="O437" s="4" t="inlineStr">
        <is>
          <t>Extraccion_RQ_nuevos</t>
        </is>
      </c>
      <c r="P437" s="4" t="n">
        <v>161</v>
      </c>
    </row>
    <row r="438" ht="73" customHeight="1">
      <c r="A438" s="4" t="inlineStr">
        <is>
          <t>new_11</t>
        </is>
      </c>
      <c r="B438" s="4" t="inlineStr">
        <is>
          <t>Update</t>
        </is>
      </c>
      <c r="C438" s="4" t="n">
        <v>11</v>
      </c>
      <c r="D438" s="4" t="inlineStr">
        <is>
          <t>Ensembler_fMRI: An Intelligent Approach for the Early Prediction of Autism Disorder</t>
        </is>
      </c>
      <c r="E438" s="4" t="inlineStr">
        <is>
          <t>10.1016/j.procs.2025.04.142</t>
        </is>
      </c>
      <c r="F438" s="4" t="n">
        <v>2025</v>
      </c>
      <c r="G438" s="4" t="inlineStr">
        <is>
          <t>Include</t>
        </is>
      </c>
      <c r="H438" s="4" t="str"/>
      <c r="I438" s="4" t="n">
        <v>0</v>
      </c>
      <c r="J438" s="4" t="inlineStr">
        <is>
          <t>https://doi.org/10.1016/j.procs.2025.04.142</t>
        </is>
      </c>
      <c r="K438" s="4" t="inlineStr">
        <is>
          <t>Eligibility reviewed from accessible primary-source content; scoped adjudication completed</t>
        </is>
      </c>
      <c r="L438" s="4" t="inlineStr">
        <is>
          <t>Revisión asistida por IA (un revisor; requiere verificación independiente)</t>
        </is>
      </c>
      <c r="M438" s="40" t="n">
        <v>46269</v>
      </c>
      <c r="N438" s="4" t="inlineStr">
        <is>
          <t>Pending independent/source verification</t>
        </is>
      </c>
      <c r="O438" s="4" t="inlineStr">
        <is>
          <t>Extraccion_RQ_nuevos</t>
        </is>
      </c>
      <c r="P438" s="4" t="n">
        <v>162</v>
      </c>
    </row>
    <row r="439" ht="73" customHeight="1">
      <c r="A439" s="4" t="inlineStr">
        <is>
          <t>new_16</t>
        </is>
      </c>
      <c r="B439" s="4" t="inlineStr">
        <is>
          <t>Update</t>
        </is>
      </c>
      <c r="C439" s="4" t="n">
        <v>16</v>
      </c>
      <c r="D439" s="4" t="inlineStr">
        <is>
          <t>Unraveling pathogenesis and potential biomarkers for autism spectrum disorder associated with HIF1A pathway based on machine learning and experiment validation</t>
        </is>
      </c>
      <c r="E439" s="4" t="inlineStr">
        <is>
          <t>10.1016/j.nbd.2024.106763</t>
        </is>
      </c>
      <c r="F439" s="4" t="n">
        <v>2025</v>
      </c>
      <c r="G439" s="4" t="inlineStr">
        <is>
          <t>Include</t>
        </is>
      </c>
      <c r="H439" s="4" t="str"/>
      <c r="I439" s="4" t="n">
        <v>0</v>
      </c>
      <c r="J439" s="4" t="inlineStr">
        <is>
          <t>https://doi.org/10.1016/j.nbd.2024.106763</t>
        </is>
      </c>
      <c r="K439" s="4" t="inlineStr">
        <is>
          <t>Eligibility reviewed from accessible primary-source content; scoped adjudication completed</t>
        </is>
      </c>
      <c r="L439" s="4" t="inlineStr">
        <is>
          <t>Revisión asistida por IA (un revisor; requiere verificación independiente)</t>
        </is>
      </c>
      <c r="M439" s="40" t="n">
        <v>46269</v>
      </c>
      <c r="N439" s="4" t="inlineStr">
        <is>
          <t>Pending independent/source verification</t>
        </is>
      </c>
      <c r="O439" s="4" t="inlineStr">
        <is>
          <t>Extraccion_RQ_nuevos</t>
        </is>
      </c>
      <c r="P439" s="4" t="n">
        <v>163</v>
      </c>
    </row>
    <row r="440" ht="73" customHeight="1">
      <c r="A440" s="4" t="inlineStr">
        <is>
          <t>new_27</t>
        </is>
      </c>
      <c r="B440" s="4" t="inlineStr">
        <is>
          <t>Update</t>
        </is>
      </c>
      <c r="C440" s="4" t="n">
        <v>27</v>
      </c>
      <c r="D440" s="4" t="inlineStr">
        <is>
          <t>Developing a simplified measure to predict the risk of autism spectrum disorders: Abbreviating the M-CHAT-R using a machine learning approach in China</t>
        </is>
      </c>
      <c r="E440" s="4" t="inlineStr">
        <is>
          <t>10.1016/j.psychres.2025.116353</t>
        </is>
      </c>
      <c r="F440" s="4" t="n">
        <v>2025</v>
      </c>
      <c r="G440" s="4" t="inlineStr">
        <is>
          <t>Include</t>
        </is>
      </c>
      <c r="H440" s="4" t="str"/>
      <c r="I440" s="4" t="n">
        <v>0</v>
      </c>
      <c r="J440" s="4" t="inlineStr">
        <is>
          <t>https://doi.org/10.1016/j.psychres.2025.116353</t>
        </is>
      </c>
      <c r="K440" s="4" t="inlineStr">
        <is>
          <t>Eligibility reviewed from accessible primary-source content; scoped adjudication completed</t>
        </is>
      </c>
      <c r="L440" s="4" t="inlineStr">
        <is>
          <t>Revisión asistida por IA (un revisor; requiere verificación independiente)</t>
        </is>
      </c>
      <c r="M440" s="40" t="n">
        <v>46269</v>
      </c>
      <c r="N440" s="4" t="inlineStr">
        <is>
          <t>Pending independent/source verification</t>
        </is>
      </c>
      <c r="O440" s="4" t="inlineStr">
        <is>
          <t>Extraccion_RQ_nuevos</t>
        </is>
      </c>
      <c r="P440" s="4" t="n">
        <v>164</v>
      </c>
    </row>
    <row r="441" ht="73" customHeight="1">
      <c r="A441" s="4" t="inlineStr">
        <is>
          <t>new_31</t>
        </is>
      </c>
      <c r="B441" s="4" t="inlineStr">
        <is>
          <t>Update</t>
        </is>
      </c>
      <c r="C441" s="4" t="n">
        <v>31</v>
      </c>
      <c r="D441" s="4" t="inlineStr">
        <is>
          <t>Replication of rs10099100 Association with Autism Spectrum Disorder Risk in a Polish‐Origin Cohort</t>
        </is>
      </c>
      <c r="E441" s="4" t="inlineStr">
        <is>
          <t>10.1016/j.reia.2025.202542</t>
        </is>
      </c>
      <c r="F441" s="4" t="n">
        <v>2025</v>
      </c>
      <c r="G441" s="4" t="inlineStr">
        <is>
          <t>Include</t>
        </is>
      </c>
      <c r="H441" s="4" t="str"/>
      <c r="I441" s="4" t="n">
        <v>0</v>
      </c>
      <c r="J441" s="4" t="inlineStr">
        <is>
          <t>https://doi.org/10.1016/j.reia.2025.202542</t>
        </is>
      </c>
      <c r="K441" s="4" t="inlineStr">
        <is>
          <t>Eligibility reviewed from accessible primary-source content; scoped adjudication completed</t>
        </is>
      </c>
      <c r="L441" s="4" t="inlineStr">
        <is>
          <t>Revisión asistida por IA (un revisor; requiere verificación independiente)</t>
        </is>
      </c>
      <c r="M441" s="40" t="n">
        <v>46269</v>
      </c>
      <c r="N441" s="4" t="inlineStr">
        <is>
          <t>Pending independent/source verification</t>
        </is>
      </c>
      <c r="O441" s="4" t="inlineStr">
        <is>
          <t>Extraccion_RQ_nuevos</t>
        </is>
      </c>
      <c r="P441" s="4" t="n">
        <v>165</v>
      </c>
    </row>
    <row r="442" ht="73" customHeight="1">
      <c r="A442" s="4" t="inlineStr">
        <is>
          <t>new_42</t>
        </is>
      </c>
      <c r="B442" s="4" t="inlineStr">
        <is>
          <t>Update</t>
        </is>
      </c>
      <c r="C442" s="4" t="n">
        <v>42</v>
      </c>
      <c r="D442" s="4" t="inlineStr">
        <is>
          <t>Enhancing Early Diagnosis of Autism Spectrum Disorder Using a Bayesian-Optimized Random Forest Algorithm</t>
        </is>
      </c>
      <c r="E442" s="4" t="inlineStr">
        <is>
          <t>10.1016/j.procs.2025.04.389</t>
        </is>
      </c>
      <c r="F442" s="4" t="n">
        <v>2025</v>
      </c>
      <c r="G442" s="4" t="inlineStr">
        <is>
          <t>Include</t>
        </is>
      </c>
      <c r="H442" s="4" t="str"/>
      <c r="I442" s="4" t="n">
        <v>0</v>
      </c>
      <c r="J442" s="4" t="inlineStr">
        <is>
          <t>https://doi.org/10.1016/j.procs.2025.04.389</t>
        </is>
      </c>
      <c r="K442" s="4" t="inlineStr">
        <is>
          <t>Eligibility reviewed from accessible primary-source content; scoped adjudication completed</t>
        </is>
      </c>
      <c r="L442" s="4" t="inlineStr">
        <is>
          <t>Revisión asistida por IA (un revisor; requiere verificación independiente)</t>
        </is>
      </c>
      <c r="M442" s="40" t="n">
        <v>46269</v>
      </c>
      <c r="N442" s="4" t="inlineStr">
        <is>
          <t>Pending independent/source verification</t>
        </is>
      </c>
      <c r="O442" s="4" t="inlineStr">
        <is>
          <t>Extraccion_RQ_nuevos</t>
        </is>
      </c>
      <c r="P442" s="4" t="n">
        <v>166</v>
      </c>
    </row>
    <row r="443" ht="73" customHeight="1">
      <c r="A443" s="4" t="inlineStr">
        <is>
          <t>new_45</t>
        </is>
      </c>
      <c r="B443" s="4" t="inlineStr">
        <is>
          <t>Update</t>
        </is>
      </c>
      <c r="C443" s="4" t="n">
        <v>45</v>
      </c>
      <c r="D443" s="4" t="inlineStr">
        <is>
          <t>Autism Spectrum Disorder Detection using Attention-Based CNN and ML Classifiers</t>
        </is>
      </c>
      <c r="E443" s="4" t="inlineStr">
        <is>
          <t>10.1016/j.procs.2025.04.671</t>
        </is>
      </c>
      <c r="F443" s="4" t="n">
        <v>2025</v>
      </c>
      <c r="G443" s="4" t="inlineStr">
        <is>
          <t>Include</t>
        </is>
      </c>
      <c r="H443" s="4" t="str"/>
      <c r="I443" s="4" t="n">
        <v>0</v>
      </c>
      <c r="J443" s="4" t="inlineStr">
        <is>
          <t>https://doi.org/10.1016/j.procs.2025.04.671</t>
        </is>
      </c>
      <c r="K443" s="4" t="inlineStr">
        <is>
          <t>Eligibility reviewed from accessible primary-source content; scoped adjudication completed</t>
        </is>
      </c>
      <c r="L443" s="4" t="inlineStr">
        <is>
          <t>Revisión asistida por IA (un revisor; requiere verificación independiente)</t>
        </is>
      </c>
      <c r="M443" s="40" t="n">
        <v>46269</v>
      </c>
      <c r="N443" s="4" t="inlineStr">
        <is>
          <t>Pending independent/source verification</t>
        </is>
      </c>
      <c r="O443" s="4" t="inlineStr">
        <is>
          <t>Extraccion_RQ_nuevos</t>
        </is>
      </c>
      <c r="P443" s="4" t="n">
        <v>167</v>
      </c>
    </row>
    <row r="444" ht="73" customHeight="1">
      <c r="A444" s="4" t="inlineStr">
        <is>
          <t>new_56</t>
        </is>
      </c>
      <c r="B444" s="4" t="inlineStr">
        <is>
          <t>Update</t>
        </is>
      </c>
      <c r="C444" s="4" t="n">
        <v>56</v>
      </c>
      <c r="D444" s="4" t="inlineStr">
        <is>
          <t>Effective AI Techniques for Analyzing Risk Factors in Autism Spectrum Disorder (ASD)</t>
        </is>
      </c>
      <c r="E444" s="4" t="inlineStr">
        <is>
          <t>10.1016/j.procs.2025.10.018</t>
        </is>
      </c>
      <c r="F444" s="4" t="n">
        <v>2025</v>
      </c>
      <c r="G444" s="4" t="inlineStr">
        <is>
          <t>Include</t>
        </is>
      </c>
      <c r="H444" s="4" t="str"/>
      <c r="I444" s="4" t="n">
        <v>0</v>
      </c>
      <c r="J444" s="4" t="inlineStr">
        <is>
          <t>https://doi.org/10.1016/j.procs.2025.10.018</t>
        </is>
      </c>
      <c r="K444" s="4" t="inlineStr">
        <is>
          <t>Eligibility reviewed from accessible primary-source content; scoped adjudication completed</t>
        </is>
      </c>
      <c r="L444" s="4" t="inlineStr">
        <is>
          <t>Revisión asistida por IA (un revisor; requiere verificación independiente)</t>
        </is>
      </c>
      <c r="M444" s="40" t="n">
        <v>46269</v>
      </c>
      <c r="N444" s="4" t="inlineStr">
        <is>
          <t>Pending independent/source verification</t>
        </is>
      </c>
      <c r="O444" s="4" t="inlineStr">
        <is>
          <t>Extraccion_RQ_nuevos</t>
        </is>
      </c>
      <c r="P444" s="4" t="n">
        <v>168</v>
      </c>
    </row>
    <row r="445" ht="73" customHeight="1">
      <c r="A445" s="4" t="inlineStr">
        <is>
          <t>new_92</t>
        </is>
      </c>
      <c r="B445" s="4" t="inlineStr">
        <is>
          <t>Update</t>
        </is>
      </c>
      <c r="C445" s="4" t="n">
        <v>92</v>
      </c>
      <c r="D445" s="4" t="inlineStr">
        <is>
          <t>Data independent acquisition proteomics and machine learning reveals that proteins associated with immunity are potential molecular markers for early diagnosis of autism</t>
        </is>
      </c>
      <c r="E445" s="4" t="inlineStr">
        <is>
          <t>10.1016/j.cca.2025.120238</t>
        </is>
      </c>
      <c r="F445" s="4" t="n">
        <v>2025</v>
      </c>
      <c r="G445" s="4" t="inlineStr">
        <is>
          <t>Include</t>
        </is>
      </c>
      <c r="H445" s="4" t="str"/>
      <c r="I445" s="4" t="n">
        <v>0</v>
      </c>
      <c r="J445" s="4" t="inlineStr">
        <is>
          <t>https://doi.org/10.1016/j.cca.2025.120238</t>
        </is>
      </c>
      <c r="K445" s="4" t="inlineStr">
        <is>
          <t>Eligibility reviewed from accessible primary-source content; scoped adjudication completed</t>
        </is>
      </c>
      <c r="L445" s="4" t="inlineStr">
        <is>
          <t>Revisión asistida por IA (un revisor; requiere verificación independiente)</t>
        </is>
      </c>
      <c r="M445" s="40" t="n">
        <v>46269</v>
      </c>
      <c r="N445" s="4" t="inlineStr">
        <is>
          <t>Pending independent/source verification</t>
        </is>
      </c>
      <c r="O445" s="4" t="inlineStr">
        <is>
          <t>Extraccion_RQ_nuevos</t>
        </is>
      </c>
      <c r="P445" s="4" t="n">
        <v>169</v>
      </c>
    </row>
    <row r="446" ht="73" customHeight="1">
      <c r="A446" s="4" t="inlineStr">
        <is>
          <t>new_183</t>
        </is>
      </c>
      <c r="B446" s="4" t="inlineStr">
        <is>
          <t>Update</t>
        </is>
      </c>
      <c r="C446" s="4" t="n">
        <v>183</v>
      </c>
      <c r="D446" s="4" t="inlineStr">
        <is>
          <t>Adaptive Multi-Scale Dynamic Graph Representation Learning With Overlapping Community-Awareness for ASD Classification</t>
        </is>
      </c>
      <c r="E446" s="4" t="inlineStr">
        <is>
          <t>10.1109/jbhi.2025.3622540</t>
        </is>
      </c>
      <c r="F446" s="4" t="n">
        <v>2025</v>
      </c>
      <c r="G446" s="4" t="inlineStr">
        <is>
          <t>Include</t>
        </is>
      </c>
      <c r="H446" s="4" t="str"/>
      <c r="I446" s="4" t="n">
        <v>0</v>
      </c>
      <c r="J446" s="4" t="inlineStr">
        <is>
          <t>https://doi.org/10.1109/jbhi.2025.3622540</t>
        </is>
      </c>
      <c r="K446" s="4" t="inlineStr">
        <is>
          <t>Eligibility reviewed from accessible primary-source content; scoped adjudication completed</t>
        </is>
      </c>
      <c r="L446" s="4" t="inlineStr">
        <is>
          <t>Revisión asistida por IA (un revisor; requiere verificación independiente)</t>
        </is>
      </c>
      <c r="M446" s="40" t="n">
        <v>46269</v>
      </c>
      <c r="N446" s="4" t="inlineStr">
        <is>
          <t>Pending independent/source verification</t>
        </is>
      </c>
      <c r="O446" s="4" t="inlineStr">
        <is>
          <t>Extraccion_RQ_nuevos</t>
        </is>
      </c>
      <c r="P446" s="4" t="n">
        <v>170</v>
      </c>
    </row>
    <row r="447" ht="73" customHeight="1">
      <c r="A447" s="4" t="inlineStr">
        <is>
          <t>new_198</t>
        </is>
      </c>
      <c r="B447" s="4" t="inlineStr">
        <is>
          <t>Update</t>
        </is>
      </c>
      <c r="C447" s="4" t="n">
        <v>198</v>
      </c>
      <c r="D447" s="4" t="inlineStr">
        <is>
          <t>A Multimodal AI Framework for Early Autism Identification Using CbRNN–Ensemble Modelling and Advanced NCIAPPF-Based Temporal Encoding</t>
        </is>
      </c>
      <c r="E447" s="4" t="inlineStr">
        <is>
          <t>10.1002/jdn.70117</t>
        </is>
      </c>
      <c r="F447" s="4" t="n">
        <v>2026</v>
      </c>
      <c r="G447" s="4" t="inlineStr">
        <is>
          <t>Include</t>
        </is>
      </c>
      <c r="H447" s="4" t="str"/>
      <c r="I447" s="4" t="n">
        <v>0</v>
      </c>
      <c r="J447" s="4" t="inlineStr">
        <is>
          <t>https://doi.org/10.1002/jdn.70117</t>
        </is>
      </c>
      <c r="K447" s="4" t="inlineStr">
        <is>
          <t>Eligibility reviewed from accessible primary-source content; scoped adjudication completed</t>
        </is>
      </c>
      <c r="L447" s="4" t="inlineStr">
        <is>
          <t>Revisión asistida por IA (un revisor; requiere verificación independiente)</t>
        </is>
      </c>
      <c r="M447" s="40" t="n">
        <v>46269</v>
      </c>
      <c r="N447" s="4" t="inlineStr">
        <is>
          <t>Pending independent/source verification</t>
        </is>
      </c>
      <c r="O447" s="4" t="inlineStr">
        <is>
          <t>Extraccion_RQ_nuevos</t>
        </is>
      </c>
      <c r="P447" s="4" t="n">
        <v>171</v>
      </c>
    </row>
    <row r="448" ht="73" customHeight="1">
      <c r="A448" s="4" t="inlineStr">
        <is>
          <t>new_239</t>
        </is>
      </c>
      <c r="B448" s="4" t="inlineStr">
        <is>
          <t>Update</t>
        </is>
      </c>
      <c r="C448" s="4" t="n">
        <v>239</v>
      </c>
      <c r="D448" s="4" t="inlineStr">
        <is>
          <t>Real-Time Classification for EEG Data in Children With ASD Using Deep Learning Techniques</t>
        </is>
      </c>
      <c r="E448" s="4" t="inlineStr">
        <is>
          <t>10.1002/dneu.23009</t>
        </is>
      </c>
      <c r="F448" s="4" t="n">
        <v>2025</v>
      </c>
      <c r="G448" s="4" t="inlineStr">
        <is>
          <t>Include</t>
        </is>
      </c>
      <c r="H448" s="4" t="str"/>
      <c r="I448" s="4" t="n">
        <v>0</v>
      </c>
      <c r="J448" s="4" t="inlineStr">
        <is>
          <t>https://doi.org/10.1002/dneu.23009</t>
        </is>
      </c>
      <c r="K448" s="4" t="inlineStr">
        <is>
          <t>Eligibility reviewed from accessible primary-source content; scoped adjudication completed</t>
        </is>
      </c>
      <c r="L448" s="4" t="inlineStr">
        <is>
          <t>Revisión asistida por IA (un revisor; requiere verificación independiente)</t>
        </is>
      </c>
      <c r="M448" s="40" t="n">
        <v>46269</v>
      </c>
      <c r="N448" s="4" t="inlineStr">
        <is>
          <t>Pending independent/source verification</t>
        </is>
      </c>
      <c r="O448" s="4" t="inlineStr">
        <is>
          <t>Extraccion_RQ_nuevos</t>
        </is>
      </c>
      <c r="P448" s="4" t="n">
        <v>172</v>
      </c>
    </row>
    <row r="449" ht="73" customHeight="1">
      <c r="A449" s="4" t="inlineStr">
        <is>
          <t>new_400</t>
        </is>
      </c>
      <c r="B449" s="4" t="inlineStr">
        <is>
          <t>Update</t>
        </is>
      </c>
      <c r="C449" s="4" t="n">
        <v>400</v>
      </c>
      <c r="D449" s="4" t="inlineStr">
        <is>
          <t>Mitochondrial Gene Signature Reveals Novel Diagnostic Biomarkers for Autism Spectrum Disorder</t>
        </is>
      </c>
      <c r="E449" s="4" t="inlineStr">
        <is>
          <t>10.1007/s12035-026-05911-y</t>
        </is>
      </c>
      <c r="F449" s="4" t="n">
        <v>2026</v>
      </c>
      <c r="G449" s="4" t="inlineStr">
        <is>
          <t>Include</t>
        </is>
      </c>
      <c r="H449" s="4" t="str"/>
      <c r="I449" s="4" t="n">
        <v>0</v>
      </c>
      <c r="J449" s="4" t="inlineStr">
        <is>
          <t>https://doi.org/10.1007/s12035-026-05911-y</t>
        </is>
      </c>
      <c r="K449" s="4" t="inlineStr">
        <is>
          <t>Eligibility reviewed from accessible primary-source content; scoped adjudication completed</t>
        </is>
      </c>
      <c r="L449" s="4" t="inlineStr">
        <is>
          <t>Revisión asistida por IA (un revisor; requiere verificación independiente)</t>
        </is>
      </c>
      <c r="M449" s="40" t="n">
        <v>46269</v>
      </c>
      <c r="N449" s="4" t="inlineStr">
        <is>
          <t>Pending independent/source verification</t>
        </is>
      </c>
      <c r="O449" s="4" t="inlineStr">
        <is>
          <t>Extraccion_RQ_nuevos</t>
        </is>
      </c>
      <c r="P449" s="4" t="n">
        <v>173</v>
      </c>
    </row>
    <row r="450" ht="73" customHeight="1">
      <c r="A450" s="4" t="inlineStr">
        <is>
          <t>new_411</t>
        </is>
      </c>
      <c r="B450" s="4" t="inlineStr">
        <is>
          <t>Update</t>
        </is>
      </c>
      <c r="C450" s="4" t="n">
        <v>411</v>
      </c>
      <c r="D450" s="4" t="inlineStr">
        <is>
          <t>Blood-based DNA methylation markers for autism spectrum disorder identification using machine learning</t>
        </is>
      </c>
      <c r="E450" s="4" t="inlineStr">
        <is>
          <t>10.1080/17501911.2025.2557186</t>
        </is>
      </c>
      <c r="F450" s="4" t="n">
        <v>2025</v>
      </c>
      <c r="G450" s="4" t="inlineStr">
        <is>
          <t>Include</t>
        </is>
      </c>
      <c r="H450" s="4" t="str"/>
      <c r="I450" s="4" t="n">
        <v>0</v>
      </c>
      <c r="J450" s="4" t="inlineStr">
        <is>
          <t>https://doi.org/10.1080/17501911.2025.2557186</t>
        </is>
      </c>
      <c r="K450" s="4" t="inlineStr">
        <is>
          <t>Eligibility reviewed from accessible primary-source content; scoped adjudication completed</t>
        </is>
      </c>
      <c r="L450" s="4" t="inlineStr">
        <is>
          <t>Revisión asistida por IA (un revisor; requiere verificación independiente)</t>
        </is>
      </c>
      <c r="M450" s="40" t="n">
        <v>46269</v>
      </c>
      <c r="N450" s="4" t="inlineStr">
        <is>
          <t>Pending independent/source verification</t>
        </is>
      </c>
      <c r="O450" s="4" t="inlineStr">
        <is>
          <t>Extraccion_RQ_nuevos</t>
        </is>
      </c>
      <c r="P450" s="4" t="n">
        <v>174</v>
      </c>
    </row>
    <row r="451" ht="73" customHeight="1">
      <c r="A451" s="4" t="inlineStr">
        <is>
          <t>new_412</t>
        </is>
      </c>
      <c r="B451" s="4" t="inlineStr">
        <is>
          <t>Update</t>
        </is>
      </c>
      <c r="C451" s="4" t="n">
        <v>412</v>
      </c>
      <c r="D451" s="4" t="inlineStr">
        <is>
          <t>Federated Transformer-Based Deep Learning Framework for Secure and Early Autism Diagnosis</t>
        </is>
      </c>
      <c r="E451" s="4" t="inlineStr">
        <is>
          <t>10.1007/s42979-026-04806-y</t>
        </is>
      </c>
      <c r="F451" s="4" t="n">
        <v>2026</v>
      </c>
      <c r="G451" s="4" t="inlineStr">
        <is>
          <t>Include</t>
        </is>
      </c>
      <c r="H451" s="4" t="str"/>
      <c r="I451" s="4" t="n">
        <v>0</v>
      </c>
      <c r="J451" s="4" t="inlineStr">
        <is>
          <t>https://doi.org/10.1007/s42979-026-04806-y</t>
        </is>
      </c>
      <c r="K451" s="4" t="inlineStr">
        <is>
          <t>Eligibility reviewed from accessible primary-source content; scoped adjudication completed</t>
        </is>
      </c>
      <c r="L451" s="4" t="inlineStr">
        <is>
          <t>Revisión asistida por IA (un revisor; requiere verificación independiente)</t>
        </is>
      </c>
      <c r="M451" s="40" t="n">
        <v>46269</v>
      </c>
      <c r="N451" s="4" t="inlineStr">
        <is>
          <t>Pending independent/source verification</t>
        </is>
      </c>
      <c r="O451" s="4" t="inlineStr">
        <is>
          <t>Extraccion_RQ_nuevos</t>
        </is>
      </c>
      <c r="P451" s="4" t="n">
        <v>175</v>
      </c>
    </row>
    <row r="452" ht="73" customHeight="1">
      <c r="A452" s="4" t="inlineStr">
        <is>
          <t>new_415</t>
        </is>
      </c>
      <c r="B452" s="4" t="inlineStr">
        <is>
          <t>Update</t>
        </is>
      </c>
      <c r="C452" s="4" t="n">
        <v>415</v>
      </c>
      <c r="D452" s="4" t="inlineStr">
        <is>
          <t>Artificial intelligence-based diagnostic model for autism spectrum disorder using blood biomarkers</t>
        </is>
      </c>
      <c r="E452" s="4" t="inlineStr">
        <is>
          <t>10.1007/s00521-025-11553-3</t>
        </is>
      </c>
      <c r="F452" s="4" t="n">
        <v>2025</v>
      </c>
      <c r="G452" s="4" t="inlineStr">
        <is>
          <t>Include</t>
        </is>
      </c>
      <c r="H452" s="4" t="str"/>
      <c r="I452" s="4" t="n">
        <v>0</v>
      </c>
      <c r="J452" s="4" t="inlineStr">
        <is>
          <t>https://doi.org/10.1007/s00521-025-11553-3</t>
        </is>
      </c>
      <c r="K452" s="4" t="inlineStr">
        <is>
          <t>Eligibility reviewed from accessible primary-source content; scoped adjudication completed</t>
        </is>
      </c>
      <c r="L452" s="4" t="inlineStr">
        <is>
          <t>Revisión asistida por IA (un revisor; requiere verificación independiente)</t>
        </is>
      </c>
      <c r="M452" s="40" t="n">
        <v>46269</v>
      </c>
      <c r="N452" s="4" t="inlineStr">
        <is>
          <t>Pending independent/source verification</t>
        </is>
      </c>
      <c r="O452" s="4" t="inlineStr">
        <is>
          <t>Extraccion_RQ_nuevos</t>
        </is>
      </c>
      <c r="P452" s="4" t="n">
        <v>176</v>
      </c>
    </row>
    <row r="453" ht="73" customHeight="1">
      <c r="A453" s="4" t="inlineStr">
        <is>
          <t>new_416</t>
        </is>
      </c>
      <c r="B453" s="4" t="inlineStr">
        <is>
          <t>Update</t>
        </is>
      </c>
      <c r="C453" s="4" t="n">
        <v>416</v>
      </c>
      <c r="D453" s="4" t="inlineStr">
        <is>
          <t>An explainable deep learning framework for screening level autism severity using behavioural data</t>
        </is>
      </c>
      <c r="E453" s="4" t="inlineStr">
        <is>
          <t>10.1007/s42452-026-08352-3</t>
        </is>
      </c>
      <c r="F453" s="4" t="n">
        <v>2026</v>
      </c>
      <c r="G453" s="4" t="inlineStr">
        <is>
          <t>Include</t>
        </is>
      </c>
      <c r="H453" s="4" t="str"/>
      <c r="I453" s="4" t="n">
        <v>0</v>
      </c>
      <c r="J453" s="4" t="inlineStr">
        <is>
          <t>https://doi.org/10.1007/s42452-026-08352-3</t>
        </is>
      </c>
      <c r="K453" s="4" t="inlineStr">
        <is>
          <t>Eligibility reviewed from accessible primary-source content; scoped adjudication completed</t>
        </is>
      </c>
      <c r="L453" s="4" t="inlineStr">
        <is>
          <t>Revisión asistida por IA (un revisor; requiere verificación independiente)</t>
        </is>
      </c>
      <c r="M453" s="40" t="n">
        <v>46269</v>
      </c>
      <c r="N453" s="4" t="inlineStr">
        <is>
          <t>Pending independent/source verification</t>
        </is>
      </c>
      <c r="O453" s="4" t="inlineStr">
        <is>
          <t>Extraccion_RQ_nuevos</t>
        </is>
      </c>
      <c r="P453" s="4" t="n">
        <v>177</v>
      </c>
    </row>
    <row r="454" ht="73" customHeight="1">
      <c r="A454" s="4" t="inlineStr">
        <is>
          <t>new_421</t>
        </is>
      </c>
      <c r="B454" s="4" t="inlineStr">
        <is>
          <t>Update</t>
        </is>
      </c>
      <c r="C454" s="4" t="n">
        <v>421</v>
      </c>
      <c r="D454" s="4" t="inlineStr">
        <is>
          <t>Edge-Based Robot-Assisted Hand Gesture Recognition for Autism Intervention Using Hybrid Keyframe Selection and Contrastive Learning</t>
        </is>
      </c>
      <c r="E454" s="4" t="inlineStr">
        <is>
          <t>10.1109/tmrb.2026.3680976</t>
        </is>
      </c>
      <c r="F454" s="4" t="n">
        <v>2026</v>
      </c>
      <c r="G454" s="4" t="inlineStr">
        <is>
          <t>Include</t>
        </is>
      </c>
      <c r="H454" s="4" t="str"/>
      <c r="I454" s="4" t="n">
        <v>0</v>
      </c>
      <c r="J454" s="4" t="inlineStr">
        <is>
          <t>https://doi.org/10.1109/tmrb.2026.3680976</t>
        </is>
      </c>
      <c r="K454" s="4" t="inlineStr">
        <is>
          <t>Eligibility reviewed from accessible primary-source content; scoped adjudication completed</t>
        </is>
      </c>
      <c r="L454" s="4" t="inlineStr">
        <is>
          <t>Revisión asistida por IA (un revisor; requiere verificación independiente)</t>
        </is>
      </c>
      <c r="M454" s="40" t="n">
        <v>46269</v>
      </c>
      <c r="N454" s="4" t="inlineStr">
        <is>
          <t>Pending independent/source verification</t>
        </is>
      </c>
      <c r="O454" s="4" t="inlineStr">
        <is>
          <t>Extraccion_RQ_nuevos</t>
        </is>
      </c>
      <c r="P454" s="4" t="n">
        <v>178</v>
      </c>
    </row>
    <row r="455" ht="73" customHeight="1">
      <c r="A455" s="4" t="inlineStr">
        <is>
          <t>new_423</t>
        </is>
      </c>
      <c r="B455" s="4" t="inlineStr">
        <is>
          <t>Update</t>
        </is>
      </c>
      <c r="C455" s="4" t="n">
        <v>423</v>
      </c>
      <c r="D455" s="4" t="inlineStr">
        <is>
          <t>Toward a Smartwatch-Based System for Automated Social Interaction Monitoring in Autism</t>
        </is>
      </c>
      <c r="E455" s="4" t="inlineStr">
        <is>
          <t>10.1109/access.2026.3674057</t>
        </is>
      </c>
      <c r="F455" s="4" t="n">
        <v>2026</v>
      </c>
      <c r="G455" s="4" t="inlineStr">
        <is>
          <t>Include</t>
        </is>
      </c>
      <c r="H455" s="4" t="str"/>
      <c r="I455" s="4" t="n">
        <v>0</v>
      </c>
      <c r="J455" s="4" t="inlineStr">
        <is>
          <t>https://doi.org/10.1109/access.2026.3674057</t>
        </is>
      </c>
      <c r="K455" s="4" t="inlineStr">
        <is>
          <t>Eligibility reviewed from accessible primary-source content; scoped adjudication completed</t>
        </is>
      </c>
      <c r="L455" s="4" t="inlineStr">
        <is>
          <t>Revisión asistida por IA (un revisor; requiere verificación independiente)</t>
        </is>
      </c>
      <c r="M455" s="40" t="n">
        <v>46269</v>
      </c>
      <c r="N455" s="4" t="inlineStr">
        <is>
          <t>Pending independent/source verification</t>
        </is>
      </c>
      <c r="O455" s="4" t="inlineStr">
        <is>
          <t>Extraccion_RQ_nuevos</t>
        </is>
      </c>
      <c r="P455" s="4" t="n">
        <v>179</v>
      </c>
    </row>
  </sheetData>
  <dataValidations count="1">
    <dataValidation sqref="N2:N455" showDropDown="0" showInputMessage="0" showErrorMessage="0" allowBlank="0" type="list">
      <formula1>"Pending independent/source verification,Verified"</formula1>
    </dataValidation>
  </dataValidations>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Q455"/>
  <sheetViews>
    <sheetView showGridLines="0" workbookViewId="0">
      <selection activeCell="A1" sqref="A1"/>
    </sheetView>
  </sheetViews>
  <sheetFormatPr baseColWidth="8" defaultRowHeight="15"/>
  <cols>
    <col width="14" customWidth="1" min="1" max="1"/>
    <col width="14" customWidth="1" min="2" max="2"/>
    <col width="55"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65" customWidth="1" min="12" max="12"/>
    <col width="65" customWidth="1" min="13" max="13"/>
    <col width="20" customWidth="1" min="14" max="14"/>
    <col width="28" customWidth="1" min="15" max="15"/>
    <col width="28" customWidth="1" min="16" max="16"/>
    <col width="20" customWidth="1" min="17" max="17"/>
  </cols>
  <sheetData>
    <row r="1" ht="52" customHeight="1">
      <c r="A1" s="6" t="inlineStr">
        <is>
          <t>study_id</t>
        </is>
      </c>
      <c r="B1" s="6" t="inlineStr">
        <is>
          <t>cohort</t>
        </is>
      </c>
      <c r="C1" s="6" t="inlineStr">
        <is>
          <t>title</t>
        </is>
      </c>
      <c r="D1" s="6" t="inlineStr">
        <is>
          <t>stage_primary</t>
        </is>
      </c>
      <c r="E1" s="6" t="inlineStr">
        <is>
          <t>ai_type</t>
        </is>
      </c>
      <c r="F1" s="6" t="inlineStr">
        <is>
          <t>data_source_primary</t>
        </is>
      </c>
      <c r="G1" s="6" t="inlineStr">
        <is>
          <t>ai_algorithm_main</t>
        </is>
      </c>
      <c r="H1" s="6" t="inlineStr">
        <is>
          <t>ai_task_type</t>
        </is>
      </c>
      <c r="I1" s="6" t="inlineStr">
        <is>
          <t>raw_stage</t>
        </is>
      </c>
      <c r="J1" s="6" t="inlineStr">
        <is>
          <t>raw_ai_type</t>
        </is>
      </c>
      <c r="K1" s="6" t="inlineStr">
        <is>
          <t>raw_data_source</t>
        </is>
      </c>
      <c r="L1" s="6" t="inlineStr">
        <is>
          <t>mapping_rule</t>
        </is>
      </c>
      <c r="M1" s="6" t="inlineStr">
        <is>
          <t>classification_basis</t>
        </is>
      </c>
      <c r="N1" s="6" t="inlineStr">
        <is>
          <t>rq1_review_needed</t>
        </is>
      </c>
      <c r="O1" s="6" t="inlineStr">
        <is>
          <t>reviewer_verified</t>
        </is>
      </c>
      <c r="P1" s="39" t="inlineStr">
        <is>
          <t>verification_date</t>
        </is>
      </c>
      <c r="Q1" s="6" t="inlineStr">
        <is>
          <t>exclude_sensitivity</t>
        </is>
      </c>
    </row>
    <row r="2" ht="47" customHeight="1">
      <c r="A2" s="4" t="inlineStr">
        <is>
          <t>1</t>
        </is>
      </c>
      <c r="B2" s="4" t="inlineStr">
        <is>
          <t>Historical</t>
        </is>
      </c>
      <c r="C2" s="4" t="inlineStr">
        <is>
          <t>A Clinically Interpretable Approach for Early Detection of Autism Using Machine Learning With Explainable AI</t>
        </is>
      </c>
      <c r="D2" s="4" t="inlineStr">
        <is>
          <t>Prescreening</t>
        </is>
      </c>
      <c r="E2" s="4" t="inlineStr">
        <is>
          <t>Machine Learning</t>
        </is>
      </c>
      <c r="F2" s="4" t="inlineStr">
        <is>
          <t>Not specified</t>
        </is>
      </c>
      <c r="G2" s="4" t="inlineStr">
        <is>
          <t>Random Forest</t>
        </is>
      </c>
      <c r="H2" s="4" t="inlineStr">
        <is>
          <t>Classification (ASD vs control / multi-class)</t>
        </is>
      </c>
      <c r="I2" s="4" t="inlineStr">
        <is>
          <t>Prescreening</t>
        </is>
      </c>
      <c r="J2" s="4" t="inlineStr">
        <is>
          <t>Machine Learning</t>
        </is>
      </c>
      <c r="K2" s="4" t="inlineStr">
        <is>
          <t>No especificado</t>
        </is>
      </c>
      <c r="L2" s="4" t="inlineStr">
        <is>
          <t>Sin asignación por falta de detalle</t>
        </is>
      </c>
      <c r="M2" s="4" t="inlineStr">
        <is>
          <t>Historical signals: title/abstract/notes; full-text completion not independently established</t>
        </is>
      </c>
      <c r="N2" s="4" t="n">
        <v>1</v>
      </c>
      <c r="O2" s="12" t="n"/>
      <c r="P2" s="41" t="n"/>
      <c r="Q2" s="4">
        <f>IF(COUNTIFS('ESTUDIOS'!$A$2:$A$455,$A2,'ESTUDIOS'!$I$2:$I$455,"")&gt;0,"",INDEX('ESTUDIOS'!$I$2:$I$455,MATCH($A2,'ESTUDIOS'!$A$2:$A$455,0)))</f>
        <v/>
      </c>
    </row>
    <row r="3" ht="47" customHeight="1">
      <c r="A3" s="4" t="inlineStr">
        <is>
          <t>2</t>
        </is>
      </c>
      <c r="B3" s="4" t="inlineStr">
        <is>
          <t>Historical</t>
        </is>
      </c>
      <c r="C3" s="4" t="inlineStr">
        <is>
          <t>Searching for a minimal set of behaviors for autism detection through feature selection-based machine learning</t>
        </is>
      </c>
      <c r="D3" s="4" t="inlineStr">
        <is>
          <t>Screening</t>
        </is>
      </c>
      <c r="E3" s="4" t="inlineStr">
        <is>
          <t>Machine Learning</t>
        </is>
      </c>
      <c r="F3" s="4" t="inlineStr">
        <is>
          <t>Not specified</t>
        </is>
      </c>
      <c r="G3" s="4" t="inlineStr">
        <is>
          <t>Other / Not clear</t>
        </is>
      </c>
      <c r="H3" s="4" t="inlineStr">
        <is>
          <t>Classification (ASD vs control / multi-class)</t>
        </is>
      </c>
      <c r="I3" s="4" t="inlineStr">
        <is>
          <t>Screening</t>
        </is>
      </c>
      <c r="J3" s="4" t="inlineStr">
        <is>
          <t>Machine Learning</t>
        </is>
      </c>
      <c r="K3" s="4" t="inlineStr">
        <is>
          <t>No especificado</t>
        </is>
      </c>
      <c r="L3" s="4" t="inlineStr">
        <is>
          <t>Sin asignación por falta de detalle</t>
        </is>
      </c>
      <c r="M3" s="4" t="inlineStr">
        <is>
          <t>Historical signals: title/abstract/notes; full-text completion not independently established</t>
        </is>
      </c>
      <c r="N3" s="4" t="n">
        <v>1</v>
      </c>
      <c r="O3" s="12" t="n"/>
      <c r="P3" s="41" t="n"/>
      <c r="Q3" s="4">
        <f>IF(COUNTIFS('ESTUDIOS'!$A$2:$A$455,$A3,'ESTUDIOS'!$I$2:$I$455,"")&gt;0,"",INDEX('ESTUDIOS'!$I$2:$I$455,MATCH($A3,'ESTUDIOS'!$A$2:$A$455,0)))</f>
        <v/>
      </c>
    </row>
    <row r="4" ht="47" customHeight="1">
      <c r="A4" s="4" t="inlineStr">
        <is>
          <t>3</t>
        </is>
      </c>
      <c r="B4" s="4" t="inlineStr">
        <is>
          <t>Historical</t>
        </is>
      </c>
      <c r="C4" s="4" t="inlineStr">
        <is>
          <t>The use of data independent acquisition based proteomic analysis and machine learning to reveal potential biomarkers for autism spectrum disorder</t>
        </is>
      </c>
      <c r="D4" s="4" t="inlineStr">
        <is>
          <t>Diagnosis</t>
        </is>
      </c>
      <c r="E4" s="4" t="inlineStr">
        <is>
          <t>Deep Learning</t>
        </is>
      </c>
      <c r="F4" s="4" t="inlineStr">
        <is>
          <t>Not specified</t>
        </is>
      </c>
      <c r="G4" s="4" t="inlineStr">
        <is>
          <t>Other / Not clear</t>
        </is>
      </c>
      <c r="H4" s="4" t="inlineStr">
        <is>
          <t>Classification (ASD vs control / multi-class)</t>
        </is>
      </c>
      <c r="I4" s="4" t="inlineStr">
        <is>
          <t>Diagnosis</t>
        </is>
      </c>
      <c r="J4" s="4" t="inlineStr">
        <is>
          <t>Deep Learning</t>
        </is>
      </c>
      <c r="K4" s="4" t="inlineStr">
        <is>
          <t>No especificado</t>
        </is>
      </c>
      <c r="L4" s="4" t="inlineStr">
        <is>
          <t>Sin asignación por falta de detalle</t>
        </is>
      </c>
      <c r="M4" s="4" t="inlineStr">
        <is>
          <t>Historical signals: title/abstract/notes; full-text completion not independently established</t>
        </is>
      </c>
      <c r="N4" s="4" t="n">
        <v>1</v>
      </c>
      <c r="O4" s="12" t="n"/>
      <c r="P4" s="41" t="n"/>
      <c r="Q4" s="4">
        <f>IF(COUNTIFS('ESTUDIOS'!$A$2:$A$455,$A4,'ESTUDIOS'!$I$2:$I$455,"")&gt;0,"",INDEX('ESTUDIOS'!$I$2:$I$455,MATCH($A4,'ESTUDIOS'!$A$2:$A$455,0)))</f>
        <v/>
      </c>
    </row>
    <row r="5" ht="47" customHeight="1">
      <c r="A5" s="4" t="inlineStr">
        <is>
          <t>4</t>
        </is>
      </c>
      <c r="B5" s="4" t="inlineStr">
        <is>
          <t>Historical</t>
        </is>
      </c>
      <c r="C5" s="4" t="inlineStr">
        <is>
          <t>Cognitive Disorder Detection Used for Early Autism Screening Using Deep Learning</t>
        </is>
      </c>
      <c r="D5" s="4" t="inlineStr">
        <is>
          <t>Diagnosis</t>
        </is>
      </c>
      <c r="E5" s="4" t="inlineStr">
        <is>
          <t>Deep Learning</t>
        </is>
      </c>
      <c r="F5" s="4" t="inlineStr">
        <is>
          <t>Not specified</t>
        </is>
      </c>
      <c r="G5" s="4" t="inlineStr">
        <is>
          <t>MLP</t>
        </is>
      </c>
      <c r="H5" s="4" t="inlineStr">
        <is>
          <t>Classification (ASD vs control / multi-class)</t>
        </is>
      </c>
      <c r="I5" s="4" t="inlineStr">
        <is>
          <t>Diagnosis</t>
        </is>
      </c>
      <c r="J5" s="4" t="inlineStr">
        <is>
          <t>Deep Learning</t>
        </is>
      </c>
      <c r="K5" s="4" t="inlineStr">
        <is>
          <t>No especificado</t>
        </is>
      </c>
      <c r="L5" s="4" t="inlineStr">
        <is>
          <t>Sin asignación por falta de detalle</t>
        </is>
      </c>
      <c r="M5" s="4" t="inlineStr">
        <is>
          <t>Historical signals: title/abstract/notes; full-text completion not independently established</t>
        </is>
      </c>
      <c r="N5" s="4" t="n">
        <v>1</v>
      </c>
      <c r="O5" s="12" t="n"/>
      <c r="P5" s="41" t="n"/>
      <c r="Q5" s="4">
        <f>IF(COUNTIFS('ESTUDIOS'!$A$2:$A$455,$A5,'ESTUDIOS'!$I$2:$I$455,"")&gt;0,"",INDEX('ESTUDIOS'!$I$2:$I$455,MATCH($A5,'ESTUDIOS'!$A$2:$A$455,0)))</f>
        <v/>
      </c>
    </row>
    <row r="6" ht="47" customHeight="1">
      <c r="A6" s="4" t="inlineStr">
        <is>
          <t>5</t>
        </is>
      </c>
      <c r="B6" s="4" t="inlineStr">
        <is>
          <t>Historical</t>
        </is>
      </c>
      <c r="C6" s="4" t="inlineStr">
        <is>
          <t>Metabolomics as a tool for discovery of biomarkers of autism spectrum disorder in the blood plasma of children</t>
        </is>
      </c>
      <c r="D6" s="4" t="inlineStr">
        <is>
          <t>Diagnosis</t>
        </is>
      </c>
      <c r="E6" s="4" t="inlineStr">
        <is>
          <t>Machine Learning</t>
        </is>
      </c>
      <c r="F6" s="4" t="inlineStr">
        <is>
          <t>Not specified</t>
        </is>
      </c>
      <c r="G6" s="4" t="inlineStr">
        <is>
          <t>Other / Not clear</t>
        </is>
      </c>
      <c r="H6" s="4" t="inlineStr">
        <is>
          <t>Classification (ASD vs control / multi-class)</t>
        </is>
      </c>
      <c r="I6" s="4" t="inlineStr">
        <is>
          <t>Diagnosis</t>
        </is>
      </c>
      <c r="J6" s="4" t="inlineStr">
        <is>
          <t>Machine Learning</t>
        </is>
      </c>
      <c r="K6" s="4" t="inlineStr">
        <is>
          <t>No especificado</t>
        </is>
      </c>
      <c r="L6" s="4" t="inlineStr">
        <is>
          <t>Sin asignación por falta de detalle</t>
        </is>
      </c>
      <c r="M6" s="4" t="inlineStr">
        <is>
          <t>Historical signals: title/abstract/notes; full-text completion not independently established</t>
        </is>
      </c>
      <c r="N6" s="4" t="n">
        <v>1</v>
      </c>
      <c r="O6" s="12" t="n"/>
      <c r="P6" s="41" t="n"/>
      <c r="Q6" s="4">
        <f>IF(COUNTIFS('ESTUDIOS'!$A$2:$A$455,$A6,'ESTUDIOS'!$I$2:$I$455,"")&gt;0,"",INDEX('ESTUDIOS'!$I$2:$I$455,MATCH($A6,'ESTUDIOS'!$A$2:$A$455,0)))</f>
        <v/>
      </c>
    </row>
    <row r="7" ht="47" customHeight="1">
      <c r="A7" s="4" t="inlineStr">
        <is>
          <t>6</t>
        </is>
      </c>
      <c r="B7" s="4" t="inlineStr">
        <is>
          <t>Historical</t>
        </is>
      </c>
      <c r="C7" s="4" t="inlineStr">
        <is>
          <t>Sparsifying machine learning models identify stable subsets of predictive features for behavioral detection of autism</t>
        </is>
      </c>
      <c r="D7" s="4" t="inlineStr">
        <is>
          <t>Screening</t>
        </is>
      </c>
      <c r="E7" s="4" t="inlineStr">
        <is>
          <t>Machine Learning</t>
        </is>
      </c>
      <c r="F7" s="4" t="inlineStr">
        <is>
          <t>Image (subtype unresolved)</t>
        </is>
      </c>
      <c r="G7" s="4" t="inlineStr">
        <is>
          <t>Logistic Regression</t>
        </is>
      </c>
      <c r="H7" s="4" t="inlineStr">
        <is>
          <t>Classification (ASD vs control / multi-class)</t>
        </is>
      </c>
      <c r="I7" s="4" t="inlineStr">
        <is>
          <t>Screening</t>
        </is>
      </c>
      <c r="J7" s="4" t="inlineStr">
        <is>
          <t>Machine Learning</t>
        </is>
      </c>
      <c r="K7" s="4" t="inlineStr">
        <is>
          <t>Imagen</t>
        </is>
      </c>
      <c r="L7" s="4" t="inlineStr">
        <is>
          <t>Etiqueta histórica conservada; no inferir subtipo desde el nombre</t>
        </is>
      </c>
      <c r="M7" s="4" t="inlineStr">
        <is>
          <t>Historical signals: title/abstract/notes; full-text completion not independently established</t>
        </is>
      </c>
      <c r="N7" s="4" t="n">
        <v>1</v>
      </c>
      <c r="O7" s="12" t="n"/>
      <c r="P7" s="41" t="n"/>
      <c r="Q7" s="4">
        <f>IF(COUNTIFS('ESTUDIOS'!$A$2:$A$455,$A7,'ESTUDIOS'!$I$2:$I$455,"")&gt;0,"",INDEX('ESTUDIOS'!$I$2:$I$455,MATCH($A7,'ESTUDIOS'!$A$2:$A$455,0)))</f>
        <v/>
      </c>
    </row>
    <row r="8" ht="47" customHeight="1">
      <c r="A8" s="4" t="inlineStr">
        <is>
          <t>7</t>
        </is>
      </c>
      <c r="B8" s="4" t="inlineStr">
        <is>
          <t>Historical</t>
        </is>
      </c>
      <c r="C8" s="4" t="inlineStr">
        <is>
          <t>Transformer-based deep learning ensemble framework predicts autism spectrum disorder using health administrative and birth registry data</t>
        </is>
      </c>
      <c r="D8" s="4" t="inlineStr">
        <is>
          <t>Prescreening</t>
        </is>
      </c>
      <c r="E8" s="4" t="inlineStr">
        <is>
          <t>Deep Learning</t>
        </is>
      </c>
      <c r="F8" s="4" t="inlineStr">
        <is>
          <t>Not specified</t>
        </is>
      </c>
      <c r="G8" s="4" t="inlineStr">
        <is>
          <t>Transformer</t>
        </is>
      </c>
      <c r="H8" s="4" t="inlineStr">
        <is>
          <t>Classification (ASD vs control / multi-class)</t>
        </is>
      </c>
      <c r="I8" s="4" t="inlineStr">
        <is>
          <t>Prescreening</t>
        </is>
      </c>
      <c r="J8" s="4" t="inlineStr">
        <is>
          <t>Deep Learning</t>
        </is>
      </c>
      <c r="K8" s="4" t="inlineStr">
        <is>
          <t>No especificado</t>
        </is>
      </c>
      <c r="L8" s="4" t="inlineStr">
        <is>
          <t>Sin asignación por falta de detalle</t>
        </is>
      </c>
      <c r="M8" s="4" t="inlineStr">
        <is>
          <t>Historical signals: title/abstract/notes; full-text completion not independently established</t>
        </is>
      </c>
      <c r="N8" s="4" t="n">
        <v>1</v>
      </c>
      <c r="O8" s="12" t="n"/>
      <c r="P8" s="41" t="n"/>
      <c r="Q8" s="4">
        <f>IF(COUNTIFS('ESTUDIOS'!$A$2:$A$455,$A8,'ESTUDIOS'!$I$2:$I$455,"")&gt;0,"",INDEX('ESTUDIOS'!$I$2:$I$455,MATCH($A8,'ESTUDIOS'!$A$2:$A$455,0)))</f>
        <v/>
      </c>
    </row>
    <row r="9" ht="47" customHeight="1">
      <c r="A9" s="4" t="inlineStr">
        <is>
          <t>8</t>
        </is>
      </c>
      <c r="B9" s="4" t="inlineStr">
        <is>
          <t>Historical</t>
        </is>
      </c>
      <c r="C9" s="4" t="inlineStr">
        <is>
          <t>A Closed-Loop Ear-Worn Wearable EEG System with Real-Time Passive Electrode Skin Impedance Measurement for Early Autism Detection †</t>
        </is>
      </c>
      <c r="D9" s="4" t="inlineStr">
        <is>
          <t>Diagnosis</t>
        </is>
      </c>
      <c r="E9" s="4" t="inlineStr">
        <is>
          <t>Machine Learning</t>
        </is>
      </c>
      <c r="F9" s="4" t="inlineStr">
        <is>
          <t>Image (subtype unresolved)</t>
        </is>
      </c>
      <c r="G9" s="4" t="inlineStr">
        <is>
          <t>MLP</t>
        </is>
      </c>
      <c r="H9" s="4" t="inlineStr">
        <is>
          <t>Classification (ASD vs control / multi-class)</t>
        </is>
      </c>
      <c r="I9" s="4" t="inlineStr">
        <is>
          <t>diagnosis</t>
        </is>
      </c>
      <c r="J9" s="4" t="inlineStr">
        <is>
          <t>Machine Learning</t>
        </is>
      </c>
      <c r="K9" s="4" t="inlineStr">
        <is>
          <t>Imagen</t>
        </is>
      </c>
      <c r="L9" s="4" t="inlineStr">
        <is>
          <t>Etiqueta histórica conservada; no inferir subtipo desde el nombre</t>
        </is>
      </c>
      <c r="M9" s="4" t="inlineStr">
        <is>
          <t>Historical signals: title/abstract/notes; full-text completion not independently established</t>
        </is>
      </c>
      <c r="N9" s="4" t="n">
        <v>1</v>
      </c>
      <c r="O9" s="12" t="n"/>
      <c r="P9" s="41" t="n"/>
      <c r="Q9" s="4">
        <f>IF(COUNTIFS('ESTUDIOS'!$A$2:$A$455,$A9,'ESTUDIOS'!$I$2:$I$455,"")&gt;0,"",INDEX('ESTUDIOS'!$I$2:$I$455,MATCH($A9,'ESTUDIOS'!$A$2:$A$455,0)))</f>
        <v/>
      </c>
    </row>
    <row r="10" ht="47" customHeight="1">
      <c r="A10" s="4" t="inlineStr">
        <is>
          <t>9</t>
        </is>
      </c>
      <c r="B10" s="4" t="inlineStr">
        <is>
          <t>Historical</t>
        </is>
      </c>
      <c r="C10" s="4" t="inlineStr">
        <is>
          <t>An automated assessment framework for atypical prosody and stereotyped idiosyncratic phrases related to autism spectrum disorder</t>
        </is>
      </c>
      <c r="D10" s="4" t="inlineStr">
        <is>
          <t>Diagnosis</t>
        </is>
      </c>
      <c r="E10" s="4" t="inlineStr">
        <is>
          <t>Hybrid</t>
        </is>
      </c>
      <c r="F10" s="4" t="inlineStr">
        <is>
          <t>Audio / voice</t>
        </is>
      </c>
      <c r="G10" s="4" t="inlineStr">
        <is>
          <t>CNN</t>
        </is>
      </c>
      <c r="H10" s="4" t="inlineStr">
        <is>
          <t>Classification (ASD vs control / multi-class)</t>
        </is>
      </c>
      <c r="I10" s="4" t="inlineStr">
        <is>
          <t>diagnosis</t>
        </is>
      </c>
      <c r="J10" s="4" t="inlineStr">
        <is>
          <t>Híbrido</t>
        </is>
      </c>
      <c r="K10" s="4" t="inlineStr">
        <is>
          <t>Audio · Voz</t>
        </is>
      </c>
      <c r="L10" s="4" t="inlineStr">
        <is>
          <t>Etiqueta histórica conservada; no inferir subtipo desde el nombre</t>
        </is>
      </c>
      <c r="M10" s="4" t="inlineStr">
        <is>
          <t>Historical signals: title/abstract/notes; full-text completion not independently established</t>
        </is>
      </c>
      <c r="N10" s="4" t="n">
        <v>0</v>
      </c>
      <c r="O10" s="12" t="n"/>
      <c r="P10" s="41" t="n"/>
      <c r="Q10" s="4">
        <f>IF(COUNTIFS('ESTUDIOS'!$A$2:$A$455,$A10,'ESTUDIOS'!$I$2:$I$455,"")&gt;0,"",INDEX('ESTUDIOS'!$I$2:$I$455,MATCH($A10,'ESTUDIOS'!$A$2:$A$455,0)))</f>
        <v/>
      </c>
    </row>
    <row r="11" ht="60" customHeight="1">
      <c r="A11" s="4" t="inlineStr">
        <is>
          <t>10</t>
        </is>
      </c>
      <c r="B11" s="4" t="inlineStr">
        <is>
          <t>Historical</t>
        </is>
      </c>
      <c r="C11" s="4" t="inlineStr">
        <is>
          <t>Artificial Intelligence Driven Predictive Analysis of Acoustic and Linguistic Behaviors for ASD Identification</t>
        </is>
      </c>
      <c r="D11" s="4" t="inlineStr">
        <is>
          <t>Diagnosis</t>
        </is>
      </c>
      <c r="E11" s="4" t="inlineStr">
        <is>
          <t>Not specified</t>
        </is>
      </c>
      <c r="F11" s="4" t="inlineStr">
        <is>
          <t>Text / NLP (legacy; verify input type)</t>
        </is>
      </c>
      <c r="G11" s="4" t="inlineStr">
        <is>
          <t>Not clear</t>
        </is>
      </c>
      <c r="H11" s="4" t="inlineStr">
        <is>
          <t>Classification (binary/multi-class; incl. ASD vs control)/ multi-class)</t>
        </is>
      </c>
      <c r="I11" s="4" t="inlineStr">
        <is>
          <t>diagnosis</t>
        </is>
      </c>
      <c r="J11" s="4" t="inlineStr">
        <is>
          <t>No especificado</t>
        </is>
      </c>
      <c r="K11" s="4" t="inlineStr">
        <is>
          <t>Texto · NLP</t>
        </is>
      </c>
      <c r="L11" s="4" t="inlineStr">
        <is>
          <t>Etiqueta histórica conservada; no inferir subtipo desde el nombre</t>
        </is>
      </c>
      <c r="M11" s="4" t="inlineStr">
        <is>
          <t>Historical signals: title/abstract/notes; full-text completion not independently established</t>
        </is>
      </c>
      <c r="N11" s="4" t="n">
        <v>1</v>
      </c>
      <c r="O11" s="12" t="n"/>
      <c r="P11" s="41" t="n"/>
      <c r="Q11" s="4">
        <f>IF(COUNTIFS('ESTUDIOS'!$A$2:$A$455,$A11,'ESTUDIOS'!$I$2:$I$455,"")&gt;0,"",INDEX('ESTUDIOS'!$I$2:$I$455,MATCH($A11,'ESTUDIOS'!$A$2:$A$455,0)))</f>
        <v/>
      </c>
    </row>
    <row r="12" ht="47" customHeight="1">
      <c r="A12" s="4" t="inlineStr">
        <is>
          <t>11</t>
        </is>
      </c>
      <c r="B12" s="4" t="inlineStr">
        <is>
          <t>Historical</t>
        </is>
      </c>
      <c r="C12" s="4" t="inlineStr">
        <is>
          <t>Data Mining-Based Model for Computer-Aided Diagnosis of Autism and Gelotophobia: Mixed Methods Deep Learning Approach.</t>
        </is>
      </c>
      <c r="D12" s="4" t="inlineStr">
        <is>
          <t>Diagnosis</t>
        </is>
      </c>
      <c r="E12" s="4" t="inlineStr">
        <is>
          <t>Deep Learning</t>
        </is>
      </c>
      <c r="F12" s="4" t="inlineStr">
        <is>
          <t>Image (subtype unresolved)</t>
        </is>
      </c>
      <c r="G12" s="4" t="inlineStr">
        <is>
          <t>MLP</t>
        </is>
      </c>
      <c r="H12" s="4" t="inlineStr">
        <is>
          <t>Classification (ASD vs control / multi-class)</t>
        </is>
      </c>
      <c r="I12" s="4" t="inlineStr">
        <is>
          <t>diagnosis</t>
        </is>
      </c>
      <c r="J12" s="4" t="inlineStr">
        <is>
          <t>Deep Learning</t>
        </is>
      </c>
      <c r="K12" s="4" t="inlineStr">
        <is>
          <t>Imagen</t>
        </is>
      </c>
      <c r="L12" s="4" t="inlineStr">
        <is>
          <t>Etiqueta histórica conservada; no inferir subtipo desde el nombre</t>
        </is>
      </c>
      <c r="M12" s="4" t="inlineStr">
        <is>
          <t>Historical signals: title/abstract/notes; full-text completion not independently established</t>
        </is>
      </c>
      <c r="N12" s="4" t="n">
        <v>1</v>
      </c>
      <c r="O12" s="12" t="n"/>
      <c r="P12" s="41" t="n"/>
      <c r="Q12" s="4">
        <f>IF(COUNTIFS('ESTUDIOS'!$A$2:$A$455,$A12,'ESTUDIOS'!$I$2:$I$455,"")&gt;0,"",INDEX('ESTUDIOS'!$I$2:$I$455,MATCH($A12,'ESTUDIOS'!$A$2:$A$455,0)))</f>
        <v/>
      </c>
    </row>
    <row r="13" ht="47" customHeight="1">
      <c r="A13" s="4" t="inlineStr">
        <is>
          <t>12</t>
        </is>
      </c>
      <c r="B13" s="4" t="inlineStr">
        <is>
          <t>Historical</t>
        </is>
      </c>
      <c r="C13" s="4" t="inlineStr">
        <is>
          <t>Effect of Wearable Digital Intervention for Improving Socialization in Children with Autism Spectrum Disorder: A Randomized Clinical Trial</t>
        </is>
      </c>
      <c r="D13" s="4" t="inlineStr">
        <is>
          <t>Monitoring/intervention</t>
        </is>
      </c>
      <c r="E13" s="4" t="inlineStr">
        <is>
          <t>Not specified</t>
        </is>
      </c>
      <c r="F13" s="4" t="inlineStr">
        <is>
          <t>Multiple modalities (as coded)</t>
        </is>
      </c>
      <c r="G13" s="4" t="inlineStr">
        <is>
          <t>Not clear</t>
        </is>
      </c>
      <c r="H13" s="4" t="inlineStr">
        <is>
          <t>Other</t>
        </is>
      </c>
      <c r="I13" s="4" t="inlineStr">
        <is>
          <t>monitoring_intervention</t>
        </is>
      </c>
      <c r="J13" s="4" t="inlineStr">
        <is>
          <t>No especificado</t>
        </is>
      </c>
      <c r="K13" s="4" t="inlineStr">
        <is>
          <t>Multimodal</t>
        </is>
      </c>
      <c r="L13" s="4" t="inlineStr">
        <is>
          <t>Etiqueta histórica conservada; no inferir subtipo desde el nombre</t>
        </is>
      </c>
      <c r="M13" s="4" t="inlineStr">
        <is>
          <t>Historical signals: title/abstract/notes; full-text completion not independently established</t>
        </is>
      </c>
      <c r="N13" s="4" t="n">
        <v>1</v>
      </c>
      <c r="O13" s="12" t="n"/>
      <c r="P13" s="41" t="n"/>
      <c r="Q13" s="4">
        <f>IF(COUNTIFS('ESTUDIOS'!$A$2:$A$455,$A13,'ESTUDIOS'!$I$2:$I$455,"")&gt;0,"",INDEX('ESTUDIOS'!$I$2:$I$455,MATCH($A13,'ESTUDIOS'!$A$2:$A$455,0)))</f>
        <v/>
      </c>
    </row>
    <row r="14" ht="47" customHeight="1">
      <c r="A14" s="4" t="inlineStr">
        <is>
          <t>13</t>
        </is>
      </c>
      <c r="B14" s="4" t="inlineStr">
        <is>
          <t>Historical</t>
        </is>
      </c>
      <c r="C14" s="4" t="inlineStr">
        <is>
          <t>Feature Signature Discovery for Autism Detection: An Automated Machine Learning Based Feature Ranking Framework</t>
        </is>
      </c>
      <c r="D14" s="4" t="inlineStr">
        <is>
          <t>Screening</t>
        </is>
      </c>
      <c r="E14" s="4" t="inlineStr">
        <is>
          <t>Deep Learning</t>
        </is>
      </c>
      <c r="F14" s="4" t="inlineStr">
        <is>
          <t>Not specified</t>
        </is>
      </c>
      <c r="G14" s="4" t="inlineStr">
        <is>
          <t>Other / Not clear</t>
        </is>
      </c>
      <c r="H14" s="4" t="inlineStr">
        <is>
          <t>Classification (ASD vs control / multi-class)</t>
        </is>
      </c>
      <c r="I14" s="4" t="inlineStr">
        <is>
          <t>Screening</t>
        </is>
      </c>
      <c r="J14" s="4" t="inlineStr">
        <is>
          <t>Deep Learning</t>
        </is>
      </c>
      <c r="K14" s="4" t="inlineStr">
        <is>
          <t>No especificado</t>
        </is>
      </c>
      <c r="L14" s="4" t="inlineStr">
        <is>
          <t>Sin asignación por falta de detalle</t>
        </is>
      </c>
      <c r="M14" s="4" t="inlineStr">
        <is>
          <t>Historical signals: title/abstract/notes; full-text completion not independently established</t>
        </is>
      </c>
      <c r="N14" s="4" t="n">
        <v>1</v>
      </c>
      <c r="O14" s="12" t="n"/>
      <c r="P14" s="41" t="n"/>
      <c r="Q14" s="4">
        <f>IF(COUNTIFS('ESTUDIOS'!$A$2:$A$455,$A14,'ESTUDIOS'!$I$2:$I$455,"")&gt;0,"",INDEX('ESTUDIOS'!$I$2:$I$455,MATCH($A14,'ESTUDIOS'!$A$2:$A$455,0)))</f>
        <v/>
      </c>
    </row>
    <row r="15" ht="47" customHeight="1">
      <c r="A15" s="4" t="inlineStr">
        <is>
          <t>14</t>
        </is>
      </c>
      <c r="B15" s="4" t="inlineStr">
        <is>
          <t>Historical</t>
        </is>
      </c>
      <c r="C15" s="4" t="inlineStr">
        <is>
          <t>Functional neuroimaging of high-risk 6-month-old infants predicts a diagnosis of autism at 24 months of age</t>
        </is>
      </c>
      <c r="D15" s="4" t="inlineStr">
        <is>
          <t>Prognosis</t>
        </is>
      </c>
      <c r="E15" s="4" t="inlineStr">
        <is>
          <t>Deep Learning</t>
        </is>
      </c>
      <c r="F15" s="4" t="inlineStr">
        <is>
          <t>Text / NLP (legacy; verify input type)</t>
        </is>
      </c>
      <c r="G15" s="4" t="inlineStr">
        <is>
          <t>Other / Not clear</t>
        </is>
      </c>
      <c r="H15" s="4" t="inlineStr">
        <is>
          <t>Prediction (time-to-event / prognosis)</t>
        </is>
      </c>
      <c r="I15" s="4" t="inlineStr">
        <is>
          <t>Prognosis</t>
        </is>
      </c>
      <c r="J15" s="4" t="inlineStr">
        <is>
          <t>Deep Learning</t>
        </is>
      </c>
      <c r="K15" s="4" t="inlineStr">
        <is>
          <t>Texto · NLP</t>
        </is>
      </c>
      <c r="L15" s="4" t="inlineStr">
        <is>
          <t>Etiqueta histórica conservada; no inferir subtipo desde el nombre</t>
        </is>
      </c>
      <c r="M15" s="4" t="inlineStr">
        <is>
          <t>Historical signals: title/abstract/notes; full-text completion not independently established</t>
        </is>
      </c>
      <c r="N15" s="4" t="n">
        <v>1</v>
      </c>
      <c r="O15" s="12" t="n"/>
      <c r="P15" s="41" t="n"/>
      <c r="Q15" s="4">
        <f>IF(COUNTIFS('ESTUDIOS'!$A$2:$A$455,$A15,'ESTUDIOS'!$I$2:$I$455,"")&gt;0,"",INDEX('ESTUDIOS'!$I$2:$I$455,MATCH($A15,'ESTUDIOS'!$A$2:$A$455,0)))</f>
        <v/>
      </c>
    </row>
    <row r="16" ht="60" customHeight="1">
      <c r="A16" s="4" t="inlineStr">
        <is>
          <t>15</t>
        </is>
      </c>
      <c r="B16" s="4" t="inlineStr">
        <is>
          <t>Historical</t>
        </is>
      </c>
      <c r="C16" s="4" t="inlineStr">
        <is>
          <t>Hybrid CNN and random forest model with late fusion for detection of autism spectrum disorder in Toddlers</t>
        </is>
      </c>
      <c r="D16" s="4" t="inlineStr">
        <is>
          <t>Screening</t>
        </is>
      </c>
      <c r="E16" s="4" t="inlineStr">
        <is>
          <t>Hybrid</t>
        </is>
      </c>
      <c r="F16" s="4" t="inlineStr">
        <is>
          <t>Image (subtype unresolved)</t>
        </is>
      </c>
      <c r="G16" s="4" t="inlineStr">
        <is>
          <t>Not clear</t>
        </is>
      </c>
      <c r="H16" s="4" t="inlineStr">
        <is>
          <t>Classification (binary/multi-class; incl. ASD vs control)/ multi-class)</t>
        </is>
      </c>
      <c r="I16" s="4" t="inlineStr">
        <is>
          <t>screening</t>
        </is>
      </c>
      <c r="J16" s="4" t="inlineStr">
        <is>
          <t>Híbrido</t>
        </is>
      </c>
      <c r="K16" s="4" t="inlineStr">
        <is>
          <t>Imagen</t>
        </is>
      </c>
      <c r="L16" s="4" t="inlineStr">
        <is>
          <t>Etiqueta histórica conservada; no inferir subtipo desde el nombre</t>
        </is>
      </c>
      <c r="M16" s="4" t="inlineStr">
        <is>
          <t>Historical signals: title/abstract/notes; full-text completion not independently established</t>
        </is>
      </c>
      <c r="N16" s="4" t="n">
        <v>1</v>
      </c>
      <c r="O16" s="12" t="n"/>
      <c r="P16" s="41" t="n"/>
      <c r="Q16" s="4">
        <f>IF(COUNTIFS('ESTUDIOS'!$A$2:$A$455,$A16,'ESTUDIOS'!$I$2:$I$455,"")&gt;0,"",INDEX('ESTUDIOS'!$I$2:$I$455,MATCH($A16,'ESTUDIOS'!$A$2:$A$455,0)))</f>
        <v/>
      </c>
    </row>
    <row r="17" ht="34" customHeight="1">
      <c r="A17" s="4" t="inlineStr">
        <is>
          <t>16</t>
        </is>
      </c>
      <c r="B17" s="4" t="inlineStr">
        <is>
          <t>Historical</t>
        </is>
      </c>
      <c r="C17" s="4" t="inlineStr">
        <is>
          <t>Machine Learning Approaches for the Early Diagnosis of Autism Spectrum Disorder: A Systematic Framework</t>
        </is>
      </c>
      <c r="D17" s="4" t="inlineStr">
        <is>
          <t>Screening</t>
        </is>
      </c>
      <c r="E17" s="4" t="inlineStr">
        <is>
          <t>Machine Learning</t>
        </is>
      </c>
      <c r="F17" s="4" t="inlineStr">
        <is>
          <t>Not specified</t>
        </is>
      </c>
      <c r="G17" s="4" t="n"/>
      <c r="H17" s="4" t="inlineStr">
        <is>
          <t>Not clear</t>
        </is>
      </c>
      <c r="I17" s="4" t="inlineStr">
        <is>
          <t>screening</t>
        </is>
      </c>
      <c r="J17" s="4" t="inlineStr">
        <is>
          <t>Machine Learning</t>
        </is>
      </c>
      <c r="K17" s="4" t="inlineStr">
        <is>
          <t>No especificado</t>
        </is>
      </c>
      <c r="L17" s="4" t="inlineStr">
        <is>
          <t>Sin asignación por falta de detalle</t>
        </is>
      </c>
      <c r="M17" s="4" t="inlineStr">
        <is>
          <t>Historical signals: title/abstract/notes; full-text completion not independently established</t>
        </is>
      </c>
      <c r="N17" s="4" t="n">
        <v>1</v>
      </c>
      <c r="O17" s="12" t="n"/>
      <c r="P17" s="41" t="n"/>
      <c r="Q17" s="4">
        <f>IF(COUNTIFS('ESTUDIOS'!$A$2:$A$455,$A17,'ESTUDIOS'!$I$2:$I$455,"")&gt;0,"",INDEX('ESTUDIOS'!$I$2:$I$455,MATCH($A17,'ESTUDIOS'!$A$2:$A$455,0)))</f>
        <v/>
      </c>
    </row>
    <row r="18" ht="47" customHeight="1">
      <c r="A18" s="4" t="inlineStr">
        <is>
          <t>17</t>
        </is>
      </c>
      <c r="B18" s="4" t="inlineStr">
        <is>
          <t>Historical</t>
        </is>
      </c>
      <c r="C18" s="4" t="inlineStr">
        <is>
          <t>Machine learning classification of autism spectrum disorder based on reciprocity in naturalistic social interactions</t>
        </is>
      </c>
      <c r="D18" s="4" t="inlineStr">
        <is>
          <t>Diagnosis</t>
        </is>
      </c>
      <c r="E18" s="4" t="inlineStr">
        <is>
          <t>Machine Learning</t>
        </is>
      </c>
      <c r="F18" s="4" t="inlineStr">
        <is>
          <t>Image (subtype unresolved)</t>
        </is>
      </c>
      <c r="G18" s="4" t="inlineStr">
        <is>
          <t>SVM</t>
        </is>
      </c>
      <c r="H18" s="4" t="inlineStr">
        <is>
          <t>Classification (ASD vs control / multi-class)</t>
        </is>
      </c>
      <c r="I18" s="4" t="inlineStr">
        <is>
          <t>diagnosis</t>
        </is>
      </c>
      <c r="J18" s="4" t="inlineStr">
        <is>
          <t>Machine Learning</t>
        </is>
      </c>
      <c r="K18" s="4" t="inlineStr">
        <is>
          <t>Imagen</t>
        </is>
      </c>
      <c r="L18" s="4" t="inlineStr">
        <is>
          <t>Etiqueta histórica conservada; no inferir subtipo desde el nombre</t>
        </is>
      </c>
      <c r="M18" s="4" t="inlineStr">
        <is>
          <t>Historical signals: title/abstract/notes; full-text completion not independently established</t>
        </is>
      </c>
      <c r="N18" s="4" t="n">
        <v>1</v>
      </c>
      <c r="O18" s="12" t="n"/>
      <c r="P18" s="41" t="n"/>
      <c r="Q18" s="4">
        <f>IF(COUNTIFS('ESTUDIOS'!$A$2:$A$455,$A18,'ESTUDIOS'!$I$2:$I$455,"")&gt;0,"",INDEX('ESTUDIOS'!$I$2:$I$455,MATCH($A18,'ESTUDIOS'!$A$2:$A$455,0)))</f>
        <v/>
      </c>
    </row>
    <row r="19" ht="47" customHeight="1">
      <c r="A19" s="4" t="inlineStr">
        <is>
          <t>18</t>
        </is>
      </c>
      <c r="B19" s="4" t="inlineStr">
        <is>
          <t>Historical</t>
        </is>
      </c>
      <c r="C19" s="4" t="inlineStr">
        <is>
          <t>Multiparametric MRI characterization and prediction in autism spectrum disorder using graph theory and machine learning</t>
        </is>
      </c>
      <c r="D19" s="4" t="inlineStr">
        <is>
          <t>Diagnosis</t>
        </is>
      </c>
      <c r="E19" s="4" t="inlineStr">
        <is>
          <t>Deep Learning</t>
        </is>
      </c>
      <c r="F19" s="4" t="inlineStr">
        <is>
          <t>Multiple modalities (as coded)</t>
        </is>
      </c>
      <c r="G19" s="4" t="inlineStr">
        <is>
          <t>Other / Not clear</t>
        </is>
      </c>
      <c r="H19" s="4" t="inlineStr">
        <is>
          <t>Classification (ASD vs control / multi-class)</t>
        </is>
      </c>
      <c r="I19" s="4" t="inlineStr">
        <is>
          <t>Diagnosis</t>
        </is>
      </c>
      <c r="J19" s="4" t="inlineStr">
        <is>
          <t>Deep Learning</t>
        </is>
      </c>
      <c r="K19" s="4" t="inlineStr">
        <is>
          <t>Multimodal</t>
        </is>
      </c>
      <c r="L19" s="4" t="inlineStr">
        <is>
          <t>Etiqueta histórica conservada; no inferir subtipo desde el nombre</t>
        </is>
      </c>
      <c r="M19" s="4" t="inlineStr">
        <is>
          <t>Historical signals: title/abstract/notes; full-text completion not independently established</t>
        </is>
      </c>
      <c r="N19" s="4" t="n">
        <v>0</v>
      </c>
      <c r="O19" s="12" t="n"/>
      <c r="P19" s="41" t="n"/>
      <c r="Q19" s="4">
        <f>IF(COUNTIFS('ESTUDIOS'!$A$2:$A$455,$A19,'ESTUDIOS'!$I$2:$I$455,"")&gt;0,"",INDEX('ESTUDIOS'!$I$2:$I$455,MATCH($A19,'ESTUDIOS'!$A$2:$A$455,0)))</f>
        <v/>
      </c>
    </row>
    <row r="20" ht="34" customHeight="1">
      <c r="A20" s="4" t="inlineStr">
        <is>
          <t>19</t>
        </is>
      </c>
      <c r="B20" s="4" t="inlineStr">
        <is>
          <t>Historical</t>
        </is>
      </c>
      <c r="C20" s="4" t="inlineStr">
        <is>
          <t>Multivariate Neural Connectivity Patterns in Early Infancy Predict Later Autism Symptoms</t>
        </is>
      </c>
      <c r="D20" s="4" t="inlineStr">
        <is>
          <t>Prognosis</t>
        </is>
      </c>
      <c r="E20" s="4" t="inlineStr">
        <is>
          <t>Machine Learning</t>
        </is>
      </c>
      <c r="F20" s="4" t="inlineStr">
        <is>
          <t>Physiological signals</t>
        </is>
      </c>
      <c r="G20" s="4" t="inlineStr">
        <is>
          <t>SVM</t>
        </is>
      </c>
      <c r="H20" s="4" t="inlineStr">
        <is>
          <t>Regression (score / severity / risk)</t>
        </is>
      </c>
      <c r="I20" s="4" t="inlineStr">
        <is>
          <t>Prognosis</t>
        </is>
      </c>
      <c r="J20" s="4" t="inlineStr">
        <is>
          <t>Machine Learning</t>
        </is>
      </c>
      <c r="K20" s="4" t="inlineStr">
        <is>
          <t>Señales fisiológicas</t>
        </is>
      </c>
      <c r="L20" s="4" t="inlineStr">
        <is>
          <t>Etiqueta histórica conservada; no inferir subtipo desde el nombre</t>
        </is>
      </c>
      <c r="M20" s="4" t="inlineStr">
        <is>
          <t>Historical signals: title/abstract/notes; full-text completion not independently established</t>
        </is>
      </c>
      <c r="N20" s="4" t="n">
        <v>0</v>
      </c>
      <c r="O20" s="12" t="n"/>
      <c r="P20" s="41" t="n"/>
      <c r="Q20" s="4">
        <f>IF(COUNTIFS('ESTUDIOS'!$A$2:$A$455,$A20,'ESTUDIOS'!$I$2:$I$455,"")&gt;0,"",INDEX('ESTUDIOS'!$I$2:$I$455,MATCH($A20,'ESTUDIOS'!$A$2:$A$455,0)))</f>
        <v/>
      </c>
    </row>
    <row r="21" ht="47" customHeight="1">
      <c r="A21" s="4" t="inlineStr">
        <is>
          <t>20</t>
        </is>
      </c>
      <c r="B21" s="4" t="inlineStr">
        <is>
          <t>Historical</t>
        </is>
      </c>
      <c r="C21" s="4" t="inlineStr">
        <is>
          <t>Testing the accuracy of an observation-based classifier for rapid detection of autism risk.</t>
        </is>
      </c>
      <c r="D21" s="4" t="inlineStr">
        <is>
          <t>Screening</t>
        </is>
      </c>
      <c r="E21" s="4" t="inlineStr">
        <is>
          <t>Deep Learning</t>
        </is>
      </c>
      <c r="F21" s="4" t="inlineStr">
        <is>
          <t>Not specified</t>
        </is>
      </c>
      <c r="G21" s="4" t="inlineStr">
        <is>
          <t>Decision Tree</t>
        </is>
      </c>
      <c r="H21" s="4" t="inlineStr">
        <is>
          <t>Classification (ASD vs control / multi-class)</t>
        </is>
      </c>
      <c r="I21" s="4" t="inlineStr">
        <is>
          <t>screening</t>
        </is>
      </c>
      <c r="J21" s="4" t="inlineStr">
        <is>
          <t>Deep Learning</t>
        </is>
      </c>
      <c r="K21" s="4" t="inlineStr">
        <is>
          <t>No especificado</t>
        </is>
      </c>
      <c r="L21" s="4" t="inlineStr">
        <is>
          <t>Sin asignación por falta de detalle</t>
        </is>
      </c>
      <c r="M21" s="4" t="inlineStr">
        <is>
          <t>Historical signals: title/abstract/notes; full-text completion not independently established</t>
        </is>
      </c>
      <c r="N21" s="4" t="n">
        <v>1</v>
      </c>
      <c r="O21" s="12" t="n"/>
      <c r="P21" s="41" t="n"/>
      <c r="Q21" s="4">
        <f>IF(COUNTIFS('ESTUDIOS'!$A$2:$A$455,$A21,'ESTUDIOS'!$I$2:$I$455,"")&gt;0,"",INDEX('ESTUDIOS'!$I$2:$I$455,MATCH($A21,'ESTUDIOS'!$A$2:$A$455,0)))</f>
        <v/>
      </c>
    </row>
    <row r="22" ht="60" customHeight="1">
      <c r="A22" s="4" t="inlineStr">
        <is>
          <t>21</t>
        </is>
      </c>
      <c r="B22" s="4" t="inlineStr">
        <is>
          <t>Historical</t>
        </is>
      </c>
      <c r="C22" s="4" t="inlineStr">
        <is>
          <t>Using deep learning to classify developmental differences in reaching and placing movements in children with and without autism spectrum disorder</t>
        </is>
      </c>
      <c r="D22" s="4" t="inlineStr">
        <is>
          <t>Diagnosis</t>
        </is>
      </c>
      <c r="E22" s="4" t="inlineStr">
        <is>
          <t>Deep Learning</t>
        </is>
      </c>
      <c r="F22" s="4" t="inlineStr">
        <is>
          <t>Physiological signals</t>
        </is>
      </c>
      <c r="G22" s="4" t="inlineStr">
        <is>
          <t>MLP</t>
        </is>
      </c>
      <c r="H22" s="4" t="inlineStr">
        <is>
          <t>Classification (binary/multi-class; incl. ASD vs control)/ multi-class)</t>
        </is>
      </c>
      <c r="I22" s="4" t="inlineStr">
        <is>
          <t>diagnosis</t>
        </is>
      </c>
      <c r="J22" s="4" t="inlineStr">
        <is>
          <t>Deep Learning</t>
        </is>
      </c>
      <c r="K22" s="4" t="inlineStr">
        <is>
          <t>Señales fisiológicas</t>
        </is>
      </c>
      <c r="L22" s="4" t="inlineStr">
        <is>
          <t>Etiqueta histórica conservada; no inferir subtipo desde el nombre</t>
        </is>
      </c>
      <c r="M22" s="4" t="inlineStr">
        <is>
          <t>Historical signals: title/abstract/notes; full-text completion not independently established</t>
        </is>
      </c>
      <c r="N22" s="4" t="n">
        <v>0</v>
      </c>
      <c r="O22" s="12" t="n"/>
      <c r="P22" s="41" t="n"/>
      <c r="Q22" s="4">
        <f>IF(COUNTIFS('ESTUDIOS'!$A$2:$A$455,$A22,'ESTUDIOS'!$I$2:$I$455,"")&gt;0,"",INDEX('ESTUDIOS'!$I$2:$I$455,MATCH($A22,'ESTUDIOS'!$A$2:$A$455,0)))</f>
        <v/>
      </c>
    </row>
    <row r="23" ht="60" customHeight="1">
      <c r="A23" s="4" t="inlineStr">
        <is>
          <t>22</t>
        </is>
      </c>
      <c r="B23" s="4" t="inlineStr">
        <is>
          <t>Historical</t>
        </is>
      </c>
      <c r="C23" s="4" t="inlineStr">
        <is>
          <t>A CNN deep local and global ASD classification approach with continuous wavelet transform using task-based FMRI</t>
        </is>
      </c>
      <c r="D23" s="4" t="inlineStr">
        <is>
          <t>Screening</t>
        </is>
      </c>
      <c r="E23" s="4" t="inlineStr">
        <is>
          <t>Deep Learning</t>
        </is>
      </c>
      <c r="F23" s="4" t="inlineStr">
        <is>
          <t>Physiological signals</t>
        </is>
      </c>
      <c r="G23" s="4" t="inlineStr">
        <is>
          <t>CNN</t>
        </is>
      </c>
      <c r="H23" s="4" t="inlineStr">
        <is>
          <t>Classification (binary/multi-class; incl. ASD vs control)/ multi-class)</t>
        </is>
      </c>
      <c r="I23" s="4" t="inlineStr">
        <is>
          <t>screening</t>
        </is>
      </c>
      <c r="J23" s="4" t="inlineStr">
        <is>
          <t>Deep Learning</t>
        </is>
      </c>
      <c r="K23" s="4" t="inlineStr">
        <is>
          <t>Señales fisiológicas</t>
        </is>
      </c>
      <c r="L23" s="4" t="inlineStr">
        <is>
          <t>Etiqueta histórica conservada; no inferir subtipo desde el nombre</t>
        </is>
      </c>
      <c r="M23" s="4" t="inlineStr">
        <is>
          <t>Historical signals: title/abstract/notes; full-text completion not independently established</t>
        </is>
      </c>
      <c r="N23" s="4" t="n">
        <v>0</v>
      </c>
      <c r="O23" s="12" t="n"/>
      <c r="P23" s="41" t="n"/>
      <c r="Q23" s="4">
        <f>IF(COUNTIFS('ESTUDIOS'!$A$2:$A$455,$A23,'ESTUDIOS'!$I$2:$I$455,"")&gt;0,"",INDEX('ESTUDIOS'!$I$2:$I$455,MATCH($A23,'ESTUDIOS'!$A$2:$A$455,0)))</f>
        <v/>
      </c>
    </row>
    <row r="24" ht="47" customHeight="1">
      <c r="A24" s="4" t="inlineStr">
        <is>
          <t>23</t>
        </is>
      </c>
      <c r="B24" s="4" t="inlineStr">
        <is>
          <t>Historical</t>
        </is>
      </c>
      <c r="C24" s="4" t="inlineStr">
        <is>
          <t>A new machine learning model based on induction of rules for autism detection</t>
        </is>
      </c>
      <c r="D24" s="4" t="inlineStr">
        <is>
          <t>Screening</t>
        </is>
      </c>
      <c r="E24" s="4" t="inlineStr">
        <is>
          <t>Machine Learning</t>
        </is>
      </c>
      <c r="F24" s="4" t="inlineStr">
        <is>
          <t>Not specified</t>
        </is>
      </c>
      <c r="G24" s="4" t="inlineStr">
        <is>
          <t>Decision Tree</t>
        </is>
      </c>
      <c r="H24" s="4" t="inlineStr">
        <is>
          <t>Classification (ASD vs control / multi-class)</t>
        </is>
      </c>
      <c r="I24" s="4" t="inlineStr">
        <is>
          <t>Screening</t>
        </is>
      </c>
      <c r="J24" s="4" t="inlineStr">
        <is>
          <t>Machine Learning</t>
        </is>
      </c>
      <c r="K24" s="4" t="inlineStr">
        <is>
          <t>No especificado</t>
        </is>
      </c>
      <c r="L24" s="4" t="inlineStr">
        <is>
          <t>Sin asignación por falta de detalle</t>
        </is>
      </c>
      <c r="M24" s="4" t="inlineStr">
        <is>
          <t>Historical signals: title/abstract/notes; full-text completion not independently established</t>
        </is>
      </c>
      <c r="N24" s="4" t="n">
        <v>1</v>
      </c>
      <c r="O24" s="12" t="n"/>
      <c r="P24" s="41" t="n"/>
      <c r="Q24" s="4">
        <f>IF(COUNTIFS('ESTUDIOS'!$A$2:$A$455,$A24,'ESTUDIOS'!$I$2:$I$455,"")&gt;0,"",INDEX('ESTUDIOS'!$I$2:$I$455,MATCH($A24,'ESTUDIOS'!$A$2:$A$455,0)))</f>
        <v/>
      </c>
    </row>
    <row r="25" ht="47" customHeight="1">
      <c r="A25" s="4" t="inlineStr">
        <is>
          <t>24</t>
        </is>
      </c>
      <c r="B25" s="4" t="inlineStr">
        <is>
          <t>Historical</t>
        </is>
      </c>
      <c r="C25" s="4" t="inlineStr">
        <is>
          <t>A Novel Grading System for Autism Severity Level Using Task-Based Functional MRI: A Response to Speech Study</t>
        </is>
      </c>
      <c r="D25" s="4" t="inlineStr">
        <is>
          <t>Diagnosis</t>
        </is>
      </c>
      <c r="E25" s="4" t="inlineStr">
        <is>
          <t>Machine Learning</t>
        </is>
      </c>
      <c r="F25" s="4" t="inlineStr">
        <is>
          <t>Audio / voice</t>
        </is>
      </c>
      <c r="G25" s="4" t="inlineStr">
        <is>
          <t>Other / Not clear</t>
        </is>
      </c>
      <c r="H25" s="4" t="inlineStr">
        <is>
          <t>Classification (ASD vs control / multi-class)</t>
        </is>
      </c>
      <c r="I25" s="4" t="inlineStr">
        <is>
          <t>Diagnosis</t>
        </is>
      </c>
      <c r="J25" s="4" t="inlineStr">
        <is>
          <t>Machine Learning</t>
        </is>
      </c>
      <c r="K25" s="4" t="inlineStr">
        <is>
          <t>Audio · Voz</t>
        </is>
      </c>
      <c r="L25" s="4" t="inlineStr">
        <is>
          <t>Etiqueta histórica conservada; no inferir subtipo desde el nombre</t>
        </is>
      </c>
      <c r="M25" s="4" t="inlineStr">
        <is>
          <t>Historical signals: title/abstract/notes; full-text completion not independently established</t>
        </is>
      </c>
      <c r="N25" s="4" t="n">
        <v>0</v>
      </c>
      <c r="O25" s="12" t="n"/>
      <c r="P25" s="41" t="n"/>
      <c r="Q25" s="4">
        <f>IF(COUNTIFS('ESTUDIOS'!$A$2:$A$455,$A25,'ESTUDIOS'!$I$2:$I$455,"")&gt;0,"",INDEX('ESTUDIOS'!$I$2:$I$455,MATCH($A25,'ESTUDIOS'!$A$2:$A$455,0)))</f>
        <v/>
      </c>
    </row>
    <row r="26" ht="34" customHeight="1">
      <c r="A26" s="4" t="inlineStr">
        <is>
          <t>26</t>
        </is>
      </c>
      <c r="B26" s="4" t="inlineStr">
        <is>
          <t>Historical</t>
        </is>
      </c>
      <c r="C26" s="4" t="inlineStr">
        <is>
          <t>An Analysis of the Use of Machine Learning in the Diagnosis of Autism Spectrum Disorder</t>
        </is>
      </c>
      <c r="D26" s="4" t="inlineStr">
        <is>
          <t>Diagnosis</t>
        </is>
      </c>
      <c r="E26" s="4" t="inlineStr">
        <is>
          <t>Machine Learning</t>
        </is>
      </c>
      <c r="F26" s="4" t="inlineStr">
        <is>
          <t>Not specified</t>
        </is>
      </c>
      <c r="G26" s="4" t="n"/>
      <c r="H26" s="4" t="n"/>
      <c r="I26" s="4" t="inlineStr">
        <is>
          <t>diagnosis</t>
        </is>
      </c>
      <c r="J26" s="4" t="inlineStr">
        <is>
          <t>Machine Learning</t>
        </is>
      </c>
      <c r="K26" s="4" t="inlineStr">
        <is>
          <t>No especificado</t>
        </is>
      </c>
      <c r="L26" s="4" t="inlineStr">
        <is>
          <t>Sin asignación por falta de detalle</t>
        </is>
      </c>
      <c r="M26" s="4" t="inlineStr">
        <is>
          <t>Historical signals: title/abstract/notes; full-text completion not independently established</t>
        </is>
      </c>
      <c r="N26" s="4" t="n">
        <v>1</v>
      </c>
      <c r="O26" s="12" t="n"/>
      <c r="P26" s="41" t="n"/>
      <c r="Q26" s="4">
        <f>IF(COUNTIFS('ESTUDIOS'!$A$2:$A$455,$A26,'ESTUDIOS'!$I$2:$I$455,"")&gt;0,"",INDEX('ESTUDIOS'!$I$2:$I$455,MATCH($A26,'ESTUDIOS'!$A$2:$A$455,0)))</f>
        <v/>
      </c>
    </row>
    <row r="27" ht="47" customHeight="1">
      <c r="A27" s="4" t="inlineStr">
        <is>
          <t>27</t>
        </is>
      </c>
      <c r="B27" s="4" t="inlineStr">
        <is>
          <t>Historical</t>
        </is>
      </c>
      <c r="C27" s="4" t="inlineStr">
        <is>
          <t>An analytics-driven model for identifying autism spectrum disorder using eye tracking</t>
        </is>
      </c>
      <c r="D27" s="4" t="inlineStr">
        <is>
          <t>Screening</t>
        </is>
      </c>
      <c r="E27" s="4" t="inlineStr">
        <is>
          <t>Deep Learning</t>
        </is>
      </c>
      <c r="F27" s="4" t="inlineStr">
        <is>
          <t>Physiological signals</t>
        </is>
      </c>
      <c r="G27" s="4" t="inlineStr">
        <is>
          <t>MLP</t>
        </is>
      </c>
      <c r="H27" s="4" t="inlineStr">
        <is>
          <t>Classification (ASD vs control / multi-class)</t>
        </is>
      </c>
      <c r="I27" s="4" t="inlineStr">
        <is>
          <t>Screening</t>
        </is>
      </c>
      <c r="J27" s="4" t="inlineStr">
        <is>
          <t>Deep Learning</t>
        </is>
      </c>
      <c r="K27" s="4" t="inlineStr">
        <is>
          <t>Señales fisiológicas</t>
        </is>
      </c>
      <c r="L27" s="4" t="inlineStr">
        <is>
          <t>Etiqueta histórica conservada; no inferir subtipo desde el nombre</t>
        </is>
      </c>
      <c r="M27" s="4" t="inlineStr">
        <is>
          <t>Historical signals: title/abstract/notes; full-text completion not independently established</t>
        </is>
      </c>
      <c r="N27" s="4" t="n">
        <v>0</v>
      </c>
      <c r="O27" s="12" t="n"/>
      <c r="P27" s="41" t="n"/>
      <c r="Q27" s="4">
        <f>IF(COUNTIFS('ESTUDIOS'!$A$2:$A$455,$A27,'ESTUDIOS'!$I$2:$I$455,"")&gt;0,"",INDEX('ESTUDIOS'!$I$2:$I$455,MATCH($A27,'ESTUDIOS'!$A$2:$A$455,0)))</f>
        <v/>
      </c>
    </row>
    <row r="28" ht="47" customHeight="1">
      <c r="A28" s="4" t="inlineStr">
        <is>
          <t>28</t>
        </is>
      </c>
      <c r="B28" s="4" t="inlineStr">
        <is>
          <t>Historical</t>
        </is>
      </c>
      <c r="C28" s="4" t="inlineStr">
        <is>
          <t>An evaluation of machine learning approaches for early diagnosis of autism spectrum disorder</t>
        </is>
      </c>
      <c r="D28" s="4" t="inlineStr">
        <is>
          <t>Diagnosis</t>
        </is>
      </c>
      <c r="E28" s="4" t="inlineStr">
        <is>
          <t>Machine Learning</t>
        </is>
      </c>
      <c r="F28" s="4" t="inlineStr">
        <is>
          <t>Not specified</t>
        </is>
      </c>
      <c r="G28" s="4" t="inlineStr">
        <is>
          <t>SVM</t>
        </is>
      </c>
      <c r="H28" s="4" t="inlineStr">
        <is>
          <t>Classification (ASD vs control / multi-class)</t>
        </is>
      </c>
      <c r="I28" s="4" t="inlineStr">
        <is>
          <t>Diagnosis</t>
        </is>
      </c>
      <c r="J28" s="4" t="inlineStr">
        <is>
          <t>Machine Learning</t>
        </is>
      </c>
      <c r="K28" s="4" t="inlineStr">
        <is>
          <t>No especificado</t>
        </is>
      </c>
      <c r="L28" s="4" t="inlineStr">
        <is>
          <t>Sin asignación por falta de detalle</t>
        </is>
      </c>
      <c r="M28" s="4" t="inlineStr">
        <is>
          <t>Historical signals: title/abstract/notes; full-text completion not independently established</t>
        </is>
      </c>
      <c r="N28" s="4" t="n">
        <v>1</v>
      </c>
      <c r="O28" s="12" t="n"/>
      <c r="P28" s="41" t="n"/>
      <c r="Q28" s="4">
        <f>IF(COUNTIFS('ESTUDIOS'!$A$2:$A$455,$A28,'ESTUDIOS'!$I$2:$I$455,"")&gt;0,"",INDEX('ESTUDIOS'!$I$2:$I$455,MATCH($A28,'ESTUDIOS'!$A$2:$A$455,0)))</f>
        <v/>
      </c>
    </row>
    <row r="29" ht="60" customHeight="1">
      <c r="A29" s="4" t="inlineStr">
        <is>
          <t>29</t>
        </is>
      </c>
      <c r="B29" s="4" t="inlineStr">
        <is>
          <t>Historical</t>
        </is>
      </c>
      <c r="C29" s="4" t="inlineStr">
        <is>
          <t>An intellectual autism spectrum disorder classification framework in healthcare industry using ViT-based adaptive deep learning model</t>
        </is>
      </c>
      <c r="D29" s="4" t="inlineStr">
        <is>
          <t>Screening</t>
        </is>
      </c>
      <c r="E29" s="4" t="inlineStr">
        <is>
          <t>Deep Learning</t>
        </is>
      </c>
      <c r="F29" s="4" t="inlineStr">
        <is>
          <t>Image (subtype unresolved)</t>
        </is>
      </c>
      <c r="G29" s="4" t="inlineStr">
        <is>
          <t>Transformer</t>
        </is>
      </c>
      <c r="H29" s="4" t="inlineStr">
        <is>
          <t>Classification (binary/multi-class; incl. ASD vs control)/ multi-class)</t>
        </is>
      </c>
      <c r="I29" s="4" t="inlineStr">
        <is>
          <t>screening</t>
        </is>
      </c>
      <c r="J29" s="4" t="inlineStr">
        <is>
          <t>Deep Learning</t>
        </is>
      </c>
      <c r="K29" s="4" t="inlineStr">
        <is>
          <t>Imagen</t>
        </is>
      </c>
      <c r="L29" s="4" t="inlineStr">
        <is>
          <t>Etiqueta histórica conservada; no inferir subtipo desde el nombre</t>
        </is>
      </c>
      <c r="M29" s="4" t="inlineStr">
        <is>
          <t>Historical signals: title/abstract/notes; full-text completion not independently established</t>
        </is>
      </c>
      <c r="N29" s="4" t="n">
        <v>1</v>
      </c>
      <c r="O29" s="12" t="n"/>
      <c r="P29" s="41" t="n"/>
      <c r="Q29" s="4">
        <f>IF(COUNTIFS('ESTUDIOS'!$A$2:$A$455,$A29,'ESTUDIOS'!$I$2:$I$455,"")&gt;0,"",INDEX('ESTUDIOS'!$I$2:$I$455,MATCH($A29,'ESTUDIOS'!$A$2:$A$455,0)))</f>
        <v/>
      </c>
    </row>
    <row r="30" ht="60" customHeight="1">
      <c r="A30" s="4" t="inlineStr">
        <is>
          <t>30</t>
        </is>
      </c>
      <c r="B30" s="4" t="inlineStr">
        <is>
          <t>Historical</t>
        </is>
      </c>
      <c r="C30" s="4" t="inlineStr">
        <is>
          <t>Analysis and Detection of Autism Spectrum Disorder Using Machine Learning Techniques</t>
        </is>
      </c>
      <c r="D30" s="4" t="inlineStr">
        <is>
          <t>Screening</t>
        </is>
      </c>
      <c r="E30" s="4" t="inlineStr">
        <is>
          <t>Hybrid</t>
        </is>
      </c>
      <c r="F30" s="4" t="inlineStr">
        <is>
          <t>Not specified</t>
        </is>
      </c>
      <c r="G30" s="4" t="inlineStr">
        <is>
          <t>CNN</t>
        </is>
      </c>
      <c r="H30" s="4" t="inlineStr">
        <is>
          <t>Classification (binary/multi-class; incl. ASD vs control)/ multi-class)</t>
        </is>
      </c>
      <c r="I30" s="4" t="inlineStr">
        <is>
          <t>screening</t>
        </is>
      </c>
      <c r="J30" s="4" t="inlineStr">
        <is>
          <t>Híbrido</t>
        </is>
      </c>
      <c r="K30" s="4" t="inlineStr">
        <is>
          <t>No especificado</t>
        </is>
      </c>
      <c r="L30" s="4" t="inlineStr">
        <is>
          <t>Sin asignación por falta de detalle</t>
        </is>
      </c>
      <c r="M30" s="4" t="inlineStr">
        <is>
          <t>Historical signals: title/abstract/notes; full-text completion not independently established</t>
        </is>
      </c>
      <c r="N30" s="4" t="n">
        <v>1</v>
      </c>
      <c r="O30" s="12" t="n"/>
      <c r="P30" s="41" t="n"/>
      <c r="Q30" s="4">
        <f>IF(COUNTIFS('ESTUDIOS'!$A$2:$A$455,$A30,'ESTUDIOS'!$I$2:$I$455,"")&gt;0,"",INDEX('ESTUDIOS'!$I$2:$I$455,MATCH($A30,'ESTUDIOS'!$A$2:$A$455,0)))</f>
        <v/>
      </c>
    </row>
    <row r="31" ht="60" customHeight="1">
      <c r="A31" s="4" t="inlineStr">
        <is>
          <t>31</t>
        </is>
      </c>
      <c r="B31" s="4" t="inlineStr">
        <is>
          <t>Historical</t>
        </is>
      </c>
      <c r="C31" s="4" t="inlineStr">
        <is>
          <t>ASD classification for children using deep neural network</t>
        </is>
      </c>
      <c r="D31" s="4" t="inlineStr">
        <is>
          <t>Diagnosis</t>
        </is>
      </c>
      <c r="E31" s="4" t="inlineStr">
        <is>
          <t>Deep Learning</t>
        </is>
      </c>
      <c r="F31" s="4" t="inlineStr">
        <is>
          <t>Not specified</t>
        </is>
      </c>
      <c r="G31" s="4" t="inlineStr">
        <is>
          <t>MLP</t>
        </is>
      </c>
      <c r="H31" s="4" t="inlineStr">
        <is>
          <t>Classification (binary/multi-class; incl. ASD vs control)/ multi-class)</t>
        </is>
      </c>
      <c r="I31" s="4" t="inlineStr">
        <is>
          <t>diagnosis</t>
        </is>
      </c>
      <c r="J31" s="4" t="inlineStr">
        <is>
          <t>Deep Learning</t>
        </is>
      </c>
      <c r="K31" s="4" t="inlineStr">
        <is>
          <t>No especificado</t>
        </is>
      </c>
      <c r="L31" s="4" t="inlineStr">
        <is>
          <t>Sin asignación por falta de detalle</t>
        </is>
      </c>
      <c r="M31" s="4" t="inlineStr">
        <is>
          <t>Historical signals: title/abstract/notes; full-text completion not independently established</t>
        </is>
      </c>
      <c r="N31" s="4" t="n">
        <v>1</v>
      </c>
      <c r="O31" s="12" t="n"/>
      <c r="P31" s="41" t="n"/>
      <c r="Q31" s="4">
        <f>IF(COUNTIFS('ESTUDIOS'!$A$2:$A$455,$A31,'ESTUDIOS'!$I$2:$I$455,"")&gt;0,"",INDEX('ESTUDIOS'!$I$2:$I$455,MATCH($A31,'ESTUDIOS'!$A$2:$A$455,0)))</f>
        <v/>
      </c>
    </row>
    <row r="32" ht="60" customHeight="1">
      <c r="A32" s="4" t="inlineStr">
        <is>
          <t>32</t>
        </is>
      </c>
      <c r="B32" s="4" t="inlineStr">
        <is>
          <t>Historical</t>
        </is>
      </c>
      <c r="C32" s="4" t="inlineStr">
        <is>
          <t>ASD-GraphNet: A novel graph learning approach for Autism Spectrum Disorder diagnosis using fMRI data</t>
        </is>
      </c>
      <c r="D32" s="4" t="inlineStr">
        <is>
          <t>Diagnosis</t>
        </is>
      </c>
      <c r="E32" s="4" t="inlineStr">
        <is>
          <t>Machine Learning</t>
        </is>
      </c>
      <c r="F32" s="4" t="inlineStr">
        <is>
          <t>Physiological signals</t>
        </is>
      </c>
      <c r="G32" s="4" t="inlineStr">
        <is>
          <t>Not clear</t>
        </is>
      </c>
      <c r="H32" s="4" t="inlineStr">
        <is>
          <t>Classification (binary/multi-class; incl. ASD vs control)/ multi-class)</t>
        </is>
      </c>
      <c r="I32" s="4" t="inlineStr">
        <is>
          <t>diagnosis</t>
        </is>
      </c>
      <c r="J32" s="4" t="inlineStr">
        <is>
          <t>Machine Learning</t>
        </is>
      </c>
      <c r="K32" s="4" t="inlineStr">
        <is>
          <t>Señales fisiológicas</t>
        </is>
      </c>
      <c r="L32" s="4" t="inlineStr">
        <is>
          <t>Etiqueta histórica conservada; no inferir subtipo desde el nombre</t>
        </is>
      </c>
      <c r="M32" s="4" t="inlineStr">
        <is>
          <t>Historical signals: title/abstract/notes; full-text completion not independently established</t>
        </is>
      </c>
      <c r="N32" s="4" t="n">
        <v>0</v>
      </c>
      <c r="O32" s="12" t="n"/>
      <c r="P32" s="41" t="n"/>
      <c r="Q32" s="4">
        <f>IF(COUNTIFS('ESTUDIOS'!$A$2:$A$455,$A32,'ESTUDIOS'!$I$2:$I$455,"")&gt;0,"",INDEX('ESTUDIOS'!$I$2:$I$455,MATCH($A32,'ESTUDIOS'!$A$2:$A$455,0)))</f>
        <v/>
      </c>
    </row>
    <row r="33" ht="47" customHeight="1">
      <c r="A33" s="4" t="inlineStr">
        <is>
          <t>33</t>
        </is>
      </c>
      <c r="B33" s="4" t="inlineStr">
        <is>
          <t>Historical</t>
        </is>
      </c>
      <c r="C33" s="4" t="inlineStr">
        <is>
          <t>Automated identification of postural control for children with autism spectrum disorder using a machine learning approach</t>
        </is>
      </c>
      <c r="D33" s="4" t="inlineStr">
        <is>
          <t>Diagnosis</t>
        </is>
      </c>
      <c r="E33" s="4" t="inlineStr">
        <is>
          <t>Deep Learning</t>
        </is>
      </c>
      <c r="F33" s="4" t="inlineStr">
        <is>
          <t>Not specified</t>
        </is>
      </c>
      <c r="G33" s="4" t="inlineStr">
        <is>
          <t>Naive Bayes</t>
        </is>
      </c>
      <c r="H33" s="4" t="inlineStr">
        <is>
          <t>Classification (ASD vs control / multi-class)</t>
        </is>
      </c>
      <c r="I33" s="4" t="inlineStr">
        <is>
          <t>Diagnosis</t>
        </is>
      </c>
      <c r="J33" s="4" t="inlineStr">
        <is>
          <t>Deep Learning</t>
        </is>
      </c>
      <c r="K33" s="4" t="inlineStr">
        <is>
          <t>No especificado</t>
        </is>
      </c>
      <c r="L33" s="4" t="inlineStr">
        <is>
          <t>Sin asignación por falta de detalle</t>
        </is>
      </c>
      <c r="M33" s="4" t="inlineStr">
        <is>
          <t>Historical signals: title/abstract/notes; full-text completion not independently established</t>
        </is>
      </c>
      <c r="N33" s="4" t="n">
        <v>1</v>
      </c>
      <c r="O33" s="12" t="n"/>
      <c r="P33" s="41" t="n"/>
      <c r="Q33" s="4">
        <f>IF(COUNTIFS('ESTUDIOS'!$A$2:$A$455,$A33,'ESTUDIOS'!$I$2:$I$455,"")&gt;0,"",INDEX('ESTUDIOS'!$I$2:$I$455,MATCH($A33,'ESTUDIOS'!$A$2:$A$455,0)))</f>
        <v/>
      </c>
    </row>
    <row r="34" ht="47" customHeight="1">
      <c r="A34" s="4" t="inlineStr">
        <is>
          <t>34</t>
        </is>
      </c>
      <c r="B34" s="4" t="inlineStr">
        <is>
          <t>Historical</t>
        </is>
      </c>
      <c r="C34" s="4" t="inlineStr">
        <is>
          <t>Distributed Intrinsic Functional Connectivity Patterns Predict Diagnostic Status in Large Autism Cohort</t>
        </is>
      </c>
      <c r="D34" s="4" t="inlineStr">
        <is>
          <t>Diagnosis</t>
        </is>
      </c>
      <c r="E34" s="4" t="inlineStr">
        <is>
          <t>Machine Learning</t>
        </is>
      </c>
      <c r="F34" s="4" t="inlineStr">
        <is>
          <t>Physiological signals</t>
        </is>
      </c>
      <c r="G34" s="4" t="inlineStr">
        <is>
          <t>Random Forest</t>
        </is>
      </c>
      <c r="H34" s="4" t="inlineStr">
        <is>
          <t>Classification (ASD vs control / multi-class)</t>
        </is>
      </c>
      <c r="I34" s="4" t="inlineStr">
        <is>
          <t>Diagnosis</t>
        </is>
      </c>
      <c r="J34" s="4" t="inlineStr">
        <is>
          <t>Machine Learning</t>
        </is>
      </c>
      <c r="K34" s="4" t="inlineStr">
        <is>
          <t>Señales fisiológicas</t>
        </is>
      </c>
      <c r="L34" s="4" t="inlineStr">
        <is>
          <t>Etiqueta histórica conservada; no inferir subtipo desde el nombre</t>
        </is>
      </c>
      <c r="M34" s="4" t="inlineStr">
        <is>
          <t>Historical signals: title/abstract/notes; full-text completion not independently established</t>
        </is>
      </c>
      <c r="N34" s="4" t="n">
        <v>0</v>
      </c>
      <c r="O34" s="12" t="n"/>
      <c r="P34" s="41" t="n"/>
      <c r="Q34" s="4">
        <f>IF(COUNTIFS('ESTUDIOS'!$A$2:$A$455,$A34,'ESTUDIOS'!$I$2:$I$455,"")&gt;0,"",INDEX('ESTUDIOS'!$I$2:$I$455,MATCH($A34,'ESTUDIOS'!$A$2:$A$455,0)))</f>
        <v/>
      </c>
    </row>
    <row r="35" ht="47" customHeight="1">
      <c r="A35" s="4" t="inlineStr">
        <is>
          <t>35</t>
        </is>
      </c>
      <c r="B35" s="4" t="inlineStr">
        <is>
          <t>Historical</t>
        </is>
      </c>
      <c r="C35" s="4" t="inlineStr">
        <is>
          <t>Enhancing diagnosis of autism with optimized machine learning models and personal characteristic data</t>
        </is>
      </c>
      <c r="D35" s="4" t="inlineStr">
        <is>
          <t>Diagnosis</t>
        </is>
      </c>
      <c r="E35" s="4" t="inlineStr">
        <is>
          <t>Hybrid</t>
        </is>
      </c>
      <c r="F35" s="4" t="inlineStr">
        <is>
          <t>Image (subtype unresolved)</t>
        </is>
      </c>
      <c r="G35" s="4" t="inlineStr">
        <is>
          <t>MLP</t>
        </is>
      </c>
      <c r="H35" s="4" t="inlineStr">
        <is>
          <t>Classification (ASD vs control / multi-class)</t>
        </is>
      </c>
      <c r="I35" s="4" t="inlineStr">
        <is>
          <t>Diagnosis</t>
        </is>
      </c>
      <c r="J35" s="4" t="inlineStr">
        <is>
          <t>Híbrido</t>
        </is>
      </c>
      <c r="K35" s="4" t="inlineStr">
        <is>
          <t>Imagen</t>
        </is>
      </c>
      <c r="L35" s="4" t="inlineStr">
        <is>
          <t>Etiqueta histórica conservada; no inferir subtipo desde el nombre</t>
        </is>
      </c>
      <c r="M35" s="4" t="inlineStr">
        <is>
          <t>Historical signals: title/abstract/notes; full-text completion not independently established</t>
        </is>
      </c>
      <c r="N35" s="4" t="n">
        <v>1</v>
      </c>
      <c r="O35" s="12" t="n"/>
      <c r="P35" s="41" t="n"/>
      <c r="Q35" s="4">
        <f>IF(COUNTIFS('ESTUDIOS'!$A$2:$A$455,$A35,'ESTUDIOS'!$I$2:$I$455,"")&gt;0,"",INDEX('ESTUDIOS'!$I$2:$I$455,MATCH($A35,'ESTUDIOS'!$A$2:$A$455,0)))</f>
        <v/>
      </c>
    </row>
    <row r="36" ht="47" customHeight="1">
      <c r="A36" s="4" t="inlineStr">
        <is>
          <t>36</t>
        </is>
      </c>
      <c r="B36" s="4" t="inlineStr">
        <is>
          <t>Historical</t>
        </is>
      </c>
      <c r="C36" s="4" t="inlineStr">
        <is>
          <t>Investigating multiclass autism spectrum disorder classification using machine learning techniques</t>
        </is>
      </c>
      <c r="D36" s="4" t="inlineStr">
        <is>
          <t>Diagnosis</t>
        </is>
      </c>
      <c r="E36" s="4" t="inlineStr">
        <is>
          <t>Machine Learning</t>
        </is>
      </c>
      <c r="F36" s="4" t="inlineStr">
        <is>
          <t>Not specified</t>
        </is>
      </c>
      <c r="G36" s="4" t="inlineStr">
        <is>
          <t>Logistic Regression</t>
        </is>
      </c>
      <c r="H36" s="4" t="inlineStr">
        <is>
          <t>Classification (ASD vs control / multi-class)</t>
        </is>
      </c>
      <c r="I36" s="4" t="inlineStr">
        <is>
          <t>Diagnosis</t>
        </is>
      </c>
      <c r="J36" s="4" t="inlineStr">
        <is>
          <t>Machine Learning</t>
        </is>
      </c>
      <c r="K36" s="4" t="inlineStr">
        <is>
          <t>No especificado</t>
        </is>
      </c>
      <c r="L36" s="4" t="inlineStr">
        <is>
          <t>Sin asignación por falta de detalle</t>
        </is>
      </c>
      <c r="M36" s="4" t="inlineStr">
        <is>
          <t>Historical signals: title/abstract/notes; full-text completion not independently established</t>
        </is>
      </c>
      <c r="N36" s="4" t="n">
        <v>1</v>
      </c>
      <c r="O36" s="12" t="n"/>
      <c r="P36" s="41" t="n"/>
      <c r="Q36" s="4">
        <f>IF(COUNTIFS('ESTUDIOS'!$A$2:$A$455,$A36,'ESTUDIOS'!$I$2:$I$455,"")&gt;0,"",INDEX('ESTUDIOS'!$I$2:$I$455,MATCH($A36,'ESTUDIOS'!$A$2:$A$455,0)))</f>
        <v/>
      </c>
    </row>
    <row r="37" ht="47" customHeight="1">
      <c r="A37" s="4" t="inlineStr">
        <is>
          <t>37</t>
        </is>
      </c>
      <c r="B37" s="4" t="inlineStr">
        <is>
          <t>Historical</t>
        </is>
      </c>
      <c r="C37" s="4" t="inlineStr">
        <is>
          <t>Jellyfish Search Optimization with Deep Learning Driven Autism Spectrum Disorder Classification</t>
        </is>
      </c>
      <c r="D37" s="4" t="inlineStr">
        <is>
          <t>Prognosis</t>
        </is>
      </c>
      <c r="E37" s="4" t="inlineStr">
        <is>
          <t>Deep Learning</t>
        </is>
      </c>
      <c r="F37" s="4" t="inlineStr">
        <is>
          <t>Not specified</t>
        </is>
      </c>
      <c r="G37" s="4" t="inlineStr">
        <is>
          <t>RNN/LSTM/GRU</t>
        </is>
      </c>
      <c r="H37" s="4" t="inlineStr">
        <is>
          <t>Classification (ASD vs control / multi-class)</t>
        </is>
      </c>
      <c r="I37" s="4" t="inlineStr">
        <is>
          <t>prognosis</t>
        </is>
      </c>
      <c r="J37" s="4" t="inlineStr">
        <is>
          <t>Deep Learning</t>
        </is>
      </c>
      <c r="K37" s="4" t="inlineStr">
        <is>
          <t>No especificado</t>
        </is>
      </c>
      <c r="L37" s="4" t="inlineStr">
        <is>
          <t>Sin asignación por falta de detalle</t>
        </is>
      </c>
      <c r="M37" s="4" t="inlineStr">
        <is>
          <t>Historical signals: title/abstract/notes; full-text completion not independently established</t>
        </is>
      </c>
      <c r="N37" s="4" t="n">
        <v>1</v>
      </c>
      <c r="O37" s="12" t="n"/>
      <c r="P37" s="41" t="n"/>
      <c r="Q37" s="4">
        <f>IF(COUNTIFS('ESTUDIOS'!$A$2:$A$455,$A37,'ESTUDIOS'!$I$2:$I$455,"")&gt;0,"",INDEX('ESTUDIOS'!$I$2:$I$455,MATCH($A37,'ESTUDIOS'!$A$2:$A$455,0)))</f>
        <v/>
      </c>
    </row>
    <row r="38" ht="47" customHeight="1">
      <c r="A38" s="4" t="inlineStr">
        <is>
          <t>38</t>
        </is>
      </c>
      <c r="B38" s="4" t="inlineStr">
        <is>
          <t>Historical</t>
        </is>
      </c>
      <c r="C38" s="4" t="inlineStr">
        <is>
          <t>Machine learning analysis of pregnancy data enables early identification of a subpopulation of newborns with ASD</t>
        </is>
      </c>
      <c r="D38" s="4" t="inlineStr">
        <is>
          <t>Diagnosis</t>
        </is>
      </c>
      <c r="E38" s="4" t="inlineStr">
        <is>
          <t>Machine Learning</t>
        </is>
      </c>
      <c r="F38" s="4" t="inlineStr">
        <is>
          <t>Image (subtype unresolved)</t>
        </is>
      </c>
      <c r="G38" s="4" t="inlineStr">
        <is>
          <t>XGBoost / GBDT</t>
        </is>
      </c>
      <c r="H38" s="4" t="inlineStr">
        <is>
          <t>Classification (ASD vs control / multi-class)</t>
        </is>
      </c>
      <c r="I38" s="4" t="inlineStr">
        <is>
          <t>diagnosis</t>
        </is>
      </c>
      <c r="J38" s="4" t="inlineStr">
        <is>
          <t>Machine Learning</t>
        </is>
      </c>
      <c r="K38" s="4" t="inlineStr">
        <is>
          <t>Imagen</t>
        </is>
      </c>
      <c r="L38" s="4" t="inlineStr">
        <is>
          <t>Etiqueta histórica conservada; no inferir subtipo desde el nombre</t>
        </is>
      </c>
      <c r="M38" s="4" t="inlineStr">
        <is>
          <t>Historical signals: title/abstract/notes; full-text completion not independently established</t>
        </is>
      </c>
      <c r="N38" s="4" t="n">
        <v>1</v>
      </c>
      <c r="O38" s="12" t="n"/>
      <c r="P38" s="41" t="n"/>
      <c r="Q38" s="4">
        <f>IF(COUNTIFS('ESTUDIOS'!$A$2:$A$455,$A38,'ESTUDIOS'!$I$2:$I$455,"")&gt;0,"",INDEX('ESTUDIOS'!$I$2:$I$455,MATCH($A38,'ESTUDIOS'!$A$2:$A$455,0)))</f>
        <v/>
      </c>
    </row>
    <row r="39" ht="60" customHeight="1">
      <c r="A39" s="4" t="inlineStr">
        <is>
          <t>39</t>
        </is>
      </c>
      <c r="B39" s="4" t="inlineStr">
        <is>
          <t>Historical</t>
        </is>
      </c>
      <c r="C39" s="4" t="inlineStr">
        <is>
          <t>Machine Learning-Based Blood RNA Signature for Diagnosis of Autism Spectrum Disorder</t>
        </is>
      </c>
      <c r="D39" s="4" t="inlineStr">
        <is>
          <t>Diagnosis</t>
        </is>
      </c>
      <c r="E39" s="4" t="inlineStr">
        <is>
          <t>Machine Learning</t>
        </is>
      </c>
      <c r="F39" s="4" t="inlineStr">
        <is>
          <t>Not specified</t>
        </is>
      </c>
      <c r="G39" s="4" t="inlineStr">
        <is>
          <t>Random Forest</t>
        </is>
      </c>
      <c r="H39" s="4" t="inlineStr">
        <is>
          <t>Classification (binary/multi-class; incl. ASD vs control)/ multi-class)</t>
        </is>
      </c>
      <c r="I39" s="4" t="inlineStr">
        <is>
          <t>diagnosis</t>
        </is>
      </c>
      <c r="J39" s="4" t="inlineStr">
        <is>
          <t>Machine Learning</t>
        </is>
      </c>
      <c r="K39" s="4" t="inlineStr">
        <is>
          <t>No especificado</t>
        </is>
      </c>
      <c r="L39" s="4" t="inlineStr">
        <is>
          <t>Sin asignación por falta de detalle</t>
        </is>
      </c>
      <c r="M39" s="4" t="inlineStr">
        <is>
          <t>Historical signals: title/abstract/notes; full-text completion not independently established</t>
        </is>
      </c>
      <c r="N39" s="4" t="n">
        <v>1</v>
      </c>
      <c r="O39" s="12" t="n"/>
      <c r="P39" s="41" t="n"/>
      <c r="Q39" s="4">
        <f>IF(COUNTIFS('ESTUDIOS'!$A$2:$A$455,$A39,'ESTUDIOS'!$I$2:$I$455,"")&gt;0,"",INDEX('ESTUDIOS'!$I$2:$I$455,MATCH($A39,'ESTUDIOS'!$A$2:$A$455,0)))</f>
        <v/>
      </c>
    </row>
    <row r="40" ht="60" customHeight="1">
      <c r="A40" s="4" t="inlineStr">
        <is>
          <t>40</t>
        </is>
      </c>
      <c r="B40" s="4" t="inlineStr">
        <is>
          <t>Historical</t>
        </is>
      </c>
      <c r="C40" s="4" t="inlineStr">
        <is>
          <t>Metabolomic analysis of maternal mid-gestation plasma and cord blood in autism spectrum disorders</t>
        </is>
      </c>
      <c r="D40" s="4" t="inlineStr">
        <is>
          <t>Diagnosis</t>
        </is>
      </c>
      <c r="E40" s="4" t="inlineStr">
        <is>
          <t>Machine Learning</t>
        </is>
      </c>
      <c r="F40" s="4" t="inlineStr">
        <is>
          <t>Not specified</t>
        </is>
      </c>
      <c r="G40" s="4" t="inlineStr">
        <is>
          <t>Not clear</t>
        </is>
      </c>
      <c r="H40" s="4" t="inlineStr">
        <is>
          <t>Classification (binary/multi-class; incl. ASD vs control)/ multi-class)</t>
        </is>
      </c>
      <c r="I40" s="4" t="inlineStr">
        <is>
          <t>diagnosis</t>
        </is>
      </c>
      <c r="J40" s="4" t="inlineStr">
        <is>
          <t>Machine Learning</t>
        </is>
      </c>
      <c r="K40" s="4" t="inlineStr">
        <is>
          <t>No especificado</t>
        </is>
      </c>
      <c r="L40" s="4" t="inlineStr">
        <is>
          <t>Sin asignación por falta de detalle</t>
        </is>
      </c>
      <c r="M40" s="4" t="inlineStr">
        <is>
          <t>Historical signals: title/abstract/notes; full-text completion not independently established</t>
        </is>
      </c>
      <c r="N40" s="4" t="n">
        <v>1</v>
      </c>
      <c r="O40" s="12" t="n"/>
      <c r="P40" s="41" t="n"/>
      <c r="Q40" s="4">
        <f>IF(COUNTIFS('ESTUDIOS'!$A$2:$A$455,$A40,'ESTUDIOS'!$I$2:$I$455,"")&gt;0,"",INDEX('ESTUDIOS'!$I$2:$I$455,MATCH($A40,'ESTUDIOS'!$A$2:$A$455,0)))</f>
        <v/>
      </c>
    </row>
    <row r="41" ht="47" customHeight="1">
      <c r="A41" s="4" t="inlineStr">
        <is>
          <t>41</t>
        </is>
      </c>
      <c r="B41" s="4" t="inlineStr">
        <is>
          <t>Historical</t>
        </is>
      </c>
      <c r="C41" s="4" t="inlineStr">
        <is>
          <t>Predictors of age at diagnosis in autism spectrum disorders: the use of multiple regression analyses and a classification tree on a clinical sample</t>
        </is>
      </c>
      <c r="D41" s="4" t="inlineStr">
        <is>
          <t>Not specified</t>
        </is>
      </c>
      <c r="E41" s="4" t="inlineStr">
        <is>
          <t>Not specified</t>
        </is>
      </c>
      <c r="F41" s="4" t="inlineStr">
        <is>
          <t>Not specified</t>
        </is>
      </c>
      <c r="G41" s="4" t="inlineStr">
        <is>
          <t>Decision Tree</t>
        </is>
      </c>
      <c r="H41" s="4" t="inlineStr">
        <is>
          <t>Regression (score / severity / risk)</t>
        </is>
      </c>
      <c r="I41" s="4" t="inlineStr">
        <is>
          <t>Not clear</t>
        </is>
      </c>
      <c r="J41" s="4" t="inlineStr">
        <is>
          <t>No especificado</t>
        </is>
      </c>
      <c r="K41" s="4" t="inlineStr">
        <is>
          <t>No especificado</t>
        </is>
      </c>
      <c r="L41" s="4" t="inlineStr">
        <is>
          <t>Sin asignación por falta de detalle</t>
        </is>
      </c>
      <c r="M41" s="4" t="inlineStr">
        <is>
          <t>Historical signals: title/abstract/notes; full-text completion not independently established</t>
        </is>
      </c>
      <c r="N41" s="4" t="n">
        <v>1</v>
      </c>
      <c r="O41" s="12" t="n"/>
      <c r="P41" s="41" t="n"/>
      <c r="Q41" s="4">
        <f>IF(COUNTIFS('ESTUDIOS'!$A$2:$A$455,$A41,'ESTUDIOS'!$I$2:$I$455,"")&gt;0,"",INDEX('ESTUDIOS'!$I$2:$I$455,MATCH($A41,'ESTUDIOS'!$A$2:$A$455,0)))</f>
        <v/>
      </c>
    </row>
    <row r="42" ht="47" customHeight="1">
      <c r="A42" s="4" t="inlineStr">
        <is>
          <t>42</t>
        </is>
      </c>
      <c r="B42" s="4" t="inlineStr">
        <is>
          <t>Historical</t>
        </is>
      </c>
      <c r="C42" s="4" t="inlineStr">
        <is>
          <t>Promoting emotional and behavioral interventions in ASD treatment: Evidence from EPIGRAM, A naturalistic, prospective and longitudinal study</t>
        </is>
      </c>
      <c r="D42" s="4" t="inlineStr">
        <is>
          <t>Monitoring/intervention</t>
        </is>
      </c>
      <c r="E42" s="4" t="inlineStr">
        <is>
          <t>Hybrid</t>
        </is>
      </c>
      <c r="F42" s="4" t="inlineStr">
        <is>
          <t>Physiological signals</t>
        </is>
      </c>
      <c r="G42" s="4" t="inlineStr">
        <is>
          <t>Decision Tree</t>
        </is>
      </c>
      <c r="H42" s="4" t="inlineStr">
        <is>
          <t>Prediction (time-to-event / prognosis)</t>
        </is>
      </c>
      <c r="I42" s="4" t="inlineStr">
        <is>
          <t>Monitoring/intervention</t>
        </is>
      </c>
      <c r="J42" s="4" t="inlineStr">
        <is>
          <t>Híbrido</t>
        </is>
      </c>
      <c r="K42" s="4" t="inlineStr">
        <is>
          <t>Señales fisiológicas</t>
        </is>
      </c>
      <c r="L42" s="4" t="inlineStr">
        <is>
          <t>Etiqueta histórica conservada; no inferir subtipo desde el nombre</t>
        </is>
      </c>
      <c r="M42" s="4" t="inlineStr">
        <is>
          <t>Historical signals: title/abstract/notes; full-text completion not independently established</t>
        </is>
      </c>
      <c r="N42" s="4" t="n">
        <v>0</v>
      </c>
      <c r="O42" s="12" t="n"/>
      <c r="P42" s="41" t="n"/>
      <c r="Q42" s="4">
        <f>IF(COUNTIFS('ESTUDIOS'!$A$2:$A$455,$A42,'ESTUDIOS'!$I$2:$I$455,"")&gt;0,"",INDEX('ESTUDIOS'!$I$2:$I$455,MATCH($A42,'ESTUDIOS'!$A$2:$A$455,0)))</f>
        <v/>
      </c>
    </row>
    <row r="43" ht="47" customHeight="1">
      <c r="A43" s="4" t="inlineStr">
        <is>
          <t>43</t>
        </is>
      </c>
      <c r="B43" s="4" t="inlineStr">
        <is>
          <t>Historical</t>
        </is>
      </c>
      <c r="C43" s="4" t="inlineStr">
        <is>
          <t>The role of the dopamine system in autism spectrum disorder revealed using machine learning: an ABIDE database–based study</t>
        </is>
      </c>
      <c r="D43" s="4" t="inlineStr">
        <is>
          <t>Diagnosis</t>
        </is>
      </c>
      <c r="E43" s="4" t="inlineStr">
        <is>
          <t>Deep Learning</t>
        </is>
      </c>
      <c r="F43" s="4" t="inlineStr">
        <is>
          <t>Multiple modalities (as coded)</t>
        </is>
      </c>
      <c r="G43" s="4" t="n"/>
      <c r="H43" s="4" t="inlineStr">
        <is>
          <t>Imaging-based diagnostic prediction</t>
        </is>
      </c>
      <c r="I43" s="4" t="inlineStr">
        <is>
          <t>Diagnosis</t>
        </is>
      </c>
      <c r="J43" s="4" t="inlineStr">
        <is>
          <t>Deep Learning</t>
        </is>
      </c>
      <c r="K43" s="4" t="inlineStr">
        <is>
          <t>Multimodal</t>
        </is>
      </c>
      <c r="L43" s="4" t="inlineStr">
        <is>
          <t>Etiqueta histórica conservada; no inferir subtipo desde el nombre</t>
        </is>
      </c>
      <c r="M43" s="4" t="inlineStr">
        <is>
          <t>Historical signals: title/abstract/notes; full-text completion not independently established</t>
        </is>
      </c>
      <c r="N43" s="4" t="n">
        <v>0</v>
      </c>
      <c r="O43" s="12" t="n"/>
      <c r="P43" s="41" t="n"/>
      <c r="Q43" s="4">
        <f>IF(COUNTIFS('ESTUDIOS'!$A$2:$A$455,$A43,'ESTUDIOS'!$I$2:$I$455,"")&gt;0,"",INDEX('ESTUDIOS'!$I$2:$I$455,MATCH($A43,'ESTUDIOS'!$A$2:$A$455,0)))</f>
        <v/>
      </c>
    </row>
    <row r="44" ht="47" customHeight="1">
      <c r="A44" s="4" t="inlineStr">
        <is>
          <t>44</t>
        </is>
      </c>
      <c r="B44" s="4" t="inlineStr">
        <is>
          <t>Historical</t>
        </is>
      </c>
      <c r="C44" s="4" t="inlineStr">
        <is>
          <t>Using Artificial Intelligence to Identify Factors Associated with Autism Spectrum Disorder in Adolescents with Cerebral Palsy</t>
        </is>
      </c>
      <c r="D44" s="4" t="inlineStr">
        <is>
          <t>Diagnosis</t>
        </is>
      </c>
      <c r="E44" s="4" t="inlineStr">
        <is>
          <t>Machine Learning</t>
        </is>
      </c>
      <c r="F44" s="4" t="inlineStr">
        <is>
          <t>Not specified</t>
        </is>
      </c>
      <c r="G44" s="4" t="inlineStr">
        <is>
          <t>Logistic Regression</t>
        </is>
      </c>
      <c r="H44" s="4" t="inlineStr">
        <is>
          <t>Classification (ASD vs control / multi-class)</t>
        </is>
      </c>
      <c r="I44" s="4" t="inlineStr">
        <is>
          <t>Diagnosis</t>
        </is>
      </c>
      <c r="J44" s="4" t="inlineStr">
        <is>
          <t>Machine Learning</t>
        </is>
      </c>
      <c r="K44" s="4" t="inlineStr">
        <is>
          <t>No especificado</t>
        </is>
      </c>
      <c r="L44" s="4" t="inlineStr">
        <is>
          <t>Sin asignación por falta de detalle</t>
        </is>
      </c>
      <c r="M44" s="4" t="inlineStr">
        <is>
          <t>Historical signals: title/abstract/notes; full-text completion not independently established</t>
        </is>
      </c>
      <c r="N44" s="4" t="n">
        <v>1</v>
      </c>
      <c r="O44" s="12" t="n"/>
      <c r="P44" s="41" t="n"/>
      <c r="Q44" s="4">
        <f>IF(COUNTIFS('ESTUDIOS'!$A$2:$A$455,$A44,'ESTUDIOS'!$I$2:$I$455,"")&gt;0,"",INDEX('ESTUDIOS'!$I$2:$I$455,MATCH($A44,'ESTUDIOS'!$A$2:$A$455,0)))</f>
        <v/>
      </c>
    </row>
    <row r="45" ht="47" customHeight="1">
      <c r="A45" s="4" t="inlineStr">
        <is>
          <t>45</t>
        </is>
      </c>
      <c r="B45" s="4" t="inlineStr">
        <is>
          <t>Historical</t>
        </is>
      </c>
      <c r="C45" s="4" t="inlineStr">
        <is>
          <t>Using resting state functional MRI to build a personalized autism diagnosis system</t>
        </is>
      </c>
      <c r="D45" s="4" t="inlineStr">
        <is>
          <t>Diagnosis</t>
        </is>
      </c>
      <c r="E45" s="4" t="inlineStr">
        <is>
          <t>Hybrid</t>
        </is>
      </c>
      <c r="F45" s="4" t="inlineStr">
        <is>
          <t>Multiple modalities (as coded)</t>
        </is>
      </c>
      <c r="G45" s="4" t="inlineStr">
        <is>
          <t>Autoencoder</t>
        </is>
      </c>
      <c r="H45" s="4" t="inlineStr">
        <is>
          <t>Classification (ASD vs control / multi-class)</t>
        </is>
      </c>
      <c r="I45" s="4" t="inlineStr">
        <is>
          <t>Diagnosis</t>
        </is>
      </c>
      <c r="J45" s="4" t="inlineStr">
        <is>
          <t>Híbrido</t>
        </is>
      </c>
      <c r="K45" s="4" t="inlineStr">
        <is>
          <t>Multimodal</t>
        </is>
      </c>
      <c r="L45" s="4" t="inlineStr">
        <is>
          <t>Etiqueta histórica conservada; no inferir subtipo desde el nombre</t>
        </is>
      </c>
      <c r="M45" s="4" t="inlineStr">
        <is>
          <t>Historical signals: title/abstract/notes; full-text completion not independently established</t>
        </is>
      </c>
      <c r="N45" s="4" t="n">
        <v>0</v>
      </c>
      <c r="O45" s="12" t="n"/>
      <c r="P45" s="41" t="n"/>
      <c r="Q45" s="4">
        <f>IF(COUNTIFS('ESTUDIOS'!$A$2:$A$455,$A45,'ESTUDIOS'!$I$2:$I$455,"")&gt;0,"",INDEX('ESTUDIOS'!$I$2:$I$455,MATCH($A45,'ESTUDIOS'!$A$2:$A$455,0)))</f>
        <v/>
      </c>
    </row>
    <row r="46" ht="47" customHeight="1">
      <c r="A46" s="4" t="inlineStr">
        <is>
          <t>46</t>
        </is>
      </c>
      <c r="B46" s="4" t="inlineStr">
        <is>
          <t>Historical</t>
        </is>
      </c>
      <c r="C46" s="4" t="inlineStr">
        <is>
          <t>A Model to Support the Prediction of Indicators in the Diagnosis and Intervention of Autism Spectrum Disorder</t>
        </is>
      </c>
      <c r="D46" s="4" t="inlineStr">
        <is>
          <t>Monitoring/intervention</t>
        </is>
      </c>
      <c r="E46" s="4" t="inlineStr">
        <is>
          <t>Deep Learning</t>
        </is>
      </c>
      <c r="F46" s="4" t="inlineStr">
        <is>
          <t>Text / NLP (legacy; verify input type)</t>
        </is>
      </c>
      <c r="G46" s="4" t="inlineStr">
        <is>
          <t>Transformer</t>
        </is>
      </c>
      <c r="H46" s="4" t="inlineStr">
        <is>
          <t>Classification (ASD vs control / multi-class)</t>
        </is>
      </c>
      <c r="I46" s="4" t="inlineStr">
        <is>
          <t>Monitoring/intervention</t>
        </is>
      </c>
      <c r="J46" s="4" t="inlineStr">
        <is>
          <t>Deep Learning</t>
        </is>
      </c>
      <c r="K46" s="4" t="inlineStr">
        <is>
          <t>Texto · NLP</t>
        </is>
      </c>
      <c r="L46" s="4" t="inlineStr">
        <is>
          <t>Etiqueta histórica conservada; no inferir subtipo desde el nombre</t>
        </is>
      </c>
      <c r="M46" s="4" t="inlineStr">
        <is>
          <t>Historical signals: title/abstract/notes; full-text completion not independently established</t>
        </is>
      </c>
      <c r="N46" s="4" t="n">
        <v>1</v>
      </c>
      <c r="O46" s="12" t="n"/>
      <c r="P46" s="41" t="n"/>
      <c r="Q46" s="4">
        <f>IF(COUNTIFS('ESTUDIOS'!$A$2:$A$455,$A46,'ESTUDIOS'!$I$2:$I$455,"")&gt;0,"",INDEX('ESTUDIOS'!$I$2:$I$455,MATCH($A46,'ESTUDIOS'!$A$2:$A$455,0)))</f>
        <v/>
      </c>
    </row>
    <row r="47" ht="60" customHeight="1">
      <c r="A47" s="4" t="inlineStr">
        <is>
          <t>47</t>
        </is>
      </c>
      <c r="B47" s="4" t="inlineStr">
        <is>
          <t>Historical</t>
        </is>
      </c>
      <c r="C47" s="4" t="inlineStr">
        <is>
          <t>A novel multi-modal model to assist the diagnosis of autism spectrum disorder using eye-tracking data</t>
        </is>
      </c>
      <c r="D47" s="4" t="inlineStr">
        <is>
          <t>Diagnosis</t>
        </is>
      </c>
      <c r="E47" s="4" t="inlineStr">
        <is>
          <t>Not specified</t>
        </is>
      </c>
      <c r="F47" s="4" t="inlineStr">
        <is>
          <t>Image (subtype unresolved)</t>
        </is>
      </c>
      <c r="G47" s="4" t="inlineStr">
        <is>
          <t>RNN/LSTM/GRU</t>
        </is>
      </c>
      <c r="H47" s="4" t="inlineStr">
        <is>
          <t>Classification (binary/multi-class; incl. ASD vs control)/ multi-class)</t>
        </is>
      </c>
      <c r="I47" s="4" t="inlineStr">
        <is>
          <t>diagnosis</t>
        </is>
      </c>
      <c r="J47" s="4" t="inlineStr">
        <is>
          <t>No especificado</t>
        </is>
      </c>
      <c r="K47" s="4" t="inlineStr">
        <is>
          <t>Imagen</t>
        </is>
      </c>
      <c r="L47" s="4" t="inlineStr">
        <is>
          <t>Etiqueta histórica conservada; no inferir subtipo desde el nombre</t>
        </is>
      </c>
      <c r="M47" s="4" t="inlineStr">
        <is>
          <t>Historical signals: title/abstract/notes; full-text completion not independently established</t>
        </is>
      </c>
      <c r="N47" s="4" t="n">
        <v>1</v>
      </c>
      <c r="O47" s="12" t="n"/>
      <c r="P47" s="41" t="n"/>
      <c r="Q47" s="4">
        <f>IF(COUNTIFS('ESTUDIOS'!$A$2:$A$455,$A47,'ESTUDIOS'!$I$2:$I$455,"")&gt;0,"",INDEX('ESTUDIOS'!$I$2:$I$455,MATCH($A47,'ESTUDIOS'!$A$2:$A$455,0)))</f>
        <v/>
      </c>
    </row>
    <row r="48" ht="47" customHeight="1">
      <c r="A48" s="4" t="inlineStr">
        <is>
          <t>48</t>
        </is>
      </c>
      <c r="B48" s="4" t="inlineStr">
        <is>
          <t>Historical</t>
        </is>
      </c>
      <c r="C48" s="4" t="inlineStr">
        <is>
          <t>A randomized controlled trial of 25 sessions comparing music therapy and music listening for children with autism spectrum disorder</t>
        </is>
      </c>
      <c r="D48" s="4" t="inlineStr">
        <is>
          <t>Screening</t>
        </is>
      </c>
      <c r="E48" s="4" t="inlineStr">
        <is>
          <t>Machine Learning</t>
        </is>
      </c>
      <c r="F48" s="4" t="inlineStr">
        <is>
          <t>Not specified</t>
        </is>
      </c>
      <c r="G48" s="4" t="inlineStr">
        <is>
          <t>Other / Not clear</t>
        </is>
      </c>
      <c r="H48" s="4" t="inlineStr">
        <is>
          <t>Classification (ASD vs control / multi-class)</t>
        </is>
      </c>
      <c r="I48" s="4" t="inlineStr">
        <is>
          <t>Screening</t>
        </is>
      </c>
      <c r="J48" s="4" t="inlineStr">
        <is>
          <t>Machine Learning</t>
        </is>
      </c>
      <c r="K48" s="4" t="inlineStr">
        <is>
          <t>No especificado</t>
        </is>
      </c>
      <c r="L48" s="4" t="inlineStr">
        <is>
          <t>Sin asignación por falta de detalle</t>
        </is>
      </c>
      <c r="M48" s="4" t="inlineStr">
        <is>
          <t>Historical signals: title/abstract/notes; full-text completion not independently established</t>
        </is>
      </c>
      <c r="N48" s="4" t="n">
        <v>1</v>
      </c>
      <c r="O48" s="12" t="n"/>
      <c r="P48" s="41" t="n"/>
      <c r="Q48" s="4">
        <f>IF(COUNTIFS('ESTUDIOS'!$A$2:$A$455,$A48,'ESTUDIOS'!$I$2:$I$455,"")&gt;0,"",INDEX('ESTUDIOS'!$I$2:$I$455,MATCH($A48,'ESTUDIOS'!$A$2:$A$455,0)))</f>
        <v/>
      </c>
    </row>
    <row r="49" ht="60" customHeight="1">
      <c r="A49" s="4" t="inlineStr">
        <is>
          <t>49</t>
        </is>
      </c>
      <c r="B49" s="4" t="inlineStr">
        <is>
          <t>Historical</t>
        </is>
      </c>
      <c r="C49" s="4" t="inlineStr">
        <is>
          <t>A Triple-Pooling Graph Neural Network for\&amp;#xa0;Multi-scale Topological Learning of\&amp;#xa0;Brain Functional Connectivity: Application to\&amp;#xa0;ASD Diagnosis</t>
        </is>
      </c>
      <c r="D49" s="4" t="inlineStr">
        <is>
          <t>Diagnosis</t>
        </is>
      </c>
      <c r="E49" s="4" t="inlineStr">
        <is>
          <t>Deep Learning</t>
        </is>
      </c>
      <c r="F49" s="4" t="inlineStr">
        <is>
          <t>Physiological signals</t>
        </is>
      </c>
      <c r="G49" s="4" t="inlineStr">
        <is>
          <t>Other</t>
        </is>
      </c>
      <c r="H49" s="4" t="inlineStr">
        <is>
          <t>Classification (binary/multi-class; incl. ASD vs control)/ multi-class)</t>
        </is>
      </c>
      <c r="I49" s="4" t="inlineStr">
        <is>
          <t>Diagnosis</t>
        </is>
      </c>
      <c r="J49" s="4" t="inlineStr">
        <is>
          <t>Deep Learning</t>
        </is>
      </c>
      <c r="K49" s="4" t="inlineStr">
        <is>
          <t>Señales fisiológicas</t>
        </is>
      </c>
      <c r="L49" s="4" t="inlineStr">
        <is>
          <t>Etiqueta histórica conservada; no inferir subtipo desde el nombre</t>
        </is>
      </c>
      <c r="M49" s="4" t="inlineStr">
        <is>
          <t>Historical signals: title/abstract/notes; full-text completion not independently established</t>
        </is>
      </c>
      <c r="N49" s="4" t="n">
        <v>0</v>
      </c>
      <c r="O49" s="12" t="n"/>
      <c r="P49" s="41" t="n"/>
      <c r="Q49" s="4">
        <f>IF(COUNTIFS('ESTUDIOS'!$A$2:$A$455,$A49,'ESTUDIOS'!$I$2:$I$455,"")&gt;0,"",INDEX('ESTUDIOS'!$I$2:$I$455,MATCH($A49,'ESTUDIOS'!$A$2:$A$455,0)))</f>
        <v/>
      </c>
    </row>
    <row r="50" ht="47" customHeight="1">
      <c r="A50" s="4" t="inlineStr">
        <is>
          <t>51</t>
        </is>
      </c>
      <c r="B50" s="4" t="inlineStr">
        <is>
          <t>Historical</t>
        </is>
      </c>
      <c r="C50" s="4" t="inlineStr">
        <is>
          <t>Bilinear Perceptual Fusion Algorithm Based on Brain Functional and Structural Data for ASD Diagnosis and Regions of Interest Identification</t>
        </is>
      </c>
      <c r="D50" s="4" t="inlineStr">
        <is>
          <t>Diagnosis</t>
        </is>
      </c>
      <c r="E50" s="4" t="inlineStr">
        <is>
          <t>Not specified</t>
        </is>
      </c>
      <c r="F50" s="4" t="inlineStr">
        <is>
          <t>Multiple modalities (as coded)</t>
        </is>
      </c>
      <c r="G50" s="4" t="inlineStr">
        <is>
          <t>CNN</t>
        </is>
      </c>
      <c r="H50" s="4" t="inlineStr">
        <is>
          <t>Classification (ASD vs control / multi-class)</t>
        </is>
      </c>
      <c r="I50" s="4" t="inlineStr">
        <is>
          <t>Diagnosis</t>
        </is>
      </c>
      <c r="J50" s="4" t="inlineStr">
        <is>
          <t>No especificado</t>
        </is>
      </c>
      <c r="K50" s="4" t="inlineStr">
        <is>
          <t>Multimodal</t>
        </is>
      </c>
      <c r="L50" s="4" t="inlineStr">
        <is>
          <t>Etiqueta histórica conservada; no inferir subtipo desde el nombre</t>
        </is>
      </c>
      <c r="M50" s="4" t="inlineStr">
        <is>
          <t>Historical signals: title/abstract/notes; full-text completion not independently established</t>
        </is>
      </c>
      <c r="N50" s="4" t="n">
        <v>1</v>
      </c>
      <c r="O50" s="12" t="n"/>
      <c r="P50" s="41" t="n"/>
      <c r="Q50" s="4">
        <f>IF(COUNTIFS('ESTUDIOS'!$A$2:$A$455,$A50,'ESTUDIOS'!$I$2:$I$455,"")&gt;0,"",INDEX('ESTUDIOS'!$I$2:$I$455,MATCH($A50,'ESTUDIOS'!$A$2:$A$455,0)))</f>
        <v/>
      </c>
    </row>
    <row r="51" ht="47" customHeight="1">
      <c r="A51" s="4" t="inlineStr">
        <is>
          <t>52</t>
        </is>
      </c>
      <c r="B51" s="4" t="inlineStr">
        <is>
          <t>Historical</t>
        </is>
      </c>
      <c r="C51" s="4" t="inlineStr">
        <is>
          <t>Computer-aided diagnosis of autism spectrum disorder from EEG signals using deep learning with FAWT and multiscale permutation entropy features</t>
        </is>
      </c>
      <c r="D51" s="4" t="inlineStr">
        <is>
          <t>Diagnosis</t>
        </is>
      </c>
      <c r="E51" s="4" t="inlineStr">
        <is>
          <t>Hybrid</t>
        </is>
      </c>
      <c r="F51" s="4" t="inlineStr">
        <is>
          <t>Physiological signals</t>
        </is>
      </c>
      <c r="G51" s="4" t="inlineStr">
        <is>
          <t>CNN</t>
        </is>
      </c>
      <c r="H51" s="4" t="inlineStr">
        <is>
          <t>Classification (ASD vs control / multi-class)</t>
        </is>
      </c>
      <c r="I51" s="4" t="inlineStr">
        <is>
          <t>Diagnosis</t>
        </is>
      </c>
      <c r="J51" s="4" t="inlineStr">
        <is>
          <t>Híbrido</t>
        </is>
      </c>
      <c r="K51" s="4" t="inlineStr">
        <is>
          <t>Señales fisiológicas</t>
        </is>
      </c>
      <c r="L51" s="4" t="inlineStr">
        <is>
          <t>Etiqueta histórica conservada; no inferir subtipo desde el nombre</t>
        </is>
      </c>
      <c r="M51" s="4" t="inlineStr">
        <is>
          <t>Historical signals: title/abstract/notes; full-text completion not independently established</t>
        </is>
      </c>
      <c r="N51" s="4" t="n">
        <v>0</v>
      </c>
      <c r="O51" s="12" t="n"/>
      <c r="P51" s="41" t="n"/>
      <c r="Q51" s="4">
        <f>IF(COUNTIFS('ESTUDIOS'!$A$2:$A$455,$A51,'ESTUDIOS'!$I$2:$I$455,"")&gt;0,"",INDEX('ESTUDIOS'!$I$2:$I$455,MATCH($A51,'ESTUDIOS'!$A$2:$A$455,0)))</f>
        <v/>
      </c>
    </row>
    <row r="52" ht="34" customHeight="1">
      <c r="A52" s="4" t="inlineStr">
        <is>
          <t>53</t>
        </is>
      </c>
      <c r="B52" s="4" t="inlineStr">
        <is>
          <t>Historical</t>
        </is>
      </c>
      <c r="C52" s="4" t="inlineStr">
        <is>
          <t>Development and validation of a machine learning-based tool to predict autism among children</t>
        </is>
      </c>
      <c r="D52" s="4" t="inlineStr">
        <is>
          <t>Diagnosis</t>
        </is>
      </c>
      <c r="E52" s="4" t="inlineStr">
        <is>
          <t>Machine Learning</t>
        </is>
      </c>
      <c r="F52" s="4" t="inlineStr">
        <is>
          <t>Not specified</t>
        </is>
      </c>
      <c r="G52" s="4" t="inlineStr">
        <is>
          <t>Logistic Regression</t>
        </is>
      </c>
      <c r="H52" s="4" t="inlineStr">
        <is>
          <t>Prediction (time-to-event / prognosis)</t>
        </is>
      </c>
      <c r="I52" s="4" t="inlineStr">
        <is>
          <t>diagnosis</t>
        </is>
      </c>
      <c r="J52" s="4" t="inlineStr">
        <is>
          <t>Machine Learning</t>
        </is>
      </c>
      <c r="K52" s="4" t="inlineStr">
        <is>
          <t>No especificado</t>
        </is>
      </c>
      <c r="L52" s="4" t="inlineStr">
        <is>
          <t>Sin asignación por falta de detalle</t>
        </is>
      </c>
      <c r="M52" s="4" t="inlineStr">
        <is>
          <t>Historical signals: title/abstract/notes; full-text completion not independently established</t>
        </is>
      </c>
      <c r="N52" s="4" t="n">
        <v>1</v>
      </c>
      <c r="O52" s="12" t="n"/>
      <c r="P52" s="41" t="n"/>
      <c r="Q52" s="4">
        <f>IF(COUNTIFS('ESTUDIOS'!$A$2:$A$455,$A52,'ESTUDIOS'!$I$2:$I$455,"")&gt;0,"",INDEX('ESTUDIOS'!$I$2:$I$455,MATCH($A52,'ESTUDIOS'!$A$2:$A$455,0)))</f>
        <v/>
      </c>
    </row>
    <row r="53" ht="60" customHeight="1">
      <c r="A53" s="4" t="inlineStr">
        <is>
          <t>54</t>
        </is>
      </c>
      <c r="B53" s="4" t="inlineStr">
        <is>
          <t>Historical</t>
        </is>
      </c>
      <c r="C53" s="4" t="inlineStr">
        <is>
          <t>Diagnostic classification of intrinsic functional connectivity highlights somatosensory, default mode, and visual regions in autism</t>
        </is>
      </c>
      <c r="D53" s="4" t="inlineStr">
        <is>
          <t>Diagnosis</t>
        </is>
      </c>
      <c r="E53" s="4" t="inlineStr">
        <is>
          <t>Machine Learning</t>
        </is>
      </c>
      <c r="F53" s="4" t="inlineStr">
        <is>
          <t>Physiological signals</t>
        </is>
      </c>
      <c r="G53" s="4" t="inlineStr">
        <is>
          <t>Random Forest</t>
        </is>
      </c>
      <c r="H53" s="4" t="inlineStr">
        <is>
          <t>Classification (binary/multi-class; incl. ASD vs control)/ multi-class)</t>
        </is>
      </c>
      <c r="I53" s="4" t="inlineStr">
        <is>
          <t>diagnosis</t>
        </is>
      </c>
      <c r="J53" s="4" t="inlineStr">
        <is>
          <t>Machine Learning</t>
        </is>
      </c>
      <c r="K53" s="4" t="inlineStr">
        <is>
          <t>Señales fisiológicas</t>
        </is>
      </c>
      <c r="L53" s="4" t="inlineStr">
        <is>
          <t>Etiqueta histórica conservada; no inferir subtipo desde el nombre</t>
        </is>
      </c>
      <c r="M53" s="4" t="inlineStr">
        <is>
          <t>Historical signals: title/abstract/notes; full-text completion not independently established</t>
        </is>
      </c>
      <c r="N53" s="4" t="n">
        <v>0</v>
      </c>
      <c r="O53" s="12" t="n"/>
      <c r="P53" s="41" t="n"/>
      <c r="Q53" s="4">
        <f>IF(COUNTIFS('ESTUDIOS'!$A$2:$A$455,$A53,'ESTUDIOS'!$I$2:$I$455,"")&gt;0,"",INDEX('ESTUDIOS'!$I$2:$I$455,MATCH($A53,'ESTUDIOS'!$A$2:$A$455,0)))</f>
        <v/>
      </c>
    </row>
    <row r="54" ht="34" customHeight="1">
      <c r="A54" s="4" t="inlineStr">
        <is>
          <t>56</t>
        </is>
      </c>
      <c r="B54" s="4" t="inlineStr">
        <is>
          <t>Historical</t>
        </is>
      </c>
      <c r="C54" s="4" t="inlineStr">
        <is>
          <t>Epigenomic signatures reveal mechanistic clues and predictive markers for autism spectrum disorder</t>
        </is>
      </c>
      <c r="D54" s="4" t="inlineStr">
        <is>
          <t>Not specified</t>
        </is>
      </c>
      <c r="E54" s="4" t="inlineStr">
        <is>
          <t>Deep Learning</t>
        </is>
      </c>
      <c r="F54" s="4" t="inlineStr">
        <is>
          <t>Image (subtype unresolved)</t>
        </is>
      </c>
      <c r="G54" s="4" t="n"/>
      <c r="H54" s="4" t="n"/>
      <c r="I54" s="4" t="n"/>
      <c r="J54" s="4" t="inlineStr">
        <is>
          <t>Deep Learning</t>
        </is>
      </c>
      <c r="K54" s="4" t="inlineStr">
        <is>
          <t>Imagen</t>
        </is>
      </c>
      <c r="L54" s="4" t="inlineStr">
        <is>
          <t>Etiqueta histórica conservada; no inferir subtipo desde el nombre</t>
        </is>
      </c>
      <c r="M54" s="4" t="inlineStr">
        <is>
          <t>Historical signals: title/abstract/notes; full-text completion not independently established</t>
        </is>
      </c>
      <c r="N54" s="4" t="n">
        <v>1</v>
      </c>
      <c r="O54" s="12" t="n"/>
      <c r="P54" s="41" t="n"/>
      <c r="Q54" s="4">
        <f>IF(COUNTIFS('ESTUDIOS'!$A$2:$A$455,$A54,'ESTUDIOS'!$I$2:$I$455,"")&gt;0,"",INDEX('ESTUDIOS'!$I$2:$I$455,MATCH($A54,'ESTUDIOS'!$A$2:$A$455,0)))</f>
        <v/>
      </c>
    </row>
    <row r="55" ht="60" customHeight="1">
      <c r="A55" s="4" t="inlineStr">
        <is>
          <t>57</t>
        </is>
      </c>
      <c r="B55" s="4" t="inlineStr">
        <is>
          <t>Historical</t>
        </is>
      </c>
      <c r="C55" s="4" t="inlineStr">
        <is>
          <t>Evaluation and benchmarking of hybrid machine learning models for autism spectrum disorder diagnosis using a 2-tuple linguistic neutrosophic fuzzy sets-based decision-making model</t>
        </is>
      </c>
      <c r="D55" s="4" t="inlineStr">
        <is>
          <t>Diagnosis</t>
        </is>
      </c>
      <c r="E55" s="4" t="inlineStr">
        <is>
          <t>Machine Learning</t>
        </is>
      </c>
      <c r="F55" s="4" t="inlineStr">
        <is>
          <t>Text / NLP (legacy; verify input type)</t>
        </is>
      </c>
      <c r="G55" s="4" t="inlineStr">
        <is>
          <t>Decision Tree</t>
        </is>
      </c>
      <c r="H55" s="4" t="inlineStr">
        <is>
          <t>Classification (ASD vs control / multi-class)</t>
        </is>
      </c>
      <c r="I55" s="4" t="inlineStr">
        <is>
          <t>Diagnosis</t>
        </is>
      </c>
      <c r="J55" s="4" t="inlineStr">
        <is>
          <t>Machine Learning</t>
        </is>
      </c>
      <c r="K55" s="4" t="inlineStr">
        <is>
          <t>Texto · NLP</t>
        </is>
      </c>
      <c r="L55" s="4" t="inlineStr">
        <is>
          <t>Etiqueta histórica conservada; no inferir subtipo desde el nombre</t>
        </is>
      </c>
      <c r="M55" s="4" t="inlineStr">
        <is>
          <t>Historical signals: title/abstract/notes; full-text completion not independently established</t>
        </is>
      </c>
      <c r="N55" s="4" t="n">
        <v>1</v>
      </c>
      <c r="O55" s="12" t="n"/>
      <c r="P55" s="41" t="n"/>
      <c r="Q55" s="4">
        <f>IF(COUNTIFS('ESTUDIOS'!$A$2:$A$455,$A55,'ESTUDIOS'!$I$2:$I$455,"")&gt;0,"",INDEX('ESTUDIOS'!$I$2:$I$455,MATCH($A55,'ESTUDIOS'!$A$2:$A$455,0)))</f>
        <v/>
      </c>
    </row>
    <row r="56" ht="47" customHeight="1">
      <c r="A56" s="4" t="inlineStr">
        <is>
          <t>58</t>
        </is>
      </c>
      <c r="B56" s="4" t="inlineStr">
        <is>
          <t>Historical</t>
        </is>
      </c>
      <c r="C56" s="4" t="inlineStr">
        <is>
          <t>Event Related Potential Analysis Using Machine Learning to Predict Diagnostic Outcome of Autism Spectrum Disorder</t>
        </is>
      </c>
      <c r="D56" s="4" t="inlineStr">
        <is>
          <t>Diagnosis</t>
        </is>
      </c>
      <c r="E56" s="4" t="inlineStr">
        <is>
          <t>Machine Learning</t>
        </is>
      </c>
      <c r="F56" s="4" t="inlineStr">
        <is>
          <t>Not specified</t>
        </is>
      </c>
      <c r="G56" s="4" t="inlineStr">
        <is>
          <t>Decision Tree</t>
        </is>
      </c>
      <c r="H56" s="4" t="inlineStr">
        <is>
          <t>Prediction (time-to-event / prognosis)</t>
        </is>
      </c>
      <c r="I56" s="4" t="inlineStr">
        <is>
          <t>diagnosis</t>
        </is>
      </c>
      <c r="J56" s="4" t="inlineStr">
        <is>
          <t>Machine Learning</t>
        </is>
      </c>
      <c r="K56" s="4" t="inlineStr">
        <is>
          <t>No especificado</t>
        </is>
      </c>
      <c r="L56" s="4" t="inlineStr">
        <is>
          <t>Sin asignación por falta de detalle</t>
        </is>
      </c>
      <c r="M56" s="4" t="inlineStr">
        <is>
          <t>Historical signals: title/abstract/notes; full-text completion not independently established</t>
        </is>
      </c>
      <c r="N56" s="4" t="n">
        <v>1</v>
      </c>
      <c r="O56" s="12" t="n"/>
      <c r="P56" s="41" t="n"/>
      <c r="Q56" s="4">
        <f>IF(COUNTIFS('ESTUDIOS'!$A$2:$A$455,$A56,'ESTUDIOS'!$I$2:$I$455,"")&gt;0,"",INDEX('ESTUDIOS'!$I$2:$I$455,MATCH($A56,'ESTUDIOS'!$A$2:$A$455,0)))</f>
        <v/>
      </c>
    </row>
    <row r="57" ht="60" customHeight="1">
      <c r="A57" s="4" t="inlineStr">
        <is>
          <t>59</t>
        </is>
      </c>
      <c r="B57" s="4" t="inlineStr">
        <is>
          <t>Historical</t>
        </is>
      </c>
      <c r="C57" s="4" t="inlineStr">
        <is>
          <t>Functional Connectivities Are More Informative Than Anatomical Variables in Diagnostic Classification of Autism</t>
        </is>
      </c>
      <c r="D57" s="4" t="inlineStr">
        <is>
          <t>Monitoring/intervention</t>
        </is>
      </c>
      <c r="E57" s="4" t="inlineStr">
        <is>
          <t>Machine Learning</t>
        </is>
      </c>
      <c r="F57" s="4" t="inlineStr">
        <is>
          <t>Multiple modalities (as coded)</t>
        </is>
      </c>
      <c r="G57" s="4" t="inlineStr">
        <is>
          <t>Random Forest</t>
        </is>
      </c>
      <c r="H57" s="4" t="inlineStr">
        <is>
          <t>Classification (binary/multi-class; incl. ASD vs control)/ multi-class)</t>
        </is>
      </c>
      <c r="I57" s="4" t="inlineStr">
        <is>
          <t>monitoring_intervention</t>
        </is>
      </c>
      <c r="J57" s="4" t="inlineStr">
        <is>
          <t>Machine Learning</t>
        </is>
      </c>
      <c r="K57" s="4" t="inlineStr">
        <is>
          <t>Multimodal</t>
        </is>
      </c>
      <c r="L57" s="4" t="inlineStr">
        <is>
          <t>Etiqueta histórica conservada; no inferir subtipo desde el nombre</t>
        </is>
      </c>
      <c r="M57" s="4" t="inlineStr">
        <is>
          <t>Historical signals: title/abstract/notes; full-text completion not independently established</t>
        </is>
      </c>
      <c r="N57" s="4" t="n">
        <v>0</v>
      </c>
      <c r="O57" s="12" t="n"/>
      <c r="P57" s="41" t="n"/>
      <c r="Q57" s="4">
        <f>IF(COUNTIFS('ESTUDIOS'!$A$2:$A$455,$A57,'ESTUDIOS'!$I$2:$I$455,"")&gt;0,"",INDEX('ESTUDIOS'!$I$2:$I$455,MATCH($A57,'ESTUDIOS'!$A$2:$A$455,0)))</f>
        <v/>
      </c>
    </row>
    <row r="58" ht="47" customHeight="1">
      <c r="A58" s="4" t="inlineStr">
        <is>
          <t>60</t>
        </is>
      </c>
      <c r="B58" s="4" t="inlineStr">
        <is>
          <t>Historical</t>
        </is>
      </c>
      <c r="C58" s="4" t="inlineStr">
        <is>
          <t>Hyperuricemia and Metabolic Adverse Effect in Children and Adolescents with Autism Spectrum Disorder Treated with Risperidone</t>
        </is>
      </c>
      <c r="D58" s="4" t="inlineStr">
        <is>
          <t>Monitoring/intervention</t>
        </is>
      </c>
      <c r="E58" s="4" t="inlineStr">
        <is>
          <t>Deep Learning</t>
        </is>
      </c>
      <c r="F58" s="4" t="inlineStr">
        <is>
          <t>Not specified</t>
        </is>
      </c>
      <c r="G58" s="4" t="inlineStr">
        <is>
          <t>Other / Not clear</t>
        </is>
      </c>
      <c r="H58" s="4" t="inlineStr">
        <is>
          <t>Regression (score / severity / risk)</t>
        </is>
      </c>
      <c r="I58" s="4" t="inlineStr">
        <is>
          <t>Monitoring/intervention</t>
        </is>
      </c>
      <c r="J58" s="4" t="inlineStr">
        <is>
          <t>Deep Learning</t>
        </is>
      </c>
      <c r="K58" s="4" t="inlineStr">
        <is>
          <t>No especificado</t>
        </is>
      </c>
      <c r="L58" s="4" t="inlineStr">
        <is>
          <t>Sin asignación por falta de detalle</t>
        </is>
      </c>
      <c r="M58" s="4" t="inlineStr">
        <is>
          <t>Historical signals: title/abstract/notes; full-text completion not independently established</t>
        </is>
      </c>
      <c r="N58" s="4" t="n">
        <v>1</v>
      </c>
      <c r="O58" s="12" t="n"/>
      <c r="P58" s="41" t="n"/>
      <c r="Q58" s="4">
        <f>IF(COUNTIFS('ESTUDIOS'!$A$2:$A$455,$A58,'ESTUDIOS'!$I$2:$I$455,"")&gt;0,"",INDEX('ESTUDIOS'!$I$2:$I$455,MATCH($A58,'ESTUDIOS'!$A$2:$A$455,0)))</f>
        <v/>
      </c>
    </row>
    <row r="59" ht="60" customHeight="1">
      <c r="A59" s="4" t="inlineStr">
        <is>
          <t>61</t>
        </is>
      </c>
      <c r="B59" s="4" t="inlineStr">
        <is>
          <t>Historical</t>
        </is>
      </c>
      <c r="C59" s="4" t="inlineStr">
        <is>
          <t>Identifying Visual Attention Features Accurately Discerning Between Autism and Typically Developing: a Deep Learning Framework</t>
        </is>
      </c>
      <c r="D59" s="4" t="inlineStr">
        <is>
          <t>Monitoring/intervention</t>
        </is>
      </c>
      <c r="E59" s="4" t="inlineStr">
        <is>
          <t>Deep Learning</t>
        </is>
      </c>
      <c r="F59" s="4" t="inlineStr">
        <is>
          <t>Image (subtype unresolved)</t>
        </is>
      </c>
      <c r="G59" s="4" t="inlineStr">
        <is>
          <t>CNN</t>
        </is>
      </c>
      <c r="H59" s="4" t="inlineStr">
        <is>
          <t>Classification (binary/multi-class; incl. ASD vs control)/ multi-class)</t>
        </is>
      </c>
      <c r="I59" s="4" t="inlineStr">
        <is>
          <t>monitoring_intervention</t>
        </is>
      </c>
      <c r="J59" s="4" t="inlineStr">
        <is>
          <t>Deep Learning</t>
        </is>
      </c>
      <c r="K59" s="4" t="inlineStr">
        <is>
          <t>Imagen</t>
        </is>
      </c>
      <c r="L59" s="4" t="inlineStr">
        <is>
          <t>Etiqueta histórica conservada; no inferir subtipo desde el nombre</t>
        </is>
      </c>
      <c r="M59" s="4" t="inlineStr">
        <is>
          <t>Historical signals: title/abstract/notes; full-text completion not independently established</t>
        </is>
      </c>
      <c r="N59" s="4" t="n">
        <v>1</v>
      </c>
      <c r="O59" s="12" t="n"/>
      <c r="P59" s="41" t="n"/>
      <c r="Q59" s="4">
        <f>IF(COUNTIFS('ESTUDIOS'!$A$2:$A$455,$A59,'ESTUDIOS'!$I$2:$I$455,"")&gt;0,"",INDEX('ESTUDIOS'!$I$2:$I$455,MATCH($A59,'ESTUDIOS'!$A$2:$A$455,0)))</f>
        <v/>
      </c>
    </row>
    <row r="60" ht="47" customHeight="1">
      <c r="A60" s="4" t="inlineStr">
        <is>
          <t>62</t>
        </is>
      </c>
      <c r="B60" s="4" t="inlineStr">
        <is>
          <t>Historical</t>
        </is>
      </c>
      <c r="C60" s="4" t="inlineStr">
        <is>
          <t>Impact of DRD2 polymorphisms on prolactin level in risperidone-treated Thai children and adolescent with autism spectrum disorders</t>
        </is>
      </c>
      <c r="D60" s="4" t="inlineStr">
        <is>
          <t>Monitoring/intervention</t>
        </is>
      </c>
      <c r="E60" s="4" t="inlineStr">
        <is>
          <t>Machine Learning</t>
        </is>
      </c>
      <c r="F60" s="4" t="inlineStr">
        <is>
          <t>Not specified</t>
        </is>
      </c>
      <c r="G60" s="4" t="inlineStr">
        <is>
          <t>Other / Not clear</t>
        </is>
      </c>
      <c r="H60" s="4" t="inlineStr">
        <is>
          <t>Other / Not clear</t>
        </is>
      </c>
      <c r="I60" s="4" t="inlineStr">
        <is>
          <t>Monitoring/intervention</t>
        </is>
      </c>
      <c r="J60" s="4" t="inlineStr">
        <is>
          <t>Machine Learning</t>
        </is>
      </c>
      <c r="K60" s="4" t="inlineStr">
        <is>
          <t>No especificado</t>
        </is>
      </c>
      <c r="L60" s="4" t="inlineStr">
        <is>
          <t>Sin asignación por falta de detalle</t>
        </is>
      </c>
      <c r="M60" s="4" t="inlineStr">
        <is>
          <t>Historical signals: title/abstract/notes; full-text completion not independently established</t>
        </is>
      </c>
      <c r="N60" s="4" t="n">
        <v>1</v>
      </c>
      <c r="O60" s="12" t="n"/>
      <c r="P60" s="41" t="n"/>
      <c r="Q60" s="4">
        <f>IF(COUNTIFS('ESTUDIOS'!$A$2:$A$455,$A60,'ESTUDIOS'!$I$2:$I$455,"")&gt;0,"",INDEX('ESTUDIOS'!$I$2:$I$455,MATCH($A60,'ESTUDIOS'!$A$2:$A$455,0)))</f>
        <v/>
      </c>
    </row>
    <row r="61" ht="47" customHeight="1">
      <c r="A61" s="4" t="inlineStr">
        <is>
          <t>63</t>
        </is>
      </c>
      <c r="B61" s="4" t="inlineStr">
        <is>
          <t>Historical</t>
        </is>
      </c>
      <c r="C61" s="4" t="inlineStr">
        <is>
          <t>Improving fMRI-Based Autism Severity Identification via Brain Network Distance and Adaptive Label Distribution Learning</t>
        </is>
      </c>
      <c r="D61" s="4" t="inlineStr">
        <is>
          <t>Diagnosis</t>
        </is>
      </c>
      <c r="E61" s="4" t="inlineStr">
        <is>
          <t>Machine Learning</t>
        </is>
      </c>
      <c r="F61" s="4" t="inlineStr">
        <is>
          <t>Image (subtype unresolved)</t>
        </is>
      </c>
      <c r="G61" s="4" t="inlineStr">
        <is>
          <t>MLP</t>
        </is>
      </c>
      <c r="H61" s="4" t="inlineStr">
        <is>
          <t>Regression (score / severity / risk)</t>
        </is>
      </c>
      <c r="I61" s="4" t="inlineStr">
        <is>
          <t>Diagnosis</t>
        </is>
      </c>
      <c r="J61" s="4" t="inlineStr">
        <is>
          <t>Machine Learning</t>
        </is>
      </c>
      <c r="K61" s="4" t="inlineStr">
        <is>
          <t>Imagen</t>
        </is>
      </c>
      <c r="L61" s="4" t="inlineStr">
        <is>
          <t>Etiqueta histórica conservada; no inferir subtipo desde el nombre</t>
        </is>
      </c>
      <c r="M61" s="4" t="inlineStr">
        <is>
          <t>Historical signals: title/abstract/notes; full-text completion not independently established</t>
        </is>
      </c>
      <c r="N61" s="4" t="n">
        <v>1</v>
      </c>
      <c r="O61" s="12" t="n"/>
      <c r="P61" s="41" t="n"/>
      <c r="Q61" s="4">
        <f>IF(COUNTIFS('ESTUDIOS'!$A$2:$A$455,$A61,'ESTUDIOS'!$I$2:$I$455,"")&gt;0,"",INDEX('ESTUDIOS'!$I$2:$I$455,MATCH($A61,'ESTUDIOS'!$A$2:$A$455,0)))</f>
        <v/>
      </c>
    </row>
    <row r="62" ht="60" customHeight="1">
      <c r="A62" s="4" t="inlineStr">
        <is>
          <t>64</t>
        </is>
      </c>
      <c r="B62" s="4" t="inlineStr">
        <is>
          <t>Historical</t>
        </is>
      </c>
      <c r="C62" s="4" t="inlineStr">
        <is>
          <t>Leveraging hybrid model of ConvNextBase and LightGBM for early ASD detection via eye-gaze analysis</t>
        </is>
      </c>
      <c r="D62" s="4" t="inlineStr">
        <is>
          <t>Screening</t>
        </is>
      </c>
      <c r="E62" s="4" t="inlineStr">
        <is>
          <t>Hybrid</t>
        </is>
      </c>
      <c r="F62" s="4" t="inlineStr">
        <is>
          <t>Image (subtype unresolved)</t>
        </is>
      </c>
      <c r="G62" s="4" t="inlineStr">
        <is>
          <t>XGBoost / GBDT</t>
        </is>
      </c>
      <c r="H62" s="4" t="inlineStr">
        <is>
          <t>Classification (binary/multi-class; incl. ASD vs control)/ multi-class)</t>
        </is>
      </c>
      <c r="I62" s="4" t="inlineStr">
        <is>
          <t>screening</t>
        </is>
      </c>
      <c r="J62" s="4" t="inlineStr">
        <is>
          <t>Híbrido</t>
        </is>
      </c>
      <c r="K62" s="4" t="inlineStr">
        <is>
          <t>Imagen</t>
        </is>
      </c>
      <c r="L62" s="4" t="inlineStr">
        <is>
          <t>Etiqueta histórica conservada; no inferir subtipo desde el nombre</t>
        </is>
      </c>
      <c r="M62" s="4" t="inlineStr">
        <is>
          <t>Historical signals: title/abstract/notes; full-text completion not independently established</t>
        </is>
      </c>
      <c r="N62" s="4" t="n">
        <v>1</v>
      </c>
      <c r="O62" s="12" t="n"/>
      <c r="P62" s="41" t="n"/>
      <c r="Q62" s="4">
        <f>IF(COUNTIFS('ESTUDIOS'!$A$2:$A$455,$A62,'ESTUDIOS'!$I$2:$I$455,"")&gt;0,"",INDEX('ESTUDIOS'!$I$2:$I$455,MATCH($A62,'ESTUDIOS'!$A$2:$A$455,0)))</f>
        <v/>
      </c>
    </row>
    <row r="63" ht="34" customHeight="1">
      <c r="A63" s="4" t="inlineStr">
        <is>
          <t>65</t>
        </is>
      </c>
      <c r="B63" s="4" t="inlineStr">
        <is>
          <t>Historical</t>
        </is>
      </c>
      <c r="C63" s="4" t="inlineStr">
        <is>
          <t>Modified Grasshopper Optimization Algorithm for detection of Autism Spectrum Disorder</t>
        </is>
      </c>
      <c r="D63" s="4" t="inlineStr">
        <is>
          <t>Screening</t>
        </is>
      </c>
      <c r="E63" s="4" t="inlineStr">
        <is>
          <t>Machine Learning</t>
        </is>
      </c>
      <c r="F63" s="4" t="inlineStr">
        <is>
          <t>Not specified</t>
        </is>
      </c>
      <c r="G63" s="4" t="inlineStr">
        <is>
          <t>Random Forest</t>
        </is>
      </c>
      <c r="H63" s="4" t="inlineStr">
        <is>
          <t>Other / Not clear</t>
        </is>
      </c>
      <c r="I63" s="4" t="inlineStr">
        <is>
          <t>Screening</t>
        </is>
      </c>
      <c r="J63" s="4" t="inlineStr">
        <is>
          <t>Machine Learning</t>
        </is>
      </c>
      <c r="K63" s="4" t="inlineStr">
        <is>
          <t>No especificado</t>
        </is>
      </c>
      <c r="L63" s="4" t="inlineStr">
        <is>
          <t>Sin asignación por falta de detalle</t>
        </is>
      </c>
      <c r="M63" s="4" t="inlineStr">
        <is>
          <t>Historical signals: title/abstract/notes; full-text completion not independently established</t>
        </is>
      </c>
      <c r="N63" s="4" t="n">
        <v>1</v>
      </c>
      <c r="O63" s="12" t="n"/>
      <c r="P63" s="41" t="n"/>
      <c r="Q63" s="4">
        <f>IF(COUNTIFS('ESTUDIOS'!$A$2:$A$455,$A63,'ESTUDIOS'!$I$2:$I$455,"")&gt;0,"",INDEX('ESTUDIOS'!$I$2:$I$455,MATCH($A63,'ESTUDIOS'!$A$2:$A$455,0)))</f>
        <v/>
      </c>
    </row>
    <row r="64" ht="47" customHeight="1">
      <c r="A64" s="4" t="inlineStr">
        <is>
          <t>66</t>
        </is>
      </c>
      <c r="B64" s="4" t="inlineStr">
        <is>
          <t>Historical</t>
        </is>
      </c>
      <c r="C64" s="4" t="inlineStr">
        <is>
          <t>Motor Signature Differences Between Autism Spectrum Disorder and Developmental Coordination Disorder, and Their Neural Mechanisms</t>
        </is>
      </c>
      <c r="D64" s="4" t="inlineStr">
        <is>
          <t>Diagnosis</t>
        </is>
      </c>
      <c r="E64" s="4" t="inlineStr">
        <is>
          <t>Deep Learning</t>
        </is>
      </c>
      <c r="F64" s="4" t="inlineStr">
        <is>
          <t>Image (subtype unresolved)</t>
        </is>
      </c>
      <c r="G64" s="4" t="inlineStr">
        <is>
          <t>Other / Not clear</t>
        </is>
      </c>
      <c r="H64" s="4" t="inlineStr">
        <is>
          <t>Classification (ASD vs control / multi-class)</t>
        </is>
      </c>
      <c r="I64" s="4" t="inlineStr">
        <is>
          <t>Diagnosis</t>
        </is>
      </c>
      <c r="J64" s="4" t="inlineStr">
        <is>
          <t>Deep Learning</t>
        </is>
      </c>
      <c r="K64" s="4" t="inlineStr">
        <is>
          <t>Imagen</t>
        </is>
      </c>
      <c r="L64" s="4" t="inlineStr">
        <is>
          <t>Etiqueta histórica conservada; no inferir subtipo desde el nombre</t>
        </is>
      </c>
      <c r="M64" s="4" t="inlineStr">
        <is>
          <t>Historical signals: title/abstract/notes; full-text completion not independently established</t>
        </is>
      </c>
      <c r="N64" s="4" t="n">
        <v>1</v>
      </c>
      <c r="O64" s="12" t="n"/>
      <c r="P64" s="41" t="n"/>
      <c r="Q64" s="4">
        <f>IF(COUNTIFS('ESTUDIOS'!$A$2:$A$455,$A64,'ESTUDIOS'!$I$2:$I$455,"")&gt;0,"",INDEX('ESTUDIOS'!$I$2:$I$455,MATCH($A64,'ESTUDIOS'!$A$2:$A$455,0)))</f>
        <v/>
      </c>
    </row>
    <row r="65" ht="47" customHeight="1">
      <c r="A65" s="4" t="inlineStr">
        <is>
          <t>67</t>
        </is>
      </c>
      <c r="B65" s="4" t="inlineStr">
        <is>
          <t>Historical</t>
        </is>
      </c>
      <c r="C65" s="4" t="inlineStr">
        <is>
          <t>Novelty detection using deep normative modeling for imu-based abnormal movement monitoring in parkinson’s disease and autism spectrum disorders</t>
        </is>
      </c>
      <c r="D65" s="4" t="inlineStr">
        <is>
          <t>Monitoring/intervention</t>
        </is>
      </c>
      <c r="E65" s="4" t="inlineStr">
        <is>
          <t>Hybrid</t>
        </is>
      </c>
      <c r="F65" s="4" t="inlineStr">
        <is>
          <t>Physiological signals</t>
        </is>
      </c>
      <c r="G65" s="4" t="inlineStr">
        <is>
          <t>Autoencoder</t>
        </is>
      </c>
      <c r="H65" s="4" t="inlineStr">
        <is>
          <t>Detection / segmentation</t>
        </is>
      </c>
      <c r="I65" s="4" t="inlineStr">
        <is>
          <t>Monitoring/intervention</t>
        </is>
      </c>
      <c r="J65" s="4" t="inlineStr">
        <is>
          <t>Híbrido</t>
        </is>
      </c>
      <c r="K65" s="4" t="inlineStr">
        <is>
          <t>Señales fisiológicas</t>
        </is>
      </c>
      <c r="L65" s="4" t="inlineStr">
        <is>
          <t>Etiqueta histórica conservada; no inferir subtipo desde el nombre</t>
        </is>
      </c>
      <c r="M65" s="4" t="inlineStr">
        <is>
          <t>Historical signals: title/abstract/notes; full-text completion not independently established</t>
        </is>
      </c>
      <c r="N65" s="4" t="n">
        <v>0</v>
      </c>
      <c r="O65" s="12" t="n"/>
      <c r="P65" s="41" t="n"/>
      <c r="Q65" s="4">
        <f>IF(COUNTIFS('ESTUDIOS'!$A$2:$A$455,$A65,'ESTUDIOS'!$I$2:$I$455,"")&gt;0,"",INDEX('ESTUDIOS'!$I$2:$I$455,MATCH($A65,'ESTUDIOS'!$A$2:$A$455,0)))</f>
        <v/>
      </c>
    </row>
    <row r="66" ht="47" customHeight="1">
      <c r="A66" s="4" t="inlineStr">
        <is>
          <t>68</t>
        </is>
      </c>
      <c r="B66" s="4" t="inlineStr">
        <is>
          <t>Historical</t>
        </is>
      </c>
      <c r="C66" s="4" t="inlineStr">
        <is>
          <t>Perceived social support in adults with autism spectrum disorder and attention-deficit/hyperactivity disorder</t>
        </is>
      </c>
      <c r="D66" s="4" t="inlineStr">
        <is>
          <t>Diagnosis</t>
        </is>
      </c>
      <c r="E66" s="4" t="inlineStr">
        <is>
          <t>Machine Learning</t>
        </is>
      </c>
      <c r="F66" s="4" t="inlineStr">
        <is>
          <t>Text / NLP (legacy; verify input type)</t>
        </is>
      </c>
      <c r="G66" s="4" t="inlineStr">
        <is>
          <t>Random Forest</t>
        </is>
      </c>
      <c r="H66" s="4" t="inlineStr">
        <is>
          <t>Regression (score / severity / risk)</t>
        </is>
      </c>
      <c r="I66" s="4" t="inlineStr">
        <is>
          <t>diagnosis</t>
        </is>
      </c>
      <c r="J66" s="4" t="inlineStr">
        <is>
          <t>Machine Learning</t>
        </is>
      </c>
      <c r="K66" s="4" t="inlineStr">
        <is>
          <t>Texto · NLP</t>
        </is>
      </c>
      <c r="L66" s="4" t="inlineStr">
        <is>
          <t>Etiqueta histórica conservada; no inferir subtipo desde el nombre</t>
        </is>
      </c>
      <c r="M66" s="4" t="inlineStr">
        <is>
          <t>Historical signals: title/abstract/notes; full-text completion not independently established</t>
        </is>
      </c>
      <c r="N66" s="4" t="n">
        <v>1</v>
      </c>
      <c r="O66" s="12" t="n"/>
      <c r="P66" s="41" t="n"/>
      <c r="Q66" s="4">
        <f>IF(COUNTIFS('ESTUDIOS'!$A$2:$A$455,$A66,'ESTUDIOS'!$I$2:$I$455,"")&gt;0,"",INDEX('ESTUDIOS'!$I$2:$I$455,MATCH($A66,'ESTUDIOS'!$A$2:$A$455,0)))</f>
        <v/>
      </c>
    </row>
    <row r="67" ht="47" customHeight="1">
      <c r="A67" s="4" t="inlineStr">
        <is>
          <t>69</t>
        </is>
      </c>
      <c r="B67" s="4" t="inlineStr">
        <is>
          <t>Historical</t>
        </is>
      </c>
      <c r="C67" s="4" t="inlineStr">
        <is>
          <t>Regional-Asymmetric Adaptive Graph Convolutional Neural Network for Diagnosis of Autism in Children with Resting-State EEG</t>
        </is>
      </c>
      <c r="D67" s="4" t="inlineStr">
        <is>
          <t>Diagnosis</t>
        </is>
      </c>
      <c r="E67" s="4" t="inlineStr">
        <is>
          <t>Deep Learning</t>
        </is>
      </c>
      <c r="F67" s="4" t="inlineStr">
        <is>
          <t>Physiological signals</t>
        </is>
      </c>
      <c r="G67" s="4" t="inlineStr">
        <is>
          <t>CNN</t>
        </is>
      </c>
      <c r="H67" s="4" t="inlineStr">
        <is>
          <t>Classification (ASD vs control / multi-class)</t>
        </is>
      </c>
      <c r="I67" s="4" t="inlineStr">
        <is>
          <t>Diagnosis</t>
        </is>
      </c>
      <c r="J67" s="4" t="inlineStr">
        <is>
          <t>Deep Learning</t>
        </is>
      </c>
      <c r="K67" s="4" t="inlineStr">
        <is>
          <t>Señales fisiológicas</t>
        </is>
      </c>
      <c r="L67" s="4" t="inlineStr">
        <is>
          <t>Etiqueta histórica conservada; no inferir subtipo desde el nombre</t>
        </is>
      </c>
      <c r="M67" s="4" t="inlineStr">
        <is>
          <t>Historical signals: title/abstract/notes; full-text completion not independently established</t>
        </is>
      </c>
      <c r="N67" s="4" t="n">
        <v>0</v>
      </c>
      <c r="O67" s="12" t="n"/>
      <c r="P67" s="41" t="n"/>
      <c r="Q67" s="4">
        <f>IF(COUNTIFS('ESTUDIOS'!$A$2:$A$455,$A67,'ESTUDIOS'!$I$2:$I$455,"")&gt;0,"",INDEX('ESTUDIOS'!$I$2:$I$455,MATCH($A67,'ESTUDIOS'!$A$2:$A$455,0)))</f>
        <v/>
      </c>
    </row>
    <row r="68" ht="60" customHeight="1">
      <c r="A68" s="4" t="inlineStr">
        <is>
          <t>70</t>
        </is>
      </c>
      <c r="B68" s="4" t="inlineStr">
        <is>
          <t>Historical</t>
        </is>
      </c>
      <c r="C68" s="4" t="inlineStr">
        <is>
          <t>Relationship between abnormal intrinsic functional connectivity of subcortices and autism symptoms in high-functioning adults with autism spectrum disorder</t>
        </is>
      </c>
      <c r="D68" s="4" t="inlineStr">
        <is>
          <t>Prognosis</t>
        </is>
      </c>
      <c r="E68" s="4" t="inlineStr">
        <is>
          <t>Deep Learning</t>
        </is>
      </c>
      <c r="F68" s="4" t="inlineStr">
        <is>
          <t>Physiological signals</t>
        </is>
      </c>
      <c r="G68" s="4" t="inlineStr">
        <is>
          <t>Not clear</t>
        </is>
      </c>
      <c r="H68" s="4" t="inlineStr">
        <is>
          <t>Classification (binary/multi-class; incl. ASD vs control)/ multi-class)</t>
        </is>
      </c>
      <c r="I68" s="4" t="inlineStr">
        <is>
          <t>prognosis</t>
        </is>
      </c>
      <c r="J68" s="4" t="inlineStr">
        <is>
          <t>Deep Learning</t>
        </is>
      </c>
      <c r="K68" s="4" t="inlineStr">
        <is>
          <t>Señales fisiológicas</t>
        </is>
      </c>
      <c r="L68" s="4" t="inlineStr">
        <is>
          <t>Etiqueta histórica conservada; no inferir subtipo desde el nombre</t>
        </is>
      </c>
      <c r="M68" s="4" t="inlineStr">
        <is>
          <t>Historical signals: title/abstract/notes; full-text completion not independently established</t>
        </is>
      </c>
      <c r="N68" s="4" t="n">
        <v>0</v>
      </c>
      <c r="O68" s="12" t="n"/>
      <c r="P68" s="41" t="n"/>
      <c r="Q68" s="4">
        <f>IF(COUNTIFS('ESTUDIOS'!$A$2:$A$455,$A68,'ESTUDIOS'!$I$2:$I$455,"")&gt;0,"",INDEX('ESTUDIOS'!$I$2:$I$455,MATCH($A68,'ESTUDIOS'!$A$2:$A$455,0)))</f>
        <v/>
      </c>
    </row>
    <row r="69" ht="60" customHeight="1">
      <c r="A69" s="4" t="inlineStr">
        <is>
          <t>72</t>
        </is>
      </c>
      <c r="B69" s="4" t="inlineStr">
        <is>
          <t>Historical</t>
        </is>
      </c>
      <c r="C69" s="4" t="inlineStr">
        <is>
          <t>Transdiagnostic symptom subtypes across autism spectrum disorders and attention deficit hyperactivity disorder: validated by measures of neurocognition and structural connectivity</t>
        </is>
      </c>
      <c r="D69" s="4" t="inlineStr">
        <is>
          <t>Diagnosis</t>
        </is>
      </c>
      <c r="E69" s="4" t="inlineStr">
        <is>
          <t>Deep Learning</t>
        </is>
      </c>
      <c r="F69" s="4" t="inlineStr">
        <is>
          <t>Multiple modalities (as coded)</t>
        </is>
      </c>
      <c r="G69" s="4" t="inlineStr">
        <is>
          <t>Clustering (k-means / GMM / ...)</t>
        </is>
      </c>
      <c r="H69" s="4" t="inlineStr">
        <is>
          <t>Clustering / subtyping</t>
        </is>
      </c>
      <c r="I69" s="4" t="inlineStr">
        <is>
          <t>Diagnosis</t>
        </is>
      </c>
      <c r="J69" s="4" t="inlineStr">
        <is>
          <t>Deep Learning</t>
        </is>
      </c>
      <c r="K69" s="4" t="inlineStr">
        <is>
          <t>Multimodal</t>
        </is>
      </c>
      <c r="L69" s="4" t="inlineStr">
        <is>
          <t>Etiqueta histórica conservada; no inferir subtipo desde el nombre</t>
        </is>
      </c>
      <c r="M69" s="4" t="inlineStr">
        <is>
          <t>Historical signals: title/abstract/notes; full-text completion not independently established</t>
        </is>
      </c>
      <c r="N69" s="4" t="n">
        <v>0</v>
      </c>
      <c r="O69" s="12" t="n"/>
      <c r="P69" s="41" t="n"/>
      <c r="Q69" s="4">
        <f>IF(COUNTIFS('ESTUDIOS'!$A$2:$A$455,$A69,'ESTUDIOS'!$I$2:$I$455,"")&gt;0,"",INDEX('ESTUDIOS'!$I$2:$I$455,MATCH($A69,'ESTUDIOS'!$A$2:$A$455,0)))</f>
        <v/>
      </c>
    </row>
    <row r="70" ht="60" customHeight="1">
      <c r="A70" s="4" t="inlineStr">
        <is>
          <t>73</t>
        </is>
      </c>
      <c r="B70" s="4" t="inlineStr">
        <is>
          <t>Historical</t>
        </is>
      </c>
      <c r="C70" s="4" t="inlineStr">
        <is>
          <t>A Convolutional Neural Network Combined With Prototype Learning Framework for Brain Functional Network Classification of Autism Spectrum Disorder</t>
        </is>
      </c>
      <c r="D70" s="4" t="inlineStr">
        <is>
          <t>Diagnosis</t>
        </is>
      </c>
      <c r="E70" s="4" t="inlineStr">
        <is>
          <t>Deep Learning</t>
        </is>
      </c>
      <c r="F70" s="4" t="inlineStr">
        <is>
          <t>Not specified</t>
        </is>
      </c>
      <c r="G70" s="4" t="inlineStr">
        <is>
          <t>CNN</t>
        </is>
      </c>
      <c r="H70" s="4" t="inlineStr">
        <is>
          <t>Classification (binary/multi-class; incl. ASD vs control)/ multi-class)</t>
        </is>
      </c>
      <c r="I70" s="4" t="inlineStr">
        <is>
          <t>diagnosis</t>
        </is>
      </c>
      <c r="J70" s="4" t="inlineStr">
        <is>
          <t>Deep Learning</t>
        </is>
      </c>
      <c r="K70" s="4" t="inlineStr">
        <is>
          <t>No especificado</t>
        </is>
      </c>
      <c r="L70" s="4" t="inlineStr">
        <is>
          <t>Sin asignación por falta de detalle</t>
        </is>
      </c>
      <c r="M70" s="4" t="inlineStr">
        <is>
          <t>Historical signals: title/abstract/notes; full-text completion not independently established</t>
        </is>
      </c>
      <c r="N70" s="4" t="n">
        <v>1</v>
      </c>
      <c r="O70" s="12" t="n"/>
      <c r="P70" s="41" t="n"/>
      <c r="Q70" s="4">
        <f>IF(COUNTIFS('ESTUDIOS'!$A$2:$A$455,$A70,'ESTUDIOS'!$I$2:$I$455,"")&gt;0,"",INDEX('ESTUDIOS'!$I$2:$I$455,MATCH($A70,'ESTUDIOS'!$A$2:$A$455,0)))</f>
        <v/>
      </c>
    </row>
    <row r="71" ht="47" customHeight="1">
      <c r="A71" s="4" t="inlineStr">
        <is>
          <t>74</t>
        </is>
      </c>
      <c r="B71" s="4" t="inlineStr">
        <is>
          <t>Historical</t>
        </is>
      </c>
      <c r="C71" s="4" t="inlineStr">
        <is>
          <t>A heterogeneous graph convolutional attention network method for classification of autism spectrum disorder</t>
        </is>
      </c>
      <c r="D71" s="4" t="inlineStr">
        <is>
          <t>Diagnosis</t>
        </is>
      </c>
      <c r="E71" s="4" t="inlineStr">
        <is>
          <t>Deep Learning</t>
        </is>
      </c>
      <c r="F71" s="4" t="inlineStr">
        <is>
          <t>Physiological signals</t>
        </is>
      </c>
      <c r="G71" s="4" t="inlineStr">
        <is>
          <t>MLP</t>
        </is>
      </c>
      <c r="H71" s="4" t="inlineStr">
        <is>
          <t>Classification (ASD vs control / multi-class)</t>
        </is>
      </c>
      <c r="I71" s="4" t="inlineStr">
        <is>
          <t>Diagnosis</t>
        </is>
      </c>
      <c r="J71" s="4" t="inlineStr">
        <is>
          <t>Deep Learning</t>
        </is>
      </c>
      <c r="K71" s="4" t="inlineStr">
        <is>
          <t>Señales fisiológicas</t>
        </is>
      </c>
      <c r="L71" s="4" t="inlineStr">
        <is>
          <t>Etiqueta histórica conservada; no inferir subtipo desde el nombre</t>
        </is>
      </c>
      <c r="M71" s="4" t="inlineStr">
        <is>
          <t>Historical signals: title/abstract/notes; full-text completion not independently established</t>
        </is>
      </c>
      <c r="N71" s="4" t="n">
        <v>0</v>
      </c>
      <c r="O71" s="12" t="n"/>
      <c r="P71" s="41" t="n"/>
      <c r="Q71" s="4">
        <f>IF(COUNTIFS('ESTUDIOS'!$A$2:$A$455,$A71,'ESTUDIOS'!$I$2:$I$455,"")&gt;0,"",INDEX('ESTUDIOS'!$I$2:$I$455,MATCH($A71,'ESTUDIOS'!$A$2:$A$455,0)))</f>
        <v/>
      </c>
    </row>
    <row r="72" ht="34" customHeight="1">
      <c r="A72" s="4" t="inlineStr">
        <is>
          <t>75</t>
        </is>
      </c>
      <c r="B72" s="4" t="inlineStr">
        <is>
          <t>Historical</t>
        </is>
      </c>
      <c r="C72" s="4" t="inlineStr">
        <is>
          <t>A monitoring system for patients of autism spectrum disorder using artificial intelligence</t>
        </is>
      </c>
      <c r="D72" s="4" t="inlineStr">
        <is>
          <t>Monitoring/intervention</t>
        </is>
      </c>
      <c r="E72" s="4" t="inlineStr">
        <is>
          <t>Not specified</t>
        </is>
      </c>
      <c r="F72" s="4" t="inlineStr">
        <is>
          <t>Physiological signals</t>
        </is>
      </c>
      <c r="G72" s="4" t="n"/>
      <c r="H72" s="4" t="inlineStr">
        <is>
          <t>Monitoring / adaptive intervention</t>
        </is>
      </c>
      <c r="I72" s="4" t="inlineStr">
        <is>
          <t>Monitoring/intervention</t>
        </is>
      </c>
      <c r="J72" s="4" t="inlineStr">
        <is>
          <t>No especificado</t>
        </is>
      </c>
      <c r="K72" s="4" t="inlineStr">
        <is>
          <t>Señales fisiológicas</t>
        </is>
      </c>
      <c r="L72" s="4" t="inlineStr">
        <is>
          <t>Etiqueta histórica conservada; no inferir subtipo desde el nombre</t>
        </is>
      </c>
      <c r="M72" s="4" t="inlineStr">
        <is>
          <t>Historical signals: title/abstract/notes; full-text completion not independently established</t>
        </is>
      </c>
      <c r="N72" s="4" t="n">
        <v>1</v>
      </c>
      <c r="O72" s="12" t="n"/>
      <c r="P72" s="41" t="n"/>
      <c r="Q72" s="4">
        <f>IF(COUNTIFS('ESTUDIOS'!$A$2:$A$455,$A72,'ESTUDIOS'!$I$2:$I$455,"")&gt;0,"",INDEX('ESTUDIOS'!$I$2:$I$455,MATCH($A72,'ESTUDIOS'!$A$2:$A$455,0)))</f>
        <v/>
      </c>
    </row>
    <row r="73" ht="47" customHeight="1">
      <c r="A73" s="4" t="inlineStr">
        <is>
          <t>77</t>
        </is>
      </c>
      <c r="B73" s="4" t="inlineStr">
        <is>
          <t>Historical</t>
        </is>
      </c>
      <c r="C73" s="4" t="inlineStr">
        <is>
          <t>Age-Specific Diagnostic Classification of ASD Using Deep Learning Approaches</t>
        </is>
      </c>
      <c r="D73" s="4" t="inlineStr">
        <is>
          <t>Diagnosis</t>
        </is>
      </c>
      <c r="E73" s="4" t="inlineStr">
        <is>
          <t>Deep Learning</t>
        </is>
      </c>
      <c r="F73" s="4" t="inlineStr">
        <is>
          <t>Physiological signals</t>
        </is>
      </c>
      <c r="G73" s="4" t="inlineStr">
        <is>
          <t>CNN</t>
        </is>
      </c>
      <c r="H73" s="4" t="inlineStr">
        <is>
          <t>Classification (ASD vs control / multi-class)</t>
        </is>
      </c>
      <c r="I73" s="4" t="inlineStr">
        <is>
          <t>Diagnosis</t>
        </is>
      </c>
      <c r="J73" s="4" t="inlineStr">
        <is>
          <t>Deep Learning</t>
        </is>
      </c>
      <c r="K73" s="4" t="inlineStr">
        <is>
          <t>Señales fisiológicas</t>
        </is>
      </c>
      <c r="L73" s="4" t="inlineStr">
        <is>
          <t>Etiqueta histórica conservada; no inferir subtipo desde el nombre</t>
        </is>
      </c>
      <c r="M73" s="4" t="inlineStr">
        <is>
          <t>Historical signals: title/abstract/notes; full-text completion not independently established</t>
        </is>
      </c>
      <c r="N73" s="4" t="n">
        <v>0</v>
      </c>
      <c r="O73" s="12" t="n"/>
      <c r="P73" s="41" t="n"/>
      <c r="Q73" s="4">
        <f>IF(COUNTIFS('ESTUDIOS'!$A$2:$A$455,$A73,'ESTUDIOS'!$I$2:$I$455,"")&gt;0,"",INDEX('ESTUDIOS'!$I$2:$I$455,MATCH($A73,'ESTUDIOS'!$A$2:$A$455,0)))</f>
        <v/>
      </c>
    </row>
    <row r="74" ht="47" customHeight="1">
      <c r="A74" s="4" t="inlineStr">
        <is>
          <t>78</t>
        </is>
      </c>
      <c r="B74" s="4" t="inlineStr">
        <is>
          <t>Historical</t>
        </is>
      </c>
      <c r="C74" s="4" t="inlineStr">
        <is>
          <t>An Automatic Framework for Detecting Autism Spectrum Disorder From EEG Signals Using TFD</t>
        </is>
      </c>
      <c r="D74" s="4" t="inlineStr">
        <is>
          <t>Diagnosis</t>
        </is>
      </c>
      <c r="E74" s="4" t="inlineStr">
        <is>
          <t>Deep Learning</t>
        </is>
      </c>
      <c r="F74" s="4" t="inlineStr">
        <is>
          <t>Physiological signals</t>
        </is>
      </c>
      <c r="G74" s="4" t="inlineStr">
        <is>
          <t>CNN</t>
        </is>
      </c>
      <c r="H74" s="4" t="inlineStr">
        <is>
          <t>Classification (ASD vs control / multi-class)</t>
        </is>
      </c>
      <c r="I74" s="4" t="inlineStr">
        <is>
          <t>Diagnosis</t>
        </is>
      </c>
      <c r="J74" s="4" t="inlineStr">
        <is>
          <t>Deep Learning</t>
        </is>
      </c>
      <c r="K74" s="4" t="inlineStr">
        <is>
          <t>Señales fisiológicas</t>
        </is>
      </c>
      <c r="L74" s="4" t="inlineStr">
        <is>
          <t>Etiqueta histórica conservada; no inferir subtipo desde el nombre</t>
        </is>
      </c>
      <c r="M74" s="4" t="inlineStr">
        <is>
          <t>Historical signals: title/abstract/notes; full-text completion not independently established</t>
        </is>
      </c>
      <c r="N74" s="4" t="n">
        <v>0</v>
      </c>
      <c r="O74" s="12" t="n"/>
      <c r="P74" s="41" t="n"/>
      <c r="Q74" s="4">
        <f>IF(COUNTIFS('ESTUDIOS'!$A$2:$A$455,$A74,'ESTUDIOS'!$I$2:$I$455,"")&gt;0,"",INDEX('ESTUDIOS'!$I$2:$I$455,MATCH($A74,'ESTUDIOS'!$A$2:$A$455,0)))</f>
        <v/>
      </c>
    </row>
    <row r="75" ht="47" customHeight="1">
      <c r="A75" s="4" t="inlineStr">
        <is>
          <t>79</t>
        </is>
      </c>
      <c r="B75" s="4" t="inlineStr">
        <is>
          <t>Historical</t>
        </is>
      </c>
      <c r="C75" s="4" t="inlineStr">
        <is>
          <t>Applying Machine Learning to Kinematic and Eye Movement Features of a Movement Imitation Task to Predict Autism Diagnosis</t>
        </is>
      </c>
      <c r="D75" s="4" t="inlineStr">
        <is>
          <t>Diagnosis</t>
        </is>
      </c>
      <c r="E75" s="4" t="inlineStr">
        <is>
          <t>Machine Learning</t>
        </is>
      </c>
      <c r="F75" s="4" t="inlineStr">
        <is>
          <t>Multiple modalities (as coded)</t>
        </is>
      </c>
      <c r="G75" s="4" t="inlineStr">
        <is>
          <t>Other / Not clear</t>
        </is>
      </c>
      <c r="H75" s="4" t="inlineStr">
        <is>
          <t>Classification (ASD vs control / multi-class)</t>
        </is>
      </c>
      <c r="I75" s="4" t="inlineStr">
        <is>
          <t>Diagnosis</t>
        </is>
      </c>
      <c r="J75" s="4" t="inlineStr">
        <is>
          <t>Machine Learning</t>
        </is>
      </c>
      <c r="K75" s="4" t="inlineStr">
        <is>
          <t>Multimodal</t>
        </is>
      </c>
      <c r="L75" s="4" t="inlineStr">
        <is>
          <t>Etiqueta histórica conservada; no inferir subtipo desde el nombre</t>
        </is>
      </c>
      <c r="M75" s="4" t="inlineStr">
        <is>
          <t>Historical signals: title/abstract/notes; full-text completion not independently established</t>
        </is>
      </c>
      <c r="N75" s="4" t="n">
        <v>0</v>
      </c>
      <c r="O75" s="12" t="n"/>
      <c r="P75" s="41" t="n"/>
      <c r="Q75" s="4">
        <f>IF(COUNTIFS('ESTUDIOS'!$A$2:$A$455,$A75,'ESTUDIOS'!$I$2:$I$455,"")&gt;0,"",INDEX('ESTUDIOS'!$I$2:$I$455,MATCH($A75,'ESTUDIOS'!$A$2:$A$455,0)))</f>
        <v/>
      </c>
    </row>
    <row r="76" ht="47" customHeight="1">
      <c r="A76" s="4" t="inlineStr">
        <is>
          <t>80</t>
        </is>
      </c>
      <c r="B76" s="4" t="inlineStr">
        <is>
          <t>Historical</t>
        </is>
      </c>
      <c r="C76" s="4" t="inlineStr">
        <is>
          <t>Artificial intelligence analysis of newborn leucocyte epigenomic markers for the prediction of autism</t>
        </is>
      </c>
      <c r="D76" s="4" t="inlineStr">
        <is>
          <t>Prescreening</t>
        </is>
      </c>
      <c r="E76" s="4" t="inlineStr">
        <is>
          <t>Deep Learning</t>
        </is>
      </c>
      <c r="F76" s="4" t="inlineStr">
        <is>
          <t>Physiological signals</t>
        </is>
      </c>
      <c r="G76" s="4" t="inlineStr">
        <is>
          <t>MLP</t>
        </is>
      </c>
      <c r="H76" s="4" t="inlineStr">
        <is>
          <t>Classification (ASD vs control / multi-class)</t>
        </is>
      </c>
      <c r="I76" s="4" t="inlineStr">
        <is>
          <t>Prescreening</t>
        </is>
      </c>
      <c r="J76" s="4" t="inlineStr">
        <is>
          <t>Deep Learning</t>
        </is>
      </c>
      <c r="K76" s="4" t="inlineStr">
        <is>
          <t>Señales fisiológicas</t>
        </is>
      </c>
      <c r="L76" s="4" t="inlineStr">
        <is>
          <t>Etiqueta histórica conservada; no inferir subtipo desde el nombre</t>
        </is>
      </c>
      <c r="M76" s="4" t="inlineStr">
        <is>
          <t>Historical signals: title/abstract/notes; full-text completion not independently established</t>
        </is>
      </c>
      <c r="N76" s="4" t="n">
        <v>0</v>
      </c>
      <c r="O76" s="12" t="n"/>
      <c r="P76" s="41" t="n"/>
      <c r="Q76" s="4">
        <f>IF(COUNTIFS('ESTUDIOS'!$A$2:$A$455,$A76,'ESTUDIOS'!$I$2:$I$455,"")&gt;0,"",INDEX('ESTUDIOS'!$I$2:$I$455,MATCH($A76,'ESTUDIOS'!$A$2:$A$455,0)))</f>
        <v/>
      </c>
    </row>
    <row r="77" ht="47" customHeight="1">
      <c r="A77" s="4" t="inlineStr">
        <is>
          <t>81</t>
        </is>
      </c>
      <c r="B77" s="4" t="inlineStr">
        <is>
          <t>Historical</t>
        </is>
      </c>
      <c r="C77" s="4" t="inlineStr">
        <is>
          <t>Autism Detection in Children using Common Spatial Patterns of MEG Signals</t>
        </is>
      </c>
      <c r="D77" s="4" t="inlineStr">
        <is>
          <t>Diagnosis</t>
        </is>
      </c>
      <c r="E77" s="4" t="inlineStr">
        <is>
          <t>Machine Learning</t>
        </is>
      </c>
      <c r="F77" s="4" t="inlineStr">
        <is>
          <t>Physiological signals</t>
        </is>
      </c>
      <c r="G77" s="4" t="inlineStr">
        <is>
          <t>Other / Not clear</t>
        </is>
      </c>
      <c r="H77" s="4" t="inlineStr">
        <is>
          <t>Classification (ASD vs control / multi-class)</t>
        </is>
      </c>
      <c r="I77" s="4" t="inlineStr">
        <is>
          <t>Diagnosis</t>
        </is>
      </c>
      <c r="J77" s="4" t="inlineStr">
        <is>
          <t>Machine Learning</t>
        </is>
      </c>
      <c r="K77" s="4" t="inlineStr">
        <is>
          <t>Señales fisiológicas</t>
        </is>
      </c>
      <c r="L77" s="4" t="inlineStr">
        <is>
          <t>Etiqueta histórica conservada; no inferir subtipo desde el nombre</t>
        </is>
      </c>
      <c r="M77" s="4" t="inlineStr">
        <is>
          <t>Historical signals: title/abstract/notes; full-text completion not independently established</t>
        </is>
      </c>
      <c r="N77" s="4" t="n">
        <v>0</v>
      </c>
      <c r="O77" s="12" t="n"/>
      <c r="P77" s="41" t="n"/>
      <c r="Q77" s="4">
        <f>IF(COUNTIFS('ESTUDIOS'!$A$2:$A$455,$A77,'ESTUDIOS'!$I$2:$I$455,"")&gt;0,"",INDEX('ESTUDIOS'!$I$2:$I$455,MATCH($A77,'ESTUDIOS'!$A$2:$A$455,0)))</f>
        <v/>
      </c>
    </row>
    <row r="78" ht="47" customHeight="1">
      <c r="A78" s="4" t="inlineStr">
        <is>
          <t>82</t>
        </is>
      </c>
      <c r="B78" s="4" t="inlineStr">
        <is>
          <t>Historical</t>
        </is>
      </c>
      <c r="C78" s="4" t="inlineStr">
        <is>
          <t>Autism Spectrum Disorder detection framework for children based on federated learning integrated CNN-LSTM</t>
        </is>
      </c>
      <c r="D78" s="4" t="inlineStr">
        <is>
          <t>Screening</t>
        </is>
      </c>
      <c r="E78" s="4" t="inlineStr">
        <is>
          <t>Deep Learning</t>
        </is>
      </c>
      <c r="F78" s="4" t="inlineStr">
        <is>
          <t>Image (subtype unresolved)</t>
        </is>
      </c>
      <c r="G78" s="4" t="inlineStr">
        <is>
          <t>RNN/LSTM/GRU</t>
        </is>
      </c>
      <c r="H78" s="4" t="inlineStr">
        <is>
          <t>Classification (ASD vs control / multi-class)</t>
        </is>
      </c>
      <c r="I78" s="4" t="inlineStr">
        <is>
          <t>Screening</t>
        </is>
      </c>
      <c r="J78" s="4" t="inlineStr">
        <is>
          <t>Deep Learning</t>
        </is>
      </c>
      <c r="K78" s="4" t="inlineStr">
        <is>
          <t>Imagen</t>
        </is>
      </c>
      <c r="L78" s="4" t="inlineStr">
        <is>
          <t>Etiqueta histórica conservada; no inferir subtipo desde el nombre</t>
        </is>
      </c>
      <c r="M78" s="4" t="inlineStr">
        <is>
          <t>Historical signals: title/abstract/notes; full-text completion not independently established</t>
        </is>
      </c>
      <c r="N78" s="4" t="n">
        <v>1</v>
      </c>
      <c r="O78" s="12" t="n"/>
      <c r="P78" s="41" t="n"/>
      <c r="Q78" s="4">
        <f>IF(COUNTIFS('ESTUDIOS'!$A$2:$A$455,$A78,'ESTUDIOS'!$I$2:$I$455,"")&gt;0,"",INDEX('ESTUDIOS'!$I$2:$I$455,MATCH($A78,'ESTUDIOS'!$A$2:$A$455,0)))</f>
        <v/>
      </c>
    </row>
    <row r="79" ht="47" customHeight="1">
      <c r="A79" s="4" t="inlineStr">
        <is>
          <t>83</t>
        </is>
      </c>
      <c r="B79" s="4" t="inlineStr">
        <is>
          <t>Historical</t>
        </is>
      </c>
      <c r="C79" s="4" t="inlineStr">
        <is>
          <t>Converging Representations of Attention-Deficit/Hyperactivity Disorder and Autism on Social Media: Linguistic and Topic Analysis of Trends in Reddit Data</t>
        </is>
      </c>
      <c r="D79" s="4" t="inlineStr">
        <is>
          <t>Diagnosis</t>
        </is>
      </c>
      <c r="E79" s="4" t="inlineStr">
        <is>
          <t>Deep Learning</t>
        </is>
      </c>
      <c r="F79" s="4" t="inlineStr">
        <is>
          <t>Text / NLP (legacy; verify input type)</t>
        </is>
      </c>
      <c r="G79" s="4" t="n"/>
      <c r="H79" s="4" t="n"/>
      <c r="I79" s="4" t="inlineStr">
        <is>
          <t>diagnosis</t>
        </is>
      </c>
      <c r="J79" s="4" t="inlineStr">
        <is>
          <t>Deep Learning</t>
        </is>
      </c>
      <c r="K79" s="4" t="inlineStr">
        <is>
          <t>Texto · NLP</t>
        </is>
      </c>
      <c r="L79" s="4" t="inlineStr">
        <is>
          <t>Etiqueta histórica conservada; no inferir subtipo desde el nombre</t>
        </is>
      </c>
      <c r="M79" s="4" t="inlineStr">
        <is>
          <t>Historical signals: title/abstract/notes; full-text completion not independently established</t>
        </is>
      </c>
      <c r="N79" s="4" t="n">
        <v>1</v>
      </c>
      <c r="O79" s="12" t="n"/>
      <c r="P79" s="41" t="n"/>
      <c r="Q79" s="4">
        <f>IF(COUNTIFS('ESTUDIOS'!$A$2:$A$455,$A79,'ESTUDIOS'!$I$2:$I$455,"")&gt;0,"",INDEX('ESTUDIOS'!$I$2:$I$455,MATCH($A79,'ESTUDIOS'!$A$2:$A$455,0)))</f>
        <v/>
      </c>
    </row>
    <row r="80" ht="60" customHeight="1">
      <c r="A80" s="4" t="inlineStr">
        <is>
          <t>84</t>
        </is>
      </c>
      <c r="B80" s="4" t="inlineStr">
        <is>
          <t>Historical</t>
        </is>
      </c>
      <c r="C80" s="4" t="inlineStr">
        <is>
          <t>Creating a diagnostic assessment model for autism spectrum disorder by differentiating lexicogrammatical choices through machine learning</t>
        </is>
      </c>
      <c r="D80" s="4" t="inlineStr">
        <is>
          <t>Diagnosis</t>
        </is>
      </c>
      <c r="E80" s="4" t="inlineStr">
        <is>
          <t>Deep Learning</t>
        </is>
      </c>
      <c r="F80" s="4" t="inlineStr">
        <is>
          <t>Text / NLP (legacy; verify input type)</t>
        </is>
      </c>
      <c r="G80" s="4" t="inlineStr">
        <is>
          <t>RNN/LSTM/GRU</t>
        </is>
      </c>
      <c r="H80" s="4" t="inlineStr">
        <is>
          <t>Classification (binary/multi-class; incl. ASD vs control)/ multi-class)</t>
        </is>
      </c>
      <c r="I80" s="4" t="inlineStr">
        <is>
          <t>diagnosis</t>
        </is>
      </c>
      <c r="J80" s="4" t="inlineStr">
        <is>
          <t>Deep Learning</t>
        </is>
      </c>
      <c r="K80" s="4" t="inlineStr">
        <is>
          <t>Texto · NLP</t>
        </is>
      </c>
      <c r="L80" s="4" t="inlineStr">
        <is>
          <t>Etiqueta histórica conservada; no inferir subtipo desde el nombre</t>
        </is>
      </c>
      <c r="M80" s="4" t="inlineStr">
        <is>
          <t>Historical signals: title/abstract/notes; full-text completion not independently established</t>
        </is>
      </c>
      <c r="N80" s="4" t="n">
        <v>1</v>
      </c>
      <c r="O80" s="12" t="n"/>
      <c r="P80" s="41" t="n"/>
      <c r="Q80" s="4">
        <f>IF(COUNTIFS('ESTUDIOS'!$A$2:$A$455,$A80,'ESTUDIOS'!$I$2:$I$455,"")&gt;0,"",INDEX('ESTUDIOS'!$I$2:$I$455,MATCH($A80,'ESTUDIOS'!$A$2:$A$455,0)))</f>
        <v/>
      </c>
    </row>
    <row r="81" ht="47" customHeight="1">
      <c r="A81" s="4" t="inlineStr">
        <is>
          <t>85</t>
        </is>
      </c>
      <c r="B81" s="4" t="inlineStr">
        <is>
          <t>Historical</t>
        </is>
      </c>
      <c r="C81" s="4" t="inlineStr">
        <is>
          <t>Diagnosing autism spectrum disorder in children using conventional MRI and apparent diffusion coefficient based deep learning algorithms</t>
        </is>
      </c>
      <c r="D81" s="4" t="inlineStr">
        <is>
          <t>Diagnosis</t>
        </is>
      </c>
      <c r="E81" s="4" t="inlineStr">
        <is>
          <t>Deep Learning</t>
        </is>
      </c>
      <c r="F81" s="4" t="inlineStr">
        <is>
          <t>Image (subtype unresolved)</t>
        </is>
      </c>
      <c r="G81" s="4" t="inlineStr">
        <is>
          <t>CNN</t>
        </is>
      </c>
      <c r="H81" s="4" t="inlineStr">
        <is>
          <t>Classification (ASD vs control / multi-class)</t>
        </is>
      </c>
      <c r="I81" s="4" t="inlineStr">
        <is>
          <t>Diagnosis</t>
        </is>
      </c>
      <c r="J81" s="4" t="inlineStr">
        <is>
          <t>Deep Learning</t>
        </is>
      </c>
      <c r="K81" s="4" t="inlineStr">
        <is>
          <t>Imagen</t>
        </is>
      </c>
      <c r="L81" s="4" t="inlineStr">
        <is>
          <t>Etiqueta histórica conservada; no inferir subtipo desde el nombre</t>
        </is>
      </c>
      <c r="M81" s="4" t="inlineStr">
        <is>
          <t>Historical signals: title/abstract/notes; full-text completion not independently established</t>
        </is>
      </c>
      <c r="N81" s="4" t="n">
        <v>1</v>
      </c>
      <c r="O81" s="12" t="n"/>
      <c r="P81" s="41" t="n"/>
      <c r="Q81" s="4">
        <f>IF(COUNTIFS('ESTUDIOS'!$A$2:$A$455,$A81,'ESTUDIOS'!$I$2:$I$455,"")&gt;0,"",INDEX('ESTUDIOS'!$I$2:$I$455,MATCH($A81,'ESTUDIOS'!$A$2:$A$455,0)))</f>
        <v/>
      </c>
    </row>
    <row r="82" ht="47" customHeight="1">
      <c r="A82" s="4" t="inlineStr">
        <is>
          <t>86</t>
        </is>
      </c>
      <c r="B82" s="4" t="inlineStr">
        <is>
          <t>Historical</t>
        </is>
      </c>
      <c r="C82" s="4" t="inlineStr">
        <is>
          <t>Dissecting the heterogeneity of autism spectrum disorder with sensory behavior, brain, and epigenetic factors</t>
        </is>
      </c>
      <c r="D82" s="4" t="inlineStr">
        <is>
          <t>Diagnosis</t>
        </is>
      </c>
      <c r="E82" s="4" t="inlineStr">
        <is>
          <t>Deep Learning</t>
        </is>
      </c>
      <c r="F82" s="4" t="inlineStr">
        <is>
          <t>Physiological signals</t>
        </is>
      </c>
      <c r="G82" s="4" t="inlineStr">
        <is>
          <t>XGBoost / GBDT</t>
        </is>
      </c>
      <c r="H82" s="4" t="inlineStr">
        <is>
          <t>Classification (ASD vs control / multi-class)</t>
        </is>
      </c>
      <c r="I82" s="4" t="inlineStr">
        <is>
          <t>Diagnosis</t>
        </is>
      </c>
      <c r="J82" s="4" t="inlineStr">
        <is>
          <t>Deep Learning</t>
        </is>
      </c>
      <c r="K82" s="4" t="inlineStr">
        <is>
          <t>Señales fisiológicas</t>
        </is>
      </c>
      <c r="L82" s="4" t="inlineStr">
        <is>
          <t>Etiqueta histórica conservada; no inferir subtipo desde el nombre</t>
        </is>
      </c>
      <c r="M82" s="4" t="inlineStr">
        <is>
          <t>Historical signals: title/abstract/notes; full-text completion not independently established</t>
        </is>
      </c>
      <c r="N82" s="4" t="n">
        <v>0</v>
      </c>
      <c r="O82" s="12" t="n"/>
      <c r="P82" s="41" t="n"/>
      <c r="Q82" s="4">
        <f>IF(COUNTIFS('ESTUDIOS'!$A$2:$A$455,$A82,'ESTUDIOS'!$I$2:$I$455,"")&gt;0,"",INDEX('ESTUDIOS'!$I$2:$I$455,MATCH($A82,'ESTUDIOS'!$A$2:$A$455,0)))</f>
        <v/>
      </c>
    </row>
    <row r="83" ht="47" customHeight="1">
      <c r="A83" s="4" t="inlineStr">
        <is>
          <t>88</t>
        </is>
      </c>
      <c r="B83" s="4" t="inlineStr">
        <is>
          <t>Historical</t>
        </is>
      </c>
      <c r="C83" s="4" t="inlineStr">
        <is>
          <t>Facial Emotions Are Accurately Encoded in the Neural Signal of Those With Autism Spectrum Disorder: A Deep Learning Approach</t>
        </is>
      </c>
      <c r="D83" s="4" t="inlineStr">
        <is>
          <t>Monitoring/intervention</t>
        </is>
      </c>
      <c r="E83" s="4" t="inlineStr">
        <is>
          <t>Deep Learning</t>
        </is>
      </c>
      <c r="F83" s="4" t="inlineStr">
        <is>
          <t>Physiological signals</t>
        </is>
      </c>
      <c r="G83" s="4" t="inlineStr">
        <is>
          <t>CNN</t>
        </is>
      </c>
      <c r="H83" s="4" t="inlineStr">
        <is>
          <t>Classification (ASD vs control / multi-class)</t>
        </is>
      </c>
      <c r="I83" s="4" t="inlineStr">
        <is>
          <t>Monitoring/intervention</t>
        </is>
      </c>
      <c r="J83" s="4" t="inlineStr">
        <is>
          <t>Deep Learning</t>
        </is>
      </c>
      <c r="K83" s="4" t="inlineStr">
        <is>
          <t>Señales fisiológicas</t>
        </is>
      </c>
      <c r="L83" s="4" t="inlineStr">
        <is>
          <t>Etiqueta histórica conservada; no inferir subtipo desde el nombre</t>
        </is>
      </c>
      <c r="M83" s="4" t="inlineStr">
        <is>
          <t>Historical signals: title/abstract/notes; full-text completion not independently established</t>
        </is>
      </c>
      <c r="N83" s="4" t="n">
        <v>0</v>
      </c>
      <c r="O83" s="12" t="n"/>
      <c r="P83" s="41" t="n"/>
      <c r="Q83" s="4">
        <f>IF(COUNTIFS('ESTUDIOS'!$A$2:$A$455,$A83,'ESTUDIOS'!$I$2:$I$455,"")&gt;0,"",INDEX('ESTUDIOS'!$I$2:$I$455,MATCH($A83,'ESTUDIOS'!$A$2:$A$455,0)))</f>
        <v/>
      </c>
    </row>
    <row r="84" ht="47" customHeight="1">
      <c r="A84" s="4" t="inlineStr">
        <is>
          <t>89</t>
        </is>
      </c>
      <c r="B84" s="4" t="inlineStr">
        <is>
          <t>Historical</t>
        </is>
      </c>
      <c r="C84" s="4" t="inlineStr">
        <is>
          <t>Feasibility Testing of a Wearable Behavioral Aid for Social Learning in Children with Autism</t>
        </is>
      </c>
      <c r="D84" s="4" t="inlineStr">
        <is>
          <t>Monitoring/intervention</t>
        </is>
      </c>
      <c r="E84" s="4" t="inlineStr">
        <is>
          <t>Machine Learning</t>
        </is>
      </c>
      <c r="F84" s="4" t="inlineStr">
        <is>
          <t>Image (subtype unresolved)</t>
        </is>
      </c>
      <c r="G84" s="4" t="inlineStr">
        <is>
          <t>Logistic Regression</t>
        </is>
      </c>
      <c r="H84" s="4" t="inlineStr">
        <is>
          <t>Classification (ASD vs control / multi-class)</t>
        </is>
      </c>
      <c r="I84" s="4" t="inlineStr">
        <is>
          <t>Monitoring/intervention</t>
        </is>
      </c>
      <c r="J84" s="4" t="inlineStr">
        <is>
          <t>Machine Learning</t>
        </is>
      </c>
      <c r="K84" s="4" t="inlineStr">
        <is>
          <t>Imagen</t>
        </is>
      </c>
      <c r="L84" s="4" t="inlineStr">
        <is>
          <t>Etiqueta histórica conservada; no inferir subtipo desde el nombre</t>
        </is>
      </c>
      <c r="M84" s="4" t="inlineStr">
        <is>
          <t>Historical signals: title/abstract/notes; full-text completion not independently established</t>
        </is>
      </c>
      <c r="N84" s="4" t="n">
        <v>1</v>
      </c>
      <c r="O84" s="12" t="n"/>
      <c r="P84" s="41" t="n"/>
      <c r="Q84" s="4">
        <f>IF(COUNTIFS('ESTUDIOS'!$A$2:$A$455,$A84,'ESTUDIOS'!$I$2:$I$455,"")&gt;0,"",INDEX('ESTUDIOS'!$I$2:$I$455,MATCH($A84,'ESTUDIOS'!$A$2:$A$455,0)))</f>
        <v/>
      </c>
    </row>
    <row r="85" ht="60" customHeight="1">
      <c r="A85" s="4" t="inlineStr">
        <is>
          <t>90</t>
        </is>
      </c>
      <c r="B85" s="4" t="inlineStr">
        <is>
          <t>Historical</t>
        </is>
      </c>
      <c r="C85" s="4" t="inlineStr">
        <is>
          <t>Handwriting-Based ADHD Detection for Children Having ASD Using Machine Learning Approaches</t>
        </is>
      </c>
      <c r="D85" s="4" t="inlineStr">
        <is>
          <t>Diagnosis</t>
        </is>
      </c>
      <c r="E85" s="4" t="inlineStr">
        <is>
          <t>Machine Learning</t>
        </is>
      </c>
      <c r="F85" s="4" t="inlineStr">
        <is>
          <t>Not specified</t>
        </is>
      </c>
      <c r="G85" s="4" t="inlineStr">
        <is>
          <t>Random Forest</t>
        </is>
      </c>
      <c r="H85" s="4" t="inlineStr">
        <is>
          <t>Classification (binary/multi-class; incl. ASD vs control)/ multi-class)</t>
        </is>
      </c>
      <c r="I85" s="4" t="inlineStr">
        <is>
          <t>diagnosis</t>
        </is>
      </c>
      <c r="J85" s="4" t="inlineStr">
        <is>
          <t>Machine Learning</t>
        </is>
      </c>
      <c r="K85" s="4" t="inlineStr">
        <is>
          <t>No especificado</t>
        </is>
      </c>
      <c r="L85" s="4" t="inlineStr">
        <is>
          <t>Sin asignación por falta de detalle</t>
        </is>
      </c>
      <c r="M85" s="4" t="inlineStr">
        <is>
          <t>Historical signals: title/abstract/notes; full-text completion not independently established</t>
        </is>
      </c>
      <c r="N85" s="4" t="n">
        <v>1</v>
      </c>
      <c r="O85" s="12" t="n"/>
      <c r="P85" s="41" t="n"/>
      <c r="Q85" s="4">
        <f>IF(COUNTIFS('ESTUDIOS'!$A$2:$A$455,$A85,'ESTUDIOS'!$I$2:$I$455,"")&gt;0,"",INDEX('ESTUDIOS'!$I$2:$I$455,MATCH($A85,'ESTUDIOS'!$A$2:$A$455,0)))</f>
        <v/>
      </c>
    </row>
    <row r="86" ht="60" customHeight="1">
      <c r="A86" s="4" t="inlineStr">
        <is>
          <t>91</t>
        </is>
      </c>
      <c r="B86" s="4" t="inlineStr">
        <is>
          <t>Historical</t>
        </is>
      </c>
      <c r="C86" s="4" t="inlineStr">
        <is>
          <t>Integrating Graph Convolutional Networks (GCNNs) and Long Short-Term Memory (LSTM) for Efficient Diagnosis of Autism</t>
        </is>
      </c>
      <c r="D86" s="4" t="inlineStr">
        <is>
          <t>Diagnosis</t>
        </is>
      </c>
      <c r="E86" s="4" t="inlineStr">
        <is>
          <t>Deep Learning</t>
        </is>
      </c>
      <c r="F86" s="4" t="inlineStr">
        <is>
          <t>Not specified</t>
        </is>
      </c>
      <c r="G86" s="4" t="inlineStr">
        <is>
          <t>Other</t>
        </is>
      </c>
      <c r="H86" s="4" t="inlineStr">
        <is>
          <t>Classification (binary/multi-class; incl. ASD vs control)/ multi-class)</t>
        </is>
      </c>
      <c r="I86" s="4" t="inlineStr">
        <is>
          <t>diagnosis</t>
        </is>
      </c>
      <c r="J86" s="4" t="inlineStr">
        <is>
          <t>Deep Learning</t>
        </is>
      </c>
      <c r="K86" s="4" t="inlineStr">
        <is>
          <t>No especificado</t>
        </is>
      </c>
      <c r="L86" s="4" t="inlineStr">
        <is>
          <t>Sin asignación por falta de detalle</t>
        </is>
      </c>
      <c r="M86" s="4" t="inlineStr">
        <is>
          <t>Historical signals: title/abstract/notes; full-text completion not independently established</t>
        </is>
      </c>
      <c r="N86" s="4" t="n">
        <v>1</v>
      </c>
      <c r="O86" s="12" t="n"/>
      <c r="P86" s="41" t="n"/>
      <c r="Q86" s="4">
        <f>IF(COUNTIFS('ESTUDIOS'!$A$2:$A$455,$A86,'ESTUDIOS'!$I$2:$I$455,"")&gt;0,"",INDEX('ESTUDIOS'!$I$2:$I$455,MATCH($A86,'ESTUDIOS'!$A$2:$A$455,0)))</f>
        <v/>
      </c>
    </row>
    <row r="87" ht="47" customHeight="1">
      <c r="A87" s="4" t="inlineStr">
        <is>
          <t>92</t>
        </is>
      </c>
      <c r="B87" s="4" t="inlineStr">
        <is>
          <t>Historical</t>
        </is>
      </c>
      <c r="C87" s="4" t="inlineStr">
        <is>
          <t>Learning discriminative functional connectivity networks for identifying Autism spectrum disorder</t>
        </is>
      </c>
      <c r="D87" s="4" t="inlineStr">
        <is>
          <t>Diagnosis</t>
        </is>
      </c>
      <c r="E87" s="4" t="inlineStr">
        <is>
          <t>Deep Learning</t>
        </is>
      </c>
      <c r="F87" s="4" t="inlineStr">
        <is>
          <t>Physiological signals</t>
        </is>
      </c>
      <c r="G87" s="4" t="inlineStr">
        <is>
          <t>Other / Not clear</t>
        </is>
      </c>
      <c r="H87" s="4" t="inlineStr">
        <is>
          <t>Classification (ASD vs control / multi-class)</t>
        </is>
      </c>
      <c r="I87" s="4" t="inlineStr">
        <is>
          <t>Diagnosis</t>
        </is>
      </c>
      <c r="J87" s="4" t="inlineStr">
        <is>
          <t>Deep Learning</t>
        </is>
      </c>
      <c r="K87" s="4" t="inlineStr">
        <is>
          <t>Señales fisiológicas</t>
        </is>
      </c>
      <c r="L87" s="4" t="inlineStr">
        <is>
          <t>Etiqueta histórica conservada; no inferir subtipo desde el nombre</t>
        </is>
      </c>
      <c r="M87" s="4" t="inlineStr">
        <is>
          <t>Historical signals: title/abstract/notes; full-text completion not independently established</t>
        </is>
      </c>
      <c r="N87" s="4" t="n">
        <v>0</v>
      </c>
      <c r="O87" s="12" t="n"/>
      <c r="P87" s="41" t="n"/>
      <c r="Q87" s="4">
        <f>IF(COUNTIFS('ESTUDIOS'!$A$2:$A$455,$A87,'ESTUDIOS'!$I$2:$I$455,"")&gt;0,"",INDEX('ESTUDIOS'!$I$2:$I$455,MATCH($A87,'ESTUDIOS'!$A$2:$A$455,0)))</f>
        <v/>
      </c>
    </row>
    <row r="88" ht="60" customHeight="1">
      <c r="A88" s="4" t="inlineStr">
        <is>
          <t>94</t>
        </is>
      </c>
      <c r="B88" s="4" t="inlineStr">
        <is>
          <t>Historical</t>
        </is>
      </c>
      <c r="C88" s="4" t="inlineStr">
        <is>
          <t>Optimizing a de novo artificial intelligence-based medical device under a predetermined change control plan: Improved ability to detect or rule out pediatric autism</t>
        </is>
      </c>
      <c r="D88" s="4" t="inlineStr">
        <is>
          <t>Screening</t>
        </is>
      </c>
      <c r="E88" s="4" t="inlineStr">
        <is>
          <t>Deep Learning</t>
        </is>
      </c>
      <c r="F88" s="4" t="inlineStr">
        <is>
          <t>Not specified</t>
        </is>
      </c>
      <c r="G88" s="4" t="inlineStr">
        <is>
          <t>Other / Not clear</t>
        </is>
      </c>
      <c r="H88" s="4" t="inlineStr">
        <is>
          <t>Classification (ASD vs control / multi-class)</t>
        </is>
      </c>
      <c r="I88" s="4" t="inlineStr">
        <is>
          <t>Screening</t>
        </is>
      </c>
      <c r="J88" s="4" t="inlineStr">
        <is>
          <t>Deep Learning</t>
        </is>
      </c>
      <c r="K88" s="4" t="inlineStr">
        <is>
          <t>No especificado</t>
        </is>
      </c>
      <c r="L88" s="4" t="inlineStr">
        <is>
          <t>Sin asignación por falta de detalle</t>
        </is>
      </c>
      <c r="M88" s="4" t="inlineStr">
        <is>
          <t>Historical signals: title/abstract/notes; full-text completion not independently established</t>
        </is>
      </c>
      <c r="N88" s="4" t="n">
        <v>1</v>
      </c>
      <c r="O88" s="12" t="n"/>
      <c r="P88" s="41" t="n"/>
      <c r="Q88" s="4">
        <f>IF(COUNTIFS('ESTUDIOS'!$A$2:$A$455,$A88,'ESTUDIOS'!$I$2:$I$455,"")&gt;0,"",INDEX('ESTUDIOS'!$I$2:$I$455,MATCH($A88,'ESTUDIOS'!$A$2:$A$455,0)))</f>
        <v/>
      </c>
    </row>
    <row r="89" ht="47" customHeight="1">
      <c r="A89" s="4" t="inlineStr">
        <is>
          <t>95</t>
        </is>
      </c>
      <c r="B89" s="4" t="inlineStr">
        <is>
          <t>Historical</t>
        </is>
      </c>
      <c r="C89" s="4" t="inlineStr">
        <is>
          <t>Physician Versus Large Language Model Chatbot Responses to Web-Based Questions From Autistic Patients in Chinese: Cross-Sectional Comparative Analysis</t>
        </is>
      </c>
      <c r="D89" s="4" t="inlineStr">
        <is>
          <t>Monitoring/intervention</t>
        </is>
      </c>
      <c r="E89" s="4" t="inlineStr">
        <is>
          <t>Deep Learning</t>
        </is>
      </c>
      <c r="F89" s="4" t="inlineStr">
        <is>
          <t>Text / NLP (legacy; verify input type)</t>
        </is>
      </c>
      <c r="G89" s="4" t="inlineStr">
        <is>
          <t>Transformer</t>
        </is>
      </c>
      <c r="H89" s="4" t="inlineStr">
        <is>
          <t>Other / Not clear</t>
        </is>
      </c>
      <c r="I89" s="4" t="inlineStr">
        <is>
          <t>Monitoring/intervention</t>
        </is>
      </c>
      <c r="J89" s="4" t="inlineStr">
        <is>
          <t>Deep Learning</t>
        </is>
      </c>
      <c r="K89" s="4" t="inlineStr">
        <is>
          <t>Texto · NLP</t>
        </is>
      </c>
      <c r="L89" s="4" t="inlineStr">
        <is>
          <t>Etiqueta histórica conservada; no inferir subtipo desde el nombre</t>
        </is>
      </c>
      <c r="M89" s="4" t="inlineStr">
        <is>
          <t>Historical signals: title/abstract/notes; full-text completion not independently established</t>
        </is>
      </c>
      <c r="N89" s="4" t="n">
        <v>1</v>
      </c>
      <c r="O89" s="12" t="n"/>
      <c r="P89" s="41" t="n"/>
      <c r="Q89" s="4">
        <f>IF(COUNTIFS('ESTUDIOS'!$A$2:$A$455,$A89,'ESTUDIOS'!$I$2:$I$455,"")&gt;0,"",INDEX('ESTUDIOS'!$I$2:$I$455,MATCH($A89,'ESTUDIOS'!$A$2:$A$455,0)))</f>
        <v/>
      </c>
    </row>
    <row r="90" ht="34" customHeight="1">
      <c r="A90" s="4" t="inlineStr">
        <is>
          <t>96</t>
        </is>
      </c>
      <c r="B90" s="4" t="inlineStr">
        <is>
          <t>Historical</t>
        </is>
      </c>
      <c r="C90" s="4" t="inlineStr">
        <is>
          <t>Polychlorinated biphenyls influence on autism spectrum disorder risk in the MARBLES cohort</t>
        </is>
      </c>
      <c r="D90" s="4" t="inlineStr">
        <is>
          <t>Prognosis</t>
        </is>
      </c>
      <c r="E90" s="4" t="inlineStr">
        <is>
          <t>Hybrid</t>
        </is>
      </c>
      <c r="F90" s="4" t="inlineStr">
        <is>
          <t>Not specified</t>
        </is>
      </c>
      <c r="G90" s="4" t="inlineStr">
        <is>
          <t>Logistic Regression</t>
        </is>
      </c>
      <c r="H90" s="4" t="inlineStr">
        <is>
          <t>Other</t>
        </is>
      </c>
      <c r="I90" s="4" t="inlineStr">
        <is>
          <t>Prognosis</t>
        </is>
      </c>
      <c r="J90" s="4" t="inlineStr">
        <is>
          <t>Híbrido</t>
        </is>
      </c>
      <c r="K90" s="4" t="inlineStr">
        <is>
          <t>No especificado</t>
        </is>
      </c>
      <c r="L90" s="4" t="inlineStr">
        <is>
          <t>Sin asignación por falta de detalle</t>
        </is>
      </c>
      <c r="M90" s="4" t="inlineStr">
        <is>
          <t>Historical signals: title/abstract/notes; full-text completion not independently established</t>
        </is>
      </c>
      <c r="N90" s="4" t="n">
        <v>1</v>
      </c>
      <c r="O90" s="12" t="n"/>
      <c r="P90" s="41" t="n"/>
      <c r="Q90" s="4">
        <f>IF(COUNTIFS('ESTUDIOS'!$A$2:$A$455,$A90,'ESTUDIOS'!$I$2:$I$455,"")&gt;0,"",INDEX('ESTUDIOS'!$I$2:$I$455,MATCH($A90,'ESTUDIOS'!$A$2:$A$455,0)))</f>
        <v/>
      </c>
    </row>
    <row r="91" ht="34" customHeight="1">
      <c r="A91" s="4" t="inlineStr">
        <is>
          <t>97</t>
        </is>
      </c>
      <c r="B91" s="4" t="inlineStr">
        <is>
          <t>Historical</t>
        </is>
      </c>
      <c r="C91" s="4" t="inlineStr">
        <is>
          <t>Predicting Core Characteristics of ASD Through Facial Emotion Recognition and Eye Tracking in Youth.</t>
        </is>
      </c>
      <c r="D91" s="4" t="inlineStr">
        <is>
          <t>Monitoring/intervention</t>
        </is>
      </c>
      <c r="E91" s="4" t="inlineStr">
        <is>
          <t>Machine Learning</t>
        </is>
      </c>
      <c r="F91" s="4" t="inlineStr">
        <is>
          <t>Image (subtype unresolved)</t>
        </is>
      </c>
      <c r="G91" s="4" t="inlineStr">
        <is>
          <t>Random Forest</t>
        </is>
      </c>
      <c r="H91" s="4" t="inlineStr">
        <is>
          <t>Regression (score / severity / risk)</t>
        </is>
      </c>
      <c r="I91" s="4" t="inlineStr">
        <is>
          <t>monitoring_intervention</t>
        </is>
      </c>
      <c r="J91" s="4" t="inlineStr">
        <is>
          <t>Machine Learning</t>
        </is>
      </c>
      <c r="K91" s="4" t="inlineStr">
        <is>
          <t>Imagen</t>
        </is>
      </c>
      <c r="L91" s="4" t="inlineStr">
        <is>
          <t>Etiqueta histórica conservada; no inferir subtipo desde el nombre</t>
        </is>
      </c>
      <c r="M91" s="4" t="inlineStr">
        <is>
          <t>Historical signals: title/abstract/notes; full-text completion not independently established</t>
        </is>
      </c>
      <c r="N91" s="4" t="n">
        <v>1</v>
      </c>
      <c r="O91" s="12" t="n"/>
      <c r="P91" s="41" t="n"/>
      <c r="Q91" s="4">
        <f>IF(COUNTIFS('ESTUDIOS'!$A$2:$A$455,$A91,'ESTUDIOS'!$I$2:$I$455,"")&gt;0,"",INDEX('ESTUDIOS'!$I$2:$I$455,MATCH($A91,'ESTUDIOS'!$A$2:$A$455,0)))</f>
        <v/>
      </c>
    </row>
    <row r="92" ht="47" customHeight="1">
      <c r="A92" s="4" t="inlineStr">
        <is>
          <t>98</t>
        </is>
      </c>
      <c r="B92" s="4" t="inlineStr">
        <is>
          <t>Historical</t>
        </is>
      </c>
      <c r="C92" s="4" t="inlineStr">
        <is>
          <t>Self-supervised machine learning approach for autism detection in young children using MEG signals</t>
        </is>
      </c>
      <c r="D92" s="4" t="inlineStr">
        <is>
          <t>Diagnosis</t>
        </is>
      </c>
      <c r="E92" s="4" t="inlineStr">
        <is>
          <t>Hybrid</t>
        </is>
      </c>
      <c r="F92" s="4" t="inlineStr">
        <is>
          <t>Physiological signals</t>
        </is>
      </c>
      <c r="G92" s="4" t="inlineStr">
        <is>
          <t>Transformer</t>
        </is>
      </c>
      <c r="H92" s="4" t="inlineStr">
        <is>
          <t>Classification (ASD vs control / multi-class)</t>
        </is>
      </c>
      <c r="I92" s="4" t="inlineStr">
        <is>
          <t>Diagnosis</t>
        </is>
      </c>
      <c r="J92" s="4" t="inlineStr">
        <is>
          <t>Híbrido</t>
        </is>
      </c>
      <c r="K92" s="4" t="inlineStr">
        <is>
          <t>Señales fisiológicas</t>
        </is>
      </c>
      <c r="L92" s="4" t="inlineStr">
        <is>
          <t>Etiqueta histórica conservada; no inferir subtipo desde el nombre</t>
        </is>
      </c>
      <c r="M92" s="4" t="inlineStr">
        <is>
          <t>Historical signals: title/abstract/notes; full-text completion not independently established</t>
        </is>
      </c>
      <c r="N92" s="4" t="n">
        <v>0</v>
      </c>
      <c r="O92" s="12" t="n"/>
      <c r="P92" s="41" t="n"/>
      <c r="Q92" s="4">
        <f>IF(COUNTIFS('ESTUDIOS'!$A$2:$A$455,$A92,'ESTUDIOS'!$I$2:$I$455,"")&gt;0,"",INDEX('ESTUDIOS'!$I$2:$I$455,MATCH($A92,'ESTUDIOS'!$A$2:$A$455,0)))</f>
        <v/>
      </c>
    </row>
    <row r="93" ht="47" customHeight="1">
      <c r="A93" s="4" t="inlineStr">
        <is>
          <t>99</t>
        </is>
      </c>
      <c r="B93" s="4" t="inlineStr">
        <is>
          <t>Historical</t>
        </is>
      </c>
      <c r="C93" s="4" t="inlineStr">
        <is>
          <t>Serum Brain-derived neurotrophic factor levels in Chinese children with autism spectrum disorders: A pilot study</t>
        </is>
      </c>
      <c r="D93" s="4" t="inlineStr">
        <is>
          <t>Not specified</t>
        </is>
      </c>
      <c r="E93" s="4" t="inlineStr">
        <is>
          <t>Deep Learning</t>
        </is>
      </c>
      <c r="F93" s="4" t="inlineStr">
        <is>
          <t>Not specified</t>
        </is>
      </c>
      <c r="G93" s="4" t="inlineStr">
        <is>
          <t>Other / Not clear</t>
        </is>
      </c>
      <c r="H93" s="4" t="inlineStr">
        <is>
          <t>Other / Not clear</t>
        </is>
      </c>
      <c r="I93" s="4" t="inlineStr">
        <is>
          <t>Not clear</t>
        </is>
      </c>
      <c r="J93" s="4" t="inlineStr">
        <is>
          <t>Deep Learning</t>
        </is>
      </c>
      <c r="K93" s="4" t="inlineStr">
        <is>
          <t>No especificado</t>
        </is>
      </c>
      <c r="L93" s="4" t="inlineStr">
        <is>
          <t>Sin asignación por falta de detalle</t>
        </is>
      </c>
      <c r="M93" s="4" t="inlineStr">
        <is>
          <t>Historical signals: title/abstract/notes; full-text completion not independently established</t>
        </is>
      </c>
      <c r="N93" s="4" t="n">
        <v>1</v>
      </c>
      <c r="O93" s="12" t="n"/>
      <c r="P93" s="41" t="n"/>
      <c r="Q93" s="4">
        <f>IF(COUNTIFS('ESTUDIOS'!$A$2:$A$455,$A93,'ESTUDIOS'!$I$2:$I$455,"")&gt;0,"",INDEX('ESTUDIOS'!$I$2:$I$455,MATCH($A93,'ESTUDIOS'!$A$2:$A$455,0)))</f>
        <v/>
      </c>
    </row>
    <row r="94" ht="47" customHeight="1">
      <c r="A94" s="4" t="inlineStr">
        <is>
          <t>100</t>
        </is>
      </c>
      <c r="B94" s="4" t="inlineStr">
        <is>
          <t>Historical</t>
        </is>
      </c>
      <c r="C94" s="4" t="inlineStr">
        <is>
          <t>Sex Differences in Functional Gradients and Dynamic Functional Connectivity in Preschool-Aged Children With ASD</t>
        </is>
      </c>
      <c r="D94" s="4" t="inlineStr">
        <is>
          <t>Diagnosis</t>
        </is>
      </c>
      <c r="E94" s="4" t="inlineStr">
        <is>
          <t>Deep Learning</t>
        </is>
      </c>
      <c r="F94" s="4" t="inlineStr">
        <is>
          <t>Physiological signals</t>
        </is>
      </c>
      <c r="G94" s="4" t="inlineStr">
        <is>
          <t>Other / Not clear</t>
        </is>
      </c>
      <c r="H94" s="4" t="inlineStr">
        <is>
          <t>Classification (ASD vs control / multi-class)</t>
        </is>
      </c>
      <c r="I94" s="4" t="inlineStr">
        <is>
          <t>Diagnosis</t>
        </is>
      </c>
      <c r="J94" s="4" t="inlineStr">
        <is>
          <t>Deep Learning</t>
        </is>
      </c>
      <c r="K94" s="4" t="inlineStr">
        <is>
          <t>Señales fisiológicas</t>
        </is>
      </c>
      <c r="L94" s="4" t="inlineStr">
        <is>
          <t>Etiqueta histórica conservada; no inferir subtipo desde el nombre</t>
        </is>
      </c>
      <c r="M94" s="4" t="inlineStr">
        <is>
          <t>Historical signals: title/abstract/notes; full-text completion not independently established</t>
        </is>
      </c>
      <c r="N94" s="4" t="n">
        <v>0</v>
      </c>
      <c r="O94" s="12" t="n"/>
      <c r="P94" s="41" t="n"/>
      <c r="Q94" s="4">
        <f>IF(COUNTIFS('ESTUDIOS'!$A$2:$A$455,$A94,'ESTUDIOS'!$I$2:$I$455,"")&gt;0,"",INDEX('ESTUDIOS'!$I$2:$I$455,MATCH($A94,'ESTUDIOS'!$A$2:$A$455,0)))</f>
        <v/>
      </c>
    </row>
    <row r="95" ht="47" customHeight="1">
      <c r="A95" s="4" t="inlineStr">
        <is>
          <t>102</t>
        </is>
      </c>
      <c r="B95" s="4" t="inlineStr">
        <is>
          <t>Historical</t>
        </is>
      </c>
      <c r="C95" s="4" t="inlineStr">
        <is>
          <t>Toward continuous social phenotyping: Analyzing gaze patterns in an emotion recognition task for children with autism through wearable smart glasses</t>
        </is>
      </c>
      <c r="D95" s="4" t="inlineStr">
        <is>
          <t>Screening</t>
        </is>
      </c>
      <c r="E95" s="4" t="inlineStr">
        <is>
          <t>Deep Learning</t>
        </is>
      </c>
      <c r="F95" s="4" t="inlineStr">
        <is>
          <t>Image (subtype unresolved)</t>
        </is>
      </c>
      <c r="G95" s="4" t="inlineStr">
        <is>
          <t>Other / Not clear</t>
        </is>
      </c>
      <c r="H95" s="4" t="inlineStr">
        <is>
          <t>Classification (ASD vs control / multi-class)</t>
        </is>
      </c>
      <c r="I95" s="4" t="inlineStr">
        <is>
          <t>Screening</t>
        </is>
      </c>
      <c r="J95" s="4" t="inlineStr">
        <is>
          <t>Deep Learning</t>
        </is>
      </c>
      <c r="K95" s="4" t="inlineStr">
        <is>
          <t>Imagen</t>
        </is>
      </c>
      <c r="L95" s="4" t="inlineStr">
        <is>
          <t>Etiqueta histórica conservada; no inferir subtipo desde el nombre</t>
        </is>
      </c>
      <c r="M95" s="4" t="inlineStr">
        <is>
          <t>Historical signals: title/abstract/notes; full-text completion not independently established</t>
        </is>
      </c>
      <c r="N95" s="4" t="n">
        <v>1</v>
      </c>
      <c r="O95" s="12" t="n"/>
      <c r="P95" s="41" t="n"/>
      <c r="Q95" s="4">
        <f>IF(COUNTIFS('ESTUDIOS'!$A$2:$A$455,$A95,'ESTUDIOS'!$I$2:$I$455,"")&gt;0,"",INDEX('ESTUDIOS'!$I$2:$I$455,MATCH($A95,'ESTUDIOS'!$A$2:$A$455,0)))</f>
        <v/>
      </c>
    </row>
    <row r="96" ht="60" customHeight="1">
      <c r="A96" s="4" t="inlineStr">
        <is>
          <t>103</t>
        </is>
      </c>
      <c r="B96" s="4" t="inlineStr">
        <is>
          <t>Historical</t>
        </is>
      </c>
      <c r="C96" s="4" t="inlineStr">
        <is>
          <t>Using machine learning to identify patterns of lifetime health problems in decedents with autism spectrum disorder</t>
        </is>
      </c>
      <c r="D96" s="4" t="inlineStr">
        <is>
          <t>Monitoring/intervention</t>
        </is>
      </c>
      <c r="E96" s="4" t="inlineStr">
        <is>
          <t>Deep Learning</t>
        </is>
      </c>
      <c r="F96" s="4" t="inlineStr">
        <is>
          <t>Multiple modalities (as coded)</t>
        </is>
      </c>
      <c r="G96" s="4" t="inlineStr">
        <is>
          <t>Random Forest</t>
        </is>
      </c>
      <c r="H96" s="4" t="inlineStr">
        <is>
          <t>Classification (binary/multi-class; incl. ASD vs control)/ multi-class)</t>
        </is>
      </c>
      <c r="I96" s="4" t="inlineStr">
        <is>
          <t>Monitoring/intervention</t>
        </is>
      </c>
      <c r="J96" s="4" t="inlineStr">
        <is>
          <t>Deep Learning</t>
        </is>
      </c>
      <c r="K96" s="4" t="inlineStr">
        <is>
          <t>Multimodal</t>
        </is>
      </c>
      <c r="L96" s="4" t="inlineStr">
        <is>
          <t>Etiqueta histórica conservada; no inferir subtipo desde el nombre</t>
        </is>
      </c>
      <c r="M96" s="4" t="inlineStr">
        <is>
          <t>Historical signals: title/abstract/notes; full-text completion not independently established</t>
        </is>
      </c>
      <c r="N96" s="4" t="n">
        <v>0</v>
      </c>
      <c r="O96" s="12" t="n"/>
      <c r="P96" s="41" t="n"/>
      <c r="Q96" s="4">
        <f>IF(COUNTIFS('ESTUDIOS'!$A$2:$A$455,$A96,'ESTUDIOS'!$I$2:$I$455,"")&gt;0,"",INDEX('ESTUDIOS'!$I$2:$I$455,MATCH($A96,'ESTUDIOS'!$A$2:$A$455,0)))</f>
        <v/>
      </c>
    </row>
    <row r="97" ht="60" customHeight="1">
      <c r="A97" s="4" t="inlineStr">
        <is>
          <t>104</t>
        </is>
      </c>
      <c r="B97" s="4" t="inlineStr">
        <is>
          <t>Historical</t>
        </is>
      </c>
      <c r="C97" s="4" t="inlineStr">
        <is>
          <t>A Framework for Comparison and Interpretation of Machine Learning Classifiers to Predict Autism on the ABIDE Dataset</t>
        </is>
      </c>
      <c r="D97" s="4" t="inlineStr">
        <is>
          <t>Diagnosis</t>
        </is>
      </c>
      <c r="E97" s="4" t="inlineStr">
        <is>
          <t>Hybrid</t>
        </is>
      </c>
      <c r="F97" s="4" t="inlineStr">
        <is>
          <t>Multiple modalities (as coded)</t>
        </is>
      </c>
      <c r="G97" s="4" t="inlineStr">
        <is>
          <t>Other</t>
        </is>
      </c>
      <c r="H97" s="4" t="inlineStr">
        <is>
          <t>Classification (binary/multi-class; incl. ASD vs control)/ multi-class)</t>
        </is>
      </c>
      <c r="I97" s="4" t="inlineStr">
        <is>
          <t>Diagnosis</t>
        </is>
      </c>
      <c r="J97" s="4" t="inlineStr">
        <is>
          <t>Híbrido</t>
        </is>
      </c>
      <c r="K97" s="4" t="inlineStr">
        <is>
          <t>Multimodal</t>
        </is>
      </c>
      <c r="L97" s="4" t="inlineStr">
        <is>
          <t>Etiqueta histórica conservada; no inferir subtipo desde el nombre</t>
        </is>
      </c>
      <c r="M97" s="4" t="inlineStr">
        <is>
          <t>Historical signals: title/abstract/notes; full-text completion not independently established</t>
        </is>
      </c>
      <c r="N97" s="4" t="n">
        <v>0</v>
      </c>
      <c r="O97" s="12" t="n"/>
      <c r="P97" s="41" t="n"/>
      <c r="Q97" s="4">
        <f>IF(COUNTIFS('ESTUDIOS'!$A$2:$A$455,$A97,'ESTUDIOS'!$I$2:$I$455,"")&gt;0,"",INDEX('ESTUDIOS'!$I$2:$I$455,MATCH($A97,'ESTUDIOS'!$A$2:$A$455,0)))</f>
        <v/>
      </c>
    </row>
    <row r="98" ht="47" customHeight="1">
      <c r="A98" s="4" t="inlineStr">
        <is>
          <t>105</t>
        </is>
      </c>
      <c r="B98" s="4" t="inlineStr">
        <is>
          <t>Historical</t>
        </is>
      </c>
      <c r="C98" s="4" t="inlineStr">
        <is>
          <t>A Novel Deep Learning Approach for Recognizing Stereotypical Motor Movements within and across Subjects on the Autism Spectrum Disorder</t>
        </is>
      </c>
      <c r="D98" s="4" t="inlineStr">
        <is>
          <t>Monitoring/intervention</t>
        </is>
      </c>
      <c r="E98" s="4" t="inlineStr">
        <is>
          <t>Hybrid</t>
        </is>
      </c>
      <c r="F98" s="4" t="inlineStr">
        <is>
          <t>Physiological signals</t>
        </is>
      </c>
      <c r="G98" s="4" t="inlineStr">
        <is>
          <t>Random Forest</t>
        </is>
      </c>
      <c r="H98" s="4" t="inlineStr">
        <is>
          <t>Detection / segmentation</t>
        </is>
      </c>
      <c r="I98" s="4" t="inlineStr">
        <is>
          <t>Monitoring/intervention</t>
        </is>
      </c>
      <c r="J98" s="4" t="inlineStr">
        <is>
          <t>Híbrido</t>
        </is>
      </c>
      <c r="K98" s="4" t="inlineStr">
        <is>
          <t>Señales fisiológicas</t>
        </is>
      </c>
      <c r="L98" s="4" t="inlineStr">
        <is>
          <t>Etiqueta histórica conservada; no inferir subtipo desde el nombre</t>
        </is>
      </c>
      <c r="M98" s="4" t="inlineStr">
        <is>
          <t>Historical signals: title/abstract/notes; full-text completion not independently established</t>
        </is>
      </c>
      <c r="N98" s="4" t="n">
        <v>0</v>
      </c>
      <c r="O98" s="12" t="n"/>
      <c r="P98" s="41" t="n"/>
      <c r="Q98" s="4">
        <f>IF(COUNTIFS('ESTUDIOS'!$A$2:$A$455,$A98,'ESTUDIOS'!$I$2:$I$455,"")&gt;0,"",INDEX('ESTUDIOS'!$I$2:$I$455,MATCH($A98,'ESTUDIOS'!$A$2:$A$455,0)))</f>
        <v/>
      </c>
    </row>
    <row r="99" ht="60" customHeight="1">
      <c r="A99" s="4" t="inlineStr">
        <is>
          <t>106</t>
        </is>
      </c>
      <c r="B99" s="4" t="inlineStr">
        <is>
          <t>Historical</t>
        </is>
      </c>
      <c r="C99" s="4" t="inlineStr">
        <is>
          <t>Analysis of variant interactions in families with autism points to genes involved in the development of the central nervous system</t>
        </is>
      </c>
      <c r="D99" s="4" t="inlineStr">
        <is>
          <t>Diagnosis</t>
        </is>
      </c>
      <c r="E99" s="4" t="inlineStr">
        <is>
          <t>Machine Learning</t>
        </is>
      </c>
      <c r="F99" s="4" t="inlineStr">
        <is>
          <t>Not specified</t>
        </is>
      </c>
      <c r="G99" s="4" t="inlineStr">
        <is>
          <t>SVM</t>
        </is>
      </c>
      <c r="H99" s="4" t="inlineStr">
        <is>
          <t>Classification (binary/multi-class; incl. ASD vs control)/ multi-class)</t>
        </is>
      </c>
      <c r="I99" s="4" t="inlineStr">
        <is>
          <t>Diagnosis</t>
        </is>
      </c>
      <c r="J99" s="4" t="inlineStr">
        <is>
          <t>Machine Learning</t>
        </is>
      </c>
      <c r="K99" s="4" t="inlineStr">
        <is>
          <t>No especificado</t>
        </is>
      </c>
      <c r="L99" s="4" t="inlineStr">
        <is>
          <t>Sin asignación por falta de detalle</t>
        </is>
      </c>
      <c r="M99" s="4" t="inlineStr">
        <is>
          <t>Historical signals: title/abstract/notes; full-text completion not independently established</t>
        </is>
      </c>
      <c r="N99" s="4" t="n">
        <v>1</v>
      </c>
      <c r="O99" s="12" t="n"/>
      <c r="P99" s="41" t="n"/>
      <c r="Q99" s="4">
        <f>IF(COUNTIFS('ESTUDIOS'!$A$2:$A$455,$A99,'ESTUDIOS'!$I$2:$I$455,"")&gt;0,"",INDEX('ESTUDIOS'!$I$2:$I$455,MATCH($A99,'ESTUDIOS'!$A$2:$A$455,0)))</f>
        <v/>
      </c>
    </row>
    <row r="100" ht="60" customHeight="1">
      <c r="A100" s="4" t="inlineStr">
        <is>
          <t>107</t>
        </is>
      </c>
      <c r="B100" s="4" t="inlineStr">
        <is>
          <t>Historical</t>
        </is>
      </c>
      <c r="C100" s="4" t="inlineStr">
        <is>
          <t>Detecting High-Functioning Autism in Adults Using Eye Tracking and Machine Learning</t>
        </is>
      </c>
      <c r="D100" s="4" t="inlineStr">
        <is>
          <t>Screening</t>
        </is>
      </c>
      <c r="E100" s="4" t="inlineStr">
        <is>
          <t>Machine Learning</t>
        </is>
      </c>
      <c r="F100" s="4" t="inlineStr">
        <is>
          <t>Image (subtype unresolved)</t>
        </is>
      </c>
      <c r="G100" s="4" t="inlineStr">
        <is>
          <t>Logistic Regression</t>
        </is>
      </c>
      <c r="H100" s="4" t="inlineStr">
        <is>
          <t>Classification (binary/multi-class; incl. ASD vs control)/ multi-class)</t>
        </is>
      </c>
      <c r="I100" s="4" t="inlineStr">
        <is>
          <t>Screening</t>
        </is>
      </c>
      <c r="J100" s="4" t="inlineStr">
        <is>
          <t>Machine Learning</t>
        </is>
      </c>
      <c r="K100" s="4" t="inlineStr">
        <is>
          <t>Imagen</t>
        </is>
      </c>
      <c r="L100" s="4" t="inlineStr">
        <is>
          <t>Etiqueta histórica conservada; no inferir subtipo desde el nombre</t>
        </is>
      </c>
      <c r="M100" s="4" t="inlineStr">
        <is>
          <t>Historical signals: title/abstract/notes; full-text completion not independently established</t>
        </is>
      </c>
      <c r="N100" s="4" t="n">
        <v>1</v>
      </c>
      <c r="O100" s="12" t="n"/>
      <c r="P100" s="41" t="n"/>
      <c r="Q100" s="4">
        <f>IF(COUNTIFS('ESTUDIOS'!$A$2:$A$455,$A100,'ESTUDIOS'!$I$2:$I$455,"")&gt;0,"",INDEX('ESTUDIOS'!$I$2:$I$455,MATCH($A100,'ESTUDIOS'!$A$2:$A$455,0)))</f>
        <v/>
      </c>
    </row>
    <row r="101" ht="47" customHeight="1">
      <c r="A101" s="4" t="inlineStr">
        <is>
          <t>108</t>
        </is>
      </c>
      <c r="B101" s="4" t="inlineStr">
        <is>
          <t>Historical</t>
        </is>
      </c>
      <c r="C101" s="4" t="inlineStr">
        <is>
          <t>Identification of neural connectivity signatures of autism using machine learning</t>
        </is>
      </c>
      <c r="D101" s="4" t="inlineStr">
        <is>
          <t>Diagnosis</t>
        </is>
      </c>
      <c r="E101" s="4" t="inlineStr">
        <is>
          <t>Machine Learning</t>
        </is>
      </c>
      <c r="F101" s="4" t="inlineStr">
        <is>
          <t>Image (subtype unresolved)</t>
        </is>
      </c>
      <c r="G101" s="4" t="inlineStr">
        <is>
          <t>SVM</t>
        </is>
      </c>
      <c r="H101" s="4" t="inlineStr">
        <is>
          <t>Classification (ASD vs control / multi-class)</t>
        </is>
      </c>
      <c r="I101" s="4" t="inlineStr">
        <is>
          <t>Diagnosis</t>
        </is>
      </c>
      <c r="J101" s="4" t="inlineStr">
        <is>
          <t>Machine Learning</t>
        </is>
      </c>
      <c r="K101" s="4" t="inlineStr">
        <is>
          <t>Imagen</t>
        </is>
      </c>
      <c r="L101" s="4" t="inlineStr">
        <is>
          <t>Etiqueta histórica conservada; no inferir subtipo desde el nombre</t>
        </is>
      </c>
      <c r="M101" s="4" t="inlineStr">
        <is>
          <t>Historical signals: title/abstract/notes; full-text completion not independently established</t>
        </is>
      </c>
      <c r="N101" s="4" t="n">
        <v>1</v>
      </c>
      <c r="O101" s="12" t="n"/>
      <c r="P101" s="41" t="n"/>
      <c r="Q101" s="4">
        <f>IF(COUNTIFS('ESTUDIOS'!$A$2:$A$455,$A101,'ESTUDIOS'!$I$2:$I$455,"")&gt;0,"",INDEX('ESTUDIOS'!$I$2:$I$455,MATCH($A101,'ESTUDIOS'!$A$2:$A$455,0)))</f>
        <v/>
      </c>
    </row>
    <row r="102" ht="47" customHeight="1">
      <c r="A102" s="4" t="inlineStr">
        <is>
          <t>109</t>
        </is>
      </c>
      <c r="B102" s="4" t="inlineStr">
        <is>
          <t>Historical</t>
        </is>
      </c>
      <c r="C102" s="4" t="inlineStr">
        <is>
          <t>Identifying autism from neural representations of social interactions: Neurocognitive markers of autism</t>
        </is>
      </c>
      <c r="D102" s="4" t="inlineStr">
        <is>
          <t>Diagnosis</t>
        </is>
      </c>
      <c r="E102" s="4" t="inlineStr">
        <is>
          <t>Machine Learning</t>
        </is>
      </c>
      <c r="F102" s="4" t="inlineStr">
        <is>
          <t>Physiological signals</t>
        </is>
      </c>
      <c r="G102" s="4" t="inlineStr">
        <is>
          <t>Other / Not clear</t>
        </is>
      </c>
      <c r="H102" s="4" t="inlineStr">
        <is>
          <t>Classification (ASD vs control / multi-class)</t>
        </is>
      </c>
      <c r="I102" s="4" t="inlineStr">
        <is>
          <t>Diagnosis</t>
        </is>
      </c>
      <c r="J102" s="4" t="inlineStr">
        <is>
          <t>Machine Learning</t>
        </is>
      </c>
      <c r="K102" s="4" t="inlineStr">
        <is>
          <t>Señales fisiológicas</t>
        </is>
      </c>
      <c r="L102" s="4" t="inlineStr">
        <is>
          <t>Etiqueta histórica conservada; no inferir subtipo desde el nombre</t>
        </is>
      </c>
      <c r="M102" s="4" t="inlineStr">
        <is>
          <t>Historical signals: title/abstract/notes; full-text completion not independently established</t>
        </is>
      </c>
      <c r="N102" s="4" t="n">
        <v>0</v>
      </c>
      <c r="O102" s="12" t="n"/>
      <c r="P102" s="41" t="n"/>
      <c r="Q102" s="4">
        <f>IF(COUNTIFS('ESTUDIOS'!$A$2:$A$455,$A102,'ESTUDIOS'!$I$2:$I$455,"")&gt;0,"",INDEX('ESTUDIOS'!$I$2:$I$455,MATCH($A102,'ESTUDIOS'!$A$2:$A$455,0)))</f>
        <v/>
      </c>
    </row>
    <row r="103" ht="47" customHeight="1">
      <c r="A103" s="4" t="inlineStr">
        <is>
          <t>110</t>
        </is>
      </c>
      <c r="B103" s="4" t="inlineStr">
        <is>
          <t>Historical</t>
        </is>
      </c>
      <c r="C103" s="4" t="inlineStr">
        <is>
          <t>Identifying Language and Cognitive Profiles in Children With ASD via a Cluster Analysis Exploration: Implications for the New ICD-11</t>
        </is>
      </c>
      <c r="D103" s="4" t="inlineStr">
        <is>
          <t>Monitoring/intervention</t>
        </is>
      </c>
      <c r="E103" s="4" t="inlineStr">
        <is>
          <t>Deep Learning</t>
        </is>
      </c>
      <c r="F103" s="4" t="inlineStr">
        <is>
          <t>Text / NLP (legacy; verify input type)</t>
        </is>
      </c>
      <c r="G103" s="4" t="inlineStr">
        <is>
          <t>Clustering (k-means / GMM / ...)</t>
        </is>
      </c>
      <c r="H103" s="4" t="inlineStr">
        <is>
          <t>Clustering / subtyping</t>
        </is>
      </c>
      <c r="I103" s="4" t="inlineStr">
        <is>
          <t>Monitoring/intervention</t>
        </is>
      </c>
      <c r="J103" s="4" t="inlineStr">
        <is>
          <t>Deep Learning</t>
        </is>
      </c>
      <c r="K103" s="4" t="inlineStr">
        <is>
          <t>Texto · NLP</t>
        </is>
      </c>
      <c r="L103" s="4" t="inlineStr">
        <is>
          <t>Etiqueta histórica conservada; no inferir subtipo desde el nombre</t>
        </is>
      </c>
      <c r="M103" s="4" t="inlineStr">
        <is>
          <t>Historical signals: title/abstract/notes; full-text completion not independently established</t>
        </is>
      </c>
      <c r="N103" s="4" t="n">
        <v>1</v>
      </c>
      <c r="O103" s="12" t="n"/>
      <c r="P103" s="41" t="n"/>
      <c r="Q103" s="4">
        <f>IF(COUNTIFS('ESTUDIOS'!$A$2:$A$455,$A103,'ESTUDIOS'!$I$2:$I$455,"")&gt;0,"",INDEX('ESTUDIOS'!$I$2:$I$455,MATCH($A103,'ESTUDIOS'!$A$2:$A$455,0)))</f>
        <v/>
      </c>
    </row>
    <row r="104" ht="47" customHeight="1">
      <c r="A104" s="4" t="inlineStr">
        <is>
          <t>111</t>
        </is>
      </c>
      <c r="B104" s="4" t="inlineStr">
        <is>
          <t>Historical</t>
        </is>
      </c>
      <c r="C104" s="4" t="inlineStr">
        <is>
          <t>On the Utility of Parents' Historical Data to Investigate the Causes of Autism Spectrum Disorder: A Data Mining-Based Framework</t>
        </is>
      </c>
      <c r="D104" s="4" t="inlineStr">
        <is>
          <t>Prescreening</t>
        </is>
      </c>
      <c r="E104" s="4" t="inlineStr">
        <is>
          <t>Hybrid</t>
        </is>
      </c>
      <c r="F104" s="4" t="inlineStr">
        <is>
          <t>Not specified</t>
        </is>
      </c>
      <c r="G104" s="4" t="inlineStr">
        <is>
          <t>SVM</t>
        </is>
      </c>
      <c r="H104" s="4" t="inlineStr">
        <is>
          <t>Classification (ASD vs control / multi-class)</t>
        </is>
      </c>
      <c r="I104" s="4" t="inlineStr">
        <is>
          <t>Prescreening</t>
        </is>
      </c>
      <c r="J104" s="4" t="inlineStr">
        <is>
          <t>Híbrido</t>
        </is>
      </c>
      <c r="K104" s="4" t="inlineStr">
        <is>
          <t>No especificado</t>
        </is>
      </c>
      <c r="L104" s="4" t="inlineStr">
        <is>
          <t>Sin asignación por falta de detalle</t>
        </is>
      </c>
      <c r="M104" s="4" t="inlineStr">
        <is>
          <t>Historical signals: title/abstract/notes; full-text completion not independently established</t>
        </is>
      </c>
      <c r="N104" s="4" t="n">
        <v>1</v>
      </c>
      <c r="O104" s="12" t="n"/>
      <c r="P104" s="41" t="n"/>
      <c r="Q104" s="4">
        <f>IF(COUNTIFS('ESTUDIOS'!$A$2:$A$455,$A104,'ESTUDIOS'!$I$2:$I$455,"")&gt;0,"",INDEX('ESTUDIOS'!$I$2:$I$455,MATCH($A104,'ESTUDIOS'!$A$2:$A$455,0)))</f>
        <v/>
      </c>
    </row>
    <row r="105" ht="47" customHeight="1">
      <c r="A105" s="4" t="inlineStr">
        <is>
          <t>112</t>
        </is>
      </c>
      <c r="B105" s="4" t="inlineStr">
        <is>
          <t>Historical</t>
        </is>
      </c>
      <c r="C105" s="4" t="inlineStr">
        <is>
          <t>Structural variants identified using non-Mendelian inheritance patterns advance the mechanistic understanding of autism spectrum disorder</t>
        </is>
      </c>
      <c r="D105" s="4" t="inlineStr">
        <is>
          <t>Diagnosis</t>
        </is>
      </c>
      <c r="E105" s="4" t="inlineStr">
        <is>
          <t>Not specified</t>
        </is>
      </c>
      <c r="F105" s="4" t="inlineStr">
        <is>
          <t>Text / NLP (legacy; verify input type)</t>
        </is>
      </c>
      <c r="G105" s="4" t="inlineStr">
        <is>
          <t>Clustering (k-means / GMM / ...)</t>
        </is>
      </c>
      <c r="H105" s="4" t="inlineStr">
        <is>
          <t>Clustering / subtyping</t>
        </is>
      </c>
      <c r="I105" s="4" t="inlineStr">
        <is>
          <t>Diagnosis</t>
        </is>
      </c>
      <c r="J105" s="4" t="inlineStr">
        <is>
          <t>No especificado</t>
        </is>
      </c>
      <c r="K105" s="4" t="inlineStr">
        <is>
          <t>Texto · NLP</t>
        </is>
      </c>
      <c r="L105" s="4" t="inlineStr">
        <is>
          <t>Etiqueta histórica conservada; no inferir subtipo desde el nombre</t>
        </is>
      </c>
      <c r="M105" s="4" t="inlineStr">
        <is>
          <t>Historical signals: title/abstract/notes; full-text completion not independently established</t>
        </is>
      </c>
      <c r="N105" s="4" t="n">
        <v>1</v>
      </c>
      <c r="O105" s="12" t="n"/>
      <c r="P105" s="41" t="n"/>
      <c r="Q105" s="4">
        <f>IF(COUNTIFS('ESTUDIOS'!$A$2:$A$455,$A105,'ESTUDIOS'!$I$2:$I$455,"")&gt;0,"",INDEX('ESTUDIOS'!$I$2:$I$455,MATCH($A105,'ESTUDIOS'!$A$2:$A$455,0)))</f>
        <v/>
      </c>
    </row>
    <row r="106" ht="60" customHeight="1">
      <c r="A106" s="4" t="inlineStr">
        <is>
          <t>113</t>
        </is>
      </c>
      <c r="B106" s="4" t="inlineStr">
        <is>
          <t>Historical</t>
        </is>
      </c>
      <c r="C106" s="4" t="inlineStr">
        <is>
          <t>Transient hearing abnormalities precede social deficits in a mouse model of autism</t>
        </is>
      </c>
      <c r="D106" s="4" t="inlineStr">
        <is>
          <t>Prognosis</t>
        </is>
      </c>
      <c r="E106" s="4" t="inlineStr">
        <is>
          <t>Machine Learning</t>
        </is>
      </c>
      <c r="F106" s="4" t="inlineStr">
        <is>
          <t>Not specified</t>
        </is>
      </c>
      <c r="G106" s="4" t="inlineStr">
        <is>
          <t>SVM</t>
        </is>
      </c>
      <c r="H106" s="4" t="inlineStr">
        <is>
          <t>Classification (binary/multi-class; incl. ASD vs control)/ multi-class)</t>
        </is>
      </c>
      <c r="I106" s="4" t="inlineStr">
        <is>
          <t>Prognosis</t>
        </is>
      </c>
      <c r="J106" s="4" t="inlineStr">
        <is>
          <t>Machine Learning</t>
        </is>
      </c>
      <c r="K106" s="4" t="inlineStr">
        <is>
          <t>No especificado</t>
        </is>
      </c>
      <c r="L106" s="4" t="inlineStr">
        <is>
          <t>Sin asignación por falta de detalle</t>
        </is>
      </c>
      <c r="M106" s="4" t="inlineStr">
        <is>
          <t>Historical signals: title/abstract/notes; full-text completion not independently established</t>
        </is>
      </c>
      <c r="N106" s="4" t="n">
        <v>1</v>
      </c>
      <c r="O106" s="12" t="n"/>
      <c r="P106" s="41" t="n"/>
      <c r="Q106" s="4">
        <f>IF(COUNTIFS('ESTUDIOS'!$A$2:$A$455,$A106,'ESTUDIOS'!$I$2:$I$455,"")&gt;0,"",INDEX('ESTUDIOS'!$I$2:$I$455,MATCH($A106,'ESTUDIOS'!$A$2:$A$455,0)))</f>
        <v/>
      </c>
    </row>
    <row r="107" ht="47" customHeight="1">
      <c r="A107" s="4" t="inlineStr">
        <is>
          <t>114</t>
        </is>
      </c>
      <c r="B107" s="4" t="inlineStr">
        <is>
          <t>Historical</t>
        </is>
      </c>
      <c r="C107" s="4" t="inlineStr">
        <is>
          <t>Early-stage identification of autism in children using gesture monitoring based on artificial intelligence</t>
        </is>
      </c>
      <c r="D107" s="4" t="inlineStr">
        <is>
          <t>Screening</t>
        </is>
      </c>
      <c r="E107" s="4" t="inlineStr">
        <is>
          <t>Machine Learning</t>
        </is>
      </c>
      <c r="F107" s="4" t="inlineStr">
        <is>
          <t>Image (subtype unresolved)</t>
        </is>
      </c>
      <c r="G107" s="4" t="n"/>
      <c r="H107" s="4" t="n"/>
      <c r="I107" s="4" t="inlineStr">
        <is>
          <t>screening</t>
        </is>
      </c>
      <c r="J107" s="4" t="inlineStr">
        <is>
          <t>Machine Learning</t>
        </is>
      </c>
      <c r="K107" s="4" t="inlineStr">
        <is>
          <t>Imagen</t>
        </is>
      </c>
      <c r="L107" s="4" t="inlineStr">
        <is>
          <t>Etiqueta histórica conservada; no inferir subtipo desde el nombre</t>
        </is>
      </c>
      <c r="M107" s="4" t="inlineStr">
        <is>
          <t>Historical signals: title/abstract/notes; full-text completion not independently established</t>
        </is>
      </c>
      <c r="N107" s="4" t="n">
        <v>1</v>
      </c>
      <c r="O107" s="12" t="n"/>
      <c r="P107" s="41" t="n"/>
      <c r="Q107" s="4">
        <f>IF(COUNTIFS('ESTUDIOS'!$A$2:$A$455,$A107,'ESTUDIOS'!$I$2:$I$455,"")&gt;0,"",INDEX('ESTUDIOS'!$I$2:$I$455,MATCH($A107,'ESTUDIOS'!$A$2:$A$455,0)))</f>
        <v/>
      </c>
    </row>
    <row r="108" ht="60" customHeight="1">
      <c r="A108" s="4" t="inlineStr">
        <is>
          <t>115</t>
        </is>
      </c>
      <c r="B108" s="4" t="inlineStr">
        <is>
          <t>Historical</t>
        </is>
      </c>
      <c r="C108" s="4" t="inlineStr">
        <is>
          <t>Electromagnetic Interaction Algorithm (EIA)-Based Feature Selection With Adaptive Kernel Attention Network (AKAttNet) for Autism Spectrum Disorder Classification</t>
        </is>
      </c>
      <c r="D108" s="4" t="inlineStr">
        <is>
          <t>Screening</t>
        </is>
      </c>
      <c r="E108" s="4" t="inlineStr">
        <is>
          <t>Hybrid</t>
        </is>
      </c>
      <c r="F108" s="4" t="inlineStr">
        <is>
          <t>Not specified</t>
        </is>
      </c>
      <c r="G108" s="4" t="inlineStr">
        <is>
          <t>CNN</t>
        </is>
      </c>
      <c r="H108" s="4" t="inlineStr">
        <is>
          <t>Classification (ASD vs control / multi-class)</t>
        </is>
      </c>
      <c r="I108" s="4" t="inlineStr">
        <is>
          <t>Screening</t>
        </is>
      </c>
      <c r="J108" s="4" t="inlineStr">
        <is>
          <t>Híbrido</t>
        </is>
      </c>
      <c r="K108" s="4" t="inlineStr">
        <is>
          <t>No especificado</t>
        </is>
      </c>
      <c r="L108" s="4" t="inlineStr">
        <is>
          <t>Sin asignación por falta de detalle</t>
        </is>
      </c>
      <c r="M108" s="4" t="inlineStr">
        <is>
          <t>Historical signals: title/abstract/notes; full-text completion not independently established</t>
        </is>
      </c>
      <c r="N108" s="4" t="n">
        <v>1</v>
      </c>
      <c r="O108" s="12" t="n"/>
      <c r="P108" s="41" t="n"/>
      <c r="Q108" s="4">
        <f>IF(COUNTIFS('ESTUDIOS'!$A$2:$A$455,$A108,'ESTUDIOS'!$I$2:$I$455,"")&gt;0,"",INDEX('ESTUDIOS'!$I$2:$I$455,MATCH($A108,'ESTUDIOS'!$A$2:$A$455,0)))</f>
        <v/>
      </c>
    </row>
    <row r="109" ht="47" customHeight="1">
      <c r="A109" s="4" t="inlineStr">
        <is>
          <t>116</t>
        </is>
      </c>
      <c r="B109" s="4" t="inlineStr">
        <is>
          <t>Historical</t>
        </is>
      </c>
      <c r="C109" s="4" t="inlineStr">
        <is>
          <t>Use of machine learning for behavioral distinction of autism and ADHD</t>
        </is>
      </c>
      <c r="D109" s="4" t="inlineStr">
        <is>
          <t>Screening</t>
        </is>
      </c>
      <c r="E109" s="4" t="inlineStr">
        <is>
          <t>Deep Learning</t>
        </is>
      </c>
      <c r="F109" s="4" t="inlineStr">
        <is>
          <t>Not specified</t>
        </is>
      </c>
      <c r="G109" s="4" t="inlineStr">
        <is>
          <t>Other / Not clear</t>
        </is>
      </c>
      <c r="H109" s="4" t="inlineStr">
        <is>
          <t>Classification (ASD vs control / multi-class)</t>
        </is>
      </c>
      <c r="I109" s="4" t="inlineStr">
        <is>
          <t>Screening</t>
        </is>
      </c>
      <c r="J109" s="4" t="inlineStr">
        <is>
          <t>Deep Learning</t>
        </is>
      </c>
      <c r="K109" s="4" t="inlineStr">
        <is>
          <t>No especificado</t>
        </is>
      </c>
      <c r="L109" s="4" t="inlineStr">
        <is>
          <t>Sin asignación por falta de detalle</t>
        </is>
      </c>
      <c r="M109" s="4" t="inlineStr">
        <is>
          <t>Historical signals: title/abstract/notes; full-text completion not independently established</t>
        </is>
      </c>
      <c r="N109" s="4" t="n">
        <v>1</v>
      </c>
      <c r="O109" s="12" t="n"/>
      <c r="P109" s="41" t="n"/>
      <c r="Q109" s="4">
        <f>IF(COUNTIFS('ESTUDIOS'!$A$2:$A$455,$A109,'ESTUDIOS'!$I$2:$I$455,"")&gt;0,"",INDEX('ESTUDIOS'!$I$2:$I$455,MATCH($A109,'ESTUDIOS'!$A$2:$A$455,0)))</f>
        <v/>
      </c>
    </row>
    <row r="110" ht="47" customHeight="1">
      <c r="A110" s="4" t="inlineStr">
        <is>
          <t>117</t>
        </is>
      </c>
      <c r="B110" s="4" t="inlineStr">
        <is>
          <t>Historical</t>
        </is>
      </c>
      <c r="C110" s="4" t="inlineStr">
        <is>
          <t>A Machine Learning Strategy for Autism Screening in Toddlers</t>
        </is>
      </c>
      <c r="D110" s="4" t="inlineStr">
        <is>
          <t>Screening</t>
        </is>
      </c>
      <c r="E110" s="4" t="inlineStr">
        <is>
          <t>Deep Learning</t>
        </is>
      </c>
      <c r="F110" s="4" t="inlineStr">
        <is>
          <t>Not specified</t>
        </is>
      </c>
      <c r="G110" s="4" t="inlineStr">
        <is>
          <t>MLP</t>
        </is>
      </c>
      <c r="H110" s="4" t="inlineStr">
        <is>
          <t>Classification (ASD vs control / multi-class)</t>
        </is>
      </c>
      <c r="I110" s="4" t="inlineStr">
        <is>
          <t>Screening</t>
        </is>
      </c>
      <c r="J110" s="4" t="inlineStr">
        <is>
          <t>Deep Learning</t>
        </is>
      </c>
      <c r="K110" s="4" t="inlineStr">
        <is>
          <t>No especificado</t>
        </is>
      </c>
      <c r="L110" s="4" t="inlineStr">
        <is>
          <t>Sin asignación por falta de detalle</t>
        </is>
      </c>
      <c r="M110" s="4" t="inlineStr">
        <is>
          <t>Historical signals: title/abstract/notes; full-text completion not independently established</t>
        </is>
      </c>
      <c r="N110" s="4" t="n">
        <v>1</v>
      </c>
      <c r="O110" s="12" t="n"/>
      <c r="P110" s="41" t="n"/>
      <c r="Q110" s="4">
        <f>IF(COUNTIFS('ESTUDIOS'!$A$2:$A$455,$A110,'ESTUDIOS'!$I$2:$I$455,"")&gt;0,"",INDEX('ESTUDIOS'!$I$2:$I$455,MATCH($A110,'ESTUDIOS'!$A$2:$A$455,0)))</f>
        <v/>
      </c>
    </row>
    <row r="111" ht="60" customHeight="1">
      <c r="A111" s="4" t="inlineStr">
        <is>
          <t>118</t>
        </is>
      </c>
      <c r="B111" s="4" t="inlineStr">
        <is>
          <t>Historical</t>
        </is>
      </c>
      <c r="C111" s="4" t="inlineStr">
        <is>
          <t>Early detection of autism using digital behavioral phenotyping</t>
        </is>
      </c>
      <c r="D111" s="4" t="inlineStr">
        <is>
          <t>Screening</t>
        </is>
      </c>
      <c r="E111" s="4" t="inlineStr">
        <is>
          <t>Deep Learning</t>
        </is>
      </c>
      <c r="F111" s="4" t="inlineStr">
        <is>
          <t>Image (subtype unresolved)</t>
        </is>
      </c>
      <c r="G111" s="4" t="inlineStr">
        <is>
          <t>XGBoost / GBDT</t>
        </is>
      </c>
      <c r="H111" s="4" t="inlineStr">
        <is>
          <t>Classification (binary/multi-class; incl. ASD vs control)/ multi-class)</t>
        </is>
      </c>
      <c r="I111" s="4" t="inlineStr">
        <is>
          <t>Screening</t>
        </is>
      </c>
      <c r="J111" s="4" t="inlineStr">
        <is>
          <t>Deep Learning</t>
        </is>
      </c>
      <c r="K111" s="4" t="inlineStr">
        <is>
          <t>Imagen</t>
        </is>
      </c>
      <c r="L111" s="4" t="inlineStr">
        <is>
          <t>Etiqueta histórica conservada; no inferir subtipo desde el nombre</t>
        </is>
      </c>
      <c r="M111" s="4" t="inlineStr">
        <is>
          <t>Historical signals: title/abstract/notes; full-text completion not independently established</t>
        </is>
      </c>
      <c r="N111" s="4" t="n">
        <v>1</v>
      </c>
      <c r="O111" s="12" t="n"/>
      <c r="P111" s="41" t="n"/>
      <c r="Q111" s="4">
        <f>IF(COUNTIFS('ESTUDIOS'!$A$2:$A$455,$A111,'ESTUDIOS'!$I$2:$I$455,"")&gt;0,"",INDEX('ESTUDIOS'!$I$2:$I$455,MATCH($A111,'ESTUDIOS'!$A$2:$A$455,0)))</f>
        <v/>
      </c>
    </row>
    <row r="112" ht="34" customHeight="1">
      <c r="A112" s="4" t="inlineStr">
        <is>
          <t>119</t>
        </is>
      </c>
      <c r="B112" s="4" t="inlineStr">
        <is>
          <t>Historical</t>
        </is>
      </c>
      <c r="C112" s="4" t="inlineStr">
        <is>
          <t>Ensemble statistical and subspace clustering model for analysis of autism spectrum disorder phenotypes</t>
        </is>
      </c>
      <c r="D112" s="4" t="inlineStr">
        <is>
          <t>Monitoring/intervention</t>
        </is>
      </c>
      <c r="E112" s="4" t="inlineStr">
        <is>
          <t>Machine Learning</t>
        </is>
      </c>
      <c r="F112" s="4" t="inlineStr">
        <is>
          <t>Not specified</t>
        </is>
      </c>
      <c r="G112" s="4" t="inlineStr">
        <is>
          <t>Clustering (k-means / GMM / ...)</t>
        </is>
      </c>
      <c r="H112" s="4" t="inlineStr">
        <is>
          <t>Clustering / subtyping</t>
        </is>
      </c>
      <c r="I112" s="4" t="inlineStr">
        <is>
          <t>Monitoring/intervention</t>
        </is>
      </c>
      <c r="J112" s="4" t="inlineStr">
        <is>
          <t>Machine Learning</t>
        </is>
      </c>
      <c r="K112" s="4" t="inlineStr">
        <is>
          <t>No especificado</t>
        </is>
      </c>
      <c r="L112" s="4" t="inlineStr">
        <is>
          <t>Sin asignación por falta de detalle</t>
        </is>
      </c>
      <c r="M112" s="4" t="inlineStr">
        <is>
          <t>Historical signals: title/abstract/notes; full-text completion not independently established</t>
        </is>
      </c>
      <c r="N112" s="4" t="n">
        <v>1</v>
      </c>
      <c r="O112" s="12" t="n"/>
      <c r="P112" s="41" t="n"/>
      <c r="Q112" s="4">
        <f>IF(COUNTIFS('ESTUDIOS'!$A$2:$A$455,$A112,'ESTUDIOS'!$I$2:$I$455,"")&gt;0,"",INDEX('ESTUDIOS'!$I$2:$I$455,MATCH($A112,'ESTUDIOS'!$A$2:$A$455,0)))</f>
        <v/>
      </c>
    </row>
    <row r="113" ht="47" customHeight="1">
      <c r="A113" s="4" t="inlineStr">
        <is>
          <t>120</t>
        </is>
      </c>
      <c r="B113" s="4" t="inlineStr">
        <is>
          <t>Historical</t>
        </is>
      </c>
      <c r="C113" s="4" t="inlineStr">
        <is>
          <t>Screening autism spectrum disorder in children using machine learning on speech transcripts</t>
        </is>
      </c>
      <c r="D113" s="4" t="inlineStr">
        <is>
          <t>Screening</t>
        </is>
      </c>
      <c r="E113" s="4" t="inlineStr">
        <is>
          <t>Machine Learning</t>
        </is>
      </c>
      <c r="F113" s="4" t="inlineStr">
        <is>
          <t>Image (subtype unresolved)</t>
        </is>
      </c>
      <c r="G113" s="4" t="inlineStr">
        <is>
          <t>Other / Not clear</t>
        </is>
      </c>
      <c r="H113" s="4" t="inlineStr">
        <is>
          <t>Classification (ASD vs control / multi-class)</t>
        </is>
      </c>
      <c r="I113" s="4" t="inlineStr">
        <is>
          <t>Screening</t>
        </is>
      </c>
      <c r="J113" s="4" t="inlineStr">
        <is>
          <t>Machine Learning</t>
        </is>
      </c>
      <c r="K113" s="4" t="inlineStr">
        <is>
          <t>Imagen</t>
        </is>
      </c>
      <c r="L113" s="4" t="inlineStr">
        <is>
          <t>Etiqueta histórica conservada; no inferir subtipo desde el nombre</t>
        </is>
      </c>
      <c r="M113" s="4" t="inlineStr">
        <is>
          <t>Historical signals: title/abstract/notes; full-text completion not independently established</t>
        </is>
      </c>
      <c r="N113" s="4" t="n">
        <v>1</v>
      </c>
      <c r="O113" s="12" t="n"/>
      <c r="P113" s="41" t="n"/>
      <c r="Q113" s="4">
        <f>IF(COUNTIFS('ESTUDIOS'!$A$2:$A$455,$A113,'ESTUDIOS'!$I$2:$I$455,"")&gt;0,"",INDEX('ESTUDIOS'!$I$2:$I$455,MATCH($A113,'ESTUDIOS'!$A$2:$A$455,0)))</f>
        <v/>
      </c>
    </row>
    <row r="114" ht="47" customHeight="1">
      <c r="A114" s="4" t="inlineStr">
        <is>
          <t>121</t>
        </is>
      </c>
      <c r="B114" s="4" t="inlineStr">
        <is>
          <t>Historical</t>
        </is>
      </c>
      <c r="C114" s="4" t="inlineStr">
        <is>
          <t>46.3 ARTIFICIAL INTELLIGENCE: UTILIZING GOOGLE GLASS AND OTHER MOBILE APPLICATIONS FOR SOCIAL SKILLS TRAINING IN AUTISM SPECTRUM DISORDERS</t>
        </is>
      </c>
      <c r="D114" s="4" t="inlineStr">
        <is>
          <t>Monitoring/intervention</t>
        </is>
      </c>
      <c r="E114" s="4" t="inlineStr">
        <is>
          <t>Deep Learning</t>
        </is>
      </c>
      <c r="F114" s="4" t="inlineStr">
        <is>
          <t>Text / NLP (legacy; verify input type)</t>
        </is>
      </c>
      <c r="G114" s="4" t="n"/>
      <c r="H114" s="4" t="inlineStr">
        <is>
          <t>Technology-assisted social-skills intervention</t>
        </is>
      </c>
      <c r="I114" s="4" t="inlineStr">
        <is>
          <t>Monitoring/intervention</t>
        </is>
      </c>
      <c r="J114" s="4" t="inlineStr">
        <is>
          <t>Deep Learning</t>
        </is>
      </c>
      <c r="K114" s="4" t="inlineStr">
        <is>
          <t>Texto · NLP</t>
        </is>
      </c>
      <c r="L114" s="4" t="inlineStr">
        <is>
          <t>Etiqueta histórica conservada; no inferir subtipo desde el nombre</t>
        </is>
      </c>
      <c r="M114" s="4" t="inlineStr">
        <is>
          <t>Historical signals: title/abstract/notes; full-text completion not independently established</t>
        </is>
      </c>
      <c r="N114" s="4" t="n">
        <v>1</v>
      </c>
      <c r="O114" s="12" t="n"/>
      <c r="P114" s="41" t="n"/>
      <c r="Q114" s="4">
        <f>IF(COUNTIFS('ESTUDIOS'!$A$2:$A$455,$A114,'ESTUDIOS'!$I$2:$I$455,"")&gt;0,"",INDEX('ESTUDIOS'!$I$2:$I$455,MATCH($A114,'ESTUDIOS'!$A$2:$A$455,0)))</f>
        <v/>
      </c>
    </row>
    <row r="115" ht="60" customHeight="1">
      <c r="A115" s="4" t="inlineStr">
        <is>
          <t>122</t>
        </is>
      </c>
      <c r="B115" s="4" t="inlineStr">
        <is>
          <t>Historical</t>
        </is>
      </c>
      <c r="C115" s="4" t="inlineStr">
        <is>
          <t>A Quantum-Based Machine Learning Approach for Autism Detection Using Common Spatial Patterns of EEG Signals</t>
        </is>
      </c>
      <c r="D115" s="4" t="inlineStr">
        <is>
          <t>Diagnosis</t>
        </is>
      </c>
      <c r="E115" s="4" t="inlineStr">
        <is>
          <t>Hybrid</t>
        </is>
      </c>
      <c r="F115" s="4" t="inlineStr">
        <is>
          <t>Physiological signals</t>
        </is>
      </c>
      <c r="G115" s="4" t="inlineStr">
        <is>
          <t>SVM</t>
        </is>
      </c>
      <c r="H115" s="4" t="inlineStr">
        <is>
          <t>Classification (binary/multi-class; incl. ASD vs control)/ multi-class)</t>
        </is>
      </c>
      <c r="I115" s="4" t="inlineStr">
        <is>
          <t>Diagnosis</t>
        </is>
      </c>
      <c r="J115" s="4" t="inlineStr">
        <is>
          <t>Híbrido</t>
        </is>
      </c>
      <c r="K115" s="4" t="inlineStr">
        <is>
          <t>Señales fisiológicas</t>
        </is>
      </c>
      <c r="L115" s="4" t="inlineStr">
        <is>
          <t>Etiqueta histórica conservada; no inferir subtipo desde el nombre</t>
        </is>
      </c>
      <c r="M115" s="4" t="inlineStr">
        <is>
          <t>Historical signals: title/abstract/notes; full-text completion not independently established</t>
        </is>
      </c>
      <c r="N115" s="4" t="n">
        <v>0</v>
      </c>
      <c r="O115" s="12" t="n"/>
      <c r="P115" s="41" t="n"/>
      <c r="Q115" s="4">
        <f>IF(COUNTIFS('ESTUDIOS'!$A$2:$A$455,$A115,'ESTUDIOS'!$I$2:$I$455,"")&gt;0,"",INDEX('ESTUDIOS'!$I$2:$I$455,MATCH($A115,'ESTUDIOS'!$A$2:$A$455,0)))</f>
        <v/>
      </c>
    </row>
    <row r="116" ht="60" customHeight="1">
      <c r="A116" s="4" t="inlineStr">
        <is>
          <t>124</t>
        </is>
      </c>
      <c r="B116" s="4" t="inlineStr">
        <is>
          <t>Historical</t>
        </is>
      </c>
      <c r="C116" s="4" t="inlineStr">
        <is>
          <t>ASD2-TL∗ GTO: Autism spectrum disorders detection via transfer learning with gorilla troops optimizer framework</t>
        </is>
      </c>
      <c r="D116" s="4" t="inlineStr">
        <is>
          <t>Screening</t>
        </is>
      </c>
      <c r="E116" s="4" t="inlineStr">
        <is>
          <t>Deep Learning</t>
        </is>
      </c>
      <c r="F116" s="4" t="inlineStr">
        <is>
          <t>Image (subtype unresolved)</t>
        </is>
      </c>
      <c r="G116" s="4" t="inlineStr">
        <is>
          <t>CNN</t>
        </is>
      </c>
      <c r="H116" s="4" t="inlineStr">
        <is>
          <t>Classification (binary/multi-class; incl. ASD vs control)/ multi-class)</t>
        </is>
      </c>
      <c r="I116" s="4" t="inlineStr">
        <is>
          <t>Screening</t>
        </is>
      </c>
      <c r="J116" s="4" t="inlineStr">
        <is>
          <t>Deep Learning</t>
        </is>
      </c>
      <c r="K116" s="4" t="inlineStr">
        <is>
          <t>Imagen</t>
        </is>
      </c>
      <c r="L116" s="4" t="inlineStr">
        <is>
          <t>Etiqueta histórica conservada; no inferir subtipo desde el nombre</t>
        </is>
      </c>
      <c r="M116" s="4" t="inlineStr">
        <is>
          <t>Historical signals: title/abstract/notes; full-text completion not independently established</t>
        </is>
      </c>
      <c r="N116" s="4" t="n">
        <v>1</v>
      </c>
      <c r="O116" s="12" t="n"/>
      <c r="P116" s="41" t="n"/>
      <c r="Q116" s="4">
        <f>IF(COUNTIFS('ESTUDIOS'!$A$2:$A$455,$A116,'ESTUDIOS'!$I$2:$I$455,"")&gt;0,"",INDEX('ESTUDIOS'!$I$2:$I$455,MATCH($A116,'ESTUDIOS'!$A$2:$A$455,0)))</f>
        <v/>
      </c>
    </row>
    <row r="117" ht="60" customHeight="1">
      <c r="A117" s="4" t="inlineStr">
        <is>
          <t>125</t>
        </is>
      </c>
      <c r="B117" s="4" t="inlineStr">
        <is>
          <t>Historical</t>
        </is>
      </c>
      <c r="C117" s="4" t="inlineStr">
        <is>
          <t>Diagnosis of Autism Spectrum Disorders in Young Children Based on Resting-State Functional Magnetic Resonance Imaging Data Using Convolutional Neural Networks</t>
        </is>
      </c>
      <c r="D117" s="4" t="inlineStr">
        <is>
          <t>Diagnosis</t>
        </is>
      </c>
      <c r="E117" s="4" t="inlineStr">
        <is>
          <t>Deep Learning</t>
        </is>
      </c>
      <c r="F117" s="4" t="inlineStr">
        <is>
          <t>Image (subtype unresolved)</t>
        </is>
      </c>
      <c r="G117" s="4" t="inlineStr">
        <is>
          <t>CNN</t>
        </is>
      </c>
      <c r="H117" s="4" t="inlineStr">
        <is>
          <t>Classification (binary/multi-class; incl. ASD vs control)/ multi-class)</t>
        </is>
      </c>
      <c r="I117" s="4" t="inlineStr">
        <is>
          <t>Diagnosis</t>
        </is>
      </c>
      <c r="J117" s="4" t="inlineStr">
        <is>
          <t>Deep Learning</t>
        </is>
      </c>
      <c r="K117" s="4" t="inlineStr">
        <is>
          <t>Imagen</t>
        </is>
      </c>
      <c r="L117" s="4" t="inlineStr">
        <is>
          <t>Etiqueta histórica conservada; no inferir subtipo desde el nombre</t>
        </is>
      </c>
      <c r="M117" s="4" t="inlineStr">
        <is>
          <t>Historical signals: title/abstract/notes; full-text completion not independently established</t>
        </is>
      </c>
      <c r="N117" s="4" t="n">
        <v>1</v>
      </c>
      <c r="O117" s="12" t="n"/>
      <c r="P117" s="41" t="n"/>
      <c r="Q117" s="4">
        <f>IF(COUNTIFS('ESTUDIOS'!$A$2:$A$455,$A117,'ESTUDIOS'!$I$2:$I$455,"")&gt;0,"",INDEX('ESTUDIOS'!$I$2:$I$455,MATCH($A117,'ESTUDIOS'!$A$2:$A$455,0)))</f>
        <v/>
      </c>
    </row>
    <row r="118" ht="73" customHeight="1">
      <c r="A118" s="4" t="inlineStr">
        <is>
          <t>128</t>
        </is>
      </c>
      <c r="B118" s="4" t="inlineStr">
        <is>
          <t>Historical</t>
        </is>
      </c>
      <c r="C118" s="4" t="inlineStr">
        <is>
          <t>Improvement of attention-deficit/hyperactivity disorder symptoms in school-aged children, adolescents, and young adults with autism via a digital smartglasses-based socioemotional coaching aid: Short-term, uncontrolled pilot study</t>
        </is>
      </c>
      <c r="D118" s="4" t="inlineStr">
        <is>
          <t>Screening</t>
        </is>
      </c>
      <c r="E118" s="4" t="inlineStr">
        <is>
          <t>Deep Learning</t>
        </is>
      </c>
      <c r="F118" s="4" t="inlineStr">
        <is>
          <t>Image (subtype unresolved)</t>
        </is>
      </c>
      <c r="G118" s="4" t="n"/>
      <c r="H118" s="4" t="n"/>
      <c r="I118" s="4" t="inlineStr">
        <is>
          <t>screening</t>
        </is>
      </c>
      <c r="J118" s="4" t="inlineStr">
        <is>
          <t>Deep Learning</t>
        </is>
      </c>
      <c r="K118" s="4" t="inlineStr">
        <is>
          <t>Imagen</t>
        </is>
      </c>
      <c r="L118" s="4" t="inlineStr">
        <is>
          <t>Etiqueta histórica conservada; no inferir subtipo desde el nombre</t>
        </is>
      </c>
      <c r="M118" s="4" t="inlineStr">
        <is>
          <t>Historical signals: title/abstract/notes; full-text completion not independently established</t>
        </is>
      </c>
      <c r="N118" s="4" t="n">
        <v>1</v>
      </c>
      <c r="O118" s="12" t="n"/>
      <c r="P118" s="41" t="n"/>
      <c r="Q118" s="4">
        <f>IF(COUNTIFS('ESTUDIOS'!$A$2:$A$455,$A118,'ESTUDIOS'!$I$2:$I$455,"")&gt;0,"",INDEX('ESTUDIOS'!$I$2:$I$455,MATCH($A118,'ESTUDIOS'!$A$2:$A$455,0)))</f>
        <v/>
      </c>
    </row>
    <row r="119" ht="60" customHeight="1">
      <c r="A119" s="4" t="inlineStr">
        <is>
          <t>129</t>
        </is>
      </c>
      <c r="B119" s="4" t="inlineStr">
        <is>
          <t>Historical</t>
        </is>
      </c>
      <c r="C119" s="4" t="inlineStr">
        <is>
          <t>Investigating Diagnostic Data and Performance Implications in the Autism AI Dataset</t>
        </is>
      </c>
      <c r="D119" s="4" t="inlineStr">
        <is>
          <t>Screening</t>
        </is>
      </c>
      <c r="E119" s="4" t="inlineStr">
        <is>
          <t>Deep Learning</t>
        </is>
      </c>
      <c r="F119" s="4" t="inlineStr">
        <is>
          <t>Not specified</t>
        </is>
      </c>
      <c r="G119" s="4" t="inlineStr">
        <is>
          <t>Random Forest</t>
        </is>
      </c>
      <c r="H119" s="4" t="inlineStr">
        <is>
          <t>Classification (binary/multi-class; incl. ASD vs control)/ multi-class)</t>
        </is>
      </c>
      <c r="I119" s="4" t="inlineStr">
        <is>
          <t>Screening</t>
        </is>
      </c>
      <c r="J119" s="4" t="inlineStr">
        <is>
          <t>Deep Learning</t>
        </is>
      </c>
      <c r="K119" s="4" t="inlineStr">
        <is>
          <t>No especificado</t>
        </is>
      </c>
      <c r="L119" s="4" t="inlineStr">
        <is>
          <t>Sin asignación por falta de detalle</t>
        </is>
      </c>
      <c r="M119" s="4" t="inlineStr">
        <is>
          <t>Historical signals: title/abstract/notes; full-text completion not independently established</t>
        </is>
      </c>
      <c r="N119" s="4" t="n">
        <v>1</v>
      </c>
      <c r="O119" s="12" t="n"/>
      <c r="P119" s="41" t="n"/>
      <c r="Q119" s="4">
        <f>IF(COUNTIFS('ESTUDIOS'!$A$2:$A$455,$A119,'ESTUDIOS'!$I$2:$I$455,"")&gt;0,"",INDEX('ESTUDIOS'!$I$2:$I$455,MATCH($A119,'ESTUDIOS'!$A$2:$A$455,0)))</f>
        <v/>
      </c>
    </row>
    <row r="120" ht="47" customHeight="1">
      <c r="A120" s="4" t="inlineStr">
        <is>
          <t>130</t>
        </is>
      </c>
      <c r="B120" s="4" t="inlineStr">
        <is>
          <t>Historical</t>
        </is>
      </c>
      <c r="C120" s="4" t="inlineStr">
        <is>
          <t>Large-scale examination of early-age sex differences in neurotypical toddlers and those with autism spectrum disorder or other developmental conditions</t>
        </is>
      </c>
      <c r="D120" s="4" t="inlineStr">
        <is>
          <t>Diagnosis</t>
        </is>
      </c>
      <c r="E120" s="4" t="inlineStr">
        <is>
          <t>Deep Learning</t>
        </is>
      </c>
      <c r="F120" s="4" t="inlineStr">
        <is>
          <t>Text / NLP (legacy; verify input type)</t>
        </is>
      </c>
      <c r="G120" s="4" t="inlineStr">
        <is>
          <t>Clustering (k-means / GMM / ...)</t>
        </is>
      </c>
      <c r="H120" s="4" t="inlineStr">
        <is>
          <t>Clustering / subtyping</t>
        </is>
      </c>
      <c r="I120" s="4" t="inlineStr">
        <is>
          <t>Diagnosis</t>
        </is>
      </c>
      <c r="J120" s="4" t="inlineStr">
        <is>
          <t>Deep Learning</t>
        </is>
      </c>
      <c r="K120" s="4" t="inlineStr">
        <is>
          <t>Texto · NLP</t>
        </is>
      </c>
      <c r="L120" s="4" t="inlineStr">
        <is>
          <t>Etiqueta histórica conservada; no inferir subtipo desde el nombre</t>
        </is>
      </c>
      <c r="M120" s="4" t="inlineStr">
        <is>
          <t>Historical signals: title/abstract/notes; full-text completion not independently established</t>
        </is>
      </c>
      <c r="N120" s="4" t="n">
        <v>1</v>
      </c>
      <c r="O120" s="12" t="n"/>
      <c r="P120" s="41" t="n"/>
      <c r="Q120" s="4">
        <f>IF(COUNTIFS('ESTUDIOS'!$A$2:$A$455,$A120,'ESTUDIOS'!$I$2:$I$455,"")&gt;0,"",INDEX('ESTUDIOS'!$I$2:$I$455,MATCH($A120,'ESTUDIOS'!$A$2:$A$455,0)))</f>
        <v/>
      </c>
    </row>
    <row r="121" ht="47" customHeight="1">
      <c r="A121" s="4" t="inlineStr">
        <is>
          <t>131</t>
        </is>
      </c>
      <c r="B121" s="4" t="inlineStr">
        <is>
          <t>Historical</t>
        </is>
      </c>
      <c r="C121" s="4" t="inlineStr">
        <is>
          <t>Online concerns of parents suspecting autism spectrum disorder in their child: Content analysis of signs and automated prediction of risk</t>
        </is>
      </c>
      <c r="D121" s="4" t="inlineStr">
        <is>
          <t>Prescreening</t>
        </is>
      </c>
      <c r="E121" s="4" t="inlineStr">
        <is>
          <t>Machine Learning</t>
        </is>
      </c>
      <c r="F121" s="4" t="inlineStr">
        <is>
          <t>Text / NLP (legacy; verify input type)</t>
        </is>
      </c>
      <c r="G121" s="4" t="inlineStr">
        <is>
          <t>Decision Tree</t>
        </is>
      </c>
      <c r="H121" s="4" t="inlineStr">
        <is>
          <t>Classification (ASD vs control / multi-class)</t>
        </is>
      </c>
      <c r="I121" s="4" t="inlineStr">
        <is>
          <t>Prescreening</t>
        </is>
      </c>
      <c r="J121" s="4" t="inlineStr">
        <is>
          <t>Machine Learning</t>
        </is>
      </c>
      <c r="K121" s="4" t="inlineStr">
        <is>
          <t>Texto · NLP</t>
        </is>
      </c>
      <c r="L121" s="4" t="inlineStr">
        <is>
          <t>Etiqueta histórica conservada; no inferir subtipo desde el nombre</t>
        </is>
      </c>
      <c r="M121" s="4" t="inlineStr">
        <is>
          <t>Historical signals: title/abstract/notes; full-text completion not independently established</t>
        </is>
      </c>
      <c r="N121" s="4" t="n">
        <v>1</v>
      </c>
      <c r="O121" s="12" t="n"/>
      <c r="P121" s="41" t="n"/>
      <c r="Q121" s="4">
        <f>IF(COUNTIFS('ESTUDIOS'!$A$2:$A$455,$A121,'ESTUDIOS'!$I$2:$I$455,"")&gt;0,"",INDEX('ESTUDIOS'!$I$2:$I$455,MATCH($A121,'ESTUDIOS'!$A$2:$A$455,0)))</f>
        <v/>
      </c>
    </row>
    <row r="122" ht="60" customHeight="1">
      <c r="A122" s="4" t="inlineStr">
        <is>
          <t>132</t>
        </is>
      </c>
      <c r="B122" s="4" t="inlineStr">
        <is>
          <t>Historical</t>
        </is>
      </c>
      <c r="C122" s="4" t="inlineStr">
        <is>
          <t>Use of machine learning to improve autism screening and diagnostic instruments: Effectiveness, efficiency, and multi‐instrument fusion</t>
        </is>
      </c>
      <c r="D122" s="4" t="inlineStr">
        <is>
          <t>Screening</t>
        </is>
      </c>
      <c r="E122" s="4" t="inlineStr">
        <is>
          <t>Machine Learning</t>
        </is>
      </c>
      <c r="F122" s="4" t="inlineStr">
        <is>
          <t>Text / NLP (legacy; verify input type)</t>
        </is>
      </c>
      <c r="G122" s="4" t="inlineStr">
        <is>
          <t>SVM</t>
        </is>
      </c>
      <c r="H122" s="4" t="inlineStr">
        <is>
          <t>Classification (binary/multi-class; incl. ASD vs control)/ multi-class)</t>
        </is>
      </c>
      <c r="I122" s="4" t="inlineStr">
        <is>
          <t>Screening</t>
        </is>
      </c>
      <c r="J122" s="4" t="inlineStr">
        <is>
          <t>Machine Learning</t>
        </is>
      </c>
      <c r="K122" s="4" t="inlineStr">
        <is>
          <t>Texto · NLP</t>
        </is>
      </c>
      <c r="L122" s="4" t="inlineStr">
        <is>
          <t>Etiqueta histórica conservada; no inferir subtipo desde el nombre</t>
        </is>
      </c>
      <c r="M122" s="4" t="inlineStr">
        <is>
          <t>Historical signals: title/abstract/notes; full-text completion not independently established</t>
        </is>
      </c>
      <c r="N122" s="4" t="n">
        <v>1</v>
      </c>
      <c r="O122" s="12" t="n"/>
      <c r="P122" s="41" t="n"/>
      <c r="Q122" s="4">
        <f>IF(COUNTIFS('ESTUDIOS'!$A$2:$A$455,$A122,'ESTUDIOS'!$I$2:$I$455,"")&gt;0,"",INDEX('ESTUDIOS'!$I$2:$I$455,MATCH($A122,'ESTUDIOS'!$A$2:$A$455,0)))</f>
        <v/>
      </c>
    </row>
    <row r="123" ht="60" customHeight="1">
      <c r="A123" s="4" t="inlineStr">
        <is>
          <t>133</t>
        </is>
      </c>
      <c r="B123" s="4" t="inlineStr">
        <is>
          <t>Historical</t>
        </is>
      </c>
      <c r="C123" s="4" t="inlineStr">
        <is>
          <t>A data driven machine learning approach to differentiate between autism spectrum disorder and attention-deficit/hyperactivity disorder based on the best-practice diagnostic instruments for autism</t>
        </is>
      </c>
      <c r="D123" s="4" t="inlineStr">
        <is>
          <t>Diagnosis</t>
        </is>
      </c>
      <c r="E123" s="4" t="inlineStr">
        <is>
          <t>Machine Learning</t>
        </is>
      </c>
      <c r="F123" s="4" t="inlineStr">
        <is>
          <t>Not specified</t>
        </is>
      </c>
      <c r="G123" s="4" t="inlineStr">
        <is>
          <t>SVM</t>
        </is>
      </c>
      <c r="H123" s="4" t="inlineStr">
        <is>
          <t>Classification (ASD vs control / multi-class)</t>
        </is>
      </c>
      <c r="I123" s="4" t="inlineStr">
        <is>
          <t>Diagnosis</t>
        </is>
      </c>
      <c r="J123" s="4" t="inlineStr">
        <is>
          <t>Machine Learning</t>
        </is>
      </c>
      <c r="K123" s="4" t="inlineStr">
        <is>
          <t>No especificado</t>
        </is>
      </c>
      <c r="L123" s="4" t="inlineStr">
        <is>
          <t>Sin asignación por falta de detalle</t>
        </is>
      </c>
      <c r="M123" s="4" t="inlineStr">
        <is>
          <t>Historical signals: title/abstract/notes; full-text completion not independently established</t>
        </is>
      </c>
      <c r="N123" s="4" t="n">
        <v>1</v>
      </c>
      <c r="O123" s="12" t="n"/>
      <c r="P123" s="41" t="n"/>
      <c r="Q123" s="4">
        <f>IF(COUNTIFS('ESTUDIOS'!$A$2:$A$455,$A123,'ESTUDIOS'!$I$2:$I$455,"")&gt;0,"",INDEX('ESTUDIOS'!$I$2:$I$455,MATCH($A123,'ESTUDIOS'!$A$2:$A$455,0)))</f>
        <v/>
      </c>
    </row>
    <row r="124" ht="47" customHeight="1">
      <c r="A124" s="4" t="inlineStr">
        <is>
          <t>134</t>
        </is>
      </c>
      <c r="B124" s="4" t="inlineStr">
        <is>
          <t>Historical</t>
        </is>
      </c>
      <c r="C124" s="4" t="inlineStr">
        <is>
          <t>A deep learning predictive classifier for autism screening and diagnosis</t>
        </is>
      </c>
      <c r="D124" s="4" t="inlineStr">
        <is>
          <t>Screening</t>
        </is>
      </c>
      <c r="E124" s="4" t="inlineStr">
        <is>
          <t>Deep Learning</t>
        </is>
      </c>
      <c r="F124" s="4" t="inlineStr">
        <is>
          <t>Not specified</t>
        </is>
      </c>
      <c r="G124" s="4" t="inlineStr">
        <is>
          <t>MLP</t>
        </is>
      </c>
      <c r="H124" s="4" t="inlineStr">
        <is>
          <t>Classification (ASD vs control / multi-class)</t>
        </is>
      </c>
      <c r="I124" s="4" t="inlineStr">
        <is>
          <t>Screening</t>
        </is>
      </c>
      <c r="J124" s="4" t="inlineStr">
        <is>
          <t>Deep Learning</t>
        </is>
      </c>
      <c r="K124" s="4" t="inlineStr">
        <is>
          <t>No especificado</t>
        </is>
      </c>
      <c r="L124" s="4" t="inlineStr">
        <is>
          <t>Sin asignación por falta de detalle</t>
        </is>
      </c>
      <c r="M124" s="4" t="inlineStr">
        <is>
          <t>Historical signals: title/abstract/notes; full-text completion not independently established</t>
        </is>
      </c>
      <c r="N124" s="4" t="n">
        <v>1</v>
      </c>
      <c r="O124" s="12" t="n"/>
      <c r="P124" s="41" t="n"/>
      <c r="Q124" s="4">
        <f>IF(COUNTIFS('ESTUDIOS'!$A$2:$A$455,$A124,'ESTUDIOS'!$I$2:$I$455,"")&gt;0,"",INDEX('ESTUDIOS'!$I$2:$I$455,MATCH($A124,'ESTUDIOS'!$A$2:$A$455,0)))</f>
        <v/>
      </c>
    </row>
    <row r="125" ht="47" customHeight="1">
      <c r="A125" s="4" t="inlineStr">
        <is>
          <t>135</t>
        </is>
      </c>
      <c r="B125" s="4" t="inlineStr">
        <is>
          <t>Historical</t>
        </is>
      </c>
      <c r="C125" s="4" t="inlineStr">
        <is>
          <t>A Deep Neural Network-Based Model for Screening Autism Spectrum Disorder Using the Quantitative Checklist for Autism in Toddlers (QCHAT)</t>
        </is>
      </c>
      <c r="D125" s="4" t="inlineStr">
        <is>
          <t>Screening</t>
        </is>
      </c>
      <c r="E125" s="4" t="inlineStr">
        <is>
          <t>Deep Learning</t>
        </is>
      </c>
      <c r="F125" s="4" t="inlineStr">
        <is>
          <t>Audio / voice</t>
        </is>
      </c>
      <c r="G125" s="4" t="inlineStr">
        <is>
          <t>MLP</t>
        </is>
      </c>
      <c r="H125" s="4" t="inlineStr">
        <is>
          <t>Classification (ASD vs control / multi-class)</t>
        </is>
      </c>
      <c r="I125" s="4" t="inlineStr">
        <is>
          <t>Screening</t>
        </is>
      </c>
      <c r="J125" s="4" t="inlineStr">
        <is>
          <t>Deep Learning</t>
        </is>
      </c>
      <c r="K125" s="4" t="inlineStr">
        <is>
          <t>Audio · Voz</t>
        </is>
      </c>
      <c r="L125" s="4" t="inlineStr">
        <is>
          <t>Etiqueta histórica conservada; no inferir subtipo desde el nombre</t>
        </is>
      </c>
      <c r="M125" s="4" t="inlineStr">
        <is>
          <t>Historical signals: title/abstract/notes; full-text completion not independently established</t>
        </is>
      </c>
      <c r="N125" s="4" t="n">
        <v>0</v>
      </c>
      <c r="O125" s="12" t="n"/>
      <c r="P125" s="41" t="n"/>
      <c r="Q125" s="4">
        <f>IF(COUNTIFS('ESTUDIOS'!$A$2:$A$455,$A125,'ESTUDIOS'!$I$2:$I$455,"")&gt;0,"",INDEX('ESTUDIOS'!$I$2:$I$455,MATCH($A125,'ESTUDIOS'!$A$2:$A$455,0)))</f>
        <v/>
      </c>
    </row>
    <row r="126" ht="60" customHeight="1">
      <c r="A126" s="4" t="inlineStr">
        <is>
          <t>136</t>
        </is>
      </c>
      <c r="B126" s="4" t="inlineStr">
        <is>
          <t>Historical</t>
        </is>
      </c>
      <c r="C126" s="4" t="inlineStr">
        <is>
          <t>A semi-supervised autoencoder for autism disease diagnosis</t>
        </is>
      </c>
      <c r="D126" s="4" t="inlineStr">
        <is>
          <t>Diagnosis</t>
        </is>
      </c>
      <c r="E126" s="4" t="inlineStr">
        <is>
          <t>Deep Learning</t>
        </is>
      </c>
      <c r="F126" s="4" t="inlineStr">
        <is>
          <t>Physiological signals</t>
        </is>
      </c>
      <c r="G126" s="4" t="inlineStr">
        <is>
          <t>Autoencoder</t>
        </is>
      </c>
      <c r="H126" s="4" t="inlineStr">
        <is>
          <t>Classification (binary/multi-class; incl. ASD vs control)/ multi-class)</t>
        </is>
      </c>
      <c r="I126" s="4" t="inlineStr">
        <is>
          <t>diagnosis</t>
        </is>
      </c>
      <c r="J126" s="4" t="inlineStr">
        <is>
          <t>Deep Learning</t>
        </is>
      </c>
      <c r="K126" s="4" t="inlineStr">
        <is>
          <t>Señales fisiológicas</t>
        </is>
      </c>
      <c r="L126" s="4" t="inlineStr">
        <is>
          <t>Etiqueta histórica conservada; no inferir subtipo desde el nombre</t>
        </is>
      </c>
      <c r="M126" s="4" t="inlineStr">
        <is>
          <t>Historical signals: title/abstract/notes; full-text completion not independently established</t>
        </is>
      </c>
      <c r="N126" s="4" t="n">
        <v>0</v>
      </c>
      <c r="O126" s="12" t="n"/>
      <c r="P126" s="41" t="n"/>
      <c r="Q126" s="4">
        <f>IF(COUNTIFS('ESTUDIOS'!$A$2:$A$455,$A126,'ESTUDIOS'!$I$2:$I$455,"")&gt;0,"",INDEX('ESTUDIOS'!$I$2:$I$455,MATCH($A126,'ESTUDIOS'!$A$2:$A$455,0)))</f>
        <v/>
      </c>
    </row>
    <row r="127" ht="47" customHeight="1">
      <c r="A127" s="4" t="inlineStr">
        <is>
          <t>137</t>
        </is>
      </c>
      <c r="B127" s="4" t="inlineStr">
        <is>
          <t>Historical</t>
        </is>
      </c>
      <c r="C127" s="4" t="inlineStr">
        <is>
          <t>Applying machine learning on home videos for remote autism diagnosis: Further study and analysis</t>
        </is>
      </c>
      <c r="D127" s="4" t="inlineStr">
        <is>
          <t>Screening</t>
        </is>
      </c>
      <c r="E127" s="4" t="inlineStr">
        <is>
          <t>Machine Learning</t>
        </is>
      </c>
      <c r="F127" s="4" t="inlineStr">
        <is>
          <t>Image (subtype unresolved)</t>
        </is>
      </c>
      <c r="G127" s="4" t="inlineStr">
        <is>
          <t>SVM</t>
        </is>
      </c>
      <c r="H127" s="4" t="inlineStr">
        <is>
          <t>Classification (ASD vs control / multi-class)</t>
        </is>
      </c>
      <c r="I127" s="4" t="inlineStr">
        <is>
          <t>Screening</t>
        </is>
      </c>
      <c r="J127" s="4" t="inlineStr">
        <is>
          <t>Machine Learning</t>
        </is>
      </c>
      <c r="K127" s="4" t="inlineStr">
        <is>
          <t>Imagen</t>
        </is>
      </c>
      <c r="L127" s="4" t="inlineStr">
        <is>
          <t>Etiqueta histórica conservada; no inferir subtipo desde el nombre</t>
        </is>
      </c>
      <c r="M127" s="4" t="inlineStr">
        <is>
          <t>Historical signals: title/abstract/notes; full-text completion not independently established</t>
        </is>
      </c>
      <c r="N127" s="4" t="n">
        <v>1</v>
      </c>
      <c r="O127" s="12" t="n"/>
      <c r="P127" s="41" t="n"/>
      <c r="Q127" s="4">
        <f>IF(COUNTIFS('ESTUDIOS'!$A$2:$A$455,$A127,'ESTUDIOS'!$I$2:$I$455,"")&gt;0,"",INDEX('ESTUDIOS'!$I$2:$I$455,MATCH($A127,'ESTUDIOS'!$A$2:$A$455,0)))</f>
        <v/>
      </c>
    </row>
    <row r="128" ht="47" customHeight="1">
      <c r="A128" s="4" t="inlineStr">
        <is>
          <t>138</t>
        </is>
      </c>
      <c r="B128" s="4" t="inlineStr">
        <is>
          <t>Historical</t>
        </is>
      </c>
      <c r="C128" s="4" t="inlineStr">
        <is>
          <t>ASD-SWNet: a novel shared-weight feature extraction and classification network for autism spectrum disorder diagnosis</t>
        </is>
      </c>
      <c r="D128" s="4" t="inlineStr">
        <is>
          <t>Diagnosis</t>
        </is>
      </c>
      <c r="E128" s="4" t="inlineStr">
        <is>
          <t>Not specified</t>
        </is>
      </c>
      <c r="F128" s="4" t="inlineStr">
        <is>
          <t>Not specified</t>
        </is>
      </c>
      <c r="G128" s="4" t="inlineStr">
        <is>
          <t>CNN</t>
        </is>
      </c>
      <c r="H128" s="4" t="inlineStr">
        <is>
          <t>Classification (ASD vs control / multi-class)</t>
        </is>
      </c>
      <c r="I128" s="4" t="inlineStr">
        <is>
          <t>Diagnosis</t>
        </is>
      </c>
      <c r="J128" s="4" t="inlineStr">
        <is>
          <t>No especificado</t>
        </is>
      </c>
      <c r="K128" s="4" t="inlineStr">
        <is>
          <t>No especificado</t>
        </is>
      </c>
      <c r="L128" s="4" t="inlineStr">
        <is>
          <t>Sin asignación por falta de detalle</t>
        </is>
      </c>
      <c r="M128" s="4" t="inlineStr">
        <is>
          <t>Historical signals: title/abstract/notes; full-text completion not independently established</t>
        </is>
      </c>
      <c r="N128" s="4" t="n">
        <v>1</v>
      </c>
      <c r="O128" s="12" t="n"/>
      <c r="P128" s="41" t="n"/>
      <c r="Q128" s="4">
        <f>IF(COUNTIFS('ESTUDIOS'!$A$2:$A$455,$A128,'ESTUDIOS'!$I$2:$I$455,"")&gt;0,"",INDEX('ESTUDIOS'!$I$2:$I$455,MATCH($A128,'ESTUDIOS'!$A$2:$A$455,0)))</f>
        <v/>
      </c>
    </row>
    <row r="129" ht="60" customHeight="1">
      <c r="A129" s="4" t="inlineStr">
        <is>
          <t>140</t>
        </is>
      </c>
      <c r="B129" s="4" t="inlineStr">
        <is>
          <t>Historical</t>
        </is>
      </c>
      <c r="C129" s="4" t="inlineStr">
        <is>
          <t>Autism spectrum disorder diagnosis based on deep unrolling-based spatial constraint representation.</t>
        </is>
      </c>
      <c r="D129" s="4" t="inlineStr">
        <is>
          <t>Diagnosis</t>
        </is>
      </c>
      <c r="E129" s="4" t="inlineStr">
        <is>
          <t>Deep Learning</t>
        </is>
      </c>
      <c r="F129" s="4" t="inlineStr">
        <is>
          <t>Image (subtype unresolved)</t>
        </is>
      </c>
      <c r="G129" s="4" t="inlineStr">
        <is>
          <t>CNN</t>
        </is>
      </c>
      <c r="H129" s="4" t="inlineStr">
        <is>
          <t>Classification (binary/multi-class; incl. ASD vs control)/ multi-class)</t>
        </is>
      </c>
      <c r="I129" s="4" t="inlineStr">
        <is>
          <t>Diagnosis</t>
        </is>
      </c>
      <c r="J129" s="4" t="inlineStr">
        <is>
          <t>Deep Learning</t>
        </is>
      </c>
      <c r="K129" s="4" t="inlineStr">
        <is>
          <t>Imagen</t>
        </is>
      </c>
      <c r="L129" s="4" t="inlineStr">
        <is>
          <t>Etiqueta histórica conservada; no inferir subtipo desde el nombre</t>
        </is>
      </c>
      <c r="M129" s="4" t="inlineStr">
        <is>
          <t>Historical signals: title/abstract/notes; full-text completion not independently established</t>
        </is>
      </c>
      <c r="N129" s="4" t="n">
        <v>1</v>
      </c>
      <c r="O129" s="12" t="n"/>
      <c r="P129" s="41" t="n"/>
      <c r="Q129" s="4">
        <f>IF(COUNTIFS('ESTUDIOS'!$A$2:$A$455,$A129,'ESTUDIOS'!$I$2:$I$455,"")&gt;0,"",INDEX('ESTUDIOS'!$I$2:$I$455,MATCH($A129,'ESTUDIOS'!$A$2:$A$455,0)))</f>
        <v/>
      </c>
    </row>
    <row r="130" ht="60" customHeight="1">
      <c r="A130" s="4" t="inlineStr">
        <is>
          <t>141</t>
        </is>
      </c>
      <c r="B130" s="4" t="inlineStr">
        <is>
          <t>Historical</t>
        </is>
      </c>
      <c r="C130" s="4" t="inlineStr">
        <is>
          <t>Automatic Cry Analysis: Deep Learning for Screening of Autism Spectrum Disorder in Early Childhood</t>
        </is>
      </c>
      <c r="D130" s="4" t="inlineStr">
        <is>
          <t>Prescreening</t>
        </is>
      </c>
      <c r="E130" s="4" t="inlineStr">
        <is>
          <t>Deep Learning</t>
        </is>
      </c>
      <c r="F130" s="4" t="inlineStr">
        <is>
          <t>Audio / voice</t>
        </is>
      </c>
      <c r="G130" s="4" t="inlineStr">
        <is>
          <t>Not clear</t>
        </is>
      </c>
      <c r="H130" s="4" t="inlineStr">
        <is>
          <t>Classification (binary/multi-class; incl. ASD vs control)/ multi-class)</t>
        </is>
      </c>
      <c r="I130" s="4" t="inlineStr">
        <is>
          <t>Prescreening</t>
        </is>
      </c>
      <c r="J130" s="4" t="inlineStr">
        <is>
          <t>Deep Learning</t>
        </is>
      </c>
      <c r="K130" s="4" t="inlineStr">
        <is>
          <t>Audio · Voz</t>
        </is>
      </c>
      <c r="L130" s="4" t="inlineStr">
        <is>
          <t>Etiqueta histórica conservada; no inferir subtipo desde el nombre</t>
        </is>
      </c>
      <c r="M130" s="4" t="inlineStr">
        <is>
          <t>Historical signals: title/abstract/notes; full-text completion not independently established</t>
        </is>
      </c>
      <c r="N130" s="4" t="n">
        <v>0</v>
      </c>
      <c r="O130" s="12" t="n"/>
      <c r="P130" s="41" t="n"/>
      <c r="Q130" s="4">
        <f>IF(COUNTIFS('ESTUDIOS'!$A$2:$A$455,$A130,'ESTUDIOS'!$I$2:$I$455,"")&gt;0,"",INDEX('ESTUDIOS'!$I$2:$I$455,MATCH($A130,'ESTUDIOS'!$A$2:$A$455,0)))</f>
        <v/>
      </c>
    </row>
    <row r="131" ht="60" customHeight="1">
      <c r="A131" s="4" t="inlineStr">
        <is>
          <t>142</t>
        </is>
      </c>
      <c r="B131" s="4" t="inlineStr">
        <is>
          <t>Historical</t>
        </is>
      </c>
      <c r="C131" s="4" t="inlineStr">
        <is>
          <t>AV-FOS: Transformer-Based Audio-Visual Multimodal Interaction Style Recognition for Children With Autism Using the Revised Family Observation Schedule 3rd Edition (FOS-R-III)</t>
        </is>
      </c>
      <c r="D131" s="4" t="inlineStr">
        <is>
          <t>Monitoring/intervention</t>
        </is>
      </c>
      <c r="E131" s="4" t="inlineStr">
        <is>
          <t>Deep Learning</t>
        </is>
      </c>
      <c r="F131" s="4" t="inlineStr">
        <is>
          <t>Image (subtype unresolved)</t>
        </is>
      </c>
      <c r="G131" s="4" t="inlineStr">
        <is>
          <t>Transformer</t>
        </is>
      </c>
      <c r="H131" s="4" t="inlineStr">
        <is>
          <t>Classification (ASD vs control / multi-class)</t>
        </is>
      </c>
      <c r="I131" s="4" t="inlineStr">
        <is>
          <t>Monitoring/intervention</t>
        </is>
      </c>
      <c r="J131" s="4" t="inlineStr">
        <is>
          <t>Deep Learning</t>
        </is>
      </c>
      <c r="K131" s="4" t="inlineStr">
        <is>
          <t>Imagen</t>
        </is>
      </c>
      <c r="L131" s="4" t="inlineStr">
        <is>
          <t>Etiqueta histórica conservada; no inferir subtipo desde el nombre</t>
        </is>
      </c>
      <c r="M131" s="4" t="inlineStr">
        <is>
          <t>Historical signals: title/abstract/notes; full-text completion not independently established</t>
        </is>
      </c>
      <c r="N131" s="4" t="n">
        <v>1</v>
      </c>
      <c r="O131" s="12" t="n"/>
      <c r="P131" s="41" t="n"/>
      <c r="Q131" s="4">
        <f>IF(COUNTIFS('ESTUDIOS'!$A$2:$A$455,$A131,'ESTUDIOS'!$I$2:$I$455,"")&gt;0,"",INDEX('ESTUDIOS'!$I$2:$I$455,MATCH($A131,'ESTUDIOS'!$A$2:$A$455,0)))</f>
        <v/>
      </c>
    </row>
    <row r="132" ht="34" customHeight="1">
      <c r="A132" s="4" t="inlineStr">
        <is>
          <t>143</t>
        </is>
      </c>
      <c r="B132" s="4" t="inlineStr">
        <is>
          <t>Historical</t>
        </is>
      </c>
      <c r="C132" s="4" t="inlineStr">
        <is>
          <t>Biomarker prediction in autism spectrum disorder using a network-based approach</t>
        </is>
      </c>
      <c r="D132" s="4" t="inlineStr">
        <is>
          <t>Diagnosis</t>
        </is>
      </c>
      <c r="E132" s="4" t="inlineStr">
        <is>
          <t>Deep Learning</t>
        </is>
      </c>
      <c r="F132" s="4" t="inlineStr">
        <is>
          <t>Not specified</t>
        </is>
      </c>
      <c r="G132" s="4" t="inlineStr">
        <is>
          <t>Clustering (k-means / GMM / ...)</t>
        </is>
      </c>
      <c r="H132" s="4" t="inlineStr">
        <is>
          <t>Other / Not clear</t>
        </is>
      </c>
      <c r="I132" s="4" t="inlineStr">
        <is>
          <t>Diagnosis</t>
        </is>
      </c>
      <c r="J132" s="4" t="inlineStr">
        <is>
          <t>Deep Learning</t>
        </is>
      </c>
      <c r="K132" s="4" t="inlineStr">
        <is>
          <t>No especificado</t>
        </is>
      </c>
      <c r="L132" s="4" t="inlineStr">
        <is>
          <t>Sin asignación por falta de detalle</t>
        </is>
      </c>
      <c r="M132" s="4" t="inlineStr">
        <is>
          <t>Historical signals: title/abstract/notes; full-text completion not independently established</t>
        </is>
      </c>
      <c r="N132" s="4" t="n">
        <v>1</v>
      </c>
      <c r="O132" s="12" t="n"/>
      <c r="P132" s="41" t="n"/>
      <c r="Q132" s="4">
        <f>IF(COUNTIFS('ESTUDIOS'!$A$2:$A$455,$A132,'ESTUDIOS'!$I$2:$I$455,"")&gt;0,"",INDEX('ESTUDIOS'!$I$2:$I$455,MATCH($A132,'ESTUDIOS'!$A$2:$A$455,0)))</f>
        <v/>
      </c>
    </row>
    <row r="133" ht="47" customHeight="1">
      <c r="A133" s="4" t="inlineStr">
        <is>
          <t>144</t>
        </is>
      </c>
      <c r="B133" s="4" t="inlineStr">
        <is>
          <t>Historical</t>
        </is>
      </c>
      <c r="C133" s="4" t="inlineStr">
        <is>
          <t>Classifying autism in a clinical population based on motion synchrony: a proof-of-concept study using real-life diagnostic interviews</t>
        </is>
      </c>
      <c r="D133" s="4" t="inlineStr">
        <is>
          <t>Diagnosis</t>
        </is>
      </c>
      <c r="E133" s="4" t="inlineStr">
        <is>
          <t>Machine Learning</t>
        </is>
      </c>
      <c r="F133" s="4" t="inlineStr">
        <is>
          <t>Image (subtype unresolved)</t>
        </is>
      </c>
      <c r="G133" s="4" t="inlineStr">
        <is>
          <t>SVM</t>
        </is>
      </c>
      <c r="H133" s="4" t="inlineStr">
        <is>
          <t>Classification (ASD vs control / multi-class)</t>
        </is>
      </c>
      <c r="I133" s="4" t="inlineStr">
        <is>
          <t>Diagnosis</t>
        </is>
      </c>
      <c r="J133" s="4" t="inlineStr">
        <is>
          <t>Machine Learning</t>
        </is>
      </c>
      <c r="K133" s="4" t="inlineStr">
        <is>
          <t>Imagen</t>
        </is>
      </c>
      <c r="L133" s="4" t="inlineStr">
        <is>
          <t>Etiqueta histórica conservada; no inferir subtipo desde el nombre</t>
        </is>
      </c>
      <c r="M133" s="4" t="inlineStr">
        <is>
          <t>Historical signals: title/abstract/notes; full-text completion not independently established</t>
        </is>
      </c>
      <c r="N133" s="4" t="n">
        <v>1</v>
      </c>
      <c r="O133" s="12" t="n"/>
      <c r="P133" s="41" t="n"/>
      <c r="Q133" s="4">
        <f>IF(COUNTIFS('ESTUDIOS'!$A$2:$A$455,$A133,'ESTUDIOS'!$I$2:$I$455,"")&gt;0,"",INDEX('ESTUDIOS'!$I$2:$I$455,MATCH($A133,'ESTUDIOS'!$A$2:$A$455,0)))</f>
        <v/>
      </c>
    </row>
    <row r="134" ht="47" customHeight="1">
      <c r="A134" s="4" t="inlineStr">
        <is>
          <t>145</t>
        </is>
      </c>
      <c r="B134" s="4" t="inlineStr">
        <is>
          <t>Historical</t>
        </is>
      </c>
      <c r="C134" s="4" t="inlineStr">
        <is>
          <t>Clinical Evaluation of a Novel and Mobile Autism Risk Assessment</t>
        </is>
      </c>
      <c r="D134" s="4" t="inlineStr">
        <is>
          <t>Screening</t>
        </is>
      </c>
      <c r="E134" s="4" t="inlineStr">
        <is>
          <t>Deep Learning</t>
        </is>
      </c>
      <c r="F134" s="4" t="inlineStr">
        <is>
          <t>Not specified</t>
        </is>
      </c>
      <c r="G134" s="4" t="inlineStr">
        <is>
          <t>Decision Tree</t>
        </is>
      </c>
      <c r="H134" s="4" t="inlineStr">
        <is>
          <t>Classification (ASD vs control / multi-class)</t>
        </is>
      </c>
      <c r="I134" s="4" t="inlineStr">
        <is>
          <t>screening</t>
        </is>
      </c>
      <c r="J134" s="4" t="inlineStr">
        <is>
          <t>Deep Learning</t>
        </is>
      </c>
      <c r="K134" s="4" t="inlineStr">
        <is>
          <t>No especificado</t>
        </is>
      </c>
      <c r="L134" s="4" t="inlineStr">
        <is>
          <t>Sin asignación por falta de detalle</t>
        </is>
      </c>
      <c r="M134" s="4" t="inlineStr">
        <is>
          <t>Historical signals: title/abstract/notes; full-text completion not independently established</t>
        </is>
      </c>
      <c r="N134" s="4" t="n">
        <v>1</v>
      </c>
      <c r="O134" s="12" t="n"/>
      <c r="P134" s="41" t="n"/>
      <c r="Q134" s="4">
        <f>IF(COUNTIFS('ESTUDIOS'!$A$2:$A$455,$A134,'ESTUDIOS'!$I$2:$I$455,"")&gt;0,"",INDEX('ESTUDIOS'!$I$2:$I$455,MATCH($A134,'ESTUDIOS'!$A$2:$A$455,0)))</f>
        <v/>
      </c>
    </row>
    <row r="135" ht="47" customHeight="1">
      <c r="A135" s="4" t="inlineStr">
        <is>
          <t>146</t>
        </is>
      </c>
      <c r="B135" s="4" t="inlineStr">
        <is>
          <t>Historical</t>
        </is>
      </c>
      <c r="C135" s="4" t="inlineStr">
        <is>
          <t>Comparison of classification algorithms for predicting autistic spectrum disorder using WEKA modeler</t>
        </is>
      </c>
      <c r="D135" s="4" t="inlineStr">
        <is>
          <t>Screening</t>
        </is>
      </c>
      <c r="E135" s="4" t="inlineStr">
        <is>
          <t>Hybrid</t>
        </is>
      </c>
      <c r="F135" s="4" t="inlineStr">
        <is>
          <t>Not specified</t>
        </is>
      </c>
      <c r="G135" s="4" t="inlineStr">
        <is>
          <t>SVM</t>
        </is>
      </c>
      <c r="H135" s="4" t="inlineStr">
        <is>
          <t>Classification (ASD vs control / multi-class)</t>
        </is>
      </c>
      <c r="I135" s="4" t="inlineStr">
        <is>
          <t>Screening</t>
        </is>
      </c>
      <c r="J135" s="4" t="inlineStr">
        <is>
          <t>Híbrido</t>
        </is>
      </c>
      <c r="K135" s="4" t="inlineStr">
        <is>
          <t>No especificado</t>
        </is>
      </c>
      <c r="L135" s="4" t="inlineStr">
        <is>
          <t>Sin asignación por falta de detalle</t>
        </is>
      </c>
      <c r="M135" s="4" t="inlineStr">
        <is>
          <t>Historical signals: title/abstract/notes; full-text completion not independently established</t>
        </is>
      </c>
      <c r="N135" s="4" t="n">
        <v>1</v>
      </c>
      <c r="O135" s="12" t="n"/>
      <c r="P135" s="41" t="n"/>
      <c r="Q135" s="4">
        <f>IF(COUNTIFS('ESTUDIOS'!$A$2:$A$455,$A135,'ESTUDIOS'!$I$2:$I$455,"")&gt;0,"",INDEX('ESTUDIOS'!$I$2:$I$455,MATCH($A135,'ESTUDIOS'!$A$2:$A$455,0)))</f>
        <v/>
      </c>
    </row>
    <row r="136" ht="47" customHeight="1">
      <c r="A136" s="4" t="inlineStr">
        <is>
          <t>147</t>
        </is>
      </c>
      <c r="B136" s="4" t="inlineStr">
        <is>
          <t>Historical</t>
        </is>
      </c>
      <c r="C136" s="4" t="inlineStr">
        <is>
          <t>DALNN: Dual Attention Learning Neural Network for Diagnosis of Autism Spectrum Disorders and Exploration of Lesion Brain Regions</t>
        </is>
      </c>
      <c r="D136" s="4" t="inlineStr">
        <is>
          <t>Diagnosis</t>
        </is>
      </c>
      <c r="E136" s="4" t="inlineStr">
        <is>
          <t>Deep Learning</t>
        </is>
      </c>
      <c r="F136" s="4" t="inlineStr">
        <is>
          <t>Multiple modalities (as coded)</t>
        </is>
      </c>
      <c r="G136" s="4" t="inlineStr">
        <is>
          <t>Other / Not clear</t>
        </is>
      </c>
      <c r="H136" s="4" t="inlineStr">
        <is>
          <t>Classification (ASD vs control / multi-class)</t>
        </is>
      </c>
      <c r="I136" s="4" t="inlineStr">
        <is>
          <t>Diagnosis</t>
        </is>
      </c>
      <c r="J136" s="4" t="inlineStr">
        <is>
          <t>Deep Learning</t>
        </is>
      </c>
      <c r="K136" s="4" t="inlineStr">
        <is>
          <t>Multimodal</t>
        </is>
      </c>
      <c r="L136" s="4" t="inlineStr">
        <is>
          <t>Etiqueta histórica conservada; no inferir subtipo desde el nombre</t>
        </is>
      </c>
      <c r="M136" s="4" t="inlineStr">
        <is>
          <t>Historical signals: title/abstract/notes; full-text completion not independently established</t>
        </is>
      </c>
      <c r="N136" s="4" t="n">
        <v>0</v>
      </c>
      <c r="O136" s="12" t="n"/>
      <c r="P136" s="41" t="n"/>
      <c r="Q136" s="4">
        <f>IF(COUNTIFS('ESTUDIOS'!$A$2:$A$455,$A136,'ESTUDIOS'!$I$2:$I$455,"")&gt;0,"",INDEX('ESTUDIOS'!$I$2:$I$455,MATCH($A136,'ESTUDIOS'!$A$2:$A$455,0)))</f>
        <v/>
      </c>
    </row>
    <row r="137" ht="60" customHeight="1">
      <c r="A137" s="4" t="inlineStr">
        <is>
          <t>148</t>
        </is>
      </c>
      <c r="B137" s="4" t="inlineStr">
        <is>
          <t>Historical</t>
        </is>
      </c>
      <c r="C137" s="4" t="inlineStr">
        <is>
          <t>Detecting Autism Spectrum Disorder and Attention Deficit Hyperactivity Disorder Using Multimodal Time-Frequency Analysis with Machine Learning Using the Electroretinogram from Two Flash Strengths</t>
        </is>
      </c>
      <c r="D137" s="4" t="inlineStr">
        <is>
          <t>Screening</t>
        </is>
      </c>
      <c r="E137" s="4" t="inlineStr">
        <is>
          <t>Deep Learning</t>
        </is>
      </c>
      <c r="F137" s="4" t="inlineStr">
        <is>
          <t>Physiological signals</t>
        </is>
      </c>
      <c r="G137" s="4" t="inlineStr">
        <is>
          <t>Not clear</t>
        </is>
      </c>
      <c r="H137" s="4" t="inlineStr">
        <is>
          <t>Classification (binary/multi-class; incl. ASD vs control)/ multi-class)</t>
        </is>
      </c>
      <c r="I137" s="4" t="inlineStr">
        <is>
          <t>Screening</t>
        </is>
      </c>
      <c r="J137" s="4" t="inlineStr">
        <is>
          <t>Deep Learning</t>
        </is>
      </c>
      <c r="K137" s="4" t="inlineStr">
        <is>
          <t>Señales fisiológicas</t>
        </is>
      </c>
      <c r="L137" s="4" t="inlineStr">
        <is>
          <t>Etiqueta histórica conservada; no inferir subtipo desde el nombre</t>
        </is>
      </c>
      <c r="M137" s="4" t="inlineStr">
        <is>
          <t>Historical signals: title/abstract/notes; full-text completion not independently established</t>
        </is>
      </c>
      <c r="N137" s="4" t="n">
        <v>0</v>
      </c>
      <c r="O137" s="12" t="n"/>
      <c r="P137" s="41" t="n"/>
      <c r="Q137" s="4">
        <f>IF(COUNTIFS('ESTUDIOS'!$A$2:$A$455,$A137,'ESTUDIOS'!$I$2:$I$455,"")&gt;0,"",INDEX('ESTUDIOS'!$I$2:$I$455,MATCH($A137,'ESTUDIOS'!$A$2:$A$455,0)))</f>
        <v/>
      </c>
    </row>
    <row r="138" ht="47" customHeight="1">
      <c r="A138" s="4" t="inlineStr">
        <is>
          <t>149</t>
        </is>
      </c>
      <c r="B138" s="4" t="inlineStr">
        <is>
          <t>Historical</t>
        </is>
      </c>
      <c r="C138" s="4" t="inlineStr">
        <is>
          <t>Diagnostic classification for human autism and obsessive-compulsive disorder based on machine learning from a primate genetic model</t>
        </is>
      </c>
      <c r="D138" s="4" t="inlineStr">
        <is>
          <t>Diagnosis</t>
        </is>
      </c>
      <c r="E138" s="4" t="inlineStr">
        <is>
          <t>Hybrid</t>
        </is>
      </c>
      <c r="F138" s="4" t="inlineStr">
        <is>
          <t>Multiple modalities (as coded)</t>
        </is>
      </c>
      <c r="G138" s="4" t="inlineStr">
        <is>
          <t>Other / Not clear</t>
        </is>
      </c>
      <c r="H138" s="4" t="inlineStr">
        <is>
          <t>Classification (ASD vs control / multi-class)</t>
        </is>
      </c>
      <c r="I138" s="4" t="inlineStr">
        <is>
          <t>Diagnosis</t>
        </is>
      </c>
      <c r="J138" s="4" t="inlineStr">
        <is>
          <t>Híbrido</t>
        </is>
      </c>
      <c r="K138" s="4" t="inlineStr">
        <is>
          <t>Multimodal</t>
        </is>
      </c>
      <c r="L138" s="4" t="inlineStr">
        <is>
          <t>Etiqueta histórica conservada; no inferir subtipo desde el nombre</t>
        </is>
      </c>
      <c r="M138" s="4" t="inlineStr">
        <is>
          <t>Historical signals: title/abstract/notes; full-text completion not independently established</t>
        </is>
      </c>
      <c r="N138" s="4" t="n">
        <v>0</v>
      </c>
      <c r="O138" s="12" t="n"/>
      <c r="P138" s="41" t="n"/>
      <c r="Q138" s="4">
        <f>IF(COUNTIFS('ESTUDIOS'!$A$2:$A$455,$A138,'ESTUDIOS'!$I$2:$I$455,"")&gt;0,"",INDEX('ESTUDIOS'!$I$2:$I$455,MATCH($A138,'ESTUDIOS'!$A$2:$A$455,0)))</f>
        <v/>
      </c>
    </row>
    <row r="139" ht="47" customHeight="1">
      <c r="A139" s="4" t="inlineStr">
        <is>
          <t>150</t>
        </is>
      </c>
      <c r="B139" s="4" t="inlineStr">
        <is>
          <t>Historical</t>
        </is>
      </c>
      <c r="C139" s="4" t="inlineStr">
        <is>
          <t>Diagnostic shifts in autism spectrum disorder can be linked to the fuzzy nature of the diagnostic boundary: a data-driven approach</t>
        </is>
      </c>
      <c r="D139" s="4" t="inlineStr">
        <is>
          <t>Diagnosis</t>
        </is>
      </c>
      <c r="E139" s="4" t="inlineStr">
        <is>
          <t>Deep Learning</t>
        </is>
      </c>
      <c r="F139" s="4" t="inlineStr">
        <is>
          <t>Physiological signals</t>
        </is>
      </c>
      <c r="G139" s="4" t="inlineStr">
        <is>
          <t>Other / Not clear</t>
        </is>
      </c>
      <c r="H139" s="4" t="inlineStr">
        <is>
          <t>Classification (ASD vs control / multi-class)</t>
        </is>
      </c>
      <c r="I139" s="4" t="inlineStr">
        <is>
          <t>Diagnosis</t>
        </is>
      </c>
      <c r="J139" s="4" t="inlineStr">
        <is>
          <t>Deep Learning</t>
        </is>
      </c>
      <c r="K139" s="4" t="inlineStr">
        <is>
          <t>Señales fisiológicas</t>
        </is>
      </c>
      <c r="L139" s="4" t="inlineStr">
        <is>
          <t>Etiqueta histórica conservada; no inferir subtipo desde el nombre</t>
        </is>
      </c>
      <c r="M139" s="4" t="inlineStr">
        <is>
          <t>Historical signals: title/abstract/notes; full-text completion not independently established</t>
        </is>
      </c>
      <c r="N139" s="4" t="n">
        <v>0</v>
      </c>
      <c r="O139" s="12" t="n"/>
      <c r="P139" s="41" t="n"/>
      <c r="Q139" s="4">
        <f>IF(COUNTIFS('ESTUDIOS'!$A$2:$A$455,$A139,'ESTUDIOS'!$I$2:$I$455,"")&gt;0,"",INDEX('ESTUDIOS'!$I$2:$I$455,MATCH($A139,'ESTUDIOS'!$A$2:$A$455,0)))</f>
        <v/>
      </c>
    </row>
    <row r="140" ht="47" customHeight="1">
      <c r="A140" s="4" t="inlineStr">
        <is>
          <t>151</t>
        </is>
      </c>
      <c r="B140" s="4" t="inlineStr">
        <is>
          <t>Historical</t>
        </is>
      </c>
      <c r="C140" s="4" t="inlineStr">
        <is>
          <t>Early identification of autism spectrum disorder by multi-instrument fusion: A clinically applicable machine learning approach</t>
        </is>
      </c>
      <c r="D140" s="4" t="inlineStr">
        <is>
          <t>Diagnosis</t>
        </is>
      </c>
      <c r="E140" s="4" t="inlineStr">
        <is>
          <t>Hybrid</t>
        </is>
      </c>
      <c r="F140" s="4" t="inlineStr">
        <is>
          <t>Text / NLP (legacy; verify input type)</t>
        </is>
      </c>
      <c r="G140" s="4" t="inlineStr">
        <is>
          <t>XGBoost / GBDT</t>
        </is>
      </c>
      <c r="H140" s="4" t="inlineStr">
        <is>
          <t>Classification (ASD vs control / multi-class)</t>
        </is>
      </c>
      <c r="I140" s="4" t="inlineStr">
        <is>
          <t>Diagnosis</t>
        </is>
      </c>
      <c r="J140" s="4" t="inlineStr">
        <is>
          <t>Híbrido</t>
        </is>
      </c>
      <c r="K140" s="4" t="inlineStr">
        <is>
          <t>Texto · NLP</t>
        </is>
      </c>
      <c r="L140" s="4" t="inlineStr">
        <is>
          <t>Etiqueta histórica conservada; no inferir subtipo desde el nombre</t>
        </is>
      </c>
      <c r="M140" s="4" t="inlineStr">
        <is>
          <t>Historical signals: title/abstract/notes; full-text completion not independently established</t>
        </is>
      </c>
      <c r="N140" s="4" t="n">
        <v>1</v>
      </c>
      <c r="O140" s="12" t="n"/>
      <c r="P140" s="41" t="n"/>
      <c r="Q140" s="4">
        <f>IF(COUNTIFS('ESTUDIOS'!$A$2:$A$455,$A140,'ESTUDIOS'!$I$2:$I$455,"")&gt;0,"",INDEX('ESTUDIOS'!$I$2:$I$455,MATCH($A140,'ESTUDIOS'!$A$2:$A$455,0)))</f>
        <v/>
      </c>
    </row>
    <row r="141" ht="60" customHeight="1">
      <c r="A141" s="4" t="inlineStr">
        <is>
          <t>152</t>
        </is>
      </c>
      <c r="B141" s="4" t="inlineStr">
        <is>
          <t>Historical</t>
        </is>
      </c>
      <c r="C141" s="4" t="inlineStr">
        <is>
          <t>Early screening of autism spectrum disorder diagnoses of children using artificial intelligence</t>
        </is>
      </c>
      <c r="D141" s="4" t="inlineStr">
        <is>
          <t>Diagnosis</t>
        </is>
      </c>
      <c r="E141" s="4" t="inlineStr">
        <is>
          <t>Machine Learning</t>
        </is>
      </c>
      <c r="F141" s="4" t="inlineStr">
        <is>
          <t>Not specified</t>
        </is>
      </c>
      <c r="G141" s="4" t="inlineStr">
        <is>
          <t>SVM</t>
        </is>
      </c>
      <c r="H141" s="4" t="inlineStr">
        <is>
          <t>Classification (binary/multi-class; incl. ASD vs control)/ multi-class)</t>
        </is>
      </c>
      <c r="I141" s="4" t="inlineStr">
        <is>
          <t>diagnosis</t>
        </is>
      </c>
      <c r="J141" s="4" t="inlineStr">
        <is>
          <t>Machine Learning</t>
        </is>
      </c>
      <c r="K141" s="4" t="inlineStr">
        <is>
          <t>No especificado</t>
        </is>
      </c>
      <c r="L141" s="4" t="inlineStr">
        <is>
          <t>Sin asignación por falta de detalle</t>
        </is>
      </c>
      <c r="M141" s="4" t="inlineStr">
        <is>
          <t>Historical signals: title/abstract/notes; full-text completion not independently established</t>
        </is>
      </c>
      <c r="N141" s="4" t="n">
        <v>1</v>
      </c>
      <c r="O141" s="12" t="n"/>
      <c r="P141" s="41" t="n"/>
      <c r="Q141" s="4">
        <f>IF(COUNTIFS('ESTUDIOS'!$A$2:$A$455,$A141,'ESTUDIOS'!$I$2:$I$455,"")&gt;0,"",INDEX('ESTUDIOS'!$I$2:$I$455,MATCH($A141,'ESTUDIOS'!$A$2:$A$455,0)))</f>
        <v/>
      </c>
    </row>
    <row r="142" ht="60" customHeight="1">
      <c r="A142" s="4" t="inlineStr">
        <is>
          <t>153</t>
        </is>
      </c>
      <c r="B142" s="4" t="inlineStr">
        <is>
          <t>Historical</t>
        </is>
      </c>
      <c r="C142" s="4" t="inlineStr">
        <is>
          <t>Enhanced Special Needs Assessment: A Multimodal Approach for Autism Prediction</t>
        </is>
      </c>
      <c r="D142" s="4" t="inlineStr">
        <is>
          <t>Screening</t>
        </is>
      </c>
      <c r="E142" s="4" t="inlineStr">
        <is>
          <t>Deep Learning</t>
        </is>
      </c>
      <c r="F142" s="4" t="inlineStr">
        <is>
          <t>Not specified</t>
        </is>
      </c>
      <c r="G142" s="4" t="inlineStr">
        <is>
          <t>Not clear</t>
        </is>
      </c>
      <c r="H142" s="4" t="inlineStr">
        <is>
          <t>Classification (binary/multi-class; incl. ASD vs control)/ multi-class)</t>
        </is>
      </c>
      <c r="I142" s="4" t="inlineStr">
        <is>
          <t>Screening</t>
        </is>
      </c>
      <c r="J142" s="4" t="inlineStr">
        <is>
          <t>Deep Learning</t>
        </is>
      </c>
      <c r="K142" s="4" t="inlineStr">
        <is>
          <t>No especificado</t>
        </is>
      </c>
      <c r="L142" s="4" t="inlineStr">
        <is>
          <t>Sin asignación por falta de detalle</t>
        </is>
      </c>
      <c r="M142" s="4" t="inlineStr">
        <is>
          <t>Historical signals: title/abstract/notes; full-text completion not independently established</t>
        </is>
      </c>
      <c r="N142" s="4" t="n">
        <v>1</v>
      </c>
      <c r="O142" s="12" t="n"/>
      <c r="P142" s="41" t="n"/>
      <c r="Q142" s="4">
        <f>IF(COUNTIFS('ESTUDIOS'!$A$2:$A$455,$A142,'ESTUDIOS'!$I$2:$I$455,"")&gt;0,"",INDEX('ESTUDIOS'!$I$2:$I$455,MATCH($A142,'ESTUDIOS'!$A$2:$A$455,0)))</f>
        <v/>
      </c>
    </row>
    <row r="143" ht="60" customHeight="1">
      <c r="A143" s="4" t="inlineStr">
        <is>
          <t>154</t>
        </is>
      </c>
      <c r="B143" s="4" t="inlineStr">
        <is>
          <t>Historical</t>
        </is>
      </c>
      <c r="C143" s="4" t="inlineStr">
        <is>
          <t>Enhancing Early Diagnosis of Autism Spectrum Disorder in Children: A Comparative Analysis of Machine Learning Techniques</t>
        </is>
      </c>
      <c r="D143" s="4" t="inlineStr">
        <is>
          <t>Diagnosis</t>
        </is>
      </c>
      <c r="E143" s="4" t="inlineStr">
        <is>
          <t>Machine Learning</t>
        </is>
      </c>
      <c r="F143" s="4" t="inlineStr">
        <is>
          <t>Not specified</t>
        </is>
      </c>
      <c r="G143" s="4" t="inlineStr">
        <is>
          <t>Not clear</t>
        </is>
      </c>
      <c r="H143" s="4" t="inlineStr">
        <is>
          <t>Classification (binary/multi-class; incl. ASD vs control)/ multi-class)</t>
        </is>
      </c>
      <c r="I143" s="4" t="inlineStr">
        <is>
          <t>diagnosis</t>
        </is>
      </c>
      <c r="J143" s="4" t="inlineStr">
        <is>
          <t>Machine Learning</t>
        </is>
      </c>
      <c r="K143" s="4" t="inlineStr">
        <is>
          <t>No especificado</t>
        </is>
      </c>
      <c r="L143" s="4" t="inlineStr">
        <is>
          <t>Sin asignación por falta de detalle</t>
        </is>
      </c>
      <c r="M143" s="4" t="inlineStr">
        <is>
          <t>Historical signals: title/abstract/notes; full-text completion not independently established</t>
        </is>
      </c>
      <c r="N143" s="4" t="n">
        <v>1</v>
      </c>
      <c r="O143" s="12" t="n"/>
      <c r="P143" s="41" t="n"/>
      <c r="Q143" s="4">
        <f>IF(COUNTIFS('ESTUDIOS'!$A$2:$A$455,$A143,'ESTUDIOS'!$I$2:$I$455,"")&gt;0,"",INDEX('ESTUDIOS'!$I$2:$I$455,MATCH($A143,'ESTUDIOS'!$A$2:$A$455,0)))</f>
        <v/>
      </c>
    </row>
    <row r="144" ht="47" customHeight="1">
      <c r="A144" s="4" t="inlineStr">
        <is>
          <t>155</t>
        </is>
      </c>
      <c r="B144" s="4" t="inlineStr">
        <is>
          <t>Historical</t>
        </is>
      </c>
      <c r="C144" s="4" t="inlineStr">
        <is>
          <t>Evaluation of AI tools for healthcare networks at the cloud-edge interaction to diagnose autism in educational environments</t>
        </is>
      </c>
      <c r="D144" s="4" t="inlineStr">
        <is>
          <t>Screening</t>
        </is>
      </c>
      <c r="E144" s="4" t="inlineStr">
        <is>
          <t>Not specified</t>
        </is>
      </c>
      <c r="F144" s="4" t="inlineStr">
        <is>
          <t>Not specified</t>
        </is>
      </c>
      <c r="G144" s="4" t="inlineStr">
        <is>
          <t>CNN</t>
        </is>
      </c>
      <c r="H144" s="4" t="inlineStr">
        <is>
          <t>Classification (ASD vs control / multi-class)</t>
        </is>
      </c>
      <c r="I144" s="4" t="inlineStr">
        <is>
          <t>Screening</t>
        </is>
      </c>
      <c r="J144" s="4" t="inlineStr">
        <is>
          <t>No especificado</t>
        </is>
      </c>
      <c r="K144" s="4" t="inlineStr">
        <is>
          <t>No especificado</t>
        </is>
      </c>
      <c r="L144" s="4" t="inlineStr">
        <is>
          <t>Sin asignación por falta de detalle</t>
        </is>
      </c>
      <c r="M144" s="4" t="inlineStr">
        <is>
          <t>Historical signals: title/abstract/notes; full-text completion not independently established</t>
        </is>
      </c>
      <c r="N144" s="4" t="n">
        <v>1</v>
      </c>
      <c r="O144" s="12" t="n"/>
      <c r="P144" s="41" t="n"/>
      <c r="Q144" s="4">
        <f>IF(COUNTIFS('ESTUDIOS'!$A$2:$A$455,$A144,'ESTUDIOS'!$I$2:$I$455,"")&gt;0,"",INDEX('ESTUDIOS'!$I$2:$I$455,MATCH($A144,'ESTUDIOS'!$A$2:$A$455,0)))</f>
        <v/>
      </c>
    </row>
    <row r="145" ht="47" customHeight="1">
      <c r="A145" s="4" t="inlineStr">
        <is>
          <t>156</t>
        </is>
      </c>
      <c r="B145" s="4" t="inlineStr">
        <is>
          <t>Historical</t>
        </is>
      </c>
      <c r="C145" s="4" t="inlineStr">
        <is>
          <t>Exploring sMRI Biomarkers for Diagnosis of Autism Spectrum Disorders Based on Multi Class Activation Mapping Models</t>
        </is>
      </c>
      <c r="D145" s="4" t="inlineStr">
        <is>
          <t>Diagnosis</t>
        </is>
      </c>
      <c r="E145" s="4" t="inlineStr">
        <is>
          <t>Deep Learning</t>
        </is>
      </c>
      <c r="F145" s="4" t="inlineStr">
        <is>
          <t>Image (subtype unresolved)</t>
        </is>
      </c>
      <c r="G145" s="4" t="inlineStr">
        <is>
          <t>CNN</t>
        </is>
      </c>
      <c r="H145" s="4" t="inlineStr">
        <is>
          <t>Classification (ASD vs control / multi-class)</t>
        </is>
      </c>
      <c r="I145" s="4" t="inlineStr">
        <is>
          <t>Diagnosis</t>
        </is>
      </c>
      <c r="J145" s="4" t="inlineStr">
        <is>
          <t>Deep Learning</t>
        </is>
      </c>
      <c r="K145" s="4" t="inlineStr">
        <is>
          <t>Imagen</t>
        </is>
      </c>
      <c r="L145" s="4" t="inlineStr">
        <is>
          <t>Etiqueta histórica conservada; no inferir subtipo desde el nombre</t>
        </is>
      </c>
      <c r="M145" s="4" t="inlineStr">
        <is>
          <t>Historical signals: title/abstract/notes; full-text completion not independently established</t>
        </is>
      </c>
      <c r="N145" s="4" t="n">
        <v>1</v>
      </c>
      <c r="O145" s="12" t="n"/>
      <c r="P145" s="41" t="n"/>
      <c r="Q145" s="4">
        <f>IF(COUNTIFS('ESTUDIOS'!$A$2:$A$455,$A145,'ESTUDIOS'!$I$2:$I$455,"")&gt;0,"",INDEX('ESTUDIOS'!$I$2:$I$455,MATCH($A145,'ESTUDIOS'!$A$2:$A$455,0)))</f>
        <v/>
      </c>
    </row>
    <row r="146" ht="60" customHeight="1">
      <c r="A146" s="4" t="inlineStr">
        <is>
          <t>157</t>
        </is>
      </c>
      <c r="B146" s="4" t="inlineStr">
        <is>
          <t>Historical</t>
        </is>
      </c>
      <c r="C146" s="4" t="inlineStr">
        <is>
          <t>Functional connectivity classification of autism identifies highly predictive brain features but falls short of biomarker standards</t>
        </is>
      </c>
      <c r="D146" s="4" t="inlineStr">
        <is>
          <t>Diagnosis</t>
        </is>
      </c>
      <c r="E146" s="4" t="inlineStr">
        <is>
          <t>Deep Learning</t>
        </is>
      </c>
      <c r="F146" s="4" t="inlineStr">
        <is>
          <t>Physiological signals</t>
        </is>
      </c>
      <c r="G146" s="4" t="inlineStr">
        <is>
          <t>Logistic Regression</t>
        </is>
      </c>
      <c r="H146" s="4" t="inlineStr">
        <is>
          <t>Classification (binary/multi-class; incl. ASD vs control)/ multi-class)</t>
        </is>
      </c>
      <c r="I146" s="4" t="inlineStr">
        <is>
          <t>diagnosis</t>
        </is>
      </c>
      <c r="J146" s="4" t="inlineStr">
        <is>
          <t>Deep Learning</t>
        </is>
      </c>
      <c r="K146" s="4" t="inlineStr">
        <is>
          <t>Señales fisiológicas</t>
        </is>
      </c>
      <c r="L146" s="4" t="inlineStr">
        <is>
          <t>Etiqueta histórica conservada; no inferir subtipo desde el nombre</t>
        </is>
      </c>
      <c r="M146" s="4" t="inlineStr">
        <is>
          <t>Historical signals: title/abstract/notes; full-text completion not independently established</t>
        </is>
      </c>
      <c r="N146" s="4" t="n">
        <v>0</v>
      </c>
      <c r="O146" s="12" t="n"/>
      <c r="P146" s="41" t="n"/>
      <c r="Q146" s="4">
        <f>IF(COUNTIFS('ESTUDIOS'!$A$2:$A$455,$A146,'ESTUDIOS'!$I$2:$I$455,"")&gt;0,"",INDEX('ESTUDIOS'!$I$2:$I$455,MATCH($A146,'ESTUDIOS'!$A$2:$A$455,0)))</f>
        <v/>
      </c>
    </row>
    <row r="147" ht="47" customHeight="1">
      <c r="A147" s="4" t="inlineStr">
        <is>
          <t>158</t>
        </is>
      </c>
      <c r="B147" s="4" t="inlineStr">
        <is>
          <t>Historical</t>
        </is>
      </c>
      <c r="C147" s="4" t="inlineStr">
        <is>
          <t>Graph Convolutional Networks Based on\&amp;#xa0;Relational Attention Mechanism for\&amp;#xa0;Autism Spectrum Disorders Diagnosis</t>
        </is>
      </c>
      <c r="D147" s="4" t="inlineStr">
        <is>
          <t>Diagnosis</t>
        </is>
      </c>
      <c r="E147" s="4" t="inlineStr">
        <is>
          <t>Deep Learning</t>
        </is>
      </c>
      <c r="F147" s="4" t="inlineStr">
        <is>
          <t>Not specified</t>
        </is>
      </c>
      <c r="G147" s="4" t="inlineStr">
        <is>
          <t>Other / Not clear</t>
        </is>
      </c>
      <c r="H147" s="4" t="inlineStr">
        <is>
          <t>Classification (ASD vs control / multi-class)</t>
        </is>
      </c>
      <c r="I147" s="4" t="inlineStr">
        <is>
          <t>Diagnosis</t>
        </is>
      </c>
      <c r="J147" s="4" t="inlineStr">
        <is>
          <t>Deep Learning</t>
        </is>
      </c>
      <c r="K147" s="4" t="inlineStr">
        <is>
          <t>No especificado</t>
        </is>
      </c>
      <c r="L147" s="4" t="inlineStr">
        <is>
          <t>Sin asignación por falta de detalle</t>
        </is>
      </c>
      <c r="M147" s="4" t="inlineStr">
        <is>
          <t>Historical signals: title/abstract/notes; full-text completion not independently established</t>
        </is>
      </c>
      <c r="N147" s="4" t="n">
        <v>1</v>
      </c>
      <c r="O147" s="12" t="n"/>
      <c r="P147" s="41" t="n"/>
      <c r="Q147" s="4">
        <f>IF(COUNTIFS('ESTUDIOS'!$A$2:$A$455,$A147,'ESTUDIOS'!$I$2:$I$455,"")&gt;0,"",INDEX('ESTUDIOS'!$I$2:$I$455,MATCH($A147,'ESTUDIOS'!$A$2:$A$455,0)))</f>
        <v/>
      </c>
    </row>
    <row r="148" ht="60" customHeight="1">
      <c r="A148" s="4" t="inlineStr">
        <is>
          <t>159</t>
        </is>
      </c>
      <c r="B148" s="4" t="inlineStr">
        <is>
          <t>Historical</t>
        </is>
      </c>
      <c r="C148" s="4" t="inlineStr">
        <is>
          <t>Hybrid similarity based feature selection and cascade deep maxout fuzzy network for Autism Spectrum Disorder detection using EEG signal</t>
        </is>
      </c>
      <c r="D148" s="4" t="inlineStr">
        <is>
          <t>Diagnosis</t>
        </is>
      </c>
      <c r="E148" s="4" t="inlineStr">
        <is>
          <t>Deep Learning</t>
        </is>
      </c>
      <c r="F148" s="4" t="inlineStr">
        <is>
          <t>Physiological signals</t>
        </is>
      </c>
      <c r="G148" s="4" t="inlineStr">
        <is>
          <t>Other</t>
        </is>
      </c>
      <c r="H148" s="4" t="inlineStr">
        <is>
          <t>Classification (binary/multi-class; incl. ASD vs control)/ multi-class)</t>
        </is>
      </c>
      <c r="I148" s="4" t="inlineStr">
        <is>
          <t>diagnosis</t>
        </is>
      </c>
      <c r="J148" s="4" t="inlineStr">
        <is>
          <t>Deep Learning</t>
        </is>
      </c>
      <c r="K148" s="4" t="inlineStr">
        <is>
          <t>Señales fisiológicas</t>
        </is>
      </c>
      <c r="L148" s="4" t="inlineStr">
        <is>
          <t>Etiqueta histórica conservada; no inferir subtipo desde el nombre</t>
        </is>
      </c>
      <c r="M148" s="4" t="inlineStr">
        <is>
          <t>Historical signals: title/abstract/notes; full-text completion not independently established</t>
        </is>
      </c>
      <c r="N148" s="4" t="n">
        <v>0</v>
      </c>
      <c r="O148" s="12" t="n"/>
      <c r="P148" s="41" t="n"/>
      <c r="Q148" s="4">
        <f>IF(COUNTIFS('ESTUDIOS'!$A$2:$A$455,$A148,'ESTUDIOS'!$I$2:$I$455,"")&gt;0,"",INDEX('ESTUDIOS'!$I$2:$I$455,MATCH($A148,'ESTUDIOS'!$A$2:$A$455,0)))</f>
        <v/>
      </c>
    </row>
    <row r="149" ht="60" customHeight="1">
      <c r="A149" s="4" t="inlineStr">
        <is>
          <t>160</t>
        </is>
      </c>
      <c r="B149" s="4" t="inlineStr">
        <is>
          <t>Historical</t>
        </is>
      </c>
      <c r="C149" s="4" t="inlineStr">
        <is>
          <t>Imputing cognitive impairment in SPARK, a large autism cohort</t>
        </is>
      </c>
      <c r="D149" s="4" t="inlineStr">
        <is>
          <t>Monitoring/intervention</t>
        </is>
      </c>
      <c r="E149" s="4" t="inlineStr">
        <is>
          <t>Deep Learning</t>
        </is>
      </c>
      <c r="F149" s="4" t="inlineStr">
        <is>
          <t>Text / NLP (legacy; verify input type)</t>
        </is>
      </c>
      <c r="G149" s="4" t="inlineStr">
        <is>
          <t>Logistic Regression</t>
        </is>
      </c>
      <c r="H149" s="4" t="inlineStr">
        <is>
          <t>Cognitive impairment imputation / clinical characterization</t>
        </is>
      </c>
      <c r="I149" s="4" t="inlineStr">
        <is>
          <t>Monitoring/intervention</t>
        </is>
      </c>
      <c r="J149" s="4" t="inlineStr">
        <is>
          <t>Deep Learning</t>
        </is>
      </c>
      <c r="K149" s="4" t="inlineStr">
        <is>
          <t>Texto · NLP</t>
        </is>
      </c>
      <c r="L149" s="4" t="inlineStr">
        <is>
          <t>Etiqueta histórica conservada; no inferir subtipo desde el nombre</t>
        </is>
      </c>
      <c r="M149" s="4" t="inlineStr">
        <is>
          <t>Historical signals: title/abstract/notes; full-text completion not independently established</t>
        </is>
      </c>
      <c r="N149" s="4" t="n">
        <v>1</v>
      </c>
      <c r="O149" s="12" t="n"/>
      <c r="P149" s="41" t="n"/>
      <c r="Q149" s="4">
        <f>IF(COUNTIFS('ESTUDIOS'!$A$2:$A$455,$A149,'ESTUDIOS'!$I$2:$I$455,"")&gt;0,"",INDEX('ESTUDIOS'!$I$2:$I$455,MATCH($A149,'ESTUDIOS'!$A$2:$A$455,0)))</f>
        <v/>
      </c>
    </row>
    <row r="150" ht="34" customHeight="1">
      <c r="A150" s="4" t="inlineStr">
        <is>
          <t>162</t>
        </is>
      </c>
      <c r="B150" s="4" t="inlineStr">
        <is>
          <t>Historical</t>
        </is>
      </c>
      <c r="C150" s="4" t="inlineStr">
        <is>
          <t>Machine Learning in ASD: An Intensive Study of Automated Disease Prediction System</t>
        </is>
      </c>
      <c r="D150" s="4" t="inlineStr">
        <is>
          <t>Diagnosis</t>
        </is>
      </c>
      <c r="E150" s="4" t="inlineStr">
        <is>
          <t>Machine Learning</t>
        </is>
      </c>
      <c r="F150" s="4" t="inlineStr">
        <is>
          <t>Text / NLP (legacy; verify input type)</t>
        </is>
      </c>
      <c r="G150" s="4" t="n"/>
      <c r="H150" s="4" t="inlineStr">
        <is>
          <t>Classification / diagnostic prediction</t>
        </is>
      </c>
      <c r="I150" s="4" t="inlineStr">
        <is>
          <t>Diagnosis</t>
        </is>
      </c>
      <c r="J150" s="4" t="inlineStr">
        <is>
          <t>Machine Learning</t>
        </is>
      </c>
      <c r="K150" s="4" t="inlineStr">
        <is>
          <t>Texto · NLP</t>
        </is>
      </c>
      <c r="L150" s="4" t="inlineStr">
        <is>
          <t>Etiqueta histórica conservada; no inferir subtipo desde el nombre</t>
        </is>
      </c>
      <c r="M150" s="4" t="inlineStr">
        <is>
          <t>Historical signals: title/abstract/notes; full-text completion not independently established</t>
        </is>
      </c>
      <c r="N150" s="4" t="n">
        <v>1</v>
      </c>
      <c r="O150" s="12" t="n"/>
      <c r="P150" s="41" t="n"/>
      <c r="Q150" s="4">
        <f>IF(COUNTIFS('ESTUDIOS'!$A$2:$A$455,$A150,'ESTUDIOS'!$I$2:$I$455,"")&gt;0,"",INDEX('ESTUDIOS'!$I$2:$I$455,MATCH($A150,'ESTUDIOS'!$A$2:$A$455,0)))</f>
        <v/>
      </c>
    </row>
    <row r="151" ht="47" customHeight="1">
      <c r="A151" s="4" t="inlineStr">
        <is>
          <t>163</t>
        </is>
      </c>
      <c r="B151" s="4" t="inlineStr">
        <is>
          <t>Historical</t>
        </is>
      </c>
      <c r="C151" s="4" t="inlineStr">
        <is>
          <t>Multichannel Deep Attention Neural Networks for the Classification of Autism Spectrum Disorder Using Neuroimaging and Personal Characteristic Data</t>
        </is>
      </c>
      <c r="D151" s="4" t="inlineStr">
        <is>
          <t>Diagnosis</t>
        </is>
      </c>
      <c r="E151" s="4" t="inlineStr">
        <is>
          <t>Deep Learning</t>
        </is>
      </c>
      <c r="F151" s="4" t="inlineStr">
        <is>
          <t>Image (subtype unresolved)</t>
        </is>
      </c>
      <c r="G151" s="4" t="inlineStr">
        <is>
          <t>Other / Not clear</t>
        </is>
      </c>
      <c r="H151" s="4" t="inlineStr">
        <is>
          <t>Classification (ASD vs control / multi-class)</t>
        </is>
      </c>
      <c r="I151" s="4" t="inlineStr">
        <is>
          <t>Diagnosis</t>
        </is>
      </c>
      <c r="J151" s="4" t="inlineStr">
        <is>
          <t>Deep Learning</t>
        </is>
      </c>
      <c r="K151" s="4" t="inlineStr">
        <is>
          <t>Imagen</t>
        </is>
      </c>
      <c r="L151" s="4" t="inlineStr">
        <is>
          <t>Etiqueta histórica conservada; no inferir subtipo desde el nombre</t>
        </is>
      </c>
      <c r="M151" s="4" t="inlineStr">
        <is>
          <t>Historical signals: title/abstract/notes; full-text completion not independently established</t>
        </is>
      </c>
      <c r="N151" s="4" t="n">
        <v>1</v>
      </c>
      <c r="O151" s="12" t="n"/>
      <c r="P151" s="41" t="n"/>
      <c r="Q151" s="4">
        <f>IF(COUNTIFS('ESTUDIOS'!$A$2:$A$455,$A151,'ESTUDIOS'!$I$2:$I$455,"")&gt;0,"",INDEX('ESTUDIOS'!$I$2:$I$455,MATCH($A151,'ESTUDIOS'!$A$2:$A$455,0)))</f>
        <v/>
      </c>
    </row>
    <row r="152" ht="60" customHeight="1">
      <c r="A152" s="4" t="inlineStr">
        <is>
          <t>164</t>
        </is>
      </c>
      <c r="B152" s="4" t="inlineStr">
        <is>
          <t>Historical</t>
        </is>
      </c>
      <c r="C152" s="4" t="inlineStr">
        <is>
          <t>Multimodal Kernel-based discriminant correlation analysis data-fusion approach: an automated autism spectrum disorder diagnostic system</t>
        </is>
      </c>
      <c r="D152" s="4" t="inlineStr">
        <is>
          <t>Diagnosis</t>
        </is>
      </c>
      <c r="E152" s="4" t="inlineStr">
        <is>
          <t>Machine Learning</t>
        </is>
      </c>
      <c r="F152" s="4" t="inlineStr">
        <is>
          <t>Physiological signals</t>
        </is>
      </c>
      <c r="G152" s="4" t="inlineStr">
        <is>
          <t>SVM</t>
        </is>
      </c>
      <c r="H152" s="4" t="inlineStr">
        <is>
          <t>Classification (binary/multi-class; incl. ASD vs control)/ multi-class)</t>
        </is>
      </c>
      <c r="I152" s="4" t="inlineStr">
        <is>
          <t>Diagnosis</t>
        </is>
      </c>
      <c r="J152" s="4" t="inlineStr">
        <is>
          <t>Machine Learning</t>
        </is>
      </c>
      <c r="K152" s="4" t="inlineStr">
        <is>
          <t>Señales fisiológicas</t>
        </is>
      </c>
      <c r="L152" s="4" t="inlineStr">
        <is>
          <t>Etiqueta histórica conservada; no inferir subtipo desde el nombre</t>
        </is>
      </c>
      <c r="M152" s="4" t="inlineStr">
        <is>
          <t>Historical signals: title/abstract/notes; full-text completion not independently established</t>
        </is>
      </c>
      <c r="N152" s="4" t="n">
        <v>0</v>
      </c>
      <c r="O152" s="12" t="n"/>
      <c r="P152" s="41" t="n"/>
      <c r="Q152" s="4">
        <f>IF(COUNTIFS('ESTUDIOS'!$A$2:$A$455,$A152,'ESTUDIOS'!$I$2:$I$455,"")&gt;0,"",INDEX('ESTUDIOS'!$I$2:$I$455,MATCH($A152,'ESTUDIOS'!$A$2:$A$455,0)))</f>
        <v/>
      </c>
    </row>
    <row r="153" ht="60" customHeight="1">
      <c r="A153" s="4" t="inlineStr">
        <is>
          <t>165</t>
        </is>
      </c>
      <c r="B153" s="4" t="inlineStr">
        <is>
          <t>Historical</t>
        </is>
      </c>
      <c r="C153" s="4" t="inlineStr">
        <is>
          <t>Phase 3 diagnostic evaluation of a smart tablet serious game to identify autism in 760 children 3-5 years old in Sweden and the United Kingdom</t>
        </is>
      </c>
      <c r="D153" s="4" t="inlineStr">
        <is>
          <t>Diagnosis</t>
        </is>
      </c>
      <c r="E153" s="4" t="inlineStr">
        <is>
          <t>Deep Learning</t>
        </is>
      </c>
      <c r="F153" s="4" t="inlineStr">
        <is>
          <t>Physiological signals</t>
        </is>
      </c>
      <c r="G153" s="4" t="inlineStr">
        <is>
          <t>Other</t>
        </is>
      </c>
      <c r="H153" s="4" t="inlineStr">
        <is>
          <t>Classification (binary/multi-class; incl. ASD vs control)/ multi-class)</t>
        </is>
      </c>
      <c r="I153" s="4" t="inlineStr">
        <is>
          <t>diagnosis</t>
        </is>
      </c>
      <c r="J153" s="4" t="inlineStr">
        <is>
          <t>Deep Learning</t>
        </is>
      </c>
      <c r="K153" s="4" t="inlineStr">
        <is>
          <t>Señales fisiológicas</t>
        </is>
      </c>
      <c r="L153" s="4" t="inlineStr">
        <is>
          <t>Etiqueta histórica conservada; no inferir subtipo desde el nombre</t>
        </is>
      </c>
      <c r="M153" s="4" t="inlineStr">
        <is>
          <t>Historical signals: title/abstract/notes; full-text completion not independently established</t>
        </is>
      </c>
      <c r="N153" s="4" t="n">
        <v>0</v>
      </c>
      <c r="O153" s="12" t="n"/>
      <c r="P153" s="41" t="n"/>
      <c r="Q153" s="4">
        <f>IF(COUNTIFS('ESTUDIOS'!$A$2:$A$455,$A153,'ESTUDIOS'!$I$2:$I$455,"")&gt;0,"",INDEX('ESTUDIOS'!$I$2:$I$455,MATCH($A153,'ESTUDIOS'!$A$2:$A$455,0)))</f>
        <v/>
      </c>
    </row>
    <row r="154" ht="47" customHeight="1">
      <c r="A154" s="4" t="inlineStr">
        <is>
          <t>166</t>
        </is>
      </c>
      <c r="B154" s="4" t="inlineStr">
        <is>
          <t>Historical</t>
        </is>
      </c>
      <c r="C154" s="4" t="inlineStr">
        <is>
          <t>Research and development of autism diagnosis information system based on deep convolution neural network and facial expression data</t>
        </is>
      </c>
      <c r="D154" s="4" t="inlineStr">
        <is>
          <t>Screening</t>
        </is>
      </c>
      <c r="E154" s="4" t="inlineStr">
        <is>
          <t>Hybrid</t>
        </is>
      </c>
      <c r="F154" s="4" t="inlineStr">
        <is>
          <t>Image (subtype unresolved)</t>
        </is>
      </c>
      <c r="G154" s="4" t="inlineStr">
        <is>
          <t>CNN</t>
        </is>
      </c>
      <c r="H154" s="4" t="inlineStr">
        <is>
          <t>Classification (ASD vs control / multi-class)</t>
        </is>
      </c>
      <c r="I154" s="4" t="inlineStr">
        <is>
          <t>Screening</t>
        </is>
      </c>
      <c r="J154" s="4" t="inlineStr">
        <is>
          <t>Híbrido</t>
        </is>
      </c>
      <c r="K154" s="4" t="inlineStr">
        <is>
          <t>Imagen</t>
        </is>
      </c>
      <c r="L154" s="4" t="inlineStr">
        <is>
          <t>Etiqueta histórica conservada; no inferir subtipo desde el nombre</t>
        </is>
      </c>
      <c r="M154" s="4" t="inlineStr">
        <is>
          <t>Historical signals: title/abstract/notes; full-text completion not independently established</t>
        </is>
      </c>
      <c r="N154" s="4" t="n">
        <v>1</v>
      </c>
      <c r="O154" s="12" t="n"/>
      <c r="P154" s="41" t="n"/>
      <c r="Q154" s="4">
        <f>IF(COUNTIFS('ESTUDIOS'!$A$2:$A$455,$A154,'ESTUDIOS'!$I$2:$I$455,"")&gt;0,"",INDEX('ESTUDIOS'!$I$2:$I$455,MATCH($A154,'ESTUDIOS'!$A$2:$A$455,0)))</f>
        <v/>
      </c>
    </row>
    <row r="155" ht="47" customHeight="1">
      <c r="A155" s="4" t="inlineStr">
        <is>
          <t>168</t>
        </is>
      </c>
      <c r="B155" s="4" t="inlineStr">
        <is>
          <t>Historical</t>
        </is>
      </c>
      <c r="C155" s="4" t="inlineStr">
        <is>
          <t>Stratification of Children with Autism Spectrum Disorder Through Fusion of Temporal Information in Eye-gaze Scan-Paths</t>
        </is>
      </c>
      <c r="D155" s="4" t="inlineStr">
        <is>
          <t>Diagnosis</t>
        </is>
      </c>
      <c r="E155" s="4" t="inlineStr">
        <is>
          <t>Deep Learning</t>
        </is>
      </c>
      <c r="F155" s="4" t="inlineStr">
        <is>
          <t>Image (subtype unresolved)</t>
        </is>
      </c>
      <c r="G155" s="4" t="inlineStr">
        <is>
          <t>CNN</t>
        </is>
      </c>
      <c r="H155" s="4" t="inlineStr">
        <is>
          <t>Classification (ASD vs control / multi-class)</t>
        </is>
      </c>
      <c r="I155" s="4" t="inlineStr">
        <is>
          <t>Diagnosis</t>
        </is>
      </c>
      <c r="J155" s="4" t="inlineStr">
        <is>
          <t>Deep Learning</t>
        </is>
      </c>
      <c r="K155" s="4" t="inlineStr">
        <is>
          <t>Imagen</t>
        </is>
      </c>
      <c r="L155" s="4" t="inlineStr">
        <is>
          <t>Etiqueta histórica conservada; no inferir subtipo desde el nombre</t>
        </is>
      </c>
      <c r="M155" s="4" t="inlineStr">
        <is>
          <t>Historical signals: title/abstract/notes; full-text completion not independently established</t>
        </is>
      </c>
      <c r="N155" s="4" t="n">
        <v>1</v>
      </c>
      <c r="O155" s="12" t="n"/>
      <c r="P155" s="41" t="n"/>
      <c r="Q155" s="4">
        <f>IF(COUNTIFS('ESTUDIOS'!$A$2:$A$455,$A155,'ESTUDIOS'!$I$2:$I$455,"")&gt;0,"",INDEX('ESTUDIOS'!$I$2:$I$455,MATCH($A155,'ESTUDIOS'!$A$2:$A$455,0)))</f>
        <v/>
      </c>
    </row>
    <row r="156" ht="47" customHeight="1">
      <c r="A156" s="4" t="inlineStr">
        <is>
          <t>169</t>
        </is>
      </c>
      <c r="B156" s="4" t="inlineStr">
        <is>
          <t>Historical</t>
        </is>
      </c>
      <c r="C156" s="4" t="inlineStr">
        <is>
          <t>The Classification of Abnormal Hand Movement to Aid in Autism Detection: Machine Learning Study</t>
        </is>
      </c>
      <c r="D156" s="4" t="inlineStr">
        <is>
          <t>Screening</t>
        </is>
      </c>
      <c r="E156" s="4" t="inlineStr">
        <is>
          <t>Deep Learning</t>
        </is>
      </c>
      <c r="F156" s="4" t="inlineStr">
        <is>
          <t>Image (subtype unresolved)</t>
        </is>
      </c>
      <c r="G156" s="4" t="inlineStr">
        <is>
          <t>CNN</t>
        </is>
      </c>
      <c r="H156" s="4" t="inlineStr">
        <is>
          <t>Classification (ASD vs control / multi-class)</t>
        </is>
      </c>
      <c r="I156" s="4" t="inlineStr">
        <is>
          <t>Screening</t>
        </is>
      </c>
      <c r="J156" s="4" t="inlineStr">
        <is>
          <t>Deep Learning</t>
        </is>
      </c>
      <c r="K156" s="4" t="inlineStr">
        <is>
          <t>Imagen</t>
        </is>
      </c>
      <c r="L156" s="4" t="inlineStr">
        <is>
          <t>Etiqueta histórica conservada; no inferir subtipo desde el nombre</t>
        </is>
      </c>
      <c r="M156" s="4" t="inlineStr">
        <is>
          <t>Historical signals: title/abstract/notes; full-text completion not independently established</t>
        </is>
      </c>
      <c r="N156" s="4" t="n">
        <v>1</v>
      </c>
      <c r="O156" s="12" t="n"/>
      <c r="P156" s="41" t="n"/>
      <c r="Q156" s="4">
        <f>IF(COUNTIFS('ESTUDIOS'!$A$2:$A$455,$A156,'ESTUDIOS'!$I$2:$I$455,"")&gt;0,"",INDEX('ESTUDIOS'!$I$2:$I$455,MATCH($A156,'ESTUDIOS'!$A$2:$A$455,0)))</f>
        <v/>
      </c>
    </row>
    <row r="157" ht="47" customHeight="1">
      <c r="A157" s="4" t="inlineStr">
        <is>
          <t>170</t>
        </is>
      </c>
      <c r="B157" s="4" t="inlineStr">
        <is>
          <t>Historical</t>
        </is>
      </c>
      <c r="C157" s="4" t="inlineStr">
        <is>
          <t>The development of a practical artificial intelligence tool for diagnosing and evaluating autism spectrum disorder: Multicenter study</t>
        </is>
      </c>
      <c r="D157" s="4" t="inlineStr">
        <is>
          <t>Diagnosis</t>
        </is>
      </c>
      <c r="E157" s="4" t="inlineStr">
        <is>
          <t>Hybrid</t>
        </is>
      </c>
      <c r="F157" s="4" t="inlineStr">
        <is>
          <t>Image (subtype unresolved)</t>
        </is>
      </c>
      <c r="G157" s="4" t="inlineStr">
        <is>
          <t>Naive Bayes</t>
        </is>
      </c>
      <c r="H157" s="4" t="inlineStr">
        <is>
          <t>Classification (ASD vs control / multi-class)</t>
        </is>
      </c>
      <c r="I157" s="4" t="inlineStr">
        <is>
          <t>Diagnosis</t>
        </is>
      </c>
      <c r="J157" s="4" t="inlineStr">
        <is>
          <t>Híbrido</t>
        </is>
      </c>
      <c r="K157" s="4" t="inlineStr">
        <is>
          <t>Imagen</t>
        </is>
      </c>
      <c r="L157" s="4" t="inlineStr">
        <is>
          <t>Etiqueta histórica conservada; no inferir subtipo desde el nombre</t>
        </is>
      </c>
      <c r="M157" s="4" t="inlineStr">
        <is>
          <t>Historical signals: title/abstract/notes; full-text completion not independently established</t>
        </is>
      </c>
      <c r="N157" s="4" t="n">
        <v>1</v>
      </c>
      <c r="O157" s="12" t="n"/>
      <c r="P157" s="41" t="n"/>
      <c r="Q157" s="4">
        <f>IF(COUNTIFS('ESTUDIOS'!$A$2:$A$455,$A157,'ESTUDIOS'!$I$2:$I$455,"")&gt;0,"",INDEX('ESTUDIOS'!$I$2:$I$455,MATCH($A157,'ESTUDIOS'!$A$2:$A$455,0)))</f>
        <v/>
      </c>
    </row>
    <row r="158" ht="47" customHeight="1">
      <c r="A158" s="4" t="inlineStr">
        <is>
          <t>171</t>
        </is>
      </c>
      <c r="B158" s="4" t="inlineStr">
        <is>
          <t>Historical</t>
        </is>
      </c>
      <c r="C158" s="4" t="inlineStr">
        <is>
          <t>Toward the Autism Motor Signature: Gesture patterns during smart tablet gameplay identify children with autism</t>
        </is>
      </c>
      <c r="D158" s="4" t="inlineStr">
        <is>
          <t>Screening</t>
        </is>
      </c>
      <c r="E158" s="4" t="inlineStr">
        <is>
          <t>Machine Learning</t>
        </is>
      </c>
      <c r="F158" s="4" t="inlineStr">
        <is>
          <t>Physiological signals</t>
        </is>
      </c>
      <c r="G158" s="4" t="inlineStr">
        <is>
          <t>Other / Not clear</t>
        </is>
      </c>
      <c r="H158" s="4" t="inlineStr">
        <is>
          <t>Classification (ASD vs control / multi-class)</t>
        </is>
      </c>
      <c r="I158" s="4" t="inlineStr">
        <is>
          <t>Screening</t>
        </is>
      </c>
      <c r="J158" s="4" t="inlineStr">
        <is>
          <t>Machine Learning</t>
        </is>
      </c>
      <c r="K158" s="4" t="inlineStr">
        <is>
          <t>Señales fisiológicas</t>
        </is>
      </c>
      <c r="L158" s="4" t="inlineStr">
        <is>
          <t>Etiqueta histórica conservada; no inferir subtipo desde el nombre</t>
        </is>
      </c>
      <c r="M158" s="4" t="inlineStr">
        <is>
          <t>Historical signals: title/abstract/notes; full-text completion not independently established</t>
        </is>
      </c>
      <c r="N158" s="4" t="n">
        <v>0</v>
      </c>
      <c r="O158" s="12" t="n"/>
      <c r="P158" s="41" t="n"/>
      <c r="Q158" s="4">
        <f>IF(COUNTIFS('ESTUDIOS'!$A$2:$A$455,$A158,'ESTUDIOS'!$I$2:$I$455,"")&gt;0,"",INDEX('ESTUDIOS'!$I$2:$I$455,MATCH($A158,'ESTUDIOS'!$A$2:$A$455,0)))</f>
        <v/>
      </c>
    </row>
    <row r="159" ht="47" customHeight="1">
      <c r="A159" s="4" t="inlineStr">
        <is>
          <t>172</t>
        </is>
      </c>
      <c r="B159" s="4" t="inlineStr">
        <is>
          <t>Historical</t>
        </is>
      </c>
      <c r="C159" s="4" t="inlineStr">
        <is>
          <t>Using #ActuallyAutistic on Twitter for Precision Diagnosis of Autism Spectrum Disorder: Machine Learning Study</t>
        </is>
      </c>
      <c r="D159" s="4" t="inlineStr">
        <is>
          <t>Screening</t>
        </is>
      </c>
      <c r="E159" s="4" t="inlineStr">
        <is>
          <t>Machine Learning</t>
        </is>
      </c>
      <c r="F159" s="4" t="inlineStr">
        <is>
          <t>Text / NLP (legacy; verify input type)</t>
        </is>
      </c>
      <c r="G159" s="4" t="inlineStr">
        <is>
          <t>Logistic Regression</t>
        </is>
      </c>
      <c r="H159" s="4" t="inlineStr">
        <is>
          <t>Classification (ASD vs control / multi-class)</t>
        </is>
      </c>
      <c r="I159" s="4" t="inlineStr">
        <is>
          <t>Screening</t>
        </is>
      </c>
      <c r="J159" s="4" t="inlineStr">
        <is>
          <t>Machine Learning</t>
        </is>
      </c>
      <c r="K159" s="4" t="inlineStr">
        <is>
          <t>Texto · NLP</t>
        </is>
      </c>
      <c r="L159" s="4" t="inlineStr">
        <is>
          <t>Etiqueta histórica conservada; no inferir subtipo desde el nombre</t>
        </is>
      </c>
      <c r="M159" s="4" t="inlineStr">
        <is>
          <t>Historical signals: title/abstract/notes; full-text completion not independently established</t>
        </is>
      </c>
      <c r="N159" s="4" t="n">
        <v>1</v>
      </c>
      <c r="O159" s="12" t="n"/>
      <c r="P159" s="41" t="n"/>
      <c r="Q159" s="4">
        <f>IF(COUNTIFS('ESTUDIOS'!$A$2:$A$455,$A159,'ESTUDIOS'!$I$2:$I$455,"")&gt;0,"",INDEX('ESTUDIOS'!$I$2:$I$455,MATCH($A159,'ESTUDIOS'!$A$2:$A$455,0)))</f>
        <v/>
      </c>
    </row>
    <row r="160" ht="47" customHeight="1">
      <c r="A160" s="4" t="inlineStr">
        <is>
          <t>173</t>
        </is>
      </c>
      <c r="B160" s="4" t="inlineStr">
        <is>
          <t>Historical</t>
        </is>
      </c>
      <c r="C160" s="4" t="inlineStr">
        <is>
          <t>Using machine learning to improve diagnostic assessment of ASD in the light of specific differential and co-occurring diagnoses</t>
        </is>
      </c>
      <c r="D160" s="4" t="inlineStr">
        <is>
          <t>Diagnosis</t>
        </is>
      </c>
      <c r="E160" s="4" t="inlineStr">
        <is>
          <t>Machine Learning</t>
        </is>
      </c>
      <c r="F160" s="4" t="inlineStr">
        <is>
          <t>Text / NLP (legacy; verify input type)</t>
        </is>
      </c>
      <c r="G160" s="4" t="inlineStr">
        <is>
          <t>Random Forest</t>
        </is>
      </c>
      <c r="H160" s="4" t="inlineStr">
        <is>
          <t>Classification (ASD vs control / multi-class)</t>
        </is>
      </c>
      <c r="I160" s="4" t="inlineStr">
        <is>
          <t>Diagnosis</t>
        </is>
      </c>
      <c r="J160" s="4" t="inlineStr">
        <is>
          <t>Machine Learning</t>
        </is>
      </c>
      <c r="K160" s="4" t="inlineStr">
        <is>
          <t>Texto · NLP</t>
        </is>
      </c>
      <c r="L160" s="4" t="inlineStr">
        <is>
          <t>Etiqueta histórica conservada; no inferir subtipo desde el nombre</t>
        </is>
      </c>
      <c r="M160" s="4" t="inlineStr">
        <is>
          <t>Historical signals: title/abstract/notes; full-text completion not independently established</t>
        </is>
      </c>
      <c r="N160" s="4" t="n">
        <v>1</v>
      </c>
      <c r="O160" s="12" t="n"/>
      <c r="P160" s="41" t="n"/>
      <c r="Q160" s="4">
        <f>IF(COUNTIFS('ESTUDIOS'!$A$2:$A$455,$A160,'ESTUDIOS'!$I$2:$I$455,"")&gt;0,"",INDEX('ESTUDIOS'!$I$2:$I$455,MATCH($A160,'ESTUDIOS'!$A$2:$A$455,0)))</f>
        <v/>
      </c>
    </row>
    <row r="161" ht="47" customHeight="1">
      <c r="A161" s="4" t="inlineStr">
        <is>
          <t>174</t>
        </is>
      </c>
      <c r="B161" s="4" t="inlineStr">
        <is>
          <t>Historical</t>
        </is>
      </c>
      <c r="C161" s="4" t="inlineStr">
        <is>
          <t>A Framework to Diagnose Autism Spectrum Disorder Using Morphological Connectivity of sMRI and XGBoost</t>
        </is>
      </c>
      <c r="D161" s="4" t="inlineStr">
        <is>
          <t>Diagnosis</t>
        </is>
      </c>
      <c r="E161" s="4" t="inlineStr">
        <is>
          <t>Hybrid</t>
        </is>
      </c>
      <c r="F161" s="4" t="inlineStr">
        <is>
          <t>Image (subtype unresolved)</t>
        </is>
      </c>
      <c r="G161" s="4" t="inlineStr">
        <is>
          <t>XGBoost / GBDT</t>
        </is>
      </c>
      <c r="H161" s="4" t="inlineStr">
        <is>
          <t>Classification (ASD vs control / multi-class)</t>
        </is>
      </c>
      <c r="I161" s="4" t="inlineStr">
        <is>
          <t>Diagnosis</t>
        </is>
      </c>
      <c r="J161" s="4" t="inlineStr">
        <is>
          <t>Híbrido</t>
        </is>
      </c>
      <c r="K161" s="4" t="inlineStr">
        <is>
          <t>Imagen</t>
        </is>
      </c>
      <c r="L161" s="4" t="inlineStr">
        <is>
          <t>Etiqueta histórica conservada; no inferir subtipo desde el nombre</t>
        </is>
      </c>
      <c r="M161" s="4" t="inlineStr">
        <is>
          <t>Historical signals: title/abstract/notes; full-text completion not independently established</t>
        </is>
      </c>
      <c r="N161" s="4" t="n">
        <v>1</v>
      </c>
      <c r="O161" s="12" t="n"/>
      <c r="P161" s="41" t="n"/>
      <c r="Q161" s="4">
        <f>IF(COUNTIFS('ESTUDIOS'!$A$2:$A$455,$A161,'ESTUDIOS'!$I$2:$I$455,"")&gt;0,"",INDEX('ESTUDIOS'!$I$2:$I$455,MATCH($A161,'ESTUDIOS'!$A$2:$A$455,0)))</f>
        <v/>
      </c>
    </row>
    <row r="162" ht="47" customHeight="1">
      <c r="A162" s="4" t="inlineStr">
        <is>
          <t>175</t>
        </is>
      </c>
      <c r="B162" s="4" t="inlineStr">
        <is>
          <t>Historical</t>
        </is>
      </c>
      <c r="C162" s="4" t="inlineStr">
        <is>
          <t>A machine learning approach for understanding the metabolomics response of children with autism spectrum disorder to medical cannabis treatment</t>
        </is>
      </c>
      <c r="D162" s="4" t="inlineStr">
        <is>
          <t>Monitoring/intervention</t>
        </is>
      </c>
      <c r="E162" s="4" t="inlineStr">
        <is>
          <t>Machine Learning</t>
        </is>
      </c>
      <c r="F162" s="4" t="inlineStr">
        <is>
          <t>Not specified</t>
        </is>
      </c>
      <c r="G162" s="4" t="inlineStr">
        <is>
          <t>Other / Not clear</t>
        </is>
      </c>
      <c r="H162" s="4" t="inlineStr">
        <is>
          <t>Other / Not clear</t>
        </is>
      </c>
      <c r="I162" s="4" t="inlineStr">
        <is>
          <t>Monitoring/intervention</t>
        </is>
      </c>
      <c r="J162" s="4" t="inlineStr">
        <is>
          <t>Machine Learning</t>
        </is>
      </c>
      <c r="K162" s="4" t="inlineStr">
        <is>
          <t>No especificado</t>
        </is>
      </c>
      <c r="L162" s="4" t="inlineStr">
        <is>
          <t>Sin asignación por falta de detalle</t>
        </is>
      </c>
      <c r="M162" s="4" t="inlineStr">
        <is>
          <t>Historical signals: title/abstract/notes; full-text completion not independently established</t>
        </is>
      </c>
      <c r="N162" s="4" t="n">
        <v>1</v>
      </c>
      <c r="O162" s="12" t="n"/>
      <c r="P162" s="41" t="n"/>
      <c r="Q162" s="4">
        <f>IF(COUNTIFS('ESTUDIOS'!$A$2:$A$455,$A162,'ESTUDIOS'!$I$2:$I$455,"")&gt;0,"",INDEX('ESTUDIOS'!$I$2:$I$455,MATCH($A162,'ESTUDIOS'!$A$2:$A$455,0)))</f>
        <v/>
      </c>
    </row>
    <row r="163" ht="47" customHeight="1">
      <c r="A163" s="4" t="inlineStr">
        <is>
          <t>177</t>
        </is>
      </c>
      <c r="B163" s="4" t="inlineStr">
        <is>
          <t>Historical</t>
        </is>
      </c>
      <c r="C163" s="4" t="inlineStr">
        <is>
          <t>Aided Diagnosis of\&amp;#xa0;Autism Spectrum Disorder Based on\&amp;#xa0;a\&amp;#xa0;Mixed Neural Network Model</t>
        </is>
      </c>
      <c r="D163" s="4" t="inlineStr">
        <is>
          <t>Diagnosis</t>
        </is>
      </c>
      <c r="E163" s="4" t="inlineStr">
        <is>
          <t>Deep Learning</t>
        </is>
      </c>
      <c r="F163" s="4" t="inlineStr">
        <is>
          <t>Not specified</t>
        </is>
      </c>
      <c r="G163" s="4" t="inlineStr">
        <is>
          <t>MLP</t>
        </is>
      </c>
      <c r="H163" s="4" t="inlineStr">
        <is>
          <t>Classification (ASD vs control / multi-class)</t>
        </is>
      </c>
      <c r="I163" s="4" t="inlineStr">
        <is>
          <t>Diagnosis</t>
        </is>
      </c>
      <c r="J163" s="4" t="inlineStr">
        <is>
          <t>Deep Learning</t>
        </is>
      </c>
      <c r="K163" s="4" t="inlineStr">
        <is>
          <t>No especificado</t>
        </is>
      </c>
      <c r="L163" s="4" t="inlineStr">
        <is>
          <t>Sin asignación por falta de detalle</t>
        </is>
      </c>
      <c r="M163" s="4" t="inlineStr">
        <is>
          <t>Historical signals: title/abstract/notes; full-text completion not independently established</t>
        </is>
      </c>
      <c r="N163" s="4" t="n">
        <v>1</v>
      </c>
      <c r="O163" s="12" t="n"/>
      <c r="P163" s="41" t="n"/>
      <c r="Q163" s="4">
        <f>IF(COUNTIFS('ESTUDIOS'!$A$2:$A$455,$A163,'ESTUDIOS'!$I$2:$I$455,"")&gt;0,"",INDEX('ESTUDIOS'!$I$2:$I$455,MATCH($A163,'ESTUDIOS'!$A$2:$A$455,0)))</f>
        <v/>
      </c>
    </row>
    <row r="164" ht="60" customHeight="1">
      <c r="A164" s="4" t="inlineStr">
        <is>
          <t>178</t>
        </is>
      </c>
      <c r="B164" s="4" t="inlineStr">
        <is>
          <t>Historical</t>
        </is>
      </c>
      <c r="C164" s="4" t="inlineStr">
        <is>
          <t>Application of Single-Nucleotide Polymorphisms in the Diagnosis of Autism Spectrum Disorders: A Preliminary Study with Artificial Neural Networks</t>
        </is>
      </c>
      <c r="D164" s="4" t="inlineStr">
        <is>
          <t>Diagnosis</t>
        </is>
      </c>
      <c r="E164" s="4" t="inlineStr">
        <is>
          <t>Deep Learning</t>
        </is>
      </c>
      <c r="F164" s="4" t="inlineStr">
        <is>
          <t>Not specified</t>
        </is>
      </c>
      <c r="G164" s="4" t="inlineStr">
        <is>
          <t>MLP</t>
        </is>
      </c>
      <c r="H164" s="4" t="inlineStr">
        <is>
          <t>Classification (binary/multi-class; incl. ASD vs control)/ multi-class)</t>
        </is>
      </c>
      <c r="I164" s="4" t="inlineStr">
        <is>
          <t>diagnosis</t>
        </is>
      </c>
      <c r="J164" s="4" t="inlineStr">
        <is>
          <t>Deep Learning</t>
        </is>
      </c>
      <c r="K164" s="4" t="inlineStr">
        <is>
          <t>No especificado</t>
        </is>
      </c>
      <c r="L164" s="4" t="inlineStr">
        <is>
          <t>Sin asignación por falta de detalle</t>
        </is>
      </c>
      <c r="M164" s="4" t="inlineStr">
        <is>
          <t>Historical signals: title/abstract/notes; full-text completion not independently established</t>
        </is>
      </c>
      <c r="N164" s="4" t="n">
        <v>1</v>
      </c>
      <c r="O164" s="12" t="n"/>
      <c r="P164" s="41" t="n"/>
      <c r="Q164" s="4">
        <f>IF(COUNTIFS('ESTUDIOS'!$A$2:$A$455,$A164,'ESTUDIOS'!$I$2:$I$455,"")&gt;0,"",INDEX('ESTUDIOS'!$I$2:$I$455,MATCH($A164,'ESTUDIOS'!$A$2:$A$455,0)))</f>
        <v/>
      </c>
    </row>
    <row r="165" ht="47" customHeight="1">
      <c r="A165" s="4" t="inlineStr">
        <is>
          <t>179</t>
        </is>
      </c>
      <c r="B165" s="4" t="inlineStr">
        <is>
          <t>Historical</t>
        </is>
      </c>
      <c r="C165" s="4" t="inlineStr">
        <is>
          <t>Autism spectrum disorder detection with machine learning methods</t>
        </is>
      </c>
      <c r="D165" s="4" t="inlineStr">
        <is>
          <t>Screening</t>
        </is>
      </c>
      <c r="E165" s="4" t="inlineStr">
        <is>
          <t>Machine Learning</t>
        </is>
      </c>
      <c r="F165" s="4" t="inlineStr">
        <is>
          <t>Image (subtype unresolved)</t>
        </is>
      </c>
      <c r="G165" s="4" t="inlineStr">
        <is>
          <t>SVM</t>
        </is>
      </c>
      <c r="H165" s="4" t="inlineStr">
        <is>
          <t>Classification (ASD vs control / multi-class)</t>
        </is>
      </c>
      <c r="I165" s="4" t="inlineStr">
        <is>
          <t>Screening</t>
        </is>
      </c>
      <c r="J165" s="4" t="inlineStr">
        <is>
          <t>Machine Learning</t>
        </is>
      </c>
      <c r="K165" s="4" t="inlineStr">
        <is>
          <t>Imagen</t>
        </is>
      </c>
      <c r="L165" s="4" t="inlineStr">
        <is>
          <t>Etiqueta histórica conservada; no inferir subtipo desde el nombre</t>
        </is>
      </c>
      <c r="M165" s="4" t="inlineStr">
        <is>
          <t>Historical signals: title/abstract/notes; full-text completion not independently established</t>
        </is>
      </c>
      <c r="N165" s="4" t="n">
        <v>1</v>
      </c>
      <c r="O165" s="12" t="n"/>
      <c r="P165" s="41" t="n"/>
      <c r="Q165" s="4">
        <f>IF(COUNTIFS('ESTUDIOS'!$A$2:$A$455,$A165,'ESTUDIOS'!$I$2:$I$455,"")&gt;0,"",INDEX('ESTUDIOS'!$I$2:$I$455,MATCH($A165,'ESTUDIOS'!$A$2:$A$455,0)))</f>
        <v/>
      </c>
    </row>
    <row r="166" ht="47" customHeight="1">
      <c r="A166" s="4" t="inlineStr">
        <is>
          <t>180</t>
        </is>
      </c>
      <c r="B166" s="4" t="inlineStr">
        <is>
          <t>Historical</t>
        </is>
      </c>
      <c r="C166" s="4" t="inlineStr">
        <is>
          <t>Biosignal comparison for autism assessment using machine learning models and virtual reality</t>
        </is>
      </c>
      <c r="D166" s="4" t="inlineStr">
        <is>
          <t>Screening</t>
        </is>
      </c>
      <c r="E166" s="4" t="inlineStr">
        <is>
          <t>Machine Learning</t>
        </is>
      </c>
      <c r="F166" s="4" t="inlineStr">
        <is>
          <t>Physiological signals</t>
        </is>
      </c>
      <c r="G166" s="4" t="inlineStr">
        <is>
          <t>SVM</t>
        </is>
      </c>
      <c r="H166" s="4" t="inlineStr">
        <is>
          <t>Classification (ASD vs control / multi-class)</t>
        </is>
      </c>
      <c r="I166" s="4" t="inlineStr">
        <is>
          <t>Screening</t>
        </is>
      </c>
      <c r="J166" s="4" t="inlineStr">
        <is>
          <t>Machine Learning</t>
        </is>
      </c>
      <c r="K166" s="4" t="inlineStr">
        <is>
          <t>Señales fisiológicas</t>
        </is>
      </c>
      <c r="L166" s="4" t="inlineStr">
        <is>
          <t>Etiqueta histórica conservada; no inferir subtipo desde el nombre</t>
        </is>
      </c>
      <c r="M166" s="4" t="inlineStr">
        <is>
          <t>Historical signals: title/abstract/notes; full-text completion not independently established</t>
        </is>
      </c>
      <c r="N166" s="4" t="n">
        <v>0</v>
      </c>
      <c r="O166" s="12" t="n"/>
      <c r="P166" s="41" t="n"/>
      <c r="Q166" s="4">
        <f>IF(COUNTIFS('ESTUDIOS'!$A$2:$A$455,$A166,'ESTUDIOS'!$I$2:$I$455,"")&gt;0,"",INDEX('ESTUDIOS'!$I$2:$I$455,MATCH($A166,'ESTUDIOS'!$A$2:$A$455,0)))</f>
        <v/>
      </c>
    </row>
    <row r="167" ht="60" customHeight="1">
      <c r="A167" s="4" t="inlineStr">
        <is>
          <t>182</t>
        </is>
      </c>
      <c r="B167" s="4" t="inlineStr">
        <is>
          <t>Historical</t>
        </is>
      </c>
      <c r="C167" s="4" t="inlineStr">
        <is>
          <t>COMBINED ANALYSIS OF THE ORAL MICROBIOME AND MICROTRANSCRIPTOME OF AUTISM SPECTRUM DISORDER</t>
        </is>
      </c>
      <c r="D167" s="4" t="inlineStr">
        <is>
          <t>Screening</t>
        </is>
      </c>
      <c r="E167" s="4" t="inlineStr">
        <is>
          <t>Machine Learning</t>
        </is>
      </c>
      <c r="F167" s="4" t="inlineStr">
        <is>
          <t>Physiological signals</t>
        </is>
      </c>
      <c r="G167" s="4" t="inlineStr">
        <is>
          <t>Not clear</t>
        </is>
      </c>
      <c r="H167" s="4" t="inlineStr">
        <is>
          <t>Classification (binary/multi-class; incl. ASD vs control)/ multi-class)</t>
        </is>
      </c>
      <c r="I167" s="4" t="inlineStr">
        <is>
          <t>screening</t>
        </is>
      </c>
      <c r="J167" s="4" t="inlineStr">
        <is>
          <t>Machine Learning</t>
        </is>
      </c>
      <c r="K167" s="4" t="inlineStr">
        <is>
          <t>Señales fisiológicas</t>
        </is>
      </c>
      <c r="L167" s="4" t="inlineStr">
        <is>
          <t>Etiqueta histórica conservada; no inferir subtipo desde el nombre</t>
        </is>
      </c>
      <c r="M167" s="4" t="inlineStr">
        <is>
          <t>Historical signals: title/abstract/notes; full-text completion not independently established</t>
        </is>
      </c>
      <c r="N167" s="4" t="n">
        <v>0</v>
      </c>
      <c r="O167" s="12" t="n"/>
      <c r="P167" s="41" t="n"/>
      <c r="Q167" s="4">
        <f>IF(COUNTIFS('ESTUDIOS'!$A$2:$A$455,$A167,'ESTUDIOS'!$I$2:$I$455,"")&gt;0,"",INDEX('ESTUDIOS'!$I$2:$I$455,MATCH($A167,'ESTUDIOS'!$A$2:$A$455,0)))</f>
        <v/>
      </c>
    </row>
    <row r="168" ht="60" customHeight="1">
      <c r="A168" s="4" t="inlineStr">
        <is>
          <t>183</t>
        </is>
      </c>
      <c r="B168" s="4" t="inlineStr">
        <is>
          <t>Historical</t>
        </is>
      </c>
      <c r="C168" s="4" t="inlineStr">
        <is>
          <t>Computational Methods to Measure Patterns of Gaze in Toddlers with Autism Spectrum Disorder</t>
        </is>
      </c>
      <c r="D168" s="4" t="inlineStr">
        <is>
          <t>Screening</t>
        </is>
      </c>
      <c r="E168" s="4" t="inlineStr">
        <is>
          <t>Deep Learning</t>
        </is>
      </c>
      <c r="F168" s="4" t="inlineStr">
        <is>
          <t>Image (subtype unresolved)</t>
        </is>
      </c>
      <c r="G168" s="4" t="inlineStr">
        <is>
          <t>Decision Tree</t>
        </is>
      </c>
      <c r="H168" s="4" t="inlineStr">
        <is>
          <t>Classification (binary/multi-class; incl. ASD vs control)/ multi-class)</t>
        </is>
      </c>
      <c r="I168" s="4" t="inlineStr">
        <is>
          <t>Screening</t>
        </is>
      </c>
      <c r="J168" s="4" t="inlineStr">
        <is>
          <t>Deep Learning</t>
        </is>
      </c>
      <c r="K168" s="4" t="inlineStr">
        <is>
          <t>Imagen</t>
        </is>
      </c>
      <c r="L168" s="4" t="inlineStr">
        <is>
          <t>Etiqueta histórica conservada; no inferir subtipo desde el nombre</t>
        </is>
      </c>
      <c r="M168" s="4" t="inlineStr">
        <is>
          <t>Historical signals: title/abstract/notes; full-text completion not independently established</t>
        </is>
      </c>
      <c r="N168" s="4" t="n">
        <v>1</v>
      </c>
      <c r="O168" s="12" t="n"/>
      <c r="P168" s="41" t="n"/>
      <c r="Q168" s="4">
        <f>IF(COUNTIFS('ESTUDIOS'!$A$2:$A$455,$A168,'ESTUDIOS'!$I$2:$I$455,"")&gt;0,"",INDEX('ESTUDIOS'!$I$2:$I$455,MATCH($A168,'ESTUDIOS'!$A$2:$A$455,0)))</f>
        <v/>
      </c>
    </row>
    <row r="169" ht="47" customHeight="1">
      <c r="A169" s="4" t="inlineStr">
        <is>
          <t>184</t>
        </is>
      </c>
      <c r="B169" s="4" t="inlineStr">
        <is>
          <t>Historical</t>
        </is>
      </c>
      <c r="C169" s="4" t="inlineStr">
        <is>
          <t>Computerized Assessment of Motor Imitation as a Scalable Method for Distinguishing Children With Autism</t>
        </is>
      </c>
      <c r="D169" s="4" t="inlineStr">
        <is>
          <t>Screening</t>
        </is>
      </c>
      <c r="E169" s="4" t="inlineStr">
        <is>
          <t>Machine Learning</t>
        </is>
      </c>
      <c r="F169" s="4" t="inlineStr">
        <is>
          <t>Image (subtype unresolved)</t>
        </is>
      </c>
      <c r="G169" s="4" t="inlineStr">
        <is>
          <t>Other / Not clear</t>
        </is>
      </c>
      <c r="H169" s="4" t="inlineStr">
        <is>
          <t>Classification (ASD vs control / multi-class)</t>
        </is>
      </c>
      <c r="I169" s="4" t="inlineStr">
        <is>
          <t>Screening</t>
        </is>
      </c>
      <c r="J169" s="4" t="inlineStr">
        <is>
          <t>Machine Learning</t>
        </is>
      </c>
      <c r="K169" s="4" t="inlineStr">
        <is>
          <t>Imagen</t>
        </is>
      </c>
      <c r="L169" s="4" t="inlineStr">
        <is>
          <t>Etiqueta histórica conservada; no inferir subtipo desde el nombre</t>
        </is>
      </c>
      <c r="M169" s="4" t="inlineStr">
        <is>
          <t>Historical signals: title/abstract/notes; full-text completion not independently established</t>
        </is>
      </c>
      <c r="N169" s="4" t="n">
        <v>1</v>
      </c>
      <c r="O169" s="12" t="n"/>
      <c r="P169" s="41" t="n"/>
      <c r="Q169" s="4">
        <f>IF(COUNTIFS('ESTUDIOS'!$A$2:$A$455,$A169,'ESTUDIOS'!$I$2:$I$455,"")&gt;0,"",INDEX('ESTUDIOS'!$I$2:$I$455,MATCH($A169,'ESTUDIOS'!$A$2:$A$455,0)))</f>
        <v/>
      </c>
    </row>
    <row r="170" ht="47" customHeight="1">
      <c r="A170" s="4" t="inlineStr">
        <is>
          <t>185</t>
        </is>
      </c>
      <c r="B170" s="4" t="inlineStr">
        <is>
          <t>Historical</t>
        </is>
      </c>
      <c r="C170" s="4" t="inlineStr">
        <is>
          <t>Construction of ASD Intervention System Based On Neural Network Model</t>
        </is>
      </c>
      <c r="D170" s="4" t="inlineStr">
        <is>
          <t>Monitoring/intervention</t>
        </is>
      </c>
      <c r="E170" s="4" t="inlineStr">
        <is>
          <t>Hybrid</t>
        </is>
      </c>
      <c r="F170" s="4" t="inlineStr">
        <is>
          <t>Image (subtype unresolved)</t>
        </is>
      </c>
      <c r="G170" s="4" t="inlineStr">
        <is>
          <t>CNN</t>
        </is>
      </c>
      <c r="H170" s="4" t="inlineStr">
        <is>
          <t>Classification (ASD vs control / multi-class)</t>
        </is>
      </c>
      <c r="I170" s="4" t="inlineStr">
        <is>
          <t>Monitoring/intervention</t>
        </is>
      </c>
      <c r="J170" s="4" t="inlineStr">
        <is>
          <t>Híbrido</t>
        </is>
      </c>
      <c r="K170" s="4" t="inlineStr">
        <is>
          <t>Imagen</t>
        </is>
      </c>
      <c r="L170" s="4" t="inlineStr">
        <is>
          <t>Etiqueta histórica conservada; no inferir subtipo desde el nombre</t>
        </is>
      </c>
      <c r="M170" s="4" t="inlineStr">
        <is>
          <t>Historical signals: title/abstract/notes; full-text completion not independently established</t>
        </is>
      </c>
      <c r="N170" s="4" t="n">
        <v>1</v>
      </c>
      <c r="O170" s="12" t="n"/>
      <c r="P170" s="41" t="n"/>
      <c r="Q170" s="4">
        <f>IF(COUNTIFS('ESTUDIOS'!$A$2:$A$455,$A170,'ESTUDIOS'!$I$2:$I$455,"")&gt;0,"",INDEX('ESTUDIOS'!$I$2:$I$455,MATCH($A170,'ESTUDIOS'!$A$2:$A$455,0)))</f>
        <v/>
      </c>
    </row>
    <row r="171" ht="47" customHeight="1">
      <c r="A171" s="4" t="inlineStr">
        <is>
          <t>186</t>
        </is>
      </c>
      <c r="B171" s="4" t="inlineStr">
        <is>
          <t>Historical</t>
        </is>
      </c>
      <c r="C171" s="4" t="inlineStr">
        <is>
          <t>Decoding Autism: Uncovering patterns in brain connectivity through sparsity analysis with rs-fMRI data</t>
        </is>
      </c>
      <c r="D171" s="4" t="inlineStr">
        <is>
          <t>Diagnosis</t>
        </is>
      </c>
      <c r="E171" s="4" t="inlineStr">
        <is>
          <t>Deep Learning</t>
        </is>
      </c>
      <c r="F171" s="4" t="inlineStr">
        <is>
          <t>Physiological signals</t>
        </is>
      </c>
      <c r="G171" s="4" t="inlineStr">
        <is>
          <t>CNN</t>
        </is>
      </c>
      <c r="H171" s="4" t="inlineStr">
        <is>
          <t>Classification (ASD vs control / multi-class)</t>
        </is>
      </c>
      <c r="I171" s="4" t="inlineStr">
        <is>
          <t>Diagnosis</t>
        </is>
      </c>
      <c r="J171" s="4" t="inlineStr">
        <is>
          <t>Deep Learning</t>
        </is>
      </c>
      <c r="K171" s="4" t="inlineStr">
        <is>
          <t>Señales fisiológicas</t>
        </is>
      </c>
      <c r="L171" s="4" t="inlineStr">
        <is>
          <t>Etiqueta histórica conservada; no inferir subtipo desde el nombre</t>
        </is>
      </c>
      <c r="M171" s="4" t="inlineStr">
        <is>
          <t>Historical signals: title/abstract/notes; full-text completion not independently established</t>
        </is>
      </c>
      <c r="N171" s="4" t="n">
        <v>0</v>
      </c>
      <c r="O171" s="12" t="n"/>
      <c r="P171" s="41" t="n"/>
      <c r="Q171" s="4">
        <f>IF(COUNTIFS('ESTUDIOS'!$A$2:$A$455,$A171,'ESTUDIOS'!$I$2:$I$455,"")&gt;0,"",INDEX('ESTUDIOS'!$I$2:$I$455,MATCH($A171,'ESTUDIOS'!$A$2:$A$455,0)))</f>
        <v/>
      </c>
    </row>
    <row r="172" ht="60" customHeight="1">
      <c r="A172" s="4" t="inlineStr">
        <is>
          <t>187</t>
        </is>
      </c>
      <c r="B172" s="4" t="inlineStr">
        <is>
          <t>Historical</t>
        </is>
      </c>
      <c r="C172" s="4" t="inlineStr">
        <is>
          <t>Deep Radiomics for Autism Diagnosis and Age Prediction</t>
        </is>
      </c>
      <c r="D172" s="4" t="inlineStr">
        <is>
          <t>Diagnosis</t>
        </is>
      </c>
      <c r="E172" s="4" t="inlineStr">
        <is>
          <t>Hybrid</t>
        </is>
      </c>
      <c r="F172" s="4" t="inlineStr">
        <is>
          <t>Image (subtype unresolved)</t>
        </is>
      </c>
      <c r="G172" s="4" t="inlineStr">
        <is>
          <t>Random Forest</t>
        </is>
      </c>
      <c r="H172" s="4" t="inlineStr">
        <is>
          <t>Classification (binary/multi-class; incl. ASD vs control)/ multi-class)</t>
        </is>
      </c>
      <c r="I172" s="4" t="inlineStr">
        <is>
          <t>diagnosis</t>
        </is>
      </c>
      <c r="J172" s="4" t="inlineStr">
        <is>
          <t>Híbrido</t>
        </is>
      </c>
      <c r="K172" s="4" t="inlineStr">
        <is>
          <t>Imagen</t>
        </is>
      </c>
      <c r="L172" s="4" t="inlineStr">
        <is>
          <t>Etiqueta histórica conservada; no inferir subtipo desde el nombre</t>
        </is>
      </c>
      <c r="M172" s="4" t="inlineStr">
        <is>
          <t>Historical signals: title/abstract/notes; full-text completion not independently established</t>
        </is>
      </c>
      <c r="N172" s="4" t="n">
        <v>1</v>
      </c>
      <c r="O172" s="12" t="n"/>
      <c r="P172" s="41" t="n"/>
      <c r="Q172" s="4">
        <f>IF(COUNTIFS('ESTUDIOS'!$A$2:$A$455,$A172,'ESTUDIOS'!$I$2:$I$455,"")&gt;0,"",INDEX('ESTUDIOS'!$I$2:$I$455,MATCH($A172,'ESTUDIOS'!$A$2:$A$455,0)))</f>
        <v/>
      </c>
    </row>
    <row r="173" ht="47" customHeight="1">
      <c r="A173" s="4" t="inlineStr">
        <is>
          <t>188</t>
        </is>
      </c>
      <c r="B173" s="4" t="inlineStr">
        <is>
          <t>Historical</t>
        </is>
      </c>
      <c r="C173" s="4" t="inlineStr">
        <is>
          <t>Deep-learning-based detection of infants with autism spectrum disorder using auto-encoder feature representation</t>
        </is>
      </c>
      <c r="D173" s="4" t="inlineStr">
        <is>
          <t>Screening</t>
        </is>
      </c>
      <c r="E173" s="4" t="inlineStr">
        <is>
          <t>Deep Learning</t>
        </is>
      </c>
      <c r="F173" s="4" t="inlineStr">
        <is>
          <t>Audio / voice</t>
        </is>
      </c>
      <c r="G173" s="4" t="inlineStr">
        <is>
          <t>Autoencoder</t>
        </is>
      </c>
      <c r="H173" s="4" t="inlineStr">
        <is>
          <t>Classification (ASD vs control / multi-class)</t>
        </is>
      </c>
      <c r="I173" s="4" t="inlineStr">
        <is>
          <t>Screening</t>
        </is>
      </c>
      <c r="J173" s="4" t="inlineStr">
        <is>
          <t>Deep Learning</t>
        </is>
      </c>
      <c r="K173" s="4" t="inlineStr">
        <is>
          <t>Audio · Voz</t>
        </is>
      </c>
      <c r="L173" s="4" t="inlineStr">
        <is>
          <t>Etiqueta histórica conservada; no inferir subtipo desde el nombre</t>
        </is>
      </c>
      <c r="M173" s="4" t="inlineStr">
        <is>
          <t>Historical signals: title/abstract/notes; full-text completion not independently established</t>
        </is>
      </c>
      <c r="N173" s="4" t="n">
        <v>0</v>
      </c>
      <c r="O173" s="12" t="n"/>
      <c r="P173" s="41" t="n"/>
      <c r="Q173" s="4">
        <f>IF(COUNTIFS('ESTUDIOS'!$A$2:$A$455,$A173,'ESTUDIOS'!$I$2:$I$455,"")&gt;0,"",INDEX('ESTUDIOS'!$I$2:$I$455,MATCH($A173,'ESTUDIOS'!$A$2:$A$455,0)))</f>
        <v/>
      </c>
    </row>
    <row r="174" ht="47" customHeight="1">
      <c r="A174" s="4" t="inlineStr">
        <is>
          <t>189</t>
        </is>
      </c>
      <c r="B174" s="4" t="inlineStr">
        <is>
          <t>Historical</t>
        </is>
      </c>
      <c r="C174" s="4" t="inlineStr">
        <is>
          <t>Early identification of autism spectrum disorder based on machine learning with eye-tracking data</t>
        </is>
      </c>
      <c r="D174" s="4" t="inlineStr">
        <is>
          <t>Screening</t>
        </is>
      </c>
      <c r="E174" s="4" t="inlineStr">
        <is>
          <t>Hybrid</t>
        </is>
      </c>
      <c r="F174" s="4" t="inlineStr">
        <is>
          <t>Image (subtype unresolved)</t>
        </is>
      </c>
      <c r="G174" s="4" t="inlineStr">
        <is>
          <t>Random Forest</t>
        </is>
      </c>
      <c r="H174" s="4" t="inlineStr">
        <is>
          <t>Classification (ASD vs control / multi-class)</t>
        </is>
      </c>
      <c r="I174" s="4" t="inlineStr">
        <is>
          <t>Screening</t>
        </is>
      </c>
      <c r="J174" s="4" t="inlineStr">
        <is>
          <t>Híbrido</t>
        </is>
      </c>
      <c r="K174" s="4" t="inlineStr">
        <is>
          <t>Imagen</t>
        </is>
      </c>
      <c r="L174" s="4" t="inlineStr">
        <is>
          <t>Etiqueta histórica conservada; no inferir subtipo desde el nombre</t>
        </is>
      </c>
      <c r="M174" s="4" t="inlineStr">
        <is>
          <t>Historical signals: title/abstract/notes; full-text completion not independently established</t>
        </is>
      </c>
      <c r="N174" s="4" t="n">
        <v>1</v>
      </c>
      <c r="O174" s="12" t="n"/>
      <c r="P174" s="41" t="n"/>
      <c r="Q174" s="4">
        <f>IF(COUNTIFS('ESTUDIOS'!$A$2:$A$455,$A174,'ESTUDIOS'!$I$2:$I$455,"")&gt;0,"",INDEX('ESTUDIOS'!$I$2:$I$455,MATCH($A174,'ESTUDIOS'!$A$2:$A$455,0)))</f>
        <v/>
      </c>
    </row>
    <row r="175" ht="34" customHeight="1">
      <c r="A175" s="4" t="inlineStr">
        <is>
          <t>190</t>
        </is>
      </c>
      <c r="B175" s="4" t="inlineStr">
        <is>
          <t>Historical</t>
        </is>
      </c>
      <c r="C175" s="4" t="inlineStr">
        <is>
          <t>Examining overlap and homogeneity in ASD, ADHD, and OCD: a data-driven, diagnosis-agnostic approach</t>
        </is>
      </c>
      <c r="D175" s="4" t="inlineStr">
        <is>
          <t>Diagnosis</t>
        </is>
      </c>
      <c r="E175" s="4" t="inlineStr">
        <is>
          <t>Deep Learning</t>
        </is>
      </c>
      <c r="F175" s="4" t="inlineStr">
        <is>
          <t>Not specified</t>
        </is>
      </c>
      <c r="G175" s="4" t="inlineStr">
        <is>
          <t>Clustering (k-means / GMM / ...)</t>
        </is>
      </c>
      <c r="H175" s="4" t="inlineStr">
        <is>
          <t>Clustering / subtyping</t>
        </is>
      </c>
      <c r="I175" s="4" t="inlineStr">
        <is>
          <t>diagnosis</t>
        </is>
      </c>
      <c r="J175" s="4" t="inlineStr">
        <is>
          <t>Deep Learning</t>
        </is>
      </c>
      <c r="K175" s="4" t="inlineStr">
        <is>
          <t>No especificado</t>
        </is>
      </c>
      <c r="L175" s="4" t="inlineStr">
        <is>
          <t>Sin asignación por falta de detalle</t>
        </is>
      </c>
      <c r="M175" s="4" t="inlineStr">
        <is>
          <t>Historical signals: title/abstract/notes; full-text completion not independently established</t>
        </is>
      </c>
      <c r="N175" s="4" t="n">
        <v>1</v>
      </c>
      <c r="O175" s="12" t="n"/>
      <c r="P175" s="41" t="n"/>
      <c r="Q175" s="4">
        <f>IF(COUNTIFS('ESTUDIOS'!$A$2:$A$455,$A175,'ESTUDIOS'!$I$2:$I$455,"")&gt;0,"",INDEX('ESTUDIOS'!$I$2:$I$455,MATCH($A175,'ESTUDIOS'!$A$2:$A$455,0)))</f>
        <v/>
      </c>
    </row>
    <row r="176" ht="47" customHeight="1">
      <c r="A176" s="4" t="inlineStr">
        <is>
          <t>191</t>
        </is>
      </c>
      <c r="B176" s="4" t="inlineStr">
        <is>
          <t>Historical</t>
        </is>
      </c>
      <c r="C176" s="4" t="inlineStr">
        <is>
          <t>Explainable and scalable machine learning algorithms for detection of autism spectrum disorder using fMRI data</t>
        </is>
      </c>
      <c r="D176" s="4" t="inlineStr">
        <is>
          <t>Diagnosis</t>
        </is>
      </c>
      <c r="E176" s="4" t="inlineStr">
        <is>
          <t>Hybrid</t>
        </is>
      </c>
      <c r="F176" s="4" t="inlineStr">
        <is>
          <t>Physiological signals</t>
        </is>
      </c>
      <c r="G176" s="4" t="n"/>
      <c r="H176" s="4" t="inlineStr">
        <is>
          <t>Classification / diagnostic support</t>
        </is>
      </c>
      <c r="I176" s="4" t="inlineStr">
        <is>
          <t>Diagnosis</t>
        </is>
      </c>
      <c r="J176" s="4" t="inlineStr">
        <is>
          <t>Híbrido</t>
        </is>
      </c>
      <c r="K176" s="4" t="inlineStr">
        <is>
          <t>Señales fisiológicas</t>
        </is>
      </c>
      <c r="L176" s="4" t="inlineStr">
        <is>
          <t>Etiqueta histórica conservada; no inferir subtipo desde el nombre</t>
        </is>
      </c>
      <c r="M176" s="4" t="inlineStr">
        <is>
          <t>Historical signals: title/abstract/notes; full-text completion not independently established</t>
        </is>
      </c>
      <c r="N176" s="4" t="n">
        <v>0</v>
      </c>
      <c r="O176" s="12" t="n"/>
      <c r="P176" s="41" t="n"/>
      <c r="Q176" s="4">
        <f>IF(COUNTIFS('ESTUDIOS'!$A$2:$A$455,$A176,'ESTUDIOS'!$I$2:$I$455,"")&gt;0,"",INDEX('ESTUDIOS'!$I$2:$I$455,MATCH($A176,'ESTUDIOS'!$A$2:$A$455,0)))</f>
        <v/>
      </c>
    </row>
    <row r="177" ht="34" customHeight="1">
      <c r="A177" s="4" t="inlineStr">
        <is>
          <t>193</t>
        </is>
      </c>
      <c r="B177" s="4" t="inlineStr">
        <is>
          <t>Historical</t>
        </is>
      </c>
      <c r="C177" s="4" t="inlineStr">
        <is>
          <t>Feasibility Study of\&amp;#xa0;a\&amp;#xa0;ML-Based ASD Monitoring System</t>
        </is>
      </c>
      <c r="D177" s="4" t="inlineStr">
        <is>
          <t>Monitoring/intervention</t>
        </is>
      </c>
      <c r="E177" s="4" t="inlineStr">
        <is>
          <t>Machine Learning</t>
        </is>
      </c>
      <c r="F177" s="4" t="inlineStr">
        <is>
          <t>Not specified</t>
        </is>
      </c>
      <c r="G177" s="4" t="n"/>
      <c r="H177" s="4" t="inlineStr">
        <is>
          <t>Not clear</t>
        </is>
      </c>
      <c r="I177" s="4" t="inlineStr">
        <is>
          <t>Monitoring/intervention</t>
        </is>
      </c>
      <c r="J177" s="4" t="inlineStr">
        <is>
          <t>Machine Learning</t>
        </is>
      </c>
      <c r="K177" s="4" t="inlineStr">
        <is>
          <t>No especificado</t>
        </is>
      </c>
      <c r="L177" s="4" t="inlineStr">
        <is>
          <t>Sin asignación por falta de detalle</t>
        </is>
      </c>
      <c r="M177" s="4" t="inlineStr">
        <is>
          <t>Historical signals: title/abstract/notes; full-text completion not independently established</t>
        </is>
      </c>
      <c r="N177" s="4" t="n">
        <v>1</v>
      </c>
      <c r="O177" s="12" t="n"/>
      <c r="P177" s="41" t="n"/>
      <c r="Q177" s="4">
        <f>IF(COUNTIFS('ESTUDIOS'!$A$2:$A$455,$A177,'ESTUDIOS'!$I$2:$I$455,"")&gt;0,"",INDEX('ESTUDIOS'!$I$2:$I$455,MATCH($A177,'ESTUDIOS'!$A$2:$A$455,0)))</f>
        <v/>
      </c>
    </row>
    <row r="178" ht="47" customHeight="1">
      <c r="A178" s="4" t="inlineStr">
        <is>
          <t>194</t>
        </is>
      </c>
      <c r="B178" s="4" t="inlineStr">
        <is>
          <t>Historical</t>
        </is>
      </c>
      <c r="C178" s="4" t="inlineStr">
        <is>
          <t>Feature replacement methods enable reliable home video analysis for machine learning detection of autism</t>
        </is>
      </c>
      <c r="D178" s="4" t="inlineStr">
        <is>
          <t>Diagnosis</t>
        </is>
      </c>
      <c r="E178" s="4" t="inlineStr">
        <is>
          <t>Machine Learning</t>
        </is>
      </c>
      <c r="F178" s="4" t="inlineStr">
        <is>
          <t>Image (subtype unresolved)</t>
        </is>
      </c>
      <c r="G178" s="4" t="inlineStr">
        <is>
          <t>Logistic Regression</t>
        </is>
      </c>
      <c r="H178" s="4" t="inlineStr">
        <is>
          <t>Classification (ASD vs control / multi-class)</t>
        </is>
      </c>
      <c r="I178" s="4" t="inlineStr">
        <is>
          <t>diagnosis</t>
        </is>
      </c>
      <c r="J178" s="4" t="inlineStr">
        <is>
          <t>Machine Learning</t>
        </is>
      </c>
      <c r="K178" s="4" t="inlineStr">
        <is>
          <t>Imagen</t>
        </is>
      </c>
      <c r="L178" s="4" t="inlineStr">
        <is>
          <t>Etiqueta histórica conservada; no inferir subtipo desde el nombre</t>
        </is>
      </c>
      <c r="M178" s="4" t="inlineStr">
        <is>
          <t>Historical signals: title/abstract/notes; full-text completion not independently established</t>
        </is>
      </c>
      <c r="N178" s="4" t="n">
        <v>1</v>
      </c>
      <c r="O178" s="12" t="n"/>
      <c r="P178" s="41" t="n"/>
      <c r="Q178" s="4">
        <f>IF(COUNTIFS('ESTUDIOS'!$A$2:$A$455,$A178,'ESTUDIOS'!$I$2:$I$455,"")&gt;0,"",INDEX('ESTUDIOS'!$I$2:$I$455,MATCH($A178,'ESTUDIOS'!$A$2:$A$455,0)))</f>
        <v/>
      </c>
    </row>
    <row r="179" ht="34" customHeight="1">
      <c r="A179" s="4" t="inlineStr">
        <is>
          <t>195</t>
        </is>
      </c>
      <c r="B179" s="4" t="inlineStr">
        <is>
          <t>Historical</t>
        </is>
      </c>
      <c r="C179" s="4" t="inlineStr">
        <is>
          <t>Fuzzy logic-based hybrid knowledge systems for the detection and diagnosis of childhood autism</t>
        </is>
      </c>
      <c r="D179" s="4" t="inlineStr">
        <is>
          <t>Diagnosis</t>
        </is>
      </c>
      <c r="E179" s="4" t="inlineStr">
        <is>
          <t>Machine Learning</t>
        </is>
      </c>
      <c r="F179" s="4" t="inlineStr">
        <is>
          <t>Not specified</t>
        </is>
      </c>
      <c r="G179" s="4" t="n"/>
      <c r="H179" s="4" t="n"/>
      <c r="I179" s="4" t="inlineStr">
        <is>
          <t>diagnosis</t>
        </is>
      </c>
      <c r="J179" s="4" t="inlineStr">
        <is>
          <t>Machine Learning</t>
        </is>
      </c>
      <c r="K179" s="4" t="inlineStr">
        <is>
          <t>No especificado</t>
        </is>
      </c>
      <c r="L179" s="4" t="inlineStr">
        <is>
          <t>Sin asignación por falta de detalle</t>
        </is>
      </c>
      <c r="M179" s="4" t="inlineStr">
        <is>
          <t>Historical signals: title/abstract/notes; full-text completion not independently established</t>
        </is>
      </c>
      <c r="N179" s="4" t="n">
        <v>1</v>
      </c>
      <c r="O179" s="12" t="n"/>
      <c r="P179" s="41" t="n"/>
      <c r="Q179" s="4">
        <f>IF(COUNTIFS('ESTUDIOS'!$A$2:$A$455,$A179,'ESTUDIOS'!$I$2:$I$455,"")&gt;0,"",INDEX('ESTUDIOS'!$I$2:$I$455,MATCH($A179,'ESTUDIOS'!$A$2:$A$455,0)))</f>
        <v/>
      </c>
    </row>
    <row r="180" ht="47" customHeight="1">
      <c r="A180" s="4" t="inlineStr">
        <is>
          <t>196</t>
        </is>
      </c>
      <c r="B180" s="4" t="inlineStr">
        <is>
          <t>Historical</t>
        </is>
      </c>
      <c r="C180" s="4" t="inlineStr">
        <is>
          <t>Genetic factor analysis for an early diagnosis of autism through machine learning</t>
        </is>
      </c>
      <c r="D180" s="4" t="inlineStr">
        <is>
          <t>Prognosis</t>
        </is>
      </c>
      <c r="E180" s="4" t="inlineStr">
        <is>
          <t>Deep Learning</t>
        </is>
      </c>
      <c r="F180" s="4" t="inlineStr">
        <is>
          <t>Not specified</t>
        </is>
      </c>
      <c r="G180" s="4" t="n"/>
      <c r="H180" s="4" t="inlineStr">
        <is>
          <t>Risk stratification / early diagnostic prediction</t>
        </is>
      </c>
      <c r="I180" s="4" t="inlineStr">
        <is>
          <t>Prognosis</t>
        </is>
      </c>
      <c r="J180" s="4" t="inlineStr">
        <is>
          <t>Deep Learning</t>
        </is>
      </c>
      <c r="K180" s="4" t="inlineStr">
        <is>
          <t>No especificado</t>
        </is>
      </c>
      <c r="L180" s="4" t="inlineStr">
        <is>
          <t>Sin asignación por falta de detalle</t>
        </is>
      </c>
      <c r="M180" s="4" t="inlineStr">
        <is>
          <t>Historical signals: title/abstract/notes; full-text completion not independently established</t>
        </is>
      </c>
      <c r="N180" s="4" t="n">
        <v>1</v>
      </c>
      <c r="O180" s="12" t="n"/>
      <c r="P180" s="41" t="n"/>
      <c r="Q180" s="4">
        <f>IF(COUNTIFS('ESTUDIOS'!$A$2:$A$455,$A180,'ESTUDIOS'!$I$2:$I$455,"")&gt;0,"",INDEX('ESTUDIOS'!$I$2:$I$455,MATCH($A180,'ESTUDIOS'!$A$2:$A$455,0)))</f>
        <v/>
      </c>
    </row>
    <row r="181" ht="60" customHeight="1">
      <c r="A181" s="4" t="inlineStr">
        <is>
          <t>197</t>
        </is>
      </c>
      <c r="B181" s="4" t="inlineStr">
        <is>
          <t>Historical</t>
        </is>
      </c>
      <c r="C181" s="4" t="inlineStr">
        <is>
          <t>Hybrid Diagnosis Models for Autism Patients Based on Medical and Sociodemographic Features Using Machine Learning and Multicriteria Decision-Making (MCDM) Techniques: An Evaluation and Benchmarking Framework</t>
        </is>
      </c>
      <c r="D181" s="4" t="inlineStr">
        <is>
          <t>Diagnosis</t>
        </is>
      </c>
      <c r="E181" s="4" t="inlineStr">
        <is>
          <t>Machine Learning</t>
        </is>
      </c>
      <c r="F181" s="4" t="inlineStr">
        <is>
          <t>Text / NLP (legacy; verify input type)</t>
        </is>
      </c>
      <c r="G181" s="4" t="inlineStr">
        <is>
          <t>Decision Tree</t>
        </is>
      </c>
      <c r="H181" s="4" t="inlineStr">
        <is>
          <t>Classification (ASD vs control / multi-class)</t>
        </is>
      </c>
      <c r="I181" s="4" t="inlineStr">
        <is>
          <t>Diagnosis</t>
        </is>
      </c>
      <c r="J181" s="4" t="inlineStr">
        <is>
          <t>Machine Learning</t>
        </is>
      </c>
      <c r="K181" s="4" t="inlineStr">
        <is>
          <t>Texto · NLP</t>
        </is>
      </c>
      <c r="L181" s="4" t="inlineStr">
        <is>
          <t>Etiqueta histórica conservada; no inferir subtipo desde el nombre</t>
        </is>
      </c>
      <c r="M181" s="4" t="inlineStr">
        <is>
          <t>Historical signals: title/abstract/notes; full-text completion not independently established</t>
        </is>
      </c>
      <c r="N181" s="4" t="n">
        <v>1</v>
      </c>
      <c r="O181" s="12" t="n"/>
      <c r="P181" s="41" t="n"/>
      <c r="Q181" s="4">
        <f>IF(COUNTIFS('ESTUDIOS'!$A$2:$A$455,$A181,'ESTUDIOS'!$I$2:$I$455,"")&gt;0,"",INDEX('ESTUDIOS'!$I$2:$I$455,MATCH($A181,'ESTUDIOS'!$A$2:$A$455,0)))</f>
        <v/>
      </c>
    </row>
    <row r="182" ht="47" customHeight="1">
      <c r="A182" s="4" t="inlineStr">
        <is>
          <t>199</t>
        </is>
      </c>
      <c r="B182" s="4" t="inlineStr">
        <is>
          <t>Historical</t>
        </is>
      </c>
      <c r="C182" s="4" t="inlineStr">
        <is>
          <t>Informing developmental milestone achievement for children with autism: Machine learning approach</t>
        </is>
      </c>
      <c r="D182" s="4" t="inlineStr">
        <is>
          <t>Screening</t>
        </is>
      </c>
      <c r="E182" s="4" t="inlineStr">
        <is>
          <t>Hybrid</t>
        </is>
      </c>
      <c r="F182" s="4" t="inlineStr">
        <is>
          <t>Not specified</t>
        </is>
      </c>
      <c r="G182" s="4" t="inlineStr">
        <is>
          <t>MLP</t>
        </is>
      </c>
      <c r="H182" s="4" t="inlineStr">
        <is>
          <t>Classification (ASD vs control / multi-class)</t>
        </is>
      </c>
      <c r="I182" s="4" t="inlineStr">
        <is>
          <t>screening</t>
        </is>
      </c>
      <c r="J182" s="4" t="inlineStr">
        <is>
          <t>Híbrido</t>
        </is>
      </c>
      <c r="K182" s="4" t="inlineStr">
        <is>
          <t>No especificado</t>
        </is>
      </c>
      <c r="L182" s="4" t="inlineStr">
        <is>
          <t>Sin asignación por falta de detalle</t>
        </is>
      </c>
      <c r="M182" s="4" t="inlineStr">
        <is>
          <t>Historical signals: title/abstract/notes; full-text completion not independently established</t>
        </is>
      </c>
      <c r="N182" s="4" t="n">
        <v>1</v>
      </c>
      <c r="O182" s="12" t="n"/>
      <c r="P182" s="41" t="n"/>
      <c r="Q182" s="4">
        <f>IF(COUNTIFS('ESTUDIOS'!$A$2:$A$455,$A182,'ESTUDIOS'!$I$2:$I$455,"")&gt;0,"",INDEX('ESTUDIOS'!$I$2:$I$455,MATCH($A182,'ESTUDIOS'!$A$2:$A$455,0)))</f>
        <v/>
      </c>
    </row>
    <row r="183" ht="47" customHeight="1">
      <c r="A183" s="4" t="inlineStr">
        <is>
          <t>200</t>
        </is>
      </c>
      <c r="B183" s="4" t="inlineStr">
        <is>
          <t>Historical</t>
        </is>
      </c>
      <c r="C183" s="4" t="inlineStr">
        <is>
          <t>Machine learning based autism screening tool—a modified approach</t>
        </is>
      </c>
      <c r="D183" s="4" t="inlineStr">
        <is>
          <t>Screening</t>
        </is>
      </c>
      <c r="E183" s="4" t="inlineStr">
        <is>
          <t>Machine Learning</t>
        </is>
      </c>
      <c r="F183" s="4" t="inlineStr">
        <is>
          <t>Not specified</t>
        </is>
      </c>
      <c r="G183" s="4" t="inlineStr">
        <is>
          <t>SVM</t>
        </is>
      </c>
      <c r="H183" s="4" t="inlineStr">
        <is>
          <t>Classification (ASD vs control / multi-class)</t>
        </is>
      </c>
      <c r="I183" s="4" t="inlineStr">
        <is>
          <t>Screening</t>
        </is>
      </c>
      <c r="J183" s="4" t="inlineStr">
        <is>
          <t>Machine Learning</t>
        </is>
      </c>
      <c r="K183" s="4" t="inlineStr">
        <is>
          <t>No especificado</t>
        </is>
      </c>
      <c r="L183" s="4" t="inlineStr">
        <is>
          <t>Sin asignación por falta de detalle</t>
        </is>
      </c>
      <c r="M183" s="4" t="inlineStr">
        <is>
          <t>Historical signals: title/abstract/notes; full-text completion not independently established</t>
        </is>
      </c>
      <c r="N183" s="4" t="n">
        <v>1</v>
      </c>
      <c r="O183" s="12" t="n"/>
      <c r="P183" s="41" t="n"/>
      <c r="Q183" s="4">
        <f>IF(COUNTIFS('ESTUDIOS'!$A$2:$A$455,$A183,'ESTUDIOS'!$I$2:$I$455,"")&gt;0,"",INDEX('ESTUDIOS'!$I$2:$I$455,MATCH($A183,'ESTUDIOS'!$A$2:$A$455,0)))</f>
        <v/>
      </c>
    </row>
    <row r="184" ht="47" customHeight="1">
      <c r="A184" s="4" t="inlineStr">
        <is>
          <t>201</t>
        </is>
      </c>
      <c r="B184" s="4" t="inlineStr">
        <is>
          <t>Historical</t>
        </is>
      </c>
      <c r="C184" s="4" t="inlineStr">
        <is>
          <t>Machine Learning–Based Approach for Early Screening of Autism Spectrum Disorders</t>
        </is>
      </c>
      <c r="D184" s="4" t="inlineStr">
        <is>
          <t>Screening</t>
        </is>
      </c>
      <c r="E184" s="4" t="inlineStr">
        <is>
          <t>Machine Learning</t>
        </is>
      </c>
      <c r="F184" s="4" t="inlineStr">
        <is>
          <t>Physiological signals</t>
        </is>
      </c>
      <c r="G184" s="4" t="inlineStr">
        <is>
          <t>SVM</t>
        </is>
      </c>
      <c r="H184" s="4" t="inlineStr">
        <is>
          <t>Classification (ASD vs control / multi-class)</t>
        </is>
      </c>
      <c r="I184" s="4" t="inlineStr">
        <is>
          <t>Screening</t>
        </is>
      </c>
      <c r="J184" s="4" t="inlineStr">
        <is>
          <t>Machine Learning</t>
        </is>
      </c>
      <c r="K184" s="4" t="inlineStr">
        <is>
          <t>Señales fisiológicas</t>
        </is>
      </c>
      <c r="L184" s="4" t="inlineStr">
        <is>
          <t>Etiqueta histórica conservada; no inferir subtipo desde el nombre</t>
        </is>
      </c>
      <c r="M184" s="4" t="inlineStr">
        <is>
          <t>Historical signals: title/abstract/notes; full-text completion not independently established</t>
        </is>
      </c>
      <c r="N184" s="4" t="n">
        <v>0</v>
      </c>
      <c r="O184" s="12" t="n"/>
      <c r="P184" s="41" t="n"/>
      <c r="Q184" s="4">
        <f>IF(COUNTIFS('ESTUDIOS'!$A$2:$A$455,$A184,'ESTUDIOS'!$I$2:$I$455,"")&gt;0,"",INDEX('ESTUDIOS'!$I$2:$I$455,MATCH($A184,'ESTUDIOS'!$A$2:$A$455,0)))</f>
        <v/>
      </c>
    </row>
    <row r="185" ht="47" customHeight="1">
      <c r="A185" s="4" t="inlineStr">
        <is>
          <t>202</t>
        </is>
      </c>
      <c r="B185" s="4" t="inlineStr">
        <is>
          <t>Historical</t>
        </is>
      </c>
      <c r="C185" s="4" t="inlineStr">
        <is>
          <t>Model selection to achieve reproducible associations between resting state EEG features and autism</t>
        </is>
      </c>
      <c r="D185" s="4" t="inlineStr">
        <is>
          <t>Diagnosis</t>
        </is>
      </c>
      <c r="E185" s="4" t="inlineStr">
        <is>
          <t>Deep Learning</t>
        </is>
      </c>
      <c r="F185" s="4" t="inlineStr">
        <is>
          <t>Physiological signals</t>
        </is>
      </c>
      <c r="G185" s="4" t="inlineStr">
        <is>
          <t>Other / Not clear</t>
        </is>
      </c>
      <c r="H185" s="4" t="inlineStr">
        <is>
          <t>Classification (ASD vs control / multi-class)</t>
        </is>
      </c>
      <c r="I185" s="4" t="inlineStr">
        <is>
          <t>Diagnosis</t>
        </is>
      </c>
      <c r="J185" s="4" t="inlineStr">
        <is>
          <t>Deep Learning</t>
        </is>
      </c>
      <c r="K185" s="4" t="inlineStr">
        <is>
          <t>Señales fisiológicas</t>
        </is>
      </c>
      <c r="L185" s="4" t="inlineStr">
        <is>
          <t>Etiqueta histórica conservada; no inferir subtipo desde el nombre</t>
        </is>
      </c>
      <c r="M185" s="4" t="inlineStr">
        <is>
          <t>Historical signals: title/abstract/notes; full-text completion not independently established</t>
        </is>
      </c>
      <c r="N185" s="4" t="n">
        <v>0</v>
      </c>
      <c r="O185" s="12" t="n"/>
      <c r="P185" s="41" t="n"/>
      <c r="Q185" s="4">
        <f>IF(COUNTIFS('ESTUDIOS'!$A$2:$A$455,$A185,'ESTUDIOS'!$I$2:$I$455,"")&gt;0,"",INDEX('ESTUDIOS'!$I$2:$I$455,MATCH($A185,'ESTUDIOS'!$A$2:$A$455,0)))</f>
        <v/>
      </c>
    </row>
    <row r="186" ht="60" customHeight="1">
      <c r="A186" s="4" t="inlineStr">
        <is>
          <t>203</t>
        </is>
      </c>
      <c r="B186" s="4" t="inlineStr">
        <is>
          <t>Historical</t>
        </is>
      </c>
      <c r="C186" s="4" t="inlineStr">
        <is>
          <t>Multimodal autism detection: Deep hybrid model with improved feature level fusion</t>
        </is>
      </c>
      <c r="D186" s="4" t="inlineStr">
        <is>
          <t>Screening</t>
        </is>
      </c>
      <c r="E186" s="4" t="inlineStr">
        <is>
          <t>Hybrid</t>
        </is>
      </c>
      <c r="F186" s="4" t="inlineStr">
        <is>
          <t>Image (subtype unresolved)</t>
        </is>
      </c>
      <c r="G186" s="4" t="inlineStr">
        <is>
          <t>Not clear</t>
        </is>
      </c>
      <c r="H186" s="4" t="inlineStr">
        <is>
          <t>Classification (binary/multi-class; incl. ASD vs control)/ multi-class)</t>
        </is>
      </c>
      <c r="I186" s="4" t="inlineStr">
        <is>
          <t>Screening</t>
        </is>
      </c>
      <c r="J186" s="4" t="inlineStr">
        <is>
          <t>Híbrido</t>
        </is>
      </c>
      <c r="K186" s="4" t="inlineStr">
        <is>
          <t>Imagen</t>
        </is>
      </c>
      <c r="L186" s="4" t="inlineStr">
        <is>
          <t>Etiqueta histórica conservada; no inferir subtipo desde el nombre</t>
        </is>
      </c>
      <c r="M186" s="4" t="inlineStr">
        <is>
          <t>Historical signals: title/abstract/notes; full-text completion not independently established</t>
        </is>
      </c>
      <c r="N186" s="4" t="n">
        <v>1</v>
      </c>
      <c r="O186" s="12" t="n"/>
      <c r="P186" s="41" t="n"/>
      <c r="Q186" s="4">
        <f>IF(COUNTIFS('ESTUDIOS'!$A$2:$A$455,$A186,'ESTUDIOS'!$I$2:$I$455,"")&gt;0,"",INDEX('ESTUDIOS'!$I$2:$I$455,MATCH($A186,'ESTUDIOS'!$A$2:$A$455,0)))</f>
        <v/>
      </c>
    </row>
    <row r="187" ht="60" customHeight="1">
      <c r="A187" s="4" t="inlineStr">
        <is>
          <t>204</t>
        </is>
      </c>
      <c r="B187" s="4" t="inlineStr">
        <is>
          <t>Historical</t>
        </is>
      </c>
      <c r="C187" s="4" t="inlineStr">
        <is>
          <t>Multi-task feature selection via supervised canonical graph matching for diagnosis of autism spectrum disorder</t>
        </is>
      </c>
      <c r="D187" s="4" t="inlineStr">
        <is>
          <t>Diagnosis</t>
        </is>
      </c>
      <c r="E187" s="4" t="inlineStr">
        <is>
          <t>Machine Learning</t>
        </is>
      </c>
      <c r="F187" s="4" t="inlineStr">
        <is>
          <t>Not specified</t>
        </is>
      </c>
      <c r="G187" s="4" t="inlineStr">
        <is>
          <t>Other</t>
        </is>
      </c>
      <c r="H187" s="4" t="inlineStr">
        <is>
          <t>Classification (binary/multi-class; incl. ASD vs control)/ multi-class)</t>
        </is>
      </c>
      <c r="I187" s="4" t="inlineStr">
        <is>
          <t>Diagnosis</t>
        </is>
      </c>
      <c r="J187" s="4" t="inlineStr">
        <is>
          <t>Machine Learning</t>
        </is>
      </c>
      <c r="K187" s="4" t="inlineStr">
        <is>
          <t>No especificado</t>
        </is>
      </c>
      <c r="L187" s="4" t="inlineStr">
        <is>
          <t>Sin asignación por falta de detalle</t>
        </is>
      </c>
      <c r="M187" s="4" t="inlineStr">
        <is>
          <t>Historical signals: title/abstract/notes; full-text completion not independently established</t>
        </is>
      </c>
      <c r="N187" s="4" t="n">
        <v>1</v>
      </c>
      <c r="O187" s="12" t="n"/>
      <c r="P187" s="41" t="n"/>
      <c r="Q187" s="4">
        <f>IF(COUNTIFS('ESTUDIOS'!$A$2:$A$455,$A187,'ESTUDIOS'!$I$2:$I$455,"")&gt;0,"",INDEX('ESTUDIOS'!$I$2:$I$455,MATCH($A187,'ESTUDIOS'!$A$2:$A$455,0)))</f>
        <v/>
      </c>
    </row>
    <row r="188" ht="34" customHeight="1">
      <c r="A188" s="4" t="inlineStr">
        <is>
          <t>205</t>
        </is>
      </c>
      <c r="B188" s="4" t="inlineStr">
        <is>
          <t>Historical</t>
        </is>
      </c>
      <c r="C188" s="4" t="inlineStr">
        <is>
          <t>Off-Body Sleep Analysis for Predicting Adverse Behavior in Individuals With Autism Spectrum Disorder</t>
        </is>
      </c>
      <c r="D188" s="4" t="inlineStr">
        <is>
          <t>Monitoring/intervention</t>
        </is>
      </c>
      <c r="E188" s="4" t="inlineStr">
        <is>
          <t>Deep Learning</t>
        </is>
      </c>
      <c r="F188" s="4" t="inlineStr">
        <is>
          <t>Image (subtype unresolved)</t>
        </is>
      </c>
      <c r="G188" s="4" t="inlineStr">
        <is>
          <t>Other / Not clear</t>
        </is>
      </c>
      <c r="H188" s="4" t="inlineStr">
        <is>
          <t>Prediction (time-to-event / prognosis)</t>
        </is>
      </c>
      <c r="I188" s="4" t="inlineStr">
        <is>
          <t>Monitoring/intervention</t>
        </is>
      </c>
      <c r="J188" s="4" t="inlineStr">
        <is>
          <t>Deep Learning</t>
        </is>
      </c>
      <c r="K188" s="4" t="inlineStr">
        <is>
          <t>Imagen</t>
        </is>
      </c>
      <c r="L188" s="4" t="inlineStr">
        <is>
          <t>Etiqueta histórica conservada; no inferir subtipo desde el nombre</t>
        </is>
      </c>
      <c r="M188" s="4" t="inlineStr">
        <is>
          <t>Historical signals: title/abstract/notes; full-text completion not independently established</t>
        </is>
      </c>
      <c r="N188" s="4" t="n">
        <v>1</v>
      </c>
      <c r="O188" s="12" t="n"/>
      <c r="P188" s="41" t="n"/>
      <c r="Q188" s="4">
        <f>IF(COUNTIFS('ESTUDIOS'!$A$2:$A$455,$A188,'ESTUDIOS'!$I$2:$I$455,"")&gt;0,"",INDEX('ESTUDIOS'!$I$2:$I$455,MATCH($A188,'ESTUDIOS'!$A$2:$A$455,0)))</f>
        <v/>
      </c>
    </row>
    <row r="189" ht="47" customHeight="1">
      <c r="A189" s="4" t="inlineStr">
        <is>
          <t>206</t>
        </is>
      </c>
      <c r="B189" s="4" t="inlineStr">
        <is>
          <t>Historical</t>
        </is>
      </c>
      <c r="C189" s="4" t="inlineStr">
        <is>
          <t>Overlaps in brain dynamic functional connectivity between schizophrenia and autism spectrum disorder</t>
        </is>
      </c>
      <c r="D189" s="4" t="inlineStr">
        <is>
          <t>Diagnosis</t>
        </is>
      </c>
      <c r="E189" s="4" t="inlineStr">
        <is>
          <t>Deep Learning</t>
        </is>
      </c>
      <c r="F189" s="4" t="inlineStr">
        <is>
          <t>Multiple modalities (as coded)</t>
        </is>
      </c>
      <c r="G189" s="4" t="inlineStr">
        <is>
          <t>Other / Not clear</t>
        </is>
      </c>
      <c r="H189" s="4" t="inlineStr">
        <is>
          <t>Classification (ASD vs control / multi-class)</t>
        </is>
      </c>
      <c r="I189" s="4" t="inlineStr">
        <is>
          <t>Diagnosis</t>
        </is>
      </c>
      <c r="J189" s="4" t="inlineStr">
        <is>
          <t>Deep Learning</t>
        </is>
      </c>
      <c r="K189" s="4" t="inlineStr">
        <is>
          <t>Multimodal</t>
        </is>
      </c>
      <c r="L189" s="4" t="inlineStr">
        <is>
          <t>Etiqueta histórica conservada; no inferir subtipo desde el nombre</t>
        </is>
      </c>
      <c r="M189" s="4" t="inlineStr">
        <is>
          <t>Historical signals: title/abstract/notes; full-text completion not independently established</t>
        </is>
      </c>
      <c r="N189" s="4" t="n">
        <v>0</v>
      </c>
      <c r="O189" s="12" t="n"/>
      <c r="P189" s="41" t="n"/>
      <c r="Q189" s="4">
        <f>IF(COUNTIFS('ESTUDIOS'!$A$2:$A$455,$A189,'ESTUDIOS'!$I$2:$I$455,"")&gt;0,"",INDEX('ESTUDIOS'!$I$2:$I$455,MATCH($A189,'ESTUDIOS'!$A$2:$A$455,0)))</f>
        <v/>
      </c>
    </row>
    <row r="190" ht="60" customHeight="1">
      <c r="A190" s="4" t="inlineStr">
        <is>
          <t>207</t>
        </is>
      </c>
      <c r="B190" s="4" t="inlineStr">
        <is>
          <t>Historical</t>
        </is>
      </c>
      <c r="C190" s="4" t="inlineStr">
        <is>
          <t>Persistent spectral based machine learning method for autism spectrum disorder classification</t>
        </is>
      </c>
      <c r="D190" s="4" t="inlineStr">
        <is>
          <t>Diagnosis</t>
        </is>
      </c>
      <c r="E190" s="4" t="inlineStr">
        <is>
          <t>Deep Learning</t>
        </is>
      </c>
      <c r="F190" s="4" t="inlineStr">
        <is>
          <t>Physiological signals</t>
        </is>
      </c>
      <c r="G190" s="4" t="inlineStr">
        <is>
          <t>Not clear</t>
        </is>
      </c>
      <c r="H190" s="4" t="inlineStr">
        <is>
          <t>Classification (binary/multi-class; incl. ASD vs control)/ multi-class)</t>
        </is>
      </c>
      <c r="I190" s="4" t="inlineStr">
        <is>
          <t>diagnosis</t>
        </is>
      </c>
      <c r="J190" s="4" t="inlineStr">
        <is>
          <t>Deep Learning</t>
        </is>
      </c>
      <c r="K190" s="4" t="inlineStr">
        <is>
          <t>Señales fisiológicas</t>
        </is>
      </c>
      <c r="L190" s="4" t="inlineStr">
        <is>
          <t>Etiqueta histórica conservada; no inferir subtipo desde el nombre</t>
        </is>
      </c>
      <c r="M190" s="4" t="inlineStr">
        <is>
          <t>Historical signals: title/abstract/notes; full-text completion not independently established</t>
        </is>
      </c>
      <c r="N190" s="4" t="n">
        <v>0</v>
      </c>
      <c r="O190" s="12" t="n"/>
      <c r="P190" s="41" t="n"/>
      <c r="Q190" s="4">
        <f>IF(COUNTIFS('ESTUDIOS'!$A$2:$A$455,$A190,'ESTUDIOS'!$I$2:$I$455,"")&gt;0,"",INDEX('ESTUDIOS'!$I$2:$I$455,MATCH($A190,'ESTUDIOS'!$A$2:$A$455,0)))</f>
        <v/>
      </c>
    </row>
    <row r="191" ht="60" customHeight="1">
      <c r="A191" s="4" t="inlineStr">
        <is>
          <t>208</t>
        </is>
      </c>
      <c r="B191" s="4" t="inlineStr">
        <is>
          <t>Historical</t>
        </is>
      </c>
      <c r="C191" s="4" t="inlineStr">
        <is>
          <t>Phenotypic differences between female and male individuals with suspicion of autism spectrum disorder</t>
        </is>
      </c>
      <c r="D191" s="4" t="inlineStr">
        <is>
          <t>Diagnosis</t>
        </is>
      </c>
      <c r="E191" s="4" t="inlineStr">
        <is>
          <t>Machine Learning</t>
        </is>
      </c>
      <c r="F191" s="4" t="inlineStr">
        <is>
          <t>Not specified</t>
        </is>
      </c>
      <c r="G191" s="4" t="inlineStr">
        <is>
          <t>Random Forest</t>
        </is>
      </c>
      <c r="H191" s="4" t="inlineStr">
        <is>
          <t>Classification (binary/multi-class; incl. ASD vs control)/ multi-class)</t>
        </is>
      </c>
      <c r="I191" s="4" t="inlineStr">
        <is>
          <t>diagnosis</t>
        </is>
      </c>
      <c r="J191" s="4" t="inlineStr">
        <is>
          <t>Machine Learning</t>
        </is>
      </c>
      <c r="K191" s="4" t="inlineStr">
        <is>
          <t>No especificado</t>
        </is>
      </c>
      <c r="L191" s="4" t="inlineStr">
        <is>
          <t>Sin asignación por falta de detalle</t>
        </is>
      </c>
      <c r="M191" s="4" t="inlineStr">
        <is>
          <t>Historical signals: title/abstract/notes; full-text completion not independently established</t>
        </is>
      </c>
      <c r="N191" s="4" t="n">
        <v>1</v>
      </c>
      <c r="O191" s="12" t="n"/>
      <c r="P191" s="41" t="n"/>
      <c r="Q191" s="4">
        <f>IF(COUNTIFS('ESTUDIOS'!$A$2:$A$455,$A191,'ESTUDIOS'!$I$2:$I$455,"")&gt;0,"",INDEX('ESTUDIOS'!$I$2:$I$455,MATCH($A191,'ESTUDIOS'!$A$2:$A$455,0)))</f>
        <v/>
      </c>
    </row>
    <row r="192" ht="47" customHeight="1">
      <c r="A192" s="4" t="inlineStr">
        <is>
          <t>209</t>
        </is>
      </c>
      <c r="B192" s="4" t="inlineStr">
        <is>
          <t>Historical</t>
        </is>
      </c>
      <c r="C192" s="4" t="inlineStr">
        <is>
          <t>Predicting individual autistic symptoms for patients with autism spectrum disorder using interregional morphological connectivity</t>
        </is>
      </c>
      <c r="D192" s="4" t="inlineStr">
        <is>
          <t>Monitoring/intervention</t>
        </is>
      </c>
      <c r="E192" s="4" t="inlineStr">
        <is>
          <t>Machine Learning</t>
        </is>
      </c>
      <c r="F192" s="4" t="inlineStr">
        <is>
          <t>Multiple modalities (as coded)</t>
        </is>
      </c>
      <c r="G192" s="4" t="inlineStr">
        <is>
          <t>Other / Not clear</t>
        </is>
      </c>
      <c r="H192" s="4" t="inlineStr">
        <is>
          <t>Regression (score / severity / risk)</t>
        </is>
      </c>
      <c r="I192" s="4" t="inlineStr">
        <is>
          <t>Monitoring/intervention</t>
        </is>
      </c>
      <c r="J192" s="4" t="inlineStr">
        <is>
          <t>Machine Learning</t>
        </is>
      </c>
      <c r="K192" s="4" t="inlineStr">
        <is>
          <t>Multimodal</t>
        </is>
      </c>
      <c r="L192" s="4" t="inlineStr">
        <is>
          <t>Etiqueta histórica conservada; no inferir subtipo desde el nombre</t>
        </is>
      </c>
      <c r="M192" s="4" t="inlineStr">
        <is>
          <t>Historical signals: title/abstract/notes; full-text completion not independently established</t>
        </is>
      </c>
      <c r="N192" s="4" t="n">
        <v>0</v>
      </c>
      <c r="O192" s="12" t="n"/>
      <c r="P192" s="41" t="n"/>
      <c r="Q192" s="4">
        <f>IF(COUNTIFS('ESTUDIOS'!$A$2:$A$455,$A192,'ESTUDIOS'!$I$2:$I$455,"")&gt;0,"",INDEX('ESTUDIOS'!$I$2:$I$455,MATCH($A192,'ESTUDIOS'!$A$2:$A$455,0)))</f>
        <v/>
      </c>
    </row>
    <row r="193" ht="60" customHeight="1">
      <c r="A193" s="4" t="inlineStr">
        <is>
          <t>210</t>
        </is>
      </c>
      <c r="B193" s="4" t="inlineStr">
        <is>
          <t>Historical</t>
        </is>
      </c>
      <c r="C193" s="4" t="inlineStr">
        <is>
          <t>Prediction of Behavioral Improvement Through Resting-State Electroencephalography and Clinical Severity in a Randomized Controlled Trial Testing Bumetanide in Autism Spectrum Disorder</t>
        </is>
      </c>
      <c r="D193" s="4" t="inlineStr">
        <is>
          <t>Monitoring/intervention</t>
        </is>
      </c>
      <c r="E193" s="4" t="inlineStr">
        <is>
          <t>Deep Learning</t>
        </is>
      </c>
      <c r="F193" s="4" t="inlineStr">
        <is>
          <t>Physiological signals</t>
        </is>
      </c>
      <c r="G193" s="4" t="inlineStr">
        <is>
          <t>Other / Not clear</t>
        </is>
      </c>
      <c r="H193" s="4" t="inlineStr">
        <is>
          <t>Prediction (time-to-event / prognosis)</t>
        </is>
      </c>
      <c r="I193" s="4" t="inlineStr">
        <is>
          <t>Monitoring/intervention</t>
        </is>
      </c>
      <c r="J193" s="4" t="inlineStr">
        <is>
          <t>Deep Learning</t>
        </is>
      </c>
      <c r="K193" s="4" t="inlineStr">
        <is>
          <t>Señales fisiológicas</t>
        </is>
      </c>
      <c r="L193" s="4" t="inlineStr">
        <is>
          <t>Etiqueta histórica conservada; no inferir subtipo desde el nombre</t>
        </is>
      </c>
      <c r="M193" s="4" t="inlineStr">
        <is>
          <t>Historical signals: title/abstract/notes; full-text completion not independently established</t>
        </is>
      </c>
      <c r="N193" s="4" t="n">
        <v>0</v>
      </c>
      <c r="O193" s="12" t="n"/>
      <c r="P193" s="41" t="n"/>
      <c r="Q193" s="4">
        <f>IF(COUNTIFS('ESTUDIOS'!$A$2:$A$455,$A193,'ESTUDIOS'!$I$2:$I$455,"")&gt;0,"",INDEX('ESTUDIOS'!$I$2:$I$455,MATCH($A193,'ESTUDIOS'!$A$2:$A$455,0)))</f>
        <v/>
      </c>
    </row>
    <row r="194" ht="47" customHeight="1">
      <c r="A194" s="4" t="inlineStr">
        <is>
          <t>211</t>
        </is>
      </c>
      <c r="B194" s="4" t="inlineStr">
        <is>
          <t>Historical</t>
        </is>
      </c>
      <c r="C194" s="4" t="inlineStr">
        <is>
          <t>Prediction of Outcomes in Mini-Basketball Training Program for Preschool Children with Autism Using Machine Learning Models</t>
        </is>
      </c>
      <c r="D194" s="4" t="inlineStr">
        <is>
          <t>Monitoring/intervention</t>
        </is>
      </c>
      <c r="E194" s="4" t="inlineStr">
        <is>
          <t>Machine Learning</t>
        </is>
      </c>
      <c r="F194" s="4" t="inlineStr">
        <is>
          <t>Not specified</t>
        </is>
      </c>
      <c r="G194" s="4" t="inlineStr">
        <is>
          <t>SVM</t>
        </is>
      </c>
      <c r="H194" s="4" t="inlineStr">
        <is>
          <t>Regression (score / severity / risk)</t>
        </is>
      </c>
      <c r="I194" s="4" t="inlineStr">
        <is>
          <t>monitoring_intervention</t>
        </is>
      </c>
      <c r="J194" s="4" t="inlineStr">
        <is>
          <t>Machine Learning</t>
        </is>
      </c>
      <c r="K194" s="4" t="inlineStr">
        <is>
          <t>No especificado</t>
        </is>
      </c>
      <c r="L194" s="4" t="inlineStr">
        <is>
          <t>Sin asignación por falta de detalle</t>
        </is>
      </c>
      <c r="M194" s="4" t="inlineStr">
        <is>
          <t>Historical signals: title/abstract/notes; full-text completion not independently established</t>
        </is>
      </c>
      <c r="N194" s="4" t="n">
        <v>1</v>
      </c>
      <c r="O194" s="12" t="n"/>
      <c r="P194" s="41" t="n"/>
      <c r="Q194" s="4">
        <f>IF(COUNTIFS('ESTUDIOS'!$A$2:$A$455,$A194,'ESTUDIOS'!$I$2:$I$455,"")&gt;0,"",INDEX('ESTUDIOS'!$I$2:$I$455,MATCH($A194,'ESTUDIOS'!$A$2:$A$455,0)))</f>
        <v/>
      </c>
    </row>
    <row r="195" ht="60" customHeight="1">
      <c r="A195" s="4" t="inlineStr">
        <is>
          <t>212</t>
        </is>
      </c>
      <c r="B195" s="4" t="inlineStr">
        <is>
          <t>Historical</t>
        </is>
      </c>
      <c r="C195" s="4" t="inlineStr">
        <is>
          <t>Pre-trained artificial intelligence language model represents pragmatic language variability central to autism and genetically related phenotypes</t>
        </is>
      </c>
      <c r="D195" s="4" t="inlineStr">
        <is>
          <t>Monitoring/intervention</t>
        </is>
      </c>
      <c r="E195" s="4" t="inlineStr">
        <is>
          <t>Deep Learning</t>
        </is>
      </c>
      <c r="F195" s="4" t="inlineStr">
        <is>
          <t>Text / NLP (legacy; verify input type)</t>
        </is>
      </c>
      <c r="G195" s="4" t="inlineStr">
        <is>
          <t>Transformer</t>
        </is>
      </c>
      <c r="H195" s="4" t="inlineStr">
        <is>
          <t>Classification (binary/multi-class; incl. ASD vs control)/ multi-class)</t>
        </is>
      </c>
      <c r="I195" s="4" t="inlineStr">
        <is>
          <t>Monitoring/intervention</t>
        </is>
      </c>
      <c r="J195" s="4" t="inlineStr">
        <is>
          <t>Deep Learning</t>
        </is>
      </c>
      <c r="K195" s="4" t="inlineStr">
        <is>
          <t>Texto · NLP</t>
        </is>
      </c>
      <c r="L195" s="4" t="inlineStr">
        <is>
          <t>Etiqueta histórica conservada; no inferir subtipo desde el nombre</t>
        </is>
      </c>
      <c r="M195" s="4" t="inlineStr">
        <is>
          <t>Historical signals: title/abstract/notes; full-text completion not independently established</t>
        </is>
      </c>
      <c r="N195" s="4" t="n">
        <v>1</v>
      </c>
      <c r="O195" s="12" t="n"/>
      <c r="P195" s="41" t="n"/>
      <c r="Q195" s="4">
        <f>IF(COUNTIFS('ESTUDIOS'!$A$2:$A$455,$A195,'ESTUDIOS'!$I$2:$I$455,"")&gt;0,"",INDEX('ESTUDIOS'!$I$2:$I$455,MATCH($A195,'ESTUDIOS'!$A$2:$A$455,0)))</f>
        <v/>
      </c>
    </row>
    <row r="196" ht="47" customHeight="1">
      <c r="A196" s="4" t="inlineStr">
        <is>
          <t>213</t>
        </is>
      </c>
      <c r="B196" s="4" t="inlineStr">
        <is>
          <t>Historical</t>
        </is>
      </c>
      <c r="C196" s="4" t="inlineStr">
        <is>
          <t>Resting state functional magnetic resonance imaging and neural network classified autism and control</t>
        </is>
      </c>
      <c r="D196" s="4" t="inlineStr">
        <is>
          <t>Diagnosis</t>
        </is>
      </c>
      <c r="E196" s="4" t="inlineStr">
        <is>
          <t>Deep Learning</t>
        </is>
      </c>
      <c r="F196" s="4" t="inlineStr">
        <is>
          <t>Physiological signals</t>
        </is>
      </c>
      <c r="G196" s="4" t="inlineStr">
        <is>
          <t>Other / Not clear</t>
        </is>
      </c>
      <c r="H196" s="4" t="inlineStr">
        <is>
          <t>Classification (ASD vs control / multi-class)</t>
        </is>
      </c>
      <c r="I196" s="4" t="inlineStr">
        <is>
          <t>Diagnosis</t>
        </is>
      </c>
      <c r="J196" s="4" t="inlineStr">
        <is>
          <t>Deep Learning</t>
        </is>
      </c>
      <c r="K196" s="4" t="inlineStr">
        <is>
          <t>Señales fisiológicas</t>
        </is>
      </c>
      <c r="L196" s="4" t="inlineStr">
        <is>
          <t>Etiqueta histórica conservada; no inferir subtipo desde el nombre</t>
        </is>
      </c>
      <c r="M196" s="4" t="inlineStr">
        <is>
          <t>Historical signals: title/abstract/notes; full-text completion not independently established</t>
        </is>
      </c>
      <c r="N196" s="4" t="n">
        <v>0</v>
      </c>
      <c r="O196" s="12" t="n"/>
      <c r="P196" s="41" t="n"/>
      <c r="Q196" s="4">
        <f>IF(COUNTIFS('ESTUDIOS'!$A$2:$A$455,$A196,'ESTUDIOS'!$I$2:$I$455,"")&gt;0,"",INDEX('ESTUDIOS'!$I$2:$I$455,MATCH($A196,'ESTUDIOS'!$A$2:$A$455,0)))</f>
        <v/>
      </c>
    </row>
    <row r="197" ht="60" customHeight="1">
      <c r="A197" s="4" t="inlineStr">
        <is>
          <t>214</t>
        </is>
      </c>
      <c r="B197" s="4" t="inlineStr">
        <is>
          <t>Historical</t>
        </is>
      </c>
      <c r="C197" s="4" t="inlineStr">
        <is>
          <t>Self-Paced Learning and Privileged Information based Cascaded Multi-column Classification algorithm for ASD diagnosis</t>
        </is>
      </c>
      <c r="D197" s="4" t="inlineStr">
        <is>
          <t>Diagnosis</t>
        </is>
      </c>
      <c r="E197" s="4" t="inlineStr">
        <is>
          <t>Deep Learning</t>
        </is>
      </c>
      <c r="F197" s="4" t="inlineStr">
        <is>
          <t>Image (subtype unresolved)</t>
        </is>
      </c>
      <c r="G197" s="4" t="inlineStr">
        <is>
          <t>Other</t>
        </is>
      </c>
      <c r="H197" s="4" t="inlineStr">
        <is>
          <t>Classification (binary/multi-class; incl. ASD vs control)/ multi-class)</t>
        </is>
      </c>
      <c r="I197" s="4" t="inlineStr">
        <is>
          <t>Diagnosis</t>
        </is>
      </c>
      <c r="J197" s="4" t="inlineStr">
        <is>
          <t>Deep Learning</t>
        </is>
      </c>
      <c r="K197" s="4" t="inlineStr">
        <is>
          <t>Imagen</t>
        </is>
      </c>
      <c r="L197" s="4" t="inlineStr">
        <is>
          <t>Etiqueta histórica conservada; no inferir subtipo desde el nombre</t>
        </is>
      </c>
      <c r="M197" s="4" t="inlineStr">
        <is>
          <t>Historical signals: title/abstract/notes; full-text completion not independently established</t>
        </is>
      </c>
      <c r="N197" s="4" t="n">
        <v>1</v>
      </c>
      <c r="O197" s="12" t="n"/>
      <c r="P197" s="41" t="n"/>
      <c r="Q197" s="4">
        <f>IF(COUNTIFS('ESTUDIOS'!$A$2:$A$455,$A197,'ESTUDIOS'!$I$2:$I$455,"")&gt;0,"",INDEX('ESTUDIOS'!$I$2:$I$455,MATCH($A197,'ESTUDIOS'!$A$2:$A$455,0)))</f>
        <v/>
      </c>
    </row>
    <row r="198" ht="60" customHeight="1">
      <c r="A198" s="4" t="inlineStr">
        <is>
          <t>215</t>
        </is>
      </c>
      <c r="B198" s="4" t="inlineStr">
        <is>
          <t>Historical</t>
        </is>
      </c>
      <c r="C198" s="4" t="inlineStr">
        <is>
          <t>Smartphone Haptics Can Uncover Differences in Touch Interactions Between ASD and Neurotypicals</t>
        </is>
      </c>
      <c r="D198" s="4" t="inlineStr">
        <is>
          <t>Screening</t>
        </is>
      </c>
      <c r="E198" s="4" t="inlineStr">
        <is>
          <t>Deep Learning</t>
        </is>
      </c>
      <c r="F198" s="4" t="inlineStr">
        <is>
          <t>Physiological signals</t>
        </is>
      </c>
      <c r="G198" s="4" t="inlineStr">
        <is>
          <t>Logistic Regression</t>
        </is>
      </c>
      <c r="H198" s="4" t="inlineStr">
        <is>
          <t>Classification (binary/multi-class; incl. ASD vs control)/ multi-class)</t>
        </is>
      </c>
      <c r="I198" s="4" t="inlineStr">
        <is>
          <t>Screening</t>
        </is>
      </c>
      <c r="J198" s="4" t="inlineStr">
        <is>
          <t>Deep Learning</t>
        </is>
      </c>
      <c r="K198" s="4" t="inlineStr">
        <is>
          <t>Señales fisiológicas</t>
        </is>
      </c>
      <c r="L198" s="4" t="inlineStr">
        <is>
          <t>Etiqueta histórica conservada; no inferir subtipo desde el nombre</t>
        </is>
      </c>
      <c r="M198" s="4" t="inlineStr">
        <is>
          <t>Historical signals: title/abstract/notes; full-text completion not independently established</t>
        </is>
      </c>
      <c r="N198" s="4" t="n">
        <v>0</v>
      </c>
      <c r="O198" s="12" t="n"/>
      <c r="P198" s="41" t="n"/>
      <c r="Q198" s="4">
        <f>IF(COUNTIFS('ESTUDIOS'!$A$2:$A$455,$A198,'ESTUDIOS'!$I$2:$I$455,"")&gt;0,"",INDEX('ESTUDIOS'!$I$2:$I$455,MATCH($A198,'ESTUDIOS'!$A$2:$A$455,0)))</f>
        <v/>
      </c>
    </row>
    <row r="199" ht="60" customHeight="1">
      <c r="A199" s="4" t="inlineStr">
        <is>
          <t>216</t>
        </is>
      </c>
      <c r="B199" s="4" t="inlineStr">
        <is>
          <t>Historical</t>
        </is>
      </c>
      <c r="C199" s="4" t="inlineStr">
        <is>
          <t>Targeted metabolomics in children with autism spectrum disorder with and without developmental regression</t>
        </is>
      </c>
      <c r="D199" s="4" t="inlineStr">
        <is>
          <t>Diagnosis</t>
        </is>
      </c>
      <c r="E199" s="4" t="inlineStr">
        <is>
          <t>Machine Learning</t>
        </is>
      </c>
      <c r="F199" s="4" t="inlineStr">
        <is>
          <t>Not specified</t>
        </is>
      </c>
      <c r="G199" s="4" t="inlineStr">
        <is>
          <t>Random Forest</t>
        </is>
      </c>
      <c r="H199" s="4" t="inlineStr">
        <is>
          <t>Classification (binary/multi-class; incl. ASD vs control)/ multi-class)</t>
        </is>
      </c>
      <c r="I199" s="4" t="inlineStr">
        <is>
          <t>diagnosis</t>
        </is>
      </c>
      <c r="J199" s="4" t="inlineStr">
        <is>
          <t>Machine Learning</t>
        </is>
      </c>
      <c r="K199" s="4" t="inlineStr">
        <is>
          <t>No especificado</t>
        </is>
      </c>
      <c r="L199" s="4" t="inlineStr">
        <is>
          <t>Sin asignación por falta de detalle</t>
        </is>
      </c>
      <c r="M199" s="4" t="inlineStr">
        <is>
          <t>Historical signals: title/abstract/notes; full-text completion not independently established</t>
        </is>
      </c>
      <c r="N199" s="4" t="n">
        <v>1</v>
      </c>
      <c r="O199" s="12" t="n"/>
      <c r="P199" s="41" t="n"/>
      <c r="Q199" s="4">
        <f>IF(COUNTIFS('ESTUDIOS'!$A$2:$A$455,$A199,'ESTUDIOS'!$I$2:$I$455,"")&gt;0,"",INDEX('ESTUDIOS'!$I$2:$I$455,MATCH($A199,'ESTUDIOS'!$A$2:$A$455,0)))</f>
        <v/>
      </c>
    </row>
    <row r="200" ht="60" customHeight="1">
      <c r="A200" s="4" t="inlineStr">
        <is>
          <t>217</t>
        </is>
      </c>
      <c r="B200" s="4" t="inlineStr">
        <is>
          <t>Historical</t>
        </is>
      </c>
      <c r="C200" s="4" t="inlineStr">
        <is>
          <t>Twinned neuroimaging analysis contributes to improving the classification of young people with autism spectrum disorder</t>
        </is>
      </c>
      <c r="D200" s="4" t="inlineStr">
        <is>
          <t>Diagnosis</t>
        </is>
      </c>
      <c r="E200" s="4" t="inlineStr">
        <is>
          <t>Deep Learning</t>
        </is>
      </c>
      <c r="F200" s="4" t="inlineStr">
        <is>
          <t>Image (subtype unresolved)</t>
        </is>
      </c>
      <c r="G200" s="4" t="inlineStr">
        <is>
          <t>CNN</t>
        </is>
      </c>
      <c r="H200" s="4" t="inlineStr">
        <is>
          <t>Classification (binary/multi-class; incl. ASD vs control)/ multi-class)</t>
        </is>
      </c>
      <c r="I200" s="4" t="inlineStr">
        <is>
          <t>Diagnosis</t>
        </is>
      </c>
      <c r="J200" s="4" t="inlineStr">
        <is>
          <t>Deep Learning</t>
        </is>
      </c>
      <c r="K200" s="4" t="inlineStr">
        <is>
          <t>Imagen</t>
        </is>
      </c>
      <c r="L200" s="4" t="inlineStr">
        <is>
          <t>Etiqueta histórica conservada; no inferir subtipo desde el nombre</t>
        </is>
      </c>
      <c r="M200" s="4" t="inlineStr">
        <is>
          <t>Historical signals: title/abstract/notes; full-text completion not independently established</t>
        </is>
      </c>
      <c r="N200" s="4" t="n">
        <v>1</v>
      </c>
      <c r="O200" s="12" t="n"/>
      <c r="P200" s="41" t="n"/>
      <c r="Q200" s="4">
        <f>IF(COUNTIFS('ESTUDIOS'!$A$2:$A$455,$A200,'ESTUDIOS'!$I$2:$I$455,"")&gt;0,"",INDEX('ESTUDIOS'!$I$2:$I$455,MATCH($A200,'ESTUDIOS'!$A$2:$A$455,0)))</f>
        <v/>
      </c>
    </row>
    <row r="201" ht="47" customHeight="1">
      <c r="A201" s="4" t="inlineStr">
        <is>
          <t>218</t>
        </is>
      </c>
      <c r="B201" s="4" t="inlineStr">
        <is>
          <t>Historical</t>
        </is>
      </c>
      <c r="C201" s="4" t="inlineStr">
        <is>
          <t>Using a small dataset to classify strength-interactions with an elastic display: a case study for the screening of autism spectrum disorder</t>
        </is>
      </c>
      <c r="D201" s="4" t="inlineStr">
        <is>
          <t>Screening</t>
        </is>
      </c>
      <c r="E201" s="4" t="inlineStr">
        <is>
          <t>Deep Learning</t>
        </is>
      </c>
      <c r="F201" s="4" t="inlineStr">
        <is>
          <t>Image (subtype unresolved)</t>
        </is>
      </c>
      <c r="G201" s="4" t="inlineStr">
        <is>
          <t>Other / Not clear</t>
        </is>
      </c>
      <c r="H201" s="4" t="inlineStr">
        <is>
          <t>Classification (ASD vs control / multi-class)</t>
        </is>
      </c>
      <c r="I201" s="4" t="inlineStr">
        <is>
          <t>Screening</t>
        </is>
      </c>
      <c r="J201" s="4" t="inlineStr">
        <is>
          <t>Deep Learning</t>
        </is>
      </c>
      <c r="K201" s="4" t="inlineStr">
        <is>
          <t>Imagen</t>
        </is>
      </c>
      <c r="L201" s="4" t="inlineStr">
        <is>
          <t>Etiqueta histórica conservada; no inferir subtipo desde el nombre</t>
        </is>
      </c>
      <c r="M201" s="4" t="inlineStr">
        <is>
          <t>Historical signals: title/abstract/notes; full-text completion not independently established</t>
        </is>
      </c>
      <c r="N201" s="4" t="n">
        <v>1</v>
      </c>
      <c r="O201" s="12" t="n"/>
      <c r="P201" s="41" t="n"/>
      <c r="Q201" s="4">
        <f>IF(COUNTIFS('ESTUDIOS'!$A$2:$A$455,$A201,'ESTUDIOS'!$I$2:$I$455,"")&gt;0,"",INDEX('ESTUDIOS'!$I$2:$I$455,MATCH($A201,'ESTUDIOS'!$A$2:$A$455,0)))</f>
        <v/>
      </c>
    </row>
    <row r="202" ht="47" customHeight="1">
      <c r="A202" s="4" t="inlineStr">
        <is>
          <t>219</t>
        </is>
      </c>
      <c r="B202" s="4" t="inlineStr">
        <is>
          <t>Historical</t>
        </is>
      </c>
      <c r="C202" s="4" t="inlineStr">
        <is>
          <t>Wearable EEG Neurofeedback Based-on Machine Learning Algorithms for Children with Autism: A Randomized, Placebo-controlled Study</t>
        </is>
      </c>
      <c r="D202" s="4" t="inlineStr">
        <is>
          <t>Monitoring/intervention</t>
        </is>
      </c>
      <c r="E202" s="4" t="inlineStr">
        <is>
          <t>Deep Learning</t>
        </is>
      </c>
      <c r="F202" s="4" t="inlineStr">
        <is>
          <t>Image (subtype unresolved)</t>
        </is>
      </c>
      <c r="G202" s="4" t="n"/>
      <c r="H202" s="4" t="inlineStr">
        <is>
          <t>Wearable EEG neurofeedback intervention</t>
        </is>
      </c>
      <c r="I202" s="4" t="inlineStr">
        <is>
          <t>Monitoring/intervention</t>
        </is>
      </c>
      <c r="J202" s="4" t="inlineStr">
        <is>
          <t>Deep Learning</t>
        </is>
      </c>
      <c r="K202" s="4" t="inlineStr">
        <is>
          <t>Imagen</t>
        </is>
      </c>
      <c r="L202" s="4" t="inlineStr">
        <is>
          <t>Etiqueta histórica conservada; no inferir subtipo desde el nombre</t>
        </is>
      </c>
      <c r="M202" s="4" t="inlineStr">
        <is>
          <t>Historical signals: title/abstract/notes; full-text completion not independently established</t>
        </is>
      </c>
      <c r="N202" s="4" t="n">
        <v>1</v>
      </c>
      <c r="O202" s="12" t="n"/>
      <c r="P202" s="41" t="n"/>
      <c r="Q202" s="4">
        <f>IF(COUNTIFS('ESTUDIOS'!$A$2:$A$455,$A202,'ESTUDIOS'!$I$2:$I$455,"")&gt;0,"",INDEX('ESTUDIOS'!$I$2:$I$455,MATCH($A202,'ESTUDIOS'!$A$2:$A$455,0)))</f>
        <v/>
      </c>
    </row>
    <row r="203" ht="60" customHeight="1">
      <c r="A203" s="4" t="inlineStr">
        <is>
          <t>220</t>
        </is>
      </c>
      <c r="B203" s="4" t="inlineStr">
        <is>
          <t>Historical</t>
        </is>
      </c>
      <c r="C203" s="4" t="inlineStr">
        <is>
          <t>1D-convolutional neural network and fast Walsh–Hadamard transform approach for diagnosing autism spectrum disorder</t>
        </is>
      </c>
      <c r="D203" s="4" t="inlineStr">
        <is>
          <t>Diagnosis</t>
        </is>
      </c>
      <c r="E203" s="4" t="inlineStr">
        <is>
          <t>Deep Learning</t>
        </is>
      </c>
      <c r="F203" s="4" t="inlineStr">
        <is>
          <t>Not specified</t>
        </is>
      </c>
      <c r="G203" s="4" t="inlineStr">
        <is>
          <t>CNN</t>
        </is>
      </c>
      <c r="H203" s="4" t="inlineStr">
        <is>
          <t>Classification (binary/multi-class; incl. ASD vs control)/ multi-class)</t>
        </is>
      </c>
      <c r="I203" s="4" t="inlineStr">
        <is>
          <t>diagnosis</t>
        </is>
      </c>
      <c r="J203" s="4" t="inlineStr">
        <is>
          <t>Deep Learning</t>
        </is>
      </c>
      <c r="K203" s="4" t="inlineStr">
        <is>
          <t>No especificado</t>
        </is>
      </c>
      <c r="L203" s="4" t="inlineStr">
        <is>
          <t>Sin asignación por falta de detalle</t>
        </is>
      </c>
      <c r="M203" s="4" t="inlineStr">
        <is>
          <t>Historical signals: title/abstract/notes; full-text completion not independently established</t>
        </is>
      </c>
      <c r="N203" s="4" t="n">
        <v>1</v>
      </c>
      <c r="O203" s="12" t="n"/>
      <c r="P203" s="41" t="n"/>
      <c r="Q203" s="4">
        <f>IF(COUNTIFS('ESTUDIOS'!$A$2:$A$455,$A203,'ESTUDIOS'!$I$2:$I$455,"")&gt;0,"",INDEX('ESTUDIOS'!$I$2:$I$455,MATCH($A203,'ESTUDIOS'!$A$2:$A$455,0)))</f>
        <v/>
      </c>
    </row>
    <row r="204" ht="34" customHeight="1">
      <c r="A204" s="4" t="inlineStr">
        <is>
          <t>221</t>
        </is>
      </c>
      <c r="B204" s="4" t="inlineStr">
        <is>
          <t>Historical</t>
        </is>
      </c>
      <c r="C204" s="4" t="inlineStr">
        <is>
          <t>A hybrid Stacking-SMOTE model for optimizing the prediction of autistic genes</t>
        </is>
      </c>
      <c r="D204" s="4" t="inlineStr">
        <is>
          <t>Diagnosis</t>
        </is>
      </c>
      <c r="E204" s="4" t="inlineStr">
        <is>
          <t>Machine Learning</t>
        </is>
      </c>
      <c r="F204" s="4" t="inlineStr">
        <is>
          <t>Not specified</t>
        </is>
      </c>
      <c r="G204" s="4" t="inlineStr">
        <is>
          <t>Other / Not clear</t>
        </is>
      </c>
      <c r="H204" s="4" t="inlineStr">
        <is>
          <t>Prediction (time-to-event / prognosis)</t>
        </is>
      </c>
      <c r="I204" s="4" t="inlineStr">
        <is>
          <t>Diagnosis</t>
        </is>
      </c>
      <c r="J204" s="4" t="inlineStr">
        <is>
          <t>Machine Learning</t>
        </is>
      </c>
      <c r="K204" s="4" t="inlineStr">
        <is>
          <t>No especificado</t>
        </is>
      </c>
      <c r="L204" s="4" t="inlineStr">
        <is>
          <t>Sin asignación por falta de detalle</t>
        </is>
      </c>
      <c r="M204" s="4" t="inlineStr">
        <is>
          <t>Historical signals: title/abstract/notes; full-text completion not independently established</t>
        </is>
      </c>
      <c r="N204" s="4" t="n">
        <v>1</v>
      </c>
      <c r="O204" s="12" t="n"/>
      <c r="P204" s="41" t="n"/>
      <c r="Q204" s="4">
        <f>IF(COUNTIFS('ESTUDIOS'!$A$2:$A$455,$A204,'ESTUDIOS'!$I$2:$I$455,"")&gt;0,"",INDEX('ESTUDIOS'!$I$2:$I$455,MATCH($A204,'ESTUDIOS'!$A$2:$A$455,0)))</f>
        <v/>
      </c>
    </row>
    <row r="205" ht="47" customHeight="1">
      <c r="A205" s="4" t="inlineStr">
        <is>
          <t>222</t>
        </is>
      </c>
      <c r="B205" s="4" t="inlineStr">
        <is>
          <t>Historical</t>
        </is>
      </c>
      <c r="C205" s="4" t="inlineStr">
        <is>
          <t>An amygdala-centered hyper-connectivity signature of threatening face processing predicts anxiety in youths with autism spectrum conditions</t>
        </is>
      </c>
      <c r="D205" s="4" t="inlineStr">
        <is>
          <t>Monitoring/intervention</t>
        </is>
      </c>
      <c r="E205" s="4" t="inlineStr">
        <is>
          <t>Machine Learning</t>
        </is>
      </c>
      <c r="F205" s="4" t="inlineStr">
        <is>
          <t>Image (subtype unresolved)</t>
        </is>
      </c>
      <c r="G205" s="4" t="inlineStr">
        <is>
          <t>SVM</t>
        </is>
      </c>
      <c r="H205" s="4" t="inlineStr">
        <is>
          <t>Prediction (time-to-event / prognosis)</t>
        </is>
      </c>
      <c r="I205" s="4" t="inlineStr">
        <is>
          <t>Monitoring/intervention</t>
        </is>
      </c>
      <c r="J205" s="4" t="inlineStr">
        <is>
          <t>Machine Learning</t>
        </is>
      </c>
      <c r="K205" s="4" t="inlineStr">
        <is>
          <t>Imagen</t>
        </is>
      </c>
      <c r="L205" s="4" t="inlineStr">
        <is>
          <t>Etiqueta histórica conservada; no inferir subtipo desde el nombre</t>
        </is>
      </c>
      <c r="M205" s="4" t="inlineStr">
        <is>
          <t>Historical signals: title/abstract/notes; full-text completion not independently established</t>
        </is>
      </c>
      <c r="N205" s="4" t="n">
        <v>1</v>
      </c>
      <c r="O205" s="12" t="n"/>
      <c r="P205" s="41" t="n"/>
      <c r="Q205" s="4">
        <f>IF(COUNTIFS('ESTUDIOS'!$A$2:$A$455,$A205,'ESTUDIOS'!$I$2:$I$455,"")&gt;0,"",INDEX('ESTUDIOS'!$I$2:$I$455,MATCH($A205,'ESTUDIOS'!$A$2:$A$455,0)))</f>
        <v/>
      </c>
    </row>
    <row r="206" ht="60" customHeight="1">
      <c r="A206" s="4" t="inlineStr">
        <is>
          <t>223</t>
        </is>
      </c>
      <c r="B206" s="4" t="inlineStr">
        <is>
          <t>Historical</t>
        </is>
      </c>
      <c r="C206" s="4" t="inlineStr">
        <is>
          <t>An effective autism spectrum disorder screening method using machine learning classification techniques</t>
        </is>
      </c>
      <c r="D206" s="4" t="inlineStr">
        <is>
          <t>Diagnosis</t>
        </is>
      </c>
      <c r="E206" s="4" t="inlineStr">
        <is>
          <t>Machine Learning</t>
        </is>
      </c>
      <c r="F206" s="4" t="inlineStr">
        <is>
          <t>Not specified</t>
        </is>
      </c>
      <c r="G206" s="4" t="inlineStr">
        <is>
          <t>SVM</t>
        </is>
      </c>
      <c r="H206" s="4" t="inlineStr">
        <is>
          <t>Classification (binary/multi-class; incl. ASD vs control)/ multi-class)</t>
        </is>
      </c>
      <c r="I206" s="4" t="inlineStr">
        <is>
          <t>Diagnosis</t>
        </is>
      </c>
      <c r="J206" s="4" t="inlineStr">
        <is>
          <t>Machine Learning</t>
        </is>
      </c>
      <c r="K206" s="4" t="inlineStr">
        <is>
          <t>No especificado</t>
        </is>
      </c>
      <c r="L206" s="4" t="inlineStr">
        <is>
          <t>Sin asignación por falta de detalle</t>
        </is>
      </c>
      <c r="M206" s="4" t="inlineStr">
        <is>
          <t>Historical signals: title/abstract/notes; full-text completion not independently established</t>
        </is>
      </c>
      <c r="N206" s="4" t="n">
        <v>1</v>
      </c>
      <c r="O206" s="12" t="n"/>
      <c r="P206" s="41" t="n"/>
      <c r="Q206" s="4">
        <f>IF(COUNTIFS('ESTUDIOS'!$A$2:$A$455,$A206,'ESTUDIOS'!$I$2:$I$455,"")&gt;0,"",INDEX('ESTUDIOS'!$I$2:$I$455,MATCH($A206,'ESTUDIOS'!$A$2:$A$455,0)))</f>
        <v/>
      </c>
    </row>
    <row r="207" ht="47" customHeight="1">
      <c r="A207" s="4" t="inlineStr">
        <is>
          <t>224</t>
        </is>
      </c>
      <c r="B207" s="4" t="inlineStr">
        <is>
          <t>Historical</t>
        </is>
      </c>
      <c r="C207" s="4" t="inlineStr">
        <is>
          <t>An ensemble classifier for emotion classification from EEG and GSR signals for autism detection</t>
        </is>
      </c>
      <c r="D207" s="4" t="inlineStr">
        <is>
          <t>Monitoring/intervention</t>
        </is>
      </c>
      <c r="E207" s="4" t="inlineStr">
        <is>
          <t>Deep Learning</t>
        </is>
      </c>
      <c r="F207" s="4" t="inlineStr">
        <is>
          <t>Physiological signals</t>
        </is>
      </c>
      <c r="G207" s="4" t="n"/>
      <c r="H207" s="4" t="inlineStr">
        <is>
          <t>Emotion classification / physiological monitoring</t>
        </is>
      </c>
      <c r="I207" s="4" t="inlineStr">
        <is>
          <t>Monitoring/intervention</t>
        </is>
      </c>
      <c r="J207" s="4" t="inlineStr">
        <is>
          <t>Deep Learning</t>
        </is>
      </c>
      <c r="K207" s="4" t="inlineStr">
        <is>
          <t>Señales fisiológicas</t>
        </is>
      </c>
      <c r="L207" s="4" t="inlineStr">
        <is>
          <t>Etiqueta histórica conservada; no inferir subtipo desde el nombre</t>
        </is>
      </c>
      <c r="M207" s="4" t="inlineStr">
        <is>
          <t>Historical signals: title/abstract/notes; full-text completion not independently established</t>
        </is>
      </c>
      <c r="N207" s="4" t="n">
        <v>0</v>
      </c>
      <c r="O207" s="12" t="n"/>
      <c r="P207" s="41" t="n"/>
      <c r="Q207" s="4">
        <f>IF(COUNTIFS('ESTUDIOS'!$A$2:$A$455,$A207,'ESTUDIOS'!$I$2:$I$455,"")&gt;0,"",INDEX('ESTUDIOS'!$I$2:$I$455,MATCH($A207,'ESTUDIOS'!$A$2:$A$455,0)))</f>
        <v/>
      </c>
    </row>
    <row r="208" ht="47" customHeight="1">
      <c r="A208" s="4" t="inlineStr">
        <is>
          <t>225</t>
        </is>
      </c>
      <c r="B208" s="4" t="inlineStr">
        <is>
          <t>Historical</t>
        </is>
      </c>
      <c r="C208" s="4" t="inlineStr">
        <is>
          <t>Applying Eye Tracking to Identify Autism Spectrum Disorder in Children</t>
        </is>
      </c>
      <c r="D208" s="4" t="inlineStr">
        <is>
          <t>Screening</t>
        </is>
      </c>
      <c r="E208" s="4" t="inlineStr">
        <is>
          <t>Deep Learning</t>
        </is>
      </c>
      <c r="F208" s="4" t="inlineStr">
        <is>
          <t>Image (subtype unresolved)</t>
        </is>
      </c>
      <c r="G208" s="4" t="inlineStr">
        <is>
          <t>Other / Not clear</t>
        </is>
      </c>
      <c r="H208" s="4" t="inlineStr">
        <is>
          <t>Classification (ASD vs control / multi-class)</t>
        </is>
      </c>
      <c r="I208" s="4" t="inlineStr">
        <is>
          <t>Screening</t>
        </is>
      </c>
      <c r="J208" s="4" t="inlineStr">
        <is>
          <t>Deep Learning</t>
        </is>
      </c>
      <c r="K208" s="4" t="inlineStr">
        <is>
          <t>Imagen</t>
        </is>
      </c>
      <c r="L208" s="4" t="inlineStr">
        <is>
          <t>Etiqueta histórica conservada; no inferir subtipo desde el nombre</t>
        </is>
      </c>
      <c r="M208" s="4" t="inlineStr">
        <is>
          <t>Historical signals: title/abstract/notes; full-text completion not independently established</t>
        </is>
      </c>
      <c r="N208" s="4" t="n">
        <v>1</v>
      </c>
      <c r="O208" s="12" t="n"/>
      <c r="P208" s="41" t="n"/>
      <c r="Q208" s="4">
        <f>IF(COUNTIFS('ESTUDIOS'!$A$2:$A$455,$A208,'ESTUDIOS'!$I$2:$I$455,"")&gt;0,"",INDEX('ESTUDIOS'!$I$2:$I$455,MATCH($A208,'ESTUDIOS'!$A$2:$A$455,0)))</f>
        <v/>
      </c>
    </row>
    <row r="209" ht="47" customHeight="1">
      <c r="A209" s="4" t="inlineStr">
        <is>
          <t>226</t>
        </is>
      </c>
      <c r="B209" s="4" t="inlineStr">
        <is>
          <t>Historical</t>
        </is>
      </c>
      <c r="C209" s="4" t="inlineStr">
        <is>
          <t>Artificial intelligence and sensor-based autism spectrum disorder diagnosis using brain connectivity analysis</t>
        </is>
      </c>
      <c r="D209" s="4" t="inlineStr">
        <is>
          <t>Diagnosis</t>
        </is>
      </c>
      <c r="E209" s="4" t="inlineStr">
        <is>
          <t>Deep Learning</t>
        </is>
      </c>
      <c r="F209" s="4" t="inlineStr">
        <is>
          <t>Image (subtype unresolved)</t>
        </is>
      </c>
      <c r="G209" s="4" t="inlineStr">
        <is>
          <t>Other / Not clear</t>
        </is>
      </c>
      <c r="H209" s="4" t="inlineStr">
        <is>
          <t>Classification (ASD vs control / multi-class)</t>
        </is>
      </c>
      <c r="I209" s="4" t="inlineStr">
        <is>
          <t>Diagnosis</t>
        </is>
      </c>
      <c r="J209" s="4" t="inlineStr">
        <is>
          <t>Deep Learning</t>
        </is>
      </c>
      <c r="K209" s="4" t="inlineStr">
        <is>
          <t>Imagen</t>
        </is>
      </c>
      <c r="L209" s="4" t="inlineStr">
        <is>
          <t>Etiqueta histórica conservada; no inferir subtipo desde el nombre</t>
        </is>
      </c>
      <c r="M209" s="4" t="inlineStr">
        <is>
          <t>Historical signals: title/abstract/notes; full-text completion not independently established</t>
        </is>
      </c>
      <c r="N209" s="4" t="n">
        <v>1</v>
      </c>
      <c r="O209" s="12" t="n"/>
      <c r="P209" s="41" t="n"/>
      <c r="Q209" s="4">
        <f>IF(COUNTIFS('ESTUDIOS'!$A$2:$A$455,$A209,'ESTUDIOS'!$I$2:$I$455,"")&gt;0,"",INDEX('ESTUDIOS'!$I$2:$I$455,MATCH($A209,'ESTUDIOS'!$A$2:$A$455,0)))</f>
        <v/>
      </c>
    </row>
    <row r="210" ht="47" customHeight="1">
      <c r="A210" s="4" t="inlineStr">
        <is>
          <t>227</t>
        </is>
      </c>
      <c r="B210" s="4" t="inlineStr">
        <is>
          <t>Historical</t>
        </is>
      </c>
      <c r="C210" s="4" t="inlineStr">
        <is>
          <t>Attention Level Evaluation in Children With Autism: Leveraging Head Pose and Gaze Parameters From Videos for Educational Intervention</t>
        </is>
      </c>
      <c r="D210" s="4" t="inlineStr">
        <is>
          <t>Monitoring/intervention</t>
        </is>
      </c>
      <c r="E210" s="4" t="inlineStr">
        <is>
          <t>Hybrid</t>
        </is>
      </c>
      <c r="F210" s="4" t="inlineStr">
        <is>
          <t>Image (subtype unresolved)</t>
        </is>
      </c>
      <c r="G210" s="4" t="n"/>
      <c r="H210" s="4" t="inlineStr">
        <is>
          <t>Attention evaluation for educational intervention</t>
        </is>
      </c>
      <c r="I210" s="4" t="inlineStr">
        <is>
          <t>Monitoring/intervention</t>
        </is>
      </c>
      <c r="J210" s="4" t="inlineStr">
        <is>
          <t>Híbrido</t>
        </is>
      </c>
      <c r="K210" s="4" t="inlineStr">
        <is>
          <t>Imagen</t>
        </is>
      </c>
      <c r="L210" s="4" t="inlineStr">
        <is>
          <t>Etiqueta histórica conservada; no inferir subtipo desde el nombre</t>
        </is>
      </c>
      <c r="M210" s="4" t="inlineStr">
        <is>
          <t>Historical signals: title/abstract/notes; full-text completion not independently established</t>
        </is>
      </c>
      <c r="N210" s="4" t="n">
        <v>1</v>
      </c>
      <c r="O210" s="12" t="n"/>
      <c r="P210" s="41" t="n"/>
      <c r="Q210" s="4">
        <f>IF(COUNTIFS('ESTUDIOS'!$A$2:$A$455,$A210,'ESTUDIOS'!$I$2:$I$455,"")&gt;0,"",INDEX('ESTUDIOS'!$I$2:$I$455,MATCH($A210,'ESTUDIOS'!$A$2:$A$455,0)))</f>
        <v/>
      </c>
    </row>
    <row r="211" ht="47" customHeight="1">
      <c r="A211" s="4" t="inlineStr">
        <is>
          <t>228</t>
        </is>
      </c>
      <c r="B211" s="4" t="inlineStr">
        <is>
          <t>Historical</t>
        </is>
      </c>
      <c r="C211" s="4" t="inlineStr">
        <is>
          <t>Autism Spectrum Disorder Diagnosis Using Graph Neural Network Based on\&amp;#xa0;Graph Pooling and\&amp;#xa0;Self-adjust Filter</t>
        </is>
      </c>
      <c r="D211" s="4" t="inlineStr">
        <is>
          <t>Diagnosis</t>
        </is>
      </c>
      <c r="E211" s="4" t="inlineStr">
        <is>
          <t>Deep Learning</t>
        </is>
      </c>
      <c r="F211" s="4" t="inlineStr">
        <is>
          <t>Not specified</t>
        </is>
      </c>
      <c r="G211" s="4" t="n"/>
      <c r="H211" s="4" t="inlineStr">
        <is>
          <t>GNN diagnostic classification</t>
        </is>
      </c>
      <c r="I211" s="4" t="inlineStr">
        <is>
          <t>Diagnosis</t>
        </is>
      </c>
      <c r="J211" s="4" t="inlineStr">
        <is>
          <t>Deep Learning</t>
        </is>
      </c>
      <c r="K211" s="4" t="inlineStr">
        <is>
          <t>No especificado</t>
        </is>
      </c>
      <c r="L211" s="4" t="inlineStr">
        <is>
          <t>Sin asignación por falta de detalle</t>
        </is>
      </c>
      <c r="M211" s="4" t="inlineStr">
        <is>
          <t>Historical signals: title/abstract/notes; full-text completion not independently established</t>
        </is>
      </c>
      <c r="N211" s="4" t="n">
        <v>1</v>
      </c>
      <c r="O211" s="12" t="n"/>
      <c r="P211" s="41" t="n"/>
      <c r="Q211" s="4">
        <f>IF(COUNTIFS('ESTUDIOS'!$A$2:$A$455,$A211,'ESTUDIOS'!$I$2:$I$455,"")&gt;0,"",INDEX('ESTUDIOS'!$I$2:$I$455,MATCH($A211,'ESTUDIOS'!$A$2:$A$455,0)))</f>
        <v/>
      </c>
    </row>
    <row r="212" ht="60" customHeight="1">
      <c r="A212" s="4" t="inlineStr">
        <is>
          <t>229</t>
        </is>
      </c>
      <c r="B212" s="4" t="inlineStr">
        <is>
          <t>Historical</t>
        </is>
      </c>
      <c r="C212" s="4" t="inlineStr">
        <is>
          <t>Autoencoder Based Methods for Diagnosis of Autism Spectrum Disorder</t>
        </is>
      </c>
      <c r="D212" s="4" t="inlineStr">
        <is>
          <t>Diagnosis</t>
        </is>
      </c>
      <c r="E212" s="4" t="inlineStr">
        <is>
          <t>Deep Learning</t>
        </is>
      </c>
      <c r="F212" s="4" t="inlineStr">
        <is>
          <t>Not specified</t>
        </is>
      </c>
      <c r="G212" s="4" t="inlineStr">
        <is>
          <t>Autoencoder</t>
        </is>
      </c>
      <c r="H212" s="4" t="inlineStr">
        <is>
          <t>Classification (binary/multi-class; incl. ASD vs control)/ multi-class)</t>
        </is>
      </c>
      <c r="I212" s="4" t="inlineStr">
        <is>
          <t>diagnosis</t>
        </is>
      </c>
      <c r="J212" s="4" t="inlineStr">
        <is>
          <t>Deep Learning</t>
        </is>
      </c>
      <c r="K212" s="4" t="inlineStr">
        <is>
          <t>No especificado</t>
        </is>
      </c>
      <c r="L212" s="4" t="inlineStr">
        <is>
          <t>Sin asignación por falta de detalle</t>
        </is>
      </c>
      <c r="M212" s="4" t="inlineStr">
        <is>
          <t>Historical signals: title/abstract/notes; full-text completion not independently established</t>
        </is>
      </c>
      <c r="N212" s="4" t="n">
        <v>1</v>
      </c>
      <c r="O212" s="12" t="n"/>
      <c r="P212" s="41" t="n"/>
      <c r="Q212" s="4">
        <f>IF(COUNTIFS('ESTUDIOS'!$A$2:$A$455,$A212,'ESTUDIOS'!$I$2:$I$455,"")&gt;0,"",INDEX('ESTUDIOS'!$I$2:$I$455,MATCH($A212,'ESTUDIOS'!$A$2:$A$455,0)))</f>
        <v/>
      </c>
    </row>
    <row r="213" ht="47" customHeight="1">
      <c r="A213" s="4" t="inlineStr">
        <is>
          <t>230</t>
        </is>
      </c>
      <c r="B213" s="4" t="inlineStr">
        <is>
          <t>Historical</t>
        </is>
      </c>
      <c r="C213" s="4" t="inlineStr">
        <is>
          <t>BrainWaveNet: Wavelet-based Transformer for Autism Spectrum Disorder Diagnosis</t>
        </is>
      </c>
      <c r="D213" s="4" t="inlineStr">
        <is>
          <t>Diagnosis</t>
        </is>
      </c>
      <c r="E213" s="4" t="inlineStr">
        <is>
          <t>Deep Learning</t>
        </is>
      </c>
      <c r="F213" s="4" t="inlineStr">
        <is>
          <t>Physiological signals</t>
        </is>
      </c>
      <c r="G213" s="4" t="inlineStr">
        <is>
          <t>Transformer</t>
        </is>
      </c>
      <c r="H213" s="4" t="inlineStr">
        <is>
          <t>Classification (ASD vs control / multi-class)</t>
        </is>
      </c>
      <c r="I213" s="4" t="inlineStr">
        <is>
          <t>Diagnosis</t>
        </is>
      </c>
      <c r="J213" s="4" t="inlineStr">
        <is>
          <t>Deep Learning</t>
        </is>
      </c>
      <c r="K213" s="4" t="inlineStr">
        <is>
          <t>Señales fisiológicas</t>
        </is>
      </c>
      <c r="L213" s="4" t="inlineStr">
        <is>
          <t>Etiqueta histórica conservada; no inferir subtipo desde el nombre</t>
        </is>
      </c>
      <c r="M213" s="4" t="inlineStr">
        <is>
          <t>Historical signals: title/abstract/notes; full-text completion not independently established</t>
        </is>
      </c>
      <c r="N213" s="4" t="n">
        <v>0</v>
      </c>
      <c r="O213" s="12" t="n"/>
      <c r="P213" s="41" t="n"/>
      <c r="Q213" s="4">
        <f>IF(COUNTIFS('ESTUDIOS'!$A$2:$A$455,$A213,'ESTUDIOS'!$I$2:$I$455,"")&gt;0,"",INDEX('ESTUDIOS'!$I$2:$I$455,MATCH($A213,'ESTUDIOS'!$A$2:$A$455,0)))</f>
        <v/>
      </c>
    </row>
    <row r="214" ht="47" customHeight="1">
      <c r="A214" s="4" t="inlineStr">
        <is>
          <t>231</t>
        </is>
      </c>
      <c r="B214" s="4" t="inlineStr">
        <is>
          <t>Historical</t>
        </is>
      </c>
      <c r="C214" s="4" t="inlineStr">
        <is>
          <t>Can lung airway geometry be used to predict autism? A preliminary machine learning-based study</t>
        </is>
      </c>
      <c r="D214" s="4" t="inlineStr">
        <is>
          <t>Diagnosis</t>
        </is>
      </c>
      <c r="E214" s="4" t="inlineStr">
        <is>
          <t>Machine Learning</t>
        </is>
      </c>
      <c r="F214" s="4" t="inlineStr">
        <is>
          <t>Image (subtype unresolved)</t>
        </is>
      </c>
      <c r="G214" s="4" t="inlineStr">
        <is>
          <t>SVM</t>
        </is>
      </c>
      <c r="H214" s="4" t="inlineStr">
        <is>
          <t>Classification (ASD vs control / multi-class)</t>
        </is>
      </c>
      <c r="I214" s="4" t="inlineStr">
        <is>
          <t>Diagnosis</t>
        </is>
      </c>
      <c r="J214" s="4" t="inlineStr">
        <is>
          <t>Machine Learning</t>
        </is>
      </c>
      <c r="K214" s="4" t="inlineStr">
        <is>
          <t>Imagen</t>
        </is>
      </c>
      <c r="L214" s="4" t="inlineStr">
        <is>
          <t>Etiqueta histórica conservada; no inferir subtipo desde el nombre</t>
        </is>
      </c>
      <c r="M214" s="4" t="inlineStr">
        <is>
          <t>Historical signals: title/abstract/notes; full-text completion not independently established</t>
        </is>
      </c>
      <c r="N214" s="4" t="n">
        <v>1</v>
      </c>
      <c r="O214" s="12" t="n"/>
      <c r="P214" s="41" t="n"/>
      <c r="Q214" s="4">
        <f>IF(COUNTIFS('ESTUDIOS'!$A$2:$A$455,$A214,'ESTUDIOS'!$I$2:$I$455,"")&gt;0,"",INDEX('ESTUDIOS'!$I$2:$I$455,MATCH($A214,'ESTUDIOS'!$A$2:$A$455,0)))</f>
        <v/>
      </c>
    </row>
    <row r="215" ht="60" customHeight="1">
      <c r="A215" s="4" t="inlineStr">
        <is>
          <t>232</t>
        </is>
      </c>
      <c r="B215" s="4" t="inlineStr">
        <is>
          <t>Historical</t>
        </is>
      </c>
      <c r="C215" s="4" t="inlineStr">
        <is>
          <t>Classification of autism spectrum disorder based on fluctuation entropy of spontaneous hemodynamic fluctuations</t>
        </is>
      </c>
      <c r="D215" s="4" t="inlineStr">
        <is>
          <t>Diagnosis</t>
        </is>
      </c>
      <c r="E215" s="4" t="inlineStr">
        <is>
          <t>Machine Learning</t>
        </is>
      </c>
      <c r="F215" s="4" t="inlineStr">
        <is>
          <t>Physiological signals</t>
        </is>
      </c>
      <c r="G215" s="4" t="inlineStr">
        <is>
          <t>Not clear</t>
        </is>
      </c>
      <c r="H215" s="4" t="inlineStr">
        <is>
          <t>Classification (binary/multi-class; incl. ASD vs control)/ multi-class)</t>
        </is>
      </c>
      <c r="I215" s="4" t="inlineStr">
        <is>
          <t>diagnosis</t>
        </is>
      </c>
      <c r="J215" s="4" t="inlineStr">
        <is>
          <t>Machine Learning</t>
        </is>
      </c>
      <c r="K215" s="4" t="inlineStr">
        <is>
          <t>Señales fisiológicas</t>
        </is>
      </c>
      <c r="L215" s="4" t="inlineStr">
        <is>
          <t>Etiqueta histórica conservada; no inferir subtipo desde el nombre</t>
        </is>
      </c>
      <c r="M215" s="4" t="inlineStr">
        <is>
          <t>Historical signals: title/abstract/notes; full-text completion not independently established</t>
        </is>
      </c>
      <c r="N215" s="4" t="n">
        <v>0</v>
      </c>
      <c r="O215" s="12" t="n"/>
      <c r="P215" s="41" t="n"/>
      <c r="Q215" s="4">
        <f>IF(COUNTIFS('ESTUDIOS'!$A$2:$A$455,$A215,'ESTUDIOS'!$I$2:$I$455,"")&gt;0,"",INDEX('ESTUDIOS'!$I$2:$I$455,MATCH($A215,'ESTUDIOS'!$A$2:$A$455,0)))</f>
        <v/>
      </c>
    </row>
    <row r="216" ht="60" customHeight="1">
      <c r="A216" s="4" t="inlineStr">
        <is>
          <t>233</t>
        </is>
      </c>
      <c r="B216" s="4" t="inlineStr">
        <is>
          <t>Historical</t>
        </is>
      </c>
      <c r="C216" s="4" t="inlineStr">
        <is>
          <t>Classification of autism spectrum disorder based on sample entropy of spontaneous functional near infra-red spectroscopy signal</t>
        </is>
      </c>
      <c r="D216" s="4" t="inlineStr">
        <is>
          <t>Diagnosis</t>
        </is>
      </c>
      <c r="E216" s="4" t="inlineStr">
        <is>
          <t>Machine Learning</t>
        </is>
      </c>
      <c r="F216" s="4" t="inlineStr">
        <is>
          <t>Physiological signals</t>
        </is>
      </c>
      <c r="G216" s="4" t="inlineStr">
        <is>
          <t>Clustering (k-means / GMM / ...)</t>
        </is>
      </c>
      <c r="H216" s="4" t="inlineStr">
        <is>
          <t>Classification (binary/multi-class; incl. ASD vs control)/ multi-class)</t>
        </is>
      </c>
      <c r="I216" s="4" t="inlineStr">
        <is>
          <t>diagnosis</t>
        </is>
      </c>
      <c r="J216" s="4" t="inlineStr">
        <is>
          <t>Machine Learning</t>
        </is>
      </c>
      <c r="K216" s="4" t="inlineStr">
        <is>
          <t>Señales fisiológicas</t>
        </is>
      </c>
      <c r="L216" s="4" t="inlineStr">
        <is>
          <t>Etiqueta histórica conservada; no inferir subtipo desde el nombre</t>
        </is>
      </c>
      <c r="M216" s="4" t="inlineStr">
        <is>
          <t>Historical signals: title/abstract/notes; full-text completion not independently established</t>
        </is>
      </c>
      <c r="N216" s="4" t="n">
        <v>0</v>
      </c>
      <c r="O216" s="12" t="n"/>
      <c r="P216" s="41" t="n"/>
      <c r="Q216" s="4">
        <f>IF(COUNTIFS('ESTUDIOS'!$A$2:$A$455,$A216,'ESTUDIOS'!$I$2:$I$455,"")&gt;0,"",INDEX('ESTUDIOS'!$I$2:$I$455,MATCH($A216,'ESTUDIOS'!$A$2:$A$455,0)))</f>
        <v/>
      </c>
    </row>
    <row r="217" ht="73" customHeight="1">
      <c r="A217" s="4" t="inlineStr">
        <is>
          <t>234</t>
        </is>
      </c>
      <c r="B217" s="4" t="inlineStr">
        <is>
          <t>Historical</t>
        </is>
      </c>
      <c r="C217" s="4" t="inlineStr">
        <is>
          <t>Classification of\&amp;#xa0;Facial Images to\&amp;#xa0;Assist in\&amp;#xa0;the\&amp;#xa0;Diagnosis of\&amp;#xa0;Autism Spectrum Disorder: A Study on\&amp;#xa0;the\&amp;#xa0;Effect of\&amp;#xa0;Face Detection and\&amp;#xa0;Landmark Identification Algorithms</t>
        </is>
      </c>
      <c r="D217" s="4" t="inlineStr">
        <is>
          <t>Diagnosis</t>
        </is>
      </c>
      <c r="E217" s="4" t="inlineStr">
        <is>
          <t>Not specified</t>
        </is>
      </c>
      <c r="F217" s="4" t="inlineStr">
        <is>
          <t>Image (subtype unresolved)</t>
        </is>
      </c>
      <c r="G217" s="4" t="inlineStr">
        <is>
          <t>Other / Not clear</t>
        </is>
      </c>
      <c r="H217" s="4" t="inlineStr">
        <is>
          <t>Classification (ASD vs control / multi-class)</t>
        </is>
      </c>
      <c r="I217" s="4" t="inlineStr">
        <is>
          <t>Diagnosis</t>
        </is>
      </c>
      <c r="J217" s="4" t="inlineStr">
        <is>
          <t>No especificado</t>
        </is>
      </c>
      <c r="K217" s="4" t="inlineStr">
        <is>
          <t>Imagen</t>
        </is>
      </c>
      <c r="L217" s="4" t="inlineStr">
        <is>
          <t>Etiqueta histórica conservada; no inferir subtipo desde el nombre</t>
        </is>
      </c>
      <c r="M217" s="4" t="inlineStr">
        <is>
          <t>Historical signals: title/abstract/notes; full-text completion not independently established</t>
        </is>
      </c>
      <c r="N217" s="4" t="n">
        <v>1</v>
      </c>
      <c r="O217" s="12" t="n"/>
      <c r="P217" s="41" t="n"/>
      <c r="Q217" s="4">
        <f>IF(COUNTIFS('ESTUDIOS'!$A$2:$A$455,$A217,'ESTUDIOS'!$I$2:$I$455,"")&gt;0,"",INDEX('ESTUDIOS'!$I$2:$I$455,MATCH($A217,'ESTUDIOS'!$A$2:$A$455,0)))</f>
        <v/>
      </c>
    </row>
    <row r="218" ht="60" customHeight="1">
      <c r="A218" s="4" t="inlineStr">
        <is>
          <t>235</t>
        </is>
      </c>
      <c r="B218" s="4" t="inlineStr">
        <is>
          <t>Historical</t>
        </is>
      </c>
      <c r="C218" s="4" t="inlineStr">
        <is>
          <t>Combining anatomical and functional networks for neuropathology identification: A case study on autism spectrum disorder</t>
        </is>
      </c>
      <c r="D218" s="4" t="inlineStr">
        <is>
          <t>Diagnosis</t>
        </is>
      </c>
      <c r="E218" s="4" t="inlineStr">
        <is>
          <t>Machine Learning</t>
        </is>
      </c>
      <c r="F218" s="4" t="inlineStr">
        <is>
          <t>Physiological signals</t>
        </is>
      </c>
      <c r="G218" s="4" t="inlineStr">
        <is>
          <t>Decision Tree</t>
        </is>
      </c>
      <c r="H218" s="4" t="inlineStr">
        <is>
          <t>Classification (binary/multi-class; incl. ASD vs control)/ multi-class)</t>
        </is>
      </c>
      <c r="I218" s="4" t="inlineStr">
        <is>
          <t>diagnosis</t>
        </is>
      </c>
      <c r="J218" s="4" t="inlineStr">
        <is>
          <t>Machine Learning</t>
        </is>
      </c>
      <c r="K218" s="4" t="inlineStr">
        <is>
          <t>Señales fisiológicas</t>
        </is>
      </c>
      <c r="L218" s="4" t="inlineStr">
        <is>
          <t>Etiqueta histórica conservada; no inferir subtipo desde el nombre</t>
        </is>
      </c>
      <c r="M218" s="4" t="inlineStr">
        <is>
          <t>Historical signals: title/abstract/notes; full-text completion not independently established</t>
        </is>
      </c>
      <c r="N218" s="4" t="n">
        <v>0</v>
      </c>
      <c r="O218" s="12" t="n"/>
      <c r="P218" s="41" t="n"/>
      <c r="Q218" s="4">
        <f>IF(COUNTIFS('ESTUDIOS'!$A$2:$A$455,$A218,'ESTUDIOS'!$I$2:$I$455,"")&gt;0,"",INDEX('ESTUDIOS'!$I$2:$I$455,MATCH($A218,'ESTUDIOS'!$A$2:$A$455,0)))</f>
        <v/>
      </c>
    </row>
    <row r="219" ht="47" customHeight="1">
      <c r="A219" s="4" t="inlineStr">
        <is>
          <t>236</t>
        </is>
      </c>
      <c r="B219" s="4" t="inlineStr">
        <is>
          <t>Historical</t>
        </is>
      </c>
      <c r="C219" s="4" t="inlineStr">
        <is>
          <t>Correlations between blood group and Rh factor in families and autism spectrum disorder: A comprehensive analysis</t>
        </is>
      </c>
      <c r="D219" s="4" t="inlineStr">
        <is>
          <t>Not specified</t>
        </is>
      </c>
      <c r="E219" s="4" t="inlineStr">
        <is>
          <t>Machine Learning</t>
        </is>
      </c>
      <c r="F219" s="4" t="inlineStr">
        <is>
          <t>Not specified</t>
        </is>
      </c>
      <c r="G219" s="4" t="inlineStr">
        <is>
          <t>Logistic Regression</t>
        </is>
      </c>
      <c r="H219" s="4" t="inlineStr">
        <is>
          <t>Classification (ASD vs control / multi-class)</t>
        </is>
      </c>
      <c r="I219" s="4" t="inlineStr">
        <is>
          <t>Not clear</t>
        </is>
      </c>
      <c r="J219" s="4" t="inlineStr">
        <is>
          <t>Machine Learning</t>
        </is>
      </c>
      <c r="K219" s="4" t="inlineStr">
        <is>
          <t>No especificado</t>
        </is>
      </c>
      <c r="L219" s="4" t="inlineStr">
        <is>
          <t>Sin asignación por falta de detalle</t>
        </is>
      </c>
      <c r="M219" s="4" t="inlineStr">
        <is>
          <t>Historical signals: title/abstract/notes; full-text completion not independently established</t>
        </is>
      </c>
      <c r="N219" s="4" t="n">
        <v>1</v>
      </c>
      <c r="O219" s="12" t="n"/>
      <c r="P219" s="41" t="n"/>
      <c r="Q219" s="4">
        <f>IF(COUNTIFS('ESTUDIOS'!$A$2:$A$455,$A219,'ESTUDIOS'!$I$2:$I$455,"")&gt;0,"",INDEX('ESTUDIOS'!$I$2:$I$455,MATCH($A219,'ESTUDIOS'!$A$2:$A$455,0)))</f>
        <v/>
      </c>
    </row>
    <row r="220" ht="47" customHeight="1">
      <c r="A220" s="4" t="inlineStr">
        <is>
          <t>237</t>
        </is>
      </c>
      <c r="B220" s="4" t="inlineStr">
        <is>
          <t>Historical</t>
        </is>
      </c>
      <c r="C220" s="4" t="inlineStr">
        <is>
          <t>Cross-linguistic patterns of speech prosodic differences in autism: A machine learning study</t>
        </is>
      </c>
      <c r="D220" s="4" t="inlineStr">
        <is>
          <t>Screening</t>
        </is>
      </c>
      <c r="E220" s="4" t="inlineStr">
        <is>
          <t>Machine Learning</t>
        </is>
      </c>
      <c r="F220" s="4" t="inlineStr">
        <is>
          <t>Audio / voice</t>
        </is>
      </c>
      <c r="G220" s="4" t="inlineStr">
        <is>
          <t>Other / Not clear</t>
        </is>
      </c>
      <c r="H220" s="4" t="inlineStr">
        <is>
          <t>Classification (ASD vs control / multi-class)</t>
        </is>
      </c>
      <c r="I220" s="4" t="inlineStr">
        <is>
          <t>Screening</t>
        </is>
      </c>
      <c r="J220" s="4" t="inlineStr">
        <is>
          <t>Machine Learning</t>
        </is>
      </c>
      <c r="K220" s="4" t="inlineStr">
        <is>
          <t>Audio · Voz</t>
        </is>
      </c>
      <c r="L220" s="4" t="inlineStr">
        <is>
          <t>Etiqueta histórica conservada; no inferir subtipo desde el nombre</t>
        </is>
      </c>
      <c r="M220" s="4" t="inlineStr">
        <is>
          <t>Historical signals: title/abstract/notes; full-text completion not independently established</t>
        </is>
      </c>
      <c r="N220" s="4" t="n">
        <v>0</v>
      </c>
      <c r="O220" s="12" t="n"/>
      <c r="P220" s="41" t="n"/>
      <c r="Q220" s="4">
        <f>IF(COUNTIFS('ESTUDIOS'!$A$2:$A$455,$A220,'ESTUDIOS'!$I$2:$I$455,"")&gt;0,"",INDEX('ESTUDIOS'!$I$2:$I$455,MATCH($A220,'ESTUDIOS'!$A$2:$A$455,0)))</f>
        <v/>
      </c>
    </row>
    <row r="221" ht="34" customHeight="1">
      <c r="A221" s="4" t="inlineStr">
        <is>
          <t>238</t>
        </is>
      </c>
      <c r="B221" s="4" t="inlineStr">
        <is>
          <t>Historical</t>
        </is>
      </c>
      <c r="C221" s="4" t="inlineStr">
        <is>
          <t>Data mining and machine learning techniques for early detection in autism spectrum disorder</t>
        </is>
      </c>
      <c r="D221" s="4" t="inlineStr">
        <is>
          <t>Screening</t>
        </is>
      </c>
      <c r="E221" s="4" t="inlineStr">
        <is>
          <t>Machine Learning</t>
        </is>
      </c>
      <c r="F221" s="4" t="inlineStr">
        <is>
          <t>Text / NLP (legacy; verify input type)</t>
        </is>
      </c>
      <c r="G221" s="4" t="n"/>
      <c r="H221" s="4" t="inlineStr">
        <is>
          <t>Early detection / data-mining workflow</t>
        </is>
      </c>
      <c r="I221" s="4" t="inlineStr">
        <is>
          <t>Screening</t>
        </is>
      </c>
      <c r="J221" s="4" t="inlineStr">
        <is>
          <t>Machine Learning</t>
        </is>
      </c>
      <c r="K221" s="4" t="inlineStr">
        <is>
          <t>Texto · NLP</t>
        </is>
      </c>
      <c r="L221" s="4" t="inlineStr">
        <is>
          <t>Etiqueta histórica conservada; no inferir subtipo desde el nombre</t>
        </is>
      </c>
      <c r="M221" s="4" t="inlineStr">
        <is>
          <t>Historical signals: title/abstract/notes; full-text completion not independently established</t>
        </is>
      </c>
      <c r="N221" s="4" t="n">
        <v>1</v>
      </c>
      <c r="O221" s="12" t="n"/>
      <c r="P221" s="41" t="n"/>
      <c r="Q221" s="4">
        <f>IF(COUNTIFS('ESTUDIOS'!$A$2:$A$455,$A221,'ESTUDIOS'!$I$2:$I$455,"")&gt;0,"",INDEX('ESTUDIOS'!$I$2:$I$455,MATCH($A221,'ESTUDIOS'!$A$2:$A$455,0)))</f>
        <v/>
      </c>
    </row>
    <row r="222" ht="60" customHeight="1">
      <c r="A222" s="4" t="inlineStr">
        <is>
          <t>239</t>
        </is>
      </c>
      <c r="B222" s="4" t="inlineStr">
        <is>
          <t>Historical</t>
        </is>
      </c>
      <c r="C222" s="4" t="inlineStr">
        <is>
          <t>Diagnosing autism severity associated with physical fitness and gray matter volume in children with autism spectrum disorder: Explainable machine learning method</t>
        </is>
      </c>
      <c r="D222" s="4" t="inlineStr">
        <is>
          <t>Diagnosis</t>
        </is>
      </c>
      <c r="E222" s="4" t="inlineStr">
        <is>
          <t>Machine Learning</t>
        </is>
      </c>
      <c r="F222" s="4" t="inlineStr">
        <is>
          <t>Image (subtype unresolved)</t>
        </is>
      </c>
      <c r="G222" s="4" t="inlineStr">
        <is>
          <t>XGBoost / GBDT</t>
        </is>
      </c>
      <c r="H222" s="4" t="inlineStr">
        <is>
          <t>Classification (ASD vs control / multi-class)</t>
        </is>
      </c>
      <c r="I222" s="4" t="inlineStr">
        <is>
          <t>Diagnosis</t>
        </is>
      </c>
      <c r="J222" s="4" t="inlineStr">
        <is>
          <t>Machine Learning</t>
        </is>
      </c>
      <c r="K222" s="4" t="inlineStr">
        <is>
          <t>Imagen</t>
        </is>
      </c>
      <c r="L222" s="4" t="inlineStr">
        <is>
          <t>Etiqueta histórica conservada; no inferir subtipo desde el nombre</t>
        </is>
      </c>
      <c r="M222" s="4" t="inlineStr">
        <is>
          <t>Historical signals: title/abstract/notes; full-text completion not independently established</t>
        </is>
      </c>
      <c r="N222" s="4" t="n">
        <v>1</v>
      </c>
      <c r="O222" s="12" t="n"/>
      <c r="P222" s="41" t="n"/>
      <c r="Q222" s="4">
        <f>IF(COUNTIFS('ESTUDIOS'!$A$2:$A$455,$A222,'ESTUDIOS'!$I$2:$I$455,"")&gt;0,"",INDEX('ESTUDIOS'!$I$2:$I$455,MATCH($A222,'ESTUDIOS'!$A$2:$A$455,0)))</f>
        <v/>
      </c>
    </row>
    <row r="223" ht="47" customHeight="1">
      <c r="A223" s="4" t="inlineStr">
        <is>
          <t>240</t>
        </is>
      </c>
      <c r="B223" s="4" t="inlineStr">
        <is>
          <t>Historical</t>
        </is>
      </c>
      <c r="C223" s="4" t="inlineStr">
        <is>
          <t>Diagnosis of Autism Disorder Based on Deep Network Trained by Augmented EEG Signals</t>
        </is>
      </c>
      <c r="D223" s="4" t="inlineStr">
        <is>
          <t>Diagnosis</t>
        </is>
      </c>
      <c r="E223" s="4" t="inlineStr">
        <is>
          <t>Deep Learning</t>
        </is>
      </c>
      <c r="F223" s="4" t="inlineStr">
        <is>
          <t>Image (subtype unresolved)</t>
        </is>
      </c>
      <c r="G223" s="4" t="inlineStr">
        <is>
          <t>CNN</t>
        </is>
      </c>
      <c r="H223" s="4" t="inlineStr">
        <is>
          <t>Classification (ASD vs control / multi-class)</t>
        </is>
      </c>
      <c r="I223" s="4" t="inlineStr">
        <is>
          <t>Diagnosis</t>
        </is>
      </c>
      <c r="J223" s="4" t="inlineStr">
        <is>
          <t>Deep Learning</t>
        </is>
      </c>
      <c r="K223" s="4" t="inlineStr">
        <is>
          <t>Imagen</t>
        </is>
      </c>
      <c r="L223" s="4" t="inlineStr">
        <is>
          <t>Etiqueta histórica conservada; no inferir subtipo desde el nombre</t>
        </is>
      </c>
      <c r="M223" s="4" t="inlineStr">
        <is>
          <t>Historical signals: title/abstract/notes; full-text completion not independently established</t>
        </is>
      </c>
      <c r="N223" s="4" t="n">
        <v>1</v>
      </c>
      <c r="O223" s="12" t="n"/>
      <c r="P223" s="41" t="n"/>
      <c r="Q223" s="4">
        <f>IF(COUNTIFS('ESTUDIOS'!$A$2:$A$455,$A223,'ESTUDIOS'!$I$2:$I$455,"")&gt;0,"",INDEX('ESTUDIOS'!$I$2:$I$455,MATCH($A223,'ESTUDIOS'!$A$2:$A$455,0)))</f>
        <v/>
      </c>
    </row>
    <row r="224" ht="47" customHeight="1">
      <c r="A224" s="4" t="inlineStr">
        <is>
          <t>241</t>
        </is>
      </c>
      <c r="B224" s="4" t="inlineStr">
        <is>
          <t>Historical</t>
        </is>
      </c>
      <c r="C224" s="4" t="inlineStr">
        <is>
          <t>Differences in atypical resting-state effective connectivity distinguish autism from schizophrenia</t>
        </is>
      </c>
      <c r="D224" s="4" t="inlineStr">
        <is>
          <t>Diagnosis</t>
        </is>
      </c>
      <c r="E224" s="4" t="inlineStr">
        <is>
          <t>Machine Learning</t>
        </is>
      </c>
      <c r="F224" s="4" t="inlineStr">
        <is>
          <t>Physiological signals</t>
        </is>
      </c>
      <c r="G224" s="4" t="inlineStr">
        <is>
          <t>SVM</t>
        </is>
      </c>
      <c r="H224" s="4" t="inlineStr">
        <is>
          <t>Classification (ASD vs control / multi-class)</t>
        </is>
      </c>
      <c r="I224" s="4" t="inlineStr">
        <is>
          <t>Diagnosis</t>
        </is>
      </c>
      <c r="J224" s="4" t="inlineStr">
        <is>
          <t>Machine Learning</t>
        </is>
      </c>
      <c r="K224" s="4" t="inlineStr">
        <is>
          <t>Señales fisiológicas</t>
        </is>
      </c>
      <c r="L224" s="4" t="inlineStr">
        <is>
          <t>Etiqueta histórica conservada; no inferir subtipo desde el nombre</t>
        </is>
      </c>
      <c r="M224" s="4" t="inlineStr">
        <is>
          <t>Historical signals: title/abstract/notes; full-text completion not independently established</t>
        </is>
      </c>
      <c r="N224" s="4" t="n">
        <v>0</v>
      </c>
      <c r="O224" s="12" t="n"/>
      <c r="P224" s="41" t="n"/>
      <c r="Q224" s="4">
        <f>IF(COUNTIFS('ESTUDIOS'!$A$2:$A$455,$A224,'ESTUDIOS'!$I$2:$I$455,"")&gt;0,"",INDEX('ESTUDIOS'!$I$2:$I$455,MATCH($A224,'ESTUDIOS'!$A$2:$A$455,0)))</f>
        <v/>
      </c>
    </row>
    <row r="225" ht="60" customHeight="1">
      <c r="A225" s="4" t="inlineStr">
        <is>
          <t>242</t>
        </is>
      </c>
      <c r="B225" s="4" t="inlineStr">
        <is>
          <t>Historical</t>
        </is>
      </c>
      <c r="C225" s="4" t="inlineStr">
        <is>
          <t>Eigenvector Centrality Characterization on fMRI Data: Gender and Node Differences in Normal and ASD Subjects: Author name</t>
        </is>
      </c>
      <c r="D225" s="4" t="inlineStr">
        <is>
          <t>Diagnosis</t>
        </is>
      </c>
      <c r="E225" s="4" t="inlineStr">
        <is>
          <t>Deep Learning</t>
        </is>
      </c>
      <c r="F225" s="4" t="inlineStr">
        <is>
          <t>Physiological signals</t>
        </is>
      </c>
      <c r="G225" s="4" t="inlineStr">
        <is>
          <t>Decision Tree</t>
        </is>
      </c>
      <c r="H225" s="4" t="inlineStr">
        <is>
          <t>Classification (binary/multi-class; incl. ASD vs control)/ multi-class)</t>
        </is>
      </c>
      <c r="I225" s="4" t="inlineStr">
        <is>
          <t>diagnosis</t>
        </is>
      </c>
      <c r="J225" s="4" t="inlineStr">
        <is>
          <t>Deep Learning</t>
        </is>
      </c>
      <c r="K225" s="4" t="inlineStr">
        <is>
          <t>Señales fisiológicas</t>
        </is>
      </c>
      <c r="L225" s="4" t="inlineStr">
        <is>
          <t>Etiqueta histórica conservada; no inferir subtipo desde el nombre</t>
        </is>
      </c>
      <c r="M225" s="4" t="inlineStr">
        <is>
          <t>Historical signals: title/abstract/notes; full-text completion not independently established</t>
        </is>
      </c>
      <c r="N225" s="4" t="n">
        <v>0</v>
      </c>
      <c r="O225" s="12" t="n"/>
      <c r="P225" s="41" t="n"/>
      <c r="Q225" s="4">
        <f>IF(COUNTIFS('ESTUDIOS'!$A$2:$A$455,$A225,'ESTUDIOS'!$I$2:$I$455,"")&gt;0,"",INDEX('ESTUDIOS'!$I$2:$I$455,MATCH($A225,'ESTUDIOS'!$A$2:$A$455,0)))</f>
        <v/>
      </c>
    </row>
    <row r="226" ht="60" customHeight="1">
      <c r="A226" s="4" t="inlineStr">
        <is>
          <t>243</t>
        </is>
      </c>
      <c r="B226" s="4" t="inlineStr">
        <is>
          <t>Historical</t>
        </is>
      </c>
      <c r="C226" s="4" t="inlineStr">
        <is>
          <t>Enhancing Multi-view ASD Diagnosis Using Structural MRI and Pretrained CNN</t>
        </is>
      </c>
      <c r="D226" s="4" t="inlineStr">
        <is>
          <t>Diagnosis</t>
        </is>
      </c>
      <c r="E226" s="4" t="inlineStr">
        <is>
          <t>Deep Learning</t>
        </is>
      </c>
      <c r="F226" s="4" t="inlineStr">
        <is>
          <t>Image (subtype unresolved)</t>
        </is>
      </c>
      <c r="G226" s="4" t="inlineStr">
        <is>
          <t>CNN</t>
        </is>
      </c>
      <c r="H226" s="4" t="inlineStr">
        <is>
          <t>Classification (binary/multi-class; incl. ASD vs control)/ multi-class)</t>
        </is>
      </c>
      <c r="I226" s="4" t="inlineStr">
        <is>
          <t>Diagnosis</t>
        </is>
      </c>
      <c r="J226" s="4" t="inlineStr">
        <is>
          <t>Deep Learning</t>
        </is>
      </c>
      <c r="K226" s="4" t="inlineStr">
        <is>
          <t>Imagen</t>
        </is>
      </c>
      <c r="L226" s="4" t="inlineStr">
        <is>
          <t>Etiqueta histórica conservada; no inferir subtipo desde el nombre</t>
        </is>
      </c>
      <c r="M226" s="4" t="inlineStr">
        <is>
          <t>Historical signals: title/abstract/notes; full-text completion not independently established</t>
        </is>
      </c>
      <c r="N226" s="4" t="n">
        <v>1</v>
      </c>
      <c r="O226" s="12" t="n"/>
      <c r="P226" s="41" t="n"/>
      <c r="Q226" s="4">
        <f>IF(COUNTIFS('ESTUDIOS'!$A$2:$A$455,$A226,'ESTUDIOS'!$I$2:$I$455,"")&gt;0,"",INDEX('ESTUDIOS'!$I$2:$I$455,MATCH($A226,'ESTUDIOS'!$A$2:$A$455,0)))</f>
        <v/>
      </c>
    </row>
    <row r="227" ht="47" customHeight="1">
      <c r="A227" s="4" t="inlineStr">
        <is>
          <t>245</t>
        </is>
      </c>
      <c r="B227" s="4" t="inlineStr">
        <is>
          <t>Historical</t>
        </is>
      </c>
      <c r="C227" s="4" t="inlineStr">
        <is>
          <t>Exploring Sparse Gaussian Processes for Bayesian Optimization in Convolutional Neural Networks for Autism Classification</t>
        </is>
      </c>
      <c r="D227" s="4" t="inlineStr">
        <is>
          <t>Screening</t>
        </is>
      </c>
      <c r="E227" s="4" t="inlineStr">
        <is>
          <t>Deep Learning</t>
        </is>
      </c>
      <c r="F227" s="4" t="inlineStr">
        <is>
          <t>Image (subtype unresolved)</t>
        </is>
      </c>
      <c r="G227" s="4" t="n"/>
      <c r="H227" s="4" t="inlineStr">
        <is>
          <t>Image-based screening / classification</t>
        </is>
      </c>
      <c r="I227" s="4" t="inlineStr">
        <is>
          <t>Screening</t>
        </is>
      </c>
      <c r="J227" s="4" t="inlineStr">
        <is>
          <t>Deep Learning</t>
        </is>
      </c>
      <c r="K227" s="4" t="inlineStr">
        <is>
          <t>Imagen</t>
        </is>
      </c>
      <c r="L227" s="4" t="inlineStr">
        <is>
          <t>Etiqueta histórica conservada; no inferir subtipo desde el nombre</t>
        </is>
      </c>
      <c r="M227" s="4" t="inlineStr">
        <is>
          <t>Historical signals: title/abstract/notes; full-text completion not independently established</t>
        </is>
      </c>
      <c r="N227" s="4" t="n">
        <v>1</v>
      </c>
      <c r="O227" s="12" t="n"/>
      <c r="P227" s="41" t="n"/>
      <c r="Q227" s="4">
        <f>IF(COUNTIFS('ESTUDIOS'!$A$2:$A$455,$A227,'ESTUDIOS'!$I$2:$I$455,"")&gt;0,"",INDEX('ESTUDIOS'!$I$2:$I$455,MATCH($A227,'ESTUDIOS'!$A$2:$A$455,0)))</f>
        <v/>
      </c>
    </row>
    <row r="228" ht="34" customHeight="1">
      <c r="A228" s="4" t="inlineStr">
        <is>
          <t>246</t>
        </is>
      </c>
      <c r="B228" s="4" t="inlineStr">
        <is>
          <t>Historical</t>
        </is>
      </c>
      <c r="C228" s="4" t="inlineStr">
        <is>
          <t>Exploring tree-based machine learning methods to predict autism spectrum disorder</t>
        </is>
      </c>
      <c r="D228" s="4" t="inlineStr">
        <is>
          <t>Screening</t>
        </is>
      </c>
      <c r="E228" s="4" t="inlineStr">
        <is>
          <t>Machine Learning</t>
        </is>
      </c>
      <c r="F228" s="4" t="inlineStr">
        <is>
          <t>Not specified</t>
        </is>
      </c>
      <c r="G228" s="4" t="inlineStr">
        <is>
          <t>Random Forest</t>
        </is>
      </c>
      <c r="H228" s="4" t="inlineStr">
        <is>
          <t>Prediction (time-to-event / prognosis)</t>
        </is>
      </c>
      <c r="I228" s="4" t="inlineStr">
        <is>
          <t>Screening</t>
        </is>
      </c>
      <c r="J228" s="4" t="inlineStr">
        <is>
          <t>Machine Learning</t>
        </is>
      </c>
      <c r="K228" s="4" t="inlineStr">
        <is>
          <t>No especificado</t>
        </is>
      </c>
      <c r="L228" s="4" t="inlineStr">
        <is>
          <t>Sin asignación por falta de detalle</t>
        </is>
      </c>
      <c r="M228" s="4" t="inlineStr">
        <is>
          <t>Historical signals: title/abstract/notes; full-text completion not independently established</t>
        </is>
      </c>
      <c r="N228" s="4" t="n">
        <v>1</v>
      </c>
      <c r="O228" s="12" t="n"/>
      <c r="P228" s="41" t="n"/>
      <c r="Q228" s="4">
        <f>IF(COUNTIFS('ESTUDIOS'!$A$2:$A$455,$A228,'ESTUDIOS'!$I$2:$I$455,"")&gt;0,"",INDEX('ESTUDIOS'!$I$2:$I$455,MATCH($A228,'ESTUDIOS'!$A$2:$A$455,0)))</f>
        <v/>
      </c>
    </row>
    <row r="229" ht="47" customHeight="1">
      <c r="A229" s="4" t="inlineStr">
        <is>
          <t>247</t>
        </is>
      </c>
      <c r="B229" s="4" t="inlineStr">
        <is>
          <t>Historical</t>
        </is>
      </c>
      <c r="C229" s="4" t="inlineStr">
        <is>
          <t>Few-Shot Classification of Autism Spectrum Disorder using Site-Agnostic Meta-Learning and Brain MRI</t>
        </is>
      </c>
      <c r="D229" s="4" t="inlineStr">
        <is>
          <t>Diagnosis</t>
        </is>
      </c>
      <c r="E229" s="4" t="inlineStr">
        <is>
          <t>Machine Learning</t>
        </is>
      </c>
      <c r="F229" s="4" t="inlineStr">
        <is>
          <t>Text / NLP (legacy; verify input type)</t>
        </is>
      </c>
      <c r="G229" s="4" t="n"/>
      <c r="H229" s="4" t="inlineStr">
        <is>
          <t>MRI classification / diagnostic support</t>
        </is>
      </c>
      <c r="I229" s="4" t="inlineStr">
        <is>
          <t>Diagnosis</t>
        </is>
      </c>
      <c r="J229" s="4" t="inlineStr">
        <is>
          <t>Machine Learning</t>
        </is>
      </c>
      <c r="K229" s="4" t="inlineStr">
        <is>
          <t>Texto · NLP</t>
        </is>
      </c>
      <c r="L229" s="4" t="inlineStr">
        <is>
          <t>Etiqueta histórica conservada; no inferir subtipo desde el nombre</t>
        </is>
      </c>
      <c r="M229" s="4" t="inlineStr">
        <is>
          <t>Historical signals: title/abstract/notes; full-text completion not independently established</t>
        </is>
      </c>
      <c r="N229" s="4" t="n">
        <v>1</v>
      </c>
      <c r="O229" s="12" t="n"/>
      <c r="P229" s="41" t="n"/>
      <c r="Q229" s="4">
        <f>IF(COUNTIFS('ESTUDIOS'!$A$2:$A$455,$A229,'ESTUDIOS'!$I$2:$I$455,"")&gt;0,"",INDEX('ESTUDIOS'!$I$2:$I$455,MATCH($A229,'ESTUDIOS'!$A$2:$A$455,0)))</f>
        <v/>
      </c>
    </row>
    <row r="230" ht="60" customHeight="1">
      <c r="A230" s="4" t="inlineStr">
        <is>
          <t>248</t>
        </is>
      </c>
      <c r="B230" s="4" t="inlineStr">
        <is>
          <t>Historical</t>
        </is>
      </c>
      <c r="C230" s="4" t="inlineStr">
        <is>
          <t>Gaze Patterns in Children With Autism Spectrum Disorder to Emotional Faces: Scanpath and Similarity</t>
        </is>
      </c>
      <c r="D230" s="4" t="inlineStr">
        <is>
          <t>Screening</t>
        </is>
      </c>
      <c r="E230" s="4" t="inlineStr">
        <is>
          <t>Deep Learning</t>
        </is>
      </c>
      <c r="F230" s="4" t="inlineStr">
        <is>
          <t>Image (subtype unresolved)</t>
        </is>
      </c>
      <c r="G230" s="4" t="inlineStr">
        <is>
          <t>RNN/LSTM/GRU</t>
        </is>
      </c>
      <c r="H230" s="4" t="inlineStr">
        <is>
          <t>Classification (binary/multi-class; incl. ASD vs control)/ multi-class)</t>
        </is>
      </c>
      <c r="I230" s="4" t="inlineStr">
        <is>
          <t>Screening</t>
        </is>
      </c>
      <c r="J230" s="4" t="inlineStr">
        <is>
          <t>Deep Learning</t>
        </is>
      </c>
      <c r="K230" s="4" t="inlineStr">
        <is>
          <t>Imagen</t>
        </is>
      </c>
      <c r="L230" s="4" t="inlineStr">
        <is>
          <t>Etiqueta histórica conservada; no inferir subtipo desde el nombre</t>
        </is>
      </c>
      <c r="M230" s="4" t="inlineStr">
        <is>
          <t>Historical signals: title/abstract/notes; full-text completion not independently established</t>
        </is>
      </c>
      <c r="N230" s="4" t="n">
        <v>1</v>
      </c>
      <c r="O230" s="12" t="n"/>
      <c r="P230" s="41" t="n"/>
      <c r="Q230" s="4">
        <f>IF(COUNTIFS('ESTUDIOS'!$A$2:$A$455,$A230,'ESTUDIOS'!$I$2:$I$455,"")&gt;0,"",INDEX('ESTUDIOS'!$I$2:$I$455,MATCH($A230,'ESTUDIOS'!$A$2:$A$455,0)))</f>
        <v/>
      </c>
    </row>
    <row r="231" ht="47" customHeight="1">
      <c r="A231" s="4" t="inlineStr">
        <is>
          <t>249</t>
        </is>
      </c>
      <c r="B231" s="4" t="inlineStr">
        <is>
          <t>Historical</t>
        </is>
      </c>
      <c r="C231" s="4" t="inlineStr">
        <is>
          <t>Gray Matter Alterations in Young Children with Autism Spectrum Disorders: Comparing Morphometry at the Voxel and Regional Level</t>
        </is>
      </c>
      <c r="D231" s="4" t="inlineStr">
        <is>
          <t>Diagnosis</t>
        </is>
      </c>
      <c r="E231" s="4" t="inlineStr">
        <is>
          <t>Machine Learning</t>
        </is>
      </c>
      <c r="F231" s="4" t="inlineStr">
        <is>
          <t>Image (subtype unresolved)</t>
        </is>
      </c>
      <c r="G231" s="4" t="inlineStr">
        <is>
          <t>SVM</t>
        </is>
      </c>
      <c r="H231" s="4" t="inlineStr">
        <is>
          <t>Classification (ASD vs control / multi-class)</t>
        </is>
      </c>
      <c r="I231" s="4" t="inlineStr">
        <is>
          <t>Diagnosis</t>
        </is>
      </c>
      <c r="J231" s="4" t="inlineStr">
        <is>
          <t>Machine Learning</t>
        </is>
      </c>
      <c r="K231" s="4" t="inlineStr">
        <is>
          <t>Imagen</t>
        </is>
      </c>
      <c r="L231" s="4" t="inlineStr">
        <is>
          <t>Etiqueta histórica conservada; no inferir subtipo desde el nombre</t>
        </is>
      </c>
      <c r="M231" s="4" t="inlineStr">
        <is>
          <t>Historical signals: title/abstract/notes; full-text completion not independently established</t>
        </is>
      </c>
      <c r="N231" s="4" t="n">
        <v>1</v>
      </c>
      <c r="O231" s="12" t="n"/>
      <c r="P231" s="41" t="n"/>
      <c r="Q231" s="4">
        <f>IF(COUNTIFS('ESTUDIOS'!$A$2:$A$455,$A231,'ESTUDIOS'!$I$2:$I$455,"")&gt;0,"",INDEX('ESTUDIOS'!$I$2:$I$455,MATCH($A231,'ESTUDIOS'!$A$2:$A$455,0)))</f>
        <v/>
      </c>
    </row>
    <row r="232" ht="47" customHeight="1">
      <c r="A232" s="4" t="inlineStr">
        <is>
          <t>250</t>
        </is>
      </c>
      <c r="B232" s="4" t="inlineStr">
        <is>
          <t>Historical</t>
        </is>
      </c>
      <c r="C232" s="4" t="inlineStr">
        <is>
          <t>Identification of Autism spectrum disorder based on a novel feature selection method and Variational Autoencoder</t>
        </is>
      </c>
      <c r="D232" s="4" t="inlineStr">
        <is>
          <t>Diagnosis</t>
        </is>
      </c>
      <c r="E232" s="4" t="inlineStr">
        <is>
          <t>Deep Learning</t>
        </is>
      </c>
      <c r="F232" s="4" t="inlineStr">
        <is>
          <t>Physiological signals</t>
        </is>
      </c>
      <c r="G232" s="4" t="inlineStr">
        <is>
          <t>MLP</t>
        </is>
      </c>
      <c r="H232" s="4" t="inlineStr">
        <is>
          <t>Classification (ASD vs control / multi-class)</t>
        </is>
      </c>
      <c r="I232" s="4" t="inlineStr">
        <is>
          <t>Diagnosis</t>
        </is>
      </c>
      <c r="J232" s="4" t="inlineStr">
        <is>
          <t>Deep Learning</t>
        </is>
      </c>
      <c r="K232" s="4" t="inlineStr">
        <is>
          <t>Señales fisiológicas</t>
        </is>
      </c>
      <c r="L232" s="4" t="inlineStr">
        <is>
          <t>Etiqueta histórica conservada; no inferir subtipo desde el nombre</t>
        </is>
      </c>
      <c r="M232" s="4" t="inlineStr">
        <is>
          <t>Historical signals: title/abstract/notes; full-text completion not independently established</t>
        </is>
      </c>
      <c r="N232" s="4" t="n">
        <v>0</v>
      </c>
      <c r="O232" s="12" t="n"/>
      <c r="P232" s="41" t="n"/>
      <c r="Q232" s="4">
        <f>IF(COUNTIFS('ESTUDIOS'!$A$2:$A$455,$A232,'ESTUDIOS'!$I$2:$I$455,"")&gt;0,"",INDEX('ESTUDIOS'!$I$2:$I$455,MATCH($A232,'ESTUDIOS'!$A$2:$A$455,0)))</f>
        <v/>
      </c>
    </row>
    <row r="233" ht="47" customHeight="1">
      <c r="A233" s="4" t="inlineStr">
        <is>
          <t>251</t>
        </is>
      </c>
      <c r="B233" s="4" t="inlineStr">
        <is>
          <t>Historical</t>
        </is>
      </c>
      <c r="C233" s="4" t="inlineStr">
        <is>
          <t>Integrative analysis of long noncoding RNAs dysregulation and synapse-associated ceRNA regulatory axes in autism</t>
        </is>
      </c>
      <c r="D233" s="4" t="inlineStr">
        <is>
          <t>Diagnosis</t>
        </is>
      </c>
      <c r="E233" s="4" t="inlineStr">
        <is>
          <t>Machine Learning</t>
        </is>
      </c>
      <c r="F233" s="4" t="inlineStr">
        <is>
          <t>Physiological signals</t>
        </is>
      </c>
      <c r="G233" s="4" t="inlineStr">
        <is>
          <t>SVM</t>
        </is>
      </c>
      <c r="H233" s="4" t="inlineStr">
        <is>
          <t>Classification (ASD vs control / multi-class)</t>
        </is>
      </c>
      <c r="I233" s="4" t="inlineStr">
        <is>
          <t>Diagnosis</t>
        </is>
      </c>
      <c r="J233" s="4" t="inlineStr">
        <is>
          <t>Machine Learning</t>
        </is>
      </c>
      <c r="K233" s="4" t="inlineStr">
        <is>
          <t>Señales fisiológicas</t>
        </is>
      </c>
      <c r="L233" s="4" t="inlineStr">
        <is>
          <t>Etiqueta histórica conservada; no inferir subtipo desde el nombre</t>
        </is>
      </c>
      <c r="M233" s="4" t="inlineStr">
        <is>
          <t>Historical signals: title/abstract/notes; full-text completion not independently established</t>
        </is>
      </c>
      <c r="N233" s="4" t="n">
        <v>0</v>
      </c>
      <c r="O233" s="12" t="n"/>
      <c r="P233" s="41" t="n"/>
      <c r="Q233" s="4">
        <f>IF(COUNTIFS('ESTUDIOS'!$A$2:$A$455,$A233,'ESTUDIOS'!$I$2:$I$455,"")&gt;0,"",INDEX('ESTUDIOS'!$I$2:$I$455,MATCH($A233,'ESTUDIOS'!$A$2:$A$455,0)))</f>
        <v/>
      </c>
    </row>
    <row r="234" ht="60" customHeight="1">
      <c r="A234" s="4" t="inlineStr">
        <is>
          <t>253</t>
        </is>
      </c>
      <c r="B234" s="4" t="inlineStr">
        <is>
          <t>Historical</t>
        </is>
      </c>
      <c r="C234" s="4" t="inlineStr">
        <is>
          <t>Interpersonal Motor Coordination in Children with Autism and the Establishment of Machine Learning Models to Objectively Classify Children with Autism and Typical Development</t>
        </is>
      </c>
      <c r="D234" s="4" t="inlineStr">
        <is>
          <t>Screening</t>
        </is>
      </c>
      <c r="E234" s="4" t="inlineStr">
        <is>
          <t>Deep Learning</t>
        </is>
      </c>
      <c r="F234" s="4" t="inlineStr">
        <is>
          <t>Physiological signals</t>
        </is>
      </c>
      <c r="G234" s="4" t="inlineStr">
        <is>
          <t>Other / Not clear</t>
        </is>
      </c>
      <c r="H234" s="4" t="inlineStr">
        <is>
          <t>Classification (ASD vs control / multi-class)</t>
        </is>
      </c>
      <c r="I234" s="4" t="inlineStr">
        <is>
          <t>Screening</t>
        </is>
      </c>
      <c r="J234" s="4" t="inlineStr">
        <is>
          <t>Deep Learning</t>
        </is>
      </c>
      <c r="K234" s="4" t="inlineStr">
        <is>
          <t>Señales fisiológicas</t>
        </is>
      </c>
      <c r="L234" s="4" t="inlineStr">
        <is>
          <t>Etiqueta histórica conservada; no inferir subtipo desde el nombre</t>
        </is>
      </c>
      <c r="M234" s="4" t="inlineStr">
        <is>
          <t>Historical signals: title/abstract/notes; full-text completion not independently established</t>
        </is>
      </c>
      <c r="N234" s="4" t="n">
        <v>0</v>
      </c>
      <c r="O234" s="12" t="n"/>
      <c r="P234" s="41" t="n"/>
      <c r="Q234" s="4">
        <f>IF(COUNTIFS('ESTUDIOS'!$A$2:$A$455,$A234,'ESTUDIOS'!$I$2:$I$455,"")&gt;0,"",INDEX('ESTUDIOS'!$I$2:$I$455,MATCH($A234,'ESTUDIOS'!$A$2:$A$455,0)))</f>
        <v/>
      </c>
    </row>
    <row r="235" ht="47" customHeight="1">
      <c r="A235" s="4" t="inlineStr">
        <is>
          <t>254</t>
        </is>
      </c>
      <c r="B235" s="4" t="inlineStr">
        <is>
          <t>Historical</t>
        </is>
      </c>
      <c r="C235" s="4" t="inlineStr">
        <is>
          <t>Low-Rank Representation for Multi-center Autism Spectrum Disorder Identification.</t>
        </is>
      </c>
      <c r="D235" s="4" t="inlineStr">
        <is>
          <t>Diagnosis</t>
        </is>
      </c>
      <c r="E235" s="4" t="inlineStr">
        <is>
          <t>Machine Learning</t>
        </is>
      </c>
      <c r="F235" s="4" t="inlineStr">
        <is>
          <t>Image (subtype unresolved)</t>
        </is>
      </c>
      <c r="G235" s="4" t="inlineStr">
        <is>
          <t>k-NN</t>
        </is>
      </c>
      <c r="H235" s="4" t="inlineStr">
        <is>
          <t>Classification (ASD vs control / multi-class)</t>
        </is>
      </c>
      <c r="I235" s="4" t="inlineStr">
        <is>
          <t>Diagnosis</t>
        </is>
      </c>
      <c r="J235" s="4" t="inlineStr">
        <is>
          <t>Machine Learning</t>
        </is>
      </c>
      <c r="K235" s="4" t="inlineStr">
        <is>
          <t>Imagen</t>
        </is>
      </c>
      <c r="L235" s="4" t="inlineStr">
        <is>
          <t>Etiqueta histórica conservada; no inferir subtipo desde el nombre</t>
        </is>
      </c>
      <c r="M235" s="4" t="inlineStr">
        <is>
          <t>Historical signals: title/abstract/notes; full-text completion not independently established</t>
        </is>
      </c>
      <c r="N235" s="4" t="n">
        <v>1</v>
      </c>
      <c r="O235" s="12" t="n"/>
      <c r="P235" s="41" t="n"/>
      <c r="Q235" s="4">
        <f>IF(COUNTIFS('ESTUDIOS'!$A$2:$A$455,$A235,'ESTUDIOS'!$I$2:$I$455,"")&gt;0,"",INDEX('ESTUDIOS'!$I$2:$I$455,MATCH($A235,'ESTUDIOS'!$A$2:$A$455,0)))</f>
        <v/>
      </c>
    </row>
    <row r="236" ht="47" customHeight="1">
      <c r="A236" s="4" t="inlineStr">
        <is>
          <t>255</t>
        </is>
      </c>
      <c r="B236" s="4" t="inlineStr">
        <is>
          <t>Historical</t>
        </is>
      </c>
      <c r="C236" s="4" t="inlineStr">
        <is>
          <t>LSTA-CNN: A Lightweight Spatiotemporal Attention-Based Convolutional Neural Network for ASD Diagnosis Using EEG</t>
        </is>
      </c>
      <c r="D236" s="4" t="inlineStr">
        <is>
          <t>Diagnosis</t>
        </is>
      </c>
      <c r="E236" s="4" t="inlineStr">
        <is>
          <t>Deep Learning</t>
        </is>
      </c>
      <c r="F236" s="4" t="inlineStr">
        <is>
          <t>Physiological signals</t>
        </is>
      </c>
      <c r="G236" s="4" t="inlineStr">
        <is>
          <t>CNN</t>
        </is>
      </c>
      <c r="H236" s="4" t="inlineStr">
        <is>
          <t>Classification (ASD vs control / multi-class)</t>
        </is>
      </c>
      <c r="I236" s="4" t="inlineStr">
        <is>
          <t>Diagnosis</t>
        </is>
      </c>
      <c r="J236" s="4" t="inlineStr">
        <is>
          <t>Deep Learning</t>
        </is>
      </c>
      <c r="K236" s="4" t="inlineStr">
        <is>
          <t>Señales fisiológicas</t>
        </is>
      </c>
      <c r="L236" s="4" t="inlineStr">
        <is>
          <t>Etiqueta histórica conservada; no inferir subtipo desde el nombre</t>
        </is>
      </c>
      <c r="M236" s="4" t="inlineStr">
        <is>
          <t>Historical signals: title/abstract/notes; full-text completion not independently established</t>
        </is>
      </c>
      <c r="N236" s="4" t="n">
        <v>0</v>
      </c>
      <c r="O236" s="12" t="n"/>
      <c r="P236" s="41" t="n"/>
      <c r="Q236" s="4">
        <f>IF(COUNTIFS('ESTUDIOS'!$A$2:$A$455,$A236,'ESTUDIOS'!$I$2:$I$455,"")&gt;0,"",INDEX('ESTUDIOS'!$I$2:$I$455,MATCH($A236,'ESTUDIOS'!$A$2:$A$455,0)))</f>
        <v/>
      </c>
    </row>
    <row r="237" ht="47" customHeight="1">
      <c r="A237" s="4" t="inlineStr">
        <is>
          <t>256</t>
        </is>
      </c>
      <c r="B237" s="4" t="inlineStr">
        <is>
          <t>Historical</t>
        </is>
      </c>
      <c r="C237" s="4" t="inlineStr">
        <is>
          <t>Machine learning methods for autism spectrum disorder classification</t>
        </is>
      </c>
      <c r="D237" s="4" t="inlineStr">
        <is>
          <t>Diagnosis</t>
        </is>
      </c>
      <c r="E237" s="4" t="inlineStr">
        <is>
          <t>Deep Learning</t>
        </is>
      </c>
      <c r="F237" s="4" t="inlineStr">
        <is>
          <t>Physiological signals</t>
        </is>
      </c>
      <c r="G237" s="4" t="n"/>
      <c r="H237" s="4" t="inlineStr">
        <is>
          <t>Graph-based classification / diagnostic support</t>
        </is>
      </c>
      <c r="I237" s="4" t="inlineStr">
        <is>
          <t>Diagnosis</t>
        </is>
      </c>
      <c r="J237" s="4" t="inlineStr">
        <is>
          <t>Deep Learning</t>
        </is>
      </c>
      <c r="K237" s="4" t="inlineStr">
        <is>
          <t>Señales fisiológicas</t>
        </is>
      </c>
      <c r="L237" s="4" t="inlineStr">
        <is>
          <t>Etiqueta histórica conservada; no inferir subtipo desde el nombre</t>
        </is>
      </c>
      <c r="M237" s="4" t="inlineStr">
        <is>
          <t>Historical signals: title/abstract/notes; full-text completion not independently established</t>
        </is>
      </c>
      <c r="N237" s="4" t="n">
        <v>0</v>
      </c>
      <c r="O237" s="12" t="n"/>
      <c r="P237" s="41" t="n"/>
      <c r="Q237" s="4">
        <f>IF(COUNTIFS('ESTUDIOS'!$A$2:$A$455,$A237,'ESTUDIOS'!$I$2:$I$455,"")&gt;0,"",INDEX('ESTUDIOS'!$I$2:$I$455,MATCH($A237,'ESTUDIOS'!$A$2:$A$455,0)))</f>
        <v/>
      </c>
    </row>
    <row r="238" ht="47" customHeight="1">
      <c r="A238" s="4" t="inlineStr">
        <is>
          <t>258</t>
        </is>
      </c>
      <c r="B238" s="4" t="inlineStr">
        <is>
          <t>Historical</t>
        </is>
      </c>
      <c r="C238" s="4" t="inlineStr">
        <is>
          <t>MDNCT: a multi-domain neurocognitive transformer architecture approach for early prediction of autism spectrum disorders</t>
        </is>
      </c>
      <c r="D238" s="4" t="inlineStr">
        <is>
          <t>Screening</t>
        </is>
      </c>
      <c r="E238" s="4" t="inlineStr">
        <is>
          <t>Deep Learning</t>
        </is>
      </c>
      <c r="F238" s="4" t="inlineStr">
        <is>
          <t>Physiological signals</t>
        </is>
      </c>
      <c r="G238" s="4" t="inlineStr">
        <is>
          <t>Other / Not clear</t>
        </is>
      </c>
      <c r="H238" s="4" t="inlineStr">
        <is>
          <t>Classification (ASD vs control / multi-class)</t>
        </is>
      </c>
      <c r="I238" s="4" t="inlineStr">
        <is>
          <t>Screening</t>
        </is>
      </c>
      <c r="J238" s="4" t="inlineStr">
        <is>
          <t>Deep Learning</t>
        </is>
      </c>
      <c r="K238" s="4" t="inlineStr">
        <is>
          <t>Señales fisiológicas</t>
        </is>
      </c>
      <c r="L238" s="4" t="inlineStr">
        <is>
          <t>Etiqueta histórica conservada; no inferir subtipo desde el nombre</t>
        </is>
      </c>
      <c r="M238" s="4" t="inlineStr">
        <is>
          <t>Historical signals: title/abstract/notes; full-text completion not independently established</t>
        </is>
      </c>
      <c r="N238" s="4" t="n">
        <v>0</v>
      </c>
      <c r="O238" s="12" t="n"/>
      <c r="P238" s="41" t="n"/>
      <c r="Q238" s="4">
        <f>IF(COUNTIFS('ESTUDIOS'!$A$2:$A$455,$A238,'ESTUDIOS'!$I$2:$I$455,"")&gt;0,"",INDEX('ESTUDIOS'!$I$2:$I$455,MATCH($A238,'ESTUDIOS'!$A$2:$A$455,0)))</f>
        <v/>
      </c>
    </row>
    <row r="239" ht="60" customHeight="1">
      <c r="A239" s="4" t="inlineStr">
        <is>
          <t>259</t>
        </is>
      </c>
      <c r="B239" s="4" t="inlineStr">
        <is>
          <t>Historical</t>
        </is>
      </c>
      <c r="C239" s="4" t="inlineStr">
        <is>
          <t>MHATC: Autism Spectrum Disorder Identification Utilizing Multi-Head Attention Encoder Along with Temporal Consolidation Modules</t>
        </is>
      </c>
      <c r="D239" s="4" t="inlineStr">
        <is>
          <t>Diagnosis</t>
        </is>
      </c>
      <c r="E239" s="4" t="inlineStr">
        <is>
          <t>Deep Learning</t>
        </is>
      </c>
      <c r="F239" s="4" t="inlineStr">
        <is>
          <t>Physiological signals</t>
        </is>
      </c>
      <c r="G239" s="4" t="inlineStr">
        <is>
          <t>Transformer</t>
        </is>
      </c>
      <c r="H239" s="4" t="inlineStr">
        <is>
          <t>Classification (binary/multi-class; incl. ASD vs control)/ multi-class)</t>
        </is>
      </c>
      <c r="I239" s="4" t="inlineStr">
        <is>
          <t>diagnosis</t>
        </is>
      </c>
      <c r="J239" s="4" t="inlineStr">
        <is>
          <t>Deep Learning</t>
        </is>
      </c>
      <c r="K239" s="4" t="inlineStr">
        <is>
          <t>Señales fisiológicas</t>
        </is>
      </c>
      <c r="L239" s="4" t="inlineStr">
        <is>
          <t>Etiqueta histórica conservada; no inferir subtipo desde el nombre</t>
        </is>
      </c>
      <c r="M239" s="4" t="inlineStr">
        <is>
          <t>Historical signals: title/abstract/notes; full-text completion not independently established</t>
        </is>
      </c>
      <c r="N239" s="4" t="n">
        <v>0</v>
      </c>
      <c r="O239" s="12" t="n"/>
      <c r="P239" s="41" t="n"/>
      <c r="Q239" s="4">
        <f>IF(COUNTIFS('ESTUDIOS'!$A$2:$A$455,$A239,'ESTUDIOS'!$I$2:$I$455,"")&gt;0,"",INDEX('ESTUDIOS'!$I$2:$I$455,MATCH($A239,'ESTUDIOS'!$A$2:$A$455,0)))</f>
        <v/>
      </c>
    </row>
    <row r="240" ht="47" customHeight="1">
      <c r="A240" s="4" t="inlineStr">
        <is>
          <t>260</t>
        </is>
      </c>
      <c r="B240" s="4" t="inlineStr">
        <is>
          <t>Historical</t>
        </is>
      </c>
      <c r="C240" s="4" t="inlineStr">
        <is>
          <t>Multi-atlas Representations Based on\&amp;#xa0;Graph Convolutional Networks for\&amp;#xa0;Autism Spectrum Disorder Diagnosis</t>
        </is>
      </c>
      <c r="D240" s="4" t="inlineStr">
        <is>
          <t>Diagnosis</t>
        </is>
      </c>
      <c r="E240" s="4" t="inlineStr">
        <is>
          <t>Deep Learning</t>
        </is>
      </c>
      <c r="F240" s="4" t="inlineStr">
        <is>
          <t>Not specified</t>
        </is>
      </c>
      <c r="G240" s="4" t="inlineStr">
        <is>
          <t>Other / Not clear</t>
        </is>
      </c>
      <c r="H240" s="4" t="inlineStr">
        <is>
          <t>Classification (ASD vs control / multi-class)</t>
        </is>
      </c>
      <c r="I240" s="4" t="inlineStr">
        <is>
          <t>Diagnosis</t>
        </is>
      </c>
      <c r="J240" s="4" t="inlineStr">
        <is>
          <t>Deep Learning</t>
        </is>
      </c>
      <c r="K240" s="4" t="inlineStr">
        <is>
          <t>No especificado</t>
        </is>
      </c>
      <c r="L240" s="4" t="inlineStr">
        <is>
          <t>Sin asignación por falta de detalle</t>
        </is>
      </c>
      <c r="M240" s="4" t="inlineStr">
        <is>
          <t>Historical signals: title/abstract/notes; full-text completion not independently established</t>
        </is>
      </c>
      <c r="N240" s="4" t="n">
        <v>1</v>
      </c>
      <c r="O240" s="12" t="n"/>
      <c r="P240" s="41" t="n"/>
      <c r="Q240" s="4">
        <f>IF(COUNTIFS('ESTUDIOS'!$A$2:$A$455,$A240,'ESTUDIOS'!$I$2:$I$455,"")&gt;0,"",INDEX('ESTUDIOS'!$I$2:$I$455,MATCH($A240,'ESTUDIOS'!$A$2:$A$455,0)))</f>
        <v/>
      </c>
    </row>
    <row r="241" ht="60" customHeight="1">
      <c r="A241" s="4" t="inlineStr">
        <is>
          <t>261</t>
        </is>
      </c>
      <c r="B241" s="4" t="inlineStr">
        <is>
          <t>Historical</t>
        </is>
      </c>
      <c r="C241" s="4" t="inlineStr">
        <is>
          <t>Multiple Classification of Brain MRI Autism Spectrum Disorder by Age and Gender Using Deep Learning</t>
        </is>
      </c>
      <c r="D241" s="4" t="inlineStr">
        <is>
          <t>Diagnosis</t>
        </is>
      </c>
      <c r="E241" s="4" t="inlineStr">
        <is>
          <t>Deep Learning</t>
        </is>
      </c>
      <c r="F241" s="4" t="inlineStr">
        <is>
          <t>Image (subtype unresolved)</t>
        </is>
      </c>
      <c r="G241" s="4" t="inlineStr">
        <is>
          <t>CNN</t>
        </is>
      </c>
      <c r="H241" s="4" t="inlineStr">
        <is>
          <t>Classification (binary/multi-class; incl. ASD vs control)/ multi-class)</t>
        </is>
      </c>
      <c r="I241" s="4" t="inlineStr">
        <is>
          <t>diagnosis</t>
        </is>
      </c>
      <c r="J241" s="4" t="inlineStr">
        <is>
          <t>Deep Learning</t>
        </is>
      </c>
      <c r="K241" s="4" t="inlineStr">
        <is>
          <t>Imagen</t>
        </is>
      </c>
      <c r="L241" s="4" t="inlineStr">
        <is>
          <t>Etiqueta histórica conservada; no inferir subtipo desde el nombre</t>
        </is>
      </c>
      <c r="M241" s="4" t="inlineStr">
        <is>
          <t>Historical signals: title/abstract/notes; full-text completion not independently established</t>
        </is>
      </c>
      <c r="N241" s="4" t="n">
        <v>1</v>
      </c>
      <c r="O241" s="12" t="n"/>
      <c r="P241" s="41" t="n"/>
      <c r="Q241" s="4">
        <f>IF(COUNTIFS('ESTUDIOS'!$A$2:$A$455,$A241,'ESTUDIOS'!$I$2:$I$455,"")&gt;0,"",INDEX('ESTUDIOS'!$I$2:$I$455,MATCH($A241,'ESTUDIOS'!$A$2:$A$455,0)))</f>
        <v/>
      </c>
    </row>
    <row r="242" ht="60" customHeight="1">
      <c r="A242" s="4" t="inlineStr">
        <is>
          <t>262</t>
        </is>
      </c>
      <c r="B242" s="4" t="inlineStr">
        <is>
          <t>Historical</t>
        </is>
      </c>
      <c r="C242" s="4" t="inlineStr">
        <is>
          <t>MVS-GCN: A prior brain structure learning-guided multi-view graph convolution network for autism spectrum disorder diagnosis</t>
        </is>
      </c>
      <c r="D242" s="4" t="inlineStr">
        <is>
          <t>Diagnosis</t>
        </is>
      </c>
      <c r="E242" s="4" t="inlineStr">
        <is>
          <t>Deep Learning</t>
        </is>
      </c>
      <c r="F242" s="4" t="inlineStr">
        <is>
          <t>Image (subtype unresolved)</t>
        </is>
      </c>
      <c r="G242" s="4" t="inlineStr">
        <is>
          <t>Other</t>
        </is>
      </c>
      <c r="H242" s="4" t="inlineStr">
        <is>
          <t>Classification (binary/multi-class; incl. ASD vs control)/ multi-class)</t>
        </is>
      </c>
      <c r="I242" s="4" t="inlineStr">
        <is>
          <t>diagnosis</t>
        </is>
      </c>
      <c r="J242" s="4" t="inlineStr">
        <is>
          <t>Deep Learning</t>
        </is>
      </c>
      <c r="K242" s="4" t="inlineStr">
        <is>
          <t>Imagen</t>
        </is>
      </c>
      <c r="L242" s="4" t="inlineStr">
        <is>
          <t>Etiqueta histórica conservada; no inferir subtipo desde el nombre</t>
        </is>
      </c>
      <c r="M242" s="4" t="inlineStr">
        <is>
          <t>Historical signals: title/abstract/notes; full-text completion not independently established</t>
        </is>
      </c>
      <c r="N242" s="4" t="n">
        <v>1</v>
      </c>
      <c r="O242" s="12" t="n"/>
      <c r="P242" s="41" t="n"/>
      <c r="Q242" s="4">
        <f>IF(COUNTIFS('ESTUDIOS'!$A$2:$A$455,$A242,'ESTUDIOS'!$I$2:$I$455,"")&gt;0,"",INDEX('ESTUDIOS'!$I$2:$I$455,MATCH($A242,'ESTUDIOS'!$A$2:$A$455,0)))</f>
        <v/>
      </c>
    </row>
    <row r="243" ht="73" customHeight="1">
      <c r="A243" s="4" t="inlineStr">
        <is>
          <t>263</t>
        </is>
      </c>
      <c r="B243" s="4" t="inlineStr">
        <is>
          <t>Historical</t>
        </is>
      </c>
      <c r="C243" s="4" t="inlineStr">
        <is>
          <t>Neurodevelopmental model of schizophrenia revisited: similarity in individual deviation and idiosyncrasy from the normative model of whole-brain white matter tracts and shared brain-cognition covariation with ADHD and ASD</t>
        </is>
      </c>
      <c r="D243" s="4" t="inlineStr">
        <is>
          <t>Diagnosis</t>
        </is>
      </c>
      <c r="E243" s="4" t="inlineStr">
        <is>
          <t>Deep Learning</t>
        </is>
      </c>
      <c r="F243" s="4" t="inlineStr">
        <is>
          <t>Image (subtype unresolved)</t>
        </is>
      </c>
      <c r="G243" s="4" t="n"/>
      <c r="H243" s="4" t="n"/>
      <c r="I243" s="4" t="inlineStr">
        <is>
          <t>diagnosis</t>
        </is>
      </c>
      <c r="J243" s="4" t="inlineStr">
        <is>
          <t>Deep Learning</t>
        </is>
      </c>
      <c r="K243" s="4" t="inlineStr">
        <is>
          <t>Imagen</t>
        </is>
      </c>
      <c r="L243" s="4" t="inlineStr">
        <is>
          <t>Etiqueta histórica conservada; no inferir subtipo desde el nombre</t>
        </is>
      </c>
      <c r="M243" s="4" t="inlineStr">
        <is>
          <t>Historical signals: title/abstract/notes; full-text completion not independently established</t>
        </is>
      </c>
      <c r="N243" s="4" t="n">
        <v>1</v>
      </c>
      <c r="O243" s="12" t="n"/>
      <c r="P243" s="41" t="n"/>
      <c r="Q243" s="4">
        <f>IF(COUNTIFS('ESTUDIOS'!$A$2:$A$455,$A243,'ESTUDIOS'!$I$2:$I$455,"")&gt;0,"",INDEX('ESTUDIOS'!$I$2:$I$455,MATCH($A243,'ESTUDIOS'!$A$2:$A$455,0)))</f>
        <v/>
      </c>
    </row>
    <row r="244" ht="60" customHeight="1">
      <c r="A244" s="4" t="inlineStr">
        <is>
          <t>264</t>
        </is>
      </c>
      <c r="B244" s="4" t="inlineStr">
        <is>
          <t>Historical</t>
        </is>
      </c>
      <c r="C244" s="4" t="inlineStr">
        <is>
          <t>Non-Oscillatory Connectivity Approach for Classification of Autism Spectrum Disorder Subtypes Using Resting-State fMRI</t>
        </is>
      </c>
      <c r="D244" s="4" t="inlineStr">
        <is>
          <t>Diagnosis</t>
        </is>
      </c>
      <c r="E244" s="4" t="inlineStr">
        <is>
          <t>Hybrid</t>
        </is>
      </c>
      <c r="F244" s="4" t="inlineStr">
        <is>
          <t>Physiological signals</t>
        </is>
      </c>
      <c r="G244" s="4" t="inlineStr">
        <is>
          <t>SVM</t>
        </is>
      </c>
      <c r="H244" s="4" t="inlineStr">
        <is>
          <t>Classification (binary/multi-class; incl. ASD vs control)/ multi-class)</t>
        </is>
      </c>
      <c r="I244" s="4" t="inlineStr">
        <is>
          <t>Diagnosis</t>
        </is>
      </c>
      <c r="J244" s="4" t="inlineStr">
        <is>
          <t>Híbrido</t>
        </is>
      </c>
      <c r="K244" s="4" t="inlineStr">
        <is>
          <t>Señales fisiológicas</t>
        </is>
      </c>
      <c r="L244" s="4" t="inlineStr">
        <is>
          <t>Etiqueta histórica conservada; no inferir subtipo desde el nombre</t>
        </is>
      </c>
      <c r="M244" s="4" t="inlineStr">
        <is>
          <t>Historical signals: title/abstract/notes; full-text completion not independently established</t>
        </is>
      </c>
      <c r="N244" s="4" t="n">
        <v>0</v>
      </c>
      <c r="O244" s="12" t="n"/>
      <c r="P244" s="41" t="n"/>
      <c r="Q244" s="4">
        <f>IF(COUNTIFS('ESTUDIOS'!$A$2:$A$455,$A244,'ESTUDIOS'!$I$2:$I$455,"")&gt;0,"",INDEX('ESTUDIOS'!$I$2:$I$455,MATCH($A244,'ESTUDIOS'!$A$2:$A$455,0)))</f>
        <v/>
      </c>
    </row>
    <row r="245" ht="47" customHeight="1">
      <c r="A245" s="4" t="inlineStr">
        <is>
          <t>265</t>
        </is>
      </c>
      <c r="B245" s="4" t="inlineStr">
        <is>
          <t>Historical</t>
        </is>
      </c>
      <c r="C245" s="4" t="inlineStr">
        <is>
          <t>Personalized identification of autism-related bacteria in the gut microbiome using explainable artificial intelligence</t>
        </is>
      </c>
      <c r="D245" s="4" t="inlineStr">
        <is>
          <t>Prognosis</t>
        </is>
      </c>
      <c r="E245" s="4" t="inlineStr">
        <is>
          <t>Not specified</t>
        </is>
      </c>
      <c r="F245" s="4" t="inlineStr">
        <is>
          <t>Image (subtype unresolved)</t>
        </is>
      </c>
      <c r="G245" s="4" t="n"/>
      <c r="H245" s="4" t="n"/>
      <c r="I245" s="4" t="inlineStr">
        <is>
          <t>prognosis</t>
        </is>
      </c>
      <c r="J245" s="4" t="inlineStr">
        <is>
          <t>No especificado</t>
        </is>
      </c>
      <c r="K245" s="4" t="inlineStr">
        <is>
          <t>Imagen</t>
        </is>
      </c>
      <c r="L245" s="4" t="inlineStr">
        <is>
          <t>Etiqueta histórica conservada; no inferir subtipo desde el nombre</t>
        </is>
      </c>
      <c r="M245" s="4" t="inlineStr">
        <is>
          <t>Historical signals: title/abstract/notes; full-text completion not independently established</t>
        </is>
      </c>
      <c r="N245" s="4" t="n">
        <v>1</v>
      </c>
      <c r="O245" s="12" t="n"/>
      <c r="P245" s="41" t="n"/>
      <c r="Q245" s="4">
        <f>IF(COUNTIFS('ESTUDIOS'!$A$2:$A$455,$A245,'ESTUDIOS'!$I$2:$I$455,"")&gt;0,"",INDEX('ESTUDIOS'!$I$2:$I$455,MATCH($A245,'ESTUDIOS'!$A$2:$A$455,0)))</f>
        <v/>
      </c>
    </row>
    <row r="246" ht="60" customHeight="1">
      <c r="A246" s="4" t="inlineStr">
        <is>
          <t>266</t>
        </is>
      </c>
      <c r="B246" s="4" t="inlineStr">
        <is>
          <t>Historical</t>
        </is>
      </c>
      <c r="C246" s="4" t="inlineStr">
        <is>
          <t>Prenatal exposure to criteria air pollution and traffic-related air toxics and risk of autism spectrum disorder: A population-based cohort study of California births (1990–2018)</t>
        </is>
      </c>
      <c r="D246" s="4" t="inlineStr">
        <is>
          <t>Not specified</t>
        </is>
      </c>
      <c r="E246" s="4" t="inlineStr">
        <is>
          <t>Machine Learning</t>
        </is>
      </c>
      <c r="F246" s="4" t="inlineStr">
        <is>
          <t>Not specified</t>
        </is>
      </c>
      <c r="G246" s="4" t="inlineStr">
        <is>
          <t>Logistic Regression</t>
        </is>
      </c>
      <c r="H246" s="4" t="inlineStr">
        <is>
          <t>Other / Not clear</t>
        </is>
      </c>
      <c r="I246" s="4" t="inlineStr">
        <is>
          <t>Not clear</t>
        </is>
      </c>
      <c r="J246" s="4" t="inlineStr">
        <is>
          <t>Machine Learning</t>
        </is>
      </c>
      <c r="K246" s="4" t="inlineStr">
        <is>
          <t>No especificado</t>
        </is>
      </c>
      <c r="L246" s="4" t="inlineStr">
        <is>
          <t>Sin asignación por falta de detalle</t>
        </is>
      </c>
      <c r="M246" s="4" t="inlineStr">
        <is>
          <t>Historical signals: title/abstract/notes; full-text completion not independently established</t>
        </is>
      </c>
      <c r="N246" s="4" t="n">
        <v>1</v>
      </c>
      <c r="O246" s="12" t="n"/>
      <c r="P246" s="41" t="n"/>
      <c r="Q246" s="4">
        <f>IF(COUNTIFS('ESTUDIOS'!$A$2:$A$455,$A246,'ESTUDIOS'!$I$2:$I$455,"")&gt;0,"",INDEX('ESTUDIOS'!$I$2:$I$455,MATCH($A246,'ESTUDIOS'!$A$2:$A$455,0)))</f>
        <v/>
      </c>
    </row>
    <row r="247" ht="47" customHeight="1">
      <c r="A247" s="4" t="inlineStr">
        <is>
          <t>267</t>
        </is>
      </c>
      <c r="B247" s="4" t="inlineStr">
        <is>
          <t>Historical</t>
        </is>
      </c>
      <c r="C247" s="4" t="inlineStr">
        <is>
          <t>Risk assessment for parents who suspect their child has autism spectrum disorder: Machine learning approach</t>
        </is>
      </c>
      <c r="D247" s="4" t="inlineStr">
        <is>
          <t>Prescreening</t>
        </is>
      </c>
      <c r="E247" s="4" t="inlineStr">
        <is>
          <t>Machine Learning</t>
        </is>
      </c>
      <c r="F247" s="4" t="inlineStr">
        <is>
          <t>Text / NLP (legacy; verify input type)</t>
        </is>
      </c>
      <c r="G247" s="4" t="inlineStr">
        <is>
          <t>Other / Not clear</t>
        </is>
      </c>
      <c r="H247" s="4" t="inlineStr">
        <is>
          <t>Other / Not clear</t>
        </is>
      </c>
      <c r="I247" s="4" t="inlineStr">
        <is>
          <t>Prescreening</t>
        </is>
      </c>
      <c r="J247" s="4" t="inlineStr">
        <is>
          <t>Machine Learning</t>
        </is>
      </c>
      <c r="K247" s="4" t="inlineStr">
        <is>
          <t>Texto · NLP</t>
        </is>
      </c>
      <c r="L247" s="4" t="inlineStr">
        <is>
          <t>Etiqueta histórica conservada; no inferir subtipo desde el nombre</t>
        </is>
      </c>
      <c r="M247" s="4" t="inlineStr">
        <is>
          <t>Historical signals: title/abstract/notes; full-text completion not independently established</t>
        </is>
      </c>
      <c r="N247" s="4" t="n">
        <v>1</v>
      </c>
      <c r="O247" s="12" t="n"/>
      <c r="P247" s="41" t="n"/>
      <c r="Q247" s="4">
        <f>IF(COUNTIFS('ESTUDIOS'!$A$2:$A$455,$A247,'ESTUDIOS'!$I$2:$I$455,"")&gt;0,"",INDEX('ESTUDIOS'!$I$2:$I$455,MATCH($A247,'ESTUDIOS'!$A$2:$A$455,0)))</f>
        <v/>
      </c>
    </row>
    <row r="248" ht="60" customHeight="1">
      <c r="A248" s="4" t="inlineStr">
        <is>
          <t>268</t>
        </is>
      </c>
      <c r="B248" s="4" t="inlineStr">
        <is>
          <t>Historical</t>
        </is>
      </c>
      <c r="C248" s="4" t="inlineStr">
        <is>
          <t>Robust Low Complexity Framework for Early Diagnosis of Autism Spectrum Disorder Based on Cross Wavelet Transform and Deep Transfer Learning</t>
        </is>
      </c>
      <c r="D248" s="4" t="inlineStr">
        <is>
          <t>Screening</t>
        </is>
      </c>
      <c r="E248" s="4" t="inlineStr">
        <is>
          <t>Deep Learning</t>
        </is>
      </c>
      <c r="F248" s="4" t="inlineStr">
        <is>
          <t>Physiological signals</t>
        </is>
      </c>
      <c r="G248" s="4" t="inlineStr">
        <is>
          <t>CNN</t>
        </is>
      </c>
      <c r="H248" s="4" t="inlineStr">
        <is>
          <t>Classification (binary/multi-class; incl. ASD vs control)/ multi-class)</t>
        </is>
      </c>
      <c r="I248" s="4" t="inlineStr">
        <is>
          <t>Screening</t>
        </is>
      </c>
      <c r="J248" s="4" t="inlineStr">
        <is>
          <t>Deep Learning</t>
        </is>
      </c>
      <c r="K248" s="4" t="inlineStr">
        <is>
          <t>Señales fisiológicas</t>
        </is>
      </c>
      <c r="L248" s="4" t="inlineStr">
        <is>
          <t>Etiqueta histórica conservada; no inferir subtipo desde el nombre</t>
        </is>
      </c>
      <c r="M248" s="4" t="inlineStr">
        <is>
          <t>Historical signals: title/abstract/notes; full-text completion not independently established</t>
        </is>
      </c>
      <c r="N248" s="4" t="n">
        <v>0</v>
      </c>
      <c r="O248" s="12" t="n"/>
      <c r="P248" s="41" t="n"/>
      <c r="Q248" s="4">
        <f>IF(COUNTIFS('ESTUDIOS'!$A$2:$A$455,$A248,'ESTUDIOS'!$I$2:$I$455,"")&gt;0,"",INDEX('ESTUDIOS'!$I$2:$I$455,MATCH($A248,'ESTUDIOS'!$A$2:$A$455,0)))</f>
        <v/>
      </c>
    </row>
    <row r="249" ht="60" customHeight="1">
      <c r="A249" s="4" t="inlineStr">
        <is>
          <t>269</t>
        </is>
      </c>
      <c r="B249" s="4" t="inlineStr">
        <is>
          <t>Historical</t>
        </is>
      </c>
      <c r="C249" s="4" t="inlineStr">
        <is>
          <t>Self-weighted adaptive structure learning for ASD diagnosis via multi-template multi-center representation</t>
        </is>
      </c>
      <c r="D249" s="4" t="inlineStr">
        <is>
          <t>Diagnosis</t>
        </is>
      </c>
      <c r="E249" s="4" t="inlineStr">
        <is>
          <t>Deep Learning</t>
        </is>
      </c>
      <c r="F249" s="4" t="inlineStr">
        <is>
          <t>Multiple modalities (as coded)</t>
        </is>
      </c>
      <c r="G249" s="4" t="inlineStr">
        <is>
          <t>Other</t>
        </is>
      </c>
      <c r="H249" s="4" t="inlineStr">
        <is>
          <t>Classification (binary/multi-class; incl. ASD vs control)/ multi-class)</t>
        </is>
      </c>
      <c r="I249" s="4" t="inlineStr">
        <is>
          <t>Diagnosis</t>
        </is>
      </c>
      <c r="J249" s="4" t="inlineStr">
        <is>
          <t>Deep Learning</t>
        </is>
      </c>
      <c r="K249" s="4" t="inlineStr">
        <is>
          <t>Multimodal</t>
        </is>
      </c>
      <c r="L249" s="4" t="inlineStr">
        <is>
          <t>Etiqueta histórica conservada; no inferir subtipo desde el nombre</t>
        </is>
      </c>
      <c r="M249" s="4" t="inlineStr">
        <is>
          <t>Historical signals: title/abstract/notes; full-text completion not independently established</t>
        </is>
      </c>
      <c r="N249" s="4" t="n">
        <v>0</v>
      </c>
      <c r="O249" s="12" t="n"/>
      <c r="P249" s="41" t="n"/>
      <c r="Q249" s="4">
        <f>IF(COUNTIFS('ESTUDIOS'!$A$2:$A$455,$A249,'ESTUDIOS'!$I$2:$I$455,"")&gt;0,"",INDEX('ESTUDIOS'!$I$2:$I$455,MATCH($A249,'ESTUDIOS'!$A$2:$A$455,0)))</f>
        <v/>
      </c>
    </row>
    <row r="250" ht="34" customHeight="1">
      <c r="A250" s="4" t="inlineStr">
        <is>
          <t>270</t>
        </is>
      </c>
      <c r="B250" s="4" t="inlineStr">
        <is>
          <t>Historical</t>
        </is>
      </c>
      <c r="C250" s="4" t="inlineStr">
        <is>
          <t>Smart bed based daytime behavior prediction in Children with autism spectrum disorder - A Pilot Study</t>
        </is>
      </c>
      <c r="D250" s="4" t="inlineStr">
        <is>
          <t>Monitoring/intervention</t>
        </is>
      </c>
      <c r="E250" s="4" t="inlineStr">
        <is>
          <t>Hybrid</t>
        </is>
      </c>
      <c r="F250" s="4" t="inlineStr">
        <is>
          <t>Physiological signals</t>
        </is>
      </c>
      <c r="G250" s="4" t="inlineStr">
        <is>
          <t>MLP</t>
        </is>
      </c>
      <c r="H250" s="4" t="inlineStr">
        <is>
          <t>Prediction (time-to-event / prognosis)</t>
        </is>
      </c>
      <c r="I250" s="4" t="inlineStr">
        <is>
          <t>Monitoring/intervention</t>
        </is>
      </c>
      <c r="J250" s="4" t="inlineStr">
        <is>
          <t>Híbrido</t>
        </is>
      </c>
      <c r="K250" s="4" t="inlineStr">
        <is>
          <t>Señales fisiológicas</t>
        </is>
      </c>
      <c r="L250" s="4" t="inlineStr">
        <is>
          <t>Etiqueta histórica conservada; no inferir subtipo desde el nombre</t>
        </is>
      </c>
      <c r="M250" s="4" t="inlineStr">
        <is>
          <t>Historical signals: title/abstract/notes; full-text completion not independently established</t>
        </is>
      </c>
      <c r="N250" s="4" t="n">
        <v>0</v>
      </c>
      <c r="O250" s="12" t="n"/>
      <c r="P250" s="41" t="n"/>
      <c r="Q250" s="4">
        <f>IF(COUNTIFS('ESTUDIOS'!$A$2:$A$455,$A250,'ESTUDIOS'!$I$2:$I$455,"")&gt;0,"",INDEX('ESTUDIOS'!$I$2:$I$455,MATCH($A250,'ESTUDIOS'!$A$2:$A$455,0)))</f>
        <v/>
      </c>
    </row>
    <row r="251" ht="47" customHeight="1">
      <c r="A251" s="4" t="inlineStr">
        <is>
          <t>272</t>
        </is>
      </c>
      <c r="B251" s="4" t="inlineStr">
        <is>
          <t>Historical</t>
        </is>
      </c>
      <c r="C251" s="4" t="inlineStr">
        <is>
          <t>Subtyping cognitive profiles in Autism Spectrum Disorder using a Functional Random Forest algorithm</t>
        </is>
      </c>
      <c r="D251" s="4" t="inlineStr">
        <is>
          <t>Diagnosis</t>
        </is>
      </c>
      <c r="E251" s="4" t="inlineStr">
        <is>
          <t>Machine Learning</t>
        </is>
      </c>
      <c r="F251" s="4" t="inlineStr">
        <is>
          <t>Multiple modalities (as coded)</t>
        </is>
      </c>
      <c r="G251" s="4" t="inlineStr">
        <is>
          <t>Other / Not clear</t>
        </is>
      </c>
      <c r="H251" s="4" t="inlineStr">
        <is>
          <t>Classification (ASD vs control / multi-class)</t>
        </is>
      </c>
      <c r="I251" s="4" t="inlineStr">
        <is>
          <t>Diagnosis</t>
        </is>
      </c>
      <c r="J251" s="4" t="inlineStr">
        <is>
          <t>Machine Learning</t>
        </is>
      </c>
      <c r="K251" s="4" t="inlineStr">
        <is>
          <t>Multimodal</t>
        </is>
      </c>
      <c r="L251" s="4" t="inlineStr">
        <is>
          <t>Etiqueta histórica conservada; no inferir subtipo desde el nombre</t>
        </is>
      </c>
      <c r="M251" s="4" t="inlineStr">
        <is>
          <t>Historical signals: title/abstract/notes; full-text completion not independently established</t>
        </is>
      </c>
      <c r="N251" s="4" t="n">
        <v>0</v>
      </c>
      <c r="O251" s="12" t="n"/>
      <c r="P251" s="41" t="n"/>
      <c r="Q251" s="4">
        <f>IF(COUNTIFS('ESTUDIOS'!$A$2:$A$455,$A251,'ESTUDIOS'!$I$2:$I$455,"")&gt;0,"",INDEX('ESTUDIOS'!$I$2:$I$455,MATCH($A251,'ESTUDIOS'!$A$2:$A$455,0)))</f>
        <v/>
      </c>
    </row>
    <row r="252" ht="34" customHeight="1">
      <c r="A252" s="4" t="inlineStr">
        <is>
          <t>273</t>
        </is>
      </c>
      <c r="B252" s="4" t="inlineStr">
        <is>
          <t>Historical</t>
        </is>
      </c>
      <c r="C252" s="4" t="inlineStr">
        <is>
          <t>Towards autism subtype detection through identification of discriminatory factors using machine learning</t>
        </is>
      </c>
      <c r="D252" s="4" t="inlineStr">
        <is>
          <t>Diagnosis</t>
        </is>
      </c>
      <c r="E252" s="4" t="inlineStr">
        <is>
          <t>Machine Learning</t>
        </is>
      </c>
      <c r="F252" s="4" t="inlineStr">
        <is>
          <t>Not specified</t>
        </is>
      </c>
      <c r="G252" s="4" t="inlineStr">
        <is>
          <t>Clustering (k-means / GMM / ...)</t>
        </is>
      </c>
      <c r="H252" s="4" t="inlineStr">
        <is>
          <t>Clustering / subtyping</t>
        </is>
      </c>
      <c r="I252" s="4" t="inlineStr">
        <is>
          <t>Diagnosis</t>
        </is>
      </c>
      <c r="J252" s="4" t="inlineStr">
        <is>
          <t>Machine Learning</t>
        </is>
      </c>
      <c r="K252" s="4" t="inlineStr">
        <is>
          <t>No especificado</t>
        </is>
      </c>
      <c r="L252" s="4" t="inlineStr">
        <is>
          <t>Sin asignación por falta de detalle</t>
        </is>
      </c>
      <c r="M252" s="4" t="inlineStr">
        <is>
          <t>Historical signals: title/abstract/notes; full-text completion not independently established</t>
        </is>
      </c>
      <c r="N252" s="4" t="n">
        <v>1</v>
      </c>
      <c r="O252" s="12" t="n"/>
      <c r="P252" s="41" t="n"/>
      <c r="Q252" s="4">
        <f>IF(COUNTIFS('ESTUDIOS'!$A$2:$A$455,$A252,'ESTUDIOS'!$I$2:$I$455,"")&gt;0,"",INDEX('ESTUDIOS'!$I$2:$I$455,MATCH($A252,'ESTUDIOS'!$A$2:$A$455,0)))</f>
        <v/>
      </c>
    </row>
    <row r="253" ht="47" customHeight="1">
      <c r="A253" s="4" t="inlineStr">
        <is>
          <t>274</t>
        </is>
      </c>
      <c r="B253" s="4" t="inlineStr">
        <is>
          <t>Historical</t>
        </is>
      </c>
      <c r="C253" s="4" t="inlineStr">
        <is>
          <t>‘IoT and AI-Based Application for Automatic Interpretation of the Affective State of Children Diagnosed with Autism</t>
        </is>
      </c>
      <c r="D253" s="4" t="inlineStr">
        <is>
          <t>Monitoring/intervention</t>
        </is>
      </c>
      <c r="E253" s="4" t="inlineStr">
        <is>
          <t>Deep Learning</t>
        </is>
      </c>
      <c r="F253" s="4" t="inlineStr">
        <is>
          <t>Text / NLP (legacy; verify input type)</t>
        </is>
      </c>
      <c r="G253" s="4" t="inlineStr">
        <is>
          <t>CNN</t>
        </is>
      </c>
      <c r="H253" s="4" t="inlineStr">
        <is>
          <t>Classification (ASD vs control / multi-class)</t>
        </is>
      </c>
      <c r="I253" s="4" t="inlineStr">
        <is>
          <t>Monitoring/intervention</t>
        </is>
      </c>
      <c r="J253" s="4" t="inlineStr">
        <is>
          <t>Deep Learning</t>
        </is>
      </c>
      <c r="K253" s="4" t="inlineStr">
        <is>
          <t>Texto · NLP</t>
        </is>
      </c>
      <c r="L253" s="4" t="inlineStr">
        <is>
          <t>Etiqueta histórica conservada; no inferir subtipo desde el nombre</t>
        </is>
      </c>
      <c r="M253" s="4" t="inlineStr">
        <is>
          <t>Historical signals: title/abstract/notes; full-text completion not independently established</t>
        </is>
      </c>
      <c r="N253" s="4" t="n">
        <v>1</v>
      </c>
      <c r="O253" s="12" t="n"/>
      <c r="P253" s="41" t="n"/>
      <c r="Q253" s="4">
        <f>IF(COUNTIFS('ESTUDIOS'!$A$2:$A$455,$A253,'ESTUDIOS'!$I$2:$I$455,"")&gt;0,"",INDEX('ESTUDIOS'!$I$2:$I$455,MATCH($A253,'ESTUDIOS'!$A$2:$A$455,0)))</f>
        <v/>
      </c>
    </row>
    <row r="254" ht="60" customHeight="1">
      <c r="A254" s="4" t="inlineStr">
        <is>
          <t>275</t>
        </is>
      </c>
      <c r="B254" s="4" t="inlineStr">
        <is>
          <t>Historical</t>
        </is>
      </c>
      <c r="C254" s="4" t="inlineStr">
        <is>
          <t>A Fusion-Based Machine Learning Approach for Autism Detection in Young Children Using Magnetoencephalography Signals</t>
        </is>
      </c>
      <c r="D254" s="4" t="inlineStr">
        <is>
          <t>Diagnosis</t>
        </is>
      </c>
      <c r="E254" s="4" t="inlineStr">
        <is>
          <t>Machine Learning</t>
        </is>
      </c>
      <c r="F254" s="4" t="inlineStr">
        <is>
          <t>Physiological signals</t>
        </is>
      </c>
      <c r="G254" s="4" t="inlineStr">
        <is>
          <t>MLP</t>
        </is>
      </c>
      <c r="H254" s="4" t="inlineStr">
        <is>
          <t>Classification (binary/multi-class; incl. ASD vs control)/ multi-class)</t>
        </is>
      </c>
      <c r="I254" s="4" t="inlineStr">
        <is>
          <t>Diagnosis</t>
        </is>
      </c>
      <c r="J254" s="4" t="inlineStr">
        <is>
          <t>Machine Learning</t>
        </is>
      </c>
      <c r="K254" s="4" t="inlineStr">
        <is>
          <t>Señales fisiológicas</t>
        </is>
      </c>
      <c r="L254" s="4" t="inlineStr">
        <is>
          <t>Etiqueta histórica conservada; no inferir subtipo desde el nombre</t>
        </is>
      </c>
      <c r="M254" s="4" t="inlineStr">
        <is>
          <t>Historical signals: title/abstract/notes; full-text completion not independently established</t>
        </is>
      </c>
      <c r="N254" s="4" t="n">
        <v>0</v>
      </c>
      <c r="O254" s="12" t="n"/>
      <c r="P254" s="41" t="n"/>
      <c r="Q254" s="4">
        <f>IF(COUNTIFS('ESTUDIOS'!$A$2:$A$455,$A254,'ESTUDIOS'!$I$2:$I$455,"")&gt;0,"",INDEX('ESTUDIOS'!$I$2:$I$455,MATCH($A254,'ESTUDIOS'!$A$2:$A$455,0)))</f>
        <v/>
      </c>
    </row>
    <row r="255" ht="47" customHeight="1">
      <c r="A255" s="4" t="inlineStr">
        <is>
          <t>276</t>
        </is>
      </c>
      <c r="B255" s="4" t="inlineStr">
        <is>
          <t>Historical</t>
        </is>
      </c>
      <c r="C255" s="4" t="inlineStr">
        <is>
          <t>A situation-aware system for the detection of motion disorders of patients with Autism Spectrum Disorders</t>
        </is>
      </c>
      <c r="D255" s="4" t="inlineStr">
        <is>
          <t>Monitoring/intervention</t>
        </is>
      </c>
      <c r="E255" s="4" t="inlineStr">
        <is>
          <t>Deep Learning</t>
        </is>
      </c>
      <c r="F255" s="4" t="inlineStr">
        <is>
          <t>Physiological signals</t>
        </is>
      </c>
      <c r="G255" s="4" t="inlineStr">
        <is>
          <t>Other / Not clear</t>
        </is>
      </c>
      <c r="H255" s="4" t="inlineStr">
        <is>
          <t>Detection / segmentation</t>
        </is>
      </c>
      <c r="I255" s="4" t="inlineStr">
        <is>
          <t>Monitoring/intervention</t>
        </is>
      </c>
      <c r="J255" s="4" t="inlineStr">
        <is>
          <t>Deep Learning</t>
        </is>
      </c>
      <c r="K255" s="4" t="inlineStr">
        <is>
          <t>Señales fisiológicas</t>
        </is>
      </c>
      <c r="L255" s="4" t="inlineStr">
        <is>
          <t>Etiqueta histórica conservada; no inferir subtipo desde el nombre</t>
        </is>
      </c>
      <c r="M255" s="4" t="inlineStr">
        <is>
          <t>Historical signals: title/abstract/notes; full-text completion not independently established</t>
        </is>
      </c>
      <c r="N255" s="4" t="n">
        <v>0</v>
      </c>
      <c r="O255" s="12" t="n"/>
      <c r="P255" s="41" t="n"/>
      <c r="Q255" s="4">
        <f>IF(COUNTIFS('ESTUDIOS'!$A$2:$A$455,$A255,'ESTUDIOS'!$I$2:$I$455,"")&gt;0,"",INDEX('ESTUDIOS'!$I$2:$I$455,MATCH($A255,'ESTUDIOS'!$A$2:$A$455,0)))</f>
        <v/>
      </c>
    </row>
    <row r="256" ht="34" customHeight="1">
      <c r="A256" s="4" t="inlineStr">
        <is>
          <t>277</t>
        </is>
      </c>
      <c r="B256" s="4" t="inlineStr">
        <is>
          <t>Historical</t>
        </is>
      </c>
      <c r="C256" s="4" t="inlineStr">
        <is>
          <t>Accurate corresponding fiber tract segmentation via FiberGeoMap learner with application to autism</t>
        </is>
      </c>
      <c r="D256" s="4" t="inlineStr">
        <is>
          <t>Diagnosis</t>
        </is>
      </c>
      <c r="E256" s="4" t="inlineStr">
        <is>
          <t>Deep Learning</t>
        </is>
      </c>
      <c r="F256" s="4" t="inlineStr">
        <is>
          <t>Image (subtype unresolved)</t>
        </is>
      </c>
      <c r="G256" s="4" t="inlineStr">
        <is>
          <t>Transformer</t>
        </is>
      </c>
      <c r="H256" s="4" t="inlineStr">
        <is>
          <t>Detection / segmentation</t>
        </is>
      </c>
      <c r="I256" s="4" t="inlineStr">
        <is>
          <t>Diagnosis</t>
        </is>
      </c>
      <c r="J256" s="4" t="inlineStr">
        <is>
          <t>Deep Learning</t>
        </is>
      </c>
      <c r="K256" s="4" t="inlineStr">
        <is>
          <t>Imagen</t>
        </is>
      </c>
      <c r="L256" s="4" t="inlineStr">
        <is>
          <t>Etiqueta histórica conservada; no inferir subtipo desde el nombre</t>
        </is>
      </c>
      <c r="M256" s="4" t="inlineStr">
        <is>
          <t>Historical signals: title/abstract/notes; full-text completion not independently established</t>
        </is>
      </c>
      <c r="N256" s="4" t="n">
        <v>1</v>
      </c>
      <c r="O256" s="12" t="n"/>
      <c r="P256" s="41" t="n"/>
      <c r="Q256" s="4">
        <f>IF(COUNTIFS('ESTUDIOS'!$A$2:$A$455,$A256,'ESTUDIOS'!$I$2:$I$455,"")&gt;0,"",INDEX('ESTUDIOS'!$I$2:$I$455,MATCH($A256,'ESTUDIOS'!$A$2:$A$455,0)))</f>
        <v/>
      </c>
    </row>
    <row r="257" ht="47" customHeight="1">
      <c r="A257" s="4" t="inlineStr">
        <is>
          <t>278</t>
        </is>
      </c>
      <c r="B257" s="4" t="inlineStr">
        <is>
          <t>Historical</t>
        </is>
      </c>
      <c r="C257" s="4" t="inlineStr">
        <is>
          <t>Autism risk classification using placental chorionic surface vascular network features</t>
        </is>
      </c>
      <c r="D257" s="4" t="inlineStr">
        <is>
          <t>Prescreening</t>
        </is>
      </c>
      <c r="E257" s="4" t="inlineStr">
        <is>
          <t>Machine Learning</t>
        </is>
      </c>
      <c r="F257" s="4" t="inlineStr">
        <is>
          <t>Image (subtype unresolved)</t>
        </is>
      </c>
      <c r="G257" s="4" t="inlineStr">
        <is>
          <t>Random Forest</t>
        </is>
      </c>
      <c r="H257" s="4" t="inlineStr">
        <is>
          <t>Classification (ASD vs control / multi-class)</t>
        </is>
      </c>
      <c r="I257" s="4" t="inlineStr">
        <is>
          <t>Prescreening</t>
        </is>
      </c>
      <c r="J257" s="4" t="inlineStr">
        <is>
          <t>Machine Learning</t>
        </is>
      </c>
      <c r="K257" s="4" t="inlineStr">
        <is>
          <t>Imagen</t>
        </is>
      </c>
      <c r="L257" s="4" t="inlineStr">
        <is>
          <t>Etiqueta histórica conservada; no inferir subtipo desde el nombre</t>
        </is>
      </c>
      <c r="M257" s="4" t="inlineStr">
        <is>
          <t>Historical signals: title/abstract/notes; full-text completion not independently established</t>
        </is>
      </c>
      <c r="N257" s="4" t="n">
        <v>1</v>
      </c>
      <c r="O257" s="12" t="n"/>
      <c r="P257" s="41" t="n"/>
      <c r="Q257" s="4">
        <f>IF(COUNTIFS('ESTUDIOS'!$A$2:$A$455,$A257,'ESTUDIOS'!$I$2:$I$455,"")&gt;0,"",INDEX('ESTUDIOS'!$I$2:$I$455,MATCH($A257,'ESTUDIOS'!$A$2:$A$455,0)))</f>
        <v/>
      </c>
    </row>
    <row r="258" ht="60" customHeight="1">
      <c r="A258" s="4" t="inlineStr">
        <is>
          <t>279</t>
        </is>
      </c>
      <c r="B258" s="4" t="inlineStr">
        <is>
          <t>Historical</t>
        </is>
      </c>
      <c r="C258" s="4" t="inlineStr">
        <is>
          <t>Autism spectrum disorder detection using sequential minimal optimization-support vector machine hybrid classifier according to history of jaundice and family autism in children</t>
        </is>
      </c>
      <c r="D258" s="4" t="inlineStr">
        <is>
          <t>Diagnosis</t>
        </is>
      </c>
      <c r="E258" s="4" t="inlineStr">
        <is>
          <t>Machine Learning</t>
        </is>
      </c>
      <c r="F258" s="4" t="inlineStr">
        <is>
          <t>Not specified</t>
        </is>
      </c>
      <c r="G258" s="4" t="inlineStr">
        <is>
          <t>SVM</t>
        </is>
      </c>
      <c r="H258" s="4" t="inlineStr">
        <is>
          <t>Classification (ASD vs control / multi-class)</t>
        </is>
      </c>
      <c r="I258" s="4" t="inlineStr">
        <is>
          <t>Diagnosis</t>
        </is>
      </c>
      <c r="J258" s="4" t="inlineStr">
        <is>
          <t>Machine Learning</t>
        </is>
      </c>
      <c r="K258" s="4" t="inlineStr">
        <is>
          <t>No especificado</t>
        </is>
      </c>
      <c r="L258" s="4" t="inlineStr">
        <is>
          <t>Sin asignación por falta de detalle</t>
        </is>
      </c>
      <c r="M258" s="4" t="inlineStr">
        <is>
          <t>Historical signals: title/abstract/notes; full-text completion not independently established</t>
        </is>
      </c>
      <c r="N258" s="4" t="n">
        <v>1</v>
      </c>
      <c r="O258" s="12" t="n"/>
      <c r="P258" s="41" t="n"/>
      <c r="Q258" s="4">
        <f>IF(COUNTIFS('ESTUDIOS'!$A$2:$A$455,$A258,'ESTUDIOS'!$I$2:$I$455,"")&gt;0,"",INDEX('ESTUDIOS'!$I$2:$I$455,MATCH($A258,'ESTUDIOS'!$A$2:$A$455,0)))</f>
        <v/>
      </c>
    </row>
    <row r="259" ht="47" customHeight="1">
      <c r="A259" s="4" t="inlineStr">
        <is>
          <t>280</t>
        </is>
      </c>
      <c r="B259" s="4" t="inlineStr">
        <is>
          <t>Historical</t>
        </is>
      </c>
      <c r="C259" s="4" t="inlineStr">
        <is>
          <t>Classification of autism based on short-term spontaneous hemodynamic fluctuations using an adaptive graph neural network</t>
        </is>
      </c>
      <c r="D259" s="4" t="inlineStr">
        <is>
          <t>Diagnosis</t>
        </is>
      </c>
      <c r="E259" s="4" t="inlineStr">
        <is>
          <t>Deep Learning</t>
        </is>
      </c>
      <c r="F259" s="4" t="inlineStr">
        <is>
          <t>Multiple modalities (as coded)</t>
        </is>
      </c>
      <c r="G259" s="4" t="inlineStr">
        <is>
          <t>Other / Not clear</t>
        </is>
      </c>
      <c r="H259" s="4" t="inlineStr">
        <is>
          <t>Classification (ASD vs control / multi-class)</t>
        </is>
      </c>
      <c r="I259" s="4" t="inlineStr">
        <is>
          <t>Diagnosis</t>
        </is>
      </c>
      <c r="J259" s="4" t="inlineStr">
        <is>
          <t>Deep Learning</t>
        </is>
      </c>
      <c r="K259" s="4" t="inlineStr">
        <is>
          <t>Multimodal</t>
        </is>
      </c>
      <c r="L259" s="4" t="inlineStr">
        <is>
          <t>Etiqueta histórica conservada; no inferir subtipo desde el nombre</t>
        </is>
      </c>
      <c r="M259" s="4" t="inlineStr">
        <is>
          <t>Historical signals: title/abstract/notes; full-text completion not independently established</t>
        </is>
      </c>
      <c r="N259" s="4" t="n">
        <v>0</v>
      </c>
      <c r="O259" s="12" t="n"/>
      <c r="P259" s="41" t="n"/>
      <c r="Q259" s="4">
        <f>IF(COUNTIFS('ESTUDIOS'!$A$2:$A$455,$A259,'ESTUDIOS'!$I$2:$I$455,"")&gt;0,"",INDEX('ESTUDIOS'!$I$2:$I$455,MATCH($A259,'ESTUDIOS'!$A$2:$A$455,0)))</f>
        <v/>
      </c>
    </row>
    <row r="260" ht="34" customHeight="1">
      <c r="A260" s="4" t="inlineStr">
        <is>
          <t>281</t>
        </is>
      </c>
      <c r="B260" s="4" t="inlineStr">
        <is>
          <t>Historical</t>
        </is>
      </c>
      <c r="C260" s="4" t="inlineStr">
        <is>
          <t>Deep Mobile Linguistic Therapy for Patients with ASD</t>
        </is>
      </c>
      <c r="D260" s="4" t="inlineStr">
        <is>
          <t>Monitoring/intervention</t>
        </is>
      </c>
      <c r="E260" s="4" t="inlineStr">
        <is>
          <t>Deep Learning</t>
        </is>
      </c>
      <c r="F260" s="4" t="inlineStr">
        <is>
          <t>Image (subtype unresolved)</t>
        </is>
      </c>
      <c r="G260" s="4" t="inlineStr">
        <is>
          <t>Other / Not clear</t>
        </is>
      </c>
      <c r="H260" s="4" t="inlineStr">
        <is>
          <t>Other / Not clear</t>
        </is>
      </c>
      <c r="I260" s="4" t="inlineStr">
        <is>
          <t>Monitoring/intervention</t>
        </is>
      </c>
      <c r="J260" s="4" t="inlineStr">
        <is>
          <t>Deep Learning</t>
        </is>
      </c>
      <c r="K260" s="4" t="inlineStr">
        <is>
          <t>Imagen</t>
        </is>
      </c>
      <c r="L260" s="4" t="inlineStr">
        <is>
          <t>Etiqueta histórica conservada; no inferir subtipo desde el nombre</t>
        </is>
      </c>
      <c r="M260" s="4" t="inlineStr">
        <is>
          <t>Historical signals: title/abstract/notes; full-text completion not independently established</t>
        </is>
      </c>
      <c r="N260" s="4" t="n">
        <v>1</v>
      </c>
      <c r="O260" s="12" t="n"/>
      <c r="P260" s="41" t="n"/>
      <c r="Q260" s="4">
        <f>IF(COUNTIFS('ESTUDIOS'!$A$2:$A$455,$A260,'ESTUDIOS'!$I$2:$I$455,"")&gt;0,"",INDEX('ESTUDIOS'!$I$2:$I$455,MATCH($A260,'ESTUDIOS'!$A$2:$A$455,0)))</f>
        <v/>
      </c>
    </row>
    <row r="261" ht="34" customHeight="1">
      <c r="A261" s="4" t="inlineStr">
        <is>
          <t>282</t>
        </is>
      </c>
      <c r="B261" s="4" t="inlineStr">
        <is>
          <t>Historical</t>
        </is>
      </c>
      <c r="C261" s="4" t="inlineStr">
        <is>
          <t>DeepASDPred: a CNN-LSTM-based deep learning method for Autism spectrum disorders risk RNA identification</t>
        </is>
      </c>
      <c r="D261" s="4" t="inlineStr">
        <is>
          <t>Not specified</t>
        </is>
      </c>
      <c r="E261" s="4" t="inlineStr">
        <is>
          <t>Hybrid</t>
        </is>
      </c>
      <c r="F261" s="4" t="inlineStr">
        <is>
          <t>Biological/omics</t>
        </is>
      </c>
      <c r="G261" s="4" t="inlineStr">
        <is>
          <t>CNN-LSTM with attention</t>
        </is>
      </c>
      <c r="H261" s="4" t="inlineStr">
        <is>
          <t>ASD-risk RNA/gene identification</t>
        </is>
      </c>
      <c r="I261" s="4" t="inlineStr">
        <is>
          <t>Not specified</t>
        </is>
      </c>
      <c r="J261" s="4" t="inlineStr">
        <is>
          <t>Híbrido</t>
        </is>
      </c>
      <c r="K261" s="4" t="inlineStr">
        <is>
          <t>Biological/omics</t>
        </is>
      </c>
      <c r="L261" s="4" t="inlineStr">
        <is>
          <t>Etiqueta histórica conservada; no inferir subtipo desde el nombre</t>
        </is>
      </c>
      <c r="M261" s="4" t="inlineStr">
        <is>
          <t>Historical signals: title/abstract/notes; full-text completion not independently established</t>
        </is>
      </c>
      <c r="N261" s="4" t="n">
        <v>1</v>
      </c>
      <c r="O261" s="12" t="n"/>
      <c r="P261" s="41" t="n"/>
      <c r="Q261" s="4">
        <f>IF(COUNTIFS('ESTUDIOS'!$A$2:$A$455,$A261,'ESTUDIOS'!$I$2:$I$455,"")&gt;0,"",INDEX('ESTUDIOS'!$I$2:$I$455,MATCH($A261,'ESTUDIOS'!$A$2:$A$455,0)))</f>
        <v/>
      </c>
    </row>
    <row r="262" ht="60" customHeight="1">
      <c r="A262" s="4" t="inlineStr">
        <is>
          <t>283</t>
        </is>
      </c>
      <c r="B262" s="4" t="inlineStr">
        <is>
          <t>Historical</t>
        </is>
      </c>
      <c r="C262" s="4" t="inlineStr">
        <is>
          <t>Employing Machine Learning-Based Predictive Analytical Approaches to Classify Autism Spectrum Disorder Types</t>
        </is>
      </c>
      <c r="D262" s="4" t="inlineStr">
        <is>
          <t>Diagnosis</t>
        </is>
      </c>
      <c r="E262" s="4" t="inlineStr">
        <is>
          <t>Deep Learning</t>
        </is>
      </c>
      <c r="F262" s="4" t="inlineStr">
        <is>
          <t>Not specified</t>
        </is>
      </c>
      <c r="G262" s="4" t="inlineStr">
        <is>
          <t>MLP</t>
        </is>
      </c>
      <c r="H262" s="4" t="inlineStr">
        <is>
          <t>Classification (binary/multi-class; incl. ASD vs control)/ multi-class)</t>
        </is>
      </c>
      <c r="I262" s="4" t="inlineStr">
        <is>
          <t>Diagnosis</t>
        </is>
      </c>
      <c r="J262" s="4" t="inlineStr">
        <is>
          <t>Deep Learning</t>
        </is>
      </c>
      <c r="K262" s="4" t="inlineStr">
        <is>
          <t>No especificado</t>
        </is>
      </c>
      <c r="L262" s="4" t="inlineStr">
        <is>
          <t>Sin asignación por falta de detalle</t>
        </is>
      </c>
      <c r="M262" s="4" t="inlineStr">
        <is>
          <t>Historical signals: title/abstract/notes; full-text completion not independently established</t>
        </is>
      </c>
      <c r="N262" s="4" t="n">
        <v>1</v>
      </c>
      <c r="O262" s="12" t="n"/>
      <c r="P262" s="41" t="n"/>
      <c r="Q262" s="4">
        <f>IF(COUNTIFS('ESTUDIOS'!$A$2:$A$455,$A262,'ESTUDIOS'!$I$2:$I$455,"")&gt;0,"",INDEX('ESTUDIOS'!$I$2:$I$455,MATCH($A262,'ESTUDIOS'!$A$2:$A$455,0)))</f>
        <v/>
      </c>
    </row>
    <row r="263" ht="60" customHeight="1">
      <c r="A263" s="4" t="inlineStr">
        <is>
          <t>284</t>
        </is>
      </c>
      <c r="B263" s="4" t="inlineStr">
        <is>
          <t>Historical</t>
        </is>
      </c>
      <c r="C263" s="4" t="inlineStr">
        <is>
          <t>Exploration of Autism Spectrum Disorder using Classification Algorithms</t>
        </is>
      </c>
      <c r="D263" s="4" t="inlineStr">
        <is>
          <t>Screening</t>
        </is>
      </c>
      <c r="E263" s="4" t="inlineStr">
        <is>
          <t>Hybrid</t>
        </is>
      </c>
      <c r="F263" s="4" t="inlineStr">
        <is>
          <t>Image (subtype unresolved)</t>
        </is>
      </c>
      <c r="G263" s="4" t="inlineStr">
        <is>
          <t>SVM</t>
        </is>
      </c>
      <c r="H263" s="4" t="inlineStr">
        <is>
          <t>Classification (binary/multi-class; incl. ASD vs control)/ multi-class)</t>
        </is>
      </c>
      <c r="I263" s="4" t="inlineStr">
        <is>
          <t>screening</t>
        </is>
      </c>
      <c r="J263" s="4" t="inlineStr">
        <is>
          <t>Híbrido</t>
        </is>
      </c>
      <c r="K263" s="4" t="inlineStr">
        <is>
          <t>Imagen</t>
        </is>
      </c>
      <c r="L263" s="4" t="inlineStr">
        <is>
          <t>Etiqueta histórica conservada; no inferir subtipo desde el nombre</t>
        </is>
      </c>
      <c r="M263" s="4" t="inlineStr">
        <is>
          <t>Historical signals: title/abstract/notes; full-text completion not independently established</t>
        </is>
      </c>
      <c r="N263" s="4" t="n">
        <v>1</v>
      </c>
      <c r="O263" s="12" t="n"/>
      <c r="P263" s="41" t="n"/>
      <c r="Q263" s="4">
        <f>IF(COUNTIFS('ESTUDIOS'!$A$2:$A$455,$A263,'ESTUDIOS'!$I$2:$I$455,"")&gt;0,"",INDEX('ESTUDIOS'!$I$2:$I$455,MATCH($A263,'ESTUDIOS'!$A$2:$A$455,0)))</f>
        <v/>
      </c>
    </row>
    <row r="264" ht="60" customHeight="1">
      <c r="A264" s="4" t="inlineStr">
        <is>
          <t>285</t>
        </is>
      </c>
      <c r="B264" s="4" t="inlineStr">
        <is>
          <t>Historical</t>
        </is>
      </c>
      <c r="C264" s="4" t="inlineStr">
        <is>
          <t>Exploring pesticide risk in autism via integrative machine learning and network toxicology</t>
        </is>
      </c>
      <c r="D264" s="4" t="inlineStr">
        <is>
          <t>Not specified</t>
        </is>
      </c>
      <c r="E264" s="4" t="inlineStr">
        <is>
          <t>Hybrid</t>
        </is>
      </c>
      <c r="F264" s="4" t="inlineStr">
        <is>
          <t>Not specified</t>
        </is>
      </c>
      <c r="G264" s="4" t="inlineStr">
        <is>
          <t>Other</t>
        </is>
      </c>
      <c r="H264" s="4" t="inlineStr">
        <is>
          <t>Classification (binary/multi-class; incl. ASD vs control)/ multi-class)</t>
        </is>
      </c>
      <c r="I264" s="4" t="inlineStr">
        <is>
          <t>Not clear</t>
        </is>
      </c>
      <c r="J264" s="4" t="inlineStr">
        <is>
          <t>Híbrido</t>
        </is>
      </c>
      <c r="K264" s="4" t="inlineStr">
        <is>
          <t>No especificado</t>
        </is>
      </c>
      <c r="L264" s="4" t="inlineStr">
        <is>
          <t>Sin asignación por falta de detalle</t>
        </is>
      </c>
      <c r="M264" s="4" t="inlineStr">
        <is>
          <t>Historical signals: title/abstract/notes; full-text completion not independently established</t>
        </is>
      </c>
      <c r="N264" s="4" t="n">
        <v>1</v>
      </c>
      <c r="O264" s="12" t="n"/>
      <c r="P264" s="41" t="n"/>
      <c r="Q264" s="4">
        <f>IF(COUNTIFS('ESTUDIOS'!$A$2:$A$455,$A264,'ESTUDIOS'!$I$2:$I$455,"")&gt;0,"",INDEX('ESTUDIOS'!$I$2:$I$455,MATCH($A264,'ESTUDIOS'!$A$2:$A$455,0)))</f>
        <v/>
      </c>
    </row>
    <row r="265" ht="47" customHeight="1">
      <c r="A265" s="4" t="inlineStr">
        <is>
          <t>286</t>
        </is>
      </c>
      <c r="B265" s="4" t="inlineStr">
        <is>
          <t>Historical</t>
        </is>
      </c>
      <c r="C265" s="4" t="inlineStr">
        <is>
          <t>Feedback Artificial Tree-Anti Corona Virus Optimization enabled deep learning for detecting autism spectrum disorder</t>
        </is>
      </c>
      <c r="D265" s="4" t="inlineStr">
        <is>
          <t>Diagnosis</t>
        </is>
      </c>
      <c r="E265" s="4" t="inlineStr">
        <is>
          <t>Deep Learning</t>
        </is>
      </c>
      <c r="F265" s="4" t="inlineStr">
        <is>
          <t>Physiological signals</t>
        </is>
      </c>
      <c r="G265" s="4" t="inlineStr">
        <is>
          <t>Other / Not clear</t>
        </is>
      </c>
      <c r="H265" s="4" t="inlineStr">
        <is>
          <t>Classification (ASD vs control / multi-class)</t>
        </is>
      </c>
      <c r="I265" s="4" t="inlineStr">
        <is>
          <t>Diagnosis</t>
        </is>
      </c>
      <c r="J265" s="4" t="inlineStr">
        <is>
          <t>Deep Learning</t>
        </is>
      </c>
      <c r="K265" s="4" t="inlineStr">
        <is>
          <t>Señales fisiológicas</t>
        </is>
      </c>
      <c r="L265" s="4" t="inlineStr">
        <is>
          <t>Etiqueta histórica conservada; no inferir subtipo desde el nombre</t>
        </is>
      </c>
      <c r="M265" s="4" t="inlineStr">
        <is>
          <t>Historical signals: title/abstract/notes; full-text completion not independently established</t>
        </is>
      </c>
      <c r="N265" s="4" t="n">
        <v>0</v>
      </c>
      <c r="O265" s="12" t="n"/>
      <c r="P265" s="41" t="n"/>
      <c r="Q265" s="4">
        <f>IF(COUNTIFS('ESTUDIOS'!$A$2:$A$455,$A265,'ESTUDIOS'!$I$2:$I$455,"")&gt;0,"",INDEX('ESTUDIOS'!$I$2:$I$455,MATCH($A265,'ESTUDIOS'!$A$2:$A$455,0)))</f>
        <v/>
      </c>
    </row>
    <row r="266" ht="47" customHeight="1">
      <c r="A266" s="4" t="inlineStr">
        <is>
          <t>287</t>
        </is>
      </c>
      <c r="B266" s="4" t="inlineStr">
        <is>
          <t>Historical</t>
        </is>
      </c>
      <c r="C266" s="4" t="inlineStr">
        <is>
          <t>Forecasting risk gene discovery in autism with machine learning and genome-scale data</t>
        </is>
      </c>
      <c r="D266" s="4" t="inlineStr">
        <is>
          <t>Prescreening</t>
        </is>
      </c>
      <c r="E266" s="4" t="inlineStr">
        <is>
          <t>Deep Learning</t>
        </is>
      </c>
      <c r="F266" s="4" t="inlineStr">
        <is>
          <t>Not specified</t>
        </is>
      </c>
      <c r="G266" s="4" t="inlineStr">
        <is>
          <t>Other / Not clear</t>
        </is>
      </c>
      <c r="H266" s="4" t="inlineStr">
        <is>
          <t>Classification (ASD vs control / multi-class)</t>
        </is>
      </c>
      <c r="I266" s="4" t="inlineStr">
        <is>
          <t>Prescreening</t>
        </is>
      </c>
      <c r="J266" s="4" t="inlineStr">
        <is>
          <t>Deep Learning</t>
        </is>
      </c>
      <c r="K266" s="4" t="inlineStr">
        <is>
          <t>No especificado</t>
        </is>
      </c>
      <c r="L266" s="4" t="inlineStr">
        <is>
          <t>Sin asignación por falta de detalle</t>
        </is>
      </c>
      <c r="M266" s="4" t="inlineStr">
        <is>
          <t>Historical signals: title/abstract/notes; full-text completion not independently established</t>
        </is>
      </c>
      <c r="N266" s="4" t="n">
        <v>1</v>
      </c>
      <c r="O266" s="12" t="n"/>
      <c r="P266" s="41" t="n"/>
      <c r="Q266" s="4">
        <f>IF(COUNTIFS('ESTUDIOS'!$A$2:$A$455,$A266,'ESTUDIOS'!$I$2:$I$455,"")&gt;0,"",INDEX('ESTUDIOS'!$I$2:$I$455,MATCH($A266,'ESTUDIOS'!$A$2:$A$455,0)))</f>
        <v/>
      </c>
    </row>
    <row r="267" ht="47" customHeight="1">
      <c r="A267" s="4" t="inlineStr">
        <is>
          <t>288</t>
        </is>
      </c>
      <c r="B267" s="4" t="inlineStr">
        <is>
          <t>Historical</t>
        </is>
      </c>
      <c r="C267" s="4" t="inlineStr">
        <is>
          <t>Identifying Autism with Head Movement Features by Implementing Machine Learning Algorithms</t>
        </is>
      </c>
      <c r="D267" s="4" t="inlineStr">
        <is>
          <t>Screening</t>
        </is>
      </c>
      <c r="E267" s="4" t="inlineStr">
        <is>
          <t>Machine Learning</t>
        </is>
      </c>
      <c r="F267" s="4" t="inlineStr">
        <is>
          <t>Physiological signals</t>
        </is>
      </c>
      <c r="G267" s="4" t="inlineStr">
        <is>
          <t>Decision Tree</t>
        </is>
      </c>
      <c r="H267" s="4" t="inlineStr">
        <is>
          <t>Classification (ASD vs control / multi-class)</t>
        </is>
      </c>
      <c r="I267" s="4" t="inlineStr">
        <is>
          <t>Screening</t>
        </is>
      </c>
      <c r="J267" s="4" t="inlineStr">
        <is>
          <t>Machine Learning</t>
        </is>
      </c>
      <c r="K267" s="4" t="inlineStr">
        <is>
          <t>Señales fisiológicas</t>
        </is>
      </c>
      <c r="L267" s="4" t="inlineStr">
        <is>
          <t>Etiqueta histórica conservada; no inferir subtipo desde el nombre</t>
        </is>
      </c>
      <c r="M267" s="4" t="inlineStr">
        <is>
          <t>Historical signals: title/abstract/notes; full-text completion not independently established</t>
        </is>
      </c>
      <c r="N267" s="4" t="n">
        <v>0</v>
      </c>
      <c r="O267" s="12" t="n"/>
      <c r="P267" s="41" t="n"/>
      <c r="Q267" s="4">
        <f>IF(COUNTIFS('ESTUDIOS'!$A$2:$A$455,$A267,'ESTUDIOS'!$I$2:$I$455,"")&gt;0,"",INDEX('ESTUDIOS'!$I$2:$I$455,MATCH($A267,'ESTUDIOS'!$A$2:$A$455,0)))</f>
        <v/>
      </c>
    </row>
    <row r="268" ht="34" customHeight="1">
      <c r="A268" s="4" t="inlineStr">
        <is>
          <t>289</t>
        </is>
      </c>
      <c r="B268" s="4" t="inlineStr">
        <is>
          <t>Historical</t>
        </is>
      </c>
      <c r="C268" s="4" t="inlineStr">
        <is>
          <t>Increased serum levels of macrophage migration inhibitory factor in autism spectrum disorders</t>
        </is>
      </c>
      <c r="D268" s="4" t="inlineStr">
        <is>
          <t>Diagnosis</t>
        </is>
      </c>
      <c r="E268" s="4" t="inlineStr">
        <is>
          <t>Machine Learning</t>
        </is>
      </c>
      <c r="F268" s="4" t="inlineStr">
        <is>
          <t>Not specified</t>
        </is>
      </c>
      <c r="G268" s="4" t="inlineStr">
        <is>
          <t>Logistic Regression</t>
        </is>
      </c>
      <c r="H268" s="4" t="inlineStr">
        <is>
          <t>Regression (score / severity / risk)</t>
        </is>
      </c>
      <c r="I268" s="4" t="inlineStr">
        <is>
          <t>Diagnosis</t>
        </is>
      </c>
      <c r="J268" s="4" t="inlineStr">
        <is>
          <t>Machine Learning</t>
        </is>
      </c>
      <c r="K268" s="4" t="inlineStr">
        <is>
          <t>No especificado</t>
        </is>
      </c>
      <c r="L268" s="4" t="inlineStr">
        <is>
          <t>Sin asignación por falta de detalle</t>
        </is>
      </c>
      <c r="M268" s="4" t="inlineStr">
        <is>
          <t>Historical signals: title/abstract/notes; full-text completion not independently established</t>
        </is>
      </c>
      <c r="N268" s="4" t="n">
        <v>1</v>
      </c>
      <c r="O268" s="12" t="n"/>
      <c r="P268" s="41" t="n"/>
      <c r="Q268" s="4">
        <f>IF(COUNTIFS('ESTUDIOS'!$A$2:$A$455,$A268,'ESTUDIOS'!$I$2:$I$455,"")&gt;0,"",INDEX('ESTUDIOS'!$I$2:$I$455,MATCH($A268,'ESTUDIOS'!$A$2:$A$455,0)))</f>
        <v/>
      </c>
    </row>
    <row r="269" ht="60" customHeight="1">
      <c r="A269" s="4" t="inlineStr">
        <is>
          <t>290</t>
        </is>
      </c>
      <c r="B269" s="4" t="inlineStr">
        <is>
          <t>Historical</t>
        </is>
      </c>
      <c r="C269" s="4" t="inlineStr">
        <is>
          <t>Machine Learning and Structural Dynamics-Based Approach to Reveal Molecular Mechanism of PTEN Missense Mutations Shared by Cancer and Autism Spectrum Disorder</t>
        </is>
      </c>
      <c r="D269" s="4" t="inlineStr">
        <is>
          <t>Not specified</t>
        </is>
      </c>
      <c r="E269" s="4" t="inlineStr">
        <is>
          <t>Deep Learning</t>
        </is>
      </c>
      <c r="F269" s="4" t="inlineStr">
        <is>
          <t>Not specified</t>
        </is>
      </c>
      <c r="G269" s="4" t="inlineStr">
        <is>
          <t>Not clear</t>
        </is>
      </c>
      <c r="H269" s="4" t="inlineStr">
        <is>
          <t>Classification (binary/multi-class; incl. ASD vs control)/ multi-class)</t>
        </is>
      </c>
      <c r="I269" s="4" t="n"/>
      <c r="J269" s="4" t="inlineStr">
        <is>
          <t>Deep Learning</t>
        </is>
      </c>
      <c r="K269" s="4" t="inlineStr">
        <is>
          <t>No especificado</t>
        </is>
      </c>
      <c r="L269" s="4" t="inlineStr">
        <is>
          <t>Sin asignación por falta de detalle</t>
        </is>
      </c>
      <c r="M269" s="4" t="inlineStr">
        <is>
          <t>Historical signals: title/abstract/notes; full-text completion not independently established</t>
        </is>
      </c>
      <c r="N269" s="4" t="n">
        <v>1</v>
      </c>
      <c r="O269" s="12" t="n"/>
      <c r="P269" s="41" t="n"/>
      <c r="Q269" s="4">
        <f>IF(COUNTIFS('ESTUDIOS'!$A$2:$A$455,$A269,'ESTUDIOS'!$I$2:$I$455,"")&gt;0,"",INDEX('ESTUDIOS'!$I$2:$I$455,MATCH($A269,'ESTUDIOS'!$A$2:$A$455,0)))</f>
        <v/>
      </c>
    </row>
    <row r="270" ht="60" customHeight="1">
      <c r="A270" s="4" t="inlineStr">
        <is>
          <t>291</t>
        </is>
      </c>
      <c r="B270" s="4" t="inlineStr">
        <is>
          <t>Historical</t>
        </is>
      </c>
      <c r="C270" s="4" t="inlineStr">
        <is>
          <t>MCDGLN: Masked connection-based dynamic graph learning network for autism spectrum disorder</t>
        </is>
      </c>
      <c r="D270" s="4" t="inlineStr">
        <is>
          <t>Diagnosis</t>
        </is>
      </c>
      <c r="E270" s="4" t="inlineStr">
        <is>
          <t>Deep Learning</t>
        </is>
      </c>
      <c r="F270" s="4" t="inlineStr">
        <is>
          <t>Physiological signals</t>
        </is>
      </c>
      <c r="G270" s="4" t="inlineStr">
        <is>
          <t>Other</t>
        </is>
      </c>
      <c r="H270" s="4" t="inlineStr">
        <is>
          <t>Classification (binary/multi-class; incl. ASD vs control)/ multi-class)</t>
        </is>
      </c>
      <c r="I270" s="4" t="inlineStr">
        <is>
          <t>Diagnosis</t>
        </is>
      </c>
      <c r="J270" s="4" t="inlineStr">
        <is>
          <t>Deep Learning</t>
        </is>
      </c>
      <c r="K270" s="4" t="inlineStr">
        <is>
          <t>Señales fisiológicas</t>
        </is>
      </c>
      <c r="L270" s="4" t="inlineStr">
        <is>
          <t>Etiqueta histórica conservada; no inferir subtipo desde el nombre</t>
        </is>
      </c>
      <c r="M270" s="4" t="inlineStr">
        <is>
          <t>Historical signals: title/abstract/notes; full-text completion not independently established</t>
        </is>
      </c>
      <c r="N270" s="4" t="n">
        <v>0</v>
      </c>
      <c r="O270" s="12" t="n"/>
      <c r="P270" s="41" t="n"/>
      <c r="Q270" s="4">
        <f>IF(COUNTIFS('ESTUDIOS'!$A$2:$A$455,$A270,'ESTUDIOS'!$I$2:$I$455,"")&gt;0,"",INDEX('ESTUDIOS'!$I$2:$I$455,MATCH($A270,'ESTUDIOS'!$A$2:$A$455,0)))</f>
        <v/>
      </c>
    </row>
    <row r="271" ht="47" customHeight="1">
      <c r="A271" s="4" t="inlineStr">
        <is>
          <t>292</t>
        </is>
      </c>
      <c r="B271" s="4" t="inlineStr">
        <is>
          <t>Historical</t>
        </is>
      </c>
      <c r="C271" s="4" t="inlineStr">
        <is>
          <t>Performance of case-control rare copy number variation annotation in classification of autism</t>
        </is>
      </c>
      <c r="D271" s="4" t="inlineStr">
        <is>
          <t>Diagnosis</t>
        </is>
      </c>
      <c r="E271" s="4" t="inlineStr">
        <is>
          <t>Hybrid</t>
        </is>
      </c>
      <c r="F271" s="4" t="inlineStr">
        <is>
          <t>Not specified</t>
        </is>
      </c>
      <c r="G271" s="4" t="inlineStr">
        <is>
          <t>Random Forest</t>
        </is>
      </c>
      <c r="H271" s="4" t="inlineStr">
        <is>
          <t>Classification (ASD vs control / multi-class)</t>
        </is>
      </c>
      <c r="I271" s="4" t="inlineStr">
        <is>
          <t>Diagnosis</t>
        </is>
      </c>
      <c r="J271" s="4" t="inlineStr">
        <is>
          <t>Híbrido</t>
        </is>
      </c>
      <c r="K271" s="4" t="inlineStr">
        <is>
          <t>No especificado</t>
        </is>
      </c>
      <c r="L271" s="4" t="inlineStr">
        <is>
          <t>Sin asignación por falta de detalle</t>
        </is>
      </c>
      <c r="M271" s="4" t="inlineStr">
        <is>
          <t>Historical signals: title/abstract/notes; full-text completion not independently established</t>
        </is>
      </c>
      <c r="N271" s="4" t="n">
        <v>1</v>
      </c>
      <c r="O271" s="12" t="n"/>
      <c r="P271" s="41" t="n"/>
      <c r="Q271" s="4">
        <f>IF(COUNTIFS('ESTUDIOS'!$A$2:$A$455,$A271,'ESTUDIOS'!$I$2:$I$455,"")&gt;0,"",INDEX('ESTUDIOS'!$I$2:$I$455,MATCH($A271,'ESTUDIOS'!$A$2:$A$455,0)))</f>
        <v/>
      </c>
    </row>
    <row r="272" ht="34" customHeight="1">
      <c r="A272" s="4" t="inlineStr">
        <is>
          <t>293</t>
        </is>
      </c>
      <c r="B272" s="4" t="inlineStr">
        <is>
          <t>Historical</t>
        </is>
      </c>
      <c r="C272" s="4" t="inlineStr">
        <is>
          <t>Personalized machine learning for robot perception of affect and engagement in autism therapy</t>
        </is>
      </c>
      <c r="D272" s="4" t="inlineStr">
        <is>
          <t>Monitoring/intervention</t>
        </is>
      </c>
      <c r="E272" s="4" t="inlineStr">
        <is>
          <t>Deep Learning</t>
        </is>
      </c>
      <c r="F272" s="4" t="inlineStr">
        <is>
          <t>Image (subtype unresolved)</t>
        </is>
      </c>
      <c r="G272" s="4" t="inlineStr">
        <is>
          <t>Other</t>
        </is>
      </c>
      <c r="H272" s="4" t="inlineStr">
        <is>
          <t>Regression (score / severity / risk)</t>
        </is>
      </c>
      <c r="I272" s="4" t="inlineStr">
        <is>
          <t>Monitoring/intervention</t>
        </is>
      </c>
      <c r="J272" s="4" t="inlineStr">
        <is>
          <t>Deep Learning</t>
        </is>
      </c>
      <c r="K272" s="4" t="inlineStr">
        <is>
          <t>Imagen</t>
        </is>
      </c>
      <c r="L272" s="4" t="inlineStr">
        <is>
          <t>Etiqueta histórica conservada; no inferir subtipo desde el nombre</t>
        </is>
      </c>
      <c r="M272" s="4" t="inlineStr">
        <is>
          <t>Historical signals: title/abstract/notes; full-text completion not independently established</t>
        </is>
      </c>
      <c r="N272" s="4" t="n">
        <v>1</v>
      </c>
      <c r="O272" s="12" t="n"/>
      <c r="P272" s="41" t="n"/>
      <c r="Q272" s="4">
        <f>IF(COUNTIFS('ESTUDIOS'!$A$2:$A$455,$A272,'ESTUDIOS'!$I$2:$I$455,"")&gt;0,"",INDEX('ESTUDIOS'!$I$2:$I$455,MATCH($A272,'ESTUDIOS'!$A$2:$A$455,0)))</f>
        <v/>
      </c>
    </row>
    <row r="273" ht="60" customHeight="1">
      <c r="A273" s="4" t="inlineStr">
        <is>
          <t>295</t>
        </is>
      </c>
      <c r="B273" s="4" t="inlineStr">
        <is>
          <t>Historical</t>
        </is>
      </c>
      <c r="C273" s="4" t="inlineStr">
        <is>
          <t>Prediction of Autism at 3 Years from Behavioural and Developmental Measures in High-Risk Infants: A Longitudinal Cross-Domain Classifier Analysis</t>
        </is>
      </c>
      <c r="D273" s="4" t="inlineStr">
        <is>
          <t>Prognosis</t>
        </is>
      </c>
      <c r="E273" s="4" t="inlineStr">
        <is>
          <t>Machine Learning</t>
        </is>
      </c>
      <c r="F273" s="4" t="inlineStr">
        <is>
          <t>Not specified</t>
        </is>
      </c>
      <c r="G273" s="4" t="inlineStr">
        <is>
          <t>SVM</t>
        </is>
      </c>
      <c r="H273" s="4" t="inlineStr">
        <is>
          <t>Classification (binary/multi-class; incl. ASD vs control)/ multi-class)</t>
        </is>
      </c>
      <c r="I273" s="4" t="inlineStr">
        <is>
          <t>Prognosis</t>
        </is>
      </c>
      <c r="J273" s="4" t="inlineStr">
        <is>
          <t>Machine Learning</t>
        </is>
      </c>
      <c r="K273" s="4" t="inlineStr">
        <is>
          <t>No especificado</t>
        </is>
      </c>
      <c r="L273" s="4" t="inlineStr">
        <is>
          <t>Sin asignación por falta de detalle</t>
        </is>
      </c>
      <c r="M273" s="4" t="inlineStr">
        <is>
          <t>Historical signals: title/abstract/notes; full-text completion not independently established</t>
        </is>
      </c>
      <c r="N273" s="4" t="n">
        <v>1</v>
      </c>
      <c r="O273" s="12" t="n"/>
      <c r="P273" s="41" t="n"/>
      <c r="Q273" s="4">
        <f>IF(COUNTIFS('ESTUDIOS'!$A$2:$A$455,$A273,'ESTUDIOS'!$I$2:$I$455,"")&gt;0,"",INDEX('ESTUDIOS'!$I$2:$I$455,MATCH($A273,'ESTUDIOS'!$A$2:$A$455,0)))</f>
        <v/>
      </c>
    </row>
    <row r="274" ht="60" customHeight="1">
      <c r="A274" s="4" t="inlineStr">
        <is>
          <t>296</t>
        </is>
      </c>
      <c r="B274" s="4" t="inlineStr">
        <is>
          <t>Historical</t>
        </is>
      </c>
      <c r="C274" s="4" t="inlineStr">
        <is>
          <t>STDCformer: Spatial-temporal dual-path cross-attention model for fMRI-based autism spectrum disorder identification</t>
        </is>
      </c>
      <c r="D274" s="4" t="inlineStr">
        <is>
          <t>Diagnosis</t>
        </is>
      </c>
      <c r="E274" s="4" t="inlineStr">
        <is>
          <t>Deep Learning</t>
        </is>
      </c>
      <c r="F274" s="4" t="inlineStr">
        <is>
          <t>Physiological signals</t>
        </is>
      </c>
      <c r="G274" s="4" t="inlineStr">
        <is>
          <t>Transformer</t>
        </is>
      </c>
      <c r="H274" s="4" t="inlineStr">
        <is>
          <t>Classification (binary/multi-class; incl. ASD vs control)/ multi-class)</t>
        </is>
      </c>
      <c r="I274" s="4" t="inlineStr">
        <is>
          <t>Diagnosis</t>
        </is>
      </c>
      <c r="J274" s="4" t="inlineStr">
        <is>
          <t>Deep Learning</t>
        </is>
      </c>
      <c r="K274" s="4" t="inlineStr">
        <is>
          <t>Señales fisiológicas</t>
        </is>
      </c>
      <c r="L274" s="4" t="inlineStr">
        <is>
          <t>Etiqueta histórica conservada; no inferir subtipo desde el nombre</t>
        </is>
      </c>
      <c r="M274" s="4" t="inlineStr">
        <is>
          <t>Historical signals: title/abstract/notes; full-text completion not independently established</t>
        </is>
      </c>
      <c r="N274" s="4" t="n">
        <v>0</v>
      </c>
      <c r="O274" s="12" t="n"/>
      <c r="P274" s="41" t="n"/>
      <c r="Q274" s="4">
        <f>IF(COUNTIFS('ESTUDIOS'!$A$2:$A$455,$A274,'ESTUDIOS'!$I$2:$I$455,"")&gt;0,"",INDEX('ESTUDIOS'!$I$2:$I$455,MATCH($A274,'ESTUDIOS'!$A$2:$A$455,0)))</f>
        <v/>
      </c>
    </row>
    <row r="275" ht="47" customHeight="1">
      <c r="A275" s="4" t="inlineStr">
        <is>
          <t>298</t>
        </is>
      </c>
      <c r="B275" s="4" t="inlineStr">
        <is>
          <t>Historical</t>
        </is>
      </c>
      <c r="C275" s="4" t="inlineStr">
        <is>
          <t>Three Distinct Neuroanatomical Subtypes of Autism Spectrum Disorder, Revealed via Machine Learning, and Their Similarities With Schizophrenia Subtypes</t>
        </is>
      </c>
      <c r="D275" s="4" t="inlineStr">
        <is>
          <t>Not specified</t>
        </is>
      </c>
      <c r="E275" s="4" t="inlineStr">
        <is>
          <t>Deep Learning</t>
        </is>
      </c>
      <c r="F275" s="4" t="inlineStr">
        <is>
          <t>Image (subtype unresolved)</t>
        </is>
      </c>
      <c r="G275" s="4" t="inlineStr">
        <is>
          <t>Other</t>
        </is>
      </c>
      <c r="H275" s="4" t="inlineStr">
        <is>
          <t>Clustering / subtyping</t>
        </is>
      </c>
      <c r="I275" s="4" t="n"/>
      <c r="J275" s="4" t="inlineStr">
        <is>
          <t>Deep Learning</t>
        </is>
      </c>
      <c r="K275" s="4" t="inlineStr">
        <is>
          <t>Imagen</t>
        </is>
      </c>
      <c r="L275" s="4" t="inlineStr">
        <is>
          <t>Etiqueta histórica conservada; no inferir subtipo desde el nombre</t>
        </is>
      </c>
      <c r="M275" s="4" t="inlineStr">
        <is>
          <t>Historical signals: title/abstract/notes; full-text completion not independently established</t>
        </is>
      </c>
      <c r="N275" s="4" t="n">
        <v>1</v>
      </c>
      <c r="O275" s="12" t="n"/>
      <c r="P275" s="41" t="n"/>
      <c r="Q275" s="4">
        <f>IF(COUNTIFS('ESTUDIOS'!$A$2:$A$455,$A275,'ESTUDIOS'!$I$2:$I$455,"")&gt;0,"",INDEX('ESTUDIOS'!$I$2:$I$455,MATCH($A275,'ESTUDIOS'!$A$2:$A$455,0)))</f>
        <v/>
      </c>
    </row>
    <row r="276" ht="60" customHeight="1">
      <c r="A276" s="4" t="inlineStr">
        <is>
          <t>299</t>
        </is>
      </c>
      <c r="B276" s="4" t="inlineStr">
        <is>
          <t>Historical</t>
        </is>
      </c>
      <c r="C276" s="4" t="inlineStr">
        <is>
          <t>Three-dimensional quantification of oxytocin neurons in the hypothalamic paraventricular nucleus reveals sex- and subregion-specific differences in two genetic mouse models of autism</t>
        </is>
      </c>
      <c r="D276" s="4" t="inlineStr">
        <is>
          <t>Not specified</t>
        </is>
      </c>
      <c r="E276" s="4" t="inlineStr">
        <is>
          <t>Deep Learning</t>
        </is>
      </c>
      <c r="F276" s="4" t="inlineStr">
        <is>
          <t>Image (subtype unresolved)</t>
        </is>
      </c>
      <c r="G276" s="4" t="n"/>
      <c r="H276" s="4" t="n"/>
      <c r="I276" s="4" t="n"/>
      <c r="J276" s="4" t="inlineStr">
        <is>
          <t>Deep Learning</t>
        </is>
      </c>
      <c r="K276" s="4" t="inlineStr">
        <is>
          <t>Imagen</t>
        </is>
      </c>
      <c r="L276" s="4" t="inlineStr">
        <is>
          <t>Etiqueta histórica conservada; no inferir subtipo desde el nombre</t>
        </is>
      </c>
      <c r="M276" s="4" t="inlineStr">
        <is>
          <t>Historical signals: title/abstract/notes; full-text completion not independently established</t>
        </is>
      </c>
      <c r="N276" s="4" t="n">
        <v>1</v>
      </c>
      <c r="O276" s="12" t="n"/>
      <c r="P276" s="41" t="n"/>
      <c r="Q276" s="4">
        <f>IF(COUNTIFS('ESTUDIOS'!$A$2:$A$455,$A276,'ESTUDIOS'!$I$2:$I$455,"")&gt;0,"",INDEX('ESTUDIOS'!$I$2:$I$455,MATCH($A276,'ESTUDIOS'!$A$2:$A$455,0)))</f>
        <v/>
      </c>
    </row>
    <row r="277" ht="47" customHeight="1">
      <c r="A277" s="4" t="inlineStr">
        <is>
          <t>300</t>
        </is>
      </c>
      <c r="B277" s="4" t="inlineStr">
        <is>
          <t>Historical</t>
        </is>
      </c>
      <c r="C277" s="4" t="inlineStr">
        <is>
          <t>Application of Speech Signal for Early Screening of Children with Autism Spectrum Disorder</t>
        </is>
      </c>
      <c r="D277" s="4" t="inlineStr">
        <is>
          <t>Screening</t>
        </is>
      </c>
      <c r="E277" s="4" t="inlineStr">
        <is>
          <t>Not specified</t>
        </is>
      </c>
      <c r="F277" s="4" t="inlineStr">
        <is>
          <t>Physiological signals</t>
        </is>
      </c>
      <c r="G277" s="4" t="inlineStr">
        <is>
          <t>Other / Not clear</t>
        </is>
      </c>
      <c r="H277" s="4" t="inlineStr">
        <is>
          <t>Classification (ASD vs control / multi-class)</t>
        </is>
      </c>
      <c r="I277" s="4" t="inlineStr">
        <is>
          <t>Screening</t>
        </is>
      </c>
      <c r="J277" s="4" t="inlineStr">
        <is>
          <t>No especificado</t>
        </is>
      </c>
      <c r="K277" s="4" t="inlineStr">
        <is>
          <t>Señales fisiológicas</t>
        </is>
      </c>
      <c r="L277" s="4" t="inlineStr">
        <is>
          <t>Etiqueta histórica conservada; no inferir subtipo desde el nombre</t>
        </is>
      </c>
      <c r="M277" s="4" t="inlineStr">
        <is>
          <t>Historical signals: title/abstract/notes; full-text completion not independently established</t>
        </is>
      </c>
      <c r="N277" s="4" t="n">
        <v>1</v>
      </c>
      <c r="O277" s="12" t="n"/>
      <c r="P277" s="41" t="n"/>
      <c r="Q277" s="4">
        <f>IF(COUNTIFS('ESTUDIOS'!$A$2:$A$455,$A277,'ESTUDIOS'!$I$2:$I$455,"")&gt;0,"",INDEX('ESTUDIOS'!$I$2:$I$455,MATCH($A277,'ESTUDIOS'!$A$2:$A$455,0)))</f>
        <v/>
      </c>
    </row>
    <row r="278" ht="47" customHeight="1">
      <c r="A278" s="4" t="inlineStr">
        <is>
          <t>new_12</t>
        </is>
      </c>
      <c r="B278" s="4" t="inlineStr">
        <is>
          <t>Update</t>
        </is>
      </c>
      <c r="C278" s="4" t="inlineStr">
        <is>
          <t>Integration of an Artificial Intelligence–Based Autism Diagnostic Device into the ECHO Autism Primary Care Workflow: Prospective Observational Study</t>
        </is>
      </c>
      <c r="D278" s="4" t="inlineStr">
        <is>
          <t>Diagnosis</t>
        </is>
      </c>
      <c r="E278" s="4" t="inlineStr">
        <is>
          <t>Machine Learning</t>
        </is>
      </c>
      <c r="F278" s="4" t="inlineStr">
        <is>
          <t>Multiple modalities (as coded)</t>
        </is>
      </c>
      <c r="G278" s="4" t="inlineStr">
        <is>
          <t>Canvas Dx proprietary machine-learning device</t>
        </is>
      </c>
      <c r="H278" s="4" t="inlineStr">
        <is>
          <t>Diagnostic prediction / rule-out</t>
        </is>
      </c>
      <c r="I278" s="4" t="inlineStr">
        <is>
          <t>Diagnosis</t>
        </is>
      </c>
      <c r="J278" s="4" t="inlineStr">
        <is>
          <t>Machine Learning</t>
        </is>
      </c>
      <c r="K278" s="4" t="inlineStr">
        <is>
          <t>Multimodal</t>
        </is>
      </c>
      <c r="L278" s="4" t="inlineStr">
        <is>
          <t>Modalidades múltiples declaradas; no prueba de integración/fusión</t>
        </is>
      </c>
      <c r="M278" s="4" t="inlineStr">
        <is>
          <t>Inherited scoped adjudication; see source level and lot caveats</t>
        </is>
      </c>
      <c r="N278" s="4" t="n">
        <v>0</v>
      </c>
      <c r="O278" s="12" t="n"/>
      <c r="P278" s="41" t="n"/>
      <c r="Q278" s="4">
        <f>IF(COUNTIFS('ESTUDIOS'!$A$2:$A$455,$A278,'ESTUDIOS'!$I$2:$I$455,"")&gt;0,"",INDEX('ESTUDIOS'!$I$2:$I$455,MATCH($A278,'ESTUDIOS'!$A$2:$A$455,0)))</f>
        <v/>
      </c>
    </row>
    <row r="279" ht="60" customHeight="1">
      <c r="A279" s="4" t="inlineStr">
        <is>
          <t>new_13</t>
        </is>
      </c>
      <c r="B279" s="4" t="inlineStr">
        <is>
          <t>Update</t>
        </is>
      </c>
      <c r="C279" s="4" t="inlineStr">
        <is>
          <t>In-silico assessment of dynamic symbiotic microbial interactions in a reduced microbiota related to the autism spectrum disorder symptoms</t>
        </is>
      </c>
      <c r="D279" s="4" t="inlineStr">
        <is>
          <t>Not specified</t>
        </is>
      </c>
      <c r="E279" s="4" t="inlineStr">
        <is>
          <t>Hybrid</t>
        </is>
      </c>
      <c r="F279" s="4" t="inlineStr">
        <is>
          <t>Biological/omics</t>
        </is>
      </c>
      <c r="G279" s="4" t="inlineStr">
        <is>
          <t>Constraint-based microbiome simulation + prior ML classifiers</t>
        </is>
      </c>
      <c r="H279" s="4" t="inlineStr">
        <is>
          <t>Mechanistic interpretation / biomarker characterization</t>
        </is>
      </c>
      <c r="I279" s="4" t="inlineStr">
        <is>
          <t>Not specified</t>
        </is>
      </c>
      <c r="J279" s="4" t="inlineStr">
        <is>
          <t>Hybrid</t>
        </is>
      </c>
      <c r="K279" s="4" t="inlineStr">
        <is>
          <t>Biological/omics</t>
        </is>
      </c>
      <c r="L279" s="4" t="inlineStr">
        <is>
          <t>Fuente biológica explícita</t>
        </is>
      </c>
      <c r="M279" s="4" t="inlineStr">
        <is>
          <t>Inherited scoped adjudication; see source level and lot caveats</t>
        </is>
      </c>
      <c r="N279" s="4" t="n">
        <v>1</v>
      </c>
      <c r="O279" s="12" t="n"/>
      <c r="P279" s="41" t="n"/>
      <c r="Q279" s="4">
        <f>IF(COUNTIFS('ESTUDIOS'!$A$2:$A$455,$A279,'ESTUDIOS'!$I$2:$I$455,"")&gt;0,"",INDEX('ESTUDIOS'!$I$2:$I$455,MATCH($A279,'ESTUDIOS'!$A$2:$A$455,0)))</f>
        <v/>
      </c>
    </row>
    <row r="280" ht="60" customHeight="1">
      <c r="A280" s="4" t="inlineStr">
        <is>
          <t>new_35</t>
        </is>
      </c>
      <c r="B280" s="4" t="inlineStr">
        <is>
          <t>Update</t>
        </is>
      </c>
      <c r="C280" s="4" t="inlineStr">
        <is>
          <t>Deep Learning Approaches for Classifying Children With and Without Autism Spectrum Disorder Using Inertial Measurement Unit Hand Tracking Data: Comparative Study</t>
        </is>
      </c>
      <c r="D280" s="4" t="inlineStr">
        <is>
          <t>Diagnosis</t>
        </is>
      </c>
      <c r="E280" s="4" t="inlineStr">
        <is>
          <t>Deep Learning</t>
        </is>
      </c>
      <c r="F280" s="4" t="inlineStr">
        <is>
          <t>Physiological signals</t>
        </is>
      </c>
      <c r="G280" s="4" t="inlineStr">
        <is>
          <t>Convolutional autoencoder + LSTM</t>
        </is>
      </c>
      <c r="H280" s="4" t="inlineStr">
        <is>
          <t>Classification (ASD vs control)</t>
        </is>
      </c>
      <c r="I280" s="4" t="inlineStr">
        <is>
          <t>Diagnosis</t>
        </is>
      </c>
      <c r="J280" s="4" t="inlineStr">
        <is>
          <t>Deep Learning</t>
        </is>
      </c>
      <c r="K280" s="4" t="inlineStr">
        <is>
          <t>Physiological signals</t>
        </is>
      </c>
      <c r="L280" s="4" t="inlineStr">
        <is>
          <t>Medición fisiológica explícita</t>
        </is>
      </c>
      <c r="M280" s="4" t="inlineStr">
        <is>
          <t>Inherited scoped adjudication; see source level and lot caveats</t>
        </is>
      </c>
      <c r="N280" s="4" t="n">
        <v>0</v>
      </c>
      <c r="O280" s="12" t="n"/>
      <c r="P280" s="41" t="n"/>
      <c r="Q280" s="4">
        <f>IF(COUNTIFS('ESTUDIOS'!$A$2:$A$455,$A280,'ESTUDIOS'!$I$2:$I$455,"")&gt;0,"",INDEX('ESTUDIOS'!$I$2:$I$455,MATCH($A280,'ESTUDIOS'!$A$2:$A$455,0)))</f>
        <v/>
      </c>
    </row>
    <row r="281" ht="47" customHeight="1">
      <c r="A281" s="4" t="inlineStr">
        <is>
          <t>new_50</t>
        </is>
      </c>
      <c r="B281" s="4" t="inlineStr">
        <is>
          <t>Update</t>
        </is>
      </c>
      <c r="C281" s="4" t="inlineStr">
        <is>
          <t>Effectiveness of Artificial Intelligence–Based Platform in Administering Therapies for Children With Autism Spectrum Disorder: 12-Month Observational Study</t>
        </is>
      </c>
      <c r="D281" s="4" t="inlineStr">
        <is>
          <t>Monitoring/intervention</t>
        </is>
      </c>
      <c r="E281" s="4" t="inlineStr">
        <is>
          <t>Not specified</t>
        </is>
      </c>
      <c r="F281" s="4" t="inlineStr">
        <is>
          <t>Structured / tabular data</t>
        </is>
      </c>
      <c r="G281" s="4" t="inlineStr">
        <is>
          <t>CognitiveBotics AI-based therapy platform</t>
        </is>
      </c>
      <c r="H281" s="4" t="inlineStr">
        <is>
          <t>Technology-assisted intervention</t>
        </is>
      </c>
      <c r="I281" s="4" t="inlineStr">
        <is>
          <t>Monitoring/intervention</t>
        </is>
      </c>
      <c r="J281" s="4" t="inlineStr">
        <is>
          <t>Not specified</t>
        </is>
      </c>
      <c r="K281" s="4" t="inlineStr">
        <is>
          <t>Structured assessments / platform data</t>
        </is>
      </c>
      <c r="L281" s="4" t="inlineStr">
        <is>
          <t>Variables estructuradas/tabulares; no inferir NLP</t>
        </is>
      </c>
      <c r="M281" s="4" t="inlineStr">
        <is>
          <t>Inherited scoped adjudication; see source level and lot caveats</t>
        </is>
      </c>
      <c r="N281" s="4" t="n">
        <v>1</v>
      </c>
      <c r="O281" s="12" t="n"/>
      <c r="P281" s="41" t="n"/>
      <c r="Q281" s="4">
        <f>IF(COUNTIFS('ESTUDIOS'!$A$2:$A$455,$A281,'ESTUDIOS'!$I$2:$I$455,"")&gt;0,"",INDEX('ESTUDIOS'!$I$2:$I$455,MATCH($A281,'ESTUDIOS'!$A$2:$A$455,0)))</f>
        <v/>
      </c>
    </row>
    <row r="282" ht="47" customHeight="1">
      <c r="A282" s="4" t="inlineStr">
        <is>
          <t>new_93</t>
        </is>
      </c>
      <c r="B282" s="4" t="inlineStr">
        <is>
          <t>Update</t>
        </is>
      </c>
      <c r="C282" s="4" t="inlineStr">
        <is>
          <t>Large language models deconstruct the clinical intuition behind diagnosing autism</t>
        </is>
      </c>
      <c r="D282" s="4" t="inlineStr">
        <is>
          <t>Diagnosis</t>
        </is>
      </c>
      <c r="E282" s="4" t="inlineStr">
        <is>
          <t>Deep Learning</t>
        </is>
      </c>
      <c r="F282" s="4" t="inlineStr">
        <is>
          <t>Text / language</t>
        </is>
      </c>
      <c r="G282" s="4" t="inlineStr">
        <is>
          <t>RoBERTa-based large language model</t>
        </is>
      </c>
      <c r="H282" s="4" t="inlineStr">
        <is>
          <t>Clinical reasoning classification and explanation</t>
        </is>
      </c>
      <c r="I282" s="4" t="inlineStr">
        <is>
          <t>Diagnosis</t>
        </is>
      </c>
      <c r="J282" s="4" t="inlineStr">
        <is>
          <t>Deep Learning</t>
        </is>
      </c>
      <c r="K282" s="4" t="inlineStr">
        <is>
          <t>Text / NLP</t>
        </is>
      </c>
      <c r="L282" s="4" t="inlineStr">
        <is>
          <t>Texto o lenguaje explícito; método NLP se registra aparte</t>
        </is>
      </c>
      <c r="M282" s="4" t="inlineStr">
        <is>
          <t>Inherited scoped adjudication; see source level and lot caveats</t>
        </is>
      </c>
      <c r="N282" s="4" t="n">
        <v>0</v>
      </c>
      <c r="O282" s="12" t="n"/>
      <c r="P282" s="41" t="n"/>
      <c r="Q282" s="4">
        <f>IF(COUNTIFS('ESTUDIOS'!$A$2:$A$455,$A282,'ESTUDIOS'!$I$2:$I$455,"")&gt;0,"",INDEX('ESTUDIOS'!$I$2:$I$455,MATCH($A282,'ESTUDIOS'!$A$2:$A$455,0)))</f>
        <v/>
      </c>
    </row>
    <row r="283" ht="47" customHeight="1">
      <c r="A283" s="4" t="inlineStr">
        <is>
          <t>new_96</t>
        </is>
      </c>
      <c r="B283" s="4" t="inlineStr">
        <is>
          <t>Update</t>
        </is>
      </c>
      <c r="C283" s="4" t="inlineStr">
        <is>
          <t>Ensemble of Deep Learning with Crested Porcupine Optimizer Based Autism Spectrum Disorder Detection Using Facial Images</t>
        </is>
      </c>
      <c r="D283" s="4" t="inlineStr">
        <is>
          <t>Diagnosis</t>
        </is>
      </c>
      <c r="E283" s="4" t="inlineStr">
        <is>
          <t>Deep Learning</t>
        </is>
      </c>
      <c r="F283" s="4" t="inlineStr">
        <is>
          <t>Facial images</t>
        </is>
      </c>
      <c r="G283" s="4" t="inlineStr">
        <is>
          <t>Ensemble deep learning + Crested Porcupine Optimizer</t>
        </is>
      </c>
      <c r="H283" s="4" t="inlineStr">
        <is>
          <t>Classification (ASD vs control)</t>
        </is>
      </c>
      <c r="I283" s="4" t="inlineStr">
        <is>
          <t>Diagnosis</t>
        </is>
      </c>
      <c r="J283" s="4" t="inlineStr">
        <is>
          <t>Deep Learning</t>
        </is>
      </c>
      <c r="K283" s="4" t="inlineStr">
        <is>
          <t>Facial images</t>
        </is>
      </c>
      <c r="L283" s="4" t="inlineStr">
        <is>
          <t>Imágenes faciales explícitas</t>
        </is>
      </c>
      <c r="M283" s="4" t="inlineStr">
        <is>
          <t>Inherited scoped adjudication; see source level and lot caveats</t>
        </is>
      </c>
      <c r="N283" s="4" t="n">
        <v>0</v>
      </c>
      <c r="O283" s="12" t="n"/>
      <c r="P283" s="41" t="n"/>
      <c r="Q283" s="4">
        <f>IF(COUNTIFS('ESTUDIOS'!$A$2:$A$455,$A283,'ESTUDIOS'!$I$2:$I$455,"")&gt;0,"",INDEX('ESTUDIOS'!$I$2:$I$455,MATCH($A283,'ESTUDIOS'!$A$2:$A$455,0)))</f>
        <v/>
      </c>
    </row>
    <row r="284" ht="34" customHeight="1">
      <c r="A284" s="4" t="inlineStr">
        <is>
          <t>new_108</t>
        </is>
      </c>
      <c r="B284" s="4" t="inlineStr">
        <is>
          <t>Update</t>
        </is>
      </c>
      <c r="C284" s="4" t="inlineStr">
        <is>
          <t>Awareness with Machine: Hybrid Approach to Detecting ASD with a Clustering</t>
        </is>
      </c>
      <c r="D284" s="4" t="inlineStr">
        <is>
          <t>Screening</t>
        </is>
      </c>
      <c r="E284" s="4" t="inlineStr">
        <is>
          <t>Hybrid</t>
        </is>
      </c>
      <c r="F284" s="4" t="inlineStr">
        <is>
          <t>Structured / tabular data</t>
        </is>
      </c>
      <c r="G284" s="4" t="inlineStr">
        <is>
          <t>Clustering + supervised classifiers</t>
        </is>
      </c>
      <c r="H284" s="4" t="inlineStr">
        <is>
          <t>Classification (ASD vs control)</t>
        </is>
      </c>
      <c r="I284" s="4" t="inlineStr">
        <is>
          <t>Screening</t>
        </is>
      </c>
      <c r="J284" s="4" t="inlineStr">
        <is>
          <t>Hybrid</t>
        </is>
      </c>
      <c r="K284" s="4" t="inlineStr">
        <is>
          <t>Structured questionnaires</t>
        </is>
      </c>
      <c r="L284" s="4" t="inlineStr">
        <is>
          <t>Variables estructuradas/tabulares; no inferir NLP</t>
        </is>
      </c>
      <c r="M284" s="4" t="inlineStr">
        <is>
          <t>Inherited scoped adjudication; see source level and lot caveats</t>
        </is>
      </c>
      <c r="N284" s="4" t="n">
        <v>0</v>
      </c>
      <c r="O284" s="12" t="n"/>
      <c r="P284" s="41" t="n"/>
      <c r="Q284" s="4">
        <f>IF(COUNTIFS('ESTUDIOS'!$A$2:$A$455,$A284,'ESTUDIOS'!$I$2:$I$455,"")&gt;0,"",INDEX('ESTUDIOS'!$I$2:$I$455,MATCH($A284,'ESTUDIOS'!$A$2:$A$455,0)))</f>
        <v/>
      </c>
    </row>
    <row r="285" ht="47" customHeight="1">
      <c r="A285" s="4" t="inlineStr">
        <is>
          <t>new_125</t>
        </is>
      </c>
      <c r="B285" s="4" t="inlineStr">
        <is>
          <t>Update</t>
        </is>
      </c>
      <c r="C285" s="4" t="inlineStr">
        <is>
          <t>Identification of critical brain regions for autism diagnosis from fMRI data using explainable AI: an observational analysis of the ABIDE dataset</t>
        </is>
      </c>
      <c r="D285" s="4" t="inlineStr">
        <is>
          <t>Diagnosis</t>
        </is>
      </c>
      <c r="E285" s="4" t="inlineStr">
        <is>
          <t>Hybrid</t>
        </is>
      </c>
      <c r="F285" s="4" t="inlineStr">
        <is>
          <t>Neuroimaging</t>
        </is>
      </c>
      <c r="G285" s="4" t="inlineStr">
        <is>
          <t>SVM-RFE + stacked sparse autoencoder + Softmax</t>
        </is>
      </c>
      <c r="H285" s="4" t="inlineStr">
        <is>
          <t>Classification (ASD vs control)</t>
        </is>
      </c>
      <c r="I285" s="4" t="inlineStr">
        <is>
          <t>Diagnosis</t>
        </is>
      </c>
      <c r="J285" s="4" t="inlineStr">
        <is>
          <t>Hybrid</t>
        </is>
      </c>
      <c r="K285" s="4" t="inlineStr">
        <is>
          <t>Neuroimaging / rs-fMRI</t>
        </is>
      </c>
      <c r="L285" s="4" t="inlineStr">
        <is>
          <t>Fuente de neuroimagen explícita</t>
        </is>
      </c>
      <c r="M285" s="4" t="inlineStr">
        <is>
          <t>Inherited scoped adjudication; see source level and lot caveats</t>
        </is>
      </c>
      <c r="N285" s="4" t="n">
        <v>0</v>
      </c>
      <c r="O285" s="12" t="n"/>
      <c r="P285" s="41" t="n"/>
      <c r="Q285" s="4">
        <f>IF(COUNTIFS('ESTUDIOS'!$A$2:$A$455,$A285,'ESTUDIOS'!$I$2:$I$455,"")&gt;0,"",INDEX('ESTUDIOS'!$I$2:$I$455,MATCH($A285,'ESTUDIOS'!$A$2:$A$455,0)))</f>
        <v/>
      </c>
    </row>
    <row r="286" ht="34" customHeight="1">
      <c r="A286" s="4" t="inlineStr">
        <is>
          <t>new_132</t>
        </is>
      </c>
      <c r="B286" s="4" t="inlineStr">
        <is>
          <t>Update</t>
        </is>
      </c>
      <c r="C286" s="4" t="inlineStr">
        <is>
          <t>A Brief Observation to Screen Autism in Toddlers and Predict Developmental Trajectory</t>
        </is>
      </c>
      <c r="D286" s="4" t="inlineStr">
        <is>
          <t>Screening</t>
        </is>
      </c>
      <c r="E286" s="4" t="inlineStr">
        <is>
          <t>Machine Learning</t>
        </is>
      </c>
      <c r="F286" s="4" t="inlineStr">
        <is>
          <t>Structured / tabular data</t>
        </is>
      </c>
      <c r="G286" s="4" t="inlineStr">
        <is>
          <t>C5.0 + regression + k-means</t>
        </is>
      </c>
      <c r="H286" s="4" t="inlineStr">
        <is>
          <t>Screening and developmental prediction</t>
        </is>
      </c>
      <c r="I286" s="4" t="inlineStr">
        <is>
          <t>Screening</t>
        </is>
      </c>
      <c r="J286" s="4" t="inlineStr">
        <is>
          <t>Machine Learning</t>
        </is>
      </c>
      <c r="K286" s="4" t="inlineStr">
        <is>
          <t>Structured behavioral observation</t>
        </is>
      </c>
      <c r="L286" s="4" t="inlineStr">
        <is>
          <t>Variables estructuradas/tabulares; no inferir NLP</t>
        </is>
      </c>
      <c r="M286" s="4" t="inlineStr">
        <is>
          <t>Inherited scoped adjudication; see source level and lot caveats</t>
        </is>
      </c>
      <c r="N286" s="4" t="n">
        <v>0</v>
      </c>
      <c r="O286" s="12" t="n"/>
      <c r="P286" s="41" t="n"/>
      <c r="Q286" s="4">
        <f>IF(COUNTIFS('ESTUDIOS'!$A$2:$A$455,$A286,'ESTUDIOS'!$I$2:$I$455,"")&gt;0,"",INDEX('ESTUDIOS'!$I$2:$I$455,MATCH($A286,'ESTUDIOS'!$A$2:$A$455,0)))</f>
        <v/>
      </c>
    </row>
    <row r="287" ht="60" customHeight="1">
      <c r="A287" s="4" t="inlineStr">
        <is>
          <t>new_145</t>
        </is>
      </c>
      <c r="B287" s="4" t="inlineStr">
        <is>
          <t>Update</t>
        </is>
      </c>
      <c r="C287" s="4" t="inlineStr">
        <is>
          <t>Explainable Ensemble Learning Framework for Early Detection of Autism Spectrum Disorder: Enhancing Trust, Interpretability and Reliability in AI-Driven Healthcare</t>
        </is>
      </c>
      <c r="D287" s="4" t="inlineStr">
        <is>
          <t>Screening</t>
        </is>
      </c>
      <c r="E287" s="4" t="inlineStr">
        <is>
          <t>Hybrid</t>
        </is>
      </c>
      <c r="F287" s="4" t="inlineStr">
        <is>
          <t>Multiple modalities (as coded)</t>
        </is>
      </c>
      <c r="G287" s="4" t="inlineStr">
        <is>
          <t>RF/XGBoost/neural-network ensemble</t>
        </is>
      </c>
      <c r="H287" s="4" t="inlineStr">
        <is>
          <t>Screening and severity classification</t>
        </is>
      </c>
      <c r="I287" s="4" t="inlineStr">
        <is>
          <t>Screening</t>
        </is>
      </c>
      <c r="J287" s="4" t="inlineStr">
        <is>
          <t>Hybrid</t>
        </is>
      </c>
      <c r="K287" s="4" t="inlineStr">
        <is>
          <t>Multimodal</t>
        </is>
      </c>
      <c r="L287" s="4" t="inlineStr">
        <is>
          <t>Modalidades múltiples declaradas; no prueba de integración/fusión</t>
        </is>
      </c>
      <c r="M287" s="4" t="inlineStr">
        <is>
          <t>Inherited scoped adjudication; see source level and lot caveats</t>
        </is>
      </c>
      <c r="N287" s="4" t="n">
        <v>0</v>
      </c>
      <c r="O287" s="12" t="n"/>
      <c r="P287" s="41" t="n"/>
      <c r="Q287" s="4">
        <f>IF(COUNTIFS('ESTUDIOS'!$A$2:$A$455,$A287,'ESTUDIOS'!$I$2:$I$455,"")&gt;0,"",INDEX('ESTUDIOS'!$I$2:$I$455,MATCH($A287,'ESTUDIOS'!$A$2:$A$455,0)))</f>
        <v/>
      </c>
    </row>
    <row r="288" ht="47" customHeight="1">
      <c r="A288" s="4" t="inlineStr">
        <is>
          <t>new_160</t>
        </is>
      </c>
      <c r="B288" s="4" t="inlineStr">
        <is>
          <t>Update</t>
        </is>
      </c>
      <c r="C288" s="4" t="inlineStr">
        <is>
          <t>LLM-Assisted Annotation Framework for Cross Platform Analysis of Autism Online Communities: Implications for Parent Education and Digital Support (Preprint)</t>
        </is>
      </c>
      <c r="D288" s="4" t="inlineStr">
        <is>
          <t>Not specified</t>
        </is>
      </c>
      <c r="E288" s="4" t="inlineStr">
        <is>
          <t>Deep Learning</t>
        </is>
      </c>
      <c r="F288" s="4" t="inlineStr">
        <is>
          <t>Text / language</t>
        </is>
      </c>
      <c r="G288" s="4" t="inlineStr">
        <is>
          <t>Large language models for assisted annotation</t>
        </is>
      </c>
      <c r="H288" s="4" t="inlineStr">
        <is>
          <t>Topic and identity classification</t>
        </is>
      </c>
      <c r="I288" s="4" t="inlineStr">
        <is>
          <t>Not specified</t>
        </is>
      </c>
      <c r="J288" s="4" t="inlineStr">
        <is>
          <t>Deep Learning</t>
        </is>
      </c>
      <c r="K288" s="4" t="inlineStr">
        <is>
          <t>Text / NLP</t>
        </is>
      </c>
      <c r="L288" s="4" t="inlineStr">
        <is>
          <t>Texto o lenguaje explícito; método NLP se registra aparte</t>
        </is>
      </c>
      <c r="M288" s="4" t="inlineStr">
        <is>
          <t>Inherited scoped adjudication; see source level and lot caveats</t>
        </is>
      </c>
      <c r="N288" s="4" t="n">
        <v>1</v>
      </c>
      <c r="O288" s="12" t="n"/>
      <c r="P288" s="41" t="n"/>
      <c r="Q288" s="4">
        <f>IF(COUNTIFS('ESTUDIOS'!$A$2:$A$455,$A288,'ESTUDIOS'!$I$2:$I$455,"")&gt;0,"",INDEX('ESTUDIOS'!$I$2:$I$455,MATCH($A288,'ESTUDIOS'!$A$2:$A$455,0)))</f>
        <v/>
      </c>
    </row>
    <row r="289" ht="60" customHeight="1">
      <c r="A289" s="4" t="inlineStr">
        <is>
          <t>new_169</t>
        </is>
      </c>
      <c r="B289" s="4" t="inlineStr">
        <is>
          <t>Update</t>
        </is>
      </c>
      <c r="C289" s="4" t="inlineStr">
        <is>
          <t>GPT-Powered Chatbot-Based Positive Psychology Intervention for Well-Being Among Parents of Children With Autism Spectrum Disorder: Single-Arm Mixed Methods Study</t>
        </is>
      </c>
      <c r="D289" s="4" t="inlineStr">
        <is>
          <t>Monitoring/intervention</t>
        </is>
      </c>
      <c r="E289" s="4" t="inlineStr">
        <is>
          <t>Deep Learning</t>
        </is>
      </c>
      <c r="F289" s="4" t="inlineStr">
        <is>
          <t>Multiple modalities (as coded)</t>
        </is>
      </c>
      <c r="G289" s="4" t="inlineStr">
        <is>
          <t>GPT-powered chatbot</t>
        </is>
      </c>
      <c r="H289" s="4" t="inlineStr">
        <is>
          <t>Digital positive-psychology intervention</t>
        </is>
      </c>
      <c r="I289" s="4" t="inlineStr">
        <is>
          <t>Monitoring/intervention</t>
        </is>
      </c>
      <c r="J289" s="4" t="inlineStr">
        <is>
          <t>Deep Learning</t>
        </is>
      </c>
      <c r="K289" s="4" t="inlineStr">
        <is>
          <t>Multimodal</t>
        </is>
      </c>
      <c r="L289" s="4" t="inlineStr">
        <is>
          <t>Modalidades múltiples declaradas; no prueba de integración/fusión</t>
        </is>
      </c>
      <c r="M289" s="4" t="inlineStr">
        <is>
          <t>Inherited scoped adjudication; see source level and lot caveats</t>
        </is>
      </c>
      <c r="N289" s="4" t="n">
        <v>0</v>
      </c>
      <c r="O289" s="12" t="n"/>
      <c r="P289" s="41" t="n"/>
      <c r="Q289" s="4">
        <f>IF(COUNTIFS('ESTUDIOS'!$A$2:$A$455,$A289,'ESTUDIOS'!$I$2:$I$455,"")&gt;0,"",INDEX('ESTUDIOS'!$I$2:$I$455,MATCH($A289,'ESTUDIOS'!$A$2:$A$455,0)))</f>
        <v/>
      </c>
    </row>
    <row r="290" ht="60" customHeight="1">
      <c r="A290" s="4" t="inlineStr">
        <is>
          <t>new_171</t>
        </is>
      </c>
      <c r="B290" s="4" t="inlineStr">
        <is>
          <t>Update</t>
        </is>
      </c>
      <c r="C290" s="4" t="inlineStr">
        <is>
          <t>Artificial Intelligence Prediction of Individual Treatment Response to Smartphone-Based Mindfulness in Autistic Adults with Anxiety Symptoms: A Randomized Controlled Trial Analysis (Preprint)</t>
        </is>
      </c>
      <c r="D290" s="4" t="inlineStr">
        <is>
          <t>Prognosis</t>
        </is>
      </c>
      <c r="E290" s="4" t="inlineStr">
        <is>
          <t>Hybrid</t>
        </is>
      </c>
      <c r="F290" s="4" t="inlineStr">
        <is>
          <t>Structured / tabular data</t>
        </is>
      </c>
      <c r="G290" s="4" t="inlineStr">
        <is>
          <t>RF/XGBoost/TabNet/TabPFN + GPT-4o</t>
        </is>
      </c>
      <c r="H290" s="4" t="inlineStr">
        <is>
          <t>Treatment-response prediction</t>
        </is>
      </c>
      <c r="I290" s="4" t="inlineStr">
        <is>
          <t>Prognosis</t>
        </is>
      </c>
      <c r="J290" s="4" t="inlineStr">
        <is>
          <t>Hybrid</t>
        </is>
      </c>
      <c r="K290" s="4" t="inlineStr">
        <is>
          <t>Structured clinical/self-report data</t>
        </is>
      </c>
      <c r="L290" s="4" t="inlineStr">
        <is>
          <t>Variables estructuradas/tabulares; no inferir NLP</t>
        </is>
      </c>
      <c r="M290" s="4" t="inlineStr">
        <is>
          <t>Inherited scoped adjudication; see source level and lot caveats</t>
        </is>
      </c>
      <c r="N290" s="4" t="n">
        <v>0</v>
      </c>
      <c r="O290" s="12" t="n"/>
      <c r="P290" s="41" t="n"/>
      <c r="Q290" s="4">
        <f>IF(COUNTIFS('ESTUDIOS'!$A$2:$A$455,$A290,'ESTUDIOS'!$I$2:$I$455,"")&gt;0,"",INDEX('ESTUDIOS'!$I$2:$I$455,MATCH($A290,'ESTUDIOS'!$A$2:$A$455,0)))</f>
        <v/>
      </c>
    </row>
    <row r="291" ht="73" customHeight="1">
      <c r="A291" s="4" t="inlineStr">
        <is>
          <t>new_172</t>
        </is>
      </c>
      <c r="B291" s="4" t="inlineStr">
        <is>
          <t>Update</t>
        </is>
      </c>
      <c r="C291" s="4" t="inlineStr">
        <is>
          <t>Evaluating Public Sentiment on Attention-Deficit/Hyperactivity Disorder and Autism Spectrum Disorder Compared With Other Mental Health Disorders From Posts on X (Formerly Known as Twitter): Longitudinal Analysis</t>
        </is>
      </c>
      <c r="D291" s="4" t="inlineStr">
        <is>
          <t>Not specified</t>
        </is>
      </c>
      <c r="E291" s="4" t="inlineStr">
        <is>
          <t>Machine Learning</t>
        </is>
      </c>
      <c r="F291" s="4" t="inlineStr">
        <is>
          <t>Text / language</t>
        </is>
      </c>
      <c r="G291" s="4" t="inlineStr">
        <is>
          <t>Supervised text classifiers</t>
        </is>
      </c>
      <c r="H291" s="4" t="inlineStr">
        <is>
          <t>Public-sentiment classification</t>
        </is>
      </c>
      <c r="I291" s="4" t="inlineStr">
        <is>
          <t>Not specified</t>
        </is>
      </c>
      <c r="J291" s="4" t="inlineStr">
        <is>
          <t>Machine Learning</t>
        </is>
      </c>
      <c r="K291" s="4" t="inlineStr">
        <is>
          <t>Text / NLP</t>
        </is>
      </c>
      <c r="L291" s="4" t="inlineStr">
        <is>
          <t>Texto o lenguaje explícito; método NLP se registra aparte</t>
        </is>
      </c>
      <c r="M291" s="4" t="inlineStr">
        <is>
          <t>Inherited scoped adjudication; see source level and lot caveats</t>
        </is>
      </c>
      <c r="N291" s="4" t="n">
        <v>1</v>
      </c>
      <c r="O291" s="12" t="n"/>
      <c r="P291" s="41" t="n"/>
      <c r="Q291" s="4">
        <f>IF(COUNTIFS('ESTUDIOS'!$A$2:$A$455,$A291,'ESTUDIOS'!$I$2:$I$455,"")&gt;0,"",INDEX('ESTUDIOS'!$I$2:$I$455,MATCH($A291,'ESTUDIOS'!$A$2:$A$455,0)))</f>
        <v/>
      </c>
    </row>
    <row r="292" ht="47" customHeight="1">
      <c r="A292" s="4" t="inlineStr">
        <is>
          <t>new_173</t>
        </is>
      </c>
      <c r="B292" s="4" t="inlineStr">
        <is>
          <t>Update</t>
        </is>
      </c>
      <c r="C292" s="4" t="inlineStr">
        <is>
          <t>From Click to Chat: A Comparative, Bilingual Study of Autism-Related Information on Websites and General-Purpose AI Chatbots (Preprint)</t>
        </is>
      </c>
      <c r="D292" s="4" t="inlineStr">
        <is>
          <t>Not specified</t>
        </is>
      </c>
      <c r="E292" s="4" t="inlineStr">
        <is>
          <t>Deep Learning</t>
        </is>
      </c>
      <c r="F292" s="4" t="inlineStr">
        <is>
          <t>Text / language</t>
        </is>
      </c>
      <c r="G292" s="4" t="inlineStr">
        <is>
          <t>General-purpose chatbots</t>
        </is>
      </c>
      <c r="H292" s="4" t="inlineStr">
        <is>
          <t>Information-quality evaluation</t>
        </is>
      </c>
      <c r="I292" s="4" t="inlineStr">
        <is>
          <t>Not specified</t>
        </is>
      </c>
      <c r="J292" s="4" t="inlineStr">
        <is>
          <t>Deep Learning</t>
        </is>
      </c>
      <c r="K292" s="4" t="inlineStr">
        <is>
          <t>Text / NLP</t>
        </is>
      </c>
      <c r="L292" s="4" t="inlineStr">
        <is>
          <t>Texto o lenguaje explícito; método NLP se registra aparte</t>
        </is>
      </c>
      <c r="M292" s="4" t="inlineStr">
        <is>
          <t>Inherited scoped adjudication; see source level and lot caveats</t>
        </is>
      </c>
      <c r="N292" s="4" t="n">
        <v>1</v>
      </c>
      <c r="O292" s="12" t="n"/>
      <c r="P292" s="41" t="n"/>
      <c r="Q292" s="4">
        <f>IF(COUNTIFS('ESTUDIOS'!$A$2:$A$455,$A292,'ESTUDIOS'!$I$2:$I$455,"")&gt;0,"",INDEX('ESTUDIOS'!$I$2:$I$455,MATCH($A292,'ESTUDIOS'!$A$2:$A$455,0)))</f>
        <v/>
      </c>
    </row>
    <row r="293" ht="60" customHeight="1">
      <c r="A293" s="4" t="inlineStr">
        <is>
          <t>new_179</t>
        </is>
      </c>
      <c r="B293" s="4" t="inlineStr">
        <is>
          <t>Update</t>
        </is>
      </c>
      <c r="C293" s="4" t="inlineStr">
        <is>
          <t>Free Water Corrected Diffusion Magnetic Resonance Imaging Reveals Microstructural Alterations in Corpus Callosum Subregions of Preschool Children With Autism</t>
        </is>
      </c>
      <c r="D293" s="4" t="inlineStr">
        <is>
          <t>Not specified</t>
        </is>
      </c>
      <c r="E293" s="4" t="inlineStr">
        <is>
          <t>Machine Learning</t>
        </is>
      </c>
      <c r="F293" s="4" t="inlineStr">
        <is>
          <t>Neuroimaging</t>
        </is>
      </c>
      <c r="G293" s="4" t="inlineStr">
        <is>
          <t>Atlas-based ML tract segmentation</t>
        </is>
      </c>
      <c r="H293" s="4" t="inlineStr">
        <is>
          <t>Segmentation and biomarker characterization</t>
        </is>
      </c>
      <c r="I293" s="4" t="inlineStr">
        <is>
          <t>Not specified</t>
        </is>
      </c>
      <c r="J293" s="4" t="inlineStr">
        <is>
          <t>Machine Learning</t>
        </is>
      </c>
      <c r="K293" s="4" t="inlineStr">
        <is>
          <t>Neuroimaging / diffusion MRI</t>
        </is>
      </c>
      <c r="L293" s="4" t="inlineStr">
        <is>
          <t>Fuente de neuroimagen explícita</t>
        </is>
      </c>
      <c r="M293" s="4" t="inlineStr">
        <is>
          <t>Inherited scoped adjudication; see source level and lot caveats</t>
        </is>
      </c>
      <c r="N293" s="4" t="n">
        <v>1</v>
      </c>
      <c r="O293" s="12" t="n"/>
      <c r="P293" s="41" t="n"/>
      <c r="Q293" s="4">
        <f>IF(COUNTIFS('ESTUDIOS'!$A$2:$A$455,$A293,'ESTUDIOS'!$I$2:$I$455,"")&gt;0,"",INDEX('ESTUDIOS'!$I$2:$I$455,MATCH($A293,'ESTUDIOS'!$A$2:$A$455,0)))</f>
        <v/>
      </c>
    </row>
    <row r="294" ht="47" customHeight="1">
      <c r="A294" s="4" t="inlineStr">
        <is>
          <t>new_182</t>
        </is>
      </c>
      <c r="B294" s="4" t="inlineStr">
        <is>
          <t>Update</t>
        </is>
      </c>
      <c r="C294" s="4" t="inlineStr">
        <is>
          <t>Label leakage unmasked: a trustworthy-AI audit of autism screening models using the CLEAR-RD framework.</t>
        </is>
      </c>
      <c r="D294" s="4" t="inlineStr">
        <is>
          <t>Screening</t>
        </is>
      </c>
      <c r="E294" s="4" t="inlineStr">
        <is>
          <t>Hybrid</t>
        </is>
      </c>
      <c r="F294" s="4" t="inlineStr">
        <is>
          <t>Structured / tabular data</t>
        </is>
      </c>
      <c r="G294" s="4" t="inlineStr">
        <is>
          <t>Classical/deep-tabular/prompt models</t>
        </is>
      </c>
      <c r="H294" s="4" t="inlineStr">
        <is>
          <t>Trustworthiness and label-leakage audit</t>
        </is>
      </c>
      <c r="I294" s="4" t="inlineStr">
        <is>
          <t>Screening</t>
        </is>
      </c>
      <c r="J294" s="4" t="inlineStr">
        <is>
          <t>Hybrid</t>
        </is>
      </c>
      <c r="K294" s="4" t="inlineStr">
        <is>
          <t>Structured screening questionnaires</t>
        </is>
      </c>
      <c r="L294" s="4" t="inlineStr">
        <is>
          <t>Variables estructuradas/tabulares; no inferir NLP</t>
        </is>
      </c>
      <c r="M294" s="4" t="inlineStr">
        <is>
          <t>Inherited scoped adjudication; see source level and lot caveats</t>
        </is>
      </c>
      <c r="N294" s="4" t="n">
        <v>0</v>
      </c>
      <c r="O294" s="12" t="n"/>
      <c r="P294" s="41" t="n"/>
      <c r="Q294" s="4">
        <f>IF(COUNTIFS('ESTUDIOS'!$A$2:$A$455,$A294,'ESTUDIOS'!$I$2:$I$455,"")&gt;0,"",INDEX('ESTUDIOS'!$I$2:$I$455,MATCH($A294,'ESTUDIOS'!$A$2:$A$455,0)))</f>
        <v/>
      </c>
    </row>
    <row r="295" ht="47" customHeight="1">
      <c r="A295" s="4" t="inlineStr">
        <is>
          <t>new_185</t>
        </is>
      </c>
      <c r="B295" s="4" t="inlineStr">
        <is>
          <t>Update</t>
        </is>
      </c>
      <c r="C295" s="4" t="inlineStr">
        <is>
          <t>Early multimodal behavioral cues in autism: a micro-analytical exploration of actions, gestures and speech during naturalistic parent-child interactions</t>
        </is>
      </c>
      <c r="D295" s="4" t="inlineStr">
        <is>
          <t>Screening</t>
        </is>
      </c>
      <c r="E295" s="4" t="inlineStr">
        <is>
          <t>Machine Learning</t>
        </is>
      </c>
      <c r="F295" s="4" t="inlineStr">
        <is>
          <t>Multiple modalities (as coded)</t>
        </is>
      </c>
      <c r="G295" s="4" t="inlineStr">
        <is>
          <t>Logistic regression with feature selection</t>
        </is>
      </c>
      <c r="H295" s="4" t="inlineStr">
        <is>
          <t>Classification (autistic vs neurotypical)</t>
        </is>
      </c>
      <c r="I295" s="4" t="inlineStr">
        <is>
          <t>Screening</t>
        </is>
      </c>
      <c r="J295" s="4" t="inlineStr">
        <is>
          <t>Machine Learning</t>
        </is>
      </c>
      <c r="K295" s="4" t="inlineStr">
        <is>
          <t>Multimodal behavior / speech</t>
        </is>
      </c>
      <c r="L295" s="4" t="inlineStr">
        <is>
          <t>Modalidades múltiples declaradas; no prueba de integración/fusión</t>
        </is>
      </c>
      <c r="M295" s="4" t="inlineStr">
        <is>
          <t>Inherited scoped adjudication; see source level and lot caveats</t>
        </is>
      </c>
      <c r="N295" s="4" t="n">
        <v>0</v>
      </c>
      <c r="O295" s="12" t="n"/>
      <c r="P295" s="41" t="n"/>
      <c r="Q295" s="4">
        <f>IF(COUNTIFS('ESTUDIOS'!$A$2:$A$455,$A295,'ESTUDIOS'!$I$2:$I$455,"")&gt;0,"",INDEX('ESTUDIOS'!$I$2:$I$455,MATCH($A295,'ESTUDIOS'!$A$2:$A$455,0)))</f>
        <v/>
      </c>
    </row>
    <row r="296" ht="73" customHeight="1">
      <c r="A296" s="4" t="inlineStr">
        <is>
          <t>new_186</t>
        </is>
      </c>
      <c r="B296" s="4" t="inlineStr">
        <is>
          <t>Update</t>
        </is>
      </c>
      <c r="C296" s="4" t="inlineStr">
        <is>
          <t>Mood instability and mental health service use in autism and attention-deficit/hyperactivity disorder: a natural language processing analysis of CRIS electronic healthcare records from 21 906 children and adolescents.</t>
        </is>
      </c>
      <c r="D296" s="4" t="inlineStr">
        <is>
          <t>Monitoring/intervention</t>
        </is>
      </c>
      <c r="E296" s="4" t="inlineStr">
        <is>
          <t>Machine Learning</t>
        </is>
      </c>
      <c r="F296" s="4" t="inlineStr">
        <is>
          <t>Text / language</t>
        </is>
      </c>
      <c r="G296" s="4" t="inlineStr">
        <is>
          <t>NLP extraction + regression models</t>
        </is>
      </c>
      <c r="H296" s="4" t="inlineStr">
        <is>
          <t>Extraction and service-use prediction</t>
        </is>
      </c>
      <c r="I296" s="4" t="inlineStr">
        <is>
          <t>Monitoring/intervention</t>
        </is>
      </c>
      <c r="J296" s="4" t="inlineStr">
        <is>
          <t>Machine Learning</t>
        </is>
      </c>
      <c r="K296" s="4" t="inlineStr">
        <is>
          <t>Clinical text / EHR</t>
        </is>
      </c>
      <c r="L296" s="4" t="inlineStr">
        <is>
          <t>Texto o lenguaje explícito; método NLP se registra aparte</t>
        </is>
      </c>
      <c r="M296" s="4" t="inlineStr">
        <is>
          <t>Inherited scoped adjudication; see source level and lot caveats</t>
        </is>
      </c>
      <c r="N296" s="4" t="n">
        <v>0</v>
      </c>
      <c r="O296" s="12" t="n"/>
      <c r="P296" s="41" t="n"/>
      <c r="Q296" s="4">
        <f>IF(COUNTIFS('ESTUDIOS'!$A$2:$A$455,$A296,'ESTUDIOS'!$I$2:$I$455,"")&gt;0,"",INDEX('ESTUDIOS'!$I$2:$I$455,MATCH($A296,'ESTUDIOS'!$A$2:$A$455,0)))</f>
        <v/>
      </c>
    </row>
    <row r="297" ht="47" customHeight="1">
      <c r="A297" s="4" t="inlineStr">
        <is>
          <t>new_191</t>
        </is>
      </c>
      <c r="B297" s="4" t="inlineStr">
        <is>
          <t>Update</t>
        </is>
      </c>
      <c r="C297" s="4" t="inlineStr">
        <is>
          <t>A functional system-informed graph neural network framework to quantify interpretable brain dysfunction in ASD</t>
        </is>
      </c>
      <c r="D297" s="4" t="inlineStr">
        <is>
          <t>Diagnosis</t>
        </is>
      </c>
      <c r="E297" s="4" t="inlineStr">
        <is>
          <t>Deep Learning</t>
        </is>
      </c>
      <c r="F297" s="4" t="inlineStr">
        <is>
          <t>Neuroimaging</t>
        </is>
      </c>
      <c r="G297" s="4" t="inlineStr">
        <is>
          <t>Functional system-informed graph neural network</t>
        </is>
      </c>
      <c r="H297" s="4" t="inlineStr">
        <is>
          <t>Classification (ASD vs control)</t>
        </is>
      </c>
      <c r="I297" s="4" t="inlineStr">
        <is>
          <t>Diagnosis</t>
        </is>
      </c>
      <c r="J297" s="4" t="inlineStr">
        <is>
          <t>Deep Learning</t>
        </is>
      </c>
      <c r="K297" s="4" t="inlineStr">
        <is>
          <t>Neuroimaging / fMRI</t>
        </is>
      </c>
      <c r="L297" s="4" t="inlineStr">
        <is>
          <t>Fuente de neuroimagen explícita</t>
        </is>
      </c>
      <c r="M297" s="4" t="inlineStr">
        <is>
          <t>Inherited scoped adjudication; see source level and lot caveats</t>
        </is>
      </c>
      <c r="N297" s="4" t="n">
        <v>0</v>
      </c>
      <c r="O297" s="12" t="n"/>
      <c r="P297" s="41" t="n"/>
      <c r="Q297" s="4">
        <f>IF(COUNTIFS('ESTUDIOS'!$A$2:$A$455,$A297,'ESTUDIOS'!$I$2:$I$455,"")&gt;0,"",INDEX('ESTUDIOS'!$I$2:$I$455,MATCH($A297,'ESTUDIOS'!$A$2:$A$455,0)))</f>
        <v/>
      </c>
    </row>
    <row r="298" ht="47" customHeight="1">
      <c r="A298" s="4" t="inlineStr">
        <is>
          <t>new_197</t>
        </is>
      </c>
      <c r="B298" s="4" t="inlineStr">
        <is>
          <t>Update</t>
        </is>
      </c>
      <c r="C298" s="4" t="inlineStr">
        <is>
          <t>Deep learning for autism detection using clinical notes: A comparison of transfer learning for a transparent and black-box approach</t>
        </is>
      </c>
      <c r="D298" s="4" t="inlineStr">
        <is>
          <t>Diagnosis</t>
        </is>
      </c>
      <c r="E298" s="4" t="inlineStr">
        <is>
          <t>Deep Learning</t>
        </is>
      </c>
      <c r="F298" s="4" t="inlineStr">
        <is>
          <t>Text / language</t>
        </is>
      </c>
      <c r="G298" s="4" t="inlineStr">
        <is>
          <t>BioBERT models</t>
        </is>
      </c>
      <c r="H298" s="4" t="inlineStr">
        <is>
          <t>Classification from clinical notes</t>
        </is>
      </c>
      <c r="I298" s="4" t="inlineStr">
        <is>
          <t>Diagnosis</t>
        </is>
      </c>
      <c r="J298" s="4" t="inlineStr">
        <is>
          <t>Deep Learning</t>
        </is>
      </c>
      <c r="K298" s="4" t="inlineStr">
        <is>
          <t>Clinical text / NLP</t>
        </is>
      </c>
      <c r="L298" s="4" t="inlineStr">
        <is>
          <t>Texto o lenguaje explícito; método NLP se registra aparte</t>
        </is>
      </c>
      <c r="M298" s="4" t="inlineStr">
        <is>
          <t>Inherited scoped adjudication; see source level and lot caveats</t>
        </is>
      </c>
      <c r="N298" s="4" t="n">
        <v>0</v>
      </c>
      <c r="O298" s="12" t="n"/>
      <c r="P298" s="41" t="n"/>
      <c r="Q298" s="4">
        <f>IF(COUNTIFS('ESTUDIOS'!$A$2:$A$455,$A298,'ESTUDIOS'!$I$2:$I$455,"")&gt;0,"",INDEX('ESTUDIOS'!$I$2:$I$455,MATCH($A298,'ESTUDIOS'!$A$2:$A$455,0)))</f>
        <v/>
      </c>
    </row>
    <row r="299" ht="47" customHeight="1">
      <c r="A299" s="4" t="inlineStr">
        <is>
          <t>new_200</t>
        </is>
      </c>
      <c r="B299" s="4" t="inlineStr">
        <is>
          <t>Update</t>
        </is>
      </c>
      <c r="C299" s="4" t="inlineStr">
        <is>
          <t>Finding the forest in the trees: Using machine learning and online cognitive and perceptual measures to predict adult autism diagnosis</t>
        </is>
      </c>
      <c r="D299" s="4" t="inlineStr">
        <is>
          <t>Screening</t>
        </is>
      </c>
      <c r="E299" s="4" t="inlineStr">
        <is>
          <t>Machine Learning</t>
        </is>
      </c>
      <c r="F299" s="4" t="inlineStr">
        <is>
          <t>Structured / tabular data</t>
        </is>
      </c>
      <c r="G299" s="4" t="inlineStr">
        <is>
          <t>Random forest</t>
        </is>
      </c>
      <c r="H299" s="4" t="inlineStr">
        <is>
          <t>Classification / screening prediction</t>
        </is>
      </c>
      <c r="I299" s="4" t="inlineStr">
        <is>
          <t>Screening</t>
        </is>
      </c>
      <c r="J299" s="4" t="inlineStr">
        <is>
          <t>Machine Learning</t>
        </is>
      </c>
      <c r="K299" s="4" t="inlineStr">
        <is>
          <t>Cognitive task and questionnaire data</t>
        </is>
      </c>
      <c r="L299" s="4" t="inlineStr">
        <is>
          <t>Variables estructuradas/tabulares; no inferir NLP</t>
        </is>
      </c>
      <c r="M299" s="4" t="inlineStr">
        <is>
          <t>Inherited scoped adjudication; see source level and lot caveats</t>
        </is>
      </c>
      <c r="N299" s="4" t="n">
        <v>0</v>
      </c>
      <c r="O299" s="12" t="n"/>
      <c r="P299" s="41" t="n"/>
      <c r="Q299" s="4">
        <f>IF(COUNTIFS('ESTUDIOS'!$A$2:$A$455,$A299,'ESTUDIOS'!$I$2:$I$455,"")&gt;0,"",INDEX('ESTUDIOS'!$I$2:$I$455,MATCH($A299,'ESTUDIOS'!$A$2:$A$455,0)))</f>
        <v/>
      </c>
    </row>
    <row r="300" ht="34" customHeight="1">
      <c r="A300" s="4" t="inlineStr">
        <is>
          <t>new_210</t>
        </is>
      </c>
      <c r="B300" s="4" t="inlineStr">
        <is>
          <t>Update</t>
        </is>
      </c>
      <c r="C300" s="4" t="inlineStr">
        <is>
          <t>Biomarker Discovery for Autism Prediction Using Massive Feature Extraction Based on EEG Signals</t>
        </is>
      </c>
      <c r="D300" s="4" t="inlineStr">
        <is>
          <t>Diagnosis</t>
        </is>
      </c>
      <c r="E300" s="4" t="inlineStr">
        <is>
          <t>Machine Learning</t>
        </is>
      </c>
      <c r="F300" s="4" t="inlineStr">
        <is>
          <t>Physiological signals</t>
        </is>
      </c>
      <c r="G300" s="4" t="inlineStr">
        <is>
          <t>HCTSA + SVM/MLP/random forest</t>
        </is>
      </c>
      <c r="H300" s="4" t="inlineStr">
        <is>
          <t>Classification (ASD vs control)</t>
        </is>
      </c>
      <c r="I300" s="4" t="inlineStr">
        <is>
          <t>Diagnosis</t>
        </is>
      </c>
      <c r="J300" s="4" t="inlineStr">
        <is>
          <t>Machine Learning</t>
        </is>
      </c>
      <c r="K300" s="4" t="inlineStr">
        <is>
          <t>Physiological signals / EEG</t>
        </is>
      </c>
      <c r="L300" s="4" t="inlineStr">
        <is>
          <t>Medición fisiológica explícita</t>
        </is>
      </c>
      <c r="M300" s="4" t="inlineStr">
        <is>
          <t>Inherited scoped adjudication; see source level and lot caveats</t>
        </is>
      </c>
      <c r="N300" s="4" t="n">
        <v>0</v>
      </c>
      <c r="O300" s="12" t="n"/>
      <c r="P300" s="41" t="n"/>
      <c r="Q300" s="4">
        <f>IF(COUNTIFS('ESTUDIOS'!$A$2:$A$455,$A300,'ESTUDIOS'!$I$2:$I$455,"")&gt;0,"",INDEX('ESTUDIOS'!$I$2:$I$455,MATCH($A300,'ESTUDIOS'!$A$2:$A$455,0)))</f>
        <v/>
      </c>
    </row>
    <row r="301" ht="47" customHeight="1">
      <c r="A301" s="4" t="inlineStr">
        <is>
          <t>new_212</t>
        </is>
      </c>
      <c r="B301" s="4" t="inlineStr">
        <is>
          <t>Update</t>
        </is>
      </c>
      <c r="C301" s="4" t="inlineStr">
        <is>
          <t>Comparison of cognitive ability and its distribution between men with autism spectrum disorder and attention-deficit/hyperactivity disorder</t>
        </is>
      </c>
      <c r="D301" s="4" t="inlineStr">
        <is>
          <t>Diagnosis</t>
        </is>
      </c>
      <c r="E301" s="4" t="inlineStr">
        <is>
          <t>Machine Learning</t>
        </is>
      </c>
      <c r="F301" s="4" t="inlineStr">
        <is>
          <t>Structured / tabular data</t>
        </is>
      </c>
      <c r="G301" s="4" t="inlineStr">
        <is>
          <t>Classifier + Gaussian-mixture clustering</t>
        </is>
      </c>
      <c r="H301" s="4" t="inlineStr">
        <is>
          <t>Differential classification and subtyping</t>
        </is>
      </c>
      <c r="I301" s="4" t="inlineStr">
        <is>
          <t>Diagnosis</t>
        </is>
      </c>
      <c r="J301" s="4" t="inlineStr">
        <is>
          <t>Machine Learning</t>
        </is>
      </c>
      <c r="K301" s="4" t="inlineStr">
        <is>
          <t>Structured cognitive assessment</t>
        </is>
      </c>
      <c r="L301" s="4" t="inlineStr">
        <is>
          <t>Variables estructuradas/tabulares; no inferir NLP</t>
        </is>
      </c>
      <c r="M301" s="4" t="inlineStr">
        <is>
          <t>Inherited scoped adjudication; see source level and lot caveats</t>
        </is>
      </c>
      <c r="N301" s="4" t="n">
        <v>0</v>
      </c>
      <c r="O301" s="12" t="n"/>
      <c r="P301" s="41" t="n"/>
      <c r="Q301" s="4">
        <f>IF(COUNTIFS('ESTUDIOS'!$A$2:$A$455,$A301,'ESTUDIOS'!$I$2:$I$455,"")&gt;0,"",INDEX('ESTUDIOS'!$I$2:$I$455,MATCH($A301,'ESTUDIOS'!$A$2:$A$455,0)))</f>
        <v/>
      </c>
    </row>
    <row r="302" ht="47" customHeight="1">
      <c r="A302" s="4" t="inlineStr">
        <is>
          <t>new_214</t>
        </is>
      </c>
      <c r="B302" s="4" t="inlineStr">
        <is>
          <t>Update</t>
        </is>
      </c>
      <c r="C302" s="4" t="inlineStr">
        <is>
          <t>Hippocampal Subregion Function and Its Clinical Correlations in Childhood Autism Spectrum Disorders</t>
        </is>
      </c>
      <c r="D302" s="4" t="inlineStr">
        <is>
          <t>Diagnosis</t>
        </is>
      </c>
      <c r="E302" s="4" t="inlineStr">
        <is>
          <t>Machine Learning</t>
        </is>
      </c>
      <c r="F302" s="4" t="inlineStr">
        <is>
          <t>Neuroimaging</t>
        </is>
      </c>
      <c r="G302" s="4" t="inlineStr">
        <is>
          <t>Random forest + SVM/logistic regression</t>
        </is>
      </c>
      <c r="H302" s="4" t="inlineStr">
        <is>
          <t>Classification and connectivity characterization</t>
        </is>
      </c>
      <c r="I302" s="4" t="inlineStr">
        <is>
          <t>Diagnosis</t>
        </is>
      </c>
      <c r="J302" s="4" t="inlineStr">
        <is>
          <t>Machine Learning</t>
        </is>
      </c>
      <c r="K302" s="4" t="inlineStr">
        <is>
          <t>Neuroimaging / rs-fMRI</t>
        </is>
      </c>
      <c r="L302" s="4" t="inlineStr">
        <is>
          <t>Fuente de neuroimagen explícita</t>
        </is>
      </c>
      <c r="M302" s="4" t="inlineStr">
        <is>
          <t>Inherited scoped adjudication; see source level and lot caveats</t>
        </is>
      </c>
      <c r="N302" s="4" t="n">
        <v>0</v>
      </c>
      <c r="O302" s="12" t="n"/>
      <c r="P302" s="41" t="n"/>
      <c r="Q302" s="4">
        <f>IF(COUNTIFS('ESTUDIOS'!$A$2:$A$455,$A302,'ESTUDIOS'!$I$2:$I$455,"")&gt;0,"",INDEX('ESTUDIOS'!$I$2:$I$455,MATCH($A302,'ESTUDIOS'!$A$2:$A$455,0)))</f>
        <v/>
      </c>
    </row>
    <row r="303" ht="47" customHeight="1">
      <c r="A303" s="4" t="inlineStr">
        <is>
          <t>new_216</t>
        </is>
      </c>
      <c r="B303" s="4" t="inlineStr">
        <is>
          <t>Update</t>
        </is>
      </c>
      <c r="C303" s="4" t="inlineStr">
        <is>
          <t>Parental Stress and Caregiver Role Modulate Child–Caregiver Prosodic Synchrony in Autism: A Computational Analysis</t>
        </is>
      </c>
      <c r="D303" s="4" t="inlineStr">
        <is>
          <t>Monitoring/intervention</t>
        </is>
      </c>
      <c r="E303" s="4" t="inlineStr">
        <is>
          <t>Deep Learning</t>
        </is>
      </c>
      <c r="F303" s="4" t="inlineStr">
        <is>
          <t>Audio / voice</t>
        </is>
      </c>
      <c r="G303" s="4" t="inlineStr">
        <is>
          <t>Speech segmentation + CRQA</t>
        </is>
      </c>
      <c r="H303" s="4" t="inlineStr">
        <is>
          <t>Segmentation and synchrony characterization</t>
        </is>
      </c>
      <c r="I303" s="4" t="inlineStr">
        <is>
          <t>Monitoring/intervention</t>
        </is>
      </c>
      <c r="J303" s="4" t="inlineStr">
        <is>
          <t>Deep Learning</t>
        </is>
      </c>
      <c r="K303" s="4" t="inlineStr">
        <is>
          <t>Audio / voice</t>
        </is>
      </c>
      <c r="L303" s="4" t="inlineStr">
        <is>
          <t>Audio explícito</t>
        </is>
      </c>
      <c r="M303" s="4" t="inlineStr">
        <is>
          <t>Inherited scoped adjudication; see source level and lot caveats</t>
        </is>
      </c>
      <c r="N303" s="4" t="n">
        <v>0</v>
      </c>
      <c r="O303" s="12" t="n"/>
      <c r="P303" s="41" t="n"/>
      <c r="Q303" s="4">
        <f>IF(COUNTIFS('ESTUDIOS'!$A$2:$A$455,$A303,'ESTUDIOS'!$I$2:$I$455,"")&gt;0,"",INDEX('ESTUDIOS'!$I$2:$I$455,MATCH($A303,'ESTUDIOS'!$A$2:$A$455,0)))</f>
        <v/>
      </c>
    </row>
    <row r="304" ht="47" customHeight="1">
      <c r="A304" s="4" t="inlineStr">
        <is>
          <t>new_217</t>
        </is>
      </c>
      <c r="B304" s="4" t="inlineStr">
        <is>
          <t>Update</t>
        </is>
      </c>
      <c r="C304" s="4" t="inlineStr">
        <is>
          <t>Predicting brain age in children aged 2–6 years with autism spectrum disorders using routine T1- and T2-weighted magnetic resonance imaging</t>
        </is>
      </c>
      <c r="D304" s="4" t="inlineStr">
        <is>
          <t>Prognosis</t>
        </is>
      </c>
      <c r="E304" s="4" t="inlineStr">
        <is>
          <t>Machine Learning</t>
        </is>
      </c>
      <c r="F304" s="4" t="inlineStr">
        <is>
          <t>Neuroimaging</t>
        </is>
      </c>
      <c r="G304" s="4" t="inlineStr">
        <is>
          <t>Ridge-regression brain-age model</t>
        </is>
      </c>
      <c r="H304" s="4" t="inlineStr">
        <is>
          <t>Brain-age prediction</t>
        </is>
      </c>
      <c r="I304" s="4" t="inlineStr">
        <is>
          <t>Prognosis</t>
        </is>
      </c>
      <c r="J304" s="4" t="inlineStr">
        <is>
          <t>Machine Learning</t>
        </is>
      </c>
      <c r="K304" s="4" t="inlineStr">
        <is>
          <t>Neuroimaging / T1-T2 MRI</t>
        </is>
      </c>
      <c r="L304" s="4" t="inlineStr">
        <is>
          <t>Fuente de neuroimagen explícita</t>
        </is>
      </c>
      <c r="M304" s="4" t="inlineStr">
        <is>
          <t>Inherited scoped adjudication; see source level and lot caveats</t>
        </is>
      </c>
      <c r="N304" s="4" t="n">
        <v>0</v>
      </c>
      <c r="O304" s="12" t="n"/>
      <c r="P304" s="41" t="n"/>
      <c r="Q304" s="4">
        <f>IF(COUNTIFS('ESTUDIOS'!$A$2:$A$455,$A304,'ESTUDIOS'!$I$2:$I$455,"")&gt;0,"",INDEX('ESTUDIOS'!$I$2:$I$455,MATCH($A304,'ESTUDIOS'!$A$2:$A$455,0)))</f>
        <v/>
      </c>
    </row>
    <row r="305" ht="47" customHeight="1">
      <c r="A305" s="4" t="inlineStr">
        <is>
          <t>new_228</t>
        </is>
      </c>
      <c r="B305" s="4" t="inlineStr">
        <is>
          <t>Update</t>
        </is>
      </c>
      <c r="C305" s="4" t="inlineStr">
        <is>
          <t>Unveiling Diagnostic Biomarkers in Autism: A Comparative Proteome Analysis of CNTNAP2 Knockout Mice and Human ASD Patients</t>
        </is>
      </c>
      <c r="D305" s="4" t="inlineStr">
        <is>
          <t>Not specified</t>
        </is>
      </c>
      <c r="E305" s="4" t="inlineStr">
        <is>
          <t>Machine Learning</t>
        </is>
      </c>
      <c r="F305" s="4" t="inlineStr">
        <is>
          <t>Biological/omics</t>
        </is>
      </c>
      <c r="G305" s="4" t="inlineStr">
        <is>
          <t>Extra Trees + XGBoost</t>
        </is>
      </c>
      <c r="H305" s="4" t="inlineStr">
        <is>
          <t>Biomarker classification</t>
        </is>
      </c>
      <c r="I305" s="4" t="inlineStr">
        <is>
          <t>Not specified</t>
        </is>
      </c>
      <c r="J305" s="4" t="inlineStr">
        <is>
          <t>Machine Learning</t>
        </is>
      </c>
      <c r="K305" s="4" t="inlineStr">
        <is>
          <t>Biological/omics / proteomics</t>
        </is>
      </c>
      <c r="L305" s="4" t="inlineStr">
        <is>
          <t>Fuente biológica explícita</t>
        </is>
      </c>
      <c r="M305" s="4" t="inlineStr">
        <is>
          <t>Inherited scoped adjudication; see source level and lot caveats</t>
        </is>
      </c>
      <c r="N305" s="4" t="n">
        <v>1</v>
      </c>
      <c r="O305" s="12" t="n"/>
      <c r="P305" s="41" t="n"/>
      <c r="Q305" s="4">
        <f>IF(COUNTIFS('ESTUDIOS'!$A$2:$A$455,$A305,'ESTUDIOS'!$I$2:$I$455,"")&gt;0,"",INDEX('ESTUDIOS'!$I$2:$I$455,MATCH($A305,'ESTUDIOS'!$A$2:$A$455,0)))</f>
        <v/>
      </c>
    </row>
    <row r="306" ht="47" customHeight="1">
      <c r="A306" s="4" t="inlineStr">
        <is>
          <t>new_237</t>
        </is>
      </c>
      <c r="B306" s="4" t="inlineStr">
        <is>
          <t>Update</t>
        </is>
      </c>
      <c r="C306" s="4" t="inlineStr">
        <is>
          <t>Late Fusion Model for Emotion Recognition from Facial Expressions and Biosignals in a Dataset of Children with Autism Spectrum Disorder</t>
        </is>
      </c>
      <c r="D306" s="4" t="inlineStr">
        <is>
          <t>Monitoring/intervention</t>
        </is>
      </c>
      <c r="E306" s="4" t="inlineStr">
        <is>
          <t>Hybrid</t>
        </is>
      </c>
      <c r="F306" s="4" t="inlineStr">
        <is>
          <t>Multiple modalities (as coded)</t>
        </is>
      </c>
      <c r="G306" s="4" t="inlineStr">
        <is>
          <t>Modality-specific models + late fusion</t>
        </is>
      </c>
      <c r="H306" s="4" t="inlineStr">
        <is>
          <t>Emotion recognition</t>
        </is>
      </c>
      <c r="I306" s="4" t="inlineStr">
        <is>
          <t>Monitoring/intervention</t>
        </is>
      </c>
      <c r="J306" s="4" t="inlineStr">
        <is>
          <t>Hybrid</t>
        </is>
      </c>
      <c r="K306" s="4" t="inlineStr">
        <is>
          <t>Multimodal</t>
        </is>
      </c>
      <c r="L306" s="4" t="inlineStr">
        <is>
          <t>Modalidades múltiples declaradas; no prueba de integración/fusión</t>
        </is>
      </c>
      <c r="M306" s="4" t="inlineStr">
        <is>
          <t>Inherited scoped adjudication; see source level and lot caveats</t>
        </is>
      </c>
      <c r="N306" s="4" t="n">
        <v>0</v>
      </c>
      <c r="O306" s="12" t="n"/>
      <c r="P306" s="41" t="n"/>
      <c r="Q306" s="4">
        <f>IF(COUNTIFS('ESTUDIOS'!$A$2:$A$455,$A306,'ESTUDIOS'!$I$2:$I$455,"")&gt;0,"",INDEX('ESTUDIOS'!$I$2:$I$455,MATCH($A306,'ESTUDIOS'!$A$2:$A$455,0)))</f>
        <v/>
      </c>
    </row>
    <row r="307" ht="47" customHeight="1">
      <c r="A307" s="4" t="inlineStr">
        <is>
          <t>new_247</t>
        </is>
      </c>
      <c r="B307" s="4" t="inlineStr">
        <is>
          <t>Update</t>
        </is>
      </c>
      <c r="C307" s="4" t="inlineStr">
        <is>
          <t>New intelligent music therapy method for applications of enhancing social skills of autism children based on TL-GCN and deep learning</t>
        </is>
      </c>
      <c r="D307" s="4" t="inlineStr">
        <is>
          <t>Monitoring/intervention</t>
        </is>
      </c>
      <c r="E307" s="4" t="inlineStr">
        <is>
          <t>Deep Learning</t>
        </is>
      </c>
      <c r="F307" s="4" t="inlineStr">
        <is>
          <t>Multiple modalities (as coded)</t>
        </is>
      </c>
      <c r="G307" s="4" t="inlineStr">
        <is>
          <t>Transformer + transfer-learning GCN</t>
        </is>
      </c>
      <c r="H307" s="4" t="inlineStr">
        <is>
          <t>Emotion recognition and adaptive intervention</t>
        </is>
      </c>
      <c r="I307" s="4" t="inlineStr">
        <is>
          <t>Monitoring/intervention</t>
        </is>
      </c>
      <c r="J307" s="4" t="inlineStr">
        <is>
          <t>Deep Learning</t>
        </is>
      </c>
      <c r="K307" s="4" t="inlineStr">
        <is>
          <t>Multimodal</t>
        </is>
      </c>
      <c r="L307" s="4" t="inlineStr">
        <is>
          <t>Modalidades múltiples declaradas; no prueba de integración/fusión</t>
        </is>
      </c>
      <c r="M307" s="4" t="inlineStr">
        <is>
          <t>Inherited scoped adjudication; see source level and lot caveats</t>
        </is>
      </c>
      <c r="N307" s="4" t="n">
        <v>0</v>
      </c>
      <c r="O307" s="12" t="n"/>
      <c r="P307" s="41" t="n"/>
      <c r="Q307" s="4">
        <f>IF(COUNTIFS('ESTUDIOS'!$A$2:$A$455,$A307,'ESTUDIOS'!$I$2:$I$455,"")&gt;0,"",INDEX('ESTUDIOS'!$I$2:$I$455,MATCH($A307,'ESTUDIOS'!$A$2:$A$455,0)))</f>
        <v/>
      </c>
    </row>
    <row r="308" ht="47" customHeight="1">
      <c r="A308" s="4" t="inlineStr">
        <is>
          <t>new_257</t>
        </is>
      </c>
      <c r="B308" s="4" t="inlineStr">
        <is>
          <t>Update</t>
        </is>
      </c>
      <c r="C308" s="4" t="inlineStr">
        <is>
          <t>The Use of the Social Robot LOVOT for Children with Autism Spectrum Disorder: A Feasibility Study</t>
        </is>
      </c>
      <c r="D308" s="4" t="inlineStr">
        <is>
          <t>Monitoring/intervention</t>
        </is>
      </c>
      <c r="E308" s="4" t="inlineStr">
        <is>
          <t>Not specified</t>
        </is>
      </c>
      <c r="F308" s="4" t="inlineStr">
        <is>
          <t>Digital / robot interaction</t>
        </is>
      </c>
      <c r="G308" s="4" t="inlineStr">
        <is>
          <t>LOVOT social robot</t>
        </is>
      </c>
      <c r="H308" s="4" t="inlineStr">
        <is>
          <t>Robot-assisted pedagogical intervention</t>
        </is>
      </c>
      <c r="I308" s="4" t="inlineStr">
        <is>
          <t>Monitoring/intervention</t>
        </is>
      </c>
      <c r="J308" s="4" t="inlineStr">
        <is>
          <t>Not specified</t>
        </is>
      </c>
      <c r="K308" s="4" t="inlineStr">
        <is>
          <t>Social-robot interaction</t>
        </is>
      </c>
      <c r="L308" s="4" t="inlineStr">
        <is>
          <t>Datos de interacción; no inferir NLP</t>
        </is>
      </c>
      <c r="M308" s="4" t="inlineStr">
        <is>
          <t>Inherited scoped adjudication; see source level and lot caveats</t>
        </is>
      </c>
      <c r="N308" s="4" t="n">
        <v>1</v>
      </c>
      <c r="O308" s="12" t="n"/>
      <c r="P308" s="41" t="n"/>
      <c r="Q308" s="4">
        <f>IF(COUNTIFS('ESTUDIOS'!$A$2:$A$455,$A308,'ESTUDIOS'!$I$2:$I$455,"")&gt;0,"",INDEX('ESTUDIOS'!$I$2:$I$455,MATCH($A308,'ESTUDIOS'!$A$2:$A$455,0)))</f>
        <v/>
      </c>
    </row>
    <row r="309" ht="34" customHeight="1">
      <c r="A309" s="4" t="inlineStr">
        <is>
          <t>new_259</t>
        </is>
      </c>
      <c r="B309" s="4" t="inlineStr">
        <is>
          <t>Update</t>
        </is>
      </c>
      <c r="C309" s="4" t="inlineStr">
        <is>
          <t>Data-Driven and Explainable Discovery of Autism Spectrum Disorder Patterns Across Age Groups</t>
        </is>
      </c>
      <c r="D309" s="4" t="inlineStr">
        <is>
          <t>Screening</t>
        </is>
      </c>
      <c r="E309" s="4" t="inlineStr">
        <is>
          <t>Machine Learning</t>
        </is>
      </c>
      <c r="F309" s="4" t="inlineStr">
        <is>
          <t>Structured / tabular data</t>
        </is>
      </c>
      <c r="G309" s="4" t="inlineStr">
        <is>
          <t>C4.5 decision tree</t>
        </is>
      </c>
      <c r="H309" s="4" t="inlineStr">
        <is>
          <t>Age-specific screening classification</t>
        </is>
      </c>
      <c r="I309" s="4" t="inlineStr">
        <is>
          <t>Screening</t>
        </is>
      </c>
      <c r="J309" s="4" t="inlineStr">
        <is>
          <t>Machine Learning</t>
        </is>
      </c>
      <c r="K309" s="4" t="inlineStr">
        <is>
          <t>Structured screening questionnaire</t>
        </is>
      </c>
      <c r="L309" s="4" t="inlineStr">
        <is>
          <t>Variables estructuradas/tabulares; no inferir NLP</t>
        </is>
      </c>
      <c r="M309" s="4" t="inlineStr">
        <is>
          <t>Inherited scoped adjudication; see source level and lot caveats</t>
        </is>
      </c>
      <c r="N309" s="4" t="n">
        <v>0</v>
      </c>
      <c r="O309" s="12" t="n"/>
      <c r="P309" s="41" t="n"/>
      <c r="Q309" s="4">
        <f>IF(COUNTIFS('ESTUDIOS'!$A$2:$A$455,$A309,'ESTUDIOS'!$I$2:$I$455,"")&gt;0,"",INDEX('ESTUDIOS'!$I$2:$I$455,MATCH($A309,'ESTUDIOS'!$A$2:$A$455,0)))</f>
        <v/>
      </c>
    </row>
    <row r="310" ht="47" customHeight="1">
      <c r="A310" s="4" t="inlineStr">
        <is>
          <t>new_261</t>
        </is>
      </c>
      <c r="B310" s="4" t="inlineStr">
        <is>
          <t>Update</t>
        </is>
      </c>
      <c r="C310" s="4" t="inlineStr">
        <is>
          <t>Artificial Intelligence Networks Combining Histopathology and Machine Learning Can Extract Axon Pathology in Autism Spectrum Disorder</t>
        </is>
      </c>
      <c r="D310" s="4" t="inlineStr">
        <is>
          <t>Not specified</t>
        </is>
      </c>
      <c r="E310" s="4" t="inlineStr">
        <is>
          <t>Deep Learning</t>
        </is>
      </c>
      <c r="F310" s="4" t="inlineStr">
        <is>
          <t>Other images</t>
        </is>
      </c>
      <c r="G310" s="4" t="inlineStr">
        <is>
          <t>Convolutional/deep neural network</t>
        </is>
      </c>
      <c r="H310" s="4" t="inlineStr">
        <is>
          <t>Pathology classification</t>
        </is>
      </c>
      <c r="I310" s="4" t="inlineStr">
        <is>
          <t>Not specified</t>
        </is>
      </c>
      <c r="J310" s="4" t="inlineStr">
        <is>
          <t>Deep Learning</t>
        </is>
      </c>
      <c r="K310" s="4" t="inlineStr">
        <is>
          <t>Histopathology images</t>
        </is>
      </c>
      <c r="L310" s="4" t="inlineStr">
        <is>
          <t>Imagen histopatológica, no transcriptómica</t>
        </is>
      </c>
      <c r="M310" s="4" t="inlineStr">
        <is>
          <t>Inherited scoped adjudication; see source level and lot caveats</t>
        </is>
      </c>
      <c r="N310" s="4" t="n">
        <v>1</v>
      </c>
      <c r="O310" s="12" t="n"/>
      <c r="P310" s="41" t="n"/>
      <c r="Q310" s="4">
        <f>IF(COUNTIFS('ESTUDIOS'!$A$2:$A$455,$A310,'ESTUDIOS'!$I$2:$I$455,"")&gt;0,"",INDEX('ESTUDIOS'!$I$2:$I$455,MATCH($A310,'ESTUDIOS'!$A$2:$A$455,0)))</f>
        <v/>
      </c>
    </row>
    <row r="311" ht="47" customHeight="1">
      <c r="A311" s="4" t="inlineStr">
        <is>
          <t>new_262</t>
        </is>
      </c>
      <c r="B311" s="4" t="inlineStr">
        <is>
          <t>Update</t>
        </is>
      </c>
      <c r="C311" s="4" t="inlineStr">
        <is>
          <t>Profiling Chinese children with symptoms of SpLD, ADHD, or ASD: a transdiagnostic and biopsychosocial study</t>
        </is>
      </c>
      <c r="D311" s="4" t="inlineStr">
        <is>
          <t>Not specified</t>
        </is>
      </c>
      <c r="E311" s="4" t="inlineStr">
        <is>
          <t>Machine Learning</t>
        </is>
      </c>
      <c r="F311" s="4" t="inlineStr">
        <is>
          <t>Structured / tabular data</t>
        </is>
      </c>
      <c r="G311" s="4" t="inlineStr">
        <is>
          <t>k-means clustering</t>
        </is>
      </c>
      <c r="H311" s="4" t="inlineStr">
        <is>
          <t>Transdiagnostic subtyping</t>
        </is>
      </c>
      <c r="I311" s="4" t="inlineStr">
        <is>
          <t>Not specified</t>
        </is>
      </c>
      <c r="J311" s="4" t="inlineStr">
        <is>
          <t>Machine Learning</t>
        </is>
      </c>
      <c r="K311" s="4" t="inlineStr">
        <is>
          <t>Structured psychosocial data</t>
        </is>
      </c>
      <c r="L311" s="4" t="inlineStr">
        <is>
          <t>Variables estructuradas/tabulares; no inferir NLP</t>
        </is>
      </c>
      <c r="M311" s="4" t="inlineStr">
        <is>
          <t>Inherited scoped adjudication; see source level and lot caveats</t>
        </is>
      </c>
      <c r="N311" s="4" t="n">
        <v>1</v>
      </c>
      <c r="O311" s="12" t="n"/>
      <c r="P311" s="41" t="n"/>
      <c r="Q311" s="4">
        <f>IF(COUNTIFS('ESTUDIOS'!$A$2:$A$455,$A311,'ESTUDIOS'!$I$2:$I$455,"")&gt;0,"",INDEX('ESTUDIOS'!$I$2:$I$455,MATCH($A311,'ESTUDIOS'!$A$2:$A$455,0)))</f>
        <v/>
      </c>
    </row>
    <row r="312" ht="47" customHeight="1">
      <c r="A312" s="4" t="inlineStr">
        <is>
          <t>new_263</t>
        </is>
      </c>
      <c r="B312" s="4" t="inlineStr">
        <is>
          <t>Update</t>
        </is>
      </c>
      <c r="C312" s="4" t="inlineStr">
        <is>
          <t>Enhancing Psychological Assessments with Open-Ended Questionnaires and Large Language Models: An ASD Case Study</t>
        </is>
      </c>
      <c r="D312" s="4" t="inlineStr">
        <is>
          <t>Diagnosis</t>
        </is>
      </c>
      <c r="E312" s="4" t="inlineStr">
        <is>
          <t>Deep Learning</t>
        </is>
      </c>
      <c r="F312" s="4" t="inlineStr">
        <is>
          <t>Text / language</t>
        </is>
      </c>
      <c r="G312" s="4" t="inlineStr">
        <is>
          <t>Fine-tuned LLMs, embeddings and GPT-4o</t>
        </is>
      </c>
      <c r="H312" s="4" t="inlineStr">
        <is>
          <t>Classification from parental reports</t>
        </is>
      </c>
      <c r="I312" s="4" t="inlineStr">
        <is>
          <t>Diagnosis</t>
        </is>
      </c>
      <c r="J312" s="4" t="inlineStr">
        <is>
          <t>Deep Learning</t>
        </is>
      </c>
      <c r="K312" s="4" t="inlineStr">
        <is>
          <t>Text / open-ended questionnaires</t>
        </is>
      </c>
      <c r="L312" s="4" t="inlineStr">
        <is>
          <t>Texto o lenguaje explícito; método NLP se registra aparte</t>
        </is>
      </c>
      <c r="M312" s="4" t="inlineStr">
        <is>
          <t>Inherited scoped adjudication; see source level and lot caveats</t>
        </is>
      </c>
      <c r="N312" s="4" t="n">
        <v>0</v>
      </c>
      <c r="O312" s="12" t="n"/>
      <c r="P312" s="41" t="n"/>
      <c r="Q312" s="4">
        <f>IF(COUNTIFS('ESTUDIOS'!$A$2:$A$455,$A312,'ESTUDIOS'!$I$2:$I$455,"")&gt;0,"",INDEX('ESTUDIOS'!$I$2:$I$455,MATCH($A312,'ESTUDIOS'!$A$2:$A$455,0)))</f>
        <v/>
      </c>
    </row>
    <row r="313" ht="47" customHeight="1">
      <c r="A313" s="4" t="inlineStr">
        <is>
          <t>new_268</t>
        </is>
      </c>
      <c r="B313" s="4" t="inlineStr">
        <is>
          <t>Update</t>
        </is>
      </c>
      <c r="C313" s="4" t="inlineStr">
        <is>
          <t>Compact subsets of autism screening items predict clinical diagnoses with a machine learning analysis of the QCHAT-10</t>
        </is>
      </c>
      <c r="D313" s="4" t="inlineStr">
        <is>
          <t>Screening</t>
        </is>
      </c>
      <c r="E313" s="4" t="inlineStr">
        <is>
          <t>Machine Learning</t>
        </is>
      </c>
      <c r="F313" s="4" t="inlineStr">
        <is>
          <t>Structured / tabular data</t>
        </is>
      </c>
      <c r="G313" s="4" t="inlineStr">
        <is>
          <t>XGBoost/RF/decision tree + RFE</t>
        </is>
      </c>
      <c r="H313" s="4" t="inlineStr">
        <is>
          <t>Compact-item screening prediction</t>
        </is>
      </c>
      <c r="I313" s="4" t="inlineStr">
        <is>
          <t>Screening</t>
        </is>
      </c>
      <c r="J313" s="4" t="inlineStr">
        <is>
          <t>Machine Learning</t>
        </is>
      </c>
      <c r="K313" s="4" t="inlineStr">
        <is>
          <t>Structured screening questionnaire</t>
        </is>
      </c>
      <c r="L313" s="4" t="inlineStr">
        <is>
          <t>Variables estructuradas/tabulares; no inferir NLP</t>
        </is>
      </c>
      <c r="M313" s="4" t="inlineStr">
        <is>
          <t>Inherited scoped adjudication; see source level and lot caveats</t>
        </is>
      </c>
      <c r="N313" s="4" t="n">
        <v>0</v>
      </c>
      <c r="O313" s="12" t="n"/>
      <c r="P313" s="41" t="n"/>
      <c r="Q313" s="4">
        <f>IF(COUNTIFS('ESTUDIOS'!$A$2:$A$455,$A313,'ESTUDIOS'!$I$2:$I$455,"")&gt;0,"",INDEX('ESTUDIOS'!$I$2:$I$455,MATCH($A313,'ESTUDIOS'!$A$2:$A$455,0)))</f>
        <v/>
      </c>
    </row>
    <row r="314" ht="47" customHeight="1">
      <c r="A314" s="4" t="inlineStr">
        <is>
          <t>new_288</t>
        </is>
      </c>
      <c r="B314" s="4" t="inlineStr">
        <is>
          <t>Update</t>
        </is>
      </c>
      <c r="C314" s="4" t="inlineStr">
        <is>
          <t>Nonparametric motion control in functional connectivity studies in children with autism spectrum disorder</t>
        </is>
      </c>
      <c r="D314" s="4" t="inlineStr">
        <is>
          <t>Not specified</t>
        </is>
      </c>
      <c r="E314" s="4" t="inlineStr">
        <is>
          <t>Machine Learning</t>
        </is>
      </c>
      <c r="F314" s="4" t="inlineStr">
        <is>
          <t>Neuroimaging</t>
        </is>
      </c>
      <c r="G314" s="4" t="inlineStr">
        <is>
          <t>Super Learner / highly adaptive lasso</t>
        </is>
      </c>
      <c r="H314" s="4" t="inlineStr">
        <is>
          <t>Motion-control estimation</t>
        </is>
      </c>
      <c r="I314" s="4" t="inlineStr">
        <is>
          <t>Not specified</t>
        </is>
      </c>
      <c r="J314" s="4" t="inlineStr">
        <is>
          <t>Machine Learning</t>
        </is>
      </c>
      <c r="K314" s="4" t="inlineStr">
        <is>
          <t>Neuroimaging / functional connectivity</t>
        </is>
      </c>
      <c r="L314" s="4" t="inlineStr">
        <is>
          <t>Fuente de neuroimagen explícita</t>
        </is>
      </c>
      <c r="M314" s="4" t="inlineStr">
        <is>
          <t>Inherited scoped adjudication; see source level and lot caveats</t>
        </is>
      </c>
      <c r="N314" s="4" t="n">
        <v>1</v>
      </c>
      <c r="O314" s="12" t="n"/>
      <c r="P314" s="41" t="n"/>
      <c r="Q314" s="4">
        <f>IF(COUNTIFS('ESTUDIOS'!$A$2:$A$455,$A314,'ESTUDIOS'!$I$2:$I$455,"")&gt;0,"",INDEX('ESTUDIOS'!$I$2:$I$455,MATCH($A314,'ESTUDIOS'!$A$2:$A$455,0)))</f>
        <v/>
      </c>
    </row>
    <row r="315" ht="47" customHeight="1">
      <c r="A315" s="4" t="inlineStr">
        <is>
          <t>new_305</t>
        </is>
      </c>
      <c r="B315" s="4" t="inlineStr">
        <is>
          <t>Update</t>
        </is>
      </c>
      <c r="C315" s="4" t="inlineStr">
        <is>
          <t>Integrating Multimodal Neuroimaging and Physical-Health Markers for Autism Spectrum Disorder in the ABCD Study</t>
        </is>
      </c>
      <c r="D315" s="4" t="inlineStr">
        <is>
          <t>Diagnosis</t>
        </is>
      </c>
      <c r="E315" s="4" t="inlineStr">
        <is>
          <t>Machine Learning</t>
        </is>
      </c>
      <c r="F315" s="4" t="inlineStr">
        <is>
          <t>Multiple modalities (as coded)</t>
        </is>
      </c>
      <c r="G315" s="4" t="inlineStr">
        <is>
          <t>Multimodal ML classifiers</t>
        </is>
      </c>
      <c r="H315" s="4" t="inlineStr">
        <is>
          <t>Classification (ASD vs non-ASD)</t>
        </is>
      </c>
      <c r="I315" s="4" t="inlineStr">
        <is>
          <t>Diagnosis</t>
        </is>
      </c>
      <c r="J315" s="4" t="inlineStr">
        <is>
          <t>Machine Learning</t>
        </is>
      </c>
      <c r="K315" s="4" t="inlineStr">
        <is>
          <t>Multimodal</t>
        </is>
      </c>
      <c r="L315" s="4" t="inlineStr">
        <is>
          <t>Modalidades múltiples declaradas; no prueba de integración/fusión</t>
        </is>
      </c>
      <c r="M315" s="4" t="inlineStr">
        <is>
          <t>Inherited scoped adjudication; see source level and lot caveats</t>
        </is>
      </c>
      <c r="N315" s="4" t="n">
        <v>0</v>
      </c>
      <c r="O315" s="12" t="n"/>
      <c r="P315" s="41" t="n"/>
      <c r="Q315" s="4">
        <f>IF(COUNTIFS('ESTUDIOS'!$A$2:$A$455,$A315,'ESTUDIOS'!$I$2:$I$455,"")&gt;0,"",INDEX('ESTUDIOS'!$I$2:$I$455,MATCH($A315,'ESTUDIOS'!$A$2:$A$455,0)))</f>
        <v/>
      </c>
    </row>
    <row r="316" ht="34" customHeight="1">
      <c r="A316" s="4" t="inlineStr">
        <is>
          <t>new_307</t>
        </is>
      </c>
      <c r="B316" s="4" t="inlineStr">
        <is>
          <t>Update</t>
        </is>
      </c>
      <c r="C316" s="4" t="inlineStr">
        <is>
          <t>Spatial structure based deep feature fusion network for autism spectrum disorder classification</t>
        </is>
      </c>
      <c r="D316" s="4" t="inlineStr">
        <is>
          <t>Diagnosis</t>
        </is>
      </c>
      <c r="E316" s="4" t="inlineStr">
        <is>
          <t>Deep Learning</t>
        </is>
      </c>
      <c r="F316" s="4" t="inlineStr">
        <is>
          <t>Physiological signals</t>
        </is>
      </c>
      <c r="G316" s="4" t="inlineStr">
        <is>
          <t>SSFFN graph model + LSTM</t>
        </is>
      </c>
      <c r="H316" s="4" t="inlineStr">
        <is>
          <t>Classification (ASD vs control)</t>
        </is>
      </c>
      <c r="I316" s="4" t="inlineStr">
        <is>
          <t>Diagnosis</t>
        </is>
      </c>
      <c r="J316" s="4" t="inlineStr">
        <is>
          <t>Deep Learning</t>
        </is>
      </c>
      <c r="K316" s="4" t="inlineStr">
        <is>
          <t>Physiological signals / EEG</t>
        </is>
      </c>
      <c r="L316" s="4" t="inlineStr">
        <is>
          <t>Medición fisiológica explícita</t>
        </is>
      </c>
      <c r="M316" s="4" t="inlineStr">
        <is>
          <t>Inherited scoped adjudication; see source level and lot caveats</t>
        </is>
      </c>
      <c r="N316" s="4" t="n">
        <v>0</v>
      </c>
      <c r="O316" s="12" t="n"/>
      <c r="P316" s="41" t="n"/>
      <c r="Q316" s="4">
        <f>IF(COUNTIFS('ESTUDIOS'!$A$2:$A$455,$A316,'ESTUDIOS'!$I$2:$I$455,"")&gt;0,"",INDEX('ESTUDIOS'!$I$2:$I$455,MATCH($A316,'ESTUDIOS'!$A$2:$A$455,0)))</f>
        <v/>
      </c>
    </row>
    <row r="317" ht="47" customHeight="1">
      <c r="A317" s="4" t="inlineStr">
        <is>
          <t>new_313</t>
        </is>
      </c>
      <c r="B317" s="4" t="inlineStr">
        <is>
          <t>Update</t>
        </is>
      </c>
      <c r="C317" s="4" t="inlineStr">
        <is>
          <t>Metaheuristic hyperparameter optimization of deep neural networks for demographic-aware autism spectrum disorder classification.</t>
        </is>
      </c>
      <c r="D317" s="4" t="inlineStr">
        <is>
          <t>Diagnosis</t>
        </is>
      </c>
      <c r="E317" s="4" t="inlineStr">
        <is>
          <t>Deep Learning</t>
        </is>
      </c>
      <c r="F317" s="4" t="inlineStr">
        <is>
          <t>Neuroimaging</t>
        </is>
      </c>
      <c r="G317" s="4" t="inlineStr">
        <is>
          <t>CNN optimized with OptABC</t>
        </is>
      </c>
      <c r="H317" s="4" t="inlineStr">
        <is>
          <t>Demographic-aware classification</t>
        </is>
      </c>
      <c r="I317" s="4" t="inlineStr">
        <is>
          <t>Diagnosis</t>
        </is>
      </c>
      <c r="J317" s="4" t="inlineStr">
        <is>
          <t>Deep Learning</t>
        </is>
      </c>
      <c r="K317" s="4" t="inlineStr">
        <is>
          <t>Neuroimaging / structural MRI</t>
        </is>
      </c>
      <c r="L317" s="4" t="inlineStr">
        <is>
          <t>Fuente de neuroimagen explícita</t>
        </is>
      </c>
      <c r="M317" s="4" t="inlineStr">
        <is>
          <t>Inherited scoped adjudication; see source level and lot caveats</t>
        </is>
      </c>
      <c r="N317" s="4" t="n">
        <v>0</v>
      </c>
      <c r="O317" s="12" t="n"/>
      <c r="P317" s="41" t="n"/>
      <c r="Q317" s="4">
        <f>IF(COUNTIFS('ESTUDIOS'!$A$2:$A$455,$A317,'ESTUDIOS'!$I$2:$I$455,"")&gt;0,"",INDEX('ESTUDIOS'!$I$2:$I$455,MATCH($A317,'ESTUDIOS'!$A$2:$A$455,0)))</f>
        <v/>
      </c>
    </row>
    <row r="318" ht="34" customHeight="1">
      <c r="A318" s="4" t="inlineStr">
        <is>
          <t>new_321</t>
        </is>
      </c>
      <c r="B318" s="4" t="inlineStr">
        <is>
          <t>Update</t>
        </is>
      </c>
      <c r="C318" s="4" t="inlineStr">
        <is>
          <t>Bridging the gap: explainable ai for autism diagnosis and parental support with TabPFNMix and SHAP</t>
        </is>
      </c>
      <c r="D318" s="4" t="inlineStr">
        <is>
          <t>Screening</t>
        </is>
      </c>
      <c r="E318" s="4" t="inlineStr">
        <is>
          <t>Hybrid</t>
        </is>
      </c>
      <c r="F318" s="4" t="inlineStr">
        <is>
          <t>Structured / tabular data</t>
        </is>
      </c>
      <c r="G318" s="4" t="inlineStr">
        <is>
          <t>TabPFNMix + SHAP</t>
        </is>
      </c>
      <c r="H318" s="4" t="inlineStr">
        <is>
          <t>Classification and explanation</t>
        </is>
      </c>
      <c r="I318" s="4" t="inlineStr">
        <is>
          <t>Screening</t>
        </is>
      </c>
      <c r="J318" s="4" t="inlineStr">
        <is>
          <t>Hybrid</t>
        </is>
      </c>
      <c r="K318" s="4" t="inlineStr">
        <is>
          <t>Structured screening questionnaire</t>
        </is>
      </c>
      <c r="L318" s="4" t="inlineStr">
        <is>
          <t>Variables estructuradas/tabulares; no inferir NLP</t>
        </is>
      </c>
      <c r="M318" s="4" t="inlineStr">
        <is>
          <t>Inherited scoped adjudication; see source level and lot caveats</t>
        </is>
      </c>
      <c r="N318" s="4" t="n">
        <v>0</v>
      </c>
      <c r="O318" s="12" t="n"/>
      <c r="P318" s="41" t="n"/>
      <c r="Q318" s="4">
        <f>IF(COUNTIFS('ESTUDIOS'!$A$2:$A$455,$A318,'ESTUDIOS'!$I$2:$I$455,"")&gt;0,"",INDEX('ESTUDIOS'!$I$2:$I$455,MATCH($A318,'ESTUDIOS'!$A$2:$A$455,0)))</f>
        <v/>
      </c>
    </row>
    <row r="319" ht="47" customHeight="1">
      <c r="A319" s="4" t="inlineStr">
        <is>
          <t>new_331</t>
        </is>
      </c>
      <c r="B319" s="4" t="inlineStr">
        <is>
          <t>Update</t>
        </is>
      </c>
      <c r="C319" s="4" t="inlineStr">
        <is>
          <t>Hybrid deep learning and feature selection approach for autism detection from rs-fMRI data</t>
        </is>
      </c>
      <c r="D319" s="4" t="inlineStr">
        <is>
          <t>Diagnosis</t>
        </is>
      </c>
      <c r="E319" s="4" t="inlineStr">
        <is>
          <t>Deep Learning</t>
        </is>
      </c>
      <c r="F319" s="4" t="inlineStr">
        <is>
          <t>Neuroimaging</t>
        </is>
      </c>
      <c r="G319" s="4" t="inlineStr">
        <is>
          <t>Hybrid deep learning + feature selection</t>
        </is>
      </c>
      <c r="H319" s="4" t="inlineStr">
        <is>
          <t>Classification (ASD vs control)</t>
        </is>
      </c>
      <c r="I319" s="4" t="inlineStr">
        <is>
          <t>Diagnosis</t>
        </is>
      </c>
      <c r="J319" s="4" t="inlineStr">
        <is>
          <t>Deep Learning</t>
        </is>
      </c>
      <c r="K319" s="4" t="inlineStr">
        <is>
          <t>Neuroimaging / rs-fMRI</t>
        </is>
      </c>
      <c r="L319" s="4" t="inlineStr">
        <is>
          <t>Fuente de neuroimagen explícita</t>
        </is>
      </c>
      <c r="M319" s="4" t="inlineStr">
        <is>
          <t>Inherited scoped adjudication; see source level and lot caveats</t>
        </is>
      </c>
      <c r="N319" s="4" t="n">
        <v>0</v>
      </c>
      <c r="O319" s="12" t="n"/>
      <c r="P319" s="41" t="n"/>
      <c r="Q319" s="4">
        <f>IF(COUNTIFS('ESTUDIOS'!$A$2:$A$455,$A319,'ESTUDIOS'!$I$2:$I$455,"")&gt;0,"",INDEX('ESTUDIOS'!$I$2:$I$455,MATCH($A319,'ESTUDIOS'!$A$2:$A$455,0)))</f>
        <v/>
      </c>
    </row>
    <row r="320" ht="47" customHeight="1">
      <c r="A320" s="4" t="inlineStr">
        <is>
          <t>new_335</t>
        </is>
      </c>
      <c r="B320" s="4" t="inlineStr">
        <is>
          <t>Update</t>
        </is>
      </c>
      <c r="C320" s="4" t="inlineStr">
        <is>
          <t>Diagnostic Classification of Autism Spectrum Disorder in the Frequency Domain Using Resting-State fMRI</t>
        </is>
      </c>
      <c r="D320" s="4" t="inlineStr">
        <is>
          <t>Diagnosis</t>
        </is>
      </c>
      <c r="E320" s="4" t="inlineStr">
        <is>
          <t>Machine Learning</t>
        </is>
      </c>
      <c r="F320" s="4" t="inlineStr">
        <is>
          <t>Neuroimaging</t>
        </is>
      </c>
      <c r="G320" s="4" t="inlineStr">
        <is>
          <t>Frequency-domain connectivity classifiers</t>
        </is>
      </c>
      <c r="H320" s="4" t="inlineStr">
        <is>
          <t>Classification (ASD vs control)</t>
        </is>
      </c>
      <c r="I320" s="4" t="inlineStr">
        <is>
          <t>Diagnosis</t>
        </is>
      </c>
      <c r="J320" s="4" t="inlineStr">
        <is>
          <t>Machine Learning</t>
        </is>
      </c>
      <c r="K320" s="4" t="inlineStr">
        <is>
          <t>Neuroimaging / rs-fMRI</t>
        </is>
      </c>
      <c r="L320" s="4" t="inlineStr">
        <is>
          <t>Fuente de neuroimagen explícita</t>
        </is>
      </c>
      <c r="M320" s="4" t="inlineStr">
        <is>
          <t>Inherited scoped adjudication; see source level and lot caveats</t>
        </is>
      </c>
      <c r="N320" s="4" t="n">
        <v>0</v>
      </c>
      <c r="O320" s="12" t="n"/>
      <c r="P320" s="41" t="n"/>
      <c r="Q320" s="4">
        <f>IF(COUNTIFS('ESTUDIOS'!$A$2:$A$455,$A320,'ESTUDIOS'!$I$2:$I$455,"")&gt;0,"",INDEX('ESTUDIOS'!$I$2:$I$455,MATCH($A320,'ESTUDIOS'!$A$2:$A$455,0)))</f>
        <v/>
      </c>
    </row>
    <row r="321" ht="47" customHeight="1">
      <c r="A321" s="4" t="inlineStr">
        <is>
          <t>new_352</t>
        </is>
      </c>
      <c r="B321" s="4" t="inlineStr">
        <is>
          <t>Update</t>
        </is>
      </c>
      <c r="C321" s="4" t="inlineStr">
        <is>
          <t>Efficient Kulczynski EEG feature selection for autism spectrum disorder diagnosis over fog and cloud computing</t>
        </is>
      </c>
      <c r="D321" s="4" t="inlineStr">
        <is>
          <t>Diagnosis</t>
        </is>
      </c>
      <c r="E321" s="4" t="inlineStr">
        <is>
          <t>Machine Learning</t>
        </is>
      </c>
      <c r="F321" s="4" t="inlineStr">
        <is>
          <t>Physiological signals</t>
        </is>
      </c>
      <c r="G321" s="4" t="inlineStr">
        <is>
          <t>Kulczynski + KNN/XGBoost/RF/SVM/DT</t>
        </is>
      </c>
      <c r="H321" s="4" t="inlineStr">
        <is>
          <t>Classification (ASD vs control)</t>
        </is>
      </c>
      <c r="I321" s="4" t="inlineStr">
        <is>
          <t>Diagnosis</t>
        </is>
      </c>
      <c r="J321" s="4" t="inlineStr">
        <is>
          <t>Machine Learning</t>
        </is>
      </c>
      <c r="K321" s="4" t="inlineStr">
        <is>
          <t>Physiological signals / EEG</t>
        </is>
      </c>
      <c r="L321" s="4" t="inlineStr">
        <is>
          <t>Medición fisiológica explícita</t>
        </is>
      </c>
      <c r="M321" s="4" t="inlineStr">
        <is>
          <t>Inherited scoped adjudication; see source level and lot caveats</t>
        </is>
      </c>
      <c r="N321" s="4" t="n">
        <v>0</v>
      </c>
      <c r="O321" s="12" t="n"/>
      <c r="P321" s="41" t="n"/>
      <c r="Q321" s="4">
        <f>IF(COUNTIFS('ESTUDIOS'!$A$2:$A$455,$A321,'ESTUDIOS'!$I$2:$I$455,"")&gt;0,"",INDEX('ESTUDIOS'!$I$2:$I$455,MATCH($A321,'ESTUDIOS'!$A$2:$A$455,0)))</f>
        <v/>
      </c>
    </row>
    <row r="322" ht="47" customHeight="1">
      <c r="A322" s="4" t="inlineStr">
        <is>
          <t>new_359</t>
        </is>
      </c>
      <c r="B322" s="4" t="inlineStr">
        <is>
          <t>Update</t>
        </is>
      </c>
      <c r="C322" s="4" t="inlineStr">
        <is>
          <t>Privacy preserving federated framework for autism spectrum disorder screening with ensemble stacking and deep learning approaches</t>
        </is>
      </c>
      <c r="D322" s="4" t="inlineStr">
        <is>
          <t>Screening</t>
        </is>
      </c>
      <c r="E322" s="4" t="inlineStr">
        <is>
          <t>Hybrid</t>
        </is>
      </c>
      <c r="F322" s="4" t="inlineStr">
        <is>
          <t>Structured / tabular data</t>
        </is>
      </c>
      <c r="G322" s="4" t="inlineStr">
        <is>
          <t>Federated stacking + federated deep network</t>
        </is>
      </c>
      <c r="H322" s="4" t="inlineStr">
        <is>
          <t>Screening classification</t>
        </is>
      </c>
      <c r="I322" s="4" t="inlineStr">
        <is>
          <t>Screening</t>
        </is>
      </c>
      <c r="J322" s="4" t="inlineStr">
        <is>
          <t>Hybrid</t>
        </is>
      </c>
      <c r="K322" s="4" t="inlineStr">
        <is>
          <t>Structured screening data</t>
        </is>
      </c>
      <c r="L322" s="4" t="inlineStr">
        <is>
          <t>Variables estructuradas/tabulares; no inferir NLP</t>
        </is>
      </c>
      <c r="M322" s="4" t="inlineStr">
        <is>
          <t>Inherited scoped adjudication; see source level and lot caveats</t>
        </is>
      </c>
      <c r="N322" s="4" t="n">
        <v>0</v>
      </c>
      <c r="O322" s="12" t="n"/>
      <c r="P322" s="41" t="n"/>
      <c r="Q322" s="4">
        <f>IF(COUNTIFS('ESTUDIOS'!$A$2:$A$455,$A322,'ESTUDIOS'!$I$2:$I$455,"")&gt;0,"",INDEX('ESTUDIOS'!$I$2:$I$455,MATCH($A322,'ESTUDIOS'!$A$2:$A$455,0)))</f>
        <v/>
      </c>
    </row>
    <row r="323" ht="47" customHeight="1">
      <c r="A323" s="4" t="inlineStr">
        <is>
          <t>new_372</t>
        </is>
      </c>
      <c r="B323" s="4" t="inlineStr">
        <is>
          <t>Update</t>
        </is>
      </c>
      <c r="C323" s="4" t="inlineStr">
        <is>
          <t>Machine learning of clinical phenotypes facilitates autism screening and identifies novel subgroups with distinct transcriptomic profiles</t>
        </is>
      </c>
      <c r="D323" s="4" t="inlineStr">
        <is>
          <t>Screening</t>
        </is>
      </c>
      <c r="E323" s="4" t="inlineStr">
        <is>
          <t>Hybrid</t>
        </is>
      </c>
      <c r="F323" s="4" t="inlineStr">
        <is>
          <t>Multiple modalities (as coded)</t>
        </is>
      </c>
      <c r="G323" s="4" t="inlineStr">
        <is>
          <t>Deep classifier + clinical/transcriptomic clustering</t>
        </is>
      </c>
      <c r="H323" s="4" t="inlineStr">
        <is>
          <t>Screening and subtyping</t>
        </is>
      </c>
      <c r="I323" s="4" t="inlineStr">
        <is>
          <t>Screening</t>
        </is>
      </c>
      <c r="J323" s="4" t="inlineStr">
        <is>
          <t>Hybrid</t>
        </is>
      </c>
      <c r="K323" s="4" t="inlineStr">
        <is>
          <t>Multimodal</t>
        </is>
      </c>
      <c r="L323" s="4" t="inlineStr">
        <is>
          <t>Modalidades múltiples declaradas; no prueba de integración/fusión</t>
        </is>
      </c>
      <c r="M323" s="4" t="inlineStr">
        <is>
          <t>Inherited scoped adjudication; see source level and lot caveats</t>
        </is>
      </c>
      <c r="N323" s="4" t="n">
        <v>0</v>
      </c>
      <c r="O323" s="12" t="n"/>
      <c r="P323" s="41" t="n"/>
      <c r="Q323" s="4">
        <f>IF(COUNTIFS('ESTUDIOS'!$A$2:$A$455,$A323,'ESTUDIOS'!$I$2:$I$455,"")&gt;0,"",INDEX('ESTUDIOS'!$I$2:$I$455,MATCH($A323,'ESTUDIOS'!$A$2:$A$455,0)))</f>
        <v/>
      </c>
    </row>
    <row r="324" ht="47" customHeight="1">
      <c r="A324" s="4" t="inlineStr">
        <is>
          <t>new_378</t>
        </is>
      </c>
      <c r="B324" s="4" t="inlineStr">
        <is>
          <t>Update</t>
        </is>
      </c>
      <c r="C324" s="4" t="inlineStr">
        <is>
          <t>Integrating Network Analysis and Machine Learning Identifies Key Autism Spectrum Disorder Genes Linked to Immune Dysregulation and Therapeutic Targets</t>
        </is>
      </c>
      <c r="D324" s="4" t="inlineStr">
        <is>
          <t>Not specified</t>
        </is>
      </c>
      <c r="E324" s="4" t="inlineStr">
        <is>
          <t>Machine Learning</t>
        </is>
      </c>
      <c r="F324" s="4" t="inlineStr">
        <is>
          <t>Biological/omics</t>
        </is>
      </c>
      <c r="G324" s="4" t="inlineStr">
        <is>
          <t>Random forest + network analysis</t>
        </is>
      </c>
      <c r="H324" s="4" t="inlineStr">
        <is>
          <t>Biomarker and target discovery</t>
        </is>
      </c>
      <c r="I324" s="4" t="inlineStr">
        <is>
          <t>Not specified</t>
        </is>
      </c>
      <c r="J324" s="4" t="inlineStr">
        <is>
          <t>Machine Learning</t>
        </is>
      </c>
      <c r="K324" s="4" t="inlineStr">
        <is>
          <t>Biological/omics / transcriptomics</t>
        </is>
      </c>
      <c r="L324" s="4" t="inlineStr">
        <is>
          <t>Fuente biológica explícita</t>
        </is>
      </c>
      <c r="M324" s="4" t="inlineStr">
        <is>
          <t>Inherited scoped adjudication; see source level and lot caveats</t>
        </is>
      </c>
      <c r="N324" s="4" t="n">
        <v>1</v>
      </c>
      <c r="O324" s="12" t="n"/>
      <c r="P324" s="41" t="n"/>
      <c r="Q324" s="4">
        <f>IF(COUNTIFS('ESTUDIOS'!$A$2:$A$455,$A324,'ESTUDIOS'!$I$2:$I$455,"")&gt;0,"",INDEX('ESTUDIOS'!$I$2:$I$455,MATCH($A324,'ESTUDIOS'!$A$2:$A$455,0)))</f>
        <v/>
      </c>
    </row>
    <row r="325" ht="47" customHeight="1">
      <c r="A325" s="4" t="inlineStr">
        <is>
          <t>new_384</t>
        </is>
      </c>
      <c r="B325" s="4" t="inlineStr">
        <is>
          <t>Update</t>
        </is>
      </c>
      <c r="C325" s="4" t="inlineStr">
        <is>
          <t>Air pollution and autism-like traits: Sensitive periods and joint effects of exposure to sources and constituents of fine particulate matter</t>
        </is>
      </c>
      <c r="D325" s="4" t="inlineStr">
        <is>
          <t>Prognosis</t>
        </is>
      </c>
      <c r="E325" s="4" t="inlineStr">
        <is>
          <t>Machine Learning</t>
        </is>
      </c>
      <c r="F325" s="4" t="inlineStr">
        <is>
          <t>Structured / tabular data</t>
        </is>
      </c>
      <c r="G325" s="4" t="inlineStr">
        <is>
          <t>Neural network/RF/gradient boosting</t>
        </is>
      </c>
      <c r="H325" s="4" t="inlineStr">
        <is>
          <t>Exposure estimation and ASD-trait risk</t>
        </is>
      </c>
      <c r="I325" s="4" t="inlineStr">
        <is>
          <t>Prognosis</t>
        </is>
      </c>
      <c r="J325" s="4" t="inlineStr">
        <is>
          <t>Machine Learning</t>
        </is>
      </c>
      <c r="K325" s="4" t="inlineStr">
        <is>
          <t>Environmental exposure + behavioral scale</t>
        </is>
      </c>
      <c r="L325" s="4" t="inlineStr">
        <is>
          <t>Variables estructuradas/tabulares; no inferir NLP</t>
        </is>
      </c>
      <c r="M325" s="4" t="inlineStr">
        <is>
          <t>Inherited scoped adjudication; see source level and lot caveats</t>
        </is>
      </c>
      <c r="N325" s="4" t="n">
        <v>0</v>
      </c>
      <c r="O325" s="12" t="n"/>
      <c r="P325" s="41" t="n"/>
      <c r="Q325" s="4">
        <f>IF(COUNTIFS('ESTUDIOS'!$A$2:$A$455,$A325,'ESTUDIOS'!$I$2:$I$455,"")&gt;0,"",INDEX('ESTUDIOS'!$I$2:$I$455,MATCH($A325,'ESTUDIOS'!$A$2:$A$455,0)))</f>
        <v/>
      </c>
    </row>
    <row r="326" ht="34" customHeight="1">
      <c r="A326" s="4" t="inlineStr">
        <is>
          <t>new_395</t>
        </is>
      </c>
      <c r="B326" s="4" t="inlineStr">
        <is>
          <t>Update</t>
        </is>
      </c>
      <c r="C326" s="4" t="inlineStr">
        <is>
          <t>Prematurity and genetic liability for autism spectrum disorder</t>
        </is>
      </c>
      <c r="D326" s="4" t="inlineStr">
        <is>
          <t>Prognosis</t>
        </is>
      </c>
      <c r="E326" s="4" t="inlineStr">
        <is>
          <t>Machine Learning</t>
        </is>
      </c>
      <c r="F326" s="4" t="inlineStr">
        <is>
          <t>Multiple modalities (as coded)</t>
        </is>
      </c>
      <c r="G326" s="4" t="inlineStr">
        <is>
          <t>XGBoost/random forest + SHAP</t>
        </is>
      </c>
      <c r="H326" s="4" t="inlineStr">
        <is>
          <t>Risk prediction in preterm children</t>
        </is>
      </c>
      <c r="I326" s="4" t="inlineStr">
        <is>
          <t>Prognosis</t>
        </is>
      </c>
      <c r="J326" s="4" t="inlineStr">
        <is>
          <t>Machine Learning</t>
        </is>
      </c>
      <c r="K326" s="4" t="inlineStr">
        <is>
          <t>Multimodal</t>
        </is>
      </c>
      <c r="L326" s="4" t="inlineStr">
        <is>
          <t>Modalidades múltiples declaradas; no prueba de integración/fusión</t>
        </is>
      </c>
      <c r="M326" s="4" t="inlineStr">
        <is>
          <t>Inherited scoped adjudication; see source level and lot caveats</t>
        </is>
      </c>
      <c r="N326" s="4" t="n">
        <v>0</v>
      </c>
      <c r="O326" s="12" t="n"/>
      <c r="P326" s="41" t="n"/>
      <c r="Q326" s="4">
        <f>IF(COUNTIFS('ESTUDIOS'!$A$2:$A$455,$A326,'ESTUDIOS'!$I$2:$I$455,"")&gt;0,"",INDEX('ESTUDIOS'!$I$2:$I$455,MATCH($A326,'ESTUDIOS'!$A$2:$A$455,0)))</f>
        <v/>
      </c>
    </row>
    <row r="327" ht="47" customHeight="1">
      <c r="A327" s="4" t="inlineStr">
        <is>
          <t>new_406</t>
        </is>
      </c>
      <c r="B327" s="4" t="inlineStr">
        <is>
          <t>Update</t>
        </is>
      </c>
      <c r="C327" s="4" t="inlineStr">
        <is>
          <t>NeuroCypher ASD: Machine Learning with Knowledge Graph-Based Representation for ASD Screening in Toddlers</t>
        </is>
      </c>
      <c r="D327" s="4" t="inlineStr">
        <is>
          <t>Screening</t>
        </is>
      </c>
      <c r="E327" s="4" t="inlineStr">
        <is>
          <t>Hybrid</t>
        </is>
      </c>
      <c r="F327" s="4" t="inlineStr">
        <is>
          <t>Multiple modalities (as coded)</t>
        </is>
      </c>
      <c r="G327" s="4" t="inlineStr">
        <is>
          <t>Tabular ML + knowledge graph + NLP interface</t>
        </is>
      </c>
      <c r="H327" s="4" t="inlineStr">
        <is>
          <t>Screening and case exploration</t>
        </is>
      </c>
      <c r="I327" s="4" t="inlineStr">
        <is>
          <t>Screening</t>
        </is>
      </c>
      <c r="J327" s="4" t="inlineStr">
        <is>
          <t>Hybrid</t>
        </is>
      </c>
      <c r="K327" s="4" t="inlineStr">
        <is>
          <t>Multimodal</t>
        </is>
      </c>
      <c r="L327" s="4" t="inlineStr">
        <is>
          <t>Modalidades múltiples declaradas; no prueba de integración/fusión</t>
        </is>
      </c>
      <c r="M327" s="4" t="inlineStr">
        <is>
          <t>Inherited scoped adjudication; see source level and lot caveats</t>
        </is>
      </c>
      <c r="N327" s="4" t="n">
        <v>0</v>
      </c>
      <c r="O327" s="12" t="n"/>
      <c r="P327" s="41" t="n"/>
      <c r="Q327" s="4">
        <f>IF(COUNTIFS('ESTUDIOS'!$A$2:$A$455,$A327,'ESTUDIOS'!$I$2:$I$455,"")&gt;0,"",INDEX('ESTUDIOS'!$I$2:$I$455,MATCH($A327,'ESTUDIOS'!$A$2:$A$455,0)))</f>
        <v/>
      </c>
    </row>
    <row r="328" ht="34" customHeight="1">
      <c r="A328" s="4" t="inlineStr">
        <is>
          <t>new_410</t>
        </is>
      </c>
      <c r="B328" s="4" t="inlineStr">
        <is>
          <t>Update</t>
        </is>
      </c>
      <c r="C328" s="4" t="inlineStr">
        <is>
          <t>Robust deep learning pipeline to improve access to autism triage and diagnosis</t>
        </is>
      </c>
      <c r="D328" s="4" t="inlineStr">
        <is>
          <t>Screening</t>
        </is>
      </c>
      <c r="E328" s="4" t="inlineStr">
        <is>
          <t>Hybrid</t>
        </is>
      </c>
      <c r="F328" s="4" t="inlineStr">
        <is>
          <t>Multiple modalities (as coded)</t>
        </is>
      </c>
      <c r="G328" s="4" t="inlineStr">
        <is>
          <t>3D deep networks + Lasso GLM</t>
        </is>
      </c>
      <c r="H328" s="4" t="inlineStr">
        <is>
          <t>Triage / diagnostic prediction</t>
        </is>
      </c>
      <c r="I328" s="4" t="inlineStr">
        <is>
          <t>Screening</t>
        </is>
      </c>
      <c r="J328" s="4" t="inlineStr">
        <is>
          <t>Hybrid</t>
        </is>
      </c>
      <c r="K328" s="4" t="inlineStr">
        <is>
          <t>Multimodal</t>
        </is>
      </c>
      <c r="L328" s="4" t="inlineStr">
        <is>
          <t>Modalidades múltiples declaradas; no prueba de integración/fusión</t>
        </is>
      </c>
      <c r="M328" s="4" t="inlineStr">
        <is>
          <t>Inherited scoped adjudication; see source level and lot caveats</t>
        </is>
      </c>
      <c r="N328" s="4" t="n">
        <v>0</v>
      </c>
      <c r="O328" s="12" t="n"/>
      <c r="P328" s="41" t="n"/>
      <c r="Q328" s="4">
        <f>IF(COUNTIFS('ESTUDIOS'!$A$2:$A$455,$A328,'ESTUDIOS'!$I$2:$I$455,"")&gt;0,"",INDEX('ESTUDIOS'!$I$2:$I$455,MATCH($A328,'ESTUDIOS'!$A$2:$A$455,0)))</f>
        <v/>
      </c>
    </row>
    <row r="329" ht="47" customHeight="1">
      <c r="A329" s="4" t="inlineStr">
        <is>
          <t>new_417</t>
        </is>
      </c>
      <c r="B329" s="4" t="inlineStr">
        <is>
          <t>Update</t>
        </is>
      </c>
      <c r="C329" s="4" t="inlineStr">
        <is>
          <t>Perivascular Space Burden in Children With Autism Spectrum Disorder Correlates With Neurodevelopmental Severity</t>
        </is>
      </c>
      <c r="D329" s="4" t="inlineStr">
        <is>
          <t>Not specified</t>
        </is>
      </c>
      <c r="E329" s="4" t="inlineStr">
        <is>
          <t>Deep Learning</t>
        </is>
      </c>
      <c r="F329" s="4" t="inlineStr">
        <is>
          <t>Neuroimaging</t>
        </is>
      </c>
      <c r="G329" s="4" t="inlineStr">
        <is>
          <t>Weakly supervised PVS segmentation</t>
        </is>
      </c>
      <c r="H329" s="4" t="inlineStr">
        <is>
          <t>Segmentation and severity characterization</t>
        </is>
      </c>
      <c r="I329" s="4" t="inlineStr">
        <is>
          <t>Not specified</t>
        </is>
      </c>
      <c r="J329" s="4" t="inlineStr">
        <is>
          <t>Deep Learning</t>
        </is>
      </c>
      <c r="K329" s="4" t="inlineStr">
        <is>
          <t>Neuroimaging / MRI</t>
        </is>
      </c>
      <c r="L329" s="4" t="inlineStr">
        <is>
          <t>Fuente de neuroimagen explícita</t>
        </is>
      </c>
      <c r="M329" s="4" t="inlineStr">
        <is>
          <t>Inherited scoped adjudication; see source level and lot caveats</t>
        </is>
      </c>
      <c r="N329" s="4" t="n">
        <v>1</v>
      </c>
      <c r="O329" s="12" t="n"/>
      <c r="P329" s="41" t="n"/>
      <c r="Q329" s="4">
        <f>IF(COUNTIFS('ESTUDIOS'!$A$2:$A$455,$A329,'ESTUDIOS'!$I$2:$I$455,"")&gt;0,"",INDEX('ESTUDIOS'!$I$2:$I$455,MATCH($A329,'ESTUDIOS'!$A$2:$A$455,0)))</f>
        <v/>
      </c>
    </row>
    <row r="330" ht="47" customHeight="1">
      <c r="A330" s="4" t="inlineStr">
        <is>
          <t>new_420</t>
        </is>
      </c>
      <c r="B330" s="4" t="inlineStr">
        <is>
          <t>Update</t>
        </is>
      </c>
      <c r="C330" s="4" t="inlineStr">
        <is>
          <t>Two-tier nature inspired optimization-driven ensemble of deep learning models for effective autism spectrum disorder diagnosis in disabled persons</t>
        </is>
      </c>
      <c r="D330" s="4" t="inlineStr">
        <is>
          <t>Diagnosis</t>
        </is>
      </c>
      <c r="E330" s="4" t="inlineStr">
        <is>
          <t>Deep Learning</t>
        </is>
      </c>
      <c r="F330" s="4" t="inlineStr">
        <is>
          <t>Structured / tabular data</t>
        </is>
      </c>
      <c r="G330" s="4" t="inlineStr">
        <is>
          <t>Autoencoder + LSTM + DBN ensemble</t>
        </is>
      </c>
      <c r="H330" s="4" t="inlineStr">
        <is>
          <t>ASD-stage classification</t>
        </is>
      </c>
      <c r="I330" s="4" t="inlineStr">
        <is>
          <t>Diagnosis</t>
        </is>
      </c>
      <c r="J330" s="4" t="inlineStr">
        <is>
          <t>Deep Learning</t>
        </is>
      </c>
      <c r="K330" s="4" t="inlineStr">
        <is>
          <t>Structured screening data</t>
        </is>
      </c>
      <c r="L330" s="4" t="inlineStr">
        <is>
          <t>Variables estructuradas/tabulares; no inferir NLP</t>
        </is>
      </c>
      <c r="M330" s="4" t="inlineStr">
        <is>
          <t>Inherited scoped adjudication; see source level and lot caveats</t>
        </is>
      </c>
      <c r="N330" s="4" t="n">
        <v>0</v>
      </c>
      <c r="O330" s="12" t="n"/>
      <c r="P330" s="41" t="n"/>
      <c r="Q330" s="4">
        <f>IF(COUNTIFS('ESTUDIOS'!$A$2:$A$455,$A330,'ESTUDIOS'!$I$2:$I$455,"")&gt;0,"",INDEX('ESTUDIOS'!$I$2:$I$455,MATCH($A330,'ESTUDIOS'!$A$2:$A$455,0)))</f>
        <v/>
      </c>
    </row>
    <row r="331" ht="34" customHeight="1">
      <c r="A331" s="4" t="inlineStr">
        <is>
          <t>new_422</t>
        </is>
      </c>
      <c r="B331" s="4" t="inlineStr">
        <is>
          <t>Update</t>
        </is>
      </c>
      <c r="C331" s="4" t="inlineStr">
        <is>
          <t>MIND-TEA: An Adaptive Multi-Agent Framework for Multimodal Autism Diagnosis</t>
        </is>
      </c>
      <c r="D331" s="4" t="inlineStr">
        <is>
          <t>Diagnosis</t>
        </is>
      </c>
      <c r="E331" s="4" t="inlineStr">
        <is>
          <t>Deep Learning</t>
        </is>
      </c>
      <c r="F331" s="4" t="inlineStr">
        <is>
          <t>Multiple modalities (as coded)</t>
        </is>
      </c>
      <c r="G331" s="4" t="inlineStr">
        <is>
          <t>MIND-TEA multi-agent/meta-learning</t>
        </is>
      </c>
      <c r="H331" s="4" t="inlineStr">
        <is>
          <t>Multimodal diagnostic classification</t>
        </is>
      </c>
      <c r="I331" s="4" t="inlineStr">
        <is>
          <t>Diagnosis</t>
        </is>
      </c>
      <c r="J331" s="4" t="inlineStr">
        <is>
          <t>Deep Learning</t>
        </is>
      </c>
      <c r="K331" s="4" t="inlineStr">
        <is>
          <t>Multimodal</t>
        </is>
      </c>
      <c r="L331" s="4" t="inlineStr">
        <is>
          <t>Modalidades múltiples declaradas; no prueba de integración/fusión</t>
        </is>
      </c>
      <c r="M331" s="4" t="inlineStr">
        <is>
          <t>Inherited scoped adjudication; see source level and lot caveats</t>
        </is>
      </c>
      <c r="N331" s="4" t="n">
        <v>0</v>
      </c>
      <c r="O331" s="12" t="n"/>
      <c r="P331" s="41" t="n"/>
      <c r="Q331" s="4">
        <f>IF(COUNTIFS('ESTUDIOS'!$A$2:$A$455,$A331,'ESTUDIOS'!$I$2:$I$455,"")&gt;0,"",INDEX('ESTUDIOS'!$I$2:$I$455,MATCH($A331,'ESTUDIOS'!$A$2:$A$455,0)))</f>
        <v/>
      </c>
    </row>
    <row r="332" ht="34" customHeight="1">
      <c r="A332" s="4" t="inlineStr">
        <is>
          <t>new_424</t>
        </is>
      </c>
      <c r="B332" s="4" t="inlineStr">
        <is>
          <t>Update</t>
        </is>
      </c>
      <c r="C332" s="4" t="inlineStr">
        <is>
          <t>Interpretable Autism Screening via Object-Based Analysis of Child-Drawn Sketches</t>
        </is>
      </c>
      <c r="D332" s="4" t="inlineStr">
        <is>
          <t>Screening</t>
        </is>
      </c>
      <c r="E332" s="4" t="inlineStr">
        <is>
          <t>Deep Learning</t>
        </is>
      </c>
      <c r="F332" s="4" t="inlineStr">
        <is>
          <t>Other images</t>
        </is>
      </c>
      <c r="G332" s="4" t="inlineStr">
        <is>
          <t>Vision Transformer + LRP</t>
        </is>
      </c>
      <c r="H332" s="4" t="inlineStr">
        <is>
          <t>Interpretable screening classification</t>
        </is>
      </c>
      <c r="I332" s="4" t="inlineStr">
        <is>
          <t>Screening</t>
        </is>
      </c>
      <c r="J332" s="4" t="inlineStr">
        <is>
          <t>Deep Learning</t>
        </is>
      </c>
      <c r="K332" s="4" t="inlineStr">
        <is>
          <t>Child-drawn images</t>
        </is>
      </c>
      <c r="L332" s="4" t="inlineStr">
        <is>
          <t>Dibujos como imagen</t>
        </is>
      </c>
      <c r="M332" s="4" t="inlineStr">
        <is>
          <t>Inherited scoped adjudication; see source level and lot caveats</t>
        </is>
      </c>
      <c r="N332" s="4" t="n">
        <v>0</v>
      </c>
      <c r="O332" s="12" t="n"/>
      <c r="P332" s="41" t="n"/>
      <c r="Q332" s="4">
        <f>IF(COUNTIFS('ESTUDIOS'!$A$2:$A$455,$A332,'ESTUDIOS'!$I$2:$I$455,"")&gt;0,"",INDEX('ESTUDIOS'!$I$2:$I$455,MATCH($A332,'ESTUDIOS'!$A$2:$A$455,0)))</f>
        <v/>
      </c>
    </row>
    <row r="333" ht="34" customHeight="1">
      <c r="A333" s="4" t="inlineStr">
        <is>
          <t>new_425</t>
        </is>
      </c>
      <c r="B333" s="4" t="inlineStr">
        <is>
          <t>Update</t>
        </is>
      </c>
      <c r="C333" s="4" t="inlineStr">
        <is>
          <t>Bridging Deep Learning and Quantum Computing for EEG-Driven P300 Targeted ASD Response Detection</t>
        </is>
      </c>
      <c r="D333" s="4" t="inlineStr">
        <is>
          <t>Monitoring/intervention</t>
        </is>
      </c>
      <c r="E333" s="4" t="inlineStr">
        <is>
          <t>Hybrid</t>
        </is>
      </c>
      <c r="F333" s="4" t="inlineStr">
        <is>
          <t>Physiological signals</t>
        </is>
      </c>
      <c r="G333" s="4" t="inlineStr">
        <is>
          <t>Transformer + quantum neural network</t>
        </is>
      </c>
      <c r="H333" s="4" t="inlineStr">
        <is>
          <t>P300 response classification</t>
        </is>
      </c>
      <c r="I333" s="4" t="inlineStr">
        <is>
          <t>Monitoring/intervention</t>
        </is>
      </c>
      <c r="J333" s="4" t="inlineStr">
        <is>
          <t>Hybrid</t>
        </is>
      </c>
      <c r="K333" s="4" t="inlineStr">
        <is>
          <t>Physiological signals / EEG P300</t>
        </is>
      </c>
      <c r="L333" s="4" t="inlineStr">
        <is>
          <t>Medición fisiológica explícita</t>
        </is>
      </c>
      <c r="M333" s="4" t="inlineStr">
        <is>
          <t>Inherited scoped adjudication; see source level and lot caveats</t>
        </is>
      </c>
      <c r="N333" s="4" t="n">
        <v>0</v>
      </c>
      <c r="O333" s="12" t="n"/>
      <c r="P333" s="41" t="n"/>
      <c r="Q333" s="4">
        <f>IF(COUNTIFS('ESTUDIOS'!$A$2:$A$455,$A333,'ESTUDIOS'!$I$2:$I$455,"")&gt;0,"",INDEX('ESTUDIOS'!$I$2:$I$455,MATCH($A333,'ESTUDIOS'!$A$2:$A$455,0)))</f>
        <v/>
      </c>
    </row>
    <row r="334" ht="47" customHeight="1">
      <c r="A334" s="4" t="inlineStr">
        <is>
          <t>new_427</t>
        </is>
      </c>
      <c r="B334" s="4" t="inlineStr">
        <is>
          <t>Update</t>
        </is>
      </c>
      <c r="C334" s="4" t="inlineStr">
        <is>
          <t>A Hybrid Multi-Branch Deep Learning Model for Autism Spectrum Disorder Detection Using Spatiotemporal Gait Analysis</t>
        </is>
      </c>
      <c r="D334" s="4" t="inlineStr">
        <is>
          <t>Diagnosis</t>
        </is>
      </c>
      <c r="E334" s="4" t="inlineStr">
        <is>
          <t>Deep Learning</t>
        </is>
      </c>
      <c r="F334" s="4" t="inlineStr">
        <is>
          <t>Behavioral video / movement</t>
        </is>
      </c>
      <c r="G334" s="4" t="inlineStr">
        <is>
          <t>Transformer + CNN-BiLSTM/BiGRU</t>
        </is>
      </c>
      <c r="H334" s="4" t="inlineStr">
        <is>
          <t>Classification (ASD vs control)</t>
        </is>
      </c>
      <c r="I334" s="4" t="inlineStr">
        <is>
          <t>Diagnosis</t>
        </is>
      </c>
      <c r="J334" s="4" t="inlineStr">
        <is>
          <t>Deep Learning</t>
        </is>
      </c>
      <c r="K334" s="4" t="inlineStr">
        <is>
          <t>Kinematic gait / depth-camera data</t>
        </is>
      </c>
      <c r="L334" s="4" t="inlineStr">
        <is>
          <t>Vídeo o movimiento conductual explícito</t>
        </is>
      </c>
      <c r="M334" s="4" t="inlineStr">
        <is>
          <t>Inherited scoped adjudication; see source level and lot caveats</t>
        </is>
      </c>
      <c r="N334" s="4" t="n">
        <v>0</v>
      </c>
      <c r="O334" s="12" t="n"/>
      <c r="P334" s="41" t="n"/>
      <c r="Q334" s="4">
        <f>IF(COUNTIFS('ESTUDIOS'!$A$2:$A$455,$A334,'ESTUDIOS'!$I$2:$I$455,"")&gt;0,"",INDEX('ESTUDIOS'!$I$2:$I$455,MATCH($A334,'ESTUDIOS'!$A$2:$A$455,0)))</f>
        <v/>
      </c>
    </row>
    <row r="335" ht="47" customHeight="1">
      <c r="A335" s="4" t="inlineStr">
        <is>
          <t>new_428</t>
        </is>
      </c>
      <c r="B335" s="4" t="inlineStr">
        <is>
          <t>Update</t>
        </is>
      </c>
      <c r="C335" s="4" t="inlineStr">
        <is>
          <t>Autism Action Dataset (AAD): A Comprehensive Video Benchmark for ASD Behavior Recognition Using Deep Learning</t>
        </is>
      </c>
      <c r="D335" s="4" t="inlineStr">
        <is>
          <t>Monitoring/intervention</t>
        </is>
      </c>
      <c r="E335" s="4" t="inlineStr">
        <is>
          <t>Deep Learning</t>
        </is>
      </c>
      <c r="F335" s="4" t="inlineStr">
        <is>
          <t>Behavioral video / movement</t>
        </is>
      </c>
      <c r="G335" s="4" t="inlineStr">
        <is>
          <t>CNN-LSTM/I3D/SlowFast/X3D/ViViT/MViT</t>
        </is>
      </c>
      <c r="H335" s="4" t="inlineStr">
        <is>
          <t>ASD-related action recognition</t>
        </is>
      </c>
      <c r="I335" s="4" t="inlineStr">
        <is>
          <t>Monitoring/intervention</t>
        </is>
      </c>
      <c r="J335" s="4" t="inlineStr">
        <is>
          <t>Deep Learning</t>
        </is>
      </c>
      <c r="K335" s="4" t="inlineStr">
        <is>
          <t>Behavioral video</t>
        </is>
      </c>
      <c r="L335" s="4" t="inlineStr">
        <is>
          <t>Vídeo o movimiento conductual explícito</t>
        </is>
      </c>
      <c r="M335" s="4" t="inlineStr">
        <is>
          <t>Inherited scoped adjudication; see source level and lot caveats</t>
        </is>
      </c>
      <c r="N335" s="4" t="n">
        <v>0</v>
      </c>
      <c r="O335" s="12" t="n"/>
      <c r="P335" s="41" t="n"/>
      <c r="Q335" s="4">
        <f>IF(COUNTIFS('ESTUDIOS'!$A$2:$A$455,$A335,'ESTUDIOS'!$I$2:$I$455,"")&gt;0,"",INDEX('ESTUDIOS'!$I$2:$I$455,MATCH($A335,'ESTUDIOS'!$A$2:$A$455,0)))</f>
        <v/>
      </c>
    </row>
    <row r="336" ht="34" customHeight="1">
      <c r="A336" s="4" t="inlineStr">
        <is>
          <t>new_429</t>
        </is>
      </c>
      <c r="B336" s="4" t="inlineStr">
        <is>
          <t>Update</t>
        </is>
      </c>
      <c r="C336" s="4" t="inlineStr">
        <is>
          <t>A Data-Driven Approach for Autism Spectrum Disorder Screening</t>
        </is>
      </c>
      <c r="D336" s="4" t="inlineStr">
        <is>
          <t>Screening</t>
        </is>
      </c>
      <c r="E336" s="4" t="inlineStr">
        <is>
          <t>Machine Learning</t>
        </is>
      </c>
      <c r="F336" s="4" t="inlineStr">
        <is>
          <t>Structured / tabular data</t>
        </is>
      </c>
      <c r="G336" s="4" t="inlineStr">
        <is>
          <t>RF/XGBoost/CatBoost + stacking</t>
        </is>
      </c>
      <c r="H336" s="4" t="inlineStr">
        <is>
          <t>Risk screening</t>
        </is>
      </c>
      <c r="I336" s="4" t="inlineStr">
        <is>
          <t>Screening</t>
        </is>
      </c>
      <c r="J336" s="4" t="inlineStr">
        <is>
          <t>Machine Learning</t>
        </is>
      </c>
      <c r="K336" s="4" t="inlineStr">
        <is>
          <t>Healthcare administrative/claims data</t>
        </is>
      </c>
      <c r="L336" s="4" t="inlineStr">
        <is>
          <t>Variables estructuradas/tabulares; no inferir NLP</t>
        </is>
      </c>
      <c r="M336" s="4" t="inlineStr">
        <is>
          <t>Inherited scoped adjudication; see source level and lot caveats</t>
        </is>
      </c>
      <c r="N336" s="4" t="n">
        <v>0</v>
      </c>
      <c r="O336" s="12" t="n"/>
      <c r="P336" s="41" t="n"/>
      <c r="Q336" s="4">
        <f>IF(COUNTIFS('ESTUDIOS'!$A$2:$A$455,$A336,'ESTUDIOS'!$I$2:$I$455,"")&gt;0,"",INDEX('ESTUDIOS'!$I$2:$I$455,MATCH($A336,'ESTUDIOS'!$A$2:$A$455,0)))</f>
        <v/>
      </c>
    </row>
    <row r="337" ht="60" customHeight="1">
      <c r="A337" s="4" t="inlineStr">
        <is>
          <t>new_1</t>
        </is>
      </c>
      <c r="B337" s="4" t="inlineStr">
        <is>
          <t>Update</t>
        </is>
      </c>
      <c r="C337" s="4" t="inlineStr">
        <is>
          <t>A novel thermal imaging-based framework for continuous ASD classification and behavior analysis using facial mood and skin temperature features</t>
        </is>
      </c>
      <c r="D337" s="4" t="inlineStr">
        <is>
          <t>Monitoring/intervention</t>
        </is>
      </c>
      <c r="E337" s="4" t="inlineStr">
        <is>
          <t>Hybrid</t>
        </is>
      </c>
      <c r="F337" s="4" t="inlineStr">
        <is>
          <t>Thermal imaging / physiology</t>
        </is>
      </c>
      <c r="G337" s="4" t="inlineStr">
        <is>
          <t>DN-FME + Random Forest/SVM severity classifiers</t>
        </is>
      </c>
      <c r="H337" s="4" t="inlineStr">
        <is>
          <t>ASD severity classification and continuous behavioral monitoring</t>
        </is>
      </c>
      <c r="I337" s="4" t="inlineStr">
        <is>
          <t>Monitoring/intervention</t>
        </is>
      </c>
      <c r="J337" s="4" t="inlineStr">
        <is>
          <t>Hybrid</t>
        </is>
      </c>
      <c r="K337" s="4" t="inlineStr">
        <is>
          <t>Thermal facial imaging / skin temperature</t>
        </is>
      </c>
      <c r="L337" s="4" t="inlineStr">
        <is>
          <t>Conservar imagen térmica y medición fisiológica explícitas</t>
        </is>
      </c>
      <c r="M337" s="4" t="inlineStr">
        <is>
          <t>Inherited scoped adjudication; see source level and lot caveats</t>
        </is>
      </c>
      <c r="N337" s="4" t="n">
        <v>0</v>
      </c>
      <c r="O337" s="12" t="n"/>
      <c r="P337" s="41" t="n"/>
      <c r="Q337" s="4">
        <f>IF(COUNTIFS('ESTUDIOS'!$A$2:$A$455,$A337,'ESTUDIOS'!$I$2:$I$455,"")&gt;0,"",INDEX('ESTUDIOS'!$I$2:$I$455,MATCH($A337,'ESTUDIOS'!$A$2:$A$455,0)))</f>
        <v/>
      </c>
    </row>
    <row r="338" ht="47" customHeight="1">
      <c r="A338" s="4" t="inlineStr">
        <is>
          <t>new_3</t>
        </is>
      </c>
      <c r="B338" s="4" t="inlineStr">
        <is>
          <t>Update</t>
        </is>
      </c>
      <c r="C338" s="4" t="inlineStr">
        <is>
          <t>Efficient machine learning models across multiple datasets for autism spectrum disorder diagnoses</t>
        </is>
      </c>
      <c r="D338" s="4" t="inlineStr">
        <is>
          <t>Screening</t>
        </is>
      </c>
      <c r="E338" s="4" t="inlineStr">
        <is>
          <t>Machine Learning</t>
        </is>
      </c>
      <c r="F338" s="4" t="inlineStr">
        <is>
          <t>Structured / tabular data</t>
        </is>
      </c>
      <c r="G338" s="4" t="inlineStr">
        <is>
          <t>AutoML/ensemble framework (27 ML models; voting/bagging)</t>
        </is>
      </c>
      <c r="H338" s="4" t="inlineStr">
        <is>
          <t>ASD screening/classification across age-group datasets</t>
        </is>
      </c>
      <c r="I338" s="4" t="inlineStr">
        <is>
          <t>Screening</t>
        </is>
      </c>
      <c r="J338" s="4" t="inlineStr">
        <is>
          <t>Machine Learning</t>
        </is>
      </c>
      <c r="K338" s="4" t="inlineStr">
        <is>
          <t>Structured behavioral / demographic screening datasets</t>
        </is>
      </c>
      <c r="L338" s="4" t="inlineStr">
        <is>
          <t>Variables estructuradas/tabulares; no inferir NLP</t>
        </is>
      </c>
      <c r="M338" s="4" t="inlineStr">
        <is>
          <t>Inherited scoped adjudication; see source level and lot caveats</t>
        </is>
      </c>
      <c r="N338" s="4" t="n">
        <v>0</v>
      </c>
      <c r="O338" s="12" t="n"/>
      <c r="P338" s="41" t="n"/>
      <c r="Q338" s="4">
        <f>IF(COUNTIFS('ESTUDIOS'!$A$2:$A$455,$A338,'ESTUDIOS'!$I$2:$I$455,"")&gt;0,"",INDEX('ESTUDIOS'!$I$2:$I$455,MATCH($A338,'ESTUDIOS'!$A$2:$A$455,0)))</f>
        <v/>
      </c>
    </row>
    <row r="339" ht="60" customHeight="1">
      <c r="A339" s="4" t="inlineStr">
        <is>
          <t>new_4</t>
        </is>
      </c>
      <c r="B339" s="4" t="inlineStr">
        <is>
          <t>Update</t>
        </is>
      </c>
      <c r="C339" s="4" t="inlineStr">
        <is>
          <t>EmoLand: Utilizing narrative animations, multilevel games, and affective computing to foster emotional development in children with autism spectrum disorder</t>
        </is>
      </c>
      <c r="D339" s="4" t="inlineStr">
        <is>
          <t>Monitoring/intervention</t>
        </is>
      </c>
      <c r="E339" s="4" t="inlineStr">
        <is>
          <t>Deep Learning</t>
        </is>
      </c>
      <c r="F339" s="4" t="inlineStr">
        <is>
          <t>Behavioral video / movement</t>
        </is>
      </c>
      <c r="G339" s="4" t="inlineStr">
        <is>
          <t>CNN facial-expression recognition</t>
        </is>
      </c>
      <c r="H339" s="4" t="inlineStr">
        <is>
          <t>Facial-expression recognition and adaptive affective feedback</t>
        </is>
      </c>
      <c r="I339" s="4" t="inlineStr">
        <is>
          <t>Monitoring/intervention</t>
        </is>
      </c>
      <c r="J339" s="4" t="inlineStr">
        <is>
          <t>Deep Learning</t>
        </is>
      </c>
      <c r="K339" s="4" t="inlineStr">
        <is>
          <t>Behavioral video / facial expressions</t>
        </is>
      </c>
      <c r="L339" s="4" t="inlineStr">
        <is>
          <t>Vídeo o movimiento conductual explícito</t>
        </is>
      </c>
      <c r="M339" s="4" t="inlineStr">
        <is>
          <t>Inherited scoped adjudication; see source level and lot caveats</t>
        </is>
      </c>
      <c r="N339" s="4" t="n">
        <v>0</v>
      </c>
      <c r="O339" s="12" t="n"/>
      <c r="P339" s="41" t="n"/>
      <c r="Q339" s="4">
        <f>IF(COUNTIFS('ESTUDIOS'!$A$2:$A$455,$A339,'ESTUDIOS'!$I$2:$I$455,"")&gt;0,"",INDEX('ESTUDIOS'!$I$2:$I$455,MATCH($A339,'ESTUDIOS'!$A$2:$A$455,0)))</f>
        <v/>
      </c>
    </row>
    <row r="340" ht="47" customHeight="1">
      <c r="A340" s="4" t="inlineStr">
        <is>
          <t>new_7</t>
        </is>
      </c>
      <c r="B340" s="4" t="inlineStr">
        <is>
          <t>Update</t>
        </is>
      </c>
      <c r="C340" s="4" t="inlineStr">
        <is>
          <t>Hybrid optimization enabled DenseNet for autism spectrum disorders using MRI image</t>
        </is>
      </c>
      <c r="D340" s="4" t="inlineStr">
        <is>
          <t>Diagnosis</t>
        </is>
      </c>
      <c r="E340" s="4" t="inlineStr">
        <is>
          <t>Deep Learning</t>
        </is>
      </c>
      <c r="F340" s="4" t="inlineStr">
        <is>
          <t>Neuroimaging</t>
        </is>
      </c>
      <c r="G340" s="4" t="inlineStr">
        <is>
          <t>JSTO-optimized DenseNet</t>
        </is>
      </c>
      <c r="H340" s="4" t="inlineStr">
        <is>
          <t>ASD vs control classification from MRI</t>
        </is>
      </c>
      <c r="I340" s="4" t="inlineStr">
        <is>
          <t>Diagnosis</t>
        </is>
      </c>
      <c r="J340" s="4" t="inlineStr">
        <is>
          <t>Deep Learning</t>
        </is>
      </c>
      <c r="K340" s="4" t="inlineStr">
        <is>
          <t>Neuroimaging (MRI / ABIDE-derived brain imaging)</t>
        </is>
      </c>
      <c r="L340" s="4" t="inlineStr">
        <is>
          <t>Fuente de neuroimagen explícita</t>
        </is>
      </c>
      <c r="M340" s="4" t="inlineStr">
        <is>
          <t>Inherited scoped adjudication; see source level and lot caveats</t>
        </is>
      </c>
      <c r="N340" s="4" t="n">
        <v>0</v>
      </c>
      <c r="O340" s="12" t="n"/>
      <c r="P340" s="41" t="n"/>
      <c r="Q340" s="4">
        <f>IF(COUNTIFS('ESTUDIOS'!$A$2:$A$455,$A340,'ESTUDIOS'!$I$2:$I$455,"")&gt;0,"",INDEX('ESTUDIOS'!$I$2:$I$455,MATCH($A340,'ESTUDIOS'!$A$2:$A$455,0)))</f>
        <v/>
      </c>
    </row>
    <row r="341" ht="60" customHeight="1">
      <c r="A341" s="4" t="inlineStr">
        <is>
          <t>new_15</t>
        </is>
      </c>
      <c r="B341" s="4" t="inlineStr">
        <is>
          <t>Update</t>
        </is>
      </c>
      <c r="C341" s="4" t="inlineStr">
        <is>
          <t>MCBERT: A multi-modal framework for the diagnosis of autism spectrum disorder</t>
        </is>
      </c>
      <c r="D341" s="4" t="inlineStr">
        <is>
          <t>Diagnosis</t>
        </is>
      </c>
      <c r="E341" s="4" t="inlineStr">
        <is>
          <t>Deep Learning</t>
        </is>
      </c>
      <c r="F341" s="4" t="inlineStr">
        <is>
          <t>Multiple modalities (as coded)</t>
        </is>
      </c>
      <c r="G341" s="4" t="inlineStr">
        <is>
          <t>MCBERT (multi-head CNN + BERT with spatial/channel attention)</t>
        </is>
      </c>
      <c r="H341" s="4" t="inlineStr">
        <is>
          <t>ASD diagnostic classification</t>
        </is>
      </c>
      <c r="I341" s="4" t="inlineStr">
        <is>
          <t>Diagnosis</t>
        </is>
      </c>
      <c r="J341" s="4" t="inlineStr">
        <is>
          <t>Deep Learning</t>
        </is>
      </c>
      <c r="K341" s="4" t="inlineStr">
        <is>
          <t>Multimodal (brain MRI + phenotypic/meta-features)</t>
        </is>
      </c>
      <c r="L341" s="4" t="inlineStr">
        <is>
          <t>Modalidades múltiples declaradas; no prueba de integración/fusión</t>
        </is>
      </c>
      <c r="M341" s="4" t="inlineStr">
        <is>
          <t>Inherited scoped adjudication; see source level and lot caveats</t>
        </is>
      </c>
      <c r="N341" s="4" t="n">
        <v>0</v>
      </c>
      <c r="O341" s="12" t="n"/>
      <c r="P341" s="41" t="n"/>
      <c r="Q341" s="4">
        <f>IF(COUNTIFS('ESTUDIOS'!$A$2:$A$455,$A341,'ESTUDIOS'!$I$2:$I$455,"")&gt;0,"",INDEX('ESTUDIOS'!$I$2:$I$455,MATCH($A341,'ESTUDIOS'!$A$2:$A$455,0)))</f>
        <v/>
      </c>
    </row>
    <row r="342" ht="47" customHeight="1">
      <c r="A342" s="4" t="inlineStr">
        <is>
          <t>new_21</t>
        </is>
      </c>
      <c r="B342" s="4" t="inlineStr">
        <is>
          <t>Update</t>
        </is>
      </c>
      <c r="C342" s="4" t="inlineStr">
        <is>
          <t>Screening biomarkers for autism spectrum disorder using plasma proteomics combined with machine learning methods</t>
        </is>
      </c>
      <c r="D342" s="4" t="inlineStr">
        <is>
          <t>Screening</t>
        </is>
      </c>
      <c r="E342" s="4" t="inlineStr">
        <is>
          <t>Machine Learning</t>
        </is>
      </c>
      <c r="F342" s="4" t="inlineStr">
        <is>
          <t>Biological/omics</t>
        </is>
      </c>
      <c r="G342" s="4" t="inlineStr">
        <is>
          <t>Machine-learning biomarker selection pipeline</t>
        </is>
      </c>
      <c r="H342" s="4" t="inlineStr">
        <is>
          <t>ASD biomarker screening / classification</t>
        </is>
      </c>
      <c r="I342" s="4" t="inlineStr">
        <is>
          <t>Screening</t>
        </is>
      </c>
      <c r="J342" s="4" t="inlineStr">
        <is>
          <t>Machine Learning</t>
        </is>
      </c>
      <c r="K342" s="4" t="inlineStr">
        <is>
          <t>Biological/omics (plasma proteomics)</t>
        </is>
      </c>
      <c r="L342" s="4" t="inlineStr">
        <is>
          <t>Fuente biológica explícita</t>
        </is>
      </c>
      <c r="M342" s="4" t="inlineStr">
        <is>
          <t>Inherited scoped adjudication; see source level and lot caveats</t>
        </is>
      </c>
      <c r="N342" s="4" t="n">
        <v>0</v>
      </c>
      <c r="O342" s="12" t="n"/>
      <c r="P342" s="41" t="n"/>
      <c r="Q342" s="4">
        <f>IF(COUNTIFS('ESTUDIOS'!$A$2:$A$455,$A342,'ESTUDIOS'!$I$2:$I$455,"")&gt;0,"",INDEX('ESTUDIOS'!$I$2:$I$455,MATCH($A342,'ESTUDIOS'!$A$2:$A$455,0)))</f>
        <v/>
      </c>
    </row>
    <row r="343" ht="60" customHeight="1">
      <c r="A343" s="4" t="inlineStr">
        <is>
          <t>new_23</t>
        </is>
      </c>
      <c r="B343" s="4" t="inlineStr">
        <is>
          <t>Update</t>
        </is>
      </c>
      <c r="C343" s="4" t="inlineStr">
        <is>
          <t>Introducing 3DCNN ResNets for ASD full-body kinematic assessment: A comparison with hand-crafted features</t>
        </is>
      </c>
      <c r="D343" s="4" t="inlineStr">
        <is>
          <t>Diagnosis</t>
        </is>
      </c>
      <c r="E343" s="4" t="inlineStr">
        <is>
          <t>Deep Learning</t>
        </is>
      </c>
      <c r="F343" s="4" t="inlineStr">
        <is>
          <t>Behavioral video / movement</t>
        </is>
      </c>
      <c r="G343" s="4" t="inlineStr">
        <is>
          <t>PoseConv3D / SlowOnly 3D CNN-ResNet</t>
        </is>
      </c>
      <c r="H343" s="4" t="inlineStr">
        <is>
          <t>ASD vs TD classification from full-body kinematic sequences</t>
        </is>
      </c>
      <c r="I343" s="4" t="inlineStr">
        <is>
          <t>Diagnosis</t>
        </is>
      </c>
      <c r="J343" s="4" t="inlineStr">
        <is>
          <t>Deep Learning</t>
        </is>
      </c>
      <c r="K343" s="4" t="inlineStr">
        <is>
          <t>Behavioral motor kinematics / full-body motion</t>
        </is>
      </c>
      <c r="L343" s="4" t="inlineStr">
        <is>
          <t>Vídeo o movimiento conductual explícito</t>
        </is>
      </c>
      <c r="M343" s="4" t="inlineStr">
        <is>
          <t>Inherited scoped adjudication; see source level and lot caveats</t>
        </is>
      </c>
      <c r="N343" s="4" t="n">
        <v>0</v>
      </c>
      <c r="O343" s="12" t="n"/>
      <c r="P343" s="41" t="n"/>
      <c r="Q343" s="4">
        <f>IF(COUNTIFS('ESTUDIOS'!$A$2:$A$455,$A343,'ESTUDIOS'!$I$2:$I$455,"")&gt;0,"",INDEX('ESTUDIOS'!$I$2:$I$455,MATCH($A343,'ESTUDIOS'!$A$2:$A$455,0)))</f>
        <v/>
      </c>
    </row>
    <row r="344" ht="60" customHeight="1">
      <c r="A344" s="4" t="inlineStr">
        <is>
          <t>new_37</t>
        </is>
      </c>
      <c r="B344" s="4" t="inlineStr">
        <is>
          <t>Update</t>
        </is>
      </c>
      <c r="C344" s="4" t="inlineStr">
        <is>
          <t>Design of adaptive recommendation system for autism children using optimal feature selection-based adaptive dilated 1DCNN-LSTM with attention mechanism</t>
        </is>
      </c>
      <c r="D344" s="4" t="inlineStr">
        <is>
          <t>Monitoring/intervention</t>
        </is>
      </c>
      <c r="E344" s="4" t="inlineStr">
        <is>
          <t>Deep Learning</t>
        </is>
      </c>
      <c r="F344" s="4" t="inlineStr">
        <is>
          <t>Not specified</t>
        </is>
      </c>
      <c r="G344" s="4" t="inlineStr">
        <is>
          <t>MGSOA-optimized adaptive dilated 1DCNN-LSTM with attention</t>
        </is>
      </c>
      <c r="H344" s="4" t="inlineStr">
        <is>
          <t>Detection of distraction/anxiety states and adaptive recommendation</t>
        </is>
      </c>
      <c r="I344" s="4" t="inlineStr">
        <is>
          <t>Monitoring/intervention</t>
        </is>
      </c>
      <c r="J344" s="4" t="inlineStr">
        <is>
          <t>Deep Learning</t>
        </is>
      </c>
      <c r="K344" s="4" t="inlineStr">
        <is>
          <t>Not specified</t>
        </is>
      </c>
      <c r="L344" s="4" t="inlineStr">
        <is>
          <t>Sin asignación por falta de detalle</t>
        </is>
      </c>
      <c r="M344" s="4" t="inlineStr">
        <is>
          <t>Inherited scoped adjudication; see source level and lot caveats</t>
        </is>
      </c>
      <c r="N344" s="4" t="n">
        <v>1</v>
      </c>
      <c r="O344" s="12" t="n"/>
      <c r="P344" s="41" t="n"/>
      <c r="Q344" s="4">
        <f>IF(COUNTIFS('ESTUDIOS'!$A$2:$A$455,$A344,'ESTUDIOS'!$I$2:$I$455,"")&gt;0,"",INDEX('ESTUDIOS'!$I$2:$I$455,MATCH($A344,'ESTUDIOS'!$A$2:$A$455,0)))</f>
        <v/>
      </c>
    </row>
    <row r="345" ht="60" customHeight="1">
      <c r="A345" s="4" t="inlineStr">
        <is>
          <t>new_38</t>
        </is>
      </c>
      <c r="B345" s="4" t="inlineStr">
        <is>
          <t>Update</t>
        </is>
      </c>
      <c r="C345" s="4" t="inlineStr">
        <is>
          <t>Early detection of autism spectrum disorder using explainable AI and optimized teaching strategies</t>
        </is>
      </c>
      <c r="D345" s="4" t="inlineStr">
        <is>
          <t>Screening</t>
        </is>
      </c>
      <c r="E345" s="4" t="inlineStr">
        <is>
          <t>Machine Learning</t>
        </is>
      </c>
      <c r="F345" s="4" t="inlineStr">
        <is>
          <t>Structured / tabular data</t>
        </is>
      </c>
      <c r="G345" s="4" t="inlineStr">
        <is>
          <t>LR-SVM soft-voting ensemble with Chi-square feature selection</t>
        </is>
      </c>
      <c r="H345" s="4" t="inlineStr">
        <is>
          <t>ASD screening classification and teaching-strategy recommendation</t>
        </is>
      </c>
      <c r="I345" s="4" t="inlineStr">
        <is>
          <t>Screening</t>
        </is>
      </c>
      <c r="J345" s="4" t="inlineStr">
        <is>
          <t>Machine Learning</t>
        </is>
      </c>
      <c r="K345" s="4" t="inlineStr">
        <is>
          <t>Structured behavioral / screening questionnaire data</t>
        </is>
      </c>
      <c r="L345" s="4" t="inlineStr">
        <is>
          <t>Variables estructuradas/tabulares; no inferir NLP</t>
        </is>
      </c>
      <c r="M345" s="4" t="inlineStr">
        <is>
          <t>Inherited scoped adjudication; see source level and lot caveats</t>
        </is>
      </c>
      <c r="N345" s="4" t="n">
        <v>0</v>
      </c>
      <c r="O345" s="12" t="n"/>
      <c r="P345" s="41" t="n"/>
      <c r="Q345" s="4">
        <f>IF(COUNTIFS('ESTUDIOS'!$A$2:$A$455,$A345,'ESTUDIOS'!$I$2:$I$455,"")&gt;0,"",INDEX('ESTUDIOS'!$I$2:$I$455,MATCH($A345,'ESTUDIOS'!$A$2:$A$455,0)))</f>
        <v/>
      </c>
    </row>
    <row r="346" ht="47" customHeight="1">
      <c r="A346" s="4" t="inlineStr">
        <is>
          <t>new_41</t>
        </is>
      </c>
      <c r="B346" s="4" t="inlineStr">
        <is>
          <t>Update</t>
        </is>
      </c>
      <c r="C346" s="4" t="inlineStr">
        <is>
          <t>A systematic evaluation of autism spectrum disorder identification with Scanpath Trend Analysis (STA)</t>
        </is>
      </c>
      <c r="D346" s="4" t="inlineStr">
        <is>
          <t>Screening</t>
        </is>
      </c>
      <c r="E346" s="4" t="inlineStr">
        <is>
          <t>Machine Learning</t>
        </is>
      </c>
      <c r="F346" s="4" t="inlineStr">
        <is>
          <t>Behavioral gaze / eye tracking</t>
        </is>
      </c>
      <c r="G346" s="4" t="inlineStr">
        <is>
          <t>Scanpath Trend Analysis (STA)</t>
        </is>
      </c>
      <c r="H346" s="4" t="inlineStr">
        <is>
          <t>ASD vs non-ASD classification from eye-tracking scanpaths</t>
        </is>
      </c>
      <c r="I346" s="4" t="inlineStr">
        <is>
          <t>Screening</t>
        </is>
      </c>
      <c r="J346" s="4" t="inlineStr">
        <is>
          <t>Machine Learning</t>
        </is>
      </c>
      <c r="K346" s="4" t="inlineStr">
        <is>
          <t>Eye-tracking / scanpaths</t>
        </is>
      </c>
      <c r="L346" s="4" t="inlineStr">
        <is>
          <t>Trazas de mirada aunque se representen como imágenes</t>
        </is>
      </c>
      <c r="M346" s="4" t="inlineStr">
        <is>
          <t>Inherited scoped adjudication; see source level and lot caveats</t>
        </is>
      </c>
      <c r="N346" s="4" t="n">
        <v>0</v>
      </c>
      <c r="O346" s="12" t="n"/>
      <c r="P346" s="41" t="n"/>
      <c r="Q346" s="4">
        <f>IF(COUNTIFS('ESTUDIOS'!$A$2:$A$455,$A346,'ESTUDIOS'!$I$2:$I$455,"")&gt;0,"",INDEX('ESTUDIOS'!$I$2:$I$455,MATCH($A346,'ESTUDIOS'!$A$2:$A$455,0)))</f>
        <v/>
      </c>
    </row>
    <row r="347" ht="47" customHeight="1">
      <c r="A347" s="4" t="inlineStr">
        <is>
          <t>new_46</t>
        </is>
      </c>
      <c r="B347" s="4" t="inlineStr">
        <is>
          <t>Update</t>
        </is>
      </c>
      <c r="C347" s="4" t="inlineStr">
        <is>
          <t>Recognition of autism in subcortical brain volumetric images using autoencoding-based region selection method and Siamese Convolutional Neural Network</t>
        </is>
      </c>
      <c r="D347" s="4" t="inlineStr">
        <is>
          <t>Diagnosis</t>
        </is>
      </c>
      <c r="E347" s="4" t="inlineStr">
        <is>
          <t>Deep Learning</t>
        </is>
      </c>
      <c r="F347" s="4" t="inlineStr">
        <is>
          <t>Neuroimaging</t>
        </is>
      </c>
      <c r="G347" s="4" t="inlineStr">
        <is>
          <t>3D autoencoder + Siamese CNN</t>
        </is>
      </c>
      <c r="H347" s="4" t="inlineStr">
        <is>
          <t>ASD vs control classification from subcortical MRI</t>
        </is>
      </c>
      <c r="I347" s="4" t="inlineStr">
        <is>
          <t>Diagnosis</t>
        </is>
      </c>
      <c r="J347" s="4" t="inlineStr">
        <is>
          <t>Deep Learning</t>
        </is>
      </c>
      <c r="K347" s="4" t="inlineStr">
        <is>
          <t>Neuroimaging (structural MRI / subcortical images)</t>
        </is>
      </c>
      <c r="L347" s="4" t="inlineStr">
        <is>
          <t>Fuente de neuroimagen explícita</t>
        </is>
      </c>
      <c r="M347" s="4" t="inlineStr">
        <is>
          <t>Inherited scoped adjudication; see source level and lot caveats</t>
        </is>
      </c>
      <c r="N347" s="4" t="n">
        <v>0</v>
      </c>
      <c r="O347" s="12" t="n"/>
      <c r="P347" s="41" t="n"/>
      <c r="Q347" s="4">
        <f>IF(COUNTIFS('ESTUDIOS'!$A$2:$A$455,$A347,'ESTUDIOS'!$I$2:$I$455,"")&gt;0,"",INDEX('ESTUDIOS'!$I$2:$I$455,MATCH($A347,'ESTUDIOS'!$A$2:$A$455,0)))</f>
        <v/>
      </c>
    </row>
    <row r="348" ht="60" customHeight="1">
      <c r="A348" s="4" t="inlineStr">
        <is>
          <t>new_47</t>
        </is>
      </c>
      <c r="B348" s="4" t="inlineStr">
        <is>
          <t>Update</t>
        </is>
      </c>
      <c r="C348" s="4" t="inlineStr">
        <is>
          <t>Leveraging deep learning for enhanced diagnosis of autism spectrum disorder using resting-state functional magnetic resonance imaging and clinical data</t>
        </is>
      </c>
      <c r="D348" s="4" t="inlineStr">
        <is>
          <t>Diagnosis</t>
        </is>
      </c>
      <c r="E348" s="4" t="inlineStr">
        <is>
          <t>Deep Learning</t>
        </is>
      </c>
      <c r="F348" s="4" t="inlineStr">
        <is>
          <t>Multiple modalities (as coded)</t>
        </is>
      </c>
      <c r="G348" s="4" t="inlineStr">
        <is>
          <t>CNN-BiLSTM with attention</t>
        </is>
      </c>
      <c r="H348" s="4" t="inlineStr">
        <is>
          <t>ASD vs TD diagnostic classification</t>
        </is>
      </c>
      <c r="I348" s="4" t="inlineStr">
        <is>
          <t>Diagnosis</t>
        </is>
      </c>
      <c r="J348" s="4" t="inlineStr">
        <is>
          <t>Deep Learning</t>
        </is>
      </c>
      <c r="K348" s="4" t="inlineStr">
        <is>
          <t>Multimodal (rs-fMRI functional connectivity + phenotypic/clinical data)</t>
        </is>
      </c>
      <c r="L348" s="4" t="inlineStr">
        <is>
          <t>Modalidades múltiples declaradas; no prueba de integración/fusión</t>
        </is>
      </c>
      <c r="M348" s="4" t="inlineStr">
        <is>
          <t>Inherited scoped adjudication; see source level and lot caveats</t>
        </is>
      </c>
      <c r="N348" s="4" t="n">
        <v>0</v>
      </c>
      <c r="O348" s="12" t="n"/>
      <c r="P348" s="41" t="n"/>
      <c r="Q348" s="4">
        <f>IF(COUNTIFS('ESTUDIOS'!$A$2:$A$455,$A348,'ESTUDIOS'!$I$2:$I$455,"")&gt;0,"",INDEX('ESTUDIOS'!$I$2:$I$455,MATCH($A348,'ESTUDIOS'!$A$2:$A$455,0)))</f>
        <v/>
      </c>
    </row>
    <row r="349" ht="47" customHeight="1">
      <c r="A349" s="4" t="inlineStr">
        <is>
          <t>new_51</t>
        </is>
      </c>
      <c r="B349" s="4" t="inlineStr">
        <is>
          <t>Update</t>
        </is>
      </c>
      <c r="C349" s="4" t="inlineStr">
        <is>
          <t>Involution fused convolution for classifying eye-tracking patterns of children with Autism Spectrum Disorder</t>
        </is>
      </c>
      <c r="D349" s="4" t="inlineStr">
        <is>
          <t>Screening</t>
        </is>
      </c>
      <c r="E349" s="4" t="inlineStr">
        <is>
          <t>Deep Learning</t>
        </is>
      </c>
      <c r="F349" s="4" t="inlineStr">
        <is>
          <t>Behavioral gaze / eye tracking</t>
        </is>
      </c>
      <c r="G349" s="4" t="inlineStr">
        <is>
          <t>Hybrid involution-convolution neural network</t>
        </is>
      </c>
      <c r="H349" s="4" t="inlineStr">
        <is>
          <t>ASD vs TD classification from eye-tracking images</t>
        </is>
      </c>
      <c r="I349" s="4" t="inlineStr">
        <is>
          <t>Screening</t>
        </is>
      </c>
      <c r="J349" s="4" t="inlineStr">
        <is>
          <t>Deep Learning</t>
        </is>
      </c>
      <c r="K349" s="4" t="inlineStr">
        <is>
          <t>Eye-tracking / scanpath images</t>
        </is>
      </c>
      <c r="L349" s="4" t="inlineStr">
        <is>
          <t>Trazas de mirada aunque se representen como imágenes</t>
        </is>
      </c>
      <c r="M349" s="4" t="inlineStr">
        <is>
          <t>Inherited scoped adjudication; see source level and lot caveats</t>
        </is>
      </c>
      <c r="N349" s="4" t="n">
        <v>0</v>
      </c>
      <c r="O349" s="12" t="n"/>
      <c r="P349" s="41" t="n"/>
      <c r="Q349" s="4">
        <f>IF(COUNTIFS('ESTUDIOS'!$A$2:$A$455,$A349,'ESTUDIOS'!$I$2:$I$455,"")&gt;0,"",INDEX('ESTUDIOS'!$I$2:$I$455,MATCH($A349,'ESTUDIOS'!$A$2:$A$455,0)))</f>
        <v/>
      </c>
    </row>
    <row r="350" ht="47" customHeight="1">
      <c r="A350" s="4" t="inlineStr">
        <is>
          <t>new_59</t>
        </is>
      </c>
      <c r="B350" s="4" t="inlineStr">
        <is>
          <t>Update</t>
        </is>
      </c>
      <c r="C350" s="4" t="inlineStr">
        <is>
          <t>Advanced autism detection and visualization through XGBoost algorithm for fNIRS hemo-dynamic signals</t>
        </is>
      </c>
      <c r="D350" s="4" t="inlineStr">
        <is>
          <t>Diagnosis</t>
        </is>
      </c>
      <c r="E350" s="4" t="inlineStr">
        <is>
          <t>Machine Learning</t>
        </is>
      </c>
      <c r="F350" s="4" t="inlineStr">
        <is>
          <t>Physiological signals</t>
        </is>
      </c>
      <c r="G350" s="4" t="inlineStr">
        <is>
          <t>XGBoost</t>
        </is>
      </c>
      <c r="H350" s="4" t="inlineStr">
        <is>
          <t>ASD vs TD diagnostic classification from fNIRS</t>
        </is>
      </c>
      <c r="I350" s="4" t="inlineStr">
        <is>
          <t>Diagnosis</t>
        </is>
      </c>
      <c r="J350" s="4" t="inlineStr">
        <is>
          <t>Machine Learning</t>
        </is>
      </c>
      <c r="K350" s="4" t="inlineStr">
        <is>
          <t>Physiological signals (fNIRS hemodynamics)</t>
        </is>
      </c>
      <c r="L350" s="4" t="inlineStr">
        <is>
          <t>Medición fisiológica explícita</t>
        </is>
      </c>
      <c r="M350" s="4" t="inlineStr">
        <is>
          <t>Inherited scoped adjudication; see source level and lot caveats</t>
        </is>
      </c>
      <c r="N350" s="4" t="n">
        <v>0</v>
      </c>
      <c r="O350" s="12" t="n"/>
      <c r="P350" s="41" t="n"/>
      <c r="Q350" s="4">
        <f>IF(COUNTIFS('ESTUDIOS'!$A$2:$A$455,$A350,'ESTUDIOS'!$I$2:$I$455,"")&gt;0,"",INDEX('ESTUDIOS'!$I$2:$I$455,MATCH($A350,'ESTUDIOS'!$A$2:$A$455,0)))</f>
        <v/>
      </c>
    </row>
    <row r="351" ht="60" customHeight="1">
      <c r="A351" s="4" t="inlineStr">
        <is>
          <t>new_60</t>
        </is>
      </c>
      <c r="B351" s="4" t="inlineStr">
        <is>
          <t>Update</t>
        </is>
      </c>
      <c r="C351" s="4" t="inlineStr">
        <is>
          <t>Using convolutional network in graphical model detection of autism disorders with fuzzy inference systems</t>
        </is>
      </c>
      <c r="D351" s="4" t="inlineStr">
        <is>
          <t>Diagnosis</t>
        </is>
      </c>
      <c r="E351" s="4" t="inlineStr">
        <is>
          <t>Hybrid</t>
        </is>
      </c>
      <c r="F351" s="4" t="inlineStr">
        <is>
          <t>Multiple modalities (as coded)</t>
        </is>
      </c>
      <c r="G351" s="4" t="inlineStr">
        <is>
          <t>Fuzzy multi-scale enhanced graph convolutional network (MSE-GCN)</t>
        </is>
      </c>
      <c r="H351" s="4" t="inlineStr">
        <is>
          <t>ASD vs TD diagnostic classification</t>
        </is>
      </c>
      <c r="I351" s="4" t="inlineStr">
        <is>
          <t>Diagnosis</t>
        </is>
      </c>
      <c r="J351" s="4" t="inlineStr">
        <is>
          <t>Hybrid</t>
        </is>
      </c>
      <c r="K351" s="4" t="inlineStr">
        <is>
          <t>Multimodal (rs-fMRI functional connectivity + phenotypic data)</t>
        </is>
      </c>
      <c r="L351" s="4" t="inlineStr">
        <is>
          <t>Modalidades múltiples declaradas; no prueba de integración/fusión</t>
        </is>
      </c>
      <c r="M351" s="4" t="inlineStr">
        <is>
          <t>Inherited scoped adjudication; see source level and lot caveats</t>
        </is>
      </c>
      <c r="N351" s="4" t="n">
        <v>0</v>
      </c>
      <c r="O351" s="12" t="n"/>
      <c r="P351" s="41" t="n"/>
      <c r="Q351" s="4">
        <f>IF(COUNTIFS('ESTUDIOS'!$A$2:$A$455,$A351,'ESTUDIOS'!$I$2:$I$455,"")&gt;0,"",INDEX('ESTUDIOS'!$I$2:$I$455,MATCH($A351,'ESTUDIOS'!$A$2:$A$455,0)))</f>
        <v/>
      </c>
    </row>
    <row r="352" ht="60" customHeight="1">
      <c r="A352" s="4" t="inlineStr">
        <is>
          <t>new_63</t>
        </is>
      </c>
      <c r="B352" s="4" t="inlineStr">
        <is>
          <t>Update</t>
        </is>
      </c>
      <c r="C352" s="4" t="inlineStr">
        <is>
          <t>Enhancing autism spectrum disorder early detection with parent-child dyads block-play protocol and attention-enhanced hybrid deep learning framework</t>
        </is>
      </c>
      <c r="D352" s="4" t="inlineStr">
        <is>
          <t>Screening</t>
        </is>
      </c>
      <c r="E352" s="4" t="inlineStr">
        <is>
          <t>Deep Learning</t>
        </is>
      </c>
      <c r="F352" s="4" t="inlineStr">
        <is>
          <t>Behavioral video / movement</t>
        </is>
      </c>
      <c r="G352" s="4" t="inlineStr">
        <is>
          <t>2sGCN-AxLSTM (two-stream GCN + attention-enhanced xLSTM)</t>
        </is>
      </c>
      <c r="H352" s="4" t="inlineStr">
        <is>
          <t>Early ASD screening from parent-child block-play behavior</t>
        </is>
      </c>
      <c r="I352" s="4" t="inlineStr">
        <is>
          <t>Screening</t>
        </is>
      </c>
      <c r="J352" s="4" t="inlineStr">
        <is>
          <t>Deep Learning</t>
        </is>
      </c>
      <c r="K352" s="4" t="inlineStr">
        <is>
          <t>Behavioral video / parent-child interaction skeleton kinematics</t>
        </is>
      </c>
      <c r="L352" s="4" t="inlineStr">
        <is>
          <t>Vídeo o movimiento conductual explícito</t>
        </is>
      </c>
      <c r="M352" s="4" t="inlineStr">
        <is>
          <t>Inherited scoped adjudication; see source level and lot caveats</t>
        </is>
      </c>
      <c r="N352" s="4" t="n">
        <v>0</v>
      </c>
      <c r="O352" s="12" t="n"/>
      <c r="P352" s="41" t="n"/>
      <c r="Q352" s="4">
        <f>IF(COUNTIFS('ESTUDIOS'!$A$2:$A$455,$A352,'ESTUDIOS'!$I$2:$I$455,"")&gt;0,"",INDEX('ESTUDIOS'!$I$2:$I$455,MATCH($A352,'ESTUDIOS'!$A$2:$A$455,0)))</f>
        <v/>
      </c>
    </row>
    <row r="353" ht="86" customHeight="1">
      <c r="A353" s="4" t="inlineStr">
        <is>
          <t>new_64</t>
        </is>
      </c>
      <c r="B353" s="4" t="inlineStr">
        <is>
          <t>Update</t>
        </is>
      </c>
      <c r="C353" s="4" t="inlineStr">
        <is>
          <t>Involvement of disulfidptosis in the pathophysiology of autism spectrum disorder</t>
        </is>
      </c>
      <c r="D353" s="4" t="inlineStr">
        <is>
          <t>Not specified</t>
        </is>
      </c>
      <c r="E353" s="4" t="inlineStr">
        <is>
          <t>Machine Learning</t>
        </is>
      </c>
      <c r="F353" s="4" t="inlineStr">
        <is>
          <t>Biological/omics</t>
        </is>
      </c>
      <c r="G353" s="4" t="inlineStr">
        <is>
          <t>ML gene-signature predictive model (7-gene panel; final classifier not clearly specified in indexed text)</t>
        </is>
      </c>
      <c r="H353" s="4" t="inlineStr">
        <is>
          <t>ASD-related molecular biomarker/pathogenesis characterization and prediction</t>
        </is>
      </c>
      <c r="I353" s="4" t="inlineStr">
        <is>
          <t>Not specified</t>
        </is>
      </c>
      <c r="J353" s="4" t="inlineStr">
        <is>
          <t>Machine Learning</t>
        </is>
      </c>
      <c r="K353" s="4" t="inlineStr">
        <is>
          <t>Biological/omics (transcriptomic/gene-expression datasets)</t>
        </is>
      </c>
      <c r="L353" s="4" t="inlineStr">
        <is>
          <t>Fuente biológica explícita</t>
        </is>
      </c>
      <c r="M353" s="4" t="inlineStr">
        <is>
          <t>Inherited scoped adjudication; see source level and lot caveats</t>
        </is>
      </c>
      <c r="N353" s="4" t="n">
        <v>1</v>
      </c>
      <c r="O353" s="12" t="n"/>
      <c r="P353" s="41" t="n"/>
      <c r="Q353" s="4">
        <f>IF(COUNTIFS('ESTUDIOS'!$A$2:$A$455,$A353,'ESTUDIOS'!$I$2:$I$455,"")&gt;0,"",INDEX('ESTUDIOS'!$I$2:$I$455,MATCH($A353,'ESTUDIOS'!$A$2:$A$455,0)))</f>
        <v/>
      </c>
    </row>
    <row r="354" ht="60" customHeight="1">
      <c r="A354" s="4" t="inlineStr">
        <is>
          <t>new_67</t>
        </is>
      </c>
      <c r="B354" s="4" t="inlineStr">
        <is>
          <t>Update</t>
        </is>
      </c>
      <c r="C354" s="4" t="inlineStr">
        <is>
          <t>Enhancing the identification of autism spectrum disorder in facial expressions using DenseResNet-Based transfer learning approach</t>
        </is>
      </c>
      <c r="D354" s="4" t="inlineStr">
        <is>
          <t>Screening</t>
        </is>
      </c>
      <c r="E354" s="4" t="inlineStr">
        <is>
          <t>Deep Learning</t>
        </is>
      </c>
      <c r="F354" s="4" t="inlineStr">
        <is>
          <t>Facial images</t>
        </is>
      </c>
      <c r="G354" s="4" t="inlineStr">
        <is>
          <t>DenseResNet transfer learning (DenseNet + ResNet)</t>
        </is>
      </c>
      <c r="H354" s="4" t="inlineStr">
        <is>
          <t>ASD vs non-ASD facial-image classification / early identification</t>
        </is>
      </c>
      <c r="I354" s="4" t="inlineStr">
        <is>
          <t>Screening</t>
        </is>
      </c>
      <c r="J354" s="4" t="inlineStr">
        <is>
          <t>Deep Learning</t>
        </is>
      </c>
      <c r="K354" s="4" t="inlineStr">
        <is>
          <t>Facial images</t>
        </is>
      </c>
      <c r="L354" s="4" t="inlineStr">
        <is>
          <t>Imágenes faciales explícitas</t>
        </is>
      </c>
      <c r="M354" s="4" t="inlineStr">
        <is>
          <t>Inherited scoped adjudication; see source level and lot caveats</t>
        </is>
      </c>
      <c r="N354" s="4" t="n">
        <v>0</v>
      </c>
      <c r="O354" s="12" t="n"/>
      <c r="P354" s="41" t="n"/>
      <c r="Q354" s="4">
        <f>IF(COUNTIFS('ESTUDIOS'!$A$2:$A$455,$A354,'ESTUDIOS'!$I$2:$I$455,"")&gt;0,"",INDEX('ESTUDIOS'!$I$2:$I$455,MATCH($A354,'ESTUDIOS'!$A$2:$A$455,0)))</f>
        <v/>
      </c>
    </row>
    <row r="355" ht="60" customHeight="1">
      <c r="A355" s="4" t="inlineStr">
        <is>
          <t>new_74</t>
        </is>
      </c>
      <c r="B355" s="4" t="inlineStr">
        <is>
          <t>Update</t>
        </is>
      </c>
      <c r="C355" s="4" t="inlineStr">
        <is>
          <t>Deep neurocomputational fusion for ASD diagnosis using multi-domain EEG analysis</t>
        </is>
      </c>
      <c r="D355" s="4" t="inlineStr">
        <is>
          <t>Diagnosis</t>
        </is>
      </c>
      <c r="E355" s="4" t="inlineStr">
        <is>
          <t>Hybrid</t>
        </is>
      </c>
      <c r="F355" s="4" t="inlineStr">
        <is>
          <t>Physiological signals</t>
        </is>
      </c>
      <c r="G355" s="4" t="inlineStr">
        <is>
          <t>EEFM (LSTM autoencoder + XGBoost regressor + linear regression)</t>
        </is>
      </c>
      <c r="H355" s="4" t="inlineStr">
        <is>
          <t>EEG-based ASD vs TD classification</t>
        </is>
      </c>
      <c r="I355" s="4" t="inlineStr">
        <is>
          <t>Diagnosis</t>
        </is>
      </c>
      <c r="J355" s="4" t="inlineStr">
        <is>
          <t>Hybrid</t>
        </is>
      </c>
      <c r="K355" s="4" t="inlineStr">
        <is>
          <t>Physiological signals (EEG)</t>
        </is>
      </c>
      <c r="L355" s="4" t="inlineStr">
        <is>
          <t>Medición fisiológica explícita</t>
        </is>
      </c>
      <c r="M355" s="4" t="inlineStr">
        <is>
          <t>Inherited scoped adjudication; see source level and lot caveats</t>
        </is>
      </c>
      <c r="N355" s="4" t="n">
        <v>0</v>
      </c>
      <c r="O355" s="12" t="n"/>
      <c r="P355" s="41" t="n"/>
      <c r="Q355" s="4">
        <f>IF(COUNTIFS('ESTUDIOS'!$A$2:$A$455,$A355,'ESTUDIOS'!$I$2:$I$455,"")&gt;0,"",INDEX('ESTUDIOS'!$I$2:$I$455,MATCH($A355,'ESTUDIOS'!$A$2:$A$455,0)))</f>
        <v/>
      </c>
    </row>
    <row r="356" ht="47" customHeight="1">
      <c r="A356" s="4" t="inlineStr">
        <is>
          <t>new_76</t>
        </is>
      </c>
      <c r="B356" s="4" t="inlineStr">
        <is>
          <t>Update</t>
        </is>
      </c>
      <c r="C356" s="4" t="inlineStr">
        <is>
          <t>Female autism categorization using CNN based NeuroNet57 and ant colony optimization</t>
        </is>
      </c>
      <c r="D356" s="4" t="inlineStr">
        <is>
          <t>Diagnosis</t>
        </is>
      </c>
      <c r="E356" s="4" t="inlineStr">
        <is>
          <t>Hybrid</t>
        </is>
      </c>
      <c r="F356" s="4" t="inlineStr">
        <is>
          <t>Neuroimaging</t>
        </is>
      </c>
      <c r="G356" s="4" t="inlineStr">
        <is>
          <t>NeuroNet57 + ant colony optimization + FineKNN</t>
        </is>
      </c>
      <c r="H356" s="4" t="inlineStr">
        <is>
          <t>Female ASD vs control classification</t>
        </is>
      </c>
      <c r="I356" s="4" t="inlineStr">
        <is>
          <t>Diagnosis</t>
        </is>
      </c>
      <c r="J356" s="4" t="inlineStr">
        <is>
          <t>Hybrid</t>
        </is>
      </c>
      <c r="K356" s="4" t="inlineStr">
        <is>
          <t>Neuroimaging (brain MRI/fMRI from ABIDE-I and ABIDE-II)</t>
        </is>
      </c>
      <c r="L356" s="4" t="inlineStr">
        <is>
          <t>Fuente de neuroimagen explícita</t>
        </is>
      </c>
      <c r="M356" s="4" t="inlineStr">
        <is>
          <t>Inherited scoped adjudication; see source level and lot caveats</t>
        </is>
      </c>
      <c r="N356" s="4" t="n">
        <v>0</v>
      </c>
      <c r="O356" s="12" t="n"/>
      <c r="P356" s="41" t="n"/>
      <c r="Q356" s="4">
        <f>IF(COUNTIFS('ESTUDIOS'!$A$2:$A$455,$A356,'ESTUDIOS'!$I$2:$I$455,"")&gt;0,"",INDEX('ESTUDIOS'!$I$2:$I$455,MATCH($A356,'ESTUDIOS'!$A$2:$A$455,0)))</f>
        <v/>
      </c>
    </row>
    <row r="357" ht="60" customHeight="1">
      <c r="A357" s="4" t="inlineStr">
        <is>
          <t>new_78</t>
        </is>
      </c>
      <c r="B357" s="4" t="inlineStr">
        <is>
          <t>Update</t>
        </is>
      </c>
      <c r="C357" s="4" t="inlineStr">
        <is>
          <t>Capsule DenseNet++: Enhanced autism detection framework with deep learning and reinforcement learning-based lifestyle recommendation</t>
        </is>
      </c>
      <c r="D357" s="4" t="inlineStr">
        <is>
          <t>Screening</t>
        </is>
      </c>
      <c r="E357" s="4" t="inlineStr">
        <is>
          <t>Hybrid</t>
        </is>
      </c>
      <c r="F357" s="4" t="inlineStr">
        <is>
          <t>Structured / tabular data</t>
        </is>
      </c>
      <c r="G357" s="4" t="inlineStr">
        <is>
          <t>Capsule DenseNet++ + CosmoNest optimization + PPO recommendation</t>
        </is>
      </c>
      <c r="H357" s="4" t="inlineStr">
        <is>
          <t>ASD screening classification plus lifestyle recommendation</t>
        </is>
      </c>
      <c r="I357" s="4" t="inlineStr">
        <is>
          <t>Screening</t>
        </is>
      </c>
      <c r="J357" s="4" t="inlineStr">
        <is>
          <t>Hybrid</t>
        </is>
      </c>
      <c r="K357" s="4" t="inlineStr">
        <is>
          <t>Structured behavioral / questionnaire screening data</t>
        </is>
      </c>
      <c r="L357" s="4" t="inlineStr">
        <is>
          <t>Variables estructuradas/tabulares; no inferir NLP</t>
        </is>
      </c>
      <c r="M357" s="4" t="inlineStr">
        <is>
          <t>Inherited scoped adjudication; see source level and lot caveats</t>
        </is>
      </c>
      <c r="N357" s="4" t="n">
        <v>0</v>
      </c>
      <c r="O357" s="12" t="n"/>
      <c r="P357" s="41" t="n"/>
      <c r="Q357" s="4">
        <f>IF(COUNTIFS('ESTUDIOS'!$A$2:$A$455,$A357,'ESTUDIOS'!$I$2:$I$455,"")&gt;0,"",INDEX('ESTUDIOS'!$I$2:$I$455,MATCH($A357,'ESTUDIOS'!$A$2:$A$455,0)))</f>
        <v/>
      </c>
    </row>
    <row r="358" ht="73" customHeight="1">
      <c r="A358" s="4" t="inlineStr">
        <is>
          <t>new_81</t>
        </is>
      </c>
      <c r="B358" s="4" t="inlineStr">
        <is>
          <t>Update</t>
        </is>
      </c>
      <c r="C358" s="4" t="inlineStr">
        <is>
          <t>Self-training EEG discrimination model with weakly supervised sample construction: An age-based perspective on ASD evaluation</t>
        </is>
      </c>
      <c r="D358" s="4" t="inlineStr">
        <is>
          <t>Diagnosis</t>
        </is>
      </c>
      <c r="E358" s="4" t="inlineStr">
        <is>
          <t>Deep Learning</t>
        </is>
      </c>
      <c r="F358" s="4" t="inlineStr">
        <is>
          <t>Physiological signals</t>
        </is>
      </c>
      <c r="G358" s="4" t="inlineStr">
        <is>
          <t>STEM / MAC autoencoder + depthwise-separable CNN + BiGRU with PLASC self-training</t>
        </is>
      </c>
      <c r="H358" s="4" t="inlineStr">
        <is>
          <t>EEG-based ASD evaluation/classification</t>
        </is>
      </c>
      <c r="I358" s="4" t="inlineStr">
        <is>
          <t>Diagnosis</t>
        </is>
      </c>
      <c r="J358" s="4" t="inlineStr">
        <is>
          <t>Deep Learning</t>
        </is>
      </c>
      <c r="K358" s="4" t="inlineStr">
        <is>
          <t>Physiological signals (EEG)</t>
        </is>
      </c>
      <c r="L358" s="4" t="inlineStr">
        <is>
          <t>Medición fisiológica explícita</t>
        </is>
      </c>
      <c r="M358" s="4" t="inlineStr">
        <is>
          <t>Inherited scoped adjudication; see source level and lot caveats</t>
        </is>
      </c>
      <c r="N358" s="4" t="n">
        <v>0</v>
      </c>
      <c r="O358" s="12" t="n"/>
      <c r="P358" s="41" t="n"/>
      <c r="Q358" s="4">
        <f>IF(COUNTIFS('ESTUDIOS'!$A$2:$A$455,$A358,'ESTUDIOS'!$I$2:$I$455,"")&gt;0,"",INDEX('ESTUDIOS'!$I$2:$I$455,MATCH($A358,'ESTUDIOS'!$A$2:$A$455,0)))</f>
        <v/>
      </c>
    </row>
    <row r="359" ht="60" customHeight="1">
      <c r="A359" s="4" t="inlineStr">
        <is>
          <t>new_84</t>
        </is>
      </c>
      <c r="B359" s="4" t="inlineStr">
        <is>
          <t>Update</t>
        </is>
      </c>
      <c r="C359" s="4" t="inlineStr">
        <is>
          <t>Towards screening of children students with autism spectrum disorder based on executive functions with serious game and machine learning approaches</t>
        </is>
      </c>
      <c r="D359" s="4" t="inlineStr">
        <is>
          <t>Screening</t>
        </is>
      </c>
      <c r="E359" s="4" t="inlineStr">
        <is>
          <t>Machine Learning</t>
        </is>
      </c>
      <c r="F359" s="4" t="inlineStr">
        <is>
          <t>Digital / robot interaction</t>
        </is>
      </c>
      <c r="G359" s="4" t="inlineStr">
        <is>
          <t>Random Forest (best-performing among seven ML models)</t>
        </is>
      </c>
      <c r="H359" s="4" t="inlineStr">
        <is>
          <t>School-based ASD screening from serious-game interaction data</t>
        </is>
      </c>
      <c r="I359" s="4" t="inlineStr">
        <is>
          <t>Screening</t>
        </is>
      </c>
      <c r="J359" s="4" t="inlineStr">
        <is>
          <t>Machine Learning</t>
        </is>
      </c>
      <c r="K359" s="4" t="inlineStr">
        <is>
          <t>Digital interaction / serious-game executive-function data</t>
        </is>
      </c>
      <c r="L359" s="4" t="inlineStr">
        <is>
          <t>Datos de interacción; no inferir NLP</t>
        </is>
      </c>
      <c r="M359" s="4" t="inlineStr">
        <is>
          <t>Inherited scoped adjudication; see source level and lot caveats</t>
        </is>
      </c>
      <c r="N359" s="4" t="n">
        <v>0</v>
      </c>
      <c r="O359" s="12" t="n"/>
      <c r="P359" s="41" t="n"/>
      <c r="Q359" s="4">
        <f>IF(COUNTIFS('ESTUDIOS'!$A$2:$A$455,$A359,'ESTUDIOS'!$I$2:$I$455,"")&gt;0,"",INDEX('ESTUDIOS'!$I$2:$I$455,MATCH($A359,'ESTUDIOS'!$A$2:$A$455,0)))</f>
        <v/>
      </c>
    </row>
    <row r="360" ht="60" customHeight="1">
      <c r="A360" s="4" t="inlineStr">
        <is>
          <t>new_86</t>
        </is>
      </c>
      <c r="B360" s="4" t="inlineStr">
        <is>
          <t>Update</t>
        </is>
      </c>
      <c r="C360" s="4" t="inlineStr">
        <is>
          <t>Optimized attention-enhanced U-Net for autism detection and region localization in MRI</t>
        </is>
      </c>
      <c r="D360" s="4" t="inlineStr">
        <is>
          <t>Diagnosis</t>
        </is>
      </c>
      <c r="E360" s="4" t="inlineStr">
        <is>
          <t>Deep Learning</t>
        </is>
      </c>
      <c r="F360" s="4" t="inlineStr">
        <is>
          <t>Neuroimaging</t>
        </is>
      </c>
      <c r="G360" s="4" t="inlineStr">
        <is>
          <t>RA-EBO optimized SSM-AM classifier + MDA-AUnet localization</t>
        </is>
      </c>
      <c r="H360" s="4" t="inlineStr">
        <is>
          <t>ASD classification plus abnormality-region localization</t>
        </is>
      </c>
      <c r="I360" s="4" t="inlineStr">
        <is>
          <t>Diagnosis</t>
        </is>
      </c>
      <c r="J360" s="4" t="inlineStr">
        <is>
          <t>Deep Learning</t>
        </is>
      </c>
      <c r="K360" s="4" t="inlineStr">
        <is>
          <t>Neuroimaging (MRI / ABIDE)</t>
        </is>
      </c>
      <c r="L360" s="4" t="inlineStr">
        <is>
          <t>Fuente de neuroimagen explícita</t>
        </is>
      </c>
      <c r="M360" s="4" t="inlineStr">
        <is>
          <t>Inherited scoped adjudication; see source level and lot caveats</t>
        </is>
      </c>
      <c r="N360" s="4" t="n">
        <v>0</v>
      </c>
      <c r="O360" s="12" t="n"/>
      <c r="P360" s="41" t="n"/>
      <c r="Q360" s="4">
        <f>IF(COUNTIFS('ESTUDIOS'!$A$2:$A$455,$A360,'ESTUDIOS'!$I$2:$I$455,"")&gt;0,"",INDEX('ESTUDIOS'!$I$2:$I$455,MATCH($A360,'ESTUDIOS'!$A$2:$A$455,0)))</f>
        <v/>
      </c>
    </row>
    <row r="361" ht="60" customHeight="1">
      <c r="A361" s="4" t="inlineStr">
        <is>
          <t>new_97</t>
        </is>
      </c>
      <c r="B361" s="4" t="inlineStr">
        <is>
          <t>Update</t>
        </is>
      </c>
      <c r="C361" s="4" t="inlineStr">
        <is>
          <t>Child-therapist acoustic synchrony and response trajectories in autism intervention: an AI-based automated analysis using dynamic systems theory and affective computing</t>
        </is>
      </c>
      <c r="D361" s="4" t="inlineStr">
        <is>
          <t>Monitoring/intervention</t>
        </is>
      </c>
      <c r="E361" s="4" t="inlineStr">
        <is>
          <t>Hybrid</t>
        </is>
      </c>
      <c r="F361" s="4" t="inlineStr">
        <is>
          <t>Audio / voice</t>
        </is>
      </c>
      <c r="G361" s="4" t="inlineStr">
        <is>
          <t>Automated AI speech segmentation + CRQA acoustic-synchrony pipeline</t>
        </is>
      </c>
      <c r="H361" s="4" t="inlineStr">
        <is>
          <t>Longitudinal child-therapist synchrony and intervention-response monitoring</t>
        </is>
      </c>
      <c r="I361" s="4" t="inlineStr">
        <is>
          <t>Monitoring/intervention</t>
        </is>
      </c>
      <c r="J361" s="4" t="inlineStr">
        <is>
          <t>Hybrid</t>
        </is>
      </c>
      <c r="K361" s="4" t="inlineStr">
        <is>
          <t>Audio / voice (child-therapist intervention sessions)</t>
        </is>
      </c>
      <c r="L361" s="4" t="inlineStr">
        <is>
          <t>Audio explícito</t>
        </is>
      </c>
      <c r="M361" s="4" t="inlineStr">
        <is>
          <t>Inherited scoped adjudication; see source level and lot caveats</t>
        </is>
      </c>
      <c r="N361" s="4" t="n">
        <v>0</v>
      </c>
      <c r="O361" s="12" t="n"/>
      <c r="P361" s="41" t="n"/>
      <c r="Q361" s="4">
        <f>IF(COUNTIFS('ESTUDIOS'!$A$2:$A$455,$A361,'ESTUDIOS'!$I$2:$I$455,"")&gt;0,"",INDEX('ESTUDIOS'!$I$2:$I$455,MATCH($A361,'ESTUDIOS'!$A$2:$A$455,0)))</f>
        <v/>
      </c>
    </row>
    <row r="362" ht="73" customHeight="1">
      <c r="A362" s="4" t="inlineStr">
        <is>
          <t>new_103</t>
        </is>
      </c>
      <c r="B362" s="4" t="inlineStr">
        <is>
          <t>Update</t>
        </is>
      </c>
      <c r="C362" s="4" t="inlineStr">
        <is>
          <t>Early fusion for Autism classification with biomarker detection using rs-fMRI and phenotypic data</t>
        </is>
      </c>
      <c r="D362" s="4" t="inlineStr">
        <is>
          <t>Diagnosis</t>
        </is>
      </c>
      <c r="E362" s="4" t="inlineStr">
        <is>
          <t>Hybrid</t>
        </is>
      </c>
      <c r="F362" s="4" t="inlineStr">
        <is>
          <t>Multiple modalities (as coded)</t>
        </is>
      </c>
      <c r="G362" s="4" t="inlineStr">
        <is>
          <t>Convolutional autoencoder + conventional classifiers in early-fusion pipeline</t>
        </is>
      </c>
      <c r="H362" s="4" t="inlineStr">
        <is>
          <t>ASD classification plus biomarker detection</t>
        </is>
      </c>
      <c r="I362" s="4" t="inlineStr">
        <is>
          <t>Diagnosis</t>
        </is>
      </c>
      <c r="J362" s="4" t="inlineStr">
        <is>
          <t>Hybrid</t>
        </is>
      </c>
      <c r="K362" s="4" t="inlineStr">
        <is>
          <t>Multimodal (rs-fMRI + phenotypic data)</t>
        </is>
      </c>
      <c r="L362" s="4" t="inlineStr">
        <is>
          <t>Modalidades múltiples declaradas; no prueba de integración/fusión</t>
        </is>
      </c>
      <c r="M362" s="4" t="inlineStr">
        <is>
          <t>Inherited scoped adjudication; see source level and lot caveats</t>
        </is>
      </c>
      <c r="N362" s="4" t="n">
        <v>0</v>
      </c>
      <c r="O362" s="12" t="n"/>
      <c r="P362" s="41" t="n"/>
      <c r="Q362" s="4">
        <f>IF(COUNTIFS('ESTUDIOS'!$A$2:$A$455,$A362,'ESTUDIOS'!$I$2:$I$455,"")&gt;0,"",INDEX('ESTUDIOS'!$I$2:$I$455,MATCH($A362,'ESTUDIOS'!$A$2:$A$455,0)))</f>
        <v/>
      </c>
    </row>
    <row r="363" ht="60" customHeight="1">
      <c r="A363" s="4" t="inlineStr">
        <is>
          <t>new_110</t>
        </is>
      </c>
      <c r="B363" s="4" t="inlineStr">
        <is>
          <t>Update</t>
        </is>
      </c>
      <c r="C363" s="4" t="inlineStr">
        <is>
          <t>A deep learning model for diagnosing autism using brain time series</t>
        </is>
      </c>
      <c r="D363" s="4" t="inlineStr">
        <is>
          <t>Diagnosis</t>
        </is>
      </c>
      <c r="E363" s="4" t="inlineStr">
        <is>
          <t>Deep Learning</t>
        </is>
      </c>
      <c r="F363" s="4" t="inlineStr">
        <is>
          <t>Neuroimaging</t>
        </is>
      </c>
      <c r="G363" s="4" t="inlineStr">
        <is>
          <t>LSTM with attention and residual/channel-attention components</t>
        </is>
      </c>
      <c r="H363" s="4" t="inlineStr">
        <is>
          <t>ASD diagnostic classification from brain time series</t>
        </is>
      </c>
      <c r="I363" s="4" t="inlineStr">
        <is>
          <t>Diagnosis</t>
        </is>
      </c>
      <c r="J363" s="4" t="inlineStr">
        <is>
          <t>Deep Learning</t>
        </is>
      </c>
      <c r="K363" s="4" t="inlineStr">
        <is>
          <t>Neuroimaging (rs-fMRI ROI time series / ABIDE)</t>
        </is>
      </c>
      <c r="L363" s="4" t="inlineStr">
        <is>
          <t>Fuente de neuroimagen explícita</t>
        </is>
      </c>
      <c r="M363" s="4" t="inlineStr">
        <is>
          <t>Inherited scoped adjudication; see source level and lot caveats</t>
        </is>
      </c>
      <c r="N363" s="4" t="n">
        <v>0</v>
      </c>
      <c r="O363" s="12" t="n"/>
      <c r="P363" s="41" t="n"/>
      <c r="Q363" s="4">
        <f>IF(COUNTIFS('ESTUDIOS'!$A$2:$A$455,$A363,'ESTUDIOS'!$I$2:$I$455,"")&gt;0,"",INDEX('ESTUDIOS'!$I$2:$I$455,MATCH($A363,'ESTUDIOS'!$A$2:$A$455,0)))</f>
        <v/>
      </c>
    </row>
    <row r="364" ht="60" customHeight="1">
      <c r="A364" s="4" t="inlineStr">
        <is>
          <t>new_118</t>
        </is>
      </c>
      <c r="B364" s="4" t="inlineStr">
        <is>
          <t>Update</t>
        </is>
      </c>
      <c r="C364" s="4" t="inlineStr">
        <is>
          <t>Massively parallel characterization of non-coding de novo mutations in autism spectrum disorder</t>
        </is>
      </c>
      <c r="D364" s="4" t="inlineStr">
        <is>
          <t>Not specified</t>
        </is>
      </c>
      <c r="E364" s="4" t="inlineStr">
        <is>
          <t>Deep Learning</t>
        </is>
      </c>
      <c r="F364" s="4" t="inlineStr">
        <is>
          <t>Biological/omics</t>
        </is>
      </c>
      <c r="G364" s="4" t="inlineStr">
        <is>
          <t>Cell-specific deep-learning variant-effect prediction model</t>
        </is>
      </c>
      <c r="H364" s="4" t="inlineStr">
        <is>
          <t>Functional prioritization/characterization of ASD-risk non-coding variants</t>
        </is>
      </c>
      <c r="I364" s="4" t="inlineStr">
        <is>
          <t>Not specified</t>
        </is>
      </c>
      <c r="J364" s="4" t="inlineStr">
        <is>
          <t>Deep Learning</t>
        </is>
      </c>
      <c r="K364" s="4" t="inlineStr">
        <is>
          <t>Biological/omics (non-coding de novo variants and regulatory genomics)</t>
        </is>
      </c>
      <c r="L364" s="4" t="inlineStr">
        <is>
          <t>Fuente biológica explícita</t>
        </is>
      </c>
      <c r="M364" s="4" t="inlineStr">
        <is>
          <t>Inherited scoped adjudication; see source level and lot caveats</t>
        </is>
      </c>
      <c r="N364" s="4" t="n">
        <v>1</v>
      </c>
      <c r="O364" s="12" t="n"/>
      <c r="P364" s="41" t="n"/>
      <c r="Q364" s="4">
        <f>IF(COUNTIFS('ESTUDIOS'!$A$2:$A$455,$A364,'ESTUDIOS'!$I$2:$I$455,"")&gt;0,"",INDEX('ESTUDIOS'!$I$2:$I$455,MATCH($A364,'ESTUDIOS'!$A$2:$A$455,0)))</f>
        <v/>
      </c>
    </row>
    <row r="365" ht="47" customHeight="1">
      <c r="A365" s="4" t="inlineStr">
        <is>
          <t>new_122</t>
        </is>
      </c>
      <c r="B365" s="4" t="inlineStr">
        <is>
          <t>Update</t>
        </is>
      </c>
      <c r="C365" s="4" t="inlineStr">
        <is>
          <t>A novel hybrid deep learning model using MEResNextfor autism spectrum disorder detection</t>
        </is>
      </c>
      <c r="D365" s="4" t="inlineStr">
        <is>
          <t>Screening</t>
        </is>
      </c>
      <c r="E365" s="4" t="inlineStr">
        <is>
          <t>Hybrid</t>
        </is>
      </c>
      <c r="F365" s="4" t="inlineStr">
        <is>
          <t>Structured / tabular data</t>
        </is>
      </c>
      <c r="G365" s="4" t="inlineStr">
        <is>
          <t>MEResNeXt (MoNet + ResNeXt) with DeSEHO feature selection</t>
        </is>
      </c>
      <c r="H365" s="4" t="inlineStr">
        <is>
          <t>ASD screening classification</t>
        </is>
      </c>
      <c r="I365" s="4" t="inlineStr">
        <is>
          <t>Screening</t>
        </is>
      </c>
      <c r="J365" s="4" t="inlineStr">
        <is>
          <t>Hybrid</t>
        </is>
      </c>
      <c r="K365" s="4" t="inlineStr">
        <is>
          <t>Structured behavioral / questionnaire screening data</t>
        </is>
      </c>
      <c r="L365" s="4" t="inlineStr">
        <is>
          <t>Variables estructuradas/tabulares; no inferir NLP</t>
        </is>
      </c>
      <c r="M365" s="4" t="inlineStr">
        <is>
          <t>Inherited scoped adjudication; see source level and lot caveats</t>
        </is>
      </c>
      <c r="N365" s="4" t="n">
        <v>0</v>
      </c>
      <c r="O365" s="12" t="n"/>
      <c r="P365" s="41" t="n"/>
      <c r="Q365" s="4">
        <f>IF(COUNTIFS('ESTUDIOS'!$A$2:$A$455,$A365,'ESTUDIOS'!$I$2:$I$455,"")&gt;0,"",INDEX('ESTUDIOS'!$I$2:$I$455,MATCH($A365,'ESTUDIOS'!$A$2:$A$455,0)))</f>
        <v/>
      </c>
    </row>
    <row r="366" ht="60" customHeight="1">
      <c r="A366" s="4" t="inlineStr">
        <is>
          <t>new_123</t>
        </is>
      </c>
      <c r="B366" s="4" t="inlineStr">
        <is>
          <t>Update</t>
        </is>
      </c>
      <c r="C366" s="4" t="inlineStr">
        <is>
          <t>FaithfulNet: An explainable deep learning framework for autism diagnosis using structural MRI</t>
        </is>
      </c>
      <c r="D366" s="4" t="inlineStr">
        <is>
          <t>Diagnosis</t>
        </is>
      </c>
      <c r="E366" s="4" t="inlineStr">
        <is>
          <t>Deep Learning</t>
        </is>
      </c>
      <c r="F366" s="4" t="inlineStr">
        <is>
          <t>Neuroimaging</t>
        </is>
      </c>
      <c r="G366" s="4" t="inlineStr">
        <is>
          <t>FaithfulNet 3D CNN + Faith_CAM (Grad-CAM + SHAP)</t>
        </is>
      </c>
      <c r="H366" s="4" t="inlineStr">
        <is>
          <t>ASD classification plus explainable brain-region localization</t>
        </is>
      </c>
      <c r="I366" s="4" t="inlineStr">
        <is>
          <t>Diagnosis</t>
        </is>
      </c>
      <c r="J366" s="4" t="inlineStr">
        <is>
          <t>Deep Learning</t>
        </is>
      </c>
      <c r="K366" s="4" t="inlineStr">
        <is>
          <t>Neuroimaging (structural MRI / ABIDE-II)</t>
        </is>
      </c>
      <c r="L366" s="4" t="inlineStr">
        <is>
          <t>Fuente de neuroimagen explícita</t>
        </is>
      </c>
      <c r="M366" s="4" t="inlineStr">
        <is>
          <t>Inherited scoped adjudication; see source level and lot caveats</t>
        </is>
      </c>
      <c r="N366" s="4" t="n">
        <v>0</v>
      </c>
      <c r="O366" s="12" t="n"/>
      <c r="P366" s="41" t="n"/>
      <c r="Q366" s="4">
        <f>IF(COUNTIFS('ESTUDIOS'!$A$2:$A$455,$A366,'ESTUDIOS'!$I$2:$I$455,"")&gt;0,"",INDEX('ESTUDIOS'!$I$2:$I$455,MATCH($A366,'ESTUDIOS'!$A$2:$A$455,0)))</f>
        <v/>
      </c>
    </row>
    <row r="367" ht="60" customHeight="1">
      <c r="A367" s="4" t="inlineStr">
        <is>
          <t>new_126</t>
        </is>
      </c>
      <c r="B367" s="4" t="inlineStr">
        <is>
          <t>Update</t>
        </is>
      </c>
      <c r="C367" s="4" t="inlineStr">
        <is>
          <t>CARE: Comprehensive Artificial Intelligence Techniques for Reliable Autism Evaluation in Pediatric Care</t>
        </is>
      </c>
      <c r="D367" s="4" t="inlineStr">
        <is>
          <t>Screening</t>
        </is>
      </c>
      <c r="E367" s="4" t="inlineStr">
        <is>
          <t>Machine Learning</t>
        </is>
      </c>
      <c r="F367" s="4" t="inlineStr">
        <is>
          <t>Structured / tabular data</t>
        </is>
      </c>
      <c r="G367" s="4" t="inlineStr">
        <is>
          <t>CatBoost + PyCaret AutoML + SHAP</t>
        </is>
      </c>
      <c r="H367" s="4" t="inlineStr">
        <is>
          <t>Pediatric ASD trait prediction / early screening</t>
        </is>
      </c>
      <c r="I367" s="4" t="inlineStr">
        <is>
          <t>Screening</t>
        </is>
      </c>
      <c r="J367" s="4" t="inlineStr">
        <is>
          <t>Machine Learning</t>
        </is>
      </c>
      <c r="K367" s="4" t="inlineStr">
        <is>
          <t>Structured behavioral / questionnaire / clinical-trait data</t>
        </is>
      </c>
      <c r="L367" s="4" t="inlineStr">
        <is>
          <t>Variables estructuradas/tabulares; no inferir NLP</t>
        </is>
      </c>
      <c r="M367" s="4" t="inlineStr">
        <is>
          <t>Inherited scoped adjudication; see source level and lot caveats</t>
        </is>
      </c>
      <c r="N367" s="4" t="n">
        <v>0</v>
      </c>
      <c r="O367" s="12" t="n"/>
      <c r="P367" s="41" t="n"/>
      <c r="Q367" s="4">
        <f>IF(COUNTIFS('ESTUDIOS'!$A$2:$A$455,$A367,'ESTUDIOS'!$I$2:$I$455,"")&gt;0,"",INDEX('ESTUDIOS'!$I$2:$I$455,MATCH($A367,'ESTUDIOS'!$A$2:$A$455,0)))</f>
        <v/>
      </c>
    </row>
    <row r="368" ht="60" customHeight="1">
      <c r="A368" s="4" t="inlineStr">
        <is>
          <t>new_134</t>
        </is>
      </c>
      <c r="B368" s="4" t="inlineStr">
        <is>
          <t>Update</t>
        </is>
      </c>
      <c r="C368" s="4" t="inlineStr">
        <is>
          <t>ASD-HybridNet: A hybrid deep learning framework for detection of autism spectrum disorder</t>
        </is>
      </c>
      <c r="D368" s="4" t="inlineStr">
        <is>
          <t>Diagnosis</t>
        </is>
      </c>
      <c r="E368" s="4" t="inlineStr">
        <is>
          <t>Deep Learning</t>
        </is>
      </c>
      <c r="F368" s="4" t="inlineStr">
        <is>
          <t>Neuroimaging</t>
        </is>
      </c>
      <c r="G368" s="4" t="inlineStr">
        <is>
          <t>ASD-HybridNet (ROI time-series + functional-connectivity map fusion)</t>
        </is>
      </c>
      <c r="H368" s="4" t="inlineStr">
        <is>
          <t>ASD diagnostic classification</t>
        </is>
      </c>
      <c r="I368" s="4" t="inlineStr">
        <is>
          <t>Diagnosis</t>
        </is>
      </c>
      <c r="J368" s="4" t="inlineStr">
        <is>
          <t>Deep Learning</t>
        </is>
      </c>
      <c r="K368" s="4" t="inlineStr">
        <is>
          <t>Neuroimaging (rs-fMRI / ABIDE-I)</t>
        </is>
      </c>
      <c r="L368" s="4" t="inlineStr">
        <is>
          <t>Fuente de neuroimagen explícita</t>
        </is>
      </c>
      <c r="M368" s="4" t="inlineStr">
        <is>
          <t>Inherited scoped adjudication; see source level and lot caveats</t>
        </is>
      </c>
      <c r="N368" s="4" t="n">
        <v>0</v>
      </c>
      <c r="O368" s="12" t="n"/>
      <c r="P368" s="41" t="n"/>
      <c r="Q368" s="4">
        <f>IF(COUNTIFS('ESTUDIOS'!$A$2:$A$455,$A368,'ESTUDIOS'!$I$2:$I$455,"")&gt;0,"",INDEX('ESTUDIOS'!$I$2:$I$455,MATCH($A368,'ESTUDIOS'!$A$2:$A$455,0)))</f>
        <v/>
      </c>
    </row>
    <row r="369" ht="73" customHeight="1">
      <c r="A369" s="4" t="inlineStr">
        <is>
          <t>new_146</t>
        </is>
      </c>
      <c r="B369" s="4" t="inlineStr">
        <is>
          <t>Update</t>
        </is>
      </c>
      <c r="C369" s="4" t="inlineStr">
        <is>
          <t>Deep learning-based detection of autism spectrum disorder and emotion recognition in children</t>
        </is>
      </c>
      <c r="D369" s="4" t="inlineStr">
        <is>
          <t>Screening</t>
        </is>
      </c>
      <c r="E369" s="4" t="inlineStr">
        <is>
          <t>Deep Learning</t>
        </is>
      </c>
      <c r="F369" s="4" t="inlineStr">
        <is>
          <t>Facial images</t>
        </is>
      </c>
      <c r="G369" s="4" t="inlineStr">
        <is>
          <t>ResNet50V2 + InceptionV3 for ASD detection; Enhanced MobileNet for emotion recognition</t>
        </is>
      </c>
      <c r="H369" s="4" t="inlineStr">
        <is>
          <t>ASD facial-image screening plus emotion recognition</t>
        </is>
      </c>
      <c r="I369" s="4" t="inlineStr">
        <is>
          <t>Screening</t>
        </is>
      </c>
      <c r="J369" s="4" t="inlineStr">
        <is>
          <t>Deep Learning</t>
        </is>
      </c>
      <c r="K369" s="4" t="inlineStr">
        <is>
          <t>Facial images</t>
        </is>
      </c>
      <c r="L369" s="4" t="inlineStr">
        <is>
          <t>Imágenes faciales explícitas</t>
        </is>
      </c>
      <c r="M369" s="4" t="inlineStr">
        <is>
          <t>Inherited scoped adjudication; see source level and lot caveats</t>
        </is>
      </c>
      <c r="N369" s="4" t="n">
        <v>0</v>
      </c>
      <c r="O369" s="12" t="n"/>
      <c r="P369" s="41" t="n"/>
      <c r="Q369" s="4">
        <f>IF(COUNTIFS('ESTUDIOS'!$A$2:$A$455,$A369,'ESTUDIOS'!$I$2:$I$455,"")&gt;0,"",INDEX('ESTUDIOS'!$I$2:$I$455,MATCH($A369,'ESTUDIOS'!$A$2:$A$455,0)))</f>
        <v/>
      </c>
    </row>
    <row r="370" ht="60" customHeight="1">
      <c r="A370" s="4" t="inlineStr">
        <is>
          <t>new_149</t>
        </is>
      </c>
      <c r="B370" s="4" t="inlineStr">
        <is>
          <t>Update</t>
        </is>
      </c>
      <c r="C370" s="4" t="inlineStr">
        <is>
          <t>A new approach in autism diagnosis: Evaluating natural interaction using point of view (POV) glasses</t>
        </is>
      </c>
      <c r="D370" s="4" t="inlineStr">
        <is>
          <t>Diagnosis</t>
        </is>
      </c>
      <c r="E370" s="4" t="inlineStr">
        <is>
          <t>Machine Learning</t>
        </is>
      </c>
      <c r="F370" s="4" t="inlineStr">
        <is>
          <t>Behavioral video / movement</t>
        </is>
      </c>
      <c r="G370" s="4" t="inlineStr">
        <is>
          <t>OpenFace + MediaPipe features with AdaBoost/decision-tree classification</t>
        </is>
      </c>
      <c r="H370" s="4" t="inlineStr">
        <is>
          <t>Early ASD diagnostic classification from naturalistic interaction</t>
        </is>
      </c>
      <c r="I370" s="4" t="inlineStr">
        <is>
          <t>Diagnosis</t>
        </is>
      </c>
      <c r="J370" s="4" t="inlineStr">
        <is>
          <t>Machine Learning</t>
        </is>
      </c>
      <c r="K370" s="4" t="inlineStr">
        <is>
          <t>Behavioral video / naturalistic facial-social interaction (POV camera)</t>
        </is>
      </c>
      <c r="L370" s="4" t="inlineStr">
        <is>
          <t>Vídeo o movimiento conductual explícito</t>
        </is>
      </c>
      <c r="M370" s="4" t="inlineStr">
        <is>
          <t>Inherited scoped adjudication; see source level and lot caveats</t>
        </is>
      </c>
      <c r="N370" s="4" t="n">
        <v>0</v>
      </c>
      <c r="O370" s="12" t="n"/>
      <c r="P370" s="41" t="n"/>
      <c r="Q370" s="4">
        <f>IF(COUNTIFS('ESTUDIOS'!$A$2:$A$455,$A370,'ESTUDIOS'!$I$2:$I$455,"")&gt;0,"",INDEX('ESTUDIOS'!$I$2:$I$455,MATCH($A370,'ESTUDIOS'!$A$2:$A$455,0)))</f>
        <v/>
      </c>
    </row>
    <row r="371" ht="60" customHeight="1">
      <c r="A371" s="4" t="inlineStr">
        <is>
          <t>new_154</t>
        </is>
      </c>
      <c r="B371" s="4" t="inlineStr">
        <is>
          <t>Update</t>
        </is>
      </c>
      <c r="C371" s="4" t="inlineStr">
        <is>
          <t>A two-step temporal data augmentation and supervised learning framework for predicting autism diagnosis at 36 months in patients with tuberous sclerosis complex</t>
        </is>
      </c>
      <c r="D371" s="4" t="inlineStr">
        <is>
          <t>Prognosis</t>
        </is>
      </c>
      <c r="E371" s="4" t="inlineStr">
        <is>
          <t>Machine Learning</t>
        </is>
      </c>
      <c r="F371" s="4" t="inlineStr">
        <is>
          <t>Multiple modalities (as coded)</t>
        </is>
      </c>
      <c r="G371" s="4" t="inlineStr">
        <is>
          <t>Regularized logistic regression (LASSO / elastic net)</t>
        </is>
      </c>
      <c r="H371" s="4" t="inlineStr">
        <is>
          <t>Prediction of ASD diagnosis at 36 months in children with TSC</t>
        </is>
      </c>
      <c r="I371" s="4" t="inlineStr">
        <is>
          <t>Prognosis</t>
        </is>
      </c>
      <c r="J371" s="4" t="inlineStr">
        <is>
          <t>Machine Learning</t>
        </is>
      </c>
      <c r="K371" s="4" t="inlineStr">
        <is>
          <t>Multimodal (longitudinal DTI neuroimaging + ADOS/ADI-R behavioral data)</t>
        </is>
      </c>
      <c r="L371" s="4" t="inlineStr">
        <is>
          <t>Modalidades múltiples declaradas; no prueba de integración/fusión</t>
        </is>
      </c>
      <c r="M371" s="4" t="inlineStr">
        <is>
          <t>Inherited scoped adjudication; see source level and lot caveats</t>
        </is>
      </c>
      <c r="N371" s="4" t="n">
        <v>0</v>
      </c>
      <c r="O371" s="12" t="n"/>
      <c r="P371" s="41" t="n"/>
      <c r="Q371" s="4">
        <f>IF(COUNTIFS('ESTUDIOS'!$A$2:$A$455,$A371,'ESTUDIOS'!$I$2:$I$455,"")&gt;0,"",INDEX('ESTUDIOS'!$I$2:$I$455,MATCH($A371,'ESTUDIOS'!$A$2:$A$455,0)))</f>
        <v/>
      </c>
    </row>
    <row r="372" ht="47" customHeight="1">
      <c r="A372" s="4" t="inlineStr">
        <is>
          <t>new_162</t>
        </is>
      </c>
      <c r="B372" s="4" t="inlineStr">
        <is>
          <t>Update</t>
        </is>
      </c>
      <c r="C372" s="4" t="inlineStr">
        <is>
          <t>EMLF-Net: A multi-level feature fusion network based on autism EEG signals for autism spectrum disorder classification</t>
        </is>
      </c>
      <c r="D372" s="4" t="inlineStr">
        <is>
          <t>Diagnosis</t>
        </is>
      </c>
      <c r="E372" s="4" t="inlineStr">
        <is>
          <t>Deep Learning</t>
        </is>
      </c>
      <c r="F372" s="4" t="inlineStr">
        <is>
          <t>Physiological signals</t>
        </is>
      </c>
      <c r="G372" s="4" t="inlineStr">
        <is>
          <t>EMLF-Net (HDFR + DFB + OFB multi-level feature fusion)</t>
        </is>
      </c>
      <c r="H372" s="4" t="inlineStr">
        <is>
          <t>EEG-based ASD classification</t>
        </is>
      </c>
      <c r="I372" s="4" t="inlineStr">
        <is>
          <t>Diagnosis</t>
        </is>
      </c>
      <c r="J372" s="4" t="inlineStr">
        <is>
          <t>Deep Learning</t>
        </is>
      </c>
      <c r="K372" s="4" t="inlineStr">
        <is>
          <t>Physiological signals (EEG)</t>
        </is>
      </c>
      <c r="L372" s="4" t="inlineStr">
        <is>
          <t>Medición fisiológica explícita</t>
        </is>
      </c>
      <c r="M372" s="4" t="inlineStr">
        <is>
          <t>Inherited scoped adjudication; see source level and lot caveats</t>
        </is>
      </c>
      <c r="N372" s="4" t="n">
        <v>0</v>
      </c>
      <c r="O372" s="12" t="n"/>
      <c r="P372" s="41" t="n"/>
      <c r="Q372" s="4">
        <f>IF(COUNTIFS('ESTUDIOS'!$A$2:$A$455,$A372,'ESTUDIOS'!$I$2:$I$455,"")&gt;0,"",INDEX('ESTUDIOS'!$I$2:$I$455,MATCH($A372,'ESTUDIOS'!$A$2:$A$455,0)))</f>
        <v/>
      </c>
    </row>
    <row r="373" ht="47" customHeight="1">
      <c r="A373" s="4" t="inlineStr">
        <is>
          <t>new_180</t>
        </is>
      </c>
      <c r="B373" s="4" t="inlineStr">
        <is>
          <t>Update</t>
        </is>
      </c>
      <c r="C373" s="4" t="inlineStr">
        <is>
          <t>The effect of spatial and intensity level augmentation of structural magnetic resonance images on autism diagnosis model</t>
        </is>
      </c>
      <c r="D373" s="4" t="inlineStr">
        <is>
          <t>Diagnosis</t>
        </is>
      </c>
      <c r="E373" s="4" t="inlineStr">
        <is>
          <t>Deep Learning</t>
        </is>
      </c>
      <c r="F373" s="4" t="inlineStr">
        <is>
          <t>Neuroimaging</t>
        </is>
      </c>
      <c r="G373" s="4" t="inlineStr">
        <is>
          <t>ResNet34 with spatial and intensity data augmentation</t>
        </is>
      </c>
      <c r="H373" s="4" t="inlineStr">
        <is>
          <t>ASD diagnostic classification from structural MRI</t>
        </is>
      </c>
      <c r="I373" s="4" t="inlineStr">
        <is>
          <t>Diagnosis</t>
        </is>
      </c>
      <c r="J373" s="4" t="inlineStr">
        <is>
          <t>Deep Learning</t>
        </is>
      </c>
      <c r="K373" s="4" t="inlineStr">
        <is>
          <t>Neuroimaging (structural MRI / ABIDE)</t>
        </is>
      </c>
      <c r="L373" s="4" t="inlineStr">
        <is>
          <t>Fuente de neuroimagen explícita</t>
        </is>
      </c>
      <c r="M373" s="4" t="inlineStr">
        <is>
          <t>Inherited scoped adjudication; see source level and lot caveats</t>
        </is>
      </c>
      <c r="N373" s="4" t="n">
        <v>0</v>
      </c>
      <c r="O373" s="12" t="n"/>
      <c r="P373" s="41" t="n"/>
      <c r="Q373" s="4">
        <f>IF(COUNTIFS('ESTUDIOS'!$A$2:$A$455,$A373,'ESTUDIOS'!$I$2:$I$455,"")&gt;0,"",INDEX('ESTUDIOS'!$I$2:$I$455,MATCH($A373,'ESTUDIOS'!$A$2:$A$455,0)))</f>
        <v/>
      </c>
    </row>
    <row r="374" ht="73" customHeight="1">
      <c r="A374" s="4" t="inlineStr">
        <is>
          <t>new_181</t>
        </is>
      </c>
      <c r="B374" s="4" t="inlineStr">
        <is>
          <t>Update</t>
        </is>
      </c>
      <c r="C374" s="4" t="inlineStr">
        <is>
          <t>Human-centered AI for inclusive tourism: enhancing travel planning for adults with autism spectrum disorder</t>
        </is>
      </c>
      <c r="D374" s="4" t="inlineStr">
        <is>
          <t>Monitoring/intervention</t>
        </is>
      </c>
      <c r="E374" s="4" t="inlineStr">
        <is>
          <t>Not specified</t>
        </is>
      </c>
      <c r="F374" s="4" t="inlineStr">
        <is>
          <t>Digital / robot interaction</t>
        </is>
      </c>
      <c r="G374" s="4" t="inlineStr">
        <is>
          <t>CARES AI-driven information-filtering and interactive itinerary-planning system</t>
        </is>
      </c>
      <c r="H374" s="4" t="inlineStr">
        <is>
          <t>Personalized assistive travel planning for autistic adults</t>
        </is>
      </c>
      <c r="I374" s="4" t="inlineStr">
        <is>
          <t>Monitoring/intervention</t>
        </is>
      </c>
      <c r="J374" s="4" t="inlineStr">
        <is>
          <t>Not specified</t>
        </is>
      </c>
      <c r="K374" s="4" t="inlineStr">
        <is>
          <t>Digital interaction / travel-planning preferences and itinerary data</t>
        </is>
      </c>
      <c r="L374" s="4" t="inlineStr">
        <is>
          <t>Datos de interacción; no inferir NLP</t>
        </is>
      </c>
      <c r="M374" s="4" t="inlineStr">
        <is>
          <t>Inherited scoped adjudication; see source level and lot caveats</t>
        </is>
      </c>
      <c r="N374" s="4" t="n">
        <v>1</v>
      </c>
      <c r="O374" s="12" t="n"/>
      <c r="P374" s="41" t="n"/>
      <c r="Q374" s="4">
        <f>IF(COUNTIFS('ESTUDIOS'!$A$2:$A$455,$A374,'ESTUDIOS'!$I$2:$I$455,"")&gt;0,"",INDEX('ESTUDIOS'!$I$2:$I$455,MATCH($A374,'ESTUDIOS'!$A$2:$A$455,0)))</f>
        <v/>
      </c>
    </row>
    <row r="375" ht="60" customHeight="1">
      <c r="A375" s="4" t="inlineStr">
        <is>
          <t>new_187</t>
        </is>
      </c>
      <c r="B375" s="4" t="inlineStr">
        <is>
          <t>Update</t>
        </is>
      </c>
      <c r="C375" s="4" t="inlineStr">
        <is>
          <t>Early Identification of Autism Spectrum Disorder using a Hybrid ViT–Mamba Multimodal Architecture</t>
        </is>
      </c>
      <c r="D375" s="4" t="inlineStr">
        <is>
          <t>Screening</t>
        </is>
      </c>
      <c r="E375" s="4" t="inlineStr">
        <is>
          <t>Hybrid</t>
        </is>
      </c>
      <c r="F375" s="4" t="inlineStr">
        <is>
          <t>Multiple modalities (as coded)</t>
        </is>
      </c>
      <c r="G375" s="4" t="inlineStr">
        <is>
          <t>Hybrid ViT-Mamba / Mamba state-space multimodal architecture</t>
        </is>
      </c>
      <c r="H375" s="4" t="inlineStr">
        <is>
          <t>Early ASD screening from handwriting and behavioral questionnaire fusion</t>
        </is>
      </c>
      <c r="I375" s="4" t="inlineStr">
        <is>
          <t>Screening</t>
        </is>
      </c>
      <c r="J375" s="4" t="inlineStr">
        <is>
          <t>Hybrid</t>
        </is>
      </c>
      <c r="K375" s="4" t="inlineStr">
        <is>
          <t>Multimodal (handwriting samples + behavioral questionnaires)</t>
        </is>
      </c>
      <c r="L375" s="4" t="inlineStr">
        <is>
          <t>Modalidades múltiples declaradas; no prueba de integración/fusión</t>
        </is>
      </c>
      <c r="M375" s="4" t="inlineStr">
        <is>
          <t>Inherited scoped adjudication; see source level and lot caveats</t>
        </is>
      </c>
      <c r="N375" s="4" t="n">
        <v>0</v>
      </c>
      <c r="O375" s="12" t="n"/>
      <c r="P375" s="41" t="n"/>
      <c r="Q375" s="4">
        <f>IF(COUNTIFS('ESTUDIOS'!$A$2:$A$455,$A375,'ESTUDIOS'!$I$2:$I$455,"")&gt;0,"",INDEX('ESTUDIOS'!$I$2:$I$455,MATCH($A375,'ESTUDIOS'!$A$2:$A$455,0)))</f>
        <v/>
      </c>
    </row>
    <row r="376" ht="86" customHeight="1">
      <c r="A376" s="4" t="inlineStr">
        <is>
          <t>new_188</t>
        </is>
      </c>
      <c r="B376" s="4" t="inlineStr">
        <is>
          <t>Update</t>
        </is>
      </c>
      <c r="C376" s="4" t="inlineStr">
        <is>
          <t>Baseline symptom severity and response to multisession cathodal transcranial direct current stimulation in adolescents and young adults with autism: an exploratory analysis</t>
        </is>
      </c>
      <c r="D376" s="4" t="inlineStr">
        <is>
          <t>Prognosis</t>
        </is>
      </c>
      <c r="E376" s="4" t="inlineStr">
        <is>
          <t>Machine Learning</t>
        </is>
      </c>
      <c r="F376" s="4" t="inlineStr">
        <is>
          <t>Structured / tabular data</t>
        </is>
      </c>
      <c r="G376" s="4" t="inlineStr">
        <is>
          <t>Predictive modelling with normalized feature importance + SHAP (base learner not specified in recovered text)</t>
        </is>
      </c>
      <c r="H376" s="4" t="inlineStr">
        <is>
          <t>Prediction/stratification of tDCS treatment response</t>
        </is>
      </c>
      <c r="I376" s="4" t="inlineStr">
        <is>
          <t>Prognosis</t>
        </is>
      </c>
      <c r="J376" s="4" t="inlineStr">
        <is>
          <t>Machine Learning</t>
        </is>
      </c>
      <c r="K376" s="4" t="inlineStr">
        <is>
          <t>Structured clinical / ADI-R treatment-response data</t>
        </is>
      </c>
      <c r="L376" s="4" t="inlineStr">
        <is>
          <t>Variables estructuradas/tabulares; no inferir NLP</t>
        </is>
      </c>
      <c r="M376" s="4" t="inlineStr">
        <is>
          <t>Inherited scoped adjudication; see source level and lot caveats</t>
        </is>
      </c>
      <c r="N376" s="4" t="n">
        <v>0</v>
      </c>
      <c r="O376" s="12" t="n"/>
      <c r="P376" s="41" t="n"/>
      <c r="Q376" s="4">
        <f>IF(COUNTIFS('ESTUDIOS'!$A$2:$A$455,$A376,'ESTUDIOS'!$I$2:$I$455,"")&gt;0,"",INDEX('ESTUDIOS'!$I$2:$I$455,MATCH($A376,'ESTUDIOS'!$A$2:$A$455,0)))</f>
        <v/>
      </c>
    </row>
    <row r="377" ht="60" customHeight="1">
      <c r="A377" s="4" t="inlineStr">
        <is>
          <t>new_190</t>
        </is>
      </c>
      <c r="B377" s="4" t="inlineStr">
        <is>
          <t>Update</t>
        </is>
      </c>
      <c r="C377" s="4" t="inlineStr">
        <is>
          <t>DenWide-Net: Dense WideresNet for autism spectrum disorder detection using MRI image</t>
        </is>
      </c>
      <c r="D377" s="4" t="inlineStr">
        <is>
          <t>Diagnosis</t>
        </is>
      </c>
      <c r="E377" s="4" t="inlineStr">
        <is>
          <t>Hybrid</t>
        </is>
      </c>
      <c r="F377" s="4" t="inlineStr">
        <is>
          <t>Neuroimaging</t>
        </is>
      </c>
      <c r="G377" s="4" t="inlineStr">
        <is>
          <t>FHOA + DenWide-Net (DenseNet/WideResNet optimization pipeline)</t>
        </is>
      </c>
      <c r="H377" s="4" t="inlineStr">
        <is>
          <t>MRI-based ASD diagnostic classification</t>
        </is>
      </c>
      <c r="I377" s="4" t="inlineStr">
        <is>
          <t>Diagnosis</t>
        </is>
      </c>
      <c r="J377" s="4" t="inlineStr">
        <is>
          <t>Hybrid</t>
        </is>
      </c>
      <c r="K377" s="4" t="inlineStr">
        <is>
          <t>Neuroimaging (MRI / Acerta-ABIDE)</t>
        </is>
      </c>
      <c r="L377" s="4" t="inlineStr">
        <is>
          <t>Fuente de neuroimagen explícita</t>
        </is>
      </c>
      <c r="M377" s="4" t="inlineStr">
        <is>
          <t>Inherited scoped adjudication; see source level and lot caveats</t>
        </is>
      </c>
      <c r="N377" s="4" t="n">
        <v>0</v>
      </c>
      <c r="O377" s="12" t="n"/>
      <c r="P377" s="41" t="n"/>
      <c r="Q377" s="4">
        <f>IF(COUNTIFS('ESTUDIOS'!$A$2:$A$455,$A377,'ESTUDIOS'!$I$2:$I$455,"")&gt;0,"",INDEX('ESTUDIOS'!$I$2:$I$455,MATCH($A377,'ESTUDIOS'!$A$2:$A$455,0)))</f>
        <v/>
      </c>
    </row>
    <row r="378" ht="60" customHeight="1">
      <c r="A378" s="4" t="inlineStr">
        <is>
          <t>new_199</t>
        </is>
      </c>
      <c r="B378" s="4" t="inlineStr">
        <is>
          <t>Update</t>
        </is>
      </c>
      <c r="C378" s="4" t="inlineStr">
        <is>
          <t>Artificial Intelligence for Enhancing Emotion Expression in Augmentative and Alternative Communication Systems: A Preliminary Study Including Children Both With and Without Autism.</t>
        </is>
      </c>
      <c r="D378" s="4" t="inlineStr">
        <is>
          <t>Monitoring/intervention</t>
        </is>
      </c>
      <c r="E378" s="4" t="inlineStr">
        <is>
          <t>Deep Learning</t>
        </is>
      </c>
      <c r="F378" s="4" t="inlineStr">
        <is>
          <t>Facial images</t>
        </is>
      </c>
      <c r="G378" s="4" t="inlineStr">
        <is>
          <t>DeepFace facial emotion recognition with individualized calibration</t>
        </is>
      </c>
      <c r="H378" s="4" t="inlineStr">
        <is>
          <t>Emotion recognition as a precursor to emotion-aware AAC support</t>
        </is>
      </c>
      <c r="I378" s="4" t="inlineStr">
        <is>
          <t>Monitoring/intervention</t>
        </is>
      </c>
      <c r="J378" s="4" t="inlineStr">
        <is>
          <t>Deep Learning</t>
        </is>
      </c>
      <c r="K378" s="4" t="inlineStr">
        <is>
          <t>Facial images / facial emotion-expression data</t>
        </is>
      </c>
      <c r="L378" s="4" t="inlineStr">
        <is>
          <t>Imágenes faciales explícitas</t>
        </is>
      </c>
      <c r="M378" s="4" t="inlineStr">
        <is>
          <t>Inherited scoped adjudication; see source level and lot caveats</t>
        </is>
      </c>
      <c r="N378" s="4" t="n">
        <v>0</v>
      </c>
      <c r="O378" s="12" t="n"/>
      <c r="P378" s="41" t="n"/>
      <c r="Q378" s="4">
        <f>IF(COUNTIFS('ESTUDIOS'!$A$2:$A$455,$A378,'ESTUDIOS'!$I$2:$I$455,"")&gt;0,"",INDEX('ESTUDIOS'!$I$2:$I$455,MATCH($A378,'ESTUDIOS'!$A$2:$A$455,0)))</f>
        <v/>
      </c>
    </row>
    <row r="379" ht="73" customHeight="1">
      <c r="A379" s="4" t="inlineStr">
        <is>
          <t>new_203</t>
        </is>
      </c>
      <c r="B379" s="4" t="inlineStr">
        <is>
          <t>Update</t>
        </is>
      </c>
      <c r="C379" s="4" t="inlineStr">
        <is>
          <t>Individuation of predictive parameters of posterior cranial fossa decompression in pediatric patients with Chiari I malformation and autism spectrum disorder</t>
        </is>
      </c>
      <c r="D379" s="4" t="inlineStr">
        <is>
          <t>Prognosis</t>
        </is>
      </c>
      <c r="E379" s="4" t="inlineStr">
        <is>
          <t>Machine Learning</t>
        </is>
      </c>
      <c r="F379" s="4" t="inlineStr">
        <is>
          <t>Multiple modalities (as coded)</t>
        </is>
      </c>
      <c r="G379" s="4" t="inlineStr">
        <is>
          <t>Binary decision tree classifier on cranial morphometric parameters</t>
        </is>
      </c>
      <c r="H379" s="4" t="inlineStr">
        <is>
          <t>Prediction of postsurgical ASD symptom improvement after posterior cranial fossa decompression</t>
        </is>
      </c>
      <c r="I379" s="4" t="inlineStr">
        <is>
          <t>Prognosis</t>
        </is>
      </c>
      <c r="J379" s="4" t="inlineStr">
        <is>
          <t>Machine Learning</t>
        </is>
      </c>
      <c r="K379" s="4" t="inlineStr">
        <is>
          <t>Multimodal neuroimaging (CT + MRI morphometry)</t>
        </is>
      </c>
      <c r="L379" s="4" t="inlineStr">
        <is>
          <t>Modalidades múltiples declaradas; no prueba de integración/fusión</t>
        </is>
      </c>
      <c r="M379" s="4" t="inlineStr">
        <is>
          <t>Inherited scoped adjudication; see source level and lot caveats</t>
        </is>
      </c>
      <c r="N379" s="4" t="n">
        <v>0</v>
      </c>
      <c r="O379" s="12" t="n"/>
      <c r="P379" s="41" t="n"/>
      <c r="Q379" s="4">
        <f>IF(COUNTIFS('ESTUDIOS'!$A$2:$A$455,$A379,'ESTUDIOS'!$I$2:$I$455,"")&gt;0,"",INDEX('ESTUDIOS'!$I$2:$I$455,MATCH($A379,'ESTUDIOS'!$A$2:$A$455,0)))</f>
        <v/>
      </c>
    </row>
    <row r="380" ht="73" customHeight="1">
      <c r="A380" s="4" t="inlineStr">
        <is>
          <t>new_204</t>
        </is>
      </c>
      <c r="B380" s="4" t="inlineStr">
        <is>
          <t>Update</t>
        </is>
      </c>
      <c r="C380" s="4" t="inlineStr">
        <is>
          <t>An automated detection system of autism spectrum disorder using meta-heuristic approach of adaptive LSTM with bayesian learning technique</t>
        </is>
      </c>
      <c r="D380" s="4" t="inlineStr">
        <is>
          <t>Diagnosis</t>
        </is>
      </c>
      <c r="E380" s="4" t="inlineStr">
        <is>
          <t>Hybrid</t>
        </is>
      </c>
      <c r="F380" s="4" t="inlineStr">
        <is>
          <t>Neuroimaging</t>
        </is>
      </c>
      <c r="G380" s="4" t="inlineStr">
        <is>
          <t>MResNet + ACAL-BL adaptive-attention LSTM with Bayesian learning + RFMPA optimization</t>
        </is>
      </c>
      <c r="H380" s="4" t="inlineStr">
        <is>
          <t>Automated ASD diagnostic classification from brain images</t>
        </is>
      </c>
      <c r="I380" s="4" t="inlineStr">
        <is>
          <t>Diagnosis</t>
        </is>
      </c>
      <c r="J380" s="4" t="inlineStr">
        <is>
          <t>Hybrid</t>
        </is>
      </c>
      <c r="K380" s="4" t="inlineStr">
        <is>
          <t>Neuroimaging (brain images / ABIDE)</t>
        </is>
      </c>
      <c r="L380" s="4" t="inlineStr">
        <is>
          <t>Fuente de neuroimagen explícita</t>
        </is>
      </c>
      <c r="M380" s="4" t="inlineStr">
        <is>
          <t>Inherited scoped adjudication; see source level and lot caveats</t>
        </is>
      </c>
      <c r="N380" s="4" t="n">
        <v>0</v>
      </c>
      <c r="O380" s="12" t="n"/>
      <c r="P380" s="41" t="n"/>
      <c r="Q380" s="4">
        <f>IF(COUNTIFS('ESTUDIOS'!$A$2:$A$455,$A380,'ESTUDIOS'!$I$2:$I$455,"")&gt;0,"",INDEX('ESTUDIOS'!$I$2:$I$455,MATCH($A380,'ESTUDIOS'!$A$2:$A$455,0)))</f>
        <v/>
      </c>
    </row>
    <row r="381" ht="73" customHeight="1">
      <c r="A381" s="4" t="inlineStr">
        <is>
          <t>new_208</t>
        </is>
      </c>
      <c r="B381" s="4" t="inlineStr">
        <is>
          <t>Update</t>
        </is>
      </c>
      <c r="C381" s="4" t="inlineStr">
        <is>
          <t>ADBrainNet: a deep neural network for Autism Spectrum Disorder (ASD) and Attention Deficit and Hyperactivity Disorder (ADHD) classification using resting-state fMRI images based on explainable artificial intelligence.</t>
        </is>
      </c>
      <c r="D381" s="4" t="inlineStr">
        <is>
          <t>Diagnosis</t>
        </is>
      </c>
      <c r="E381" s="4" t="inlineStr">
        <is>
          <t>Deep Learning</t>
        </is>
      </c>
      <c r="F381" s="4" t="inlineStr">
        <is>
          <t>Neuroimaging</t>
        </is>
      </c>
      <c r="G381" s="4" t="inlineStr">
        <is>
          <t>ADBrainNet lightweight deep neural network + LIME</t>
        </is>
      </c>
      <c r="H381" s="4" t="inlineStr">
        <is>
          <t>Differential classification of ASD, ADHD subtypes and neurotypical controls</t>
        </is>
      </c>
      <c r="I381" s="4" t="inlineStr">
        <is>
          <t>Diagnosis</t>
        </is>
      </c>
      <c r="J381" s="4" t="inlineStr">
        <is>
          <t>Deep Learning</t>
        </is>
      </c>
      <c r="K381" s="4" t="inlineStr">
        <is>
          <t>Neuroimaging (resting-state fMRI / ABIDE + ADHD-200)</t>
        </is>
      </c>
      <c r="L381" s="4" t="inlineStr">
        <is>
          <t>Fuente de neuroimagen explícita</t>
        </is>
      </c>
      <c r="M381" s="4" t="inlineStr">
        <is>
          <t>Inherited scoped adjudication; see source level and lot caveats</t>
        </is>
      </c>
      <c r="N381" s="4" t="n">
        <v>0</v>
      </c>
      <c r="O381" s="12" t="n"/>
      <c r="P381" s="41" t="n"/>
      <c r="Q381" s="4">
        <f>IF(COUNTIFS('ESTUDIOS'!$A$2:$A$455,$A381,'ESTUDIOS'!$I$2:$I$455,"")&gt;0,"",INDEX('ESTUDIOS'!$I$2:$I$455,MATCH($A381,'ESTUDIOS'!$A$2:$A$455,0)))</f>
        <v/>
      </c>
    </row>
    <row r="382" ht="73" customHeight="1">
      <c r="A382" s="4" t="inlineStr">
        <is>
          <t>new_209</t>
        </is>
      </c>
      <c r="B382" s="4" t="inlineStr">
        <is>
          <t>Update</t>
        </is>
      </c>
      <c r="C382" s="4" t="inlineStr">
        <is>
          <t>Integrating EEG microstate dynamics in a stacked ensemble for neurodiagnostic ASD assessment</t>
        </is>
      </c>
      <c r="D382" s="4" t="inlineStr">
        <is>
          <t>Diagnosis</t>
        </is>
      </c>
      <c r="E382" s="4" t="inlineStr">
        <is>
          <t>Machine Learning</t>
        </is>
      </c>
      <c r="F382" s="4" t="inlineStr">
        <is>
          <t>Physiological signals</t>
        </is>
      </c>
      <c r="G382" s="4" t="inlineStr">
        <is>
          <t>Stacked Random Forest ensemble using spatial EEG and temporal microstate/HMM features</t>
        </is>
      </c>
      <c r="H382" s="4" t="inlineStr">
        <is>
          <t>EEG-based ASD diagnostic classification</t>
        </is>
      </c>
      <c r="I382" s="4" t="inlineStr">
        <is>
          <t>Diagnosis</t>
        </is>
      </c>
      <c r="J382" s="4" t="inlineStr">
        <is>
          <t>Machine Learning</t>
        </is>
      </c>
      <c r="K382" s="4" t="inlineStr">
        <is>
          <t>Physiological signals (resting-state EEG)</t>
        </is>
      </c>
      <c r="L382" s="4" t="inlineStr">
        <is>
          <t>Medición fisiológica explícita</t>
        </is>
      </c>
      <c r="M382" s="4" t="inlineStr">
        <is>
          <t>Inherited scoped adjudication; see source level and lot caveats</t>
        </is>
      </c>
      <c r="N382" s="4" t="n">
        <v>0</v>
      </c>
      <c r="O382" s="12" t="n"/>
      <c r="P382" s="41" t="n"/>
      <c r="Q382" s="4">
        <f>IF(COUNTIFS('ESTUDIOS'!$A$2:$A$455,$A382,'ESTUDIOS'!$I$2:$I$455,"")&gt;0,"",INDEX('ESTUDIOS'!$I$2:$I$455,MATCH($A382,'ESTUDIOS'!$A$2:$A$455,0)))</f>
        <v/>
      </c>
    </row>
    <row r="383" ht="47" customHeight="1">
      <c r="A383" s="4" t="inlineStr">
        <is>
          <t>new_213</t>
        </is>
      </c>
      <c r="B383" s="4" t="inlineStr">
        <is>
          <t>Update</t>
        </is>
      </c>
      <c r="C383" s="4" t="inlineStr">
        <is>
          <t>Identifying autism spectrum disorder diagnosis in children via temporal-frequency hyperdimensional computing with resting-state EEG</t>
        </is>
      </c>
      <c r="D383" s="4" t="inlineStr">
        <is>
          <t>Diagnosis</t>
        </is>
      </c>
      <c r="E383" s="4" t="inlineStr">
        <is>
          <t>Machine Learning</t>
        </is>
      </c>
      <c r="F383" s="4" t="inlineStr">
        <is>
          <t>Physiological signals</t>
        </is>
      </c>
      <c r="G383" s="4" t="inlineStr">
        <is>
          <t>Temporal-frequency hyperdimensional computing (TF-HDC)</t>
        </is>
      </c>
      <c r="H383" s="4" t="inlineStr">
        <is>
          <t>EEG-based ASD diagnostic classification</t>
        </is>
      </c>
      <c r="I383" s="4" t="inlineStr">
        <is>
          <t>Diagnosis</t>
        </is>
      </c>
      <c r="J383" s="4" t="inlineStr">
        <is>
          <t>Machine Learning</t>
        </is>
      </c>
      <c r="K383" s="4" t="inlineStr">
        <is>
          <t>Physiological signals (resting-state EEG)</t>
        </is>
      </c>
      <c r="L383" s="4" t="inlineStr">
        <is>
          <t>Medición fisiológica explícita</t>
        </is>
      </c>
      <c r="M383" s="4" t="inlineStr">
        <is>
          <t>Inherited scoped adjudication; see source level and lot caveats</t>
        </is>
      </c>
      <c r="N383" s="4" t="n">
        <v>0</v>
      </c>
      <c r="O383" s="12" t="n"/>
      <c r="P383" s="41" t="n"/>
      <c r="Q383" s="4">
        <f>IF(COUNTIFS('ESTUDIOS'!$A$2:$A$455,$A383,'ESTUDIOS'!$I$2:$I$455,"")&gt;0,"",INDEX('ESTUDIOS'!$I$2:$I$455,MATCH($A383,'ESTUDIOS'!$A$2:$A$455,0)))</f>
        <v/>
      </c>
    </row>
    <row r="384" ht="86" customHeight="1">
      <c r="A384" s="4" t="inlineStr">
        <is>
          <t>new_215</t>
        </is>
      </c>
      <c r="B384" s="4" t="inlineStr">
        <is>
          <t>Update</t>
        </is>
      </c>
      <c r="C384" s="4" t="inlineStr">
        <is>
          <t>Integrated transcriptomic and clinical analysis of autism spectrum disorder reveals structured heterogeneity and links Methyl-CpG Binding Domain Protein 2 expression with symptom severity</t>
        </is>
      </c>
      <c r="D384" s="4" t="inlineStr">
        <is>
          <t>Screening</t>
        </is>
      </c>
      <c r="E384" s="4" t="inlineStr">
        <is>
          <t>Machine Learning</t>
        </is>
      </c>
      <c r="F384" s="4" t="inlineStr">
        <is>
          <t>Multiple modalities (as coded)</t>
        </is>
      </c>
      <c r="G384" s="4" t="inlineStr">
        <is>
          <t>Unsupervised molecular clustering + integrative multiomics/clinical ML; refined 17-transcript panel</t>
        </is>
      </c>
      <c r="H384" s="4" t="inlineStr">
        <is>
          <t>ASD screening and molecular/phenotypic stratification</t>
        </is>
      </c>
      <c r="I384" s="4" t="inlineStr">
        <is>
          <t>Screening</t>
        </is>
      </c>
      <c r="J384" s="4" t="inlineStr">
        <is>
          <t>Machine Learning</t>
        </is>
      </c>
      <c r="K384" s="4" t="inlineStr">
        <is>
          <t>Multimodal (peripheral-blood transcriptomics + clinical/phenotypic data)</t>
        </is>
      </c>
      <c r="L384" s="4" t="inlineStr">
        <is>
          <t>Modalidades múltiples declaradas; no prueba de integración/fusión</t>
        </is>
      </c>
      <c r="M384" s="4" t="inlineStr">
        <is>
          <t>Inherited scoped adjudication; see source level and lot caveats</t>
        </is>
      </c>
      <c r="N384" s="4" t="n">
        <v>0</v>
      </c>
      <c r="O384" s="12" t="n"/>
      <c r="P384" s="41" t="n"/>
      <c r="Q384" s="4">
        <f>IF(COUNTIFS('ESTUDIOS'!$A$2:$A$455,$A384,'ESTUDIOS'!$I$2:$I$455,"")&gt;0,"",INDEX('ESTUDIOS'!$I$2:$I$455,MATCH($A384,'ESTUDIOS'!$A$2:$A$455,0)))</f>
        <v/>
      </c>
    </row>
    <row r="385" ht="99" customHeight="1">
      <c r="A385" s="4" t="inlineStr">
        <is>
          <t>new_218</t>
        </is>
      </c>
      <c r="B385" s="4" t="inlineStr">
        <is>
          <t>Update</t>
        </is>
      </c>
      <c r="C385" s="4" t="inlineStr">
        <is>
          <t>A Robust Computational Framework for Autism Spectrum Disorder Identification Using Optimized Image Processing and Hybrid Learning Models</t>
        </is>
      </c>
      <c r="D385" s="4" t="inlineStr">
        <is>
          <t>Screening</t>
        </is>
      </c>
      <c r="E385" s="4" t="inlineStr">
        <is>
          <t>Hybrid</t>
        </is>
      </c>
      <c r="F385" s="4" t="inlineStr">
        <is>
          <t>Multiple datasets (fusion unverified)</t>
        </is>
      </c>
      <c r="G385" s="4" t="inlineStr">
        <is>
          <t>DWT-GFK + VGG16 + ELBN-HLNCL optimized with Walrus Optimization Algorithm</t>
        </is>
      </c>
      <c r="H385" s="4" t="inlineStr">
        <is>
          <t>ASD identification / early detection across public datasets</t>
        </is>
      </c>
      <c r="I385" s="4" t="inlineStr">
        <is>
          <t>Screening</t>
        </is>
      </c>
      <c r="J385" s="4" t="inlineStr">
        <is>
          <t>Hybrid</t>
        </is>
      </c>
      <c r="K385" s="4" t="inlineStr">
        <is>
          <t>Multiple public ASD datasets (facial images, structured screening data and ABIDE neuroimaging; not explicitly fused)</t>
        </is>
      </c>
      <c r="L385" s="4" t="inlineStr">
        <is>
          <t>Varios datasets no demuestran fusión de modalidades</t>
        </is>
      </c>
      <c r="M385" s="4" t="inlineStr">
        <is>
          <t>Inherited scoped adjudication; see source level and lot caveats</t>
        </is>
      </c>
      <c r="N385" s="4" t="n">
        <v>0</v>
      </c>
      <c r="O385" s="12" t="n"/>
      <c r="P385" s="41" t="n"/>
      <c r="Q385" s="4">
        <f>IF(COUNTIFS('ESTUDIOS'!$A$2:$A$455,$A385,'ESTUDIOS'!$I$2:$I$455,"")&gt;0,"",INDEX('ESTUDIOS'!$I$2:$I$455,MATCH($A385,'ESTUDIOS'!$A$2:$A$455,0)))</f>
        <v/>
      </c>
    </row>
    <row r="386" ht="47" customHeight="1">
      <c r="A386" s="4" t="inlineStr">
        <is>
          <t>new_222</t>
        </is>
      </c>
      <c r="B386" s="4" t="inlineStr">
        <is>
          <t>Update</t>
        </is>
      </c>
      <c r="C386" s="4" t="inlineStr">
        <is>
          <t>Adaptive network based fuzzy inference system efficientnet for autism spectrum disorder detection with optimization based pivotal region extraction</t>
        </is>
      </c>
      <c r="D386" s="4" t="inlineStr">
        <is>
          <t>Diagnosis</t>
        </is>
      </c>
      <c r="E386" s="4" t="inlineStr">
        <is>
          <t>Hybrid</t>
        </is>
      </c>
      <c r="F386" s="4" t="inlineStr">
        <is>
          <t>Neuroimaging</t>
        </is>
      </c>
      <c r="G386" s="4" t="inlineStr">
        <is>
          <t>ANFIS-EffNet + AWSO pivotal-region extraction</t>
        </is>
      </c>
      <c r="H386" s="4" t="inlineStr">
        <is>
          <t>ASD diagnostic classification from brain imaging</t>
        </is>
      </c>
      <c r="I386" s="4" t="inlineStr">
        <is>
          <t>Diagnosis</t>
        </is>
      </c>
      <c r="J386" s="4" t="inlineStr">
        <is>
          <t>Hybrid</t>
        </is>
      </c>
      <c r="K386" s="4" t="inlineStr">
        <is>
          <t>Neuroimaging (brain imaging / ABIDE)</t>
        </is>
      </c>
      <c r="L386" s="4" t="inlineStr">
        <is>
          <t>Fuente de neuroimagen explícita</t>
        </is>
      </c>
      <c r="M386" s="4" t="inlineStr">
        <is>
          <t>Inherited scoped adjudication; see source level and lot caveats</t>
        </is>
      </c>
      <c r="N386" s="4" t="n">
        <v>0</v>
      </c>
      <c r="O386" s="12" t="n"/>
      <c r="P386" s="41" t="n"/>
      <c r="Q386" s="4">
        <f>IF(COUNTIFS('ESTUDIOS'!$A$2:$A$455,$A386,'ESTUDIOS'!$I$2:$I$455,"")&gt;0,"",INDEX('ESTUDIOS'!$I$2:$I$455,MATCH($A386,'ESTUDIOS'!$A$2:$A$455,0)))</f>
        <v/>
      </c>
    </row>
    <row r="387" ht="60" customHeight="1">
      <c r="A387" s="4" t="inlineStr">
        <is>
          <t>new_223</t>
        </is>
      </c>
      <c r="B387" s="4" t="inlineStr">
        <is>
          <t>Update</t>
        </is>
      </c>
      <c r="C387" s="4" t="inlineStr">
        <is>
          <t>Identification of Autism Through Fractal Analysis of EEG Signals and Bayesian Optimized Artificial Neural Network</t>
        </is>
      </c>
      <c r="D387" s="4" t="inlineStr">
        <is>
          <t>Diagnosis</t>
        </is>
      </c>
      <c r="E387" s="4" t="inlineStr">
        <is>
          <t>Machine Learning</t>
        </is>
      </c>
      <c r="F387" s="4" t="inlineStr">
        <is>
          <t>Physiological signals</t>
        </is>
      </c>
      <c r="G387" s="4" t="inlineStr">
        <is>
          <t>Bayesian-optimized ANN (BO-ANN) on fractal-dimension EEG features</t>
        </is>
      </c>
      <c r="H387" s="4" t="inlineStr">
        <is>
          <t>EEG-based ASD diagnostic classification</t>
        </is>
      </c>
      <c r="I387" s="4" t="inlineStr">
        <is>
          <t>Diagnosis</t>
        </is>
      </c>
      <c r="J387" s="4" t="inlineStr">
        <is>
          <t>Machine Learning</t>
        </is>
      </c>
      <c r="K387" s="4" t="inlineStr">
        <is>
          <t>Physiological signals (EEG)</t>
        </is>
      </c>
      <c r="L387" s="4" t="inlineStr">
        <is>
          <t>Medición fisiológica explícita</t>
        </is>
      </c>
      <c r="M387" s="4" t="inlineStr">
        <is>
          <t>Inherited scoped adjudication; see source level and lot caveats</t>
        </is>
      </c>
      <c r="N387" s="4" t="n">
        <v>0</v>
      </c>
      <c r="O387" s="12" t="n"/>
      <c r="P387" s="41" t="n"/>
      <c r="Q387" s="4">
        <f>IF(COUNTIFS('ESTUDIOS'!$A$2:$A$455,$A387,'ESTUDIOS'!$I$2:$I$455,"")&gt;0,"",INDEX('ESTUDIOS'!$I$2:$I$455,MATCH($A387,'ESTUDIOS'!$A$2:$A$455,0)))</f>
        <v/>
      </c>
    </row>
    <row r="388" ht="86" customHeight="1">
      <c r="A388" s="4" t="inlineStr">
        <is>
          <t>new_231</t>
        </is>
      </c>
      <c r="B388" s="4" t="inlineStr">
        <is>
          <t>Update</t>
        </is>
      </c>
      <c r="C388" s="4" t="inlineStr">
        <is>
          <t>Linguistic Explanations of Deep Models in Detecting Autism and Schizophrenia</t>
        </is>
      </c>
      <c r="D388" s="4" t="inlineStr">
        <is>
          <t>Diagnosis</t>
        </is>
      </c>
      <c r="E388" s="4" t="inlineStr">
        <is>
          <t>Deep Learning</t>
        </is>
      </c>
      <c r="F388" s="4" t="inlineStr">
        <is>
          <t>Text / language</t>
        </is>
      </c>
      <c r="G388" s="4" t="inlineStr">
        <is>
          <t>HerBERT transformer + Integrated Gradients + explainable linguistic models</t>
        </is>
      </c>
      <c r="H388" s="4" t="inlineStr">
        <is>
          <t>Text-based detection of autism and schizophrenia with linguistic explanation</t>
        </is>
      </c>
      <c r="I388" s="4" t="inlineStr">
        <is>
          <t>Diagnosis</t>
        </is>
      </c>
      <c r="J388" s="4" t="inlineStr">
        <is>
          <t>Deep Learning</t>
        </is>
      </c>
      <c r="K388" s="4" t="inlineStr">
        <is>
          <t>Text / NLP (participant textual data; exact acquisition context not specified in recovered text)</t>
        </is>
      </c>
      <c r="L388" s="4" t="inlineStr">
        <is>
          <t>Texto o lenguaje explícito; método NLP se registra aparte</t>
        </is>
      </c>
      <c r="M388" s="4" t="inlineStr">
        <is>
          <t>Inherited scoped adjudication; see source level and lot caveats</t>
        </is>
      </c>
      <c r="N388" s="4" t="n">
        <v>0</v>
      </c>
      <c r="O388" s="12" t="n"/>
      <c r="P388" s="41" t="n"/>
      <c r="Q388" s="4">
        <f>IF(COUNTIFS('ESTUDIOS'!$A$2:$A$455,$A388,'ESTUDIOS'!$I$2:$I$455,"")&gt;0,"",INDEX('ESTUDIOS'!$I$2:$I$455,MATCH($A388,'ESTUDIOS'!$A$2:$A$455,0)))</f>
        <v/>
      </c>
    </row>
    <row r="389" ht="60" customHeight="1">
      <c r="A389" s="4" t="inlineStr">
        <is>
          <t>new_233</t>
        </is>
      </c>
      <c r="B389" s="4" t="inlineStr">
        <is>
          <t>Update</t>
        </is>
      </c>
      <c r="C389" s="4" t="inlineStr">
        <is>
          <t>Autism Screening Based on Deep Learning Analysis of Eye Movement Trajectories</t>
        </is>
      </c>
      <c r="D389" s="4" t="inlineStr">
        <is>
          <t>Screening</t>
        </is>
      </c>
      <c r="E389" s="4" t="inlineStr">
        <is>
          <t>Deep Learning</t>
        </is>
      </c>
      <c r="F389" s="4" t="inlineStr">
        <is>
          <t>Behavioral gaze / eye tracking</t>
        </is>
      </c>
      <c r="G389" s="4" t="inlineStr">
        <is>
          <t>ET-ASDNet (ResNet18 backbone + trajectory processing/fusion modules)</t>
        </is>
      </c>
      <c r="H389" s="4" t="inlineStr">
        <is>
          <t>Eye-tracking based ASD screening</t>
        </is>
      </c>
      <c r="I389" s="4" t="inlineStr">
        <is>
          <t>Screening</t>
        </is>
      </c>
      <c r="J389" s="4" t="inlineStr">
        <is>
          <t>Deep Learning</t>
        </is>
      </c>
      <c r="K389" s="4" t="inlineStr">
        <is>
          <t>Behavioral eye-tracking trajectories / scanpaths</t>
        </is>
      </c>
      <c r="L389" s="4" t="inlineStr">
        <is>
          <t>Trazas de mirada aunque se representen como imágenes</t>
        </is>
      </c>
      <c r="M389" s="4" t="inlineStr">
        <is>
          <t>Inherited scoped adjudication; see source level and lot caveats</t>
        </is>
      </c>
      <c r="N389" s="4" t="n">
        <v>0</v>
      </c>
      <c r="O389" s="12" t="n"/>
      <c r="P389" s="41" t="n"/>
      <c r="Q389" s="4">
        <f>IF(COUNTIFS('ESTUDIOS'!$A$2:$A$455,$A389,'ESTUDIOS'!$I$2:$I$455,"")&gt;0,"",INDEX('ESTUDIOS'!$I$2:$I$455,MATCH($A389,'ESTUDIOS'!$A$2:$A$455,0)))</f>
        <v/>
      </c>
    </row>
    <row r="390" ht="73" customHeight="1">
      <c r="A390" s="4" t="inlineStr">
        <is>
          <t>new_235</t>
        </is>
      </c>
      <c r="B390" s="4" t="inlineStr">
        <is>
          <t>Update</t>
        </is>
      </c>
      <c r="C390" s="4" t="inlineStr">
        <is>
          <t>Automatic measurement of social gaze during naturalistic conversations in autism</t>
        </is>
      </c>
      <c r="D390" s="4" t="inlineStr">
        <is>
          <t>Diagnosis</t>
        </is>
      </c>
      <c r="E390" s="4" t="inlineStr">
        <is>
          <t>Hybrid</t>
        </is>
      </c>
      <c r="F390" s="4" t="inlineStr">
        <is>
          <t>Behavioral video / movement</t>
        </is>
      </c>
      <c r="G390" s="4" t="inlineStr">
        <is>
          <t>Automated social-gaze detector (CNN/computer vision) + SVM-RBF diagnostic classifier</t>
        </is>
      </c>
      <c r="H390" s="4" t="inlineStr">
        <is>
          <t>Automatic social-gaze measurement and ASD-vs-neurotypical classification</t>
        </is>
      </c>
      <c r="I390" s="4" t="inlineStr">
        <is>
          <t>Diagnosis</t>
        </is>
      </c>
      <c r="J390" s="4" t="inlineStr">
        <is>
          <t>Hybrid</t>
        </is>
      </c>
      <c r="K390" s="4" t="inlineStr">
        <is>
          <t>Behavioral video / naturalistic social gaze</t>
        </is>
      </c>
      <c r="L390" s="4" t="inlineStr">
        <is>
          <t>Vídeo o movimiento conductual explícito</t>
        </is>
      </c>
      <c r="M390" s="4" t="inlineStr">
        <is>
          <t>Inherited scoped adjudication; see source level and lot caveats</t>
        </is>
      </c>
      <c r="N390" s="4" t="n">
        <v>0</v>
      </c>
      <c r="O390" s="12" t="n"/>
      <c r="P390" s="41" t="n"/>
      <c r="Q390" s="4">
        <f>IF(COUNTIFS('ESTUDIOS'!$A$2:$A$455,$A390,'ESTUDIOS'!$I$2:$I$455,"")&gt;0,"",INDEX('ESTUDIOS'!$I$2:$I$455,MATCH($A390,'ESTUDIOS'!$A$2:$A$455,0)))</f>
        <v/>
      </c>
    </row>
    <row r="391" ht="47" customHeight="1">
      <c r="A391" s="4" t="inlineStr">
        <is>
          <t>new_236</t>
        </is>
      </c>
      <c r="B391" s="4" t="inlineStr">
        <is>
          <t>Update</t>
        </is>
      </c>
      <c r="C391" s="4" t="inlineStr">
        <is>
          <t>An image-based analytics framework for early autism detection using eye movements</t>
        </is>
      </c>
      <c r="D391" s="4" t="inlineStr">
        <is>
          <t>Screening</t>
        </is>
      </c>
      <c r="E391" s="4" t="inlineStr">
        <is>
          <t>Deep Learning</t>
        </is>
      </c>
      <c r="F391" s="4" t="inlineStr">
        <is>
          <t>Behavioral gaze / eye tracking</t>
        </is>
      </c>
      <c r="G391" s="4" t="inlineStr">
        <is>
          <t>GazeScan lightweight CNN on grayscale scanpath images</t>
        </is>
      </c>
      <c r="H391" s="4" t="inlineStr">
        <is>
          <t>Early ASD behavioral screening from eye movements</t>
        </is>
      </c>
      <c r="I391" s="4" t="inlineStr">
        <is>
          <t>Screening</t>
        </is>
      </c>
      <c r="J391" s="4" t="inlineStr">
        <is>
          <t>Deep Learning</t>
        </is>
      </c>
      <c r="K391" s="4" t="inlineStr">
        <is>
          <t>Behavioral eye movements / scanpath images from video</t>
        </is>
      </c>
      <c r="L391" s="4" t="inlineStr">
        <is>
          <t>Trazas de mirada aunque se representen como imágenes</t>
        </is>
      </c>
      <c r="M391" s="4" t="inlineStr">
        <is>
          <t>Inherited scoped adjudication; see source level and lot caveats</t>
        </is>
      </c>
      <c r="N391" s="4" t="n">
        <v>0</v>
      </c>
      <c r="O391" s="12" t="n"/>
      <c r="P391" s="41" t="n"/>
      <c r="Q391" s="4">
        <f>IF(COUNTIFS('ESTUDIOS'!$A$2:$A$455,$A391,'ESTUDIOS'!$I$2:$I$455,"")&gt;0,"",INDEX('ESTUDIOS'!$I$2:$I$455,MATCH($A391,'ESTUDIOS'!$A$2:$A$455,0)))</f>
        <v/>
      </c>
    </row>
    <row r="392" ht="86" customHeight="1">
      <c r="A392" s="4" t="inlineStr">
        <is>
          <t>new_242</t>
        </is>
      </c>
      <c r="B392" s="4" t="inlineStr">
        <is>
          <t>Update</t>
        </is>
      </c>
      <c r="C392" s="4" t="inlineStr">
        <is>
          <t>Neurophysiological EEG Characterization of Autism Spectrum Disorder Using DWT-Based Frequency Analysis With Selective Electrodes and Brain Segmentation: An Explainable AI-Driven Approach</t>
        </is>
      </c>
      <c r="D392" s="4" t="inlineStr">
        <is>
          <t>Diagnosis</t>
        </is>
      </c>
      <c r="E392" s="4" t="inlineStr">
        <is>
          <t>Machine Learning</t>
        </is>
      </c>
      <c r="F392" s="4" t="inlineStr">
        <is>
          <t>Physiological signals</t>
        </is>
      </c>
      <c r="G392" s="4" t="inlineStr">
        <is>
          <t>Logistic Regression on DWT spectral/statistical EEG features (comparative ML/DL/meta-learning benchmark)</t>
        </is>
      </c>
      <c r="H392" s="4" t="inlineStr">
        <is>
          <t>EEG-based ASD diagnostic classification</t>
        </is>
      </c>
      <c r="I392" s="4" t="inlineStr">
        <is>
          <t>Diagnosis</t>
        </is>
      </c>
      <c r="J392" s="4" t="inlineStr">
        <is>
          <t>Machine Learning</t>
        </is>
      </c>
      <c r="K392" s="4" t="inlineStr">
        <is>
          <t>Physiological signals (EEG)</t>
        </is>
      </c>
      <c r="L392" s="4" t="inlineStr">
        <is>
          <t>Medición fisiológica explícita</t>
        </is>
      </c>
      <c r="M392" s="4" t="inlineStr">
        <is>
          <t>Inherited scoped adjudication; see source level and lot caveats</t>
        </is>
      </c>
      <c r="N392" s="4" t="n">
        <v>0</v>
      </c>
      <c r="O392" s="12" t="n"/>
      <c r="P392" s="41" t="n"/>
      <c r="Q392" s="4">
        <f>IF(COUNTIFS('ESTUDIOS'!$A$2:$A$455,$A392,'ESTUDIOS'!$I$2:$I$455,"")&gt;0,"",INDEX('ESTUDIOS'!$I$2:$I$455,MATCH($A392,'ESTUDIOS'!$A$2:$A$455,0)))</f>
        <v/>
      </c>
    </row>
    <row r="393" ht="73" customHeight="1">
      <c r="A393" s="4" t="inlineStr">
        <is>
          <t>new_244</t>
        </is>
      </c>
      <c r="B393" s="4" t="inlineStr">
        <is>
          <t>Update</t>
        </is>
      </c>
      <c r="C393" s="4" t="inlineStr">
        <is>
          <t>DHCA-Net: A Novel Dual-Stream Hierarchical Channel Attention Network for Explainable Autism Spectrum Disorder Detection From Facial Images</t>
        </is>
      </c>
      <c r="D393" s="4" t="inlineStr">
        <is>
          <t>Screening</t>
        </is>
      </c>
      <c r="E393" s="4" t="inlineStr">
        <is>
          <t>Deep Learning</t>
        </is>
      </c>
      <c r="F393" s="4" t="inlineStr">
        <is>
          <t>Facial images</t>
        </is>
      </c>
      <c r="G393" s="4" t="inlineStr">
        <is>
          <t>DHCA-Net dual-stream hierarchical channel-attention network + multi-head feature fusion</t>
        </is>
      </c>
      <c r="H393" s="4" t="inlineStr">
        <is>
          <t>Facial-image ASD screening</t>
        </is>
      </c>
      <c r="I393" s="4" t="inlineStr">
        <is>
          <t>Screening</t>
        </is>
      </c>
      <c r="J393" s="4" t="inlineStr">
        <is>
          <t>Deep Learning</t>
        </is>
      </c>
      <c r="K393" s="4" t="inlineStr">
        <is>
          <t>Facial images</t>
        </is>
      </c>
      <c r="L393" s="4" t="inlineStr">
        <is>
          <t>Imágenes faciales explícitas</t>
        </is>
      </c>
      <c r="M393" s="4" t="inlineStr">
        <is>
          <t>Inherited scoped adjudication; see source level and lot caveats</t>
        </is>
      </c>
      <c r="N393" s="4" t="n">
        <v>0</v>
      </c>
      <c r="O393" s="12" t="n"/>
      <c r="P393" s="41" t="n"/>
      <c r="Q393" s="4">
        <f>IF(COUNTIFS('ESTUDIOS'!$A$2:$A$455,$A393,'ESTUDIOS'!$I$2:$I$455,"")&gt;0,"",INDEX('ESTUDIOS'!$I$2:$I$455,MATCH($A393,'ESTUDIOS'!$A$2:$A$455,0)))</f>
        <v/>
      </c>
    </row>
    <row r="394" ht="60" customHeight="1">
      <c r="A394" s="4" t="inlineStr">
        <is>
          <t>new_246</t>
        </is>
      </c>
      <c r="B394" s="4" t="inlineStr">
        <is>
          <t>Update</t>
        </is>
      </c>
      <c r="C394" s="4" t="inlineStr">
        <is>
          <t>MTT: Multi-Tier Transformer for Early Diagnosis of Autism Spectrum Disorder and Language Disorder in Infants</t>
        </is>
      </c>
      <c r="D394" s="4" t="inlineStr">
        <is>
          <t>Diagnosis</t>
        </is>
      </c>
      <c r="E394" s="4" t="inlineStr">
        <is>
          <t>Deep Learning</t>
        </is>
      </c>
      <c r="F394" s="4" t="inlineStr">
        <is>
          <t>Physiological signals</t>
        </is>
      </c>
      <c r="G394" s="4" t="inlineStr">
        <is>
          <t>Multi-Tier Transformer (feature attention + dual self/cross-attention)</t>
        </is>
      </c>
      <c r="H394" s="4" t="inlineStr">
        <is>
          <t>Auxiliary early diagnosis of ASD and developmental language/reading disorder</t>
        </is>
      </c>
      <c r="I394" s="4" t="inlineStr">
        <is>
          <t>Diagnosis</t>
        </is>
      </c>
      <c r="J394" s="4" t="inlineStr">
        <is>
          <t>Deep Learning</t>
        </is>
      </c>
      <c r="K394" s="4" t="inlineStr">
        <is>
          <t>Physiological signals (resting-state infant EEG)</t>
        </is>
      </c>
      <c r="L394" s="4" t="inlineStr">
        <is>
          <t>Medición fisiológica explícita</t>
        </is>
      </c>
      <c r="M394" s="4" t="inlineStr">
        <is>
          <t>Inherited scoped adjudication; see source level and lot caveats</t>
        </is>
      </c>
      <c r="N394" s="4" t="n">
        <v>0</v>
      </c>
      <c r="O394" s="12" t="n"/>
      <c r="P394" s="41" t="n"/>
      <c r="Q394" s="4">
        <f>IF(COUNTIFS('ESTUDIOS'!$A$2:$A$455,$A394,'ESTUDIOS'!$I$2:$I$455,"")&gt;0,"",INDEX('ESTUDIOS'!$I$2:$I$455,MATCH($A394,'ESTUDIOS'!$A$2:$A$455,0)))</f>
        <v/>
      </c>
    </row>
    <row r="395" ht="47" customHeight="1">
      <c r="A395" s="4" t="inlineStr">
        <is>
          <t>new_248</t>
        </is>
      </c>
      <c r="B395" s="4" t="inlineStr">
        <is>
          <t>Update</t>
        </is>
      </c>
      <c r="C395" s="4" t="inlineStr">
        <is>
          <t>Optimized quadrangle attention consolidated convolutional multi-scale vision transformer based autism detection</t>
        </is>
      </c>
      <c r="D395" s="4" t="inlineStr">
        <is>
          <t>Diagnosis</t>
        </is>
      </c>
      <c r="E395" s="4" t="inlineStr">
        <is>
          <t>Hybrid</t>
        </is>
      </c>
      <c r="F395" s="4" t="inlineStr">
        <is>
          <t>Facial images</t>
        </is>
      </c>
      <c r="G395" s="4" t="inlineStr">
        <is>
          <t>OQA-CMVT + DMM-AND + GAN, optimized with RS-COA</t>
        </is>
      </c>
      <c r="H395" s="4" t="inlineStr">
        <is>
          <t>ASD facial-image classification / detection</t>
        </is>
      </c>
      <c r="I395" s="4" t="inlineStr">
        <is>
          <t>Diagnosis</t>
        </is>
      </c>
      <c r="J395" s="4" t="inlineStr">
        <is>
          <t>Hybrid</t>
        </is>
      </c>
      <c r="K395" s="4" t="inlineStr">
        <is>
          <t>Facial images (two public ASD facial-image datasets)</t>
        </is>
      </c>
      <c r="L395" s="4" t="inlineStr">
        <is>
          <t>Imágenes faciales explícitas</t>
        </is>
      </c>
      <c r="M395" s="4" t="inlineStr">
        <is>
          <t>Inherited scoped adjudication; see source level and lot caveats</t>
        </is>
      </c>
      <c r="N395" s="4" t="n">
        <v>0</v>
      </c>
      <c r="O395" s="12" t="n"/>
      <c r="P395" s="41" t="n"/>
      <c r="Q395" s="4">
        <f>IF(COUNTIFS('ESTUDIOS'!$A$2:$A$455,$A395,'ESTUDIOS'!$I$2:$I$455,"")&gt;0,"",INDEX('ESTUDIOS'!$I$2:$I$455,MATCH($A395,'ESTUDIOS'!$A$2:$A$455,0)))</f>
        <v/>
      </c>
    </row>
    <row r="396" ht="60" customHeight="1">
      <c r="A396" s="4" t="inlineStr">
        <is>
          <t>new_249</t>
        </is>
      </c>
      <c r="B396" s="4" t="inlineStr">
        <is>
          <t>Update</t>
        </is>
      </c>
      <c r="C396" s="4" t="inlineStr">
        <is>
          <t>An early detection of autism spectrum disorder using machine learning</t>
        </is>
      </c>
      <c r="D396" s="4" t="inlineStr">
        <is>
          <t>Screening</t>
        </is>
      </c>
      <c r="E396" s="4" t="inlineStr">
        <is>
          <t>Machine Learning</t>
        </is>
      </c>
      <c r="F396" s="4" t="inlineStr">
        <is>
          <t>Physiological signals</t>
        </is>
      </c>
      <c r="G396" s="4" t="inlineStr">
        <is>
          <t>SVM (best) with random forest / decision tree comparison + SHAP</t>
        </is>
      </c>
      <c r="H396" s="4" t="inlineStr">
        <is>
          <t>Infant ASD classification / early detection</t>
        </is>
      </c>
      <c r="I396" s="4" t="inlineStr">
        <is>
          <t>Screening</t>
        </is>
      </c>
      <c r="J396" s="4" t="inlineStr">
        <is>
          <t>Machine Learning</t>
        </is>
      </c>
      <c r="K396" s="4" t="inlineStr">
        <is>
          <t>Physiological signals (baseline infant EEG)</t>
        </is>
      </c>
      <c r="L396" s="4" t="inlineStr">
        <is>
          <t>Medición fisiológica explícita</t>
        </is>
      </c>
      <c r="M396" s="4" t="inlineStr">
        <is>
          <t>Inherited scoped adjudication; see source level and lot caveats</t>
        </is>
      </c>
      <c r="N396" s="4" t="n">
        <v>0</v>
      </c>
      <c r="O396" s="12" t="n"/>
      <c r="P396" s="41" t="n"/>
      <c r="Q396" s="4">
        <f>IF(COUNTIFS('ESTUDIOS'!$A$2:$A$455,$A396,'ESTUDIOS'!$I$2:$I$455,"")&gt;0,"",INDEX('ESTUDIOS'!$I$2:$I$455,MATCH($A396,'ESTUDIOS'!$A$2:$A$455,0)))</f>
        <v/>
      </c>
    </row>
    <row r="397" ht="60" customHeight="1">
      <c r="A397" s="4" t="inlineStr">
        <is>
          <t>new_250</t>
        </is>
      </c>
      <c r="B397" s="4" t="inlineStr">
        <is>
          <t>Update</t>
        </is>
      </c>
      <c r="C397" s="4" t="inlineStr">
        <is>
          <t>An Effective LRSF-DLNN-Based Autism Spectrum Disorder Prediction Using EEG and fMRI</t>
        </is>
      </c>
      <c r="D397" s="4" t="inlineStr">
        <is>
          <t>Diagnosis</t>
        </is>
      </c>
      <c r="E397" s="4" t="inlineStr">
        <is>
          <t>Hybrid</t>
        </is>
      </c>
      <c r="F397" s="4" t="inlineStr">
        <is>
          <t>Multiple modalities (as coded)</t>
        </is>
      </c>
      <c r="G397" s="4" t="inlineStr">
        <is>
          <t>LRSF-DLNN + DFGAO feature selection with EEG/fMRI fusion pipeline</t>
        </is>
      </c>
      <c r="H397" s="4" t="inlineStr">
        <is>
          <t>ASD classification / prediction</t>
        </is>
      </c>
      <c r="I397" s="4" t="inlineStr">
        <is>
          <t>Diagnosis</t>
        </is>
      </c>
      <c r="J397" s="4" t="inlineStr">
        <is>
          <t>Hybrid</t>
        </is>
      </c>
      <c r="K397" s="4" t="inlineStr">
        <is>
          <t>Multimodal (EEG + fMRI)</t>
        </is>
      </c>
      <c r="L397" s="4" t="inlineStr">
        <is>
          <t>Modalidades múltiples declaradas; no prueba de integración/fusión</t>
        </is>
      </c>
      <c r="M397" s="4" t="inlineStr">
        <is>
          <t>Inherited scoped adjudication; see source level and lot caveats</t>
        </is>
      </c>
      <c r="N397" s="4" t="n">
        <v>0</v>
      </c>
      <c r="O397" s="12" t="n"/>
      <c r="P397" s="41" t="n"/>
      <c r="Q397" s="4">
        <f>IF(COUNTIFS('ESTUDIOS'!$A$2:$A$455,$A397,'ESTUDIOS'!$I$2:$I$455,"")&gt;0,"",INDEX('ESTUDIOS'!$I$2:$I$455,MATCH($A397,'ESTUDIOS'!$A$2:$A$455,0)))</f>
        <v/>
      </c>
    </row>
    <row r="398" ht="73" customHeight="1">
      <c r="A398" s="4" t="inlineStr">
        <is>
          <t>new_252</t>
        </is>
      </c>
      <c r="B398" s="4" t="inlineStr">
        <is>
          <t>Update</t>
        </is>
      </c>
      <c r="C398" s="4" t="inlineStr">
        <is>
          <t>A New Paradigm for Autism Spectrum Disorder Discrimination in Children Utilizing EEG Data Collected During Cartoon Viewing With a Focus on Atypical Semantic Processing</t>
        </is>
      </c>
      <c r="D398" s="4" t="inlineStr">
        <is>
          <t>Diagnosis</t>
        </is>
      </c>
      <c r="E398" s="4" t="inlineStr">
        <is>
          <t>Hybrid</t>
        </is>
      </c>
      <c r="F398" s="4" t="inlineStr">
        <is>
          <t>Physiological signals</t>
        </is>
      </c>
      <c r="G398" s="4" t="inlineStr">
        <is>
          <t>Pretrained language-model semantic features + regression-based EEG semantic-processing model</t>
        </is>
      </c>
      <c r="H398" s="4" t="inlineStr">
        <is>
          <t>ASD discrimination / atypical semantic-processing characterization</t>
        </is>
      </c>
      <c r="I398" s="4" t="inlineStr">
        <is>
          <t>Diagnosis</t>
        </is>
      </c>
      <c r="J398" s="4" t="inlineStr">
        <is>
          <t>Hybrid</t>
        </is>
      </c>
      <c r="K398" s="4" t="inlineStr">
        <is>
          <t>Physiological signals (EEG during cartoon viewing) with semantic stimulus annotations</t>
        </is>
      </c>
      <c r="L398" s="4" t="inlineStr">
        <is>
          <t>Medición fisiológica explícita</t>
        </is>
      </c>
      <c r="M398" s="4" t="inlineStr">
        <is>
          <t>Inherited scoped adjudication; see source level and lot caveats</t>
        </is>
      </c>
      <c r="N398" s="4" t="n">
        <v>0</v>
      </c>
      <c r="O398" s="12" t="n"/>
      <c r="P398" s="41" t="n"/>
      <c r="Q398" s="4">
        <f>IF(COUNTIFS('ESTUDIOS'!$A$2:$A$455,$A398,'ESTUDIOS'!$I$2:$I$455,"")&gt;0,"",INDEX('ESTUDIOS'!$I$2:$I$455,MATCH($A398,'ESTUDIOS'!$A$2:$A$455,0)))</f>
        <v/>
      </c>
    </row>
    <row r="399" ht="47" customHeight="1">
      <c r="A399" s="4" t="inlineStr">
        <is>
          <t>new_254</t>
        </is>
      </c>
      <c r="B399" s="4" t="inlineStr">
        <is>
          <t>Update</t>
        </is>
      </c>
      <c r="C399" s="4" t="inlineStr">
        <is>
          <t>Hybrid groupers-moray orangutan optimization algorithm-based dense-resolution network for autism spectrum disorder detection using multimodal data</t>
        </is>
      </c>
      <c r="D399" s="4" t="inlineStr">
        <is>
          <t>Diagnosis</t>
        </is>
      </c>
      <c r="E399" s="4" t="inlineStr">
        <is>
          <t>Hybrid</t>
        </is>
      </c>
      <c r="F399" s="4" t="inlineStr">
        <is>
          <t>Multiple modalities (as coded)</t>
        </is>
      </c>
      <c r="G399" s="4" t="inlineStr">
        <is>
          <t>GMOA-DRNet with imaging/phenotypic feature integration</t>
        </is>
      </c>
      <c r="H399" s="4" t="inlineStr">
        <is>
          <t>ASD detection / classification</t>
        </is>
      </c>
      <c r="I399" s="4" t="inlineStr">
        <is>
          <t>Diagnosis</t>
        </is>
      </c>
      <c r="J399" s="4" t="inlineStr">
        <is>
          <t>Hybrid</t>
        </is>
      </c>
      <c r="K399" s="4" t="inlineStr">
        <is>
          <t>Multimodal (MRI brain images + phenotypic data)</t>
        </is>
      </c>
      <c r="L399" s="4" t="inlineStr">
        <is>
          <t>Modalidades múltiples declaradas; no prueba de integración/fusión</t>
        </is>
      </c>
      <c r="M399" s="4" t="inlineStr">
        <is>
          <t>Inherited scoped adjudication; see source level and lot caveats</t>
        </is>
      </c>
      <c r="N399" s="4" t="n">
        <v>0</v>
      </c>
      <c r="O399" s="12" t="n"/>
      <c r="P399" s="41" t="n"/>
      <c r="Q399" s="4">
        <f>IF(COUNTIFS('ESTUDIOS'!$A$2:$A$455,$A399,'ESTUDIOS'!$I$2:$I$455,"")&gt;0,"",INDEX('ESTUDIOS'!$I$2:$I$455,MATCH($A399,'ESTUDIOS'!$A$2:$A$455,0)))</f>
        <v/>
      </c>
    </row>
    <row r="400" ht="47" customHeight="1">
      <c r="A400" s="4" t="inlineStr">
        <is>
          <t>new_266</t>
        </is>
      </c>
      <c r="B400" s="4" t="inlineStr">
        <is>
          <t>Update</t>
        </is>
      </c>
      <c r="C400" s="4" t="inlineStr">
        <is>
          <t>Machine Learning-Based Early Prediction Model for Autism Spectrum Disorder in Infants Using Acoustic Feature</t>
        </is>
      </c>
      <c r="D400" s="4" t="inlineStr">
        <is>
          <t>Prognosis</t>
        </is>
      </c>
      <c r="E400" s="4" t="inlineStr">
        <is>
          <t>Machine Learning</t>
        </is>
      </c>
      <c r="F400" s="4" t="inlineStr">
        <is>
          <t>Audio / voice</t>
        </is>
      </c>
      <c r="G400" s="4" t="inlineStr">
        <is>
          <t>LASSO feature selection + sigmoid-kernel SVM</t>
        </is>
      </c>
      <c r="H400" s="4" t="inlineStr">
        <is>
          <t>Prospective prediction of ASD diagnosis at 36 months</t>
        </is>
      </c>
      <c r="I400" s="4" t="inlineStr">
        <is>
          <t>Prognosis</t>
        </is>
      </c>
      <c r="J400" s="4" t="inlineStr">
        <is>
          <t>Machine Learning</t>
        </is>
      </c>
      <c r="K400" s="4" t="inlineStr">
        <is>
          <t>Audio / voice (infant vocalizations)</t>
        </is>
      </c>
      <c r="L400" s="4" t="inlineStr">
        <is>
          <t>Audio explícito</t>
        </is>
      </c>
      <c r="M400" s="4" t="inlineStr">
        <is>
          <t>Inherited scoped adjudication; see source level and lot caveats</t>
        </is>
      </c>
      <c r="N400" s="4" t="n">
        <v>0</v>
      </c>
      <c r="O400" s="12" t="n"/>
      <c r="P400" s="41" t="n"/>
      <c r="Q400" s="4">
        <f>IF(COUNTIFS('ESTUDIOS'!$A$2:$A$455,$A400,'ESTUDIOS'!$I$2:$I$455,"")&gt;0,"",INDEX('ESTUDIOS'!$I$2:$I$455,MATCH($A400,'ESTUDIOS'!$A$2:$A$455,0)))</f>
        <v/>
      </c>
    </row>
    <row r="401" ht="73" customHeight="1">
      <c r="A401" s="4" t="inlineStr">
        <is>
          <t>new_269</t>
        </is>
      </c>
      <c r="B401" s="4" t="inlineStr">
        <is>
          <t>Update</t>
        </is>
      </c>
      <c r="C401" s="4" t="inlineStr">
        <is>
          <t>Predicting fine motor deficit in autism by measuring brain activities and characterizing motor impairments</t>
        </is>
      </c>
      <c r="D401" s="4" t="inlineStr">
        <is>
          <t>Not specified</t>
        </is>
      </c>
      <c r="E401" s="4" t="inlineStr">
        <is>
          <t>Machine Learning</t>
        </is>
      </c>
      <c r="F401" s="4" t="inlineStr">
        <is>
          <t>Multiple modalities (as coded)</t>
        </is>
      </c>
      <c r="G401" s="4" t="inlineStr">
        <is>
          <t>Logistic regression (best), with SVM/KNN/RF/NN and ensemble comparison</t>
        </is>
      </c>
      <c r="H401" s="4" t="inlineStr">
        <is>
          <t>Fine-motor-deficit classification in adolescents with ASD using multimodal data</t>
        </is>
      </c>
      <c r="I401" s="4" t="inlineStr">
        <is>
          <t>Not specified</t>
        </is>
      </c>
      <c r="J401" s="4" t="inlineStr">
        <is>
          <t>Machine Learning</t>
        </is>
      </c>
      <c r="K401" s="4" t="inlineStr">
        <is>
          <t>Multimodal (QEEG + motor/behavioral tasks + AQ-10 psychometrics)</t>
        </is>
      </c>
      <c r="L401" s="4" t="inlineStr">
        <is>
          <t>Modalidades múltiples declaradas; no prueba de integración/fusión</t>
        </is>
      </c>
      <c r="M401" s="4" t="inlineStr">
        <is>
          <t>Inherited scoped adjudication; see source level and lot caveats</t>
        </is>
      </c>
      <c r="N401" s="4" t="n">
        <v>1</v>
      </c>
      <c r="O401" s="12" t="n"/>
      <c r="P401" s="41" t="n"/>
      <c r="Q401" s="4">
        <f>IF(COUNTIFS('ESTUDIOS'!$A$2:$A$455,$A401,'ESTUDIOS'!$I$2:$I$455,"")&gt;0,"",INDEX('ESTUDIOS'!$I$2:$I$455,MATCH($A401,'ESTUDIOS'!$A$2:$A$455,0)))</f>
        <v/>
      </c>
    </row>
    <row r="402" ht="60" customHeight="1">
      <c r="A402" s="4" t="inlineStr">
        <is>
          <t>new_270</t>
        </is>
      </c>
      <c r="B402" s="4" t="inlineStr">
        <is>
          <t>Update</t>
        </is>
      </c>
      <c r="C402" s="4" t="inlineStr">
        <is>
          <t>Diagnosing autism spectrum disorders using ensemble-aided weighted fused features and attention-based residual LSTM with brain MRI images</t>
        </is>
      </c>
      <c r="D402" s="4" t="inlineStr">
        <is>
          <t>Diagnosis</t>
        </is>
      </c>
      <c r="E402" s="4" t="inlineStr">
        <is>
          <t>Hybrid</t>
        </is>
      </c>
      <c r="F402" s="4" t="inlineStr">
        <is>
          <t>Neuroimaging</t>
        </is>
      </c>
      <c r="G402" s="4" t="inlineStr">
        <is>
          <t>EDCNN (VGG16/ResNet/Inception) + IRUN-HSOA weighted fusion + ARLSTM</t>
        </is>
      </c>
      <c r="H402" s="4" t="inlineStr">
        <is>
          <t>ASD diagnosis / classification</t>
        </is>
      </c>
      <c r="I402" s="4" t="inlineStr">
        <is>
          <t>Diagnosis</t>
        </is>
      </c>
      <c r="J402" s="4" t="inlineStr">
        <is>
          <t>Hybrid</t>
        </is>
      </c>
      <c r="K402" s="4" t="inlineStr">
        <is>
          <t>Neuroimaging (brain MRI)</t>
        </is>
      </c>
      <c r="L402" s="4" t="inlineStr">
        <is>
          <t>Fuente de neuroimagen explícita</t>
        </is>
      </c>
      <c r="M402" s="4" t="inlineStr">
        <is>
          <t>Inherited scoped adjudication; see source level and lot caveats</t>
        </is>
      </c>
      <c r="N402" s="4" t="n">
        <v>0</v>
      </c>
      <c r="O402" s="12" t="n"/>
      <c r="P402" s="41" t="n"/>
      <c r="Q402" s="4">
        <f>IF(COUNTIFS('ESTUDIOS'!$A$2:$A$455,$A402,'ESTUDIOS'!$I$2:$I$455,"")&gt;0,"",INDEX('ESTUDIOS'!$I$2:$I$455,MATCH($A402,'ESTUDIOS'!$A$2:$A$455,0)))</f>
        <v/>
      </c>
    </row>
    <row r="403" ht="47" customHeight="1">
      <c r="A403" s="4" t="inlineStr">
        <is>
          <t>new_271</t>
        </is>
      </c>
      <c r="B403" s="4" t="inlineStr">
        <is>
          <t>Update</t>
        </is>
      </c>
      <c r="C403" s="4" t="inlineStr">
        <is>
          <t>Early Autism Spectrum Disorder Detection Using SMOTE-Enhanced 1D-CNN and Behavioral Screening Data</t>
        </is>
      </c>
      <c r="D403" s="4" t="inlineStr">
        <is>
          <t>Screening</t>
        </is>
      </c>
      <c r="E403" s="4" t="inlineStr">
        <is>
          <t>Deep Learning</t>
        </is>
      </c>
      <c r="F403" s="4" t="inlineStr">
        <is>
          <t>Structured / tabular data</t>
        </is>
      </c>
      <c r="G403" s="4" t="inlineStr">
        <is>
          <t>SMOTE-enhanced 1D-CNN</t>
        </is>
      </c>
      <c r="H403" s="4" t="inlineStr">
        <is>
          <t>ASD screening classification</t>
        </is>
      </c>
      <c r="I403" s="4" t="inlineStr">
        <is>
          <t>Screening</t>
        </is>
      </c>
      <c r="J403" s="4" t="inlineStr">
        <is>
          <t>Deep Learning</t>
        </is>
      </c>
      <c r="K403" s="4" t="inlineStr">
        <is>
          <t>Structured behavioral screening questionnaire</t>
        </is>
      </c>
      <c r="L403" s="4" t="inlineStr">
        <is>
          <t>Variables estructuradas/tabulares; no inferir NLP</t>
        </is>
      </c>
      <c r="M403" s="4" t="inlineStr">
        <is>
          <t>Inherited scoped adjudication; see source level and lot caveats</t>
        </is>
      </c>
      <c r="N403" s="4" t="n">
        <v>0</v>
      </c>
      <c r="O403" s="12" t="n"/>
      <c r="P403" s="41" t="n"/>
      <c r="Q403" s="4">
        <f>IF(COUNTIFS('ESTUDIOS'!$A$2:$A$455,$A403,'ESTUDIOS'!$I$2:$I$455,"")&gt;0,"",INDEX('ESTUDIOS'!$I$2:$I$455,MATCH($A403,'ESTUDIOS'!$A$2:$A$455,0)))</f>
        <v/>
      </c>
    </row>
    <row r="404" ht="47" customHeight="1">
      <c r="A404" s="4" t="inlineStr">
        <is>
          <t>new_273</t>
        </is>
      </c>
      <c r="B404" s="4" t="inlineStr">
        <is>
          <t>Update</t>
        </is>
      </c>
      <c r="C404" s="4" t="inlineStr">
        <is>
          <t>Optimizing Autism Spectrum Disorder Diagnosis with VGG16-Based Facial Landmark Recognition</t>
        </is>
      </c>
      <c r="D404" s="4" t="inlineStr">
        <is>
          <t>Screening</t>
        </is>
      </c>
      <c r="E404" s="4" t="inlineStr">
        <is>
          <t>Deep Learning</t>
        </is>
      </c>
      <c r="F404" s="4" t="inlineStr">
        <is>
          <t>Facial images</t>
        </is>
      </c>
      <c r="G404" s="4" t="inlineStr">
        <is>
          <t>VGG16 CNN</t>
        </is>
      </c>
      <c r="H404" s="4" t="inlineStr">
        <is>
          <t>ASD facial-image classification / early detection</t>
        </is>
      </c>
      <c r="I404" s="4" t="inlineStr">
        <is>
          <t>Screening</t>
        </is>
      </c>
      <c r="J404" s="4" t="inlineStr">
        <is>
          <t>Deep Learning</t>
        </is>
      </c>
      <c r="K404" s="4" t="inlineStr">
        <is>
          <t>Facial images</t>
        </is>
      </c>
      <c r="L404" s="4" t="inlineStr">
        <is>
          <t>Imágenes faciales explícitas</t>
        </is>
      </c>
      <c r="M404" s="4" t="inlineStr">
        <is>
          <t>Inherited scoped adjudication; see source level and lot caveats</t>
        </is>
      </c>
      <c r="N404" s="4" t="n">
        <v>0</v>
      </c>
      <c r="O404" s="12" t="n"/>
      <c r="P404" s="41" t="n"/>
      <c r="Q404" s="4">
        <f>IF(COUNTIFS('ESTUDIOS'!$A$2:$A$455,$A404,'ESTUDIOS'!$I$2:$I$455,"")&gt;0,"",INDEX('ESTUDIOS'!$I$2:$I$455,MATCH($A404,'ESTUDIOS'!$A$2:$A$455,0)))</f>
        <v/>
      </c>
    </row>
    <row r="405" ht="60" customHeight="1">
      <c r="A405" s="4" t="inlineStr">
        <is>
          <t>new_275</t>
        </is>
      </c>
      <c r="B405" s="4" t="inlineStr">
        <is>
          <t>Update</t>
        </is>
      </c>
      <c r="C405" s="4" t="inlineStr">
        <is>
          <t>Machine Learning Techniques to Uncover Sociodemographic Risk Factors of Autism Spectrum Disorder (ASD) Among Children and Adolescents in Bangladesh</t>
        </is>
      </c>
      <c r="D405" s="4" t="inlineStr">
        <is>
          <t>Prescreening</t>
        </is>
      </c>
      <c r="E405" s="4" t="inlineStr">
        <is>
          <t>Machine Learning</t>
        </is>
      </c>
      <c r="F405" s="4" t="inlineStr">
        <is>
          <t>Structured / tabular data</t>
        </is>
      </c>
      <c r="G405" s="4" t="inlineStr">
        <is>
          <t>Decision tree with F-classify feature selection (best of 8 classifiers)</t>
        </is>
      </c>
      <c r="H405" s="4" t="inlineStr">
        <is>
          <t>ASD classification and risk-factor discovery</t>
        </is>
      </c>
      <c r="I405" s="4" t="inlineStr">
        <is>
          <t>Prescreening</t>
        </is>
      </c>
      <c r="J405" s="4" t="inlineStr">
        <is>
          <t>Machine Learning</t>
        </is>
      </c>
      <c r="K405" s="4" t="inlineStr">
        <is>
          <t>Structured sociodemographic / parental / perinatal risk-factor data</t>
        </is>
      </c>
      <c r="L405" s="4" t="inlineStr">
        <is>
          <t>Variables estructuradas/tabulares; no inferir NLP</t>
        </is>
      </c>
      <c r="M405" s="4" t="inlineStr">
        <is>
          <t>Inherited scoped adjudication; see source level and lot caveats</t>
        </is>
      </c>
      <c r="N405" s="4" t="n">
        <v>0</v>
      </c>
      <c r="O405" s="12" t="n"/>
      <c r="P405" s="41" t="n"/>
      <c r="Q405" s="4">
        <f>IF(COUNTIFS('ESTUDIOS'!$A$2:$A$455,$A405,'ESTUDIOS'!$I$2:$I$455,"")&gt;0,"",INDEX('ESTUDIOS'!$I$2:$I$455,MATCH($A405,'ESTUDIOS'!$A$2:$A$455,0)))</f>
        <v/>
      </c>
    </row>
    <row r="406" ht="86" customHeight="1">
      <c r="A406" s="4" t="inlineStr">
        <is>
          <t>new_277</t>
        </is>
      </c>
      <c r="B406" s="4" t="inlineStr">
        <is>
          <t>Update</t>
        </is>
      </c>
      <c r="C406" s="4" t="inlineStr">
        <is>
          <t>A comprehensive causal and machine learning framework for autism spectrum disorder risk prediction and high-risk subgroup identification from children with chronic health and genetic disorders in the United States</t>
        </is>
      </c>
      <c r="D406" s="4" t="inlineStr">
        <is>
          <t>Prescreening</t>
        </is>
      </c>
      <c r="E406" s="4" t="inlineStr">
        <is>
          <t>Machine Learning</t>
        </is>
      </c>
      <c r="F406" s="4" t="inlineStr">
        <is>
          <t>Biological/omics</t>
        </is>
      </c>
      <c r="G406" s="4" t="inlineStr">
        <is>
          <t>Multiple ML classifiers + propensity-score matching; best learner not specified in accessible text</t>
        </is>
      </c>
      <c r="H406" s="4" t="inlineStr">
        <is>
          <t>ASD risk prediction / high-risk subgroup identification</t>
        </is>
      </c>
      <c r="I406" s="4" t="inlineStr">
        <is>
          <t>Prescreening</t>
        </is>
      </c>
      <c r="J406" s="4" t="inlineStr">
        <is>
          <t>Machine Learning</t>
        </is>
      </c>
      <c r="K406" s="4" t="inlineStr">
        <is>
          <t>Structured national child-health survey / chronic and genetic conditions</t>
        </is>
      </c>
      <c r="L406" s="4" t="inlineStr">
        <is>
          <t>Fuente biológica explícita</t>
        </is>
      </c>
      <c r="M406" s="4" t="inlineStr">
        <is>
          <t>Inherited scoped adjudication; see source level and lot caveats</t>
        </is>
      </c>
      <c r="N406" s="4" t="n">
        <v>0</v>
      </c>
      <c r="O406" s="12" t="n"/>
      <c r="P406" s="41" t="n"/>
      <c r="Q406" s="4">
        <f>IF(COUNTIFS('ESTUDIOS'!$A$2:$A$455,$A406,'ESTUDIOS'!$I$2:$I$455,"")&gt;0,"",INDEX('ESTUDIOS'!$I$2:$I$455,MATCH($A406,'ESTUDIOS'!$A$2:$A$455,0)))</f>
        <v/>
      </c>
    </row>
    <row r="407" ht="60" customHeight="1">
      <c r="A407" s="4" t="inlineStr">
        <is>
          <t>new_280</t>
        </is>
      </c>
      <c r="B407" s="4" t="inlineStr">
        <is>
          <t>Update</t>
        </is>
      </c>
      <c r="C407" s="4" t="inlineStr">
        <is>
          <t>Sleep pattern consistency and autism spectrum disorder in U.S. children: Associations and identification of high-risk subgroups</t>
        </is>
      </c>
      <c r="D407" s="4" t="inlineStr">
        <is>
          <t>Prescreening</t>
        </is>
      </c>
      <c r="E407" s="4" t="inlineStr">
        <is>
          <t>Machine Learning</t>
        </is>
      </c>
      <c r="F407" s="4" t="inlineStr">
        <is>
          <t>Structured / tabular data</t>
        </is>
      </c>
      <c r="G407" s="4" t="inlineStr">
        <is>
          <t>Multivariable logistic regression + machine-learning risk-profile modeling</t>
        </is>
      </c>
      <c r="H407" s="4" t="inlineStr">
        <is>
          <t>ASD risk-profile prediction / high-risk subgroup identification</t>
        </is>
      </c>
      <c r="I407" s="4" t="inlineStr">
        <is>
          <t>Prescreening</t>
        </is>
      </c>
      <c r="J407" s="4" t="inlineStr">
        <is>
          <t>Machine Learning</t>
        </is>
      </c>
      <c r="K407" s="4" t="inlineStr">
        <is>
          <t>Structured national survey (sleep patterns, demographics/comorbidities)</t>
        </is>
      </c>
      <c r="L407" s="4" t="inlineStr">
        <is>
          <t>Variables estructuradas/tabulares; no inferir NLP</t>
        </is>
      </c>
      <c r="M407" s="4" t="inlineStr">
        <is>
          <t>Inherited scoped adjudication; see source level and lot caveats</t>
        </is>
      </c>
      <c r="N407" s="4" t="n">
        <v>0</v>
      </c>
      <c r="O407" s="12" t="n"/>
      <c r="P407" s="41" t="n"/>
      <c r="Q407" s="4">
        <f>IF(COUNTIFS('ESTUDIOS'!$A$2:$A$455,$A407,'ESTUDIOS'!$I$2:$I$455,"")&gt;0,"",INDEX('ESTUDIOS'!$I$2:$I$455,MATCH($A407,'ESTUDIOS'!$A$2:$A$455,0)))</f>
        <v/>
      </c>
    </row>
    <row r="408" ht="47" customHeight="1">
      <c r="A408" s="4" t="inlineStr">
        <is>
          <t>new_286</t>
        </is>
      </c>
      <c r="B408" s="4" t="inlineStr">
        <is>
          <t>Update</t>
        </is>
      </c>
      <c r="C408" s="4" t="inlineStr">
        <is>
          <t>Identification of Potential Biomarkers in ASD Integrating RNA Seq Data and Machine Learning Approaches</t>
        </is>
      </c>
      <c r="D408" s="4" t="inlineStr">
        <is>
          <t>Screening</t>
        </is>
      </c>
      <c r="E408" s="4" t="inlineStr">
        <is>
          <t>Machine Learning</t>
        </is>
      </c>
      <c r="F408" s="4" t="inlineStr">
        <is>
          <t>Biological/omics</t>
        </is>
      </c>
      <c r="G408" s="4" t="inlineStr">
        <is>
          <t>XGBoost + random forest</t>
        </is>
      </c>
      <c r="H408" s="4" t="inlineStr">
        <is>
          <t>ASD/TD classification and biomarker discovery</t>
        </is>
      </c>
      <c r="I408" s="4" t="inlineStr">
        <is>
          <t>Screening</t>
        </is>
      </c>
      <c r="J408" s="4" t="inlineStr">
        <is>
          <t>Machine Learning</t>
        </is>
      </c>
      <c r="K408" s="4" t="inlineStr">
        <is>
          <t>Biological/omics (RNA-seq gene expression)</t>
        </is>
      </c>
      <c r="L408" s="4" t="inlineStr">
        <is>
          <t>Fuente biológica explícita</t>
        </is>
      </c>
      <c r="M408" s="4" t="inlineStr">
        <is>
          <t>Inherited scoped adjudication; see source level and lot caveats</t>
        </is>
      </c>
      <c r="N408" s="4" t="n">
        <v>0</v>
      </c>
      <c r="O408" s="12" t="n"/>
      <c r="P408" s="41" t="n"/>
      <c r="Q408" s="4">
        <f>IF(COUNTIFS('ESTUDIOS'!$A$2:$A$455,$A408,'ESTUDIOS'!$I$2:$I$455,"")&gt;0,"",INDEX('ESTUDIOS'!$I$2:$I$455,MATCH($A408,'ESTUDIOS'!$A$2:$A$455,0)))</f>
        <v/>
      </c>
    </row>
    <row r="409" ht="60" customHeight="1">
      <c r="A409" s="4" t="inlineStr">
        <is>
          <t>new_287</t>
        </is>
      </c>
      <c r="B409" s="4" t="inlineStr">
        <is>
          <t>Update</t>
        </is>
      </c>
      <c r="C409" s="4" t="inlineStr">
        <is>
          <t>REM Sleep Abnormalities in Children With Autism Spectrum Disorder</t>
        </is>
      </c>
      <c r="D409" s="4" t="inlineStr">
        <is>
          <t>Diagnosis</t>
        </is>
      </c>
      <c r="E409" s="4" t="inlineStr">
        <is>
          <t>Machine Learning</t>
        </is>
      </c>
      <c r="F409" s="4" t="inlineStr">
        <is>
          <t>Physiological signals</t>
        </is>
      </c>
      <c r="G409" s="4" t="inlineStr">
        <is>
          <t>XGBoost + SHAP</t>
        </is>
      </c>
      <c r="H409" s="4" t="inlineStr">
        <is>
          <t>ASD classification / predictive sleep-marker analysis</t>
        </is>
      </c>
      <c r="I409" s="4" t="inlineStr">
        <is>
          <t>Diagnosis</t>
        </is>
      </c>
      <c r="J409" s="4" t="inlineStr">
        <is>
          <t>Machine Learning</t>
        </is>
      </c>
      <c r="K409" s="4" t="inlineStr">
        <is>
          <t>Physiological signals (polysomnography / REM-sleep features)</t>
        </is>
      </c>
      <c r="L409" s="4" t="inlineStr">
        <is>
          <t>Medición fisiológica explícita</t>
        </is>
      </c>
      <c r="M409" s="4" t="inlineStr">
        <is>
          <t>Inherited scoped adjudication; see source level and lot caveats</t>
        </is>
      </c>
      <c r="N409" s="4" t="n">
        <v>0</v>
      </c>
      <c r="O409" s="12" t="n"/>
      <c r="P409" s="41" t="n"/>
      <c r="Q409" s="4">
        <f>IF(COUNTIFS('ESTUDIOS'!$A$2:$A$455,$A409,'ESTUDIOS'!$I$2:$I$455,"")&gt;0,"",INDEX('ESTUDIOS'!$I$2:$I$455,MATCH($A409,'ESTUDIOS'!$A$2:$A$455,0)))</f>
        <v/>
      </c>
    </row>
    <row r="410" ht="73" customHeight="1">
      <c r="A410" s="4" t="inlineStr">
        <is>
          <t>new_289</t>
        </is>
      </c>
      <c r="B410" s="4" t="inlineStr">
        <is>
          <t>Update</t>
        </is>
      </c>
      <c r="C410" s="4" t="inlineStr">
        <is>
          <t>Diagnosis of autism disorder from rs-fMRI brain images through hierarchical YOLO and mechanism of attention (HYMA)</t>
        </is>
      </c>
      <c r="D410" s="4" t="inlineStr">
        <is>
          <t>Diagnosis</t>
        </is>
      </c>
      <c r="E410" s="4" t="inlineStr">
        <is>
          <t>Hybrid</t>
        </is>
      </c>
      <c r="F410" s="4" t="inlineStr">
        <is>
          <t>Neuroimaging</t>
        </is>
      </c>
      <c r="G410" s="4" t="inlineStr">
        <is>
          <t>HYMA: hierarchical YOLO + BAM attention + Mixture-of-Experts + ensemble decision fusion</t>
        </is>
      </c>
      <c r="H410" s="4" t="inlineStr">
        <is>
          <t>ASD diagnosis / classification</t>
        </is>
      </c>
      <c r="I410" s="4" t="inlineStr">
        <is>
          <t>Diagnosis</t>
        </is>
      </c>
      <c r="J410" s="4" t="inlineStr">
        <is>
          <t>Hybrid</t>
        </is>
      </c>
      <c r="K410" s="4" t="inlineStr">
        <is>
          <t>Neuroimaging (rs-fMRI; ABIDE I/II)</t>
        </is>
      </c>
      <c r="L410" s="4" t="inlineStr">
        <is>
          <t>Fuente de neuroimagen explícita</t>
        </is>
      </c>
      <c r="M410" s="4" t="inlineStr">
        <is>
          <t>Inherited scoped adjudication; see source level and lot caveats</t>
        </is>
      </c>
      <c r="N410" s="4" t="n">
        <v>0</v>
      </c>
      <c r="O410" s="12" t="n"/>
      <c r="P410" s="41" t="n"/>
      <c r="Q410" s="4">
        <f>IF(COUNTIFS('ESTUDIOS'!$A$2:$A$455,$A410,'ESTUDIOS'!$I$2:$I$455,"")&gt;0,"",INDEX('ESTUDIOS'!$I$2:$I$455,MATCH($A410,'ESTUDIOS'!$A$2:$A$455,0)))</f>
        <v/>
      </c>
    </row>
    <row r="411" ht="47" customHeight="1">
      <c r="A411" s="4" t="inlineStr">
        <is>
          <t>new_295</t>
        </is>
      </c>
      <c r="B411" s="4" t="inlineStr">
        <is>
          <t>Update</t>
        </is>
      </c>
      <c r="C411" s="4" t="inlineStr">
        <is>
          <t>Comparing Machine Learning Models for Pupillary Light Reflex–Based Autism Spectrum Disorder Classification</t>
        </is>
      </c>
      <c r="D411" s="4" t="inlineStr">
        <is>
          <t>Screening</t>
        </is>
      </c>
      <c r="E411" s="4" t="inlineStr">
        <is>
          <t>Deep Learning</t>
        </is>
      </c>
      <c r="F411" s="4" t="inlineStr">
        <is>
          <t>Physiological signals</t>
        </is>
      </c>
      <c r="G411" s="4" t="inlineStr">
        <is>
          <t>Deep neural network (best) vs NB/LR/DT/LDA</t>
        </is>
      </c>
      <c r="H411" s="4" t="inlineStr">
        <is>
          <t>Automated ASD screening from pupillary light reflex</t>
        </is>
      </c>
      <c r="I411" s="4" t="inlineStr">
        <is>
          <t>Screening</t>
        </is>
      </c>
      <c r="J411" s="4" t="inlineStr">
        <is>
          <t>Deep Learning</t>
        </is>
      </c>
      <c r="K411" s="4" t="inlineStr">
        <is>
          <t>Pupillary light reflex / eye-tracking physiological data</t>
        </is>
      </c>
      <c r="L411" s="4" t="inlineStr">
        <is>
          <t>Medición fisiológica explícita</t>
        </is>
      </c>
      <c r="M411" s="4" t="inlineStr">
        <is>
          <t>Inherited scoped adjudication; see source level and lot caveats</t>
        </is>
      </c>
      <c r="N411" s="4" t="n">
        <v>0</v>
      </c>
      <c r="O411" s="12" t="n"/>
      <c r="P411" s="41" t="n"/>
      <c r="Q411" s="4">
        <f>IF(COUNTIFS('ESTUDIOS'!$A$2:$A$455,$A411,'ESTUDIOS'!$I$2:$I$455,"")&gt;0,"",INDEX('ESTUDIOS'!$I$2:$I$455,MATCH($A411,'ESTUDIOS'!$A$2:$A$455,0)))</f>
        <v/>
      </c>
    </row>
    <row r="412" ht="60" customHeight="1">
      <c r="A412" s="4" t="inlineStr">
        <is>
          <t>new_296</t>
        </is>
      </c>
      <c r="B412" s="4" t="inlineStr">
        <is>
          <t>Update</t>
        </is>
      </c>
      <c r="C412" s="4" t="inlineStr">
        <is>
          <t>Deep learning for diagnosing autism spectrum disorder using EEG with upright and inverted face processing tasks</t>
        </is>
      </c>
      <c r="D412" s="4" t="inlineStr">
        <is>
          <t>Diagnosis</t>
        </is>
      </c>
      <c r="E412" s="4" t="inlineStr">
        <is>
          <t>Deep Learning</t>
        </is>
      </c>
      <c r="F412" s="4" t="inlineStr">
        <is>
          <t>Physiological signals</t>
        </is>
      </c>
      <c r="G412" s="4" t="inlineStr">
        <is>
          <t>Lightweight 1D-CNN variants (including InceptionNet/ResNet-style models)</t>
        </is>
      </c>
      <c r="H412" s="4" t="inlineStr">
        <is>
          <t>ASD classification / diagnosis</t>
        </is>
      </c>
      <c r="I412" s="4" t="inlineStr">
        <is>
          <t>Diagnosis</t>
        </is>
      </c>
      <c r="J412" s="4" t="inlineStr">
        <is>
          <t>Deep Learning</t>
        </is>
      </c>
      <c r="K412" s="4" t="inlineStr">
        <is>
          <t>Physiological signals (task-based EEG during face processing)</t>
        </is>
      </c>
      <c r="L412" s="4" t="inlineStr">
        <is>
          <t>Medición fisiológica explícita</t>
        </is>
      </c>
      <c r="M412" s="4" t="inlineStr">
        <is>
          <t>Inherited scoped adjudication; see source level and lot caveats</t>
        </is>
      </c>
      <c r="N412" s="4" t="n">
        <v>0</v>
      </c>
      <c r="O412" s="12" t="n"/>
      <c r="P412" s="41" t="n"/>
      <c r="Q412" s="4">
        <f>IF(COUNTIFS('ESTUDIOS'!$A$2:$A$455,$A412,'ESTUDIOS'!$I$2:$I$455,"")&gt;0,"",INDEX('ESTUDIOS'!$I$2:$I$455,MATCH($A412,'ESTUDIOS'!$A$2:$A$455,0)))</f>
        <v/>
      </c>
    </row>
    <row r="413" ht="73" customHeight="1">
      <c r="A413" s="4" t="inlineStr">
        <is>
          <t>new_298</t>
        </is>
      </c>
      <c r="B413" s="4" t="inlineStr">
        <is>
          <t>Update</t>
        </is>
      </c>
      <c r="C413" s="4" t="inlineStr">
        <is>
          <t>Effects of conversational AI-enhanced peer-mediated intervention by peers with intellectual disabilities on conversational skills in children with ASD</t>
        </is>
      </c>
      <c r="D413" s="4" t="inlineStr">
        <is>
          <t>Monitoring/intervention</t>
        </is>
      </c>
      <c r="E413" s="4" t="inlineStr">
        <is>
          <t>Not specified</t>
        </is>
      </c>
      <c r="F413" s="4" t="inlineStr">
        <is>
          <t>Text / language</t>
        </is>
      </c>
      <c r="G413" s="4" t="inlineStr">
        <is>
          <t>Conversational AI virtual peer (underlying model not specified in accessible text)</t>
        </is>
      </c>
      <c r="H413" s="4" t="inlineStr">
        <is>
          <t>Conversational-skill intervention support</t>
        </is>
      </c>
      <c r="I413" s="4" t="inlineStr">
        <is>
          <t>Monitoring/intervention</t>
        </is>
      </c>
      <c r="J413" s="4" t="inlineStr">
        <is>
          <t>Not specified</t>
        </is>
      </c>
      <c r="K413" s="4" t="inlineStr">
        <is>
          <t>Conversational interaction / language-performance data</t>
        </is>
      </c>
      <c r="L413" s="4" t="inlineStr">
        <is>
          <t>Texto o lenguaje explícito; método NLP se registra aparte</t>
        </is>
      </c>
      <c r="M413" s="4" t="inlineStr">
        <is>
          <t>Inherited scoped adjudication; see source level and lot caveats</t>
        </is>
      </c>
      <c r="N413" s="4" t="n">
        <v>1</v>
      </c>
      <c r="O413" s="12" t="n"/>
      <c r="P413" s="41" t="n"/>
      <c r="Q413" s="4">
        <f>IF(COUNTIFS('ESTUDIOS'!$A$2:$A$455,$A413,'ESTUDIOS'!$I$2:$I$455,"")&gt;0,"",INDEX('ESTUDIOS'!$I$2:$I$455,MATCH($A413,'ESTUDIOS'!$A$2:$A$455,0)))</f>
        <v/>
      </c>
    </row>
    <row r="414" ht="73" customHeight="1">
      <c r="A414" s="4" t="inlineStr">
        <is>
          <t>new_299</t>
        </is>
      </c>
      <c r="B414" s="4" t="inlineStr">
        <is>
          <t>Update</t>
        </is>
      </c>
      <c r="C414" s="4" t="inlineStr">
        <is>
          <t>Decoding the Neural Basis of Sensory Phenotypes in Autism</t>
        </is>
      </c>
      <c r="D414" s="4" t="inlineStr">
        <is>
          <t>Not specified</t>
        </is>
      </c>
      <c r="E414" s="4" t="inlineStr">
        <is>
          <t>Machine Learning</t>
        </is>
      </c>
      <c r="F414" s="4" t="inlineStr">
        <is>
          <t>Neuroimaging</t>
        </is>
      </c>
      <c r="G414" s="4" t="inlineStr">
        <is>
          <t>k-means sensory-phenotype clustering + linear SVC on graph-theoretical fMRI features</t>
        </is>
      </c>
      <c r="H414" s="4" t="inlineStr">
        <is>
          <t>Within-ASD sensory-phenotype subtyping / classification</t>
        </is>
      </c>
      <c r="I414" s="4" t="inlineStr">
        <is>
          <t>Not specified</t>
        </is>
      </c>
      <c r="J414" s="4" t="inlineStr">
        <is>
          <t>Machine Learning</t>
        </is>
      </c>
      <c r="K414" s="4" t="inlineStr">
        <is>
          <t>Neuroimaging (rs-fMRI functional connectivity) with Short Sensory Profile phenotype labels</t>
        </is>
      </c>
      <c r="L414" s="4" t="inlineStr">
        <is>
          <t>Fuente de neuroimagen explícita</t>
        </is>
      </c>
      <c r="M414" s="4" t="inlineStr">
        <is>
          <t>Inherited scoped adjudication; see source level and lot caveats</t>
        </is>
      </c>
      <c r="N414" s="4" t="n">
        <v>1</v>
      </c>
      <c r="O414" s="12" t="n"/>
      <c r="P414" s="41" t="n"/>
      <c r="Q414" s="4">
        <f>IF(COUNTIFS('ESTUDIOS'!$A$2:$A$455,$A414,'ESTUDIOS'!$I$2:$I$455,"")&gt;0,"",INDEX('ESTUDIOS'!$I$2:$I$455,MATCH($A414,'ESTUDIOS'!$A$2:$A$455,0)))</f>
        <v/>
      </c>
    </row>
    <row r="415" ht="47" customHeight="1">
      <c r="A415" s="4" t="inlineStr">
        <is>
          <t>new_306</t>
        </is>
      </c>
      <c r="B415" s="4" t="inlineStr">
        <is>
          <t>Update</t>
        </is>
      </c>
      <c r="C415" s="4" t="inlineStr">
        <is>
          <t>Hybrid ensemble learning for Autism Spectrum Disorder screening using eye-tracking scanpath</t>
        </is>
      </c>
      <c r="D415" s="4" t="inlineStr">
        <is>
          <t>Screening</t>
        </is>
      </c>
      <c r="E415" s="4" t="inlineStr">
        <is>
          <t>Machine Learning</t>
        </is>
      </c>
      <c r="F415" s="4" t="inlineStr">
        <is>
          <t>Behavioral gaze / eye tracking</t>
        </is>
      </c>
      <c r="G415" s="4" t="inlineStr">
        <is>
          <t>Stacking ensemble (DT/RF/KNN/AdaBoost/gradient boosting)</t>
        </is>
      </c>
      <c r="H415" s="4" t="inlineStr">
        <is>
          <t>ASD screening classification</t>
        </is>
      </c>
      <c r="I415" s="4" t="inlineStr">
        <is>
          <t>Screening</t>
        </is>
      </c>
      <c r="J415" s="4" t="inlineStr">
        <is>
          <t>Machine Learning</t>
        </is>
      </c>
      <c r="K415" s="4" t="inlineStr">
        <is>
          <t>Eye-tracking scanpaths</t>
        </is>
      </c>
      <c r="L415" s="4" t="inlineStr">
        <is>
          <t>Trazas de mirada aunque se representen como imágenes</t>
        </is>
      </c>
      <c r="M415" s="4" t="inlineStr">
        <is>
          <t>Inherited scoped adjudication; see source level and lot caveats</t>
        </is>
      </c>
      <c r="N415" s="4" t="n">
        <v>0</v>
      </c>
      <c r="O415" s="12" t="n"/>
      <c r="P415" s="41" t="n"/>
      <c r="Q415" s="4">
        <f>IF(COUNTIFS('ESTUDIOS'!$A$2:$A$455,$A415,'ESTUDIOS'!$I$2:$I$455,"")&gt;0,"",INDEX('ESTUDIOS'!$I$2:$I$455,MATCH($A415,'ESTUDIOS'!$A$2:$A$455,0)))</f>
        <v/>
      </c>
    </row>
    <row r="416" ht="47" customHeight="1">
      <c r="A416" s="4" t="inlineStr">
        <is>
          <t>new_316</t>
        </is>
      </c>
      <c r="B416" s="4" t="inlineStr">
        <is>
          <t>Update</t>
        </is>
      </c>
      <c r="C416" s="4" t="inlineStr">
        <is>
          <t>Identifying Immune-related Molecular Biomarkers in Autism Spectrum Disorder Using Data-independent Acquisition Proteomics and Machine Learning.</t>
        </is>
      </c>
      <c r="D416" s="4" t="inlineStr">
        <is>
          <t>Diagnosis</t>
        </is>
      </c>
      <c r="E416" s="4" t="inlineStr">
        <is>
          <t>Machine Learning</t>
        </is>
      </c>
      <c r="F416" s="4" t="inlineStr">
        <is>
          <t>Biological/omics</t>
        </is>
      </c>
      <c r="G416" s="4" t="inlineStr">
        <is>
          <t>Logistic regression on an 8-protein biomarker panel</t>
        </is>
      </c>
      <c r="H416" s="4" t="inlineStr">
        <is>
          <t>ASD biomarker discovery / diagnostic classification</t>
        </is>
      </c>
      <c r="I416" s="4" t="inlineStr">
        <is>
          <t>Diagnosis</t>
        </is>
      </c>
      <c r="J416" s="4" t="inlineStr">
        <is>
          <t>Machine Learning</t>
        </is>
      </c>
      <c r="K416" s="4" t="inlineStr">
        <is>
          <t>Biological/omics (serum DIA proteomics)</t>
        </is>
      </c>
      <c r="L416" s="4" t="inlineStr">
        <is>
          <t>Fuente biológica explícita</t>
        </is>
      </c>
      <c r="M416" s="4" t="inlineStr">
        <is>
          <t>Inherited scoped adjudication; see source level and lot caveats</t>
        </is>
      </c>
      <c r="N416" s="4" t="n">
        <v>0</v>
      </c>
      <c r="O416" s="12" t="n"/>
      <c r="P416" s="41" t="n"/>
      <c r="Q416" s="4">
        <f>IF(COUNTIFS('ESTUDIOS'!$A$2:$A$455,$A416,'ESTUDIOS'!$I$2:$I$455,"")&gt;0,"",INDEX('ESTUDIOS'!$I$2:$I$455,MATCH($A416,'ESTUDIOS'!$A$2:$A$455,0)))</f>
        <v/>
      </c>
    </row>
    <row r="417" ht="60" customHeight="1">
      <c r="A417" s="4" t="inlineStr">
        <is>
          <t>new_319</t>
        </is>
      </c>
      <c r="B417" s="4" t="inlineStr">
        <is>
          <t>Update</t>
        </is>
      </c>
      <c r="C417" s="4" t="inlineStr">
        <is>
          <t>Enhanced detection of autism spectrum disorder through neuroimaging data using stack classifier ensembled with modified VGG-19</t>
        </is>
      </c>
      <c r="D417" s="4" t="inlineStr">
        <is>
          <t>Diagnosis</t>
        </is>
      </c>
      <c r="E417" s="4" t="inlineStr">
        <is>
          <t>Hybrid</t>
        </is>
      </c>
      <c r="F417" s="4" t="inlineStr">
        <is>
          <t>Multiple modalities (as coded)</t>
        </is>
      </c>
      <c r="G417" s="4" t="inlineStr">
        <is>
          <t>Stacking classifier ensemble with modified VGG-19 features</t>
        </is>
      </c>
      <c r="H417" s="4" t="inlineStr">
        <is>
          <t>ASD classification / detection</t>
        </is>
      </c>
      <c r="I417" s="4" t="inlineStr">
        <is>
          <t>Diagnosis</t>
        </is>
      </c>
      <c r="J417" s="4" t="inlineStr">
        <is>
          <t>Hybrid</t>
        </is>
      </c>
      <c r="K417" s="4" t="inlineStr">
        <is>
          <t>Multimodal neuroimaging (structural + functional MRI; ABIDE I/II)</t>
        </is>
      </c>
      <c r="L417" s="4" t="inlineStr">
        <is>
          <t>Modalidades múltiples declaradas; no prueba de integración/fusión</t>
        </is>
      </c>
      <c r="M417" s="4" t="inlineStr">
        <is>
          <t>Inherited scoped adjudication; see source level and lot caveats</t>
        </is>
      </c>
      <c r="N417" s="4" t="n">
        <v>0</v>
      </c>
      <c r="O417" s="12" t="n"/>
      <c r="P417" s="41" t="n"/>
      <c r="Q417" s="4">
        <f>IF(COUNTIFS('ESTUDIOS'!$A$2:$A$455,$A417,'ESTUDIOS'!$I$2:$I$455,"")&gt;0,"",INDEX('ESTUDIOS'!$I$2:$I$455,MATCH($A417,'ESTUDIOS'!$A$2:$A$455,0)))</f>
        <v/>
      </c>
    </row>
    <row r="418" ht="73" customHeight="1">
      <c r="A418" s="4" t="inlineStr">
        <is>
          <t>new_323</t>
        </is>
      </c>
      <c r="B418" s="4" t="inlineStr">
        <is>
          <t>Update</t>
        </is>
      </c>
      <c r="C418" s="4" t="inlineStr">
        <is>
          <t>Energy-Efficient EEG-Based Autism Spectrum Disorder Detection Using a Hyperbolic Attention Neural Network</t>
        </is>
      </c>
      <c r="D418" s="4" t="inlineStr">
        <is>
          <t>Diagnosis</t>
        </is>
      </c>
      <c r="E418" s="4" t="inlineStr">
        <is>
          <t>Deep Learning</t>
        </is>
      </c>
      <c r="F418" s="4" t="inlineStr">
        <is>
          <t>Physiological signals</t>
        </is>
      </c>
      <c r="G418" s="4" t="inlineStr">
        <is>
          <t>HyperCrossNet + Parrot Optimization + Pied Kingfisher Optimization</t>
        </is>
      </c>
      <c r="H418" s="4" t="inlineStr">
        <is>
          <t>ASD detection/classification from EEG with energy-efficient wearable processing</t>
        </is>
      </c>
      <c r="I418" s="4" t="inlineStr">
        <is>
          <t>Diagnosis</t>
        </is>
      </c>
      <c r="J418" s="4" t="inlineStr">
        <is>
          <t>Deep Learning</t>
        </is>
      </c>
      <c r="K418" s="4" t="inlineStr">
        <is>
          <t>Physiological signals (EEG)</t>
        </is>
      </c>
      <c r="L418" s="4" t="inlineStr">
        <is>
          <t>Medición fisiológica explícita</t>
        </is>
      </c>
      <c r="M418" s="4" t="inlineStr">
        <is>
          <t>Inherited scoped adjudication; see source level and lot caveats</t>
        </is>
      </c>
      <c r="N418" s="4" t="n">
        <v>0</v>
      </c>
      <c r="O418" s="12" t="n"/>
      <c r="P418" s="41" t="n"/>
      <c r="Q418" s="4">
        <f>IF(COUNTIFS('ESTUDIOS'!$A$2:$A$455,$A418,'ESTUDIOS'!$I$2:$I$455,"")&gt;0,"",INDEX('ESTUDIOS'!$I$2:$I$455,MATCH($A418,'ESTUDIOS'!$A$2:$A$455,0)))</f>
        <v/>
      </c>
    </row>
    <row r="419" ht="60" customHeight="1">
      <c r="A419" s="4" t="inlineStr">
        <is>
          <t>new_326</t>
        </is>
      </c>
      <c r="B419" s="4" t="inlineStr">
        <is>
          <t>Update</t>
        </is>
      </c>
      <c r="C419" s="4" t="inlineStr">
        <is>
          <t>Classification of Autism Spectrum Disorder Using Edge-Weight Enhanced Graph Attention Network With Multiple Features of Resting-State fNIRS Signals</t>
        </is>
      </c>
      <c r="D419" s="4" t="inlineStr">
        <is>
          <t>Diagnosis</t>
        </is>
      </c>
      <c r="E419" s="4" t="inlineStr">
        <is>
          <t>Deep Learning</t>
        </is>
      </c>
      <c r="F419" s="4" t="inlineStr">
        <is>
          <t>Physiological signals</t>
        </is>
      </c>
      <c r="G419" s="4" t="inlineStr">
        <is>
          <t>Edge-Weight Enhanced Graph Attention Network (EWE-GAT)</t>
        </is>
      </c>
      <c r="H419" s="4" t="inlineStr">
        <is>
          <t>ASD identification/classification from resting-state fNIRS</t>
        </is>
      </c>
      <c r="I419" s="4" t="inlineStr">
        <is>
          <t>Diagnosis</t>
        </is>
      </c>
      <c r="J419" s="4" t="inlineStr">
        <is>
          <t>Deep Learning</t>
        </is>
      </c>
      <c r="K419" s="4" t="inlineStr">
        <is>
          <t>Physiological signals (resting-state fNIRS)</t>
        </is>
      </c>
      <c r="L419" s="4" t="inlineStr">
        <is>
          <t>Medición fisiológica explícita</t>
        </is>
      </c>
      <c r="M419" s="4" t="inlineStr">
        <is>
          <t>Inherited scoped adjudication; see source level and lot caveats</t>
        </is>
      </c>
      <c r="N419" s="4" t="n">
        <v>0</v>
      </c>
      <c r="O419" s="12" t="n"/>
      <c r="P419" s="41" t="n"/>
      <c r="Q419" s="4">
        <f>IF(COUNTIFS('ESTUDIOS'!$A$2:$A$455,$A419,'ESTUDIOS'!$I$2:$I$455,"")&gt;0,"",INDEX('ESTUDIOS'!$I$2:$I$455,MATCH($A419,'ESTUDIOS'!$A$2:$A$455,0)))</f>
        <v/>
      </c>
    </row>
    <row r="420" ht="60" customHeight="1">
      <c r="A420" s="4" t="inlineStr">
        <is>
          <t>new_334</t>
        </is>
      </c>
      <c r="B420" s="4" t="inlineStr">
        <is>
          <t>Update</t>
        </is>
      </c>
      <c r="C420" s="4" t="inlineStr">
        <is>
          <t>Constructing a Predictive Model for Children with Autism Spectrum Disorder Based on Whole-Brain MR Radiomics: A Machine Learning Study</t>
        </is>
      </c>
      <c r="D420" s="4" t="inlineStr">
        <is>
          <t>Diagnosis</t>
        </is>
      </c>
      <c r="E420" s="4" t="inlineStr">
        <is>
          <t>Machine Learning</t>
        </is>
      </c>
      <c r="F420" s="4" t="inlineStr">
        <is>
          <t>Multiple modalities (as coded)</t>
        </is>
      </c>
      <c r="G420" s="4" t="inlineStr">
        <is>
          <t>Decision tree joint model with whole-brain radiomics signature and VIQ</t>
        </is>
      </c>
      <c r="H420" s="4" t="inlineStr">
        <is>
          <t>ASD prediction/classification</t>
        </is>
      </c>
      <c r="I420" s="4" t="inlineStr">
        <is>
          <t>Diagnosis</t>
        </is>
      </c>
      <c r="J420" s="4" t="inlineStr">
        <is>
          <t>Machine Learning</t>
        </is>
      </c>
      <c r="K420" s="4" t="inlineStr">
        <is>
          <t>Multimodal (structural MRI radiomics + clinical VIQ)</t>
        </is>
      </c>
      <c r="L420" s="4" t="inlineStr">
        <is>
          <t>Modalidades múltiples declaradas; no prueba de integración/fusión</t>
        </is>
      </c>
      <c r="M420" s="4" t="inlineStr">
        <is>
          <t>Inherited scoped adjudication; see source level and lot caveats</t>
        </is>
      </c>
      <c r="N420" s="4" t="n">
        <v>0</v>
      </c>
      <c r="O420" s="12" t="n"/>
      <c r="P420" s="41" t="n"/>
      <c r="Q420" s="4">
        <f>IF(COUNTIFS('ESTUDIOS'!$A$2:$A$455,$A420,'ESTUDIOS'!$I$2:$I$455,"")&gt;0,"",INDEX('ESTUDIOS'!$I$2:$I$455,MATCH($A420,'ESTUDIOS'!$A$2:$A$455,0)))</f>
        <v/>
      </c>
    </row>
    <row r="421" ht="73" customHeight="1">
      <c r="A421" s="4" t="inlineStr">
        <is>
          <t>new_342</t>
        </is>
      </c>
      <c r="B421" s="4" t="inlineStr">
        <is>
          <t>Update</t>
        </is>
      </c>
      <c r="C421" s="4" t="inlineStr">
        <is>
          <t>Auditory brainstem response abnormalities in autism spectrum disorder: A deep learning approach to characterize time-frequency signatures</t>
        </is>
      </c>
      <c r="D421" s="4" t="inlineStr">
        <is>
          <t>Screening</t>
        </is>
      </c>
      <c r="E421" s="4" t="inlineStr">
        <is>
          <t>Hybrid</t>
        </is>
      </c>
      <c r="F421" s="4" t="inlineStr">
        <is>
          <t>Physiological signals</t>
        </is>
      </c>
      <c r="G421" s="4" t="inlineStr">
        <is>
          <t>TF-TBN: Transformer-enhanced 1D-CNN + Vision Transformer time-frequency fusion</t>
        </is>
      </c>
      <c r="H421" s="4" t="inlineStr">
        <is>
          <t>ASD classification and ABR signature characterization</t>
        </is>
      </c>
      <c r="I421" s="4" t="inlineStr">
        <is>
          <t>Screening</t>
        </is>
      </c>
      <c r="J421" s="4" t="inlineStr">
        <is>
          <t>Hybrid</t>
        </is>
      </c>
      <c r="K421" s="4" t="inlineStr">
        <is>
          <t>Physiological signals (auditory brainstem response, ABR)</t>
        </is>
      </c>
      <c r="L421" s="4" t="inlineStr">
        <is>
          <t>Medición fisiológica explícita</t>
        </is>
      </c>
      <c r="M421" s="4" t="inlineStr">
        <is>
          <t>Inherited scoped adjudication; see source level and lot caveats</t>
        </is>
      </c>
      <c r="N421" s="4" t="n">
        <v>0</v>
      </c>
      <c r="O421" s="12" t="n"/>
      <c r="P421" s="41" t="n"/>
      <c r="Q421" s="4">
        <f>IF(COUNTIFS('ESTUDIOS'!$A$2:$A$455,$A421,'ESTUDIOS'!$I$2:$I$455,"")&gt;0,"",INDEX('ESTUDIOS'!$I$2:$I$455,MATCH($A421,'ESTUDIOS'!$A$2:$A$455,0)))</f>
        <v/>
      </c>
    </row>
    <row r="422" ht="47" customHeight="1">
      <c r="A422" s="4" t="inlineStr">
        <is>
          <t>new_343</t>
        </is>
      </c>
      <c r="B422" s="4" t="inlineStr">
        <is>
          <t>Update</t>
        </is>
      </c>
      <c r="C422" s="4" t="inlineStr">
        <is>
          <t>An explainable machine unlearning algorithm framework for early detection of autism spectrum disorder and brain disabilities in newborns</t>
        </is>
      </c>
      <c r="D422" s="4" t="inlineStr">
        <is>
          <t>Screening</t>
        </is>
      </c>
      <c r="E422" s="4" t="inlineStr">
        <is>
          <t>Deep Learning</t>
        </is>
      </c>
      <c r="F422" s="4" t="inlineStr">
        <is>
          <t>Multiple modalities (as coded)</t>
        </is>
      </c>
      <c r="G422" s="4" t="inlineStr">
        <is>
          <t>MUXAI-ASDBD (CNN + machine unlearning + partitioning XAI)</t>
        </is>
      </c>
      <c r="H422" s="4" t="inlineStr">
        <is>
          <t>Early ASD/brain-disability detection</t>
        </is>
      </c>
      <c r="I422" s="4" t="inlineStr">
        <is>
          <t>Screening</t>
        </is>
      </c>
      <c r="J422" s="4" t="inlineStr">
        <is>
          <t>Deep Learning</t>
        </is>
      </c>
      <c r="K422" s="4" t="inlineStr">
        <is>
          <t>Multimodal (screening instruments + MRI + EEG benchmarks)</t>
        </is>
      </c>
      <c r="L422" s="4" t="inlineStr">
        <is>
          <t>Modalidades múltiples declaradas; no prueba de integración/fusión</t>
        </is>
      </c>
      <c r="M422" s="4" t="inlineStr">
        <is>
          <t>Inherited scoped adjudication; see source level and lot caveats</t>
        </is>
      </c>
      <c r="N422" s="4" t="n">
        <v>0</v>
      </c>
      <c r="O422" s="12" t="n"/>
      <c r="P422" s="41" t="n"/>
      <c r="Q422" s="4">
        <f>IF(COUNTIFS('ESTUDIOS'!$A$2:$A$455,$A422,'ESTUDIOS'!$I$2:$I$455,"")&gt;0,"",INDEX('ESTUDIOS'!$I$2:$I$455,MATCH($A422,'ESTUDIOS'!$A$2:$A$455,0)))</f>
        <v/>
      </c>
    </row>
    <row r="423" ht="47" customHeight="1">
      <c r="A423" s="4" t="inlineStr">
        <is>
          <t>new_347</t>
        </is>
      </c>
      <c r="B423" s="4" t="inlineStr">
        <is>
          <t>Update</t>
        </is>
      </c>
      <c r="C423" s="4" t="inlineStr">
        <is>
          <t>Vision transformer and complex network analysis for autism spectrum disorder classification in T1 structural MRI</t>
        </is>
      </c>
      <c r="D423" s="4" t="inlineStr">
        <is>
          <t>Diagnosis</t>
        </is>
      </c>
      <c r="E423" s="4" t="inlineStr">
        <is>
          <t>Hybrid</t>
        </is>
      </c>
      <c r="F423" s="4" t="inlineStr">
        <is>
          <t>Neuroimaging</t>
        </is>
      </c>
      <c r="G423" s="4" t="inlineStr">
        <is>
          <t>Federated CNA(KNN)-ViT(NN)</t>
        </is>
      </c>
      <c r="H423" s="4" t="inlineStr">
        <is>
          <t>ASD classification from T1 structural MRI</t>
        </is>
      </c>
      <c r="I423" s="4" t="inlineStr">
        <is>
          <t>Diagnosis</t>
        </is>
      </c>
      <c r="J423" s="4" t="inlineStr">
        <is>
          <t>Hybrid</t>
        </is>
      </c>
      <c r="K423" s="4" t="inlineStr">
        <is>
          <t>Neuroimaging (T1 structural MRI; ABIDE)</t>
        </is>
      </c>
      <c r="L423" s="4" t="inlineStr">
        <is>
          <t>Fuente de neuroimagen explícita</t>
        </is>
      </c>
      <c r="M423" s="4" t="inlineStr">
        <is>
          <t>Inherited scoped adjudication; see source level and lot caveats</t>
        </is>
      </c>
      <c r="N423" s="4" t="n">
        <v>0</v>
      </c>
      <c r="O423" s="12" t="n"/>
      <c r="P423" s="41" t="n"/>
      <c r="Q423" s="4">
        <f>IF(COUNTIFS('ESTUDIOS'!$A$2:$A$455,$A423,'ESTUDIOS'!$I$2:$I$455,"")&gt;0,"",INDEX('ESTUDIOS'!$I$2:$I$455,MATCH($A423,'ESTUDIOS'!$A$2:$A$455,0)))</f>
        <v/>
      </c>
    </row>
    <row r="424" ht="47" customHeight="1">
      <c r="A424" s="4" t="inlineStr">
        <is>
          <t>new_349</t>
        </is>
      </c>
      <c r="B424" s="4" t="inlineStr">
        <is>
          <t>Update</t>
        </is>
      </c>
      <c r="C424" s="4" t="inlineStr">
        <is>
          <t>Dominant cross-frequency analysis-based early diagnosis of Autism Spectrum Disorder in pediatrics using FRHIS and DSTCNN</t>
        </is>
      </c>
      <c r="D424" s="4" t="inlineStr">
        <is>
          <t>Diagnosis</t>
        </is>
      </c>
      <c r="E424" s="4" t="inlineStr">
        <is>
          <t>Hybrid</t>
        </is>
      </c>
      <c r="F424" s="4" t="inlineStr">
        <is>
          <t>Physiological signals</t>
        </is>
      </c>
      <c r="G424" s="4" t="inlineStr">
        <is>
          <t>FRHIS + CRBM feature selection + DSTCNN</t>
        </is>
      </c>
      <c r="H424" s="4" t="inlineStr">
        <is>
          <t>Early ASD diagnosis/classification from EEG</t>
        </is>
      </c>
      <c r="I424" s="4" t="inlineStr">
        <is>
          <t>Diagnosis</t>
        </is>
      </c>
      <c r="J424" s="4" t="inlineStr">
        <is>
          <t>Hybrid</t>
        </is>
      </c>
      <c r="K424" s="4" t="inlineStr">
        <is>
          <t>Physiological signals (EEG)</t>
        </is>
      </c>
      <c r="L424" s="4" t="inlineStr">
        <is>
          <t>Medición fisiológica explícita</t>
        </is>
      </c>
      <c r="M424" s="4" t="inlineStr">
        <is>
          <t>Inherited scoped adjudication; see source level and lot caveats</t>
        </is>
      </c>
      <c r="N424" s="4" t="n">
        <v>0</v>
      </c>
      <c r="O424" s="12" t="n"/>
      <c r="P424" s="41" t="n"/>
      <c r="Q424" s="4">
        <f>IF(COUNTIFS('ESTUDIOS'!$A$2:$A$455,$A424,'ESTUDIOS'!$I$2:$I$455,"")&gt;0,"",INDEX('ESTUDIOS'!$I$2:$I$455,MATCH($A424,'ESTUDIOS'!$A$2:$A$455,0)))</f>
        <v/>
      </c>
    </row>
    <row r="425" ht="86" customHeight="1">
      <c r="A425" s="4" t="inlineStr">
        <is>
          <t>new_354</t>
        </is>
      </c>
      <c r="B425" s="4" t="inlineStr">
        <is>
          <t>Update</t>
        </is>
      </c>
      <c r="C425" s="4" t="inlineStr">
        <is>
          <t>Contrastive diffusion adaptation network with rs-fMRI for domain adaptation classification of autism spectrum disorder</t>
        </is>
      </c>
      <c r="D425" s="4" t="inlineStr">
        <is>
          <t>Diagnosis</t>
        </is>
      </c>
      <c r="E425" s="4" t="inlineStr">
        <is>
          <t>Hybrid</t>
        </is>
      </c>
      <c r="F425" s="4" t="inlineStr">
        <is>
          <t>Neuroimaging</t>
        </is>
      </c>
      <c r="G425" s="4" t="inlineStr">
        <is>
          <t>CoNA-Net: Contrastive Variational Graph Transformer + GraphDDPMAugmentor + BrainNode-Attention GNN</t>
        </is>
      </c>
      <c r="H425" s="4" t="inlineStr">
        <is>
          <t>Cross-site ASD classification/domain adaptation</t>
        </is>
      </c>
      <c r="I425" s="4" t="inlineStr">
        <is>
          <t>Diagnosis</t>
        </is>
      </c>
      <c r="J425" s="4" t="inlineStr">
        <is>
          <t>Hybrid</t>
        </is>
      </c>
      <c r="K425" s="4" t="inlineStr">
        <is>
          <t>Neuroimaging (rs-fMRI; ABIDE multisite)</t>
        </is>
      </c>
      <c r="L425" s="4" t="inlineStr">
        <is>
          <t>Fuente de neuroimagen explícita</t>
        </is>
      </c>
      <c r="M425" s="4" t="inlineStr">
        <is>
          <t>Inherited scoped adjudication; see source level and lot caveats</t>
        </is>
      </c>
      <c r="N425" s="4" t="n">
        <v>0</v>
      </c>
      <c r="O425" s="12" t="n"/>
      <c r="P425" s="41" t="n"/>
      <c r="Q425" s="4">
        <f>IF(COUNTIFS('ESTUDIOS'!$A$2:$A$455,$A425,'ESTUDIOS'!$I$2:$I$455,"")&gt;0,"",INDEX('ESTUDIOS'!$I$2:$I$455,MATCH($A425,'ESTUDIOS'!$A$2:$A$455,0)))</f>
        <v/>
      </c>
    </row>
    <row r="426" ht="47" customHeight="1">
      <c r="A426" s="4" t="inlineStr">
        <is>
          <t>new_355</t>
        </is>
      </c>
      <c r="B426" s="4" t="inlineStr">
        <is>
          <t>Update</t>
        </is>
      </c>
      <c r="C426" s="4" t="inlineStr">
        <is>
          <t>Hybrid HOG–ResNet50V2 framework for early autism spectrum disorder detection from facial images</t>
        </is>
      </c>
      <c r="D426" s="4" t="inlineStr">
        <is>
          <t>Screening</t>
        </is>
      </c>
      <c r="E426" s="4" t="inlineStr">
        <is>
          <t>Hybrid</t>
        </is>
      </c>
      <c r="F426" s="4" t="inlineStr">
        <is>
          <t>Facial images</t>
        </is>
      </c>
      <c r="G426" s="4" t="inlineStr">
        <is>
          <t>HOG + ResNet50V2 transfer learning</t>
        </is>
      </c>
      <c r="H426" s="4" t="inlineStr">
        <is>
          <t>Facial-image ASD screening/classification</t>
        </is>
      </c>
      <c r="I426" s="4" t="inlineStr">
        <is>
          <t>Screening</t>
        </is>
      </c>
      <c r="J426" s="4" t="inlineStr">
        <is>
          <t>Hybrid</t>
        </is>
      </c>
      <c r="K426" s="4" t="inlineStr">
        <is>
          <t>Facial images</t>
        </is>
      </c>
      <c r="L426" s="4" t="inlineStr">
        <is>
          <t>Imágenes faciales explícitas</t>
        </is>
      </c>
      <c r="M426" s="4" t="inlineStr">
        <is>
          <t>Inherited scoped adjudication; see source level and lot caveats</t>
        </is>
      </c>
      <c r="N426" s="4" t="n">
        <v>0</v>
      </c>
      <c r="O426" s="12" t="n"/>
      <c r="P426" s="41" t="n"/>
      <c r="Q426" s="4">
        <f>IF(COUNTIFS('ESTUDIOS'!$A$2:$A$455,$A426,'ESTUDIOS'!$I$2:$I$455,"")&gt;0,"",INDEX('ESTUDIOS'!$I$2:$I$455,MATCH($A426,'ESTUDIOS'!$A$2:$A$455,0)))</f>
        <v/>
      </c>
    </row>
    <row r="427" ht="60" customHeight="1">
      <c r="A427" s="4" t="inlineStr">
        <is>
          <t>new_364</t>
        </is>
      </c>
      <c r="B427" s="4" t="inlineStr">
        <is>
          <t>Update</t>
        </is>
      </c>
      <c r="C427" s="4" t="inlineStr">
        <is>
          <t>Smart detection of autism spectrum disorder using optimized deep learner for transforming early diagnosis and intervention</t>
        </is>
      </c>
      <c r="D427" s="4" t="inlineStr">
        <is>
          <t>Screening</t>
        </is>
      </c>
      <c r="E427" s="4" t="inlineStr">
        <is>
          <t>Deep Learning</t>
        </is>
      </c>
      <c r="F427" s="4" t="inlineStr">
        <is>
          <t>Multiple datasets (fusion unverified)</t>
        </is>
      </c>
      <c r="G427" s="4" t="inlineStr">
        <is>
          <t>NeD-TraF + EVA-Search</t>
        </is>
      </c>
      <c r="H427" s="4" t="inlineStr">
        <is>
          <t>ASD detection/classification</t>
        </is>
      </c>
      <c r="I427" s="4" t="inlineStr">
        <is>
          <t>Screening</t>
        </is>
      </c>
      <c r="J427" s="4" t="inlineStr">
        <is>
          <t>Deep Learning</t>
        </is>
      </c>
      <c r="K427" s="4" t="inlineStr">
        <is>
          <t>Structured ASD screening data + Text / NLP (separate datasets)</t>
        </is>
      </c>
      <c r="L427" s="4" t="inlineStr">
        <is>
          <t>Varios datasets no demuestran fusión de modalidades</t>
        </is>
      </c>
      <c r="M427" s="4" t="inlineStr">
        <is>
          <t>Inherited scoped adjudication; see source level and lot caveats</t>
        </is>
      </c>
      <c r="N427" s="4" t="n">
        <v>0</v>
      </c>
      <c r="O427" s="12" t="n"/>
      <c r="P427" s="41" t="n"/>
      <c r="Q427" s="4">
        <f>IF(COUNTIFS('ESTUDIOS'!$A$2:$A$455,$A427,'ESTUDIOS'!$I$2:$I$455,"")&gt;0,"",INDEX('ESTUDIOS'!$I$2:$I$455,MATCH($A427,'ESTUDIOS'!$A$2:$A$455,0)))</f>
        <v/>
      </c>
    </row>
    <row r="428" ht="73" customHeight="1">
      <c r="A428" s="4" t="inlineStr">
        <is>
          <t>new_366</t>
        </is>
      </c>
      <c r="B428" s="4" t="inlineStr">
        <is>
          <t>Update</t>
        </is>
      </c>
      <c r="C428" s="4" t="inlineStr">
        <is>
          <t>Hybrid deep learning with cross-attention fusion for autism spectrum disorder classification from facial images</t>
        </is>
      </c>
      <c r="D428" s="4" t="inlineStr">
        <is>
          <t>Screening</t>
        </is>
      </c>
      <c r="E428" s="4" t="inlineStr">
        <is>
          <t>Hybrid</t>
        </is>
      </c>
      <c r="F428" s="4" t="inlineStr">
        <is>
          <t>Facial images</t>
        </is>
      </c>
      <c r="G428" s="4" t="inlineStr">
        <is>
          <t>ResNet-152-CBAM + ViT-Large bidirectional cross-attention + weighted ensemble/TTA</t>
        </is>
      </c>
      <c r="H428" s="4" t="inlineStr">
        <is>
          <t>ASD facial-image screening/classification</t>
        </is>
      </c>
      <c r="I428" s="4" t="inlineStr">
        <is>
          <t>Screening</t>
        </is>
      </c>
      <c r="J428" s="4" t="inlineStr">
        <is>
          <t>Hybrid</t>
        </is>
      </c>
      <c r="K428" s="4" t="inlineStr">
        <is>
          <t>Facial images</t>
        </is>
      </c>
      <c r="L428" s="4" t="inlineStr">
        <is>
          <t>Imágenes faciales explícitas</t>
        </is>
      </c>
      <c r="M428" s="4" t="inlineStr">
        <is>
          <t>Inherited scoped adjudication; see source level and lot caveats</t>
        </is>
      </c>
      <c r="N428" s="4" t="n">
        <v>0</v>
      </c>
      <c r="O428" s="12" t="n"/>
      <c r="P428" s="41" t="n"/>
      <c r="Q428" s="4">
        <f>IF(COUNTIFS('ESTUDIOS'!$A$2:$A$455,$A428,'ESTUDIOS'!$I$2:$I$455,"")&gt;0,"",INDEX('ESTUDIOS'!$I$2:$I$455,MATCH($A428,'ESTUDIOS'!$A$2:$A$455,0)))</f>
        <v/>
      </c>
    </row>
    <row r="429" ht="60" customHeight="1">
      <c r="A429" s="4" t="inlineStr">
        <is>
          <t>new_371</t>
        </is>
      </c>
      <c r="B429" s="4" t="inlineStr">
        <is>
          <t>Update</t>
        </is>
      </c>
      <c r="C429" s="4" t="inlineStr">
        <is>
          <t>A Hybrid CNN-GAT Model for MRI Screening of Autism Spectrum Disorder</t>
        </is>
      </c>
      <c r="D429" s="4" t="inlineStr">
        <is>
          <t>Screening</t>
        </is>
      </c>
      <c r="E429" s="4" t="inlineStr">
        <is>
          <t>Deep Learning</t>
        </is>
      </c>
      <c r="F429" s="4" t="inlineStr">
        <is>
          <t>Neuroimaging</t>
        </is>
      </c>
      <c r="G429" s="4" t="inlineStr">
        <is>
          <t>Hybrid CNN-GAT (Convolutional Neural Network + Graph Attention Network)</t>
        </is>
      </c>
      <c r="H429" s="4" t="inlineStr">
        <is>
          <t>Classification (ASD vs non-ASD)</t>
        </is>
      </c>
      <c r="I429" s="4" t="inlineStr">
        <is>
          <t>Screening</t>
        </is>
      </c>
      <c r="J429" s="4" t="inlineStr">
        <is>
          <t>Deep Learning</t>
        </is>
      </c>
      <c r="K429" s="4" t="inlineStr">
        <is>
          <t>Neuroimaging / MRI</t>
        </is>
      </c>
      <c r="L429" s="4" t="inlineStr">
        <is>
          <t>Fuente de neuroimagen explícita</t>
        </is>
      </c>
      <c r="M429" s="4" t="inlineStr">
        <is>
          <t>Inherited scoped adjudication; see source level and lot caveats</t>
        </is>
      </c>
      <c r="N429" s="4" t="n">
        <v>0</v>
      </c>
      <c r="O429" s="12" t="n"/>
      <c r="P429" s="41" t="n"/>
      <c r="Q429" s="4">
        <f>IF(COUNTIFS('ESTUDIOS'!$A$2:$A$455,$A429,'ESTUDIOS'!$I$2:$I$455,"")&gt;0,"",INDEX('ESTUDIOS'!$I$2:$I$455,MATCH($A429,'ESTUDIOS'!$A$2:$A$455,0)))</f>
        <v/>
      </c>
    </row>
    <row r="430" ht="47" customHeight="1">
      <c r="A430" s="4" t="inlineStr">
        <is>
          <t>new_373</t>
        </is>
      </c>
      <c r="B430" s="4" t="inlineStr">
        <is>
          <t>Update</t>
        </is>
      </c>
      <c r="C430" s="4" t="inlineStr">
        <is>
          <t>Multi-feature fusion transformer network for Autism spectrum disorder detection via facial images</t>
        </is>
      </c>
      <c r="D430" s="4" t="inlineStr">
        <is>
          <t>Screening</t>
        </is>
      </c>
      <c r="E430" s="4" t="inlineStr">
        <is>
          <t>Deep Learning</t>
        </is>
      </c>
      <c r="F430" s="4" t="inlineStr">
        <is>
          <t>Facial images</t>
        </is>
      </c>
      <c r="G430" s="4" t="inlineStr">
        <is>
          <t>MACFUT (Multi-Aspect Cross-Fusion Transformer)</t>
        </is>
      </c>
      <c r="H430" s="4" t="inlineStr">
        <is>
          <t>Early ASD facial screening</t>
        </is>
      </c>
      <c r="I430" s="4" t="inlineStr">
        <is>
          <t>Screening</t>
        </is>
      </c>
      <c r="J430" s="4" t="inlineStr">
        <is>
          <t>Deep Learning</t>
        </is>
      </c>
      <c r="K430" s="4" t="inlineStr">
        <is>
          <t>Facial images with derived landmark geometry</t>
        </is>
      </c>
      <c r="L430" s="4" t="inlineStr">
        <is>
          <t>Imágenes faciales explícitas</t>
        </is>
      </c>
      <c r="M430" s="4" t="inlineStr">
        <is>
          <t>Inherited scoped adjudication; see source level and lot caveats</t>
        </is>
      </c>
      <c r="N430" s="4" t="n">
        <v>0</v>
      </c>
      <c r="O430" s="12" t="n"/>
      <c r="P430" s="41" t="n"/>
      <c r="Q430" s="4">
        <f>IF(COUNTIFS('ESTUDIOS'!$A$2:$A$455,$A430,'ESTUDIOS'!$I$2:$I$455,"")&gt;0,"",INDEX('ESTUDIOS'!$I$2:$I$455,MATCH($A430,'ESTUDIOS'!$A$2:$A$455,0)))</f>
        <v/>
      </c>
    </row>
    <row r="431" ht="99" customHeight="1">
      <c r="A431" s="4" t="inlineStr">
        <is>
          <t>new_383</t>
        </is>
      </c>
      <c r="B431" s="4" t="inlineStr">
        <is>
          <t>Update</t>
        </is>
      </c>
      <c r="C431" s="4" t="inlineStr">
        <is>
          <t>Longitudinal multi-omics analysis of umbilical cord blood and childhood serum in Autism</t>
        </is>
      </c>
      <c r="D431" s="4" t="inlineStr">
        <is>
          <t>Prognosis</t>
        </is>
      </c>
      <c r="E431" s="4" t="inlineStr">
        <is>
          <t>Machine Learning</t>
        </is>
      </c>
      <c r="F431" s="4" t="inlineStr">
        <is>
          <t>Multiple modalities (as coded)</t>
        </is>
      </c>
      <c r="G431" s="4" t="inlineStr">
        <is>
          <t>Machine-learning prediction models on proteomic and metabolomic signatures (specific family not stated in accessible text)</t>
        </is>
      </c>
      <c r="H431" s="4" t="inlineStr">
        <is>
          <t>Prognostic biomarker discovery / future ASD prediction</t>
        </is>
      </c>
      <c r="I431" s="4" t="inlineStr">
        <is>
          <t>Prognosis</t>
        </is>
      </c>
      <c r="J431" s="4" t="inlineStr">
        <is>
          <t>Machine Learning</t>
        </is>
      </c>
      <c r="K431" s="4" t="inlineStr">
        <is>
          <t>Multimodal biological/omics (cord-blood proteomics + metabolomics; childhood serum follow-up)</t>
        </is>
      </c>
      <c r="L431" s="4" t="inlineStr">
        <is>
          <t>Modalidades múltiples declaradas; no prueba de integración/fusión</t>
        </is>
      </c>
      <c r="M431" s="4" t="inlineStr">
        <is>
          <t>Inherited scoped adjudication; see source level and lot caveats</t>
        </is>
      </c>
      <c r="N431" s="4" t="n">
        <v>0</v>
      </c>
      <c r="O431" s="12" t="n"/>
      <c r="P431" s="41" t="n"/>
      <c r="Q431" s="4">
        <f>IF(COUNTIFS('ESTUDIOS'!$A$2:$A$455,$A431,'ESTUDIOS'!$I$2:$I$455,"")&gt;0,"",INDEX('ESTUDIOS'!$I$2:$I$455,MATCH($A431,'ESTUDIOS'!$A$2:$A$455,0)))</f>
        <v/>
      </c>
    </row>
    <row r="432" ht="73" customHeight="1">
      <c r="A432" s="4" t="inlineStr">
        <is>
          <t>new_386</t>
        </is>
      </c>
      <c r="B432" s="4" t="inlineStr">
        <is>
          <t>Update</t>
        </is>
      </c>
      <c r="C432" s="4" t="inlineStr">
        <is>
          <t>3T dilated inception network for enhanced autism spectrum disorder diagnosis using resting-state fMRI data</t>
        </is>
      </c>
      <c r="D432" s="4" t="inlineStr">
        <is>
          <t>Diagnosis</t>
        </is>
      </c>
      <c r="E432" s="4" t="inlineStr">
        <is>
          <t>Deep Learning</t>
        </is>
      </c>
      <c r="F432" s="4" t="inlineStr">
        <is>
          <t>Neuroimaging</t>
        </is>
      </c>
      <c r="G432" s="4" t="inlineStr">
        <is>
          <t>3T-DINet (3T dilated inception + ResNet + Crossover-based Black Widow Optimization)</t>
        </is>
      </c>
      <c r="H432" s="4" t="inlineStr">
        <is>
          <t>ASD diagnosis/classification from rs-fMRI</t>
        </is>
      </c>
      <c r="I432" s="4" t="inlineStr">
        <is>
          <t>Diagnosis</t>
        </is>
      </c>
      <c r="J432" s="4" t="inlineStr">
        <is>
          <t>Deep Learning</t>
        </is>
      </c>
      <c r="K432" s="4" t="inlineStr">
        <is>
          <t>Neuroimaging (rs-fMRI)</t>
        </is>
      </c>
      <c r="L432" s="4" t="inlineStr">
        <is>
          <t>Fuente de neuroimagen explícita</t>
        </is>
      </c>
      <c r="M432" s="4" t="inlineStr">
        <is>
          <t>Inherited scoped adjudication; see source level and lot caveats</t>
        </is>
      </c>
      <c r="N432" s="4" t="n">
        <v>0</v>
      </c>
      <c r="O432" s="12" t="n"/>
      <c r="P432" s="41" t="n"/>
      <c r="Q432" s="4">
        <f>IF(COUNTIFS('ESTUDIOS'!$A$2:$A$455,$A432,'ESTUDIOS'!$I$2:$I$455,"")&gt;0,"",INDEX('ESTUDIOS'!$I$2:$I$455,MATCH($A432,'ESTUDIOS'!$A$2:$A$455,0)))</f>
        <v/>
      </c>
    </row>
    <row r="433" ht="60" customHeight="1">
      <c r="A433" s="4" t="inlineStr">
        <is>
          <t>new_387</t>
        </is>
      </c>
      <c r="B433" s="4" t="inlineStr">
        <is>
          <t>Update</t>
        </is>
      </c>
      <c r="C433" s="4" t="inlineStr">
        <is>
          <t>Predicting pragmatic language abilities from brain structural MRI in preschool children with ASD by NBS-Predict</t>
        </is>
      </c>
      <c r="D433" s="4" t="inlineStr">
        <is>
          <t>Diagnosis</t>
        </is>
      </c>
      <c r="E433" s="4" t="inlineStr">
        <is>
          <t>Machine Learning</t>
        </is>
      </c>
      <c r="F433" s="4" t="inlineStr">
        <is>
          <t>Neuroimaging</t>
        </is>
      </c>
      <c r="G433" s="4" t="inlineStr">
        <is>
          <t>NBS-Predict with linear discriminant analysis</t>
        </is>
      </c>
      <c r="H433" s="4" t="inlineStr">
        <is>
          <t>ASD/TD classification and pragmatic-language score prediction</t>
        </is>
      </c>
      <c r="I433" s="4" t="inlineStr">
        <is>
          <t>Diagnosis</t>
        </is>
      </c>
      <c r="J433" s="4" t="inlineStr">
        <is>
          <t>Machine Learning</t>
        </is>
      </c>
      <c r="K433" s="4" t="inlineStr">
        <is>
          <t>Neuroimaging (DTI structural connectome)</t>
        </is>
      </c>
      <c r="L433" s="4" t="inlineStr">
        <is>
          <t>Fuente de neuroimagen explícita</t>
        </is>
      </c>
      <c r="M433" s="4" t="inlineStr">
        <is>
          <t>Inherited scoped adjudication; see source level and lot caveats</t>
        </is>
      </c>
      <c r="N433" s="4" t="n">
        <v>0</v>
      </c>
      <c r="O433" s="12" t="n"/>
      <c r="P433" s="41" t="n"/>
      <c r="Q433" s="4">
        <f>IF(COUNTIFS('ESTUDIOS'!$A$2:$A$455,$A433,'ESTUDIOS'!$I$2:$I$455,"")&gt;0,"",INDEX('ESTUDIOS'!$I$2:$I$455,MATCH($A433,'ESTUDIOS'!$A$2:$A$455,0)))</f>
        <v/>
      </c>
    </row>
    <row r="434" ht="47" customHeight="1">
      <c r="A434" s="4" t="inlineStr">
        <is>
          <t>new_391</t>
        </is>
      </c>
      <c r="B434" s="4" t="inlineStr">
        <is>
          <t>Update</t>
        </is>
      </c>
      <c r="C434" s="4" t="inlineStr">
        <is>
          <t>Cell death-associated genes as novel diagnostic biomarkers for autism spectrum disorder</t>
        </is>
      </c>
      <c r="D434" s="4" t="inlineStr">
        <is>
          <t>Diagnosis</t>
        </is>
      </c>
      <c r="E434" s="4" t="inlineStr">
        <is>
          <t>Machine Learning</t>
        </is>
      </c>
      <c r="F434" s="4" t="inlineStr">
        <is>
          <t>Biological/omics</t>
        </is>
      </c>
      <c r="G434" s="4" t="inlineStr">
        <is>
          <t>K-nearest neighbors (KNN) + WGCNA-derived six-gene panel</t>
        </is>
      </c>
      <c r="H434" s="4" t="inlineStr">
        <is>
          <t>Diagnostic biomarker / ASD classification</t>
        </is>
      </c>
      <c r="I434" s="4" t="inlineStr">
        <is>
          <t>Diagnosis</t>
        </is>
      </c>
      <c r="J434" s="4" t="inlineStr">
        <is>
          <t>Machine Learning</t>
        </is>
      </c>
      <c r="K434" s="4" t="inlineStr">
        <is>
          <t>Biological/omics (peripheral blood gene expression)</t>
        </is>
      </c>
      <c r="L434" s="4" t="inlineStr">
        <is>
          <t>Fuente biológica explícita</t>
        </is>
      </c>
      <c r="M434" s="4" t="inlineStr">
        <is>
          <t>Inherited scoped adjudication; see source level and lot caveats</t>
        </is>
      </c>
      <c r="N434" s="4" t="n">
        <v>0</v>
      </c>
      <c r="O434" s="12" t="n"/>
      <c r="P434" s="41" t="n"/>
      <c r="Q434" s="4">
        <f>IF(COUNTIFS('ESTUDIOS'!$A$2:$A$455,$A434,'ESTUDIOS'!$I$2:$I$455,"")&gt;0,"",INDEX('ESTUDIOS'!$I$2:$I$455,MATCH($A434,'ESTUDIOS'!$A$2:$A$455,0)))</f>
        <v/>
      </c>
    </row>
    <row r="435" ht="47" customHeight="1">
      <c r="A435" s="4" t="inlineStr">
        <is>
          <t>new_393</t>
        </is>
      </c>
      <c r="B435" s="4" t="inlineStr">
        <is>
          <t>Update</t>
        </is>
      </c>
      <c r="C435" s="4" t="inlineStr">
        <is>
          <t>Integrating explainable AI with machine learning for reliable autism spectrum disorder diagnosis</t>
        </is>
      </c>
      <c r="D435" s="4" t="inlineStr">
        <is>
          <t>Screening</t>
        </is>
      </c>
      <c r="E435" s="4" t="inlineStr">
        <is>
          <t>Machine Learning</t>
        </is>
      </c>
      <c r="F435" s="4" t="inlineStr">
        <is>
          <t>Structured / tabular data</t>
        </is>
      </c>
      <c r="G435" s="4" t="inlineStr">
        <is>
          <t>XGBoost (best-performing) with LIME and SHAP</t>
        </is>
      </c>
      <c r="H435" s="4" t="inlineStr">
        <is>
          <t>ASD screening/classification</t>
        </is>
      </c>
      <c r="I435" s="4" t="inlineStr">
        <is>
          <t>Screening</t>
        </is>
      </c>
      <c r="J435" s="4" t="inlineStr">
        <is>
          <t>Machine Learning</t>
        </is>
      </c>
      <c r="K435" s="4" t="inlineStr">
        <is>
          <t>Structured behavioral/demographic ASD screening data</t>
        </is>
      </c>
      <c r="L435" s="4" t="inlineStr">
        <is>
          <t>Variables estructuradas/tabulares; no inferir NLP</t>
        </is>
      </c>
      <c r="M435" s="4" t="inlineStr">
        <is>
          <t>Inherited scoped adjudication; see source level and lot caveats</t>
        </is>
      </c>
      <c r="N435" s="4" t="n">
        <v>0</v>
      </c>
      <c r="O435" s="12" t="n"/>
      <c r="P435" s="41" t="n"/>
      <c r="Q435" s="4">
        <f>IF(COUNTIFS('ESTUDIOS'!$A$2:$A$455,$A435,'ESTUDIOS'!$I$2:$I$455,"")&gt;0,"",INDEX('ESTUDIOS'!$I$2:$I$455,MATCH($A435,'ESTUDIOS'!$A$2:$A$455,0)))</f>
        <v/>
      </c>
    </row>
    <row r="436" ht="60" customHeight="1">
      <c r="A436" s="4" t="inlineStr">
        <is>
          <t>new_398</t>
        </is>
      </c>
      <c r="B436" s="4" t="inlineStr">
        <is>
          <t>Update</t>
        </is>
      </c>
      <c r="C436" s="4" t="inlineStr">
        <is>
          <t>Diagnostic Classification of Autism Spectrum Disorder Using SD Maps of fMRI Data and Machine Learning</t>
        </is>
      </c>
      <c r="D436" s="4" t="inlineStr">
        <is>
          <t>Diagnosis</t>
        </is>
      </c>
      <c r="E436" s="4" t="inlineStr">
        <is>
          <t>Machine Learning</t>
        </is>
      </c>
      <c r="F436" s="4" t="inlineStr">
        <is>
          <t>Neuroimaging</t>
        </is>
      </c>
      <c r="G436" s="4" t="inlineStr">
        <is>
          <t>Logistic regression (best), with ridge/gradient boosting/XGBoost comparison</t>
        </is>
      </c>
      <c r="H436" s="4" t="inlineStr">
        <is>
          <t>ASD diagnostic classification</t>
        </is>
      </c>
      <c r="I436" s="4" t="inlineStr">
        <is>
          <t>Diagnosis</t>
        </is>
      </c>
      <c r="J436" s="4" t="inlineStr">
        <is>
          <t>Machine Learning</t>
        </is>
      </c>
      <c r="K436" s="4" t="inlineStr">
        <is>
          <t>Neuroimaging (rs-fMRI; ABIDE-I/II)</t>
        </is>
      </c>
      <c r="L436" s="4" t="inlineStr">
        <is>
          <t>Fuente de neuroimagen explícita</t>
        </is>
      </c>
      <c r="M436" s="4" t="inlineStr">
        <is>
          <t>Inherited scoped adjudication; see source level and lot caveats</t>
        </is>
      </c>
      <c r="N436" s="4" t="n">
        <v>0</v>
      </c>
      <c r="O436" s="12" t="n"/>
      <c r="P436" s="41" t="n"/>
      <c r="Q436" s="4">
        <f>IF(COUNTIFS('ESTUDIOS'!$A$2:$A$455,$A436,'ESTUDIOS'!$I$2:$I$455,"")&gt;0,"",INDEX('ESTUDIOS'!$I$2:$I$455,MATCH($A436,'ESTUDIOS'!$A$2:$A$455,0)))</f>
        <v/>
      </c>
    </row>
    <row r="437" ht="73" customHeight="1">
      <c r="A437" s="4" t="inlineStr">
        <is>
          <t>new_5</t>
        </is>
      </c>
      <c r="B437" s="4" t="inlineStr">
        <is>
          <t>Update</t>
        </is>
      </c>
      <c r="C437" s="4" t="inlineStr">
        <is>
          <t>An exploration of machine learning approaches for early Autism Spectrum Disorder detection</t>
        </is>
      </c>
      <c r="D437" s="4" t="inlineStr">
        <is>
          <t>Screening</t>
        </is>
      </c>
      <c r="E437" s="4" t="inlineStr">
        <is>
          <t>Machine Learning</t>
        </is>
      </c>
      <c r="F437" s="4" t="inlineStr">
        <is>
          <t>Structured / tabular data</t>
        </is>
      </c>
      <c r="G437" s="4" t="inlineStr">
        <is>
          <t>Support Vector Classifier (best-performing; compared with LR/KNN/DT/RF)</t>
        </is>
      </c>
      <c r="H437" s="4" t="inlineStr">
        <is>
          <t>ASD identification / early detection across child and toddler datasets</t>
        </is>
      </c>
      <c r="I437" s="4" t="inlineStr">
        <is>
          <t>Screening</t>
        </is>
      </c>
      <c r="J437" s="4" t="inlineStr">
        <is>
          <t>Machine Learning</t>
        </is>
      </c>
      <c r="K437" s="4" t="inlineStr">
        <is>
          <t>Structured behavioral/questionnaire ASD screening data (child and toddler datasets)</t>
        </is>
      </c>
      <c r="L437" s="4" t="inlineStr">
        <is>
          <t>Variables estructuradas/tabulares; no inferir NLP</t>
        </is>
      </c>
      <c r="M437" s="4" t="inlineStr">
        <is>
          <t>Inherited scoped adjudication; see source level and lot caveats</t>
        </is>
      </c>
      <c r="N437" s="4" t="n">
        <v>0</v>
      </c>
      <c r="O437" s="12" t="n"/>
      <c r="P437" s="41" t="n"/>
      <c r="Q437" s="4">
        <f>IF(COUNTIFS('ESTUDIOS'!$A$2:$A$455,$A437,'ESTUDIOS'!$I$2:$I$455,"")&gt;0,"",INDEX('ESTUDIOS'!$I$2:$I$455,MATCH($A437,'ESTUDIOS'!$A$2:$A$455,0)))</f>
        <v/>
      </c>
    </row>
    <row r="438" ht="99" customHeight="1">
      <c r="A438" s="4" t="inlineStr">
        <is>
          <t>new_11</t>
        </is>
      </c>
      <c r="B438" s="4" t="inlineStr">
        <is>
          <t>Update</t>
        </is>
      </c>
      <c r="C438" s="4" t="inlineStr">
        <is>
          <t>Ensembler_fMRI: An Intelligent Approach for the Early Prediction of Autism Disorder</t>
        </is>
      </c>
      <c r="D438" s="4" t="inlineStr">
        <is>
          <t>Diagnosis</t>
        </is>
      </c>
      <c r="E438" s="4" t="inlineStr">
        <is>
          <t>Hybrid</t>
        </is>
      </c>
      <c r="F438" s="4" t="inlineStr">
        <is>
          <t>Neuroimaging</t>
        </is>
      </c>
      <c r="G438" s="4" t="inlineStr">
        <is>
          <t>Ensembler_fMRI ensemble of multiple AI techniques (specific component families not fully specified in accessible source)</t>
        </is>
      </c>
      <c r="H438" s="4" t="inlineStr">
        <is>
          <t>Differential classification of ASD and ADHD from fMRI</t>
        </is>
      </c>
      <c r="I438" s="4" t="inlineStr">
        <is>
          <t>Diagnosis</t>
        </is>
      </c>
      <c r="J438" s="4" t="inlineStr">
        <is>
          <t>Hybrid</t>
        </is>
      </c>
      <c r="K438" s="4" t="inlineStr">
        <is>
          <t>Neuroimaging (fMRI; ABIDE and ADHD-200)</t>
        </is>
      </c>
      <c r="L438" s="4" t="inlineStr">
        <is>
          <t>Fuente de neuroimagen explícita</t>
        </is>
      </c>
      <c r="M438" s="4" t="inlineStr">
        <is>
          <t>Inherited scoped adjudication; see source level and lot caveats</t>
        </is>
      </c>
      <c r="N438" s="4" t="n">
        <v>0</v>
      </c>
      <c r="O438" s="12" t="n"/>
      <c r="P438" s="41" t="n"/>
      <c r="Q438" s="4">
        <f>IF(COUNTIFS('ESTUDIOS'!$A$2:$A$455,$A438,'ESTUDIOS'!$I$2:$I$455,"")&gt;0,"",INDEX('ESTUDIOS'!$I$2:$I$455,MATCH($A438,'ESTUDIOS'!$A$2:$A$455,0)))</f>
        <v/>
      </c>
    </row>
    <row r="439" ht="73" customHeight="1">
      <c r="A439" s="4" t="inlineStr">
        <is>
          <t>new_16</t>
        </is>
      </c>
      <c r="B439" s="4" t="inlineStr">
        <is>
          <t>Update</t>
        </is>
      </c>
      <c r="C439" s="4" t="inlineStr">
        <is>
          <t>Unraveling pathogenesis and potential biomarkers for autism spectrum disorder associated with HIF1A pathway based on machine learning and experiment validation</t>
        </is>
      </c>
      <c r="D439" s="4" t="inlineStr">
        <is>
          <t>Diagnosis</t>
        </is>
      </c>
      <c r="E439" s="4" t="inlineStr">
        <is>
          <t>Machine Learning</t>
        </is>
      </c>
      <c r="F439" s="4" t="inlineStr">
        <is>
          <t>Biological/omics</t>
        </is>
      </c>
      <c r="G439" s="4" t="inlineStr">
        <is>
          <t>Machine-learning hub-gene selection (specific model family not stated in accessible source)</t>
        </is>
      </c>
      <c r="H439" s="4" t="inlineStr">
        <is>
          <t>ASD molecular biomarker/pathogenesis characterization and diagnostic-marker discovery</t>
        </is>
      </c>
      <c r="I439" s="4" t="inlineStr">
        <is>
          <t>Diagnosis</t>
        </is>
      </c>
      <c r="J439" s="4" t="inlineStr">
        <is>
          <t>Machine Learning</t>
        </is>
      </c>
      <c r="K439" s="4" t="inlineStr">
        <is>
          <t>Biological/omics (bulk transcriptomics + single-cell RNA-seq; GEO)</t>
        </is>
      </c>
      <c r="L439" s="4" t="inlineStr">
        <is>
          <t>Fuente biológica explícita</t>
        </is>
      </c>
      <c r="M439" s="4" t="inlineStr">
        <is>
          <t>Inherited scoped adjudication; see source level and lot caveats</t>
        </is>
      </c>
      <c r="N439" s="4" t="n">
        <v>0</v>
      </c>
      <c r="O439" s="12" t="n"/>
      <c r="P439" s="41" t="n"/>
      <c r="Q439" s="4">
        <f>IF(COUNTIFS('ESTUDIOS'!$A$2:$A$455,$A439,'ESTUDIOS'!$I$2:$I$455,"")&gt;0,"",INDEX('ESTUDIOS'!$I$2:$I$455,MATCH($A439,'ESTUDIOS'!$A$2:$A$455,0)))</f>
        <v/>
      </c>
    </row>
    <row r="440" ht="112" customHeight="1">
      <c r="A440" s="4" t="inlineStr">
        <is>
          <t>new_27</t>
        </is>
      </c>
      <c r="B440" s="4" t="inlineStr">
        <is>
          <t>Update</t>
        </is>
      </c>
      <c r="C440" s="4" t="inlineStr">
        <is>
          <t>Developing a simplified measure to predict the risk of autism spectrum disorders: Abbreviating the M-CHAT-R using a machine learning approach in China</t>
        </is>
      </c>
      <c r="D440" s="4" t="inlineStr">
        <is>
          <t>Screening</t>
        </is>
      </c>
      <c r="E440" s="4" t="inlineStr">
        <is>
          <t>Machine Learning</t>
        </is>
      </c>
      <c r="F440" s="4" t="inlineStr">
        <is>
          <t>Structured / tabular data</t>
        </is>
      </c>
      <c r="G440" s="4" t="inlineStr">
        <is>
          <t>Best-performing classifier among six ML models after multi-method feature selection (family not uniquely stated in accessible abstract)</t>
        </is>
      </c>
      <c r="H440" s="4" t="inlineStr">
        <is>
          <t>Compact-item ASD screening / risk prediction</t>
        </is>
      </c>
      <c r="I440" s="4" t="inlineStr">
        <is>
          <t>Screening</t>
        </is>
      </c>
      <c r="J440" s="4" t="inlineStr">
        <is>
          <t>Machine Learning</t>
        </is>
      </c>
      <c r="K440" s="4" t="inlineStr">
        <is>
          <t>Structured questionnaire + sociodemographic/environmental factors (M-CHAT-R)</t>
        </is>
      </c>
      <c r="L440" s="4" t="inlineStr">
        <is>
          <t>Variables estructuradas/tabulares; no inferir NLP</t>
        </is>
      </c>
      <c r="M440" s="4" t="inlineStr">
        <is>
          <t>Inherited scoped adjudication; see source level and lot caveats</t>
        </is>
      </c>
      <c r="N440" s="4" t="n">
        <v>0</v>
      </c>
      <c r="O440" s="12" t="n"/>
      <c r="P440" s="41" t="n"/>
      <c r="Q440" s="4">
        <f>IF(COUNTIFS('ESTUDIOS'!$A$2:$A$455,$A440,'ESTUDIOS'!$I$2:$I$455,"")&gt;0,"",INDEX('ESTUDIOS'!$I$2:$I$455,MATCH($A440,'ESTUDIOS'!$A$2:$A$455,0)))</f>
        <v/>
      </c>
    </row>
    <row r="441" ht="60" customHeight="1">
      <c r="A441" s="4" t="inlineStr">
        <is>
          <t>new_31</t>
        </is>
      </c>
      <c r="B441" s="4" t="inlineStr">
        <is>
          <t>Update</t>
        </is>
      </c>
      <c r="C441" s="4" t="inlineStr">
        <is>
          <t>Replication of rs10099100 Association with Autism Spectrum Disorder Risk in a Polish‐Origin Cohort</t>
        </is>
      </c>
      <c r="D441" s="4" t="inlineStr">
        <is>
          <t>Diagnosis</t>
        </is>
      </c>
      <c r="E441" s="4" t="inlineStr">
        <is>
          <t>Machine Learning</t>
        </is>
      </c>
      <c r="F441" s="4" t="inlineStr">
        <is>
          <t>Biological/omics</t>
        </is>
      </c>
      <c r="G441" s="4" t="inlineStr">
        <is>
          <t>Boruta feature selection + Random Forest</t>
        </is>
      </c>
      <c r="H441" s="4" t="inlineStr">
        <is>
          <t>ASD genetic-risk marker identification / case-control classification</t>
        </is>
      </c>
      <c r="I441" s="4" t="inlineStr">
        <is>
          <t>Diagnosis</t>
        </is>
      </c>
      <c r="J441" s="4" t="inlineStr">
        <is>
          <t>Machine Learning</t>
        </is>
      </c>
      <c r="K441" s="4" t="inlineStr">
        <is>
          <t>Biological/genetic (SNP genotyping + phenotypic variables)</t>
        </is>
      </c>
      <c r="L441" s="4" t="inlineStr">
        <is>
          <t>Fuente biológica explícita</t>
        </is>
      </c>
      <c r="M441" s="4" t="inlineStr">
        <is>
          <t>Inherited scoped adjudication; see source level and lot caveats</t>
        </is>
      </c>
      <c r="N441" s="4" t="n">
        <v>0</v>
      </c>
      <c r="O441" s="12" t="n"/>
      <c r="P441" s="41" t="n"/>
      <c r="Q441" s="4">
        <f>IF(COUNTIFS('ESTUDIOS'!$A$2:$A$455,$A441,'ESTUDIOS'!$I$2:$I$455,"")&gt;0,"",INDEX('ESTUDIOS'!$I$2:$I$455,MATCH($A441,'ESTUDIOS'!$A$2:$A$455,0)))</f>
        <v/>
      </c>
    </row>
    <row r="442" ht="47" customHeight="1">
      <c r="A442" s="4" t="inlineStr">
        <is>
          <t>new_42</t>
        </is>
      </c>
      <c r="B442" s="4" t="inlineStr">
        <is>
          <t>Update</t>
        </is>
      </c>
      <c r="C442" s="4" t="inlineStr">
        <is>
          <t>Enhancing Early Diagnosis of Autism Spectrum Disorder Using a Bayesian-Optimized Random Forest Algorithm</t>
        </is>
      </c>
      <c r="D442" s="4" t="inlineStr">
        <is>
          <t>Screening</t>
        </is>
      </c>
      <c r="E442" s="4" t="inlineStr">
        <is>
          <t>Machine Learning</t>
        </is>
      </c>
      <c r="F442" s="4" t="inlineStr">
        <is>
          <t>Structured / tabular data</t>
        </is>
      </c>
      <c r="G442" s="4" t="inlineStr">
        <is>
          <t>Bayesian-optimized Random Forest</t>
        </is>
      </c>
      <c r="H442" s="4" t="inlineStr">
        <is>
          <t>ASD screening / early diagnostic classification</t>
        </is>
      </c>
      <c r="I442" s="4" t="inlineStr">
        <is>
          <t>Screening</t>
        </is>
      </c>
      <c r="J442" s="4" t="inlineStr">
        <is>
          <t>Machine Learning</t>
        </is>
      </c>
      <c r="K442" s="4" t="inlineStr">
        <is>
          <t>Structured behavioral/cognitive/demographic ASD data</t>
        </is>
      </c>
      <c r="L442" s="4" t="inlineStr">
        <is>
          <t>Variables estructuradas/tabulares; no inferir NLP</t>
        </is>
      </c>
      <c r="M442" s="4" t="inlineStr">
        <is>
          <t>Inherited scoped adjudication; see source level and lot caveats</t>
        </is>
      </c>
      <c r="N442" s="4" t="n">
        <v>0</v>
      </c>
      <c r="O442" s="12" t="n"/>
      <c r="P442" s="41" t="n"/>
      <c r="Q442" s="4">
        <f>IF(COUNTIFS('ESTUDIOS'!$A$2:$A$455,$A442,'ESTUDIOS'!$I$2:$I$455,"")&gt;0,"",INDEX('ESTUDIOS'!$I$2:$I$455,MATCH($A442,'ESTUDIOS'!$A$2:$A$455,0)))</f>
        <v/>
      </c>
    </row>
    <row r="443" ht="60" customHeight="1">
      <c r="A443" s="4" t="inlineStr">
        <is>
          <t>new_45</t>
        </is>
      </c>
      <c r="B443" s="4" t="inlineStr">
        <is>
          <t>Update</t>
        </is>
      </c>
      <c r="C443" s="4" t="inlineStr">
        <is>
          <t>Autism Spectrum Disorder Detection using Attention-Based CNN and ML Classifiers</t>
        </is>
      </c>
      <c r="D443" s="4" t="inlineStr">
        <is>
          <t>Diagnosis</t>
        </is>
      </c>
      <c r="E443" s="4" t="inlineStr">
        <is>
          <t>Hybrid</t>
        </is>
      </c>
      <c r="F443" s="4" t="inlineStr">
        <is>
          <t>Neuroimaging</t>
        </is>
      </c>
      <c r="G443" s="4" t="inlineStr">
        <is>
          <t>Attention-based CNN feature extractor + conventional ML classifier</t>
        </is>
      </c>
      <c r="H443" s="4" t="inlineStr">
        <is>
          <t>ASD diagnostic classification from fMRI</t>
        </is>
      </c>
      <c r="I443" s="4" t="inlineStr">
        <is>
          <t>Diagnosis</t>
        </is>
      </c>
      <c r="J443" s="4" t="inlineStr">
        <is>
          <t>Hybrid</t>
        </is>
      </c>
      <c r="K443" s="4" t="inlineStr">
        <is>
          <t>Neuroimaging (fMRI; ABIDE)</t>
        </is>
      </c>
      <c r="L443" s="4" t="inlineStr">
        <is>
          <t>Fuente de neuroimagen explícita</t>
        </is>
      </c>
      <c r="M443" s="4" t="inlineStr">
        <is>
          <t>Inherited scoped adjudication; see source level and lot caveats</t>
        </is>
      </c>
      <c r="N443" s="4" t="n">
        <v>0</v>
      </c>
      <c r="O443" s="12" t="n"/>
      <c r="P443" s="41" t="n"/>
      <c r="Q443" s="4">
        <f>IF(COUNTIFS('ESTUDIOS'!$A$2:$A$455,$A443,'ESTUDIOS'!$I$2:$I$455,"")&gt;0,"",INDEX('ESTUDIOS'!$I$2:$I$455,MATCH($A443,'ESTUDIOS'!$A$2:$A$455,0)))</f>
        <v/>
      </c>
    </row>
    <row r="444" ht="60" customHeight="1">
      <c r="A444" s="4" t="inlineStr">
        <is>
          <t>new_56</t>
        </is>
      </c>
      <c r="B444" s="4" t="inlineStr">
        <is>
          <t>Update</t>
        </is>
      </c>
      <c r="C444" s="4" t="inlineStr">
        <is>
          <t>Effective AI Techniques for Analyzing Risk Factors in Autism Spectrum Disorder (ASD)</t>
        </is>
      </c>
      <c r="D444" s="4" t="inlineStr">
        <is>
          <t>Prognosis</t>
        </is>
      </c>
      <c r="E444" s="4" t="inlineStr">
        <is>
          <t>Machine Learning</t>
        </is>
      </c>
      <c r="F444" s="4" t="inlineStr">
        <is>
          <t>Structured / tabular data</t>
        </is>
      </c>
      <c r="G444" s="4" t="inlineStr">
        <is>
          <t>Random Forest + XGBoost with SHAP</t>
        </is>
      </c>
      <c r="H444" s="4" t="inlineStr">
        <is>
          <t>ASD risk-factor analysis / risk stratification</t>
        </is>
      </c>
      <c r="I444" s="4" t="inlineStr">
        <is>
          <t>Prognosis</t>
        </is>
      </c>
      <c r="J444" s="4" t="inlineStr">
        <is>
          <t>Machine Learning</t>
        </is>
      </c>
      <c r="K444" s="4" t="inlineStr">
        <is>
          <t>Multisource tabular (clinical + genetic + environmental risk factors)</t>
        </is>
      </c>
      <c r="L444" s="4" t="inlineStr">
        <is>
          <t>Múltiples fuentes tabulares no son NLP</t>
        </is>
      </c>
      <c r="M444" s="4" t="inlineStr">
        <is>
          <t>Inherited scoped adjudication; see source level and lot caveats</t>
        </is>
      </c>
      <c r="N444" s="4" t="n">
        <v>0</v>
      </c>
      <c r="O444" s="12" t="n"/>
      <c r="P444" s="41" t="n"/>
      <c r="Q444" s="4">
        <f>IF(COUNTIFS('ESTUDIOS'!$A$2:$A$455,$A444,'ESTUDIOS'!$I$2:$I$455,"")&gt;0,"",INDEX('ESTUDIOS'!$I$2:$I$455,MATCH($A444,'ESTUDIOS'!$A$2:$A$455,0)))</f>
        <v/>
      </c>
    </row>
    <row r="445" ht="99" customHeight="1">
      <c r="A445" s="4" t="inlineStr">
        <is>
          <t>new_92</t>
        </is>
      </c>
      <c r="B445" s="4" t="inlineStr">
        <is>
          <t>Update</t>
        </is>
      </c>
      <c r="C445" s="4" t="inlineStr">
        <is>
          <t>Data independent acquisition proteomics and machine learning reveals that proteins associated with immunity are potential molecular markers for early diagnosis of autism</t>
        </is>
      </c>
      <c r="D445" s="4" t="inlineStr">
        <is>
          <t>Diagnosis</t>
        </is>
      </c>
      <c r="E445" s="4" t="inlineStr">
        <is>
          <t>Machine Learning</t>
        </is>
      </c>
      <c r="F445" s="4" t="inlineStr">
        <is>
          <t>Biological/omics</t>
        </is>
      </c>
      <c r="G445" s="4" t="inlineStr">
        <is>
          <t>Eight-protein ML classifier with bidirectional feature screening (abstract reports logic-regression/leave-one-out validation)</t>
        </is>
      </c>
      <c r="H445" s="4" t="inlineStr">
        <is>
          <t>ASD biomarker discovery / diagnostic classification</t>
        </is>
      </c>
      <c r="I445" s="4" t="inlineStr">
        <is>
          <t>Diagnosis</t>
        </is>
      </c>
      <c r="J445" s="4" t="inlineStr">
        <is>
          <t>Machine Learning</t>
        </is>
      </c>
      <c r="K445" s="4" t="inlineStr">
        <is>
          <t>Biological/omics (serum DIA proteomics)</t>
        </is>
      </c>
      <c r="L445" s="4" t="inlineStr">
        <is>
          <t>Fuente biológica explícita</t>
        </is>
      </c>
      <c r="M445" s="4" t="inlineStr">
        <is>
          <t>Inherited scoped adjudication; see source level and lot caveats</t>
        </is>
      </c>
      <c r="N445" s="4" t="n">
        <v>0</v>
      </c>
      <c r="O445" s="12" t="n"/>
      <c r="P445" s="41" t="n"/>
      <c r="Q445" s="4">
        <f>IF(COUNTIFS('ESTUDIOS'!$A$2:$A$455,$A445,'ESTUDIOS'!$I$2:$I$455,"")&gt;0,"",INDEX('ESTUDIOS'!$I$2:$I$455,MATCH($A445,'ESTUDIOS'!$A$2:$A$455,0)))</f>
        <v/>
      </c>
    </row>
    <row r="446" ht="86" customHeight="1">
      <c r="A446" s="4" t="inlineStr">
        <is>
          <t>new_183</t>
        </is>
      </c>
      <c r="B446" s="4" t="inlineStr">
        <is>
          <t>Update</t>
        </is>
      </c>
      <c r="C446" s="4" t="inlineStr">
        <is>
          <t>Adaptive Multi-Scale Dynamic Graph Representation Learning With Overlapping Community-Awareness for ASD Classification</t>
        </is>
      </c>
      <c r="D446" s="4" t="inlineStr">
        <is>
          <t>Diagnosis</t>
        </is>
      </c>
      <c r="E446" s="4" t="inlineStr">
        <is>
          <t>Deep Learning</t>
        </is>
      </c>
      <c r="F446" s="4" t="inlineStr">
        <is>
          <t>Neuroimaging</t>
        </is>
      </c>
      <c r="G446" s="4" t="inlineStr">
        <is>
          <t>Ada-MST adaptive multi-scale dynamic graph neural network with overlapping-community-aware readout</t>
        </is>
      </c>
      <c r="H446" s="4" t="inlineStr">
        <is>
          <t>ASD diagnostic classification from dynamic functional connectivity</t>
        </is>
      </c>
      <c r="I446" s="4" t="inlineStr">
        <is>
          <t>Diagnosis</t>
        </is>
      </c>
      <c r="J446" s="4" t="inlineStr">
        <is>
          <t>Deep Learning</t>
        </is>
      </c>
      <c r="K446" s="4" t="inlineStr">
        <is>
          <t>Neuroimaging (resting-state fMRI; ABIDE-I/II)</t>
        </is>
      </c>
      <c r="L446" s="4" t="inlineStr">
        <is>
          <t>Fuente de neuroimagen explícita</t>
        </is>
      </c>
      <c r="M446" s="4" t="inlineStr">
        <is>
          <t>Inherited scoped adjudication; see source level and lot caveats</t>
        </is>
      </c>
      <c r="N446" s="4" t="n">
        <v>0</v>
      </c>
      <c r="O446" s="12" t="n"/>
      <c r="P446" s="41" t="n"/>
      <c r="Q446" s="4">
        <f>IF(COUNTIFS('ESTUDIOS'!$A$2:$A$455,$A446,'ESTUDIOS'!$I$2:$I$455,"")&gt;0,"",INDEX('ESTUDIOS'!$I$2:$I$455,MATCH($A446,'ESTUDIOS'!$A$2:$A$455,0)))</f>
        <v/>
      </c>
    </row>
    <row r="447" ht="73" customHeight="1">
      <c r="A447" s="4" t="inlineStr">
        <is>
          <t>new_198</t>
        </is>
      </c>
      <c r="B447" s="4" t="inlineStr">
        <is>
          <t>Update</t>
        </is>
      </c>
      <c r="C447" s="4" t="inlineStr">
        <is>
          <t>A Multimodal AI Framework for Early Autism Identification Using CbRNN–Ensemble Modelling and Advanced NCIAPPF-Based Temporal Encoding</t>
        </is>
      </c>
      <c r="D447" s="4" t="inlineStr">
        <is>
          <t>Screening</t>
        </is>
      </c>
      <c r="E447" s="4" t="inlineStr">
        <is>
          <t>Hybrid</t>
        </is>
      </c>
      <c r="F447" s="4" t="inlineStr">
        <is>
          <t>Multiple modalities (as coded)</t>
        </is>
      </c>
      <c r="G447" s="4" t="inlineStr">
        <is>
          <t>CbRNN-EM + NCIAPPF temporal encoding/fusion</t>
        </is>
      </c>
      <c r="H447" s="4" t="inlineStr">
        <is>
          <t>Early ASD multimodal screening / identification</t>
        </is>
      </c>
      <c r="I447" s="4" t="inlineStr">
        <is>
          <t>Screening</t>
        </is>
      </c>
      <c r="J447" s="4" t="inlineStr">
        <is>
          <t>Hybrid</t>
        </is>
      </c>
      <c r="K447" s="4" t="inlineStr">
        <is>
          <t>Multimodal (facial expressions + eye gaze + speech prosody + behavioral cues)</t>
        </is>
      </c>
      <c r="L447" s="4" t="inlineStr">
        <is>
          <t>Modalidades múltiples declaradas; no prueba de integración/fusión</t>
        </is>
      </c>
      <c r="M447" s="4" t="inlineStr">
        <is>
          <t>Inherited scoped adjudication; see source level and lot caveats</t>
        </is>
      </c>
      <c r="N447" s="4" t="n">
        <v>0</v>
      </c>
      <c r="O447" s="12" t="n"/>
      <c r="P447" s="41" t="n"/>
      <c r="Q447" s="4">
        <f>IF(COUNTIFS('ESTUDIOS'!$A$2:$A$455,$A447,'ESTUDIOS'!$I$2:$I$455,"")&gt;0,"",INDEX('ESTUDIOS'!$I$2:$I$455,MATCH($A447,'ESTUDIOS'!$A$2:$A$455,0)))</f>
        <v/>
      </c>
    </row>
    <row r="448" ht="60" customHeight="1">
      <c r="A448" s="4" t="inlineStr">
        <is>
          <t>new_239</t>
        </is>
      </c>
      <c r="B448" s="4" t="inlineStr">
        <is>
          <t>Update</t>
        </is>
      </c>
      <c r="C448" s="4" t="inlineStr">
        <is>
          <t>Real-Time Classification for EEG Data in Children With ASD Using Deep Learning Techniques</t>
        </is>
      </c>
      <c r="D448" s="4" t="inlineStr">
        <is>
          <t>Diagnosis</t>
        </is>
      </c>
      <c r="E448" s="4" t="inlineStr">
        <is>
          <t>Hybrid</t>
        </is>
      </c>
      <c r="F448" s="4" t="inlineStr">
        <is>
          <t>Physiological signals</t>
        </is>
      </c>
      <c r="G448" s="4" t="inlineStr">
        <is>
          <t>CNN-LSTM with STFT/ICA preprocessing and grid-search optimization</t>
        </is>
      </c>
      <c r="H448" s="4" t="inlineStr">
        <is>
          <t>EEG-based ASD vs TD diagnostic classification</t>
        </is>
      </c>
      <c r="I448" s="4" t="inlineStr">
        <is>
          <t>Diagnosis</t>
        </is>
      </c>
      <c r="J448" s="4" t="inlineStr">
        <is>
          <t>Hybrid</t>
        </is>
      </c>
      <c r="K448" s="4" t="inlineStr">
        <is>
          <t>Physiological signals (EEG)</t>
        </is>
      </c>
      <c r="L448" s="4" t="inlineStr">
        <is>
          <t>Medición fisiológica explícita</t>
        </is>
      </c>
      <c r="M448" s="4" t="inlineStr">
        <is>
          <t>Inherited scoped adjudication; see source level and lot caveats</t>
        </is>
      </c>
      <c r="N448" s="4" t="n">
        <v>0</v>
      </c>
      <c r="O448" s="12" t="n"/>
      <c r="P448" s="41" t="n"/>
      <c r="Q448" s="4">
        <f>IF(COUNTIFS('ESTUDIOS'!$A$2:$A$455,$A448,'ESTUDIOS'!$I$2:$I$455,"")&gt;0,"",INDEX('ESTUDIOS'!$I$2:$I$455,MATCH($A448,'ESTUDIOS'!$A$2:$A$455,0)))</f>
        <v/>
      </c>
    </row>
    <row r="449" ht="73" customHeight="1">
      <c r="A449" s="4" t="inlineStr">
        <is>
          <t>new_400</t>
        </is>
      </c>
      <c r="B449" s="4" t="inlineStr">
        <is>
          <t>Update</t>
        </is>
      </c>
      <c r="C449" s="4" t="inlineStr">
        <is>
          <t>Mitochondrial Gene Signature Reveals Novel Diagnostic Biomarkers for Autism Spectrum Disorder</t>
        </is>
      </c>
      <c r="D449" s="4" t="inlineStr">
        <is>
          <t>Diagnosis</t>
        </is>
      </c>
      <c r="E449" s="4" t="inlineStr">
        <is>
          <t>Machine Learning</t>
        </is>
      </c>
      <c r="F449" s="4" t="inlineStr">
        <is>
          <t>Biological/omics</t>
        </is>
      </c>
      <c r="G449" s="4" t="inlineStr">
        <is>
          <t>LASSO + Random Forest + SVM-RFE feature selection; ANN/linear predictive model</t>
        </is>
      </c>
      <c r="H449" s="4" t="inlineStr">
        <is>
          <t>ASD mitochondrial-gene biomarker discovery / diagnostic classification</t>
        </is>
      </c>
      <c r="I449" s="4" t="inlineStr">
        <is>
          <t>Diagnosis</t>
        </is>
      </c>
      <c r="J449" s="4" t="inlineStr">
        <is>
          <t>Machine Learning</t>
        </is>
      </c>
      <c r="K449" s="4" t="inlineStr">
        <is>
          <t>Biological/omics (postmortem cortical transcriptomics; GEO)</t>
        </is>
      </c>
      <c r="L449" s="4" t="inlineStr">
        <is>
          <t>Fuente biológica explícita</t>
        </is>
      </c>
      <c r="M449" s="4" t="inlineStr">
        <is>
          <t>Inherited scoped adjudication; see source level and lot caveats</t>
        </is>
      </c>
      <c r="N449" s="4" t="n">
        <v>0</v>
      </c>
      <c r="O449" s="12" t="n"/>
      <c r="P449" s="41" t="n"/>
      <c r="Q449" s="4">
        <f>IF(COUNTIFS('ESTUDIOS'!$A$2:$A$455,$A449,'ESTUDIOS'!$I$2:$I$455,"")&gt;0,"",INDEX('ESTUDIOS'!$I$2:$I$455,MATCH($A449,'ESTUDIOS'!$A$2:$A$455,0)))</f>
        <v/>
      </c>
    </row>
    <row r="450" ht="60" customHeight="1">
      <c r="A450" s="4" t="inlineStr">
        <is>
          <t>new_411</t>
        </is>
      </c>
      <c r="B450" s="4" t="inlineStr">
        <is>
          <t>Update</t>
        </is>
      </c>
      <c r="C450" s="4" t="inlineStr">
        <is>
          <t>Blood-based DNA methylation markers for autism spectrum disorder identification using machine learning</t>
        </is>
      </c>
      <c r="D450" s="4" t="inlineStr">
        <is>
          <t>Diagnosis</t>
        </is>
      </c>
      <c r="E450" s="4" t="inlineStr">
        <is>
          <t>Machine Learning</t>
        </is>
      </c>
      <c r="F450" s="4" t="inlineStr">
        <is>
          <t>Biological/omics</t>
        </is>
      </c>
      <c r="G450" s="4" t="inlineStr">
        <is>
          <t>Random Forest / XGBoost after SVM-RFECV feature selection</t>
        </is>
      </c>
      <c r="H450" s="4" t="inlineStr">
        <is>
          <t>ASD blood methylation biomarker identification / classification</t>
        </is>
      </c>
      <c r="I450" s="4" t="inlineStr">
        <is>
          <t>Diagnosis</t>
        </is>
      </c>
      <c r="J450" s="4" t="inlineStr">
        <is>
          <t>Machine Learning</t>
        </is>
      </c>
      <c r="K450" s="4" t="inlineStr">
        <is>
          <t>Biological/omics (whole-blood genome-wide DNA methylation)</t>
        </is>
      </c>
      <c r="L450" s="4" t="inlineStr">
        <is>
          <t>Fuente biológica explícita</t>
        </is>
      </c>
      <c r="M450" s="4" t="inlineStr">
        <is>
          <t>Inherited scoped adjudication; see source level and lot caveats</t>
        </is>
      </c>
      <c r="N450" s="4" t="n">
        <v>0</v>
      </c>
      <c r="O450" s="12" t="n"/>
      <c r="P450" s="41" t="n"/>
      <c r="Q450" s="4">
        <f>IF(COUNTIFS('ESTUDIOS'!$A$2:$A$455,$A450,'ESTUDIOS'!$I$2:$I$455,"")&gt;0,"",INDEX('ESTUDIOS'!$I$2:$I$455,MATCH($A450,'ESTUDIOS'!$A$2:$A$455,0)))</f>
        <v/>
      </c>
    </row>
    <row r="451" ht="73" customHeight="1">
      <c r="A451" s="4" t="inlineStr">
        <is>
          <t>new_412</t>
        </is>
      </c>
      <c r="B451" s="4" t="inlineStr">
        <is>
          <t>Update</t>
        </is>
      </c>
      <c r="C451" s="4" t="inlineStr">
        <is>
          <t>Federated Transformer-Based Deep Learning Framework for Secure and Early Autism Diagnosis</t>
        </is>
      </c>
      <c r="D451" s="4" t="inlineStr">
        <is>
          <t>Diagnosis</t>
        </is>
      </c>
      <c r="E451" s="4" t="inlineStr">
        <is>
          <t>Deep Learning</t>
        </is>
      </c>
      <c r="F451" s="4" t="inlineStr">
        <is>
          <t>Multiple datasets (fusion unverified)</t>
        </is>
      </c>
      <c r="G451" s="4" t="inlineStr">
        <is>
          <t>Federated Transformer encoder with secure aggregation / federated weighted averaging</t>
        </is>
      </c>
      <c r="H451" s="4" t="inlineStr">
        <is>
          <t>Federated ASD diagnostic classification / early diagnosis</t>
        </is>
      </c>
      <c r="I451" s="4" t="inlineStr">
        <is>
          <t>Diagnosis</t>
        </is>
      </c>
      <c r="J451" s="4" t="inlineStr">
        <is>
          <t>Deep Learning</t>
        </is>
      </c>
      <c r="K451" s="4" t="inlineStr">
        <is>
          <t>Multi-dataset ASD data (ABIDE-derived neuroimaging features + SPARK behavioral assessment)</t>
        </is>
      </c>
      <c r="L451" s="4" t="inlineStr">
        <is>
          <t>Varios datasets no demuestran fusión de modalidades</t>
        </is>
      </c>
      <c r="M451" s="4" t="inlineStr">
        <is>
          <t>Inherited scoped adjudication; see source level and lot caveats</t>
        </is>
      </c>
      <c r="N451" s="4" t="n">
        <v>0</v>
      </c>
      <c r="O451" s="12" t="n"/>
      <c r="P451" s="41" t="n"/>
      <c r="Q451" s="4">
        <f>IF(COUNTIFS('ESTUDIOS'!$A$2:$A$455,$A451,'ESTUDIOS'!$I$2:$I$455,"")&gt;0,"",INDEX('ESTUDIOS'!$I$2:$I$455,MATCH($A451,'ESTUDIOS'!$A$2:$A$455,0)))</f>
        <v/>
      </c>
    </row>
    <row r="452" ht="99" customHeight="1">
      <c r="A452" s="4" t="inlineStr">
        <is>
          <t>new_415</t>
        </is>
      </c>
      <c r="B452" s="4" t="inlineStr">
        <is>
          <t>Update</t>
        </is>
      </c>
      <c r="C452" s="4" t="inlineStr">
        <is>
          <t>Artificial intelligence-based diagnostic model for autism spectrum disorder using blood biomarkers</t>
        </is>
      </c>
      <c r="D452" s="4" t="inlineStr">
        <is>
          <t>Screening</t>
        </is>
      </c>
      <c r="E452" s="4" t="inlineStr">
        <is>
          <t>Deep Learning</t>
        </is>
      </c>
      <c r="F452" s="4" t="inlineStr">
        <is>
          <t>Multiple datasets (fusion unverified)</t>
        </is>
      </c>
      <c r="G452" s="4" t="inlineStr">
        <is>
          <t>ASA: Improved Genetic Algorithm feature selection + Optimized Deep Neural Network (ODNN)</t>
        </is>
      </c>
      <c r="H452" s="4" t="inlineStr">
        <is>
          <t>ASD automated screening / diagnostic classification</t>
        </is>
      </c>
      <c r="I452" s="4" t="inlineStr">
        <is>
          <t>Screening</t>
        </is>
      </c>
      <c r="J452" s="4" t="inlineStr">
        <is>
          <t>Deep Learning</t>
        </is>
      </c>
      <c r="K452" s="4" t="inlineStr">
        <is>
          <t>Mixed ASD benchmark data (blood-biomarker source + structured screening datasets; exact primary dataset requires verification)</t>
        </is>
      </c>
      <c r="L452" s="4" t="inlineStr">
        <is>
          <t>Varios datasets no demuestran fusión de modalidades</t>
        </is>
      </c>
      <c r="M452" s="4" t="inlineStr">
        <is>
          <t>Inherited scoped adjudication; see source level and lot caveats</t>
        </is>
      </c>
      <c r="N452" s="4" t="n">
        <v>0</v>
      </c>
      <c r="O452" s="12" t="n"/>
      <c r="P452" s="41" t="n"/>
      <c r="Q452" s="4">
        <f>IF(COUNTIFS('ESTUDIOS'!$A$2:$A$455,$A452,'ESTUDIOS'!$I$2:$I$455,"")&gt;0,"",INDEX('ESTUDIOS'!$I$2:$I$455,MATCH($A452,'ESTUDIOS'!$A$2:$A$455,0)))</f>
        <v/>
      </c>
    </row>
    <row r="453" ht="60" customHeight="1">
      <c r="A453" s="4" t="inlineStr">
        <is>
          <t>new_416</t>
        </is>
      </c>
      <c r="B453" s="4" t="inlineStr">
        <is>
          <t>Update</t>
        </is>
      </c>
      <c r="C453" s="4" t="inlineStr">
        <is>
          <t>An explainable deep learning framework for screening level autism severity using behavioural data</t>
        </is>
      </c>
      <c r="D453" s="4" t="inlineStr">
        <is>
          <t>Screening</t>
        </is>
      </c>
      <c r="E453" s="4" t="inlineStr">
        <is>
          <t>Deep Learning</t>
        </is>
      </c>
      <c r="F453" s="4" t="inlineStr">
        <is>
          <t>Structured / tabular data</t>
        </is>
      </c>
      <c r="G453" s="4" t="inlineStr">
        <is>
          <t>BiLSTM-CGBO</t>
        </is>
      </c>
      <c r="H453" s="4" t="inlineStr">
        <is>
          <t>ASD screening-level classification and severity estimation</t>
        </is>
      </c>
      <c r="I453" s="4" t="inlineStr">
        <is>
          <t>Screening</t>
        </is>
      </c>
      <c r="J453" s="4" t="inlineStr">
        <is>
          <t>Deep Learning</t>
        </is>
      </c>
      <c r="K453" s="4" t="inlineStr">
        <is>
          <t>Structured behavioral/questionnaire ASD screening data (Kaggle/UCI)</t>
        </is>
      </c>
      <c r="L453" s="4" t="inlineStr">
        <is>
          <t>Variables estructuradas/tabulares; no inferir NLP</t>
        </is>
      </c>
      <c r="M453" s="4" t="inlineStr">
        <is>
          <t>Inherited scoped adjudication; see source level and lot caveats</t>
        </is>
      </c>
      <c r="N453" s="4" t="n">
        <v>0</v>
      </c>
      <c r="O453" s="12" t="n"/>
      <c r="P453" s="41" t="n"/>
      <c r="Q453" s="4">
        <f>IF(COUNTIFS('ESTUDIOS'!$A$2:$A$455,$A453,'ESTUDIOS'!$I$2:$I$455,"")&gt;0,"",INDEX('ESTUDIOS'!$I$2:$I$455,MATCH($A453,'ESTUDIOS'!$A$2:$A$455,0)))</f>
        <v/>
      </c>
    </row>
    <row r="454" ht="73" customHeight="1">
      <c r="A454" s="4" t="inlineStr">
        <is>
          <t>new_421</t>
        </is>
      </c>
      <c r="B454" s="4" t="inlineStr">
        <is>
          <t>Update</t>
        </is>
      </c>
      <c r="C454" s="4" t="inlineStr">
        <is>
          <t>Edge-Based Robot-Assisted Hand Gesture Recognition for Autism Intervention Using Hybrid Keyframe Selection and Contrastive Learning</t>
        </is>
      </c>
      <c r="D454" s="4" t="inlineStr">
        <is>
          <t>Monitoring/intervention</t>
        </is>
      </c>
      <c r="E454" s="4" t="inlineStr">
        <is>
          <t>Deep Learning</t>
        </is>
      </c>
      <c r="F454" s="4" t="inlineStr">
        <is>
          <t>Behavioral video / movement</t>
        </is>
      </c>
      <c r="G454" s="4" t="inlineStr">
        <is>
          <t>Hybrid keyframe selection + 1D CNN + contrastive learning on CARAT edge robot</t>
        </is>
      </c>
      <c r="H454" s="4" t="inlineStr">
        <is>
          <t>Robot-assisted hand-gesture recognition/correction for ASD intervention</t>
        </is>
      </c>
      <c r="I454" s="4" t="inlineStr">
        <is>
          <t>Monitoring/intervention</t>
        </is>
      </c>
      <c r="J454" s="4" t="inlineStr">
        <is>
          <t>Deep Learning</t>
        </is>
      </c>
      <c r="K454" s="4" t="inlineStr">
        <is>
          <t>Behavioral video / skeletal hand-gesture landmarks (robot-assisted HRI)</t>
        </is>
      </c>
      <c r="L454" s="4" t="inlineStr">
        <is>
          <t>Vídeo o movimiento conductual explícito</t>
        </is>
      </c>
      <c r="M454" s="4" t="inlineStr">
        <is>
          <t>Inherited scoped adjudication; see source level and lot caveats</t>
        </is>
      </c>
      <c r="N454" s="4" t="n">
        <v>0</v>
      </c>
      <c r="O454" s="12" t="n"/>
      <c r="P454" s="41" t="n"/>
      <c r="Q454" s="4">
        <f>IF(COUNTIFS('ESTUDIOS'!$A$2:$A$455,$A454,'ESTUDIOS'!$I$2:$I$455,"")&gt;0,"",INDEX('ESTUDIOS'!$I$2:$I$455,MATCH($A454,'ESTUDIOS'!$A$2:$A$455,0)))</f>
        <v/>
      </c>
    </row>
    <row r="455" ht="73" customHeight="1">
      <c r="A455" s="4" t="inlineStr">
        <is>
          <t>new_423</t>
        </is>
      </c>
      <c r="B455" s="4" t="inlineStr">
        <is>
          <t>Update</t>
        </is>
      </c>
      <c r="C455" s="4" t="inlineStr">
        <is>
          <t>Toward a Smartwatch-Based System for Automated Social Interaction Monitoring in Autism</t>
        </is>
      </c>
      <c r="D455" s="4" t="inlineStr">
        <is>
          <t>Monitoring/intervention</t>
        </is>
      </c>
      <c r="E455" s="4" t="inlineStr">
        <is>
          <t>Deep Learning</t>
        </is>
      </c>
      <c r="F455" s="4" t="inlineStr">
        <is>
          <t>Multiple modalities (as coded)</t>
        </is>
      </c>
      <c r="G455" s="4" t="inlineStr">
        <is>
          <t>Enhanced pyannote-audio speaker diarization with physiologic alignment/cloud pipeline</t>
        </is>
      </c>
      <c r="H455" s="4" t="inlineStr">
        <is>
          <t>Automated longitudinal social-interaction monitoring in ASD</t>
        </is>
      </c>
      <c r="I455" s="4" t="inlineStr">
        <is>
          <t>Monitoring/intervention</t>
        </is>
      </c>
      <c r="J455" s="4" t="inlineStr">
        <is>
          <t>Deep Learning</t>
        </is>
      </c>
      <c r="K455" s="4" t="inlineStr">
        <is>
          <t>Multimodal wearable data (smartwatch audio/voice + heart-rate physiology)</t>
        </is>
      </c>
      <c r="L455" s="4" t="inlineStr">
        <is>
          <t>Modalidades múltiples declaradas; no prueba de integración/fusión</t>
        </is>
      </c>
      <c r="M455" s="4" t="inlineStr">
        <is>
          <t>Inherited scoped adjudication; see source level and lot caveats</t>
        </is>
      </c>
      <c r="N455" s="4" t="n">
        <v>0</v>
      </c>
      <c r="O455" s="12" t="n"/>
      <c r="P455" s="41" t="n"/>
      <c r="Q455" s="4">
        <f>IF(COUNTIFS('ESTUDIOS'!$A$2:$A$455,$A455,'ESTUDIOS'!$I$2:$I$455,"")&gt;0,"",INDEX('ESTUDIOS'!$I$2:$I$455,MATCH($A455,'ESTUDIOS'!$A$2:$A$455,0)))</f>
        <v/>
      </c>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Q455"/>
  <sheetViews>
    <sheetView showGridLines="0" workbookViewId="0">
      <selection activeCell="A1" sqref="A1"/>
    </sheetView>
  </sheetViews>
  <sheetFormatPr baseColWidth="8" defaultRowHeight="15"/>
  <cols>
    <col width="14" customWidth="1" min="1" max="1"/>
    <col width="14" customWidth="1" min="2" max="2"/>
    <col width="55" customWidth="1" min="3" max="3"/>
    <col width="28" customWidth="1" min="4" max="4"/>
    <col width="20" customWidth="1" min="5" max="5"/>
    <col width="20" customWidth="1" min="6" max="6"/>
    <col width="28" customWidth="1" min="7" max="7"/>
    <col width="20" customWidth="1" min="8" max="8"/>
    <col width="20" customWidth="1" min="9" max="9"/>
    <col width="65" customWidth="1" min="10" max="10"/>
    <col width="65" customWidth="1" min="11" max="11"/>
    <col width="44" customWidth="1" min="12" max="12"/>
    <col width="65" customWidth="1" min="13" max="13"/>
    <col width="28" customWidth="1" min="14" max="14"/>
    <col width="28" customWidth="1" min="15" max="15"/>
    <col width="65" customWidth="1" min="16" max="16"/>
    <col width="20" customWidth="1" min="17" max="17"/>
  </cols>
  <sheetData>
    <row r="1" ht="52" customHeight="1">
      <c r="A1" s="6" t="inlineStr">
        <is>
          <t>study_id</t>
        </is>
      </c>
      <c r="B1" s="6" t="inlineStr">
        <is>
          <t>cohort</t>
        </is>
      </c>
      <c r="C1" s="6" t="inlineStr">
        <is>
          <t>title</t>
        </is>
      </c>
      <c r="D1" s="6" t="inlineStr">
        <is>
          <t>integration_status</t>
        </is>
      </c>
      <c r="E1" s="6" t="inlineStr">
        <is>
          <t>system_role</t>
        </is>
      </c>
      <c r="F1" s="6" t="inlineStr">
        <is>
          <t>decision_timing</t>
        </is>
      </c>
      <c r="G1" s="6" t="inlineStr">
        <is>
          <t>evidence_state</t>
        </is>
      </c>
      <c r="H1" s="6" t="inlineStr">
        <is>
          <t>preliminary_signal_legacy</t>
        </is>
      </c>
      <c r="I1" s="6" t="inlineStr">
        <is>
          <t>existing_task_description</t>
        </is>
      </c>
      <c r="J1" s="6" t="inlineStr">
        <is>
          <t>existing_evidence</t>
        </is>
      </c>
      <c r="K1" s="6" t="inlineStr">
        <is>
          <t>historical_resolution_note</t>
        </is>
      </c>
      <c r="L1" s="6" t="inlineStr">
        <is>
          <t>source_url</t>
        </is>
      </c>
      <c r="M1" s="6" t="inlineStr">
        <is>
          <t>evidence_locator</t>
        </is>
      </c>
      <c r="N1" s="6" t="inlineStr">
        <is>
          <t>reviewer_verified</t>
        </is>
      </c>
      <c r="O1" s="39" t="inlineStr">
        <is>
          <t>verification_date</t>
        </is>
      </c>
      <c r="P1" s="6" t="inlineStr">
        <is>
          <t>confirmation_rule</t>
        </is>
      </c>
      <c r="Q1" s="6" t="inlineStr">
        <is>
          <t>exclude_sensitivity</t>
        </is>
      </c>
    </row>
    <row r="2" ht="47" customHeight="1">
      <c r="A2" s="4" t="inlineStr">
        <is>
          <t>1</t>
        </is>
      </c>
      <c r="B2" s="4" t="inlineStr">
        <is>
          <t>Historical</t>
        </is>
      </c>
      <c r="C2" s="4" t="inlineStr">
        <is>
          <t>A Clinically Interpretable Approach for Early Detection of Autism Using Machine Learning With Explainable AI</t>
        </is>
      </c>
      <c r="D2" s="12" t="n"/>
      <c r="E2" s="12" t="n"/>
      <c r="F2" s="12" t="n"/>
      <c r="G2" s="4" t="inlineStr">
        <is>
          <t>Pending classification from source</t>
        </is>
      </c>
      <c r="H2" s="4" t="n">
        <v>1</v>
      </c>
      <c r="I2" s="4" t="inlineStr">
        <is>
          <t>Classification (ASD vs control / multi-class)</t>
        </is>
      </c>
      <c r="J2" s="4" t="inlineStr">
        <is>
          <t>“Comparative ML study: Naive Bayes, SVM, Random Forest; RF best; explainability via SHAP; 5-fold CV.”</t>
        </is>
      </c>
      <c r="K2" s="4" t="str"/>
      <c r="L2" s="4" t="inlineStr">
        <is>
          <t>https://doi.org/10.1109/access.2025.3586314</t>
        </is>
      </c>
      <c r="M2" s="4" t="n"/>
      <c r="N2" s="12" t="n"/>
      <c r="O2" s="41" t="n"/>
      <c r="P2" s="4" t="inlineStr">
        <is>
          <t>Confirmed only when AI was actually evaluated/used within the stated workflow or intervention; intended use alone = Proposed only</t>
        </is>
      </c>
      <c r="Q2" s="4">
        <f>IF(COUNTIFS('ESTUDIOS'!$A$2:$A$455,$A2,'ESTUDIOS'!$I$2:$I$455,"")&gt;0,"",INDEX('ESTUDIOS'!$I$2:$I$455,MATCH($A2,'ESTUDIOS'!$A$2:$A$455,0)))</f>
        <v/>
      </c>
    </row>
    <row r="3" ht="47" customHeight="1">
      <c r="A3" s="4" t="inlineStr">
        <is>
          <t>2</t>
        </is>
      </c>
      <c r="B3" s="4" t="inlineStr">
        <is>
          <t>Historical</t>
        </is>
      </c>
      <c r="C3" s="4" t="inlineStr">
        <is>
          <t>Searching for a minimal set of behaviors for autism detection through feature selection-based machine learning</t>
        </is>
      </c>
      <c r="D3" s="12" t="n"/>
      <c r="E3" s="12" t="n"/>
      <c r="F3" s="12" t="n"/>
      <c r="G3" s="4" t="inlineStr">
        <is>
          <t>Pending classification from source</t>
        </is>
      </c>
      <c r="H3" s="4" t="n">
        <v>1</v>
      </c>
      <c r="I3" s="4" t="inlineStr">
        <is>
          <t>Classification (ASD vs control / multi-class)</t>
        </is>
      </c>
      <c r="J3" s="4" t="inlineStr">
        <is>
          <t>Usa ADOS/ítems conductuales para detección/cribado; algoritmo principal no explícito.</t>
        </is>
      </c>
      <c r="K3" s="4" t="str"/>
      <c r="L3" s="4" t="inlineStr">
        <is>
          <t>https://doi.org/10.1038/tp.2015.7</t>
        </is>
      </c>
      <c r="M3" s="4" t="n"/>
      <c r="N3" s="12" t="n"/>
      <c r="O3" s="41" t="n"/>
      <c r="P3" s="4" t="inlineStr">
        <is>
          <t>Confirmed only when AI was actually evaluated/used within the stated workflow or intervention; intended use alone = Proposed only</t>
        </is>
      </c>
      <c r="Q3" s="4">
        <f>IF(COUNTIFS('ESTUDIOS'!$A$2:$A$455,$A3,'ESTUDIOS'!$I$2:$I$455,"")&gt;0,"",INDEX('ESTUDIOS'!$I$2:$I$455,MATCH($A3,'ESTUDIOS'!$A$2:$A$455,0)))</f>
        <v/>
      </c>
    </row>
    <row r="4" ht="47" customHeight="1">
      <c r="A4" s="4" t="inlineStr">
        <is>
          <t>3</t>
        </is>
      </c>
      <c r="B4" s="4" t="inlineStr">
        <is>
          <t>Historical</t>
        </is>
      </c>
      <c r="C4" s="4" t="inlineStr">
        <is>
          <t>The use of data independent acquisition based proteomic analysis and machine learning to reveal potential biomarkers for autism spectrum disorder</t>
        </is>
      </c>
      <c r="D4" s="12" t="n"/>
      <c r="E4" s="12" t="n"/>
      <c r="F4" s="12" t="n"/>
      <c r="G4" s="4" t="inlineStr">
        <is>
          <t>Pending classification from source</t>
        </is>
      </c>
      <c r="H4" s="4" t="n">
        <v>1</v>
      </c>
      <c r="I4" s="4" t="inlineStr">
        <is>
          <t>Classification (ASD vs control / multi-class)</t>
        </is>
      </c>
      <c r="J4" s="4" t="inlineStr">
        <is>
          <t>Biomarcadores proteómicos en plasma para discriminar ASD vs controles; algoritmo ML no especificado.</t>
        </is>
      </c>
      <c r="K4" s="4" t="str"/>
      <c r="L4" s="4" t="inlineStr">
        <is>
          <t>https://doi.org/10.1016/j.jprot.2023.104872</t>
        </is>
      </c>
      <c r="M4" s="4" t="n"/>
      <c r="N4" s="12" t="n"/>
      <c r="O4" s="41" t="n"/>
      <c r="P4" s="4" t="inlineStr">
        <is>
          <t>Confirmed only when AI was actually evaluated/used within the stated workflow or intervention; intended use alone = Proposed only</t>
        </is>
      </c>
      <c r="Q4" s="4">
        <f>IF(COUNTIFS('ESTUDIOS'!$A$2:$A$455,$A4,'ESTUDIOS'!$I$2:$I$455,"")&gt;0,"",INDEX('ESTUDIOS'!$I$2:$I$455,MATCH($A4,'ESTUDIOS'!$A$2:$A$455,0)))</f>
        <v/>
      </c>
    </row>
    <row r="5" ht="47" customHeight="1">
      <c r="A5" s="4" t="inlineStr">
        <is>
          <t>4</t>
        </is>
      </c>
      <c r="B5" s="4" t="inlineStr">
        <is>
          <t>Historical</t>
        </is>
      </c>
      <c r="C5" s="4" t="inlineStr">
        <is>
          <t>Cognitive Disorder Detection Used for Early Autism Screening Using Deep Learning</t>
        </is>
      </c>
      <c r="D5" s="12" t="n"/>
      <c r="E5" s="12" t="n"/>
      <c r="F5" s="12" t="n"/>
      <c r="G5" s="4" t="inlineStr">
        <is>
          <t>Pending classification from source</t>
        </is>
      </c>
      <c r="H5" s="4" t="n">
        <v>1</v>
      </c>
      <c r="I5" s="4" t="inlineStr">
        <is>
          <t>Classification (ASD vs control / multi-class)</t>
        </is>
      </c>
      <c r="J5" s="4" t="inlineStr">
        <is>
          <t>Classification task; target label not consistently described (cognitive disorder/MiCD vs ‘early autism screening</t>
        </is>
      </c>
      <c r="K5" s="4" t="str"/>
      <c r="L5" s="4" t="inlineStr">
        <is>
          <t>https://doi.org/10.1007/978-981-96-3942-7_18</t>
        </is>
      </c>
      <c r="M5" s="4" t="n"/>
      <c r="N5" s="12" t="n"/>
      <c r="O5" s="41" t="n"/>
      <c r="P5" s="4" t="inlineStr">
        <is>
          <t>Confirmed only when AI was actually evaluated/used within the stated workflow or intervention; intended use alone = Proposed only</t>
        </is>
      </c>
      <c r="Q5" s="4">
        <f>IF(COUNTIFS('ESTUDIOS'!$A$2:$A$455,$A5,'ESTUDIOS'!$I$2:$I$455,"")&gt;0,"",INDEX('ESTUDIOS'!$I$2:$I$455,MATCH($A5,'ESTUDIOS'!$A$2:$A$455,0)))</f>
        <v/>
      </c>
    </row>
    <row r="6" ht="47" customHeight="1">
      <c r="A6" s="4" t="inlineStr">
        <is>
          <t>5</t>
        </is>
      </c>
      <c r="B6" s="4" t="inlineStr">
        <is>
          <t>Historical</t>
        </is>
      </c>
      <c r="C6" s="4" t="inlineStr">
        <is>
          <t>Metabolomics as a tool for discovery of biomarkers of autism spectrum disorder in the blood plasma of children</t>
        </is>
      </c>
      <c r="D6" s="12" t="n"/>
      <c r="E6" s="12" t="n"/>
      <c r="F6" s="12" t="n"/>
      <c r="G6" s="4" t="inlineStr">
        <is>
          <t>Pending classification from source</t>
        </is>
      </c>
      <c r="H6" s="4" t="n">
        <v>1</v>
      </c>
      <c r="I6" s="4" t="inlineStr">
        <is>
          <t>Classification (ASD vs control / multi-class)</t>
        </is>
      </c>
      <c r="J6" s="4" t="inlineStr">
        <is>
          <t>Metabolómica plasmática para discriminar ASD vs controles; confirmar algoritmo principal en full-text.</t>
        </is>
      </c>
      <c r="K6" s="4" t="str"/>
      <c r="L6" s="4" t="inlineStr">
        <is>
          <t>https://doi.org/10.1371/journal.pone.0112445</t>
        </is>
      </c>
      <c r="M6" s="4" t="n"/>
      <c r="N6" s="12" t="n"/>
      <c r="O6" s="41" t="n"/>
      <c r="P6" s="4" t="inlineStr">
        <is>
          <t>Confirmed only when AI was actually evaluated/used within the stated workflow or intervention; intended use alone = Proposed only</t>
        </is>
      </c>
      <c r="Q6" s="4">
        <f>IF(COUNTIFS('ESTUDIOS'!$A$2:$A$455,$A6,'ESTUDIOS'!$I$2:$I$455,"")&gt;0,"",INDEX('ESTUDIOS'!$I$2:$I$455,MATCH($A6,'ESTUDIOS'!$A$2:$A$455,0)))</f>
        <v/>
      </c>
    </row>
    <row r="7" ht="47" customHeight="1">
      <c r="A7" s="4" t="inlineStr">
        <is>
          <t>6</t>
        </is>
      </c>
      <c r="B7" s="4" t="inlineStr">
        <is>
          <t>Historical</t>
        </is>
      </c>
      <c r="C7" s="4" t="inlineStr">
        <is>
          <t>Sparsifying machine learning models identify stable subsets of predictive features for behavioral detection of autism</t>
        </is>
      </c>
      <c r="D7" s="12" t="n"/>
      <c r="E7" s="12" t="n"/>
      <c r="F7" s="12" t="n"/>
      <c r="G7" s="4" t="inlineStr">
        <is>
          <t>Pending classification from source</t>
        </is>
      </c>
      <c r="H7" s="4" t="n">
        <v>1</v>
      </c>
      <c r="I7" s="4" t="inlineStr">
        <is>
          <t>Classification (ASD vs control / multi-class)</t>
        </is>
      </c>
      <c r="J7" s="4" t="inlineStr">
        <is>
          <t>Comparative study (17 supervised models); sparse/regularized; interpretable candidates include Logistic Regression (L2) and Linear SVM (L1).</t>
        </is>
      </c>
      <c r="K7" s="4" t="str"/>
      <c r="L7" s="4" t="inlineStr">
        <is>
          <t>https://doi.org/10.1186/s13229-017-0180-6</t>
        </is>
      </c>
      <c r="M7" s="4" t="n"/>
      <c r="N7" s="12" t="n"/>
      <c r="O7" s="41" t="n"/>
      <c r="P7" s="4" t="inlineStr">
        <is>
          <t>Confirmed only when AI was actually evaluated/used within the stated workflow or intervention; intended use alone = Proposed only</t>
        </is>
      </c>
      <c r="Q7" s="4">
        <f>IF(COUNTIFS('ESTUDIOS'!$A$2:$A$455,$A7,'ESTUDIOS'!$I$2:$I$455,"")&gt;0,"",INDEX('ESTUDIOS'!$I$2:$I$455,MATCH($A7,'ESTUDIOS'!$A$2:$A$455,0)))</f>
        <v/>
      </c>
    </row>
    <row r="8" ht="47" customHeight="1">
      <c r="A8" s="4" t="inlineStr">
        <is>
          <t>7</t>
        </is>
      </c>
      <c r="B8" s="4" t="inlineStr">
        <is>
          <t>Historical</t>
        </is>
      </c>
      <c r="C8" s="4" t="inlineStr">
        <is>
          <t>Transformer-based deep learning ensemble framework predicts autism spectrum disorder using health administrative and birth registry data</t>
        </is>
      </c>
      <c r="D8" s="12" t="n"/>
      <c r="E8" s="12" t="n"/>
      <c r="F8" s="12" t="n"/>
      <c r="G8" s="4" t="inlineStr">
        <is>
          <t>Pending classification from source</t>
        </is>
      </c>
      <c r="H8" s="4" t="n">
        <v>1</v>
      </c>
      <c r="I8" s="4" t="inlineStr">
        <is>
          <t>Classification (ASD vs control / multi-class)</t>
        </is>
      </c>
      <c r="J8" s="4" t="str"/>
      <c r="K8" s="4" t="str"/>
      <c r="L8" s="4" t="inlineStr">
        <is>
          <t>https://doi.org/10.1038/s41598-025-90216-8</t>
        </is>
      </c>
      <c r="M8" s="4" t="n"/>
      <c r="N8" s="12" t="n"/>
      <c r="O8" s="41" t="n"/>
      <c r="P8" s="4" t="inlineStr">
        <is>
          <t>Confirmed only when AI was actually evaluated/used within the stated workflow or intervention; intended use alone = Proposed only</t>
        </is>
      </c>
      <c r="Q8" s="4">
        <f>IF(COUNTIFS('ESTUDIOS'!$A$2:$A$455,$A8,'ESTUDIOS'!$I$2:$I$455,"")&gt;0,"",INDEX('ESTUDIOS'!$I$2:$I$455,MATCH($A8,'ESTUDIOS'!$A$2:$A$455,0)))</f>
        <v/>
      </c>
    </row>
    <row r="9" ht="47" customHeight="1">
      <c r="A9" s="4" t="inlineStr">
        <is>
          <t>8</t>
        </is>
      </c>
      <c r="B9" s="4" t="inlineStr">
        <is>
          <t>Historical</t>
        </is>
      </c>
      <c r="C9" s="4" t="inlineStr">
        <is>
          <t>A Closed-Loop Ear-Worn Wearable EEG System with Real-Time Passive Electrode Skin Impedance Measurement for Early Autism Detection †</t>
        </is>
      </c>
      <c r="D9" s="12" t="n"/>
      <c r="E9" s="12" t="n"/>
      <c r="F9" s="12" t="n"/>
      <c r="G9" s="4" t="inlineStr">
        <is>
          <t>Pending classification from source</t>
        </is>
      </c>
      <c r="H9" s="4" t="n">
        <v>1</v>
      </c>
      <c r="I9" s="4" t="inlineStr">
        <is>
          <t>Classification (ASD vs control / multi-class)</t>
        </is>
      </c>
      <c r="J9" s="4" t="str"/>
      <c r="K9" s="4" t="str"/>
      <c r="L9" s="4" t="inlineStr">
        <is>
          <t>https://doi.org/10.3390/s24237489</t>
        </is>
      </c>
      <c r="M9" s="4" t="n"/>
      <c r="N9" s="12" t="n"/>
      <c r="O9" s="41" t="n"/>
      <c r="P9" s="4" t="inlineStr">
        <is>
          <t>Confirmed only when AI was actually evaluated/used within the stated workflow or intervention; intended use alone = Proposed only</t>
        </is>
      </c>
      <c r="Q9" s="4">
        <f>IF(COUNTIFS('ESTUDIOS'!$A$2:$A$455,$A9,'ESTUDIOS'!$I$2:$I$455,"")&gt;0,"",INDEX('ESTUDIOS'!$I$2:$I$455,MATCH($A9,'ESTUDIOS'!$A$2:$A$455,0)))</f>
        <v/>
      </c>
    </row>
    <row r="10" ht="60" customHeight="1">
      <c r="A10" s="4" t="inlineStr">
        <is>
          <t>9</t>
        </is>
      </c>
      <c r="B10" s="4" t="inlineStr">
        <is>
          <t>Historical</t>
        </is>
      </c>
      <c r="C10" s="4" t="inlineStr">
        <is>
          <t>An automated assessment framework for atypical prosody and stereotyped idiosyncratic phrases related to autism spectrum disorder</t>
        </is>
      </c>
      <c r="D10" s="12" t="n"/>
      <c r="E10" s="12" t="n"/>
      <c r="F10" s="12" t="n"/>
      <c r="G10" s="4" t="inlineStr">
        <is>
          <t>Pending classification from source</t>
        </is>
      </c>
      <c r="H10" s="4" t="n">
        <v>1</v>
      </c>
      <c r="I10" s="4" t="inlineStr">
        <is>
          <t>Classification (ASD vs control / multi-class)</t>
        </is>
      </c>
      <c r="J10" s="4" t="inlineStr">
        <is>
          <t>“End-to-end models: CNN, RNN(BLSTM), CNN+RNN(GRU/LSTM) on spectrograms; baseline OpenSMILE+linear SVM; text task uses linear SVM with n-gram/dep-treebank/TF-IDF/LIWC; score-level fusion.</t>
        </is>
      </c>
      <c r="K10" s="4" t="str"/>
      <c r="L10" s="4" t="inlineStr">
        <is>
          <t>https://doi.org/10.1016/j.csl.2018.11.002</t>
        </is>
      </c>
      <c r="M10" s="4" t="n"/>
      <c r="N10" s="12" t="n"/>
      <c r="O10" s="41" t="n"/>
      <c r="P10" s="4" t="inlineStr">
        <is>
          <t>Confirmed only when AI was actually evaluated/used within the stated workflow or intervention; intended use alone = Proposed only</t>
        </is>
      </c>
      <c r="Q10" s="4">
        <f>IF(COUNTIFS('ESTUDIOS'!$A$2:$A$455,$A10,'ESTUDIOS'!$I$2:$I$455,"")&gt;0,"",INDEX('ESTUDIOS'!$I$2:$I$455,MATCH($A10,'ESTUDIOS'!$A$2:$A$455,0)))</f>
        <v/>
      </c>
    </row>
    <row r="11" ht="60" customHeight="1">
      <c r="A11" s="4" t="inlineStr">
        <is>
          <t>10</t>
        </is>
      </c>
      <c r="B11" s="4" t="inlineStr">
        <is>
          <t>Historical</t>
        </is>
      </c>
      <c r="C11" s="4" t="inlineStr">
        <is>
          <t>Artificial Intelligence Driven Predictive Analysis of Acoustic and Linguistic Behaviors for ASD Identification</t>
        </is>
      </c>
      <c r="D11" s="12" t="n"/>
      <c r="E11" s="12" t="n"/>
      <c r="F11" s="12" t="n"/>
      <c r="G11" s="4" t="inlineStr">
        <is>
          <t>Pending classification from source</t>
        </is>
      </c>
      <c r="H11" s="4" t="n">
        <v>1</v>
      </c>
      <c r="I11" s="4" t="inlineStr">
        <is>
          <t>Classification (binary/multi-class; incl. ASD vs control)/ multi-class)</t>
        </is>
      </c>
      <c r="J11" s="4" t="str"/>
      <c r="K11" s="4" t="str"/>
      <c r="L11" s="4" t="inlineStr">
        <is>
          <t>https://doi.org/10.1109/tai.2024.3439288</t>
        </is>
      </c>
      <c r="M11" s="4" t="n"/>
      <c r="N11" s="12" t="n"/>
      <c r="O11" s="41" t="n"/>
      <c r="P11" s="4" t="inlineStr">
        <is>
          <t>Confirmed only when AI was actually evaluated/used within the stated workflow or intervention; intended use alone = Proposed only</t>
        </is>
      </c>
      <c r="Q11" s="4">
        <f>IF(COUNTIFS('ESTUDIOS'!$A$2:$A$455,$A11,'ESTUDIOS'!$I$2:$I$455,"")&gt;0,"",INDEX('ESTUDIOS'!$I$2:$I$455,MATCH($A11,'ESTUDIOS'!$A$2:$A$455,0)))</f>
        <v/>
      </c>
    </row>
    <row r="12" ht="73" customHeight="1">
      <c r="A12" s="4" t="inlineStr">
        <is>
          <t>11</t>
        </is>
      </c>
      <c r="B12" s="4" t="inlineStr">
        <is>
          <t>Historical</t>
        </is>
      </c>
      <c r="C12" s="4" t="inlineStr">
        <is>
          <t>Data Mining-Based Model for Computer-Aided Diagnosis of Autism and Gelotophobia: Mixed Methods Deep Learning Approach.</t>
        </is>
      </c>
      <c r="D12" s="12" t="n"/>
      <c r="E12" s="12" t="n"/>
      <c r="F12" s="12" t="n"/>
      <c r="G12" s="4" t="inlineStr">
        <is>
          <t>Pending classification from source</t>
        </is>
      </c>
      <c r="H12" s="4" t="n">
        <v>1</v>
      </c>
      <c r="I12" s="4" t="inlineStr">
        <is>
          <t>Classification (ASD vs control / multi-class)</t>
        </is>
      </c>
      <c r="J12" s="4" t="inlineStr">
        <is>
          <t>ASD status classification from facial images using DeepFace feature extraction; multiple ML models evaluated; MLP reported as highest test accuracy; gelotophobia assessed via DeepFace emotion analysis + GELOPH&lt;15&gt; questionnaire as confirmatory when facial cues ambiguous</t>
        </is>
      </c>
      <c r="K12" s="4" t="str"/>
      <c r="L12" s="4" t="inlineStr">
        <is>
          <t>https://doi.org/10.2196/72115</t>
        </is>
      </c>
      <c r="M12" s="4" t="n"/>
      <c r="N12" s="12" t="n"/>
      <c r="O12" s="41" t="n"/>
      <c r="P12" s="4" t="inlineStr">
        <is>
          <t>Confirmed only when AI was actually evaluated/used within the stated workflow or intervention; intended use alone = Proposed only</t>
        </is>
      </c>
      <c r="Q12" s="4">
        <f>IF(COUNTIFS('ESTUDIOS'!$A$2:$A$455,$A12,'ESTUDIOS'!$I$2:$I$455,"")&gt;0,"",INDEX('ESTUDIOS'!$I$2:$I$455,MATCH($A12,'ESTUDIOS'!$A$2:$A$455,0)))</f>
        <v/>
      </c>
    </row>
    <row r="13" ht="60" customHeight="1">
      <c r="A13" s="4" t="inlineStr">
        <is>
          <t>12</t>
        </is>
      </c>
      <c r="B13" s="4" t="inlineStr">
        <is>
          <t>Historical</t>
        </is>
      </c>
      <c r="C13" s="4" t="inlineStr">
        <is>
          <t>Effect of Wearable Digital Intervention for Improving Socialization in Children with Autism Spectrum Disorder: A Randomized Clinical Trial</t>
        </is>
      </c>
      <c r="D13" s="12" t="n"/>
      <c r="E13" s="12" t="n"/>
      <c r="F13" s="12" t="n"/>
      <c r="G13" s="4" t="inlineStr">
        <is>
          <t>Pending classification from source</t>
        </is>
      </c>
      <c r="H13" s="4" t="n">
        <v>1</v>
      </c>
      <c r="I13" s="4" t="inlineStr">
        <is>
          <t>Other</t>
        </is>
      </c>
      <c r="J13" s="4" t="inlineStr">
        <is>
          <t>Wearable AI-driven behavioral intervention (‘Superpower Glass’) that detects facial expressions and provides cues for emotion recognition during home sessions; clinical RCT; AI model family not specified in paper text.</t>
        </is>
      </c>
      <c r="K13" s="4" t="str"/>
      <c r="L13" s="4" t="inlineStr">
        <is>
          <t>https://doi.org/10.1001/jamapediatrics.2019.0285</t>
        </is>
      </c>
      <c r="M13" s="4" t="n"/>
      <c r="N13" s="12" t="n"/>
      <c r="O13" s="41" t="n"/>
      <c r="P13" s="4" t="inlineStr">
        <is>
          <t>Confirmed only when AI was actually evaluated/used within the stated workflow or intervention; intended use alone = Proposed only</t>
        </is>
      </c>
      <c r="Q13" s="4">
        <f>IF(COUNTIFS('ESTUDIOS'!$A$2:$A$455,$A13,'ESTUDIOS'!$I$2:$I$455,"")&gt;0,"",INDEX('ESTUDIOS'!$I$2:$I$455,MATCH($A13,'ESTUDIOS'!$A$2:$A$455,0)))</f>
        <v/>
      </c>
    </row>
    <row r="14" ht="47" customHeight="1">
      <c r="A14" s="4" t="inlineStr">
        <is>
          <t>13</t>
        </is>
      </c>
      <c r="B14" s="4" t="inlineStr">
        <is>
          <t>Historical</t>
        </is>
      </c>
      <c r="C14" s="4" t="inlineStr">
        <is>
          <t>Feature Signature Discovery for Autism Detection: An Automated Machine Learning Based Feature Ranking Framework</t>
        </is>
      </c>
      <c r="D14" s="12" t="n"/>
      <c r="E14" s="12" t="n"/>
      <c r="F14" s="12" t="n"/>
      <c r="G14" s="4" t="inlineStr">
        <is>
          <t>Pending classification from source</t>
        </is>
      </c>
      <c r="H14" s="4" t="n">
        <v>1</v>
      </c>
      <c r="I14" s="4" t="inlineStr">
        <is>
          <t>Classification (ASD vs control / multi-class)</t>
        </is>
      </c>
      <c r="J14" s="4" t="inlineStr">
        <is>
          <t>Usa puntajes Q-CHAT; framework AutoML/feature ranking no mapea a un algoritmo único.</t>
        </is>
      </c>
      <c r="K14" s="4" t="str"/>
      <c r="L14" s="4" t="inlineStr">
        <is>
          <t>https://doi.org/10.1155/2023/6330002</t>
        </is>
      </c>
      <c r="M14" s="4" t="n"/>
      <c r="N14" s="12" t="n"/>
      <c r="O14" s="41" t="n"/>
      <c r="P14" s="4" t="inlineStr">
        <is>
          <t>Confirmed only when AI was actually evaluated/used within the stated workflow or intervention; intended use alone = Proposed only</t>
        </is>
      </c>
      <c r="Q14" s="4">
        <f>IF(COUNTIFS('ESTUDIOS'!$A$2:$A$455,$A14,'ESTUDIOS'!$I$2:$I$455,"")&gt;0,"",INDEX('ESTUDIOS'!$I$2:$I$455,MATCH($A14,'ESTUDIOS'!$A$2:$A$455,0)))</f>
        <v/>
      </c>
    </row>
    <row r="15" ht="47" customHeight="1">
      <c r="A15" s="4" t="inlineStr">
        <is>
          <t>14</t>
        </is>
      </c>
      <c r="B15" s="4" t="inlineStr">
        <is>
          <t>Historical</t>
        </is>
      </c>
      <c r="C15" s="4" t="inlineStr">
        <is>
          <t>Functional neuroimaging of high-risk 6-month-old infants predicts a diagnosis of autism at 24 months of age</t>
        </is>
      </c>
      <c r="D15" s="12" t="n"/>
      <c r="E15" s="12" t="n"/>
      <c r="F15" s="12" t="n"/>
      <c r="G15" s="4" t="inlineStr">
        <is>
          <t>Pending classification from source</t>
        </is>
      </c>
      <c r="H15" s="4" t="n">
        <v>1</v>
      </c>
      <c r="I15" s="4" t="inlineStr">
        <is>
          <t>Prediction (time-to-event / prognosis)</t>
        </is>
      </c>
      <c r="J15" s="4" t="inlineStr">
        <is>
          <t>Algoritmo principal no explícito o fuera del codebook; Confirmar algoritmo principal en full-text</t>
        </is>
      </c>
      <c r="K15" s="4" t="str"/>
      <c r="L15" s="4" t="inlineStr">
        <is>
          <t>https://doi.org/10.1126/scitranslmed.aag2882</t>
        </is>
      </c>
      <c r="M15" s="4" t="n"/>
      <c r="N15" s="12" t="n"/>
      <c r="O15" s="41" t="n"/>
      <c r="P15" s="4" t="inlineStr">
        <is>
          <t>Confirmed only when AI was actually evaluated/used within the stated workflow or intervention; intended use alone = Proposed only</t>
        </is>
      </c>
      <c r="Q15" s="4">
        <f>IF(COUNTIFS('ESTUDIOS'!$A$2:$A$455,$A15,'ESTUDIOS'!$I$2:$I$455,"")&gt;0,"",INDEX('ESTUDIOS'!$I$2:$I$455,MATCH($A15,'ESTUDIOS'!$A$2:$A$455,0)))</f>
        <v/>
      </c>
    </row>
    <row r="16" ht="60" customHeight="1">
      <c r="A16" s="4" t="inlineStr">
        <is>
          <t>15</t>
        </is>
      </c>
      <c r="B16" s="4" t="inlineStr">
        <is>
          <t>Historical</t>
        </is>
      </c>
      <c r="C16" s="4" t="inlineStr">
        <is>
          <t>Hybrid CNN and random forest model with late fusion for detection of autism spectrum disorder in Toddlers</t>
        </is>
      </c>
      <c r="D16" s="12" t="n"/>
      <c r="E16" s="12" t="n"/>
      <c r="F16" s="12" t="n"/>
      <c r="G16" s="4" t="inlineStr">
        <is>
          <t>Pending classification from source</t>
        </is>
      </c>
      <c r="H16" s="4" t="n">
        <v>1</v>
      </c>
      <c r="I16" s="4" t="inlineStr">
        <is>
          <t>Classification (binary/multi-class; incl. ASD vs control)/ multi-class)</t>
        </is>
      </c>
      <c r="J16" s="4" t="inlineStr">
        <is>
          <t>Hybrid late-fusion: VGG16 (CNN feature extractor) + Random Forest classifier; compares vs VGG16/EfficientNet/AlexNet and conventional ML</t>
        </is>
      </c>
      <c r="K16" s="4" t="str"/>
      <c r="L16" s="4" t="inlineStr">
        <is>
          <t>https://doi.org/10.1016/j.mex.2025.103278</t>
        </is>
      </c>
      <c r="M16" s="4" t="n"/>
      <c r="N16" s="12" t="n"/>
      <c r="O16" s="41" t="n"/>
      <c r="P16" s="4" t="inlineStr">
        <is>
          <t>Confirmed only when AI was actually evaluated/used within the stated workflow or intervention; intended use alone = Proposed only</t>
        </is>
      </c>
      <c r="Q16" s="4">
        <f>IF(COUNTIFS('ESTUDIOS'!$A$2:$A$455,$A16,'ESTUDIOS'!$I$2:$I$455,"")&gt;0,"",INDEX('ESTUDIOS'!$I$2:$I$455,MATCH($A16,'ESTUDIOS'!$A$2:$A$455,0)))</f>
        <v/>
      </c>
    </row>
    <row r="17" ht="47" customHeight="1">
      <c r="A17" s="4" t="inlineStr">
        <is>
          <t>16</t>
        </is>
      </c>
      <c r="B17" s="4" t="inlineStr">
        <is>
          <t>Historical</t>
        </is>
      </c>
      <c r="C17" s="4" t="inlineStr">
        <is>
          <t>Machine Learning Approaches for the Early Diagnosis of Autism Spectrum Disorder: A Systematic Framework</t>
        </is>
      </c>
      <c r="D17" s="12" t="n"/>
      <c r="E17" s="12" t="n"/>
      <c r="F17" s="12" t="n"/>
      <c r="G17" s="4" t="inlineStr">
        <is>
          <t>Pending classification from source</t>
        </is>
      </c>
      <c r="H17" s="4" t="n">
        <v>1</v>
      </c>
      <c r="I17" s="4" t="inlineStr">
        <is>
          <t>Not clear</t>
        </is>
      </c>
      <c r="J17" s="4" t="str"/>
      <c r="K17" s="4" t="str"/>
      <c r="L17" s="4" t="inlineStr">
        <is>
          <t>https://doi.org/10.1007/978-3-031-81083-1_7</t>
        </is>
      </c>
      <c r="M17" s="4" t="n"/>
      <c r="N17" s="12" t="n"/>
      <c r="O17" s="41" t="n"/>
      <c r="P17" s="4" t="inlineStr">
        <is>
          <t>Confirmed only when AI was actually evaluated/used within the stated workflow or intervention; intended use alone = Proposed only</t>
        </is>
      </c>
      <c r="Q17" s="4">
        <f>IF(COUNTIFS('ESTUDIOS'!$A$2:$A$455,$A17,'ESTUDIOS'!$I$2:$I$455,"")&gt;0,"",INDEX('ESTUDIOS'!$I$2:$I$455,MATCH($A17,'ESTUDIOS'!$A$2:$A$455,0)))</f>
        <v/>
      </c>
    </row>
    <row r="18" ht="73" customHeight="1">
      <c r="A18" s="4" t="inlineStr">
        <is>
          <t>17</t>
        </is>
      </c>
      <c r="B18" s="4" t="inlineStr">
        <is>
          <t>Historical</t>
        </is>
      </c>
      <c r="C18" s="4" t="inlineStr">
        <is>
          <t>Machine learning classification of autism spectrum disorder based on reciprocity in naturalistic social interactions</t>
        </is>
      </c>
      <c r="D18" s="12" t="n"/>
      <c r="E18" s="12" t="n"/>
      <c r="F18" s="12" t="n"/>
      <c r="G18" s="4" t="inlineStr">
        <is>
          <t>Pending classification from source</t>
        </is>
      </c>
      <c r="H18" s="4" t="n">
        <v>1</v>
      </c>
      <c r="I18" s="4" t="inlineStr">
        <is>
          <t>Classification (ASD vs control / multi-class)</t>
        </is>
      </c>
      <c r="J18" s="4" t="inlineStr">
        <is>
          <t>Naturalistic social interaction videos; open-source computer vision used for objective annotation (movement/facial expression synchrony); features fed into SVM model to classify autistic vs non-autistic interaction dyads; supplementary exploratory RF mentioned</t>
        </is>
      </c>
      <c r="K18" s="4" t="str"/>
      <c r="L18" s="4" t="inlineStr">
        <is>
          <t>https://doi.org/10.1038/s41398-024-02802-5</t>
        </is>
      </c>
      <c r="M18" s="4" t="n"/>
      <c r="N18" s="12" t="n"/>
      <c r="O18" s="41" t="n"/>
      <c r="P18" s="4" t="inlineStr">
        <is>
          <t>Confirmed only when AI was actually evaluated/used within the stated workflow or intervention; intended use alone = Proposed only</t>
        </is>
      </c>
      <c r="Q18" s="4">
        <f>IF(COUNTIFS('ESTUDIOS'!$A$2:$A$455,$A18,'ESTUDIOS'!$I$2:$I$455,"")&gt;0,"",INDEX('ESTUDIOS'!$I$2:$I$455,MATCH($A18,'ESTUDIOS'!$A$2:$A$455,0)))</f>
        <v/>
      </c>
    </row>
    <row r="19" ht="47" customHeight="1">
      <c r="A19" s="4" t="inlineStr">
        <is>
          <t>18</t>
        </is>
      </c>
      <c r="B19" s="4" t="inlineStr">
        <is>
          <t>Historical</t>
        </is>
      </c>
      <c r="C19" s="4" t="inlineStr">
        <is>
          <t>Multiparametric MRI characterization and prediction in autism spectrum disorder using graph theory and machine learning</t>
        </is>
      </c>
      <c r="D19" s="12" t="n"/>
      <c r="E19" s="12" t="n"/>
      <c r="F19" s="12" t="n"/>
      <c r="G19" s="4" t="inlineStr">
        <is>
          <t>Pending classification from source</t>
        </is>
      </c>
      <c r="H19" s="4" t="n">
        <v>1</v>
      </c>
      <c r="I19" s="4" t="inlineStr">
        <is>
          <t>Classification (ASD vs control / multi-class)</t>
        </is>
      </c>
      <c r="J19" s="4" t="inlineStr">
        <is>
          <t>Clasificación ASD vs control con MRI multiparamétrica; también predice rasgos fenotípicos.</t>
        </is>
      </c>
      <c r="K19" s="4" t="str"/>
      <c r="L19" s="4" t="inlineStr">
        <is>
          <t>https://doi.org/10.1371/journal.pone.0090405</t>
        </is>
      </c>
      <c r="M19" s="4" t="n"/>
      <c r="N19" s="12" t="n"/>
      <c r="O19" s="41" t="n"/>
      <c r="P19" s="4" t="inlineStr">
        <is>
          <t>Confirmed only when AI was actually evaluated/used within the stated workflow or intervention; intended use alone = Proposed only</t>
        </is>
      </c>
      <c r="Q19" s="4">
        <f>IF(COUNTIFS('ESTUDIOS'!$A$2:$A$455,$A19,'ESTUDIOS'!$I$2:$I$455,"")&gt;0,"",INDEX('ESTUDIOS'!$I$2:$I$455,MATCH($A19,'ESTUDIOS'!$A$2:$A$455,0)))</f>
        <v/>
      </c>
    </row>
    <row r="20" ht="47" customHeight="1">
      <c r="A20" s="4" t="inlineStr">
        <is>
          <t>19</t>
        </is>
      </c>
      <c r="B20" s="4" t="inlineStr">
        <is>
          <t>Historical</t>
        </is>
      </c>
      <c r="C20" s="4" t="inlineStr">
        <is>
          <t>Multivariate Neural Connectivity Patterns in Early Infancy Predict Later Autism Symptoms</t>
        </is>
      </c>
      <c r="D20" s="12" t="n"/>
      <c r="E20" s="12" t="n"/>
      <c r="F20" s="12" t="n"/>
      <c r="G20" s="4" t="inlineStr">
        <is>
          <t>Pending classification from source</t>
        </is>
      </c>
      <c r="H20" s="4" t="n">
        <v>1</v>
      </c>
      <c r="I20" s="4" t="inlineStr">
        <is>
          <t>Regression (score / severity / risk)</t>
        </is>
      </c>
      <c r="J20" s="4" t="str"/>
      <c r="K20" s="4" t="str"/>
      <c r="L20" s="4" t="inlineStr">
        <is>
          <t>https://doi.org/10.1016/j.bpsc.2020.06.003</t>
        </is>
      </c>
      <c r="M20" s="4" t="n"/>
      <c r="N20" s="12" t="n"/>
      <c r="O20" s="41" t="n"/>
      <c r="P20" s="4" t="inlineStr">
        <is>
          <t>Confirmed only when AI was actually evaluated/used within the stated workflow or intervention; intended use alone = Proposed only</t>
        </is>
      </c>
      <c r="Q20" s="4">
        <f>IF(COUNTIFS('ESTUDIOS'!$A$2:$A$455,$A20,'ESTUDIOS'!$I$2:$I$455,"")&gt;0,"",INDEX('ESTUDIOS'!$I$2:$I$455,MATCH($A20,'ESTUDIOS'!$A$2:$A$455,0)))</f>
        <v/>
      </c>
    </row>
    <row r="21" ht="47" customHeight="1">
      <c r="A21" s="4" t="inlineStr">
        <is>
          <t>20</t>
        </is>
      </c>
      <c r="B21" s="4" t="inlineStr">
        <is>
          <t>Historical</t>
        </is>
      </c>
      <c r="C21" s="4" t="inlineStr">
        <is>
          <t>Testing the accuracy of an observation-based classifier for rapid detection of autism risk.</t>
        </is>
      </c>
      <c r="D21" s="12" t="n"/>
      <c r="E21" s="12" t="n"/>
      <c r="F21" s="12" t="n"/>
      <c r="G21" s="4" t="inlineStr">
        <is>
          <t>Pending classification from source</t>
        </is>
      </c>
      <c r="H21" s="4" t="n">
        <v>1</v>
      </c>
      <c r="I21" s="4" t="inlineStr">
        <is>
          <t>Classification (ASD vs control / multi-class)</t>
        </is>
      </c>
      <c r="J21" s="4" t="inlineStr">
        <is>
          <t>Algorithm specifically is Alternating Decision Tree (ADTree) (not a standard single CART/ID3); mapped to Decision Tree due to allowed categories</t>
        </is>
      </c>
      <c r="K21" s="4" t="str"/>
      <c r="L21" s="4" t="inlineStr">
        <is>
          <t>https://doi.org/10.1038/tp.2014.65</t>
        </is>
      </c>
      <c r="M21" s="4" t="n"/>
      <c r="N21" s="12" t="n"/>
      <c r="O21" s="41" t="n"/>
      <c r="P21" s="4" t="inlineStr">
        <is>
          <t>Confirmed only when AI was actually evaluated/used within the stated workflow or intervention; intended use alone = Proposed only</t>
        </is>
      </c>
      <c r="Q21" s="4">
        <f>IF(COUNTIFS('ESTUDIOS'!$A$2:$A$455,$A21,'ESTUDIOS'!$I$2:$I$455,"")&gt;0,"",INDEX('ESTUDIOS'!$I$2:$I$455,MATCH($A21,'ESTUDIOS'!$A$2:$A$455,0)))</f>
        <v/>
      </c>
    </row>
    <row r="22" ht="60" customHeight="1">
      <c r="A22" s="4" t="inlineStr">
        <is>
          <t>21</t>
        </is>
      </c>
      <c r="B22" s="4" t="inlineStr">
        <is>
          <t>Historical</t>
        </is>
      </c>
      <c r="C22" s="4" t="inlineStr">
        <is>
          <t>Using deep learning to classify developmental differences in reaching and placing movements in children with and without autism spectrum disorder</t>
        </is>
      </c>
      <c r="D22" s="12" t="n"/>
      <c r="E22" s="12" t="n"/>
      <c r="F22" s="12" t="n"/>
      <c r="G22" s="4" t="inlineStr">
        <is>
          <t>Pending classification from source</t>
        </is>
      </c>
      <c r="H22" s="4" t="n">
        <v>1</v>
      </c>
      <c r="I22" s="4" t="inlineStr">
        <is>
          <t>Classification (binary/multi-class; incl. ASD vs control)/ multi-class)</t>
        </is>
      </c>
      <c r="J22" s="4" t="str"/>
      <c r="K22" s="4" t="str"/>
      <c r="L22" s="4" t="inlineStr">
        <is>
          <t>https://doi.org/10.1038/s41598-024-81652-z</t>
        </is>
      </c>
      <c r="M22" s="4" t="n"/>
      <c r="N22" s="12" t="n"/>
      <c r="O22" s="41" t="n"/>
      <c r="P22" s="4" t="inlineStr">
        <is>
          <t>Confirmed only when AI was actually evaluated/used within the stated workflow or intervention; intended use alone = Proposed only</t>
        </is>
      </c>
      <c r="Q22" s="4">
        <f>IF(COUNTIFS('ESTUDIOS'!$A$2:$A$455,$A22,'ESTUDIOS'!$I$2:$I$455,"")&gt;0,"",INDEX('ESTUDIOS'!$I$2:$I$455,MATCH($A22,'ESTUDIOS'!$A$2:$A$455,0)))</f>
        <v/>
      </c>
    </row>
    <row r="23" ht="60" customHeight="1">
      <c r="A23" s="4" t="inlineStr">
        <is>
          <t>22</t>
        </is>
      </c>
      <c r="B23" s="4" t="inlineStr">
        <is>
          <t>Historical</t>
        </is>
      </c>
      <c r="C23" s="4" t="inlineStr">
        <is>
          <t>A CNN deep local and global ASD classification approach with continuous wavelet transform using task-based FMRI</t>
        </is>
      </c>
      <c r="D23" s="12" t="n"/>
      <c r="E23" s="12" t="n"/>
      <c r="F23" s="12" t="n"/>
      <c r="G23" s="4" t="inlineStr">
        <is>
          <t>Pending classification from source</t>
        </is>
      </c>
      <c r="H23" s="4" t="n">
        <v>1</v>
      </c>
      <c r="I23" s="4" t="inlineStr">
        <is>
          <t>Classification (binary/multi-class; incl. ASD vs control)/ multi-class)</t>
        </is>
      </c>
      <c r="J23" s="4" t="inlineStr">
        <is>
          <t>Incluye clustering para ROI/selección dimensional y generan “brain map indicating ASD severity level”, pero el objetivo central del sistema es clasificación ASD vs TD con CNN.</t>
        </is>
      </c>
      <c r="K23" s="4" t="str"/>
      <c r="L23" s="4" t="inlineStr">
        <is>
          <t>https://doi.org/10.3390/s21175822</t>
        </is>
      </c>
      <c r="M23" s="4" t="n"/>
      <c r="N23" s="12" t="n"/>
      <c r="O23" s="41" t="n"/>
      <c r="P23" s="4" t="inlineStr">
        <is>
          <t>Confirmed only when AI was actually evaluated/used within the stated workflow or intervention; intended use alone = Proposed only</t>
        </is>
      </c>
      <c r="Q23" s="4">
        <f>IF(COUNTIFS('ESTUDIOS'!$A$2:$A$455,$A23,'ESTUDIOS'!$I$2:$I$455,"")&gt;0,"",INDEX('ESTUDIOS'!$I$2:$I$455,MATCH($A23,'ESTUDIOS'!$A$2:$A$455,0)))</f>
        <v/>
      </c>
    </row>
    <row r="24" ht="47" customHeight="1">
      <c r="A24" s="4" t="inlineStr">
        <is>
          <t>23</t>
        </is>
      </c>
      <c r="B24" s="4" t="inlineStr">
        <is>
          <t>Historical</t>
        </is>
      </c>
      <c r="C24" s="4" t="inlineStr">
        <is>
          <t>A new machine learning model based on induction of rules for autism detection</t>
        </is>
      </c>
      <c r="D24" s="12" t="n"/>
      <c r="E24" s="12" t="n"/>
      <c r="F24" s="12" t="n"/>
      <c r="G24" s="4" t="inlineStr">
        <is>
          <t>Pending classification from source</t>
        </is>
      </c>
      <c r="H24" s="4" t="n">
        <v>1</v>
      </c>
      <c r="I24" s="4" t="inlineStr">
        <is>
          <t>Classification (ASD vs control / multi-class)</t>
        </is>
      </c>
      <c r="J24" s="4" t="inlineStr">
        <is>
          <t>Boosting, Bagging, rule induction methods (rules-machine learning framework), Modelo basado en inducción de reglas sobre datasets de cribado; algoritmo fuera del codebook.</t>
        </is>
      </c>
      <c r="K24" s="4" t="str"/>
      <c r="L24" s="4" t="inlineStr">
        <is>
          <t>https://doi.org/10.1177/1460458218824711</t>
        </is>
      </c>
      <c r="M24" s="4" t="n"/>
      <c r="N24" s="12" t="n"/>
      <c r="O24" s="41" t="n"/>
      <c r="P24" s="4" t="inlineStr">
        <is>
          <t>Confirmed only when AI was actually evaluated/used within the stated workflow or intervention; intended use alone = Proposed only</t>
        </is>
      </c>
      <c r="Q24" s="4">
        <f>IF(COUNTIFS('ESTUDIOS'!$A$2:$A$455,$A24,'ESTUDIOS'!$I$2:$I$455,"")&gt;0,"",INDEX('ESTUDIOS'!$I$2:$I$455,MATCH($A24,'ESTUDIOS'!$A$2:$A$455,0)))</f>
        <v/>
      </c>
    </row>
    <row r="25" ht="47" customHeight="1">
      <c r="A25" s="4" t="inlineStr">
        <is>
          <t>24</t>
        </is>
      </c>
      <c r="B25" s="4" t="inlineStr">
        <is>
          <t>Historical</t>
        </is>
      </c>
      <c r="C25" s="4" t="inlineStr">
        <is>
          <t>A Novel Grading System for Autism Severity Level Using Task-Based Functional MRI: A Response to Speech Study</t>
        </is>
      </c>
      <c r="D25" s="12" t="n"/>
      <c r="E25" s="12" t="n"/>
      <c r="F25" s="12" t="n"/>
      <c r="G25" s="4" t="inlineStr">
        <is>
          <t>Pending classification from source</t>
        </is>
      </c>
      <c r="H25" s="4" t="n">
        <v>1</v>
      </c>
      <c r="I25" s="4" t="inlineStr">
        <is>
          <t>Classification (ASD vs control / multi-class)</t>
        </is>
      </c>
      <c r="J25" s="4" t="inlineStr">
        <is>
          <t>Gradación de severidad por clases con task-fMRI; clasificadores múltiples no detallados.</t>
        </is>
      </c>
      <c r="K25" s="4" t="str"/>
      <c r="L25" s="4" t="inlineStr">
        <is>
          <t>https://doi.org/10.1109/access.2021.3097606</t>
        </is>
      </c>
      <c r="M25" s="4" t="n"/>
      <c r="N25" s="12" t="n"/>
      <c r="O25" s="41" t="n"/>
      <c r="P25" s="4" t="inlineStr">
        <is>
          <t>Confirmed only when AI was actually evaluated/used within the stated workflow or intervention; intended use alone = Proposed only</t>
        </is>
      </c>
      <c r="Q25" s="4">
        <f>IF(COUNTIFS('ESTUDIOS'!$A$2:$A$455,$A25,'ESTUDIOS'!$I$2:$I$455,"")&gt;0,"",INDEX('ESTUDIOS'!$I$2:$I$455,MATCH($A25,'ESTUDIOS'!$A$2:$A$455,0)))</f>
        <v/>
      </c>
    </row>
    <row r="26" ht="47" customHeight="1">
      <c r="A26" s="4" t="inlineStr">
        <is>
          <t>26</t>
        </is>
      </c>
      <c r="B26" s="4" t="inlineStr">
        <is>
          <t>Historical</t>
        </is>
      </c>
      <c r="C26" s="4" t="inlineStr">
        <is>
          <t>An Analysis of the Use of Machine Learning in the Diagnosis of Autism Spectrum Disorder</t>
        </is>
      </c>
      <c r="D26" s="12" t="n"/>
      <c r="E26" s="12" t="n"/>
      <c r="F26" s="12" t="n"/>
      <c r="G26" s="4" t="inlineStr">
        <is>
          <t>Pending classification from source</t>
        </is>
      </c>
      <c r="H26" s="4" t="n">
        <v>1</v>
      </c>
      <c r="I26" s="4" t="n"/>
      <c r="J26" s="4" t="str"/>
      <c r="K26" s="4" t="str"/>
      <c r="L26" s="4" t="inlineStr">
        <is>
          <t>https://doi.org/10.1007/978-3-031-23683-9_12</t>
        </is>
      </c>
      <c r="M26" s="4" t="n"/>
      <c r="N26" s="12" t="n"/>
      <c r="O26" s="41" t="n"/>
      <c r="P26" s="4" t="inlineStr">
        <is>
          <t>Confirmed only when AI was actually evaluated/used within the stated workflow or intervention; intended use alone = Proposed only</t>
        </is>
      </c>
      <c r="Q26" s="4">
        <f>IF(COUNTIFS('ESTUDIOS'!$A$2:$A$455,$A26,'ESTUDIOS'!$I$2:$I$455,"")&gt;0,"",INDEX('ESTUDIOS'!$I$2:$I$455,MATCH($A26,'ESTUDIOS'!$A$2:$A$455,0)))</f>
        <v/>
      </c>
    </row>
    <row r="27" ht="47" customHeight="1">
      <c r="A27" s="4" t="inlineStr">
        <is>
          <t>27</t>
        </is>
      </c>
      <c r="B27" s="4" t="inlineStr">
        <is>
          <t>Historical</t>
        </is>
      </c>
      <c r="C27" s="4" t="inlineStr">
        <is>
          <t>An analytics-driven model for identifying autism spectrum disorder using eye tracking</t>
        </is>
      </c>
      <c r="D27" s="12" t="n"/>
      <c r="E27" s="12" t="n"/>
      <c r="F27" s="12" t="n"/>
      <c r="G27" s="4" t="inlineStr">
        <is>
          <t>Pending classification from source</t>
        </is>
      </c>
      <c r="H27" s="4" t="n">
        <v>1</v>
      </c>
      <c r="I27" s="4" t="inlineStr">
        <is>
          <t>Classification (ASD vs control / multi-class)</t>
        </is>
      </c>
      <c r="J27" s="4" t="inlineStr">
        <is>
          <t>Usa eye-tracking/gaze movement; algoritmo principal no explícito.</t>
        </is>
      </c>
      <c r="K27" s="4" t="str"/>
      <c r="L27" s="4" t="inlineStr">
        <is>
          <t>https://doi.org/10.1016/j.health.2025.100409</t>
        </is>
      </c>
      <c r="M27" s="4" t="n"/>
      <c r="N27" s="12" t="n"/>
      <c r="O27" s="41" t="n"/>
      <c r="P27" s="4" t="inlineStr">
        <is>
          <t>Confirmed only when AI was actually evaluated/used within the stated workflow or intervention; intended use alone = Proposed only</t>
        </is>
      </c>
      <c r="Q27" s="4">
        <f>IF(COUNTIFS('ESTUDIOS'!$A$2:$A$455,$A27,'ESTUDIOS'!$I$2:$I$455,"")&gt;0,"",INDEX('ESTUDIOS'!$I$2:$I$455,MATCH($A27,'ESTUDIOS'!$A$2:$A$455,0)))</f>
        <v/>
      </c>
    </row>
    <row r="28" ht="47" customHeight="1">
      <c r="A28" s="4" t="inlineStr">
        <is>
          <t>28</t>
        </is>
      </c>
      <c r="B28" s="4" t="inlineStr">
        <is>
          <t>Historical</t>
        </is>
      </c>
      <c r="C28" s="4" t="inlineStr">
        <is>
          <t>An evaluation of machine learning approaches for early diagnosis of autism spectrum disorder</t>
        </is>
      </c>
      <c r="D28" s="12" t="n"/>
      <c r="E28" s="12" t="n"/>
      <c r="F28" s="12" t="n"/>
      <c r="G28" s="4" t="inlineStr">
        <is>
          <t>Pending classification from source</t>
        </is>
      </c>
      <c r="H28" s="4" t="n">
        <v>1</v>
      </c>
      <c r="I28" s="4" t="inlineStr">
        <is>
          <t>Classification (ASD vs control / multi-class)</t>
        </is>
      </c>
      <c r="J28" s="4" t="inlineStr">
        <is>
          <t>Compara varios clasificadores; ANN/MLP reporta mejor desempeño en dataset combinado.</t>
        </is>
      </c>
      <c r="K28" s="4" t="str"/>
      <c r="L28" s="4" t="inlineStr">
        <is>
          <t>https://doi.org/10.1016/j.health.2023.100293</t>
        </is>
      </c>
      <c r="M28" s="4" t="n"/>
      <c r="N28" s="12" t="n"/>
      <c r="O28" s="41" t="n"/>
      <c r="P28" s="4" t="inlineStr">
        <is>
          <t>Confirmed only when AI was actually evaluated/used within the stated workflow or intervention; intended use alone = Proposed only</t>
        </is>
      </c>
      <c r="Q28" s="4">
        <f>IF(COUNTIFS('ESTUDIOS'!$A$2:$A$455,$A28,'ESTUDIOS'!$I$2:$I$455,"")&gt;0,"",INDEX('ESTUDIOS'!$I$2:$I$455,MATCH($A28,'ESTUDIOS'!$A$2:$A$455,0)))</f>
        <v/>
      </c>
    </row>
    <row r="29" ht="60" customHeight="1">
      <c r="A29" s="4" t="inlineStr">
        <is>
          <t>29</t>
        </is>
      </c>
      <c r="B29" s="4" t="inlineStr">
        <is>
          <t>Historical</t>
        </is>
      </c>
      <c r="C29" s="4" t="inlineStr">
        <is>
          <t>An intellectual autism spectrum disorder classification framework in healthcare industry using ViT-based adaptive deep learning model</t>
        </is>
      </c>
      <c r="D29" s="12" t="n"/>
      <c r="E29" s="12" t="n"/>
      <c r="F29" s="12" t="n"/>
      <c r="G29" s="4" t="inlineStr">
        <is>
          <t>Pending classification from source</t>
        </is>
      </c>
      <c r="H29" s="4" t="n">
        <v>1</v>
      </c>
      <c r="I29" s="4" t="inlineStr">
        <is>
          <t>Classification (binary/multi-class; incl. ASD vs control)/ multi-class)</t>
        </is>
      </c>
      <c r="J29" s="4" t="inlineStr">
        <is>
          <t>Hybrid architecture includes ViT + (Adaptive Residual DenseNet) + LSTM; mapped to Transformer as primary component.</t>
        </is>
      </c>
      <c r="K29" s="4" t="str"/>
      <c r="L29" s="4" t="inlineStr">
        <is>
          <t>https://doi.org/10.1016/j.bspc.2025.107737</t>
        </is>
      </c>
      <c r="M29" s="4" t="n"/>
      <c r="N29" s="12" t="n"/>
      <c r="O29" s="41" t="n"/>
      <c r="P29" s="4" t="inlineStr">
        <is>
          <t>Confirmed only when AI was actually evaluated/used within the stated workflow or intervention; intended use alone = Proposed only</t>
        </is>
      </c>
      <c r="Q29" s="4">
        <f>IF(COUNTIFS('ESTUDIOS'!$A$2:$A$455,$A29,'ESTUDIOS'!$I$2:$I$455,"")&gt;0,"",INDEX('ESTUDIOS'!$I$2:$I$455,MATCH($A29,'ESTUDIOS'!$A$2:$A$455,0)))</f>
        <v/>
      </c>
    </row>
    <row r="30" ht="60" customHeight="1">
      <c r="A30" s="4" t="inlineStr">
        <is>
          <t>30</t>
        </is>
      </c>
      <c r="B30" s="4" t="inlineStr">
        <is>
          <t>Historical</t>
        </is>
      </c>
      <c r="C30" s="4" t="inlineStr">
        <is>
          <t>Analysis and Detection of Autism Spectrum Disorder Using Machine Learning Techniques</t>
        </is>
      </c>
      <c r="D30" s="12" t="n"/>
      <c r="E30" s="12" t="n"/>
      <c r="F30" s="12" t="n"/>
      <c r="G30" s="4" t="inlineStr">
        <is>
          <t>Pending classification from source</t>
        </is>
      </c>
      <c r="H30" s="4" t="n">
        <v>1</v>
      </c>
      <c r="I30" s="4" t="inlineStr">
        <is>
          <t>Classification (binary/multi-class; incl. ASD vs control)/ multi-class)</t>
        </is>
      </c>
      <c r="J30" s="4" t="inlineStr">
        <is>
          <t>Comparan varios algoritmos (Naive Bayes, SVM, LR, KNN, NN y CNN); para tu columna AI_algorithm_main conviene poner CNN porque es el que señalan como mejor globalmente</t>
        </is>
      </c>
      <c r="K30" s="4" t="str"/>
      <c r="L30" s="4" t="inlineStr">
        <is>
          <t>https://doi.org/10.1016/j.procs.2020.03.399</t>
        </is>
      </c>
      <c r="M30" s="4" t="n"/>
      <c r="N30" s="12" t="n"/>
      <c r="O30" s="41" t="n"/>
      <c r="P30" s="4" t="inlineStr">
        <is>
          <t>Confirmed only when AI was actually evaluated/used within the stated workflow or intervention; intended use alone = Proposed only</t>
        </is>
      </c>
      <c r="Q30" s="4">
        <f>IF(COUNTIFS('ESTUDIOS'!$A$2:$A$455,$A30,'ESTUDIOS'!$I$2:$I$455,"")&gt;0,"",INDEX('ESTUDIOS'!$I$2:$I$455,MATCH($A30,'ESTUDIOS'!$A$2:$A$455,0)))</f>
        <v/>
      </c>
    </row>
    <row r="31" ht="60" customHeight="1">
      <c r="A31" s="4" t="inlineStr">
        <is>
          <t>31</t>
        </is>
      </c>
      <c r="B31" s="4" t="inlineStr">
        <is>
          <t>Historical</t>
        </is>
      </c>
      <c r="C31" s="4" t="inlineStr">
        <is>
          <t>ASD classification for children using deep neural network</t>
        </is>
      </c>
      <c r="D31" s="12" t="n"/>
      <c r="E31" s="12" t="n"/>
      <c r="F31" s="12" t="n"/>
      <c r="G31" s="4" t="inlineStr">
        <is>
          <t>Pending classification from source</t>
        </is>
      </c>
      <c r="H31" s="4" t="n">
        <v>1</v>
      </c>
      <c r="I31" s="4" t="inlineStr">
        <is>
          <t>Classification (binary/multi-class; incl. ASD vs control)/ multi-class)</t>
        </is>
      </c>
      <c r="J31" s="4" t="inlineStr">
        <is>
          <t>Tabular screening dataset; diffusion mapping + DNN classifier.</t>
        </is>
      </c>
      <c r="K31" s="4" t="str"/>
      <c r="L31" s="4" t="inlineStr">
        <is>
          <t>https://doi.org/10.1016/j.gltp.2021.08.042</t>
        </is>
      </c>
      <c r="M31" s="4" t="n"/>
      <c r="N31" s="12" t="n"/>
      <c r="O31" s="41" t="n"/>
      <c r="P31" s="4" t="inlineStr">
        <is>
          <t>Confirmed only when AI was actually evaluated/used within the stated workflow or intervention; intended use alone = Proposed only</t>
        </is>
      </c>
      <c r="Q31" s="4">
        <f>IF(COUNTIFS('ESTUDIOS'!$A$2:$A$455,$A31,'ESTUDIOS'!$I$2:$I$455,"")&gt;0,"",INDEX('ESTUDIOS'!$I$2:$I$455,MATCH($A31,'ESTUDIOS'!$A$2:$A$455,0)))</f>
        <v/>
      </c>
    </row>
    <row r="32" ht="60" customHeight="1">
      <c r="A32" s="4" t="inlineStr">
        <is>
          <t>32</t>
        </is>
      </c>
      <c r="B32" s="4" t="inlineStr">
        <is>
          <t>Historical</t>
        </is>
      </c>
      <c r="C32" s="4" t="inlineStr">
        <is>
          <t>ASD-GraphNet: A novel graph learning approach for Autism Spectrum Disorder diagnosis using fMRI data</t>
        </is>
      </c>
      <c r="D32" s="12" t="n"/>
      <c r="E32" s="12" t="n"/>
      <c r="F32" s="12" t="n"/>
      <c r="G32" s="4" t="inlineStr">
        <is>
          <t>Pending classification from source</t>
        </is>
      </c>
      <c r="H32" s="4" t="n">
        <v>1</v>
      </c>
      <c r="I32" s="4" t="inlineStr">
        <is>
          <t>Classification (binary/multi-class; incl. ASD vs control)/ multi-class)</t>
        </is>
      </c>
      <c r="J32" s="4" t="inlineStr">
        <is>
          <t>Graph feature engineering + classifier comparison (LR, SVM, XGBoost/LightGBM); main/best model not specified in abstract</t>
        </is>
      </c>
      <c r="K32" s="4" t="str"/>
      <c r="L32" s="4" t="inlineStr">
        <is>
          <t>https://doi.org/10.1016/j.compbiomed.2025.110723</t>
        </is>
      </c>
      <c r="M32" s="4" t="n"/>
      <c r="N32" s="12" t="n"/>
      <c r="O32" s="41" t="n"/>
      <c r="P32" s="4" t="inlineStr">
        <is>
          <t>Confirmed only when AI was actually evaluated/used within the stated workflow or intervention; intended use alone = Proposed only</t>
        </is>
      </c>
      <c r="Q32" s="4">
        <f>IF(COUNTIFS('ESTUDIOS'!$A$2:$A$455,$A32,'ESTUDIOS'!$I$2:$I$455,"")&gt;0,"",INDEX('ESTUDIOS'!$I$2:$I$455,MATCH($A32,'ESTUDIOS'!$A$2:$A$455,0)))</f>
        <v/>
      </c>
    </row>
    <row r="33" ht="47" customHeight="1">
      <c r="A33" s="4" t="inlineStr">
        <is>
          <t>33</t>
        </is>
      </c>
      <c r="B33" s="4" t="inlineStr">
        <is>
          <t>Historical</t>
        </is>
      </c>
      <c r="C33" s="4" t="inlineStr">
        <is>
          <t>Automated identification of postural control for children with autism spectrum disorder using a machine learning approach</t>
        </is>
      </c>
      <c r="D33" s="12" t="n"/>
      <c r="E33" s="12" t="n"/>
      <c r="F33" s="12" t="n"/>
      <c r="G33" s="4" t="inlineStr">
        <is>
          <t>Pending classification from source</t>
        </is>
      </c>
      <c r="H33" s="4" t="n">
        <v>1</v>
      </c>
      <c r="I33" s="4" t="inlineStr">
        <is>
          <t>Classification (ASD vs control / multi-class)</t>
        </is>
      </c>
      <c r="J33" s="4" t="str"/>
      <c r="K33" s="4" t="str"/>
      <c r="L33" s="4" t="inlineStr">
        <is>
          <t>https://doi.org/10.1016/j.jbiomech.2020.110073</t>
        </is>
      </c>
      <c r="M33" s="4" t="n"/>
      <c r="N33" s="12" t="n"/>
      <c r="O33" s="41" t="n"/>
      <c r="P33" s="4" t="inlineStr">
        <is>
          <t>Confirmed only when AI was actually evaluated/used within the stated workflow or intervention; intended use alone = Proposed only</t>
        </is>
      </c>
      <c r="Q33" s="4">
        <f>IF(COUNTIFS('ESTUDIOS'!$A$2:$A$455,$A33,'ESTUDIOS'!$I$2:$I$455,"")&gt;0,"",INDEX('ESTUDIOS'!$I$2:$I$455,MATCH($A33,'ESTUDIOS'!$A$2:$A$455,0)))</f>
        <v/>
      </c>
    </row>
    <row r="34" ht="47" customHeight="1">
      <c r="A34" s="4" t="inlineStr">
        <is>
          <t>34</t>
        </is>
      </c>
      <c r="B34" s="4" t="inlineStr">
        <is>
          <t>Historical</t>
        </is>
      </c>
      <c r="C34" s="4" t="inlineStr">
        <is>
          <t>Distributed Intrinsic Functional Connectivity Patterns Predict Diagnostic Status in Large Autism Cohort</t>
        </is>
      </c>
      <c r="D34" s="12" t="n"/>
      <c r="E34" s="12" t="n"/>
      <c r="F34" s="12" t="n"/>
      <c r="G34" s="4" t="inlineStr">
        <is>
          <t>Pending classification from source</t>
        </is>
      </c>
      <c r="H34" s="4" t="n">
        <v>1</v>
      </c>
      <c r="I34" s="4" t="inlineStr">
        <is>
          <t>Classification (ASD vs control / multi-class)</t>
        </is>
      </c>
      <c r="J34" s="4" t="inlineStr">
        <is>
          <t>Usa conditional random forest sobre rs-fMRI para clasificación diagnóstica.</t>
        </is>
      </c>
      <c r="K34" s="4" t="str"/>
      <c r="L34" s="4" t="inlineStr">
        <is>
          <t>https://doi.org/10.1089/brain.2017.0496</t>
        </is>
      </c>
      <c r="M34" s="4" t="n"/>
      <c r="N34" s="12" t="n"/>
      <c r="O34" s="41" t="n"/>
      <c r="P34" s="4" t="inlineStr">
        <is>
          <t>Confirmed only when AI was actually evaluated/used within the stated workflow or intervention; intended use alone = Proposed only</t>
        </is>
      </c>
      <c r="Q34" s="4">
        <f>IF(COUNTIFS('ESTUDIOS'!$A$2:$A$455,$A34,'ESTUDIOS'!$I$2:$I$455,"")&gt;0,"",INDEX('ESTUDIOS'!$I$2:$I$455,MATCH($A34,'ESTUDIOS'!$A$2:$A$455,0)))</f>
        <v/>
      </c>
    </row>
    <row r="35" ht="47" customHeight="1">
      <c r="A35" s="4" t="inlineStr">
        <is>
          <t>35</t>
        </is>
      </c>
      <c r="B35" s="4" t="inlineStr">
        <is>
          <t>Historical</t>
        </is>
      </c>
      <c r="C35" s="4" t="inlineStr">
        <is>
          <t>Enhancing diagnosis of autism with optimized machine learning models and personal characteristic data</t>
        </is>
      </c>
      <c r="D35" s="12" t="n"/>
      <c r="E35" s="12" t="n"/>
      <c r="F35" s="12" t="n"/>
      <c r="G35" s="4" t="inlineStr">
        <is>
          <t>Pending classification from source</t>
        </is>
      </c>
      <c r="H35" s="4" t="n">
        <v>1</v>
      </c>
      <c r="I35" s="4" t="inlineStr">
        <is>
          <t>Classification (ASD vs control / multi-class)</t>
        </is>
      </c>
      <c r="J35" s="4" t="inlineStr">
        <is>
          <t>Usa solo personal characteristic data de ABIDE; red neuronal fue el mejor modelo.</t>
        </is>
      </c>
      <c r="K35" s="4" t="str"/>
      <c r="L35" s="4" t="inlineStr">
        <is>
          <t>https://doi.org/10.3389/fncom.2019.00009/full</t>
        </is>
      </c>
      <c r="M35" s="4" t="n"/>
      <c r="N35" s="12" t="n"/>
      <c r="O35" s="41" t="n"/>
      <c r="P35" s="4" t="inlineStr">
        <is>
          <t>Confirmed only when AI was actually evaluated/used within the stated workflow or intervention; intended use alone = Proposed only</t>
        </is>
      </c>
      <c r="Q35" s="4">
        <f>IF(COUNTIFS('ESTUDIOS'!$A$2:$A$455,$A35,'ESTUDIOS'!$I$2:$I$455,"")&gt;0,"",INDEX('ESTUDIOS'!$I$2:$I$455,MATCH($A35,'ESTUDIOS'!$A$2:$A$455,0)))</f>
        <v/>
      </c>
    </row>
    <row r="36" ht="47" customHeight="1">
      <c r="A36" s="4" t="inlineStr">
        <is>
          <t>36</t>
        </is>
      </c>
      <c r="B36" s="4" t="inlineStr">
        <is>
          <t>Historical</t>
        </is>
      </c>
      <c r="C36" s="4" t="inlineStr">
        <is>
          <t>Investigating multiclass autism spectrum disorder classification using machine learning techniques</t>
        </is>
      </c>
      <c r="D36" s="12" t="n"/>
      <c r="E36" s="12" t="n"/>
      <c r="F36" s="12" t="n"/>
      <c r="G36" s="4" t="inlineStr">
        <is>
          <t>Pending classification from source</t>
        </is>
      </c>
      <c r="H36" s="4" t="n">
        <v>1</v>
      </c>
      <c r="I36" s="4" t="inlineStr">
        <is>
          <t>Classification (ASD vs control / multi-class)</t>
        </is>
      </c>
      <c r="J36" s="4" t="inlineStr">
        <is>
          <t>LR y SVM destacan; se selecciona LR como principal por mejor desempeño reportado en varios subconjuntos.</t>
        </is>
      </c>
      <c r="K36" s="4" t="str"/>
      <c r="L36" s="4" t="inlineStr">
        <is>
          <t>https://doi.org/10.1016/j.prime.2024.100602</t>
        </is>
      </c>
      <c r="M36" s="4" t="n"/>
      <c r="N36" s="12" t="n"/>
      <c r="O36" s="41" t="n"/>
      <c r="P36" s="4" t="inlineStr">
        <is>
          <t>Confirmed only when AI was actually evaluated/used within the stated workflow or intervention; intended use alone = Proposed only</t>
        </is>
      </c>
      <c r="Q36" s="4">
        <f>IF(COUNTIFS('ESTUDIOS'!$A$2:$A$455,$A36,'ESTUDIOS'!$I$2:$I$455,"")&gt;0,"",INDEX('ESTUDIOS'!$I$2:$I$455,MATCH($A36,'ESTUDIOS'!$A$2:$A$455,0)))</f>
        <v/>
      </c>
    </row>
    <row r="37" ht="47" customHeight="1">
      <c r="A37" s="4" t="inlineStr">
        <is>
          <t>37</t>
        </is>
      </c>
      <c r="B37" s="4" t="inlineStr">
        <is>
          <t>Historical</t>
        </is>
      </c>
      <c r="C37" s="4" t="inlineStr">
        <is>
          <t>Jellyfish Search Optimization with Deep Learning Driven Autism Spectrum Disorder Classification</t>
        </is>
      </c>
      <c r="D37" s="12" t="n"/>
      <c r="E37" s="12" t="n"/>
      <c r="F37" s="12" t="n"/>
      <c r="G37" s="4" t="inlineStr">
        <is>
          <t>Pending classification from source</t>
        </is>
      </c>
      <c r="H37" s="4" t="n">
        <v>1</v>
      </c>
      <c r="I37" s="4" t="inlineStr">
        <is>
          <t>Classification (ASD vs control / multi-class)</t>
        </is>
      </c>
      <c r="J37" s="4" t="str"/>
      <c r="K37" s="4" t="str"/>
      <c r="L37" s="4" t="inlineStr">
        <is>
          <t>https://doi.org/10.32604/cmc.2023.032586</t>
        </is>
      </c>
      <c r="M37" s="4" t="n"/>
      <c r="N37" s="12" t="n"/>
      <c r="O37" s="41" t="n"/>
      <c r="P37" s="4" t="inlineStr">
        <is>
          <t>Confirmed only when AI was actually evaluated/used within the stated workflow or intervention; intended use alone = Proposed only</t>
        </is>
      </c>
      <c r="Q37" s="4">
        <f>IF(COUNTIFS('ESTUDIOS'!$A$2:$A$455,$A37,'ESTUDIOS'!$I$2:$I$455,"")&gt;0,"",INDEX('ESTUDIOS'!$I$2:$I$455,MATCH($A37,'ESTUDIOS'!$A$2:$A$455,0)))</f>
        <v/>
      </c>
    </row>
    <row r="38" ht="47" customHeight="1">
      <c r="A38" s="4" t="inlineStr">
        <is>
          <t>38</t>
        </is>
      </c>
      <c r="B38" s="4" t="inlineStr">
        <is>
          <t>Historical</t>
        </is>
      </c>
      <c r="C38" s="4" t="inlineStr">
        <is>
          <t>Machine learning analysis of pregnancy data enables early identification of a subpopulation of newborns with ASD</t>
        </is>
      </c>
      <c r="D38" s="12" t="n"/>
      <c r="E38" s="12" t="n"/>
      <c r="F38" s="12" t="n"/>
      <c r="G38" s="4" t="inlineStr">
        <is>
          <t>Pending classification from source</t>
        </is>
      </c>
      <c r="H38" s="4" t="n">
        <v>1</v>
      </c>
      <c r="I38" s="4" t="inlineStr">
        <is>
          <t>Classification (ASD vs control / multi-class)</t>
        </is>
      </c>
      <c r="J38" s="4" t="inlineStr">
        <is>
          <t>“Main classifier: Gradient Boosting Decision Trees implemented with XGBoost; feature selection via Lasso (automatic / semi-automatic) + SHAP interpretability; nested CV.</t>
        </is>
      </c>
      <c r="K38" s="4" t="str"/>
      <c r="L38" s="4" t="inlineStr">
        <is>
          <t>https://doi.org/10.1038/s41598-021-86320-0</t>
        </is>
      </c>
      <c r="M38" s="4" t="n"/>
      <c r="N38" s="12" t="n"/>
      <c r="O38" s="41" t="n"/>
      <c r="P38" s="4" t="inlineStr">
        <is>
          <t>Confirmed only when AI was actually evaluated/used within the stated workflow or intervention; intended use alone = Proposed only</t>
        </is>
      </c>
      <c r="Q38" s="4">
        <f>IF(COUNTIFS('ESTUDIOS'!$A$2:$A$455,$A38,'ESTUDIOS'!$I$2:$I$455,"")&gt;0,"",INDEX('ESTUDIOS'!$I$2:$I$455,MATCH($A38,'ESTUDIOS'!$A$2:$A$455,0)))</f>
        <v/>
      </c>
    </row>
    <row r="39" ht="60" customHeight="1">
      <c r="A39" s="4" t="inlineStr">
        <is>
          <t>39</t>
        </is>
      </c>
      <c r="B39" s="4" t="inlineStr">
        <is>
          <t>Historical</t>
        </is>
      </c>
      <c r="C39" s="4" t="inlineStr">
        <is>
          <t>Machine Learning-Based Blood RNA Signature for Diagnosis of Autism Spectrum Disorder</t>
        </is>
      </c>
      <c r="D39" s="12" t="n"/>
      <c r="E39" s="12" t="n"/>
      <c r="F39" s="12" t="n"/>
      <c r="G39" s="4" t="inlineStr">
        <is>
          <t>Pending classification from source</t>
        </is>
      </c>
      <c r="H39" s="4" t="n">
        <v>1</v>
      </c>
      <c r="I39" s="4" t="inlineStr">
        <is>
          <t>Classification (binary/multi-class; incl. ASD vs control)/ multi-class)</t>
        </is>
      </c>
      <c r="J39" s="4" t="inlineStr">
        <is>
          <t>También usan Extra Trees</t>
        </is>
      </c>
      <c r="K39" s="4" t="str"/>
      <c r="L39" s="4" t="inlineStr">
        <is>
          <t>https://doi.org/10.3390/ijms24032082</t>
        </is>
      </c>
      <c r="M39" s="4" t="n"/>
      <c r="N39" s="12" t="n"/>
      <c r="O39" s="41" t="n"/>
      <c r="P39" s="4" t="inlineStr">
        <is>
          <t>Confirmed only when AI was actually evaluated/used within the stated workflow or intervention; intended use alone = Proposed only</t>
        </is>
      </c>
      <c r="Q39" s="4">
        <f>IF(COUNTIFS('ESTUDIOS'!$A$2:$A$455,$A39,'ESTUDIOS'!$I$2:$I$455,"")&gt;0,"",INDEX('ESTUDIOS'!$I$2:$I$455,MATCH($A39,'ESTUDIOS'!$A$2:$A$455,0)))</f>
        <v/>
      </c>
    </row>
    <row r="40" ht="60" customHeight="1">
      <c r="A40" s="4" t="inlineStr">
        <is>
          <t>40</t>
        </is>
      </c>
      <c r="B40" s="4" t="inlineStr">
        <is>
          <t>Historical</t>
        </is>
      </c>
      <c r="C40" s="4" t="inlineStr">
        <is>
          <t>Metabolomic analysis of maternal mid-gestation plasma and cord blood in autism spectrum disorders</t>
        </is>
      </c>
      <c r="D40" s="12" t="n"/>
      <c r="E40" s="12" t="n"/>
      <c r="F40" s="12" t="n"/>
      <c r="G40" s="4" t="inlineStr">
        <is>
          <t>Pending classification from source</t>
        </is>
      </c>
      <c r="H40" s="4" t="n">
        <v>1</v>
      </c>
      <c r="I40" s="4" t="inlineStr">
        <is>
          <t>Classification (binary/multi-class; incl. ASD vs control)/ multi-class)</t>
        </is>
      </c>
      <c r="J40" s="4" t="str"/>
      <c r="K40" s="4" t="str"/>
      <c r="L40" s="4" t="inlineStr">
        <is>
          <t>https://doi.org/10.1038/s41380-023-02051-w</t>
        </is>
      </c>
      <c r="M40" s="4" t="n"/>
      <c r="N40" s="12" t="n"/>
      <c r="O40" s="41" t="n"/>
      <c r="P40" s="4" t="inlineStr">
        <is>
          <t>Confirmed only when AI was actually evaluated/used within the stated workflow or intervention; intended use alone = Proposed only</t>
        </is>
      </c>
      <c r="Q40" s="4">
        <f>IF(COUNTIFS('ESTUDIOS'!$A$2:$A$455,$A40,'ESTUDIOS'!$I$2:$I$455,"")&gt;0,"",INDEX('ESTUDIOS'!$I$2:$I$455,MATCH($A40,'ESTUDIOS'!$A$2:$A$455,0)))</f>
        <v/>
      </c>
    </row>
    <row r="41" ht="47" customHeight="1">
      <c r="A41" s="4" t="inlineStr">
        <is>
          <t>41</t>
        </is>
      </c>
      <c r="B41" s="4" t="inlineStr">
        <is>
          <t>Historical</t>
        </is>
      </c>
      <c r="C41" s="4" t="inlineStr">
        <is>
          <t>Predictors of age at diagnosis in autism spectrum disorders: the use of multiple regression analyses and a classification tree on a clinical sample</t>
        </is>
      </c>
      <c r="D41" s="12" t="n"/>
      <c r="E41" s="12" t="n"/>
      <c r="F41" s="12" t="n"/>
      <c r="G41" s="4" t="inlineStr">
        <is>
          <t>Pending classification from source</t>
        </is>
      </c>
      <c r="H41" s="4" t="n">
        <v>0</v>
      </c>
      <c r="I41" s="4" t="inlineStr">
        <is>
          <t>Regression (score / severity / risk)</t>
        </is>
      </c>
      <c r="J41" s="4" t="inlineStr">
        <is>
          <t>Análisis de predictores de edad al diagnóstico (regresión + árbol); no encaja claramente en una etapa clínica RQ1.</t>
        </is>
      </c>
      <c r="K41" s="4" t="str"/>
      <c r="L41" s="4" t="inlineStr">
        <is>
          <t>https://doi.org/10.1007/s00787-023-02189-6</t>
        </is>
      </c>
      <c r="M41" s="4" t="n"/>
      <c r="N41" s="12" t="n"/>
      <c r="O41" s="41" t="n"/>
      <c r="P41" s="4" t="inlineStr">
        <is>
          <t>Confirmed only when AI was actually evaluated/used within the stated workflow or intervention; intended use alone = Proposed only</t>
        </is>
      </c>
      <c r="Q41" s="4">
        <f>IF(COUNTIFS('ESTUDIOS'!$A$2:$A$455,$A41,'ESTUDIOS'!$I$2:$I$455,"")&gt;0,"",INDEX('ESTUDIOS'!$I$2:$I$455,MATCH($A41,'ESTUDIOS'!$A$2:$A$455,0)))</f>
        <v/>
      </c>
    </row>
    <row r="42" ht="47" customHeight="1">
      <c r="A42" s="4" t="inlineStr">
        <is>
          <t>42</t>
        </is>
      </c>
      <c r="B42" s="4" t="inlineStr">
        <is>
          <t>Historical</t>
        </is>
      </c>
      <c r="C42" s="4" t="inlineStr">
        <is>
          <t>Promoting emotional and behavioral interventions in ASD treatment: Evidence from EPIGRAM, A naturalistic, prospective and longitudinal study</t>
        </is>
      </c>
      <c r="D42" s="12" t="n"/>
      <c r="E42" s="12" t="n"/>
      <c r="F42" s="12" t="n"/>
      <c r="G42" s="4" t="inlineStr">
        <is>
          <t>Pending classification from source</t>
        </is>
      </c>
      <c r="H42" s="4" t="n">
        <v>1</v>
      </c>
      <c r="I42" s="4" t="inlineStr">
        <is>
          <t>Prediction (time-to-event / prognosis)</t>
        </is>
      </c>
      <c r="J42" s="4" t="str"/>
      <c r="K42" s="4" t="str"/>
      <c r="L42" s="4" t="inlineStr">
        <is>
          <t>https://doi.org/10.1016/j.ridd.2024.104688</t>
        </is>
      </c>
      <c r="M42" s="4" t="n"/>
      <c r="N42" s="12" t="n"/>
      <c r="O42" s="41" t="n"/>
      <c r="P42" s="4" t="inlineStr">
        <is>
          <t>Confirmed only when AI was actually evaluated/used within the stated workflow or intervention; intended use alone = Proposed only</t>
        </is>
      </c>
      <c r="Q42" s="4">
        <f>IF(COUNTIFS('ESTUDIOS'!$A$2:$A$455,$A42,'ESTUDIOS'!$I$2:$I$455,"")&gt;0,"",INDEX('ESTUDIOS'!$I$2:$I$455,MATCH($A42,'ESTUDIOS'!$A$2:$A$455,0)))</f>
        <v/>
      </c>
    </row>
    <row r="43" ht="47" customHeight="1">
      <c r="A43" s="4" t="inlineStr">
        <is>
          <t>43</t>
        </is>
      </c>
      <c r="B43" s="4" t="inlineStr">
        <is>
          <t>Historical</t>
        </is>
      </c>
      <c r="C43" s="4" t="inlineStr">
        <is>
          <t>The role of the dopamine system in autism spectrum disorder revealed using machine learning: an ABIDE database–based study</t>
        </is>
      </c>
      <c r="D43" s="12" t="n"/>
      <c r="E43" s="12" t="n"/>
      <c r="F43" s="12" t="n"/>
      <c r="G43" s="4" t="inlineStr">
        <is>
          <t>Pending classification from source</t>
        </is>
      </c>
      <c r="H43" s="4" t="n">
        <v>1</v>
      </c>
      <c r="I43" s="4" t="inlineStr">
        <is>
          <t>Imaging-based diagnostic prediction</t>
        </is>
      </c>
      <c r="J43" s="4" t="inlineStr">
        <is>
          <t>Usa ABIDE; marcar señal multisitio.</t>
        </is>
      </c>
      <c r="K43" s="4" t="inlineStr">
        <is>
          <t>ML evaluates dopamine-system imaging features to predict ASD.</t>
        </is>
      </c>
      <c r="L43" s="4" t="inlineStr">
        <is>
          <t>https://doi.org/10.1093/cercor/bhaf022</t>
        </is>
      </c>
      <c r="M43" s="4" t="n"/>
      <c r="N43" s="12" t="n"/>
      <c r="O43" s="41" t="n"/>
      <c r="P43" s="4" t="inlineStr">
        <is>
          <t>Confirmed only when AI was actually evaluated/used within the stated workflow or intervention; intended use alone = Proposed only</t>
        </is>
      </c>
      <c r="Q43" s="4">
        <f>IF(COUNTIFS('ESTUDIOS'!$A$2:$A$455,$A43,'ESTUDIOS'!$I$2:$I$455,"")&gt;0,"",INDEX('ESTUDIOS'!$I$2:$I$455,MATCH($A43,'ESTUDIOS'!$A$2:$A$455,0)))</f>
        <v/>
      </c>
    </row>
    <row r="44" ht="47" customHeight="1">
      <c r="A44" s="4" t="inlineStr">
        <is>
          <t>44</t>
        </is>
      </c>
      <c r="B44" s="4" t="inlineStr">
        <is>
          <t>Historical</t>
        </is>
      </c>
      <c r="C44" s="4" t="inlineStr">
        <is>
          <t>Using Artificial Intelligence to Identify Factors Associated with Autism Spectrum Disorder in Adolescents with Cerebral Palsy</t>
        </is>
      </c>
      <c r="D44" s="12" t="n"/>
      <c r="E44" s="12" t="n"/>
      <c r="F44" s="12" t="n"/>
      <c r="G44" s="4" t="inlineStr">
        <is>
          <t>Pending classification from source</t>
        </is>
      </c>
      <c r="H44" s="4" t="n">
        <v>1</v>
      </c>
      <c r="I44" s="4" t="inlineStr">
        <is>
          <t>Classification (ASD vs control / multi-class)</t>
        </is>
      </c>
      <c r="J44" s="4" t="inlineStr">
        <is>
          <t>Modelo predictivo con variables clínicas para identificar adolescentes con CP en riesgo de ASD.</t>
        </is>
      </c>
      <c r="K44" s="4" t="str"/>
      <c r="L44" s="4" t="inlineStr">
        <is>
          <t>https://doi.org/10.1055/s-0039-1685525</t>
        </is>
      </c>
      <c r="M44" s="4" t="n"/>
      <c r="N44" s="12" t="n"/>
      <c r="O44" s="41" t="n"/>
      <c r="P44" s="4" t="inlineStr">
        <is>
          <t>Confirmed only when AI was actually evaluated/used within the stated workflow or intervention; intended use alone = Proposed only</t>
        </is>
      </c>
      <c r="Q44" s="4">
        <f>IF(COUNTIFS('ESTUDIOS'!$A$2:$A$455,$A44,'ESTUDIOS'!$I$2:$I$455,"")&gt;0,"",INDEX('ESTUDIOS'!$I$2:$I$455,MATCH($A44,'ESTUDIOS'!$A$2:$A$455,0)))</f>
        <v/>
      </c>
    </row>
    <row r="45" ht="47" customHeight="1">
      <c r="A45" s="4" t="inlineStr">
        <is>
          <t>45</t>
        </is>
      </c>
      <c r="B45" s="4" t="inlineStr">
        <is>
          <t>Historical</t>
        </is>
      </c>
      <c r="C45" s="4" t="inlineStr">
        <is>
          <t>Using resting state functional MRI to build a personalized autism diagnosis system</t>
        </is>
      </c>
      <c r="D45" s="12" t="n"/>
      <c r="E45" s="12" t="n"/>
      <c r="F45" s="12" t="n"/>
      <c r="G45" s="4" t="inlineStr">
        <is>
          <t>Pending classification from source</t>
        </is>
      </c>
      <c r="H45" s="4" t="n">
        <v>1</v>
      </c>
      <c r="I45" s="4" t="inlineStr">
        <is>
          <t>Classification (ASD vs control / multi-class)</t>
        </is>
      </c>
      <c r="J45" s="4" t="str"/>
      <c r="K45" s="4" t="str"/>
      <c r="L45" s="4" t="inlineStr">
        <is>
          <t>https://doi.org/10.1371/journal.pone.0206351</t>
        </is>
      </c>
      <c r="M45" s="4" t="n"/>
      <c r="N45" s="12" t="n"/>
      <c r="O45" s="41" t="n"/>
      <c r="P45" s="4" t="inlineStr">
        <is>
          <t>Confirmed only when AI was actually evaluated/used within the stated workflow or intervention; intended use alone = Proposed only</t>
        </is>
      </c>
      <c r="Q45" s="4">
        <f>IF(COUNTIFS('ESTUDIOS'!$A$2:$A$455,$A45,'ESTUDIOS'!$I$2:$I$455,"")&gt;0,"",INDEX('ESTUDIOS'!$I$2:$I$455,MATCH($A45,'ESTUDIOS'!$A$2:$A$455,0)))</f>
        <v/>
      </c>
    </row>
    <row r="46" ht="47" customHeight="1">
      <c r="A46" s="4" t="inlineStr">
        <is>
          <t>46</t>
        </is>
      </c>
      <c r="B46" s="4" t="inlineStr">
        <is>
          <t>Historical</t>
        </is>
      </c>
      <c r="C46" s="4" t="inlineStr">
        <is>
          <t>A Model to Support the Prediction of Indicators in the Diagnosis and Intervention of Autism Spectrum Disorder</t>
        </is>
      </c>
      <c r="D46" s="12" t="n"/>
      <c r="E46" s="12" t="n"/>
      <c r="F46" s="12" t="n"/>
      <c r="G46" s="4" t="inlineStr">
        <is>
          <t>Pending classification from source</t>
        </is>
      </c>
      <c r="H46" s="4" t="n">
        <v>1</v>
      </c>
      <c r="I46" s="4" t="inlineStr">
        <is>
          <t>Classification (ASD vs control / multi-class)</t>
        </is>
      </c>
      <c r="J46" s="4" t="inlineStr">
        <is>
          <t>Proyecto en curso basado en conversaciones/escritura para apoyar indicadores diagnósticos/intervención; confirmar arquitectura final.</t>
        </is>
      </c>
      <c r="K46" s="4" t="str"/>
      <c r="L46" s="4" t="inlineStr">
        <is>
          <t>https://doi.org/10.1007/978-3-031-48642-5_7</t>
        </is>
      </c>
      <c r="M46" s="4" t="n"/>
      <c r="N46" s="12" t="n"/>
      <c r="O46" s="41" t="n"/>
      <c r="P46" s="4" t="inlineStr">
        <is>
          <t>Confirmed only when AI was actually evaluated/used within the stated workflow or intervention; intended use alone = Proposed only</t>
        </is>
      </c>
      <c r="Q46" s="4">
        <f>IF(COUNTIFS('ESTUDIOS'!$A$2:$A$455,$A46,'ESTUDIOS'!$I$2:$I$455,"")&gt;0,"",INDEX('ESTUDIOS'!$I$2:$I$455,MATCH($A46,'ESTUDIOS'!$A$2:$A$455,0)))</f>
        <v/>
      </c>
    </row>
    <row r="47" ht="60" customHeight="1">
      <c r="A47" s="4" t="inlineStr">
        <is>
          <t>47</t>
        </is>
      </c>
      <c r="B47" s="4" t="inlineStr">
        <is>
          <t>Historical</t>
        </is>
      </c>
      <c r="C47" s="4" t="inlineStr">
        <is>
          <t>A novel multi-modal model to assist the diagnosis of autism spectrum disorder using eye-tracking data</t>
        </is>
      </c>
      <c r="D47" s="12" t="n"/>
      <c r="E47" s="12" t="n"/>
      <c r="F47" s="12" t="n"/>
      <c r="G47" s="4" t="inlineStr">
        <is>
          <t>Pending classification from source</t>
        </is>
      </c>
      <c r="H47" s="4" t="n">
        <v>1</v>
      </c>
      <c r="I47" s="4" t="inlineStr">
        <is>
          <t>Classification (binary/multi-class; incl. ASD vs control)/ multi-class)</t>
        </is>
      </c>
      <c r="J47" s="4" t="inlineStr">
        <is>
          <t>Hybrid CNN-GRU-ANN; mapped to RNN/LSTM/GRU as main due to temporal sequence modeling</t>
        </is>
      </c>
      <c r="K47" s="4" t="str"/>
      <c r="L47" s="4" t="inlineStr">
        <is>
          <t>https://doi.org/10.1007/s13755-024-00299-2</t>
        </is>
      </c>
      <c r="M47" s="4" t="n"/>
      <c r="N47" s="12" t="n"/>
      <c r="O47" s="41" t="n"/>
      <c r="P47" s="4" t="inlineStr">
        <is>
          <t>Confirmed only when AI was actually evaluated/used within the stated workflow or intervention; intended use alone = Proposed only</t>
        </is>
      </c>
      <c r="Q47" s="4">
        <f>IF(COUNTIFS('ESTUDIOS'!$A$2:$A$455,$A47,'ESTUDIOS'!$I$2:$I$455,"")&gt;0,"",INDEX('ESTUDIOS'!$I$2:$I$455,MATCH($A47,'ESTUDIOS'!$A$2:$A$455,0)))</f>
        <v/>
      </c>
    </row>
    <row r="48" ht="47" customHeight="1">
      <c r="A48" s="4" t="inlineStr">
        <is>
          <t>48</t>
        </is>
      </c>
      <c r="B48" s="4" t="inlineStr">
        <is>
          <t>Historical</t>
        </is>
      </c>
      <c r="C48" s="4" t="inlineStr">
        <is>
          <t>A randomized controlled trial of 25 sessions comparing music therapy and music listening for children with autism spectrum disorder</t>
        </is>
      </c>
      <c r="D48" s="12" t="n"/>
      <c r="E48" s="12" t="n"/>
      <c r="F48" s="12" t="n"/>
      <c r="G48" s="4" t="inlineStr">
        <is>
          <t>Pending classification from source</t>
        </is>
      </c>
      <c r="H48" s="4" t="n">
        <v>0</v>
      </c>
      <c r="I48" s="4" t="inlineStr">
        <is>
          <t>Classification (ASD vs control / multi-class)</t>
        </is>
      </c>
      <c r="J48" s="4" t="inlineStr">
        <is>
          <t>Posible desajuste título-abstract; el abstract describe detección por eye-tracking temporal.</t>
        </is>
      </c>
      <c r="K48" s="4" t="str"/>
      <c r="L48" s="4" t="inlineStr">
        <is>
          <t>https://doi.org/10.1016/j.psychres.2020.113377</t>
        </is>
      </c>
      <c r="M48" s="4" t="n"/>
      <c r="N48" s="12" t="n"/>
      <c r="O48" s="41" t="n"/>
      <c r="P48" s="4" t="inlineStr">
        <is>
          <t>Confirmed only when AI was actually evaluated/used within the stated workflow or intervention; intended use alone = Proposed only</t>
        </is>
      </c>
      <c r="Q48" s="4">
        <f>IF(COUNTIFS('ESTUDIOS'!$A$2:$A$455,$A48,'ESTUDIOS'!$I$2:$I$455,"")&gt;0,"",INDEX('ESTUDIOS'!$I$2:$I$455,MATCH($A48,'ESTUDIOS'!$A$2:$A$455,0)))</f>
        <v/>
      </c>
    </row>
    <row r="49" ht="60" customHeight="1">
      <c r="A49" s="4" t="inlineStr">
        <is>
          <t>49</t>
        </is>
      </c>
      <c r="B49" s="4" t="inlineStr">
        <is>
          <t>Historical</t>
        </is>
      </c>
      <c r="C49" s="4" t="inlineStr">
        <is>
          <t>A Triple-Pooling Graph Neural Network for\&amp;#xa0;Multi-scale Topological Learning of\&amp;#xa0;Brain Functional Connectivity: Application to\&amp;#xa0;ASD Diagnosis</t>
        </is>
      </c>
      <c r="D49" s="12" t="n"/>
      <c r="E49" s="12" t="n"/>
      <c r="F49" s="12" t="n"/>
      <c r="G49" s="4" t="inlineStr">
        <is>
          <t>Pending classification from source</t>
        </is>
      </c>
      <c r="H49" s="4" t="n">
        <v>1</v>
      </c>
      <c r="I49" s="4" t="inlineStr">
        <is>
          <t>Classification (binary/multi-class; incl. ASD vs control)/ multi-class)</t>
        </is>
      </c>
      <c r="J49" s="4" t="inlineStr">
        <is>
          <t>Graph Neural Network (TPGNN) for rs-fMRI functional connectivity; mapped to Other (GNN not in list)</t>
        </is>
      </c>
      <c r="K49" s="4" t="str"/>
      <c r="L49" s="4" t="inlineStr">
        <is>
          <t>https://doi.org/10.1007/978-3-030-93049-3_30</t>
        </is>
      </c>
      <c r="M49" s="4" t="n"/>
      <c r="N49" s="12" t="n"/>
      <c r="O49" s="41" t="n"/>
      <c r="P49" s="4" t="inlineStr">
        <is>
          <t>Confirmed only when AI was actually evaluated/used within the stated workflow or intervention; intended use alone = Proposed only</t>
        </is>
      </c>
      <c r="Q49" s="4">
        <f>IF(COUNTIFS('ESTUDIOS'!$A$2:$A$455,$A49,'ESTUDIOS'!$I$2:$I$455,"")&gt;0,"",INDEX('ESTUDIOS'!$I$2:$I$455,MATCH($A49,'ESTUDIOS'!$A$2:$A$455,0)))</f>
        <v/>
      </c>
    </row>
    <row r="50" ht="47" customHeight="1">
      <c r="A50" s="4" t="inlineStr">
        <is>
          <t>51</t>
        </is>
      </c>
      <c r="B50" s="4" t="inlineStr">
        <is>
          <t>Historical</t>
        </is>
      </c>
      <c r="C50" s="4" t="inlineStr">
        <is>
          <t>Bilinear Perceptual Fusion Algorithm Based on Brain Functional and Structural Data for ASD Diagnosis and Regions of Interest Identification</t>
        </is>
      </c>
      <c r="D50" s="12" t="n"/>
      <c r="E50" s="12" t="n"/>
      <c r="F50" s="12" t="n"/>
      <c r="G50" s="4" t="inlineStr">
        <is>
          <t>Pending classification from source</t>
        </is>
      </c>
      <c r="H50" s="4" t="n">
        <v>1</v>
      </c>
      <c r="I50" s="4" t="inlineStr">
        <is>
          <t>Classification (ASD vs control / multi-class)</t>
        </is>
      </c>
      <c r="J50" s="4" t="inlineStr">
        <is>
          <t>Fusión multimodal de datos cerebrales estructurales/funcionales; arquitectura GCN fuera del codebook.</t>
        </is>
      </c>
      <c r="K50" s="4" t="str"/>
      <c r="L50" s="4" t="inlineStr">
        <is>
          <t>https://doi.org/10.1007/s12539-024-00651-w</t>
        </is>
      </c>
      <c r="M50" s="4" t="n"/>
      <c r="N50" s="12" t="n"/>
      <c r="O50" s="41" t="n"/>
      <c r="P50" s="4" t="inlineStr">
        <is>
          <t>Confirmed only when AI was actually evaluated/used within the stated workflow or intervention; intended use alone = Proposed only</t>
        </is>
      </c>
      <c r="Q50" s="4">
        <f>IF(COUNTIFS('ESTUDIOS'!$A$2:$A$455,$A50,'ESTUDIOS'!$I$2:$I$455,"")&gt;0,"",INDEX('ESTUDIOS'!$I$2:$I$455,MATCH($A50,'ESTUDIOS'!$A$2:$A$455,0)))</f>
        <v/>
      </c>
    </row>
    <row r="51" ht="47" customHeight="1">
      <c r="A51" s="4" t="inlineStr">
        <is>
          <t>52</t>
        </is>
      </c>
      <c r="B51" s="4" t="inlineStr">
        <is>
          <t>Historical</t>
        </is>
      </c>
      <c r="C51" s="4" t="inlineStr">
        <is>
          <t>Computer-aided diagnosis of autism spectrum disorder from EEG signals using deep learning with FAWT and multiscale permutation entropy features</t>
        </is>
      </c>
      <c r="D51" s="12" t="n"/>
      <c r="E51" s="12" t="n"/>
      <c r="F51" s="12" t="n"/>
      <c r="G51" s="4" t="inlineStr">
        <is>
          <t>Pending classification from source</t>
        </is>
      </c>
      <c r="H51" s="4" t="n">
        <v>1</v>
      </c>
      <c r="I51" s="4" t="inlineStr">
        <is>
          <t>Classification (ASD vs control / multi-class)</t>
        </is>
      </c>
      <c r="J51" s="4" t="str"/>
      <c r="K51" s="4" t="str"/>
      <c r="L51" s="4" t="inlineStr">
        <is>
          <t>https://doi.org/10.1177/09544119221141751</t>
        </is>
      </c>
      <c r="M51" s="4" t="n"/>
      <c r="N51" s="12" t="n"/>
      <c r="O51" s="41" t="n"/>
      <c r="P51" s="4" t="inlineStr">
        <is>
          <t>Confirmed only when AI was actually evaluated/used within the stated workflow or intervention; intended use alone = Proposed only</t>
        </is>
      </c>
      <c r="Q51" s="4">
        <f>IF(COUNTIFS('ESTUDIOS'!$A$2:$A$455,$A51,'ESTUDIOS'!$I$2:$I$455,"")&gt;0,"",INDEX('ESTUDIOS'!$I$2:$I$455,MATCH($A51,'ESTUDIOS'!$A$2:$A$455,0)))</f>
        <v/>
      </c>
    </row>
    <row r="52" ht="47" customHeight="1">
      <c r="A52" s="4" t="inlineStr">
        <is>
          <t>53</t>
        </is>
      </c>
      <c r="B52" s="4" t="inlineStr">
        <is>
          <t>Historical</t>
        </is>
      </c>
      <c r="C52" s="4" t="inlineStr">
        <is>
          <t>Development and validation of a machine learning-based tool to predict autism among children</t>
        </is>
      </c>
      <c r="D52" s="12" t="n"/>
      <c r="E52" s="12" t="n"/>
      <c r="F52" s="12" t="n"/>
      <c r="G52" s="4" t="inlineStr">
        <is>
          <t>Pending classification from source</t>
        </is>
      </c>
      <c r="H52" s="4" t="n">
        <v>1</v>
      </c>
      <c r="I52" s="4" t="inlineStr">
        <is>
          <t>Prediction (time-to-event / prognosis)</t>
        </is>
      </c>
      <c r="J52" s="4" t="inlineStr">
        <is>
          <t>También entrenan Gradient Boosted Trees (XGBoost/GBDT) y reportan desempeño comparable en validación.</t>
        </is>
      </c>
      <c r="K52" s="4" t="str"/>
      <c r="L52" s="4" t="inlineStr">
        <is>
          <t>https://doi.org/10.1002/aur.2912</t>
        </is>
      </c>
      <c r="M52" s="4" t="n"/>
      <c r="N52" s="12" t="n"/>
      <c r="O52" s="41" t="n"/>
      <c r="P52" s="4" t="inlineStr">
        <is>
          <t>Confirmed only when AI was actually evaluated/used within the stated workflow or intervention; intended use alone = Proposed only</t>
        </is>
      </c>
      <c r="Q52" s="4">
        <f>IF(COUNTIFS('ESTUDIOS'!$A$2:$A$455,$A52,'ESTUDIOS'!$I$2:$I$455,"")&gt;0,"",INDEX('ESTUDIOS'!$I$2:$I$455,MATCH($A52,'ESTUDIOS'!$A$2:$A$455,0)))</f>
        <v/>
      </c>
    </row>
    <row r="53" ht="60" customHeight="1">
      <c r="A53" s="4" t="inlineStr">
        <is>
          <t>54</t>
        </is>
      </c>
      <c r="B53" s="4" t="inlineStr">
        <is>
          <t>Historical</t>
        </is>
      </c>
      <c r="C53" s="4" t="inlineStr">
        <is>
          <t>Diagnostic classification of intrinsic functional connectivity highlights somatosensory, default mode, and visual regions in autism</t>
        </is>
      </c>
      <c r="D53" s="12" t="n"/>
      <c r="E53" s="12" t="n"/>
      <c r="F53" s="12" t="n"/>
      <c r="G53" s="4" t="inlineStr">
        <is>
          <t>Pending classification from source</t>
        </is>
      </c>
      <c r="H53" s="4" t="n">
        <v>1</v>
      </c>
      <c r="I53" s="4" t="inlineStr">
        <is>
          <t>Classification (binary/multi-class; incl. ASD vs control)/ multi-class)</t>
        </is>
      </c>
      <c r="J53" s="4" t="str"/>
      <c r="K53" s="4" t="str"/>
      <c r="L53" s="4" t="inlineStr">
        <is>
          <t>https://doi.org/10.1016/j.nicl.2015.04.002</t>
        </is>
      </c>
      <c r="M53" s="4" t="n"/>
      <c r="N53" s="12" t="n"/>
      <c r="O53" s="41" t="n"/>
      <c r="P53" s="4" t="inlineStr">
        <is>
          <t>Confirmed only when AI was actually evaluated/used within the stated workflow or intervention; intended use alone = Proposed only</t>
        </is>
      </c>
      <c r="Q53" s="4">
        <f>IF(COUNTIFS('ESTUDIOS'!$A$2:$A$455,$A53,'ESTUDIOS'!$I$2:$I$455,"")&gt;0,"",INDEX('ESTUDIOS'!$I$2:$I$455,MATCH($A53,'ESTUDIOS'!$A$2:$A$455,0)))</f>
        <v/>
      </c>
    </row>
    <row r="54" ht="47" customHeight="1">
      <c r="A54" s="4" t="inlineStr">
        <is>
          <t>56</t>
        </is>
      </c>
      <c r="B54" s="4" t="inlineStr">
        <is>
          <t>Historical</t>
        </is>
      </c>
      <c r="C54" s="4" t="inlineStr">
        <is>
          <t>Epigenomic signatures reveal mechanistic clues and predictive markers for autism spectrum disorder</t>
        </is>
      </c>
      <c r="D54" s="12" t="n"/>
      <c r="E54" s="12" t="n"/>
      <c r="F54" s="12" t="n"/>
      <c r="G54" s="4" t="inlineStr">
        <is>
          <t>Pending classification from source</t>
        </is>
      </c>
      <c r="H54" s="4" t="n">
        <v>0</v>
      </c>
      <c r="I54" s="4" t="n"/>
      <c r="J54" s="4" t="inlineStr">
        <is>
          <t>Sin señal explícita Q3 en título/abstract.</t>
        </is>
      </c>
      <c r="K54" s="4" t="inlineStr">
        <is>
          <t>Epigenomic/mechanistic biomarker review or marker study; no operational AI clinical decision workflow.</t>
        </is>
      </c>
      <c r="L54" s="4" t="inlineStr">
        <is>
          <t>https://doi.org/10.1038/s41380-022-01917-9</t>
        </is>
      </c>
      <c r="M54" s="4" t="n"/>
      <c r="N54" s="12" t="n"/>
      <c r="O54" s="41" t="n"/>
      <c r="P54" s="4" t="inlineStr">
        <is>
          <t>Confirmed only when AI was actually evaluated/used within the stated workflow or intervention; intended use alone = Proposed only</t>
        </is>
      </c>
      <c r="Q54" s="4">
        <f>IF(COUNTIFS('ESTUDIOS'!$A$2:$A$455,$A54,'ESTUDIOS'!$I$2:$I$455,"")&gt;0,"",INDEX('ESTUDIOS'!$I$2:$I$455,MATCH($A54,'ESTUDIOS'!$A$2:$A$455,0)))</f>
        <v/>
      </c>
    </row>
    <row r="55" ht="60" customHeight="1">
      <c r="A55" s="4" t="inlineStr">
        <is>
          <t>57</t>
        </is>
      </c>
      <c r="B55" s="4" t="inlineStr">
        <is>
          <t>Historical</t>
        </is>
      </c>
      <c r="C55" s="4" t="inlineStr">
        <is>
          <t>Evaluation and benchmarking of hybrid machine learning models for autism spectrum disorder diagnosis using a 2-tuple linguistic neutrosophic fuzzy sets-based decision-making model</t>
        </is>
      </c>
      <c r="D55" s="12" t="n"/>
      <c r="E55" s="12" t="n"/>
      <c r="F55" s="12" t="n"/>
      <c r="G55" s="4" t="inlineStr">
        <is>
          <t>Pending classification from source</t>
        </is>
      </c>
      <c r="H55" s="4" t="n">
        <v>1</v>
      </c>
      <c r="I55" s="4" t="inlineStr">
        <is>
          <t>Classification (ASD vs control / multi-class)</t>
        </is>
      </c>
      <c r="J55" s="4" t="inlineStr">
        <is>
          <t>Algoritmo principal no explícito o fuera del codebook; Confirmar algoritmo principal en full-text; Se comparan varios modelos; se eligió el principal/mejor reportado</t>
        </is>
      </c>
      <c r="K55" s="4" t="str"/>
      <c r="L55" s="4" t="inlineStr">
        <is>
          <t>https://doi.org/10.1007/s00521-024-09905-6</t>
        </is>
      </c>
      <c r="M55" s="4" t="n"/>
      <c r="N55" s="12" t="n"/>
      <c r="O55" s="41" t="n"/>
      <c r="P55" s="4" t="inlineStr">
        <is>
          <t>Confirmed only when AI was actually evaluated/used within the stated workflow or intervention; intended use alone = Proposed only</t>
        </is>
      </c>
      <c r="Q55" s="4">
        <f>IF(COUNTIFS('ESTUDIOS'!$A$2:$A$455,$A55,'ESTUDIOS'!$I$2:$I$455,"")&gt;0,"",INDEX('ESTUDIOS'!$I$2:$I$455,MATCH($A55,'ESTUDIOS'!$A$2:$A$455,0)))</f>
        <v/>
      </c>
    </row>
    <row r="56" ht="47" customHeight="1">
      <c r="A56" s="4" t="inlineStr">
        <is>
          <t>58</t>
        </is>
      </c>
      <c r="B56" s="4" t="inlineStr">
        <is>
          <t>Historical</t>
        </is>
      </c>
      <c r="C56" s="4" t="inlineStr">
        <is>
          <t>Event Related Potential Analysis Using Machine Learning to Predict Diagnostic Outcome of Autism Spectrum Disorder</t>
        </is>
      </c>
      <c r="D56" s="12" t="n"/>
      <c r="E56" s="12" t="n"/>
      <c r="F56" s="12" t="n"/>
      <c r="G56" s="4" t="inlineStr">
        <is>
          <t>Pending classification from source</t>
        </is>
      </c>
      <c r="H56" s="4" t="n">
        <v>1</v>
      </c>
      <c r="I56" s="4" t="inlineStr">
        <is>
          <t>Prediction (time-to-event / prognosis)</t>
        </is>
      </c>
      <c r="J56" s="4" t="str"/>
      <c r="K56" s="4" t="str"/>
      <c r="L56" s="4" t="inlineStr">
        <is>
          <t>https://doi.org/10.1007/978-3-030-88163-4_7</t>
        </is>
      </c>
      <c r="M56" s="4" t="n"/>
      <c r="N56" s="12" t="n"/>
      <c r="O56" s="41" t="n"/>
      <c r="P56" s="4" t="inlineStr">
        <is>
          <t>Confirmed only when AI was actually evaluated/used within the stated workflow or intervention; intended use alone = Proposed only</t>
        </is>
      </c>
      <c r="Q56" s="4">
        <f>IF(COUNTIFS('ESTUDIOS'!$A$2:$A$455,$A56,'ESTUDIOS'!$I$2:$I$455,"")&gt;0,"",INDEX('ESTUDIOS'!$I$2:$I$455,MATCH($A56,'ESTUDIOS'!$A$2:$A$455,0)))</f>
        <v/>
      </c>
    </row>
    <row r="57" ht="60" customHeight="1">
      <c r="A57" s="4" t="inlineStr">
        <is>
          <t>59</t>
        </is>
      </c>
      <c r="B57" s="4" t="inlineStr">
        <is>
          <t>Historical</t>
        </is>
      </c>
      <c r="C57" s="4" t="inlineStr">
        <is>
          <t>Functional Connectivities Are More Informative Than Anatomical Variables in Diagnostic Classification of Autism</t>
        </is>
      </c>
      <c r="D57" s="12" t="n"/>
      <c r="E57" s="12" t="n"/>
      <c r="F57" s="12" t="n"/>
      <c r="G57" s="4" t="inlineStr">
        <is>
          <t>Pending classification from source</t>
        </is>
      </c>
      <c r="H57" s="4" t="n">
        <v>1</v>
      </c>
      <c r="I57" s="4" t="inlineStr">
        <is>
          <t>Classification (binary/multi-class; incl. ASD vs control)/ multi-class)</t>
        </is>
      </c>
      <c r="J57" s="4" t="str"/>
      <c r="K57" s="4" t="str"/>
      <c r="L57" s="4" t="inlineStr">
        <is>
          <t>https://doi.org/10.1089/brain.2019.0689</t>
        </is>
      </c>
      <c r="M57" s="4" t="n"/>
      <c r="N57" s="12" t="n"/>
      <c r="O57" s="41" t="n"/>
      <c r="P57" s="4" t="inlineStr">
        <is>
          <t>Confirmed only when AI was actually evaluated/used within the stated workflow or intervention; intended use alone = Proposed only</t>
        </is>
      </c>
      <c r="Q57" s="4">
        <f>IF(COUNTIFS('ESTUDIOS'!$A$2:$A$455,$A57,'ESTUDIOS'!$I$2:$I$455,"")&gt;0,"",INDEX('ESTUDIOS'!$I$2:$I$455,MATCH($A57,'ESTUDIOS'!$A$2:$A$455,0)))</f>
        <v/>
      </c>
    </row>
    <row r="58" ht="47" customHeight="1">
      <c r="A58" s="4" t="inlineStr">
        <is>
          <t>60</t>
        </is>
      </c>
      <c r="B58" s="4" t="inlineStr">
        <is>
          <t>Historical</t>
        </is>
      </c>
      <c r="C58" s="4" t="inlineStr">
        <is>
          <t>Hyperuricemia and Metabolic Adverse Effect in Children and Adolescents with Autism Spectrum Disorder Treated with Risperidone</t>
        </is>
      </c>
      <c r="D58" s="12" t="n"/>
      <c r="E58" s="12" t="n"/>
      <c r="F58" s="12" t="n"/>
      <c r="G58" s="4" t="inlineStr">
        <is>
          <t>Pending classification from source</t>
        </is>
      </c>
      <c r="H58" s="4" t="n">
        <v>0</v>
      </c>
      <c r="I58" s="4" t="inlineStr">
        <is>
          <t>Regression (score / severity / risk)</t>
        </is>
      </c>
      <c r="J58" s="4" t="inlineStr">
        <is>
          <t>Estudio principalmente clínico/estadístico sobre efectos metabólicos de risperidona; relevancia de IA ambigua.</t>
        </is>
      </c>
      <c r="K58" s="4" t="str"/>
      <c r="L58" s="4" t="inlineStr">
        <is>
          <t>https://doi.org/10.1016/j.eurpsy.2017.02.198</t>
        </is>
      </c>
      <c r="M58" s="4" t="n"/>
      <c r="N58" s="12" t="n"/>
      <c r="O58" s="41" t="n"/>
      <c r="P58" s="4" t="inlineStr">
        <is>
          <t>Confirmed only when AI was actually evaluated/used within the stated workflow or intervention; intended use alone = Proposed only</t>
        </is>
      </c>
      <c r="Q58" s="4">
        <f>IF(COUNTIFS('ESTUDIOS'!$A$2:$A$455,$A58,'ESTUDIOS'!$I$2:$I$455,"")&gt;0,"",INDEX('ESTUDIOS'!$I$2:$I$455,MATCH($A58,'ESTUDIOS'!$A$2:$A$455,0)))</f>
        <v/>
      </c>
    </row>
    <row r="59" ht="60" customHeight="1">
      <c r="A59" s="4" t="inlineStr">
        <is>
          <t>61</t>
        </is>
      </c>
      <c r="B59" s="4" t="inlineStr">
        <is>
          <t>Historical</t>
        </is>
      </c>
      <c r="C59" s="4" t="inlineStr">
        <is>
          <t>Identifying Visual Attention Features Accurately Discerning Between Autism and Typically Developing: a Deep Learning Framework</t>
        </is>
      </c>
      <c r="D59" s="12" t="n"/>
      <c r="E59" s="12" t="n"/>
      <c r="F59" s="12" t="n"/>
      <c r="G59" s="4" t="inlineStr">
        <is>
          <t>Pending classification from source</t>
        </is>
      </c>
      <c r="H59" s="4" t="n">
        <v>1</v>
      </c>
      <c r="I59" s="4" t="inlineStr">
        <is>
          <t>Classification (binary/multi-class; incl. ASD vs control)/ multi-class)</t>
        </is>
      </c>
      <c r="J59" s="4" t="str"/>
      <c r="K59" s="4" t="str"/>
      <c r="L59" s="4" t="inlineStr">
        <is>
          <t>https://doi.org/10.1007/s12539-022-00510-6</t>
        </is>
      </c>
      <c r="M59" s="4" t="n"/>
      <c r="N59" s="12" t="n"/>
      <c r="O59" s="41" t="n"/>
      <c r="P59" s="4" t="inlineStr">
        <is>
          <t>Confirmed only when AI was actually evaluated/used within the stated workflow or intervention; intended use alone = Proposed only</t>
        </is>
      </c>
      <c r="Q59" s="4">
        <f>IF(COUNTIFS('ESTUDIOS'!$A$2:$A$455,$A59,'ESTUDIOS'!$I$2:$I$455,"")&gt;0,"",INDEX('ESTUDIOS'!$I$2:$I$455,MATCH($A59,'ESTUDIOS'!$A$2:$A$455,0)))</f>
        <v/>
      </c>
    </row>
    <row r="60" ht="47" customHeight="1">
      <c r="A60" s="4" t="inlineStr">
        <is>
          <t>62</t>
        </is>
      </c>
      <c r="B60" s="4" t="inlineStr">
        <is>
          <t>Historical</t>
        </is>
      </c>
      <c r="C60" s="4" t="inlineStr">
        <is>
          <t>Impact of DRD2 polymorphisms on prolactin level in risperidone-treated Thai children and adolescent with autism spectrum disorders</t>
        </is>
      </c>
      <c r="D60" s="12" t="n"/>
      <c r="E60" s="12" t="n"/>
      <c r="F60" s="12" t="n"/>
      <c r="G60" s="4" t="inlineStr">
        <is>
          <t>Pending classification from source</t>
        </is>
      </c>
      <c r="H60" s="4" t="n">
        <v>1</v>
      </c>
      <c r="I60" s="4" t="inlineStr">
        <is>
          <t>Other / Not clear</t>
        </is>
      </c>
      <c r="J60" s="4" t="inlineStr">
        <is>
          <t>Estudio farmacogenético de prolactina en tratamiento con risperidona; uso de IA/ML no claramente descrito.</t>
        </is>
      </c>
      <c r="K60" s="4" t="str"/>
      <c r="L60" s="4" t="inlineStr">
        <is>
          <t>https://doi.org/10.1016/j.eurpsy.2016.01.060</t>
        </is>
      </c>
      <c r="M60" s="4" t="n"/>
      <c r="N60" s="12" t="n"/>
      <c r="O60" s="41" t="n"/>
      <c r="P60" s="4" t="inlineStr">
        <is>
          <t>Confirmed only when AI was actually evaluated/used within the stated workflow or intervention; intended use alone = Proposed only</t>
        </is>
      </c>
      <c r="Q60" s="4">
        <f>IF(COUNTIFS('ESTUDIOS'!$A$2:$A$455,$A60,'ESTUDIOS'!$I$2:$I$455,"")&gt;0,"",INDEX('ESTUDIOS'!$I$2:$I$455,MATCH($A60,'ESTUDIOS'!$A$2:$A$455,0)))</f>
        <v/>
      </c>
    </row>
    <row r="61" ht="47" customHeight="1">
      <c r="A61" s="4" t="inlineStr">
        <is>
          <t>63</t>
        </is>
      </c>
      <c r="B61" s="4" t="inlineStr">
        <is>
          <t>Historical</t>
        </is>
      </c>
      <c r="C61" s="4" t="inlineStr">
        <is>
          <t>Improving fMRI-Based Autism Severity Identification via Brain Network Distance and Adaptive Label Distribution Learning</t>
        </is>
      </c>
      <c r="D61" s="12" t="n"/>
      <c r="E61" s="12" t="n"/>
      <c r="F61" s="12" t="n"/>
      <c r="G61" s="4" t="inlineStr">
        <is>
          <t>Pending classification from source</t>
        </is>
      </c>
      <c r="H61" s="4" t="n">
        <v>1</v>
      </c>
      <c r="I61" s="4" t="inlineStr">
        <is>
          <t>Regression (score / severity / risk)</t>
        </is>
      </c>
      <c r="J61" s="4" t="inlineStr">
        <is>
          <t>Algoritmo principal no explícito o fuera del codebook; Confirmar algoritmo principal en full-text</t>
        </is>
      </c>
      <c r="K61" s="4" t="str"/>
      <c r="L61" s="4" t="inlineStr">
        <is>
          <t>https://doi.org/10.1109/tnsre.2024.3516216</t>
        </is>
      </c>
      <c r="M61" s="4" t="n"/>
      <c r="N61" s="12" t="n"/>
      <c r="O61" s="41" t="n"/>
      <c r="P61" s="4" t="inlineStr">
        <is>
          <t>Confirmed only when AI was actually evaluated/used within the stated workflow or intervention; intended use alone = Proposed only</t>
        </is>
      </c>
      <c r="Q61" s="4">
        <f>IF(COUNTIFS('ESTUDIOS'!$A$2:$A$455,$A61,'ESTUDIOS'!$I$2:$I$455,"")&gt;0,"",INDEX('ESTUDIOS'!$I$2:$I$455,MATCH($A61,'ESTUDIOS'!$A$2:$A$455,0)))</f>
        <v/>
      </c>
    </row>
    <row r="62" ht="60" customHeight="1">
      <c r="A62" s="4" t="inlineStr">
        <is>
          <t>64</t>
        </is>
      </c>
      <c r="B62" s="4" t="inlineStr">
        <is>
          <t>Historical</t>
        </is>
      </c>
      <c r="C62" s="4" t="inlineStr">
        <is>
          <t>Leveraging hybrid model of ConvNextBase and LightGBM for early ASD detection via eye-gaze analysis</t>
        </is>
      </c>
      <c r="D62" s="12" t="n"/>
      <c r="E62" s="12" t="n"/>
      <c r="F62" s="12" t="n"/>
      <c r="G62" s="4" t="inlineStr">
        <is>
          <t>Pending classification from source</t>
        </is>
      </c>
      <c r="H62" s="4" t="n">
        <v>1</v>
      </c>
      <c r="I62" s="4" t="inlineStr">
        <is>
          <t>Classification (binary/multi-class; incl. ASD vs control)/ multi-class)</t>
        </is>
      </c>
      <c r="J62" s="4" t="inlineStr">
        <is>
          <t>Es un híbrido: ConvNeXtBase (CNN) como extractor de características + LightGBM (GBDT) como clasificador.</t>
        </is>
      </c>
      <c r="K62" s="4" t="str"/>
      <c r="L62" s="4" t="inlineStr">
        <is>
          <t>https://doi.org/10.1016/j.mex.2025.103166</t>
        </is>
      </c>
      <c r="M62" s="4" t="n"/>
      <c r="N62" s="12" t="n"/>
      <c r="O62" s="41" t="n"/>
      <c r="P62" s="4" t="inlineStr">
        <is>
          <t>Confirmed only when AI was actually evaluated/used within the stated workflow or intervention; intended use alone = Proposed only</t>
        </is>
      </c>
      <c r="Q62" s="4">
        <f>IF(COUNTIFS('ESTUDIOS'!$A$2:$A$455,$A62,'ESTUDIOS'!$I$2:$I$455,"")&gt;0,"",INDEX('ESTUDIOS'!$I$2:$I$455,MATCH($A62,'ESTUDIOS'!$A$2:$A$455,0)))</f>
        <v/>
      </c>
    </row>
    <row r="63" ht="47" customHeight="1">
      <c r="A63" s="4" t="inlineStr">
        <is>
          <t>65</t>
        </is>
      </c>
      <c r="B63" s="4" t="inlineStr">
        <is>
          <t>Historical</t>
        </is>
      </c>
      <c r="C63" s="4" t="inlineStr">
        <is>
          <t>Modified Grasshopper Optimization Algorithm for detection of Autism Spectrum Disorder</t>
        </is>
      </c>
      <c r="D63" s="12" t="n"/>
      <c r="E63" s="12" t="n"/>
      <c r="F63" s="12" t="n"/>
      <c r="G63" s="4" t="inlineStr">
        <is>
          <t>Pending classification from source</t>
        </is>
      </c>
      <c r="H63" s="4" t="n">
        <v>1</v>
      </c>
      <c r="I63" s="4" t="inlineStr">
        <is>
          <t>Other / Not clear</t>
        </is>
      </c>
      <c r="J63" s="4" t="inlineStr">
        <is>
          <t>Algoritmo principal no explícito o fuera del codebook; Confirmar algoritmo principal en full-text</t>
        </is>
      </c>
      <c r="K63" s="4" t="str"/>
      <c r="L63" s="4" t="inlineStr">
        <is>
          <t>https://doi.org/10.1016/j.phycom.2020.101115</t>
        </is>
      </c>
      <c r="M63" s="4" t="n"/>
      <c r="N63" s="12" t="n"/>
      <c r="O63" s="41" t="n"/>
      <c r="P63" s="4" t="inlineStr">
        <is>
          <t>Confirmed only when AI was actually evaluated/used within the stated workflow or intervention; intended use alone = Proposed only</t>
        </is>
      </c>
      <c r="Q63" s="4">
        <f>IF(COUNTIFS('ESTUDIOS'!$A$2:$A$455,$A63,'ESTUDIOS'!$I$2:$I$455,"")&gt;0,"",INDEX('ESTUDIOS'!$I$2:$I$455,MATCH($A63,'ESTUDIOS'!$A$2:$A$455,0)))</f>
        <v/>
      </c>
    </row>
    <row r="64" ht="47" customHeight="1">
      <c r="A64" s="4" t="inlineStr">
        <is>
          <t>66</t>
        </is>
      </c>
      <c r="B64" s="4" t="inlineStr">
        <is>
          <t>Historical</t>
        </is>
      </c>
      <c r="C64" s="4" t="inlineStr">
        <is>
          <t>Motor Signature Differences Between Autism Spectrum Disorder and Developmental Coordination Disorder, and Their Neural Mechanisms</t>
        </is>
      </c>
      <c r="D64" s="12" t="n"/>
      <c r="E64" s="12" t="n"/>
      <c r="F64" s="12" t="n"/>
      <c r="G64" s="4" t="inlineStr">
        <is>
          <t>Pending classification from source</t>
        </is>
      </c>
      <c r="H64" s="4" t="n">
        <v>1</v>
      </c>
      <c r="I64" s="4" t="inlineStr">
        <is>
          <t>Classification (ASD vs control / multi-class)</t>
        </is>
      </c>
      <c r="J64" s="4" t="inlineStr">
        <is>
          <t>Combina kinemática de tablet/video y fMRI para diferenciar ASD, DCD y TD; algoritmo principal no explícito.</t>
        </is>
      </c>
      <c r="K64" s="4" t="str"/>
      <c r="L64" s="4" t="inlineStr">
        <is>
          <t>https://doi.org/10.1007/s10803-023-06171-8</t>
        </is>
      </c>
      <c r="M64" s="4" t="n"/>
      <c r="N64" s="12" t="n"/>
      <c r="O64" s="41" t="n"/>
      <c r="P64" s="4" t="inlineStr">
        <is>
          <t>Confirmed only when AI was actually evaluated/used within the stated workflow or intervention; intended use alone = Proposed only</t>
        </is>
      </c>
      <c r="Q64" s="4">
        <f>IF(COUNTIFS('ESTUDIOS'!$A$2:$A$455,$A64,'ESTUDIOS'!$I$2:$I$455,"")&gt;0,"",INDEX('ESTUDIOS'!$I$2:$I$455,MATCH($A64,'ESTUDIOS'!$A$2:$A$455,0)))</f>
        <v/>
      </c>
    </row>
    <row r="65" ht="47" customHeight="1">
      <c r="A65" s="4" t="inlineStr">
        <is>
          <t>67</t>
        </is>
      </c>
      <c r="B65" s="4" t="inlineStr">
        <is>
          <t>Historical</t>
        </is>
      </c>
      <c r="C65" s="4" t="inlineStr">
        <is>
          <t>Novelty detection using deep normative modeling for imu-based abnormal movement monitoring in parkinson’s disease and autism spectrum disorders</t>
        </is>
      </c>
      <c r="D65" s="12" t="n"/>
      <c r="E65" s="12" t="n"/>
      <c r="F65" s="12" t="n"/>
      <c r="G65" s="4" t="inlineStr">
        <is>
          <t>Pending classification from source</t>
        </is>
      </c>
      <c r="H65" s="4" t="n">
        <v>1</v>
      </c>
      <c r="I65" s="4" t="inlineStr">
        <is>
          <t>Detection / segmentation</t>
        </is>
      </c>
      <c r="J65" s="4" t="inlineStr">
        <is>
          <t>Monitorización de movimiento anómalo con IMU mediante novelty/deep normative modeling; confirmar modelo principal.</t>
        </is>
      </c>
      <c r="K65" s="4" t="str"/>
      <c r="L65" s="4" t="inlineStr">
        <is>
          <t>https://doi.org/10.3390/s18103533</t>
        </is>
      </c>
      <c r="M65" s="4" t="n"/>
      <c r="N65" s="12" t="n"/>
      <c r="O65" s="41" t="n"/>
      <c r="P65" s="4" t="inlineStr">
        <is>
          <t>Confirmed only when AI was actually evaluated/used within the stated workflow or intervention; intended use alone = Proposed only</t>
        </is>
      </c>
      <c r="Q65" s="4">
        <f>IF(COUNTIFS('ESTUDIOS'!$A$2:$A$455,$A65,'ESTUDIOS'!$I$2:$I$455,"")&gt;0,"",INDEX('ESTUDIOS'!$I$2:$I$455,MATCH($A65,'ESTUDIOS'!$A$2:$A$455,0)))</f>
        <v/>
      </c>
    </row>
    <row r="66" ht="47" customHeight="1">
      <c r="A66" s="4" t="inlineStr">
        <is>
          <t>68</t>
        </is>
      </c>
      <c r="B66" s="4" t="inlineStr">
        <is>
          <t>Historical</t>
        </is>
      </c>
      <c r="C66" s="4" t="inlineStr">
        <is>
          <t>Perceived social support in adults with autism spectrum disorder and attention-deficit/hyperactivity disorder</t>
        </is>
      </c>
      <c r="D66" s="12" t="n"/>
      <c r="E66" s="12" t="n"/>
      <c r="F66" s="12" t="n"/>
      <c r="G66" s="4" t="inlineStr">
        <is>
          <t>Pending classification from source</t>
        </is>
      </c>
      <c r="H66" s="4" t="n">
        <v>1</v>
      </c>
      <c r="I66" s="4" t="inlineStr">
        <is>
          <t>Regression (score / severity / risk)</t>
        </is>
      </c>
      <c r="J66" s="4" t="inlineStr">
        <is>
          <t>ste paper no es diagnóstico ASD vs control; usa ML para modelar/predicir un puntaje de apoyo social percibido (MSPSS-f) en grupos ASD/ADHD/controles.</t>
        </is>
      </c>
      <c r="K66" s="4" t="str"/>
      <c r="L66" s="4" t="inlineStr">
        <is>
          <t>https://doi.org/10.1002/aur.1735</t>
        </is>
      </c>
      <c r="M66" s="4" t="n"/>
      <c r="N66" s="12" t="n"/>
      <c r="O66" s="41" t="n"/>
      <c r="P66" s="4" t="inlineStr">
        <is>
          <t>Confirmed only when AI was actually evaluated/used within the stated workflow or intervention; intended use alone = Proposed only</t>
        </is>
      </c>
      <c r="Q66" s="4">
        <f>IF(COUNTIFS('ESTUDIOS'!$A$2:$A$455,$A66,'ESTUDIOS'!$I$2:$I$455,"")&gt;0,"",INDEX('ESTUDIOS'!$I$2:$I$455,MATCH($A66,'ESTUDIOS'!$A$2:$A$455,0)))</f>
        <v/>
      </c>
    </row>
    <row r="67" ht="47" customHeight="1">
      <c r="A67" s="4" t="inlineStr">
        <is>
          <t>69</t>
        </is>
      </c>
      <c r="B67" s="4" t="inlineStr">
        <is>
          <t>Historical</t>
        </is>
      </c>
      <c r="C67" s="4" t="inlineStr">
        <is>
          <t>Regional-Asymmetric Adaptive Graph Convolutional Neural Network for Diagnosis of Autism in Children with Resting-State EEG</t>
        </is>
      </c>
      <c r="D67" s="12" t="n"/>
      <c r="E67" s="12" t="n"/>
      <c r="F67" s="12" t="n"/>
      <c r="G67" s="4" t="inlineStr">
        <is>
          <t>Pending classification from source</t>
        </is>
      </c>
      <c r="H67" s="4" t="n">
        <v>1</v>
      </c>
      <c r="I67" s="4" t="inlineStr">
        <is>
          <t>Classification (ASD vs control / multi-class)</t>
        </is>
      </c>
      <c r="J67" s="4" t="inlineStr">
        <is>
          <t>Red neuronal convolucional en grafos sobre EEG; arquitectura fuera del codebook.</t>
        </is>
      </c>
      <c r="K67" s="4" t="str"/>
      <c r="L67" s="4" t="inlineStr">
        <is>
          <t>https://doi.org/10.1109/tnsre.2023.3347134</t>
        </is>
      </c>
      <c r="M67" s="4" t="n"/>
      <c r="N67" s="12" t="n"/>
      <c r="O67" s="41" t="n"/>
      <c r="P67" s="4" t="inlineStr">
        <is>
          <t>Confirmed only when AI was actually evaluated/used within the stated workflow or intervention; intended use alone = Proposed only</t>
        </is>
      </c>
      <c r="Q67" s="4">
        <f>IF(COUNTIFS('ESTUDIOS'!$A$2:$A$455,$A67,'ESTUDIOS'!$I$2:$I$455,"")&gt;0,"",INDEX('ESTUDIOS'!$I$2:$I$455,MATCH($A67,'ESTUDIOS'!$A$2:$A$455,0)))</f>
        <v/>
      </c>
    </row>
    <row r="68" ht="60" customHeight="1">
      <c r="A68" s="4" t="inlineStr">
        <is>
          <t>70</t>
        </is>
      </c>
      <c r="B68" s="4" t="inlineStr">
        <is>
          <t>Historical</t>
        </is>
      </c>
      <c r="C68" s="4" t="inlineStr">
        <is>
          <t>Relationship between abnormal intrinsic functional connectivity of subcortices and autism symptoms in high-functioning adults with autism spectrum disorder</t>
        </is>
      </c>
      <c r="D68" s="12" t="n"/>
      <c r="E68" s="12" t="n"/>
      <c r="F68" s="12" t="n"/>
      <c r="G68" s="4" t="inlineStr">
        <is>
          <t>Pending classification from source</t>
        </is>
      </c>
      <c r="H68" s="4" t="n">
        <v>1</v>
      </c>
      <c r="I68" s="4" t="inlineStr">
        <is>
          <t>Classification (binary/multi-class; incl. ASD vs control)/ multi-class)</t>
        </is>
      </c>
      <c r="J68" s="4" t="str"/>
      <c r="K68" s="4" t="str"/>
      <c r="L68" s="4" t="inlineStr">
        <is>
          <t>https://doi.org/10.1016/j.pscychresns.2023.111762</t>
        </is>
      </c>
      <c r="M68" s="4" t="n"/>
      <c r="N68" s="12" t="n"/>
      <c r="O68" s="41" t="n"/>
      <c r="P68" s="4" t="inlineStr">
        <is>
          <t>Confirmed only when AI was actually evaluated/used within the stated workflow or intervention; intended use alone = Proposed only</t>
        </is>
      </c>
      <c r="Q68" s="4">
        <f>IF(COUNTIFS('ESTUDIOS'!$A$2:$A$455,$A68,'ESTUDIOS'!$I$2:$I$455,"")&gt;0,"",INDEX('ESTUDIOS'!$I$2:$I$455,MATCH($A68,'ESTUDIOS'!$A$2:$A$455,0)))</f>
        <v/>
      </c>
    </row>
    <row r="69" ht="60" customHeight="1">
      <c r="A69" s="4" t="inlineStr">
        <is>
          <t>72</t>
        </is>
      </c>
      <c r="B69" s="4" t="inlineStr">
        <is>
          <t>Historical</t>
        </is>
      </c>
      <c r="C69" s="4" t="inlineStr">
        <is>
          <t>Transdiagnostic symptom subtypes across autism spectrum disorders and attention deficit hyperactivity disorder: validated by measures of neurocognition and structural connectivity</t>
        </is>
      </c>
      <c r="D69" s="12" t="n"/>
      <c r="E69" s="12" t="n"/>
      <c r="F69" s="12" t="n"/>
      <c r="G69" s="4" t="inlineStr">
        <is>
          <t>Pending classification from source</t>
        </is>
      </c>
      <c r="H69" s="4" t="n">
        <v>0</v>
      </c>
      <c r="I69" s="4" t="inlineStr">
        <is>
          <t>Clustering / subtyping</t>
        </is>
      </c>
      <c r="J69" s="4" t="inlineStr">
        <is>
          <t>Subtipado transdiagnóstico validado con neurocognición y conectividad estructural.</t>
        </is>
      </c>
      <c r="K69" s="4" t="str"/>
      <c r="L69" s="4" t="inlineStr">
        <is>
          <t>https://doi.org/10.1186/s12888-022-03734-4</t>
        </is>
      </c>
      <c r="M69" s="4" t="n"/>
      <c r="N69" s="12" t="n"/>
      <c r="O69" s="41" t="n"/>
      <c r="P69" s="4" t="inlineStr">
        <is>
          <t>Confirmed only when AI was actually evaluated/used within the stated workflow or intervention; intended use alone = Proposed only</t>
        </is>
      </c>
      <c r="Q69" s="4">
        <f>IF(COUNTIFS('ESTUDIOS'!$A$2:$A$455,$A69,'ESTUDIOS'!$I$2:$I$455,"")&gt;0,"",INDEX('ESTUDIOS'!$I$2:$I$455,MATCH($A69,'ESTUDIOS'!$A$2:$A$455,0)))</f>
        <v/>
      </c>
    </row>
    <row r="70" ht="60" customHeight="1">
      <c r="A70" s="4" t="inlineStr">
        <is>
          <t>73</t>
        </is>
      </c>
      <c r="B70" s="4" t="inlineStr">
        <is>
          <t>Historical</t>
        </is>
      </c>
      <c r="C70" s="4" t="inlineStr">
        <is>
          <t>A Convolutional Neural Network Combined With Prototype Learning Framework for Brain Functional Network Classification of Autism Spectrum Disorder</t>
        </is>
      </c>
      <c r="D70" s="12" t="n"/>
      <c r="E70" s="12" t="n"/>
      <c r="F70" s="12" t="n"/>
      <c r="G70" s="4" t="inlineStr">
        <is>
          <t>Pending classification from source</t>
        </is>
      </c>
      <c r="H70" s="4" t="n">
        <v>1</v>
      </c>
      <c r="I70" s="4" t="inlineStr">
        <is>
          <t>Classification (binary/multi-class; incl. ASD vs control)/ multi-class)</t>
        </is>
      </c>
      <c r="J70" s="4" t="str"/>
      <c r="K70" s="4" t="str"/>
      <c r="L70" s="4" t="inlineStr">
        <is>
          <t>https://doi.org/10.1109/tnsre.2021.3120024</t>
        </is>
      </c>
      <c r="M70" s="4" t="n"/>
      <c r="N70" s="12" t="n"/>
      <c r="O70" s="41" t="n"/>
      <c r="P70" s="4" t="inlineStr">
        <is>
          <t>Confirmed only when AI was actually evaluated/used within the stated workflow or intervention; intended use alone = Proposed only</t>
        </is>
      </c>
      <c r="Q70" s="4">
        <f>IF(COUNTIFS('ESTUDIOS'!$A$2:$A$455,$A70,'ESTUDIOS'!$I$2:$I$455,"")&gt;0,"",INDEX('ESTUDIOS'!$I$2:$I$455,MATCH($A70,'ESTUDIOS'!$A$2:$A$455,0)))</f>
        <v/>
      </c>
    </row>
    <row r="71" ht="47" customHeight="1">
      <c r="A71" s="4" t="inlineStr">
        <is>
          <t>74</t>
        </is>
      </c>
      <c r="B71" s="4" t="inlineStr">
        <is>
          <t>Historical</t>
        </is>
      </c>
      <c r="C71" s="4" t="inlineStr">
        <is>
          <t>A heterogeneous graph convolutional attention network method for classification of autism spectrum disorder</t>
        </is>
      </c>
      <c r="D71" s="12" t="n"/>
      <c r="E71" s="12" t="n"/>
      <c r="F71" s="12" t="n"/>
      <c r="G71" s="4" t="inlineStr">
        <is>
          <t>Pending classification from source</t>
        </is>
      </c>
      <c r="H71" s="4" t="n">
        <v>1</v>
      </c>
      <c r="I71" s="4" t="inlineStr">
        <is>
          <t>Classification (ASD vs control / multi-class)</t>
        </is>
      </c>
      <c r="J71" s="4" t="inlineStr">
        <is>
          <t>Algoritmo principal no explícito o fuera del codebook; Confirmar algoritmo principal en full-text; Se comparan varios modelos; se eligió el principal/mejor reportado</t>
        </is>
      </c>
      <c r="K71" s="4" t="str"/>
      <c r="L71" s="4" t="inlineStr">
        <is>
          <t>https://doi.org/10.1186/s12859-023-05495-7</t>
        </is>
      </c>
      <c r="M71" s="4" t="n"/>
      <c r="N71" s="12" t="n"/>
      <c r="O71" s="41" t="n"/>
      <c r="P71" s="4" t="inlineStr">
        <is>
          <t>Confirmed only when AI was actually evaluated/used within the stated workflow or intervention; intended use alone = Proposed only</t>
        </is>
      </c>
      <c r="Q71" s="4">
        <f>IF(COUNTIFS('ESTUDIOS'!$A$2:$A$455,$A71,'ESTUDIOS'!$I$2:$I$455,"")&gt;0,"",INDEX('ESTUDIOS'!$I$2:$I$455,MATCH($A71,'ESTUDIOS'!$A$2:$A$455,0)))</f>
        <v/>
      </c>
    </row>
    <row r="72" ht="47" customHeight="1">
      <c r="A72" s="4" t="inlineStr">
        <is>
          <t>75</t>
        </is>
      </c>
      <c r="B72" s="4" t="inlineStr">
        <is>
          <t>Historical</t>
        </is>
      </c>
      <c r="C72" s="4" t="inlineStr">
        <is>
          <t>A monitoring system for patients of autism spectrum disorder using artificial intelligence</t>
        </is>
      </c>
      <c r="D72" s="12" t="n"/>
      <c r="E72" s="12" t="n"/>
      <c r="F72" s="12" t="n"/>
      <c r="G72" s="4" t="inlineStr">
        <is>
          <t>Pending classification from source</t>
        </is>
      </c>
      <c r="H72" s="4" t="n">
        <v>1</v>
      </c>
      <c r="I72" s="4" t="inlineStr">
        <is>
          <t>Monitoring / adaptive intervention</t>
        </is>
      </c>
      <c r="J72" s="4" t="inlineStr">
        <is>
          <t>Sin señal explícita Q3 en título/abstract.</t>
        </is>
      </c>
      <c r="K72" s="4" t="inlineStr">
        <is>
          <t>AI-based sensor monitoring adjusts learning games/tasks and alerts caregivers.</t>
        </is>
      </c>
      <c r="L72" s="4" t="inlineStr">
        <is>
          <t>https://doi.org/10.1007/978-3-030-59277-6_23</t>
        </is>
      </c>
      <c r="M72" s="4" t="n"/>
      <c r="N72" s="12" t="n"/>
      <c r="O72" s="41" t="n"/>
      <c r="P72" s="4" t="inlineStr">
        <is>
          <t>Confirmed only when AI was actually evaluated/used within the stated workflow or intervention; intended use alone = Proposed only</t>
        </is>
      </c>
      <c r="Q72" s="4">
        <f>IF(COUNTIFS('ESTUDIOS'!$A$2:$A$455,$A72,'ESTUDIOS'!$I$2:$I$455,"")&gt;0,"",INDEX('ESTUDIOS'!$I$2:$I$455,MATCH($A72,'ESTUDIOS'!$A$2:$A$455,0)))</f>
        <v/>
      </c>
    </row>
    <row r="73" ht="47" customHeight="1">
      <c r="A73" s="4" t="inlineStr">
        <is>
          <t>77</t>
        </is>
      </c>
      <c r="B73" s="4" t="inlineStr">
        <is>
          <t>Historical</t>
        </is>
      </c>
      <c r="C73" s="4" t="inlineStr">
        <is>
          <t>Age-Specific Diagnostic Classification of ASD Using Deep Learning Approaches</t>
        </is>
      </c>
      <c r="D73" s="12" t="n"/>
      <c r="E73" s="12" t="n"/>
      <c r="F73" s="12" t="n"/>
      <c r="G73" s="4" t="inlineStr">
        <is>
          <t>Pending classification from source</t>
        </is>
      </c>
      <c r="H73" s="4" t="n">
        <v>1</v>
      </c>
      <c r="I73" s="4" t="inlineStr">
        <is>
          <t>Classification (ASD vs control / multi-class)</t>
        </is>
      </c>
      <c r="J73" s="4" t="str"/>
      <c r="K73" s="4" t="str"/>
      <c r="L73" s="4" t="inlineStr">
        <is>
          <t>https://doi.org/10.3233/shti230794</t>
        </is>
      </c>
      <c r="M73" s="4" t="n"/>
      <c r="N73" s="12" t="n"/>
      <c r="O73" s="41" t="n"/>
      <c r="P73" s="4" t="inlineStr">
        <is>
          <t>Confirmed only when AI was actually evaluated/used within the stated workflow or intervention; intended use alone = Proposed only</t>
        </is>
      </c>
      <c r="Q73" s="4">
        <f>IF(COUNTIFS('ESTUDIOS'!$A$2:$A$455,$A73,'ESTUDIOS'!$I$2:$I$455,"")&gt;0,"",INDEX('ESTUDIOS'!$I$2:$I$455,MATCH($A73,'ESTUDIOS'!$A$2:$A$455,0)))</f>
        <v/>
      </c>
    </row>
    <row r="74" ht="47" customHeight="1">
      <c r="A74" s="4" t="inlineStr">
        <is>
          <t>78</t>
        </is>
      </c>
      <c r="B74" s="4" t="inlineStr">
        <is>
          <t>Historical</t>
        </is>
      </c>
      <c r="C74" s="4" t="inlineStr">
        <is>
          <t>An Automatic Framework for Detecting Autism Spectrum Disorder From EEG Signals Using TFD</t>
        </is>
      </c>
      <c r="D74" s="12" t="n"/>
      <c r="E74" s="12" t="n"/>
      <c r="F74" s="12" t="n"/>
      <c r="G74" s="4" t="inlineStr">
        <is>
          <t>Pending classification from source</t>
        </is>
      </c>
      <c r="H74" s="4" t="n">
        <v>1</v>
      </c>
      <c r="I74" s="4" t="inlineStr">
        <is>
          <t>Classification (ASD vs control / multi-class)</t>
        </is>
      </c>
      <c r="J74" s="4" t="inlineStr">
        <is>
          <t>Se comparan varios modelos; se eligió el principal/mejor reportado</t>
        </is>
      </c>
      <c r="K74" s="4" t="str"/>
      <c r="L74" s="4" t="inlineStr">
        <is>
          <t>https://doi.org/10.1109/jsen.2024.3362341</t>
        </is>
      </c>
      <c r="M74" s="4" t="n"/>
      <c r="N74" s="12" t="n"/>
      <c r="O74" s="41" t="n"/>
      <c r="P74" s="4" t="inlineStr">
        <is>
          <t>Confirmed only when AI was actually evaluated/used within the stated workflow or intervention; intended use alone = Proposed only</t>
        </is>
      </c>
      <c r="Q74" s="4">
        <f>IF(COUNTIFS('ESTUDIOS'!$A$2:$A$455,$A74,'ESTUDIOS'!$I$2:$I$455,"")&gt;0,"",INDEX('ESTUDIOS'!$I$2:$I$455,MATCH($A74,'ESTUDIOS'!$A$2:$A$455,0)))</f>
        <v/>
      </c>
    </row>
    <row r="75" ht="47" customHeight="1">
      <c r="A75" s="4" t="inlineStr">
        <is>
          <t>79</t>
        </is>
      </c>
      <c r="B75" s="4" t="inlineStr">
        <is>
          <t>Historical</t>
        </is>
      </c>
      <c r="C75" s="4" t="inlineStr">
        <is>
          <t>Applying Machine Learning to Kinematic and Eye Movement Features of a Movement Imitation Task to Predict Autism Diagnosis</t>
        </is>
      </c>
      <c r="D75" s="12" t="n"/>
      <c r="E75" s="12" t="n"/>
      <c r="F75" s="12" t="n"/>
      <c r="G75" s="4" t="inlineStr">
        <is>
          <t>Pending classification from source</t>
        </is>
      </c>
      <c r="H75" s="4" t="n">
        <v>1</v>
      </c>
      <c r="I75" s="4" t="inlineStr">
        <is>
          <t>Classification (ASD vs control / multi-class)</t>
        </is>
      </c>
      <c r="J75" s="4" t="inlineStr">
        <is>
          <t>Clasifica ASD vs no-ASD con cinemática y eye-tracking en tarea de imitación.</t>
        </is>
      </c>
      <c r="K75" s="4" t="str"/>
      <c r="L75" s="4" t="inlineStr">
        <is>
          <t>https://doi.org/10.1038/s41598-020-65384-4</t>
        </is>
      </c>
      <c r="M75" s="4" t="n"/>
      <c r="N75" s="12" t="n"/>
      <c r="O75" s="41" t="n"/>
      <c r="P75" s="4" t="inlineStr">
        <is>
          <t>Confirmed only when AI was actually evaluated/used within the stated workflow or intervention; intended use alone = Proposed only</t>
        </is>
      </c>
      <c r="Q75" s="4">
        <f>IF(COUNTIFS('ESTUDIOS'!$A$2:$A$455,$A75,'ESTUDIOS'!$I$2:$I$455,"")&gt;0,"",INDEX('ESTUDIOS'!$I$2:$I$455,MATCH($A75,'ESTUDIOS'!$A$2:$A$455,0)))</f>
        <v/>
      </c>
    </row>
    <row r="76" ht="47" customHeight="1">
      <c r="A76" s="4" t="inlineStr">
        <is>
          <t>80</t>
        </is>
      </c>
      <c r="B76" s="4" t="inlineStr">
        <is>
          <t>Historical</t>
        </is>
      </c>
      <c r="C76" s="4" t="inlineStr">
        <is>
          <t>Artificial intelligence analysis of newborn leucocyte epigenomic markers for the prediction of autism</t>
        </is>
      </c>
      <c r="D76" s="12" t="n"/>
      <c r="E76" s="12" t="n"/>
      <c r="F76" s="12" t="n"/>
      <c r="G76" s="4" t="inlineStr">
        <is>
          <t>Pending classification from source</t>
        </is>
      </c>
      <c r="H76" s="4" t="n">
        <v>1</v>
      </c>
      <c r="I76" s="4" t="inlineStr">
        <is>
          <t>Classification (ASD vs control / multi-class)</t>
        </is>
      </c>
      <c r="J76" s="4" t="inlineStr">
        <is>
          <t>Algoritmo principal no explícito o fuera del codebook; Confirmar algoritmo principal en full-text</t>
        </is>
      </c>
      <c r="K76" s="4" t="str"/>
      <c r="L76" s="4" t="inlineStr">
        <is>
          <t>https://doi.org/10.1016/j.brainres.2019.146457</t>
        </is>
      </c>
      <c r="M76" s="4" t="n"/>
      <c r="N76" s="12" t="n"/>
      <c r="O76" s="41" t="n"/>
      <c r="P76" s="4" t="inlineStr">
        <is>
          <t>Confirmed only when AI was actually evaluated/used within the stated workflow or intervention; intended use alone = Proposed only</t>
        </is>
      </c>
      <c r="Q76" s="4">
        <f>IF(COUNTIFS('ESTUDIOS'!$A$2:$A$455,$A76,'ESTUDIOS'!$I$2:$I$455,"")&gt;0,"",INDEX('ESTUDIOS'!$I$2:$I$455,MATCH($A76,'ESTUDIOS'!$A$2:$A$455,0)))</f>
        <v/>
      </c>
    </row>
    <row r="77" ht="47" customHeight="1">
      <c r="A77" s="4" t="inlineStr">
        <is>
          <t>81</t>
        </is>
      </c>
      <c r="B77" s="4" t="inlineStr">
        <is>
          <t>Historical</t>
        </is>
      </c>
      <c r="C77" s="4" t="inlineStr">
        <is>
          <t>Autism Detection in Children using Common Spatial Patterns of MEG Signals</t>
        </is>
      </c>
      <c r="D77" s="12" t="n"/>
      <c r="E77" s="12" t="n"/>
      <c r="F77" s="12" t="n"/>
      <c r="G77" s="4" t="inlineStr">
        <is>
          <t>Pending classification from source</t>
        </is>
      </c>
      <c r="H77" s="4" t="n">
        <v>1</v>
      </c>
      <c r="I77" s="4" t="inlineStr">
        <is>
          <t>Classification (ASD vs control / multi-class)</t>
        </is>
      </c>
      <c r="J77" s="4" t="inlineStr">
        <is>
          <t>Algoritmo principal no explícito o fuera del codebook; Confirmar algoritmo principal en full-text</t>
        </is>
      </c>
      <c r="K77" s="4" t="str"/>
      <c r="L77" s="4" t="inlineStr">
        <is>
          <t>https://doi.org/10.1109/embc40787.2023.10340449</t>
        </is>
      </c>
      <c r="M77" s="4" t="n"/>
      <c r="N77" s="12" t="n"/>
      <c r="O77" s="41" t="n"/>
      <c r="P77" s="4" t="inlineStr">
        <is>
          <t>Confirmed only when AI was actually evaluated/used within the stated workflow or intervention; intended use alone = Proposed only</t>
        </is>
      </c>
      <c r="Q77" s="4">
        <f>IF(COUNTIFS('ESTUDIOS'!$A$2:$A$455,$A77,'ESTUDIOS'!$I$2:$I$455,"")&gt;0,"",INDEX('ESTUDIOS'!$I$2:$I$455,MATCH($A77,'ESTUDIOS'!$A$2:$A$455,0)))</f>
        <v/>
      </c>
    </row>
    <row r="78" ht="47" customHeight="1">
      <c r="A78" s="4" t="inlineStr">
        <is>
          <t>82</t>
        </is>
      </c>
      <c r="B78" s="4" t="inlineStr">
        <is>
          <t>Historical</t>
        </is>
      </c>
      <c r="C78" s="4" t="inlineStr">
        <is>
          <t>Autism Spectrum Disorder detection framework for children based on federated learning integrated CNN-LSTM</t>
        </is>
      </c>
      <c r="D78" s="12" t="n"/>
      <c r="E78" s="12" t="n"/>
      <c r="F78" s="12" t="n"/>
      <c r="G78" s="4" t="inlineStr">
        <is>
          <t>Pending classification from source</t>
        </is>
      </c>
      <c r="H78" s="4" t="n">
        <v>1</v>
      </c>
      <c r="I78" s="4" t="inlineStr">
        <is>
          <t>Classification (ASD vs control / multi-class)</t>
        </is>
      </c>
      <c r="J78" s="4" t="inlineStr">
        <is>
          <t>Marco federado CNN-LSTM con datasets multimodales de cribado; arquitectura híbrida fuera del codebook.</t>
        </is>
      </c>
      <c r="K78" s="4" t="str"/>
      <c r="L78" s="4" t="inlineStr">
        <is>
          <t>https://doi.org/10.1016/j.compbiomed.2023.107539</t>
        </is>
      </c>
      <c r="M78" s="4" t="n"/>
      <c r="N78" s="12" t="n"/>
      <c r="O78" s="41" t="n"/>
      <c r="P78" s="4" t="inlineStr">
        <is>
          <t>Confirmed only when AI was actually evaluated/used within the stated workflow or intervention; intended use alone = Proposed only</t>
        </is>
      </c>
      <c r="Q78" s="4">
        <f>IF(COUNTIFS('ESTUDIOS'!$A$2:$A$455,$A78,'ESTUDIOS'!$I$2:$I$455,"")&gt;0,"",INDEX('ESTUDIOS'!$I$2:$I$455,MATCH($A78,'ESTUDIOS'!$A$2:$A$455,0)))</f>
        <v/>
      </c>
    </row>
    <row r="79" ht="47" customHeight="1">
      <c r="A79" s="4" t="inlineStr">
        <is>
          <t>83</t>
        </is>
      </c>
      <c r="B79" s="4" t="inlineStr">
        <is>
          <t>Historical</t>
        </is>
      </c>
      <c r="C79" s="4" t="inlineStr">
        <is>
          <t>Converging Representations of Attention-Deficit/Hyperactivity Disorder and Autism on Social Media: Linguistic and Topic Analysis of Trends in Reddit Data</t>
        </is>
      </c>
      <c r="D79" s="12" t="n"/>
      <c r="E79" s="12" t="n"/>
      <c r="F79" s="12" t="n"/>
      <c r="G79" s="4" t="inlineStr">
        <is>
          <t>Pending classification from source</t>
        </is>
      </c>
      <c r="H79" s="4" t="n">
        <v>1</v>
      </c>
      <c r="I79" s="4" t="n"/>
      <c r="J79" s="4" t="str"/>
      <c r="K79" s="4" t="str"/>
      <c r="L79" s="4" t="inlineStr">
        <is>
          <t>https://doi.org/10.2196/70914</t>
        </is>
      </c>
      <c r="M79" s="4" t="n"/>
      <c r="N79" s="12" t="n"/>
      <c r="O79" s="41" t="n"/>
      <c r="P79" s="4" t="inlineStr">
        <is>
          <t>Confirmed only when AI was actually evaluated/used within the stated workflow or intervention; intended use alone = Proposed only</t>
        </is>
      </c>
      <c r="Q79" s="4">
        <f>IF(COUNTIFS('ESTUDIOS'!$A$2:$A$455,$A79,'ESTUDIOS'!$I$2:$I$455,"")&gt;0,"",INDEX('ESTUDIOS'!$I$2:$I$455,MATCH($A79,'ESTUDIOS'!$A$2:$A$455,0)))</f>
        <v/>
      </c>
    </row>
    <row r="80" ht="60" customHeight="1">
      <c r="A80" s="4" t="inlineStr">
        <is>
          <t>84</t>
        </is>
      </c>
      <c r="B80" s="4" t="inlineStr">
        <is>
          <t>Historical</t>
        </is>
      </c>
      <c r="C80" s="4" t="inlineStr">
        <is>
          <t>Creating a diagnostic assessment model for autism spectrum disorder by differentiating lexicogrammatical choices through machine learning</t>
        </is>
      </c>
      <c r="D80" s="12" t="n"/>
      <c r="E80" s="12" t="n"/>
      <c r="F80" s="12" t="n"/>
      <c r="G80" s="4" t="inlineStr">
        <is>
          <t>Pending classification from source</t>
        </is>
      </c>
      <c r="H80" s="4" t="n">
        <v>1</v>
      </c>
      <c r="I80" s="4" t="inlineStr">
        <is>
          <t>Classification (binary/multi-class; incl. ASD vs control)/ multi-class)</t>
        </is>
      </c>
      <c r="J80" s="4" t="inlineStr">
        <is>
          <t>comparan modelo lineal vs DNN; el modelo lineal es logistic regression (baseline interpretable).</t>
        </is>
      </c>
      <c r="K80" s="4" t="str"/>
      <c r="L80" s="4" t="inlineStr">
        <is>
          <t>https://doi.org/10.1371/journal.pone.0311209</t>
        </is>
      </c>
      <c r="M80" s="4" t="n"/>
      <c r="N80" s="12" t="n"/>
      <c r="O80" s="41" t="n"/>
      <c r="P80" s="4" t="inlineStr">
        <is>
          <t>Confirmed only when AI was actually evaluated/used within the stated workflow or intervention; intended use alone = Proposed only</t>
        </is>
      </c>
      <c r="Q80" s="4">
        <f>IF(COUNTIFS('ESTUDIOS'!$A$2:$A$455,$A80,'ESTUDIOS'!$I$2:$I$455,"")&gt;0,"",INDEX('ESTUDIOS'!$I$2:$I$455,MATCH($A80,'ESTUDIOS'!$A$2:$A$455,0)))</f>
        <v/>
      </c>
    </row>
    <row r="81" ht="47" customHeight="1">
      <c r="A81" s="4" t="inlineStr">
        <is>
          <t>85</t>
        </is>
      </c>
      <c r="B81" s="4" t="inlineStr">
        <is>
          <t>Historical</t>
        </is>
      </c>
      <c r="C81" s="4" t="inlineStr">
        <is>
          <t>Diagnosing autism spectrum disorder in children using conventional MRI and apparent diffusion coefficient based deep learning algorithms</t>
        </is>
      </c>
      <c r="D81" s="12" t="n"/>
      <c r="E81" s="12" t="n"/>
      <c r="F81" s="12" t="n"/>
      <c r="G81" s="4" t="inlineStr">
        <is>
          <t>Pending classification from source</t>
        </is>
      </c>
      <c r="H81" s="4" t="n">
        <v>1</v>
      </c>
      <c r="I81" s="4" t="inlineStr">
        <is>
          <t>Classification (ASD vs control / multi-class)</t>
        </is>
      </c>
      <c r="J81" s="4" t="inlineStr">
        <is>
          <t>Algoritmo principal no explícito o fuera del codebook; Confirmar algoritmo principal en full-text; Se comparan varios modelos; se eligió el principal/mejor reportado</t>
        </is>
      </c>
      <c r="K81" s="4" t="str"/>
      <c r="L81" s="4" t="inlineStr">
        <is>
          <t>https://doi.org/10.1007/s00330-021-08239-4</t>
        </is>
      </c>
      <c r="M81" s="4" t="n"/>
      <c r="N81" s="12" t="n"/>
      <c r="O81" s="41" t="n"/>
      <c r="P81" s="4" t="inlineStr">
        <is>
          <t>Confirmed only when AI was actually evaluated/used within the stated workflow or intervention; intended use alone = Proposed only</t>
        </is>
      </c>
      <c r="Q81" s="4">
        <f>IF(COUNTIFS('ESTUDIOS'!$A$2:$A$455,$A81,'ESTUDIOS'!$I$2:$I$455,"")&gt;0,"",INDEX('ESTUDIOS'!$I$2:$I$455,MATCH($A81,'ESTUDIOS'!$A$2:$A$455,0)))</f>
        <v/>
      </c>
    </row>
    <row r="82" ht="60" customHeight="1">
      <c r="A82" s="4" t="inlineStr">
        <is>
          <t>86</t>
        </is>
      </c>
      <c r="B82" s="4" t="inlineStr">
        <is>
          <t>Historical</t>
        </is>
      </c>
      <c r="C82" s="4" t="inlineStr">
        <is>
          <t>Dissecting the heterogeneity of autism spectrum disorder with sensory behavior, brain, and epigenetic factors</t>
        </is>
      </c>
      <c r="D82" s="12" t="n"/>
      <c r="E82" s="12" t="n"/>
      <c r="F82" s="12" t="n"/>
      <c r="G82" s="4" t="inlineStr">
        <is>
          <t>Pending classification from source</t>
        </is>
      </c>
      <c r="H82" s="4" t="n">
        <v>1</v>
      </c>
      <c r="I82" s="4" t="inlineStr">
        <is>
          <t>Classification (ASD vs control / multi-class)</t>
        </is>
      </c>
      <c r="J82" s="4" t="inlineStr">
        <is>
          <t>Clasificación ASD vs control integrando AASP (sensory behavior) + neuroimagen + metilación (OXTR/AVPR). Evaluaron varios algoritmos; el modelo final reportado usa XGBoost (otros probados: RF/SVM/LR).</t>
        </is>
      </c>
      <c r="K82" s="4" t="str"/>
      <c r="L82" s="4" t="inlineStr">
        <is>
          <t>https://doi.org/10.1038/s41398-025-03566-2</t>
        </is>
      </c>
      <c r="M82" s="4" t="n"/>
      <c r="N82" s="12" t="n"/>
      <c r="O82" s="41" t="n"/>
      <c r="P82" s="4" t="inlineStr">
        <is>
          <t>Confirmed only when AI was actually evaluated/used within the stated workflow or intervention; intended use alone = Proposed only</t>
        </is>
      </c>
      <c r="Q82" s="4">
        <f>IF(COUNTIFS('ESTUDIOS'!$A$2:$A$455,$A82,'ESTUDIOS'!$I$2:$I$455,"")&gt;0,"",INDEX('ESTUDIOS'!$I$2:$I$455,MATCH($A82,'ESTUDIOS'!$A$2:$A$455,0)))</f>
        <v/>
      </c>
    </row>
    <row r="83" ht="47" customHeight="1">
      <c r="A83" s="4" t="inlineStr">
        <is>
          <t>88</t>
        </is>
      </c>
      <c r="B83" s="4" t="inlineStr">
        <is>
          <t>Historical</t>
        </is>
      </c>
      <c r="C83" s="4" t="inlineStr">
        <is>
          <t>Facial Emotions Are Accurately Encoded in the Neural Signal of Those With Autism Spectrum Disorder: A Deep Learning Approach</t>
        </is>
      </c>
      <c r="D83" s="12" t="n"/>
      <c r="E83" s="12" t="n"/>
      <c r="F83" s="12" t="n"/>
      <c r="G83" s="4" t="inlineStr">
        <is>
          <t>Pending classification from source</t>
        </is>
      </c>
      <c r="H83" s="4" t="n">
        <v>0</v>
      </c>
      <c r="I83" s="4" t="inlineStr">
        <is>
          <t>Classification (ASD vs control / multi-class)</t>
        </is>
      </c>
      <c r="J83" s="4" t="str"/>
      <c r="K83" s="4" t="str"/>
      <c r="L83" s="4" t="inlineStr">
        <is>
          <t>https://doi.org/10.1016/j.bpsc.2021.03.015</t>
        </is>
      </c>
      <c r="M83" s="4" t="n"/>
      <c r="N83" s="12" t="n"/>
      <c r="O83" s="41" t="n"/>
      <c r="P83" s="4" t="inlineStr">
        <is>
          <t>Confirmed only when AI was actually evaluated/used within the stated workflow or intervention; intended use alone = Proposed only</t>
        </is>
      </c>
      <c r="Q83" s="4">
        <f>IF(COUNTIFS('ESTUDIOS'!$A$2:$A$455,$A83,'ESTUDIOS'!$I$2:$I$455,"")&gt;0,"",INDEX('ESTUDIOS'!$I$2:$I$455,MATCH($A83,'ESTUDIOS'!$A$2:$A$455,0)))</f>
        <v/>
      </c>
    </row>
    <row r="84" ht="60" customHeight="1">
      <c r="A84" s="4" t="inlineStr">
        <is>
          <t>89</t>
        </is>
      </c>
      <c r="B84" s="4" t="inlineStr">
        <is>
          <t>Historical</t>
        </is>
      </c>
      <c r="C84" s="4" t="inlineStr">
        <is>
          <t>Feasibility Testing of a Wearable Behavioral Aid for Social Learning in Children with Autism</t>
        </is>
      </c>
      <c r="D84" s="12" t="n"/>
      <c r="E84" s="12" t="n"/>
      <c r="F84" s="12" t="n"/>
      <c r="G84" s="4" t="inlineStr">
        <is>
          <t>Pending classification from source</t>
        </is>
      </c>
      <c r="H84" s="4" t="n">
        <v>1</v>
      </c>
      <c r="I84" s="4" t="inlineStr">
        <is>
          <t>Classification (ASD vs control / multi-class)</t>
        </is>
      </c>
      <c r="J84" s="4" t="inlineStr">
        <is>
          <t>Clasificación ASD vs NC usando matrices de confusión de reconocimiento de emociones; el sistema (Google Glass) da ‘emotion labeling’, pero el clasificador principal para inferir ASD/NC es logistic regression</t>
        </is>
      </c>
      <c r="K84" s="4" t="str"/>
      <c r="L84" s="4" t="inlineStr">
        <is>
          <t>https://doi.org/10.1055/s-0038-1626727</t>
        </is>
      </c>
      <c r="M84" s="4" t="n"/>
      <c r="N84" s="12" t="n"/>
      <c r="O84" s="41" t="n"/>
      <c r="P84" s="4" t="inlineStr">
        <is>
          <t>Confirmed only when AI was actually evaluated/used within the stated workflow or intervention; intended use alone = Proposed only</t>
        </is>
      </c>
      <c r="Q84" s="4">
        <f>IF(COUNTIFS('ESTUDIOS'!$A$2:$A$455,$A84,'ESTUDIOS'!$I$2:$I$455,"")&gt;0,"",INDEX('ESTUDIOS'!$I$2:$I$455,MATCH($A84,'ESTUDIOS'!$A$2:$A$455,0)))</f>
        <v/>
      </c>
    </row>
    <row r="85" ht="60" customHeight="1">
      <c r="A85" s="4" t="inlineStr">
        <is>
          <t>90</t>
        </is>
      </c>
      <c r="B85" s="4" t="inlineStr">
        <is>
          <t>Historical</t>
        </is>
      </c>
      <c r="C85" s="4" t="inlineStr">
        <is>
          <t>Handwriting-Based ADHD Detection for Children Having ASD Using Machine Learning Approaches</t>
        </is>
      </c>
      <c r="D85" s="12" t="n"/>
      <c r="E85" s="12" t="n"/>
      <c r="F85" s="12" t="n"/>
      <c r="G85" s="4" t="inlineStr">
        <is>
          <t>Pending classification from source</t>
        </is>
      </c>
      <c r="H85" s="4" t="n">
        <v>0</v>
      </c>
      <c r="I85" s="4" t="inlineStr">
        <is>
          <t>Classification (binary/multi-class; incl. ASD vs control)/ multi-class)</t>
        </is>
      </c>
      <c r="J85" s="4" t="inlineStr">
        <is>
          <t>Target is ADHD with coexisting ASD vs healthy (not ASD diagnosis). RF best on periodic lines task.</t>
        </is>
      </c>
      <c r="K85" s="4" t="str"/>
      <c r="L85" s="4" t="inlineStr">
        <is>
          <t>https://doi.org/10.1109/access.2023.3302903</t>
        </is>
      </c>
      <c r="M85" s="4" t="n"/>
      <c r="N85" s="12" t="n"/>
      <c r="O85" s="41" t="n"/>
      <c r="P85" s="4" t="inlineStr">
        <is>
          <t>Confirmed only when AI was actually evaluated/used within the stated workflow or intervention; intended use alone = Proposed only</t>
        </is>
      </c>
      <c r="Q85" s="4">
        <f>IF(COUNTIFS('ESTUDIOS'!$A$2:$A$455,$A85,'ESTUDIOS'!$I$2:$I$455,"")&gt;0,"",INDEX('ESTUDIOS'!$I$2:$I$455,MATCH($A85,'ESTUDIOS'!$A$2:$A$455,0)))</f>
        <v/>
      </c>
    </row>
    <row r="86" ht="60" customHeight="1">
      <c r="A86" s="4" t="inlineStr">
        <is>
          <t>91</t>
        </is>
      </c>
      <c r="B86" s="4" t="inlineStr">
        <is>
          <t>Historical</t>
        </is>
      </c>
      <c r="C86" s="4" t="inlineStr">
        <is>
          <t>Integrating Graph Convolutional Networks (GCNNs) and Long Short-Term Memory (LSTM) for Efficient Diagnosis of Autism</t>
        </is>
      </c>
      <c r="D86" s="12" t="n"/>
      <c r="E86" s="12" t="n"/>
      <c r="F86" s="12" t="n"/>
      <c r="G86" s="4" t="inlineStr">
        <is>
          <t>Pending classification from source</t>
        </is>
      </c>
      <c r="H86" s="4" t="n">
        <v>1</v>
      </c>
      <c r="I86" s="4" t="inlineStr">
        <is>
          <t>Classification (binary/multi-class; incl. ASD vs control)/ multi-class)</t>
        </is>
      </c>
      <c r="J86" s="4" t="inlineStr">
        <is>
          <t>Hybrid GCNN + LSTM on ABIDE fMRI; mapped to Other because GNN not in algorithm list.</t>
        </is>
      </c>
      <c r="K86" s="4" t="str"/>
      <c r="L86" s="4" t="inlineStr">
        <is>
          <t>https://doi.org/10.1007/978-3-031-09342-5_11</t>
        </is>
      </c>
      <c r="M86" s="4" t="n"/>
      <c r="N86" s="12" t="n"/>
      <c r="O86" s="41" t="n"/>
      <c r="P86" s="4" t="inlineStr">
        <is>
          <t>Confirmed only when AI was actually evaluated/used within the stated workflow or intervention; intended use alone = Proposed only</t>
        </is>
      </c>
      <c r="Q86" s="4">
        <f>IF(COUNTIFS('ESTUDIOS'!$A$2:$A$455,$A86,'ESTUDIOS'!$I$2:$I$455,"")&gt;0,"",INDEX('ESTUDIOS'!$I$2:$I$455,MATCH($A86,'ESTUDIOS'!$A$2:$A$455,0)))</f>
        <v/>
      </c>
    </row>
    <row r="87" ht="47" customHeight="1">
      <c r="A87" s="4" t="inlineStr">
        <is>
          <t>92</t>
        </is>
      </c>
      <c r="B87" s="4" t="inlineStr">
        <is>
          <t>Historical</t>
        </is>
      </c>
      <c r="C87" s="4" t="inlineStr">
        <is>
          <t>Learning discriminative functional connectivity networks for identifying Autism spectrum disorder</t>
        </is>
      </c>
      <c r="D87" s="12" t="n"/>
      <c r="E87" s="12" t="n"/>
      <c r="F87" s="12" t="n"/>
      <c r="G87" s="4" t="inlineStr">
        <is>
          <t>Pending classification from source</t>
        </is>
      </c>
      <c r="H87" s="4" t="n">
        <v>1</v>
      </c>
      <c r="I87" s="4" t="inlineStr">
        <is>
          <t>Classification (ASD vs control / multi-class)</t>
        </is>
      </c>
      <c r="J87" s="4" t="inlineStr">
        <is>
          <t>Algoritmo principal no explícito o fuera del codebook; Confirmar algoritmo principal en full-text</t>
        </is>
      </c>
      <c r="K87" s="4" t="str"/>
      <c r="L87" s="4" t="inlineStr">
        <is>
          <t>https://doi.org/10.1016/j.bspc.2024.107466</t>
        </is>
      </c>
      <c r="M87" s="4" t="n"/>
      <c r="N87" s="12" t="n"/>
      <c r="O87" s="41" t="n"/>
      <c r="P87" s="4" t="inlineStr">
        <is>
          <t>Confirmed only when AI was actually evaluated/used within the stated workflow or intervention; intended use alone = Proposed only</t>
        </is>
      </c>
      <c r="Q87" s="4">
        <f>IF(COUNTIFS('ESTUDIOS'!$A$2:$A$455,$A87,'ESTUDIOS'!$I$2:$I$455,"")&gt;0,"",INDEX('ESTUDIOS'!$I$2:$I$455,MATCH($A87,'ESTUDIOS'!$A$2:$A$455,0)))</f>
        <v/>
      </c>
    </row>
    <row r="88" ht="60" customHeight="1">
      <c r="A88" s="4" t="inlineStr">
        <is>
          <t>94</t>
        </is>
      </c>
      <c r="B88" s="4" t="inlineStr">
        <is>
          <t>Historical</t>
        </is>
      </c>
      <c r="C88" s="4" t="inlineStr">
        <is>
          <t>Optimizing a de novo artificial intelligence-based medical device under a predetermined change control plan: Improved ability to detect or rule out pediatric autism</t>
        </is>
      </c>
      <c r="D88" s="12" t="n"/>
      <c r="E88" s="12" t="n"/>
      <c r="F88" s="12" t="n"/>
      <c r="G88" s="4" t="inlineStr">
        <is>
          <t>Pending classification from source</t>
        </is>
      </c>
      <c r="H88" s="4" t="n">
        <v>1</v>
      </c>
      <c r="I88" s="4" t="inlineStr">
        <is>
          <t>Classification (ASD vs control / multi-class)</t>
        </is>
      </c>
      <c r="J88" s="4" t="inlineStr">
        <is>
          <t>Algoritmo principal no explícito o fuera del codebook; Confirmar algoritmo principal en full-text</t>
        </is>
      </c>
      <c r="K88" s="4" t="str"/>
      <c r="L88" s="4" t="inlineStr">
        <is>
          <t>https://doi.org/10.1016/j.ibmed.2023.100102</t>
        </is>
      </c>
      <c r="M88" s="4" t="n"/>
      <c r="N88" s="12" t="n"/>
      <c r="O88" s="41" t="n"/>
      <c r="P88" s="4" t="inlineStr">
        <is>
          <t>Confirmed only when AI was actually evaluated/used within the stated workflow or intervention; intended use alone = Proposed only</t>
        </is>
      </c>
      <c r="Q88" s="4">
        <f>IF(COUNTIFS('ESTUDIOS'!$A$2:$A$455,$A88,'ESTUDIOS'!$I$2:$I$455,"")&gt;0,"",INDEX('ESTUDIOS'!$I$2:$I$455,MATCH($A88,'ESTUDIOS'!$A$2:$A$455,0)))</f>
        <v/>
      </c>
    </row>
    <row r="89" ht="47" customHeight="1">
      <c r="A89" s="4" t="inlineStr">
        <is>
          <t>95</t>
        </is>
      </c>
      <c r="B89" s="4" t="inlineStr">
        <is>
          <t>Historical</t>
        </is>
      </c>
      <c r="C89" s="4" t="inlineStr">
        <is>
          <t>Physician Versus Large Language Model Chatbot Responses to Web-Based Questions From Autistic Patients in Chinese: Cross-Sectional Comparative Analysis</t>
        </is>
      </c>
      <c r="D89" s="12" t="n"/>
      <c r="E89" s="12" t="n"/>
      <c r="F89" s="12" t="n"/>
      <c r="G89" s="4" t="inlineStr">
        <is>
          <t>Pending classification from source</t>
        </is>
      </c>
      <c r="H89" s="4" t="n">
        <v>1</v>
      </c>
      <c r="I89" s="4" t="inlineStr">
        <is>
          <t>Other / Not clear</t>
        </is>
      </c>
      <c r="J89" s="4" t="inlineStr">
        <is>
          <t>Compara respuestas de médicos vs LLMs a preguntas web; no mapea claramente a una etapa clínica RQ1.</t>
        </is>
      </c>
      <c r="K89" s="4" t="str"/>
      <c r="L89" s="4" t="inlineStr">
        <is>
          <t>https://doi.org/10.2196/54706</t>
        </is>
      </c>
      <c r="M89" s="4" t="n"/>
      <c r="N89" s="12" t="n"/>
      <c r="O89" s="41" t="n"/>
      <c r="P89" s="4" t="inlineStr">
        <is>
          <t>Confirmed only when AI was actually evaluated/used within the stated workflow or intervention; intended use alone = Proposed only</t>
        </is>
      </c>
      <c r="Q89" s="4">
        <f>IF(COUNTIFS('ESTUDIOS'!$A$2:$A$455,$A89,'ESTUDIOS'!$I$2:$I$455,"")&gt;0,"",INDEX('ESTUDIOS'!$I$2:$I$455,MATCH($A89,'ESTUDIOS'!$A$2:$A$455,0)))</f>
        <v/>
      </c>
    </row>
    <row r="90" ht="47" customHeight="1">
      <c r="A90" s="4" t="inlineStr">
        <is>
          <t>96</t>
        </is>
      </c>
      <c r="B90" s="4" t="inlineStr">
        <is>
          <t>Historical</t>
        </is>
      </c>
      <c r="C90" s="4" t="inlineStr">
        <is>
          <t>Polychlorinated biphenyls influence on autism spectrum disorder risk in the MARBLES cohort</t>
        </is>
      </c>
      <c r="D90" s="12" t="n"/>
      <c r="E90" s="12" t="n"/>
      <c r="F90" s="12" t="n"/>
      <c r="G90" s="4" t="inlineStr">
        <is>
          <t>Pending classification from source</t>
        </is>
      </c>
      <c r="H90" s="4" t="n">
        <v>1</v>
      </c>
      <c r="I90" s="4" t="inlineStr">
        <is>
          <t>Other</t>
        </is>
      </c>
      <c r="J90" s="4" t="inlineStr">
        <is>
          <t>Epidemiologic multinomial logistic regression (not ML/AI). Outcome categories ASD / Non-TD / TD at 3 years</t>
        </is>
      </c>
      <c r="K90" s="4" t="str"/>
      <c r="L90" s="4" t="inlineStr">
        <is>
          <t>https://doi.org/10.1016/j.envres.2018.12.061</t>
        </is>
      </c>
      <c r="M90" s="4" t="n"/>
      <c r="N90" s="12" t="n"/>
      <c r="O90" s="41" t="n"/>
      <c r="P90" s="4" t="inlineStr">
        <is>
          <t>Confirmed only when AI was actually evaluated/used within the stated workflow or intervention; intended use alone = Proposed only</t>
        </is>
      </c>
      <c r="Q90" s="4">
        <f>IF(COUNTIFS('ESTUDIOS'!$A$2:$A$455,$A90,'ESTUDIOS'!$I$2:$I$455,"")&gt;0,"",INDEX('ESTUDIOS'!$I$2:$I$455,MATCH($A90,'ESTUDIOS'!$A$2:$A$455,0)))</f>
        <v/>
      </c>
    </row>
    <row r="91" ht="60" customHeight="1">
      <c r="A91" s="4" t="inlineStr">
        <is>
          <t>97</t>
        </is>
      </c>
      <c r="B91" s="4" t="inlineStr">
        <is>
          <t>Historical</t>
        </is>
      </c>
      <c r="C91" s="4" t="inlineStr">
        <is>
          <t>Predicting Core Characteristics of ASD Through Facial Emotion Recognition and Eye Tracking in Youth.</t>
        </is>
      </c>
      <c r="D91" s="12" t="n"/>
      <c r="E91" s="12" t="n"/>
      <c r="F91" s="12" t="n"/>
      <c r="G91" s="4" t="inlineStr">
        <is>
          <t>Pending classification from source</t>
        </is>
      </c>
      <c r="H91" s="4" t="n">
        <v>1</v>
      </c>
      <c r="I91" s="4" t="inlineStr">
        <is>
          <t>Regression (score / severity / risk)</t>
        </is>
      </c>
      <c r="J91" s="4" t="inlineStr">
        <is>
          <t>aunque el paper comenta que el enfoque “may serve as a classifier for ASD diagnosis” y muestra ROC para clasificación, el pipeline principal reportado es regresión de puntajes; por eso conviene codificarlo como Regression</t>
        </is>
      </c>
      <c r="K91" s="4" t="str"/>
      <c r="L91" s="4" t="inlineStr">
        <is>
          <t>https://doi.org/10.1109/embc44109.2020.9176843</t>
        </is>
      </c>
      <c r="M91" s="4" t="n"/>
      <c r="N91" s="12" t="n"/>
      <c r="O91" s="41" t="n"/>
      <c r="P91" s="4" t="inlineStr">
        <is>
          <t>Confirmed only when AI was actually evaluated/used within the stated workflow or intervention; intended use alone = Proposed only</t>
        </is>
      </c>
      <c r="Q91" s="4">
        <f>IF(COUNTIFS('ESTUDIOS'!$A$2:$A$455,$A91,'ESTUDIOS'!$I$2:$I$455,"")&gt;0,"",INDEX('ESTUDIOS'!$I$2:$I$455,MATCH($A91,'ESTUDIOS'!$A$2:$A$455,0)))</f>
        <v/>
      </c>
    </row>
    <row r="92" ht="47" customHeight="1">
      <c r="A92" s="4" t="inlineStr">
        <is>
          <t>98</t>
        </is>
      </c>
      <c r="B92" s="4" t="inlineStr">
        <is>
          <t>Historical</t>
        </is>
      </c>
      <c r="C92" s="4" t="inlineStr">
        <is>
          <t>Self-supervised machine learning approach for autism detection in young children using MEG signals</t>
        </is>
      </c>
      <c r="D92" s="12" t="n"/>
      <c r="E92" s="12" t="n"/>
      <c r="F92" s="12" t="n"/>
      <c r="G92" s="4" t="inlineStr">
        <is>
          <t>Pending classification from source</t>
        </is>
      </c>
      <c r="H92" s="4" t="n">
        <v>1</v>
      </c>
      <c r="I92" s="4" t="inlineStr">
        <is>
          <t>Classification (ASD vs control / multi-class)</t>
        </is>
      </c>
      <c r="J92" s="4" t="inlineStr">
        <is>
          <t>SSL con wav2vec 2.0 para extraer embeddings MEG; clasificación final con ANN/SVM.</t>
        </is>
      </c>
      <c r="K92" s="4" t="str"/>
      <c r="L92" s="4" t="inlineStr">
        <is>
          <t>https://doi.org/10.1016/j.bspc.2024.106671</t>
        </is>
      </c>
      <c r="M92" s="4" t="n"/>
      <c r="N92" s="12" t="n"/>
      <c r="O92" s="41" t="n"/>
      <c r="P92" s="4" t="inlineStr">
        <is>
          <t>Confirmed only when AI was actually evaluated/used within the stated workflow or intervention; intended use alone = Proposed only</t>
        </is>
      </c>
      <c r="Q92" s="4">
        <f>IF(COUNTIFS('ESTUDIOS'!$A$2:$A$455,$A92,'ESTUDIOS'!$I$2:$I$455,"")&gt;0,"",INDEX('ESTUDIOS'!$I$2:$I$455,MATCH($A92,'ESTUDIOS'!$A$2:$A$455,0)))</f>
        <v/>
      </c>
    </row>
    <row r="93" ht="47" customHeight="1">
      <c r="A93" s="4" t="inlineStr">
        <is>
          <t>99</t>
        </is>
      </c>
      <c r="B93" s="4" t="inlineStr">
        <is>
          <t>Historical</t>
        </is>
      </c>
      <c r="C93" s="4" t="inlineStr">
        <is>
          <t>Serum Brain-derived neurotrophic factor levels in Chinese children with autism spectrum disorders: A pilot study</t>
        </is>
      </c>
      <c r="D93" s="12" t="n"/>
      <c r="E93" s="12" t="n"/>
      <c r="F93" s="12" t="n"/>
      <c r="G93" s="4" t="inlineStr">
        <is>
          <t>Pending classification from source</t>
        </is>
      </c>
      <c r="H93" s="4" t="n">
        <v>0</v>
      </c>
      <c r="I93" s="4" t="inlineStr">
        <is>
          <t>Other / Not clear</t>
        </is>
      </c>
      <c r="J93" s="4" t="inlineStr">
        <is>
          <t>Estudio de biomarcador sérico (BDNF) con ROC; no se describe algoritmo de IA/ML principal.</t>
        </is>
      </c>
      <c r="K93" s="4" t="inlineStr">
        <is>
          <t>Serum BDNF/ROC biomarker association; no AI/ML clinical system.</t>
        </is>
      </c>
      <c r="L93" s="4" t="inlineStr">
        <is>
          <t>https://doi.org/10.1016/j.ijdevneu.2014.06.013</t>
        </is>
      </c>
      <c r="M93" s="4" t="n"/>
      <c r="N93" s="12" t="n"/>
      <c r="O93" s="41" t="n"/>
      <c r="P93" s="4" t="inlineStr">
        <is>
          <t>Confirmed only when AI was actually evaluated/used within the stated workflow or intervention; intended use alone = Proposed only</t>
        </is>
      </c>
      <c r="Q93" s="4">
        <f>IF(COUNTIFS('ESTUDIOS'!$A$2:$A$455,$A93,'ESTUDIOS'!$I$2:$I$455,"")&gt;0,"",INDEX('ESTUDIOS'!$I$2:$I$455,MATCH($A93,'ESTUDIOS'!$A$2:$A$455,0)))</f>
        <v/>
      </c>
    </row>
    <row r="94" ht="47" customHeight="1">
      <c r="A94" s="4" t="inlineStr">
        <is>
          <t>100</t>
        </is>
      </c>
      <c r="B94" s="4" t="inlineStr">
        <is>
          <t>Historical</t>
        </is>
      </c>
      <c r="C94" s="4" t="inlineStr">
        <is>
          <t>Sex Differences in Functional Gradients and Dynamic Functional Connectivity in Preschool-Aged Children With ASD</t>
        </is>
      </c>
      <c r="D94" s="12" t="n"/>
      <c r="E94" s="12" t="n"/>
      <c r="F94" s="12" t="n"/>
      <c r="G94" s="4" t="inlineStr">
        <is>
          <t>Pending classification from source</t>
        </is>
      </c>
      <c r="H94" s="4" t="n">
        <v>0</v>
      </c>
      <c r="I94" s="4" t="inlineStr">
        <is>
          <t>Classification (ASD vs control / multi-class)</t>
        </is>
      </c>
      <c r="J94" s="4" t="inlineStr">
        <is>
          <t>Se aplican múltiples modelos ML a características de conectividad/gradientes; algoritmo principal no especificado.</t>
        </is>
      </c>
      <c r="K94" s="4" t="str"/>
      <c r="L94" s="4" t="inlineStr">
        <is>
          <t>https://doi.org/10.1111/cns.70562</t>
        </is>
      </c>
      <c r="M94" s="4" t="n"/>
      <c r="N94" s="12" t="n"/>
      <c r="O94" s="41" t="n"/>
      <c r="P94" s="4" t="inlineStr">
        <is>
          <t>Confirmed only when AI was actually evaluated/used within the stated workflow or intervention; intended use alone = Proposed only</t>
        </is>
      </c>
      <c r="Q94" s="4">
        <f>IF(COUNTIFS('ESTUDIOS'!$A$2:$A$455,$A94,'ESTUDIOS'!$I$2:$I$455,"")&gt;0,"",INDEX('ESTUDIOS'!$I$2:$I$455,MATCH($A94,'ESTUDIOS'!$A$2:$A$455,0)))</f>
        <v/>
      </c>
    </row>
    <row r="95" ht="47" customHeight="1">
      <c r="A95" s="4" t="inlineStr">
        <is>
          <t>102</t>
        </is>
      </c>
      <c r="B95" s="4" t="inlineStr">
        <is>
          <t>Historical</t>
        </is>
      </c>
      <c r="C95" s="4" t="inlineStr">
        <is>
          <t>Toward continuous social phenotyping: Analyzing gaze patterns in an emotion recognition task for children with autism through wearable smart glasses</t>
        </is>
      </c>
      <c r="D95" s="12" t="n"/>
      <c r="E95" s="12" t="n"/>
      <c r="F95" s="12" t="n"/>
      <c r="G95" s="4" t="inlineStr">
        <is>
          <t>Pending classification from source</t>
        </is>
      </c>
      <c r="H95" s="4" t="n">
        <v>1</v>
      </c>
      <c r="I95" s="4" t="inlineStr">
        <is>
          <t>Classification (ASD vs control / multi-class)</t>
        </is>
      </c>
      <c r="J95" s="4" t="inlineStr">
        <is>
          <t>Algoritmo principal no explícito o fuera del codebook; Confirmar algoritmo principal en full-text; Se comparan varios modelos; se eligió el principal/mejor reportado</t>
        </is>
      </c>
      <c r="K95" s="4" t="str"/>
      <c r="L95" s="4" t="inlineStr">
        <is>
          <t>https://doi.org/10.2196/13810</t>
        </is>
      </c>
      <c r="M95" s="4" t="n"/>
      <c r="N95" s="12" t="n"/>
      <c r="O95" s="41" t="n"/>
      <c r="P95" s="4" t="inlineStr">
        <is>
          <t>Confirmed only when AI was actually evaluated/used within the stated workflow or intervention; intended use alone = Proposed only</t>
        </is>
      </c>
      <c r="Q95" s="4">
        <f>IF(COUNTIFS('ESTUDIOS'!$A$2:$A$455,$A95,'ESTUDIOS'!$I$2:$I$455,"")&gt;0,"",INDEX('ESTUDIOS'!$I$2:$I$455,MATCH($A95,'ESTUDIOS'!$A$2:$A$455,0)))</f>
        <v/>
      </c>
    </row>
    <row r="96" ht="60" customHeight="1">
      <c r="A96" s="4" t="inlineStr">
        <is>
          <t>103</t>
        </is>
      </c>
      <c r="B96" s="4" t="inlineStr">
        <is>
          <t>Historical</t>
        </is>
      </c>
      <c r="C96" s="4" t="inlineStr">
        <is>
          <t>Using machine learning to identify patterns of lifetime health problems in decedents with autism spectrum disorder</t>
        </is>
      </c>
      <c r="D96" s="12" t="n"/>
      <c r="E96" s="12" t="n"/>
      <c r="F96" s="12" t="n"/>
      <c r="G96" s="4" t="inlineStr">
        <is>
          <t>Pending classification from source</t>
        </is>
      </c>
      <c r="H96" s="4" t="n">
        <v>1</v>
      </c>
      <c r="I96" s="4" t="inlineStr">
        <is>
          <t>Classification (binary/multi-class; incl. ASD vs control)/ multi-class)</t>
        </is>
      </c>
      <c r="J96" s="4" t="inlineStr">
        <is>
          <t>la clasificación se hace a partir de códigos ICD-9/V/E de EHR en decedentes, para distinguir patrones de salud de por vida (no es biomarcador directo ni herramienta clínica prospectiva).</t>
        </is>
      </c>
      <c r="K96" s="4" t="str"/>
      <c r="L96" s="4" t="inlineStr">
        <is>
          <t>https://doi.org/10.1002/aur.1960</t>
        </is>
      </c>
      <c r="M96" s="4" t="n"/>
      <c r="N96" s="12" t="n"/>
      <c r="O96" s="41" t="n"/>
      <c r="P96" s="4" t="inlineStr">
        <is>
          <t>Confirmed only when AI was actually evaluated/used within the stated workflow or intervention; intended use alone = Proposed only</t>
        </is>
      </c>
      <c r="Q96" s="4">
        <f>IF(COUNTIFS('ESTUDIOS'!$A$2:$A$455,$A96,'ESTUDIOS'!$I$2:$I$455,"")&gt;0,"",INDEX('ESTUDIOS'!$I$2:$I$455,MATCH($A96,'ESTUDIOS'!$A$2:$A$455,0)))</f>
        <v/>
      </c>
    </row>
    <row r="97" ht="60" customHeight="1">
      <c r="A97" s="4" t="inlineStr">
        <is>
          <t>104</t>
        </is>
      </c>
      <c r="B97" s="4" t="inlineStr">
        <is>
          <t>Historical</t>
        </is>
      </c>
      <c r="C97" s="4" t="inlineStr">
        <is>
          <t>A Framework for Comparison and Interpretation of Machine Learning Classifiers to Predict Autism on the ABIDE Dataset</t>
        </is>
      </c>
      <c r="D97" s="12" t="n"/>
      <c r="E97" s="12" t="n"/>
      <c r="F97" s="12" t="n"/>
      <c r="G97" s="4" t="inlineStr">
        <is>
          <t>Pending classification from source</t>
        </is>
      </c>
      <c r="H97" s="4" t="n">
        <v>1</v>
      </c>
      <c r="I97" s="4" t="inlineStr">
        <is>
          <t>Classification (binary/multi-class; incl. ASD vs control)/ multi-class)</t>
        </is>
      </c>
      <c r="J97" s="4" t="inlineStr">
        <is>
          <t>este paper es benchmark/comparación bajo un marco estandarizado; reporta que el mayor desempeño se obtiene con ensemble y resultados cercanos entre modelos (GCN/EV-GCN/FCN/AE-FCN/SVM)</t>
        </is>
      </c>
      <c r="K97" s="4" t="str"/>
      <c r="L97" s="4" t="inlineStr">
        <is>
          <t>https://doi.org/10.1002/hbm.70190</t>
        </is>
      </c>
      <c r="M97" s="4" t="n"/>
      <c r="N97" s="12" t="n"/>
      <c r="O97" s="41" t="n"/>
      <c r="P97" s="4" t="inlineStr">
        <is>
          <t>Confirmed only when AI was actually evaluated/used within the stated workflow or intervention; intended use alone = Proposed only</t>
        </is>
      </c>
      <c r="Q97" s="4">
        <f>IF(COUNTIFS('ESTUDIOS'!$A$2:$A$455,$A97,'ESTUDIOS'!$I$2:$I$455,"")&gt;0,"",INDEX('ESTUDIOS'!$I$2:$I$455,MATCH($A97,'ESTUDIOS'!$A$2:$A$455,0)))</f>
        <v/>
      </c>
    </row>
    <row r="98" ht="60" customHeight="1">
      <c r="A98" s="4" t="inlineStr">
        <is>
          <t>105</t>
        </is>
      </c>
      <c r="B98" s="4" t="inlineStr">
        <is>
          <t>Historical</t>
        </is>
      </c>
      <c r="C98" s="4" t="inlineStr">
        <is>
          <t>A Novel Deep Learning Approach for Recognizing Stereotypical Motor Movements within and across Subjects on the Autism Spectrum Disorder</t>
        </is>
      </c>
      <c r="D98" s="12" t="n"/>
      <c r="E98" s="12" t="n"/>
      <c r="F98" s="12" t="n"/>
      <c r="G98" s="4" t="inlineStr">
        <is>
          <t>Pending classification from source</t>
        </is>
      </c>
      <c r="H98" s="4" t="n">
        <v>1</v>
      </c>
      <c r="I98" s="4" t="inlineStr">
        <is>
          <t>Detection / segmentation</t>
        </is>
      </c>
      <c r="J98" s="4" t="inlineStr">
        <is>
          <t>para el escenario across-subjects combinan transfer learning + SVM classifier. Si tu Excel solo permite un algoritmo principal, deja CNN como principal y anota “SVM + transfer learning para across-subject”</t>
        </is>
      </c>
      <c r="K98" s="4" t="str"/>
      <c r="L98" s="4" t="inlineStr">
        <is>
          <t>https://doi.org/10.1155/2018/7186762</t>
        </is>
      </c>
      <c r="M98" s="4" t="n"/>
      <c r="N98" s="12" t="n"/>
      <c r="O98" s="41" t="n"/>
      <c r="P98" s="4" t="inlineStr">
        <is>
          <t>Confirmed only when AI was actually evaluated/used within the stated workflow or intervention; intended use alone = Proposed only</t>
        </is>
      </c>
      <c r="Q98" s="4">
        <f>IF(COUNTIFS('ESTUDIOS'!$A$2:$A$455,$A98,'ESTUDIOS'!$I$2:$I$455,"")&gt;0,"",INDEX('ESTUDIOS'!$I$2:$I$455,MATCH($A98,'ESTUDIOS'!$A$2:$A$455,0)))</f>
        <v/>
      </c>
    </row>
    <row r="99" ht="60" customHeight="1">
      <c r="A99" s="4" t="inlineStr">
        <is>
          <t>106</t>
        </is>
      </c>
      <c r="B99" s="4" t="inlineStr">
        <is>
          <t>Historical</t>
        </is>
      </c>
      <c r="C99" s="4" t="inlineStr">
        <is>
          <t>Analysis of variant interactions in families with autism points to genes involved in the development of the central nervous system</t>
        </is>
      </c>
      <c r="D99" s="12" t="n"/>
      <c r="E99" s="12" t="n"/>
      <c r="F99" s="12" t="n"/>
      <c r="G99" s="4" t="inlineStr">
        <is>
          <t>Pending classification from source</t>
        </is>
      </c>
      <c r="H99" s="4" t="n">
        <v>0</v>
      </c>
      <c r="I99" s="4" t="inlineStr">
        <is>
          <t>Classification (binary/multi-class; incl. ASD vs control)/ multi-class)</t>
        </is>
      </c>
      <c r="J99" s="4" t="inlineStr">
        <is>
          <t>además del predictor supervisado, el paper también hace clustering de muestras para explorar heterogeneidad (menciona K-means y propone PAM/medoids por interpretabilidad en datos binarios)</t>
        </is>
      </c>
      <c r="K99" s="4" t="str"/>
      <c r="L99" s="4" t="inlineStr">
        <is>
          <t>https://doi.org/10.1371/journal.pone.0326022</t>
        </is>
      </c>
      <c r="M99" s="4" t="n"/>
      <c r="N99" s="12" t="n"/>
      <c r="O99" s="41" t="n"/>
      <c r="P99" s="4" t="inlineStr">
        <is>
          <t>Confirmed only when AI was actually evaluated/used within the stated workflow or intervention; intended use alone = Proposed only</t>
        </is>
      </c>
      <c r="Q99" s="4">
        <f>IF(COUNTIFS('ESTUDIOS'!$A$2:$A$455,$A99,'ESTUDIOS'!$I$2:$I$455,"")&gt;0,"",INDEX('ESTUDIOS'!$I$2:$I$455,MATCH($A99,'ESTUDIOS'!$A$2:$A$455,0)))</f>
        <v/>
      </c>
    </row>
    <row r="100" ht="60" customHeight="1">
      <c r="A100" s="4" t="inlineStr">
        <is>
          <t>107</t>
        </is>
      </c>
      <c r="B100" s="4" t="inlineStr">
        <is>
          <t>Historical</t>
        </is>
      </c>
      <c r="C100" s="4" t="inlineStr">
        <is>
          <t>Detecting High-Functioning Autism in Adults Using Eye Tracking and Machine Learning</t>
        </is>
      </c>
      <c r="D100" s="12" t="n"/>
      <c r="E100" s="12" t="n"/>
      <c r="F100" s="12" t="n"/>
      <c r="G100" s="4" t="inlineStr">
        <is>
          <t>Pending classification from source</t>
        </is>
      </c>
      <c r="H100" s="4" t="n">
        <v>1</v>
      </c>
      <c r="I100" s="4" t="inlineStr">
        <is>
          <t>Classification (binary/multi-class; incl. ASD vs control)/ multi-class)</t>
        </is>
      </c>
      <c r="J100" s="4" t="str"/>
      <c r="K100" s="4" t="str"/>
      <c r="L100" s="4" t="inlineStr">
        <is>
          <t>https://doi.org/10.1109/tnsre.2020.2991675</t>
        </is>
      </c>
      <c r="M100" s="4" t="n"/>
      <c r="N100" s="12" t="n"/>
      <c r="O100" s="41" t="n"/>
      <c r="P100" s="4" t="inlineStr">
        <is>
          <t>Confirmed only when AI was actually evaluated/used within the stated workflow or intervention; intended use alone = Proposed only</t>
        </is>
      </c>
      <c r="Q100" s="4">
        <f>IF(COUNTIFS('ESTUDIOS'!$A$2:$A$455,$A100,'ESTUDIOS'!$I$2:$I$455,"")&gt;0,"",INDEX('ESTUDIOS'!$I$2:$I$455,MATCH($A100,'ESTUDIOS'!$A$2:$A$455,0)))</f>
        <v/>
      </c>
    </row>
    <row r="101" ht="47" customHeight="1">
      <c r="A101" s="4" t="inlineStr">
        <is>
          <t>108</t>
        </is>
      </c>
      <c r="B101" s="4" t="inlineStr">
        <is>
          <t>Historical</t>
        </is>
      </c>
      <c r="C101" s="4" t="inlineStr">
        <is>
          <t>Identification of neural connectivity signatures of autism using machine learning</t>
        </is>
      </c>
      <c r="D101" s="12" t="n"/>
      <c r="E101" s="12" t="n"/>
      <c r="F101" s="12" t="n"/>
      <c r="G101" s="4" t="inlineStr">
        <is>
          <t>Pending classification from source</t>
        </is>
      </c>
      <c r="H101" s="4" t="n">
        <v>1</v>
      </c>
      <c r="I101" s="4" t="inlineStr">
        <is>
          <t>Classification (ASD vs control / multi-class)</t>
        </is>
      </c>
      <c r="J101" s="4" t="inlineStr">
        <is>
          <t>Se comparan varios modelos; se eligió el principal/mejor reportado</t>
        </is>
      </c>
      <c r="K101" s="4" t="str"/>
      <c r="L101" s="4" t="inlineStr">
        <is>
          <t>https://doi.org/10.3389/fnhum.2013.00670/full</t>
        </is>
      </c>
      <c r="M101" s="4" t="n"/>
      <c r="N101" s="12" t="n"/>
      <c r="O101" s="41" t="n"/>
      <c r="P101" s="4" t="inlineStr">
        <is>
          <t>Confirmed only when AI was actually evaluated/used within the stated workflow or intervention; intended use alone = Proposed only</t>
        </is>
      </c>
      <c r="Q101" s="4">
        <f>IF(COUNTIFS('ESTUDIOS'!$A$2:$A$455,$A101,'ESTUDIOS'!$I$2:$I$455,"")&gt;0,"",INDEX('ESTUDIOS'!$I$2:$I$455,MATCH($A101,'ESTUDIOS'!$A$2:$A$455,0)))</f>
        <v/>
      </c>
    </row>
    <row r="102" ht="47" customHeight="1">
      <c r="A102" s="4" t="inlineStr">
        <is>
          <t>109</t>
        </is>
      </c>
      <c r="B102" s="4" t="inlineStr">
        <is>
          <t>Historical</t>
        </is>
      </c>
      <c r="C102" s="4" t="inlineStr">
        <is>
          <t>Identifying autism from neural representations of social interactions: Neurocognitive markers of autism</t>
        </is>
      </c>
      <c r="D102" s="12" t="n"/>
      <c r="E102" s="12" t="n"/>
      <c r="F102" s="12" t="n"/>
      <c r="G102" s="4" t="inlineStr">
        <is>
          <t>Pending classification from source</t>
        </is>
      </c>
      <c r="H102" s="4" t="n">
        <v>1</v>
      </c>
      <c r="I102" s="4" t="inlineStr">
        <is>
          <t>Classification (ASD vs control / multi-class)</t>
        </is>
      </c>
      <c r="J102" s="4" t="inlineStr">
        <is>
          <t>Algoritmo principal no explícito o fuera del codebook; Confirmar algoritmo principal en full-text</t>
        </is>
      </c>
      <c r="K102" s="4" t="str"/>
      <c r="L102" s="4" t="inlineStr">
        <is>
          <t>https://doi.org/10.1371/journal.pone.0113879</t>
        </is>
      </c>
      <c r="M102" s="4" t="n"/>
      <c r="N102" s="12" t="n"/>
      <c r="O102" s="41" t="n"/>
      <c r="P102" s="4" t="inlineStr">
        <is>
          <t>Confirmed only when AI was actually evaluated/used within the stated workflow or intervention; intended use alone = Proposed only</t>
        </is>
      </c>
      <c r="Q102" s="4">
        <f>IF(COUNTIFS('ESTUDIOS'!$A$2:$A$455,$A102,'ESTUDIOS'!$I$2:$I$455,"")&gt;0,"",INDEX('ESTUDIOS'!$I$2:$I$455,MATCH($A102,'ESTUDIOS'!$A$2:$A$455,0)))</f>
        <v/>
      </c>
    </row>
    <row r="103" ht="47" customHeight="1">
      <c r="A103" s="4" t="inlineStr">
        <is>
          <t>110</t>
        </is>
      </c>
      <c r="B103" s="4" t="inlineStr">
        <is>
          <t>Historical</t>
        </is>
      </c>
      <c r="C103" s="4" t="inlineStr">
        <is>
          <t>Identifying Language and Cognitive Profiles in Children With ASD via a Cluster Analysis Exploration: Implications for the New ICD-11</t>
        </is>
      </c>
      <c r="D103" s="12" t="n"/>
      <c r="E103" s="12" t="n"/>
      <c r="F103" s="12" t="n"/>
      <c r="G103" s="4" t="inlineStr">
        <is>
          <t>Pending classification from source</t>
        </is>
      </c>
      <c r="H103" s="4" t="n">
        <v>0</v>
      </c>
      <c r="I103" s="4" t="inlineStr">
        <is>
          <t>Clustering / subtyping</t>
        </is>
      </c>
      <c r="J103" s="4" t="str"/>
      <c r="K103" s="4" t="str"/>
      <c r="L103" s="4" t="inlineStr">
        <is>
          <t>https://doi.org/10.1002/aur.2268</t>
        </is>
      </c>
      <c r="M103" s="4" t="n"/>
      <c r="N103" s="12" t="n"/>
      <c r="O103" s="41" t="n"/>
      <c r="P103" s="4" t="inlineStr">
        <is>
          <t>Confirmed only when AI was actually evaluated/used within the stated workflow or intervention; intended use alone = Proposed only</t>
        </is>
      </c>
      <c r="Q103" s="4">
        <f>IF(COUNTIFS('ESTUDIOS'!$A$2:$A$455,$A103,'ESTUDIOS'!$I$2:$I$455,"")&gt;0,"",INDEX('ESTUDIOS'!$I$2:$I$455,MATCH($A103,'ESTUDIOS'!$A$2:$A$455,0)))</f>
        <v/>
      </c>
    </row>
    <row r="104" ht="47" customHeight="1">
      <c r="A104" s="4" t="inlineStr">
        <is>
          <t>111</t>
        </is>
      </c>
      <c r="B104" s="4" t="inlineStr">
        <is>
          <t>Historical</t>
        </is>
      </c>
      <c r="C104" s="4" t="inlineStr">
        <is>
          <t>On the Utility of Parents' Historical Data to Investigate the Causes of Autism Spectrum Disorder: A Data Mining-Based Framework</t>
        </is>
      </c>
      <c r="D104" s="12" t="n"/>
      <c r="E104" s="12" t="n"/>
      <c r="F104" s="12" t="n"/>
      <c r="G104" s="4" t="inlineStr">
        <is>
          <t>Pending classification from source</t>
        </is>
      </c>
      <c r="H104" s="4" t="n">
        <v>0</v>
      </c>
      <c r="I104" s="4" t="inlineStr">
        <is>
          <t>Classification (ASD vs control / multi-class)</t>
        </is>
      </c>
      <c r="J104" s="4" t="inlineStr">
        <is>
          <t>Usa historia parental/perinatal estructurada para modelar riesgo/causas; mezcla clustering y predicción sin algoritmo principal claro.</t>
        </is>
      </c>
      <c r="K104" s="4" t="str"/>
      <c r="L104" s="4" t="inlineStr">
        <is>
          <t>https://doi.org/10.1016/j.irbm.2023.100780</t>
        </is>
      </c>
      <c r="M104" s="4" t="n"/>
      <c r="N104" s="12" t="n"/>
      <c r="O104" s="41" t="n"/>
      <c r="P104" s="4" t="inlineStr">
        <is>
          <t>Confirmed only when AI was actually evaluated/used within the stated workflow or intervention; intended use alone = Proposed only</t>
        </is>
      </c>
      <c r="Q104" s="4">
        <f>IF(COUNTIFS('ESTUDIOS'!$A$2:$A$455,$A104,'ESTUDIOS'!$I$2:$I$455,"")&gt;0,"",INDEX('ESTUDIOS'!$I$2:$I$455,MATCH($A104,'ESTUDIOS'!$A$2:$A$455,0)))</f>
        <v/>
      </c>
    </row>
    <row r="105" ht="47" customHeight="1">
      <c r="A105" s="4" t="inlineStr">
        <is>
          <t>112</t>
        </is>
      </c>
      <c r="B105" s="4" t="inlineStr">
        <is>
          <t>Historical</t>
        </is>
      </c>
      <c r="C105" s="4" t="inlineStr">
        <is>
          <t>Structural variants identified using non-Mendelian inheritance patterns advance the mechanistic understanding of autism spectrum disorder</t>
        </is>
      </c>
      <c r="D105" s="12" t="n"/>
      <c r="E105" s="12" t="n"/>
      <c r="F105" s="12" t="n"/>
      <c r="G105" s="4" t="inlineStr">
        <is>
          <t>Pending classification from source</t>
        </is>
      </c>
      <c r="H105" s="4" t="n">
        <v>1</v>
      </c>
      <c r="I105" s="4" t="inlineStr">
        <is>
          <t>Clustering / subtyping</t>
        </is>
      </c>
      <c r="J105" s="4" t="inlineStr">
        <is>
          <t>Estudio genómico/estructural sin sistema IA clínico claramente codificable en el abstract.</t>
        </is>
      </c>
      <c r="K105" s="4" t="str"/>
      <c r="L105" s="4" t="inlineStr">
        <is>
          <t>https://doi.org/10.1016/j.xhgg.2022.100150</t>
        </is>
      </c>
      <c r="M105" s="4" t="n"/>
      <c r="N105" s="12" t="n"/>
      <c r="O105" s="41" t="n"/>
      <c r="P105" s="4" t="inlineStr">
        <is>
          <t>Confirmed only when AI was actually evaluated/used within the stated workflow or intervention; intended use alone = Proposed only</t>
        </is>
      </c>
      <c r="Q105" s="4">
        <f>IF(COUNTIFS('ESTUDIOS'!$A$2:$A$455,$A105,'ESTUDIOS'!$I$2:$I$455,"")&gt;0,"",INDEX('ESTUDIOS'!$I$2:$I$455,MATCH($A105,'ESTUDIOS'!$A$2:$A$455,0)))</f>
        <v/>
      </c>
    </row>
    <row r="106" ht="60" customHeight="1">
      <c r="A106" s="4" t="inlineStr">
        <is>
          <t>113</t>
        </is>
      </c>
      <c r="B106" s="4" t="inlineStr">
        <is>
          <t>Historical</t>
        </is>
      </c>
      <c r="C106" s="4" t="inlineStr">
        <is>
          <t>Transient hearing abnormalities precede social deficits in a mouse model of autism</t>
        </is>
      </c>
      <c r="D106" s="12" t="n"/>
      <c r="E106" s="12" t="n"/>
      <c r="F106" s="12" t="n"/>
      <c r="G106" s="4" t="inlineStr">
        <is>
          <t>Pending classification from source</t>
        </is>
      </c>
      <c r="H106" s="4" t="n">
        <v>1</v>
      </c>
      <c r="I106" s="4" t="inlineStr">
        <is>
          <t>Classification (binary/multi-class; incl. ASD vs control)/ multi-class)</t>
        </is>
      </c>
      <c r="J106" s="4" t="inlineStr">
        <is>
          <t>Animal model; ML predicts genotype from ABR features (not ASD-vs-control clinical classification). Used as early risk indicator</t>
        </is>
      </c>
      <c r="K106" s="4" t="str"/>
      <c r="L106" s="4" t="inlineStr">
        <is>
          <t>https://doi.org/10.1016/j.bbr.2022.114149</t>
        </is>
      </c>
      <c r="M106" s="4" t="n"/>
      <c r="N106" s="12" t="n"/>
      <c r="O106" s="41" t="n"/>
      <c r="P106" s="4" t="inlineStr">
        <is>
          <t>Confirmed only when AI was actually evaluated/used within the stated workflow or intervention; intended use alone = Proposed only</t>
        </is>
      </c>
      <c r="Q106" s="4">
        <f>IF(COUNTIFS('ESTUDIOS'!$A$2:$A$455,$A106,'ESTUDIOS'!$I$2:$I$455,"")&gt;0,"",INDEX('ESTUDIOS'!$I$2:$I$455,MATCH($A106,'ESTUDIOS'!$A$2:$A$455,0)))</f>
        <v/>
      </c>
    </row>
    <row r="107" ht="47" customHeight="1">
      <c r="A107" s="4" t="inlineStr">
        <is>
          <t>114</t>
        </is>
      </c>
      <c r="B107" s="4" t="inlineStr">
        <is>
          <t>Historical</t>
        </is>
      </c>
      <c r="C107" s="4" t="inlineStr">
        <is>
          <t>Early-stage identification of autism in children using gesture monitoring based on artificial intelligence</t>
        </is>
      </c>
      <c r="D107" s="12" t="n"/>
      <c r="E107" s="12" t="n"/>
      <c r="F107" s="12" t="n"/>
      <c r="G107" s="4" t="inlineStr">
        <is>
          <t>Pending classification from source</t>
        </is>
      </c>
      <c r="H107" s="4" t="n">
        <v>1</v>
      </c>
      <c r="I107" s="4" t="n"/>
      <c r="J107" s="4" t="str"/>
      <c r="K107" s="4" t="str"/>
      <c r="L107" s="4" t="inlineStr">
        <is>
          <t>https://doi.org/10.1016/b978-0-443-19073-5.00018-5</t>
        </is>
      </c>
      <c r="M107" s="4" t="n"/>
      <c r="N107" s="12" t="n"/>
      <c r="O107" s="41" t="n"/>
      <c r="P107" s="4" t="inlineStr">
        <is>
          <t>Confirmed only when AI was actually evaluated/used within the stated workflow or intervention; intended use alone = Proposed only</t>
        </is>
      </c>
      <c r="Q107" s="4">
        <f>IF(COUNTIFS('ESTUDIOS'!$A$2:$A$455,$A107,'ESTUDIOS'!$I$2:$I$455,"")&gt;0,"",INDEX('ESTUDIOS'!$I$2:$I$455,MATCH($A107,'ESTUDIOS'!$A$2:$A$455,0)))</f>
        <v/>
      </c>
    </row>
    <row r="108" ht="60" customHeight="1">
      <c r="A108" s="4" t="inlineStr">
        <is>
          <t>115</t>
        </is>
      </c>
      <c r="B108" s="4" t="inlineStr">
        <is>
          <t>Historical</t>
        </is>
      </c>
      <c r="C108" s="4" t="inlineStr">
        <is>
          <t>Electromagnetic Interaction Algorithm (EIA)-Based Feature Selection With Adaptive Kernel Attention Network (AKAttNet) for Autism Spectrum Disorder Classification</t>
        </is>
      </c>
      <c r="D108" s="12" t="n"/>
      <c r="E108" s="12" t="n"/>
      <c r="F108" s="12" t="n"/>
      <c r="G108" s="4" t="inlineStr">
        <is>
          <t>Pending classification from source</t>
        </is>
      </c>
      <c r="H108" s="4" t="n">
        <v>1</v>
      </c>
      <c r="I108" s="4" t="inlineStr">
        <is>
          <t>Classification (ASD vs control / multi-class)</t>
        </is>
      </c>
      <c r="J108" s="4" t="inlineStr">
        <is>
          <t>Algoritmo principal no explícito o fuera del codebook; Confirmar algoritmo principal en full-text; Se comparan varios modelos; se eligió el principal/mejor reportado</t>
        </is>
      </c>
      <c r="K108" s="4" t="str"/>
      <c r="L108" s="4" t="inlineStr">
        <is>
          <t>https://doi.org/10.1002/jdn.70034</t>
        </is>
      </c>
      <c r="M108" s="4" t="n"/>
      <c r="N108" s="12" t="n"/>
      <c r="O108" s="41" t="n"/>
      <c r="P108" s="4" t="inlineStr">
        <is>
          <t>Confirmed only when AI was actually evaluated/used within the stated workflow or intervention; intended use alone = Proposed only</t>
        </is>
      </c>
      <c r="Q108" s="4">
        <f>IF(COUNTIFS('ESTUDIOS'!$A$2:$A$455,$A108,'ESTUDIOS'!$I$2:$I$455,"")&gt;0,"",INDEX('ESTUDIOS'!$I$2:$I$455,MATCH($A108,'ESTUDIOS'!$A$2:$A$455,0)))</f>
        <v/>
      </c>
    </row>
    <row r="109" ht="47" customHeight="1">
      <c r="A109" s="4" t="inlineStr">
        <is>
          <t>116</t>
        </is>
      </c>
      <c r="B109" s="4" t="inlineStr">
        <is>
          <t>Historical</t>
        </is>
      </c>
      <c r="C109" s="4" t="inlineStr">
        <is>
          <t>Use of machine learning for behavioral distinction of autism and ADHD</t>
        </is>
      </c>
      <c r="D109" s="12" t="n"/>
      <c r="E109" s="12" t="n"/>
      <c r="F109" s="12" t="n"/>
      <c r="G109" s="4" t="inlineStr">
        <is>
          <t>Pending classification from source</t>
        </is>
      </c>
      <c r="H109" s="4" t="n">
        <v>1</v>
      </c>
      <c r="I109" s="4" t="inlineStr">
        <is>
          <t>Classification (ASD vs control / multi-class)</t>
        </is>
      </c>
      <c r="J109" s="4" t="inlineStr">
        <is>
          <t>Usa puntajes SRS para distinguir ASD vs ADHD; aunque es herramienta de cribado, el objetivo es distinción diagnóstica diferencial.</t>
        </is>
      </c>
      <c r="K109" s="4" t="str"/>
      <c r="L109" s="4" t="inlineStr">
        <is>
          <t>https://doi.org/10.1038/tp.2015.221</t>
        </is>
      </c>
      <c r="M109" s="4" t="n"/>
      <c r="N109" s="12" t="n"/>
      <c r="O109" s="41" t="n"/>
      <c r="P109" s="4" t="inlineStr">
        <is>
          <t>Confirmed only when AI was actually evaluated/used within the stated workflow or intervention; intended use alone = Proposed only</t>
        </is>
      </c>
      <c r="Q109" s="4">
        <f>IF(COUNTIFS('ESTUDIOS'!$A$2:$A$455,$A109,'ESTUDIOS'!$I$2:$I$455,"")&gt;0,"",INDEX('ESTUDIOS'!$I$2:$I$455,MATCH($A109,'ESTUDIOS'!$A$2:$A$455,0)))</f>
        <v/>
      </c>
    </row>
    <row r="110" ht="47" customHeight="1">
      <c r="A110" s="4" t="inlineStr">
        <is>
          <t>117</t>
        </is>
      </c>
      <c r="B110" s="4" t="inlineStr">
        <is>
          <t>Historical</t>
        </is>
      </c>
      <c r="C110" s="4" t="inlineStr">
        <is>
          <t>A Machine Learning Strategy for Autism Screening in Toddlers</t>
        </is>
      </c>
      <c r="D110" s="12" t="n"/>
      <c r="E110" s="12" t="n"/>
      <c r="F110" s="12" t="n"/>
      <c r="G110" s="4" t="inlineStr">
        <is>
          <t>Pending classification from source</t>
        </is>
      </c>
      <c r="H110" s="4" t="n">
        <v>1</v>
      </c>
      <c r="I110" s="4" t="inlineStr">
        <is>
          <t>Classification (ASD vs control / multi-class)</t>
        </is>
      </c>
      <c r="J110" s="4" t="inlineStr">
        <is>
          <t>Feedforward neural network aplicado a M-CHAT-R para cribado en toddlers.</t>
        </is>
      </c>
      <c r="K110" s="4" t="str"/>
      <c r="L110" s="4" t="inlineStr">
        <is>
          <t>https://doi.org/10.1097/dbp.0000000000000668</t>
        </is>
      </c>
      <c r="M110" s="4" t="n"/>
      <c r="N110" s="12" t="n"/>
      <c r="O110" s="41" t="n"/>
      <c r="P110" s="4" t="inlineStr">
        <is>
          <t>Confirmed only when AI was actually evaluated/used within the stated workflow or intervention; intended use alone = Proposed only</t>
        </is>
      </c>
      <c r="Q110" s="4">
        <f>IF(COUNTIFS('ESTUDIOS'!$A$2:$A$455,$A110,'ESTUDIOS'!$I$2:$I$455,"")&gt;0,"",INDEX('ESTUDIOS'!$I$2:$I$455,MATCH($A110,'ESTUDIOS'!$A$2:$A$455,0)))</f>
        <v/>
      </c>
    </row>
    <row r="111" ht="60" customHeight="1">
      <c r="A111" s="4" t="inlineStr">
        <is>
          <t>118</t>
        </is>
      </c>
      <c r="B111" s="4" t="inlineStr">
        <is>
          <t>Historical</t>
        </is>
      </c>
      <c r="C111" s="4" t="inlineStr">
        <is>
          <t>Early detection of autism using digital behavioral phenotyping</t>
        </is>
      </c>
      <c r="D111" s="12" t="n"/>
      <c r="E111" s="12" t="n"/>
      <c r="F111" s="12" t="n"/>
      <c r="G111" s="4" t="inlineStr">
        <is>
          <t>Pending classification from source</t>
        </is>
      </c>
      <c r="H111" s="4" t="n">
        <v>1</v>
      </c>
      <c r="I111" s="4" t="inlineStr">
        <is>
          <t>Classification (binary/multi-class; incl. ASD vs control)/ multi-class)</t>
        </is>
      </c>
      <c r="J111" s="4" t="str"/>
      <c r="K111" s="4" t="str"/>
      <c r="L111" s="4" t="inlineStr">
        <is>
          <t>https://doi.org/10.1038/s41591-023-02574-3</t>
        </is>
      </c>
      <c r="M111" s="4" t="n"/>
      <c r="N111" s="12" t="n"/>
      <c r="O111" s="41" t="n"/>
      <c r="P111" s="4" t="inlineStr">
        <is>
          <t>Confirmed only when AI was actually evaluated/used within the stated workflow or intervention; intended use alone = Proposed only</t>
        </is>
      </c>
      <c r="Q111" s="4">
        <f>IF(COUNTIFS('ESTUDIOS'!$A$2:$A$455,$A111,'ESTUDIOS'!$I$2:$I$455,"")&gt;0,"",INDEX('ESTUDIOS'!$I$2:$I$455,MATCH($A111,'ESTUDIOS'!$A$2:$A$455,0)))</f>
        <v/>
      </c>
    </row>
    <row r="112" ht="47" customHeight="1">
      <c r="A112" s="4" t="inlineStr">
        <is>
          <t>119</t>
        </is>
      </c>
      <c r="B112" s="4" t="inlineStr">
        <is>
          <t>Historical</t>
        </is>
      </c>
      <c r="C112" s="4" t="inlineStr">
        <is>
          <t>Ensemble statistical and subspace clustering model for analysis of autism spectrum disorder phenotypes</t>
        </is>
      </c>
      <c r="D112" s="12" t="n"/>
      <c r="E112" s="12" t="n"/>
      <c r="F112" s="12" t="n"/>
      <c r="G112" s="4" t="inlineStr">
        <is>
          <t>Pending classification from source</t>
        </is>
      </c>
      <c r="H112" s="4" t="n">
        <v>1</v>
      </c>
      <c r="I112" s="4" t="inlineStr">
        <is>
          <t>Clustering / subtyping</t>
        </is>
      </c>
      <c r="J112" s="4" t="inlineStr">
        <is>
          <t>Estudio de subtipificación/heterogeneidad en una cohorte ASD ya confirmada (SSC; ADI-R/ADOS); no clasifica ASD vs control como endpoint principal</t>
        </is>
      </c>
      <c r="K112" s="4" t="str"/>
      <c r="L112" s="4" t="inlineStr">
        <is>
          <t>https://doi.org/10.1109/embc.2016.7591440</t>
        </is>
      </c>
      <c r="M112" s="4" t="n"/>
      <c r="N112" s="12" t="n"/>
      <c r="O112" s="41" t="n"/>
      <c r="P112" s="4" t="inlineStr">
        <is>
          <t>Confirmed only when AI was actually evaluated/used within the stated workflow or intervention; intended use alone = Proposed only</t>
        </is>
      </c>
      <c r="Q112" s="4">
        <f>IF(COUNTIFS('ESTUDIOS'!$A$2:$A$455,$A112,'ESTUDIOS'!$I$2:$I$455,"")&gt;0,"",INDEX('ESTUDIOS'!$I$2:$I$455,MATCH($A112,'ESTUDIOS'!$A$2:$A$455,0)))</f>
        <v/>
      </c>
    </row>
    <row r="113" ht="47" customHeight="1">
      <c r="A113" s="4" t="inlineStr">
        <is>
          <t>120</t>
        </is>
      </c>
      <c r="B113" s="4" t="inlineStr">
        <is>
          <t>Historical</t>
        </is>
      </c>
      <c r="C113" s="4" t="inlineStr">
        <is>
          <t>Screening autism spectrum disorder in children using machine learning on speech transcripts</t>
        </is>
      </c>
      <c r="D113" s="12" t="n"/>
      <c r="E113" s="12" t="n"/>
      <c r="F113" s="12" t="n"/>
      <c r="G113" s="4" t="inlineStr">
        <is>
          <t>Pending classification from source</t>
        </is>
      </c>
      <c r="H113" s="4" t="n">
        <v>1</v>
      </c>
      <c r="I113" s="4" t="inlineStr">
        <is>
          <t>Classification (ASD vs control / multi-class)</t>
        </is>
      </c>
      <c r="J113" s="4" t="inlineStr">
        <is>
          <t>Algoritmo principal no explícito o fuera del codebook; Confirmar algoritmo principal en full-text</t>
        </is>
      </c>
      <c r="K113" s="4" t="str"/>
      <c r="L113" s="4" t="inlineStr">
        <is>
          <t>https://doi.org/10.1038/s41598-025-01500-6</t>
        </is>
      </c>
      <c r="M113" s="4" t="n"/>
      <c r="N113" s="12" t="n"/>
      <c r="O113" s="41" t="n"/>
      <c r="P113" s="4" t="inlineStr">
        <is>
          <t>Confirmed only when AI was actually evaluated/used within the stated workflow or intervention; intended use alone = Proposed only</t>
        </is>
      </c>
      <c r="Q113" s="4">
        <f>IF(COUNTIFS('ESTUDIOS'!$A$2:$A$455,$A113,'ESTUDIOS'!$I$2:$I$455,"")&gt;0,"",INDEX('ESTUDIOS'!$I$2:$I$455,MATCH($A113,'ESTUDIOS'!$A$2:$A$455,0)))</f>
        <v/>
      </c>
    </row>
    <row r="114" ht="47" customHeight="1">
      <c r="A114" s="4" t="inlineStr">
        <is>
          <t>121</t>
        </is>
      </c>
      <c r="B114" s="4" t="inlineStr">
        <is>
          <t>Historical</t>
        </is>
      </c>
      <c r="C114" s="4" t="inlineStr">
        <is>
          <t>46.3 ARTIFICIAL INTELLIGENCE: UTILIZING GOOGLE GLASS AND OTHER MOBILE APPLICATIONS FOR SOCIAL SKILLS TRAINING IN AUTISM SPECTRUM DISORDERS</t>
        </is>
      </c>
      <c r="D114" s="12" t="n"/>
      <c r="E114" s="12" t="n"/>
      <c r="F114" s="12" t="n"/>
      <c r="G114" s="4" t="inlineStr">
        <is>
          <t>Pending classification from source</t>
        </is>
      </c>
      <c r="H114" s="4" t="n">
        <v>1</v>
      </c>
      <c r="I114" s="4" t="inlineStr">
        <is>
          <t>Technology-assisted social-skills intervention</t>
        </is>
      </c>
      <c r="J114" s="4" t="inlineStr">
        <is>
          <t>Sin señal explícita Q3 en título/abstract.</t>
        </is>
      </c>
      <c r="K114" s="4" t="inlineStr">
        <is>
          <t>Google Glass/mobile application for social-skills training in ASD.</t>
        </is>
      </c>
      <c r="L114" s="4" t="inlineStr">
        <is>
          <t>https://doi.org/10.1016/j.jaac.2016.07.715</t>
        </is>
      </c>
      <c r="M114" s="4" t="n"/>
      <c r="N114" s="12" t="n"/>
      <c r="O114" s="41" t="n"/>
      <c r="P114" s="4" t="inlineStr">
        <is>
          <t>Confirmed only when AI was actually evaluated/used within the stated workflow or intervention; intended use alone = Proposed only</t>
        </is>
      </c>
      <c r="Q114" s="4">
        <f>IF(COUNTIFS('ESTUDIOS'!$A$2:$A$455,$A114,'ESTUDIOS'!$I$2:$I$455,"")&gt;0,"",INDEX('ESTUDIOS'!$I$2:$I$455,MATCH($A114,'ESTUDIOS'!$A$2:$A$455,0)))</f>
        <v/>
      </c>
    </row>
    <row r="115" ht="60" customHeight="1">
      <c r="A115" s="4" t="inlineStr">
        <is>
          <t>122</t>
        </is>
      </c>
      <c r="B115" s="4" t="inlineStr">
        <is>
          <t>Historical</t>
        </is>
      </c>
      <c r="C115" s="4" t="inlineStr">
        <is>
          <t>A Quantum-Based Machine Learning Approach for Autism Detection Using Common Spatial Patterns of EEG Signals</t>
        </is>
      </c>
      <c r="D115" s="12" t="n"/>
      <c r="E115" s="12" t="n"/>
      <c r="F115" s="12" t="n"/>
      <c r="G115" s="4" t="inlineStr">
        <is>
          <t>Pending classification from source</t>
        </is>
      </c>
      <c r="H115" s="4" t="n">
        <v>1</v>
      </c>
      <c r="I115" s="4" t="inlineStr">
        <is>
          <t>Classification (binary/multi-class; incl. ASD vs control)/ multi-class)</t>
        </is>
      </c>
      <c r="J115" s="4" t="str"/>
      <c r="K115" s="4" t="str"/>
      <c r="L115" s="4" t="inlineStr">
        <is>
          <t>https://doi.org/10.1109/access.2025.3531979</t>
        </is>
      </c>
      <c r="M115" s="4" t="n"/>
      <c r="N115" s="12" t="n"/>
      <c r="O115" s="41" t="n"/>
      <c r="P115" s="4" t="inlineStr">
        <is>
          <t>Confirmed only when AI was actually evaluated/used within the stated workflow or intervention; intended use alone = Proposed only</t>
        </is>
      </c>
      <c r="Q115" s="4">
        <f>IF(COUNTIFS('ESTUDIOS'!$A$2:$A$455,$A115,'ESTUDIOS'!$I$2:$I$455,"")&gt;0,"",INDEX('ESTUDIOS'!$I$2:$I$455,MATCH($A115,'ESTUDIOS'!$A$2:$A$455,0)))</f>
        <v/>
      </c>
    </row>
    <row r="116" ht="73" customHeight="1">
      <c r="A116" s="4" t="inlineStr">
        <is>
          <t>124</t>
        </is>
      </c>
      <c r="B116" s="4" t="inlineStr">
        <is>
          <t>Historical</t>
        </is>
      </c>
      <c r="C116" s="4" t="inlineStr">
        <is>
          <t>ASD2-TL∗ GTO: Autism spectrum disorders detection via transfer learning with gorilla troops optimizer framework</t>
        </is>
      </c>
      <c r="D116" s="12" t="n"/>
      <c r="E116" s="12" t="n"/>
      <c r="F116" s="12" t="n"/>
      <c r="G116" s="4" t="inlineStr">
        <is>
          <t>Pending classification from source</t>
        </is>
      </c>
      <c r="H116" s="4" t="n">
        <v>1</v>
      </c>
      <c r="I116" s="4" t="inlineStr">
        <is>
          <t>Classification (binary/multi-class; incl. ASD vs control)/ multi-class)</t>
        </is>
      </c>
      <c r="J116" s="4" t="inlineStr">
        <is>
          <t>El “main” encaja mejor como CNN porque usa transfer learning con DenseNet169 para imágenes faciales; además usa un metaheurístico (GTO) para selección de características y también experimentos con datos de screening (UCI). GTO no aparece en tu lista; por eso debe ir en comentario</t>
        </is>
      </c>
      <c r="K116" s="4" t="str"/>
      <c r="L116" s="4" t="inlineStr">
        <is>
          <t>https://doi.org/10.1016/j.heliyon.2023.e21530</t>
        </is>
      </c>
      <c r="M116" s="4" t="n"/>
      <c r="N116" s="12" t="n"/>
      <c r="O116" s="41" t="n"/>
      <c r="P116" s="4" t="inlineStr">
        <is>
          <t>Confirmed only when AI was actually evaluated/used within the stated workflow or intervention; intended use alone = Proposed only</t>
        </is>
      </c>
      <c r="Q116" s="4">
        <f>IF(COUNTIFS('ESTUDIOS'!$A$2:$A$455,$A116,'ESTUDIOS'!$I$2:$I$455,"")&gt;0,"",INDEX('ESTUDIOS'!$I$2:$I$455,MATCH($A116,'ESTUDIOS'!$A$2:$A$455,0)))</f>
        <v/>
      </c>
    </row>
    <row r="117" ht="60" customHeight="1">
      <c r="A117" s="4" t="inlineStr">
        <is>
          <t>125</t>
        </is>
      </c>
      <c r="B117" s="4" t="inlineStr">
        <is>
          <t>Historical</t>
        </is>
      </c>
      <c r="C117" s="4" t="inlineStr">
        <is>
          <t>Diagnosis of Autism Spectrum Disorders in Young Children Based on Resting-State Functional Magnetic Resonance Imaging Data Using Convolutional Neural Networks</t>
        </is>
      </c>
      <c r="D117" s="12" t="n"/>
      <c r="E117" s="12" t="n"/>
      <c r="F117" s="12" t="n"/>
      <c r="G117" s="4" t="inlineStr">
        <is>
          <t>Pending classification from source</t>
        </is>
      </c>
      <c r="H117" s="4" t="n">
        <v>1</v>
      </c>
      <c r="I117" s="4" t="inlineStr">
        <is>
          <t>Classification (binary/multi-class; incl. ASD vs control)/ multi-class)</t>
        </is>
      </c>
      <c r="J117" s="4" t="inlineStr">
        <is>
          <t>demás de CNN, reporta transfer learning y combinación de clasificadores (mixture of experts / simple Bayes), pero el núcleo es CNN para clasificar ASD vs no-ASD con rs-fMRI (ABIDE).</t>
        </is>
      </c>
      <c r="K117" s="4" t="str"/>
      <c r="L117" s="4" t="inlineStr">
        <is>
          <t>https://doi.org/10.1007/s10278-019-00196-1</t>
        </is>
      </c>
      <c r="M117" s="4" t="n"/>
      <c r="N117" s="12" t="n"/>
      <c r="O117" s="41" t="n"/>
      <c r="P117" s="4" t="inlineStr">
        <is>
          <t>Confirmed only when AI was actually evaluated/used within the stated workflow or intervention; intended use alone = Proposed only</t>
        </is>
      </c>
      <c r="Q117" s="4">
        <f>IF(COUNTIFS('ESTUDIOS'!$A$2:$A$455,$A117,'ESTUDIOS'!$I$2:$I$455,"")&gt;0,"",INDEX('ESTUDIOS'!$I$2:$I$455,MATCH($A117,'ESTUDIOS'!$A$2:$A$455,0)))</f>
        <v/>
      </c>
    </row>
    <row r="118" ht="73" customHeight="1">
      <c r="A118" s="4" t="inlineStr">
        <is>
          <t>128</t>
        </is>
      </c>
      <c r="B118" s="4" t="inlineStr">
        <is>
          <t>Historical</t>
        </is>
      </c>
      <c r="C118" s="4" t="inlineStr">
        <is>
          <t>Improvement of attention-deficit/hyperactivity disorder symptoms in school-aged children, adolescents, and young adults with autism via a digital smartglasses-based socioemotional coaching aid: Short-term, uncontrolled pilot study</t>
        </is>
      </c>
      <c r="D118" s="12" t="n"/>
      <c r="E118" s="12" t="n"/>
      <c r="F118" s="12" t="n"/>
      <c r="G118" s="4" t="inlineStr">
        <is>
          <t>Pending classification from source</t>
        </is>
      </c>
      <c r="H118" s="4" t="n">
        <v>1</v>
      </c>
      <c r="I118" s="4" t="n"/>
      <c r="J118" s="4" t="str"/>
      <c r="K118" s="4" t="str"/>
      <c r="L118" s="4" t="inlineStr">
        <is>
          <t>https://doi.org/10.2196/mental.9631</t>
        </is>
      </c>
      <c r="M118" s="4" t="n"/>
      <c r="N118" s="12" t="n"/>
      <c r="O118" s="41" t="n"/>
      <c r="P118" s="4" t="inlineStr">
        <is>
          <t>Confirmed only when AI was actually evaluated/used within the stated workflow or intervention; intended use alone = Proposed only</t>
        </is>
      </c>
      <c r="Q118" s="4">
        <f>IF(COUNTIFS('ESTUDIOS'!$A$2:$A$455,$A118,'ESTUDIOS'!$I$2:$I$455,"")&gt;0,"",INDEX('ESTUDIOS'!$I$2:$I$455,MATCH($A118,'ESTUDIOS'!$A$2:$A$455,0)))</f>
        <v/>
      </c>
    </row>
    <row r="119" ht="60" customHeight="1">
      <c r="A119" s="4" t="inlineStr">
        <is>
          <t>129</t>
        </is>
      </c>
      <c r="B119" s="4" t="inlineStr">
        <is>
          <t>Historical</t>
        </is>
      </c>
      <c r="C119" s="4" t="inlineStr">
        <is>
          <t>Investigating Diagnostic Data and Performance Implications in the Autism AI Dataset</t>
        </is>
      </c>
      <c r="D119" s="12" t="n"/>
      <c r="E119" s="12" t="n"/>
      <c r="F119" s="12" t="n"/>
      <c r="G119" s="4" t="inlineStr">
        <is>
          <t>Pending classification from source</t>
        </is>
      </c>
      <c r="H119" s="4" t="n">
        <v>1</v>
      </c>
      <c r="I119" s="4" t="inlineStr">
        <is>
          <t>Classification (binary/multi-class; incl. ASD vs control)/ multi-class)</t>
        </is>
      </c>
      <c r="J119" s="4" t="str"/>
      <c r="K119" s="4" t="str"/>
      <c r="L119" s="4" t="inlineStr">
        <is>
          <t>https://doi.org/10.1007/978-981-96-6960-8_26</t>
        </is>
      </c>
      <c r="M119" s="4" t="n"/>
      <c r="N119" s="12" t="n"/>
      <c r="O119" s="41" t="n"/>
      <c r="P119" s="4" t="inlineStr">
        <is>
          <t>Confirmed only when AI was actually evaluated/used within the stated workflow or intervention; intended use alone = Proposed only</t>
        </is>
      </c>
      <c r="Q119" s="4">
        <f>IF(COUNTIFS('ESTUDIOS'!$A$2:$A$455,$A119,'ESTUDIOS'!$I$2:$I$455,"")&gt;0,"",INDEX('ESTUDIOS'!$I$2:$I$455,MATCH($A119,'ESTUDIOS'!$A$2:$A$455,0)))</f>
        <v/>
      </c>
    </row>
    <row r="120" ht="47" customHeight="1">
      <c r="A120" s="4" t="inlineStr">
        <is>
          <t>130</t>
        </is>
      </c>
      <c r="B120" s="4" t="inlineStr">
        <is>
          <t>Historical</t>
        </is>
      </c>
      <c r="C120" s="4" t="inlineStr">
        <is>
          <t>Large-scale examination of early-age sex differences in neurotypical toddlers and those with autism spectrum disorder or other developmental conditions</t>
        </is>
      </c>
      <c r="D120" s="12" t="n"/>
      <c r="E120" s="12" t="n"/>
      <c r="F120" s="12" t="n"/>
      <c r="G120" s="4" t="inlineStr">
        <is>
          <t>Pending classification from source</t>
        </is>
      </c>
      <c r="H120" s="4" t="n">
        <v>0</v>
      </c>
      <c r="I120" s="4" t="inlineStr">
        <is>
          <t>Clustering / subtyping</t>
        </is>
      </c>
      <c r="J120" s="4" t="inlineStr">
        <is>
          <t>Examen de diferencias por sexo/edad; no queda claro el algoritmo o la tarea principal de IA.</t>
        </is>
      </c>
      <c r="K120" s="4" t="str"/>
      <c r="L120" s="4" t="inlineStr">
        <is>
          <t>https://doi.org/10.1038/s41562-025-02132-6</t>
        </is>
      </c>
      <c r="M120" s="4" t="n"/>
      <c r="N120" s="12" t="n"/>
      <c r="O120" s="41" t="n"/>
      <c r="P120" s="4" t="inlineStr">
        <is>
          <t>Confirmed only when AI was actually evaluated/used within the stated workflow or intervention; intended use alone = Proposed only</t>
        </is>
      </c>
      <c r="Q120" s="4">
        <f>IF(COUNTIFS('ESTUDIOS'!$A$2:$A$455,$A120,'ESTUDIOS'!$I$2:$I$455,"")&gt;0,"",INDEX('ESTUDIOS'!$I$2:$I$455,MATCH($A120,'ESTUDIOS'!$A$2:$A$455,0)))</f>
        <v/>
      </c>
    </row>
    <row r="121" ht="47" customHeight="1">
      <c r="A121" s="4" t="inlineStr">
        <is>
          <t>131</t>
        </is>
      </c>
      <c r="B121" s="4" t="inlineStr">
        <is>
          <t>Historical</t>
        </is>
      </c>
      <c r="C121" s="4" t="inlineStr">
        <is>
          <t>Online concerns of parents suspecting autism spectrum disorder in their child: Content analysis of signs and automated prediction of risk</t>
        </is>
      </c>
      <c r="D121" s="12" t="n"/>
      <c r="E121" s="12" t="n"/>
      <c r="F121" s="12" t="n"/>
      <c r="G121" s="4" t="inlineStr">
        <is>
          <t>Pending classification from source</t>
        </is>
      </c>
      <c r="H121" s="4" t="n">
        <v>1</v>
      </c>
      <c r="I121" s="4" t="inlineStr">
        <is>
          <t>Classification (ASD vs control / multi-class)</t>
        </is>
      </c>
      <c r="J121" s="4" t="str"/>
      <c r="K121" s="4" t="str"/>
      <c r="L121" s="4" t="inlineStr">
        <is>
          <t>https://doi.org/10.2196/jmir.5439</t>
        </is>
      </c>
      <c r="M121" s="4" t="n"/>
      <c r="N121" s="12" t="n"/>
      <c r="O121" s="41" t="n"/>
      <c r="P121" s="4" t="inlineStr">
        <is>
          <t>Confirmed only when AI was actually evaluated/used within the stated workflow or intervention; intended use alone = Proposed only</t>
        </is>
      </c>
      <c r="Q121" s="4">
        <f>IF(COUNTIFS('ESTUDIOS'!$A$2:$A$455,$A121,'ESTUDIOS'!$I$2:$I$455,"")&gt;0,"",INDEX('ESTUDIOS'!$I$2:$I$455,MATCH($A121,'ESTUDIOS'!$A$2:$A$455,0)))</f>
        <v/>
      </c>
    </row>
    <row r="122" ht="60" customHeight="1">
      <c r="A122" s="4" t="inlineStr">
        <is>
          <t>132</t>
        </is>
      </c>
      <c r="B122" s="4" t="inlineStr">
        <is>
          <t>Historical</t>
        </is>
      </c>
      <c r="C122" s="4" t="inlineStr">
        <is>
          <t>Use of machine learning to improve autism screening and diagnostic instruments: Effectiveness, efficiency, and multi‐instrument fusion</t>
        </is>
      </c>
      <c r="D122" s="12" t="n"/>
      <c r="E122" s="12" t="n"/>
      <c r="F122" s="12" t="n"/>
      <c r="G122" s="4" t="inlineStr">
        <is>
          <t>Pending classification from source</t>
        </is>
      </c>
      <c r="H122" s="4" t="n">
        <v>1</v>
      </c>
      <c r="I122" s="4" t="inlineStr">
        <is>
          <t>Classification (binary/multi-class; incl. ASD vs control)/ multi-class)</t>
        </is>
      </c>
      <c r="J122" s="4" t="str"/>
      <c r="K122" s="4" t="str"/>
      <c r="L122" s="4" t="inlineStr">
        <is>
          <t>https://doi.org/10.1111/jcpp.12559</t>
        </is>
      </c>
      <c r="M122" s="4" t="n"/>
      <c r="N122" s="12" t="n"/>
      <c r="O122" s="41" t="n"/>
      <c r="P122" s="4" t="inlineStr">
        <is>
          <t>Confirmed only when AI was actually evaluated/used within the stated workflow or intervention; intended use alone = Proposed only</t>
        </is>
      </c>
      <c r="Q122" s="4">
        <f>IF(COUNTIFS('ESTUDIOS'!$A$2:$A$455,$A122,'ESTUDIOS'!$I$2:$I$455,"")&gt;0,"",INDEX('ESTUDIOS'!$I$2:$I$455,MATCH($A122,'ESTUDIOS'!$A$2:$A$455,0)))</f>
        <v/>
      </c>
    </row>
    <row r="123" ht="60" customHeight="1">
      <c r="A123" s="4" t="inlineStr">
        <is>
          <t>133</t>
        </is>
      </c>
      <c r="B123" s="4" t="inlineStr">
        <is>
          <t>Historical</t>
        </is>
      </c>
      <c r="C123" s="4" t="inlineStr">
        <is>
          <t>A data driven machine learning approach to differentiate between autism spectrum disorder and attention-deficit/hyperactivity disorder based on the best-practice diagnostic instruments for autism</t>
        </is>
      </c>
      <c r="D123" s="12" t="n"/>
      <c r="E123" s="12" t="n"/>
      <c r="F123" s="12" t="n"/>
      <c r="G123" s="4" t="inlineStr">
        <is>
          <t>Pending classification from source</t>
        </is>
      </c>
      <c r="H123" s="4" t="n">
        <v>1</v>
      </c>
      <c r="I123" s="4" t="inlineStr">
        <is>
          <t>Classification (ASD vs control / multi-class)</t>
        </is>
      </c>
      <c r="J123" s="4" t="str"/>
      <c r="K123" s="4" t="str"/>
      <c r="L123" s="4" t="inlineStr">
        <is>
          <t>https://doi.org/10.1038/s41598-022-21719-x</t>
        </is>
      </c>
      <c r="M123" s="4" t="n"/>
      <c r="N123" s="12" t="n"/>
      <c r="O123" s="41" t="n"/>
      <c r="P123" s="4" t="inlineStr">
        <is>
          <t>Confirmed only when AI was actually evaluated/used within the stated workflow or intervention; intended use alone = Proposed only</t>
        </is>
      </c>
      <c r="Q123" s="4">
        <f>IF(COUNTIFS('ESTUDIOS'!$A$2:$A$455,$A123,'ESTUDIOS'!$I$2:$I$455,"")&gt;0,"",INDEX('ESTUDIOS'!$I$2:$I$455,MATCH($A123,'ESTUDIOS'!$A$2:$A$455,0)))</f>
        <v/>
      </c>
    </row>
    <row r="124" ht="47" customHeight="1">
      <c r="A124" s="4" t="inlineStr">
        <is>
          <t>134</t>
        </is>
      </c>
      <c r="B124" s="4" t="inlineStr">
        <is>
          <t>Historical</t>
        </is>
      </c>
      <c r="C124" s="4" t="inlineStr">
        <is>
          <t>A deep learning predictive classifier for autism screening and diagnosis</t>
        </is>
      </c>
      <c r="D124" s="12" t="n"/>
      <c r="E124" s="12" t="n"/>
      <c r="F124" s="12" t="n"/>
      <c r="G124" s="4" t="inlineStr">
        <is>
          <t>Pending classification from source</t>
        </is>
      </c>
      <c r="H124" s="4" t="n">
        <v>1</v>
      </c>
      <c r="I124" s="4" t="inlineStr">
        <is>
          <t>Classification (ASD vs control / multi-class)</t>
        </is>
      </c>
      <c r="J124" s="4" t="inlineStr">
        <is>
          <t>Algoritmo principal no explícito o fuera del codebook; Confirmar algoritmo principal en full-text; Se comparan varios modelos; se eligió el principal/mejor reportado</t>
        </is>
      </c>
      <c r="K124" s="4" t="str"/>
      <c r="L124" s="4" t="inlineStr">
        <is>
          <t>https://doi.org/10.1016/b978-0-12-822822-7.00011-9</t>
        </is>
      </c>
      <c r="M124" s="4" t="n"/>
      <c r="N124" s="12" t="n"/>
      <c r="O124" s="41" t="n"/>
      <c r="P124" s="4" t="inlineStr">
        <is>
          <t>Confirmed only when AI was actually evaluated/used within the stated workflow or intervention; intended use alone = Proposed only</t>
        </is>
      </c>
      <c r="Q124" s="4">
        <f>IF(COUNTIFS('ESTUDIOS'!$A$2:$A$455,$A124,'ESTUDIOS'!$I$2:$I$455,"")&gt;0,"",INDEX('ESTUDIOS'!$I$2:$I$455,MATCH($A124,'ESTUDIOS'!$A$2:$A$455,0)))</f>
        <v/>
      </c>
    </row>
    <row r="125" ht="47" customHeight="1">
      <c r="A125" s="4" t="inlineStr">
        <is>
          <t>135</t>
        </is>
      </c>
      <c r="B125" s="4" t="inlineStr">
        <is>
          <t>Historical</t>
        </is>
      </c>
      <c r="C125" s="4" t="inlineStr">
        <is>
          <t>A Deep Neural Network-Based Model for Screening Autism Spectrum Disorder Using the Quantitative Checklist for Autism in Toddlers (QCHAT)</t>
        </is>
      </c>
      <c r="D125" s="12" t="n"/>
      <c r="E125" s="12" t="n"/>
      <c r="F125" s="12" t="n"/>
      <c r="G125" s="4" t="inlineStr">
        <is>
          <t>Pending classification from source</t>
        </is>
      </c>
      <c r="H125" s="4" t="n">
        <v>1</v>
      </c>
      <c r="I125" s="4" t="inlineStr">
        <is>
          <t>Classification (ASD vs control / multi-class)</t>
        </is>
      </c>
      <c r="J125" s="4" t="inlineStr">
        <is>
          <t>Algoritmo principal no explícito o fuera del codebook; Confirmar algoritmo principal en full-text</t>
        </is>
      </c>
      <c r="K125" s="4" t="str"/>
      <c r="L125" s="4" t="inlineStr">
        <is>
          <t>https://doi.org/10.1007/s10803-021-05141-2</t>
        </is>
      </c>
      <c r="M125" s="4" t="n"/>
      <c r="N125" s="12" t="n"/>
      <c r="O125" s="41" t="n"/>
      <c r="P125" s="4" t="inlineStr">
        <is>
          <t>Confirmed only when AI was actually evaluated/used within the stated workflow or intervention; intended use alone = Proposed only</t>
        </is>
      </c>
      <c r="Q125" s="4">
        <f>IF(COUNTIFS('ESTUDIOS'!$A$2:$A$455,$A125,'ESTUDIOS'!$I$2:$I$455,"")&gt;0,"",INDEX('ESTUDIOS'!$I$2:$I$455,MATCH($A125,'ESTUDIOS'!$A$2:$A$455,0)))</f>
        <v/>
      </c>
    </row>
    <row r="126" ht="60" customHeight="1">
      <c r="A126" s="4" t="inlineStr">
        <is>
          <t>136</t>
        </is>
      </c>
      <c r="B126" s="4" t="inlineStr">
        <is>
          <t>Historical</t>
        </is>
      </c>
      <c r="C126" s="4" t="inlineStr">
        <is>
          <t>A semi-supervised autoencoder for autism disease diagnosis</t>
        </is>
      </c>
      <c r="D126" s="12" t="n"/>
      <c r="E126" s="12" t="n"/>
      <c r="F126" s="12" t="n"/>
      <c r="G126" s="4" t="inlineStr">
        <is>
          <t>Pending classification from source</t>
        </is>
      </c>
      <c r="H126" s="4" t="n">
        <v>1</v>
      </c>
      <c r="I126" s="4" t="inlineStr">
        <is>
          <t>Classification (binary/multi-class; incl. ASD vs control)/ multi-class)</t>
        </is>
      </c>
      <c r="J126" s="4" t="str"/>
      <c r="K126" s="4" t="str"/>
      <c r="L126" s="4" t="inlineStr">
        <is>
          <t>https://doi.org/10.1016/j.neucom.2022.02.017</t>
        </is>
      </c>
      <c r="M126" s="4" t="n"/>
      <c r="N126" s="12" t="n"/>
      <c r="O126" s="41" t="n"/>
      <c r="P126" s="4" t="inlineStr">
        <is>
          <t>Confirmed only when AI was actually evaluated/used within the stated workflow or intervention; intended use alone = Proposed only</t>
        </is>
      </c>
      <c r="Q126" s="4">
        <f>IF(COUNTIFS('ESTUDIOS'!$A$2:$A$455,$A126,'ESTUDIOS'!$I$2:$I$455,"")&gt;0,"",INDEX('ESTUDIOS'!$I$2:$I$455,MATCH($A126,'ESTUDIOS'!$A$2:$A$455,0)))</f>
        <v/>
      </c>
    </row>
    <row r="127" ht="47" customHeight="1">
      <c r="A127" s="4" t="inlineStr">
        <is>
          <t>137</t>
        </is>
      </c>
      <c r="B127" s="4" t="inlineStr">
        <is>
          <t>Historical</t>
        </is>
      </c>
      <c r="C127" s="4" t="inlineStr">
        <is>
          <t>Applying machine learning on home videos for remote autism diagnosis: Further study and analysis</t>
        </is>
      </c>
      <c r="D127" s="12" t="n"/>
      <c r="E127" s="12" t="n"/>
      <c r="F127" s="12" t="n"/>
      <c r="G127" s="4" t="inlineStr">
        <is>
          <t>Pending classification from source</t>
        </is>
      </c>
      <c r="H127" s="4" t="n">
        <v>1</v>
      </c>
      <c r="I127" s="4" t="inlineStr">
        <is>
          <t>Classification (ASD vs control / multi-class)</t>
        </is>
      </c>
      <c r="J127" s="4" t="inlineStr">
        <is>
          <t>Algoritmo principal no explícito o fuera del codebook; Confirmar algoritmo principal en full-text</t>
        </is>
      </c>
      <c r="K127" s="4" t="str"/>
      <c r="L127" s="4" t="inlineStr">
        <is>
          <t>https://doi.org/10.1177/1460458221991882</t>
        </is>
      </c>
      <c r="M127" s="4" t="n"/>
      <c r="N127" s="12" t="n"/>
      <c r="O127" s="41" t="n"/>
      <c r="P127" s="4" t="inlineStr">
        <is>
          <t>Confirmed only when AI was actually evaluated/used within the stated workflow or intervention; intended use alone = Proposed only</t>
        </is>
      </c>
      <c r="Q127" s="4">
        <f>IF(COUNTIFS('ESTUDIOS'!$A$2:$A$455,$A127,'ESTUDIOS'!$I$2:$I$455,"")&gt;0,"",INDEX('ESTUDIOS'!$I$2:$I$455,MATCH($A127,'ESTUDIOS'!$A$2:$A$455,0)))</f>
        <v/>
      </c>
    </row>
    <row r="128" ht="47" customHeight="1">
      <c r="A128" s="4" t="inlineStr">
        <is>
          <t>138</t>
        </is>
      </c>
      <c r="B128" s="4" t="inlineStr">
        <is>
          <t>Historical</t>
        </is>
      </c>
      <c r="C128" s="4" t="inlineStr">
        <is>
          <t>ASD-SWNet: a novel shared-weight feature extraction and classification network for autism spectrum disorder diagnosis</t>
        </is>
      </c>
      <c r="D128" s="12" t="n"/>
      <c r="E128" s="12" t="n"/>
      <c r="F128" s="12" t="n"/>
      <c r="G128" s="4" t="inlineStr">
        <is>
          <t>Pending classification from source</t>
        </is>
      </c>
      <c r="H128" s="4" t="n">
        <v>1</v>
      </c>
      <c r="I128" s="4" t="inlineStr">
        <is>
          <t>Classification (ASD vs control / multi-class)</t>
        </is>
      </c>
      <c r="J128" s="4" t="str"/>
      <c r="K128" s="4" t="str"/>
      <c r="L128" s="4" t="inlineStr">
        <is>
          <t>https://doi.org/10.1038/s41598-024-64299-8</t>
        </is>
      </c>
      <c r="M128" s="4" t="n"/>
      <c r="N128" s="12" t="n"/>
      <c r="O128" s="41" t="n"/>
      <c r="P128" s="4" t="inlineStr">
        <is>
          <t>Confirmed only when AI was actually evaluated/used within the stated workflow or intervention; intended use alone = Proposed only</t>
        </is>
      </c>
      <c r="Q128" s="4">
        <f>IF(COUNTIFS('ESTUDIOS'!$A$2:$A$455,$A128,'ESTUDIOS'!$I$2:$I$455,"")&gt;0,"",INDEX('ESTUDIOS'!$I$2:$I$455,MATCH($A128,'ESTUDIOS'!$A$2:$A$455,0)))</f>
        <v/>
      </c>
    </row>
    <row r="129" ht="60" customHeight="1">
      <c r="A129" s="4" t="inlineStr">
        <is>
          <t>140</t>
        </is>
      </c>
      <c r="B129" s="4" t="inlineStr">
        <is>
          <t>Historical</t>
        </is>
      </c>
      <c r="C129" s="4" t="inlineStr">
        <is>
          <t>Autism spectrum disorder diagnosis based on deep unrolling-based spatial constraint representation.</t>
        </is>
      </c>
      <c r="D129" s="12" t="n"/>
      <c r="E129" s="12" t="n"/>
      <c r="F129" s="12" t="n"/>
      <c r="G129" s="4" t="inlineStr">
        <is>
          <t>Pending classification from source</t>
        </is>
      </c>
      <c r="H129" s="4" t="n">
        <v>1</v>
      </c>
      <c r="I129" s="4" t="inlineStr">
        <is>
          <t>Classification (binary/multi-class; incl. ASD vs control)/ multi-class)</t>
        </is>
      </c>
      <c r="J129" s="4" t="str"/>
      <c r="K129" s="4" t="str"/>
      <c r="L129" s="4" t="inlineStr">
        <is>
          <t>https://doi.org/10.1007/s11517-023-02859-2</t>
        </is>
      </c>
      <c r="M129" s="4" t="n"/>
      <c r="N129" s="12" t="n"/>
      <c r="O129" s="41" t="n"/>
      <c r="P129" s="4" t="inlineStr">
        <is>
          <t>Confirmed only when AI was actually evaluated/used within the stated workflow or intervention; intended use alone = Proposed only</t>
        </is>
      </c>
      <c r="Q129" s="4">
        <f>IF(COUNTIFS('ESTUDIOS'!$A$2:$A$455,$A129,'ESTUDIOS'!$I$2:$I$455,"")&gt;0,"",INDEX('ESTUDIOS'!$I$2:$I$455,MATCH($A129,'ESTUDIOS'!$A$2:$A$455,0)))</f>
        <v/>
      </c>
    </row>
    <row r="130" ht="60" customHeight="1">
      <c r="A130" s="4" t="inlineStr">
        <is>
          <t>141</t>
        </is>
      </c>
      <c r="B130" s="4" t="inlineStr">
        <is>
          <t>Historical</t>
        </is>
      </c>
      <c r="C130" s="4" t="inlineStr">
        <is>
          <t>Automatic Cry Analysis: Deep Learning for Screening of Autism Spectrum Disorder in Early Childhood</t>
        </is>
      </c>
      <c r="D130" s="12" t="n"/>
      <c r="E130" s="12" t="n"/>
      <c r="F130" s="12" t="n"/>
      <c r="G130" s="4" t="inlineStr">
        <is>
          <t>Pending classification from source</t>
        </is>
      </c>
      <c r="H130" s="4" t="n">
        <v>1</v>
      </c>
      <c r="I130" s="4" t="inlineStr">
        <is>
          <t>Classification (binary/multi-class; incl. ASD vs control)/ multi-class)</t>
        </is>
      </c>
      <c r="J130" s="4" t="str"/>
      <c r="K130" s="4" t="str"/>
      <c r="L130" s="4" t="inlineStr">
        <is>
          <t>https://doi.org/10.1007/s10803-025-06811-1</t>
        </is>
      </c>
      <c r="M130" s="4" t="n"/>
      <c r="N130" s="12" t="n"/>
      <c r="O130" s="41" t="n"/>
      <c r="P130" s="4" t="inlineStr">
        <is>
          <t>Confirmed only when AI was actually evaluated/used within the stated workflow or intervention; intended use alone = Proposed only</t>
        </is>
      </c>
      <c r="Q130" s="4">
        <f>IF(COUNTIFS('ESTUDIOS'!$A$2:$A$455,$A130,'ESTUDIOS'!$I$2:$I$455,"")&gt;0,"",INDEX('ESTUDIOS'!$I$2:$I$455,MATCH($A130,'ESTUDIOS'!$A$2:$A$455,0)))</f>
        <v/>
      </c>
    </row>
    <row r="131" ht="60" customHeight="1">
      <c r="A131" s="4" t="inlineStr">
        <is>
          <t>142</t>
        </is>
      </c>
      <c r="B131" s="4" t="inlineStr">
        <is>
          <t>Historical</t>
        </is>
      </c>
      <c r="C131" s="4" t="inlineStr">
        <is>
          <t>AV-FOS: Transformer-Based Audio-Visual Multimodal Interaction Style Recognition for Children With Autism Using the Revised Family Observation Schedule 3rd Edition (FOS-R-III)</t>
        </is>
      </c>
      <c r="D131" s="12" t="n"/>
      <c r="E131" s="12" t="n"/>
      <c r="F131" s="12" t="n"/>
      <c r="G131" s="4" t="inlineStr">
        <is>
          <t>Pending classification from source</t>
        </is>
      </c>
      <c r="H131" s="4" t="n">
        <v>1</v>
      </c>
      <c r="I131" s="4" t="inlineStr">
        <is>
          <t>Classification (ASD vs control / multi-class)</t>
        </is>
      </c>
      <c r="J131" s="4" t="inlineStr">
        <is>
          <t>Reconocimiento de estilo de interacción audio-visual en FOS-R-III; etapa clínica exacta requiere confirmación.</t>
        </is>
      </c>
      <c r="K131" s="4" t="str"/>
      <c r="L131" s="4" t="inlineStr">
        <is>
          <t>https://doi.org/10.1109/jbhi.2025.3542066</t>
        </is>
      </c>
      <c r="M131" s="4" t="n"/>
      <c r="N131" s="12" t="n"/>
      <c r="O131" s="41" t="n"/>
      <c r="P131" s="4" t="inlineStr">
        <is>
          <t>Confirmed only when AI was actually evaluated/used within the stated workflow or intervention; intended use alone = Proposed only</t>
        </is>
      </c>
      <c r="Q131" s="4">
        <f>IF(COUNTIFS('ESTUDIOS'!$A$2:$A$455,$A131,'ESTUDIOS'!$I$2:$I$455,"")&gt;0,"",INDEX('ESTUDIOS'!$I$2:$I$455,MATCH($A131,'ESTUDIOS'!$A$2:$A$455,0)))</f>
        <v/>
      </c>
    </row>
    <row r="132" ht="47" customHeight="1">
      <c r="A132" s="4" t="inlineStr">
        <is>
          <t>143</t>
        </is>
      </c>
      <c r="B132" s="4" t="inlineStr">
        <is>
          <t>Historical</t>
        </is>
      </c>
      <c r="C132" s="4" t="inlineStr">
        <is>
          <t>Biomarker prediction in autism spectrum disorder using a network-based approach</t>
        </is>
      </c>
      <c r="D132" s="12" t="n"/>
      <c r="E132" s="12" t="n"/>
      <c r="F132" s="12" t="n"/>
      <c r="G132" s="4" t="inlineStr">
        <is>
          <t>Pending classification from source</t>
        </is>
      </c>
      <c r="H132" s="4" t="n">
        <v>1</v>
      </c>
      <c r="I132" s="4" t="inlineStr">
        <is>
          <t>Other / Not clear</t>
        </is>
      </c>
      <c r="J132" s="4" t="inlineStr">
        <is>
          <t>Algoritmo principal no explícito o fuera del codebook; Confirmar algoritmo principal en full-text</t>
        </is>
      </c>
      <c r="K132" s="4" t="str"/>
      <c r="L132" s="4" t="inlineStr">
        <is>
          <t>https://doi.org/10.1186/s12920-023-01439-5</t>
        </is>
      </c>
      <c r="M132" s="4" t="n"/>
      <c r="N132" s="12" t="n"/>
      <c r="O132" s="41" t="n"/>
      <c r="P132" s="4" t="inlineStr">
        <is>
          <t>Confirmed only when AI was actually evaluated/used within the stated workflow or intervention; intended use alone = Proposed only</t>
        </is>
      </c>
      <c r="Q132" s="4">
        <f>IF(COUNTIFS('ESTUDIOS'!$A$2:$A$455,$A132,'ESTUDIOS'!$I$2:$I$455,"")&gt;0,"",INDEX('ESTUDIOS'!$I$2:$I$455,MATCH($A132,'ESTUDIOS'!$A$2:$A$455,0)))</f>
        <v/>
      </c>
    </row>
    <row r="133" ht="47" customHeight="1">
      <c r="A133" s="4" t="inlineStr">
        <is>
          <t>144</t>
        </is>
      </c>
      <c r="B133" s="4" t="inlineStr">
        <is>
          <t>Historical</t>
        </is>
      </c>
      <c r="C133" s="4" t="inlineStr">
        <is>
          <t>Classifying autism in a clinical population based on motion synchrony: a proof-of-concept study using real-life diagnostic interviews</t>
        </is>
      </c>
      <c r="D133" s="12" t="n"/>
      <c r="E133" s="12" t="n"/>
      <c r="F133" s="12" t="n"/>
      <c r="G133" s="4" t="inlineStr">
        <is>
          <t>Pending classification from source</t>
        </is>
      </c>
      <c r="H133" s="4" t="n">
        <v>1</v>
      </c>
      <c r="I133" s="4" t="inlineStr">
        <is>
          <t>Classification (ASD vs control / multi-class)</t>
        </is>
      </c>
      <c r="J133" s="4" t="str"/>
      <c r="K133" s="4" t="str"/>
      <c r="L133" s="4" t="inlineStr">
        <is>
          <t>https://doi.org/10.1038/s41598-024-56098-y</t>
        </is>
      </c>
      <c r="M133" s="4" t="n"/>
      <c r="N133" s="12" t="n"/>
      <c r="O133" s="41" t="n"/>
      <c r="P133" s="4" t="inlineStr">
        <is>
          <t>Confirmed only when AI was actually evaluated/used within the stated workflow or intervention; intended use alone = Proposed only</t>
        </is>
      </c>
      <c r="Q133" s="4">
        <f>IF(COUNTIFS('ESTUDIOS'!$A$2:$A$455,$A133,'ESTUDIOS'!$I$2:$I$455,"")&gt;0,"",INDEX('ESTUDIOS'!$I$2:$I$455,MATCH($A133,'ESTUDIOS'!$A$2:$A$455,0)))</f>
        <v/>
      </c>
    </row>
    <row r="134" ht="47" customHeight="1">
      <c r="A134" s="4" t="inlineStr">
        <is>
          <t>145</t>
        </is>
      </c>
      <c r="B134" s="4" t="inlineStr">
        <is>
          <t>Historical</t>
        </is>
      </c>
      <c r="C134" s="4" t="inlineStr">
        <is>
          <t>Clinical Evaluation of a Novel and Mobile Autism Risk Assessment</t>
        </is>
      </c>
      <c r="D134" s="12" t="n"/>
      <c r="E134" s="12" t="n"/>
      <c r="F134" s="12" t="n"/>
      <c r="G134" s="4" t="inlineStr">
        <is>
          <t>Pending classification from source</t>
        </is>
      </c>
      <c r="H134" s="4" t="n">
        <v>1</v>
      </c>
      <c r="I134" s="4" t="inlineStr">
        <is>
          <t>Classification (ASD vs control / multi-class)</t>
        </is>
      </c>
      <c r="J134" s="4" t="inlineStr">
        <is>
          <t>Alternating Decision Tree (ADTree)” es una variante de árbol de decisión; por eso cae naturalmente en Decision Tree</t>
        </is>
      </c>
      <c r="K134" s="4" t="str"/>
      <c r="L134" s="4" t="inlineStr">
        <is>
          <t>https://doi.org/10.1007/s10803-016-2718-4</t>
        </is>
      </c>
      <c r="M134" s="4" t="n"/>
      <c r="N134" s="12" t="n"/>
      <c r="O134" s="41" t="n"/>
      <c r="P134" s="4" t="inlineStr">
        <is>
          <t>Confirmed only when AI was actually evaluated/used within the stated workflow or intervention; intended use alone = Proposed only</t>
        </is>
      </c>
      <c r="Q134" s="4">
        <f>IF(COUNTIFS('ESTUDIOS'!$A$2:$A$455,$A134,'ESTUDIOS'!$I$2:$I$455,"")&gt;0,"",INDEX('ESTUDIOS'!$I$2:$I$455,MATCH($A134,'ESTUDIOS'!$A$2:$A$455,0)))</f>
        <v/>
      </c>
    </row>
    <row r="135" ht="47" customHeight="1">
      <c r="A135" s="4" t="inlineStr">
        <is>
          <t>146</t>
        </is>
      </c>
      <c r="B135" s="4" t="inlineStr">
        <is>
          <t>Historical</t>
        </is>
      </c>
      <c r="C135" s="4" t="inlineStr">
        <is>
          <t>Comparison of classification algorithms for predicting autistic spectrum disorder using WEKA modeler</t>
        </is>
      </c>
      <c r="D135" s="12" t="n"/>
      <c r="E135" s="12" t="n"/>
      <c r="F135" s="12" t="n"/>
      <c r="G135" s="4" t="inlineStr">
        <is>
          <t>Pending classification from source</t>
        </is>
      </c>
      <c r="H135" s="4" t="n">
        <v>1</v>
      </c>
      <c r="I135" s="4" t="inlineStr">
        <is>
          <t>Classification (ASD vs control / multi-class)</t>
        </is>
      </c>
      <c r="J135" s="4" t="inlineStr">
        <is>
          <t>Se comparan varios modelos; se eligió el principal/mejor reportado</t>
        </is>
      </c>
      <c r="K135" s="4" t="str"/>
      <c r="L135" s="4" t="inlineStr">
        <is>
          <t>https://doi.org/10.1186/s12911-022-02050-x</t>
        </is>
      </c>
      <c r="M135" s="4" t="n"/>
      <c r="N135" s="12" t="n"/>
      <c r="O135" s="41" t="n"/>
      <c r="P135" s="4" t="inlineStr">
        <is>
          <t>Confirmed only when AI was actually evaluated/used within the stated workflow or intervention; intended use alone = Proposed only</t>
        </is>
      </c>
      <c r="Q135" s="4">
        <f>IF(COUNTIFS('ESTUDIOS'!$A$2:$A$455,$A135,'ESTUDIOS'!$I$2:$I$455,"")&gt;0,"",INDEX('ESTUDIOS'!$I$2:$I$455,MATCH($A135,'ESTUDIOS'!$A$2:$A$455,0)))</f>
        <v/>
      </c>
    </row>
    <row r="136" ht="47" customHeight="1">
      <c r="A136" s="4" t="inlineStr">
        <is>
          <t>147</t>
        </is>
      </c>
      <c r="B136" s="4" t="inlineStr">
        <is>
          <t>Historical</t>
        </is>
      </c>
      <c r="C136" s="4" t="inlineStr">
        <is>
          <t>DALNN: Dual Attention Learning Neural Network for Diagnosis of Autism Spectrum Disorders and Exploration of Lesion Brain Regions</t>
        </is>
      </c>
      <c r="D136" s="12" t="n"/>
      <c r="E136" s="12" t="n"/>
      <c r="F136" s="12" t="n"/>
      <c r="G136" s="4" t="inlineStr">
        <is>
          <t>Pending classification from source</t>
        </is>
      </c>
      <c r="H136" s="4" t="n">
        <v>1</v>
      </c>
      <c r="I136" s="4" t="inlineStr">
        <is>
          <t>Classification (ASD vs control / multi-class)</t>
        </is>
      </c>
      <c r="J136" s="4" t="inlineStr">
        <is>
          <t>Algoritmo principal no explícito o fuera del codebook; Confirmar algoritmo principal en full-text</t>
        </is>
      </c>
      <c r="K136" s="4" t="str"/>
      <c r="L136" s="4" t="inlineStr">
        <is>
          <t>https://doi.org/10.1109/tcss.2025.3593119</t>
        </is>
      </c>
      <c r="M136" s="4" t="n"/>
      <c r="N136" s="12" t="n"/>
      <c r="O136" s="41" t="n"/>
      <c r="P136" s="4" t="inlineStr">
        <is>
          <t>Confirmed only when AI was actually evaluated/used within the stated workflow or intervention; intended use alone = Proposed only</t>
        </is>
      </c>
      <c r="Q136" s="4">
        <f>IF(COUNTIFS('ESTUDIOS'!$A$2:$A$455,$A136,'ESTUDIOS'!$I$2:$I$455,"")&gt;0,"",INDEX('ESTUDIOS'!$I$2:$I$455,MATCH($A136,'ESTUDIOS'!$A$2:$A$455,0)))</f>
        <v/>
      </c>
    </row>
    <row r="137" ht="60" customHeight="1">
      <c r="A137" s="4" t="inlineStr">
        <is>
          <t>148</t>
        </is>
      </c>
      <c r="B137" s="4" t="inlineStr">
        <is>
          <t>Historical</t>
        </is>
      </c>
      <c r="C137" s="4" t="inlineStr">
        <is>
          <t>Detecting Autism Spectrum Disorder and Attention Deficit Hyperactivity Disorder Using Multimodal Time-Frequency Analysis with Machine Learning Using the Electroretinogram from Two Flash Strengths</t>
        </is>
      </c>
      <c r="D137" s="12" t="n"/>
      <c r="E137" s="12" t="n"/>
      <c r="F137" s="12" t="n"/>
      <c r="G137" s="4" t="inlineStr">
        <is>
          <t>Pending classification from source</t>
        </is>
      </c>
      <c r="H137" s="4" t="n">
        <v>1</v>
      </c>
      <c r="I137" s="4" t="inlineStr">
        <is>
          <t>Classification (binary/multi-class; incl. ASD vs control)/ multi-class)</t>
        </is>
      </c>
      <c r="J137" s="4" t="str"/>
      <c r="K137" s="4" t="str"/>
      <c r="L137" s="4" t="inlineStr">
        <is>
          <t>https://doi.org/10.1007/s10803-024-06290-w</t>
        </is>
      </c>
      <c r="M137" s="4" t="n"/>
      <c r="N137" s="12" t="n"/>
      <c r="O137" s="41" t="n"/>
      <c r="P137" s="4" t="inlineStr">
        <is>
          <t>Confirmed only when AI was actually evaluated/used within the stated workflow or intervention; intended use alone = Proposed only</t>
        </is>
      </c>
      <c r="Q137" s="4">
        <f>IF(COUNTIFS('ESTUDIOS'!$A$2:$A$455,$A137,'ESTUDIOS'!$I$2:$I$455,"")&gt;0,"",INDEX('ESTUDIOS'!$I$2:$I$455,MATCH($A137,'ESTUDIOS'!$A$2:$A$455,0)))</f>
        <v/>
      </c>
    </row>
    <row r="138" ht="47" customHeight="1">
      <c r="A138" s="4" t="inlineStr">
        <is>
          <t>149</t>
        </is>
      </c>
      <c r="B138" s="4" t="inlineStr">
        <is>
          <t>Historical</t>
        </is>
      </c>
      <c r="C138" s="4" t="inlineStr">
        <is>
          <t>Diagnostic classification for human autism and obsessive-compulsive disorder based on machine learning from a primate genetic model</t>
        </is>
      </c>
      <c r="D138" s="12" t="n"/>
      <c r="E138" s="12" t="n"/>
      <c r="F138" s="12" t="n"/>
      <c r="G138" s="4" t="inlineStr">
        <is>
          <t>Pending classification from source</t>
        </is>
      </c>
      <c r="H138" s="4" t="n">
        <v>0</v>
      </c>
      <c r="I138" s="4" t="inlineStr">
        <is>
          <t>Classification (ASD vs control / multi-class)</t>
        </is>
      </c>
      <c r="J138" s="4" t="inlineStr">
        <is>
          <t>Clasificación diagnóstica basada en modelo genético de primates; confirmar fuente biológica exacta.</t>
        </is>
      </c>
      <c r="K138" s="4" t="str"/>
      <c r="L138" s="4" t="inlineStr">
        <is>
          <t>https://doi.org/10.1176/appi.ajp.2020.19101091</t>
        </is>
      </c>
      <c r="M138" s="4" t="n"/>
      <c r="N138" s="12" t="n"/>
      <c r="O138" s="41" t="n"/>
      <c r="P138" s="4" t="inlineStr">
        <is>
          <t>Confirmed only when AI was actually evaluated/used within the stated workflow or intervention; intended use alone = Proposed only</t>
        </is>
      </c>
      <c r="Q138" s="4">
        <f>IF(COUNTIFS('ESTUDIOS'!$A$2:$A$455,$A138,'ESTUDIOS'!$I$2:$I$455,"")&gt;0,"",INDEX('ESTUDIOS'!$I$2:$I$455,MATCH($A138,'ESTUDIOS'!$A$2:$A$455,0)))</f>
        <v/>
      </c>
    </row>
    <row r="139" ht="47" customHeight="1">
      <c r="A139" s="4" t="inlineStr">
        <is>
          <t>150</t>
        </is>
      </c>
      <c r="B139" s="4" t="inlineStr">
        <is>
          <t>Historical</t>
        </is>
      </c>
      <c r="C139" s="4" t="inlineStr">
        <is>
          <t>Diagnostic shifts in autism spectrum disorder can be linked to the fuzzy nature of the diagnostic boundary: a data-driven approach</t>
        </is>
      </c>
      <c r="D139" s="12" t="n"/>
      <c r="E139" s="12" t="n"/>
      <c r="F139" s="12" t="n"/>
      <c r="G139" s="4" t="inlineStr">
        <is>
          <t>Pending classification from source</t>
        </is>
      </c>
      <c r="H139" s="4" t="n">
        <v>0</v>
      </c>
      <c r="I139" s="4" t="inlineStr">
        <is>
          <t>Classification (ASD vs control / multi-class)</t>
        </is>
      </c>
      <c r="J139" s="4" t="inlineStr">
        <is>
          <t>Algoritmo principal no explícito o fuera del codebook; Confirmar algoritmo principal en full-text; Se comparan varios modelos; se eligió el principal/mejor reportado</t>
        </is>
      </c>
      <c r="K139" s="4" t="str"/>
      <c r="L139" s="4" t="inlineStr">
        <is>
          <t>https://doi.org/10.1111/jcpp.13406</t>
        </is>
      </c>
      <c r="M139" s="4" t="n"/>
      <c r="N139" s="12" t="n"/>
      <c r="O139" s="41" t="n"/>
      <c r="P139" s="4" t="inlineStr">
        <is>
          <t>Confirmed only when AI was actually evaluated/used within the stated workflow or intervention; intended use alone = Proposed only</t>
        </is>
      </c>
      <c r="Q139" s="4">
        <f>IF(COUNTIFS('ESTUDIOS'!$A$2:$A$455,$A139,'ESTUDIOS'!$I$2:$I$455,"")&gt;0,"",INDEX('ESTUDIOS'!$I$2:$I$455,MATCH($A139,'ESTUDIOS'!$A$2:$A$455,0)))</f>
        <v/>
      </c>
    </row>
    <row r="140" ht="47" customHeight="1">
      <c r="A140" s="4" t="inlineStr">
        <is>
          <t>151</t>
        </is>
      </c>
      <c r="B140" s="4" t="inlineStr">
        <is>
          <t>Historical</t>
        </is>
      </c>
      <c r="C140" s="4" t="inlineStr">
        <is>
          <t>Early identification of autism spectrum disorder by multi-instrument fusion: A clinically applicable machine learning approach</t>
        </is>
      </c>
      <c r="D140" s="12" t="n"/>
      <c r="E140" s="12" t="n"/>
      <c r="F140" s="12" t="n"/>
      <c r="G140" s="4" t="inlineStr">
        <is>
          <t>Pending classification from source</t>
        </is>
      </c>
      <c r="H140" s="4" t="n">
        <v>1</v>
      </c>
      <c r="I140" s="4" t="inlineStr">
        <is>
          <t>Classification (ASD vs control / multi-class)</t>
        </is>
      </c>
      <c r="J140" s="4" t="inlineStr">
        <is>
          <t>Fusión multi-instrumento para identificación temprana; enfoque clínicamente aplicable de cribado.</t>
        </is>
      </c>
      <c r="K140" s="4" t="str"/>
      <c r="L140" s="4" t="inlineStr">
        <is>
          <t>https://doi.org/10.1016/j.psychres.2023.115050</t>
        </is>
      </c>
      <c r="M140" s="4" t="n"/>
      <c r="N140" s="12" t="n"/>
      <c r="O140" s="41" t="n"/>
      <c r="P140" s="4" t="inlineStr">
        <is>
          <t>Confirmed only when AI was actually evaluated/used within the stated workflow or intervention; intended use alone = Proposed only</t>
        </is>
      </c>
      <c r="Q140" s="4">
        <f>IF(COUNTIFS('ESTUDIOS'!$A$2:$A$455,$A140,'ESTUDIOS'!$I$2:$I$455,"")&gt;0,"",INDEX('ESTUDIOS'!$I$2:$I$455,MATCH($A140,'ESTUDIOS'!$A$2:$A$455,0)))</f>
        <v/>
      </c>
    </row>
    <row r="141" ht="60" customHeight="1">
      <c r="A141" s="4" t="inlineStr">
        <is>
          <t>152</t>
        </is>
      </c>
      <c r="B141" s="4" t="inlineStr">
        <is>
          <t>Historical</t>
        </is>
      </c>
      <c r="C141" s="4" t="inlineStr">
        <is>
          <t>Early screening of autism spectrum disorder diagnoses of children using artificial intelligence</t>
        </is>
      </c>
      <c r="D141" s="12" t="n"/>
      <c r="E141" s="12" t="n"/>
      <c r="F141" s="12" t="n"/>
      <c r="G141" s="4" t="inlineStr">
        <is>
          <t>Pending classification from source</t>
        </is>
      </c>
      <c r="H141" s="4" t="n">
        <v>1</v>
      </c>
      <c r="I141" s="4" t="inlineStr">
        <is>
          <t>Classification (binary/multi-class; incl. ASD vs control)/ multi-class)</t>
        </is>
      </c>
      <c r="J141" s="4" t="str"/>
      <c r="K141" s="4" t="str"/>
      <c r="L141" s="4" t="inlineStr">
        <is>
          <t>https://doi.org/10.57197/jdr-2023-0004</t>
        </is>
      </c>
      <c r="M141" s="4" t="n"/>
      <c r="N141" s="12" t="n"/>
      <c r="O141" s="41" t="n"/>
      <c r="P141" s="4" t="inlineStr">
        <is>
          <t>Confirmed only when AI was actually evaluated/used within the stated workflow or intervention; intended use alone = Proposed only</t>
        </is>
      </c>
      <c r="Q141" s="4">
        <f>IF(COUNTIFS('ESTUDIOS'!$A$2:$A$455,$A141,'ESTUDIOS'!$I$2:$I$455,"")&gt;0,"",INDEX('ESTUDIOS'!$I$2:$I$455,MATCH($A141,'ESTUDIOS'!$A$2:$A$455,0)))</f>
        <v/>
      </c>
    </row>
    <row r="142" ht="60" customHeight="1">
      <c r="A142" s="4" t="inlineStr">
        <is>
          <t>153</t>
        </is>
      </c>
      <c r="B142" s="4" t="inlineStr">
        <is>
          <t>Historical</t>
        </is>
      </c>
      <c r="C142" s="4" t="inlineStr">
        <is>
          <t>Enhanced Special Needs Assessment: A Multimodal Approach for Autism Prediction</t>
        </is>
      </c>
      <c r="D142" s="12" t="n"/>
      <c r="E142" s="12" t="n"/>
      <c r="F142" s="12" t="n"/>
      <c r="G142" s="4" t="inlineStr">
        <is>
          <t>Pending classification from source</t>
        </is>
      </c>
      <c r="H142" s="4" t="n">
        <v>1</v>
      </c>
      <c r="I142" s="4" t="inlineStr">
        <is>
          <t>Classification (binary/multi-class; incl. ASD vs control)/ multi-class)</t>
        </is>
      </c>
      <c r="J142" s="4" t="str"/>
      <c r="K142" s="4" t="str"/>
      <c r="L142" s="4" t="inlineStr">
        <is>
          <t>https://doi.org/10.1109/access.2024.3453440</t>
        </is>
      </c>
      <c r="M142" s="4" t="n"/>
      <c r="N142" s="12" t="n"/>
      <c r="O142" s="41" t="n"/>
      <c r="P142" s="4" t="inlineStr">
        <is>
          <t>Confirmed only when AI was actually evaluated/used within the stated workflow or intervention; intended use alone = Proposed only</t>
        </is>
      </c>
      <c r="Q142" s="4">
        <f>IF(COUNTIFS('ESTUDIOS'!$A$2:$A$455,$A142,'ESTUDIOS'!$I$2:$I$455,"")&gt;0,"",INDEX('ESTUDIOS'!$I$2:$I$455,MATCH($A142,'ESTUDIOS'!$A$2:$A$455,0)))</f>
        <v/>
      </c>
    </row>
    <row r="143" ht="60" customHeight="1">
      <c r="A143" s="4" t="inlineStr">
        <is>
          <t>154</t>
        </is>
      </c>
      <c r="B143" s="4" t="inlineStr">
        <is>
          <t>Historical</t>
        </is>
      </c>
      <c r="C143" s="4" t="inlineStr">
        <is>
          <t>Enhancing Early Diagnosis of Autism Spectrum Disorder in Children: A Comparative Analysis of Machine Learning Techniques</t>
        </is>
      </c>
      <c r="D143" s="12" t="n"/>
      <c r="E143" s="12" t="n"/>
      <c r="F143" s="12" t="n"/>
      <c r="G143" s="4" t="inlineStr">
        <is>
          <t>Pending classification from source</t>
        </is>
      </c>
      <c r="H143" s="4" t="n">
        <v>1</v>
      </c>
      <c r="I143" s="4" t="inlineStr">
        <is>
          <t>Classification (binary/multi-class; incl. ASD vs control)/ multi-class)</t>
        </is>
      </c>
      <c r="J143" s="4" t="inlineStr">
        <is>
          <t>Comparative study; no best model declared in abstract</t>
        </is>
      </c>
      <c r="K143" s="4" t="str"/>
      <c r="L143" s="4" t="inlineStr">
        <is>
          <t>https://doi.org/10.1007/978-981-97-6995-7_34</t>
        </is>
      </c>
      <c r="M143" s="4" t="n"/>
      <c r="N143" s="12" t="n"/>
      <c r="O143" s="41" t="n"/>
      <c r="P143" s="4" t="inlineStr">
        <is>
          <t>Confirmed only when AI was actually evaluated/used within the stated workflow or intervention; intended use alone = Proposed only</t>
        </is>
      </c>
      <c r="Q143" s="4">
        <f>IF(COUNTIFS('ESTUDIOS'!$A$2:$A$455,$A143,'ESTUDIOS'!$I$2:$I$455,"")&gt;0,"",INDEX('ESTUDIOS'!$I$2:$I$455,MATCH($A143,'ESTUDIOS'!$A$2:$A$455,0)))</f>
        <v/>
      </c>
    </row>
    <row r="144" ht="47" customHeight="1">
      <c r="A144" s="4" t="inlineStr">
        <is>
          <t>155</t>
        </is>
      </c>
      <c r="B144" s="4" t="inlineStr">
        <is>
          <t>Historical</t>
        </is>
      </c>
      <c r="C144" s="4" t="inlineStr">
        <is>
          <t>Evaluation of AI tools for healthcare networks at the cloud-edge interaction to diagnose autism in educational environments</t>
        </is>
      </c>
      <c r="D144" s="12" t="n"/>
      <c r="E144" s="12" t="n"/>
      <c r="F144" s="12" t="n"/>
      <c r="G144" s="4" t="inlineStr">
        <is>
          <t>Pending classification from source</t>
        </is>
      </c>
      <c r="H144" s="4" t="n">
        <v>1</v>
      </c>
      <c r="I144" s="4" t="inlineStr">
        <is>
          <t>Classification (ASD vs control / multi-class)</t>
        </is>
      </c>
      <c r="J144" s="4" t="inlineStr">
        <is>
          <t>Discute varias técnicas pero aplica AlexNet sobre rostros en entorno educativo; confirmar diseño final.</t>
        </is>
      </c>
      <c r="K144" s="4" t="str"/>
      <c r="L144" s="4" t="inlineStr">
        <is>
          <t>https://doi.org/10.1186/s13677-023-00558-9</t>
        </is>
      </c>
      <c r="M144" s="4" t="n"/>
      <c r="N144" s="12" t="n"/>
      <c r="O144" s="41" t="n"/>
      <c r="P144" s="4" t="inlineStr">
        <is>
          <t>Confirmed only when AI was actually evaluated/used within the stated workflow or intervention; intended use alone = Proposed only</t>
        </is>
      </c>
      <c r="Q144" s="4">
        <f>IF(COUNTIFS('ESTUDIOS'!$A$2:$A$455,$A144,'ESTUDIOS'!$I$2:$I$455,"")&gt;0,"",INDEX('ESTUDIOS'!$I$2:$I$455,MATCH($A144,'ESTUDIOS'!$A$2:$A$455,0)))</f>
        <v/>
      </c>
    </row>
    <row r="145" ht="47" customHeight="1">
      <c r="A145" s="4" t="inlineStr">
        <is>
          <t>156</t>
        </is>
      </c>
      <c r="B145" s="4" t="inlineStr">
        <is>
          <t>Historical</t>
        </is>
      </c>
      <c r="C145" s="4" t="inlineStr">
        <is>
          <t>Exploring sMRI Biomarkers for Diagnosis of Autism Spectrum Disorders Based on Multi Class Activation Mapping Models</t>
        </is>
      </c>
      <c r="D145" s="12" t="n"/>
      <c r="E145" s="12" t="n"/>
      <c r="F145" s="12" t="n"/>
      <c r="G145" s="4" t="inlineStr">
        <is>
          <t>Pending classification from source</t>
        </is>
      </c>
      <c r="H145" s="4" t="n">
        <v>1</v>
      </c>
      <c r="I145" s="4" t="inlineStr">
        <is>
          <t>Classification (ASD vs control / multi-class)</t>
        </is>
      </c>
      <c r="J145" s="4" t="inlineStr">
        <is>
          <t>Algoritmo principal no explícito o fuera del codebook; Confirmar algoritmo principal en full-text</t>
        </is>
      </c>
      <c r="K145" s="4" t="str"/>
      <c r="L145" s="4" t="inlineStr">
        <is>
          <t>https://doi.org/10.1109/access.2021.3069211</t>
        </is>
      </c>
      <c r="M145" s="4" t="n"/>
      <c r="N145" s="12" t="n"/>
      <c r="O145" s="41" t="n"/>
      <c r="P145" s="4" t="inlineStr">
        <is>
          <t>Confirmed only when AI was actually evaluated/used within the stated workflow or intervention; intended use alone = Proposed only</t>
        </is>
      </c>
      <c r="Q145" s="4">
        <f>IF(COUNTIFS('ESTUDIOS'!$A$2:$A$455,$A145,'ESTUDIOS'!$I$2:$I$455,"")&gt;0,"",INDEX('ESTUDIOS'!$I$2:$I$455,MATCH($A145,'ESTUDIOS'!$A$2:$A$455,0)))</f>
        <v/>
      </c>
    </row>
    <row r="146" ht="60" customHeight="1">
      <c r="A146" s="4" t="inlineStr">
        <is>
          <t>157</t>
        </is>
      </c>
      <c r="B146" s="4" t="inlineStr">
        <is>
          <t>Historical</t>
        </is>
      </c>
      <c r="C146" s="4" t="inlineStr">
        <is>
          <t>Functional connectivity classification of autism identifies highly predictive brain features but falls short of biomarker standards</t>
        </is>
      </c>
      <c r="D146" s="12" t="n"/>
      <c r="E146" s="12" t="n"/>
      <c r="F146" s="12" t="n"/>
      <c r="G146" s="4" t="inlineStr">
        <is>
          <t>Pending classification from source</t>
        </is>
      </c>
      <c r="H146" s="4" t="n">
        <v>1</v>
      </c>
      <c r="I146" s="4" t="inlineStr">
        <is>
          <t>Classification (binary/multi-class; incl. ASD vs control)/ multi-class)</t>
        </is>
      </c>
      <c r="J146" s="4" t="inlineStr">
        <is>
          <t>comparan múltiples algoritmos (RF, KNN, SVM, varias regresiones logísticas, etc.), pero para “main” aquí lo más defendible es Logistic Regression (L2LR) por desempeño consistente.</t>
        </is>
      </c>
      <c r="K146" s="4" t="str"/>
      <c r="L146" s="4" t="inlineStr">
        <is>
          <t>https://doi.org/10.1016/j.nicl.2014.12.013</t>
        </is>
      </c>
      <c r="M146" s="4" t="n"/>
      <c r="N146" s="12" t="n"/>
      <c r="O146" s="41" t="n"/>
      <c r="P146" s="4" t="inlineStr">
        <is>
          <t>Confirmed only when AI was actually evaluated/used within the stated workflow or intervention; intended use alone = Proposed only</t>
        </is>
      </c>
      <c r="Q146" s="4">
        <f>IF(COUNTIFS('ESTUDIOS'!$A$2:$A$455,$A146,'ESTUDIOS'!$I$2:$I$455,"")&gt;0,"",INDEX('ESTUDIOS'!$I$2:$I$455,MATCH($A146,'ESTUDIOS'!$A$2:$A$455,0)))</f>
        <v/>
      </c>
    </row>
    <row r="147" ht="47" customHeight="1">
      <c r="A147" s="4" t="inlineStr">
        <is>
          <t>158</t>
        </is>
      </c>
      <c r="B147" s="4" t="inlineStr">
        <is>
          <t>Historical</t>
        </is>
      </c>
      <c r="C147" s="4" t="inlineStr">
        <is>
          <t>Graph Convolutional Networks Based on\&amp;#xa0;Relational Attention Mechanism for\&amp;#xa0;Autism Spectrum Disorders Diagnosis</t>
        </is>
      </c>
      <c r="D147" s="12" t="n"/>
      <c r="E147" s="12" t="n"/>
      <c r="F147" s="12" t="n"/>
      <c r="G147" s="4" t="inlineStr">
        <is>
          <t>Pending classification from source</t>
        </is>
      </c>
      <c r="H147" s="4" t="n">
        <v>1</v>
      </c>
      <c r="I147" s="4" t="inlineStr">
        <is>
          <t>Classification (ASD vs control / multi-class)</t>
        </is>
      </c>
      <c r="J147" s="4" t="inlineStr">
        <is>
          <t>Algoritmo principal no explícito o fuera del codebook; Confirmar algoritmo principal en full-text; Se comparan varios modelos; se eligió el principal/mejor reportado</t>
        </is>
      </c>
      <c r="K147" s="4" t="str"/>
      <c r="L147" s="4" t="inlineStr">
        <is>
          <t>https://doi.org/10.1007/978-3-031-13844-7_33</t>
        </is>
      </c>
      <c r="M147" s="4" t="n"/>
      <c r="N147" s="12" t="n"/>
      <c r="O147" s="41" t="n"/>
      <c r="P147" s="4" t="inlineStr">
        <is>
          <t>Confirmed only when AI was actually evaluated/used within the stated workflow or intervention; intended use alone = Proposed only</t>
        </is>
      </c>
      <c r="Q147" s="4">
        <f>IF(COUNTIFS('ESTUDIOS'!$A$2:$A$455,$A147,'ESTUDIOS'!$I$2:$I$455,"")&gt;0,"",INDEX('ESTUDIOS'!$I$2:$I$455,MATCH($A147,'ESTUDIOS'!$A$2:$A$455,0)))</f>
        <v/>
      </c>
    </row>
    <row r="148" ht="60" customHeight="1">
      <c r="A148" s="4" t="inlineStr">
        <is>
          <t>159</t>
        </is>
      </c>
      <c r="B148" s="4" t="inlineStr">
        <is>
          <t>Historical</t>
        </is>
      </c>
      <c r="C148" s="4" t="inlineStr">
        <is>
          <t>Hybrid similarity based feature selection and cascade deep maxout fuzzy network for Autism Spectrum Disorder detection using EEG signal</t>
        </is>
      </c>
      <c r="D148" s="12" t="n"/>
      <c r="E148" s="12" t="n"/>
      <c r="F148" s="12" t="n"/>
      <c r="G148" s="4" t="inlineStr">
        <is>
          <t>Pending classification from source</t>
        </is>
      </c>
      <c r="H148" s="4" t="n">
        <v>1</v>
      </c>
      <c r="I148" s="4" t="inlineStr">
        <is>
          <t>Classification (binary/multi-class; incl. ASD vs control)/ multi-class)</t>
        </is>
      </c>
      <c r="J148" s="4" t="inlineStr">
        <is>
          <t>Cascade Deep Maxout Fuzzy Network (DMN + neuro-fuzzy), con feature selection por medidas de similitud</t>
        </is>
      </c>
      <c r="K148" s="4" t="str"/>
      <c r="L148" s="4" t="inlineStr">
        <is>
          <t>https://doi.org/10.1016/j.compbiolchem.2024.108177</t>
        </is>
      </c>
      <c r="M148" s="4" t="n"/>
      <c r="N148" s="12" t="n"/>
      <c r="O148" s="41" t="n"/>
      <c r="P148" s="4" t="inlineStr">
        <is>
          <t>Confirmed only when AI was actually evaluated/used within the stated workflow or intervention; intended use alone = Proposed only</t>
        </is>
      </c>
      <c r="Q148" s="4">
        <f>IF(COUNTIFS('ESTUDIOS'!$A$2:$A$455,$A148,'ESTUDIOS'!$I$2:$I$455,"")&gt;0,"",INDEX('ESTUDIOS'!$I$2:$I$455,MATCH($A148,'ESTUDIOS'!$A$2:$A$455,0)))</f>
        <v/>
      </c>
    </row>
    <row r="149" ht="60" customHeight="1">
      <c r="A149" s="4" t="inlineStr">
        <is>
          <t>160</t>
        </is>
      </c>
      <c r="B149" s="4" t="inlineStr">
        <is>
          <t>Historical</t>
        </is>
      </c>
      <c r="C149" s="4" t="inlineStr">
        <is>
          <t>Imputing cognitive impairment in SPARK, a large autism cohort</t>
        </is>
      </c>
      <c r="D149" s="12" t="n"/>
      <c r="E149" s="12" t="n"/>
      <c r="F149" s="12" t="n"/>
      <c r="G149" s="4" t="inlineStr">
        <is>
          <t>Pending classification from source</t>
        </is>
      </c>
      <c r="H149" s="4" t="n">
        <v>1</v>
      </c>
      <c r="I149" s="4" t="inlineStr">
        <is>
          <t>Cognitive impairment imputation / clinical characterization</t>
        </is>
      </c>
      <c r="J149" s="4" t="inlineStr">
        <is>
          <t>el modelo no busca detectar ASD vs no-ASD; trabaja dentro de una cohorte ASD para imputar/estimar capacidad cognitiva / impairment (FSIQ y umbrales). Eso no cae limpio en Prescreening/Screening/Diagnosis/Prognosis/Monitoring de ASD.</t>
        </is>
      </c>
      <c r="K149" s="4" t="inlineStr">
        <is>
          <t>ML predicts cognitive impairment and FSIQ in a large autism cohort where direct assessment is not feasible at scale.</t>
        </is>
      </c>
      <c r="L149" s="4" t="inlineStr">
        <is>
          <t>https://doi.org/10.1002/aur.2622</t>
        </is>
      </c>
      <c r="M149" s="4" t="n"/>
      <c r="N149" s="12" t="n"/>
      <c r="O149" s="41" t="n"/>
      <c r="P149" s="4" t="inlineStr">
        <is>
          <t>Confirmed only when AI was actually evaluated/used within the stated workflow or intervention; intended use alone = Proposed only</t>
        </is>
      </c>
      <c r="Q149" s="4">
        <f>IF(COUNTIFS('ESTUDIOS'!$A$2:$A$455,$A149,'ESTUDIOS'!$I$2:$I$455,"")&gt;0,"",INDEX('ESTUDIOS'!$I$2:$I$455,MATCH($A149,'ESTUDIOS'!$A$2:$A$455,0)))</f>
        <v/>
      </c>
    </row>
    <row r="150" ht="47" customHeight="1">
      <c r="A150" s="4" t="inlineStr">
        <is>
          <t>162</t>
        </is>
      </c>
      <c r="B150" s="4" t="inlineStr">
        <is>
          <t>Historical</t>
        </is>
      </c>
      <c r="C150" s="4" t="inlineStr">
        <is>
          <t>Machine Learning in ASD: An Intensive Study of Automated Disease Prediction System</t>
        </is>
      </c>
      <c r="D150" s="12" t="n"/>
      <c r="E150" s="12" t="n"/>
      <c r="F150" s="12" t="n"/>
      <c r="G150" s="4" t="inlineStr">
        <is>
          <t>Pending classification from source</t>
        </is>
      </c>
      <c r="H150" s="4" t="n">
        <v>1</v>
      </c>
      <c r="I150" s="4" t="inlineStr">
        <is>
          <t>Classification / diagnostic prediction</t>
        </is>
      </c>
      <c r="J150" s="4" t="inlineStr">
        <is>
          <t>Sin señal explícita Q3 en título/abstract.</t>
        </is>
      </c>
      <c r="K150" s="4" t="inlineStr">
        <is>
          <t>Random-forest automated disease prediction intended to help practitioners detect disease.</t>
        </is>
      </c>
      <c r="L150" s="4" t="inlineStr">
        <is>
          <t>https://doi.org/10.1002/9781119896838.ch18</t>
        </is>
      </c>
      <c r="M150" s="4" t="n"/>
      <c r="N150" s="12" t="n"/>
      <c r="O150" s="41" t="n"/>
      <c r="P150" s="4" t="inlineStr">
        <is>
          <t>Confirmed only when AI was actually evaluated/used within the stated workflow or intervention; intended use alone = Proposed only</t>
        </is>
      </c>
      <c r="Q150" s="4">
        <f>IF(COUNTIFS('ESTUDIOS'!$A$2:$A$455,$A150,'ESTUDIOS'!$I$2:$I$455,"")&gt;0,"",INDEX('ESTUDIOS'!$I$2:$I$455,MATCH($A150,'ESTUDIOS'!$A$2:$A$455,0)))</f>
        <v/>
      </c>
    </row>
    <row r="151" ht="47" customHeight="1">
      <c r="A151" s="4" t="inlineStr">
        <is>
          <t>163</t>
        </is>
      </c>
      <c r="B151" s="4" t="inlineStr">
        <is>
          <t>Historical</t>
        </is>
      </c>
      <c r="C151" s="4" t="inlineStr">
        <is>
          <t>Multichannel Deep Attention Neural Networks for the Classification of Autism Spectrum Disorder Using Neuroimaging and Personal Characteristic Data</t>
        </is>
      </c>
      <c r="D151" s="12" t="n"/>
      <c r="E151" s="12" t="n"/>
      <c r="F151" s="12" t="n"/>
      <c r="G151" s="4" t="inlineStr">
        <is>
          <t>Pending classification from source</t>
        </is>
      </c>
      <c r="H151" s="4" t="n">
        <v>1</v>
      </c>
      <c r="I151" s="4" t="inlineStr">
        <is>
          <t>Classification (ASD vs control / multi-class)</t>
        </is>
      </c>
      <c r="J151" s="4" t="inlineStr">
        <is>
          <t>Algoritmo principal no explícito o fuera del codebook; Confirmar algoritmo principal en full-text</t>
        </is>
      </c>
      <c r="K151" s="4" t="str"/>
      <c r="L151" s="4" t="inlineStr">
        <is>
          <t>https://doi.org/10.1155/2020/1357853</t>
        </is>
      </c>
      <c r="M151" s="4" t="n"/>
      <c r="N151" s="12" t="n"/>
      <c r="O151" s="41" t="n"/>
      <c r="P151" s="4" t="inlineStr">
        <is>
          <t>Confirmed only when AI was actually evaluated/used within the stated workflow or intervention; intended use alone = Proposed only</t>
        </is>
      </c>
      <c r="Q151" s="4">
        <f>IF(COUNTIFS('ESTUDIOS'!$A$2:$A$455,$A151,'ESTUDIOS'!$I$2:$I$455,"")&gt;0,"",INDEX('ESTUDIOS'!$I$2:$I$455,MATCH($A151,'ESTUDIOS'!$A$2:$A$455,0)))</f>
        <v/>
      </c>
    </row>
    <row r="152" ht="60" customHeight="1">
      <c r="A152" s="4" t="inlineStr">
        <is>
          <t>164</t>
        </is>
      </c>
      <c r="B152" s="4" t="inlineStr">
        <is>
          <t>Historical</t>
        </is>
      </c>
      <c r="C152" s="4" t="inlineStr">
        <is>
          <t>Multimodal Kernel-based discriminant correlation analysis data-fusion approach: an automated autism spectrum disorder diagnostic system</t>
        </is>
      </c>
      <c r="D152" s="12" t="n"/>
      <c r="E152" s="12" t="n"/>
      <c r="F152" s="12" t="n"/>
      <c r="G152" s="4" t="inlineStr">
        <is>
          <t>Pending classification from source</t>
        </is>
      </c>
      <c r="H152" s="4" t="n">
        <v>1</v>
      </c>
      <c r="I152" s="4" t="inlineStr">
        <is>
          <t>Classification (binary/multi-class; incl. ASD vs control)/ multi-class)</t>
        </is>
      </c>
      <c r="J152" s="4" t="inlineStr">
        <is>
          <t>Fusión MKDCA + SVM; multimodal EEG+eye-tracking+computational”.</t>
        </is>
      </c>
      <c r="K152" s="4" t="str"/>
      <c r="L152" s="4" t="inlineStr">
        <is>
          <t>https://doi.org/10.1007/s13246-023-01350-4</t>
        </is>
      </c>
      <c r="M152" s="4" t="n"/>
      <c r="N152" s="12" t="n"/>
      <c r="O152" s="41" t="n"/>
      <c r="P152" s="4" t="inlineStr">
        <is>
          <t>Confirmed only when AI was actually evaluated/used within the stated workflow or intervention; intended use alone = Proposed only</t>
        </is>
      </c>
      <c r="Q152" s="4">
        <f>IF(COUNTIFS('ESTUDIOS'!$A$2:$A$455,$A152,'ESTUDIOS'!$I$2:$I$455,"")&gt;0,"",INDEX('ESTUDIOS'!$I$2:$I$455,MATCH($A152,'ESTUDIOS'!$A$2:$A$455,0)))</f>
        <v/>
      </c>
    </row>
    <row r="153" ht="60" customHeight="1">
      <c r="A153" s="4" t="inlineStr">
        <is>
          <t>165</t>
        </is>
      </c>
      <c r="B153" s="4" t="inlineStr">
        <is>
          <t>Historical</t>
        </is>
      </c>
      <c r="C153" s="4" t="inlineStr">
        <is>
          <t>Phase 3 diagnostic evaluation of a smart tablet serious game to identify autism in 760 children 3-5 years old in Sweden and the United Kingdom</t>
        </is>
      </c>
      <c r="D153" s="12" t="n"/>
      <c r="E153" s="12" t="n"/>
      <c r="F153" s="12" t="n"/>
      <c r="G153" s="4" t="inlineStr">
        <is>
          <t>Pending classification from source</t>
        </is>
      </c>
      <c r="H153" s="4" t="n">
        <v>1</v>
      </c>
      <c r="I153" s="4" t="inlineStr">
        <is>
          <t>Classification (binary/multi-class; incl. ASD vs control)/ multi-class)</t>
        </is>
      </c>
      <c r="J153" s="4" t="str"/>
      <c r="K153" s="4" t="str"/>
      <c r="L153" s="4" t="inlineStr">
        <is>
          <t>https://doi.org/10.1136/bmjopen-2018-026226</t>
        </is>
      </c>
      <c r="M153" s="4" t="n"/>
      <c r="N153" s="12" t="n"/>
      <c r="O153" s="41" t="n"/>
      <c r="P153" s="4" t="inlineStr">
        <is>
          <t>Confirmed only when AI was actually evaluated/used within the stated workflow or intervention; intended use alone = Proposed only</t>
        </is>
      </c>
      <c r="Q153" s="4">
        <f>IF(COUNTIFS('ESTUDIOS'!$A$2:$A$455,$A153,'ESTUDIOS'!$I$2:$I$455,"")&gt;0,"",INDEX('ESTUDIOS'!$I$2:$I$455,MATCH($A153,'ESTUDIOS'!$A$2:$A$455,0)))</f>
        <v/>
      </c>
    </row>
    <row r="154" ht="47" customHeight="1">
      <c r="A154" s="4" t="inlineStr">
        <is>
          <t>166</t>
        </is>
      </c>
      <c r="B154" s="4" t="inlineStr">
        <is>
          <t>Historical</t>
        </is>
      </c>
      <c r="C154" s="4" t="inlineStr">
        <is>
          <t>Research and development of autism diagnosis information system based on deep convolution neural network and facial expression data</t>
        </is>
      </c>
      <c r="D154" s="12" t="n"/>
      <c r="E154" s="12" t="n"/>
      <c r="F154" s="12" t="n"/>
      <c r="G154" s="4" t="inlineStr">
        <is>
          <t>Pending classification from source</t>
        </is>
      </c>
      <c r="H154" s="4" t="n">
        <v>1</v>
      </c>
      <c r="I154" s="4" t="inlineStr">
        <is>
          <t>Classification (ASD vs control / multi-class)</t>
        </is>
      </c>
      <c r="J154" s="4" t="str"/>
      <c r="K154" s="4" t="str"/>
      <c r="L154" s="4" t="inlineStr">
        <is>
          <t>https://doi.org/10.1108/lht-08-2019-0176</t>
        </is>
      </c>
      <c r="M154" s="4" t="n"/>
      <c r="N154" s="12" t="n"/>
      <c r="O154" s="41" t="n"/>
      <c r="P154" s="4" t="inlineStr">
        <is>
          <t>Confirmed only when AI was actually evaluated/used within the stated workflow or intervention; intended use alone = Proposed only</t>
        </is>
      </c>
      <c r="Q154" s="4">
        <f>IF(COUNTIFS('ESTUDIOS'!$A$2:$A$455,$A154,'ESTUDIOS'!$I$2:$I$455,"")&gt;0,"",INDEX('ESTUDIOS'!$I$2:$I$455,MATCH($A154,'ESTUDIOS'!$A$2:$A$455,0)))</f>
        <v/>
      </c>
    </row>
    <row r="155" ht="47" customHeight="1">
      <c r="A155" s="4" t="inlineStr">
        <is>
          <t>168</t>
        </is>
      </c>
      <c r="B155" s="4" t="inlineStr">
        <is>
          <t>Historical</t>
        </is>
      </c>
      <c r="C155" s="4" t="inlineStr">
        <is>
          <t>Stratification of Children with Autism Spectrum Disorder Through Fusion of Temporal Information in Eye-gaze Scan-Paths</t>
        </is>
      </c>
      <c r="D155" s="12" t="n"/>
      <c r="E155" s="12" t="n"/>
      <c r="F155" s="12" t="n"/>
      <c r="G155" s="4" t="inlineStr">
        <is>
          <t>Pending classification from source</t>
        </is>
      </c>
      <c r="H155" s="4" t="n">
        <v>1</v>
      </c>
      <c r="I155" s="4" t="inlineStr">
        <is>
          <t>Classification (ASD vs control / multi-class)</t>
        </is>
      </c>
      <c r="J155" s="4" t="inlineStr">
        <is>
          <t>Estratificación de niños con ASD usando trayectorias de eye-gaze; confirmar si el objetivo es subtipado vs clasificación.</t>
        </is>
      </c>
      <c r="K155" s="4" t="str"/>
      <c r="L155" s="4" t="inlineStr">
        <is>
          <t>https://doi.org/10.1145/3539226</t>
        </is>
      </c>
      <c r="M155" s="4" t="n"/>
      <c r="N155" s="12" t="n"/>
      <c r="O155" s="41" t="n"/>
      <c r="P155" s="4" t="inlineStr">
        <is>
          <t>Confirmed only when AI was actually evaluated/used within the stated workflow or intervention; intended use alone = Proposed only</t>
        </is>
      </c>
      <c r="Q155" s="4">
        <f>IF(COUNTIFS('ESTUDIOS'!$A$2:$A$455,$A155,'ESTUDIOS'!$I$2:$I$455,"")&gt;0,"",INDEX('ESTUDIOS'!$I$2:$I$455,MATCH($A155,'ESTUDIOS'!$A$2:$A$455,0)))</f>
        <v/>
      </c>
    </row>
    <row r="156" ht="47" customHeight="1">
      <c r="A156" s="4" t="inlineStr">
        <is>
          <t>169</t>
        </is>
      </c>
      <c r="B156" s="4" t="inlineStr">
        <is>
          <t>Historical</t>
        </is>
      </c>
      <c r="C156" s="4" t="inlineStr">
        <is>
          <t>The Classification of Abnormal Hand Movement to Aid in Autism Detection: Machine Learning Study</t>
        </is>
      </c>
      <c r="D156" s="12" t="n"/>
      <c r="E156" s="12" t="n"/>
      <c r="F156" s="12" t="n"/>
      <c r="G156" s="4" t="inlineStr">
        <is>
          <t>Pending classification from source</t>
        </is>
      </c>
      <c r="H156" s="4" t="n">
        <v>1</v>
      </c>
      <c r="I156" s="4" t="inlineStr">
        <is>
          <t>Classification (ASD vs control / multi-class)</t>
        </is>
      </c>
      <c r="J156" s="4" t="str"/>
      <c r="K156" s="4" t="str"/>
      <c r="L156" s="4" t="inlineStr">
        <is>
          <t>https://doi.org/10.2196/33771</t>
        </is>
      </c>
      <c r="M156" s="4" t="n"/>
      <c r="N156" s="12" t="n"/>
      <c r="O156" s="41" t="n"/>
      <c r="P156" s="4" t="inlineStr">
        <is>
          <t>Confirmed only when AI was actually evaluated/used within the stated workflow or intervention; intended use alone = Proposed only</t>
        </is>
      </c>
      <c r="Q156" s="4">
        <f>IF(COUNTIFS('ESTUDIOS'!$A$2:$A$455,$A156,'ESTUDIOS'!$I$2:$I$455,"")&gt;0,"",INDEX('ESTUDIOS'!$I$2:$I$455,MATCH($A156,'ESTUDIOS'!$A$2:$A$455,0)))</f>
        <v/>
      </c>
    </row>
    <row r="157" ht="47" customHeight="1">
      <c r="A157" s="4" t="inlineStr">
        <is>
          <t>170</t>
        </is>
      </c>
      <c r="B157" s="4" t="inlineStr">
        <is>
          <t>Historical</t>
        </is>
      </c>
      <c r="C157" s="4" t="inlineStr">
        <is>
          <t>The development of a practical artificial intelligence tool for diagnosing and evaluating autism spectrum disorder: Multicenter study</t>
        </is>
      </c>
      <c r="D157" s="12" t="n"/>
      <c r="E157" s="12" t="n"/>
      <c r="F157" s="12" t="n"/>
      <c r="G157" s="4" t="inlineStr">
        <is>
          <t>Pending classification from source</t>
        </is>
      </c>
      <c r="H157" s="4" t="n">
        <v>1</v>
      </c>
      <c r="I157" s="4" t="inlineStr">
        <is>
          <t>Classification (ASD vs control / multi-class)</t>
        </is>
      </c>
      <c r="J157" s="4" t="inlineStr">
        <is>
          <t>Algoritmo principal no explícito o fuera del codebook; Confirmar algoritmo principal en full-text; Se comparan varios modelos; se eligió el principal/mejor reportado</t>
        </is>
      </c>
      <c r="K157" s="4" t="str"/>
      <c r="L157" s="4" t="inlineStr">
        <is>
          <t>https://doi.org/10.2196/15767</t>
        </is>
      </c>
      <c r="M157" s="4" t="n"/>
      <c r="N157" s="12" t="n"/>
      <c r="O157" s="41" t="n"/>
      <c r="P157" s="4" t="inlineStr">
        <is>
          <t>Confirmed only when AI was actually evaluated/used within the stated workflow or intervention; intended use alone = Proposed only</t>
        </is>
      </c>
      <c r="Q157" s="4">
        <f>IF(COUNTIFS('ESTUDIOS'!$A$2:$A$455,$A157,'ESTUDIOS'!$I$2:$I$455,"")&gt;0,"",INDEX('ESTUDIOS'!$I$2:$I$455,MATCH($A157,'ESTUDIOS'!$A$2:$A$455,0)))</f>
        <v/>
      </c>
    </row>
    <row r="158" ht="47" customHeight="1">
      <c r="A158" s="4" t="inlineStr">
        <is>
          <t>171</t>
        </is>
      </c>
      <c r="B158" s="4" t="inlineStr">
        <is>
          <t>Historical</t>
        </is>
      </c>
      <c r="C158" s="4" t="inlineStr">
        <is>
          <t>Toward the Autism Motor Signature: Gesture patterns during smart tablet gameplay identify children with autism</t>
        </is>
      </c>
      <c r="D158" s="12" t="n"/>
      <c r="E158" s="12" t="n"/>
      <c r="F158" s="12" t="n"/>
      <c r="G158" s="4" t="inlineStr">
        <is>
          <t>Pending classification from source</t>
        </is>
      </c>
      <c r="H158" s="4" t="n">
        <v>1</v>
      </c>
      <c r="I158" s="4" t="inlineStr">
        <is>
          <t>Classification (ASD vs control / multi-class)</t>
        </is>
      </c>
      <c r="J158" s="4" t="inlineStr">
        <is>
          <t>Algoritmo principal no explícito o fuera del codebook; Confirmar algoritmo principal en full-text</t>
        </is>
      </c>
      <c r="K158" s="4" t="str"/>
      <c r="L158" s="4" t="inlineStr">
        <is>
          <t>https://doi.org/10.1038/srep31107</t>
        </is>
      </c>
      <c r="M158" s="4" t="n"/>
      <c r="N158" s="12" t="n"/>
      <c r="O158" s="41" t="n"/>
      <c r="P158" s="4" t="inlineStr">
        <is>
          <t>Confirmed only when AI was actually evaluated/used within the stated workflow or intervention; intended use alone = Proposed only</t>
        </is>
      </c>
      <c r="Q158" s="4">
        <f>IF(COUNTIFS('ESTUDIOS'!$A$2:$A$455,$A158,'ESTUDIOS'!$I$2:$I$455,"")&gt;0,"",INDEX('ESTUDIOS'!$I$2:$I$455,MATCH($A158,'ESTUDIOS'!$A$2:$A$455,0)))</f>
        <v/>
      </c>
    </row>
    <row r="159" ht="47" customHeight="1">
      <c r="A159" s="4" t="inlineStr">
        <is>
          <t>172</t>
        </is>
      </c>
      <c r="B159" s="4" t="inlineStr">
        <is>
          <t>Historical</t>
        </is>
      </c>
      <c r="C159" s="4" t="inlineStr">
        <is>
          <t>Using #ActuallyAutistic on Twitter for Precision Diagnosis of Autism Spectrum Disorder: Machine Learning Study</t>
        </is>
      </c>
      <c r="D159" s="12" t="n"/>
      <c r="E159" s="12" t="n"/>
      <c r="F159" s="12" t="n"/>
      <c r="G159" s="4" t="inlineStr">
        <is>
          <t>Pending classification from source</t>
        </is>
      </c>
      <c r="H159" s="4" t="n">
        <v>1</v>
      </c>
      <c r="I159" s="4" t="inlineStr">
        <is>
          <t>Classification (ASD vs control / multi-class)</t>
        </is>
      </c>
      <c r="J159" s="4" t="inlineStr">
        <is>
          <t>Clasificación de tweets #ActuallyAutistic; relevancia clínica/etapa RQ1 ambigua.</t>
        </is>
      </c>
      <c r="K159" s="4" t="str"/>
      <c r="L159" s="4" t="inlineStr">
        <is>
          <t>https://doi.org/10.2196/52660</t>
        </is>
      </c>
      <c r="M159" s="4" t="n"/>
      <c r="N159" s="12" t="n"/>
      <c r="O159" s="41" t="n"/>
      <c r="P159" s="4" t="inlineStr">
        <is>
          <t>Confirmed only when AI was actually evaluated/used within the stated workflow or intervention; intended use alone = Proposed only</t>
        </is>
      </c>
      <c r="Q159" s="4">
        <f>IF(COUNTIFS('ESTUDIOS'!$A$2:$A$455,$A159,'ESTUDIOS'!$I$2:$I$455,"")&gt;0,"",INDEX('ESTUDIOS'!$I$2:$I$455,MATCH($A159,'ESTUDIOS'!$A$2:$A$455,0)))</f>
        <v/>
      </c>
    </row>
    <row r="160" ht="47" customHeight="1">
      <c r="A160" s="4" t="inlineStr">
        <is>
          <t>173</t>
        </is>
      </c>
      <c r="B160" s="4" t="inlineStr">
        <is>
          <t>Historical</t>
        </is>
      </c>
      <c r="C160" s="4" t="inlineStr">
        <is>
          <t>Using machine learning to improve diagnostic assessment of ASD in the light of specific differential and co-occurring diagnoses</t>
        </is>
      </c>
      <c r="D160" s="12" t="n"/>
      <c r="E160" s="12" t="n"/>
      <c r="F160" s="12" t="n"/>
      <c r="G160" s="4" t="inlineStr">
        <is>
          <t>Pending classification from source</t>
        </is>
      </c>
      <c r="H160" s="4" t="n">
        <v>1</v>
      </c>
      <c r="I160" s="4" t="inlineStr">
        <is>
          <t>Classification (ASD vs control / multi-class)</t>
        </is>
      </c>
      <c r="J160" s="4" t="inlineStr">
        <is>
          <t>Se comparan varios modelos; se eligió el principal/mejor reportado</t>
        </is>
      </c>
      <c r="K160" s="4" t="str"/>
      <c r="L160" s="4" t="inlineStr">
        <is>
          <t>https://doi.org/10.1111/jcpp.13650</t>
        </is>
      </c>
      <c r="M160" s="4" t="n"/>
      <c r="N160" s="12" t="n"/>
      <c r="O160" s="41" t="n"/>
      <c r="P160" s="4" t="inlineStr">
        <is>
          <t>Confirmed only when AI was actually evaluated/used within the stated workflow or intervention; intended use alone = Proposed only</t>
        </is>
      </c>
      <c r="Q160" s="4">
        <f>IF(COUNTIFS('ESTUDIOS'!$A$2:$A$455,$A160,'ESTUDIOS'!$I$2:$I$455,"")&gt;0,"",INDEX('ESTUDIOS'!$I$2:$I$455,MATCH($A160,'ESTUDIOS'!$A$2:$A$455,0)))</f>
        <v/>
      </c>
    </row>
    <row r="161" ht="47" customHeight="1">
      <c r="A161" s="4" t="inlineStr">
        <is>
          <t>174</t>
        </is>
      </c>
      <c r="B161" s="4" t="inlineStr">
        <is>
          <t>Historical</t>
        </is>
      </c>
      <c r="C161" s="4" t="inlineStr">
        <is>
          <t>A Framework to Diagnose Autism Spectrum Disorder Using Morphological Connectivity of sMRI and XGBoost</t>
        </is>
      </c>
      <c r="D161" s="12" t="n"/>
      <c r="E161" s="12" t="n"/>
      <c r="F161" s="12" t="n"/>
      <c r="G161" s="4" t="inlineStr">
        <is>
          <t>Pending classification from source</t>
        </is>
      </c>
      <c r="H161" s="4" t="n">
        <v>1</v>
      </c>
      <c r="I161" s="4" t="inlineStr">
        <is>
          <t>Classification (ASD vs control / multi-class)</t>
        </is>
      </c>
      <c r="J161" s="4" t="str"/>
      <c r="K161" s="4" t="str"/>
      <c r="L161" s="4" t="inlineStr">
        <is>
          <t>https://doi.org/10.3233/shti230734</t>
        </is>
      </c>
      <c r="M161" s="4" t="n"/>
      <c r="N161" s="12" t="n"/>
      <c r="O161" s="41" t="n"/>
      <c r="P161" s="4" t="inlineStr">
        <is>
          <t>Confirmed only when AI was actually evaluated/used within the stated workflow or intervention; intended use alone = Proposed only</t>
        </is>
      </c>
      <c r="Q161" s="4">
        <f>IF(COUNTIFS('ESTUDIOS'!$A$2:$A$455,$A161,'ESTUDIOS'!$I$2:$I$455,"")&gt;0,"",INDEX('ESTUDIOS'!$I$2:$I$455,MATCH($A161,'ESTUDIOS'!$A$2:$A$455,0)))</f>
        <v/>
      </c>
    </row>
    <row r="162" ht="47" customHeight="1">
      <c r="A162" s="4" t="inlineStr">
        <is>
          <t>175</t>
        </is>
      </c>
      <c r="B162" s="4" t="inlineStr">
        <is>
          <t>Historical</t>
        </is>
      </c>
      <c r="C162" s="4" t="inlineStr">
        <is>
          <t>A machine learning approach for understanding the metabolomics response of children with autism spectrum disorder to medical cannabis treatment</t>
        </is>
      </c>
      <c r="D162" s="12" t="n"/>
      <c r="E162" s="12" t="n"/>
      <c r="F162" s="12" t="n"/>
      <c r="G162" s="4" t="inlineStr">
        <is>
          <t>Pending classification from source</t>
        </is>
      </c>
      <c r="H162" s="4" t="n">
        <v>1</v>
      </c>
      <c r="I162" s="4" t="inlineStr">
        <is>
          <t>Other / Not clear</t>
        </is>
      </c>
      <c r="J162" s="4" t="inlineStr">
        <is>
          <t>Algoritmo principal no explícito o fuera del codebook; Confirmar algoritmo principal en full-text</t>
        </is>
      </c>
      <c r="K162" s="4" t="str"/>
      <c r="L162" s="4" t="inlineStr">
        <is>
          <t>https://doi.org/10.1038/s41598-023-40073-0</t>
        </is>
      </c>
      <c r="M162" s="4" t="n"/>
      <c r="N162" s="12" t="n"/>
      <c r="O162" s="41" t="n"/>
      <c r="P162" s="4" t="inlineStr">
        <is>
          <t>Confirmed only when AI was actually evaluated/used within the stated workflow or intervention; intended use alone = Proposed only</t>
        </is>
      </c>
      <c r="Q162" s="4">
        <f>IF(COUNTIFS('ESTUDIOS'!$A$2:$A$455,$A162,'ESTUDIOS'!$I$2:$I$455,"")&gt;0,"",INDEX('ESTUDIOS'!$I$2:$I$455,MATCH($A162,'ESTUDIOS'!$A$2:$A$455,0)))</f>
        <v/>
      </c>
    </row>
    <row r="163" ht="47" customHeight="1">
      <c r="A163" s="4" t="inlineStr">
        <is>
          <t>177</t>
        </is>
      </c>
      <c r="B163" s="4" t="inlineStr">
        <is>
          <t>Historical</t>
        </is>
      </c>
      <c r="C163" s="4" t="inlineStr">
        <is>
          <t>Aided Diagnosis of\&amp;#xa0;Autism Spectrum Disorder Based on\&amp;#xa0;a\&amp;#xa0;Mixed Neural Network Model</t>
        </is>
      </c>
      <c r="D163" s="12" t="n"/>
      <c r="E163" s="12" t="n"/>
      <c r="F163" s="12" t="n"/>
      <c r="G163" s="4" t="inlineStr">
        <is>
          <t>Pending classification from source</t>
        </is>
      </c>
      <c r="H163" s="4" t="n">
        <v>1</v>
      </c>
      <c r="I163" s="4" t="inlineStr">
        <is>
          <t>Classification (ASD vs control / multi-class)</t>
        </is>
      </c>
      <c r="J163" s="4" t="inlineStr">
        <is>
          <t>Se comparan varios modelos; se eligió el principal/mejor reportado</t>
        </is>
      </c>
      <c r="K163" s="4" t="str"/>
      <c r="L163" s="4" t="inlineStr">
        <is>
          <t>https://doi.org/10.1007/978-981-99-8141-0_12</t>
        </is>
      </c>
      <c r="M163" s="4" t="n"/>
      <c r="N163" s="12" t="n"/>
      <c r="O163" s="41" t="n"/>
      <c r="P163" s="4" t="inlineStr">
        <is>
          <t>Confirmed only when AI was actually evaluated/used within the stated workflow or intervention; intended use alone = Proposed only</t>
        </is>
      </c>
      <c r="Q163" s="4">
        <f>IF(COUNTIFS('ESTUDIOS'!$A$2:$A$455,$A163,'ESTUDIOS'!$I$2:$I$455,"")&gt;0,"",INDEX('ESTUDIOS'!$I$2:$I$455,MATCH($A163,'ESTUDIOS'!$A$2:$A$455,0)))</f>
        <v/>
      </c>
    </row>
    <row r="164" ht="60" customHeight="1">
      <c r="A164" s="4" t="inlineStr">
        <is>
          <t>178</t>
        </is>
      </c>
      <c r="B164" s="4" t="inlineStr">
        <is>
          <t>Historical</t>
        </is>
      </c>
      <c r="C164" s="4" t="inlineStr">
        <is>
          <t>Application of Single-Nucleotide Polymorphisms in the Diagnosis of Autism Spectrum Disorders: A Preliminary Study with Artificial Neural Networks</t>
        </is>
      </c>
      <c r="D164" s="12" t="n"/>
      <c r="E164" s="12" t="n"/>
      <c r="F164" s="12" t="n"/>
      <c r="G164" s="4" t="inlineStr">
        <is>
          <t>Pending classification from source</t>
        </is>
      </c>
      <c r="H164" s="4" t="n">
        <v>1</v>
      </c>
      <c r="I164" s="4" t="inlineStr">
        <is>
          <t>Classification (binary/multi-class; incl. ASD vs control)/ multi-class)</t>
        </is>
      </c>
      <c r="J164" s="4" t="str"/>
      <c r="K164" s="4" t="str"/>
      <c r="L164" s="4" t="inlineStr">
        <is>
          <t>https://doi.org/10.1007/s12031-019-01311-1</t>
        </is>
      </c>
      <c r="M164" s="4" t="n"/>
      <c r="N164" s="12" t="n"/>
      <c r="O164" s="41" t="n"/>
      <c r="P164" s="4" t="inlineStr">
        <is>
          <t>Confirmed only when AI was actually evaluated/used within the stated workflow or intervention; intended use alone = Proposed only</t>
        </is>
      </c>
      <c r="Q164" s="4">
        <f>IF(COUNTIFS('ESTUDIOS'!$A$2:$A$455,$A164,'ESTUDIOS'!$I$2:$I$455,"")&gt;0,"",INDEX('ESTUDIOS'!$I$2:$I$455,MATCH($A164,'ESTUDIOS'!$A$2:$A$455,0)))</f>
        <v/>
      </c>
    </row>
    <row r="165" ht="47" customHeight="1">
      <c r="A165" s="4" t="inlineStr">
        <is>
          <t>179</t>
        </is>
      </c>
      <c r="B165" s="4" t="inlineStr">
        <is>
          <t>Historical</t>
        </is>
      </c>
      <c r="C165" s="4" t="inlineStr">
        <is>
          <t>Autism spectrum disorder detection with machine learning methods</t>
        </is>
      </c>
      <c r="D165" s="12" t="n"/>
      <c r="E165" s="12" t="n"/>
      <c r="F165" s="12" t="n"/>
      <c r="G165" s="4" t="inlineStr">
        <is>
          <t>Pending classification from source</t>
        </is>
      </c>
      <c r="H165" s="4" t="n">
        <v>1</v>
      </c>
      <c r="I165" s="4" t="inlineStr">
        <is>
          <t>Classification (ASD vs control / multi-class)</t>
        </is>
      </c>
      <c r="J165" s="4" t="str"/>
      <c r="K165" s="4" t="str"/>
      <c r="L165" s="4" t="inlineStr">
        <is>
          <t>https://doi.org/10.2174/2666082215666191111121115</t>
        </is>
      </c>
      <c r="M165" s="4" t="n"/>
      <c r="N165" s="12" t="n"/>
      <c r="O165" s="41" t="n"/>
      <c r="P165" s="4" t="inlineStr">
        <is>
          <t>Confirmed only when AI was actually evaluated/used within the stated workflow or intervention; intended use alone = Proposed only</t>
        </is>
      </c>
      <c r="Q165" s="4">
        <f>IF(COUNTIFS('ESTUDIOS'!$A$2:$A$455,$A165,'ESTUDIOS'!$I$2:$I$455,"")&gt;0,"",INDEX('ESTUDIOS'!$I$2:$I$455,MATCH($A165,'ESTUDIOS'!$A$2:$A$455,0)))</f>
        <v/>
      </c>
    </row>
    <row r="166" ht="47" customHeight="1">
      <c r="A166" s="4" t="inlineStr">
        <is>
          <t>180</t>
        </is>
      </c>
      <c r="B166" s="4" t="inlineStr">
        <is>
          <t>Historical</t>
        </is>
      </c>
      <c r="C166" s="4" t="inlineStr">
        <is>
          <t>Biosignal comparison for autism assessment using machine learning models and virtual reality</t>
        </is>
      </c>
      <c r="D166" s="12" t="n"/>
      <c r="E166" s="12" t="n"/>
      <c r="F166" s="12" t="n"/>
      <c r="G166" s="4" t="inlineStr">
        <is>
          <t>Pending classification from source</t>
        </is>
      </c>
      <c r="H166" s="4" t="n">
        <v>1</v>
      </c>
      <c r="I166" s="4" t="inlineStr">
        <is>
          <t>Classification (ASD vs control / multi-class)</t>
        </is>
      </c>
      <c r="J166" s="4" t="inlineStr">
        <is>
          <t>Se comparan varios modelos; se eligió el principal/mejor reportado</t>
        </is>
      </c>
      <c r="K166" s="4" t="str"/>
      <c r="L166" s="4" t="inlineStr">
        <is>
          <t>https://doi.org/10.1016/j.compbiomed.2024.108194</t>
        </is>
      </c>
      <c r="M166" s="4" t="n"/>
      <c r="N166" s="12" t="n"/>
      <c r="O166" s="41" t="n"/>
      <c r="P166" s="4" t="inlineStr">
        <is>
          <t>Confirmed only when AI was actually evaluated/used within the stated workflow or intervention; intended use alone = Proposed only</t>
        </is>
      </c>
      <c r="Q166" s="4">
        <f>IF(COUNTIFS('ESTUDIOS'!$A$2:$A$455,$A166,'ESTUDIOS'!$I$2:$I$455,"")&gt;0,"",INDEX('ESTUDIOS'!$I$2:$I$455,MATCH($A166,'ESTUDIOS'!$A$2:$A$455,0)))</f>
        <v/>
      </c>
    </row>
    <row r="167" ht="60" customHeight="1">
      <c r="A167" s="4" t="inlineStr">
        <is>
          <t>182</t>
        </is>
      </c>
      <c r="B167" s="4" t="inlineStr">
        <is>
          <t>Historical</t>
        </is>
      </c>
      <c r="C167" s="4" t="inlineStr">
        <is>
          <t>COMBINED ANALYSIS OF THE ORAL MICROBIOME AND MICROTRANSCRIPTOME OF AUTISM SPECTRUM DISORDER</t>
        </is>
      </c>
      <c r="D167" s="12" t="n"/>
      <c r="E167" s="12" t="n"/>
      <c r="F167" s="12" t="n"/>
      <c r="G167" s="4" t="inlineStr">
        <is>
          <t>Pending classification from source</t>
        </is>
      </c>
      <c r="H167" s="4" t="n">
        <v>1</v>
      </c>
      <c r="I167" s="4" t="inlineStr">
        <is>
          <t>Classification (binary/multi-class; incl. ASD vs control)/ multi-class)</t>
        </is>
      </c>
      <c r="J167" s="4" t="str"/>
      <c r="K167" s="4" t="str"/>
      <c r="L167" s="4" t="inlineStr">
        <is>
          <t>https://doi.org/10.1016/j.euroneuro.2017.08.321</t>
        </is>
      </c>
      <c r="M167" s="4" t="n"/>
      <c r="N167" s="12" t="n"/>
      <c r="O167" s="41" t="n"/>
      <c r="P167" s="4" t="inlineStr">
        <is>
          <t>Confirmed only when AI was actually evaluated/used within the stated workflow or intervention; intended use alone = Proposed only</t>
        </is>
      </c>
      <c r="Q167" s="4">
        <f>IF(COUNTIFS('ESTUDIOS'!$A$2:$A$455,$A167,'ESTUDIOS'!$I$2:$I$455,"")&gt;0,"",INDEX('ESTUDIOS'!$I$2:$I$455,MATCH($A167,'ESTUDIOS'!$A$2:$A$455,0)))</f>
        <v/>
      </c>
    </row>
    <row r="168" ht="60" customHeight="1">
      <c r="A168" s="4" t="inlineStr">
        <is>
          <t>183</t>
        </is>
      </c>
      <c r="B168" s="4" t="inlineStr">
        <is>
          <t>Historical</t>
        </is>
      </c>
      <c r="C168" s="4" t="inlineStr">
        <is>
          <t>Computational Methods to Measure Patterns of Gaze in Toddlers with Autism Spectrum Disorder</t>
        </is>
      </c>
      <c r="D168" s="12" t="n"/>
      <c r="E168" s="12" t="n"/>
      <c r="F168" s="12" t="n"/>
      <c r="G168" s="4" t="inlineStr">
        <is>
          <t>Pending classification from source</t>
        </is>
      </c>
      <c r="H168" s="4" t="n">
        <v>1</v>
      </c>
      <c r="I168" s="4" t="inlineStr">
        <is>
          <t>Classification (binary/multi-class; incl. ASD vs control)/ multi-class)</t>
        </is>
      </c>
      <c r="J168" s="4" t="inlineStr">
        <is>
          <t>No es “diagnóstico” como tal; es una herramienta en visita pediátrica para detectar síntomas tempranos/riesgo usando patrones de mirada.</t>
        </is>
      </c>
      <c r="K168" s="4" t="str"/>
      <c r="L168" s="4" t="inlineStr">
        <is>
          <t>https://doi.org/10.1001/jamapediatrics.2021.0530</t>
        </is>
      </c>
      <c r="M168" s="4" t="n"/>
      <c r="N168" s="12" t="n"/>
      <c r="O168" s="41" t="n"/>
      <c r="P168" s="4" t="inlineStr">
        <is>
          <t>Confirmed only when AI was actually evaluated/used within the stated workflow or intervention; intended use alone = Proposed only</t>
        </is>
      </c>
      <c r="Q168" s="4">
        <f>IF(COUNTIFS('ESTUDIOS'!$A$2:$A$455,$A168,'ESTUDIOS'!$I$2:$I$455,"")&gt;0,"",INDEX('ESTUDIOS'!$I$2:$I$455,MATCH($A168,'ESTUDIOS'!$A$2:$A$455,0)))</f>
        <v/>
      </c>
    </row>
    <row r="169" ht="47" customHeight="1">
      <c r="A169" s="4" t="inlineStr">
        <is>
          <t>184</t>
        </is>
      </c>
      <c r="B169" s="4" t="inlineStr">
        <is>
          <t>Historical</t>
        </is>
      </c>
      <c r="C169" s="4" t="inlineStr">
        <is>
          <t>Computerized Assessment of Motor Imitation as a Scalable Method for Distinguishing Children With Autism</t>
        </is>
      </c>
      <c r="D169" s="12" t="n"/>
      <c r="E169" s="12" t="n"/>
      <c r="F169" s="12" t="n"/>
      <c r="G169" s="4" t="inlineStr">
        <is>
          <t>Pending classification from source</t>
        </is>
      </c>
      <c r="H169" s="4" t="n">
        <v>1</v>
      </c>
      <c r="I169" s="4" t="inlineStr">
        <is>
          <t>Classification (ASD vs control / multi-class)</t>
        </is>
      </c>
      <c r="J169" s="4" t="inlineStr">
        <is>
          <t>Algoritmo principal no explícito o fuera del codebook; Confirmar algoritmo principal en full-text; Se comparan varios modelos; se eligió el principal/mejor reportado</t>
        </is>
      </c>
      <c r="K169" s="4" t="str"/>
      <c r="L169" s="4" t="inlineStr">
        <is>
          <t>https://doi.org/10.1016/j.bpsc.2020.09.001</t>
        </is>
      </c>
      <c r="M169" s="4" t="n"/>
      <c r="N169" s="12" t="n"/>
      <c r="O169" s="41" t="n"/>
      <c r="P169" s="4" t="inlineStr">
        <is>
          <t>Confirmed only when AI was actually evaluated/used within the stated workflow or intervention; intended use alone = Proposed only</t>
        </is>
      </c>
      <c r="Q169" s="4">
        <f>IF(COUNTIFS('ESTUDIOS'!$A$2:$A$455,$A169,'ESTUDIOS'!$I$2:$I$455,"")&gt;0,"",INDEX('ESTUDIOS'!$I$2:$I$455,MATCH($A169,'ESTUDIOS'!$A$2:$A$455,0)))</f>
        <v/>
      </c>
    </row>
    <row r="170" ht="47" customHeight="1">
      <c r="A170" s="4" t="inlineStr">
        <is>
          <t>185</t>
        </is>
      </c>
      <c r="B170" s="4" t="inlineStr">
        <is>
          <t>Historical</t>
        </is>
      </c>
      <c r="C170" s="4" t="inlineStr">
        <is>
          <t>Construction of ASD Intervention System Based On Neural Network Model</t>
        </is>
      </c>
      <c r="D170" s="12" t="n"/>
      <c r="E170" s="12" t="n"/>
      <c r="F170" s="12" t="n"/>
      <c r="G170" s="4" t="inlineStr">
        <is>
          <t>Pending classification from source</t>
        </is>
      </c>
      <c r="H170" s="4" t="n">
        <v>1</v>
      </c>
      <c r="I170" s="4" t="inlineStr">
        <is>
          <t>Classification (ASD vs control / multi-class)</t>
        </is>
      </c>
      <c r="J170" s="4" t="str"/>
      <c r="K170" s="4" t="str"/>
      <c r="L170" s="4" t="inlineStr">
        <is>
          <t>https://doi.org/10.1016/j.procs.2025.05.032</t>
        </is>
      </c>
      <c r="M170" s="4" t="n"/>
      <c r="N170" s="12" t="n"/>
      <c r="O170" s="41" t="n"/>
      <c r="P170" s="4" t="inlineStr">
        <is>
          <t>Confirmed only when AI was actually evaluated/used within the stated workflow or intervention; intended use alone = Proposed only</t>
        </is>
      </c>
      <c r="Q170" s="4">
        <f>IF(COUNTIFS('ESTUDIOS'!$A$2:$A$455,$A170,'ESTUDIOS'!$I$2:$I$455,"")&gt;0,"",INDEX('ESTUDIOS'!$I$2:$I$455,MATCH($A170,'ESTUDIOS'!$A$2:$A$455,0)))</f>
        <v/>
      </c>
    </row>
    <row r="171" ht="47" customHeight="1">
      <c r="A171" s="4" t="inlineStr">
        <is>
          <t>186</t>
        </is>
      </c>
      <c r="B171" s="4" t="inlineStr">
        <is>
          <t>Historical</t>
        </is>
      </c>
      <c r="C171" s="4" t="inlineStr">
        <is>
          <t>Decoding Autism: Uncovering patterns in brain connectivity through sparsity analysis with rs-fMRI data</t>
        </is>
      </c>
      <c r="D171" s="12" t="n"/>
      <c r="E171" s="12" t="n"/>
      <c r="F171" s="12" t="n"/>
      <c r="G171" s="4" t="inlineStr">
        <is>
          <t>Pending classification from source</t>
        </is>
      </c>
      <c r="H171" s="4" t="n">
        <v>1</v>
      </c>
      <c r="I171" s="4" t="inlineStr">
        <is>
          <t>Classification (ASD vs control / multi-class)</t>
        </is>
      </c>
      <c r="J171" s="4" t="inlineStr">
        <is>
          <t>Algoritmo principal no explícito o fuera del codebook; Confirmar algoritmo principal en full-text; Se comparan varios modelos; se eligió el principal/mejor reportado</t>
        </is>
      </c>
      <c r="K171" s="4" t="str"/>
      <c r="L171" s="4" t="inlineStr">
        <is>
          <t>https://doi.org/10.1016/j.jneumeth.2024.110100</t>
        </is>
      </c>
      <c r="M171" s="4" t="n"/>
      <c r="N171" s="12" t="n"/>
      <c r="O171" s="41" t="n"/>
      <c r="P171" s="4" t="inlineStr">
        <is>
          <t>Confirmed only when AI was actually evaluated/used within the stated workflow or intervention; intended use alone = Proposed only</t>
        </is>
      </c>
      <c r="Q171" s="4">
        <f>IF(COUNTIFS('ESTUDIOS'!$A$2:$A$455,$A171,'ESTUDIOS'!$I$2:$I$455,"")&gt;0,"",INDEX('ESTUDIOS'!$I$2:$I$455,MATCH($A171,'ESTUDIOS'!$A$2:$A$455,0)))</f>
        <v/>
      </c>
    </row>
    <row r="172" ht="60" customHeight="1">
      <c r="A172" s="4" t="inlineStr">
        <is>
          <t>187</t>
        </is>
      </c>
      <c r="B172" s="4" t="inlineStr">
        <is>
          <t>Historical</t>
        </is>
      </c>
      <c r="C172" s="4" t="inlineStr">
        <is>
          <t>Deep Radiomics for Autism Diagnosis and Age Prediction</t>
        </is>
      </c>
      <c r="D172" s="12" t="n"/>
      <c r="E172" s="12" t="n"/>
      <c r="F172" s="12" t="n"/>
      <c r="G172" s="4" t="inlineStr">
        <is>
          <t>Pending classification from source</t>
        </is>
      </c>
      <c r="H172" s="4" t="n">
        <v>1</v>
      </c>
      <c r="I172" s="4" t="inlineStr">
        <is>
          <t>Classification (binary/multi-class; incl. ASD vs control)/ multi-class)</t>
        </is>
      </c>
      <c r="J172" s="4" t="str"/>
      <c r="K172" s="4" t="str"/>
      <c r="L172" s="4" t="inlineStr">
        <is>
          <t>https://doi.org/10.1109/thms.2025.3526957</t>
        </is>
      </c>
      <c r="M172" s="4" t="n"/>
      <c r="N172" s="12" t="n"/>
      <c r="O172" s="41" t="n"/>
      <c r="P172" s="4" t="inlineStr">
        <is>
          <t>Confirmed only when AI was actually evaluated/used within the stated workflow or intervention; intended use alone = Proposed only</t>
        </is>
      </c>
      <c r="Q172" s="4">
        <f>IF(COUNTIFS('ESTUDIOS'!$A$2:$A$455,$A172,'ESTUDIOS'!$I$2:$I$455,"")&gt;0,"",INDEX('ESTUDIOS'!$I$2:$I$455,MATCH($A172,'ESTUDIOS'!$A$2:$A$455,0)))</f>
        <v/>
      </c>
    </row>
    <row r="173" ht="47" customHeight="1">
      <c r="A173" s="4" t="inlineStr">
        <is>
          <t>188</t>
        </is>
      </c>
      <c r="B173" s="4" t="inlineStr">
        <is>
          <t>Historical</t>
        </is>
      </c>
      <c r="C173" s="4" t="inlineStr">
        <is>
          <t>Deep-learning-based detection of infants with autism spectrum disorder using auto-encoder feature representation</t>
        </is>
      </c>
      <c r="D173" s="12" t="n"/>
      <c r="E173" s="12" t="n"/>
      <c r="F173" s="12" t="n"/>
      <c r="G173" s="4" t="inlineStr">
        <is>
          <t>Pending classification from source</t>
        </is>
      </c>
      <c r="H173" s="4" t="n">
        <v>1</v>
      </c>
      <c r="I173" s="4" t="inlineStr">
        <is>
          <t>Classification (ASD vs control / multi-class)</t>
        </is>
      </c>
      <c r="J173" s="4" t="inlineStr">
        <is>
          <t>Autoencoder para detección en infantes; confirmar fuente de datos exacta (no totalmente explícita en el abstract).</t>
        </is>
      </c>
      <c r="K173" s="4" t="str"/>
      <c r="L173" s="4" t="inlineStr">
        <is>
          <t>https://doi.org/10.3390/s20236762</t>
        </is>
      </c>
      <c r="M173" s="4" t="n"/>
      <c r="N173" s="12" t="n"/>
      <c r="O173" s="41" t="n"/>
      <c r="P173" s="4" t="inlineStr">
        <is>
          <t>Confirmed only when AI was actually evaluated/used within the stated workflow or intervention; intended use alone = Proposed only</t>
        </is>
      </c>
      <c r="Q173" s="4">
        <f>IF(COUNTIFS('ESTUDIOS'!$A$2:$A$455,$A173,'ESTUDIOS'!$I$2:$I$455,"")&gt;0,"",INDEX('ESTUDIOS'!$I$2:$I$455,MATCH($A173,'ESTUDIOS'!$A$2:$A$455,0)))</f>
        <v/>
      </c>
    </row>
    <row r="174" ht="47" customHeight="1">
      <c r="A174" s="4" t="inlineStr">
        <is>
          <t>189</t>
        </is>
      </c>
      <c r="B174" s="4" t="inlineStr">
        <is>
          <t>Historical</t>
        </is>
      </c>
      <c r="C174" s="4" t="inlineStr">
        <is>
          <t>Early identification of autism spectrum disorder based on machine learning with eye-tracking data</t>
        </is>
      </c>
      <c r="D174" s="12" t="n"/>
      <c r="E174" s="12" t="n"/>
      <c r="F174" s="12" t="n"/>
      <c r="G174" s="4" t="inlineStr">
        <is>
          <t>Pending classification from source</t>
        </is>
      </c>
      <c r="H174" s="4" t="n">
        <v>1</v>
      </c>
      <c r="I174" s="4" t="inlineStr">
        <is>
          <t>Classification (ASD vs control / multi-class)</t>
        </is>
      </c>
      <c r="J174" s="4" t="inlineStr">
        <is>
          <t>Se comparan varios modelos; se eligió el principal/mejor reportado</t>
        </is>
      </c>
      <c r="K174" s="4" t="str"/>
      <c r="L174" s="4" t="inlineStr">
        <is>
          <t>https://doi.org/10.1016/j.jad.2024.04.049</t>
        </is>
      </c>
      <c r="M174" s="4" t="n"/>
      <c r="N174" s="12" t="n"/>
      <c r="O174" s="41" t="n"/>
      <c r="P174" s="4" t="inlineStr">
        <is>
          <t>Confirmed only when AI was actually evaluated/used within the stated workflow or intervention; intended use alone = Proposed only</t>
        </is>
      </c>
      <c r="Q174" s="4">
        <f>IF(COUNTIFS('ESTUDIOS'!$A$2:$A$455,$A174,'ESTUDIOS'!$I$2:$I$455,"")&gt;0,"",INDEX('ESTUDIOS'!$I$2:$I$455,MATCH($A174,'ESTUDIOS'!$A$2:$A$455,0)))</f>
        <v/>
      </c>
    </row>
    <row r="175" ht="47" customHeight="1">
      <c r="A175" s="4" t="inlineStr">
        <is>
          <t>190</t>
        </is>
      </c>
      <c r="B175" s="4" t="inlineStr">
        <is>
          <t>Historical</t>
        </is>
      </c>
      <c r="C175" s="4" t="inlineStr">
        <is>
          <t>Examining overlap and homogeneity in ASD, ADHD, and OCD: a data-driven, diagnosis-agnostic approach</t>
        </is>
      </c>
      <c r="D175" s="12" t="n"/>
      <c r="E175" s="12" t="n"/>
      <c r="F175" s="12" t="n"/>
      <c r="G175" s="4" t="inlineStr">
        <is>
          <t>Pending classification from source</t>
        </is>
      </c>
      <c r="H175" s="4" t="n">
        <v>0</v>
      </c>
      <c r="I175" s="4" t="inlineStr">
        <is>
          <t>Clustering / subtyping</t>
        </is>
      </c>
      <c r="J175" s="4" t="inlineStr">
        <is>
          <t>Bagged-multiview clustering (bagging + spectral clustering)</t>
        </is>
      </c>
      <c r="K175" s="4" t="str"/>
      <c r="L175" s="4" t="inlineStr">
        <is>
          <t>https://doi.org/10.1038/s41398-019-0631-2</t>
        </is>
      </c>
      <c r="M175" s="4" t="n"/>
      <c r="N175" s="12" t="n"/>
      <c r="O175" s="41" t="n"/>
      <c r="P175" s="4" t="inlineStr">
        <is>
          <t>Confirmed only when AI was actually evaluated/used within the stated workflow or intervention; intended use alone = Proposed only</t>
        </is>
      </c>
      <c r="Q175" s="4">
        <f>IF(COUNTIFS('ESTUDIOS'!$A$2:$A$455,$A175,'ESTUDIOS'!$I$2:$I$455,"")&gt;0,"",INDEX('ESTUDIOS'!$I$2:$I$455,MATCH($A175,'ESTUDIOS'!$A$2:$A$455,0)))</f>
        <v/>
      </c>
    </row>
    <row r="176" ht="47" customHeight="1">
      <c r="A176" s="4" t="inlineStr">
        <is>
          <t>191</t>
        </is>
      </c>
      <c r="B176" s="4" t="inlineStr">
        <is>
          <t>Historical</t>
        </is>
      </c>
      <c r="C176" s="4" t="inlineStr">
        <is>
          <t>Explainable and scalable machine learning algorithms for detection of autism spectrum disorder using fMRI data</t>
        </is>
      </c>
      <c r="D176" s="12" t="n"/>
      <c r="E176" s="12" t="n"/>
      <c r="F176" s="12" t="n"/>
      <c r="G176" s="4" t="inlineStr">
        <is>
          <t>Pending classification from source</t>
        </is>
      </c>
      <c r="H176" s="4" t="n">
        <v>1</v>
      </c>
      <c r="I176" s="4" t="inlineStr">
        <is>
          <t>Classification / diagnostic support</t>
        </is>
      </c>
      <c r="J176" s="4" t="inlineStr">
        <is>
          <t>Título/abstract con señal explícita de explainable; estrategia híbrida/integrativa.</t>
        </is>
      </c>
      <c r="K176" s="4" t="inlineStr">
        <is>
          <t>fMRI ASD classifier with interpretable outputs intended to support diagnostic understanding.</t>
        </is>
      </c>
      <c r="L176" s="4" t="inlineStr">
        <is>
          <t>https://doi.org/10.1016/b978-0-12-822822-7.00004-1</t>
        </is>
      </c>
      <c r="M176" s="4" t="n"/>
      <c r="N176" s="12" t="n"/>
      <c r="O176" s="41" t="n"/>
      <c r="P176" s="4" t="inlineStr">
        <is>
          <t>Confirmed only when AI was actually evaluated/used within the stated workflow or intervention; intended use alone = Proposed only</t>
        </is>
      </c>
      <c r="Q176" s="4">
        <f>IF(COUNTIFS('ESTUDIOS'!$A$2:$A$455,$A176,'ESTUDIOS'!$I$2:$I$455,"")&gt;0,"",INDEX('ESTUDIOS'!$I$2:$I$455,MATCH($A176,'ESTUDIOS'!$A$2:$A$455,0)))</f>
        <v/>
      </c>
    </row>
    <row r="177" ht="47" customHeight="1">
      <c r="A177" s="4" t="inlineStr">
        <is>
          <t>193</t>
        </is>
      </c>
      <c r="B177" s="4" t="inlineStr">
        <is>
          <t>Historical</t>
        </is>
      </c>
      <c r="C177" s="4" t="inlineStr">
        <is>
          <t>Feasibility Study of\&amp;#xa0;a\&amp;#xa0;ML-Based ASD Monitoring System</t>
        </is>
      </c>
      <c r="D177" s="12" t="n"/>
      <c r="E177" s="12" t="n"/>
      <c r="F177" s="12" t="n"/>
      <c r="G177" s="4" t="inlineStr">
        <is>
          <t>Pending classification from source</t>
        </is>
      </c>
      <c r="H177" s="4" t="n">
        <v>1</v>
      </c>
      <c r="I177" s="4" t="inlineStr">
        <is>
          <t>Not clear</t>
        </is>
      </c>
      <c r="J177" s="4" t="str"/>
      <c r="K177" s="4" t="str"/>
      <c r="L177" s="4" t="inlineStr">
        <is>
          <t>https://doi.org/10.1007/978-3-031-06242-1_27</t>
        </is>
      </c>
      <c r="M177" s="4" t="n"/>
      <c r="N177" s="12" t="n"/>
      <c r="O177" s="41" t="n"/>
      <c r="P177" s="4" t="inlineStr">
        <is>
          <t>Confirmed only when AI was actually evaluated/used within the stated workflow or intervention; intended use alone = Proposed only</t>
        </is>
      </c>
      <c r="Q177" s="4">
        <f>IF(COUNTIFS('ESTUDIOS'!$A$2:$A$455,$A177,'ESTUDIOS'!$I$2:$I$455,"")&gt;0,"",INDEX('ESTUDIOS'!$I$2:$I$455,MATCH($A177,'ESTUDIOS'!$A$2:$A$455,0)))</f>
        <v/>
      </c>
    </row>
    <row r="178" ht="60" customHeight="1">
      <c r="A178" s="4" t="inlineStr">
        <is>
          <t>194</t>
        </is>
      </c>
      <c r="B178" s="4" t="inlineStr">
        <is>
          <t>Historical</t>
        </is>
      </c>
      <c r="C178" s="4" t="inlineStr">
        <is>
          <t>Feature replacement methods enable reliable home video analysis for machine learning detection of autism</t>
        </is>
      </c>
      <c r="D178" s="12" t="n"/>
      <c r="E178" s="12" t="n"/>
      <c r="F178" s="12" t="n"/>
      <c r="G178" s="4" t="inlineStr">
        <is>
          <t>Pending classification from source</t>
        </is>
      </c>
      <c r="H178" s="4" t="n">
        <v>1</v>
      </c>
      <c r="I178" s="4" t="inlineStr">
        <is>
          <t>Classification (ASD vs control / multi-class)</t>
        </is>
      </c>
      <c r="J178" s="4" t="inlineStr">
        <is>
          <t>El paper evalúa dos familias (LR9 y ADTree7). Si tu columna “main algorithm” solo permite una opción, conviene añadir una opción tipo “Multiple (specify)” o permitir multiselección para no perder fidelidad</t>
        </is>
      </c>
      <c r="K178" s="4" t="str"/>
      <c r="L178" s="4" t="inlineStr">
        <is>
          <t>https://doi.org/10.1038/s41598-020-76874-w</t>
        </is>
      </c>
      <c r="M178" s="4" t="n"/>
      <c r="N178" s="12" t="n"/>
      <c r="O178" s="41" t="n"/>
      <c r="P178" s="4" t="inlineStr">
        <is>
          <t>Confirmed only when AI was actually evaluated/used within the stated workflow or intervention; intended use alone = Proposed only</t>
        </is>
      </c>
      <c r="Q178" s="4">
        <f>IF(COUNTIFS('ESTUDIOS'!$A$2:$A$455,$A178,'ESTUDIOS'!$I$2:$I$455,"")&gt;0,"",INDEX('ESTUDIOS'!$I$2:$I$455,MATCH($A178,'ESTUDIOS'!$A$2:$A$455,0)))</f>
        <v/>
      </c>
    </row>
    <row r="179" ht="47" customHeight="1">
      <c r="A179" s="4" t="inlineStr">
        <is>
          <t>195</t>
        </is>
      </c>
      <c r="B179" s="4" t="inlineStr">
        <is>
          <t>Historical</t>
        </is>
      </c>
      <c r="C179" s="4" t="inlineStr">
        <is>
          <t>Fuzzy logic-based hybrid knowledge systems for the detection and diagnosis of childhood autism</t>
        </is>
      </c>
      <c r="D179" s="12" t="n"/>
      <c r="E179" s="12" t="n"/>
      <c r="F179" s="12" t="n"/>
      <c r="G179" s="4" t="inlineStr">
        <is>
          <t>Pending classification from source</t>
        </is>
      </c>
      <c r="H179" s="4" t="n">
        <v>1</v>
      </c>
      <c r="I179" s="4" t="n"/>
      <c r="J179" s="4" t="str"/>
      <c r="K179" s="4" t="str"/>
      <c r="L179" s="4" t="inlineStr">
        <is>
          <t>https://doi.org/10.1016/b978-0-12-822271-3.00016-5</t>
        </is>
      </c>
      <c r="M179" s="4" t="n"/>
      <c r="N179" s="12" t="n"/>
      <c r="O179" s="41" t="n"/>
      <c r="P179" s="4" t="inlineStr">
        <is>
          <t>Confirmed only when AI was actually evaluated/used within the stated workflow or intervention; intended use alone = Proposed only</t>
        </is>
      </c>
      <c r="Q179" s="4">
        <f>IF(COUNTIFS('ESTUDIOS'!$A$2:$A$455,$A179,'ESTUDIOS'!$I$2:$I$455,"")&gt;0,"",INDEX('ESTUDIOS'!$I$2:$I$455,MATCH($A179,'ESTUDIOS'!$A$2:$A$455,0)))</f>
        <v/>
      </c>
    </row>
    <row r="180" ht="47" customHeight="1">
      <c r="A180" s="4" t="inlineStr">
        <is>
          <t>196</t>
        </is>
      </c>
      <c r="B180" s="4" t="inlineStr">
        <is>
          <t>Historical</t>
        </is>
      </c>
      <c r="C180" s="4" t="inlineStr">
        <is>
          <t>Genetic factor analysis for an early diagnosis of autism through machine learning</t>
        </is>
      </c>
      <c r="D180" s="12" t="n"/>
      <c r="E180" s="12" t="n"/>
      <c r="F180" s="12" t="n"/>
      <c r="G180" s="4" t="inlineStr">
        <is>
          <t>Pending classification from source</t>
        </is>
      </c>
      <c r="H180" s="4" t="n">
        <v>1</v>
      </c>
      <c r="I180" s="4" t="inlineStr">
        <is>
          <t>Risk stratification / early diagnostic prediction</t>
        </is>
      </c>
      <c r="J180" s="4" t="inlineStr">
        <is>
          <t>Sin señal explícita Q3 en título/abstract.</t>
        </is>
      </c>
      <c r="K180" s="4" t="inlineStr">
        <is>
          <t>ML analysis of genetic and pre-existing factors for early ASD diagnosis/actionable insights.</t>
        </is>
      </c>
      <c r="L180" s="4" t="inlineStr">
        <is>
          <t>https://doi.org/10.1016/b978-0-323-98352-5.00001-x</t>
        </is>
      </c>
      <c r="M180" s="4" t="n"/>
      <c r="N180" s="12" t="n"/>
      <c r="O180" s="41" t="n"/>
      <c r="P180" s="4" t="inlineStr">
        <is>
          <t>Confirmed only when AI was actually evaluated/used within the stated workflow or intervention; intended use alone = Proposed only</t>
        </is>
      </c>
      <c r="Q180" s="4">
        <f>IF(COUNTIFS('ESTUDIOS'!$A$2:$A$455,$A180,'ESTUDIOS'!$I$2:$I$455,"")&gt;0,"",INDEX('ESTUDIOS'!$I$2:$I$455,MATCH($A180,'ESTUDIOS'!$A$2:$A$455,0)))</f>
        <v/>
      </c>
    </row>
    <row r="181" ht="60" customHeight="1">
      <c r="A181" s="4" t="inlineStr">
        <is>
          <t>197</t>
        </is>
      </c>
      <c r="B181" s="4" t="inlineStr">
        <is>
          <t>Historical</t>
        </is>
      </c>
      <c r="C181" s="4" t="inlineStr">
        <is>
          <t>Hybrid Diagnosis Models for Autism Patients Based on Medical and Sociodemographic Features Using Machine Learning and Multicriteria Decision-Making (MCDM) Techniques: An Evaluation and Benchmarking Framework</t>
        </is>
      </c>
      <c r="D181" s="12" t="n"/>
      <c r="E181" s="12" t="n"/>
      <c r="F181" s="12" t="n"/>
      <c r="G181" s="4" t="inlineStr">
        <is>
          <t>Pending classification from source</t>
        </is>
      </c>
      <c r="H181" s="4" t="n">
        <v>1</v>
      </c>
      <c r="I181" s="4" t="inlineStr">
        <is>
          <t>Classification (ASD vs control / multi-class)</t>
        </is>
      </c>
      <c r="J181" s="4" t="inlineStr">
        <is>
          <t>Algoritmo principal no explícito o fuera del codebook; Confirmar algoritmo principal en full-text; Se comparan varios modelos; se eligió el principal/mejor reportado</t>
        </is>
      </c>
      <c r="K181" s="4" t="str"/>
      <c r="L181" s="4" t="inlineStr">
        <is>
          <t>https://doi.org/10.1155/2022/9410222</t>
        </is>
      </c>
      <c r="M181" s="4" t="n"/>
      <c r="N181" s="12" t="n"/>
      <c r="O181" s="41" t="n"/>
      <c r="P181" s="4" t="inlineStr">
        <is>
          <t>Confirmed only when AI was actually evaluated/used within the stated workflow or intervention; intended use alone = Proposed only</t>
        </is>
      </c>
      <c r="Q181" s="4">
        <f>IF(COUNTIFS('ESTUDIOS'!$A$2:$A$455,$A181,'ESTUDIOS'!$I$2:$I$455,"")&gt;0,"",INDEX('ESTUDIOS'!$I$2:$I$455,MATCH($A181,'ESTUDIOS'!$A$2:$A$455,0)))</f>
        <v/>
      </c>
    </row>
    <row r="182" ht="47" customHeight="1">
      <c r="A182" s="4" t="inlineStr">
        <is>
          <t>199</t>
        </is>
      </c>
      <c r="B182" s="4" t="inlineStr">
        <is>
          <t>Historical</t>
        </is>
      </c>
      <c r="C182" s="4" t="inlineStr">
        <is>
          <t>Informing developmental milestone achievement for children with autism: Machine learning approach</t>
        </is>
      </c>
      <c r="D182" s="12" t="n"/>
      <c r="E182" s="12" t="n"/>
      <c r="F182" s="12" t="n"/>
      <c r="G182" s="4" t="inlineStr">
        <is>
          <t>Pending classification from source</t>
        </is>
      </c>
      <c r="H182" s="4" t="n">
        <v>1</v>
      </c>
      <c r="I182" s="4" t="inlineStr">
        <is>
          <t>Classification (ASD vs control / multi-class)</t>
        </is>
      </c>
      <c r="J182" s="4" t="inlineStr">
        <is>
          <t>Binary classification of milestone achievement; not ASD-vs-control.</t>
        </is>
      </c>
      <c r="K182" s="4" t="str"/>
      <c r="L182" s="4" t="inlineStr">
        <is>
          <t>https://doi.org/10.2196/29242</t>
        </is>
      </c>
      <c r="M182" s="4" t="n"/>
      <c r="N182" s="12" t="n"/>
      <c r="O182" s="41" t="n"/>
      <c r="P182" s="4" t="inlineStr">
        <is>
          <t>Confirmed only when AI was actually evaluated/used within the stated workflow or intervention; intended use alone = Proposed only</t>
        </is>
      </c>
      <c r="Q182" s="4">
        <f>IF(COUNTIFS('ESTUDIOS'!$A$2:$A$455,$A182,'ESTUDIOS'!$I$2:$I$455,"")&gt;0,"",INDEX('ESTUDIOS'!$I$2:$I$455,MATCH($A182,'ESTUDIOS'!$A$2:$A$455,0)))</f>
        <v/>
      </c>
    </row>
    <row r="183" ht="47" customHeight="1">
      <c r="A183" s="4" t="inlineStr">
        <is>
          <t>200</t>
        </is>
      </c>
      <c r="B183" s="4" t="inlineStr">
        <is>
          <t>Historical</t>
        </is>
      </c>
      <c r="C183" s="4" t="inlineStr">
        <is>
          <t>Machine learning based autism screening tool—a modified approach</t>
        </is>
      </c>
      <c r="D183" s="12" t="n"/>
      <c r="E183" s="12" t="n"/>
      <c r="F183" s="12" t="n"/>
      <c r="G183" s="4" t="inlineStr">
        <is>
          <t>Pending classification from source</t>
        </is>
      </c>
      <c r="H183" s="4" t="n">
        <v>1</v>
      </c>
      <c r="I183" s="4" t="inlineStr">
        <is>
          <t>Classification (ASD vs control / multi-class)</t>
        </is>
      </c>
      <c r="J183" s="4" t="str"/>
      <c r="K183" s="4" t="str"/>
      <c r="L183" s="4" t="inlineStr">
        <is>
          <t>https://doi.org/10.1007/s11042-024-18519-y</t>
        </is>
      </c>
      <c r="M183" s="4" t="n"/>
      <c r="N183" s="12" t="n"/>
      <c r="O183" s="41" t="n"/>
      <c r="P183" s="4" t="inlineStr">
        <is>
          <t>Confirmed only when AI was actually evaluated/used within the stated workflow or intervention; intended use alone = Proposed only</t>
        </is>
      </c>
      <c r="Q183" s="4">
        <f>IF(COUNTIFS('ESTUDIOS'!$A$2:$A$455,$A183,'ESTUDIOS'!$I$2:$I$455,"")&gt;0,"",INDEX('ESTUDIOS'!$I$2:$I$455,MATCH($A183,'ESTUDIOS'!$A$2:$A$455,0)))</f>
        <v/>
      </c>
    </row>
    <row r="184" ht="47" customHeight="1">
      <c r="A184" s="4" t="inlineStr">
        <is>
          <t>201</t>
        </is>
      </c>
      <c r="B184" s="4" t="inlineStr">
        <is>
          <t>Historical</t>
        </is>
      </c>
      <c r="C184" s="4" t="inlineStr">
        <is>
          <t>Machine Learning–Based Approach for Early Screening of Autism Spectrum Disorders</t>
        </is>
      </c>
      <c r="D184" s="12" t="n"/>
      <c r="E184" s="12" t="n"/>
      <c r="F184" s="12" t="n"/>
      <c r="G184" s="4" t="inlineStr">
        <is>
          <t>Pending classification from source</t>
        </is>
      </c>
      <c r="H184" s="4" t="n">
        <v>1</v>
      </c>
      <c r="I184" s="4" t="inlineStr">
        <is>
          <t>Classification (ASD vs control / multi-class)</t>
        </is>
      </c>
      <c r="J184" s="4" t="inlineStr">
        <is>
          <t>Se comparan varios modelos; se eligió el principal/mejor reportado</t>
        </is>
      </c>
      <c r="K184" s="4" t="str"/>
      <c r="L184" s="4" t="inlineStr">
        <is>
          <t>https://doi.org/10.1155/acis/9975499</t>
        </is>
      </c>
      <c r="M184" s="4" t="n"/>
      <c r="N184" s="12" t="n"/>
      <c r="O184" s="41" t="n"/>
      <c r="P184" s="4" t="inlineStr">
        <is>
          <t>Confirmed only when AI was actually evaluated/used within the stated workflow or intervention; intended use alone = Proposed only</t>
        </is>
      </c>
      <c r="Q184" s="4">
        <f>IF(COUNTIFS('ESTUDIOS'!$A$2:$A$455,$A184,'ESTUDIOS'!$I$2:$I$455,"")&gt;0,"",INDEX('ESTUDIOS'!$I$2:$I$455,MATCH($A184,'ESTUDIOS'!$A$2:$A$455,0)))</f>
        <v/>
      </c>
    </row>
    <row r="185" ht="47" customHeight="1">
      <c r="A185" s="4" t="inlineStr">
        <is>
          <t>202</t>
        </is>
      </c>
      <c r="B185" s="4" t="inlineStr">
        <is>
          <t>Historical</t>
        </is>
      </c>
      <c r="C185" s="4" t="inlineStr">
        <is>
          <t>Model selection to achieve reproducible associations between resting state EEG features and autism</t>
        </is>
      </c>
      <c r="D185" s="12" t="n"/>
      <c r="E185" s="12" t="n"/>
      <c r="F185" s="12" t="n"/>
      <c r="G185" s="4" t="inlineStr">
        <is>
          <t>Pending classification from source</t>
        </is>
      </c>
      <c r="H185" s="4" t="n">
        <v>0</v>
      </c>
      <c r="I185" s="4" t="inlineStr">
        <is>
          <t>Classification (ASD vs control / multi-class)</t>
        </is>
      </c>
      <c r="J185" s="4" t="inlineStr">
        <is>
          <t>Algoritmo principal no explícito o fuera del codebook; Confirmar algoritmo principal en full-text</t>
        </is>
      </c>
      <c r="K185" s="4" t="str"/>
      <c r="L185" s="4" t="inlineStr">
        <is>
          <t>https://doi.org/10.1038/s41598-024-76659-5</t>
        </is>
      </c>
      <c r="M185" s="4" t="n"/>
      <c r="N185" s="12" t="n"/>
      <c r="O185" s="41" t="n"/>
      <c r="P185" s="4" t="inlineStr">
        <is>
          <t>Confirmed only when AI was actually evaluated/used within the stated workflow or intervention; intended use alone = Proposed only</t>
        </is>
      </c>
      <c r="Q185" s="4">
        <f>IF(COUNTIFS('ESTUDIOS'!$A$2:$A$455,$A185,'ESTUDIOS'!$I$2:$I$455,"")&gt;0,"",INDEX('ESTUDIOS'!$I$2:$I$455,MATCH($A185,'ESTUDIOS'!$A$2:$A$455,0)))</f>
        <v/>
      </c>
    </row>
    <row r="186" ht="60" customHeight="1">
      <c r="A186" s="4" t="inlineStr">
        <is>
          <t>203</t>
        </is>
      </c>
      <c r="B186" s="4" t="inlineStr">
        <is>
          <t>Historical</t>
        </is>
      </c>
      <c r="C186" s="4" t="inlineStr">
        <is>
          <t>Multimodal autism detection: Deep hybrid model with improved feature level fusion</t>
        </is>
      </c>
      <c r="D186" s="12" t="n"/>
      <c r="E186" s="12" t="n"/>
      <c r="F186" s="12" t="n"/>
      <c r="G186" s="4" t="inlineStr">
        <is>
          <t>Pending classification from source</t>
        </is>
      </c>
      <c r="H186" s="4" t="n">
        <v>1</v>
      </c>
      <c r="I186" s="4" t="inlineStr">
        <is>
          <t>Classification (binary/multi-class; incl. ASD vs control)/ multi-class)</t>
        </is>
      </c>
      <c r="J186" s="4" t="str"/>
      <c r="K186" s="4" t="str"/>
      <c r="L186" s="4" t="inlineStr">
        <is>
          <t>https://doi.org/10.1016/j.cmpb.2024.108492</t>
        </is>
      </c>
      <c r="M186" s="4" t="n"/>
      <c r="N186" s="12" t="n"/>
      <c r="O186" s="41" t="n"/>
      <c r="P186" s="4" t="inlineStr">
        <is>
          <t>Confirmed only when AI was actually evaluated/used within the stated workflow or intervention; intended use alone = Proposed only</t>
        </is>
      </c>
      <c r="Q186" s="4">
        <f>IF(COUNTIFS('ESTUDIOS'!$A$2:$A$455,$A186,'ESTUDIOS'!$I$2:$I$455,"")&gt;0,"",INDEX('ESTUDIOS'!$I$2:$I$455,MATCH($A186,'ESTUDIOS'!$A$2:$A$455,0)))</f>
        <v/>
      </c>
    </row>
    <row r="187" ht="60" customHeight="1">
      <c r="A187" s="4" t="inlineStr">
        <is>
          <t>204</t>
        </is>
      </c>
      <c r="B187" s="4" t="inlineStr">
        <is>
          <t>Historical</t>
        </is>
      </c>
      <c r="C187" s="4" t="inlineStr">
        <is>
          <t>Multi-task feature selection via supervised canonical graph matching for diagnosis of autism spectrum disorder</t>
        </is>
      </c>
      <c r="D187" s="12" t="n"/>
      <c r="E187" s="12" t="n"/>
      <c r="F187" s="12" t="n"/>
      <c r="G187" s="4" t="inlineStr">
        <is>
          <t>Pending classification from source</t>
        </is>
      </c>
      <c r="H187" s="4" t="n">
        <v>1</v>
      </c>
      <c r="I187" s="4" t="inlineStr">
        <is>
          <t>Classification (binary/multi-class; incl. ASD vs control)/ multi-class)</t>
        </is>
      </c>
      <c r="J187" s="4" t="str"/>
      <c r="K187" s="4" t="str"/>
      <c r="L187" s="4" t="inlineStr">
        <is>
          <t>https://doi.org/10.1007/s11682-015-9360-1</t>
        </is>
      </c>
      <c r="M187" s="4" t="n"/>
      <c r="N187" s="12" t="n"/>
      <c r="O187" s="41" t="n"/>
      <c r="P187" s="4" t="inlineStr">
        <is>
          <t>Confirmed only when AI was actually evaluated/used within the stated workflow or intervention; intended use alone = Proposed only</t>
        </is>
      </c>
      <c r="Q187" s="4">
        <f>IF(COUNTIFS('ESTUDIOS'!$A$2:$A$455,$A187,'ESTUDIOS'!$I$2:$I$455,"")&gt;0,"",INDEX('ESTUDIOS'!$I$2:$I$455,MATCH($A187,'ESTUDIOS'!$A$2:$A$455,0)))</f>
        <v/>
      </c>
    </row>
    <row r="188" ht="47" customHeight="1">
      <c r="A188" s="4" t="inlineStr">
        <is>
          <t>205</t>
        </is>
      </c>
      <c r="B188" s="4" t="inlineStr">
        <is>
          <t>Historical</t>
        </is>
      </c>
      <c r="C188" s="4" t="inlineStr">
        <is>
          <t>Off-Body Sleep Analysis for Predicting Adverse Behavior in Individuals With Autism Spectrum Disorder</t>
        </is>
      </c>
      <c r="D188" s="12" t="n"/>
      <c r="E188" s="12" t="n"/>
      <c r="F188" s="12" t="n"/>
      <c r="G188" s="4" t="inlineStr">
        <is>
          <t>Pending classification from source</t>
        </is>
      </c>
      <c r="H188" s="4" t="n">
        <v>1</v>
      </c>
      <c r="I188" s="4" t="inlineStr">
        <is>
          <t>Prediction (time-to-event / prognosis)</t>
        </is>
      </c>
      <c r="J188" s="4" t="inlineStr">
        <is>
          <t>Algoritmo principal no explícito o fuera del codebook; Confirmar algoritmo principal en full-text</t>
        </is>
      </c>
      <c r="K188" s="4" t="str"/>
      <c r="L188" s="4" t="inlineStr">
        <is>
          <t>https://doi.org/10.1109/jbhi.2024.3455942</t>
        </is>
      </c>
      <c r="M188" s="4" t="n"/>
      <c r="N188" s="12" t="n"/>
      <c r="O188" s="41" t="n"/>
      <c r="P188" s="4" t="inlineStr">
        <is>
          <t>Confirmed only when AI was actually evaluated/used within the stated workflow or intervention; intended use alone = Proposed only</t>
        </is>
      </c>
      <c r="Q188" s="4">
        <f>IF(COUNTIFS('ESTUDIOS'!$A$2:$A$455,$A188,'ESTUDIOS'!$I$2:$I$455,"")&gt;0,"",INDEX('ESTUDIOS'!$I$2:$I$455,MATCH($A188,'ESTUDIOS'!$A$2:$A$455,0)))</f>
        <v/>
      </c>
    </row>
    <row r="189" ht="47" customHeight="1">
      <c r="A189" s="4" t="inlineStr">
        <is>
          <t>206</t>
        </is>
      </c>
      <c r="B189" s="4" t="inlineStr">
        <is>
          <t>Historical</t>
        </is>
      </c>
      <c r="C189" s="4" t="inlineStr">
        <is>
          <t>Overlaps in brain dynamic functional connectivity between schizophrenia and autism spectrum disorder</t>
        </is>
      </c>
      <c r="D189" s="12" t="n"/>
      <c r="E189" s="12" t="n"/>
      <c r="F189" s="12" t="n"/>
      <c r="G189" s="4" t="inlineStr">
        <is>
          <t>Pending classification from source</t>
        </is>
      </c>
      <c r="H189" s="4" t="n">
        <v>1</v>
      </c>
      <c r="I189" s="4" t="inlineStr">
        <is>
          <t>Classification (ASD vs control / multi-class)</t>
        </is>
      </c>
      <c r="J189" s="4" t="inlineStr">
        <is>
          <t>Algoritmo principal no explícito o fuera del codebook; Confirmar algoritmo principal en full-text</t>
        </is>
      </c>
      <c r="K189" s="4" t="str"/>
      <c r="L189" s="4" t="inlineStr">
        <is>
          <t>https://doi.org/10.1016/j.sciaf.2018.e00019</t>
        </is>
      </c>
      <c r="M189" s="4" t="n"/>
      <c r="N189" s="12" t="n"/>
      <c r="O189" s="41" t="n"/>
      <c r="P189" s="4" t="inlineStr">
        <is>
          <t>Confirmed only when AI was actually evaluated/used within the stated workflow or intervention; intended use alone = Proposed only</t>
        </is>
      </c>
      <c r="Q189" s="4">
        <f>IF(COUNTIFS('ESTUDIOS'!$A$2:$A$455,$A189,'ESTUDIOS'!$I$2:$I$455,"")&gt;0,"",INDEX('ESTUDIOS'!$I$2:$I$455,MATCH($A189,'ESTUDIOS'!$A$2:$A$455,0)))</f>
        <v/>
      </c>
    </row>
    <row r="190" ht="60" customHeight="1">
      <c r="A190" s="4" t="inlineStr">
        <is>
          <t>207</t>
        </is>
      </c>
      <c r="B190" s="4" t="inlineStr">
        <is>
          <t>Historical</t>
        </is>
      </c>
      <c r="C190" s="4" t="inlineStr">
        <is>
          <t>Persistent spectral based machine learning method for autism spectrum disorder classification</t>
        </is>
      </c>
      <c r="D190" s="12" t="n"/>
      <c r="E190" s="12" t="n"/>
      <c r="F190" s="12" t="n"/>
      <c r="G190" s="4" t="inlineStr">
        <is>
          <t>Pending classification from source</t>
        </is>
      </c>
      <c r="H190" s="4" t="n">
        <v>1</v>
      </c>
      <c r="I190" s="4" t="inlineStr">
        <is>
          <t>Classification (binary/multi-class; incl. ASD vs control)/ multi-class)</t>
        </is>
      </c>
      <c r="J190" s="4" t="str"/>
      <c r="K190" s="4" t="str"/>
      <c r="L190" s="4" t="inlineStr">
        <is>
          <t>https://doi.org/10.1016/j.neucom.2025.130780</t>
        </is>
      </c>
      <c r="M190" s="4" t="n"/>
      <c r="N190" s="12" t="n"/>
      <c r="O190" s="41" t="n"/>
      <c r="P190" s="4" t="inlineStr">
        <is>
          <t>Confirmed only when AI was actually evaluated/used within the stated workflow or intervention; intended use alone = Proposed only</t>
        </is>
      </c>
      <c r="Q190" s="4">
        <f>IF(COUNTIFS('ESTUDIOS'!$A$2:$A$455,$A190,'ESTUDIOS'!$I$2:$I$455,"")&gt;0,"",INDEX('ESTUDIOS'!$I$2:$I$455,MATCH($A190,'ESTUDIOS'!$A$2:$A$455,0)))</f>
        <v/>
      </c>
    </row>
    <row r="191" ht="60" customHeight="1">
      <c r="A191" s="4" t="inlineStr">
        <is>
          <t>208</t>
        </is>
      </c>
      <c r="B191" s="4" t="inlineStr">
        <is>
          <t>Historical</t>
        </is>
      </c>
      <c r="C191" s="4" t="inlineStr">
        <is>
          <t>Phenotypic differences between female and male individuals with suspicion of autism spectrum disorder</t>
        </is>
      </c>
      <c r="D191" s="12" t="n"/>
      <c r="E191" s="12" t="n"/>
      <c r="F191" s="12" t="n"/>
      <c r="G191" s="4" t="inlineStr">
        <is>
          <t>Pending classification from source</t>
        </is>
      </c>
      <c r="H191" s="4" t="n">
        <v>1</v>
      </c>
      <c r="I191" s="4" t="inlineStr">
        <is>
          <t>Classification (binary/multi-class; incl. ASD vs control)/ multi-class)</t>
        </is>
      </c>
      <c r="J191" s="4" t="str"/>
      <c r="K191" s="4" t="str"/>
      <c r="L191" s="4" t="inlineStr">
        <is>
          <t>https://doi.org/10.1186/s13229-022-00491-9</t>
        </is>
      </c>
      <c r="M191" s="4" t="n"/>
      <c r="N191" s="12" t="n"/>
      <c r="O191" s="41" t="n"/>
      <c r="P191" s="4" t="inlineStr">
        <is>
          <t>Confirmed only when AI was actually evaluated/used within the stated workflow or intervention; intended use alone = Proposed only</t>
        </is>
      </c>
      <c r="Q191" s="4">
        <f>IF(COUNTIFS('ESTUDIOS'!$A$2:$A$455,$A191,'ESTUDIOS'!$I$2:$I$455,"")&gt;0,"",INDEX('ESTUDIOS'!$I$2:$I$455,MATCH($A191,'ESTUDIOS'!$A$2:$A$455,0)))</f>
        <v/>
      </c>
    </row>
    <row r="192" ht="47" customHeight="1">
      <c r="A192" s="4" t="inlineStr">
        <is>
          <t>209</t>
        </is>
      </c>
      <c r="B192" s="4" t="inlineStr">
        <is>
          <t>Historical</t>
        </is>
      </c>
      <c r="C192" s="4" t="inlineStr">
        <is>
          <t>Predicting individual autistic symptoms for patients with autism spectrum disorder using interregional morphological connectivity</t>
        </is>
      </c>
      <c r="D192" s="12" t="n"/>
      <c r="E192" s="12" t="n"/>
      <c r="F192" s="12" t="n"/>
      <c r="G192" s="4" t="inlineStr">
        <is>
          <t>Pending classification from source</t>
        </is>
      </c>
      <c r="H192" s="4" t="n">
        <v>1</v>
      </c>
      <c r="I192" s="4" t="inlineStr">
        <is>
          <t>Regression (score / severity / risk)</t>
        </is>
      </c>
      <c r="J192" s="4" t="inlineStr">
        <is>
          <t>Algoritmo principal no explícito o fuera del codebook; Confirmar algoritmo principal en full-text</t>
        </is>
      </c>
      <c r="K192" s="4" t="str"/>
      <c r="L192" s="4" t="inlineStr">
        <is>
          <t>https://doi.org/10.1016/j.pscychresns.2024.111822</t>
        </is>
      </c>
      <c r="M192" s="4" t="n"/>
      <c r="N192" s="12" t="n"/>
      <c r="O192" s="41" t="n"/>
      <c r="P192" s="4" t="inlineStr">
        <is>
          <t>Confirmed only when AI was actually evaluated/used within the stated workflow or intervention; intended use alone = Proposed only</t>
        </is>
      </c>
      <c r="Q192" s="4">
        <f>IF(COUNTIFS('ESTUDIOS'!$A$2:$A$455,$A192,'ESTUDIOS'!$I$2:$I$455,"")&gt;0,"",INDEX('ESTUDIOS'!$I$2:$I$455,MATCH($A192,'ESTUDIOS'!$A$2:$A$455,0)))</f>
        <v/>
      </c>
    </row>
    <row r="193" ht="60" customHeight="1">
      <c r="A193" s="4" t="inlineStr">
        <is>
          <t>210</t>
        </is>
      </c>
      <c r="B193" s="4" t="inlineStr">
        <is>
          <t>Historical</t>
        </is>
      </c>
      <c r="C193" s="4" t="inlineStr">
        <is>
          <t>Prediction of Behavioral Improvement Through Resting-State Electroencephalography and Clinical Severity in a Randomized Controlled Trial Testing Bumetanide in Autism Spectrum Disorder</t>
        </is>
      </c>
      <c r="D193" s="12" t="n"/>
      <c r="E193" s="12" t="n"/>
      <c r="F193" s="12" t="n"/>
      <c r="G193" s="4" t="inlineStr">
        <is>
          <t>Pending classification from source</t>
        </is>
      </c>
      <c r="H193" s="4" t="n">
        <v>1</v>
      </c>
      <c r="I193" s="4" t="inlineStr">
        <is>
          <t>Prediction (time-to-event / prognosis)</t>
        </is>
      </c>
      <c r="J193" s="4" t="inlineStr">
        <is>
          <t>Algoritmo principal no explícito o fuera del codebook; Confirmar algoritmo principal en full-text</t>
        </is>
      </c>
      <c r="K193" s="4" t="str"/>
      <c r="L193" s="4" t="inlineStr">
        <is>
          <t>https://doi.org/10.1016/j.bpsc.2021.08.009</t>
        </is>
      </c>
      <c r="M193" s="4" t="n"/>
      <c r="N193" s="12" t="n"/>
      <c r="O193" s="41" t="n"/>
      <c r="P193" s="4" t="inlineStr">
        <is>
          <t>Confirmed only when AI was actually evaluated/used within the stated workflow or intervention; intended use alone = Proposed only</t>
        </is>
      </c>
      <c r="Q193" s="4">
        <f>IF(COUNTIFS('ESTUDIOS'!$A$2:$A$455,$A193,'ESTUDIOS'!$I$2:$I$455,"")&gt;0,"",INDEX('ESTUDIOS'!$I$2:$I$455,MATCH($A193,'ESTUDIOS'!$A$2:$A$455,0)))</f>
        <v/>
      </c>
    </row>
    <row r="194" ht="47" customHeight="1">
      <c r="A194" s="4" t="inlineStr">
        <is>
          <t>211</t>
        </is>
      </c>
      <c r="B194" s="4" t="inlineStr">
        <is>
          <t>Historical</t>
        </is>
      </c>
      <c r="C194" s="4" t="inlineStr">
        <is>
          <t>Prediction of Outcomes in Mini-Basketball Training Program for Preschool Children with Autism Using Machine Learning Models</t>
        </is>
      </c>
      <c r="D194" s="12" t="n"/>
      <c r="E194" s="12" t="n"/>
      <c r="F194" s="12" t="n"/>
      <c r="G194" s="4" t="inlineStr">
        <is>
          <t>Pending classification from source</t>
        </is>
      </c>
      <c r="H194" s="4" t="n">
        <v>1</v>
      </c>
      <c r="I194" s="4" t="inlineStr">
        <is>
          <t>Regression (score / severity / risk)</t>
        </is>
      </c>
      <c r="J194" s="4" t="str"/>
      <c r="K194" s="4" t="str"/>
      <c r="L194" s="4" t="inlineStr">
        <is>
          <t>https://doi.org/10.32604/ijmhp.2022.020075</t>
        </is>
      </c>
      <c r="M194" s="4" t="n"/>
      <c r="N194" s="12" t="n"/>
      <c r="O194" s="41" t="n"/>
      <c r="P194" s="4" t="inlineStr">
        <is>
          <t>Confirmed only when AI was actually evaluated/used within the stated workflow or intervention; intended use alone = Proposed only</t>
        </is>
      </c>
      <c r="Q194" s="4">
        <f>IF(COUNTIFS('ESTUDIOS'!$A$2:$A$455,$A194,'ESTUDIOS'!$I$2:$I$455,"")&gt;0,"",INDEX('ESTUDIOS'!$I$2:$I$455,MATCH($A194,'ESTUDIOS'!$A$2:$A$455,0)))</f>
        <v/>
      </c>
    </row>
    <row r="195" ht="60" customHeight="1">
      <c r="A195" s="4" t="inlineStr">
        <is>
          <t>212</t>
        </is>
      </c>
      <c r="B195" s="4" t="inlineStr">
        <is>
          <t>Historical</t>
        </is>
      </c>
      <c r="C195" s="4" t="inlineStr">
        <is>
          <t>Pre-trained artificial intelligence language model represents pragmatic language variability central to autism and genetically related phenotypes</t>
        </is>
      </c>
      <c r="D195" s="12" t="n"/>
      <c r="E195" s="12" t="n"/>
      <c r="F195" s="12" t="n"/>
      <c r="G195" s="4" t="inlineStr">
        <is>
          <t>Pending classification from source</t>
        </is>
      </c>
      <c r="H195" s="4" t="n">
        <v>1</v>
      </c>
      <c r="I195" s="4" t="inlineStr">
        <is>
          <t>Classification (binary/multi-class; incl. ASD vs control)/ multi-class)</t>
        </is>
      </c>
      <c r="J195" s="4" t="str"/>
      <c r="K195" s="4" t="str"/>
      <c r="L195" s="4" t="inlineStr">
        <is>
          <t>https://doi.org/10.1177/13623613241304488</t>
        </is>
      </c>
      <c r="M195" s="4" t="n"/>
      <c r="N195" s="12" t="n"/>
      <c r="O195" s="41" t="n"/>
      <c r="P195" s="4" t="inlineStr">
        <is>
          <t>Confirmed only when AI was actually evaluated/used within the stated workflow or intervention; intended use alone = Proposed only</t>
        </is>
      </c>
      <c r="Q195" s="4">
        <f>IF(COUNTIFS('ESTUDIOS'!$A$2:$A$455,$A195,'ESTUDIOS'!$I$2:$I$455,"")&gt;0,"",INDEX('ESTUDIOS'!$I$2:$I$455,MATCH($A195,'ESTUDIOS'!$A$2:$A$455,0)))</f>
        <v/>
      </c>
    </row>
    <row r="196" ht="47" customHeight="1">
      <c r="A196" s="4" t="inlineStr">
        <is>
          <t>213</t>
        </is>
      </c>
      <c r="B196" s="4" t="inlineStr">
        <is>
          <t>Historical</t>
        </is>
      </c>
      <c r="C196" s="4" t="inlineStr">
        <is>
          <t>Resting state functional magnetic resonance imaging and neural network classified autism and control</t>
        </is>
      </c>
      <c r="D196" s="12" t="n"/>
      <c r="E196" s="12" t="n"/>
      <c r="F196" s="12" t="n"/>
      <c r="G196" s="4" t="inlineStr">
        <is>
          <t>Pending classification from source</t>
        </is>
      </c>
      <c r="H196" s="4" t="n">
        <v>1</v>
      </c>
      <c r="I196" s="4" t="inlineStr">
        <is>
          <t>Classification (ASD vs control / multi-class)</t>
        </is>
      </c>
      <c r="J196" s="4" t="inlineStr">
        <is>
          <t>Algoritmo principal no explícito o fuera del codebook; Confirmar algoritmo principal en full-text</t>
        </is>
      </c>
      <c r="K196" s="4" t="str"/>
      <c r="L196" s="4" t="inlineStr">
        <is>
          <t>https://doi.org/10.1016/j.cortex.2014.08.011</t>
        </is>
      </c>
      <c r="M196" s="4" t="n"/>
      <c r="N196" s="12" t="n"/>
      <c r="O196" s="41" t="n"/>
      <c r="P196" s="4" t="inlineStr">
        <is>
          <t>Confirmed only when AI was actually evaluated/used within the stated workflow or intervention; intended use alone = Proposed only</t>
        </is>
      </c>
      <c r="Q196" s="4">
        <f>IF(COUNTIFS('ESTUDIOS'!$A$2:$A$455,$A196,'ESTUDIOS'!$I$2:$I$455,"")&gt;0,"",INDEX('ESTUDIOS'!$I$2:$I$455,MATCH($A196,'ESTUDIOS'!$A$2:$A$455,0)))</f>
        <v/>
      </c>
    </row>
    <row r="197" ht="60" customHeight="1">
      <c r="A197" s="4" t="inlineStr">
        <is>
          <t>214</t>
        </is>
      </c>
      <c r="B197" s="4" t="inlineStr">
        <is>
          <t>Historical</t>
        </is>
      </c>
      <c r="C197" s="4" t="inlineStr">
        <is>
          <t>Self-Paced Learning and Privileged Information based Cascaded Multi-column Classification algorithm for ASD diagnosis</t>
        </is>
      </c>
      <c r="D197" s="12" t="n"/>
      <c r="E197" s="12" t="n"/>
      <c r="F197" s="12" t="n"/>
      <c r="G197" s="4" t="inlineStr">
        <is>
          <t>Pending classification from source</t>
        </is>
      </c>
      <c r="H197" s="4" t="n">
        <v>1</v>
      </c>
      <c r="I197" s="4" t="inlineStr">
        <is>
          <t>Classification (binary/multi-class; incl. ASD vs control)/ multi-class)</t>
        </is>
      </c>
      <c r="J197" s="4" t="str"/>
      <c r="K197" s="4" t="str"/>
      <c r="L197" s="4" t="inlineStr">
        <is>
          <t>https://doi.org/10.1109/embc46164.2021.9630150</t>
        </is>
      </c>
      <c r="M197" s="4" t="n"/>
      <c r="N197" s="12" t="n"/>
      <c r="O197" s="41" t="n"/>
      <c r="P197" s="4" t="inlineStr">
        <is>
          <t>Confirmed only when AI was actually evaluated/used within the stated workflow or intervention; intended use alone = Proposed only</t>
        </is>
      </c>
      <c r="Q197" s="4">
        <f>IF(COUNTIFS('ESTUDIOS'!$A$2:$A$455,$A197,'ESTUDIOS'!$I$2:$I$455,"")&gt;0,"",INDEX('ESTUDIOS'!$I$2:$I$455,MATCH($A197,'ESTUDIOS'!$A$2:$A$455,0)))</f>
        <v/>
      </c>
    </row>
    <row r="198" ht="60" customHeight="1">
      <c r="A198" s="4" t="inlineStr">
        <is>
          <t>215</t>
        </is>
      </c>
      <c r="B198" s="4" t="inlineStr">
        <is>
          <t>Historical</t>
        </is>
      </c>
      <c r="C198" s="4" t="inlineStr">
        <is>
          <t>Smartphone Haptics Can Uncover Differences in Touch Interactions Between ASD and Neurotypicals</t>
        </is>
      </c>
      <c r="D198" s="12" t="n"/>
      <c r="E198" s="12" t="n"/>
      <c r="F198" s="12" t="n"/>
      <c r="G198" s="4" t="inlineStr">
        <is>
          <t>Pending classification from source</t>
        </is>
      </c>
      <c r="H198" s="4" t="n">
        <v>1</v>
      </c>
      <c r="I198" s="4" t="inlineStr">
        <is>
          <t>Classification (binary/multi-class; incl. ASD vs control)/ multi-class)</t>
        </is>
      </c>
      <c r="J198" s="4" t="str"/>
      <c r="K198" s="4" t="str"/>
      <c r="L198" s="4" t="inlineStr">
        <is>
          <t>https://doi.org/10.1145/3699749</t>
        </is>
      </c>
      <c r="M198" s="4" t="n"/>
      <c r="N198" s="12" t="n"/>
      <c r="O198" s="41" t="n"/>
      <c r="P198" s="4" t="inlineStr">
        <is>
          <t>Confirmed only when AI was actually evaluated/used within the stated workflow or intervention; intended use alone = Proposed only</t>
        </is>
      </c>
      <c r="Q198" s="4">
        <f>IF(COUNTIFS('ESTUDIOS'!$A$2:$A$455,$A198,'ESTUDIOS'!$I$2:$I$455,"")&gt;0,"",INDEX('ESTUDIOS'!$I$2:$I$455,MATCH($A198,'ESTUDIOS'!$A$2:$A$455,0)))</f>
        <v/>
      </c>
    </row>
    <row r="199" ht="60" customHeight="1">
      <c r="A199" s="4" t="inlineStr">
        <is>
          <t>216</t>
        </is>
      </c>
      <c r="B199" s="4" t="inlineStr">
        <is>
          <t>Historical</t>
        </is>
      </c>
      <c r="C199" s="4" t="inlineStr">
        <is>
          <t>Targeted metabolomics in children with autism spectrum disorder with and without developmental regression</t>
        </is>
      </c>
      <c r="D199" s="12" t="n"/>
      <c r="E199" s="12" t="n"/>
      <c r="F199" s="12" t="n"/>
      <c r="G199" s="4" t="inlineStr">
        <is>
          <t>Pending classification from source</t>
        </is>
      </c>
      <c r="H199" s="4" t="n">
        <v>1</v>
      </c>
      <c r="I199" s="4" t="inlineStr">
        <is>
          <t>Classification (binary/multi-class; incl. ASD vs control)/ multi-class)</t>
        </is>
      </c>
      <c r="J199" s="4" t="str"/>
      <c r="K199" s="4" t="str"/>
      <c r="L199" s="4" t="inlineStr">
        <is>
          <t>https://doi.org/10.1007/s11011-025-01604-y</t>
        </is>
      </c>
      <c r="M199" s="4" t="n"/>
      <c r="N199" s="12" t="n"/>
      <c r="O199" s="41" t="n"/>
      <c r="P199" s="4" t="inlineStr">
        <is>
          <t>Confirmed only when AI was actually evaluated/used within the stated workflow or intervention; intended use alone = Proposed only</t>
        </is>
      </c>
      <c r="Q199" s="4">
        <f>IF(COUNTIFS('ESTUDIOS'!$A$2:$A$455,$A199,'ESTUDIOS'!$I$2:$I$455,"")&gt;0,"",INDEX('ESTUDIOS'!$I$2:$I$455,MATCH($A199,'ESTUDIOS'!$A$2:$A$455,0)))</f>
        <v/>
      </c>
    </row>
    <row r="200" ht="60" customHeight="1">
      <c r="A200" s="4" t="inlineStr">
        <is>
          <t>217</t>
        </is>
      </c>
      <c r="B200" s="4" t="inlineStr">
        <is>
          <t>Historical</t>
        </is>
      </c>
      <c r="C200" s="4" t="inlineStr">
        <is>
          <t>Twinned neuroimaging analysis contributes to improving the classification of young people with autism spectrum disorder</t>
        </is>
      </c>
      <c r="D200" s="12" t="n"/>
      <c r="E200" s="12" t="n"/>
      <c r="F200" s="12" t="n"/>
      <c r="G200" s="4" t="inlineStr">
        <is>
          <t>Pending classification from source</t>
        </is>
      </c>
      <c r="H200" s="4" t="n">
        <v>1</v>
      </c>
      <c r="I200" s="4" t="inlineStr">
        <is>
          <t>Classification (binary/multi-class; incl. ASD vs control)/ multi-class)</t>
        </is>
      </c>
      <c r="J200" s="4" t="str"/>
      <c r="K200" s="4" t="str"/>
      <c r="L200" s="4" t="inlineStr">
        <is>
          <t>https://doi.org/10.1038/s41598-024-71174-z</t>
        </is>
      </c>
      <c r="M200" s="4" t="n"/>
      <c r="N200" s="12" t="n"/>
      <c r="O200" s="41" t="n"/>
      <c r="P200" s="4" t="inlineStr">
        <is>
          <t>Confirmed only when AI was actually evaluated/used within the stated workflow or intervention; intended use alone = Proposed only</t>
        </is>
      </c>
      <c r="Q200" s="4">
        <f>IF(COUNTIFS('ESTUDIOS'!$A$2:$A$455,$A200,'ESTUDIOS'!$I$2:$I$455,"")&gt;0,"",INDEX('ESTUDIOS'!$I$2:$I$455,MATCH($A200,'ESTUDIOS'!$A$2:$A$455,0)))</f>
        <v/>
      </c>
    </row>
    <row r="201" ht="47" customHeight="1">
      <c r="A201" s="4" t="inlineStr">
        <is>
          <t>218</t>
        </is>
      </c>
      <c r="B201" s="4" t="inlineStr">
        <is>
          <t>Historical</t>
        </is>
      </c>
      <c r="C201" s="4" t="inlineStr">
        <is>
          <t>Using a small dataset to classify strength-interactions with an elastic display: a case study for the screening of autism spectrum disorder</t>
        </is>
      </c>
      <c r="D201" s="12" t="n"/>
      <c r="E201" s="12" t="n"/>
      <c r="F201" s="12" t="n"/>
      <c r="G201" s="4" t="inlineStr">
        <is>
          <t>Pending classification from source</t>
        </is>
      </c>
      <c r="H201" s="4" t="n">
        <v>1</v>
      </c>
      <c r="I201" s="4" t="inlineStr">
        <is>
          <t>Classification (ASD vs control / multi-class)</t>
        </is>
      </c>
      <c r="J201" s="4" t="inlineStr">
        <is>
          <t>Algoritmo principal no explícito o fuera del codebook; Confirmar algoritmo principal en full-text</t>
        </is>
      </c>
      <c r="K201" s="4" t="str"/>
      <c r="L201" s="4" t="inlineStr">
        <is>
          <t>https://doi.org/10.1007/s13042-022-01554-2</t>
        </is>
      </c>
      <c r="M201" s="4" t="n"/>
      <c r="N201" s="12" t="n"/>
      <c r="O201" s="41" t="n"/>
      <c r="P201" s="4" t="inlineStr">
        <is>
          <t>Confirmed only when AI was actually evaluated/used within the stated workflow or intervention; intended use alone = Proposed only</t>
        </is>
      </c>
      <c r="Q201" s="4">
        <f>IF(COUNTIFS('ESTUDIOS'!$A$2:$A$455,$A201,'ESTUDIOS'!$I$2:$I$455,"")&gt;0,"",INDEX('ESTUDIOS'!$I$2:$I$455,MATCH($A201,'ESTUDIOS'!$A$2:$A$455,0)))</f>
        <v/>
      </c>
    </row>
    <row r="202" ht="47" customHeight="1">
      <c r="A202" s="4" t="inlineStr">
        <is>
          <t>219</t>
        </is>
      </c>
      <c r="B202" s="4" t="inlineStr">
        <is>
          <t>Historical</t>
        </is>
      </c>
      <c r="C202" s="4" t="inlineStr">
        <is>
          <t>Wearable EEG Neurofeedback Based-on Machine Learning Algorithms for Children with Autism: A Randomized, Placebo-controlled Study</t>
        </is>
      </c>
      <c r="D202" s="12" t="n"/>
      <c r="E202" s="12" t="n"/>
      <c r="F202" s="12" t="n"/>
      <c r="G202" s="4" t="inlineStr">
        <is>
          <t>Pending classification from source</t>
        </is>
      </c>
      <c r="H202" s="4" t="n">
        <v>1</v>
      </c>
      <c r="I202" s="4" t="inlineStr">
        <is>
          <t>Wearable EEG neurofeedback intervention</t>
        </is>
      </c>
      <c r="J202" s="4" t="inlineStr">
        <is>
          <t>Menciona two center-based intervention sites; señal multisitio preliminar.</t>
        </is>
      </c>
      <c r="K202" s="4" t="inlineStr">
        <is>
          <t>Wearable EEG neurofeedback system based on ML algorithms tested as an ASD intervention.</t>
        </is>
      </c>
      <c r="L202" s="4" t="inlineStr">
        <is>
          <t>https://doi.org/10.1007/s11596-024-2938-3</t>
        </is>
      </c>
      <c r="M202" s="4" t="n"/>
      <c r="N202" s="12" t="n"/>
      <c r="O202" s="41" t="n"/>
      <c r="P202" s="4" t="inlineStr">
        <is>
          <t>Confirmed only when AI was actually evaluated/used within the stated workflow or intervention; intended use alone = Proposed only</t>
        </is>
      </c>
      <c r="Q202" s="4">
        <f>IF(COUNTIFS('ESTUDIOS'!$A$2:$A$455,$A202,'ESTUDIOS'!$I$2:$I$455,"")&gt;0,"",INDEX('ESTUDIOS'!$I$2:$I$455,MATCH($A202,'ESTUDIOS'!$A$2:$A$455,0)))</f>
        <v/>
      </c>
    </row>
    <row r="203" ht="60" customHeight="1">
      <c r="A203" s="4" t="inlineStr">
        <is>
          <t>220</t>
        </is>
      </c>
      <c r="B203" s="4" t="inlineStr">
        <is>
          <t>Historical</t>
        </is>
      </c>
      <c r="C203" s="4" t="inlineStr">
        <is>
          <t>1D-convolutional neural network and fast Walsh–Hadamard transform approach for diagnosing autism spectrum disorder</t>
        </is>
      </c>
      <c r="D203" s="12" t="n"/>
      <c r="E203" s="12" t="n"/>
      <c r="F203" s="12" t="n"/>
      <c r="G203" s="4" t="inlineStr">
        <is>
          <t>Pending classification from source</t>
        </is>
      </c>
      <c r="H203" s="4" t="n">
        <v>1</v>
      </c>
      <c r="I203" s="4" t="inlineStr">
        <is>
          <t>Classification (binary/multi-class; incl. ASD vs control)/ multi-class)</t>
        </is>
      </c>
      <c r="J203" s="4" t="str"/>
      <c r="K203" s="4" t="str"/>
      <c r="L203" s="4" t="inlineStr">
        <is>
          <t>https://doi.org/10.1007/s00521-025-11208-3</t>
        </is>
      </c>
      <c r="M203" s="4" t="n"/>
      <c r="N203" s="12" t="n"/>
      <c r="O203" s="41" t="n"/>
      <c r="P203" s="4" t="inlineStr">
        <is>
          <t>Confirmed only when AI was actually evaluated/used within the stated workflow or intervention; intended use alone = Proposed only</t>
        </is>
      </c>
      <c r="Q203" s="4">
        <f>IF(COUNTIFS('ESTUDIOS'!$A$2:$A$455,$A203,'ESTUDIOS'!$I$2:$I$455,"")&gt;0,"",INDEX('ESTUDIOS'!$I$2:$I$455,MATCH($A203,'ESTUDIOS'!$A$2:$A$455,0)))</f>
        <v/>
      </c>
    </row>
    <row r="204" ht="47" customHeight="1">
      <c r="A204" s="4" t="inlineStr">
        <is>
          <t>221</t>
        </is>
      </c>
      <c r="B204" s="4" t="inlineStr">
        <is>
          <t>Historical</t>
        </is>
      </c>
      <c r="C204" s="4" t="inlineStr">
        <is>
          <t>A hybrid Stacking-SMOTE model for optimizing the prediction of autistic genes</t>
        </is>
      </c>
      <c r="D204" s="12" t="n"/>
      <c r="E204" s="12" t="n"/>
      <c r="F204" s="12" t="n"/>
      <c r="G204" s="4" t="inlineStr">
        <is>
          <t>Pending classification from source</t>
        </is>
      </c>
      <c r="H204" s="4" t="n">
        <v>0</v>
      </c>
      <c r="I204" s="4" t="inlineStr">
        <is>
          <t>Prediction (time-to-event / prognosis)</t>
        </is>
      </c>
      <c r="J204" s="4" t="inlineStr">
        <is>
          <t>Algoritmo principal no explícito o fuera del codebook; Confirmar algoritmo principal en full-text</t>
        </is>
      </c>
      <c r="K204" s="4" t="str"/>
      <c r="L204" s="4" t="inlineStr">
        <is>
          <t>https://doi.org/10.1186/s12859-023-05501-y</t>
        </is>
      </c>
      <c r="M204" s="4" t="n"/>
      <c r="N204" s="12" t="n"/>
      <c r="O204" s="41" t="n"/>
      <c r="P204" s="4" t="inlineStr">
        <is>
          <t>Confirmed only when AI was actually evaluated/used within the stated workflow or intervention; intended use alone = Proposed only</t>
        </is>
      </c>
      <c r="Q204" s="4">
        <f>IF(COUNTIFS('ESTUDIOS'!$A$2:$A$455,$A204,'ESTUDIOS'!$I$2:$I$455,"")&gt;0,"",INDEX('ESTUDIOS'!$I$2:$I$455,MATCH($A204,'ESTUDIOS'!$A$2:$A$455,0)))</f>
        <v/>
      </c>
    </row>
    <row r="205" ht="47" customHeight="1">
      <c r="A205" s="4" t="inlineStr">
        <is>
          <t>222</t>
        </is>
      </c>
      <c r="B205" s="4" t="inlineStr">
        <is>
          <t>Historical</t>
        </is>
      </c>
      <c r="C205" s="4" t="inlineStr">
        <is>
          <t>An amygdala-centered hyper-connectivity signature of threatening face processing predicts anxiety in youths with autism spectrum conditions</t>
        </is>
      </c>
      <c r="D205" s="12" t="n"/>
      <c r="E205" s="12" t="n"/>
      <c r="F205" s="12" t="n"/>
      <c r="G205" s="4" t="inlineStr">
        <is>
          <t>Pending classification from source</t>
        </is>
      </c>
      <c r="H205" s="4" t="n">
        <v>0</v>
      </c>
      <c r="I205" s="4" t="inlineStr">
        <is>
          <t>Prediction (time-to-event / prognosis)</t>
        </is>
      </c>
      <c r="J205" s="4" t="inlineStr">
        <is>
          <t>Usa fMRI de procesamiento de amenaza para predecir ansiedad en jóvenes con ASC.</t>
        </is>
      </c>
      <c r="K205" s="4" t="str"/>
      <c r="L205" s="4" t="inlineStr">
        <is>
          <t>https://doi.org/10.1002/aur.2595</t>
        </is>
      </c>
      <c r="M205" s="4" t="n"/>
      <c r="N205" s="12" t="n"/>
      <c r="O205" s="41" t="n"/>
      <c r="P205" s="4" t="inlineStr">
        <is>
          <t>Confirmed only when AI was actually evaluated/used within the stated workflow or intervention; intended use alone = Proposed only</t>
        </is>
      </c>
      <c r="Q205" s="4">
        <f>IF(COUNTIFS('ESTUDIOS'!$A$2:$A$455,$A205,'ESTUDIOS'!$I$2:$I$455,"")&gt;0,"",INDEX('ESTUDIOS'!$I$2:$I$455,MATCH($A205,'ESTUDIOS'!$A$2:$A$455,0)))</f>
        <v/>
      </c>
    </row>
    <row r="206" ht="60" customHeight="1">
      <c r="A206" s="4" t="inlineStr">
        <is>
          <t>223</t>
        </is>
      </c>
      <c r="B206" s="4" t="inlineStr">
        <is>
          <t>Historical</t>
        </is>
      </c>
      <c r="C206" s="4" t="inlineStr">
        <is>
          <t>An effective autism spectrum disorder screening method using machine learning classification techniques</t>
        </is>
      </c>
      <c r="D206" s="12" t="n"/>
      <c r="E206" s="12" t="n"/>
      <c r="F206" s="12" t="n"/>
      <c r="G206" s="4" t="inlineStr">
        <is>
          <t>Pending classification from source</t>
        </is>
      </c>
      <c r="H206" s="4" t="n">
        <v>1</v>
      </c>
      <c r="I206" s="4" t="inlineStr">
        <is>
          <t>Classification (binary/multi-class; incl. ASD vs control)/ multi-class)</t>
        </is>
      </c>
      <c r="J206" s="4" t="str"/>
      <c r="K206" s="4" t="str"/>
      <c r="L206" s="4" t="inlineStr">
        <is>
          <t>https://doi.org/10.1002/cpe.7898</t>
        </is>
      </c>
      <c r="M206" s="4" t="n"/>
      <c r="N206" s="12" t="n"/>
      <c r="O206" s="41" t="n"/>
      <c r="P206" s="4" t="inlineStr">
        <is>
          <t>Confirmed only when AI was actually evaluated/used within the stated workflow or intervention; intended use alone = Proposed only</t>
        </is>
      </c>
      <c r="Q206" s="4">
        <f>IF(COUNTIFS('ESTUDIOS'!$A$2:$A$455,$A206,'ESTUDIOS'!$I$2:$I$455,"")&gt;0,"",INDEX('ESTUDIOS'!$I$2:$I$455,MATCH($A206,'ESTUDIOS'!$A$2:$A$455,0)))</f>
        <v/>
      </c>
    </row>
    <row r="207" ht="47" customHeight="1">
      <c r="A207" s="4" t="inlineStr">
        <is>
          <t>224</t>
        </is>
      </c>
      <c r="B207" s="4" t="inlineStr">
        <is>
          <t>Historical</t>
        </is>
      </c>
      <c r="C207" s="4" t="inlineStr">
        <is>
          <t>An ensemble classifier for emotion classification from EEG and GSR signals for autism detection</t>
        </is>
      </c>
      <c r="D207" s="12" t="n"/>
      <c r="E207" s="12" t="n"/>
      <c r="F207" s="12" t="n"/>
      <c r="G207" s="4" t="inlineStr">
        <is>
          <t>Pending classification from source</t>
        </is>
      </c>
      <c r="H207" s="4" t="n">
        <v>1</v>
      </c>
      <c r="I207" s="4" t="inlineStr">
        <is>
          <t>Emotion classification / physiological monitoring</t>
        </is>
      </c>
      <c r="J207" s="4" t="str"/>
      <c r="K207" s="4" t="inlineStr">
        <is>
          <t>EEG/GSR emotion classifier framed as suitable for clinical integration and quality-of-care support.</t>
        </is>
      </c>
      <c r="L207" s="4" t="inlineStr">
        <is>
          <t>https://doi.org/10.1016/j.cmpb.2025.108921</t>
        </is>
      </c>
      <c r="M207" s="4" t="n"/>
      <c r="N207" s="12" t="n"/>
      <c r="O207" s="41" t="n"/>
      <c r="P207" s="4" t="inlineStr">
        <is>
          <t>Confirmed only when AI was actually evaluated/used within the stated workflow or intervention; intended use alone = Proposed only</t>
        </is>
      </c>
      <c r="Q207" s="4">
        <f>IF(COUNTIFS('ESTUDIOS'!$A$2:$A$455,$A207,'ESTUDIOS'!$I$2:$I$455,"")&gt;0,"",INDEX('ESTUDIOS'!$I$2:$I$455,MATCH($A207,'ESTUDIOS'!$A$2:$A$455,0)))</f>
        <v/>
      </c>
    </row>
    <row r="208" ht="47" customHeight="1">
      <c r="A208" s="4" t="inlineStr">
        <is>
          <t>225</t>
        </is>
      </c>
      <c r="B208" s="4" t="inlineStr">
        <is>
          <t>Historical</t>
        </is>
      </c>
      <c r="C208" s="4" t="inlineStr">
        <is>
          <t>Applying Eye Tracking to Identify Autism Spectrum Disorder in Children</t>
        </is>
      </c>
      <c r="D208" s="12" t="n"/>
      <c r="E208" s="12" t="n"/>
      <c r="F208" s="12" t="n"/>
      <c r="G208" s="4" t="inlineStr">
        <is>
          <t>Pending classification from source</t>
        </is>
      </c>
      <c r="H208" s="4" t="n">
        <v>1</v>
      </c>
      <c r="I208" s="4" t="inlineStr">
        <is>
          <t>Classification (ASD vs control / multi-class)</t>
        </is>
      </c>
      <c r="J208" s="4" t="inlineStr">
        <is>
          <t>Algoritmo principal no explícito o fuera del codebook; Confirmar algoritmo principal en full-text</t>
        </is>
      </c>
      <c r="K208" s="4" t="str"/>
      <c r="L208" s="4" t="inlineStr">
        <is>
          <t>https://doi.org/10.1007/s10803-018-3690-y</t>
        </is>
      </c>
      <c r="M208" s="4" t="n"/>
      <c r="N208" s="12" t="n"/>
      <c r="O208" s="41" t="n"/>
      <c r="P208" s="4" t="inlineStr">
        <is>
          <t>Confirmed only when AI was actually evaluated/used within the stated workflow or intervention; intended use alone = Proposed only</t>
        </is>
      </c>
      <c r="Q208" s="4">
        <f>IF(COUNTIFS('ESTUDIOS'!$A$2:$A$455,$A208,'ESTUDIOS'!$I$2:$I$455,"")&gt;0,"",INDEX('ESTUDIOS'!$I$2:$I$455,MATCH($A208,'ESTUDIOS'!$A$2:$A$455,0)))</f>
        <v/>
      </c>
    </row>
    <row r="209" ht="47" customHeight="1">
      <c r="A209" s="4" t="inlineStr">
        <is>
          <t>226</t>
        </is>
      </c>
      <c r="B209" s="4" t="inlineStr">
        <is>
          <t>Historical</t>
        </is>
      </c>
      <c r="C209" s="4" t="inlineStr">
        <is>
          <t>Artificial intelligence and sensor-based autism spectrum disorder diagnosis using brain connectivity analysis</t>
        </is>
      </c>
      <c r="D209" s="12" t="n"/>
      <c r="E209" s="12" t="n"/>
      <c r="F209" s="12" t="n"/>
      <c r="G209" s="4" t="inlineStr">
        <is>
          <t>Pending classification from source</t>
        </is>
      </c>
      <c r="H209" s="4" t="n">
        <v>1</v>
      </c>
      <c r="I209" s="4" t="inlineStr">
        <is>
          <t>Classification (ASD vs control / multi-class)</t>
        </is>
      </c>
      <c r="J209" s="4" t="inlineStr">
        <is>
          <t>Algoritmo principal no explícito o fuera del codebook; Confirmar algoritmo principal en full-text</t>
        </is>
      </c>
      <c r="K209" s="4" t="str"/>
      <c r="L209" s="4" t="inlineStr">
        <is>
          <t>https://doi.org/10.1016/j.compeleceng.2023.108720</t>
        </is>
      </c>
      <c r="M209" s="4" t="n"/>
      <c r="N209" s="12" t="n"/>
      <c r="O209" s="41" t="n"/>
      <c r="P209" s="4" t="inlineStr">
        <is>
          <t>Confirmed only when AI was actually evaluated/used within the stated workflow or intervention; intended use alone = Proposed only</t>
        </is>
      </c>
      <c r="Q209" s="4">
        <f>IF(COUNTIFS('ESTUDIOS'!$A$2:$A$455,$A209,'ESTUDIOS'!$I$2:$I$455,"")&gt;0,"",INDEX('ESTUDIOS'!$I$2:$I$455,MATCH($A209,'ESTUDIOS'!$A$2:$A$455,0)))</f>
        <v/>
      </c>
    </row>
    <row r="210" ht="47" customHeight="1">
      <c r="A210" s="4" t="inlineStr">
        <is>
          <t>227</t>
        </is>
      </c>
      <c r="B210" s="4" t="inlineStr">
        <is>
          <t>Historical</t>
        </is>
      </c>
      <c r="C210" s="4" t="inlineStr">
        <is>
          <t>Attention Level Evaluation in Children With Autism: Leveraging Head Pose and Gaze Parameters From Videos for Educational Intervention</t>
        </is>
      </c>
      <c r="D210" s="12" t="n"/>
      <c r="E210" s="12" t="n"/>
      <c r="F210" s="12" t="n"/>
      <c r="G210" s="4" t="inlineStr">
        <is>
          <t>Pending classification from source</t>
        </is>
      </c>
      <c r="H210" s="4" t="n">
        <v>1</v>
      </c>
      <c r="I210" s="4" t="inlineStr">
        <is>
          <t>Attention evaluation for educational intervention</t>
        </is>
      </c>
      <c r="J210" s="4" t="inlineStr">
        <is>
          <t>Combina señales conductuales y estrategia explícita de ensemble.</t>
        </is>
      </c>
      <c r="K210" s="4" t="inlineStr">
        <is>
          <t>DL/video-based attention assessment to support educational intervention.</t>
        </is>
      </c>
      <c r="L210" s="4" t="inlineStr">
        <is>
          <t>https://doi.org/10.1109/tlt.2024.3409702</t>
        </is>
      </c>
      <c r="M210" s="4" t="n"/>
      <c r="N210" s="12" t="n"/>
      <c r="O210" s="41" t="n"/>
      <c r="P210" s="4" t="inlineStr">
        <is>
          <t>Confirmed only when AI was actually evaluated/used within the stated workflow or intervention; intended use alone = Proposed only</t>
        </is>
      </c>
      <c r="Q210" s="4">
        <f>IF(COUNTIFS('ESTUDIOS'!$A$2:$A$455,$A210,'ESTUDIOS'!$I$2:$I$455,"")&gt;0,"",INDEX('ESTUDIOS'!$I$2:$I$455,MATCH($A210,'ESTUDIOS'!$A$2:$A$455,0)))</f>
        <v/>
      </c>
    </row>
    <row r="211" ht="47" customHeight="1">
      <c r="A211" s="4" t="inlineStr">
        <is>
          <t>228</t>
        </is>
      </c>
      <c r="B211" s="4" t="inlineStr">
        <is>
          <t>Historical</t>
        </is>
      </c>
      <c r="C211" s="4" t="inlineStr">
        <is>
          <t>Autism Spectrum Disorder Diagnosis Using Graph Neural Network Based on\&amp;#xa0;Graph Pooling and\&amp;#xa0;Self-adjust Filter</t>
        </is>
      </c>
      <c r="D211" s="12" t="n"/>
      <c r="E211" s="12" t="n"/>
      <c r="F211" s="12" t="n"/>
      <c r="G211" s="4" t="inlineStr">
        <is>
          <t>Pending classification from source</t>
        </is>
      </c>
      <c r="H211" s="4" t="n">
        <v>1</v>
      </c>
      <c r="I211" s="4" t="inlineStr">
        <is>
          <t>GNN diagnostic classification</t>
        </is>
      </c>
      <c r="J211" s="4" t="inlineStr">
        <is>
          <t>ABIDE I + integración de fMRI con datos fenotípicos.</t>
        </is>
      </c>
      <c r="K211" s="4" t="inlineStr">
        <is>
          <t>Graph neural network proposed for ASD diagnosis.</t>
        </is>
      </c>
      <c r="L211" s="4" t="inlineStr">
        <is>
          <t>https://doi.org/10.1007/978-981-99-8558-6_35</t>
        </is>
      </c>
      <c r="M211" s="4" t="n"/>
      <c r="N211" s="12" t="n"/>
      <c r="O211" s="41" t="n"/>
      <c r="P211" s="4" t="inlineStr">
        <is>
          <t>Confirmed only when AI was actually evaluated/used within the stated workflow or intervention; intended use alone = Proposed only</t>
        </is>
      </c>
      <c r="Q211" s="4">
        <f>IF(COUNTIFS('ESTUDIOS'!$A$2:$A$455,$A211,'ESTUDIOS'!$I$2:$I$455,"")&gt;0,"",INDEX('ESTUDIOS'!$I$2:$I$455,MATCH($A211,'ESTUDIOS'!$A$2:$A$455,0)))</f>
        <v/>
      </c>
    </row>
    <row r="212" ht="60" customHeight="1">
      <c r="A212" s="4" t="inlineStr">
        <is>
          <t>229</t>
        </is>
      </c>
      <c r="B212" s="4" t="inlineStr">
        <is>
          <t>Historical</t>
        </is>
      </c>
      <c r="C212" s="4" t="inlineStr">
        <is>
          <t>Autoencoder Based Methods for Diagnosis of Autism Spectrum Disorder</t>
        </is>
      </c>
      <c r="D212" s="12" t="n"/>
      <c r="E212" s="12" t="n"/>
      <c r="F212" s="12" t="n"/>
      <c r="G212" s="4" t="inlineStr">
        <is>
          <t>Pending classification from source</t>
        </is>
      </c>
      <c r="H212" s="4" t="n">
        <v>1</v>
      </c>
      <c r="I212" s="4" t="inlineStr">
        <is>
          <t>Classification (binary/multi-class; incl. ASD vs control)/ multi-class)</t>
        </is>
      </c>
      <c r="J212" s="4" t="inlineStr">
        <is>
          <t>Pipeline AE + (SVM/KNN/subspace discriminant) + DNN; AE+DNN logra mejor (accuracy 79.2%, AUC 82.4%). Paradigma mixto: AE (no supervisado) + clasificador (supervisado); abstract no etiqueta “supervised”.</t>
        </is>
      </c>
      <c r="K212" s="4" t="str"/>
      <c r="L212" s="4" t="inlineStr">
        <is>
          <t>https://doi.org/10.1007/978-3-030-46165-2_4</t>
        </is>
      </c>
      <c r="M212" s="4" t="n"/>
      <c r="N212" s="12" t="n"/>
      <c r="O212" s="41" t="n"/>
      <c r="P212" s="4" t="inlineStr">
        <is>
          <t>Confirmed only when AI was actually evaluated/used within the stated workflow or intervention; intended use alone = Proposed only</t>
        </is>
      </c>
      <c r="Q212" s="4">
        <f>IF(COUNTIFS('ESTUDIOS'!$A$2:$A$455,$A212,'ESTUDIOS'!$I$2:$I$455,"")&gt;0,"",INDEX('ESTUDIOS'!$I$2:$I$455,MATCH($A212,'ESTUDIOS'!$A$2:$A$455,0)))</f>
        <v/>
      </c>
    </row>
    <row r="213" ht="47" customHeight="1">
      <c r="A213" s="4" t="inlineStr">
        <is>
          <t>230</t>
        </is>
      </c>
      <c r="B213" s="4" t="inlineStr">
        <is>
          <t>Historical</t>
        </is>
      </c>
      <c r="C213" s="4" t="inlineStr">
        <is>
          <t>BrainWaveNet: Wavelet-based Transformer for Autism Spectrum Disorder Diagnosis</t>
        </is>
      </c>
      <c r="D213" s="12" t="n"/>
      <c r="E213" s="12" t="n"/>
      <c r="F213" s="12" t="n"/>
      <c r="G213" s="4" t="inlineStr">
        <is>
          <t>Pending classification from source</t>
        </is>
      </c>
      <c r="H213" s="4" t="n">
        <v>1</v>
      </c>
      <c r="I213" s="4" t="inlineStr">
        <is>
          <t>Classification (ASD vs control / multi-class)</t>
        </is>
      </c>
      <c r="J213" s="4" t="str"/>
      <c r="K213" s="4" t="str"/>
      <c r="L213" s="4" t="inlineStr">
        <is>
          <t>https://doi.org/10.1007/978-3-031-72069-7_6</t>
        </is>
      </c>
      <c r="M213" s="4" t="n"/>
      <c r="N213" s="12" t="n"/>
      <c r="O213" s="41" t="n"/>
      <c r="P213" s="4" t="inlineStr">
        <is>
          <t>Confirmed only when AI was actually evaluated/used within the stated workflow or intervention; intended use alone = Proposed only</t>
        </is>
      </c>
      <c r="Q213" s="4">
        <f>IF(COUNTIFS('ESTUDIOS'!$A$2:$A$455,$A213,'ESTUDIOS'!$I$2:$I$455,"")&gt;0,"",INDEX('ESTUDIOS'!$I$2:$I$455,MATCH($A213,'ESTUDIOS'!$A$2:$A$455,0)))</f>
        <v/>
      </c>
    </row>
    <row r="214" ht="47" customHeight="1">
      <c r="A214" s="4" t="inlineStr">
        <is>
          <t>231</t>
        </is>
      </c>
      <c r="B214" s="4" t="inlineStr">
        <is>
          <t>Historical</t>
        </is>
      </c>
      <c r="C214" s="4" t="inlineStr">
        <is>
          <t>Can lung airway geometry be used to predict autism? A preliminary machine learning-based study</t>
        </is>
      </c>
      <c r="D214" s="12" t="n"/>
      <c r="E214" s="12" t="n"/>
      <c r="F214" s="12" t="n"/>
      <c r="G214" s="4" t="inlineStr">
        <is>
          <t>Pending classification from source</t>
        </is>
      </c>
      <c r="H214" s="4" t="n">
        <v>0</v>
      </c>
      <c r="I214" s="4" t="inlineStr">
        <is>
          <t>Classification (ASD vs control / multi-class)</t>
        </is>
      </c>
      <c r="J214" s="4" t="str"/>
      <c r="K214" s="4" t="str"/>
      <c r="L214" s="4" t="inlineStr">
        <is>
          <t>https://doi.org/10.1002/ar.25332</t>
        </is>
      </c>
      <c r="M214" s="4" t="n"/>
      <c r="N214" s="12" t="n"/>
      <c r="O214" s="41" t="n"/>
      <c r="P214" s="4" t="inlineStr">
        <is>
          <t>Confirmed only when AI was actually evaluated/used within the stated workflow or intervention; intended use alone = Proposed only</t>
        </is>
      </c>
      <c r="Q214" s="4">
        <f>IF(COUNTIFS('ESTUDIOS'!$A$2:$A$455,$A214,'ESTUDIOS'!$I$2:$I$455,"")&gt;0,"",INDEX('ESTUDIOS'!$I$2:$I$455,MATCH($A214,'ESTUDIOS'!$A$2:$A$455,0)))</f>
        <v/>
      </c>
    </row>
    <row r="215" ht="73" customHeight="1">
      <c r="A215" s="4" t="inlineStr">
        <is>
          <t>232</t>
        </is>
      </c>
      <c r="B215" s="4" t="inlineStr">
        <is>
          <t>Historical</t>
        </is>
      </c>
      <c r="C215" s="4" t="inlineStr">
        <is>
          <t>Classification of autism spectrum disorder based on fluctuation entropy of spontaneous hemodynamic fluctuations</t>
        </is>
      </c>
      <c r="D215" s="12" t="n"/>
      <c r="E215" s="12" t="n"/>
      <c r="F215" s="12" t="n"/>
      <c r="G215" s="4" t="inlineStr">
        <is>
          <t>Pending classification from source</t>
        </is>
      </c>
      <c r="H215" s="4" t="n">
        <v>1</v>
      </c>
      <c r="I215" s="4" t="inlineStr">
        <is>
          <t>Classification (binary/multi-class; incl. ASD vs control)/ multi-class)</t>
        </is>
      </c>
      <c r="J215" s="4"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K215" s="4" t="str"/>
      <c r="L215" s="4" t="inlineStr">
        <is>
          <t>https://doi.org/10.1016/j.bspc.2020.101958</t>
        </is>
      </c>
      <c r="M215" s="4" t="n"/>
      <c r="N215" s="12" t="n"/>
      <c r="O215" s="41" t="n"/>
      <c r="P215" s="4" t="inlineStr">
        <is>
          <t>Confirmed only when AI was actually evaluated/used within the stated workflow or intervention; intended use alone = Proposed only</t>
        </is>
      </c>
      <c r="Q215" s="4">
        <f>IF(COUNTIFS('ESTUDIOS'!$A$2:$A$455,$A215,'ESTUDIOS'!$I$2:$I$455,"")&gt;0,"",INDEX('ESTUDIOS'!$I$2:$I$455,MATCH($A215,'ESTUDIOS'!$A$2:$A$455,0)))</f>
        <v/>
      </c>
    </row>
    <row r="216" ht="73" customHeight="1">
      <c r="A216" s="4" t="inlineStr">
        <is>
          <t>233</t>
        </is>
      </c>
      <c r="B216" s="4" t="inlineStr">
        <is>
          <t>Historical</t>
        </is>
      </c>
      <c r="C216" s="4" t="inlineStr">
        <is>
          <t>Classification of autism spectrum disorder based on sample entropy of spontaneous functional near infra-red spectroscopy signal</t>
        </is>
      </c>
      <c r="D216" s="12" t="n"/>
      <c r="E216" s="12" t="n"/>
      <c r="F216" s="12" t="n"/>
      <c r="G216" s="4" t="inlineStr">
        <is>
          <t>Pending classification from source</t>
        </is>
      </c>
      <c r="H216" s="4" t="n">
        <v>1</v>
      </c>
      <c r="I216" s="4" t="inlineStr">
        <is>
          <t>Classification (binary/multi-class; incl. ASD vs control)/ multi-class)</t>
        </is>
      </c>
      <c r="J216" s="4"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K216" s="4" t="str"/>
      <c r="L216" s="4" t="inlineStr">
        <is>
          <t>https://doi.org/10.1016/j.clinph.2019.12.400</t>
        </is>
      </c>
      <c r="M216" s="4" t="n"/>
      <c r="N216" s="12" t="n"/>
      <c r="O216" s="41" t="n"/>
      <c r="P216" s="4" t="inlineStr">
        <is>
          <t>Confirmed only when AI was actually evaluated/used within the stated workflow or intervention; intended use alone = Proposed only</t>
        </is>
      </c>
      <c r="Q216" s="4">
        <f>IF(COUNTIFS('ESTUDIOS'!$A$2:$A$455,$A216,'ESTUDIOS'!$I$2:$I$455,"")&gt;0,"",INDEX('ESTUDIOS'!$I$2:$I$455,MATCH($A216,'ESTUDIOS'!$A$2:$A$455,0)))</f>
        <v/>
      </c>
    </row>
    <row r="217" ht="73" customHeight="1">
      <c r="A217" s="4" t="inlineStr">
        <is>
          <t>234</t>
        </is>
      </c>
      <c r="B217" s="4" t="inlineStr">
        <is>
          <t>Historical</t>
        </is>
      </c>
      <c r="C217" s="4" t="inlineStr">
        <is>
          <t>Classification of\&amp;#xa0;Facial Images to\&amp;#xa0;Assist in\&amp;#xa0;the\&amp;#xa0;Diagnosis of\&amp;#xa0;Autism Spectrum Disorder: A Study on\&amp;#xa0;the\&amp;#xa0;Effect of\&amp;#xa0;Face Detection and\&amp;#xa0;Landmark Identification Algorithms</t>
        </is>
      </c>
      <c r="D217" s="12" t="n"/>
      <c r="E217" s="12" t="n"/>
      <c r="F217" s="12" t="n"/>
      <c r="G217" s="4" t="inlineStr">
        <is>
          <t>Pending classification from source</t>
        </is>
      </c>
      <c r="H217" s="4" t="n">
        <v>1</v>
      </c>
      <c r="I217" s="4" t="inlineStr">
        <is>
          <t>Classification (ASD vs control / multi-class)</t>
        </is>
      </c>
      <c r="J217" s="4" t="inlineStr">
        <is>
          <t>Algoritmo principal no explícito o fuera del codebook; Confirmar algoritmo principal en full-text</t>
        </is>
      </c>
      <c r="K217" s="4" t="str"/>
      <c r="L217" s="4" t="inlineStr">
        <is>
          <t>https://doi.org/10.1007/978-3-031-45389-2_18</t>
        </is>
      </c>
      <c r="M217" s="4" t="n"/>
      <c r="N217" s="12" t="n"/>
      <c r="O217" s="41" t="n"/>
      <c r="P217" s="4" t="inlineStr">
        <is>
          <t>Confirmed only when AI was actually evaluated/used within the stated workflow or intervention; intended use alone = Proposed only</t>
        </is>
      </c>
      <c r="Q217" s="4">
        <f>IF(COUNTIFS('ESTUDIOS'!$A$2:$A$455,$A217,'ESTUDIOS'!$I$2:$I$455,"")&gt;0,"",INDEX('ESTUDIOS'!$I$2:$I$455,MATCH($A217,'ESTUDIOS'!$A$2:$A$455,0)))</f>
        <v/>
      </c>
    </row>
    <row r="218" ht="60" customHeight="1">
      <c r="A218" s="4" t="inlineStr">
        <is>
          <t>235</t>
        </is>
      </c>
      <c r="B218" s="4" t="inlineStr">
        <is>
          <t>Historical</t>
        </is>
      </c>
      <c r="C218" s="4" t="inlineStr">
        <is>
          <t>Combining anatomical and functional networks for neuropathology identification: A case study on autism spectrum disorder</t>
        </is>
      </c>
      <c r="D218" s="12" t="n"/>
      <c r="E218" s="12" t="n"/>
      <c r="F218" s="12" t="n"/>
      <c r="G218" s="4" t="inlineStr">
        <is>
          <t>Pending classification from source</t>
        </is>
      </c>
      <c r="H218" s="4" t="n">
        <v>1</v>
      </c>
      <c r="I218" s="4" t="inlineStr">
        <is>
          <t>Classification (binary/multi-class; incl. ASD vs control)/ multi-class)</t>
        </is>
      </c>
      <c r="J218" s="4" t="str"/>
      <c r="K218" s="4" t="str"/>
      <c r="L218" s="4" t="inlineStr">
        <is>
          <t>https://doi.org/10.1016/j.media.2021.101986</t>
        </is>
      </c>
      <c r="M218" s="4" t="n"/>
      <c r="N218" s="12" t="n"/>
      <c r="O218" s="41" t="n"/>
      <c r="P218" s="4" t="inlineStr">
        <is>
          <t>Confirmed only when AI was actually evaluated/used within the stated workflow or intervention; intended use alone = Proposed only</t>
        </is>
      </c>
      <c r="Q218" s="4">
        <f>IF(COUNTIFS('ESTUDIOS'!$A$2:$A$455,$A218,'ESTUDIOS'!$I$2:$I$455,"")&gt;0,"",INDEX('ESTUDIOS'!$I$2:$I$455,MATCH($A218,'ESTUDIOS'!$A$2:$A$455,0)))</f>
        <v/>
      </c>
    </row>
    <row r="219" ht="47" customHeight="1">
      <c r="A219" s="4" t="inlineStr">
        <is>
          <t>236</t>
        </is>
      </c>
      <c r="B219" s="4" t="inlineStr">
        <is>
          <t>Historical</t>
        </is>
      </c>
      <c r="C219" s="4" t="inlineStr">
        <is>
          <t>Correlations between blood group and Rh factor in families and autism spectrum disorder: A comprehensive analysis</t>
        </is>
      </c>
      <c r="D219" s="12" t="n"/>
      <c r="E219" s="12" t="n"/>
      <c r="F219" s="12" t="n"/>
      <c r="G219" s="4" t="inlineStr">
        <is>
          <t>Pending classification from source</t>
        </is>
      </c>
      <c r="H219" s="4" t="n">
        <v>0</v>
      </c>
      <c r="I219" s="4" t="inlineStr">
        <is>
          <t>Classification (ASD vs control / multi-class)</t>
        </is>
      </c>
      <c r="J219" s="4" t="inlineStr">
        <is>
          <t>Análisis de grupos sanguíneos con regresión logística/ML no claramente central para una etapa clínica RQ1.</t>
        </is>
      </c>
      <c r="K219" s="4" t="inlineStr">
        <is>
          <t>Blood group/Rh association and risk-factor analysis; no AI-supported clinical decision system.</t>
        </is>
      </c>
      <c r="L219" s="4" t="inlineStr">
        <is>
          <t>https://doi.org/10.1038/s41598-025-97313-8</t>
        </is>
      </c>
      <c r="M219" s="4" t="n"/>
      <c r="N219" s="12" t="n"/>
      <c r="O219" s="41" t="n"/>
      <c r="P219" s="4" t="inlineStr">
        <is>
          <t>Confirmed only when AI was actually evaluated/used within the stated workflow or intervention; intended use alone = Proposed only</t>
        </is>
      </c>
      <c r="Q219" s="4">
        <f>IF(COUNTIFS('ESTUDIOS'!$A$2:$A$455,$A219,'ESTUDIOS'!$I$2:$I$455,"")&gt;0,"",INDEX('ESTUDIOS'!$I$2:$I$455,MATCH($A219,'ESTUDIOS'!$A$2:$A$455,0)))</f>
        <v/>
      </c>
    </row>
    <row r="220" ht="47" customHeight="1">
      <c r="A220" s="4" t="inlineStr">
        <is>
          <t>237</t>
        </is>
      </c>
      <c r="B220" s="4" t="inlineStr">
        <is>
          <t>Historical</t>
        </is>
      </c>
      <c r="C220" s="4" t="inlineStr">
        <is>
          <t>Cross-linguistic patterns of speech prosodic differences in autism: A machine learning study</t>
        </is>
      </c>
      <c r="D220" s="12" t="n"/>
      <c r="E220" s="12" t="n"/>
      <c r="F220" s="12" t="n"/>
      <c r="G220" s="4" t="inlineStr">
        <is>
          <t>Pending classification from source</t>
        </is>
      </c>
      <c r="H220" s="4" t="n">
        <v>0</v>
      </c>
      <c r="I220" s="4" t="inlineStr">
        <is>
          <t>Classification (ASD vs control / multi-class)</t>
        </is>
      </c>
      <c r="J220" s="4" t="inlineStr">
        <is>
          <t>Algoritmo principal no explícito o fuera del codebook; Confirmar algoritmo principal en full-text</t>
        </is>
      </c>
      <c r="K220" s="4" t="str"/>
      <c r="L220" s="4" t="inlineStr">
        <is>
          <t>https://doi.org/10.1371/journal.pone.0269637</t>
        </is>
      </c>
      <c r="M220" s="4" t="n"/>
      <c r="N220" s="12" t="n"/>
      <c r="O220" s="41" t="n"/>
      <c r="P220" s="4" t="inlineStr">
        <is>
          <t>Confirmed only when AI was actually evaluated/used within the stated workflow or intervention; intended use alone = Proposed only</t>
        </is>
      </c>
      <c r="Q220" s="4">
        <f>IF(COUNTIFS('ESTUDIOS'!$A$2:$A$455,$A220,'ESTUDIOS'!$I$2:$I$455,"")&gt;0,"",INDEX('ESTUDIOS'!$I$2:$I$455,MATCH($A220,'ESTUDIOS'!$A$2:$A$455,0)))</f>
        <v/>
      </c>
    </row>
    <row r="221" ht="47" customHeight="1">
      <c r="A221" s="4" t="inlineStr">
        <is>
          <t>238</t>
        </is>
      </c>
      <c r="B221" s="4" t="inlineStr">
        <is>
          <t>Historical</t>
        </is>
      </c>
      <c r="C221" s="4" t="inlineStr">
        <is>
          <t>Data mining and machine learning techniques for early detection in autism spectrum disorder</t>
        </is>
      </c>
      <c r="D221" s="12" t="n"/>
      <c r="E221" s="12" t="n"/>
      <c r="F221" s="12" t="n"/>
      <c r="G221" s="4" t="inlineStr">
        <is>
          <t>Pending classification from source</t>
        </is>
      </c>
      <c r="H221" s="4" t="n">
        <v>1</v>
      </c>
      <c r="I221" s="4" t="inlineStr">
        <is>
          <t>Early detection / data-mining workflow</t>
        </is>
      </c>
      <c r="J221" s="4" t="inlineStr">
        <is>
          <t>Usa varios datasets, pero no basta para marcar validación externa o multisource strategy.</t>
        </is>
      </c>
      <c r="K221" s="4" t="inlineStr">
        <is>
          <t>Data mining and ML architecture for early ASD detection.</t>
        </is>
      </c>
      <c r="L221" s="4" t="inlineStr">
        <is>
          <t>https://doi.org/10.1016/b978-0-12-822822-7.00006-5</t>
        </is>
      </c>
      <c r="M221" s="4" t="n"/>
      <c r="N221" s="12" t="n"/>
      <c r="O221" s="41" t="n"/>
      <c r="P221" s="4" t="inlineStr">
        <is>
          <t>Confirmed only when AI was actually evaluated/used within the stated workflow or intervention; intended use alone = Proposed only</t>
        </is>
      </c>
      <c r="Q221" s="4">
        <f>IF(COUNTIFS('ESTUDIOS'!$A$2:$A$455,$A221,'ESTUDIOS'!$I$2:$I$455,"")&gt;0,"",INDEX('ESTUDIOS'!$I$2:$I$455,MATCH($A221,'ESTUDIOS'!$A$2:$A$455,0)))</f>
        <v/>
      </c>
    </row>
    <row r="222" ht="60" customHeight="1">
      <c r="A222" s="4" t="inlineStr">
        <is>
          <t>239</t>
        </is>
      </c>
      <c r="B222" s="4" t="inlineStr">
        <is>
          <t>Historical</t>
        </is>
      </c>
      <c r="C222" s="4" t="inlineStr">
        <is>
          <t>Diagnosing autism severity associated with physical fitness and gray matter volume in children with autism spectrum disorder: Explainable machine learning method</t>
        </is>
      </c>
      <c r="D222" s="12" t="n"/>
      <c r="E222" s="12" t="n"/>
      <c r="F222" s="12" t="n"/>
      <c r="G222" s="4" t="inlineStr">
        <is>
          <t>Pending classification from source</t>
        </is>
      </c>
      <c r="H222" s="4" t="n">
        <v>1</v>
      </c>
      <c r="I222" s="4" t="inlineStr">
        <is>
          <t>Classification (ASD vs control / multi-class)</t>
        </is>
      </c>
      <c r="J222" s="4" t="inlineStr">
        <is>
          <t>Modelos XGB/RF/SVM/DT para severidad; se selecciona XGBoost como principal y se marca GMV + pruebas físicas.</t>
        </is>
      </c>
      <c r="K222" s="4" t="str"/>
      <c r="L222" s="4" t="inlineStr">
        <is>
          <t>https://doi.org/10.1016/j.ctcp.2023.101825</t>
        </is>
      </c>
      <c r="M222" s="4" t="n"/>
      <c r="N222" s="12" t="n"/>
      <c r="O222" s="41" t="n"/>
      <c r="P222" s="4" t="inlineStr">
        <is>
          <t>Confirmed only when AI was actually evaluated/used within the stated workflow or intervention; intended use alone = Proposed only</t>
        </is>
      </c>
      <c r="Q222" s="4">
        <f>IF(COUNTIFS('ESTUDIOS'!$A$2:$A$455,$A222,'ESTUDIOS'!$I$2:$I$455,"")&gt;0,"",INDEX('ESTUDIOS'!$I$2:$I$455,MATCH($A222,'ESTUDIOS'!$A$2:$A$455,0)))</f>
        <v/>
      </c>
    </row>
    <row r="223" ht="47" customHeight="1">
      <c r="A223" s="4" t="inlineStr">
        <is>
          <t>240</t>
        </is>
      </c>
      <c r="B223" s="4" t="inlineStr">
        <is>
          <t>Historical</t>
        </is>
      </c>
      <c r="C223" s="4" t="inlineStr">
        <is>
          <t>Diagnosis of Autism Disorder Based on Deep Network Trained by Augmented EEG Signals</t>
        </is>
      </c>
      <c r="D223" s="12" t="n"/>
      <c r="E223" s="12" t="n"/>
      <c r="F223" s="12" t="n"/>
      <c r="G223" s="4" t="inlineStr">
        <is>
          <t>Pending classification from source</t>
        </is>
      </c>
      <c r="H223" s="4" t="n">
        <v>1</v>
      </c>
      <c r="I223" s="4" t="inlineStr">
        <is>
          <t>Classification (ASD vs control / multi-class)</t>
        </is>
      </c>
      <c r="J223" s="4" t="inlineStr">
        <is>
          <t>Se comparan varios modelos; se eligió el principal/mejor reportado</t>
        </is>
      </c>
      <c r="K223" s="4" t="str"/>
      <c r="L223" s="4" t="inlineStr">
        <is>
          <t>https://doi.org/10.1142/s0129065722500460</t>
        </is>
      </c>
      <c r="M223" s="4" t="n"/>
      <c r="N223" s="12" t="n"/>
      <c r="O223" s="41" t="n"/>
      <c r="P223" s="4" t="inlineStr">
        <is>
          <t>Confirmed only when AI was actually evaluated/used within the stated workflow or intervention; intended use alone = Proposed only</t>
        </is>
      </c>
      <c r="Q223" s="4">
        <f>IF(COUNTIFS('ESTUDIOS'!$A$2:$A$455,$A223,'ESTUDIOS'!$I$2:$I$455,"")&gt;0,"",INDEX('ESTUDIOS'!$I$2:$I$455,MATCH($A223,'ESTUDIOS'!$A$2:$A$455,0)))</f>
        <v/>
      </c>
    </row>
    <row r="224" ht="47" customHeight="1">
      <c r="A224" s="4" t="inlineStr">
        <is>
          <t>241</t>
        </is>
      </c>
      <c r="B224" s="4" t="inlineStr">
        <is>
          <t>Historical</t>
        </is>
      </c>
      <c r="C224" s="4" t="inlineStr">
        <is>
          <t>Differences in atypical resting-state effective connectivity distinguish autism from schizophrenia</t>
        </is>
      </c>
      <c r="D224" s="12" t="n"/>
      <c r="E224" s="12" t="n"/>
      <c r="F224" s="12" t="n"/>
      <c r="G224" s="4" t="inlineStr">
        <is>
          <t>Pending classification from source</t>
        </is>
      </c>
      <c r="H224" s="4" t="n">
        <v>1</v>
      </c>
      <c r="I224" s="4" t="inlineStr">
        <is>
          <t>Classification (ASD vs control / multi-class)</t>
        </is>
      </c>
      <c r="J224" s="4" t="str"/>
      <c r="K224" s="4" t="str"/>
      <c r="L224" s="4" t="inlineStr">
        <is>
          <t>https://doi.org/10.1016/j.nicl.2018.01.014</t>
        </is>
      </c>
      <c r="M224" s="4" t="n"/>
      <c r="N224" s="12" t="n"/>
      <c r="O224" s="41" t="n"/>
      <c r="P224" s="4" t="inlineStr">
        <is>
          <t>Confirmed only when AI was actually evaluated/used within the stated workflow or intervention; intended use alone = Proposed only</t>
        </is>
      </c>
      <c r="Q224" s="4">
        <f>IF(COUNTIFS('ESTUDIOS'!$A$2:$A$455,$A224,'ESTUDIOS'!$I$2:$I$455,"")&gt;0,"",INDEX('ESTUDIOS'!$I$2:$I$455,MATCH($A224,'ESTUDIOS'!$A$2:$A$455,0)))</f>
        <v/>
      </c>
    </row>
    <row r="225" ht="60" customHeight="1">
      <c r="A225" s="4" t="inlineStr">
        <is>
          <t>242</t>
        </is>
      </c>
      <c r="B225" s="4" t="inlineStr">
        <is>
          <t>Historical</t>
        </is>
      </c>
      <c r="C225" s="4" t="inlineStr">
        <is>
          <t>Eigenvector Centrality Characterization on fMRI Data: Gender and Node Differences in Normal and ASD Subjects: Author name</t>
        </is>
      </c>
      <c r="D225" s="12" t="n"/>
      <c r="E225" s="12" t="n"/>
      <c r="F225" s="12" t="n"/>
      <c r="G225" s="4" t="inlineStr">
        <is>
          <t>Pending classification from source</t>
        </is>
      </c>
      <c r="H225" s="4" t="n">
        <v>0</v>
      </c>
      <c r="I225" s="4" t="inlineStr">
        <is>
          <t>Classification (binary/multi-class; incl. ASD vs control)/ multi-class)</t>
        </is>
      </c>
      <c r="J225" s="4" t="str"/>
      <c r="K225" s="4" t="str"/>
      <c r="L225" s="4" t="inlineStr">
        <is>
          <t>https://doi.org/10.1007/s10803-023-05922-x</t>
        </is>
      </c>
      <c r="M225" s="4" t="n"/>
      <c r="N225" s="12" t="n"/>
      <c r="O225" s="41" t="n"/>
      <c r="P225" s="4" t="inlineStr">
        <is>
          <t>Confirmed only when AI was actually evaluated/used within the stated workflow or intervention; intended use alone = Proposed only</t>
        </is>
      </c>
      <c r="Q225" s="4">
        <f>IF(COUNTIFS('ESTUDIOS'!$A$2:$A$455,$A225,'ESTUDIOS'!$I$2:$I$455,"")&gt;0,"",INDEX('ESTUDIOS'!$I$2:$I$455,MATCH($A225,'ESTUDIOS'!$A$2:$A$455,0)))</f>
        <v/>
      </c>
    </row>
    <row r="226" ht="60" customHeight="1">
      <c r="A226" s="4" t="inlineStr">
        <is>
          <t>243</t>
        </is>
      </c>
      <c r="B226" s="4" t="inlineStr">
        <is>
          <t>Historical</t>
        </is>
      </c>
      <c r="C226" s="4" t="inlineStr">
        <is>
          <t>Enhancing Multi-view ASD Diagnosis Using Structural MRI and Pretrained CNN</t>
        </is>
      </c>
      <c r="D226" s="12" t="n"/>
      <c r="E226" s="12" t="n"/>
      <c r="F226" s="12" t="n"/>
      <c r="G226" s="4" t="inlineStr">
        <is>
          <t>Pending classification from source</t>
        </is>
      </c>
      <c r="H226" s="4" t="n">
        <v>1</v>
      </c>
      <c r="I226" s="4" t="inlineStr">
        <is>
          <t>Classification (binary/multi-class; incl. ASD vs control)/ multi-class)</t>
        </is>
      </c>
      <c r="J226" s="4" t="str"/>
      <c r="K226" s="4" t="str"/>
      <c r="L226" s="4" t="inlineStr">
        <is>
          <t>https://doi.org/10.1007/978-3-031-83845-3_26</t>
        </is>
      </c>
      <c r="M226" s="4" t="n"/>
      <c r="N226" s="12" t="n"/>
      <c r="O226" s="41" t="n"/>
      <c r="P226" s="4" t="inlineStr">
        <is>
          <t>Confirmed only when AI was actually evaluated/used within the stated workflow or intervention; intended use alone = Proposed only</t>
        </is>
      </c>
      <c r="Q226" s="4">
        <f>IF(COUNTIFS('ESTUDIOS'!$A$2:$A$455,$A226,'ESTUDIOS'!$I$2:$I$455,"")&gt;0,"",INDEX('ESTUDIOS'!$I$2:$I$455,MATCH($A226,'ESTUDIOS'!$A$2:$A$455,0)))</f>
        <v/>
      </c>
    </row>
    <row r="227" ht="47" customHeight="1">
      <c r="A227" s="4" t="inlineStr">
        <is>
          <t>245</t>
        </is>
      </c>
      <c r="B227" s="4" t="inlineStr">
        <is>
          <t>Historical</t>
        </is>
      </c>
      <c r="C227" s="4" t="inlineStr">
        <is>
          <t>Exploring Sparse Gaussian Processes for Bayesian Optimization in Convolutional Neural Networks for Autism Classification</t>
        </is>
      </c>
      <c r="D227" s="12" t="n"/>
      <c r="E227" s="12" t="n"/>
      <c r="F227" s="12" t="n"/>
      <c r="G227" s="4" t="inlineStr">
        <is>
          <t>Pending classification from source</t>
        </is>
      </c>
      <c r="H227" s="4" t="n">
        <v>1</v>
      </c>
      <c r="I227" s="4" t="inlineStr">
        <is>
          <t>Image-based screening / classification</t>
        </is>
      </c>
      <c r="J227" s="4" t="inlineStr">
        <is>
          <t>Sin señal explícita Q3 en título/abstract.</t>
        </is>
      </c>
      <c r="K227" s="4" t="inlineStr">
        <is>
          <t>CNN/Bayesian optimization model for ASD screening using eye-tracking images.</t>
        </is>
      </c>
      <c r="L227" s="4" t="inlineStr">
        <is>
          <t>https://doi.org/10.1109/access.2024.3351168</t>
        </is>
      </c>
      <c r="M227" s="4" t="n"/>
      <c r="N227" s="12" t="n"/>
      <c r="O227" s="41" t="n"/>
      <c r="P227" s="4" t="inlineStr">
        <is>
          <t>Confirmed only when AI was actually evaluated/used within the stated workflow or intervention; intended use alone = Proposed only</t>
        </is>
      </c>
      <c r="Q227" s="4">
        <f>IF(COUNTIFS('ESTUDIOS'!$A$2:$A$455,$A227,'ESTUDIOS'!$I$2:$I$455,"")&gt;0,"",INDEX('ESTUDIOS'!$I$2:$I$455,MATCH($A227,'ESTUDIOS'!$A$2:$A$455,0)))</f>
        <v/>
      </c>
    </row>
    <row r="228" ht="47" customHeight="1">
      <c r="A228" s="4" t="inlineStr">
        <is>
          <t>246</t>
        </is>
      </c>
      <c r="B228" s="4" t="inlineStr">
        <is>
          <t>Historical</t>
        </is>
      </c>
      <c r="C228" s="4" t="inlineStr">
        <is>
          <t>Exploring tree-based machine learning methods to predict autism spectrum disorder</t>
        </is>
      </c>
      <c r="D228" s="12" t="n"/>
      <c r="E228" s="12" t="n"/>
      <c r="F228" s="12" t="n"/>
      <c r="G228" s="4" t="inlineStr">
        <is>
          <t>Pending classification from source</t>
        </is>
      </c>
      <c r="H228" s="4" t="n">
        <v>1</v>
      </c>
      <c r="I228" s="4" t="inlineStr">
        <is>
          <t>Prediction (time-to-event / prognosis)</t>
        </is>
      </c>
      <c r="J228" s="4" t="str"/>
      <c r="K228" s="4" t="str"/>
      <c r="L228" s="4" t="inlineStr">
        <is>
          <t>https://doi.org/10.1016/b978-0-12-822822-7.00009-0</t>
        </is>
      </c>
      <c r="M228" s="4" t="n"/>
      <c r="N228" s="12" t="n"/>
      <c r="O228" s="41" t="n"/>
      <c r="P228" s="4" t="inlineStr">
        <is>
          <t>Confirmed only when AI was actually evaluated/used within the stated workflow or intervention; intended use alone = Proposed only</t>
        </is>
      </c>
      <c r="Q228" s="4">
        <f>IF(COUNTIFS('ESTUDIOS'!$A$2:$A$455,$A228,'ESTUDIOS'!$I$2:$I$455,"")&gt;0,"",INDEX('ESTUDIOS'!$I$2:$I$455,MATCH($A228,'ESTUDIOS'!$A$2:$A$455,0)))</f>
        <v/>
      </c>
    </row>
    <row r="229" ht="47" customHeight="1">
      <c r="A229" s="4" t="inlineStr">
        <is>
          <t>247</t>
        </is>
      </c>
      <c r="B229" s="4" t="inlineStr">
        <is>
          <t>Historical</t>
        </is>
      </c>
      <c r="C229" s="4" t="inlineStr">
        <is>
          <t>Few-Shot Classification of Autism Spectrum Disorder using Site-Agnostic Meta-Learning and Brain MRI</t>
        </is>
      </c>
      <c r="D229" s="12" t="n"/>
      <c r="E229" s="12" t="n"/>
      <c r="F229" s="12" t="n"/>
      <c r="G229" s="4" t="inlineStr">
        <is>
          <t>Pending classification from source</t>
        </is>
      </c>
      <c r="H229" s="4" t="n">
        <v>1</v>
      </c>
      <c r="I229" s="4" t="inlineStr">
        <is>
          <t>MRI classification / diagnostic support</t>
        </is>
      </c>
      <c r="J229" s="4" t="str"/>
      <c r="K229" s="4" t="inlineStr">
        <is>
          <t>MRI ASD-vs-control classifier with stated clinical relevance for assisting neuroimaging tasks.</t>
        </is>
      </c>
      <c r="L229" s="4" t="inlineStr">
        <is>
          <t>https://doi.org/10.1109/embc40787.2023.10340852</t>
        </is>
      </c>
      <c r="M229" s="4" t="n"/>
      <c r="N229" s="12" t="n"/>
      <c r="O229" s="41" t="n"/>
      <c r="P229" s="4" t="inlineStr">
        <is>
          <t>Confirmed only when AI was actually evaluated/used within the stated workflow or intervention; intended use alone = Proposed only</t>
        </is>
      </c>
      <c r="Q229" s="4">
        <f>IF(COUNTIFS('ESTUDIOS'!$A$2:$A$455,$A229,'ESTUDIOS'!$I$2:$I$455,"")&gt;0,"",INDEX('ESTUDIOS'!$I$2:$I$455,MATCH($A229,'ESTUDIOS'!$A$2:$A$455,0)))</f>
        <v/>
      </c>
    </row>
    <row r="230" ht="60" customHeight="1">
      <c r="A230" s="4" t="inlineStr">
        <is>
          <t>248</t>
        </is>
      </c>
      <c r="B230" s="4" t="inlineStr">
        <is>
          <t>Historical</t>
        </is>
      </c>
      <c r="C230" s="4" t="inlineStr">
        <is>
          <t>Gaze Patterns in Children With Autism Spectrum Disorder to Emotional Faces: Scanpath and Similarity</t>
        </is>
      </c>
      <c r="D230" s="12" t="n"/>
      <c r="E230" s="12" t="n"/>
      <c r="F230" s="12" t="n"/>
      <c r="G230" s="4" t="inlineStr">
        <is>
          <t>Pending classification from source</t>
        </is>
      </c>
      <c r="H230" s="4" t="n">
        <v>1</v>
      </c>
      <c r="I230" s="4" t="inlineStr">
        <is>
          <t>Classification (binary/multi-class; incl. ASD vs control)/ multi-class)</t>
        </is>
      </c>
      <c r="J230" s="4" t="str"/>
      <c r="K230" s="4" t="str"/>
      <c r="L230" s="4" t="inlineStr">
        <is>
          <t>https://doi.org/10.1109/tnsre.2024.3361935</t>
        </is>
      </c>
      <c r="M230" s="4" t="n"/>
      <c r="N230" s="12" t="n"/>
      <c r="O230" s="41" t="n"/>
      <c r="P230" s="4" t="inlineStr">
        <is>
          <t>Confirmed only when AI was actually evaluated/used within the stated workflow or intervention; intended use alone = Proposed only</t>
        </is>
      </c>
      <c r="Q230" s="4">
        <f>IF(COUNTIFS('ESTUDIOS'!$A$2:$A$455,$A230,'ESTUDIOS'!$I$2:$I$455,"")&gt;0,"",INDEX('ESTUDIOS'!$I$2:$I$455,MATCH($A230,'ESTUDIOS'!$A$2:$A$455,0)))</f>
        <v/>
      </c>
    </row>
    <row r="231" ht="47" customHeight="1">
      <c r="A231" s="4" t="inlineStr">
        <is>
          <t>249</t>
        </is>
      </c>
      <c r="B231" s="4" t="inlineStr">
        <is>
          <t>Historical</t>
        </is>
      </c>
      <c r="C231" s="4" t="inlineStr">
        <is>
          <t>Gray Matter Alterations in Young Children with Autism Spectrum Disorders: Comparing Morphometry at the Voxel and Regional Level</t>
        </is>
      </c>
      <c r="D231" s="12" t="n"/>
      <c r="E231" s="12" t="n"/>
      <c r="F231" s="12" t="n"/>
      <c r="G231" s="4" t="inlineStr">
        <is>
          <t>Pending classification from source</t>
        </is>
      </c>
      <c r="H231" s="4" t="n">
        <v>1</v>
      </c>
      <c r="I231" s="4" t="inlineStr">
        <is>
          <t>Classification (ASD vs control / multi-class)</t>
        </is>
      </c>
      <c r="J231" s="4" t="inlineStr">
        <is>
          <t>Algoritmo principal no explícito o fuera del codebook; Confirmar algoritmo principal en full-text</t>
        </is>
      </c>
      <c r="K231" s="4" t="str"/>
      <c r="L231" s="4" t="inlineStr">
        <is>
          <t>https://doi.org/10.1111/jon.12280</t>
        </is>
      </c>
      <c r="M231" s="4" t="n"/>
      <c r="N231" s="12" t="n"/>
      <c r="O231" s="41" t="n"/>
      <c r="P231" s="4" t="inlineStr">
        <is>
          <t>Confirmed only when AI was actually evaluated/used within the stated workflow or intervention; intended use alone = Proposed only</t>
        </is>
      </c>
      <c r="Q231" s="4">
        <f>IF(COUNTIFS('ESTUDIOS'!$A$2:$A$455,$A231,'ESTUDIOS'!$I$2:$I$455,"")&gt;0,"",INDEX('ESTUDIOS'!$I$2:$I$455,MATCH($A231,'ESTUDIOS'!$A$2:$A$455,0)))</f>
        <v/>
      </c>
    </row>
    <row r="232" ht="47" customHeight="1">
      <c r="A232" s="4" t="inlineStr">
        <is>
          <t>250</t>
        </is>
      </c>
      <c r="B232" s="4" t="inlineStr">
        <is>
          <t>Historical</t>
        </is>
      </c>
      <c r="C232" s="4" t="inlineStr">
        <is>
          <t>Identification of Autism spectrum disorder based on a novel feature selection method and Variational Autoencoder</t>
        </is>
      </c>
      <c r="D232" s="12" t="n"/>
      <c r="E232" s="12" t="n"/>
      <c r="F232" s="12" t="n"/>
      <c r="G232" s="4" t="inlineStr">
        <is>
          <t>Pending classification from source</t>
        </is>
      </c>
      <c r="H232" s="4" t="n">
        <v>1</v>
      </c>
      <c r="I232" s="4" t="inlineStr">
        <is>
          <t>Classification (ASD vs control / multi-class)</t>
        </is>
      </c>
      <c r="J232" s="4" t="str"/>
      <c r="K232" s="4" t="str"/>
      <c r="L232" s="4" t="inlineStr">
        <is>
          <t>https://doi.org/10.1016/j.compbiomed.2022.105854</t>
        </is>
      </c>
      <c r="M232" s="4" t="n"/>
      <c r="N232" s="12" t="n"/>
      <c r="O232" s="41" t="n"/>
      <c r="P232" s="4" t="inlineStr">
        <is>
          <t>Confirmed only when AI was actually evaluated/used within the stated workflow or intervention; intended use alone = Proposed only</t>
        </is>
      </c>
      <c r="Q232" s="4">
        <f>IF(COUNTIFS('ESTUDIOS'!$A$2:$A$455,$A232,'ESTUDIOS'!$I$2:$I$455,"")&gt;0,"",INDEX('ESTUDIOS'!$I$2:$I$455,MATCH($A232,'ESTUDIOS'!$A$2:$A$455,0)))</f>
        <v/>
      </c>
    </row>
    <row r="233" ht="47" customHeight="1">
      <c r="A233" s="4" t="inlineStr">
        <is>
          <t>251</t>
        </is>
      </c>
      <c r="B233" s="4" t="inlineStr">
        <is>
          <t>Historical</t>
        </is>
      </c>
      <c r="C233" s="4" t="inlineStr">
        <is>
          <t>Integrative analysis of long noncoding RNAs dysregulation and synapse-associated ceRNA regulatory axes in autism</t>
        </is>
      </c>
      <c r="D233" s="12" t="n"/>
      <c r="E233" s="12" t="n"/>
      <c r="F233" s="12" t="n"/>
      <c r="G233" s="4" t="inlineStr">
        <is>
          <t>Pending classification from source</t>
        </is>
      </c>
      <c r="H233" s="4" t="n">
        <v>1</v>
      </c>
      <c r="I233" s="4" t="inlineStr">
        <is>
          <t>Classification (ASD vs control / multi-class)</t>
        </is>
      </c>
      <c r="J233" s="4" t="inlineStr">
        <is>
          <t>Análisis integrativo de lncRNA/ceRNA sin algoritmo de IA clínico principal claramente reportado.</t>
        </is>
      </c>
      <c r="K233" s="4" t="str"/>
      <c r="L233" s="4" t="inlineStr">
        <is>
          <t>https://doi.org/10.1038/s41398-023-02662-5</t>
        </is>
      </c>
      <c r="M233" s="4" t="n"/>
      <c r="N233" s="12" t="n"/>
      <c r="O233" s="41" t="n"/>
      <c r="P233" s="4" t="inlineStr">
        <is>
          <t>Confirmed only when AI was actually evaluated/used within the stated workflow or intervention; intended use alone = Proposed only</t>
        </is>
      </c>
      <c r="Q233" s="4">
        <f>IF(COUNTIFS('ESTUDIOS'!$A$2:$A$455,$A233,'ESTUDIOS'!$I$2:$I$455,"")&gt;0,"",INDEX('ESTUDIOS'!$I$2:$I$455,MATCH($A233,'ESTUDIOS'!$A$2:$A$455,0)))</f>
        <v/>
      </c>
    </row>
    <row r="234" ht="60" customHeight="1">
      <c r="A234" s="4" t="inlineStr">
        <is>
          <t>253</t>
        </is>
      </c>
      <c r="B234" s="4" t="inlineStr">
        <is>
          <t>Historical</t>
        </is>
      </c>
      <c r="C234" s="4" t="inlineStr">
        <is>
          <t>Interpersonal Motor Coordination in Children with Autism and the Establishment of Machine Learning Models to Objectively Classify Children with Autism and Typical Development</t>
        </is>
      </c>
      <c r="D234" s="12" t="n"/>
      <c r="E234" s="12" t="n"/>
      <c r="F234" s="12" t="n"/>
      <c r="G234" s="4" t="inlineStr">
        <is>
          <t>Pending classification from source</t>
        </is>
      </c>
      <c r="H234" s="4" t="n">
        <v>1</v>
      </c>
      <c r="I234" s="4" t="inlineStr">
        <is>
          <t>Classification (ASD vs control / multi-class)</t>
        </is>
      </c>
      <c r="J234" s="4" t="inlineStr">
        <is>
          <t>Algoritmo principal no explícito o fuera del codebook; Confirmar algoritmo principal en full-text</t>
        </is>
      </c>
      <c r="K234" s="4" t="str"/>
      <c r="L234" s="4" t="inlineStr">
        <is>
          <t>https://doi.org/10.1016/j.irbm.2024.100838</t>
        </is>
      </c>
      <c r="M234" s="4" t="n"/>
      <c r="N234" s="12" t="n"/>
      <c r="O234" s="41" t="n"/>
      <c r="P234" s="4" t="inlineStr">
        <is>
          <t>Confirmed only when AI was actually evaluated/used within the stated workflow or intervention; intended use alone = Proposed only</t>
        </is>
      </c>
      <c r="Q234" s="4">
        <f>IF(COUNTIFS('ESTUDIOS'!$A$2:$A$455,$A234,'ESTUDIOS'!$I$2:$I$455,"")&gt;0,"",INDEX('ESTUDIOS'!$I$2:$I$455,MATCH($A234,'ESTUDIOS'!$A$2:$A$455,0)))</f>
        <v/>
      </c>
    </row>
    <row r="235" ht="47" customHeight="1">
      <c r="A235" s="4" t="inlineStr">
        <is>
          <t>254</t>
        </is>
      </c>
      <c r="B235" s="4" t="inlineStr">
        <is>
          <t>Historical</t>
        </is>
      </c>
      <c r="C235" s="4" t="inlineStr">
        <is>
          <t>Low-Rank Representation for Multi-center Autism Spectrum Disorder Identification.</t>
        </is>
      </c>
      <c r="D235" s="12" t="n"/>
      <c r="E235" s="12" t="n"/>
      <c r="F235" s="12" t="n"/>
      <c r="G235" s="4" t="inlineStr">
        <is>
          <t>Pending classification from source</t>
        </is>
      </c>
      <c r="H235" s="4" t="n">
        <v>1</v>
      </c>
      <c r="I235" s="4" t="inlineStr">
        <is>
          <t>Classification (ASD vs control / multi-class)</t>
        </is>
      </c>
      <c r="J235" s="4" t="inlineStr">
        <is>
          <t>Algoritmo principal no explícito o fuera del codebook; Confirmar algoritmo principal en full-text; Se comparan varios modelos; se eligió el principal/mejor reportado</t>
        </is>
      </c>
      <c r="K235" s="4" t="str"/>
      <c r="L235" s="4" t="inlineStr">
        <is>
          <t>https://doi.org/10.1007/978-3-030-00928-1_73</t>
        </is>
      </c>
      <c r="M235" s="4" t="n"/>
      <c r="N235" s="12" t="n"/>
      <c r="O235" s="41" t="n"/>
      <c r="P235" s="4" t="inlineStr">
        <is>
          <t>Confirmed only when AI was actually evaluated/used within the stated workflow or intervention; intended use alone = Proposed only</t>
        </is>
      </c>
      <c r="Q235" s="4">
        <f>IF(COUNTIFS('ESTUDIOS'!$A$2:$A$455,$A235,'ESTUDIOS'!$I$2:$I$455,"")&gt;0,"",INDEX('ESTUDIOS'!$I$2:$I$455,MATCH($A235,'ESTUDIOS'!$A$2:$A$455,0)))</f>
        <v/>
      </c>
    </row>
    <row r="236" ht="47" customHeight="1">
      <c r="A236" s="4" t="inlineStr">
        <is>
          <t>255</t>
        </is>
      </c>
      <c r="B236" s="4" t="inlineStr">
        <is>
          <t>Historical</t>
        </is>
      </c>
      <c r="C236" s="4" t="inlineStr">
        <is>
          <t>LSTA-CNN: A Lightweight Spatiotemporal Attention-Based Convolutional Neural Network for ASD Diagnosis Using EEG</t>
        </is>
      </c>
      <c r="D236" s="12" t="n"/>
      <c r="E236" s="12" t="n"/>
      <c r="F236" s="12" t="n"/>
      <c r="G236" s="4" t="inlineStr">
        <is>
          <t>Pending classification from source</t>
        </is>
      </c>
      <c r="H236" s="4" t="n">
        <v>1</v>
      </c>
      <c r="I236" s="4" t="inlineStr">
        <is>
          <t>Classification (ASD vs control / multi-class)</t>
        </is>
      </c>
      <c r="J236" s="4" t="inlineStr">
        <is>
          <t>Se comparan varios modelos; se eligió el principal/mejor reportado</t>
        </is>
      </c>
      <c r="K236" s="4" t="str"/>
      <c r="L236" s="4" t="inlineStr">
        <is>
          <t>https://doi.org/10.1109/tnsre.2025.3580593</t>
        </is>
      </c>
      <c r="M236" s="4" t="n"/>
      <c r="N236" s="12" t="n"/>
      <c r="O236" s="41" t="n"/>
      <c r="P236" s="4" t="inlineStr">
        <is>
          <t>Confirmed only when AI was actually evaluated/used within the stated workflow or intervention; intended use alone = Proposed only</t>
        </is>
      </c>
      <c r="Q236" s="4">
        <f>IF(COUNTIFS('ESTUDIOS'!$A$2:$A$455,$A236,'ESTUDIOS'!$I$2:$I$455,"")&gt;0,"",INDEX('ESTUDIOS'!$I$2:$I$455,MATCH($A236,'ESTUDIOS'!$A$2:$A$455,0)))</f>
        <v/>
      </c>
    </row>
    <row r="237" ht="47" customHeight="1">
      <c r="A237" s="4" t="inlineStr">
        <is>
          <t>256</t>
        </is>
      </c>
      <c r="B237" s="4" t="inlineStr">
        <is>
          <t>Historical</t>
        </is>
      </c>
      <c r="C237" s="4" t="inlineStr">
        <is>
          <t>Machine learning methods for autism spectrum disorder classification</t>
        </is>
      </c>
      <c r="D237" s="12" t="n"/>
      <c r="E237" s="12" t="n"/>
      <c r="F237" s="12" t="n"/>
      <c r="G237" s="4" t="inlineStr">
        <is>
          <t>Pending classification from source</t>
        </is>
      </c>
      <c r="H237" s="4" t="n">
        <v>1</v>
      </c>
      <c r="I237" s="4" t="inlineStr">
        <is>
          <t>Graph-based classification / diagnostic support</t>
        </is>
      </c>
      <c r="J237" s="4" t="inlineStr">
        <is>
          <t>Sin señal explícita Q3 en título/abstract.</t>
        </is>
      </c>
      <c r="K237" s="4" t="inlineStr">
        <is>
          <t>Graph-based ML models are presented as predictive tools for autism diagnosis.</t>
        </is>
      </c>
      <c r="L237" s="4" t="inlineStr">
        <is>
          <t>https://doi.org/10.1016/b978-0-12-822822-7.00008-9</t>
        </is>
      </c>
      <c r="M237" s="4" t="n"/>
      <c r="N237" s="12" t="n"/>
      <c r="O237" s="41" t="n"/>
      <c r="P237" s="4" t="inlineStr">
        <is>
          <t>Confirmed only when AI was actually evaluated/used within the stated workflow or intervention; intended use alone = Proposed only</t>
        </is>
      </c>
      <c r="Q237" s="4">
        <f>IF(COUNTIFS('ESTUDIOS'!$A$2:$A$455,$A237,'ESTUDIOS'!$I$2:$I$455,"")&gt;0,"",INDEX('ESTUDIOS'!$I$2:$I$455,MATCH($A237,'ESTUDIOS'!$A$2:$A$455,0)))</f>
        <v/>
      </c>
    </row>
    <row r="238" ht="47" customHeight="1">
      <c r="A238" s="4" t="inlineStr">
        <is>
          <t>258</t>
        </is>
      </c>
      <c r="B238" s="4" t="inlineStr">
        <is>
          <t>Historical</t>
        </is>
      </c>
      <c r="C238" s="4" t="inlineStr">
        <is>
          <t>MDNCT: a multi-domain neurocognitive transformer architecture approach for early prediction of autism spectrum disorders</t>
        </is>
      </c>
      <c r="D238" s="12" t="n"/>
      <c r="E238" s="12" t="n"/>
      <c r="F238" s="12" t="n"/>
      <c r="G238" s="4" t="inlineStr">
        <is>
          <t>Pending classification from source</t>
        </is>
      </c>
      <c r="H238" s="4" t="n">
        <v>1</v>
      </c>
      <c r="I238" s="4" t="inlineStr">
        <is>
          <t>Classification (ASD vs control / multi-class)</t>
        </is>
      </c>
      <c r="J238" s="4" t="inlineStr">
        <is>
          <t>Arquitectura transformer multi-domain para predicción temprana; fuente de datos específica no es explícita en el abstract.</t>
        </is>
      </c>
      <c r="K238" s="4" t="str"/>
      <c r="L238" s="4" t="inlineStr">
        <is>
          <t>https://doi.org/10.1038/s41598-025-09862-7</t>
        </is>
      </c>
      <c r="M238" s="4" t="n"/>
      <c r="N238" s="12" t="n"/>
      <c r="O238" s="41" t="n"/>
      <c r="P238" s="4" t="inlineStr">
        <is>
          <t>Confirmed only when AI was actually evaluated/used within the stated workflow or intervention; intended use alone = Proposed only</t>
        </is>
      </c>
      <c r="Q238" s="4">
        <f>IF(COUNTIFS('ESTUDIOS'!$A$2:$A$455,$A238,'ESTUDIOS'!$I$2:$I$455,"")&gt;0,"",INDEX('ESTUDIOS'!$I$2:$I$455,MATCH($A238,'ESTUDIOS'!$A$2:$A$455,0)))</f>
        <v/>
      </c>
    </row>
    <row r="239" ht="60" customHeight="1">
      <c r="A239" s="4" t="inlineStr">
        <is>
          <t>259</t>
        </is>
      </c>
      <c r="B239" s="4" t="inlineStr">
        <is>
          <t>Historical</t>
        </is>
      </c>
      <c r="C239" s="4" t="inlineStr">
        <is>
          <t>MHATC: Autism Spectrum Disorder Identification Utilizing Multi-Head Attention Encoder Along with Temporal Consolidation Modules</t>
        </is>
      </c>
      <c r="D239" s="12" t="n"/>
      <c r="E239" s="12" t="n"/>
      <c r="F239" s="12" t="n"/>
      <c r="G239" s="4" t="inlineStr">
        <is>
          <t>Pending classification from source</t>
        </is>
      </c>
      <c r="H239" s="4" t="n">
        <v>1</v>
      </c>
      <c r="I239" s="4" t="inlineStr">
        <is>
          <t>Classification (binary/multi-class; incl. ASD vs control)/ multi-class)</t>
        </is>
      </c>
      <c r="J239" s="4" t="str"/>
      <c r="K239" s="4" t="str"/>
      <c r="L239" s="4" t="inlineStr">
        <is>
          <t>https://doi.org/10.1109/embc48229.2022.9871130</t>
        </is>
      </c>
      <c r="M239" s="4" t="n"/>
      <c r="N239" s="12" t="n"/>
      <c r="O239" s="41" t="n"/>
      <c r="P239" s="4" t="inlineStr">
        <is>
          <t>Confirmed only when AI was actually evaluated/used within the stated workflow or intervention; intended use alone = Proposed only</t>
        </is>
      </c>
      <c r="Q239" s="4">
        <f>IF(COUNTIFS('ESTUDIOS'!$A$2:$A$455,$A239,'ESTUDIOS'!$I$2:$I$455,"")&gt;0,"",INDEX('ESTUDIOS'!$I$2:$I$455,MATCH($A239,'ESTUDIOS'!$A$2:$A$455,0)))</f>
        <v/>
      </c>
    </row>
    <row r="240" ht="47" customHeight="1">
      <c r="A240" s="4" t="inlineStr">
        <is>
          <t>260</t>
        </is>
      </c>
      <c r="B240" s="4" t="inlineStr">
        <is>
          <t>Historical</t>
        </is>
      </c>
      <c r="C240" s="4" t="inlineStr">
        <is>
          <t>Multi-atlas Representations Based on\&amp;#xa0;Graph Convolutional Networks for\&amp;#xa0;Autism Spectrum Disorder Diagnosis</t>
        </is>
      </c>
      <c r="D240" s="12" t="n"/>
      <c r="E240" s="12" t="n"/>
      <c r="F240" s="12" t="n"/>
      <c r="G240" s="4" t="inlineStr">
        <is>
          <t>Pending classification from source</t>
        </is>
      </c>
      <c r="H240" s="4" t="n">
        <v>1</v>
      </c>
      <c r="I240" s="4" t="inlineStr">
        <is>
          <t>Classification (ASD vs control / multi-class)</t>
        </is>
      </c>
      <c r="J240" s="4" t="inlineStr">
        <is>
          <t>Algoritmo principal no explícito o fuera del codebook; Confirmar algoritmo principal en full-text; Se comparan varios modelos; se eligió el principal/mejor reportado</t>
        </is>
      </c>
      <c r="K240" s="4" t="str"/>
      <c r="L240" s="4" t="inlineStr">
        <is>
          <t>https://doi.org/10.1007/978-981-99-8558-6_38</t>
        </is>
      </c>
      <c r="M240" s="4" t="n"/>
      <c r="N240" s="12" t="n"/>
      <c r="O240" s="41" t="n"/>
      <c r="P240" s="4" t="inlineStr">
        <is>
          <t>Confirmed only when AI was actually evaluated/used within the stated workflow or intervention; intended use alone = Proposed only</t>
        </is>
      </c>
      <c r="Q240" s="4">
        <f>IF(COUNTIFS('ESTUDIOS'!$A$2:$A$455,$A240,'ESTUDIOS'!$I$2:$I$455,"")&gt;0,"",INDEX('ESTUDIOS'!$I$2:$I$455,MATCH($A240,'ESTUDIOS'!$A$2:$A$455,0)))</f>
        <v/>
      </c>
    </row>
    <row r="241" ht="60" customHeight="1">
      <c r="A241" s="4" t="inlineStr">
        <is>
          <t>261</t>
        </is>
      </c>
      <c r="B241" s="4" t="inlineStr">
        <is>
          <t>Historical</t>
        </is>
      </c>
      <c r="C241" s="4" t="inlineStr">
        <is>
          <t>Multiple Classification of Brain MRI Autism Spectrum Disorder by Age and Gender Using Deep Learning</t>
        </is>
      </c>
      <c r="D241" s="12" t="n"/>
      <c r="E241" s="12" t="n"/>
      <c r="F241" s="12" t="n"/>
      <c r="G241" s="4" t="inlineStr">
        <is>
          <t>Pending classification from source</t>
        </is>
      </c>
      <c r="H241" s="4" t="n">
        <v>1</v>
      </c>
      <c r="I241" s="4" t="inlineStr">
        <is>
          <t>Classification (binary/multi-class; incl. ASD vs control)/ multi-class)</t>
        </is>
      </c>
      <c r="J241" s="4" t="str"/>
      <c r="K241" s="4" t="str"/>
      <c r="L241" s="4" t="inlineStr">
        <is>
          <t>https://doi.org/10.1007/s10916-023-02032-0</t>
        </is>
      </c>
      <c r="M241" s="4" t="n"/>
      <c r="N241" s="12" t="n"/>
      <c r="O241" s="41" t="n"/>
      <c r="P241" s="4" t="inlineStr">
        <is>
          <t>Confirmed only when AI was actually evaluated/used within the stated workflow or intervention; intended use alone = Proposed only</t>
        </is>
      </c>
      <c r="Q241" s="4">
        <f>IF(COUNTIFS('ESTUDIOS'!$A$2:$A$455,$A241,'ESTUDIOS'!$I$2:$I$455,"")&gt;0,"",INDEX('ESTUDIOS'!$I$2:$I$455,MATCH($A241,'ESTUDIOS'!$A$2:$A$455,0)))</f>
        <v/>
      </c>
    </row>
    <row r="242" ht="60" customHeight="1">
      <c r="A242" s="4" t="inlineStr">
        <is>
          <t>262</t>
        </is>
      </c>
      <c r="B242" s="4" t="inlineStr">
        <is>
          <t>Historical</t>
        </is>
      </c>
      <c r="C242" s="4" t="inlineStr">
        <is>
          <t>MVS-GCN: A prior brain structure learning-guided multi-view graph convolution network for autism spectrum disorder diagnosis</t>
        </is>
      </c>
      <c r="D242" s="12" t="n"/>
      <c r="E242" s="12" t="n"/>
      <c r="F242" s="12" t="n"/>
      <c r="G242" s="4" t="inlineStr">
        <is>
          <t>Pending classification from source</t>
        </is>
      </c>
      <c r="H242" s="4" t="n">
        <v>1</v>
      </c>
      <c r="I242" s="4" t="inlineStr">
        <is>
          <t>Classification (binary/multi-class; incl. ASD vs control)/ multi-class)</t>
        </is>
      </c>
      <c r="J242" s="4" t="str"/>
      <c r="K242" s="4" t="str"/>
      <c r="L242" s="4" t="inlineStr">
        <is>
          <t>https://doi.org/10.1016/j.compbiomed.2022.105239</t>
        </is>
      </c>
      <c r="M242" s="4" t="n"/>
      <c r="N242" s="12" t="n"/>
      <c r="O242" s="41" t="n"/>
      <c r="P242" s="4" t="inlineStr">
        <is>
          <t>Confirmed only when AI was actually evaluated/used within the stated workflow or intervention; intended use alone = Proposed only</t>
        </is>
      </c>
      <c r="Q242" s="4">
        <f>IF(COUNTIFS('ESTUDIOS'!$A$2:$A$455,$A242,'ESTUDIOS'!$I$2:$I$455,"")&gt;0,"",INDEX('ESTUDIOS'!$I$2:$I$455,MATCH($A242,'ESTUDIOS'!$A$2:$A$455,0)))</f>
        <v/>
      </c>
    </row>
    <row r="243" ht="73" customHeight="1">
      <c r="A243" s="4" t="inlineStr">
        <is>
          <t>263</t>
        </is>
      </c>
      <c r="B243" s="4" t="inlineStr">
        <is>
          <t>Historical</t>
        </is>
      </c>
      <c r="C243" s="4" t="inlineStr">
        <is>
          <t>Neurodevelopmental model of schizophrenia revisited: similarity in individual deviation and idiosyncrasy from the normative model of whole-brain white matter tracts and shared brain-cognition covariation with ADHD and ASD</t>
        </is>
      </c>
      <c r="D243" s="12" t="n"/>
      <c r="E243" s="12" t="n"/>
      <c r="F243" s="12" t="n"/>
      <c r="G243" s="4" t="inlineStr">
        <is>
          <t>Pending classification from source</t>
        </is>
      </c>
      <c r="H243" s="4" t="n">
        <v>1</v>
      </c>
      <c r="I243" s="4" t="n"/>
      <c r="J243" s="4" t="str"/>
      <c r="K243" s="4" t="str"/>
      <c r="L243" s="4" t="inlineStr">
        <is>
          <t>https://doi.org/10.1038/s41380-022-01636-1</t>
        </is>
      </c>
      <c r="M243" s="4" t="n"/>
      <c r="N243" s="12" t="n"/>
      <c r="O243" s="41" t="n"/>
      <c r="P243" s="4" t="inlineStr">
        <is>
          <t>Confirmed only when AI was actually evaluated/used within the stated workflow or intervention; intended use alone = Proposed only</t>
        </is>
      </c>
      <c r="Q243" s="4">
        <f>IF(COUNTIFS('ESTUDIOS'!$A$2:$A$455,$A243,'ESTUDIOS'!$I$2:$I$455,"")&gt;0,"",INDEX('ESTUDIOS'!$I$2:$I$455,MATCH($A243,'ESTUDIOS'!$A$2:$A$455,0)))</f>
        <v/>
      </c>
    </row>
    <row r="244" ht="138" customHeight="1">
      <c r="A244" s="4" t="inlineStr">
        <is>
          <t>264</t>
        </is>
      </c>
      <c r="B244" s="4" t="inlineStr">
        <is>
          <t>Historical</t>
        </is>
      </c>
      <c r="C244" s="4" t="inlineStr">
        <is>
          <t>Non-Oscillatory Connectivity Approach for Classification of Autism Spectrum Disorder Subtypes Using Resting-State fMRI</t>
        </is>
      </c>
      <c r="D244" s="12" t="n"/>
      <c r="E244" s="12" t="n"/>
      <c r="F244" s="12" t="n"/>
      <c r="G244" s="4" t="inlineStr">
        <is>
          <t>Pending classification from source</t>
        </is>
      </c>
      <c r="H244" s="4" t="n">
        <v>1</v>
      </c>
      <c r="I244" s="4" t="inlineStr">
        <is>
          <t>Classification (binary/multi-class; incl. ASD vs control)/ multi-class)</t>
        </is>
      </c>
      <c r="J244" s="4" t="inlineStr">
        <is>
          <t>No hay un único “modelo”; hay un pipeline de conectividad NOC + selección por p-values + comparación de clasificadores, y SVM queda como el mejor. 
Non-Oscillatory_Connectivity_Ap…
Dataset de subtipos es pequeño (36 sujetos por clase), y además validan ASD vs NC con un dataset grande (505 ASD / 530 NC). Esto puede ser importante si tu Excel tiene campo de “tamaño/validación”.</t>
        </is>
      </c>
      <c r="K244" s="4" t="str"/>
      <c r="L244" s="4" t="inlineStr">
        <is>
          <t>https://doi.org/10.1109/access.2022.3146719</t>
        </is>
      </c>
      <c r="M244" s="4" t="n"/>
      <c r="N244" s="12" t="n"/>
      <c r="O244" s="41" t="n"/>
      <c r="P244" s="4" t="inlineStr">
        <is>
          <t>Confirmed only when AI was actually evaluated/used within the stated workflow or intervention; intended use alone = Proposed only</t>
        </is>
      </c>
      <c r="Q244" s="4">
        <f>IF(COUNTIFS('ESTUDIOS'!$A$2:$A$455,$A244,'ESTUDIOS'!$I$2:$I$455,"")&gt;0,"",INDEX('ESTUDIOS'!$I$2:$I$455,MATCH($A244,'ESTUDIOS'!$A$2:$A$455,0)))</f>
        <v/>
      </c>
    </row>
    <row r="245" ht="47" customHeight="1">
      <c r="A245" s="4" t="inlineStr">
        <is>
          <t>265</t>
        </is>
      </c>
      <c r="B245" s="4" t="inlineStr">
        <is>
          <t>Historical</t>
        </is>
      </c>
      <c r="C245" s="4" t="inlineStr">
        <is>
          <t>Personalized identification of autism-related bacteria in the gut microbiome using explainable artificial intelligence</t>
        </is>
      </c>
      <c r="D245" s="12" t="n"/>
      <c r="E245" s="12" t="n"/>
      <c r="F245" s="12" t="n"/>
      <c r="G245" s="4" t="inlineStr">
        <is>
          <t>Pending classification from source</t>
        </is>
      </c>
      <c r="H245" s="4" t="n">
        <v>1</v>
      </c>
      <c r="I245" s="4" t="n"/>
      <c r="J245" s="4" t="str"/>
      <c r="K245" s="4" t="str"/>
      <c r="L245" s="4" t="inlineStr">
        <is>
          <t>https://doi.org/10.1016/j.isci.2024.110709</t>
        </is>
      </c>
      <c r="M245" s="4" t="n"/>
      <c r="N245" s="12" t="n"/>
      <c r="O245" s="41" t="n"/>
      <c r="P245" s="4" t="inlineStr">
        <is>
          <t>Confirmed only when AI was actually evaluated/used within the stated workflow or intervention; intended use alone = Proposed only</t>
        </is>
      </c>
      <c r="Q245" s="4">
        <f>IF(COUNTIFS('ESTUDIOS'!$A$2:$A$455,$A245,'ESTUDIOS'!$I$2:$I$455,"")&gt;0,"",INDEX('ESTUDIOS'!$I$2:$I$455,MATCH($A245,'ESTUDIOS'!$A$2:$A$455,0)))</f>
        <v/>
      </c>
    </row>
    <row r="246" ht="60" customHeight="1">
      <c r="A246" s="4" t="inlineStr">
        <is>
          <t>266</t>
        </is>
      </c>
      <c r="B246" s="4" t="inlineStr">
        <is>
          <t>Historical</t>
        </is>
      </c>
      <c r="C246" s="4" t="inlineStr">
        <is>
          <t>Prenatal exposure to criteria air pollution and traffic-related air toxics and risk of autism spectrum disorder: A population-based cohort study of California births (1990–2018)</t>
        </is>
      </c>
      <c r="D246" s="12" t="n"/>
      <c r="E246" s="12" t="n"/>
      <c r="F246" s="12" t="n"/>
      <c r="G246" s="4" t="inlineStr">
        <is>
          <t>Pending classification from source</t>
        </is>
      </c>
      <c r="H246" s="4" t="n">
        <v>0</v>
      </c>
      <c r="I246" s="4" t="inlineStr">
        <is>
          <t>Other / Not clear</t>
        </is>
      </c>
      <c r="J246" s="4" t="inlineStr">
        <is>
          <t>Algoritmo principal no explícito o fuera del codebook; Confirmar algoritmo principal en full-text</t>
        </is>
      </c>
      <c r="K246" s="4" t="inlineStr">
        <is>
          <t>Population-based environmental epidemiology cohort; no AI/ML clinical decision system in the abstract.</t>
        </is>
      </c>
      <c r="L246" s="4" t="inlineStr">
        <is>
          <t>https://doi.org/10.1016/j.envint.2025.109562</t>
        </is>
      </c>
      <c r="M246" s="4" t="n"/>
      <c r="N246" s="12" t="n"/>
      <c r="O246" s="41" t="n"/>
      <c r="P246" s="4" t="inlineStr">
        <is>
          <t>Confirmed only when AI was actually evaluated/used within the stated workflow or intervention; intended use alone = Proposed only</t>
        </is>
      </c>
      <c r="Q246" s="4">
        <f>IF(COUNTIFS('ESTUDIOS'!$A$2:$A$455,$A246,'ESTUDIOS'!$I$2:$I$455,"")&gt;0,"",INDEX('ESTUDIOS'!$I$2:$I$455,MATCH($A246,'ESTUDIOS'!$A$2:$A$455,0)))</f>
        <v/>
      </c>
    </row>
    <row r="247" ht="47" customHeight="1">
      <c r="A247" s="4" t="inlineStr">
        <is>
          <t>267</t>
        </is>
      </c>
      <c r="B247" s="4" t="inlineStr">
        <is>
          <t>Historical</t>
        </is>
      </c>
      <c r="C247" s="4" t="inlineStr">
        <is>
          <t>Risk assessment for parents who suspect their child has autism spectrum disorder: Machine learning approach</t>
        </is>
      </c>
      <c r="D247" s="12" t="n"/>
      <c r="E247" s="12" t="n"/>
      <c r="F247" s="12" t="n"/>
      <c r="G247" s="4" t="inlineStr">
        <is>
          <t>Pending classification from source</t>
        </is>
      </c>
      <c r="H247" s="4" t="n">
        <v>1</v>
      </c>
      <c r="I247" s="4" t="inlineStr">
        <is>
          <t>Other / Not clear</t>
        </is>
      </c>
      <c r="J247" s="4" t="inlineStr">
        <is>
          <t>Algoritmo principal no explícito o fuera del codebook; Confirmar algoritmo principal en full-text</t>
        </is>
      </c>
      <c r="K247" s="4" t="str"/>
      <c r="L247" s="4" t="inlineStr">
        <is>
          <t>https://doi.org/10.2196/jmir.9496</t>
        </is>
      </c>
      <c r="M247" s="4" t="n"/>
      <c r="N247" s="12" t="n"/>
      <c r="O247" s="41" t="n"/>
      <c r="P247" s="4" t="inlineStr">
        <is>
          <t>Confirmed only when AI was actually evaluated/used within the stated workflow or intervention; intended use alone = Proposed only</t>
        </is>
      </c>
      <c r="Q247" s="4">
        <f>IF(COUNTIFS('ESTUDIOS'!$A$2:$A$455,$A247,'ESTUDIOS'!$I$2:$I$455,"")&gt;0,"",INDEX('ESTUDIOS'!$I$2:$I$455,MATCH($A247,'ESTUDIOS'!$A$2:$A$455,0)))</f>
        <v/>
      </c>
    </row>
    <row r="248" ht="60" customHeight="1">
      <c r="A248" s="4" t="inlineStr">
        <is>
          <t>268</t>
        </is>
      </c>
      <c r="B248" s="4" t="inlineStr">
        <is>
          <t>Historical</t>
        </is>
      </c>
      <c r="C248" s="4" t="inlineStr">
        <is>
          <t>Robust Low Complexity Framework for Early Diagnosis of Autism Spectrum Disorder Based on Cross Wavelet Transform and Deep Transfer Learning</t>
        </is>
      </c>
      <c r="D248" s="12" t="n"/>
      <c r="E248" s="12" t="n"/>
      <c r="F248" s="12" t="n"/>
      <c r="G248" s="4" t="inlineStr">
        <is>
          <t>Pending classification from source</t>
        </is>
      </c>
      <c r="H248" s="4" t="n">
        <v>1</v>
      </c>
      <c r="I248" s="4" t="inlineStr">
        <is>
          <t>Classification (binary/multi-class; incl. ASD vs control)/ multi-class)</t>
        </is>
      </c>
      <c r="J248" s="4" t="str"/>
      <c r="K248" s="4" t="str"/>
      <c r="L248" s="4" t="inlineStr">
        <is>
          <t>https://doi.org/10.1007/s42979-023-02564-9</t>
        </is>
      </c>
      <c r="M248" s="4" t="n"/>
      <c r="N248" s="12" t="n"/>
      <c r="O248" s="41" t="n"/>
      <c r="P248" s="4" t="inlineStr">
        <is>
          <t>Confirmed only when AI was actually evaluated/used within the stated workflow or intervention; intended use alone = Proposed only</t>
        </is>
      </c>
      <c r="Q248" s="4">
        <f>IF(COUNTIFS('ESTUDIOS'!$A$2:$A$455,$A248,'ESTUDIOS'!$I$2:$I$455,"")&gt;0,"",INDEX('ESTUDIOS'!$I$2:$I$455,MATCH($A248,'ESTUDIOS'!$A$2:$A$455,0)))</f>
        <v/>
      </c>
    </row>
    <row r="249" ht="60" customHeight="1">
      <c r="A249" s="4" t="inlineStr">
        <is>
          <t>269</t>
        </is>
      </c>
      <c r="B249" s="4" t="inlineStr">
        <is>
          <t>Historical</t>
        </is>
      </c>
      <c r="C249" s="4" t="inlineStr">
        <is>
          <t>Self-weighted adaptive structure learning for ASD diagnosis via multi-template multi-center representation</t>
        </is>
      </c>
      <c r="D249" s="12" t="n"/>
      <c r="E249" s="12" t="n"/>
      <c r="F249" s="12" t="n"/>
      <c r="G249" s="4" t="inlineStr">
        <is>
          <t>Pending classification from source</t>
        </is>
      </c>
      <c r="H249" s="4" t="n">
        <v>1</v>
      </c>
      <c r="I249" s="4" t="inlineStr">
        <is>
          <t>Classification (binary/multi-class; incl. ASD vs control)/ multi-class)</t>
        </is>
      </c>
      <c r="J249" s="4" t="inlineStr">
        <is>
          <t>el algoritmo principal es SASL-E/SASL, no uno de tu lista</t>
        </is>
      </c>
      <c r="K249" s="4" t="str"/>
      <c r="L249" s="4" t="inlineStr">
        <is>
          <t>https://doi.org/10.1016/j.media.2020.101662</t>
        </is>
      </c>
      <c r="M249" s="4" t="n"/>
      <c r="N249" s="12" t="n"/>
      <c r="O249" s="41" t="n"/>
      <c r="P249" s="4" t="inlineStr">
        <is>
          <t>Confirmed only when AI was actually evaluated/used within the stated workflow or intervention; intended use alone = Proposed only</t>
        </is>
      </c>
      <c r="Q249" s="4">
        <f>IF(COUNTIFS('ESTUDIOS'!$A$2:$A$455,$A249,'ESTUDIOS'!$I$2:$I$455,"")&gt;0,"",INDEX('ESTUDIOS'!$I$2:$I$455,MATCH($A249,'ESTUDIOS'!$A$2:$A$455,0)))</f>
        <v/>
      </c>
    </row>
    <row r="250" ht="47" customHeight="1">
      <c r="A250" s="4" t="inlineStr">
        <is>
          <t>270</t>
        </is>
      </c>
      <c r="B250" s="4" t="inlineStr">
        <is>
          <t>Historical</t>
        </is>
      </c>
      <c r="C250" s="4" t="inlineStr">
        <is>
          <t>Smart bed based daytime behavior prediction in Children with autism spectrum disorder - A Pilot Study</t>
        </is>
      </c>
      <c r="D250" s="12" t="n"/>
      <c r="E250" s="12" t="n"/>
      <c r="F250" s="12" t="n"/>
      <c r="G250" s="4" t="inlineStr">
        <is>
          <t>Pending classification from source</t>
        </is>
      </c>
      <c r="H250" s="4" t="n">
        <v>1</v>
      </c>
      <c r="I250" s="4" t="inlineStr">
        <is>
          <t>Prediction (time-to-event / prognosis)</t>
        </is>
      </c>
      <c r="J250" s="4" t="inlineStr">
        <is>
          <t>Predice conducta diurna a partir de señales BCG de smart bed; SVM y ANN comparados.</t>
        </is>
      </c>
      <c r="K250" s="4" t="str"/>
      <c r="L250" s="4" t="inlineStr">
        <is>
          <t>https://doi.org/10.1016/j.medengphy.2020.07.004</t>
        </is>
      </c>
      <c r="M250" s="4" t="n"/>
      <c r="N250" s="12" t="n"/>
      <c r="O250" s="41" t="n"/>
      <c r="P250" s="4" t="inlineStr">
        <is>
          <t>Confirmed only when AI was actually evaluated/used within the stated workflow or intervention; intended use alone = Proposed only</t>
        </is>
      </c>
      <c r="Q250" s="4">
        <f>IF(COUNTIFS('ESTUDIOS'!$A$2:$A$455,$A250,'ESTUDIOS'!$I$2:$I$455,"")&gt;0,"",INDEX('ESTUDIOS'!$I$2:$I$455,MATCH($A250,'ESTUDIOS'!$A$2:$A$455,0)))</f>
        <v/>
      </c>
    </row>
    <row r="251" ht="47" customHeight="1">
      <c r="A251" s="4" t="inlineStr">
        <is>
          <t>272</t>
        </is>
      </c>
      <c r="B251" s="4" t="inlineStr">
        <is>
          <t>Historical</t>
        </is>
      </c>
      <c r="C251" s="4" t="inlineStr">
        <is>
          <t>Subtyping cognitive profiles in Autism Spectrum Disorder using a Functional Random Forest algorithm</t>
        </is>
      </c>
      <c r="D251" s="12" t="n"/>
      <c r="E251" s="12" t="n"/>
      <c r="F251" s="12" t="n"/>
      <c r="G251" s="4" t="inlineStr">
        <is>
          <t>Pending classification from source</t>
        </is>
      </c>
      <c r="H251" s="4" t="n">
        <v>0</v>
      </c>
      <c r="I251" s="4" t="inlineStr">
        <is>
          <t>Classification (ASD vs control / multi-class)</t>
        </is>
      </c>
      <c r="J251" s="4" t="inlineStr">
        <is>
          <t>Random forest funcional para matriz de proximidad y posterior detección de comunidades/cognitivos subtipos.</t>
        </is>
      </c>
      <c r="K251" s="4" t="str"/>
      <c r="L251" s="4" t="inlineStr">
        <is>
          <t>https://doi.org/10.1016/j.neuroimage.2017.12.044</t>
        </is>
      </c>
      <c r="M251" s="4" t="n"/>
      <c r="N251" s="12" t="n"/>
      <c r="O251" s="41" t="n"/>
      <c r="P251" s="4" t="inlineStr">
        <is>
          <t>Confirmed only when AI was actually evaluated/used within the stated workflow or intervention; intended use alone = Proposed only</t>
        </is>
      </c>
      <c r="Q251" s="4">
        <f>IF(COUNTIFS('ESTUDIOS'!$A$2:$A$455,$A251,'ESTUDIOS'!$I$2:$I$455,"")&gt;0,"",INDEX('ESTUDIOS'!$I$2:$I$455,MATCH($A251,'ESTUDIOS'!$A$2:$A$455,0)))</f>
        <v/>
      </c>
    </row>
    <row r="252" ht="47" customHeight="1">
      <c r="A252" s="4" t="inlineStr">
        <is>
          <t>273</t>
        </is>
      </c>
      <c r="B252" s="4" t="inlineStr">
        <is>
          <t>Historical</t>
        </is>
      </c>
      <c r="C252" s="4" t="inlineStr">
        <is>
          <t>Towards autism subtype detection through identification of discriminatory factors using machine learning</t>
        </is>
      </c>
      <c r="D252" s="12" t="n"/>
      <c r="E252" s="12" t="n"/>
      <c r="F252" s="12" t="n"/>
      <c r="G252" s="4" t="inlineStr">
        <is>
          <t>Pending classification from source</t>
        </is>
      </c>
      <c r="H252" s="4" t="n">
        <v>1</v>
      </c>
      <c r="I252" s="4" t="inlineStr">
        <is>
          <t>Clustering / subtyping</t>
        </is>
      </c>
      <c r="J252" s="4" t="inlineStr">
        <is>
          <t>Genera subtipos con k-means a partir de Q-CHAT/AQ-10; clasificadores posteriores son secundarios.</t>
        </is>
      </c>
      <c r="K252" s="4" t="str"/>
      <c r="L252" s="4" t="inlineStr">
        <is>
          <t>https://doi.org/10.1007/978-3-030-86993-9_36</t>
        </is>
      </c>
      <c r="M252" s="4" t="n"/>
      <c r="N252" s="12" t="n"/>
      <c r="O252" s="41" t="n"/>
      <c r="P252" s="4" t="inlineStr">
        <is>
          <t>Confirmed only when AI was actually evaluated/used within the stated workflow or intervention; intended use alone = Proposed only</t>
        </is>
      </c>
      <c r="Q252" s="4">
        <f>IF(COUNTIFS('ESTUDIOS'!$A$2:$A$455,$A252,'ESTUDIOS'!$I$2:$I$455,"")&gt;0,"",INDEX('ESTUDIOS'!$I$2:$I$455,MATCH($A252,'ESTUDIOS'!$A$2:$A$455,0)))</f>
        <v/>
      </c>
    </row>
    <row r="253" ht="47" customHeight="1">
      <c r="A253" s="4" t="inlineStr">
        <is>
          <t>274</t>
        </is>
      </c>
      <c r="B253" s="4" t="inlineStr">
        <is>
          <t>Historical</t>
        </is>
      </c>
      <c r="C253" s="4" t="inlineStr">
        <is>
          <t>‘IoT and AI-Based Application for Automatic Interpretation of the Affective State of Children Diagnosed with Autism</t>
        </is>
      </c>
      <c r="D253" s="12" t="n"/>
      <c r="E253" s="12" t="n"/>
      <c r="F253" s="12" t="n"/>
      <c r="G253" s="4" t="inlineStr">
        <is>
          <t>Pending classification from source</t>
        </is>
      </c>
      <c r="H253" s="4" t="n">
        <v>1</v>
      </c>
      <c r="I253" s="4" t="inlineStr">
        <is>
          <t>Classification (ASD vs control / multi-class)</t>
        </is>
      </c>
      <c r="J253" s="4" t="str"/>
      <c r="K253" s="4" t="str"/>
      <c r="L253" s="4" t="inlineStr">
        <is>
          <t>https://doi.org/10.3390/s22072528</t>
        </is>
      </c>
      <c r="M253" s="4" t="n"/>
      <c r="N253" s="12" t="n"/>
      <c r="O253" s="41" t="n"/>
      <c r="P253" s="4" t="inlineStr">
        <is>
          <t>Confirmed only when AI was actually evaluated/used within the stated workflow or intervention; intended use alone = Proposed only</t>
        </is>
      </c>
      <c r="Q253" s="4">
        <f>IF(COUNTIFS('ESTUDIOS'!$A$2:$A$455,$A253,'ESTUDIOS'!$I$2:$I$455,"")&gt;0,"",INDEX('ESTUDIOS'!$I$2:$I$455,MATCH($A253,'ESTUDIOS'!$A$2:$A$455,0)))</f>
        <v/>
      </c>
    </row>
    <row r="254" ht="60" customHeight="1">
      <c r="A254" s="4" t="inlineStr">
        <is>
          <t>275</t>
        </is>
      </c>
      <c r="B254" s="4" t="inlineStr">
        <is>
          <t>Historical</t>
        </is>
      </c>
      <c r="C254" s="4" t="inlineStr">
        <is>
          <t>A Fusion-Based Machine Learning Approach for Autism Detection in Young Children Using Magnetoencephalography Signals</t>
        </is>
      </c>
      <c r="D254" s="12" t="n"/>
      <c r="E254" s="12" t="n"/>
      <c r="F254" s="12" t="n"/>
      <c r="G254" s="4" t="inlineStr">
        <is>
          <t>Pending classification from source</t>
        </is>
      </c>
      <c r="H254" s="4" t="n">
        <v>1</v>
      </c>
      <c r="I254" s="4" t="inlineStr">
        <is>
          <t>Classification (binary/multi-class; incl. ASD vs control)/ multi-class)</t>
        </is>
      </c>
      <c r="J254" s="4" t="inlineStr">
        <is>
          <t>Aunque el paper enfatiza “young children” y “early markers”, el uso que reporta es clasificación ASD vs TD en una muestra ya diagnosticada; por eso “Diagnosis” es el mapeo más consistente con tus opciones.</t>
        </is>
      </c>
      <c r="K254" s="4" t="str"/>
      <c r="L254" s="4" t="inlineStr">
        <is>
          <t>https://doi.org/10.1007/s10803-022-05767-w</t>
        </is>
      </c>
      <c r="M254" s="4" t="n"/>
      <c r="N254" s="12" t="n"/>
      <c r="O254" s="41" t="n"/>
      <c r="P254" s="4" t="inlineStr">
        <is>
          <t>Confirmed only when AI was actually evaluated/used within the stated workflow or intervention; intended use alone = Proposed only</t>
        </is>
      </c>
      <c r="Q254" s="4">
        <f>IF(COUNTIFS('ESTUDIOS'!$A$2:$A$455,$A254,'ESTUDIOS'!$I$2:$I$455,"")&gt;0,"",INDEX('ESTUDIOS'!$I$2:$I$455,MATCH($A254,'ESTUDIOS'!$A$2:$A$455,0)))</f>
        <v/>
      </c>
    </row>
    <row r="255" ht="47" customHeight="1">
      <c r="A255" s="4" t="inlineStr">
        <is>
          <t>276</t>
        </is>
      </c>
      <c r="B255" s="4" t="inlineStr">
        <is>
          <t>Historical</t>
        </is>
      </c>
      <c r="C255" s="4" t="inlineStr">
        <is>
          <t>A situation-aware system for the detection of motion disorders of patients with Autism Spectrum Disorders</t>
        </is>
      </c>
      <c r="D255" s="12" t="n"/>
      <c r="E255" s="12" t="n"/>
      <c r="F255" s="12" t="n"/>
      <c r="G255" s="4" t="inlineStr">
        <is>
          <t>Pending classification from source</t>
        </is>
      </c>
      <c r="H255" s="4" t="n">
        <v>1</v>
      </c>
      <c r="I255" s="4" t="inlineStr">
        <is>
          <t>Detection / segmentation</t>
        </is>
      </c>
      <c r="J255" s="4" t="inlineStr">
        <is>
          <t>Algoritmo principal no explícito o fuera del codebook; Confirmar algoritmo principal en full-text</t>
        </is>
      </c>
      <c r="K255" s="4" t="str"/>
      <c r="L255" s="4" t="inlineStr">
        <is>
          <t>https://doi.org/10.1016/j.eswa.2014.05.011</t>
        </is>
      </c>
      <c r="M255" s="4" t="n"/>
      <c r="N255" s="12" t="n"/>
      <c r="O255" s="41" t="n"/>
      <c r="P255" s="4" t="inlineStr">
        <is>
          <t>Confirmed only when AI was actually evaluated/used within the stated workflow or intervention; intended use alone = Proposed only</t>
        </is>
      </c>
      <c r="Q255" s="4">
        <f>IF(COUNTIFS('ESTUDIOS'!$A$2:$A$455,$A255,'ESTUDIOS'!$I$2:$I$455,"")&gt;0,"",INDEX('ESTUDIOS'!$I$2:$I$455,MATCH($A255,'ESTUDIOS'!$A$2:$A$455,0)))</f>
        <v/>
      </c>
    </row>
    <row r="256" ht="47" customHeight="1">
      <c r="A256" s="4" t="inlineStr">
        <is>
          <t>277</t>
        </is>
      </c>
      <c r="B256" s="4" t="inlineStr">
        <is>
          <t>Historical</t>
        </is>
      </c>
      <c r="C256" s="4" t="inlineStr">
        <is>
          <t>Accurate corresponding fiber tract segmentation via FiberGeoMap learner with application to autism</t>
        </is>
      </c>
      <c r="D256" s="12" t="n"/>
      <c r="E256" s="12" t="n"/>
      <c r="F256" s="12" t="n"/>
      <c r="G256" s="4" t="inlineStr">
        <is>
          <t>Pending classification from source</t>
        </is>
      </c>
      <c r="H256" s="4" t="n">
        <v>1</v>
      </c>
      <c r="I256" s="4" t="inlineStr">
        <is>
          <t>Detection / segmentation</t>
        </is>
      </c>
      <c r="J256" s="4" t="inlineStr">
        <is>
          <t>Segmentación de tractos de difusión; algoritmo FiberGeoMap fuera del codebook.</t>
        </is>
      </c>
      <c r="K256" s="4" t="str"/>
      <c r="L256" s="4" t="inlineStr">
        <is>
          <t>https://doi.org/10.1093/cercor/bhad125</t>
        </is>
      </c>
      <c r="M256" s="4" t="n"/>
      <c r="N256" s="12" t="n"/>
      <c r="O256" s="41" t="n"/>
      <c r="P256" s="4" t="inlineStr">
        <is>
          <t>Confirmed only when AI was actually evaluated/used within the stated workflow or intervention; intended use alone = Proposed only</t>
        </is>
      </c>
      <c r="Q256" s="4">
        <f>IF(COUNTIFS('ESTUDIOS'!$A$2:$A$455,$A256,'ESTUDIOS'!$I$2:$I$455,"")&gt;0,"",INDEX('ESTUDIOS'!$I$2:$I$455,MATCH($A256,'ESTUDIOS'!$A$2:$A$455,0)))</f>
        <v/>
      </c>
    </row>
    <row r="257" ht="47" customHeight="1">
      <c r="A257" s="4" t="inlineStr">
        <is>
          <t>278</t>
        </is>
      </c>
      <c r="B257" s="4" t="inlineStr">
        <is>
          <t>Historical</t>
        </is>
      </c>
      <c r="C257" s="4" t="inlineStr">
        <is>
          <t>Autism risk classification using placental chorionic surface vascular network features</t>
        </is>
      </c>
      <c r="D257" s="12" t="n"/>
      <c r="E257" s="12" t="n"/>
      <c r="F257" s="12" t="n"/>
      <c r="G257" s="4" t="inlineStr">
        <is>
          <t>Pending classification from source</t>
        </is>
      </c>
      <c r="H257" s="4" t="n">
        <v>1</v>
      </c>
      <c r="I257" s="4" t="inlineStr">
        <is>
          <t>Classification (ASD vs control / multi-class)</t>
        </is>
      </c>
      <c r="J257" s="4" t="str"/>
      <c r="K257" s="4" t="str"/>
      <c r="L257" s="4" t="inlineStr">
        <is>
          <t>https://doi.org/10.1186/s12911-017-0564-8</t>
        </is>
      </c>
      <c r="M257" s="4" t="n"/>
      <c r="N257" s="12" t="n"/>
      <c r="O257" s="41" t="n"/>
      <c r="P257" s="4" t="inlineStr">
        <is>
          <t>Confirmed only when AI was actually evaluated/used within the stated workflow or intervention; intended use alone = Proposed only</t>
        </is>
      </c>
      <c r="Q257" s="4">
        <f>IF(COUNTIFS('ESTUDIOS'!$A$2:$A$455,$A257,'ESTUDIOS'!$I$2:$I$455,"")&gt;0,"",INDEX('ESTUDIOS'!$I$2:$I$455,MATCH($A257,'ESTUDIOS'!$A$2:$A$455,0)))</f>
        <v/>
      </c>
    </row>
    <row r="258" ht="60" customHeight="1">
      <c r="A258" s="4" t="inlineStr">
        <is>
          <t>279</t>
        </is>
      </c>
      <c r="B258" s="4" t="inlineStr">
        <is>
          <t>Historical</t>
        </is>
      </c>
      <c r="C258" s="4" t="inlineStr">
        <is>
          <t>Autism spectrum disorder detection using sequential minimal optimization-support vector machine hybrid classifier according to history of jaundice and family autism in children</t>
        </is>
      </c>
      <c r="D258" s="12" t="n"/>
      <c r="E258" s="12" t="n"/>
      <c r="F258" s="12" t="n"/>
      <c r="G258" s="4" t="inlineStr">
        <is>
          <t>Pending classification from source</t>
        </is>
      </c>
      <c r="H258" s="4" t="n">
        <v>1</v>
      </c>
      <c r="I258" s="4" t="inlineStr">
        <is>
          <t>Classification (ASD vs control / multi-class)</t>
        </is>
      </c>
      <c r="J258" s="4" t="str"/>
      <c r="K258" s="4" t="str"/>
      <c r="L258" s="4" t="inlineStr">
        <is>
          <t>https://doi.org/10.1002/cpe.6498</t>
        </is>
      </c>
      <c r="M258" s="4" t="n"/>
      <c r="N258" s="12" t="n"/>
      <c r="O258" s="41" t="n"/>
      <c r="P258" s="4" t="inlineStr">
        <is>
          <t>Confirmed only when AI was actually evaluated/used within the stated workflow or intervention; intended use alone = Proposed only</t>
        </is>
      </c>
      <c r="Q258" s="4">
        <f>IF(COUNTIFS('ESTUDIOS'!$A$2:$A$455,$A258,'ESTUDIOS'!$I$2:$I$455,"")&gt;0,"",INDEX('ESTUDIOS'!$I$2:$I$455,MATCH($A258,'ESTUDIOS'!$A$2:$A$455,0)))</f>
        <v/>
      </c>
    </row>
    <row r="259" ht="47" customHeight="1">
      <c r="A259" s="4" t="inlineStr">
        <is>
          <t>280</t>
        </is>
      </c>
      <c r="B259" s="4" t="inlineStr">
        <is>
          <t>Historical</t>
        </is>
      </c>
      <c r="C259" s="4" t="inlineStr">
        <is>
          <t>Classification of autism based on short-term spontaneous hemodynamic fluctuations using an adaptive graph neural network</t>
        </is>
      </c>
      <c r="D259" s="12" t="n"/>
      <c r="E259" s="12" t="n"/>
      <c r="F259" s="12" t="n"/>
      <c r="G259" s="4" t="inlineStr">
        <is>
          <t>Pending classification from source</t>
        </is>
      </c>
      <c r="H259" s="4" t="n">
        <v>1</v>
      </c>
      <c r="I259" s="4" t="inlineStr">
        <is>
          <t>Classification (ASD vs control / multi-class)</t>
        </is>
      </c>
      <c r="J259" s="4" t="inlineStr">
        <is>
          <t>Algoritmo principal no explícito o fuera del codebook; Confirmar algoritmo principal en full-text; Se comparan varios modelos; se eligió el principal/mejor reportado</t>
        </is>
      </c>
      <c r="K259" s="4" t="str"/>
      <c r="L259" s="4" t="inlineStr">
        <is>
          <t>https://doi.org/10.1016/j.jneumeth.2023.109901</t>
        </is>
      </c>
      <c r="M259" s="4" t="n"/>
      <c r="N259" s="12" t="n"/>
      <c r="O259" s="41" t="n"/>
      <c r="P259" s="4" t="inlineStr">
        <is>
          <t>Confirmed only when AI was actually evaluated/used within the stated workflow or intervention; intended use alone = Proposed only</t>
        </is>
      </c>
      <c r="Q259" s="4">
        <f>IF(COUNTIFS('ESTUDIOS'!$A$2:$A$455,$A259,'ESTUDIOS'!$I$2:$I$455,"")&gt;0,"",INDEX('ESTUDIOS'!$I$2:$I$455,MATCH($A259,'ESTUDIOS'!$A$2:$A$455,0)))</f>
        <v/>
      </c>
    </row>
    <row r="260" ht="47" customHeight="1">
      <c r="A260" s="4" t="inlineStr">
        <is>
          <t>281</t>
        </is>
      </c>
      <c r="B260" s="4" t="inlineStr">
        <is>
          <t>Historical</t>
        </is>
      </c>
      <c r="C260" s="4" t="inlineStr">
        <is>
          <t>Deep Mobile Linguistic Therapy for Patients with ASD</t>
        </is>
      </c>
      <c r="D260" s="12" t="n"/>
      <c r="E260" s="12" t="n"/>
      <c r="F260" s="12" t="n"/>
      <c r="G260" s="4" t="inlineStr">
        <is>
          <t>Pending classification from source</t>
        </is>
      </c>
      <c r="H260" s="4" t="n">
        <v>1</v>
      </c>
      <c r="I260" s="4" t="inlineStr">
        <is>
          <t>Other / Not clear</t>
        </is>
      </c>
      <c r="J260" s="4" t="inlineStr">
        <is>
          <t>Sistema de terapia lingüística móvil; no corresponde a una tarea diagnóstica clásica.</t>
        </is>
      </c>
      <c r="K260" s="4" t="str"/>
      <c r="L260" s="4" t="inlineStr">
        <is>
          <t>https://doi.org/10.3390/ijerph191912857</t>
        </is>
      </c>
      <c r="M260" s="4" t="n"/>
      <c r="N260" s="12" t="n"/>
      <c r="O260" s="41" t="n"/>
      <c r="P260" s="4" t="inlineStr">
        <is>
          <t>Confirmed only when AI was actually evaluated/used within the stated workflow or intervention; intended use alone = Proposed only</t>
        </is>
      </c>
      <c r="Q260" s="4">
        <f>IF(COUNTIFS('ESTUDIOS'!$A$2:$A$455,$A260,'ESTUDIOS'!$I$2:$I$455,"")&gt;0,"",INDEX('ESTUDIOS'!$I$2:$I$455,MATCH($A260,'ESTUDIOS'!$A$2:$A$455,0)))</f>
        <v/>
      </c>
    </row>
    <row r="261" ht="47" customHeight="1">
      <c r="A261" s="4" t="inlineStr">
        <is>
          <t>282</t>
        </is>
      </c>
      <c r="B261" s="4" t="inlineStr">
        <is>
          <t>Historical</t>
        </is>
      </c>
      <c r="C261" s="4" t="inlineStr">
        <is>
          <t>DeepASDPred: a CNN-LSTM-based deep learning method for Autism spectrum disorders risk RNA identification</t>
        </is>
      </c>
      <c r="D261" s="12" t="n"/>
      <c r="E261" s="12" t="n"/>
      <c r="F261" s="12" t="n"/>
      <c r="G261" s="4" t="inlineStr">
        <is>
          <t>Pending classification from source</t>
        </is>
      </c>
      <c r="H261" s="4" t="n">
        <v>0</v>
      </c>
      <c r="I261" s="4" t="inlineStr">
        <is>
          <t>ASD-risk RNA/gene identification</t>
        </is>
      </c>
      <c r="J261" s="4" t="inlineStr">
        <is>
          <t>Recodificado desde texto completo: secuencia de RNA y expresión génica; identificación etiológica de RNA/genes de riesgo, no prescreening clínico.</t>
        </is>
      </c>
      <c r="K261" s="4" t="str"/>
      <c r="L261" s="4" t="inlineStr">
        <is>
          <t>https://doi.org/10.1186/s12859-023-05378-x</t>
        </is>
      </c>
      <c r="M261" s="4" t="n"/>
      <c r="N261" s="12" t="n"/>
      <c r="O261" s="41" t="n"/>
      <c r="P261" s="4" t="inlineStr">
        <is>
          <t>Confirmed only when AI was actually evaluated/used within the stated workflow or intervention; intended use alone = Proposed only</t>
        </is>
      </c>
      <c r="Q261" s="4">
        <f>IF(COUNTIFS('ESTUDIOS'!$A$2:$A$455,$A261,'ESTUDIOS'!$I$2:$I$455,"")&gt;0,"",INDEX('ESTUDIOS'!$I$2:$I$455,MATCH($A261,'ESTUDIOS'!$A$2:$A$455,0)))</f>
        <v/>
      </c>
    </row>
    <row r="262" ht="60" customHeight="1">
      <c r="A262" s="4" t="inlineStr">
        <is>
          <t>283</t>
        </is>
      </c>
      <c r="B262" s="4" t="inlineStr">
        <is>
          <t>Historical</t>
        </is>
      </c>
      <c r="C262" s="4" t="inlineStr">
        <is>
          <t>Employing Machine Learning-Based Predictive Analytical Approaches to Classify Autism Spectrum Disorder Types</t>
        </is>
      </c>
      <c r="D262" s="12" t="n"/>
      <c r="E262" s="12" t="n"/>
      <c r="F262" s="12" t="n"/>
      <c r="G262" s="4" t="inlineStr">
        <is>
          <t>Pending classification from source</t>
        </is>
      </c>
      <c r="H262" s="4" t="n">
        <v>1</v>
      </c>
      <c r="I262" s="4" t="inlineStr">
        <is>
          <t>Classification (binary/multi-class; incl. ASD vs control)/ multi-class)</t>
        </is>
      </c>
      <c r="J262" s="4" t="inlineStr">
        <is>
          <t xml:space="preserve">No es “ASD vs TD” puro; es clasificación de severidad (incluye “No ASD” + Levels 1–3). Si tu análisis separa “diagnosis binaria” vs “severity”, aquí conviene anotarlo. </t>
        </is>
      </c>
      <c r="K262" s="4" t="str"/>
      <c r="L262" s="4" t="inlineStr">
        <is>
          <t>https://doi.org/10.1155/2022/8134018</t>
        </is>
      </c>
      <c r="M262" s="4" t="n"/>
      <c r="N262" s="12" t="n"/>
      <c r="O262" s="41" t="n"/>
      <c r="P262" s="4" t="inlineStr">
        <is>
          <t>Confirmed only when AI was actually evaluated/used within the stated workflow or intervention; intended use alone = Proposed only</t>
        </is>
      </c>
      <c r="Q262" s="4">
        <f>IF(COUNTIFS('ESTUDIOS'!$A$2:$A$455,$A262,'ESTUDIOS'!$I$2:$I$455,"")&gt;0,"",INDEX('ESTUDIOS'!$I$2:$I$455,MATCH($A262,'ESTUDIOS'!$A$2:$A$455,0)))</f>
        <v/>
      </c>
    </row>
    <row r="263" ht="60" customHeight="1">
      <c r="A263" s="4" t="inlineStr">
        <is>
          <t>284</t>
        </is>
      </c>
      <c r="B263" s="4" t="inlineStr">
        <is>
          <t>Historical</t>
        </is>
      </c>
      <c r="C263" s="4" t="inlineStr">
        <is>
          <t>Exploration of Autism Spectrum Disorder using Classification Algorithms</t>
        </is>
      </c>
      <c r="D263" s="12" t="n"/>
      <c r="E263" s="12" t="n"/>
      <c r="F263" s="12" t="n"/>
      <c r="G263" s="4" t="inlineStr">
        <is>
          <t>Pending classification from source</t>
        </is>
      </c>
      <c r="H263" s="4" t="n">
        <v>1</v>
      </c>
      <c r="I263" s="4" t="inlineStr">
        <is>
          <t>Classification (binary/multi-class; incl. ASD vs control)/ multi-class)</t>
        </is>
      </c>
      <c r="J263" s="4" t="inlineStr">
        <is>
          <t>Es un paper comparativo (Naive Bayes, Decision Table, SVM). Aunque SVM es “best” según su texto, también reportan desempeño perfecto para otro método en su tabla; si tu Excel exige un solo “main”, SVM es defendible solo con esa frase de “best”</t>
        </is>
      </c>
      <c r="K263" s="4" t="str"/>
      <c r="L263" s="4" t="inlineStr">
        <is>
          <t>https://doi.org/10.1016/j.procs.2020.01.098</t>
        </is>
      </c>
      <c r="M263" s="4" t="n"/>
      <c r="N263" s="12" t="n"/>
      <c r="O263" s="41" t="n"/>
      <c r="P263" s="4" t="inlineStr">
        <is>
          <t>Confirmed only when AI was actually evaluated/used within the stated workflow or intervention; intended use alone = Proposed only</t>
        </is>
      </c>
      <c r="Q263" s="4">
        <f>IF(COUNTIFS('ESTUDIOS'!$A$2:$A$455,$A263,'ESTUDIOS'!$I$2:$I$455,"")&gt;0,"",INDEX('ESTUDIOS'!$I$2:$I$455,MATCH($A263,'ESTUDIOS'!$A$2:$A$455,0)))</f>
        <v/>
      </c>
    </row>
    <row r="264" ht="60" customHeight="1">
      <c r="A264" s="4" t="inlineStr">
        <is>
          <t>285</t>
        </is>
      </c>
      <c r="B264" s="4" t="inlineStr">
        <is>
          <t>Historical</t>
        </is>
      </c>
      <c r="C264" s="4" t="inlineStr">
        <is>
          <t>Exploring pesticide risk in autism via integrative machine learning and network toxicology</t>
        </is>
      </c>
      <c r="D264" s="12" t="n"/>
      <c r="E264" s="12" t="n"/>
      <c r="F264" s="12" t="n"/>
      <c r="G264" s="4" t="inlineStr">
        <is>
          <t>Pending classification from source</t>
        </is>
      </c>
      <c r="H264" s="4" t="n">
        <v>0</v>
      </c>
      <c r="I264" s="4" t="inlineStr">
        <is>
          <t>Classification (binary/multi-class; incl. ASD vs control)/ multi-class)</t>
        </is>
      </c>
      <c r="J264" s="4" t="inlineStr">
        <is>
          <t>La ML se usa como parte de un pipeline mecanístico: LASSO para seleccionar targets (“Using the LASSO algorithm, 23 key targets…”) y luego selección final por desempeño (“SGD model… best predictive performance… 20 features”)</t>
        </is>
      </c>
      <c r="K264" s="4" t="inlineStr">
        <is>
          <t>Mechanistic bioinformatics/network toxicology study; no clinical decision integration.</t>
        </is>
      </c>
      <c r="L264" s="4" t="inlineStr">
        <is>
          <t>https://doi.org/10.1016/j.ecoenv.2025.118233</t>
        </is>
      </c>
      <c r="M264" s="4" t="n"/>
      <c r="N264" s="12" t="n"/>
      <c r="O264" s="41" t="n"/>
      <c r="P264" s="4" t="inlineStr">
        <is>
          <t>Confirmed only when AI was actually evaluated/used within the stated workflow or intervention; intended use alone = Proposed only</t>
        </is>
      </c>
      <c r="Q264" s="4">
        <f>IF(COUNTIFS('ESTUDIOS'!$A$2:$A$455,$A264,'ESTUDIOS'!$I$2:$I$455,"")&gt;0,"",INDEX('ESTUDIOS'!$I$2:$I$455,MATCH($A264,'ESTUDIOS'!$A$2:$A$455,0)))</f>
        <v/>
      </c>
    </row>
    <row r="265" ht="47" customHeight="1">
      <c r="A265" s="4" t="inlineStr">
        <is>
          <t>286</t>
        </is>
      </c>
      <c r="B265" s="4" t="inlineStr">
        <is>
          <t>Historical</t>
        </is>
      </c>
      <c r="C265" s="4" t="inlineStr">
        <is>
          <t>Feedback Artificial Tree-Anti Corona Virus Optimization enabled deep learning for detecting autism spectrum disorder</t>
        </is>
      </c>
      <c r="D265" s="12" t="n"/>
      <c r="E265" s="12" t="n"/>
      <c r="F265" s="12" t="n"/>
      <c r="G265" s="4" t="inlineStr">
        <is>
          <t>Pending classification from source</t>
        </is>
      </c>
      <c r="H265" s="4" t="n">
        <v>1</v>
      </c>
      <c r="I265" s="4" t="inlineStr">
        <is>
          <t>Classification (ASD vs control / multi-class)</t>
        </is>
      </c>
      <c r="J265" s="4" t="inlineStr">
        <is>
          <t>fMRI con ROI extraction + deep residual network optimizada; se codifica CNN/DRN como algoritmo principal.</t>
        </is>
      </c>
      <c r="K265" s="4" t="str"/>
      <c r="L265" s="4" t="inlineStr">
        <is>
          <t>https://doi.org/10.1111/exsy.13040</t>
        </is>
      </c>
      <c r="M265" s="4" t="n"/>
      <c r="N265" s="12" t="n"/>
      <c r="O265" s="41" t="n"/>
      <c r="P265" s="4" t="inlineStr">
        <is>
          <t>Confirmed only when AI was actually evaluated/used within the stated workflow or intervention; intended use alone = Proposed only</t>
        </is>
      </c>
      <c r="Q265" s="4">
        <f>IF(COUNTIFS('ESTUDIOS'!$A$2:$A$455,$A265,'ESTUDIOS'!$I$2:$I$455,"")&gt;0,"",INDEX('ESTUDIOS'!$I$2:$I$455,MATCH($A265,'ESTUDIOS'!$A$2:$A$455,0)))</f>
        <v/>
      </c>
    </row>
    <row r="266" ht="47" customHeight="1">
      <c r="A266" s="4" t="inlineStr">
        <is>
          <t>287</t>
        </is>
      </c>
      <c r="B266" s="4" t="inlineStr">
        <is>
          <t>Historical</t>
        </is>
      </c>
      <c r="C266" s="4" t="inlineStr">
        <is>
          <t>Forecasting risk gene discovery in autism with machine learning and genome-scale data</t>
        </is>
      </c>
      <c r="D266" s="12" t="n"/>
      <c r="E266" s="12" t="n"/>
      <c r="F266" s="12" t="n"/>
      <c r="G266" s="4" t="inlineStr">
        <is>
          <t>Pending classification from source</t>
        </is>
      </c>
      <c r="H266" s="4" t="n">
        <v>1</v>
      </c>
      <c r="I266" s="4" t="inlineStr">
        <is>
          <t>Classification (ASD vs control / multi-class)</t>
        </is>
      </c>
      <c r="J266" s="4" t="inlineStr">
        <is>
          <t>Algoritmo principal no explícito o fuera del codebook; Confirmar algoritmo principal en full-text</t>
        </is>
      </c>
      <c r="K266" s="4" t="str"/>
      <c r="L266" s="4" t="inlineStr">
        <is>
          <t>https://doi.org/10.1038/s41598-020-61288-5</t>
        </is>
      </c>
      <c r="M266" s="4" t="n"/>
      <c r="N266" s="12" t="n"/>
      <c r="O266" s="41" t="n"/>
      <c r="P266" s="4" t="inlineStr">
        <is>
          <t>Confirmed only when AI was actually evaluated/used within the stated workflow or intervention; intended use alone = Proposed only</t>
        </is>
      </c>
      <c r="Q266" s="4">
        <f>IF(COUNTIFS('ESTUDIOS'!$A$2:$A$455,$A266,'ESTUDIOS'!$I$2:$I$455,"")&gt;0,"",INDEX('ESTUDIOS'!$I$2:$I$455,MATCH($A266,'ESTUDIOS'!$A$2:$A$455,0)))</f>
        <v/>
      </c>
    </row>
    <row r="267" ht="47" customHeight="1">
      <c r="A267" s="4" t="inlineStr">
        <is>
          <t>288</t>
        </is>
      </c>
      <c r="B267" s="4" t="inlineStr">
        <is>
          <t>Historical</t>
        </is>
      </c>
      <c r="C267" s="4" t="inlineStr">
        <is>
          <t>Identifying Autism with Head Movement Features by Implementing Machine Learning Algorithms</t>
        </is>
      </c>
      <c r="D267" s="12" t="n"/>
      <c r="E267" s="12" t="n"/>
      <c r="F267" s="12" t="n"/>
      <c r="G267" s="4" t="inlineStr">
        <is>
          <t>Pending classification from source</t>
        </is>
      </c>
      <c r="H267" s="4" t="n">
        <v>1</v>
      </c>
      <c r="I267" s="4" t="inlineStr">
        <is>
          <t>Classification (ASD vs control / multi-class)</t>
        </is>
      </c>
      <c r="J267" s="4" t="inlineStr">
        <is>
          <t>Algoritmo principal no explícito o fuera del codebook; Confirmar algoritmo principal en full-text</t>
        </is>
      </c>
      <c r="K267" s="4" t="str"/>
      <c r="L267" s="4" t="inlineStr">
        <is>
          <t>https://doi.org/10.1007/s10803-021-05179-2</t>
        </is>
      </c>
      <c r="M267" s="4" t="n"/>
      <c r="N267" s="12" t="n"/>
      <c r="O267" s="41" t="n"/>
      <c r="P267" s="4" t="inlineStr">
        <is>
          <t>Confirmed only when AI was actually evaluated/used within the stated workflow or intervention; intended use alone = Proposed only</t>
        </is>
      </c>
      <c r="Q267" s="4">
        <f>IF(COUNTIFS('ESTUDIOS'!$A$2:$A$455,$A267,'ESTUDIOS'!$I$2:$I$455,"")&gt;0,"",INDEX('ESTUDIOS'!$I$2:$I$455,MATCH($A267,'ESTUDIOS'!$A$2:$A$455,0)))</f>
        <v/>
      </c>
    </row>
    <row r="268" ht="47" customHeight="1">
      <c r="A268" s="4" t="inlineStr">
        <is>
          <t>289</t>
        </is>
      </c>
      <c r="B268" s="4" t="inlineStr">
        <is>
          <t>Historical</t>
        </is>
      </c>
      <c r="C268" s="4" t="inlineStr">
        <is>
          <t>Increased serum levels of macrophage migration inhibitory factor in autism spectrum disorders</t>
        </is>
      </c>
      <c r="D268" s="12" t="n"/>
      <c r="E268" s="12" t="n"/>
      <c r="F268" s="12" t="n"/>
      <c r="G268" s="4" t="inlineStr">
        <is>
          <t>Pending classification from source</t>
        </is>
      </c>
      <c r="H268" s="4" t="n">
        <v>0</v>
      </c>
      <c r="I268" s="4" t="inlineStr">
        <is>
          <t>Regression (score / severity / risk)</t>
        </is>
      </c>
      <c r="J268" s="4" t="inlineStr">
        <is>
          <t>Etapa clínica no clara</t>
        </is>
      </c>
      <c r="K268" s="4" t="str"/>
      <c r="L268" s="4" t="inlineStr">
        <is>
          <t>https://doi.org/10.1016/j.neuro.2018.11.015</t>
        </is>
      </c>
      <c r="M268" s="4" t="n"/>
      <c r="N268" s="12" t="n"/>
      <c r="O268" s="41" t="n"/>
      <c r="P268" s="4" t="inlineStr">
        <is>
          <t>Confirmed only when AI was actually evaluated/used within the stated workflow or intervention; intended use alone = Proposed only</t>
        </is>
      </c>
      <c r="Q268" s="4">
        <f>IF(COUNTIFS('ESTUDIOS'!$A$2:$A$455,$A268,'ESTUDIOS'!$I$2:$I$455,"")&gt;0,"",INDEX('ESTUDIOS'!$I$2:$I$455,MATCH($A268,'ESTUDIOS'!$A$2:$A$455,0)))</f>
        <v/>
      </c>
    </row>
    <row r="269" ht="60" customHeight="1">
      <c r="A269" s="4" t="inlineStr">
        <is>
          <t>290</t>
        </is>
      </c>
      <c r="B269" s="4" t="inlineStr">
        <is>
          <t>Historical</t>
        </is>
      </c>
      <c r="C269" s="4" t="inlineStr">
        <is>
          <t>Machine Learning and Structural Dynamics-Based Approach to Reveal Molecular Mechanism of PTEN Missense Mutations Shared by Cancer and Autism Spectrum Disorder</t>
        </is>
      </c>
      <c r="D269" s="12" t="n"/>
      <c r="E269" s="12" t="n"/>
      <c r="F269" s="12" t="n"/>
      <c r="G269" s="4" t="inlineStr">
        <is>
          <t>Pending classification from source</t>
        </is>
      </c>
      <c r="H269" s="4" t="n">
        <v>0</v>
      </c>
      <c r="I269" s="4" t="inlineStr">
        <is>
          <t>Classification (binary/multi-class; incl. ASD vs control)/ multi-class)</t>
        </is>
      </c>
      <c r="J269" s="4" t="str"/>
      <c r="K269" s="4" t="inlineStr">
        <is>
          <t>Molecular mechanism/structural dynamics study of PTEN mutations; no clinical decision integration.</t>
        </is>
      </c>
      <c r="L269" s="4" t="inlineStr">
        <is>
          <t>https://doi.org/10.1021/acs.jcim.5c00134</t>
        </is>
      </c>
      <c r="M269" s="4" t="n"/>
      <c r="N269" s="12" t="n"/>
      <c r="O269" s="41" t="n"/>
      <c r="P269" s="4" t="inlineStr">
        <is>
          <t>Confirmed only when AI was actually evaluated/used within the stated workflow or intervention; intended use alone = Proposed only</t>
        </is>
      </c>
      <c r="Q269" s="4">
        <f>IF(COUNTIFS('ESTUDIOS'!$A$2:$A$455,$A269,'ESTUDIOS'!$I$2:$I$455,"")&gt;0,"",INDEX('ESTUDIOS'!$I$2:$I$455,MATCH($A269,'ESTUDIOS'!$A$2:$A$455,0)))</f>
        <v/>
      </c>
    </row>
    <row r="270" ht="60" customHeight="1">
      <c r="A270" s="4" t="inlineStr">
        <is>
          <t>291</t>
        </is>
      </c>
      <c r="B270" s="4" t="inlineStr">
        <is>
          <t>Historical</t>
        </is>
      </c>
      <c r="C270" s="4" t="inlineStr">
        <is>
          <t>MCDGLN: Masked connection-based dynamic graph learning network for autism spectrum disorder</t>
        </is>
      </c>
      <c r="D270" s="12" t="n"/>
      <c r="E270" s="12" t="n"/>
      <c r="F270" s="12" t="n"/>
      <c r="G270" s="4" t="inlineStr">
        <is>
          <t>Pending classification from source</t>
        </is>
      </c>
      <c r="H270" s="4" t="n">
        <v>0</v>
      </c>
      <c r="I270" s="4" t="inlineStr">
        <is>
          <t>Classification (binary/multi-class; incl. ASD vs control)/ multi-class)</t>
        </is>
      </c>
      <c r="J270" s="4" t="inlineStr">
        <is>
          <t>Modelo explícitamente dinámico + máscara anti-ruido: “segments BOLD signals using sliding temporal windows… and… mask… reducing noise and pruning irrelevant links.” Además reportan dataset ABIDE-I “1035 subjects… 505 with ASD and 530 TD”</t>
        </is>
      </c>
      <c r="K270" s="4" t="str"/>
      <c r="L270" s="4" t="inlineStr">
        <is>
          <t>https://doi.org/10.1016/j.brainresbull.2025.111290</t>
        </is>
      </c>
      <c r="M270" s="4" t="n"/>
      <c r="N270" s="12" t="n"/>
      <c r="O270" s="41" t="n"/>
      <c r="P270" s="4" t="inlineStr">
        <is>
          <t>Confirmed only when AI was actually evaluated/used within the stated workflow or intervention; intended use alone = Proposed only</t>
        </is>
      </c>
      <c r="Q270" s="4">
        <f>IF(COUNTIFS('ESTUDIOS'!$A$2:$A$455,$A270,'ESTUDIOS'!$I$2:$I$455,"")&gt;0,"",INDEX('ESTUDIOS'!$I$2:$I$455,MATCH($A270,'ESTUDIOS'!$A$2:$A$455,0)))</f>
        <v/>
      </c>
    </row>
    <row r="271" ht="47" customHeight="1">
      <c r="A271" s="4" t="inlineStr">
        <is>
          <t>292</t>
        </is>
      </c>
      <c r="B271" s="4" t="inlineStr">
        <is>
          <t>Historical</t>
        </is>
      </c>
      <c r="C271" s="4" t="inlineStr">
        <is>
          <t>Performance of case-control rare copy number variation annotation in classification of autism</t>
        </is>
      </c>
      <c r="D271" s="12" t="n"/>
      <c r="E271" s="12" t="n"/>
      <c r="F271" s="12" t="n"/>
      <c r="G271" s="4" t="inlineStr">
        <is>
          <t>Pending classification from source</t>
        </is>
      </c>
      <c r="H271" s="4" t="n">
        <v>0</v>
      </c>
      <c r="I271" s="4" t="inlineStr">
        <is>
          <t>Classification (ASD vs control / multi-class)</t>
        </is>
      </c>
      <c r="J271" s="4" t="inlineStr">
        <is>
          <t>Clasificación basada en rare CNV; conditional inference forest rinde mejor.</t>
        </is>
      </c>
      <c r="K271" s="4" t="str"/>
      <c r="L271" s="4" t="inlineStr">
        <is>
          <t>https://doi.org/10.1186/1755-8794-8-s1-s7</t>
        </is>
      </c>
      <c r="M271" s="4" t="n"/>
      <c r="N271" s="12" t="n"/>
      <c r="O271" s="41" t="n"/>
      <c r="P271" s="4" t="inlineStr">
        <is>
          <t>Confirmed only when AI was actually evaluated/used within the stated workflow or intervention; intended use alone = Proposed only</t>
        </is>
      </c>
      <c r="Q271" s="4">
        <f>IF(COUNTIFS('ESTUDIOS'!$A$2:$A$455,$A271,'ESTUDIOS'!$I$2:$I$455,"")&gt;0,"",INDEX('ESTUDIOS'!$I$2:$I$455,MATCH($A271,'ESTUDIOS'!$A$2:$A$455,0)))</f>
        <v/>
      </c>
    </row>
    <row r="272" ht="47" customHeight="1">
      <c r="A272" s="4" t="inlineStr">
        <is>
          <t>293</t>
        </is>
      </c>
      <c r="B272" s="4" t="inlineStr">
        <is>
          <t>Historical</t>
        </is>
      </c>
      <c r="C272" s="4" t="inlineStr">
        <is>
          <t>Personalized machine learning for robot perception of affect and engagement in autism therapy</t>
        </is>
      </c>
      <c r="D272" s="12" t="n"/>
      <c r="E272" s="12" t="n"/>
      <c r="F272" s="12" t="n"/>
      <c r="G272" s="4" t="inlineStr">
        <is>
          <t>Pending classification from source</t>
        </is>
      </c>
      <c r="H272" s="4" t="n">
        <v>1</v>
      </c>
      <c r="I272" s="4" t="inlineStr">
        <is>
          <t>Regression (score / severity / risk)</t>
        </is>
      </c>
      <c r="J272" s="4" t="str"/>
      <c r="K272" s="4" t="str"/>
      <c r="L272" s="4" t="inlineStr">
        <is>
          <t>https://doi.org/10.1126/scirobotics.aao6760</t>
        </is>
      </c>
      <c r="M272" s="4" t="n"/>
      <c r="N272" s="12" t="n"/>
      <c r="O272" s="41" t="n"/>
      <c r="P272" s="4" t="inlineStr">
        <is>
          <t>Confirmed only when AI was actually evaluated/used within the stated workflow or intervention; intended use alone = Proposed only</t>
        </is>
      </c>
      <c r="Q272" s="4">
        <f>IF(COUNTIFS('ESTUDIOS'!$A$2:$A$455,$A272,'ESTUDIOS'!$I$2:$I$455,"")&gt;0,"",INDEX('ESTUDIOS'!$I$2:$I$455,MATCH($A272,'ESTUDIOS'!$A$2:$A$455,0)))</f>
        <v/>
      </c>
    </row>
    <row r="273" ht="60" customHeight="1">
      <c r="A273" s="4" t="inlineStr">
        <is>
          <t>295</t>
        </is>
      </c>
      <c r="B273" s="4" t="inlineStr">
        <is>
          <t>Historical</t>
        </is>
      </c>
      <c r="C273" s="4" t="inlineStr">
        <is>
          <t>Prediction of Autism at 3 Years from Behavioural and Developmental Measures in High-Risk Infants: A Longitudinal Cross-Domain Classifier Analysis</t>
        </is>
      </c>
      <c r="D273" s="12" t="n"/>
      <c r="E273" s="12" t="n"/>
      <c r="F273" s="12" t="n"/>
      <c r="G273" s="4" t="inlineStr">
        <is>
          <t>Pending classification from source</t>
        </is>
      </c>
      <c r="H273" s="4" t="n">
        <v>1</v>
      </c>
      <c r="I273" s="4" t="inlineStr">
        <is>
          <t>Classification (binary/multi-class; incl. ASD vs control)/ multi-class)</t>
        </is>
      </c>
      <c r="J273" s="4" t="inlineStr">
        <is>
          <t>No es “ASD vs control poblacional”, sino predicción dentro del grupo de alto riesgo: “Low-risk controls were excluded… our main aim… predicting ASD outcome among HR siblings.”</t>
        </is>
      </c>
      <c r="K273" s="4" t="str"/>
      <c r="L273" s="4" t="inlineStr">
        <is>
          <t>https://doi.org/10.1007/s10803-018-3509-x</t>
        </is>
      </c>
      <c r="M273" s="4" t="n"/>
      <c r="N273" s="12" t="n"/>
      <c r="O273" s="41" t="n"/>
      <c r="P273" s="4" t="inlineStr">
        <is>
          <t>Confirmed only when AI was actually evaluated/used within the stated workflow or intervention; intended use alone = Proposed only</t>
        </is>
      </c>
      <c r="Q273" s="4">
        <f>IF(COUNTIFS('ESTUDIOS'!$A$2:$A$455,$A273,'ESTUDIOS'!$I$2:$I$455,"")&gt;0,"",INDEX('ESTUDIOS'!$I$2:$I$455,MATCH($A273,'ESTUDIOS'!$A$2:$A$455,0)))</f>
        <v/>
      </c>
    </row>
    <row r="274" ht="60" customHeight="1">
      <c r="A274" s="4" t="inlineStr">
        <is>
          <t>296</t>
        </is>
      </c>
      <c r="B274" s="4" t="inlineStr">
        <is>
          <t>Historical</t>
        </is>
      </c>
      <c r="C274" s="4" t="inlineStr">
        <is>
          <t>STDCformer: Spatial-temporal dual-path cross-attention model for fMRI-based autism spectrum disorder identification</t>
        </is>
      </c>
      <c r="D274" s="12" t="n"/>
      <c r="E274" s="12" t="n"/>
      <c r="F274" s="12" t="n"/>
      <c r="G274" s="4" t="inlineStr">
        <is>
          <t>Pending classification from source</t>
        </is>
      </c>
      <c r="H274" s="4" t="n">
        <v>0</v>
      </c>
      <c r="I274" s="4" t="inlineStr">
        <is>
          <t>Classification (binary/multi-class; incl. ASD vs control)/ multi-class)</t>
        </is>
      </c>
      <c r="J274" s="4" t="inlineStr">
        <is>
          <t>arquitectura híbrida: embedding temporal con “LSTM” y embedding espacial con “GAT”, integrados con “dual-path cross-attention” y “2D convolution” en el feed-forward.</t>
        </is>
      </c>
      <c r="K274" s="4" t="str"/>
      <c r="L274" s="4" t="inlineStr">
        <is>
          <t>https://doi.org/10.1016/j.heliyon.2024.e34245</t>
        </is>
      </c>
      <c r="M274" s="4" t="n"/>
      <c r="N274" s="12" t="n"/>
      <c r="O274" s="41" t="n"/>
      <c r="P274" s="4" t="inlineStr">
        <is>
          <t>Confirmed only when AI was actually evaluated/used within the stated workflow or intervention; intended use alone = Proposed only</t>
        </is>
      </c>
      <c r="Q274" s="4">
        <f>IF(COUNTIFS('ESTUDIOS'!$A$2:$A$455,$A274,'ESTUDIOS'!$I$2:$I$455,"")&gt;0,"",INDEX('ESTUDIOS'!$I$2:$I$455,MATCH($A274,'ESTUDIOS'!$A$2:$A$455,0)))</f>
        <v/>
      </c>
    </row>
    <row r="275" ht="47" customHeight="1">
      <c r="A275" s="4" t="inlineStr">
        <is>
          <t>298</t>
        </is>
      </c>
      <c r="B275" s="4" t="inlineStr">
        <is>
          <t>Historical</t>
        </is>
      </c>
      <c r="C275" s="4" t="inlineStr">
        <is>
          <t>Three Distinct Neuroanatomical Subtypes of Autism Spectrum Disorder, Revealed via Machine Learning, and Their Similarities With Schizophrenia Subtypes</t>
        </is>
      </c>
      <c r="D275" s="12" t="n"/>
      <c r="E275" s="12" t="n"/>
      <c r="F275" s="12" t="n"/>
      <c r="G275" s="4" t="inlineStr">
        <is>
          <t>Pending classification from source</t>
        </is>
      </c>
      <c r="H275" s="4" t="n">
        <v>0</v>
      </c>
      <c r="I275" s="4" t="inlineStr">
        <is>
          <t>Clustering / subtyping</t>
        </is>
      </c>
      <c r="J275" s="4" t="str"/>
      <c r="K275" s="4" t="str"/>
      <c r="L275" s="4" t="inlineStr">
        <is>
          <t>https://doi.org/10.1016/j.biopsych.2021.02.931</t>
        </is>
      </c>
      <c r="M275" s="4" t="n"/>
      <c r="N275" s="12" t="n"/>
      <c r="O275" s="41" t="n"/>
      <c r="P275" s="4" t="inlineStr">
        <is>
          <t>Confirmed only when AI was actually evaluated/used within the stated workflow or intervention; intended use alone = Proposed only</t>
        </is>
      </c>
      <c r="Q275" s="4">
        <f>IF(COUNTIFS('ESTUDIOS'!$A$2:$A$455,$A275,'ESTUDIOS'!$I$2:$I$455,"")&gt;0,"",INDEX('ESTUDIOS'!$I$2:$I$455,MATCH($A275,'ESTUDIOS'!$A$2:$A$455,0)))</f>
        <v/>
      </c>
    </row>
    <row r="276" ht="60" customHeight="1">
      <c r="A276" s="4" t="inlineStr">
        <is>
          <t>299</t>
        </is>
      </c>
      <c r="B276" s="4" t="inlineStr">
        <is>
          <t>Historical</t>
        </is>
      </c>
      <c r="C276" s="4" t="inlineStr">
        <is>
          <t>Three-dimensional quantification of oxytocin neurons in the hypothalamic paraventricular nucleus reveals sex- and subregion-specific differences in two genetic mouse models of autism</t>
        </is>
      </c>
      <c r="D276" s="12" t="n"/>
      <c r="E276" s="12" t="n"/>
      <c r="F276" s="12" t="n"/>
      <c r="G276" s="4" t="inlineStr">
        <is>
          <t>Pending classification from source</t>
        </is>
      </c>
      <c r="H276" s="4" t="n">
        <v>0</v>
      </c>
      <c r="I276" s="4" t="n"/>
      <c r="J276" s="4" t="inlineStr">
        <is>
          <t>Sin señal explícita Q3 en título/abstract.</t>
        </is>
      </c>
      <c r="K276" s="4" t="inlineStr">
        <is>
          <t>Mouse-model 3D cell quantification pipeline; not a clinical ASD decision system.</t>
        </is>
      </c>
      <c r="L276" s="4" t="inlineStr">
        <is>
          <t>https://doi.org/10.1111/jne.70092</t>
        </is>
      </c>
      <c r="M276" s="4" t="n"/>
      <c r="N276" s="12" t="n"/>
      <c r="O276" s="41" t="n"/>
      <c r="P276" s="4" t="inlineStr">
        <is>
          <t>Confirmed only when AI was actually evaluated/used within the stated workflow or intervention; intended use alone = Proposed only</t>
        </is>
      </c>
      <c r="Q276" s="4">
        <f>IF(COUNTIFS('ESTUDIOS'!$A$2:$A$455,$A276,'ESTUDIOS'!$I$2:$I$455,"")&gt;0,"",INDEX('ESTUDIOS'!$I$2:$I$455,MATCH($A276,'ESTUDIOS'!$A$2:$A$455,0)))</f>
        <v/>
      </c>
    </row>
    <row r="277" ht="47" customHeight="1">
      <c r="A277" s="4" t="inlineStr">
        <is>
          <t>300</t>
        </is>
      </c>
      <c r="B277" s="4" t="inlineStr">
        <is>
          <t>Historical</t>
        </is>
      </c>
      <c r="C277" s="4" t="inlineStr">
        <is>
          <t>Application of Speech Signal for Early Screening of Children with Autism Spectrum Disorder</t>
        </is>
      </c>
      <c r="D277" s="12" t="n"/>
      <c r="E277" s="12" t="n"/>
      <c r="F277" s="12" t="n"/>
      <c r="G277" s="4" t="inlineStr">
        <is>
          <t>Pending classification from source</t>
        </is>
      </c>
      <c r="H277" s="4" t="n">
        <v>1</v>
      </c>
      <c r="I277" s="4" t="inlineStr">
        <is>
          <t>Classification (ASD vs control / multi-class)</t>
        </is>
      </c>
      <c r="J277" s="4" t="inlineStr">
        <is>
          <t>Sin señal explícita Q3 en título/abstract.</t>
        </is>
      </c>
      <c r="K277" s="4" t="str"/>
      <c r="L277" s="4" t="inlineStr">
        <is>
          <t>https://doi.org/10.1007/978-3-031-62273-1_36</t>
        </is>
      </c>
      <c r="M277" s="4" t="n"/>
      <c r="N277" s="12" t="n"/>
      <c r="O277" s="41" t="n"/>
      <c r="P277" s="4" t="inlineStr">
        <is>
          <t>Confirmed only when AI was actually evaluated/used within the stated workflow or intervention; intended use alone = Proposed only</t>
        </is>
      </c>
      <c r="Q277" s="4">
        <f>IF(COUNTIFS('ESTUDIOS'!$A$2:$A$455,$A277,'ESTUDIOS'!$I$2:$I$455,"")&gt;0,"",INDEX('ESTUDIOS'!$I$2:$I$455,MATCH($A277,'ESTUDIOS'!$A$2:$A$455,0)))</f>
        <v/>
      </c>
    </row>
    <row r="278" ht="112" customHeight="1">
      <c r="A278" s="4" t="inlineStr">
        <is>
          <t>new_12</t>
        </is>
      </c>
      <c r="B278" s="4" t="inlineStr">
        <is>
          <t>Update</t>
        </is>
      </c>
      <c r="C278" s="4" t="inlineStr">
        <is>
          <t>Integration of an Artificial Intelligence–Based Autism Diagnostic Device into the ECHO Autism Primary Care Workflow: Prospective Observational Study</t>
        </is>
      </c>
      <c r="D278" s="4" t="inlineStr">
        <is>
          <t>Confirmed in workflow</t>
        </is>
      </c>
      <c r="E278" s="4" t="inlineStr">
        <is>
          <t>AI diagnostic device embedded in primary-care evaluation</t>
        </is>
      </c>
      <c r="F278" s="4" t="n"/>
      <c r="G278" s="4" t="inlineStr">
        <is>
          <t>Recorded in update; verification pending</t>
        </is>
      </c>
      <c r="H278" s="4" t="n"/>
      <c r="I278" s="4" t="inlineStr">
        <is>
          <t>Diagnostic prediction / rule-out</t>
        </is>
      </c>
      <c r="J278" s="4" t="inlineStr">
        <is>
          <t xml:space="preserve">Background: Pediatric specialist shortages and rapidly rising autism prevalence rates have compelled primary care clinicians to consider playing a greater role in the autism diagnostic process. The ECHO Autism: Early Diagnosis Program (EDx) prepares clinicians to screen, evaluate, differentiate, diagnose, and provide longitudinal care for children with autism in primary care settings. Canvas Dx is a prescription-only Software as a Medical Device </t>
        </is>
      </c>
      <c r="K278" s="4" t="str"/>
      <c r="L278" s="4" t="inlineStr">
        <is>
          <t>https://doi.org/10.2196/80733</t>
        </is>
      </c>
      <c r="M278" s="4" t="n"/>
      <c r="N278" s="12" t="n"/>
      <c r="O278" s="41" t="n"/>
      <c r="P278" s="4" t="inlineStr">
        <is>
          <t>Confirmed only when AI was actually evaluated/used within the stated workflow or intervention; intended use alone = Proposed only</t>
        </is>
      </c>
      <c r="Q278" s="4">
        <f>IF(COUNTIFS('ESTUDIOS'!$A$2:$A$455,$A278,'ESTUDIOS'!$I$2:$I$455,"")&gt;0,"",INDEX('ESTUDIOS'!$I$2:$I$455,MATCH($A278,'ESTUDIOS'!$A$2:$A$455,0)))</f>
        <v/>
      </c>
    </row>
    <row r="279" ht="112" customHeight="1">
      <c r="A279" s="4" t="inlineStr">
        <is>
          <t>new_13</t>
        </is>
      </c>
      <c r="B279" s="4" t="inlineStr">
        <is>
          <t>Update</t>
        </is>
      </c>
      <c r="C279" s="4" t="inlineStr">
        <is>
          <t>In-silico assessment of dynamic symbiotic microbial interactions in a reduced microbiota related to the autism spectrum disorder symptoms</t>
        </is>
      </c>
      <c r="D279" s="4" t="inlineStr">
        <is>
          <t>Research only</t>
        </is>
      </c>
      <c r="E279" s="4" t="inlineStr">
        <is>
          <t>No evaluated clinical workflow</t>
        </is>
      </c>
      <c r="F279" s="4" t="n"/>
      <c r="G279" s="4" t="inlineStr">
        <is>
          <t>Recorded in update; verification pending</t>
        </is>
      </c>
      <c r="H279" s="4" t="n"/>
      <c r="I279" s="4" t="inlineStr">
        <is>
          <t>Mechanistic interpretation / biomarker characterization</t>
        </is>
      </c>
      <c r="J279" s="4" t="inlineStr">
        <is>
          <t>The gut microbiota plays a crucial role in human health, with growing evidence linking its composition to the development of Autism Spectrum Disorder. However, inconsistencies in previous studies have hindered the identification of a definitive microbial signature associated with Autism Spectrum Disorder. Machine learning models have emerged as powerful tools for analyzing microbiome data, yet their interpretability remains limited. In this study</t>
        </is>
      </c>
      <c r="K279" s="4" t="str"/>
      <c r="L279" s="4" t="inlineStr">
        <is>
          <t>https://doi.org/10.1016/j.csbj.2025.09.006</t>
        </is>
      </c>
      <c r="M279" s="4" t="n"/>
      <c r="N279" s="12" t="n"/>
      <c r="O279" s="41" t="n"/>
      <c r="P279" s="4" t="inlineStr">
        <is>
          <t>Confirmed only when AI was actually evaluated/used within the stated workflow or intervention; intended use alone = Proposed only</t>
        </is>
      </c>
      <c r="Q279" s="4">
        <f>IF(COUNTIFS('ESTUDIOS'!$A$2:$A$455,$A279,'ESTUDIOS'!$I$2:$I$455,"")&gt;0,"",INDEX('ESTUDIOS'!$I$2:$I$455,MATCH($A279,'ESTUDIOS'!$A$2:$A$455,0)))</f>
        <v/>
      </c>
    </row>
    <row r="280" ht="112" customHeight="1">
      <c r="A280" s="4" t="inlineStr">
        <is>
          <t>new_35</t>
        </is>
      </c>
      <c r="B280" s="4" t="inlineStr">
        <is>
          <t>Update</t>
        </is>
      </c>
      <c r="C280" s="4" t="inlineStr">
        <is>
          <t>Deep Learning Approaches for Classifying Children With and Without Autism Spectrum Disorder Using Inertial Measurement Unit Hand Tracking Data: Comparative Study</t>
        </is>
      </c>
      <c r="D280" s="4" t="inlineStr">
        <is>
          <t>Proposed only</t>
        </is>
      </c>
      <c r="E280" s="4" t="inlineStr">
        <is>
          <t>No clinical deployment evaluated</t>
        </is>
      </c>
      <c r="F280" s="4" t="n"/>
      <c r="G280" s="4" t="inlineStr">
        <is>
          <t>Recorded in update; verification pending</t>
        </is>
      </c>
      <c r="H280" s="4" t="n"/>
      <c r="I280" s="4" t="inlineStr">
        <is>
          <t>Classification (ASD vs control)</t>
        </is>
      </c>
      <c r="J280" s="4" t="inlineStr">
        <is>
          <t>Background: Autism spectrum disorder (ASD) is a prevalent neurodevelopmental condition that can be quite difficult to diagnose due to a lack of objective diagnostic methods in the currently used behavioral assessments. Recent work has shown that children with ASD have a higher incidence of motor control differences. A compilation of studies indicates that between 50% and 88% of the children with ASD have issues with movement control based on stan</t>
        </is>
      </c>
      <c r="K280" s="4" t="str"/>
      <c r="L280" s="4" t="inlineStr">
        <is>
          <t>https://doi.org/10.2196/73440</t>
        </is>
      </c>
      <c r="M280" s="4" t="n"/>
      <c r="N280" s="12" t="n"/>
      <c r="O280" s="41" t="n"/>
      <c r="P280" s="4" t="inlineStr">
        <is>
          <t>Confirmed only when AI was actually evaluated/used within the stated workflow or intervention; intended use alone = Proposed only</t>
        </is>
      </c>
      <c r="Q280" s="4">
        <f>IF(COUNTIFS('ESTUDIOS'!$A$2:$A$455,$A280,'ESTUDIOS'!$I$2:$I$455,"")&gt;0,"",INDEX('ESTUDIOS'!$I$2:$I$455,MATCH($A280,'ESTUDIOS'!$A$2:$A$455,0)))</f>
        <v/>
      </c>
    </row>
    <row r="281" ht="112" customHeight="1">
      <c r="A281" s="4" t="inlineStr">
        <is>
          <t>new_50</t>
        </is>
      </c>
      <c r="B281" s="4" t="inlineStr">
        <is>
          <t>Update</t>
        </is>
      </c>
      <c r="C281" s="4" t="inlineStr">
        <is>
          <t>Effectiveness of Artificial Intelligence–Based Platform in Administering Therapies for Children With Autism Spectrum Disorder: 12-Month Observational Study</t>
        </is>
      </c>
      <c r="D281" s="4" t="inlineStr">
        <is>
          <t>Confirmed in care delivery</t>
        </is>
      </c>
      <c r="E281" s="4" t="inlineStr">
        <is>
          <t>Platform used alongside standard therapy</t>
        </is>
      </c>
      <c r="F281" s="4" t="n"/>
      <c r="G281" s="4" t="inlineStr">
        <is>
          <t>Recorded in update; verification pending</t>
        </is>
      </c>
      <c r="H281" s="4" t="n"/>
      <c r="I281" s="4" t="inlineStr">
        <is>
          <t>Technology-assisted intervention</t>
        </is>
      </c>
      <c r="J281" s="4" t="inlineStr">
        <is>
          <t xml:space="preserve">Background: A 12-month longitudinal observational study was conducted on 43 children aged 2‐18 years to evaluate the effectiveness of the CognitiveBotics artificial intelligence (AI)–based platform in conjunction with continuous therapy in improving therapeutic outcomes for children with autism spectrum disorder (ASD). Objective: This study evaluates the CognitiveBotics software’s effectiveness in supporting children with ASD through structured, </t>
        </is>
      </c>
      <c r="K281" s="4" t="str"/>
      <c r="L281" s="4" t="inlineStr">
        <is>
          <t>https://doi.org/10.2196/70589</t>
        </is>
      </c>
      <c r="M281" s="4" t="n"/>
      <c r="N281" s="12" t="n"/>
      <c r="O281" s="41" t="n"/>
      <c r="P281" s="4" t="inlineStr">
        <is>
          <t>Confirmed only when AI was actually evaluated/used within the stated workflow or intervention; intended use alone = Proposed only</t>
        </is>
      </c>
      <c r="Q281" s="4">
        <f>IF(COUNTIFS('ESTUDIOS'!$A$2:$A$455,$A281,'ESTUDIOS'!$I$2:$I$455,"")&gt;0,"",INDEX('ESTUDIOS'!$I$2:$I$455,MATCH($A281,'ESTUDIOS'!$A$2:$A$455,0)))</f>
        <v/>
      </c>
    </row>
    <row r="282" ht="112" customHeight="1">
      <c r="A282" s="4" t="inlineStr">
        <is>
          <t>new_93</t>
        </is>
      </c>
      <c r="B282" s="4" t="inlineStr">
        <is>
          <t>Update</t>
        </is>
      </c>
      <c r="C282" s="4" t="inlineStr">
        <is>
          <t>Large language models deconstruct the clinical intuition behind diagnosing autism</t>
        </is>
      </c>
      <c r="D282" s="4" t="inlineStr">
        <is>
          <t>Research only</t>
        </is>
      </c>
      <c r="E282" s="4" t="inlineStr">
        <is>
          <t>Retrospective analysis of clinical reports</t>
        </is>
      </c>
      <c r="F282" s="4" t="n"/>
      <c r="G282" s="4" t="inlineStr">
        <is>
          <t>Recorded in update; verification pending</t>
        </is>
      </c>
      <c r="H282" s="4" t="n"/>
      <c r="I282" s="4" t="inlineStr">
        <is>
          <t>Clinical reasoning classification and explanation</t>
        </is>
      </c>
      <c r="J282" s="4" t="inlineStr">
        <is>
          <t>Efforts to use genome-wide assays or brain scans to diagnose autism have seen diminishing returns. Yet the clinical intuition of healthcare professionals, based on longstanding first-hand experience, remains the gold standard for diagnosis of autism. We leveraged deep learning to deconstruct and interrogate the logic of expert clinician intuition from clinical reports to inform our understanding of autism. After pre-training on hundreds of millio</t>
        </is>
      </c>
      <c r="K282" s="4" t="str"/>
      <c r="L282" s="4" t="inlineStr">
        <is>
          <t>https://doi.org/10.1016/j.cell.2025.02.025</t>
        </is>
      </c>
      <c r="M282" s="4" t="n"/>
      <c r="N282" s="12" t="n"/>
      <c r="O282" s="41" t="n"/>
      <c r="P282" s="4" t="inlineStr">
        <is>
          <t>Confirmed only when AI was actually evaluated/used within the stated workflow or intervention; intended use alone = Proposed only</t>
        </is>
      </c>
      <c r="Q282" s="4">
        <f>IF(COUNTIFS('ESTUDIOS'!$A$2:$A$455,$A282,'ESTUDIOS'!$I$2:$I$455,"")&gt;0,"",INDEX('ESTUDIOS'!$I$2:$I$455,MATCH($A282,'ESTUDIOS'!$A$2:$A$455,0)))</f>
        <v/>
      </c>
    </row>
    <row r="283" ht="112" customHeight="1">
      <c r="A283" s="4" t="inlineStr">
        <is>
          <t>new_96</t>
        </is>
      </c>
      <c r="B283" s="4" t="inlineStr">
        <is>
          <t>Update</t>
        </is>
      </c>
      <c r="C283" s="4" t="inlineStr">
        <is>
          <t>Ensemble of Deep Learning with Crested Porcupine Optimizer Based Autism Spectrum Disorder Detection Using Facial Images</t>
        </is>
      </c>
      <c r="D283" s="4" t="inlineStr">
        <is>
          <t>Proposed only</t>
        </is>
      </c>
      <c r="E283" s="4" t="inlineStr">
        <is>
          <t>Proposed image-based diagnostic support</t>
        </is>
      </c>
      <c r="F283" s="4" t="n"/>
      <c r="G283" s="4" t="inlineStr">
        <is>
          <t>Recorded in update; verification pending</t>
        </is>
      </c>
      <c r="H283" s="4" t="n"/>
      <c r="I283" s="4" t="inlineStr">
        <is>
          <t>Classification (ASD vs control)</t>
        </is>
      </c>
      <c r="J283" s="4" t="inlineStr">
        <is>
          <t>Autism spectrum disorder (ASD) is a multifaceted neurological developmental condition that manifests in several ways. Nearly all autistic children remain undiagnosed before the age of three. Developmental problems affecting face features are often associated with fundamental brain disorders. The facial evolution of newborns with ASD is quite different from that of typically developing children. Early recognition is very significant to aid familie</t>
        </is>
      </c>
      <c r="K283" s="4" t="str"/>
      <c r="L283" s="4" t="inlineStr">
        <is>
          <t>https://doi.org/10.32604/cmc.2025.062266</t>
        </is>
      </c>
      <c r="M283" s="4" t="n"/>
      <c r="N283" s="12" t="n"/>
      <c r="O283" s="41" t="n"/>
      <c r="P283" s="4" t="inlineStr">
        <is>
          <t>Confirmed only when AI was actually evaluated/used within the stated workflow or intervention; intended use alone = Proposed only</t>
        </is>
      </c>
      <c r="Q283" s="4">
        <f>IF(COUNTIFS('ESTUDIOS'!$A$2:$A$455,$A283,'ESTUDIOS'!$I$2:$I$455,"")&gt;0,"",INDEX('ESTUDIOS'!$I$2:$I$455,MATCH($A283,'ESTUDIOS'!$A$2:$A$455,0)))</f>
        <v/>
      </c>
    </row>
    <row r="284" ht="112" customHeight="1">
      <c r="A284" s="4" t="inlineStr">
        <is>
          <t>new_108</t>
        </is>
      </c>
      <c r="B284" s="4" t="inlineStr">
        <is>
          <t>Update</t>
        </is>
      </c>
      <c r="C284" s="4" t="inlineStr">
        <is>
          <t>Awareness with Machine: Hybrid Approach to Detecting ASD with a Clustering</t>
        </is>
      </c>
      <c r="D284" s="4" t="inlineStr">
        <is>
          <t>Proposed only</t>
        </is>
      </c>
      <c r="E284" s="4" t="inlineStr">
        <is>
          <t>Research screening model</t>
        </is>
      </c>
      <c r="F284" s="4" t="n"/>
      <c r="G284" s="4" t="inlineStr">
        <is>
          <t>Recorded in update; verification pending</t>
        </is>
      </c>
      <c r="H284" s="4" t="n"/>
      <c r="I284" s="4" t="inlineStr">
        <is>
          <t>Classification (ASD vs control)</t>
        </is>
      </c>
      <c r="J284" s="4" t="inlineStr">
        <is>
          <t>Detection of Autism Spectrum Disorder (ASD) is a crucial area of research, representing a foundational aspect of psychological studies. The advancement of technology and the widespread adoption of machine learning methodologies have brought significant attention to this field in recent years. Interdisciplinary efforts have further propelled research into detection methods. Consequently, this study aims to contribute to both the fields of psycholo</t>
        </is>
      </c>
      <c r="K284" s="4" t="str"/>
      <c r="L284" s="4" t="inlineStr">
        <is>
          <t>https://doi.org/10.32604/cmc.2025.062643</t>
        </is>
      </c>
      <c r="M284" s="4" t="n"/>
      <c r="N284" s="12" t="n"/>
      <c r="O284" s="41" t="n"/>
      <c r="P284" s="4" t="inlineStr">
        <is>
          <t>Confirmed only when AI was actually evaluated/used within the stated workflow or intervention; intended use alone = Proposed only</t>
        </is>
      </c>
      <c r="Q284" s="4">
        <f>IF(COUNTIFS('ESTUDIOS'!$A$2:$A$455,$A284,'ESTUDIOS'!$I$2:$I$455,"")&gt;0,"",INDEX('ESTUDIOS'!$I$2:$I$455,MATCH($A284,'ESTUDIOS'!$A$2:$A$455,0)))</f>
        <v/>
      </c>
    </row>
    <row r="285" ht="112" customHeight="1">
      <c r="A285" s="4" t="inlineStr">
        <is>
          <t>new_125</t>
        </is>
      </c>
      <c r="B285" s="4" t="inlineStr">
        <is>
          <t>Update</t>
        </is>
      </c>
      <c r="C285" s="4" t="inlineStr">
        <is>
          <t>Identification of critical brain regions for autism diagnosis from fMRI data using explainable AI: an observational analysis of the ABIDE dataset</t>
        </is>
      </c>
      <c r="D285" s="4" t="inlineStr">
        <is>
          <t>Proposed only</t>
        </is>
      </c>
      <c r="E285" s="4" t="inlineStr">
        <is>
          <t>Retrospective research model; active Expression of Concern</t>
        </is>
      </c>
      <c r="F285" s="4" t="n"/>
      <c r="G285" s="4" t="inlineStr">
        <is>
          <t>Recorded in update; verification pending</t>
        </is>
      </c>
      <c r="H285" s="4" t="n"/>
      <c r="I285" s="4" t="inlineStr">
        <is>
          <t>Classification (ASD vs control)</t>
        </is>
      </c>
      <c r="J285" s="4" t="inlineStr">
        <is>
          <t>Background: Diagnosis of autism spectrum disorder (ASD) significantly improves quality of life, yet current diagnostic practices rely on subjective behavioural assessments. While machine learning models using functional Magnetic Resonance Imaging (fMRI) show promise for objective diagnosis, existing approaches have critical limitations. High-accuracy models often neglect interpretability, increasing clinical distrust, while interpretable approach</t>
        </is>
      </c>
      <c r="K285" s="4" t="str"/>
      <c r="L285" s="4" t="inlineStr">
        <is>
          <t>https://doi.org/10.1016/j.eclinm.2025.103452</t>
        </is>
      </c>
      <c r="M285" s="4" t="n"/>
      <c r="N285" s="12" t="n"/>
      <c r="O285" s="41" t="n"/>
      <c r="P285" s="4" t="inlineStr">
        <is>
          <t>Confirmed only when AI was actually evaluated/used within the stated workflow or intervention; intended use alone = Proposed only</t>
        </is>
      </c>
      <c r="Q285" s="4">
        <f>IF(COUNTIFS('ESTUDIOS'!$A$2:$A$455,$A285,'ESTUDIOS'!$I$2:$I$455,"")&gt;0,"",INDEX('ESTUDIOS'!$I$2:$I$455,MATCH($A285,'ESTUDIOS'!$A$2:$A$455,0)))</f>
        <v/>
      </c>
    </row>
    <row r="286" ht="112" customHeight="1">
      <c r="A286" s="4" t="inlineStr">
        <is>
          <t>new_132</t>
        </is>
      </c>
      <c r="B286" s="4" t="inlineStr">
        <is>
          <t>Update</t>
        </is>
      </c>
      <c r="C286" s="4" t="inlineStr">
        <is>
          <t>A Brief Observation to Screen Autism in Toddlers and Predict Developmental Trajectory</t>
        </is>
      </c>
      <c r="D286" s="4" t="inlineStr">
        <is>
          <t>Proposed only</t>
        </is>
      </c>
      <c r="E286" s="4" t="inlineStr">
        <is>
          <t>Proposed pediatric screening support</t>
        </is>
      </c>
      <c r="F286" s="4" t="n"/>
      <c r="G286" s="4" t="inlineStr">
        <is>
          <t>Recorded in update; verification pending</t>
        </is>
      </c>
      <c r="H286" s="4" t="n"/>
      <c r="I286" s="4" t="inlineStr">
        <is>
          <t>Screening and developmental prediction</t>
        </is>
      </c>
      <c r="J286" s="4" t="inlineStr">
        <is>
          <t>Objective: Autism spectrum disorder (ASD) affects approximately 1 in 31 children. Early diagnosis is crucial for optimizing outcomes through early interventions, and primary care settings need efficient tools to identify children presenting autistic features. This study explores the potential of early socio-communicative behaviors, measured by the Early Social Communication Scales, to screen for ASD in children younger than 3 years old, and predi</t>
        </is>
      </c>
      <c r="K286" s="4" t="str"/>
      <c r="L286" s="4" t="inlineStr">
        <is>
          <t>https://doi.org/10.1016/j.jpedcp.2025.200176</t>
        </is>
      </c>
      <c r="M286" s="4" t="n"/>
      <c r="N286" s="12" t="n"/>
      <c r="O286" s="41" t="n"/>
      <c r="P286" s="4" t="inlineStr">
        <is>
          <t>Confirmed only when AI was actually evaluated/used within the stated workflow or intervention; intended use alone = Proposed only</t>
        </is>
      </c>
      <c r="Q286" s="4">
        <f>IF(COUNTIFS('ESTUDIOS'!$A$2:$A$455,$A286,'ESTUDIOS'!$I$2:$I$455,"")&gt;0,"",INDEX('ESTUDIOS'!$I$2:$I$455,MATCH($A286,'ESTUDIOS'!$A$2:$A$455,0)))</f>
        <v/>
      </c>
    </row>
    <row r="287" ht="112" customHeight="1">
      <c r="A287" s="4" t="inlineStr">
        <is>
          <t>new_145</t>
        </is>
      </c>
      <c r="B287" s="4" t="inlineStr">
        <is>
          <t>Update</t>
        </is>
      </c>
      <c r="C287" s="4" t="inlineStr">
        <is>
          <t>Explainable Ensemble Learning Framework for Early Detection of Autism Spectrum Disorder: Enhancing Trust, Interpretability and Reliability in AI-Driven Healthcare</t>
        </is>
      </c>
      <c r="D287" s="4" t="inlineStr">
        <is>
          <t>Proposed only</t>
        </is>
      </c>
      <c r="E287" s="4" t="inlineStr">
        <is>
          <t>Clinician-facing research prototype</t>
        </is>
      </c>
      <c r="F287" s="4" t="n"/>
      <c r="G287" s="4" t="inlineStr">
        <is>
          <t>Recorded in update; verification pending</t>
        </is>
      </c>
      <c r="H287" s="4" t="n"/>
      <c r="I287" s="4" t="inlineStr">
        <is>
          <t>Screening and severity classification</t>
        </is>
      </c>
      <c r="J287" s="4" t="inlineStr">
        <is>
          <t>Artificial Intelligence (AI) is changing healthcare by helping with diagnosis. However, for doctors to trust AI tools, they need to be both accurate and easy to understand. In this study, we created a new machine learning system for the early detection of Autism Spectrum Disorder (ASD) in children. Our main goal was to build a model that is not only good at predicting ASD but also clear in its reasoning. For this, we combined several different mo</t>
        </is>
      </c>
      <c r="K287" s="4" t="str"/>
      <c r="L287" s="4" t="inlineStr">
        <is>
          <t>https://doi.org/10.32604/cmes.2025.074627</t>
        </is>
      </c>
      <c r="M287" s="4" t="n"/>
      <c r="N287" s="12" t="n"/>
      <c r="O287" s="41" t="n"/>
      <c r="P287" s="4" t="inlineStr">
        <is>
          <t>Confirmed only when AI was actually evaluated/used within the stated workflow or intervention; intended use alone = Proposed only</t>
        </is>
      </c>
      <c r="Q287" s="4">
        <f>IF(COUNTIFS('ESTUDIOS'!$A$2:$A$455,$A287,'ESTUDIOS'!$I$2:$I$455,"")&gt;0,"",INDEX('ESTUDIOS'!$I$2:$I$455,MATCH($A287,'ESTUDIOS'!$A$2:$A$455,0)))</f>
        <v/>
      </c>
    </row>
    <row r="288" ht="47" customHeight="1">
      <c r="A288" s="4" t="inlineStr">
        <is>
          <t>new_160</t>
        </is>
      </c>
      <c r="B288" s="4" t="inlineStr">
        <is>
          <t>Update</t>
        </is>
      </c>
      <c r="C288" s="4" t="inlineStr">
        <is>
          <t>LLM-Assisted Annotation Framework for Cross Platform Analysis of Autism Online Communities: Implications for Parent Education and Digital Support (Preprint)</t>
        </is>
      </c>
      <c r="D288" s="4" t="inlineStr">
        <is>
          <t>Research only</t>
        </is>
      </c>
      <c r="E288" s="4" t="inlineStr">
        <is>
          <t>Online-community analysis</t>
        </is>
      </c>
      <c r="F288" s="4" t="n"/>
      <c r="G288" s="4" t="inlineStr">
        <is>
          <t>Recorded in update; verification pending</t>
        </is>
      </c>
      <c r="H288" s="4" t="n"/>
      <c r="I288" s="4" t="inlineStr">
        <is>
          <t>Topic and identity classification</t>
        </is>
      </c>
      <c r="J288" s="4" t="str"/>
      <c r="K288" s="4" t="str"/>
      <c r="L288" s="4" t="inlineStr">
        <is>
          <t>https://doi.org/10.2196/85290</t>
        </is>
      </c>
      <c r="M288" s="4" t="n"/>
      <c r="N288" s="12" t="n"/>
      <c r="O288" s="41" t="n"/>
      <c r="P288" s="4" t="inlineStr">
        <is>
          <t>Confirmed only when AI was actually evaluated/used within the stated workflow or intervention; intended use alone = Proposed only</t>
        </is>
      </c>
      <c r="Q288" s="4">
        <f>IF(COUNTIFS('ESTUDIOS'!$A$2:$A$455,$A288,'ESTUDIOS'!$I$2:$I$455,"")&gt;0,"",INDEX('ESTUDIOS'!$I$2:$I$455,MATCH($A288,'ESTUDIOS'!$A$2:$A$455,0)))</f>
        <v/>
      </c>
    </row>
    <row r="289" ht="112" customHeight="1">
      <c r="A289" s="4" t="inlineStr">
        <is>
          <t>new_169</t>
        </is>
      </c>
      <c r="B289" s="4" t="inlineStr">
        <is>
          <t>Update</t>
        </is>
      </c>
      <c r="C289" s="4" t="inlineStr">
        <is>
          <t>GPT-Powered Chatbot-Based Positive Psychology Intervention for Well-Being Among Parents of Children With Autism Spectrum Disorder: Single-Arm Mixed Methods Study</t>
        </is>
      </c>
      <c r="D289" s="4" t="inlineStr">
        <is>
          <t>Confirmed in intervention</t>
        </is>
      </c>
      <c r="E289" s="4" t="inlineStr">
        <is>
          <t>Evaluated caregiver intervention</t>
        </is>
      </c>
      <c r="F289" s="4" t="n"/>
      <c r="G289" s="4" t="inlineStr">
        <is>
          <t>Recorded in update; verification pending</t>
        </is>
      </c>
      <c r="H289" s="4" t="n"/>
      <c r="I289" s="4" t="inlineStr">
        <is>
          <t>Digital positive-psychology intervention</t>
        </is>
      </c>
      <c r="J289" s="4" t="inlineStr">
        <is>
          <t>Background: Parents of autistic children frequently experience elevated stress levels, depressive symptoms, and reduced well-being. Positive psychology interventions (PPIs) can strengthen resilience, and chatbots offer a scalable channel through which such skills can be delivered. However, evidence on the evaluation of large language model–guided PPI-based chatbots for this population is limited. Objective: This study evaluated the feasibility an</t>
        </is>
      </c>
      <c r="K289" s="4" t="str"/>
      <c r="L289" s="4" t="inlineStr">
        <is>
          <t>https://doi.org/10.2196/85060</t>
        </is>
      </c>
      <c r="M289" s="4" t="n"/>
      <c r="N289" s="12" t="n"/>
      <c r="O289" s="41" t="n"/>
      <c r="P289" s="4" t="inlineStr">
        <is>
          <t>Confirmed only when AI was actually evaluated/used within the stated workflow or intervention; intended use alone = Proposed only</t>
        </is>
      </c>
      <c r="Q289" s="4">
        <f>IF(COUNTIFS('ESTUDIOS'!$A$2:$A$455,$A289,'ESTUDIOS'!$I$2:$I$455,"")&gt;0,"",INDEX('ESTUDIOS'!$I$2:$I$455,MATCH($A289,'ESTUDIOS'!$A$2:$A$455,0)))</f>
        <v/>
      </c>
    </row>
    <row r="290" ht="60" customHeight="1">
      <c r="A290" s="4" t="inlineStr">
        <is>
          <t>new_171</t>
        </is>
      </c>
      <c r="B290" s="4" t="inlineStr">
        <is>
          <t>Update</t>
        </is>
      </c>
      <c r="C290" s="4" t="inlineStr">
        <is>
          <t>Artificial Intelligence Prediction of Individual Treatment Response to Smartphone-Based Mindfulness in Autistic Adults with Anxiety Symptoms: A Randomized Controlled Trial Analysis (Preprint)</t>
        </is>
      </c>
      <c r="D290" s="4" t="inlineStr">
        <is>
          <t>Proposed only</t>
        </is>
      </c>
      <c r="E290" s="4" t="inlineStr">
        <is>
          <t>Secondary RCT analysis</t>
        </is>
      </c>
      <c r="F290" s="4" t="n"/>
      <c r="G290" s="4" t="inlineStr">
        <is>
          <t>Recorded in update; verification pending</t>
        </is>
      </c>
      <c r="H290" s="4" t="n"/>
      <c r="I290" s="4" t="inlineStr">
        <is>
          <t>Treatment-response prediction</t>
        </is>
      </c>
      <c r="J290" s="4" t="str"/>
      <c r="K290" s="4" t="str"/>
      <c r="L290" s="4" t="inlineStr">
        <is>
          <t>https://doi.org/10.2196/89054</t>
        </is>
      </c>
      <c r="M290" s="4" t="n"/>
      <c r="N290" s="12" t="n"/>
      <c r="O290" s="41" t="n"/>
      <c r="P290" s="4" t="inlineStr">
        <is>
          <t>Confirmed only when AI was actually evaluated/used within the stated workflow or intervention; intended use alone = Proposed only</t>
        </is>
      </c>
      <c r="Q290" s="4">
        <f>IF(COUNTIFS('ESTUDIOS'!$A$2:$A$455,$A290,'ESTUDIOS'!$I$2:$I$455,"")&gt;0,"",INDEX('ESTUDIOS'!$I$2:$I$455,MATCH($A290,'ESTUDIOS'!$A$2:$A$455,0)))</f>
        <v/>
      </c>
    </row>
    <row r="291" ht="112" customHeight="1">
      <c r="A291" s="4" t="inlineStr">
        <is>
          <t>new_172</t>
        </is>
      </c>
      <c r="B291" s="4" t="inlineStr">
        <is>
          <t>Update</t>
        </is>
      </c>
      <c r="C291" s="4" t="inlineStr">
        <is>
          <t>Evaluating Public Sentiment on Attention-Deficit/Hyperactivity Disorder and Autism Spectrum Disorder Compared With Other Mental Health Disorders From Posts on X (Formerly Known as Twitter): Longitudinal Analysis</t>
        </is>
      </c>
      <c r="D291" s="4" t="inlineStr">
        <is>
          <t>Research only</t>
        </is>
      </c>
      <c r="E291" s="4" t="inlineStr">
        <is>
          <t>Population discourse analysis</t>
        </is>
      </c>
      <c r="F291" s="4" t="n"/>
      <c r="G291" s="4" t="inlineStr">
        <is>
          <t>Recorded in update; verification pending</t>
        </is>
      </c>
      <c r="H291" s="4" t="n"/>
      <c r="I291" s="4" t="inlineStr">
        <is>
          <t>Public-sentiment classification</t>
        </is>
      </c>
      <c r="J291" s="4" t="inlineStr">
        <is>
          <t xml:space="preserve">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t>
        </is>
      </c>
      <c r="K291" s="4" t="str"/>
      <c r="L291" s="4" t="inlineStr">
        <is>
          <t>https://doi.org/10.2196/74440</t>
        </is>
      </c>
      <c r="M291" s="4" t="n"/>
      <c r="N291" s="12" t="n"/>
      <c r="O291" s="41" t="n"/>
      <c r="P291" s="4" t="inlineStr">
        <is>
          <t>Confirmed only when AI was actually evaluated/used within the stated workflow or intervention; intended use alone = Proposed only</t>
        </is>
      </c>
      <c r="Q291" s="4">
        <f>IF(COUNTIFS('ESTUDIOS'!$A$2:$A$455,$A291,'ESTUDIOS'!$I$2:$I$455,"")&gt;0,"",INDEX('ESTUDIOS'!$I$2:$I$455,MATCH($A291,'ESTUDIOS'!$A$2:$A$455,0)))</f>
        <v/>
      </c>
    </row>
    <row r="292" ht="47" customHeight="1">
      <c r="A292" s="4" t="inlineStr">
        <is>
          <t>new_173</t>
        </is>
      </c>
      <c r="B292" s="4" t="inlineStr">
        <is>
          <t>Update</t>
        </is>
      </c>
      <c r="C292" s="4" t="inlineStr">
        <is>
          <t>From Click to Chat: A Comparative, Bilingual Study of Autism-Related Information on Websites and General-Purpose AI Chatbots (Preprint)</t>
        </is>
      </c>
      <c r="D292" s="4" t="inlineStr">
        <is>
          <t>Research only</t>
        </is>
      </c>
      <c r="E292" s="4" t="inlineStr">
        <is>
          <t>No care workflow</t>
        </is>
      </c>
      <c r="F292" s="4" t="n"/>
      <c r="G292" s="4" t="inlineStr">
        <is>
          <t>Recorded in update; verification pending</t>
        </is>
      </c>
      <c r="H292" s="4" t="n"/>
      <c r="I292" s="4" t="inlineStr">
        <is>
          <t>Information-quality evaluation</t>
        </is>
      </c>
      <c r="J292" s="4" t="str"/>
      <c r="K292" s="4" t="str"/>
      <c r="L292" s="4" t="inlineStr">
        <is>
          <t>https://doi.org/10.2196/85196</t>
        </is>
      </c>
      <c r="M292" s="4" t="n"/>
      <c r="N292" s="12" t="n"/>
      <c r="O292" s="41" t="n"/>
      <c r="P292" s="4" t="inlineStr">
        <is>
          <t>Confirmed only when AI was actually evaluated/used within the stated workflow or intervention; intended use alone = Proposed only</t>
        </is>
      </c>
      <c r="Q292" s="4">
        <f>IF(COUNTIFS('ESTUDIOS'!$A$2:$A$455,$A292,'ESTUDIOS'!$I$2:$I$455,"")&gt;0,"",INDEX('ESTUDIOS'!$I$2:$I$455,MATCH($A292,'ESTUDIOS'!$A$2:$A$455,0)))</f>
        <v/>
      </c>
    </row>
    <row r="293" ht="112" customHeight="1">
      <c r="A293" s="4" t="inlineStr">
        <is>
          <t>new_179</t>
        </is>
      </c>
      <c r="B293" s="4" t="inlineStr">
        <is>
          <t>Update</t>
        </is>
      </c>
      <c r="C293" s="4" t="inlineStr">
        <is>
          <t>Free Water Corrected Diffusion Magnetic Resonance Imaging Reveals Microstructural Alterations in Corpus Callosum Subregions of Preschool Children With Autism</t>
        </is>
      </c>
      <c r="D293" s="4" t="inlineStr">
        <is>
          <t>Research only</t>
        </is>
      </c>
      <c r="E293" s="4" t="inlineStr">
        <is>
          <t>Research imaging analysis</t>
        </is>
      </c>
      <c r="F293" s="4" t="n"/>
      <c r="G293" s="4" t="inlineStr">
        <is>
          <t>Recorded in update; verification pending</t>
        </is>
      </c>
      <c r="H293" s="4" t="n"/>
      <c r="I293" s="4" t="inlineStr">
        <is>
          <t>Segmentation and biomarker characterization</t>
        </is>
      </c>
      <c r="J293" s="4" t="inlineStr">
        <is>
          <t>Autism spectrum disorder (ASD) is associated with white matter microstructural abnormalities, particularly in the corpus callosum (CC). This study employed free water corrected diffusion magnetic resonance imaging (fwc-dMRI) to investigate CC subregion-specific microstructural alterations in preschool children with ASD, which mitigates partial volume effects from extracellular free water. Sixty-one ASD children (6.03 ± 1.08 years) and 62 typicall</t>
        </is>
      </c>
      <c r="K293" s="4" t="str"/>
      <c r="L293" s="4" t="inlineStr">
        <is>
          <t>https://doi.org/10.1002/hbm.70435</t>
        </is>
      </c>
      <c r="M293" s="4" t="n"/>
      <c r="N293" s="12" t="n"/>
      <c r="O293" s="41" t="n"/>
      <c r="P293" s="4" t="inlineStr">
        <is>
          <t>Confirmed only when AI was actually evaluated/used within the stated workflow or intervention; intended use alone = Proposed only</t>
        </is>
      </c>
      <c r="Q293" s="4">
        <f>IF(COUNTIFS('ESTUDIOS'!$A$2:$A$455,$A293,'ESTUDIOS'!$I$2:$I$455,"")&gt;0,"",INDEX('ESTUDIOS'!$I$2:$I$455,MATCH($A293,'ESTUDIOS'!$A$2:$A$455,0)))</f>
        <v/>
      </c>
    </row>
    <row r="294" ht="112" customHeight="1">
      <c r="A294" s="4" t="inlineStr">
        <is>
          <t>new_182</t>
        </is>
      </c>
      <c r="B294" s="4" t="inlineStr">
        <is>
          <t>Update</t>
        </is>
      </c>
      <c r="C294" s="4" t="inlineStr">
        <is>
          <t>Label leakage unmasked: a trustworthy-AI audit of autism screening models using the CLEAR-RD framework.</t>
        </is>
      </c>
      <c r="D294" s="4" t="inlineStr">
        <is>
          <t>Research only</t>
        </is>
      </c>
      <c r="E294" s="4" t="inlineStr">
        <is>
          <t>Audit; models not clinically deployable</t>
        </is>
      </c>
      <c r="F294" s="4" t="n"/>
      <c r="G294" s="4" t="inlineStr">
        <is>
          <t>Recorded in update; verification pending</t>
        </is>
      </c>
      <c r="H294" s="4" t="n"/>
      <c r="I294" s="4" t="inlineStr">
        <is>
          <t>Trustworthiness and label-leakage audit</t>
        </is>
      </c>
      <c r="J294" s="4" t="inlineStr">
        <is>
          <t xml:space="preserve">Trustworthy pediatric screening AI needs more than accuracy: label validity, calibration, subgroup robustness, and clinical-scope limits. We propose Clear-Rd (Clinical Leakage Evaluation and Audit Routine for Rule-Derived labels), a five-stage framework-Configure, Lift, Evaluate, Audit, Report-and apply it to two public autism-screening datasets-Q-CHAT-10 toddler (N = 1054) and AQ-10 child/adolescent/adult (N = 6075)-merged into a unified cohort </t>
        </is>
      </c>
      <c r="K294" s="4" t="str"/>
      <c r="L294" s="4" t="inlineStr">
        <is>
          <t>https://doi.org/10.3389/fpubh.2026.1881829</t>
        </is>
      </c>
      <c r="M294" s="4" t="n"/>
      <c r="N294" s="12" t="n"/>
      <c r="O294" s="41" t="n"/>
      <c r="P294" s="4" t="inlineStr">
        <is>
          <t>Confirmed only when AI was actually evaluated/used within the stated workflow or intervention; intended use alone = Proposed only</t>
        </is>
      </c>
      <c r="Q294" s="4">
        <f>IF(COUNTIFS('ESTUDIOS'!$A$2:$A$455,$A294,'ESTUDIOS'!$I$2:$I$455,"")&gt;0,"",INDEX('ESTUDIOS'!$I$2:$I$455,MATCH($A294,'ESTUDIOS'!$A$2:$A$455,0)))</f>
        <v/>
      </c>
    </row>
    <row r="295" ht="112" customHeight="1">
      <c r="A295" s="4" t="inlineStr">
        <is>
          <t>new_185</t>
        </is>
      </c>
      <c r="B295" s="4" t="inlineStr">
        <is>
          <t>Update</t>
        </is>
      </c>
      <c r="C295" s="4" t="inlineStr">
        <is>
          <t>Early multimodal behavioral cues in autism: a micro-analytical exploration of actions, gestures and speech during naturalistic parent-child interactions</t>
        </is>
      </c>
      <c r="D295" s="4" t="inlineStr">
        <is>
          <t>Proposed only</t>
        </is>
      </c>
      <c r="E295" s="4" t="inlineStr">
        <is>
          <t>Early behavioral-marker research</t>
        </is>
      </c>
      <c r="F295" s="4" t="n"/>
      <c r="G295" s="4" t="inlineStr">
        <is>
          <t>Recorded in update; verification pending</t>
        </is>
      </c>
      <c r="H295" s="4" t="n"/>
      <c r="I295" s="4" t="inlineStr">
        <is>
          <t>Classification (autistic vs neurotypical)</t>
        </is>
      </c>
      <c r="J295" s="4" t="inlineStr">
        <is>
          <t>Early signs of autism often emerge through distinct developmental pathways, particularly in communication, social interaction, and play. While naturalistic parent-child interactions during free play are ideal for observing spontaneous social behaviors, few autism studies have adopted this ecological and developmental approach. To address this gap, we used a fine-grained microanalytic method to examine motor, gestural, and vocal behaviors in young</t>
        </is>
      </c>
      <c r="K295" s="4" t="str"/>
      <c r="L295" s="4" t="inlineStr">
        <is>
          <t>https://doi.org/10.1016/j.ijchp.2026.100664</t>
        </is>
      </c>
      <c r="M295" s="4" t="n"/>
      <c r="N295" s="12" t="n"/>
      <c r="O295" s="41" t="n"/>
      <c r="P295" s="4" t="inlineStr">
        <is>
          <t>Confirmed only when AI was actually evaluated/used within the stated workflow or intervention; intended use alone = Proposed only</t>
        </is>
      </c>
      <c r="Q295" s="4">
        <f>IF(COUNTIFS('ESTUDIOS'!$A$2:$A$455,$A295,'ESTUDIOS'!$I$2:$I$455,"")&gt;0,"",INDEX('ESTUDIOS'!$I$2:$I$455,MATCH($A295,'ESTUDIOS'!$A$2:$A$455,0)))</f>
        <v/>
      </c>
    </row>
    <row r="296" ht="112" customHeight="1">
      <c r="A296" s="4" t="inlineStr">
        <is>
          <t>new_186</t>
        </is>
      </c>
      <c r="B296" s="4" t="inlineStr">
        <is>
          <t>Update</t>
        </is>
      </c>
      <c r="C296" s="4" t="inlineStr">
        <is>
          <t>Mood instability and mental health service use in autism and attention-deficit/hyperactivity disorder: a natural language processing analysis of CRIS electronic healthcare records from 21 906 children and adolescents.</t>
        </is>
      </c>
      <c r="D296" s="4" t="inlineStr">
        <is>
          <t>Proposed only</t>
        </is>
      </c>
      <c r="E296" s="4" t="inlineStr">
        <is>
          <t>Retrospective EHR analysis</t>
        </is>
      </c>
      <c r="F296" s="4" t="n"/>
      <c r="G296" s="4" t="inlineStr">
        <is>
          <t>Recorded in update; verification pending</t>
        </is>
      </c>
      <c r="H296" s="4" t="n"/>
      <c r="I296" s="4" t="inlineStr">
        <is>
          <t>Extraction and service-use prediction</t>
        </is>
      </c>
      <c r="J296" s="4" t="inlineStr">
        <is>
          <t>BACKGROUND Children and young people (CYP) with neurodevelopmental diagnoses such as autism spectrum disorder (ASD) and attention-deficit/hyperactivity disorder (ADHD) have high child and adolescent mental health service (CAMHS) needs. Mood instability is a common and impairing emotion dysregulation-related symptom linked to increased adult psychiatric service use; however, its role in CAMHS trajectories remains unclear. We aimed to examine wheth</t>
        </is>
      </c>
      <c r="K296" s="4" t="str"/>
      <c r="L296" s="4" t="inlineStr">
        <is>
          <t>https://doi.org/10.1136/bmjment-2026-302488</t>
        </is>
      </c>
      <c r="M296" s="4" t="n"/>
      <c r="N296" s="12" t="n"/>
      <c r="O296" s="41" t="n"/>
      <c r="P296" s="4" t="inlineStr">
        <is>
          <t>Confirmed only when AI was actually evaluated/used within the stated workflow or intervention; intended use alone = Proposed only</t>
        </is>
      </c>
      <c r="Q296" s="4">
        <f>IF(COUNTIFS('ESTUDIOS'!$A$2:$A$455,$A296,'ESTUDIOS'!$I$2:$I$455,"")&gt;0,"",INDEX('ESTUDIOS'!$I$2:$I$455,MATCH($A296,'ESTUDIOS'!$A$2:$A$455,0)))</f>
        <v/>
      </c>
    </row>
    <row r="297" ht="112" customHeight="1">
      <c r="A297" s="4" t="inlineStr">
        <is>
          <t>new_191</t>
        </is>
      </c>
      <c r="B297" s="4" t="inlineStr">
        <is>
          <t>Update</t>
        </is>
      </c>
      <c r="C297" s="4" t="inlineStr">
        <is>
          <t>A functional system-informed graph neural network framework to quantify interpretable brain dysfunction in ASD</t>
        </is>
      </c>
      <c r="D297" s="4" t="inlineStr">
        <is>
          <t>Proposed only</t>
        </is>
      </c>
      <c r="E297" s="4" t="inlineStr">
        <is>
          <t>Retrospective diagnostic research</t>
        </is>
      </c>
      <c r="F297" s="4" t="n"/>
      <c r="G297" s="4" t="inlineStr">
        <is>
          <t>Recorded in update; verification pending</t>
        </is>
      </c>
      <c r="H297" s="4" t="n"/>
      <c r="I297" s="4" t="inlineStr">
        <is>
          <t>Classification (ASD vs control)</t>
        </is>
      </c>
      <c r="J297" s="4" t="inlineStr">
        <is>
          <t>Autism Spectrum Disorder (ASD) is one of the most common neurodevelopmental disorders affecting patients from childhood to adulthood. Yet, its pathological mechanism has not been conclusively established, and its diagnosis mainly depends on subjective assessments of clinical or behavioral measures. In the human brain, connectivity is ubiquitous between brain regions that share functional properties, and groups of brain regions spontaneously assem</t>
        </is>
      </c>
      <c r="K297" s="4" t="str"/>
      <c r="L297" s="4" t="inlineStr">
        <is>
          <t>https://doi.org/10.1016/j.neunet.2025.108295</t>
        </is>
      </c>
      <c r="M297" s="4" t="n"/>
      <c r="N297" s="12" t="n"/>
      <c r="O297" s="41" t="n"/>
      <c r="P297" s="4" t="inlineStr">
        <is>
          <t>Confirmed only when AI was actually evaluated/used within the stated workflow or intervention; intended use alone = Proposed only</t>
        </is>
      </c>
      <c r="Q297" s="4">
        <f>IF(COUNTIFS('ESTUDIOS'!$A$2:$A$455,$A297,'ESTUDIOS'!$I$2:$I$455,"")&gt;0,"",INDEX('ESTUDIOS'!$I$2:$I$455,MATCH($A297,'ESTUDIOS'!$A$2:$A$455,0)))</f>
        <v/>
      </c>
    </row>
    <row r="298" ht="112" customHeight="1">
      <c r="A298" s="4" t="inlineStr">
        <is>
          <t>new_197</t>
        </is>
      </c>
      <c r="B298" s="4" t="inlineStr">
        <is>
          <t>Update</t>
        </is>
      </c>
      <c r="C298" s="4" t="inlineStr">
        <is>
          <t>Deep learning for autism detection using clinical notes: A comparison of transfer learning for a transparent and black-box approach</t>
        </is>
      </c>
      <c r="D298" s="4" t="inlineStr">
        <is>
          <t>Proposed only</t>
        </is>
      </c>
      <c r="E298" s="4" t="inlineStr">
        <is>
          <t>Real-world records, not deployed</t>
        </is>
      </c>
      <c r="F298" s="4" t="n"/>
      <c r="G298" s="4" t="inlineStr">
        <is>
          <t>Recorded in update; verification pending</t>
        </is>
      </c>
      <c r="H298" s="4" t="n"/>
      <c r="I298" s="4" t="inlineStr">
        <is>
          <t>Classification from clinical notes</t>
        </is>
      </c>
      <c r="J298" s="4" t="inlineStr">
        <is>
          <t>Autism spectrum disorder (ASD) is a complex neurodevelopmental condition whose rising prevalence places increasing demands on a lengthy diagnostic process. Machine learning (ML) has shown promise in automating ASD diagnosis, but most existing models operate as black boxes and are typically trained on a single dataset, limiting their generalizability. In this study, we introduce a transparent and interpretable ML approach that leverages BioBERT, a</t>
        </is>
      </c>
      <c r="K298" s="4" t="str"/>
      <c r="L298" s="4" t="inlineStr">
        <is>
          <t>https://doi.org/10.1016/j.artmed.2025.103318</t>
        </is>
      </c>
      <c r="M298" s="4" t="n"/>
      <c r="N298" s="12" t="n"/>
      <c r="O298" s="41" t="n"/>
      <c r="P298" s="4" t="inlineStr">
        <is>
          <t>Confirmed only when AI was actually evaluated/used within the stated workflow or intervention; intended use alone = Proposed only</t>
        </is>
      </c>
      <c r="Q298" s="4">
        <f>IF(COUNTIFS('ESTUDIOS'!$A$2:$A$455,$A298,'ESTUDIOS'!$I$2:$I$455,"")&gt;0,"",INDEX('ESTUDIOS'!$I$2:$I$455,MATCH($A298,'ESTUDIOS'!$A$2:$A$455,0)))</f>
        <v/>
      </c>
    </row>
    <row r="299" ht="112" customHeight="1">
      <c r="A299" s="4" t="inlineStr">
        <is>
          <t>new_200</t>
        </is>
      </c>
      <c r="B299" s="4" t="inlineStr">
        <is>
          <t>Update</t>
        </is>
      </c>
      <c r="C299" s="4" t="inlineStr">
        <is>
          <t>Finding the forest in the trees: Using machine learning and online cognitive and perceptual measures to predict adult autism diagnosis</t>
        </is>
      </c>
      <c r="D299" s="4" t="inlineStr">
        <is>
          <t>Proposed only</t>
        </is>
      </c>
      <c r="E299" s="4" t="inlineStr">
        <is>
          <t>Online screening augmentation</t>
        </is>
      </c>
      <c r="F299" s="4" t="n"/>
      <c r="G299" s="4" t="inlineStr">
        <is>
          <t>Recorded in update; verification pending</t>
        </is>
      </c>
      <c r="H299" s="4" t="n"/>
      <c r="I299" s="4" t="inlineStr">
        <is>
          <t>Classification / screening prediction</t>
        </is>
      </c>
      <c r="J299" s="4" t="inlineStr">
        <is>
          <t>Traditional subjective measures are limited in the insight they provide into underlying behavioral differences associated with autism and, accordingly, their ability to predict diagnosis. Performance-based measures offer an attractive alternative, being designed to capture neuropsychological constructs more directly and objectively. However, due to the heterogeneity of autism, differences in any one specific neuropsychological domain are inconsis</t>
        </is>
      </c>
      <c r="K299" s="4" t="str"/>
      <c r="L299" s="4" t="inlineStr">
        <is>
          <t>https://doi.org/10.1038/s41398-026-03823-y</t>
        </is>
      </c>
      <c r="M299" s="4" t="n"/>
      <c r="N299" s="12" t="n"/>
      <c r="O299" s="41" t="n"/>
      <c r="P299" s="4" t="inlineStr">
        <is>
          <t>Confirmed only when AI was actually evaluated/used within the stated workflow or intervention; intended use alone = Proposed only</t>
        </is>
      </c>
      <c r="Q299" s="4">
        <f>IF(COUNTIFS('ESTUDIOS'!$A$2:$A$455,$A299,'ESTUDIOS'!$I$2:$I$455,"")&gt;0,"",INDEX('ESTUDIOS'!$I$2:$I$455,MATCH($A299,'ESTUDIOS'!$A$2:$A$455,0)))</f>
        <v/>
      </c>
    </row>
    <row r="300" ht="112" customHeight="1">
      <c r="A300" s="4" t="inlineStr">
        <is>
          <t>new_210</t>
        </is>
      </c>
      <c r="B300" s="4" t="inlineStr">
        <is>
          <t>Update</t>
        </is>
      </c>
      <c r="C300" s="4" t="inlineStr">
        <is>
          <t>Biomarker Discovery for Autism Prediction Using Massive Feature Extraction Based on EEG Signals</t>
        </is>
      </c>
      <c r="D300" s="4" t="inlineStr">
        <is>
          <t>Proposed only</t>
        </is>
      </c>
      <c r="E300" s="4" t="inlineStr">
        <is>
          <t>Research biomarker model</t>
        </is>
      </c>
      <c r="F300" s="4" t="n"/>
      <c r="G300" s="4" t="inlineStr">
        <is>
          <t>Recorded in update; verification pending</t>
        </is>
      </c>
      <c r="H300" s="4" t="n"/>
      <c r="I300" s="4" t="inlineStr">
        <is>
          <t>Classification (ASD vs control)</t>
        </is>
      </c>
      <c r="J300" s="4" t="inlineStr">
        <is>
          <t>Autism spectrum disorder (ASD) is a heterogeneous neurodevelopmental disorder that requires early diagnosis for better intervention. However, current clinical behavioural examinations are time-consuming and prone to human error. Objective and effective biomarkers are essential for the diagnosis and prognosis of the disorder. Electroencephalography (EEG) is a non-invasive and inexpensive brain-imaging technique that is widely applied in the diagno</t>
        </is>
      </c>
      <c r="K300" s="4" t="str"/>
      <c r="L300" s="4" t="inlineStr">
        <is>
          <t>https://doi.org/10.3390/s26061862</t>
        </is>
      </c>
      <c r="M300" s="4" t="n"/>
      <c r="N300" s="12" t="n"/>
      <c r="O300" s="41" t="n"/>
      <c r="P300" s="4" t="inlineStr">
        <is>
          <t>Confirmed only when AI was actually evaluated/used within the stated workflow or intervention; intended use alone = Proposed only</t>
        </is>
      </c>
      <c r="Q300" s="4">
        <f>IF(COUNTIFS('ESTUDIOS'!$A$2:$A$455,$A300,'ESTUDIOS'!$I$2:$I$455,"")&gt;0,"",INDEX('ESTUDIOS'!$I$2:$I$455,MATCH($A300,'ESTUDIOS'!$A$2:$A$455,0)))</f>
        <v/>
      </c>
    </row>
    <row r="301" ht="112" customHeight="1">
      <c r="A301" s="4" t="inlineStr">
        <is>
          <t>new_212</t>
        </is>
      </c>
      <c r="B301" s="4" t="inlineStr">
        <is>
          <t>Update</t>
        </is>
      </c>
      <c r="C301" s="4" t="inlineStr">
        <is>
          <t>Comparison of cognitive ability and its distribution between men with autism spectrum disorder and attention-deficit/hyperactivity disorder</t>
        </is>
      </c>
      <c r="D301" s="4" t="inlineStr">
        <is>
          <t>Research only</t>
        </is>
      </c>
      <c r="E301" s="4" t="inlineStr">
        <is>
          <t>ASD/ADHD cognitive profiling</t>
        </is>
      </c>
      <c r="F301" s="4" t="n"/>
      <c r="G301" s="4" t="inlineStr">
        <is>
          <t>Recorded in update; verification pending</t>
        </is>
      </c>
      <c r="H301" s="4" t="n"/>
      <c r="I301" s="4" t="inlineStr">
        <is>
          <t>Differential classification and subtyping</t>
        </is>
      </c>
      <c r="J301" s="4" t="inlineStr">
        <is>
          <t>Objectives Clarification of the strengths and weaknesses of cognitive ability is essential to our understanding of the characteristics of autism spectrum disorder and attention deficit/ hyperactivity disorder. However, whether individuals with these conditions exhibit distinct patterns of cognitive ability remains unclear. To address this point, we aimed to compare the cognitive profiles of patients with autism spectrum disorder with those of pat</t>
        </is>
      </c>
      <c r="K301" s="4" t="str"/>
      <c r="L301" s="4" t="inlineStr">
        <is>
          <t>https://doi.org/10.1371/journal.pone.0345522</t>
        </is>
      </c>
      <c r="M301" s="4" t="n"/>
      <c r="N301" s="12" t="n"/>
      <c r="O301" s="41" t="n"/>
      <c r="P301" s="4" t="inlineStr">
        <is>
          <t>Confirmed only when AI was actually evaluated/used within the stated workflow or intervention; intended use alone = Proposed only</t>
        </is>
      </c>
      <c r="Q301" s="4">
        <f>IF(COUNTIFS('ESTUDIOS'!$A$2:$A$455,$A301,'ESTUDIOS'!$I$2:$I$455,"")&gt;0,"",INDEX('ESTUDIOS'!$I$2:$I$455,MATCH($A301,'ESTUDIOS'!$A$2:$A$455,0)))</f>
        <v/>
      </c>
    </row>
    <row r="302" ht="112" customHeight="1">
      <c r="A302" s="4" t="inlineStr">
        <is>
          <t>new_214</t>
        </is>
      </c>
      <c r="B302" s="4" t="inlineStr">
        <is>
          <t>Update</t>
        </is>
      </c>
      <c r="C302" s="4" t="inlineStr">
        <is>
          <t>Hippocampal Subregion Function and Its Clinical Correlations in Childhood Autism Spectrum Disorders</t>
        </is>
      </c>
      <c r="D302" s="4" t="inlineStr">
        <is>
          <t>Research only</t>
        </is>
      </c>
      <c r="E302" s="4" t="inlineStr">
        <is>
          <t>Retrospective ABIDE analysis</t>
        </is>
      </c>
      <c r="F302" s="4" t="n"/>
      <c r="G302" s="4" t="inlineStr">
        <is>
          <t>Recorded in update; verification pending</t>
        </is>
      </c>
      <c r="H302" s="4" t="n"/>
      <c r="I302" s="4" t="inlineStr">
        <is>
          <t>Classification and connectivity characterization</t>
        </is>
      </c>
      <c r="J302" s="4" t="inlineStr">
        <is>
          <t>The hippocampus plays a crucial role in memory and social processing, both of which are impaired in autism spectrum disorder (ASD). Investigating the functional activity of hippocampal subregions can provide valuable insights into their involvement in ASD-related social and behavioral symptoms. This study analyzed hippocampal resting-state functional connectivity (rsFC) in 507 male child participants from the ABIDE dataset (225 ASD, 282 typical c</t>
        </is>
      </c>
      <c r="K302" s="4" t="str"/>
      <c r="L302" s="4" t="inlineStr">
        <is>
          <t>https://doi.org/10.1002/aur.70124</t>
        </is>
      </c>
      <c r="M302" s="4" t="n"/>
      <c r="N302" s="12" t="n"/>
      <c r="O302" s="41" t="n"/>
      <c r="P302" s="4" t="inlineStr">
        <is>
          <t>Confirmed only when AI was actually evaluated/used within the stated workflow or intervention; intended use alone = Proposed only</t>
        </is>
      </c>
      <c r="Q302" s="4">
        <f>IF(COUNTIFS('ESTUDIOS'!$A$2:$A$455,$A302,'ESTUDIOS'!$I$2:$I$455,"")&gt;0,"",INDEX('ESTUDIOS'!$I$2:$I$455,MATCH($A302,'ESTUDIOS'!$A$2:$A$455,0)))</f>
        <v/>
      </c>
    </row>
    <row r="303" ht="112" customHeight="1">
      <c r="A303" s="4" t="inlineStr">
        <is>
          <t>new_216</t>
        </is>
      </c>
      <c r="B303" s="4" t="inlineStr">
        <is>
          <t>Update</t>
        </is>
      </c>
      <c r="C303" s="4" t="inlineStr">
        <is>
          <t>Parental Stress and Caregiver Role Modulate Child–Caregiver Prosodic Synchrony in Autism: A Computational Analysis</t>
        </is>
      </c>
      <c r="D303" s="4" t="inlineStr">
        <is>
          <t>Research only</t>
        </is>
      </c>
      <c r="E303" s="4" t="inlineStr">
        <is>
          <t>Longitudinal interaction analysis</t>
        </is>
      </c>
      <c r="F303" s="4" t="n"/>
      <c r="G303" s="4" t="inlineStr">
        <is>
          <t>Recorded in update; verification pending</t>
        </is>
      </c>
      <c r="H303" s="4" t="n"/>
      <c r="I303" s="4" t="inlineStr">
        <is>
          <t>Segmentation and synchrony characterization</t>
        </is>
      </c>
      <c r="J303" s="4" t="inlineStr">
        <is>
          <t>Parental stress influences parent–child interactions in typical development and is a prognostic factor of autism outcome. However, we still do not know to what extent parental stress affects parent–child interactions and whether caregiver role matters. This study explored the relationship between parental stress and prosodic synchrony in parent–child vocal interactions, drawing on complex dynamic systems and affective computing frameworks. We ass</t>
        </is>
      </c>
      <c r="K303" s="4" t="str"/>
      <c r="L303" s="4" t="inlineStr">
        <is>
          <t>https://doi.org/10.1002/aur.70189</t>
        </is>
      </c>
      <c r="M303" s="4" t="n"/>
      <c r="N303" s="12" t="n"/>
      <c r="O303" s="41" t="n"/>
      <c r="P303" s="4" t="inlineStr">
        <is>
          <t>Confirmed only when AI was actually evaluated/used within the stated workflow or intervention; intended use alone = Proposed only</t>
        </is>
      </c>
      <c r="Q303" s="4">
        <f>IF(COUNTIFS('ESTUDIOS'!$A$2:$A$455,$A303,'ESTUDIOS'!$I$2:$I$455,"")&gt;0,"",INDEX('ESTUDIOS'!$I$2:$I$455,MATCH($A303,'ESTUDIOS'!$A$2:$A$455,0)))</f>
        <v/>
      </c>
    </row>
    <row r="304" ht="112" customHeight="1">
      <c r="A304" s="4" t="inlineStr">
        <is>
          <t>new_217</t>
        </is>
      </c>
      <c r="B304" s="4" t="inlineStr">
        <is>
          <t>Update</t>
        </is>
      </c>
      <c r="C304" s="4" t="inlineStr">
        <is>
          <t>Predicting brain age in children aged 2–6 years with autism spectrum disorders using routine T1- and T2-weighted magnetic resonance imaging</t>
        </is>
      </c>
      <c r="D304" s="4" t="inlineStr">
        <is>
          <t>Research only</t>
        </is>
      </c>
      <c r="E304" s="4" t="inlineStr">
        <is>
          <t>Developmental characterization</t>
        </is>
      </c>
      <c r="F304" s="4" t="n"/>
      <c r="G304" s="4" t="inlineStr">
        <is>
          <t>Recorded in update; verification pending</t>
        </is>
      </c>
      <c r="H304" s="4" t="n"/>
      <c r="I304" s="4" t="inlineStr">
        <is>
          <t>Brain-age prediction</t>
        </is>
      </c>
      <c r="J304" s="4" t="inlineStr">
        <is>
          <t>Importance: Early childhood (ages 2–6 years) represents a dynamic phase of brain maturation and a critical window for the emergence of neurodevelopmental disorders, such as autism spectrum disorder (ASD). However, the maturational patterns of the brain during this period remain underexplored, especially regarding the utility of routine clinical imaging. Objective: To develop a brain age prediction model using routine magnetic resonance imaging (M</t>
        </is>
      </c>
      <c r="K304" s="4" t="str"/>
      <c r="L304" s="4" t="inlineStr">
        <is>
          <t>https://doi.org/10.1002/ped4.70064</t>
        </is>
      </c>
      <c r="M304" s="4" t="n"/>
      <c r="N304" s="12" t="n"/>
      <c r="O304" s="41" t="n"/>
      <c r="P304" s="4" t="inlineStr">
        <is>
          <t>Confirmed only when AI was actually evaluated/used within the stated workflow or intervention; intended use alone = Proposed only</t>
        </is>
      </c>
      <c r="Q304" s="4">
        <f>IF(COUNTIFS('ESTUDIOS'!$A$2:$A$455,$A304,'ESTUDIOS'!$I$2:$I$455,"")&gt;0,"",INDEX('ESTUDIOS'!$I$2:$I$455,MATCH($A304,'ESTUDIOS'!$A$2:$A$455,0)))</f>
        <v/>
      </c>
    </row>
    <row r="305" ht="112" customHeight="1">
      <c r="A305" s="4" t="inlineStr">
        <is>
          <t>new_228</t>
        </is>
      </c>
      <c r="B305" s="4" t="inlineStr">
        <is>
          <t>Update</t>
        </is>
      </c>
      <c r="C305" s="4" t="inlineStr">
        <is>
          <t>Unveiling Diagnostic Biomarkers in Autism: A Comparative Proteome Analysis of CNTNAP2 Knockout Mice and Human ASD Patients</t>
        </is>
      </c>
      <c r="D305" s="4" t="inlineStr">
        <is>
          <t>Research only</t>
        </is>
      </c>
      <c r="E305" s="4" t="inlineStr">
        <is>
          <t>Cross-species biomarker research</t>
        </is>
      </c>
      <c r="F305" s="4" t="n"/>
      <c r="G305" s="4" t="inlineStr">
        <is>
          <t>Recorded in update; verification pending</t>
        </is>
      </c>
      <c r="H305" s="4" t="n"/>
      <c r="I305" s="4" t="inlineStr">
        <is>
          <t>Biomarker classification</t>
        </is>
      </c>
      <c r="J305" s="4" t="inlineStr">
        <is>
          <t>Autism Spectrum Disorder (ASD) is a biologically heterogeneous neurodevelopmental condition, presenting a major barrier to the identification of robust and translatable molecular biomarkers. Here, we employ a cross-species proteomic framework to identify conserved protein signatures associated with ASD. Quantitative proteomic profiling of brain and serum from CNTNAP2 knockout mice, integrated with serum proteomes from individuals with ASD, reveal</t>
        </is>
      </c>
      <c r="K305" s="4" t="str"/>
      <c r="L305" s="4" t="inlineStr">
        <is>
          <t>https://doi.org/10.3390/biom16030340</t>
        </is>
      </c>
      <c r="M305" s="4" t="n"/>
      <c r="N305" s="12" t="n"/>
      <c r="O305" s="41" t="n"/>
      <c r="P305" s="4" t="inlineStr">
        <is>
          <t>Confirmed only when AI was actually evaluated/used within the stated workflow or intervention; intended use alone = Proposed only</t>
        </is>
      </c>
      <c r="Q305" s="4">
        <f>IF(COUNTIFS('ESTUDIOS'!$A$2:$A$455,$A305,'ESTUDIOS'!$I$2:$I$455,"")&gt;0,"",INDEX('ESTUDIOS'!$I$2:$I$455,MATCH($A305,'ESTUDIOS'!$A$2:$A$455,0)))</f>
        <v/>
      </c>
    </row>
    <row r="306" ht="112" customHeight="1">
      <c r="A306" s="4" t="inlineStr">
        <is>
          <t>new_237</t>
        </is>
      </c>
      <c r="B306" s="4" t="inlineStr">
        <is>
          <t>Update</t>
        </is>
      </c>
      <c r="C306" s="4" t="inlineStr">
        <is>
          <t>Late Fusion Model for Emotion Recognition from Facial Expressions and Biosignals in a Dataset of Children with Autism Spectrum Disorder</t>
        </is>
      </c>
      <c r="D306" s="4" t="inlineStr">
        <is>
          <t>Research only</t>
        </is>
      </c>
      <c r="E306" s="4" t="inlineStr">
        <is>
          <t>Assistive-robotics research</t>
        </is>
      </c>
      <c r="F306" s="4" t="n"/>
      <c r="G306" s="4" t="inlineStr">
        <is>
          <t>Recorded in update; verification pending</t>
        </is>
      </c>
      <c r="H306" s="4" t="n"/>
      <c r="I306" s="4" t="inlineStr">
        <is>
          <t>Emotion recognition</t>
        </is>
      </c>
      <c r="J306" s="4" t="inlineStr">
        <is>
          <t xml:space="preserve">Children with autism spectrum disorder (ASD) often display atypical emotional expressions and physiological responses, making emotion recognition challenging. This study proposes a multimodal recognition model employing a late fusion framework combining facial expression with physiological measures: electrodermal activity (EDA), temperature (TEMP), and heart rate (HR). Emotional states are annotated using two complementary schemes derived from a </t>
        </is>
      </c>
      <c r="K306" s="4" t="str"/>
      <c r="L306" s="4" t="inlineStr">
        <is>
          <t>https://doi.org/10.3390/s25247485</t>
        </is>
      </c>
      <c r="M306" s="4" t="n"/>
      <c r="N306" s="12" t="n"/>
      <c r="O306" s="41" t="n"/>
      <c r="P306" s="4" t="inlineStr">
        <is>
          <t>Confirmed only when AI was actually evaluated/used within the stated workflow or intervention; intended use alone = Proposed only</t>
        </is>
      </c>
      <c r="Q306" s="4">
        <f>IF(COUNTIFS('ESTUDIOS'!$A$2:$A$455,$A306,'ESTUDIOS'!$I$2:$I$455,"")&gt;0,"",INDEX('ESTUDIOS'!$I$2:$I$455,MATCH($A306,'ESTUDIOS'!$A$2:$A$455,0)))</f>
        <v/>
      </c>
    </row>
    <row r="307" ht="112" customHeight="1">
      <c r="A307" s="4" t="inlineStr">
        <is>
          <t>new_247</t>
        </is>
      </c>
      <c r="B307" s="4" t="inlineStr">
        <is>
          <t>Update</t>
        </is>
      </c>
      <c r="C307" s="4" t="inlineStr">
        <is>
          <t>New intelligent music therapy method for applications of enhancing social skills of autism children based on TL-GCN and deep learning</t>
        </is>
      </c>
      <c r="D307" s="4" t="inlineStr">
        <is>
          <t>Confirmed in intervention</t>
        </is>
      </c>
      <c r="E307" s="4" t="inlineStr">
        <is>
          <t>Evaluated real-world intervention</t>
        </is>
      </c>
      <c r="F307" s="4" t="n"/>
      <c r="G307" s="4" t="inlineStr">
        <is>
          <t>Recorded in update; verification pending</t>
        </is>
      </c>
      <c r="H307" s="4" t="n"/>
      <c r="I307" s="4" t="inlineStr">
        <is>
          <t>Emotion recognition and adaptive intervention</t>
        </is>
      </c>
      <c r="J307" s="4" t="inlineStr">
        <is>
          <t>To address the long-standing challenges children with autism face in social skills and emotional regulation, this study introduces Emotion-based Music Intelligent Network (EmoMusik-Net)—a deep learning model designed for intelligent music therapy. The model focuses on emotional impairments exhibited during social interactions, integrating Transformer-based temporal modeling with a Transfer Learning-based Graph Convolutional Network (TL-GCN). This</t>
        </is>
      </c>
      <c r="K307" s="4" t="str"/>
      <c r="L307" s="4" t="inlineStr">
        <is>
          <t>https://doi.org/10.1038/s41598-025-26307-3</t>
        </is>
      </c>
      <c r="M307" s="4" t="n"/>
      <c r="N307" s="12" t="n"/>
      <c r="O307" s="41" t="n"/>
      <c r="P307" s="4" t="inlineStr">
        <is>
          <t>Confirmed only when AI was actually evaluated/used within the stated workflow or intervention; intended use alone = Proposed only</t>
        </is>
      </c>
      <c r="Q307" s="4">
        <f>IF(COUNTIFS('ESTUDIOS'!$A$2:$A$455,$A307,'ESTUDIOS'!$I$2:$I$455,"")&gt;0,"",INDEX('ESTUDIOS'!$I$2:$I$455,MATCH($A307,'ESTUDIOS'!$A$2:$A$455,0)))</f>
        <v/>
      </c>
    </row>
    <row r="308" ht="112" customHeight="1">
      <c r="A308" s="4" t="inlineStr">
        <is>
          <t>new_257</t>
        </is>
      </c>
      <c r="B308" s="4" t="inlineStr">
        <is>
          <t>Update</t>
        </is>
      </c>
      <c r="C308" s="4" t="inlineStr">
        <is>
          <t>The Use of the Social Robot LOVOT for Children with Autism Spectrum Disorder: A Feasibility Study</t>
        </is>
      </c>
      <c r="D308" s="4" t="inlineStr">
        <is>
          <t>Confirmed in intervention</t>
        </is>
      </c>
      <c r="E308" s="4" t="inlineStr">
        <is>
          <t>Feasibility study in special education</t>
        </is>
      </c>
      <c r="F308" s="4" t="n"/>
      <c r="G308" s="4" t="inlineStr">
        <is>
          <t>Recorded in update; verification pending</t>
        </is>
      </c>
      <c r="H308" s="4" t="n"/>
      <c r="I308" s="4" t="inlineStr">
        <is>
          <t>Robot-assisted pedagogical intervention</t>
        </is>
      </c>
      <c r="J308" s="4" t="inlineStr">
        <is>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t>
        </is>
      </c>
      <c r="K308" s="4" t="str"/>
      <c r="L308" s="4" t="inlineStr">
        <is>
          <t>https://doi.org/10.3233/shti251499</t>
        </is>
      </c>
      <c r="M308" s="4" t="n"/>
      <c r="N308" s="12" t="n"/>
      <c r="O308" s="41" t="n"/>
      <c r="P308" s="4" t="inlineStr">
        <is>
          <t>Confirmed only when AI was actually evaluated/used within the stated workflow or intervention; intended use alone = Proposed only</t>
        </is>
      </c>
      <c r="Q308" s="4">
        <f>IF(COUNTIFS('ESTUDIOS'!$A$2:$A$455,$A308,'ESTUDIOS'!$I$2:$I$455,"")&gt;0,"",INDEX('ESTUDIOS'!$I$2:$I$455,MATCH($A308,'ESTUDIOS'!$A$2:$A$455,0)))</f>
        <v/>
      </c>
    </row>
    <row r="309" ht="112" customHeight="1">
      <c r="A309" s="4" t="inlineStr">
        <is>
          <t>new_259</t>
        </is>
      </c>
      <c r="B309" s="4" t="inlineStr">
        <is>
          <t>Update</t>
        </is>
      </c>
      <c r="C309" s="4" t="inlineStr">
        <is>
          <t>Data-Driven and Explainable Discovery of Autism Spectrum Disorder Patterns Across Age Groups</t>
        </is>
      </c>
      <c r="D309" s="4" t="inlineStr">
        <is>
          <t>Proposed only</t>
        </is>
      </c>
      <c r="E309" s="4" t="inlineStr">
        <is>
          <t>Interpretable screening model</t>
        </is>
      </c>
      <c r="F309" s="4" t="n"/>
      <c r="G309" s="4" t="inlineStr">
        <is>
          <t>Recorded in update; verification pending</t>
        </is>
      </c>
      <c r="H309" s="4" t="n"/>
      <c r="I309" s="4" t="inlineStr">
        <is>
          <t>Age-specific screening classification</t>
        </is>
      </c>
      <c r="J309" s="4" t="inlineStr">
        <is>
          <t xml:space="preserve">Autism Spectrum Disorder (ASD) presents a complex and diverse challenge, with difficulties in social communication and restricted interests manifesting differently among children, adolescents and adults. The traditional ASD diagnosis is often time consuming and resource intensive, delaying access to crucial interventions. Early detection of ASD is vital, as it enables timely referral for comprehensive assessment and supports interventions during </t>
        </is>
      </c>
      <c r="K309" s="4" t="str"/>
      <c r="L309" s="4" t="inlineStr">
        <is>
          <t>https://doi.org/10.1155/hbe2/1923339</t>
        </is>
      </c>
      <c r="M309" s="4" t="n"/>
      <c r="N309" s="12" t="n"/>
      <c r="O309" s="41" t="n"/>
      <c r="P309" s="4" t="inlineStr">
        <is>
          <t>Confirmed only when AI was actually evaluated/used within the stated workflow or intervention; intended use alone = Proposed only</t>
        </is>
      </c>
      <c r="Q309" s="4">
        <f>IF(COUNTIFS('ESTUDIOS'!$A$2:$A$455,$A309,'ESTUDIOS'!$I$2:$I$455,"")&gt;0,"",INDEX('ESTUDIOS'!$I$2:$I$455,MATCH($A309,'ESTUDIOS'!$A$2:$A$455,0)))</f>
        <v/>
      </c>
    </row>
    <row r="310" ht="112" customHeight="1">
      <c r="A310" s="4" t="inlineStr">
        <is>
          <t>new_261</t>
        </is>
      </c>
      <c r="B310" s="4" t="inlineStr">
        <is>
          <t>Update</t>
        </is>
      </c>
      <c r="C310" s="4" t="inlineStr">
        <is>
          <t>Artificial Intelligence Networks Combining Histopathology and Machine Learning Can Extract Axon Pathology in Autism Spectrum Disorder</t>
        </is>
      </c>
      <c r="D310" s="4" t="inlineStr">
        <is>
          <t>Research only</t>
        </is>
      </c>
      <c r="E310" s="4" t="inlineStr">
        <is>
          <t>Postmortem pathology research</t>
        </is>
      </c>
      <c r="F310" s="4" t="n"/>
      <c r="G310" s="4" t="inlineStr">
        <is>
          <t>Recorded in update; verification pending</t>
        </is>
      </c>
      <c r="H310" s="4" t="n"/>
      <c r="I310" s="4" t="inlineStr">
        <is>
          <t>Pathology classification</t>
        </is>
      </c>
      <c r="J310" s="4" t="inlineStr">
        <is>
          <t>Axon features that underlie the structural and functional organization of cortical pathways have distinct patterns in the brains of neurotypical controls (CTR) compared to individuals with Autism Spectrum Disorder (ASD). However, detailed axon study demands labor-intensive surveys and time-consuming analysis of microscopic sections from postmortem human brain tissue, making it challenging to systematically examine large regions of the brain. To a</t>
        </is>
      </c>
      <c r="K310" s="4" t="str"/>
      <c r="L310" s="4" t="inlineStr">
        <is>
          <t>https://doi.org/10.1002/aur.70135</t>
        </is>
      </c>
      <c r="M310" s="4" t="n"/>
      <c r="N310" s="12" t="n"/>
      <c r="O310" s="41" t="n"/>
      <c r="P310" s="4" t="inlineStr">
        <is>
          <t>Confirmed only when AI was actually evaluated/used within the stated workflow or intervention; intended use alone = Proposed only</t>
        </is>
      </c>
      <c r="Q310" s="4">
        <f>IF(COUNTIFS('ESTUDIOS'!$A$2:$A$455,$A310,'ESTUDIOS'!$I$2:$I$455,"")&gt;0,"",INDEX('ESTUDIOS'!$I$2:$I$455,MATCH($A310,'ESTUDIOS'!$A$2:$A$455,0)))</f>
        <v/>
      </c>
    </row>
    <row r="311" ht="112" customHeight="1">
      <c r="A311" s="4" t="inlineStr">
        <is>
          <t>new_262</t>
        </is>
      </c>
      <c r="B311" s="4" t="inlineStr">
        <is>
          <t>Update</t>
        </is>
      </c>
      <c r="C311" s="4" t="inlineStr">
        <is>
          <t>Profiling Chinese children with symptoms of SpLD, ADHD, or ASD: a transdiagnostic and biopsychosocial study</t>
        </is>
      </c>
      <c r="D311" s="4" t="inlineStr">
        <is>
          <t>Research only</t>
        </is>
      </c>
      <c r="E311" s="4" t="inlineStr">
        <is>
          <t>Research profiling</t>
        </is>
      </c>
      <c r="F311" s="4" t="n"/>
      <c r="G311" s="4" t="inlineStr">
        <is>
          <t>Recorded in update; verification pending</t>
        </is>
      </c>
      <c r="H311" s="4" t="n"/>
      <c r="I311" s="4" t="inlineStr">
        <is>
          <t>Transdiagnostic subtyping</t>
        </is>
      </c>
      <c r="J311" s="4" t="inlineStr">
        <is>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t>
        </is>
      </c>
      <c r="K311" s="4" t="str"/>
      <c r="L311" s="4" t="inlineStr">
        <is>
          <t>https://doi.org/10.1186/s12888-025-07754-8</t>
        </is>
      </c>
      <c r="M311" s="4" t="n"/>
      <c r="N311" s="12" t="n"/>
      <c r="O311" s="41" t="n"/>
      <c r="P311" s="4" t="inlineStr">
        <is>
          <t>Confirmed only when AI was actually evaluated/used within the stated workflow or intervention; intended use alone = Proposed only</t>
        </is>
      </c>
      <c r="Q311" s="4">
        <f>IF(COUNTIFS('ESTUDIOS'!$A$2:$A$455,$A311,'ESTUDIOS'!$I$2:$I$455,"")&gt;0,"",INDEX('ESTUDIOS'!$I$2:$I$455,MATCH($A311,'ESTUDIOS'!$A$2:$A$455,0)))</f>
        <v/>
      </c>
    </row>
    <row r="312" ht="112" customHeight="1">
      <c r="A312" s="4" t="inlineStr">
        <is>
          <t>new_263</t>
        </is>
      </c>
      <c r="B312" s="4" t="inlineStr">
        <is>
          <t>Update</t>
        </is>
      </c>
      <c r="C312" s="4" t="inlineStr">
        <is>
          <t>Enhancing Psychological Assessments with Open-Ended Questionnaires and Large Language Models: An ASD Case Study</t>
        </is>
      </c>
      <c r="D312" s="4" t="inlineStr">
        <is>
          <t>Proposed only</t>
        </is>
      </c>
      <c r="E312" s="4" t="inlineStr">
        <is>
          <t>Research assessment model</t>
        </is>
      </c>
      <c r="F312" s="4" t="n"/>
      <c r="G312" s="4" t="inlineStr">
        <is>
          <t>Recorded in update; verification pending</t>
        </is>
      </c>
      <c r="H312" s="4" t="n"/>
      <c r="I312" s="4" t="inlineStr">
        <is>
          <t>Classification from parental reports</t>
        </is>
      </c>
      <c r="J312" s="4" t="inlineStr">
        <is>
          <t>Open-ended questionnaires allow respondents to express freely, capturing richer information than close-ended formats, but they are harder to analyze. Recent natural language processing advancements enable automatic assessment of open-ended responses, yet its use in psychological classification is underexplored. This study proposes a methodology using pre-trained large language models (LLMs) for automatic classification of open-ended questionnaire</t>
        </is>
      </c>
      <c r="K312" s="4" t="str"/>
      <c r="L312" s="4" t="inlineStr">
        <is>
          <t>https://doi.org/10.1109/jbhi.2025.3599643</t>
        </is>
      </c>
      <c r="M312" s="4" t="n"/>
      <c r="N312" s="12" t="n"/>
      <c r="O312" s="41" t="n"/>
      <c r="P312" s="4" t="inlineStr">
        <is>
          <t>Confirmed only when AI was actually evaluated/used within the stated workflow or intervention; intended use alone = Proposed only</t>
        </is>
      </c>
      <c r="Q312" s="4">
        <f>IF(COUNTIFS('ESTUDIOS'!$A$2:$A$455,$A312,'ESTUDIOS'!$I$2:$I$455,"")&gt;0,"",INDEX('ESTUDIOS'!$I$2:$I$455,MATCH($A312,'ESTUDIOS'!$A$2:$A$455,0)))</f>
        <v/>
      </c>
    </row>
    <row r="313" ht="112" customHeight="1">
      <c r="A313" s="4" t="inlineStr">
        <is>
          <t>new_268</t>
        </is>
      </c>
      <c r="B313" s="4" t="inlineStr">
        <is>
          <t>Update</t>
        </is>
      </c>
      <c r="C313" s="4" t="inlineStr">
        <is>
          <t>Compact subsets of autism screening items predict clinical diagnoses with a machine learning analysis of the QCHAT-10</t>
        </is>
      </c>
      <c r="D313" s="4" t="inlineStr">
        <is>
          <t>Proposed only</t>
        </is>
      </c>
      <c r="E313" s="4" t="inlineStr">
        <is>
          <t>Externally tested screening model</t>
        </is>
      </c>
      <c r="F313" s="4" t="n"/>
      <c r="G313" s="4" t="inlineStr">
        <is>
          <t>Recorded in update; verification pending</t>
        </is>
      </c>
      <c r="H313" s="4" t="n"/>
      <c r="I313" s="4" t="inlineStr">
        <is>
          <t>Compact-item screening prediction</t>
        </is>
      </c>
      <c r="J313" s="4" t="inlineStr">
        <is>
          <t>Early identification improves life outcomes for individuals with autism. This study addresses a central question: do compact subsets of the most predictive QCHAT-10 items, when fed into machine learning (ML) models trained to reproduce the full questionnaire’s screening result, generalize to predicting clinician-established autism diagnoses in independent clinical settings? We applied ML to the 10-question QCHAT-10, training models on New Zealand</t>
        </is>
      </c>
      <c r="K313" s="4" t="str"/>
      <c r="L313" s="4" t="inlineStr">
        <is>
          <t>https://doi.org/10.1038/s41598-025-26131-9</t>
        </is>
      </c>
      <c r="M313" s="4" t="n"/>
      <c r="N313" s="12" t="n"/>
      <c r="O313" s="41" t="n"/>
      <c r="P313" s="4" t="inlineStr">
        <is>
          <t>Confirmed only when AI was actually evaluated/used within the stated workflow or intervention; intended use alone = Proposed only</t>
        </is>
      </c>
      <c r="Q313" s="4">
        <f>IF(COUNTIFS('ESTUDIOS'!$A$2:$A$455,$A313,'ESTUDIOS'!$I$2:$I$455,"")&gt;0,"",INDEX('ESTUDIOS'!$I$2:$I$455,MATCH($A313,'ESTUDIOS'!$A$2:$A$455,0)))</f>
        <v/>
      </c>
    </row>
    <row r="314" ht="112" customHeight="1">
      <c r="A314" s="4" t="inlineStr">
        <is>
          <t>new_288</t>
        </is>
      </c>
      <c r="B314" s="4" t="inlineStr">
        <is>
          <t>Update</t>
        </is>
      </c>
      <c r="C314" s="4" t="inlineStr">
        <is>
          <t>Nonparametric motion control in functional connectivity studies in children with autism spectrum disorder</t>
        </is>
      </c>
      <c r="D314" s="4" t="inlineStr">
        <is>
          <t>Research only</t>
        </is>
      </c>
      <c r="E314" s="4" t="inlineStr">
        <is>
          <t>Methodological neuroimaging analysis</t>
        </is>
      </c>
      <c r="F314" s="4" t="n"/>
      <c r="G314" s="4" t="inlineStr">
        <is>
          <t>Recorded in update; verification pending</t>
        </is>
      </c>
      <c r="H314" s="4" t="n"/>
      <c r="I314" s="4" t="inlineStr">
        <is>
          <t>Motion-control estimation</t>
        </is>
      </c>
      <c r="J314" s="4" t="inlineStr">
        <is>
          <t>Autism spectrum disorder (ASD) is a neurodevelopmental condition associated with difficulties with social interactions, communication, and restricted or repetitive behaviors. To characterize ASD, investigators often use functional connectivity derived from resting-state functional magnetic resonance imaging of the brain. However, participants’ head motion during the scanning session can induce motion artifacts. Many studies remove participants wi</t>
        </is>
      </c>
      <c r="K314" s="4" t="str"/>
      <c r="L314" s="4" t="inlineStr">
        <is>
          <t>https://doi.org/10.1093/biomtc/ujag099</t>
        </is>
      </c>
      <c r="M314" s="4" t="n"/>
      <c r="N314" s="12" t="n"/>
      <c r="O314" s="41" t="n"/>
      <c r="P314" s="4" t="inlineStr">
        <is>
          <t>Confirmed only when AI was actually evaluated/used within the stated workflow or intervention; intended use alone = Proposed only</t>
        </is>
      </c>
      <c r="Q314" s="4">
        <f>IF(COUNTIFS('ESTUDIOS'!$A$2:$A$455,$A314,'ESTUDIOS'!$I$2:$I$455,"")&gt;0,"",INDEX('ESTUDIOS'!$I$2:$I$455,MATCH($A314,'ESTUDIOS'!$A$2:$A$455,0)))</f>
        <v/>
      </c>
    </row>
    <row r="315" ht="112" customHeight="1">
      <c r="A315" s="4" t="inlineStr">
        <is>
          <t>new_305</t>
        </is>
      </c>
      <c r="B315" s="4" t="inlineStr">
        <is>
          <t>Update</t>
        </is>
      </c>
      <c r="C315" s="4" t="inlineStr">
        <is>
          <t>Integrating Multimodal Neuroimaging and Physical-Health Markers for Autism Spectrum Disorder in the ABCD Study</t>
        </is>
      </c>
      <c r="D315" s="4" t="inlineStr">
        <is>
          <t>Research only</t>
        </is>
      </c>
      <c r="E315" s="4" t="inlineStr">
        <is>
          <t>Population-cohort proof of concept</t>
        </is>
      </c>
      <c r="F315" s="4" t="n"/>
      <c r="G315" s="4" t="inlineStr">
        <is>
          <t>Recorded in update; verification pending</t>
        </is>
      </c>
      <c r="H315" s="4" t="n"/>
      <c r="I315" s="4" t="inlineStr">
        <is>
          <t>Classification (ASD vs non-ASD)</t>
        </is>
      </c>
      <c r="J315" s="4" t="inlineStr">
        <is>
          <t xml:space="preserve">Background: Autism Spectrum Disorder (ASD) is a complex neurodevelopmental condition characterized by diverse presentations, which complicates the identification of consistent biological markers. This study examined whether integrating multimodal neuroimaging and physical-health measures from a population-based cohort can improve ASD classification and reveal interpretable markers that reflect both clinical and community variation. Methods: Data </t>
        </is>
      </c>
      <c r="K315" s="4" t="str"/>
      <c r="L315" s="4" t="inlineStr">
        <is>
          <t>https://doi.org/10.31083/jin48212</t>
        </is>
      </c>
      <c r="M315" s="4" t="n"/>
      <c r="N315" s="12" t="n"/>
      <c r="O315" s="41" t="n"/>
      <c r="P315" s="4" t="inlineStr">
        <is>
          <t>Confirmed only when AI was actually evaluated/used within the stated workflow or intervention; intended use alone = Proposed only</t>
        </is>
      </c>
      <c r="Q315" s="4">
        <f>IF(COUNTIFS('ESTUDIOS'!$A$2:$A$455,$A315,'ESTUDIOS'!$I$2:$I$455,"")&gt;0,"",INDEX('ESTUDIOS'!$I$2:$I$455,MATCH($A315,'ESTUDIOS'!$A$2:$A$455,0)))</f>
        <v/>
      </c>
    </row>
    <row r="316" ht="112" customHeight="1">
      <c r="A316" s="4" t="inlineStr">
        <is>
          <t>new_307</t>
        </is>
      </c>
      <c r="B316" s="4" t="inlineStr">
        <is>
          <t>Update</t>
        </is>
      </c>
      <c r="C316" s="4" t="inlineStr">
        <is>
          <t>Spatial structure based deep feature fusion network for autism spectrum disorder classification</t>
        </is>
      </c>
      <c r="D316" s="4" t="inlineStr">
        <is>
          <t>Proposed only</t>
        </is>
      </c>
      <c r="E316" s="4" t="inlineStr">
        <is>
          <t>Diagnostic-support research</t>
        </is>
      </c>
      <c r="F316" s="4" t="n"/>
      <c r="G316" s="4" t="inlineStr">
        <is>
          <t>Recorded in update; verification pending</t>
        </is>
      </c>
      <c r="H316" s="4" t="n"/>
      <c r="I316" s="4" t="inlineStr">
        <is>
          <t>Classification (ASD vs control)</t>
        </is>
      </c>
      <c r="J316" s="4" t="inlineStr">
        <is>
          <t>Autism spectrum disorder (ASD) is a neuro-developmental disorder that has serious impact on person’s social interaction, communication, and behavior. Non intrusive detection through analysis of electroencephalogram (EEG) signals with deep learning techniques has been the prominent area of research in ASD diagnosis. The current deep learning techniques processed EEG signals without considering their spatial structure. They treat EEG features as in</t>
        </is>
      </c>
      <c r="K316" s="4" t="str"/>
      <c r="L316" s="4" t="inlineStr">
        <is>
          <t>https://doi.org/10.1038/s41598-026-48562-8</t>
        </is>
      </c>
      <c r="M316" s="4" t="n"/>
      <c r="N316" s="12" t="n"/>
      <c r="O316" s="41" t="n"/>
      <c r="P316" s="4" t="inlineStr">
        <is>
          <t>Confirmed only when AI was actually evaluated/used within the stated workflow or intervention; intended use alone = Proposed only</t>
        </is>
      </c>
      <c r="Q316" s="4">
        <f>IF(COUNTIFS('ESTUDIOS'!$A$2:$A$455,$A316,'ESTUDIOS'!$I$2:$I$455,"")&gt;0,"",INDEX('ESTUDIOS'!$I$2:$I$455,MATCH($A316,'ESTUDIOS'!$A$2:$A$455,0)))</f>
        <v/>
      </c>
    </row>
    <row r="317" ht="112" customHeight="1">
      <c r="A317" s="4" t="inlineStr">
        <is>
          <t>new_313</t>
        </is>
      </c>
      <c r="B317" s="4" t="inlineStr">
        <is>
          <t>Update</t>
        </is>
      </c>
      <c r="C317" s="4" t="inlineStr">
        <is>
          <t>Metaheuristic hyperparameter optimization of deep neural networks for demographic-aware autism spectrum disorder classification.</t>
        </is>
      </c>
      <c r="D317" s="4" t="inlineStr">
        <is>
          <t>Research only</t>
        </is>
      </c>
      <c r="E317" s="4" t="inlineStr">
        <is>
          <t>Retrospective ABIDE model</t>
        </is>
      </c>
      <c r="F317" s="4" t="n"/>
      <c r="G317" s="4" t="inlineStr">
        <is>
          <t>Recorded in update; verification pending</t>
        </is>
      </c>
      <c r="H317" s="4" t="n"/>
      <c r="I317" s="4" t="inlineStr">
        <is>
          <t>Demographic-aware classification</t>
        </is>
      </c>
      <c r="J317" s="4" t="inlineStr">
        <is>
          <t>Autism Spectrum Disorder (ASD) classification from neuroimaging data poses significant challenges due to high data heterogeneity and the complexity of learning robust representations across demographic subgroups. While recent deep learning approaches have shown promise, most existing studies rely on binary classification and limited model tuning strategies, overlooking demographic variability and the role of systematic optimization in model desig</t>
        </is>
      </c>
      <c r="K317" s="4" t="str"/>
      <c r="L317" s="4" t="inlineStr">
        <is>
          <t>https://doi.org/10.1038/s41598-026-58789-0</t>
        </is>
      </c>
      <c r="M317" s="4" t="n"/>
      <c r="N317" s="12" t="n"/>
      <c r="O317" s="41" t="n"/>
      <c r="P317" s="4" t="inlineStr">
        <is>
          <t>Confirmed only when AI was actually evaluated/used within the stated workflow or intervention; intended use alone = Proposed only</t>
        </is>
      </c>
      <c r="Q317" s="4">
        <f>IF(COUNTIFS('ESTUDIOS'!$A$2:$A$455,$A317,'ESTUDIOS'!$I$2:$I$455,"")&gt;0,"",INDEX('ESTUDIOS'!$I$2:$I$455,MATCH($A317,'ESTUDIOS'!$A$2:$A$455,0)))</f>
        <v/>
      </c>
    </row>
    <row r="318" ht="112" customHeight="1">
      <c r="A318" s="4" t="inlineStr">
        <is>
          <t>new_321</t>
        </is>
      </c>
      <c r="B318" s="4" t="inlineStr">
        <is>
          <t>Update</t>
        </is>
      </c>
      <c r="C318" s="4" t="inlineStr">
        <is>
          <t>Bridging the gap: explainable ai for autism diagnosis and parental support with TabPFNMix and SHAP</t>
        </is>
      </c>
      <c r="D318" s="4" t="inlineStr">
        <is>
          <t>Proposed only</t>
        </is>
      </c>
      <c r="E318" s="4" t="inlineStr">
        <is>
          <t>Research prototype</t>
        </is>
      </c>
      <c r="F318" s="4" t="n"/>
      <c r="G318" s="4" t="inlineStr">
        <is>
          <t>Recorded in update; verification pending</t>
        </is>
      </c>
      <c r="H318" s="4" t="n"/>
      <c r="I318" s="4" t="inlineStr">
        <is>
          <t>Classification and explanation</t>
        </is>
      </c>
      <c r="J318" s="4" t="inlineStr">
        <is>
          <t>Autism Spectrum Disorder (ASD) is a complex neurodevelopmental condition that affects a growing number of individuals worldwide. Despite extensive research, the underlying causes of ASD remain largely unknown, with genetic predisposition, parental history, and environmental influences identified as potential risk factors. Diagnosing ASD remains challenging due to its highly variable presentation and overlap with other neurodevelopmental disorders</t>
        </is>
      </c>
      <c r="K318" s="4" t="str"/>
      <c r="L318" s="4" t="inlineStr">
        <is>
          <t>https://doi.org/10.1038/s41598-025-24662-9</t>
        </is>
      </c>
      <c r="M318" s="4" t="n"/>
      <c r="N318" s="12" t="n"/>
      <c r="O318" s="41" t="n"/>
      <c r="P318" s="4" t="inlineStr">
        <is>
          <t>Confirmed only when AI was actually evaluated/used within the stated workflow or intervention; intended use alone = Proposed only</t>
        </is>
      </c>
      <c r="Q318" s="4">
        <f>IF(COUNTIFS('ESTUDIOS'!$A$2:$A$455,$A318,'ESTUDIOS'!$I$2:$I$455,"")&gt;0,"",INDEX('ESTUDIOS'!$I$2:$I$455,MATCH($A318,'ESTUDIOS'!$A$2:$A$455,0)))</f>
        <v/>
      </c>
    </row>
    <row r="319" ht="112" customHeight="1">
      <c r="A319" s="4" t="inlineStr">
        <is>
          <t>new_331</t>
        </is>
      </c>
      <c r="B319" s="4" t="inlineStr">
        <is>
          <t>Update</t>
        </is>
      </c>
      <c r="C319" s="4" t="inlineStr">
        <is>
          <t>Hybrid deep learning and feature selection approach for autism detection from rs-fMRI data</t>
        </is>
      </c>
      <c r="D319" s="4" t="inlineStr">
        <is>
          <t>Research only</t>
        </is>
      </c>
      <c r="E319" s="4" t="inlineStr">
        <is>
          <t>Retrospective fMRI model</t>
        </is>
      </c>
      <c r="F319" s="4" t="n"/>
      <c r="G319" s="4" t="inlineStr">
        <is>
          <t>Recorded in update; verification pending</t>
        </is>
      </c>
      <c r="H319" s="4" t="n"/>
      <c r="I319" s="4" t="inlineStr">
        <is>
          <t>Classification (ASD vs control)</t>
        </is>
      </c>
      <c r="J319" s="4" t="inlineStr">
        <is>
          <t>Autism Spectrum Disorder (ASD) is a neurodevelopmental condition that is primarily characterized by deficits in social communication and restricted or repetitive behavioral patterns. Although psychologists contribute significantly to the understanding of ASD, offering insights into its cognitive, emotional, and behavioral dimensions through assessments, diagnoses, therapeutic approaches, and family support, the diagnostic process remains complex.</t>
        </is>
      </c>
      <c r="K319" s="4" t="str"/>
      <c r="L319" s="4" t="inlineStr">
        <is>
          <t>https://doi.org/10.1371/journal.pone.0339921</t>
        </is>
      </c>
      <c r="M319" s="4" t="n"/>
      <c r="N319" s="12" t="n"/>
      <c r="O319" s="41" t="n"/>
      <c r="P319" s="4" t="inlineStr">
        <is>
          <t>Confirmed only when AI was actually evaluated/used within the stated workflow or intervention; intended use alone = Proposed only</t>
        </is>
      </c>
      <c r="Q319" s="4">
        <f>IF(COUNTIFS('ESTUDIOS'!$A$2:$A$455,$A319,'ESTUDIOS'!$I$2:$I$455,"")&gt;0,"",INDEX('ESTUDIOS'!$I$2:$I$455,MATCH($A319,'ESTUDIOS'!$A$2:$A$455,0)))</f>
        <v/>
      </c>
    </row>
    <row r="320" ht="112" customHeight="1">
      <c r="A320" s="4" t="inlineStr">
        <is>
          <t>new_335</t>
        </is>
      </c>
      <c r="B320" s="4" t="inlineStr">
        <is>
          <t>Update</t>
        </is>
      </c>
      <c r="C320" s="4" t="inlineStr">
        <is>
          <t>Diagnostic Classification of Autism Spectrum Disorder in the Frequency Domain Using Resting-State fMRI</t>
        </is>
      </c>
      <c r="D320" s="4" t="inlineStr">
        <is>
          <t>Research only</t>
        </is>
      </c>
      <c r="E320" s="4" t="inlineStr">
        <is>
          <t>Retrospective fMRI model</t>
        </is>
      </c>
      <c r="F320" s="4" t="n"/>
      <c r="G320" s="4" t="inlineStr">
        <is>
          <t>Recorded in update; verification pending</t>
        </is>
      </c>
      <c r="H320" s="4" t="n"/>
      <c r="I320" s="4" t="inlineStr">
        <is>
          <t>Classification (ASD vs control)</t>
        </is>
      </c>
      <c r="J320" s="4" t="inlineStr">
        <is>
          <t xml:space="preserve">Autism spectrum disorder (ASD) is a neurodevelopmental disorder with problems in social interactions, verbal and non-verbal communication, repetitive behaviors, and limited interests in a person. Considering the challenges in diagnosing ASD based on behavioral symptoms—such as subjectivity, variability among individuals, and overlap with other developmental conditions—it seems necessary to propose computer-aided diagnosis systems (CADS) for ASD. </t>
        </is>
      </c>
      <c r="K320" s="4" t="str"/>
      <c r="L320" s="4" t="inlineStr">
        <is>
          <t>https://doi.org/10.1007/s12021-026-09782-5</t>
        </is>
      </c>
      <c r="M320" s="4" t="n"/>
      <c r="N320" s="12" t="n"/>
      <c r="O320" s="41" t="n"/>
      <c r="P320" s="4" t="inlineStr">
        <is>
          <t>Confirmed only when AI was actually evaluated/used within the stated workflow or intervention; intended use alone = Proposed only</t>
        </is>
      </c>
      <c r="Q320" s="4">
        <f>IF(COUNTIFS('ESTUDIOS'!$A$2:$A$455,$A320,'ESTUDIOS'!$I$2:$I$455,"")&gt;0,"",INDEX('ESTUDIOS'!$I$2:$I$455,MATCH($A320,'ESTUDIOS'!$A$2:$A$455,0)))</f>
        <v/>
      </c>
    </row>
    <row r="321" ht="112" customHeight="1">
      <c r="A321" s="4" t="inlineStr">
        <is>
          <t>new_352</t>
        </is>
      </c>
      <c r="B321" s="4" t="inlineStr">
        <is>
          <t>Update</t>
        </is>
      </c>
      <c r="C321" s="4" t="inlineStr">
        <is>
          <t>Efficient Kulczynski EEG feature selection for autism spectrum disorder diagnosis over fog and cloud computing</t>
        </is>
      </c>
      <c r="D321" s="4" t="inlineStr">
        <is>
          <t>Proposed only</t>
        </is>
      </c>
      <c r="E321" s="4" t="inlineStr">
        <is>
          <t>Prospective diagnostic-system research</t>
        </is>
      </c>
      <c r="F321" s="4" t="n"/>
      <c r="G321" s="4" t="inlineStr">
        <is>
          <t>Recorded in update; verification pending</t>
        </is>
      </c>
      <c r="H321" s="4" t="n"/>
      <c r="I321" s="4" t="inlineStr">
        <is>
          <t>Classification (ASD vs control)</t>
        </is>
      </c>
      <c r="J321" s="4" t="inlineStr">
        <is>
          <t>This work introduces an efficient feature selection approach based on the Kulczynski Similarity (KS) measure to improve the efficiency and accuracy of machine learning models in Electroencephalogram (EEG)-based autism spectrum disorder (ASD) detection. EEG data are inherently high-dimensional, and using all features increases computational burden while incorporating redundant or irrelevant attributes that may hinder classification performance. Th</t>
        </is>
      </c>
      <c r="K321" s="4" t="str"/>
      <c r="L321" s="4" t="inlineStr">
        <is>
          <t>https://doi.org/10.1007/s41870-025-02987-y</t>
        </is>
      </c>
      <c r="M321" s="4" t="n"/>
      <c r="N321" s="12" t="n"/>
      <c r="O321" s="41" t="n"/>
      <c r="P321" s="4" t="inlineStr">
        <is>
          <t>Confirmed only when AI was actually evaluated/used within the stated workflow or intervention; intended use alone = Proposed only</t>
        </is>
      </c>
      <c r="Q321" s="4">
        <f>IF(COUNTIFS('ESTUDIOS'!$A$2:$A$455,$A321,'ESTUDIOS'!$I$2:$I$455,"")&gt;0,"",INDEX('ESTUDIOS'!$I$2:$I$455,MATCH($A321,'ESTUDIOS'!$A$2:$A$455,0)))</f>
        <v/>
      </c>
    </row>
    <row r="322" ht="112" customHeight="1">
      <c r="A322" s="4" t="inlineStr">
        <is>
          <t>new_359</t>
        </is>
      </c>
      <c r="B322" s="4" t="inlineStr">
        <is>
          <t>Update</t>
        </is>
      </c>
      <c r="C322" s="4" t="inlineStr">
        <is>
          <t>Privacy preserving federated framework for autism spectrum disorder screening with ensemble stacking and deep learning approaches</t>
        </is>
      </c>
      <c r="D322" s="4" t="inlineStr">
        <is>
          <t>Proposed only</t>
        </is>
      </c>
      <c r="E322" s="4" t="inlineStr">
        <is>
          <t>Federated-learning simulation</t>
        </is>
      </c>
      <c r="F322" s="4" t="n"/>
      <c r="G322" s="4" t="inlineStr">
        <is>
          <t>Recorded in update; verification pending</t>
        </is>
      </c>
      <c r="H322" s="4" t="n"/>
      <c r="I322" s="4" t="inlineStr">
        <is>
          <t>Screening classification</t>
        </is>
      </c>
      <c r="J322" s="4" t="inlineStr">
        <is>
          <t>Objectives: Autism Spectrum Disorder (ASD) is a neurological condition that affects social and cognitive skills, and early detection is crucial for minimizing long-term effects. This study aims to develop a decentralized diagnostic framework for precise ASD detection, utilizing a federated learning simulation with raw data held at the client-side, but no specific privacy safety (DP, Secure Aggregation, Homomorphic Encryption). It integrates Ensem</t>
        </is>
      </c>
      <c r="K322" s="4" t="str"/>
      <c r="L322" s="4" t="inlineStr">
        <is>
          <t>https://doi.org/10.1007/s44163-026-01103-8</t>
        </is>
      </c>
      <c r="M322" s="4" t="n"/>
      <c r="N322" s="12" t="n"/>
      <c r="O322" s="41" t="n"/>
      <c r="P322" s="4" t="inlineStr">
        <is>
          <t>Confirmed only when AI was actually evaluated/used within the stated workflow or intervention; intended use alone = Proposed only</t>
        </is>
      </c>
      <c r="Q322" s="4">
        <f>IF(COUNTIFS('ESTUDIOS'!$A$2:$A$455,$A322,'ESTUDIOS'!$I$2:$I$455,"")&gt;0,"",INDEX('ESTUDIOS'!$I$2:$I$455,MATCH($A322,'ESTUDIOS'!$A$2:$A$455,0)))</f>
        <v/>
      </c>
    </row>
    <row r="323" ht="112" customHeight="1">
      <c r="A323" s="4" t="inlineStr">
        <is>
          <t>new_372</t>
        </is>
      </c>
      <c r="B323" s="4" t="inlineStr">
        <is>
          <t>Update</t>
        </is>
      </c>
      <c r="C323" s="4" t="inlineStr">
        <is>
          <t>Machine learning of clinical phenotypes facilitates autism screening and identifies novel subgroups with distinct transcriptomic profiles</t>
        </is>
      </c>
      <c r="D323" s="4" t="inlineStr">
        <is>
          <t>Proposed only</t>
        </is>
      </c>
      <c r="E323" s="4" t="inlineStr">
        <is>
          <t>Research framework</t>
        </is>
      </c>
      <c r="F323" s="4" t="n"/>
      <c r="G323" s="4" t="inlineStr">
        <is>
          <t>Recorded in update; verification pending</t>
        </is>
      </c>
      <c r="H323" s="4" t="n"/>
      <c r="I323" s="4" t="inlineStr">
        <is>
          <t>Screening and subtyping</t>
        </is>
      </c>
      <c r="J323" s="4" t="inlineStr">
        <is>
          <t>Autism spectrum disorder (ASD) presents significant challenges in diagnosis and intervention due to its diverse clinical manifestations and underlying biological complexity. This study explored machine learning approaches to enhance ASD screening accuracy and identify meaningful subtypes using clinical assessments from AGRE database integrated with molecular data from GSE15402. Analysis of ADI-R scores from a large cohort of 2794 individuals demo</t>
        </is>
      </c>
      <c r="K323" s="4" t="str"/>
      <c r="L323" s="4" t="inlineStr">
        <is>
          <t>https://doi.org/10.1038/s41598-025-95291-5</t>
        </is>
      </c>
      <c r="M323" s="4" t="n"/>
      <c r="N323" s="12" t="n"/>
      <c r="O323" s="41" t="n"/>
      <c r="P323" s="4" t="inlineStr">
        <is>
          <t>Confirmed only when AI was actually evaluated/used within the stated workflow or intervention; intended use alone = Proposed only</t>
        </is>
      </c>
      <c r="Q323" s="4">
        <f>IF(COUNTIFS('ESTUDIOS'!$A$2:$A$455,$A323,'ESTUDIOS'!$I$2:$I$455,"")&gt;0,"",INDEX('ESTUDIOS'!$I$2:$I$455,MATCH($A323,'ESTUDIOS'!$A$2:$A$455,0)))</f>
        <v/>
      </c>
    </row>
    <row r="324" ht="112" customHeight="1">
      <c r="A324" s="4" t="inlineStr">
        <is>
          <t>new_378</t>
        </is>
      </c>
      <c r="B324" s="4" t="inlineStr">
        <is>
          <t>Update</t>
        </is>
      </c>
      <c r="C324" s="4" t="inlineStr">
        <is>
          <t>Integrating Network Analysis and Machine Learning Identifies Key Autism Spectrum Disorder Genes Linked to Immune Dysregulation and Therapeutic Targets</t>
        </is>
      </c>
      <c r="D324" s="4" t="inlineStr">
        <is>
          <t>Research only</t>
        </is>
      </c>
      <c r="E324" s="4" t="inlineStr">
        <is>
          <t>Biomarker discovery</t>
        </is>
      </c>
      <c r="F324" s="4" t="n"/>
      <c r="G324" s="4" t="inlineStr">
        <is>
          <t>Recorded in update; verification pending</t>
        </is>
      </c>
      <c r="H324" s="4" t="n"/>
      <c r="I324" s="4" t="inlineStr">
        <is>
          <t>Biomarker and target discovery</t>
        </is>
      </c>
      <c r="J324" s="4" t="inlineStr">
        <is>
          <t>Background: Understanding the genetic mechanisms and identifying potential therapeutic targets are essential for clarifying Autism Spectrum Disorder (ASD) etiology and improving treatments. This study aims to bridge the gap between basic transcriptomic discoveries and clinical applications in ASD research. Methods: Differentially expressed genes (DEGs) of GSE18123 datase were identified. A protein–protein interaction (PPI) network was constructed</t>
        </is>
      </c>
      <c r="K324" s="4" t="str"/>
      <c r="L324" s="4" t="inlineStr">
        <is>
          <t>https://doi.org/10.3390/genes16091109</t>
        </is>
      </c>
      <c r="M324" s="4" t="n"/>
      <c r="N324" s="12" t="n"/>
      <c r="O324" s="41" t="n"/>
      <c r="P324" s="4" t="inlineStr">
        <is>
          <t>Confirmed only when AI was actually evaluated/used within the stated workflow or intervention; intended use alone = Proposed only</t>
        </is>
      </c>
      <c r="Q324" s="4">
        <f>IF(COUNTIFS('ESTUDIOS'!$A$2:$A$455,$A324,'ESTUDIOS'!$I$2:$I$455,"")&gt;0,"",INDEX('ESTUDIOS'!$I$2:$I$455,MATCH($A324,'ESTUDIOS'!$A$2:$A$455,0)))</f>
        <v/>
      </c>
    </row>
    <row r="325" ht="112" customHeight="1">
      <c r="A325" s="4" t="inlineStr">
        <is>
          <t>new_384</t>
        </is>
      </c>
      <c r="B325" s="4" t="inlineStr">
        <is>
          <t>Update</t>
        </is>
      </c>
      <c r="C325" s="4" t="inlineStr">
        <is>
          <t>Air pollution and autism-like traits: Sensitive periods and joint effects of exposure to sources and constituents of fine particulate matter</t>
        </is>
      </c>
      <c r="D325" s="4" t="inlineStr">
        <is>
          <t>Research only</t>
        </is>
      </c>
      <c r="E325" s="4" t="inlineStr">
        <is>
          <t>Epidemiologic risk analysis</t>
        </is>
      </c>
      <c r="F325" s="4" t="n"/>
      <c r="G325" s="4" t="inlineStr">
        <is>
          <t>Recorded in update; verification pending</t>
        </is>
      </c>
      <c r="H325" s="4" t="n"/>
      <c r="I325" s="4" t="inlineStr">
        <is>
          <t>Exposure estimation and ASD-trait risk</t>
        </is>
      </c>
      <c r="J325" s="4" t="inlineStr">
        <is>
          <t xml:space="preserve">Growing evidence suggests that exposure to air pollution during early life is associated with autism spectrum disorder (ASD). However, results have been inconsistent for autism-like traits and in low exposure settings. Here, we assessed sensitive windows of exposure to fine particulate matter (PM2.5), nitrogen dioxide (NO2), and ozone (O3) and joint effects of exposure to sources and constituents of PM2.5 on autism-like traits among 798 children </t>
        </is>
      </c>
      <c r="K325" s="4" t="str"/>
      <c r="L325" s="4" t="inlineStr">
        <is>
          <t>https://doi.org/10.1016/j.envres.2026.125213</t>
        </is>
      </c>
      <c r="M325" s="4" t="n"/>
      <c r="N325" s="12" t="n"/>
      <c r="O325" s="41" t="n"/>
      <c r="P325" s="4" t="inlineStr">
        <is>
          <t>Confirmed only when AI was actually evaluated/used within the stated workflow or intervention; intended use alone = Proposed only</t>
        </is>
      </c>
      <c r="Q325" s="4">
        <f>IF(COUNTIFS('ESTUDIOS'!$A$2:$A$455,$A325,'ESTUDIOS'!$I$2:$I$455,"")&gt;0,"",INDEX('ESTUDIOS'!$I$2:$I$455,MATCH($A325,'ESTUDIOS'!$A$2:$A$455,0)))</f>
        <v/>
      </c>
    </row>
    <row r="326" ht="112" customHeight="1">
      <c r="A326" s="4" t="inlineStr">
        <is>
          <t>new_395</t>
        </is>
      </c>
      <c r="B326" s="4" t="inlineStr">
        <is>
          <t>Update</t>
        </is>
      </c>
      <c r="C326" s="4" t="inlineStr">
        <is>
          <t>Prematurity and genetic liability for autism spectrum disorder</t>
        </is>
      </c>
      <c r="D326" s="4" t="inlineStr">
        <is>
          <t>Research only</t>
        </is>
      </c>
      <c r="E326" s="4" t="inlineStr">
        <is>
          <t>Research risk model</t>
        </is>
      </c>
      <c r="F326" s="4" t="n"/>
      <c r="G326" s="4" t="inlineStr">
        <is>
          <t>Recorded in update; verification pending</t>
        </is>
      </c>
      <c r="H326" s="4" t="n"/>
      <c r="I326" s="4" t="inlineStr">
        <is>
          <t>Risk prediction in preterm children</t>
        </is>
      </c>
      <c r="J326" s="4" t="inlineStr">
        <is>
          <t>Background: Autism spectrum disorder (ASD) is a neurodevelopmental condition characterized by diverse presentations and a strong genetic component. Environmental factors, such as prematurity, have also been linked to increased liability for ASD, though the interaction between genetic predisposition and prematurity remains unclear. This study aims to investigate the impact of genetic liability and preterm birth on ASD conditions. Methods: We analy</t>
        </is>
      </c>
      <c r="K326" s="4" t="str"/>
      <c r="L326" s="4" t="inlineStr">
        <is>
          <t>https://doi.org/10.1186/s13073-025-01552-3</t>
        </is>
      </c>
      <c r="M326" s="4" t="n"/>
      <c r="N326" s="12" t="n"/>
      <c r="O326" s="41" t="n"/>
      <c r="P326" s="4" t="inlineStr">
        <is>
          <t>Confirmed only when AI was actually evaluated/used within the stated workflow or intervention; intended use alone = Proposed only</t>
        </is>
      </c>
      <c r="Q326" s="4">
        <f>IF(COUNTIFS('ESTUDIOS'!$A$2:$A$455,$A326,'ESTUDIOS'!$I$2:$I$455,"")&gt;0,"",INDEX('ESTUDIOS'!$I$2:$I$455,MATCH($A326,'ESTUDIOS'!$A$2:$A$455,0)))</f>
        <v/>
      </c>
    </row>
    <row r="327" ht="112" customHeight="1">
      <c r="A327" s="4" t="inlineStr">
        <is>
          <t>new_406</t>
        </is>
      </c>
      <c r="B327" s="4" t="inlineStr">
        <is>
          <t>Update</t>
        </is>
      </c>
      <c r="C327" s="4" t="inlineStr">
        <is>
          <t>NeuroCypher ASD: Machine Learning with Knowledge Graph-Based Representation for ASD Screening in Toddlers</t>
        </is>
      </c>
      <c r="D327" s="4" t="inlineStr">
        <is>
          <t>Proposed only</t>
        </is>
      </c>
      <c r="E327" s="4" t="inlineStr">
        <is>
          <t>Clinician/educator-facing prototype</t>
        </is>
      </c>
      <c r="F327" s="4" t="n"/>
      <c r="G327" s="4" t="inlineStr">
        <is>
          <t>Recorded in update; verification pending</t>
        </is>
      </c>
      <c r="H327" s="4" t="n"/>
      <c r="I327" s="4" t="inlineStr">
        <is>
          <t>Screening and case exploration</t>
        </is>
      </c>
      <c r="J327" s="4" t="inlineStr">
        <is>
          <t xml:space="preserve">Autism Spectrum Disorder (ASD) screening often relies on structured questionnaires. Yet these data are not always easy to interpret or use in practice. There is a need for screening frameworks that support risk estimation, case comparison, and pattern exploration in a clear and accessible way. In this work, we present NeuroCypher ASD, a framework that combines tabular machine learning with a knowledge graph for ASD screening, interpretation, and </t>
        </is>
      </c>
      <c r="K327" s="4" t="str"/>
      <c r="L327" s="4" t="inlineStr">
        <is>
          <t>https://doi.org/10.1007/s41666-026-00243-x</t>
        </is>
      </c>
      <c r="M327" s="4" t="n"/>
      <c r="N327" s="12" t="n"/>
      <c r="O327" s="41" t="n"/>
      <c r="P327" s="4" t="inlineStr">
        <is>
          <t>Confirmed only when AI was actually evaluated/used within the stated workflow or intervention; intended use alone = Proposed only</t>
        </is>
      </c>
      <c r="Q327" s="4">
        <f>IF(COUNTIFS('ESTUDIOS'!$A$2:$A$455,$A327,'ESTUDIOS'!$I$2:$I$455,"")&gt;0,"",INDEX('ESTUDIOS'!$I$2:$I$455,MATCH($A327,'ESTUDIOS'!$A$2:$A$455,0)))</f>
        <v/>
      </c>
    </row>
    <row r="328" ht="112" customHeight="1">
      <c r="A328" s="4" t="inlineStr">
        <is>
          <t>new_410</t>
        </is>
      </c>
      <c r="B328" s="4" t="inlineStr">
        <is>
          <t>Update</t>
        </is>
      </c>
      <c r="C328" s="4" t="inlineStr">
        <is>
          <t>Robust deep learning pipeline to improve access to autism triage and diagnosis</t>
        </is>
      </c>
      <c r="D328" s="4" t="inlineStr">
        <is>
          <t>Proposed only</t>
        </is>
      </c>
      <c r="E328" s="4" t="inlineStr">
        <is>
          <t>Proposed triage pipeline</t>
        </is>
      </c>
      <c r="F328" s="4" t="n"/>
      <c r="G328" s="4" t="inlineStr">
        <is>
          <t>Recorded in update; verification pending</t>
        </is>
      </c>
      <c r="H328" s="4" t="n"/>
      <c r="I328" s="4" t="inlineStr">
        <is>
          <t>Triage / diagnostic prediction</t>
        </is>
      </c>
      <c r="J328" s="4" t="inlineStr">
        <is>
          <t>Purpose: Timely access to autism spectrum disorder (ASD) diagnosis represents a major clinical burden, especially in children. Robust and quantitative triage tools to refer children at high risk of ASD for rapid evaluation are not available. We investigate a robust artificial intelligence pipeline combining anatomic and resting state MRI scans with demographics to triage children into high and low risk of an ASD diagnosis. Methods: The ABIDE I an</t>
        </is>
      </c>
      <c r="K328" s="4" t="str"/>
      <c r="L328" s="4" t="inlineStr">
        <is>
          <t>https://doi.org/10.1007/s44163-026-01299-9</t>
        </is>
      </c>
      <c r="M328" s="4" t="n"/>
      <c r="N328" s="12" t="n"/>
      <c r="O328" s="41" t="n"/>
      <c r="P328" s="4" t="inlineStr">
        <is>
          <t>Confirmed only when AI was actually evaluated/used within the stated workflow or intervention; intended use alone = Proposed only</t>
        </is>
      </c>
      <c r="Q328" s="4">
        <f>IF(COUNTIFS('ESTUDIOS'!$A$2:$A$455,$A328,'ESTUDIOS'!$I$2:$I$455,"")&gt;0,"",INDEX('ESTUDIOS'!$I$2:$I$455,MATCH($A328,'ESTUDIOS'!$A$2:$A$455,0)))</f>
        <v/>
      </c>
    </row>
    <row r="329" ht="112" customHeight="1">
      <c r="A329" s="4" t="inlineStr">
        <is>
          <t>new_417</t>
        </is>
      </c>
      <c r="B329" s="4" t="inlineStr">
        <is>
          <t>Update</t>
        </is>
      </c>
      <c r="C329" s="4" t="inlineStr">
        <is>
          <t>Perivascular Space Burden in Children With Autism Spectrum Disorder Correlates With Neurodevelopmental Severity</t>
        </is>
      </c>
      <c r="D329" s="4" t="inlineStr">
        <is>
          <t>Research only</t>
        </is>
      </c>
      <c r="E329" s="4" t="inlineStr">
        <is>
          <t>Retrospective MRI analysis</t>
        </is>
      </c>
      <c r="F329" s="4" t="n"/>
      <c r="G329" s="4" t="inlineStr">
        <is>
          <t>Recorded in update; verification pending</t>
        </is>
      </c>
      <c r="H329" s="4" t="n"/>
      <c r="I329" s="4" t="inlineStr">
        <is>
          <t>Segmentation and severity characterization</t>
        </is>
      </c>
      <c r="J329" s="4" t="inlineStr">
        <is>
          <t>Background: Cerebral perivascular spaces (PVS) are involved in cerebrospinal fluid (CSF) circulation and clearance of metabolic waste in adult humans. A high number of PVS has been reported in autism spectrum disorder (ASD) but its relationship with CSF and disease severity is unclear. Purpose: To quantify PVS in children with ASD through MRI. Study Type: Retrospective. Population: Sixty six children with ASD (mean age: 4.7 ± 1.5 years; males/fem</t>
        </is>
      </c>
      <c r="K329" s="4" t="str"/>
      <c r="L329" s="4" t="inlineStr">
        <is>
          <t>https://doi.org/10.1002/jmri.70023</t>
        </is>
      </c>
      <c r="M329" s="4" t="n"/>
      <c r="N329" s="12" t="n"/>
      <c r="O329" s="41" t="n"/>
      <c r="P329" s="4" t="inlineStr">
        <is>
          <t>Confirmed only when AI was actually evaluated/used within the stated workflow or intervention; intended use alone = Proposed only</t>
        </is>
      </c>
      <c r="Q329" s="4">
        <f>IF(COUNTIFS('ESTUDIOS'!$A$2:$A$455,$A329,'ESTUDIOS'!$I$2:$I$455,"")&gt;0,"",INDEX('ESTUDIOS'!$I$2:$I$455,MATCH($A329,'ESTUDIOS'!$A$2:$A$455,0)))</f>
        <v/>
      </c>
    </row>
    <row r="330" ht="112" customHeight="1">
      <c r="A330" s="4" t="inlineStr">
        <is>
          <t>new_420</t>
        </is>
      </c>
      <c r="B330" s="4" t="inlineStr">
        <is>
          <t>Update</t>
        </is>
      </c>
      <c r="C330" s="4" t="inlineStr">
        <is>
          <t>Two-tier nature inspired optimization-driven ensemble of deep learning models for effective autism spectrum disorder diagnosis in disabled persons</t>
        </is>
      </c>
      <c r="D330" s="4" t="inlineStr">
        <is>
          <t>Proposed only</t>
        </is>
      </c>
      <c r="E330" s="4" t="inlineStr">
        <is>
          <t>Simulation on public datasets</t>
        </is>
      </c>
      <c r="F330" s="4" t="n"/>
      <c r="G330" s="4" t="inlineStr">
        <is>
          <t>Recorded in update; verification pending</t>
        </is>
      </c>
      <c r="H330" s="4" t="n"/>
      <c r="I330" s="4" t="inlineStr">
        <is>
          <t>ASD-stage classification</t>
        </is>
      </c>
      <c r="J330" s="4" t="inlineStr">
        <is>
          <t>Autism spectrum disorder (ASD) includes a varied set of neuropsychiatric illnesses. This disorder is described by a definite grade of loss in social communication, academic functioning, personal contact, and limited and repetitive behaviours. Individuals with ASD might perform, convey, and study in a different way than others. ASDs naturally are apparent before age 3 years, with related impairments affecting manifold regions of a person’s lifespa</t>
        </is>
      </c>
      <c r="K330" s="4" t="str"/>
      <c r="L330" s="4" t="inlineStr">
        <is>
          <t>https://doi.org/10.1038/s41598-025-93802-y</t>
        </is>
      </c>
      <c r="M330" s="4" t="n"/>
      <c r="N330" s="12" t="n"/>
      <c r="O330" s="41" t="n"/>
      <c r="P330" s="4" t="inlineStr">
        <is>
          <t>Confirmed only when AI was actually evaluated/used within the stated workflow or intervention; intended use alone = Proposed only</t>
        </is>
      </c>
      <c r="Q330" s="4">
        <f>IF(COUNTIFS('ESTUDIOS'!$A$2:$A$455,$A330,'ESTUDIOS'!$I$2:$I$455,"")&gt;0,"",INDEX('ESTUDIOS'!$I$2:$I$455,MATCH($A330,'ESTUDIOS'!$A$2:$A$455,0)))</f>
        <v/>
      </c>
    </row>
    <row r="331" ht="112" customHeight="1">
      <c r="A331" s="4" t="inlineStr">
        <is>
          <t>new_422</t>
        </is>
      </c>
      <c r="B331" s="4" t="inlineStr">
        <is>
          <t>Update</t>
        </is>
      </c>
      <c r="C331" s="4" t="inlineStr">
        <is>
          <t>MIND-TEA: An Adaptive Multi-Agent Framework for Multimodal Autism Diagnosis</t>
        </is>
      </c>
      <c r="D331" s="4" t="inlineStr">
        <is>
          <t>Proposed only</t>
        </is>
      </c>
      <c r="E331" s="4" t="inlineStr">
        <is>
          <t>Research framework</t>
        </is>
      </c>
      <c r="F331" s="4" t="n"/>
      <c r="G331" s="4" t="inlineStr">
        <is>
          <t>Recorded in update; verification pending</t>
        </is>
      </c>
      <c r="H331" s="4" t="n"/>
      <c r="I331" s="4" t="inlineStr">
        <is>
          <t>Multimodal diagnostic classification</t>
        </is>
      </c>
      <c r="J331" s="4" t="inlineStr">
        <is>
          <t>Autism Spectrum Disorder (ASD) presents substantial diagnostic heterogeneity, challenging the reliability and generalization of static, single-model classifiers. To address this, MIND-TEA is introduced as an adaptive multimodal framework for neurodevelopmental diagnosis. The system integrates resting-state fMRI (rs-fMRI) features with clinical text and utilizes a meta-learning orchestrator to dynamically route each patient to an optimal specialis</t>
        </is>
      </c>
      <c r="K331" s="4" t="str"/>
      <c r="L331" s="4" t="inlineStr">
        <is>
          <t>https://doi.org/10.1109/access.2026.3688987</t>
        </is>
      </c>
      <c r="M331" s="4" t="n"/>
      <c r="N331" s="12" t="n"/>
      <c r="O331" s="41" t="n"/>
      <c r="P331" s="4" t="inlineStr">
        <is>
          <t>Confirmed only when AI was actually evaluated/used within the stated workflow or intervention; intended use alone = Proposed only</t>
        </is>
      </c>
      <c r="Q331" s="4">
        <f>IF(COUNTIFS('ESTUDIOS'!$A$2:$A$455,$A331,'ESTUDIOS'!$I$2:$I$455,"")&gt;0,"",INDEX('ESTUDIOS'!$I$2:$I$455,MATCH($A331,'ESTUDIOS'!$A$2:$A$455,0)))</f>
        <v/>
      </c>
    </row>
    <row r="332" ht="112" customHeight="1">
      <c r="A332" s="4" t="inlineStr">
        <is>
          <t>new_424</t>
        </is>
      </c>
      <c r="B332" s="4" t="inlineStr">
        <is>
          <t>Update</t>
        </is>
      </c>
      <c r="C332" s="4" t="inlineStr">
        <is>
          <t>Interpretable Autism Screening via Object-Based Analysis of Child-Drawn Sketches</t>
        </is>
      </c>
      <c r="D332" s="4" t="inlineStr">
        <is>
          <t>Proposed only</t>
        </is>
      </c>
      <c r="E332" s="4" t="inlineStr">
        <is>
          <t>Developmental-assessment research</t>
        </is>
      </c>
      <c r="F332" s="4" t="n"/>
      <c r="G332" s="4" t="inlineStr">
        <is>
          <t>Recorded in update; verification pending</t>
        </is>
      </c>
      <c r="H332" s="4" t="n"/>
      <c r="I332" s="4" t="inlineStr">
        <is>
          <t>Interpretable screening classification</t>
        </is>
      </c>
      <c r="J332" s="4" t="inlineStr">
        <is>
          <t>Developmental assessment methods for children largely rely on subjective manual scoring, which leads to limitations in interpretability, consistency, and scalability. For high-stakes applications in clinical and educational environments, high accuracy and transparency are essential in decision-making, which underscores the growing importance of explainable artificial intelligence techniques for automated developmental assessment. To address these</t>
        </is>
      </c>
      <c r="K332" s="4" t="str"/>
      <c r="L332" s="4" t="inlineStr">
        <is>
          <t>https://doi.org/10.1109/access.2025.3642950</t>
        </is>
      </c>
      <c r="M332" s="4" t="n"/>
      <c r="N332" s="12" t="n"/>
      <c r="O332" s="41" t="n"/>
      <c r="P332" s="4" t="inlineStr">
        <is>
          <t>Confirmed only when AI was actually evaluated/used within the stated workflow or intervention; intended use alone = Proposed only</t>
        </is>
      </c>
      <c r="Q332" s="4">
        <f>IF(COUNTIFS('ESTUDIOS'!$A$2:$A$455,$A332,'ESTUDIOS'!$I$2:$I$455,"")&gt;0,"",INDEX('ESTUDIOS'!$I$2:$I$455,MATCH($A332,'ESTUDIOS'!$A$2:$A$455,0)))</f>
        <v/>
      </c>
    </row>
    <row r="333" ht="112" customHeight="1">
      <c r="A333" s="4" t="inlineStr">
        <is>
          <t>new_425</t>
        </is>
      </c>
      <c r="B333" s="4" t="inlineStr">
        <is>
          <t>Update</t>
        </is>
      </c>
      <c r="C333" s="4" t="inlineStr">
        <is>
          <t>Bridging Deep Learning and Quantum Computing for EEG-Driven P300 Targeted ASD Response Detection</t>
        </is>
      </c>
      <c r="D333" s="4" t="inlineStr">
        <is>
          <t>Research only</t>
        </is>
      </c>
      <c r="E333" s="4" t="inlineStr">
        <is>
          <t>BCI-response research</t>
        </is>
      </c>
      <c r="F333" s="4" t="n"/>
      <c r="G333" s="4" t="inlineStr">
        <is>
          <t>Recorded in update; verification pending</t>
        </is>
      </c>
      <c r="H333" s="4" t="n"/>
      <c r="I333" s="4" t="inlineStr">
        <is>
          <t>P300 response classification</t>
        </is>
      </c>
      <c r="J333" s="4" t="inlineStr">
        <is>
          <t xml:space="preserve">Autism Spectrum Disorder (ASD) is a neurodevelopmental condition whose diagnosis relies heavily on subjective behavioral assessments. Electroencephalography (EEG) provides an inexpensive and non-invasive method of objective biomarker detection, but is plagued by high dimensionality and noise that complicates automated analysis. This article introduces a hybrid Transformer-Quantum Neural Network (QNN) model that combines deep learning and quantum </t>
        </is>
      </c>
      <c r="K333" s="4" t="str"/>
      <c r="L333" s="4" t="inlineStr">
        <is>
          <t>https://doi.org/10.1109/access.2025.3646589</t>
        </is>
      </c>
      <c r="M333" s="4" t="n"/>
      <c r="N333" s="12" t="n"/>
      <c r="O333" s="41" t="n"/>
      <c r="P333" s="4" t="inlineStr">
        <is>
          <t>Confirmed only when AI was actually evaluated/used within the stated workflow or intervention; intended use alone = Proposed only</t>
        </is>
      </c>
      <c r="Q333" s="4">
        <f>IF(COUNTIFS('ESTUDIOS'!$A$2:$A$455,$A333,'ESTUDIOS'!$I$2:$I$455,"")&gt;0,"",INDEX('ESTUDIOS'!$I$2:$I$455,MATCH($A333,'ESTUDIOS'!$A$2:$A$455,0)))</f>
        <v/>
      </c>
    </row>
    <row r="334" ht="112" customHeight="1">
      <c r="A334" s="4" t="inlineStr">
        <is>
          <t>new_427</t>
        </is>
      </c>
      <c r="B334" s="4" t="inlineStr">
        <is>
          <t>Update</t>
        </is>
      </c>
      <c r="C334" s="4" t="inlineStr">
        <is>
          <t>A Hybrid Multi-Branch Deep Learning Model for Autism Spectrum Disorder Detection Using Spatiotemporal Gait Analysis</t>
        </is>
      </c>
      <c r="D334" s="4" t="inlineStr">
        <is>
          <t>Proposed only</t>
        </is>
      </c>
      <c r="E334" s="4" t="inlineStr">
        <is>
          <t>Motor-biomarker research</t>
        </is>
      </c>
      <c r="F334" s="4" t="n"/>
      <c r="G334" s="4" t="inlineStr">
        <is>
          <t>Recorded in update; verification pending</t>
        </is>
      </c>
      <c r="H334" s="4" t="n"/>
      <c r="I334" s="4" t="inlineStr">
        <is>
          <t>Classification (ASD vs control)</t>
        </is>
      </c>
      <c r="J334" s="4" t="inlineStr">
        <is>
          <t xml:space="preserve">Early and objective diagnosis of autism spectrum disorders (ASD) remains a pressing issue in modern medical and cognitive informatics, where motor behavior analysis is considered a promising source of digital biomarkers. In particular, kinematic gait characteristics obtained with contactless sensors enable the identification of subtle motor impairments that may not be apparent on visual assessment. In this paper, we propose a hybrid multi-branch </t>
        </is>
      </c>
      <c r="K334" s="4" t="str"/>
      <c r="L334" s="4" t="inlineStr">
        <is>
          <t>https://doi.org/10.1109/access.2026.3704046</t>
        </is>
      </c>
      <c r="M334" s="4" t="n"/>
      <c r="N334" s="12" t="n"/>
      <c r="O334" s="41" t="n"/>
      <c r="P334" s="4" t="inlineStr">
        <is>
          <t>Confirmed only when AI was actually evaluated/used within the stated workflow or intervention; intended use alone = Proposed only</t>
        </is>
      </c>
      <c r="Q334" s="4">
        <f>IF(COUNTIFS('ESTUDIOS'!$A$2:$A$455,$A334,'ESTUDIOS'!$I$2:$I$455,"")&gt;0,"",INDEX('ESTUDIOS'!$I$2:$I$455,MATCH($A334,'ESTUDIOS'!$A$2:$A$455,0)))</f>
        <v/>
      </c>
    </row>
    <row r="335" ht="112" customHeight="1">
      <c r="A335" s="4" t="inlineStr">
        <is>
          <t>new_428</t>
        </is>
      </c>
      <c r="B335" s="4" t="inlineStr">
        <is>
          <t>Update</t>
        </is>
      </c>
      <c r="C335" s="4" t="inlineStr">
        <is>
          <t>Autism Action Dataset (AAD): A Comprehensive Video Benchmark for ASD Behavior Recognition Using Deep Learning</t>
        </is>
      </c>
      <c r="D335" s="4" t="inlineStr">
        <is>
          <t>Research only</t>
        </is>
      </c>
      <c r="E335" s="4" t="inlineStr">
        <is>
          <t>Dataset benchmark</t>
        </is>
      </c>
      <c r="F335" s="4" t="n"/>
      <c r="G335" s="4" t="inlineStr">
        <is>
          <t>Recorded in update; verification pending</t>
        </is>
      </c>
      <c r="H335" s="4" t="n"/>
      <c r="I335" s="4" t="inlineStr">
        <is>
          <t>ASD-related action recognition</t>
        </is>
      </c>
      <c r="J335" s="4" t="inlineStr">
        <is>
          <t>Autism spectrum disorder (ASD) is a neurodevelopmental disorder characterized by impairments in social interaction, communication, and behavior. Accurately recognizing the behaviors of children with ASD is crucial for diagnosis and early intervention. Traditional clinician- or caregiver-based approaches are often time-consuming, subjective, and delayed. In contrast, computer vision, along with modern deep learning (DL)-based methods, offers promi</t>
        </is>
      </c>
      <c r="K335" s="4" t="str"/>
      <c r="L335" s="4" t="inlineStr">
        <is>
          <t>https://doi.org/10.1109/access.2026.3686583</t>
        </is>
      </c>
      <c r="M335" s="4" t="n"/>
      <c r="N335" s="12" t="n"/>
      <c r="O335" s="41" t="n"/>
      <c r="P335" s="4" t="inlineStr">
        <is>
          <t>Confirmed only when AI was actually evaluated/used within the stated workflow or intervention; intended use alone = Proposed only</t>
        </is>
      </c>
      <c r="Q335" s="4">
        <f>IF(COUNTIFS('ESTUDIOS'!$A$2:$A$455,$A335,'ESTUDIOS'!$I$2:$I$455,"")&gt;0,"",INDEX('ESTUDIOS'!$I$2:$I$455,MATCH($A335,'ESTUDIOS'!$A$2:$A$455,0)))</f>
        <v/>
      </c>
    </row>
    <row r="336" ht="112" customHeight="1">
      <c r="A336" s="4" t="inlineStr">
        <is>
          <t>new_429</t>
        </is>
      </c>
      <c r="B336" s="4" t="inlineStr">
        <is>
          <t>Update</t>
        </is>
      </c>
      <c r="C336" s="4" t="inlineStr">
        <is>
          <t>A Data-Driven Approach for Autism Spectrum Disorder Screening</t>
        </is>
      </c>
      <c r="D336" s="4" t="inlineStr">
        <is>
          <t>Confirmed in workflow</t>
        </is>
      </c>
      <c r="E336" s="4" t="inlineStr">
        <is>
          <t>Operating in a healthcare provider</t>
        </is>
      </c>
      <c r="F336" s="4" t="n"/>
      <c r="G336" s="4" t="inlineStr">
        <is>
          <t>Recorded in update; verification pending</t>
        </is>
      </c>
      <c r="H336" s="4" t="n"/>
      <c r="I336" s="4" t="inlineStr">
        <is>
          <t>Risk screening</t>
        </is>
      </c>
      <c r="J336" s="4" t="inlineStr">
        <is>
          <t>Autism spectrum disorder (ASD) is a brain development condition influenced by genes and environment, with no known cause or cure. The diagnosis is challenging due to the absence of biological markers, requiring various examinations and specialist input. Delayed diagnosis often results in late intervention, emphasizing the need for early, individualized therapeutic approaches to enhance quality of life. Current ASD research emphasizes early detect</t>
        </is>
      </c>
      <c r="K336" s="4" t="str"/>
      <c r="L336" s="4" t="inlineStr">
        <is>
          <t>https://doi.org/10.1109/access.2026.3650856</t>
        </is>
      </c>
      <c r="M336" s="4" t="n"/>
      <c r="N336" s="12" t="n"/>
      <c r="O336" s="41" t="n"/>
      <c r="P336" s="4" t="inlineStr">
        <is>
          <t>Confirmed only when AI was actually evaluated/used within the stated workflow or intervention; intended use alone = Proposed only</t>
        </is>
      </c>
      <c r="Q336" s="4">
        <f>IF(COUNTIFS('ESTUDIOS'!$A$2:$A$455,$A336,'ESTUDIOS'!$I$2:$I$455,"")&gt;0,"",INDEX('ESTUDIOS'!$I$2:$I$455,MATCH($A336,'ESTUDIOS'!$A$2:$A$455,0)))</f>
        <v/>
      </c>
    </row>
    <row r="337" ht="86" customHeight="1">
      <c r="A337" s="4" t="inlineStr">
        <is>
          <t>new_1</t>
        </is>
      </c>
      <c r="B337" s="4" t="inlineStr">
        <is>
          <t>Update</t>
        </is>
      </c>
      <c r="C337" s="4" t="inlineStr">
        <is>
          <t>A novel thermal imaging-based framework for continuous ASD classification and behavior analysis using facial mood and skin temperature features</t>
        </is>
      </c>
      <c r="D337" s="4" t="inlineStr">
        <is>
          <t>Proposed only</t>
        </is>
      </c>
      <c r="E337" s="4" t="inlineStr">
        <is>
          <t>Proposed continuous thermal monitoring to inform ASD severity and medication adjustment</t>
        </is>
      </c>
      <c r="F337" s="4" t="n"/>
      <c r="G337" s="4" t="inlineStr">
        <is>
          <t>Recorded in update; verification pending</t>
        </is>
      </c>
      <c r="H337" s="4" t="n"/>
      <c r="I337" s="4" t="inlineStr">
        <is>
          <t>ASD severity classification and continuous behavioral monitoring</t>
        </is>
      </c>
      <c r="J337" s="4" t="inlineStr">
        <is>
          <t>El marco extrae estado afectivo y temperatura cutánea de imágenes térmicas; DN-FME reporta 96.39% de accuracy y RF/SVM 98.33% para clasificación de severidad. La propuesta de ajustar dosis farmacológica no fue evaluada como intervención clínica prospectiva en el texto recuperado; debe tratarse como integración propuesta, no como eficacia clínica demostrada.</t>
        </is>
      </c>
      <c r="K337" s="4" t="str"/>
      <c r="L337" s="4" t="inlineStr">
        <is>
          <t>https://doi.org/10.1016/j.bspc.2024.107009</t>
        </is>
      </c>
      <c r="M337" s="4" t="n"/>
      <c r="N337" s="12" t="n"/>
      <c r="O337" s="41" t="n"/>
      <c r="P337" s="4" t="inlineStr">
        <is>
          <t>Confirmed only when AI was actually evaluated/used within the stated workflow or intervention; intended use alone = Proposed only</t>
        </is>
      </c>
      <c r="Q337" s="4">
        <f>IF(COUNTIFS('ESTUDIOS'!$A$2:$A$455,$A337,'ESTUDIOS'!$I$2:$I$455,"")&gt;0,"",INDEX('ESTUDIOS'!$I$2:$I$455,MATCH($A337,'ESTUDIOS'!$A$2:$A$455,0)))</f>
        <v/>
      </c>
    </row>
    <row r="338" ht="86" customHeight="1">
      <c r="A338" s="4" t="inlineStr">
        <is>
          <t>new_3</t>
        </is>
      </c>
      <c r="B338" s="4" t="inlineStr">
        <is>
          <t>Update</t>
        </is>
      </c>
      <c r="C338" s="4" t="inlineStr">
        <is>
          <t>Efficient machine learning models across multiple datasets for autism spectrum disorder diagnoses</t>
        </is>
      </c>
      <c r="D338" s="4" t="inlineStr">
        <is>
          <t>Research only</t>
        </is>
      </c>
      <c r="E338" s="4" t="inlineStr">
        <is>
          <t>Experimental AutoML framework for ASD screening/classification</t>
        </is>
      </c>
      <c r="F338" s="4" t="n"/>
      <c r="G338" s="4" t="inlineStr">
        <is>
          <t>Recorded in update; verification pending</t>
        </is>
      </c>
      <c r="H338" s="4" t="n"/>
      <c r="I338" s="4" t="inlineStr">
        <is>
          <t>ASD screening/classification across age-group datasets</t>
        </is>
      </c>
      <c r="J338" s="4" t="inlineStr">
        <is>
          <t>ASDD evalúa 27 modelos y herramientas AutoML sobre siete datasets y un dataset combinado; varios resultados llegan a 100% de accuracy/F1. Los resultados perfectos exigen cautela. No se identificó una validación externa fija en un cohort/dataset independiente del proceso de desarrollo; múltiples datasets no equivalen automáticamente a external validation.</t>
        </is>
      </c>
      <c r="K338" s="4" t="str"/>
      <c r="L338" s="4" t="inlineStr">
        <is>
          <t>https://doi.org/10.1016/j.bspc.2024.106949</t>
        </is>
      </c>
      <c r="M338" s="4" t="n"/>
      <c r="N338" s="12" t="n"/>
      <c r="O338" s="41" t="n"/>
      <c r="P338" s="4" t="inlineStr">
        <is>
          <t>Confirmed only when AI was actually evaluated/used within the stated workflow or intervention; intended use alone = Proposed only</t>
        </is>
      </c>
      <c r="Q338" s="4">
        <f>IF(COUNTIFS('ESTUDIOS'!$A$2:$A$455,$A338,'ESTUDIOS'!$I$2:$I$455,"")&gt;0,"",INDEX('ESTUDIOS'!$I$2:$I$455,MATCH($A338,'ESTUDIOS'!$A$2:$A$455,0)))</f>
        <v/>
      </c>
    </row>
    <row r="339" ht="73" customHeight="1">
      <c r="A339" s="4" t="inlineStr">
        <is>
          <t>new_4</t>
        </is>
      </c>
      <c r="B339" s="4" t="inlineStr">
        <is>
          <t>Update</t>
        </is>
      </c>
      <c r="C339" s="4" t="inlineStr">
        <is>
          <t>EmoLand: Utilizing narrative animations, multilevel games, and affective computing to foster emotional development in children with autism spectrum disorder</t>
        </is>
      </c>
      <c r="D339" s="4" t="inlineStr">
        <is>
          <t>Confirmed in care delivery</t>
        </is>
      </c>
      <c r="E339" s="4" t="inlineStr">
        <is>
          <t>AI facial-expression feedback embedded in an emotion-learning intervention</t>
        </is>
      </c>
      <c r="F339" s="4" t="n"/>
      <c r="G339" s="4" t="inlineStr">
        <is>
          <t>Recorded in update; verification pending</t>
        </is>
      </c>
      <c r="H339" s="4" t="n"/>
      <c r="I339" s="4" t="inlineStr">
        <is>
          <t>Facial-expression recognition and adaptive affective feedback</t>
        </is>
      </c>
      <c r="J339" s="4" t="inlineStr">
        <is>
          <t>Evaluación de campo de 3 semanas en escuela especial: 12 niños con ASD, 5 tutores, 330 clips revisados; el módulo de feedback afectivo reporta 97.6% de acierto. Muestra pequeña y evaluación breve. La precisión del módulo de feedback no debe confundirse con eficacia clínica de largo plazo.</t>
        </is>
      </c>
      <c r="K339" s="4" t="str"/>
      <c r="L339" s="4" t="inlineStr">
        <is>
          <t>https://doi.org/10.1016/j.ijhcs.2025.103486</t>
        </is>
      </c>
      <c r="M339" s="4" t="n"/>
      <c r="N339" s="12" t="n"/>
      <c r="O339" s="41" t="n"/>
      <c r="P339" s="4" t="inlineStr">
        <is>
          <t>Confirmed only when AI was actually evaluated/used within the stated workflow or intervention; intended use alone = Proposed only</t>
        </is>
      </c>
      <c r="Q339" s="4">
        <f>IF(COUNTIFS('ESTUDIOS'!$A$2:$A$455,$A339,'ESTUDIOS'!$I$2:$I$455,"")&gt;0,"",INDEX('ESTUDIOS'!$I$2:$I$455,MATCH($A339,'ESTUDIOS'!$A$2:$A$455,0)))</f>
        <v/>
      </c>
    </row>
    <row r="340" ht="86" customHeight="1">
      <c r="A340" s="4" t="inlineStr">
        <is>
          <t>new_7</t>
        </is>
      </c>
      <c r="B340" s="4" t="inlineStr">
        <is>
          <t>Update</t>
        </is>
      </c>
      <c r="C340" s="4" t="inlineStr">
        <is>
          <t>Hybrid optimization enabled DenseNet for autism spectrum disorders using MRI image</t>
        </is>
      </c>
      <c r="D340" s="4" t="inlineStr">
        <is>
          <t>Research only</t>
        </is>
      </c>
      <c r="E340" s="4" t="inlineStr">
        <is>
          <t>Experimental MRI-based ASD classifier</t>
        </is>
      </c>
      <c r="F340" s="4" t="n"/>
      <c r="G340" s="4" t="inlineStr">
        <is>
          <t>Recorded in update; verification pending</t>
        </is>
      </c>
      <c r="H340" s="4" t="n"/>
      <c r="I340" s="4" t="inlineStr">
        <is>
          <t>ASD vs control classification from MRI</t>
        </is>
      </c>
      <c r="J340" s="4" t="inlineStr">
        <is>
          <t>Pipeline con preprocesamiento MRI, extracción ROI/rasgos y DenseNet optimizado con JSTO; reporta accuracy de 94.8%. No se identificó validación externa independiente. Además, el texto indexado reporta FNR/FPR que parecen incompatibles con TPR/TNR simultáneamente reportados bajo definiciones estándar; requiere comprobación de tabla en verificación independiente.</t>
        </is>
      </c>
      <c r="K340" s="4" t="str"/>
      <c r="L340" s="4" t="inlineStr">
        <is>
          <t>https://doi.org/10.1016/j.compbiolchem.2024.108335</t>
        </is>
      </c>
      <c r="M340" s="4" t="n"/>
      <c r="N340" s="12" t="n"/>
      <c r="O340" s="41" t="n"/>
      <c r="P340" s="4" t="inlineStr">
        <is>
          <t>Confirmed only when AI was actually evaluated/used within the stated workflow or intervention; intended use alone = Proposed only</t>
        </is>
      </c>
      <c r="Q340" s="4">
        <f>IF(COUNTIFS('ESTUDIOS'!$A$2:$A$455,$A340,'ESTUDIOS'!$I$2:$I$455,"")&gt;0,"",INDEX('ESTUDIOS'!$I$2:$I$455,MATCH($A340,'ESTUDIOS'!$A$2:$A$455,0)))</f>
        <v/>
      </c>
    </row>
    <row r="341" ht="86" customHeight="1">
      <c r="A341" s="4" t="inlineStr">
        <is>
          <t>new_15</t>
        </is>
      </c>
      <c r="B341" s="4" t="inlineStr">
        <is>
          <t>Update</t>
        </is>
      </c>
      <c r="C341" s="4" t="inlineStr">
        <is>
          <t>MCBERT: A multi-modal framework for the diagnosis of autism spectrum disorder</t>
        </is>
      </c>
      <c r="D341" s="4" t="inlineStr">
        <is>
          <t>Research only</t>
        </is>
      </c>
      <c r="E341" s="4" t="inlineStr">
        <is>
          <t>Experimental multimodal diagnostic classifier</t>
        </is>
      </c>
      <c r="F341" s="4" t="n"/>
      <c r="G341" s="4" t="inlineStr">
        <is>
          <t>Recorded in update; verification pending</t>
        </is>
      </c>
      <c r="H341" s="4" t="n"/>
      <c r="I341" s="4" t="inlineStr">
        <is>
          <t>ASD diagnostic classification</t>
        </is>
      </c>
      <c r="J341" s="4" t="inlineStr">
        <is>
          <t>MCBERT fusiona MRI y meta-features en ABIDE-I y usa leave-one-site-out; se reporta accuracy máxima de 93.4%. LOSO sí aporta evaluación entre sitios y se codifica como external/site-held-out validation. El uso de atención arquitectónica no se contabilizó como XAI porque no se identificó una evaluación explícita de explicaciones.</t>
        </is>
      </c>
      <c r="K341" s="4" t="str"/>
      <c r="L341" s="4" t="inlineStr">
        <is>
          <t>https://doi.org/10.1016/j.biopsycho.2024.108976</t>
        </is>
      </c>
      <c r="M341" s="4" t="n"/>
      <c r="N341" s="12" t="n"/>
      <c r="O341" s="41" t="n"/>
      <c r="P341" s="4" t="inlineStr">
        <is>
          <t>Confirmed only when AI was actually evaluated/used within the stated workflow or intervention; intended use alone = Proposed only</t>
        </is>
      </c>
      <c r="Q341" s="4">
        <f>IF(COUNTIFS('ESTUDIOS'!$A$2:$A$455,$A341,'ESTUDIOS'!$I$2:$I$455,"")&gt;0,"",INDEX('ESTUDIOS'!$I$2:$I$455,MATCH($A341,'ESTUDIOS'!$A$2:$A$455,0)))</f>
        <v/>
      </c>
    </row>
    <row r="342" ht="86" customHeight="1">
      <c r="A342" s="4" t="inlineStr">
        <is>
          <t>new_21</t>
        </is>
      </c>
      <c r="B342" s="4" t="inlineStr">
        <is>
          <t>Update</t>
        </is>
      </c>
      <c r="C342" s="4" t="inlineStr">
        <is>
          <t>Screening biomarkers for autism spectrum disorder using plasma proteomics combined with machine learning methods</t>
        </is>
      </c>
      <c r="D342" s="4" t="inlineStr">
        <is>
          <t>Research only</t>
        </is>
      </c>
      <c r="E342" s="4" t="inlineStr">
        <is>
          <t>Experimental blood-biomarker screening panel</t>
        </is>
      </c>
      <c r="F342" s="4" t="n"/>
      <c r="G342" s="4" t="inlineStr">
        <is>
          <t>Recorded in update; verification pending</t>
        </is>
      </c>
      <c r="H342" s="4" t="n"/>
      <c r="I342" s="4" t="inlineStr">
        <is>
          <t>ASD biomarker screening / classification</t>
        </is>
      </c>
      <c r="J342" s="4" t="inlineStr">
        <is>
          <t>SWATH-MS en 30 ASD vs controles seleccionó biomarcadores mediante ML; un grupo independiente adicional de 30 ASD vs controles fue validado por MRM. Panel de 4 proteínas: AUC 0.8087. La validación independiente fortalece el biomarcador, pero parece provenir del mismo entorno institucional y no demuestra generalización cross-site.</t>
        </is>
      </c>
      <c r="K342" s="4" t="str"/>
      <c r="L342" s="4" t="inlineStr">
        <is>
          <t>https://doi.org/10.1016/j.cca.2024.120018</t>
        </is>
      </c>
      <c r="M342" s="4" t="n"/>
      <c r="N342" s="12" t="n"/>
      <c r="O342" s="41" t="n"/>
      <c r="P342" s="4" t="inlineStr">
        <is>
          <t>Confirmed only when AI was actually evaluated/used within the stated workflow or intervention; intended use alone = Proposed only</t>
        </is>
      </c>
      <c r="Q342" s="4">
        <f>IF(COUNTIFS('ESTUDIOS'!$A$2:$A$455,$A342,'ESTUDIOS'!$I$2:$I$455,"")&gt;0,"",INDEX('ESTUDIOS'!$I$2:$I$455,MATCH($A342,'ESTUDIOS'!$A$2:$A$455,0)))</f>
        <v/>
      </c>
    </row>
    <row r="343" ht="73" customHeight="1">
      <c r="A343" s="4" t="inlineStr">
        <is>
          <t>new_23</t>
        </is>
      </c>
      <c r="B343" s="4" t="inlineStr">
        <is>
          <t>Update</t>
        </is>
      </c>
      <c r="C343" s="4" t="inlineStr">
        <is>
          <t>Introducing 3DCNN ResNets for ASD full-body kinematic assessment: A comparison with hand-crafted features</t>
        </is>
      </c>
      <c r="D343" s="4" t="inlineStr">
        <is>
          <t>Research only</t>
        </is>
      </c>
      <c r="E343" s="4" t="inlineStr">
        <is>
          <t>Experimental motor-kinematic ASD assessment</t>
        </is>
      </c>
      <c r="F343" s="4" t="n"/>
      <c r="G343" s="4" t="inlineStr">
        <is>
          <t>Recorded in update; verification pending</t>
        </is>
      </c>
      <c r="H343" s="4" t="n"/>
      <c r="I343" s="4" t="inlineStr">
        <is>
          <t>ASD vs TD classification from full-body kinematic sequences</t>
        </is>
      </c>
      <c r="J343" s="4" t="inlineStr">
        <is>
          <t>n=81 (42 TD, 39 ASD); validación anidada repetida separada por sujeto; compara modelos end-to-end 3D CNN-ResNet con rasgos manuales y aplica SHAP. La validación interna está bien protegida contra mezcla de sujetos, pero el tamaño muestral sigue siendo pequeño y no existe cohorte externa independiente.</t>
        </is>
      </c>
      <c r="K343" s="4" t="str"/>
      <c r="L343" s="4" t="inlineStr">
        <is>
          <t>https://doi.org/10.1016/j.eswa.2024.126295</t>
        </is>
      </c>
      <c r="M343" s="4" t="n"/>
      <c r="N343" s="12" t="n"/>
      <c r="O343" s="41" t="n"/>
      <c r="P343" s="4" t="inlineStr">
        <is>
          <t>Confirmed only when AI was actually evaluated/used within the stated workflow or intervention; intended use alone = Proposed only</t>
        </is>
      </c>
      <c r="Q343" s="4">
        <f>IF(COUNTIFS('ESTUDIOS'!$A$2:$A$455,$A343,'ESTUDIOS'!$I$2:$I$455,"")&gt;0,"",INDEX('ESTUDIOS'!$I$2:$I$455,MATCH($A343,'ESTUDIOS'!$A$2:$A$455,0)))</f>
        <v/>
      </c>
    </row>
    <row r="344" ht="86" customHeight="1">
      <c r="A344" s="4" t="inlineStr">
        <is>
          <t>new_37</t>
        </is>
      </c>
      <c r="B344" s="4" t="inlineStr">
        <is>
          <t>Update</t>
        </is>
      </c>
      <c r="C344" s="4" t="inlineStr">
        <is>
          <t>Design of adaptive recommendation system for autism children using optimal feature selection-based adaptive dilated 1DCNN-LSTM with attention mechanism</t>
        </is>
      </c>
      <c r="D344" s="4" t="inlineStr">
        <is>
          <t>Proposed only</t>
        </is>
      </c>
      <c r="E344" s="4" t="inlineStr">
        <is>
          <t>Proposed adaptive recommendation/intervention support for autistic children</t>
        </is>
      </c>
      <c r="F344" s="4" t="n"/>
      <c r="G344" s="4" t="inlineStr">
        <is>
          <t>Recorded in update; verification pending</t>
        </is>
      </c>
      <c r="H344" s="4" t="n"/>
      <c r="I344" s="4" t="inlineStr">
        <is>
          <t>Detection of distraction/anxiety states and adaptive recommendation</t>
        </is>
      </c>
      <c r="J344" s="4" t="inlineStr">
        <is>
          <t>Sistema adaptativo con selección/optimización MGSOA y red dilated 1DCNN-LSTM con atención para detectar estados y recomendar acciones; la evaluación descrita es computacional/simulada. No se identificó despliegue real ni evaluación clínica prospectiva; la modalidad primaria de datos no quedó suficientemente especificada para codificarla sin inferencia.</t>
        </is>
      </c>
      <c r="K344" s="4" t="str"/>
      <c r="L344" s="4" t="inlineStr">
        <is>
          <t>https://doi.org/10.1016/j.eswa.2024.125399</t>
        </is>
      </c>
      <c r="M344" s="4" t="n"/>
      <c r="N344" s="12" t="n"/>
      <c r="O344" s="41" t="n"/>
      <c r="P344" s="4" t="inlineStr">
        <is>
          <t>Confirmed only when AI was actually evaluated/used within the stated workflow or intervention; intended use alone = Proposed only</t>
        </is>
      </c>
      <c r="Q344" s="4">
        <f>IF(COUNTIFS('ESTUDIOS'!$A$2:$A$455,$A344,'ESTUDIOS'!$I$2:$I$455,"")&gt;0,"",INDEX('ESTUDIOS'!$I$2:$I$455,MATCH($A344,'ESTUDIOS'!$A$2:$A$455,0)))</f>
        <v/>
      </c>
    </row>
    <row r="345" ht="99" customHeight="1">
      <c r="A345" s="4" t="inlineStr">
        <is>
          <t>new_38</t>
        </is>
      </c>
      <c r="B345" s="4" t="inlineStr">
        <is>
          <t>Update</t>
        </is>
      </c>
      <c r="C345" s="4" t="inlineStr">
        <is>
          <t>Early detection of autism spectrum disorder using explainable AI and optimized teaching strategies</t>
        </is>
      </c>
      <c r="D345" s="4" t="inlineStr">
        <is>
          <t>Proposed only</t>
        </is>
      </c>
      <c r="E345" s="4" t="inlineStr">
        <is>
          <t>Proposed early-screening classifier with post-screening teaching recommendation</t>
        </is>
      </c>
      <c r="F345" s="4" t="n"/>
      <c r="G345" s="4" t="inlineStr">
        <is>
          <t>Recorded in update; verification pending</t>
        </is>
      </c>
      <c r="H345" s="4" t="n"/>
      <c r="I345" s="4" t="inlineStr">
        <is>
          <t>ASD screening classification and teaching-strategy recommendation</t>
        </is>
      </c>
      <c r="J345" s="4" t="inlineStr">
        <is>
          <t>Combina dos datasets de toddlers, usa split 80:20, SMOTE, tres métodos de selección y ensamble LR-SVM; reporta 94% para ASD y 99.29% para estrategia docente. Aunque el título usa “explainable AI”, no se identificó SHAP/LIME u otro método XAI formal en el texto recuperado; se codificó solo interpretabilidad parcial por selección de rasgos. No hay validación externa independiente.</t>
        </is>
      </c>
      <c r="K345" s="4" t="str"/>
      <c r="L345" s="4" t="inlineStr">
        <is>
          <t>https://doi.org/10.1016/j.jneumeth.2024.110315</t>
        </is>
      </c>
      <c r="M345" s="4" t="n"/>
      <c r="N345" s="12" t="n"/>
      <c r="O345" s="41" t="n"/>
      <c r="P345" s="4" t="inlineStr">
        <is>
          <t>Confirmed only when AI was actually evaluated/used within the stated workflow or intervention; intended use alone = Proposed only</t>
        </is>
      </c>
      <c r="Q345" s="4">
        <f>IF(COUNTIFS('ESTUDIOS'!$A$2:$A$455,$A345,'ESTUDIOS'!$I$2:$I$455,"")&gt;0,"",INDEX('ESTUDIOS'!$I$2:$I$455,MATCH($A345,'ESTUDIOS'!$A$2:$A$455,0)))</f>
        <v/>
      </c>
    </row>
    <row r="346" ht="86" customHeight="1">
      <c r="A346" s="4" t="inlineStr">
        <is>
          <t>new_41</t>
        </is>
      </c>
      <c r="B346" s="4" t="inlineStr">
        <is>
          <t>Update</t>
        </is>
      </c>
      <c r="C346" s="4" t="inlineStr">
        <is>
          <t>A systematic evaluation of autism spectrum disorder identification with Scanpath Trend Analysis (STA)</t>
        </is>
      </c>
      <c r="D346" s="4" t="inlineStr">
        <is>
          <t>Research only</t>
        </is>
      </c>
      <c r="E346" s="4" t="inlineStr">
        <is>
          <t>Experimental eye-tracking screening classifier</t>
        </is>
      </c>
      <c r="F346" s="4" t="n"/>
      <c r="G346" s="4" t="inlineStr">
        <is>
          <t>Recorded in update; verification pending</t>
        </is>
      </c>
      <c r="H346" s="4" t="n"/>
      <c r="I346" s="4" t="inlineStr">
        <is>
          <t>ASD vs non-ASD classification from eye-tracking scanpaths</t>
        </is>
      </c>
      <c r="J346" s="4" t="inlineStr">
        <is>
          <t>Evalúa STA en tres datasets de eye-tracking y diferentes páginas/tareas; obtiene ~60% de éxito, con menor variación que comparadores ML. La repetición en tres datasets muestra consistencia del algoritmo, pero no se identificó un esquema de entrenamiento fijo en una cohorte y validación externa en otra; no se codifica external validation.</t>
        </is>
      </c>
      <c r="K346" s="4" t="str"/>
      <c r="L346" s="4" t="inlineStr">
        <is>
          <t>https://doi.org/10.1016/j.bspc.2024.107414</t>
        </is>
      </c>
      <c r="M346" s="4" t="n"/>
      <c r="N346" s="12" t="n"/>
      <c r="O346" s="41" t="n"/>
      <c r="P346" s="4" t="inlineStr">
        <is>
          <t>Confirmed only when AI was actually evaluated/used within the stated workflow or intervention; intended use alone = Proposed only</t>
        </is>
      </c>
      <c r="Q346" s="4">
        <f>IF(COUNTIFS('ESTUDIOS'!$A$2:$A$455,$A346,'ESTUDIOS'!$I$2:$I$455,"")&gt;0,"",INDEX('ESTUDIOS'!$I$2:$I$455,MATCH($A346,'ESTUDIOS'!$A$2:$A$455,0)))</f>
        <v/>
      </c>
    </row>
    <row r="347" ht="73" customHeight="1">
      <c r="A347" s="4" t="inlineStr">
        <is>
          <t>new_46</t>
        </is>
      </c>
      <c r="B347" s="4" t="inlineStr">
        <is>
          <t>Update</t>
        </is>
      </c>
      <c r="C347" s="4" t="inlineStr">
        <is>
          <t>Recognition of autism in subcortical brain volumetric images using autoencoding-based region selection method and Siamese Convolutional Neural Network</t>
        </is>
      </c>
      <c r="D347" s="4" t="inlineStr">
        <is>
          <t>Research only</t>
        </is>
      </c>
      <c r="E347" s="4" t="inlineStr">
        <is>
          <t>Experimental neuroimaging diagnostic classifier</t>
        </is>
      </c>
      <c r="F347" s="4" t="n"/>
      <c r="G347" s="4" t="inlineStr">
        <is>
          <t>Recorded in update; verification pending</t>
        </is>
      </c>
      <c r="H347" s="4" t="n"/>
      <c r="I347" s="4" t="inlineStr">
        <is>
          <t>ASD vs control classification from subcortical MRI</t>
        </is>
      </c>
      <c r="J347" s="4" t="inlineStr">
        <is>
          <t>Usa ABIDE-II, autoencoder 3D para representación/selección regional y Siamese CNN; la selección MI alcanza accuracy máxima reportada cercana a 0.66. ABIDE-II es multisitio, pero no se identificó validación site-held-out. La selección de regiones aporta interpretabilidad anatómica parcial, no XAI formal.</t>
        </is>
      </c>
      <c r="K347" s="4" t="str"/>
      <c r="L347" s="4" t="inlineStr">
        <is>
          <t>https://doi.org/10.1016/j.ijmedinf.2024.105707</t>
        </is>
      </c>
      <c r="M347" s="4" t="n"/>
      <c r="N347" s="12" t="n"/>
      <c r="O347" s="41" t="n"/>
      <c r="P347" s="4" t="inlineStr">
        <is>
          <t>Confirmed only when AI was actually evaluated/used within the stated workflow or intervention; intended use alone = Proposed only</t>
        </is>
      </c>
      <c r="Q347" s="4">
        <f>IF(COUNTIFS('ESTUDIOS'!$A$2:$A$455,$A347,'ESTUDIOS'!$I$2:$I$455,"")&gt;0,"",INDEX('ESTUDIOS'!$I$2:$I$455,MATCH($A347,'ESTUDIOS'!$A$2:$A$455,0)))</f>
        <v/>
      </c>
    </row>
    <row r="348" ht="86" customHeight="1">
      <c r="A348" s="4" t="inlineStr">
        <is>
          <t>new_47</t>
        </is>
      </c>
      <c r="B348" s="4" t="inlineStr">
        <is>
          <t>Update</t>
        </is>
      </c>
      <c r="C348" s="4" t="inlineStr">
        <is>
          <t>Leveraging deep learning for enhanced diagnosis of autism spectrum disorder using resting-state functional magnetic resonance imaging and clinical data</t>
        </is>
      </c>
      <c r="D348" s="4" t="inlineStr">
        <is>
          <t>Proposed only</t>
        </is>
      </c>
      <c r="E348" s="4" t="inlineStr">
        <is>
          <t>Proposed neuroimaging/phenotypic diagnostic decision-support classifier</t>
        </is>
      </c>
      <c r="F348" s="4" t="n"/>
      <c r="G348" s="4" t="inlineStr">
        <is>
          <t>Recorded in update; verification pending</t>
        </is>
      </c>
      <c r="H348" s="4" t="n"/>
      <c r="I348" s="4" t="inlineStr">
        <is>
          <t>ASD vs TD diagnostic classification</t>
        </is>
      </c>
      <c r="J348" s="4" t="inlineStr">
        <is>
          <t>ABIDE (n≈1112) con conectividad rs-fMRI + datos fenotípicos; CNN-BiLSTM con atención y split interno 70/30. El conjunto es multisitio y multifuente, pero la evaluación reportada es un split interno; no se identificó site-held-out/cross-site validation. Atención arquitectónica no se contó como XAI sin análisis de explicación.</t>
        </is>
      </c>
      <c r="K348" s="4" t="str"/>
      <c r="L348" s="4" t="inlineStr">
        <is>
          <t>https://doi.org/10.1016/j.rineng.2025.104444</t>
        </is>
      </c>
      <c r="M348" s="4" t="n"/>
      <c r="N348" s="12" t="n"/>
      <c r="O348" s="41" t="n"/>
      <c r="P348" s="4" t="inlineStr">
        <is>
          <t>Confirmed only when AI was actually evaluated/used within the stated workflow or intervention; intended use alone = Proposed only</t>
        </is>
      </c>
      <c r="Q348" s="4">
        <f>IF(COUNTIFS('ESTUDIOS'!$A$2:$A$455,$A348,'ESTUDIOS'!$I$2:$I$455,"")&gt;0,"",INDEX('ESTUDIOS'!$I$2:$I$455,MATCH($A348,'ESTUDIOS'!$A$2:$A$455,0)))</f>
        <v/>
      </c>
    </row>
    <row r="349" ht="99" customHeight="1">
      <c r="A349" s="4" t="inlineStr">
        <is>
          <t>new_51</t>
        </is>
      </c>
      <c r="B349" s="4" t="inlineStr">
        <is>
          <t>Update</t>
        </is>
      </c>
      <c r="C349" s="4" t="inlineStr">
        <is>
          <t>Involution fused convolution for classifying eye-tracking patterns of children with Autism Spectrum Disorder</t>
        </is>
      </c>
      <c r="D349" s="4" t="inlineStr">
        <is>
          <t>Research only</t>
        </is>
      </c>
      <c r="E349" s="4" t="inlineStr">
        <is>
          <t>Experimental eye-tracking classifier for ASD screening/detection</t>
        </is>
      </c>
      <c r="F349" s="4" t="n"/>
      <c r="G349" s="4" t="inlineStr">
        <is>
          <t>Recorded in update; verification pending</t>
        </is>
      </c>
      <c r="H349" s="4" t="n"/>
      <c r="I349" s="4" t="inlineStr">
        <is>
          <t>ASD vs TD classification from eye-tracking images</t>
        </is>
      </c>
      <c r="J349" s="4" t="inlineStr">
        <is>
          <t>Evalúa involution+convolution en dos datasets de eye-tracking y su combinación; el modelo IC con tres capas de involution supera comparadores. Se usa partición aleatoria tras combinar/aumentar imágenes. Esto plantea un riesgo potencial de dependencia entre imágenes/sujetos si la partición no fue totalmente subject-wise; no se afirma leakage porque el texto no lo demuestra.</t>
        </is>
      </c>
      <c r="K349" s="4" t="str"/>
      <c r="L349" s="4" t="inlineStr">
        <is>
          <t>https://doi.org/10.1016/j.engappai.2024.109475</t>
        </is>
      </c>
      <c r="M349" s="4" t="n"/>
      <c r="N349" s="12" t="n"/>
      <c r="O349" s="41" t="n"/>
      <c r="P349" s="4" t="inlineStr">
        <is>
          <t>Confirmed only when AI was actually evaluated/used within the stated workflow or intervention; intended use alone = Proposed only</t>
        </is>
      </c>
      <c r="Q349" s="4">
        <f>IF(COUNTIFS('ESTUDIOS'!$A$2:$A$455,$A349,'ESTUDIOS'!$I$2:$I$455,"")&gt;0,"",INDEX('ESTUDIOS'!$I$2:$I$455,MATCH($A349,'ESTUDIOS'!$A$2:$A$455,0)))</f>
        <v/>
      </c>
    </row>
    <row r="350" ht="73" customHeight="1">
      <c r="A350" s="4" t="inlineStr">
        <is>
          <t>new_59</t>
        </is>
      </c>
      <c r="B350" s="4" t="inlineStr">
        <is>
          <t>Update</t>
        </is>
      </c>
      <c r="C350" s="4" t="inlineStr">
        <is>
          <t>Advanced autism detection and visualization through XGBoost algorithm for fNIRS hemo-dynamic signals</t>
        </is>
      </c>
      <c r="D350" s="4" t="inlineStr">
        <is>
          <t>Research only</t>
        </is>
      </c>
      <c r="E350" s="4" t="inlineStr">
        <is>
          <t>Clinic-based experimental fNIRS classifier proposed for objective ASD diagnostic support</t>
        </is>
      </c>
      <c r="F350" s="4" t="n"/>
      <c r="G350" s="4" t="inlineStr">
        <is>
          <t>Recorded in update; verification pending</t>
        </is>
      </c>
      <c r="H350" s="4" t="n"/>
      <c r="I350" s="4" t="inlineStr">
        <is>
          <t>ASD vs TD diagnostic classification from fNIRS</t>
        </is>
      </c>
      <c r="J350" s="4" t="inlineStr">
        <is>
          <t>Estudio clínico prospectivo con 24 ASD y 27 TD, fNIRS de 41 canales y XGBoost con validación anidada (outer 10, inner 5); reporta accuracy 96%. La validación es interna. Los autores reconocen muestra pequeña y ausencia de ADI-R/ADOS como gold-standard; no hay cohorte externa.</t>
        </is>
      </c>
      <c r="K350" s="4" t="str"/>
      <c r="L350" s="4" t="inlineStr">
        <is>
          <t>https://doi.org/10.1016/j.eswa.2025.127013</t>
        </is>
      </c>
      <c r="M350" s="4" t="n"/>
      <c r="N350" s="12" t="n"/>
      <c r="O350" s="41" t="n"/>
      <c r="P350" s="4" t="inlineStr">
        <is>
          <t>Confirmed only when AI was actually evaluated/used within the stated workflow or intervention; intended use alone = Proposed only</t>
        </is>
      </c>
      <c r="Q350" s="4">
        <f>IF(COUNTIFS('ESTUDIOS'!$A$2:$A$455,$A350,'ESTUDIOS'!$I$2:$I$455,"")&gt;0,"",INDEX('ESTUDIOS'!$I$2:$I$455,MATCH($A350,'ESTUDIOS'!$A$2:$A$455,0)))</f>
        <v/>
      </c>
    </row>
    <row r="351" ht="99" customHeight="1">
      <c r="A351" s="4" t="inlineStr">
        <is>
          <t>new_60</t>
        </is>
      </c>
      <c r="B351" s="4" t="inlineStr">
        <is>
          <t>Update</t>
        </is>
      </c>
      <c r="C351" s="4" t="inlineStr">
        <is>
          <t>Using convolutional network in graphical model detection of autism disorders with fuzzy inference systems</t>
        </is>
      </c>
      <c r="D351" s="4" t="inlineStr">
        <is>
          <t>Research only</t>
        </is>
      </c>
      <c r="E351" s="4" t="inlineStr">
        <is>
          <t>Experimental multimodal graph-based ASD diagnostic classifier</t>
        </is>
      </c>
      <c r="F351" s="4" t="n"/>
      <c r="G351" s="4" t="inlineStr">
        <is>
          <t>Recorded in update; verification pending</t>
        </is>
      </c>
      <c r="H351" s="4" t="n"/>
      <c r="I351" s="4" t="inlineStr">
        <is>
          <t>ASD vs TD diagnostic classification</t>
        </is>
      </c>
      <c r="J351" s="4" t="inlineStr">
        <is>
          <t>Combina conectividad rs-fMRI y variables fenotípicas de ABIDE-I en un GCN multiescala con inferencia difusa; usa 11-fold CV interno. Aunque ABIDE-I es multisitio, no se identificó site-held-out validation. El sitio de adquisición aparece entre rasgos fenotípicos, lo que puede introducir dependencia del sitio; se requiere análisis específico antes de afirmar robustez cross-site.</t>
        </is>
      </c>
      <c r="K351" s="4" t="str"/>
      <c r="L351" s="4" t="inlineStr">
        <is>
          <t>https://doi.org/10.1016/j.ibmed.2025.100213</t>
        </is>
      </c>
      <c r="M351" s="4" t="n"/>
      <c r="N351" s="12" t="n"/>
      <c r="O351" s="41" t="n"/>
      <c r="P351" s="4" t="inlineStr">
        <is>
          <t>Confirmed only when AI was actually evaluated/used within the stated workflow or intervention; intended use alone = Proposed only</t>
        </is>
      </c>
      <c r="Q351" s="4">
        <f>IF(COUNTIFS('ESTUDIOS'!$A$2:$A$455,$A351,'ESTUDIOS'!$I$2:$I$455,"")&gt;0,"",INDEX('ESTUDIOS'!$I$2:$I$455,MATCH($A351,'ESTUDIOS'!$A$2:$A$455,0)))</f>
        <v/>
      </c>
    </row>
    <row r="352" ht="86" customHeight="1">
      <c r="A352" s="4" t="inlineStr">
        <is>
          <t>new_63</t>
        </is>
      </c>
      <c r="B352" s="4" t="inlineStr">
        <is>
          <t>Update</t>
        </is>
      </c>
      <c r="C352" s="4" t="inlineStr">
        <is>
          <t>Enhancing autism spectrum disorder early detection with parent-child dyads block-play protocol and attention-enhanced hybrid deep learning framework</t>
        </is>
      </c>
      <c r="D352" s="4" t="inlineStr">
        <is>
          <t>Research only</t>
        </is>
      </c>
      <c r="E352" s="4" t="inlineStr">
        <is>
          <t>Experimental video-based early ASD screening during parent-child block play</t>
        </is>
      </c>
      <c r="F352" s="4" t="n"/>
      <c r="G352" s="4" t="inlineStr">
        <is>
          <t>Recorded in update; verification pending</t>
        </is>
      </c>
      <c r="H352" s="4" t="n"/>
      <c r="I352" s="4" t="inlineStr">
        <is>
          <t>Early ASD screening from parent-child block-play behavior</t>
        </is>
      </c>
      <c r="J352" s="4" t="inlineStr">
        <is>
          <t>Protocolo de block-play parent-child con 40 ASD y 89 TD; cámara RGB, pose con Faster R-CNN+HRNet y clasificador 2sGCN-AxLSTM; accuracy reportada 89.6%. Datos recogidos prospectivamente en un único entorno y n=129; no hay validación externa independiente. El módulo de atención no se contó como XAI porque no se presentó como explicación clínica.</t>
        </is>
      </c>
      <c r="K352" s="4" t="str"/>
      <c r="L352" s="4" t="inlineStr">
        <is>
          <t>https://doi.org/10.1016/j.engappai.2025.110430</t>
        </is>
      </c>
      <c r="M352" s="4" t="n"/>
      <c r="N352" s="12" t="n"/>
      <c r="O352" s="41" t="n"/>
      <c r="P352" s="4" t="inlineStr">
        <is>
          <t>Confirmed only when AI was actually evaluated/used within the stated workflow or intervention; intended use alone = Proposed only</t>
        </is>
      </c>
      <c r="Q352" s="4">
        <f>IF(COUNTIFS('ESTUDIOS'!$A$2:$A$455,$A352,'ESTUDIOS'!$I$2:$I$455,"")&gt;0,"",INDEX('ESTUDIOS'!$I$2:$I$455,MATCH($A352,'ESTUDIOS'!$A$2:$A$455,0)))</f>
        <v/>
      </c>
    </row>
    <row r="353" ht="86" customHeight="1">
      <c r="A353" s="4" t="inlineStr">
        <is>
          <t>new_64</t>
        </is>
      </c>
      <c r="B353" s="4" t="inlineStr">
        <is>
          <t>Update</t>
        </is>
      </c>
      <c r="C353" s="4" t="inlineStr">
        <is>
          <t>Involvement of disulfidptosis in the pathophysiology of autism spectrum disorder</t>
        </is>
      </c>
      <c r="D353" s="4" t="inlineStr">
        <is>
          <t>Research only</t>
        </is>
      </c>
      <c r="E353" s="4" t="inlineStr">
        <is>
          <t>Research biomarker model; no demonstrated clinical workflow deployment</t>
        </is>
      </c>
      <c r="F353" s="4" t="n"/>
      <c r="G353" s="4" t="inlineStr">
        <is>
          <t>Recorded in update; verification pending</t>
        </is>
      </c>
      <c r="H353" s="4" t="n"/>
      <c r="I353" s="4" t="inlineStr">
        <is>
          <t>ASD-related molecular biomarker/pathogenesis characterization and prediction</t>
        </is>
      </c>
      <c r="J353" s="4" t="inlineStr">
        <is>
          <t>Identifies seven disulfidptosis-related genes and reports a predictive model (AUC 0.759) with external validation (AUC 0.811), plus animal follow-up. The paper is primarily mechanistic/biomarker research. External datasets support validation, but no real clinical workflow or site-held-out evaluation was demonstrated.</t>
        </is>
      </c>
      <c r="K353" s="4" t="str"/>
      <c r="L353" s="4" t="inlineStr">
        <is>
          <t>https://doi.org/10.1016/j.lfs.2025.123531</t>
        </is>
      </c>
      <c r="M353" s="4" t="n"/>
      <c r="N353" s="12" t="n"/>
      <c r="O353" s="41" t="n"/>
      <c r="P353" s="4" t="inlineStr">
        <is>
          <t>Confirmed only when AI was actually evaluated/used within the stated workflow or intervention; intended use alone = Proposed only</t>
        </is>
      </c>
      <c r="Q353" s="4">
        <f>IF(COUNTIFS('ESTUDIOS'!$A$2:$A$455,$A353,'ESTUDIOS'!$I$2:$I$455,"")&gt;0,"",INDEX('ESTUDIOS'!$I$2:$I$455,MATCH($A353,'ESTUDIOS'!$A$2:$A$455,0)))</f>
        <v/>
      </c>
    </row>
    <row r="354" ht="73" customHeight="1">
      <c r="A354" s="4" t="inlineStr">
        <is>
          <t>new_67</t>
        </is>
      </c>
      <c r="B354" s="4" t="inlineStr">
        <is>
          <t>Update</t>
        </is>
      </c>
      <c r="C354" s="4" t="inlineStr">
        <is>
          <t>Enhancing the identification of autism spectrum disorder in facial expressions using DenseResNet-Based transfer learning approach</t>
        </is>
      </c>
      <c r="D354" s="4" t="inlineStr">
        <is>
          <t>Proposed only</t>
        </is>
      </c>
      <c r="E354" s="4" t="inlineStr">
        <is>
          <t>Proposed facial-image support for early ASD identification</t>
        </is>
      </c>
      <c r="F354" s="4" t="n"/>
      <c r="G354" s="4" t="inlineStr">
        <is>
          <t>Recorded in update; verification pending</t>
        </is>
      </c>
      <c r="H354" s="4" t="n"/>
      <c r="I354" s="4" t="inlineStr">
        <is>
          <t>ASD vs non-ASD facial-image classification / early identification</t>
        </is>
      </c>
      <c r="J354" s="4" t="inlineStr">
        <is>
          <t>DenseResNet combines DenseNet and ResNet transfer learning on facial images; 2526 training and 200 test images; reported accuracy 97.07%. Internal dataset evaluation only. No independent external cohort, prospective clinical workflow, cross-site test, or formal XAI was identified.</t>
        </is>
      </c>
      <c r="K354" s="4" t="str"/>
      <c r="L354" s="4" t="inlineStr">
        <is>
          <t>https://doi.org/10.1016/j.bspc.2024.107433</t>
        </is>
      </c>
      <c r="M354" s="4" t="n"/>
      <c r="N354" s="12" t="n"/>
      <c r="O354" s="41" t="n"/>
      <c r="P354" s="4" t="inlineStr">
        <is>
          <t>Confirmed only when AI was actually evaluated/used within the stated workflow or intervention; intended use alone = Proposed only</t>
        </is>
      </c>
      <c r="Q354" s="4">
        <f>IF(COUNTIFS('ESTUDIOS'!$A$2:$A$455,$A354,'ESTUDIOS'!$I$2:$I$455,"")&gt;0,"",INDEX('ESTUDIOS'!$I$2:$I$455,MATCH($A354,'ESTUDIOS'!$A$2:$A$455,0)))</f>
        <v/>
      </c>
    </row>
    <row r="355" ht="73" customHeight="1">
      <c r="A355" s="4" t="inlineStr">
        <is>
          <t>new_74</t>
        </is>
      </c>
      <c r="B355" s="4" t="inlineStr">
        <is>
          <t>Update</t>
        </is>
      </c>
      <c r="C355" s="4" t="inlineStr">
        <is>
          <t>Deep neurocomputational fusion for ASD diagnosis using multi-domain EEG analysis</t>
        </is>
      </c>
      <c r="D355" s="4" t="inlineStr">
        <is>
          <t>Research only</t>
        </is>
      </c>
      <c r="E355" s="4" t="inlineStr">
        <is>
          <t>Experimental EEG diagnostic classifier</t>
        </is>
      </c>
      <c r="F355" s="4" t="n"/>
      <c r="G355" s="4" t="inlineStr">
        <is>
          <t>Recorded in update; verification pending</t>
        </is>
      </c>
      <c r="H355" s="4" t="n"/>
      <c r="I355" s="4" t="inlineStr">
        <is>
          <t>EEG-based ASD vs TD classification</t>
        </is>
      </c>
      <c r="J355" s="4" t="inlineStr">
        <is>
          <t>EEFM fuses time/frequency EEG features using an LSTM autoencoder, XGBoost and linear regression; reported ASD-vs-TD accuracy is 93%. Multiple EEG collections do not by themselves establish independent external validation or cross-site robustness; no formal XAI was reported.</t>
        </is>
      </c>
      <c r="K355" s="4" t="str"/>
      <c r="L355" s="4" t="inlineStr">
        <is>
          <t>https://doi.org/10.1016/j.neucom.2025.130353</t>
        </is>
      </c>
      <c r="M355" s="4" t="n"/>
      <c r="N355" s="12" t="n"/>
      <c r="O355" s="41" t="n"/>
      <c r="P355" s="4" t="inlineStr">
        <is>
          <t>Confirmed only when AI was actually evaluated/used within the stated workflow or intervention; intended use alone = Proposed only</t>
        </is>
      </c>
      <c r="Q355" s="4">
        <f>IF(COUNTIFS('ESTUDIOS'!$A$2:$A$455,$A355,'ESTUDIOS'!$I$2:$I$455,"")&gt;0,"",INDEX('ESTUDIOS'!$I$2:$I$455,MATCH($A355,'ESTUDIOS'!$A$2:$A$455,0)))</f>
        <v/>
      </c>
    </row>
    <row r="356" ht="73" customHeight="1">
      <c r="A356" s="4" t="inlineStr">
        <is>
          <t>new_76</t>
        </is>
      </c>
      <c r="B356" s="4" t="inlineStr">
        <is>
          <t>Update</t>
        </is>
      </c>
      <c r="C356" s="4" t="inlineStr">
        <is>
          <t>Female autism categorization using CNN based NeuroNet57 and ant colony optimization</t>
        </is>
      </c>
      <c r="D356" s="4" t="inlineStr">
        <is>
          <t>Research only</t>
        </is>
      </c>
      <c r="E356" s="4" t="inlineStr">
        <is>
          <t>Experimental female-specific neuroimaging diagnostic classifier</t>
        </is>
      </c>
      <c r="F356" s="4" t="n"/>
      <c r="G356" s="4" t="inlineStr">
        <is>
          <t>Recorded in update; verification pending</t>
        </is>
      </c>
      <c r="H356" s="4" t="n"/>
      <c r="I356" s="4" t="inlineStr">
        <is>
          <t>Female ASD vs control classification</t>
        </is>
      </c>
      <c r="J356" s="4" t="inlineStr">
        <is>
          <t>NeuroNet57 extracts ABIDE-I/II features, ACO selects features, and FineKNN reports 92.21% accuracy on ABIDE-I and 93.49% on ABIDE-II. ABIDE is multisite, but the recovered text did not document site-held-out testing or a fixed development-versus-external validation design.</t>
        </is>
      </c>
      <c r="K356" s="4" t="str"/>
      <c r="L356" s="4" t="inlineStr">
        <is>
          <t>https://doi.org/10.1016/j.compbiomed.2025.109926</t>
        </is>
      </c>
      <c r="M356" s="4" t="n"/>
      <c r="N356" s="12" t="n"/>
      <c r="O356" s="41" t="n"/>
      <c r="P356" s="4" t="inlineStr">
        <is>
          <t>Confirmed only when AI was actually evaluated/used within the stated workflow or intervention; intended use alone = Proposed only</t>
        </is>
      </c>
      <c r="Q356" s="4">
        <f>IF(COUNTIFS('ESTUDIOS'!$A$2:$A$455,$A356,'ESTUDIOS'!$I$2:$I$455,"")&gt;0,"",INDEX('ESTUDIOS'!$I$2:$I$455,MATCH($A356,'ESTUDIOS'!$A$2:$A$455,0)))</f>
        <v/>
      </c>
    </row>
    <row r="357" ht="86" customHeight="1">
      <c r="A357" s="4" t="inlineStr">
        <is>
          <t>new_78</t>
        </is>
      </c>
      <c r="B357" s="4" t="inlineStr">
        <is>
          <t>Update</t>
        </is>
      </c>
      <c r="C357" s="4" t="inlineStr">
        <is>
          <t>Capsule DenseNet++: Enhanced autism detection framework with deep learning and reinforcement learning-based lifestyle recommendation</t>
        </is>
      </c>
      <c r="D357" s="4" t="inlineStr">
        <is>
          <t>Proposed only</t>
        </is>
      </c>
      <c r="E357" s="4" t="inlineStr">
        <is>
          <t>Proposed screening classifier with post-screening lifestyle recommendation</t>
        </is>
      </c>
      <c r="F357" s="4" t="n"/>
      <c r="G357" s="4" t="inlineStr">
        <is>
          <t>Recorded in update; verification pending</t>
        </is>
      </c>
      <c r="H357" s="4" t="n"/>
      <c r="I357" s="4" t="inlineStr">
        <is>
          <t>ASD screening classification plus lifestyle recommendation</t>
        </is>
      </c>
      <c r="J357" s="4" t="inlineStr">
        <is>
          <t>Uses Capsule DenseNet++ with optimization for ASD screening on two public datasets and a PPO component for lifestyle recommendation; reported accuracies are about 99.2-99.3%. The two datasets were not documented as a fixed independent external-validation scheme, and the recommendation component was not evaluated in a prospective care workflow.</t>
        </is>
      </c>
      <c r="K357" s="4" t="str"/>
      <c r="L357" s="4" t="inlineStr">
        <is>
          <t>https://doi.org/10.1016/j.compbiomed.2025.110038</t>
        </is>
      </c>
      <c r="M357" s="4" t="n"/>
      <c r="N357" s="12" t="n"/>
      <c r="O357" s="41" t="n"/>
      <c r="P357" s="4" t="inlineStr">
        <is>
          <t>Confirmed only when AI was actually evaluated/used within the stated workflow or intervention; intended use alone = Proposed only</t>
        </is>
      </c>
      <c r="Q357" s="4">
        <f>IF(COUNTIFS('ESTUDIOS'!$A$2:$A$455,$A357,'ESTUDIOS'!$I$2:$I$455,"")&gt;0,"",INDEX('ESTUDIOS'!$I$2:$I$455,MATCH($A357,'ESTUDIOS'!$A$2:$A$455,0)))</f>
        <v/>
      </c>
    </row>
    <row r="358" ht="86" customHeight="1">
      <c r="A358" s="4" t="inlineStr">
        <is>
          <t>new_81</t>
        </is>
      </c>
      <c r="B358" s="4" t="inlineStr">
        <is>
          <t>Update</t>
        </is>
      </c>
      <c r="C358" s="4" t="inlineStr">
        <is>
          <t>Self-training EEG discrimination model with weakly supervised sample construction: An age-based perspective on ASD evaluation</t>
        </is>
      </c>
      <c r="D358" s="4" t="inlineStr">
        <is>
          <t>Research only</t>
        </is>
      </c>
      <c r="E358" s="4" t="inlineStr">
        <is>
          <t>Experimental semi-supervised EEG classifier</t>
        </is>
      </c>
      <c r="F358" s="4" t="n"/>
      <c r="G358" s="4" t="inlineStr">
        <is>
          <t>Recorded in update; verification pending</t>
        </is>
      </c>
      <c r="H358" s="4" t="n"/>
      <c r="I358" s="4" t="inlineStr">
        <is>
          <t>EEG-based ASD evaluation/classification</t>
        </is>
      </c>
      <c r="J358" s="4" t="inlineStr">
        <is>
          <t>STEM combines an autoencoder, depthwise-separable convolution, BiGRU and pseudo-label self-training across EEG data; reported accuracy is 88.33% and F1 87.24%. Use of several EEG datasets does not automatically prove external validation; no explicit site-held-out or prospective clinical evaluation was identified.</t>
        </is>
      </c>
      <c r="K358" s="4" t="str"/>
      <c r="L358" s="4" t="inlineStr">
        <is>
          <t>https://doi.org/10.1016/j.neunet.2025.107337</t>
        </is>
      </c>
      <c r="M358" s="4" t="n"/>
      <c r="N358" s="12" t="n"/>
      <c r="O358" s="41" t="n"/>
      <c r="P358" s="4" t="inlineStr">
        <is>
          <t>Confirmed only when AI was actually evaluated/used within the stated workflow or intervention; intended use alone = Proposed only</t>
        </is>
      </c>
      <c r="Q358" s="4">
        <f>IF(COUNTIFS('ESTUDIOS'!$A$2:$A$455,$A358,'ESTUDIOS'!$I$2:$I$455,"")&gt;0,"",INDEX('ESTUDIOS'!$I$2:$I$455,MATCH($A358,'ESTUDIOS'!$A$2:$A$455,0)))</f>
        <v/>
      </c>
    </row>
    <row r="359" ht="86" customHeight="1">
      <c r="A359" s="4" t="inlineStr">
        <is>
          <t>new_84</t>
        </is>
      </c>
      <c r="B359" s="4" t="inlineStr">
        <is>
          <t>Update</t>
        </is>
      </c>
      <c r="C359" s="4" t="inlineStr">
        <is>
          <t>Towards screening of children students with autism spectrum disorder based on executive functions with serious game and machine learning approaches</t>
        </is>
      </c>
      <c r="D359" s="4" t="inlineStr">
        <is>
          <t>Research only</t>
        </is>
      </c>
      <c r="E359" s="4" t="inlineStr">
        <is>
          <t>School-based experimental screening model using serious-game data</t>
        </is>
      </c>
      <c r="F359" s="4" t="n"/>
      <c r="G359" s="4" t="inlineStr">
        <is>
          <t>Recorded in update; verification pending</t>
        </is>
      </c>
      <c r="H359" s="4" t="n"/>
      <c r="I359" s="4" t="inlineStr">
        <is>
          <t>School-based ASD screening from serious-game interaction data</t>
        </is>
      </c>
      <c r="J359" s="4" t="inlineStr">
        <is>
          <t>Three teachers supervised 12 children (6 ASD, 6 TD) over three months and 640 game sessions; Random Forest was best, with reported accuracy near 96%. Very small single-context sample. Data collection was prospective, but the classifier was not shown to operate as an independent deployed screening decision in routine practice.</t>
        </is>
      </c>
      <c r="K359" s="4" t="str"/>
      <c r="L359" s="4" t="inlineStr">
        <is>
          <t>https://doi.org/10.1016/j.eswa.2025.128884</t>
        </is>
      </c>
      <c r="M359" s="4" t="n"/>
      <c r="N359" s="12" t="n"/>
      <c r="O359" s="41" t="n"/>
      <c r="P359" s="4" t="inlineStr">
        <is>
          <t>Confirmed only when AI was actually evaluated/used within the stated workflow or intervention; intended use alone = Proposed only</t>
        </is>
      </c>
      <c r="Q359" s="4">
        <f>IF(COUNTIFS('ESTUDIOS'!$A$2:$A$455,$A359,'ESTUDIOS'!$I$2:$I$455,"")&gt;0,"",INDEX('ESTUDIOS'!$I$2:$I$455,MATCH($A359,'ESTUDIOS'!$A$2:$A$455,0)))</f>
        <v/>
      </c>
    </row>
    <row r="360" ht="73" customHeight="1">
      <c r="A360" s="4" t="inlineStr">
        <is>
          <t>new_86</t>
        </is>
      </c>
      <c r="B360" s="4" t="inlineStr">
        <is>
          <t>Update</t>
        </is>
      </c>
      <c r="C360" s="4" t="inlineStr">
        <is>
          <t>Optimized attention-enhanced U-Net for autism detection and region localization in MRI</t>
        </is>
      </c>
      <c r="D360" s="4" t="inlineStr">
        <is>
          <t>Research only</t>
        </is>
      </c>
      <c r="E360" s="4" t="inlineStr">
        <is>
          <t>Experimental MRI diagnostic classifier with region localization</t>
        </is>
      </c>
      <c r="F360" s="4" t="n"/>
      <c r="G360" s="4" t="inlineStr">
        <is>
          <t>Recorded in update; verification pending</t>
        </is>
      </c>
      <c r="H360" s="4" t="n"/>
      <c r="I360" s="4" t="inlineStr">
        <is>
          <t>ASD classification plus abnormality-region localization</t>
        </is>
      </c>
      <c r="J360" s="4" t="inlineStr">
        <is>
          <t>An optimized attention-enhanced MRI pipeline classifies ASD and localizes abnormal regions; reported accuracy is 97.29% on ABIDE-derived data. ABIDE provides multisite data, but no site-held-out validation was identified. Region localization was coded as partial interpretability, not formal XAI.</t>
        </is>
      </c>
      <c r="K360" s="4" t="str"/>
      <c r="L360" s="4" t="inlineStr">
        <is>
          <t>https://doi.org/10.1016/j.pscychresns.2025.111970</t>
        </is>
      </c>
      <c r="M360" s="4" t="n"/>
      <c r="N360" s="12" t="n"/>
      <c r="O360" s="41" t="n"/>
      <c r="P360" s="4" t="inlineStr">
        <is>
          <t>Confirmed only when AI was actually evaluated/used within the stated workflow or intervention; intended use alone = Proposed only</t>
        </is>
      </c>
      <c r="Q360" s="4">
        <f>IF(COUNTIFS('ESTUDIOS'!$A$2:$A$455,$A360,'ESTUDIOS'!$I$2:$I$455,"")&gt;0,"",INDEX('ESTUDIOS'!$I$2:$I$455,MATCH($A360,'ESTUDIOS'!$A$2:$A$455,0)))</f>
        <v/>
      </c>
    </row>
    <row r="361" ht="86" customHeight="1">
      <c r="A361" s="4" t="inlineStr">
        <is>
          <t>new_97</t>
        </is>
      </c>
      <c r="B361" s="4" t="inlineStr">
        <is>
          <t>Update</t>
        </is>
      </c>
      <c r="C361" s="4" t="inlineStr">
        <is>
          <t>Child-therapist acoustic synchrony and response trajectories in autism intervention: an AI-based automated analysis using dynamic systems theory and affective computing</t>
        </is>
      </c>
      <c r="D361" s="4" t="inlineStr">
        <is>
          <t>Research only</t>
        </is>
      </c>
      <c r="E361" s="4" t="inlineStr">
        <is>
          <t>Longitudinal computational monitoring of therapist-child interaction during intervention</t>
        </is>
      </c>
      <c r="F361" s="4" t="n"/>
      <c r="G361" s="4" t="inlineStr">
        <is>
          <t>Recorded in update; verification pending</t>
        </is>
      </c>
      <c r="H361" s="4" t="n"/>
      <c r="I361" s="4" t="inlineStr">
        <is>
          <t>Longitudinal child-therapist synchrony and intervention-response monitoring</t>
        </is>
      </c>
      <c r="J361" s="4" t="inlineStr">
        <is>
          <t>Follows 25 autistic preschoolers over one year of NDBI; 75 intervention videos are analyzed with automatic speech segmentation and CRQA acoustic synchrony. Prospective longitudinal data support monitoring research, but the AI output was analyzed as a research measure rather than used to alter therapy decisions in real time.</t>
        </is>
      </c>
      <c r="K361" s="4" t="str"/>
      <c r="L361" s="4" t="inlineStr">
        <is>
          <t>https://doi.org/10.1016/j.etdah.2025.100176</t>
        </is>
      </c>
      <c r="M361" s="4" t="n"/>
      <c r="N361" s="12" t="n"/>
      <c r="O361" s="41" t="n"/>
      <c r="P361" s="4" t="inlineStr">
        <is>
          <t>Confirmed only when AI was actually evaluated/used within the stated workflow or intervention; intended use alone = Proposed only</t>
        </is>
      </c>
      <c r="Q361" s="4">
        <f>IF(COUNTIFS('ESTUDIOS'!$A$2:$A$455,$A361,'ESTUDIOS'!$I$2:$I$455,"")&gt;0,"",INDEX('ESTUDIOS'!$I$2:$I$455,MATCH($A361,'ESTUDIOS'!$A$2:$A$455,0)))</f>
        <v/>
      </c>
    </row>
    <row r="362" ht="86" customHeight="1">
      <c r="A362" s="4" t="inlineStr">
        <is>
          <t>new_103</t>
        </is>
      </c>
      <c r="B362" s="4" t="inlineStr">
        <is>
          <t>Update</t>
        </is>
      </c>
      <c r="C362" s="4" t="inlineStr">
        <is>
          <t>Early fusion for Autism classification with biomarker detection using rs-fMRI and phenotypic data</t>
        </is>
      </c>
      <c r="D362" s="4" t="inlineStr">
        <is>
          <t>Research only</t>
        </is>
      </c>
      <c r="E362" s="4" t="inlineStr">
        <is>
          <t>Experimental multimodal ASD diagnostic classifier and biomarker analysis</t>
        </is>
      </c>
      <c r="F362" s="4" t="n"/>
      <c r="G362" s="4" t="inlineStr">
        <is>
          <t>Recorded in update; verification pending</t>
        </is>
      </c>
      <c r="H362" s="4" t="n"/>
      <c r="I362" s="4" t="inlineStr">
        <is>
          <t>ASD classification plus biomarker detection</t>
        </is>
      </c>
      <c r="J362" s="4" t="inlineStr">
        <is>
          <t>Early fusion combines rs-fMRI and phenotypic features; the study reports explainable biomarker analysis and leave-one-site-out evaluation on multisite ABIDE data. LOSO is strong evidence of site-level generalization but performance remains moderate; it is still retrospective research rather than prospective clinical deployment.</t>
        </is>
      </c>
      <c r="K362" s="4" t="str"/>
      <c r="L362" s="4" t="inlineStr">
        <is>
          <t>https://doi.org/10.1016/j.bspc.2025.108020</t>
        </is>
      </c>
      <c r="M362" s="4" t="n"/>
      <c r="N362" s="12" t="n"/>
      <c r="O362" s="41" t="n"/>
      <c r="P362" s="4" t="inlineStr">
        <is>
          <t>Confirmed only when AI was actually evaluated/used within the stated workflow or intervention; intended use alone = Proposed only</t>
        </is>
      </c>
      <c r="Q362" s="4">
        <f>IF(COUNTIFS('ESTUDIOS'!$A$2:$A$455,$A362,'ESTUDIOS'!$I$2:$I$455,"")&gt;0,"",INDEX('ESTUDIOS'!$I$2:$I$455,MATCH($A362,'ESTUDIOS'!$A$2:$A$455,0)))</f>
        <v/>
      </c>
    </row>
    <row r="363" ht="86" customHeight="1">
      <c r="A363" s="4" t="inlineStr">
        <is>
          <t>new_110</t>
        </is>
      </c>
      <c r="B363" s="4" t="inlineStr">
        <is>
          <t>Update</t>
        </is>
      </c>
      <c r="C363" s="4" t="inlineStr">
        <is>
          <t>A deep learning model for diagnosing autism using brain time series</t>
        </is>
      </c>
      <c r="D363" s="4" t="inlineStr">
        <is>
          <t>Research only</t>
        </is>
      </c>
      <c r="E363" s="4" t="inlineStr">
        <is>
          <t>Experimental rs-fMRI diagnostic classifier</t>
        </is>
      </c>
      <c r="F363" s="4" t="n"/>
      <c r="G363" s="4" t="inlineStr">
        <is>
          <t>Recorded in update; verification pending</t>
        </is>
      </c>
      <c r="H363" s="4" t="n"/>
      <c r="I363" s="4" t="inlineStr">
        <is>
          <t>ASD diagnostic classification from brain time series</t>
        </is>
      </c>
      <c r="J363" s="4" t="inlineStr">
        <is>
          <t>Uses ABIDE brain time series with an LSTM-attention architecture; evaluation uses an internal subject split and cross-validation, with no separate external test set. ABIDE is multisite, but the recovered evaluation is not site-held-out. Architectural attention was not counted as XAI without explicit explanation analysis.</t>
        </is>
      </c>
      <c r="K363" s="4" t="str"/>
      <c r="L363" s="4" t="inlineStr">
        <is>
          <t>https://doi.org/10.1016/j.neuroscience.2025.08.001</t>
        </is>
      </c>
      <c r="M363" s="4" t="n"/>
      <c r="N363" s="12" t="n"/>
      <c r="O363" s="41" t="n"/>
      <c r="P363" s="4" t="inlineStr">
        <is>
          <t>Confirmed only when AI was actually evaluated/used within the stated workflow or intervention; intended use alone = Proposed only</t>
        </is>
      </c>
      <c r="Q363" s="4">
        <f>IF(COUNTIFS('ESTUDIOS'!$A$2:$A$455,$A363,'ESTUDIOS'!$I$2:$I$455,"")&gt;0,"",INDEX('ESTUDIOS'!$I$2:$I$455,MATCH($A363,'ESTUDIOS'!$A$2:$A$455,0)))</f>
        <v/>
      </c>
    </row>
    <row r="364" ht="86" customHeight="1">
      <c r="A364" s="4" t="inlineStr">
        <is>
          <t>new_118</t>
        </is>
      </c>
      <c r="B364" s="4" t="inlineStr">
        <is>
          <t>Update</t>
        </is>
      </c>
      <c r="C364" s="4" t="inlineStr">
        <is>
          <t>Massively parallel characterization of non-coding de novo mutations in autism spectrum disorder</t>
        </is>
      </c>
      <c r="D364" s="4" t="inlineStr">
        <is>
          <t>Research only</t>
        </is>
      </c>
      <c r="E364" s="4" t="inlineStr">
        <is>
          <t>Research-only genomic prioritization and functional characterization</t>
        </is>
      </c>
      <c r="F364" s="4" t="n"/>
      <c r="G364" s="4" t="inlineStr">
        <is>
          <t>Recorded in update; verification pending</t>
        </is>
      </c>
      <c r="H364" s="4" t="n"/>
      <c r="I364" s="4" t="inlineStr">
        <is>
          <t>Functional prioritization/characterization of ASD-risk non-coding variants</t>
        </is>
      </c>
      <c r="J364" s="4" t="inlineStr">
        <is>
          <t>Analyzes ncDNMs from SSC and MSSNG using a cell-specific variant-effect model and MPRA follow-up, prioritizing ASD-risk regulatory mutations. This is mechanistic genomic research rather than a clinical-stage decision tool. Multiple cohorts/assays were not coded as formal multisource model fusion or cross-site validation.</t>
        </is>
      </c>
      <c r="K364" s="4" t="str"/>
      <c r="L364" s="4" t="inlineStr">
        <is>
          <t>https://doi.org/10.1016/j.jgg.2025.07.008</t>
        </is>
      </c>
      <c r="M364" s="4" t="n"/>
      <c r="N364" s="12" t="n"/>
      <c r="O364" s="41" t="n"/>
      <c r="P364" s="4" t="inlineStr">
        <is>
          <t>Confirmed only when AI was actually evaluated/used within the stated workflow or intervention; intended use alone = Proposed only</t>
        </is>
      </c>
      <c r="Q364" s="4">
        <f>IF(COUNTIFS('ESTUDIOS'!$A$2:$A$455,$A364,'ESTUDIOS'!$I$2:$I$455,"")&gt;0,"",INDEX('ESTUDIOS'!$I$2:$I$455,MATCH($A364,'ESTUDIOS'!$A$2:$A$455,0)))</f>
        <v/>
      </c>
    </row>
    <row r="365" ht="73" customHeight="1">
      <c r="A365" s="4" t="inlineStr">
        <is>
          <t>new_122</t>
        </is>
      </c>
      <c r="B365" s="4" t="inlineStr">
        <is>
          <t>Update</t>
        </is>
      </c>
      <c r="C365" s="4" t="inlineStr">
        <is>
          <t>A novel hybrid deep learning model using MEResNextfor autism spectrum disorder detection</t>
        </is>
      </c>
      <c r="D365" s="4" t="inlineStr">
        <is>
          <t>Research only</t>
        </is>
      </c>
      <c r="E365" s="4" t="inlineStr">
        <is>
          <t>Experimental questionnaire-based ASD screening classifier</t>
        </is>
      </c>
      <c r="F365" s="4" t="n"/>
      <c r="G365" s="4" t="inlineStr">
        <is>
          <t>Recorded in update; verification pending</t>
        </is>
      </c>
      <c r="H365" s="4" t="n"/>
      <c r="I365" s="4" t="inlineStr">
        <is>
          <t>ASD screening classification</t>
        </is>
      </c>
      <c r="J365" s="4" t="inlineStr">
        <is>
          <t>Proposes MEResNeXt with feature selection for ASD detection on a structured toddler screening dataset and reports high classification performance. No independent external cohort, prospective workflow, cross-site test or formal XAI was identified in the recovered article text.</t>
        </is>
      </c>
      <c r="K365" s="4" t="str"/>
      <c r="L365" s="4" t="inlineStr">
        <is>
          <t>https://doi.org/10.1016/j.compbiolchem.2025.108619</t>
        </is>
      </c>
      <c r="M365" s="4" t="n"/>
      <c r="N365" s="12" t="n"/>
      <c r="O365" s="41" t="n"/>
      <c r="P365" s="4" t="inlineStr">
        <is>
          <t>Confirmed only when AI was actually evaluated/used within the stated workflow or intervention; intended use alone = Proposed only</t>
        </is>
      </c>
      <c r="Q365" s="4">
        <f>IF(COUNTIFS('ESTUDIOS'!$A$2:$A$455,$A365,'ESTUDIOS'!$I$2:$I$455,"")&gt;0,"",INDEX('ESTUDIOS'!$I$2:$I$455,MATCH($A365,'ESTUDIOS'!$A$2:$A$455,0)))</f>
        <v/>
      </c>
    </row>
    <row r="366" ht="86" customHeight="1">
      <c r="A366" s="4" t="inlineStr">
        <is>
          <t>new_123</t>
        </is>
      </c>
      <c r="B366" s="4" t="inlineStr">
        <is>
          <t>Update</t>
        </is>
      </c>
      <c r="C366" s="4" t="inlineStr">
        <is>
          <t>FaithfulNet: An explainable deep learning framework for autism diagnosis using structural MRI</t>
        </is>
      </c>
      <c r="D366" s="4" t="inlineStr">
        <is>
          <t>Research only</t>
        </is>
      </c>
      <c r="E366" s="4" t="inlineStr">
        <is>
          <t>Experimental explainable sMRI diagnostic classifier</t>
        </is>
      </c>
      <c r="F366" s="4" t="n"/>
      <c r="G366" s="4" t="inlineStr">
        <is>
          <t>Recorded in update; verification pending</t>
        </is>
      </c>
      <c r="H366" s="4" t="n"/>
      <c r="I366" s="4" t="inlineStr">
        <is>
          <t>ASD classification plus explainable brain-region localization</t>
        </is>
      </c>
      <c r="J366" s="4" t="inlineStr">
        <is>
          <t>FaithfulNet classifies ABIDE-II sMRI and Faith_CAM combines Grad-CAM with SHAP for explanation/region localization; very high internal performance is reported. ABIDE-II is multisite, but no site-held-out or independent external validation was identified. Very high performance warrants leakage/partition review during human verification.</t>
        </is>
      </c>
      <c r="K366" s="4" t="str"/>
      <c r="L366" s="4" t="inlineStr">
        <is>
          <t>https://doi.org/10.1016/j.brainres.2025.149904</t>
        </is>
      </c>
      <c r="M366" s="4" t="n"/>
      <c r="N366" s="12" t="n"/>
      <c r="O366" s="41" t="n"/>
      <c r="P366" s="4" t="inlineStr">
        <is>
          <t>Confirmed only when AI was actually evaluated/used within the stated workflow or intervention; intended use alone = Proposed only</t>
        </is>
      </c>
      <c r="Q366" s="4">
        <f>IF(COUNTIFS('ESTUDIOS'!$A$2:$A$455,$A366,'ESTUDIOS'!$I$2:$I$455,"")&gt;0,"",INDEX('ESTUDIOS'!$I$2:$I$455,MATCH($A366,'ESTUDIOS'!$A$2:$A$455,0)))</f>
        <v/>
      </c>
    </row>
    <row r="367" ht="73" customHeight="1">
      <c r="A367" s="4" t="inlineStr">
        <is>
          <t>new_126</t>
        </is>
      </c>
      <c r="B367" s="4" t="inlineStr">
        <is>
          <t>Update</t>
        </is>
      </c>
      <c r="C367" s="4" t="inlineStr">
        <is>
          <t>CARE: Comprehensive Artificial Intelligence Techniques for Reliable Autism Evaluation in Pediatric Care</t>
        </is>
      </c>
      <c r="D367" s="4" t="inlineStr">
        <is>
          <t>Proposed only</t>
        </is>
      </c>
      <c r="E367" s="4" t="inlineStr">
        <is>
          <t>Proposed explainable pediatric ASD screening support</t>
        </is>
      </c>
      <c r="F367" s="4" t="n"/>
      <c r="G367" s="4" t="inlineStr">
        <is>
          <t>Recorded in update; verification pending</t>
        </is>
      </c>
      <c r="H367" s="4" t="n"/>
      <c r="I367" s="4" t="inlineStr">
        <is>
          <t>Pediatric ASD trait prediction / early screening</t>
        </is>
      </c>
      <c r="J367" s="4" t="inlineStr">
        <is>
          <t>CARE evaluates AutoML/CatBoost on a pediatric ASD-traits dataset and uses SHAP for explicit feature-level explanation. Retrospective/public structured-data modeling only; no independent external cohort or prospective pediatric workflow evaluation was demonstrated.</t>
        </is>
      </c>
      <c r="K367" s="4" t="str"/>
      <c r="L367" s="4" t="inlineStr">
        <is>
          <t>https://doi.org/10.32604/cmc.2025.067784</t>
        </is>
      </c>
      <c r="M367" s="4" t="n"/>
      <c r="N367" s="12" t="n"/>
      <c r="O367" s="41" t="n"/>
      <c r="P367" s="4" t="inlineStr">
        <is>
          <t>Confirmed only when AI was actually evaluated/used within the stated workflow or intervention; intended use alone = Proposed only</t>
        </is>
      </c>
      <c r="Q367" s="4">
        <f>IF(COUNTIFS('ESTUDIOS'!$A$2:$A$455,$A367,'ESTUDIOS'!$I$2:$I$455,"")&gt;0,"",INDEX('ESTUDIOS'!$I$2:$I$455,MATCH($A367,'ESTUDIOS'!$A$2:$A$455,0)))</f>
        <v/>
      </c>
    </row>
    <row r="368" ht="73" customHeight="1">
      <c r="A368" s="4" t="inlineStr">
        <is>
          <t>new_134</t>
        </is>
      </c>
      <c r="B368" s="4" t="inlineStr">
        <is>
          <t>Update</t>
        </is>
      </c>
      <c r="C368" s="4" t="inlineStr">
        <is>
          <t>ASD-HybridNet: A hybrid deep learning framework for detection of autism spectrum disorder</t>
        </is>
      </c>
      <c r="D368" s="4" t="inlineStr">
        <is>
          <t>Research only</t>
        </is>
      </c>
      <c r="E368" s="4" t="inlineStr">
        <is>
          <t>Experimental rs-fMRI diagnostic classifier</t>
        </is>
      </c>
      <c r="F368" s="4" t="n"/>
      <c r="G368" s="4" t="inlineStr">
        <is>
          <t>Recorded in update; verification pending</t>
        </is>
      </c>
      <c r="H368" s="4" t="n"/>
      <c r="I368" s="4" t="inlineStr">
        <is>
          <t>ASD diagnostic classification</t>
        </is>
      </c>
      <c r="J368" s="4" t="inlineStr">
        <is>
          <t>ASD-HybridNet fuses ROI time-series and functional-connectivity representations from ABIDE-I; reported accuracy is about 71.87%. The fused inputs are representations of the same rs-fMRI source, so q3_multisource_data remains 0. ABIDE-I is multisite but no site-held-out test was identified.</t>
        </is>
      </c>
      <c r="K368" s="4" t="str"/>
      <c r="L368" s="4" t="inlineStr">
        <is>
          <t>https://doi.org/10.1016/j.mri.2025.110492</t>
        </is>
      </c>
      <c r="M368" s="4" t="n"/>
      <c r="N368" s="12" t="n"/>
      <c r="O368" s="41" t="n"/>
      <c r="P368" s="4" t="inlineStr">
        <is>
          <t>Confirmed only when AI was actually evaluated/used within the stated workflow or intervention; intended use alone = Proposed only</t>
        </is>
      </c>
      <c r="Q368" s="4">
        <f>IF(COUNTIFS('ESTUDIOS'!$A$2:$A$455,$A368,'ESTUDIOS'!$I$2:$I$455,"")&gt;0,"",INDEX('ESTUDIOS'!$I$2:$I$455,MATCH($A368,'ESTUDIOS'!$A$2:$A$455,0)))</f>
        <v/>
      </c>
    </row>
    <row r="369" ht="73" customHeight="1">
      <c r="A369" s="4" t="inlineStr">
        <is>
          <t>new_146</t>
        </is>
      </c>
      <c r="B369" s="4" t="inlineStr">
        <is>
          <t>Update</t>
        </is>
      </c>
      <c r="C369" s="4" t="inlineStr">
        <is>
          <t>Deep learning-based detection of autism spectrum disorder and emotion recognition in children</t>
        </is>
      </c>
      <c r="D369" s="4" t="inlineStr">
        <is>
          <t>Proposed only</t>
        </is>
      </c>
      <c r="E369" s="4" t="inlineStr">
        <is>
          <t>Proposed facial-image ASD screening and emotion-recognition support</t>
        </is>
      </c>
      <c r="F369" s="4" t="n"/>
      <c r="G369" s="4" t="inlineStr">
        <is>
          <t>Recorded in update; verification pending</t>
        </is>
      </c>
      <c r="H369" s="4" t="n"/>
      <c r="I369" s="4" t="inlineStr">
        <is>
          <t>ASD facial-image screening plus emotion recognition</t>
        </is>
      </c>
      <c r="J369" s="4" t="inlineStr">
        <is>
          <t>Combines deep CNN architectures for child facial ASD detection and emotion recognition on public image datasets; ASD accuracy is reported near 95%. No external clinical cohort, prospective workflow or formal XAI was identified; explainability/multimodal extensions are presented as future directions.</t>
        </is>
      </c>
      <c r="K369" s="4" t="str"/>
      <c r="L369" s="4" t="inlineStr">
        <is>
          <t>https://doi.org/10.1016/j.patcog.2025.112906</t>
        </is>
      </c>
      <c r="M369" s="4" t="n"/>
      <c r="N369" s="12" t="n"/>
      <c r="O369" s="41" t="n"/>
      <c r="P369" s="4" t="inlineStr">
        <is>
          <t>Confirmed only when AI was actually evaluated/used within the stated workflow or intervention; intended use alone = Proposed only</t>
        </is>
      </c>
      <c r="Q369" s="4">
        <f>IF(COUNTIFS('ESTUDIOS'!$A$2:$A$455,$A369,'ESTUDIOS'!$I$2:$I$455,"")&gt;0,"",INDEX('ESTUDIOS'!$I$2:$I$455,MATCH($A369,'ESTUDIOS'!$A$2:$A$455,0)))</f>
        <v/>
      </c>
    </row>
    <row r="370" ht="86" customHeight="1">
      <c r="A370" s="4" t="inlineStr">
        <is>
          <t>new_149</t>
        </is>
      </c>
      <c r="B370" s="4" t="inlineStr">
        <is>
          <t>Update</t>
        </is>
      </c>
      <c r="C370" s="4" t="inlineStr">
        <is>
          <t>A new approach in autism diagnosis: Evaluating natural interaction using point of view (POV) glasses</t>
        </is>
      </c>
      <c r="D370" s="4" t="inlineStr">
        <is>
          <t>Research only</t>
        </is>
      </c>
      <c r="E370" s="4" t="inlineStr">
        <is>
          <t>Experimental diagnostic classification during semi-structured naturalistic interaction</t>
        </is>
      </c>
      <c r="F370" s="4" t="n"/>
      <c r="G370" s="4" t="inlineStr">
        <is>
          <t>Recorded in update; verification pending</t>
        </is>
      </c>
      <c r="H370" s="4" t="n"/>
      <c r="I370" s="4" t="inlineStr">
        <is>
          <t>Early ASD diagnostic classification from naturalistic interaction</t>
        </is>
      </c>
      <c r="J370" s="4" t="inlineStr">
        <is>
          <t>Uses examiner-worn POV glasses with 29 ASD and 27 non-ASD children aged 17-36 months; CV features feed AdaBoost/decision trees, with reported AUC about 0.95. Prospective participant data were collected, but the model was not validated in an independent site/cohort or used to determine real clinical decisions during care.</t>
        </is>
      </c>
      <c r="K370" s="4" t="str"/>
      <c r="L370" s="4" t="inlineStr">
        <is>
          <t>https://doi.org/10.1016/j.ajp.2025.104798</t>
        </is>
      </c>
      <c r="M370" s="4" t="n"/>
      <c r="N370" s="12" t="n"/>
      <c r="O370" s="41" t="n"/>
      <c r="P370" s="4" t="inlineStr">
        <is>
          <t>Confirmed only when AI was actually evaluated/used within the stated workflow or intervention; intended use alone = Proposed only</t>
        </is>
      </c>
      <c r="Q370" s="4">
        <f>IF(COUNTIFS('ESTUDIOS'!$A$2:$A$455,$A370,'ESTUDIOS'!$I$2:$I$455,"")&gt;0,"",INDEX('ESTUDIOS'!$I$2:$I$455,MATCH($A370,'ESTUDIOS'!$A$2:$A$455,0)))</f>
        <v/>
      </c>
    </row>
    <row r="371" ht="99" customHeight="1">
      <c r="A371" s="4" t="inlineStr">
        <is>
          <t>new_154</t>
        </is>
      </c>
      <c r="B371" s="4" t="inlineStr">
        <is>
          <t>Update</t>
        </is>
      </c>
      <c r="C371" s="4" t="inlineStr">
        <is>
          <t>A two-step temporal data augmentation and supervised learning framework for predicting autism diagnosis at 36 months in patients with tuberous sclerosis complex</t>
        </is>
      </c>
      <c r="D371" s="4" t="inlineStr">
        <is>
          <t>Research only</t>
        </is>
      </c>
      <c r="E371" s="4" t="inlineStr">
        <is>
          <t>Prospective longitudinal ASD-risk prediction in a high-risk TSC cohort</t>
        </is>
      </c>
      <c r="F371" s="4" t="n"/>
      <c r="G371" s="4" t="inlineStr">
        <is>
          <t>Recorded in update; verification pending</t>
        </is>
      </c>
      <c r="H371" s="4" t="n"/>
      <c r="I371" s="4" t="inlineStr">
        <is>
          <t>Prediction of ASD diagnosis at 36 months in children with TSC</t>
        </is>
      </c>
      <c r="J371" s="4" t="inlineStr">
        <is>
          <t>TACERN is a prospective longitudinal multisite study; DTI plus behavioral features from 93 children predict 36-month ASD diagnosis, with regularized logistic regression AUC about 0.808-0.831. Although the cohort is multisite and prospective, the recovered evaluation uses repeated train-test procedures rather than an explicit site-held-out or independent external validation cohort.</t>
        </is>
      </c>
      <c r="K371" s="4" t="str"/>
      <c r="L371" s="4" t="inlineStr">
        <is>
          <t>https://doi.org/10.1016/j.compbiomed.2026.111719</t>
        </is>
      </c>
      <c r="M371" s="4" t="n"/>
      <c r="N371" s="12" t="n"/>
      <c r="O371" s="41" t="n"/>
      <c r="P371" s="4" t="inlineStr">
        <is>
          <t>Confirmed only when AI was actually evaluated/used within the stated workflow or intervention; intended use alone = Proposed only</t>
        </is>
      </c>
      <c r="Q371" s="4">
        <f>IF(COUNTIFS('ESTUDIOS'!$A$2:$A$455,$A371,'ESTUDIOS'!$I$2:$I$455,"")&gt;0,"",INDEX('ESTUDIOS'!$I$2:$I$455,MATCH($A371,'ESTUDIOS'!$A$2:$A$455,0)))</f>
        <v/>
      </c>
    </row>
    <row r="372" ht="86" customHeight="1">
      <c r="A372" s="4" t="inlineStr">
        <is>
          <t>new_162</t>
        </is>
      </c>
      <c r="B372" s="4" t="inlineStr">
        <is>
          <t>Update</t>
        </is>
      </c>
      <c r="C372" s="4" t="inlineStr">
        <is>
          <t>EMLF-Net: A multi-level feature fusion network based on autism EEG signals for autism spectrum disorder classification</t>
        </is>
      </c>
      <c r="D372" s="4" t="inlineStr">
        <is>
          <t>Research only</t>
        </is>
      </c>
      <c r="E372" s="4" t="inlineStr">
        <is>
          <t>Experimental EEG diagnostic classifier</t>
        </is>
      </c>
      <c r="F372" s="4" t="n"/>
      <c r="G372" s="4" t="inlineStr">
        <is>
          <t>Recorded in update; verification pending</t>
        </is>
      </c>
      <c r="H372" s="4" t="n"/>
      <c r="I372" s="4" t="inlineStr">
        <is>
          <t>EEG-based ASD classification</t>
        </is>
      </c>
      <c r="J372" s="4" t="inlineStr">
        <is>
          <t>EMLF-Net fuses time- and frequency-domain EEG features; KAU results are 99.20% subject-dependent and 92.09% subject-independent; topographic analysis shows channel importance. Single small public dataset (12 ASD, 5 TD). Topographic/channel-importance visualization was coded as partial interpretability, not formal XAI.</t>
        </is>
      </c>
      <c r="K372" s="4" t="str"/>
      <c r="L372" s="4" t="inlineStr">
        <is>
          <t>https://doi.org/10.1016/j.bspc.2025.109180</t>
        </is>
      </c>
      <c r="M372" s="4" t="n"/>
      <c r="N372" s="12" t="n"/>
      <c r="O372" s="41" t="n"/>
      <c r="P372" s="4" t="inlineStr">
        <is>
          <t>Confirmed only when AI was actually evaluated/used within the stated workflow or intervention; intended use alone = Proposed only</t>
        </is>
      </c>
      <c r="Q372" s="4">
        <f>IF(COUNTIFS('ESTUDIOS'!$A$2:$A$455,$A372,'ESTUDIOS'!$I$2:$I$455,"")&gt;0,"",INDEX('ESTUDIOS'!$I$2:$I$455,MATCH($A372,'ESTUDIOS'!$A$2:$A$455,0)))</f>
        <v/>
      </c>
    </row>
    <row r="373" ht="86" customHeight="1">
      <c r="A373" s="4" t="inlineStr">
        <is>
          <t>new_180</t>
        </is>
      </c>
      <c r="B373" s="4" t="inlineStr">
        <is>
          <t>Update</t>
        </is>
      </c>
      <c r="C373" s="4" t="inlineStr">
        <is>
          <t>The effect of spatial and intensity level augmentation of structural magnetic resonance images on autism diagnosis model</t>
        </is>
      </c>
      <c r="D373" s="4" t="inlineStr">
        <is>
          <t>Research only</t>
        </is>
      </c>
      <c r="E373" s="4" t="inlineStr">
        <is>
          <t>Experimental sMRI diagnostic classifier and augmentation study</t>
        </is>
      </c>
      <c r="F373" s="4" t="n"/>
      <c r="G373" s="4" t="inlineStr">
        <is>
          <t>Recorded in update; verification pending</t>
        </is>
      </c>
      <c r="H373" s="4" t="n"/>
      <c r="I373" s="4" t="inlineStr">
        <is>
          <t>ASD diagnostic classification from structural MRI</t>
        </is>
      </c>
      <c r="J373" s="4" t="inlineStr">
        <is>
          <t>Systematically evaluates spatial and intensity augmentation on structural MRI with ResNet34; combined augmentation improves reported AUC to 0.7433. ABIDE data are multisite, but no site-held-out cross-site evaluation was identified. The study evaluates augmentation robustness, not external clinical generalization.</t>
        </is>
      </c>
      <c r="K373" s="4" t="str"/>
      <c r="L373" s="4" t="inlineStr">
        <is>
          <t>https://doi.org/10.1016/j.ajp.2026.104830</t>
        </is>
      </c>
      <c r="M373" s="4" t="n"/>
      <c r="N373" s="12" t="n"/>
      <c r="O373" s="41" t="n"/>
      <c r="P373" s="4" t="inlineStr">
        <is>
          <t>Confirmed only when AI was actually evaluated/used within the stated workflow or intervention; intended use alone = Proposed only</t>
        </is>
      </c>
      <c r="Q373" s="4">
        <f>IF(COUNTIFS('ESTUDIOS'!$A$2:$A$455,$A373,'ESTUDIOS'!$I$2:$I$455,"")&gt;0,"",INDEX('ESTUDIOS'!$I$2:$I$455,MATCH($A373,'ESTUDIOS'!$A$2:$A$455,0)))</f>
        <v/>
      </c>
    </row>
    <row r="374" ht="86" customHeight="1">
      <c r="A374" s="4" t="inlineStr">
        <is>
          <t>new_181</t>
        </is>
      </c>
      <c r="B374" s="4" t="inlineStr">
        <is>
          <t>Update</t>
        </is>
      </c>
      <c r="C374" s="4" t="inlineStr">
        <is>
          <t>Human-centered AI for inclusive tourism: enhancing travel planning for adults with autism spectrum disorder</t>
        </is>
      </c>
      <c r="D374" s="4" t="inlineStr">
        <is>
          <t>Confirmed in intervention</t>
        </is>
      </c>
      <c r="E374" s="4" t="inlineStr">
        <is>
          <t>User-tested assistive AI trip planner for autistic adults</t>
        </is>
      </c>
      <c r="F374" s="4" t="n"/>
      <c r="G374" s="4" t="inlineStr">
        <is>
          <t>Recorded in update; verification pending</t>
        </is>
      </c>
      <c r="H374" s="4" t="n"/>
      <c r="I374" s="4" t="inlineStr">
        <is>
          <t>Personalized assistive travel planning for autistic adults</t>
        </is>
      </c>
      <c r="J374" s="4" t="inlineStr">
        <is>
          <t>CARES is a human-centered AI trip planner tested with 14 autistic adults, designed to reduce information overload while preserving user decision autonomy. The paper demonstrates an assistive user-facing intervention, not a clinical diagnostic workflow. The exact algorithm family does not map cleanly to ML/DL and is therefore left Not specified.</t>
        </is>
      </c>
      <c r="K374" s="4" t="str"/>
      <c r="L374" s="4" t="inlineStr">
        <is>
          <t>https://doi.org/10.1016/j.ijhcs.2025.103696</t>
        </is>
      </c>
      <c r="M374" s="4" t="n"/>
      <c r="N374" s="12" t="n"/>
      <c r="O374" s="41" t="n"/>
      <c r="P374" s="4" t="inlineStr">
        <is>
          <t>Confirmed only when AI was actually evaluated/used within the stated workflow or intervention; intended use alone = Proposed only</t>
        </is>
      </c>
      <c r="Q374" s="4">
        <f>IF(COUNTIFS('ESTUDIOS'!$A$2:$A$455,$A374,'ESTUDIOS'!$I$2:$I$455,"")&gt;0,"",INDEX('ESTUDIOS'!$I$2:$I$455,MATCH($A374,'ESTUDIOS'!$A$2:$A$455,0)))</f>
        <v/>
      </c>
    </row>
    <row r="375" ht="86" customHeight="1">
      <c r="A375" s="4" t="inlineStr">
        <is>
          <t>new_187</t>
        </is>
      </c>
      <c r="B375" s="4" t="inlineStr">
        <is>
          <t>Update</t>
        </is>
      </c>
      <c r="C375" s="4" t="inlineStr">
        <is>
          <t>Early Identification of Autism Spectrum Disorder using a Hybrid ViT–Mamba Multimodal Architecture</t>
        </is>
      </c>
      <c r="D375" s="4" t="inlineStr">
        <is>
          <t>Proposed only</t>
        </is>
      </c>
      <c r="E375" s="4" t="inlineStr">
        <is>
          <t>Proposed automated screening system for clinical/educational deployment; no live workflow evaluation</t>
        </is>
      </c>
      <c r="F375" s="4" t="n"/>
      <c r="G375" s="4" t="inlineStr">
        <is>
          <t>Recorded in update; verification pending</t>
        </is>
      </c>
      <c r="H375" s="4" t="n"/>
      <c r="I375" s="4" t="inlineStr">
        <is>
          <t>Early ASD screening from handwriting and behavioral questionnaire fusion</t>
        </is>
      </c>
      <c r="J375" s="4" t="inlineStr">
        <is>
          <t>Combines handwriting and behavioral questionnaire data with a Mamba-enabled multimodal architecture; reported screening accuracy is 95%. Evaluation is experimental and the article itself describes uncertain/limited datasets; no independent external cohort, prospective deployment, site-held-out robustness, or formal XAI was identified.</t>
        </is>
      </c>
      <c r="K375" s="4" t="str"/>
      <c r="L375" s="4" t="inlineStr">
        <is>
          <t>https://doi.org/10.1016/j.procs.2026.06.363</t>
        </is>
      </c>
      <c r="M375" s="4" t="n"/>
      <c r="N375" s="12" t="n"/>
      <c r="O375" s="41" t="n"/>
      <c r="P375" s="4" t="inlineStr">
        <is>
          <t>Confirmed only when AI was actually evaluated/used within the stated workflow or intervention; intended use alone = Proposed only</t>
        </is>
      </c>
      <c r="Q375" s="4">
        <f>IF(COUNTIFS('ESTUDIOS'!$A$2:$A$455,$A375,'ESTUDIOS'!$I$2:$I$455,"")&gt;0,"",INDEX('ESTUDIOS'!$I$2:$I$455,MATCH($A375,'ESTUDIOS'!$A$2:$A$455,0)))</f>
        <v/>
      </c>
    </row>
    <row r="376" ht="99" customHeight="1">
      <c r="A376" s="4" t="inlineStr">
        <is>
          <t>new_188</t>
        </is>
      </c>
      <c r="B376" s="4" t="inlineStr">
        <is>
          <t>Update</t>
        </is>
      </c>
      <c r="C376" s="4" t="inlineStr">
        <is>
          <t>Baseline symptom severity and response to multisession cathodal transcranial direct current stimulation in adolescents and young adults with autism: an exploratory analysis</t>
        </is>
      </c>
      <c r="D376" s="4" t="inlineStr">
        <is>
          <t>Research only</t>
        </is>
      </c>
      <c r="E376" s="4" t="inlineStr">
        <is>
          <t>Exploratory post hoc treatment-response stratification; model not used to allocate treatment</t>
        </is>
      </c>
      <c r="F376" s="4" t="n"/>
      <c r="G376" s="4" t="inlineStr">
        <is>
          <t>Recorded in update; verification pending</t>
        </is>
      </c>
      <c r="H376" s="4" t="n"/>
      <c r="I376" s="4" t="inlineStr">
        <is>
          <t>Prediction/stratification of tDCS treatment response</t>
        </is>
      </c>
      <c r="J376" s="4" t="inlineStr">
        <is>
          <t>Baseline ADI-R features were used to distinguish tDCS responders; SHAP linked lower verbal communication severity to greater RRB reduction and a model-derived threshold of 19.6 was reported. Exploratory analysis from a registered intervention protocol. The article explicitly calls for replication in larger independent cohorts; the exact base learner was not recoverable from the indexed text.</t>
        </is>
      </c>
      <c r="K376" s="4" t="str"/>
      <c r="L376" s="4" t="inlineStr">
        <is>
          <t>https://doi.org/10.1016/j.jpsychires.2026.03.043</t>
        </is>
      </c>
      <c r="M376" s="4" t="n"/>
      <c r="N376" s="12" t="n"/>
      <c r="O376" s="41" t="n"/>
      <c r="P376" s="4" t="inlineStr">
        <is>
          <t>Confirmed only when AI was actually evaluated/used within the stated workflow or intervention; intended use alone = Proposed only</t>
        </is>
      </c>
      <c r="Q376" s="4">
        <f>IF(COUNTIFS('ESTUDIOS'!$A$2:$A$455,$A376,'ESTUDIOS'!$I$2:$I$455,"")&gt;0,"",INDEX('ESTUDIOS'!$I$2:$I$455,MATCH($A376,'ESTUDIOS'!$A$2:$A$455,0)))</f>
        <v/>
      </c>
    </row>
    <row r="377" ht="86" customHeight="1">
      <c r="A377" s="4" t="inlineStr">
        <is>
          <t>new_190</t>
        </is>
      </c>
      <c r="B377" s="4" t="inlineStr">
        <is>
          <t>Update</t>
        </is>
      </c>
      <c r="C377" s="4" t="inlineStr">
        <is>
          <t>DenWide-Net: Dense WideresNet for autism spectrum disorder detection using MRI image</t>
        </is>
      </c>
      <c r="D377" s="4" t="inlineStr">
        <is>
          <t>Research only</t>
        </is>
      </c>
      <c r="E377" s="4" t="inlineStr">
        <is>
          <t>Experimental MRI classifier; no demonstrated clinical workflow integration</t>
        </is>
      </c>
      <c r="F377" s="4" t="n"/>
      <c r="G377" s="4" t="inlineStr">
        <is>
          <t>Recorded in update; verification pending</t>
        </is>
      </c>
      <c r="H377" s="4" t="n"/>
      <c r="I377" s="4" t="inlineStr">
        <is>
          <t>MRI-based ASD diagnostic classification</t>
        </is>
      </c>
      <c r="J377" s="4" t="inlineStr">
        <is>
          <t>Uses Acerta-ABIDE brain MRI with Wiener filtering, ROI extraction, fractional hiking optimization and Dense WideResNet; reported accuracy is about 91%. ABIDE is multisite, but no explicit site-held-out or independent external validation design was identified; no prospective clinical evaluation or formal XAI was reported.</t>
        </is>
      </c>
      <c r="K377" s="4" t="str"/>
      <c r="L377" s="4" t="inlineStr">
        <is>
          <t>https://doi.org/10.1016/j.bspc.2025.108976</t>
        </is>
      </c>
      <c r="M377" s="4" t="n"/>
      <c r="N377" s="12" t="n"/>
      <c r="O377" s="41" t="n"/>
      <c r="P377" s="4" t="inlineStr">
        <is>
          <t>Confirmed only when AI was actually evaluated/used within the stated workflow or intervention; intended use alone = Proposed only</t>
        </is>
      </c>
      <c r="Q377" s="4">
        <f>IF(COUNTIFS('ESTUDIOS'!$A$2:$A$455,$A377,'ESTUDIOS'!$I$2:$I$455,"")&gt;0,"",INDEX('ESTUDIOS'!$I$2:$I$455,MATCH($A377,'ESTUDIOS'!$A$2:$A$455,0)))</f>
        <v/>
      </c>
    </row>
    <row r="378" ht="99" customHeight="1">
      <c r="A378" s="4" t="inlineStr">
        <is>
          <t>new_199</t>
        </is>
      </c>
      <c r="B378" s="4" t="inlineStr">
        <is>
          <t>Update</t>
        </is>
      </c>
      <c r="C378" s="4" t="inlineStr">
        <is>
          <t>Artificial Intelligence for Enhancing Emotion Expression in Augmentative and Alternative Communication Systems: A Preliminary Study Including Children Both With and Without Autism.</t>
        </is>
      </c>
      <c r="D378" s="4" t="inlineStr">
        <is>
          <t>Proposed only</t>
        </is>
      </c>
      <c r="E378" s="4" t="inlineStr">
        <is>
          <t>User-tested precursor for emotion-aware AAC; not yet integrated into an active AAC system</t>
        </is>
      </c>
      <c r="F378" s="4" t="n"/>
      <c r="G378" s="4" t="inlineStr">
        <is>
          <t>Recorded in update; verification pending</t>
        </is>
      </c>
      <c r="H378" s="4" t="n"/>
      <c r="I378" s="4" t="inlineStr">
        <is>
          <t>Emotion recognition as a precursor to emotion-aware AAC support</t>
        </is>
      </c>
      <c r="J378" s="4" t="inlineStr">
        <is>
          <t>Twelve neurotypical children and four autistic children completed imitation and semispontaneous emotion tasks using DeepFace with individualized calibration; provisional accuracy and user experience were reported. Very small ASD subgroup and no active AAC users. The study is preliminary; multimodal inputs, broader populations and real-world AAC deployment remain future work.</t>
        </is>
      </c>
      <c r="K378" s="4" t="str"/>
      <c r="L378" s="4" t="inlineStr">
        <is>
          <t>https://doi.org/10.1044/2026_ajslp-25-00469</t>
        </is>
      </c>
      <c r="M378" s="4" t="n"/>
      <c r="N378" s="12" t="n"/>
      <c r="O378" s="41" t="n"/>
      <c r="P378" s="4" t="inlineStr">
        <is>
          <t>Confirmed only when AI was actually evaluated/used within the stated workflow or intervention; intended use alone = Proposed only</t>
        </is>
      </c>
      <c r="Q378" s="4">
        <f>IF(COUNTIFS('ESTUDIOS'!$A$2:$A$455,$A378,'ESTUDIOS'!$I$2:$I$455,"")&gt;0,"",INDEX('ESTUDIOS'!$I$2:$I$455,MATCH($A378,'ESTUDIOS'!$A$2:$A$455,0)))</f>
        <v/>
      </c>
    </row>
    <row r="379" ht="86" customHeight="1">
      <c r="A379" s="4" t="inlineStr">
        <is>
          <t>new_203</t>
        </is>
      </c>
      <c r="B379" s="4" t="inlineStr">
        <is>
          <t>Update</t>
        </is>
      </c>
      <c r="C379" s="4" t="inlineStr">
        <is>
          <t>Individuation of predictive parameters of posterior cranial fossa decompression in pediatric patients with Chiari I malformation and autism spectrum disorder</t>
        </is>
      </c>
      <c r="D379" s="4" t="inlineStr">
        <is>
          <t>Research only</t>
        </is>
      </c>
      <c r="E379" s="4" t="inlineStr">
        <is>
          <t>Retrospective surgical-outcome prediction; not used prospectively for clinical allocation</t>
        </is>
      </c>
      <c r="F379" s="4" t="n"/>
      <c r="G379" s="4" t="inlineStr">
        <is>
          <t>Recorded in update; verification pending</t>
        </is>
      </c>
      <c r="H379" s="4" t="n"/>
      <c r="I379" s="4" t="inlineStr">
        <is>
          <t>Prediction of postsurgical ASD symptom improvement after posterior cranial fossa decompression</t>
        </is>
      </c>
      <c r="J379" s="4" t="inlineStr">
        <is>
          <t>CT/MRI morphometry and a binary tree classifier identified tentorium angle as a potential predictor of postsurgical ASD symptom improvement in children with Chiari I malformation. Narrow comorbid pediatric population and retrospective/small-cohort design limit generalizability. The tree/cutoff is interpretable, but no external or prospective validation was identified.</t>
        </is>
      </c>
      <c r="K379" s="4" t="str"/>
      <c r="L379" s="4" t="inlineStr">
        <is>
          <t>https://doi.org/10.1007/s00381-025-07119-2</t>
        </is>
      </c>
      <c r="M379" s="4" t="n"/>
      <c r="N379" s="12" t="n"/>
      <c r="O379" s="41" t="n"/>
      <c r="P379" s="4" t="inlineStr">
        <is>
          <t>Confirmed only when AI was actually evaluated/used within the stated workflow or intervention; intended use alone = Proposed only</t>
        </is>
      </c>
      <c r="Q379" s="4">
        <f>IF(COUNTIFS('ESTUDIOS'!$A$2:$A$455,$A379,'ESTUDIOS'!$I$2:$I$455,"")&gt;0,"",INDEX('ESTUDIOS'!$I$2:$I$455,MATCH($A379,'ESTUDIOS'!$A$2:$A$455,0)))</f>
        <v/>
      </c>
    </row>
    <row r="380" ht="73" customHeight="1">
      <c r="A380" s="4" t="inlineStr">
        <is>
          <t>new_204</t>
        </is>
      </c>
      <c r="B380" s="4" t="inlineStr">
        <is>
          <t>Update</t>
        </is>
      </c>
      <c r="C380" s="4" t="inlineStr">
        <is>
          <t>An automated detection system of autism spectrum disorder using meta-heuristic approach of adaptive LSTM with bayesian learning technique</t>
        </is>
      </c>
      <c r="D380" s="4" t="inlineStr">
        <is>
          <t>Research only</t>
        </is>
      </c>
      <c r="E380" s="4" t="inlineStr">
        <is>
          <t>Experimental diagnostic classifier on public neuroimaging data</t>
        </is>
      </c>
      <c r="F380" s="4" t="n"/>
      <c r="G380" s="4" t="inlineStr">
        <is>
          <t>Recorded in update; verification pending</t>
        </is>
      </c>
      <c r="H380" s="4" t="n"/>
      <c r="I380" s="4" t="inlineStr">
        <is>
          <t>Automated ASD diagnostic classification from brain images</t>
        </is>
      </c>
      <c r="J380" s="4" t="inlineStr">
        <is>
          <t>Combines MResNet feature extraction, adaptive cascaded-attention LSTM with Bayesian learning and metaheuristic optimization on ABIDE brain images. Public multisite dataset use does not establish independent external or site-held-out validation. Attention is architectural and was not counted as formal XAI.</t>
        </is>
      </c>
      <c r="K380" s="4" t="str"/>
      <c r="L380" s="4" t="inlineStr">
        <is>
          <t>https://doi.org/10.1007/s13246-025-01681-4</t>
        </is>
      </c>
      <c r="M380" s="4" t="n"/>
      <c r="N380" s="12" t="n"/>
      <c r="O380" s="41" t="n"/>
      <c r="P380" s="4" t="inlineStr">
        <is>
          <t>Confirmed only when AI was actually evaluated/used within the stated workflow or intervention; intended use alone = Proposed only</t>
        </is>
      </c>
      <c r="Q380" s="4">
        <f>IF(COUNTIFS('ESTUDIOS'!$A$2:$A$455,$A380,'ESTUDIOS'!$I$2:$I$455,"")&gt;0,"",INDEX('ESTUDIOS'!$I$2:$I$455,MATCH($A380,'ESTUDIOS'!$A$2:$A$455,0)))</f>
        <v/>
      </c>
    </row>
    <row r="381" ht="86" customHeight="1">
      <c r="A381" s="4" t="inlineStr">
        <is>
          <t>new_208</t>
        </is>
      </c>
      <c r="B381" s="4" t="inlineStr">
        <is>
          <t>Update</t>
        </is>
      </c>
      <c r="C381" s="4" t="inlineStr">
        <is>
          <t>ADBrainNet: a deep neural network for Autism Spectrum Disorder (ASD) and Attention Deficit and Hyperactivity Disorder (ADHD) classification using resting-state fMRI images based on explainable artificial intelligence.</t>
        </is>
      </c>
      <c r="D381" s="4" t="inlineStr">
        <is>
          <t>Research only</t>
        </is>
      </c>
      <c r="E381" s="4" t="inlineStr">
        <is>
          <t>Research classifier; potential patient assessment only after further validation</t>
        </is>
      </c>
      <c r="F381" s="4" t="n"/>
      <c r="G381" s="4" t="inlineStr">
        <is>
          <t>Recorded in update; verification pending</t>
        </is>
      </c>
      <c r="H381" s="4" t="n"/>
      <c r="I381" s="4" t="inlineStr">
        <is>
          <t>Differential classification of ASD, ADHD subtypes and neurotypical controls</t>
        </is>
      </c>
      <c r="J381" s="4" t="inlineStr">
        <is>
          <t>ADBrainNet uses rs-fMRI from ABIDE and ADHD-200 and reports an independent external testing set; LIME was used to identify influential features. The abstract describes the external test together with five-fold cross-validation, so the exact independence of the external evaluation should be checked manually. No explicit site-held-out robustness analysis was identified.</t>
        </is>
      </c>
      <c r="K381" s="4" t="str"/>
      <c r="L381" s="4" t="inlineStr">
        <is>
          <t>https://doi.org/10.1007/s11517-026-03530-2</t>
        </is>
      </c>
      <c r="M381" s="4" t="n"/>
      <c r="N381" s="12" t="n"/>
      <c r="O381" s="41" t="n"/>
      <c r="P381" s="4" t="inlineStr">
        <is>
          <t>Confirmed only when AI was actually evaluated/used within the stated workflow or intervention; intended use alone = Proposed only</t>
        </is>
      </c>
      <c r="Q381" s="4">
        <f>IF(COUNTIFS('ESTUDIOS'!$A$2:$A$455,$A381,'ESTUDIOS'!$I$2:$I$455,"")&gt;0,"",INDEX('ESTUDIOS'!$I$2:$I$455,MATCH($A381,'ESTUDIOS'!$A$2:$A$455,0)))</f>
        <v/>
      </c>
    </row>
    <row r="382" ht="86" customHeight="1">
      <c r="A382" s="4" t="inlineStr">
        <is>
          <t>new_209</t>
        </is>
      </c>
      <c r="B382" s="4" t="inlineStr">
        <is>
          <t>Update</t>
        </is>
      </c>
      <c r="C382" s="4" t="inlineStr">
        <is>
          <t>Integrating EEG microstate dynamics in a stacked ensemble for neurodiagnostic ASD assessment</t>
        </is>
      </c>
      <c r="D382" s="4" t="inlineStr">
        <is>
          <t>Research only</t>
        </is>
      </c>
      <c r="E382" s="4" t="inlineStr">
        <is>
          <t>Experimental EEG diagnostic classifier</t>
        </is>
      </c>
      <c r="F382" s="4" t="n"/>
      <c r="G382" s="4" t="inlineStr">
        <is>
          <t>Recorded in update; verification pending</t>
        </is>
      </c>
      <c r="H382" s="4" t="n"/>
      <c r="I382" s="4" t="inlineStr">
        <is>
          <t>EEG-based ASD diagnostic classification</t>
        </is>
      </c>
      <c r="J382" s="4" t="inlineStr">
        <is>
          <t>A stacked Random Forest ensemble integrates spectral/connectivity/complexity features with microstate and HMM dynamics, reaching 96.3% accuracy under GroupKFold validation. Validation is internal GroupKFold; no independent external cohort, multisite/site-held-out robustness, prospective evaluation, or formal XAI was identified.</t>
        </is>
      </c>
      <c r="K382" s="4" t="str"/>
      <c r="L382" s="4" t="inlineStr">
        <is>
          <t>https://doi.org/10.1016/j.bbr.2026.116220</t>
        </is>
      </c>
      <c r="M382" s="4" t="n"/>
      <c r="N382" s="12" t="n"/>
      <c r="O382" s="41" t="n"/>
      <c r="P382" s="4" t="inlineStr">
        <is>
          <t>Confirmed only when AI was actually evaluated/used within the stated workflow or intervention; intended use alone = Proposed only</t>
        </is>
      </c>
      <c r="Q382" s="4">
        <f>IF(COUNTIFS('ESTUDIOS'!$A$2:$A$455,$A382,'ESTUDIOS'!$I$2:$I$455,"")&gt;0,"",INDEX('ESTUDIOS'!$I$2:$I$455,MATCH($A382,'ESTUDIOS'!$A$2:$A$455,0)))</f>
        <v/>
      </c>
    </row>
    <row r="383" ht="86" customHeight="1">
      <c r="A383" s="4" t="inlineStr">
        <is>
          <t>new_213</t>
        </is>
      </c>
      <c r="B383" s="4" t="inlineStr">
        <is>
          <t>Update</t>
        </is>
      </c>
      <c r="C383" s="4" t="inlineStr">
        <is>
          <t>Identifying autism spectrum disorder diagnosis in children via temporal-frequency hyperdimensional computing with resting-state EEG</t>
        </is>
      </c>
      <c r="D383" s="4" t="inlineStr">
        <is>
          <t>Research only</t>
        </is>
      </c>
      <c r="E383" s="4" t="inlineStr">
        <is>
          <t>Experimental neurodiagnostic classifier</t>
        </is>
      </c>
      <c r="F383" s="4" t="n"/>
      <c r="G383" s="4" t="inlineStr">
        <is>
          <t>Recorded in update; verification pending</t>
        </is>
      </c>
      <c r="H383" s="4" t="n"/>
      <c r="I383" s="4" t="inlineStr">
        <is>
          <t>EEG-based ASD diagnostic classification</t>
        </is>
      </c>
      <c r="J383" s="4" t="inlineStr">
        <is>
          <t>TF-HDC classifies resting-state EEG from 120 age-matched male participants (60 ASD, 60 TD) and reports about 90.9% accuracy while benchmarking conventional ML/DL models. Small single-cohort evaluation with no independent external dataset, site-held-out test, prospective clinical workflow, or formal XAI identified.</t>
        </is>
      </c>
      <c r="K383" s="4" t="str"/>
      <c r="L383" s="4" t="inlineStr">
        <is>
          <t>https://doi.org/10.1016/j.eswa.2025.130671</t>
        </is>
      </c>
      <c r="M383" s="4" t="n"/>
      <c r="N383" s="12" t="n"/>
      <c r="O383" s="41" t="n"/>
      <c r="P383" s="4" t="inlineStr">
        <is>
          <t>Confirmed only when AI was actually evaluated/used within the stated workflow or intervention; intended use alone = Proposed only</t>
        </is>
      </c>
      <c r="Q383" s="4">
        <f>IF(COUNTIFS('ESTUDIOS'!$A$2:$A$455,$A383,'ESTUDIOS'!$I$2:$I$455,"")&gt;0,"",INDEX('ESTUDIOS'!$I$2:$I$455,MATCH($A383,'ESTUDIOS'!$A$2:$A$455,0)))</f>
        <v/>
      </c>
    </row>
    <row r="384" ht="99" customHeight="1">
      <c r="A384" s="4" t="inlineStr">
        <is>
          <t>new_215</t>
        </is>
      </c>
      <c r="B384" s="4" t="inlineStr">
        <is>
          <t>Update</t>
        </is>
      </c>
      <c r="C384" s="4" t="inlineStr">
        <is>
          <t>Integrated transcriptomic and clinical analysis of autism spectrum disorder reveals structured heterogeneity and links Methyl-CpG Binding Domain Protein 2 expression with symptom severity</t>
        </is>
      </c>
      <c r="D384" s="4" t="inlineStr">
        <is>
          <t>Research only</t>
        </is>
      </c>
      <c r="E384" s="4" t="inlineStr">
        <is>
          <t>Within-cohort screening and stratification research; not deployed in a clinical workflow</t>
        </is>
      </c>
      <c r="F384" s="4" t="n"/>
      <c r="G384" s="4" t="inlineStr">
        <is>
          <t>Recorded in update; verification pending</t>
        </is>
      </c>
      <c r="H384" s="4" t="n"/>
      <c r="I384" s="4" t="inlineStr">
        <is>
          <t>ASD screening and molecular/phenotypic stratification</t>
        </is>
      </c>
      <c r="J384" s="4" t="inlineStr">
        <is>
          <t>Transcriptomic profiling (150 ASD/70 TD) and clinical data (200 ASD/110 TD) were analyzed with clustering, integrative modeling and clinical ML; a 17-transcript panel showed discriminative performance. Screening performance is explicitly within-cohort and no external/site-held-out validation was reported in the accessible text. Molecular clusters only partially corresponded to clinical phenotype.</t>
        </is>
      </c>
      <c r="K384" s="4" t="str"/>
      <c r="L384" s="4" t="inlineStr">
        <is>
          <t>https://doi.org/10.1111/pcn.70065</t>
        </is>
      </c>
      <c r="M384" s="4" t="n"/>
      <c r="N384" s="12" t="n"/>
      <c r="O384" s="41" t="n"/>
      <c r="P384" s="4" t="inlineStr">
        <is>
          <t>Confirmed only when AI was actually evaluated/used within the stated workflow or intervention; intended use alone = Proposed only</t>
        </is>
      </c>
      <c r="Q384" s="4">
        <f>IF(COUNTIFS('ESTUDIOS'!$A$2:$A$455,$A384,'ESTUDIOS'!$I$2:$I$455,"")&gt;0,"",INDEX('ESTUDIOS'!$I$2:$I$455,MATCH($A384,'ESTUDIOS'!$A$2:$A$455,0)))</f>
        <v/>
      </c>
    </row>
    <row r="385" ht="86" customHeight="1">
      <c r="A385" s="4" t="inlineStr">
        <is>
          <t>new_218</t>
        </is>
      </c>
      <c r="B385" s="4" t="inlineStr">
        <is>
          <t>Update</t>
        </is>
      </c>
      <c r="C385" s="4" t="inlineStr">
        <is>
          <t>A Robust Computational Framework for Autism Spectrum Disorder Identification Using Optimized Image Processing and Hybrid Learning Models</t>
        </is>
      </c>
      <c r="D385" s="4" t="inlineStr">
        <is>
          <t>Proposed only</t>
        </is>
      </c>
      <c r="E385" s="4" t="inlineStr">
        <is>
          <t>Proposed computational screening/identification framework; no real workflow deployment</t>
        </is>
      </c>
      <c r="F385" s="4" t="n"/>
      <c r="G385" s="4" t="inlineStr">
        <is>
          <t>Recorded in update; verification pending</t>
        </is>
      </c>
      <c r="H385" s="4" t="n"/>
      <c r="I385" s="4" t="inlineStr">
        <is>
          <t>ASD identification / early detection across public datasets</t>
        </is>
      </c>
      <c r="J385" s="4" t="inlineStr">
        <is>
          <t>The hybrid pipeline was tested on AID, structured ASD screening data and ABIDE and reports very high performance (accuracy 99.95%). The accessible report does not establish a fixed development-versus-independent-external design or cross-site evaluation. Heterogeneous public datasets are evaluated, but explicit multisource fusion is not demonstrated.</t>
        </is>
      </c>
      <c r="K385" s="4" t="str"/>
      <c r="L385" s="4" t="inlineStr">
        <is>
          <t>https://doi.org/10.1002/dneu.70028</t>
        </is>
      </c>
      <c r="M385" s="4" t="n"/>
      <c r="N385" s="12" t="n"/>
      <c r="O385" s="41" t="n"/>
      <c r="P385" s="4" t="inlineStr">
        <is>
          <t>Confirmed only when AI was actually evaluated/used within the stated workflow or intervention; intended use alone = Proposed only</t>
        </is>
      </c>
      <c r="Q385" s="4">
        <f>IF(COUNTIFS('ESTUDIOS'!$A$2:$A$455,$A385,'ESTUDIOS'!$I$2:$I$455,"")&gt;0,"",INDEX('ESTUDIOS'!$I$2:$I$455,MATCH($A385,'ESTUDIOS'!$A$2:$A$455,0)))</f>
        <v/>
      </c>
    </row>
    <row r="386" ht="86" customHeight="1">
      <c r="A386" s="4" t="inlineStr">
        <is>
          <t>new_222</t>
        </is>
      </c>
      <c r="B386" s="4" t="inlineStr">
        <is>
          <t>Update</t>
        </is>
      </c>
      <c r="C386" s="4" t="inlineStr">
        <is>
          <t>Adaptive network based fuzzy inference system efficientnet for autism spectrum disorder detection with optimization based pivotal region extraction</t>
        </is>
      </c>
      <c r="D386" s="4" t="inlineStr">
        <is>
          <t>Research only</t>
        </is>
      </c>
      <c r="E386" s="4" t="inlineStr">
        <is>
          <t>Experimental neuroimaging diagnostic classifier</t>
        </is>
      </c>
      <c r="F386" s="4" t="n"/>
      <c r="G386" s="4" t="inlineStr">
        <is>
          <t>Recorded in update; verification pending</t>
        </is>
      </c>
      <c r="H386" s="4" t="n"/>
      <c r="I386" s="4" t="inlineStr">
        <is>
          <t>ASD diagnostic classification from brain imaging</t>
        </is>
      </c>
      <c r="J386" s="4" t="inlineStr">
        <is>
          <t>ANFIS-EffNet combines fuzzy inference and EfficientNet with optimization-based pivotal-region extraction; reported accuracy is about 93.2% on ABIDE-related imaging. ABIDE-I/II use was treated as multisite evidence only; no explicit train-on-one/test-on-another or site-held-out robustness design was identified. Pivotal-region extraction was not counted as formal XAI.</t>
        </is>
      </c>
      <c r="K386" s="4" t="str"/>
      <c r="L386" s="4" t="inlineStr">
        <is>
          <t>https://doi.org/10.1016/j.pscychresns.2025.112109</t>
        </is>
      </c>
      <c r="M386" s="4" t="n"/>
      <c r="N386" s="12" t="n"/>
      <c r="O386" s="41" t="n"/>
      <c r="P386" s="4" t="inlineStr">
        <is>
          <t>Confirmed only when AI was actually evaluated/used within the stated workflow or intervention; intended use alone = Proposed only</t>
        </is>
      </c>
      <c r="Q386" s="4">
        <f>IF(COUNTIFS('ESTUDIOS'!$A$2:$A$455,$A386,'ESTUDIOS'!$I$2:$I$455,"")&gt;0,"",INDEX('ESTUDIOS'!$I$2:$I$455,MATCH($A386,'ESTUDIOS'!$A$2:$A$455,0)))</f>
        <v/>
      </c>
    </row>
    <row r="387" ht="86" customHeight="1">
      <c r="A387" s="4" t="inlineStr">
        <is>
          <t>new_223</t>
        </is>
      </c>
      <c r="B387" s="4" t="inlineStr">
        <is>
          <t>Update</t>
        </is>
      </c>
      <c r="C387" s="4" t="inlineStr">
        <is>
          <t>Identification of Autism Through Fractal Analysis of EEG Signals and Bayesian Optimized Artificial Neural Network</t>
        </is>
      </c>
      <c r="D387" s="4" t="inlineStr">
        <is>
          <t>Research only</t>
        </is>
      </c>
      <c r="E387" s="4" t="inlineStr">
        <is>
          <t>Experimental EEG diagnostic classifier</t>
        </is>
      </c>
      <c r="F387" s="4" t="n"/>
      <c r="G387" s="4" t="inlineStr">
        <is>
          <t>Recorded in update; verification pending</t>
        </is>
      </c>
      <c r="H387" s="4" t="n"/>
      <c r="I387" s="4" t="inlineStr">
        <is>
          <t>EEG-based ASD diagnostic classification</t>
        </is>
      </c>
      <c r="J387" s="4" t="inlineStr">
        <is>
          <t>Five fractal-dimension measures from 16 EEG channels feed several classifiers; BO-ANN reached 97.38% accuracy and XGBoost feature importance identified influential channels/features. Small sample (29 ASD, 30 TD) and no independent external/site-held-out validation. Feature importance supports XAI coding but does not establish clinical interpretability or utility.</t>
        </is>
      </c>
      <c r="K387" s="4" t="str"/>
      <c r="L387" s="4" t="inlineStr">
        <is>
          <t>https://doi.org/10.1002/ima.70326</t>
        </is>
      </c>
      <c r="M387" s="4" t="n"/>
      <c r="N387" s="12" t="n"/>
      <c r="O387" s="41" t="n"/>
      <c r="P387" s="4" t="inlineStr">
        <is>
          <t>Confirmed only when AI was actually evaluated/used within the stated workflow or intervention; intended use alone = Proposed only</t>
        </is>
      </c>
      <c r="Q387" s="4">
        <f>IF(COUNTIFS('ESTUDIOS'!$A$2:$A$455,$A387,'ESTUDIOS'!$I$2:$I$455,"")&gt;0,"",INDEX('ESTUDIOS'!$I$2:$I$455,MATCH($A387,'ESTUDIOS'!$A$2:$A$455,0)))</f>
        <v/>
      </c>
    </row>
    <row r="388" ht="86" customHeight="1">
      <c r="A388" s="4" t="inlineStr">
        <is>
          <t>new_231</t>
        </is>
      </c>
      <c r="B388" s="4" t="inlineStr">
        <is>
          <t>Update</t>
        </is>
      </c>
      <c r="C388" s="4" t="inlineStr">
        <is>
          <t>Linguistic Explanations of Deep Models in Detecting Autism and Schizophrenia</t>
        </is>
      </c>
      <c r="D388" s="4" t="inlineStr">
        <is>
          <t>Research only</t>
        </is>
      </c>
      <c r="E388" s="4" t="inlineStr">
        <is>
          <t>Research detection/explanation framework; not evaluated in a live diagnostic workflow</t>
        </is>
      </c>
      <c r="F388" s="4" t="n"/>
      <c r="G388" s="4" t="inlineStr">
        <is>
          <t>Recorded in update; verification pending</t>
        </is>
      </c>
      <c r="H388" s="4" t="n"/>
      <c r="I388" s="4" t="inlineStr">
        <is>
          <t>Text-based detection of autism and schizophrenia with linguistic explanation</t>
        </is>
      </c>
      <c r="J388" s="4" t="inlineStr">
        <is>
          <t>Integrated Gradients token attributions from HerBERT are mapped to syntactic and psycholinguistic variables and linked to feature importance and selected clinical tests. The indexed text does not expose the full sampling/validation design or evidence of independent external testing; data are restricted and available on request.</t>
        </is>
      </c>
      <c r="K388" s="4" t="str"/>
      <c r="L388" s="4" t="inlineStr">
        <is>
          <t>https://doi.org/10.1111/coin.70158</t>
        </is>
      </c>
      <c r="M388" s="4" t="n"/>
      <c r="N388" s="12" t="n"/>
      <c r="O388" s="41" t="n"/>
      <c r="P388" s="4" t="inlineStr">
        <is>
          <t>Confirmed only when AI was actually evaluated/used within the stated workflow or intervention; intended use alone = Proposed only</t>
        </is>
      </c>
      <c r="Q388" s="4">
        <f>IF(COUNTIFS('ESTUDIOS'!$A$2:$A$455,$A388,'ESTUDIOS'!$I$2:$I$455,"")&gt;0,"",INDEX('ESTUDIOS'!$I$2:$I$455,MATCH($A388,'ESTUDIOS'!$A$2:$A$455,0)))</f>
        <v/>
      </c>
    </row>
    <row r="389" ht="73" customHeight="1">
      <c r="A389" s="4" t="inlineStr">
        <is>
          <t>new_233</t>
        </is>
      </c>
      <c r="B389" s="4" t="inlineStr">
        <is>
          <t>Update</t>
        </is>
      </c>
      <c r="C389" s="4" t="inlineStr">
        <is>
          <t>Autism Screening Based on Deep Learning Analysis of Eye Movement Trajectories</t>
        </is>
      </c>
      <c r="D389" s="4" t="inlineStr">
        <is>
          <t>Proposed only</t>
        </is>
      </c>
      <c r="E389" s="4" t="inlineStr">
        <is>
          <t>Proposed screening framework evaluated on public eye-tracking datasets</t>
        </is>
      </c>
      <c r="F389" s="4" t="n"/>
      <c r="G389" s="4" t="inlineStr">
        <is>
          <t>Recorded in update; verification pending</t>
        </is>
      </c>
      <c r="H389" s="4" t="n"/>
      <c r="I389" s="4" t="inlineStr">
        <is>
          <t>Eye-tracking based ASD screening</t>
        </is>
      </c>
      <c r="J389" s="4" t="inlineStr">
        <is>
          <t>ET-ASDNet analyzes eye-movement trajectories and reports 85.19% and 72.67% accuracy on two public datasets. Use of two public datasets does not by itself establish external validation unless a fixed development/external design is shown. Attention/fusion modules were not counted as formal XAI.</t>
        </is>
      </c>
      <c r="K389" s="4" t="str"/>
      <c r="L389" s="4" t="inlineStr">
        <is>
          <t>https://doi.org/10.1049/cvi2.70078</t>
        </is>
      </c>
      <c r="M389" s="4" t="n"/>
      <c r="N389" s="12" t="n"/>
      <c r="O389" s="41" t="n"/>
      <c r="P389" s="4" t="inlineStr">
        <is>
          <t>Confirmed only when AI was actually evaluated/used within the stated workflow or intervention; intended use alone = Proposed only</t>
        </is>
      </c>
      <c r="Q389" s="4">
        <f>IF(COUNTIFS('ESTUDIOS'!$A$2:$A$455,$A389,'ESTUDIOS'!$I$2:$I$455,"")&gt;0,"",INDEX('ESTUDIOS'!$I$2:$I$455,MATCH($A389,'ESTUDIOS'!$A$2:$A$455,0)))</f>
        <v/>
      </c>
    </row>
    <row r="390" ht="86" customHeight="1">
      <c r="A390" s="4" t="inlineStr">
        <is>
          <t>new_235</t>
        </is>
      </c>
      <c r="B390" s="4" t="inlineStr">
        <is>
          <t>Update</t>
        </is>
      </c>
      <c r="C390" s="4" t="inlineStr">
        <is>
          <t>Automatic measurement of social gaze during naturalistic conversations in autism</t>
        </is>
      </c>
      <c r="D390" s="4" t="inlineStr">
        <is>
          <t>Research only</t>
        </is>
      </c>
      <c r="E390" s="4" t="inlineStr">
        <is>
          <t>Research measurement/classification framework; potential tracking use not yet clinically deployed</t>
        </is>
      </c>
      <c r="F390" s="4" t="n"/>
      <c r="G390" s="4" t="inlineStr">
        <is>
          <t>Recorded in update; verification pending</t>
        </is>
      </c>
      <c r="H390" s="4" t="n"/>
      <c r="I390" s="4" t="inlineStr">
        <is>
          <t>Automatic social-gaze measurement and ASD-vs-neurotypical classification</t>
        </is>
      </c>
      <c r="J390" s="4" t="inlineStr">
        <is>
          <t>Videos from 46 autistic and 36 neurotypical participants were used to train an automatic gaze detector; granular gaze features correlated with ADOS-2 Social Affect and classified ASD vs NT at 73%. Cross-validation is internal and no independent cohort/site test was reported. Human-defined gaze features are interpretable, but no formal post-hoc XAI method was used.</t>
        </is>
      </c>
      <c r="K390" s="4" t="str"/>
      <c r="L390" s="4" t="inlineStr">
        <is>
          <t>https://doi.org/10.1016/j.jpsychires.2026.05.015</t>
        </is>
      </c>
      <c r="M390" s="4" t="n"/>
      <c r="N390" s="12" t="n"/>
      <c r="O390" s="41" t="n"/>
      <c r="P390" s="4" t="inlineStr">
        <is>
          <t>Confirmed only when AI was actually evaluated/used within the stated workflow or intervention; intended use alone = Proposed only</t>
        </is>
      </c>
      <c r="Q390" s="4">
        <f>IF(COUNTIFS('ESTUDIOS'!$A$2:$A$455,$A390,'ESTUDIOS'!$I$2:$I$455,"")&gt;0,"",INDEX('ESTUDIOS'!$I$2:$I$455,MATCH($A390,'ESTUDIOS'!$A$2:$A$455,0)))</f>
        <v/>
      </c>
    </row>
    <row r="391" ht="86" customHeight="1">
      <c r="A391" s="4" t="inlineStr">
        <is>
          <t>new_236</t>
        </is>
      </c>
      <c r="B391" s="4" t="inlineStr">
        <is>
          <t>Update</t>
        </is>
      </c>
      <c r="C391" s="4" t="inlineStr">
        <is>
          <t>An image-based analytics framework for early autism detection using eye movements</t>
        </is>
      </c>
      <c r="D391" s="4" t="inlineStr">
        <is>
          <t>Proposed only</t>
        </is>
      </c>
      <c r="E391" s="4" t="inlineStr">
        <is>
          <t>Proposed mobile-compatible screening framework; not prospectively deployed</t>
        </is>
      </c>
      <c r="F391" s="4" t="n"/>
      <c r="G391" s="4" t="inlineStr">
        <is>
          <t>Recorded in update; verification pending</t>
        </is>
      </c>
      <c r="H391" s="4" t="n"/>
      <c r="I391" s="4" t="inlineStr">
        <is>
          <t>Early ASD behavioral screening from eye movements</t>
        </is>
      </c>
      <c r="J391" s="4" t="inlineStr">
        <is>
          <t>GazeScan converts gaze trajectories into grayscale scanpath images and uses a lightweight CNN; five-fold CV on ETSP reports 97.01% accuracy and AUC 0.98. Public single-dataset internal cross-validation only; no independent external cohort, multisite robustness, prospective clinical evaluation, or formal XAI identified.</t>
        </is>
      </c>
      <c r="K391" s="4" t="str"/>
      <c r="L391" s="4" t="inlineStr">
        <is>
          <t>https://doi.org/10.1016/j.health.2025.100439</t>
        </is>
      </c>
      <c r="M391" s="4" t="n"/>
      <c r="N391" s="12" t="n"/>
      <c r="O391" s="41" t="n"/>
      <c r="P391" s="4" t="inlineStr">
        <is>
          <t>Confirmed only when AI was actually evaluated/used within the stated workflow or intervention; intended use alone = Proposed only</t>
        </is>
      </c>
      <c r="Q391" s="4">
        <f>IF(COUNTIFS('ESTUDIOS'!$A$2:$A$455,$A391,'ESTUDIOS'!$I$2:$I$455,"")&gt;0,"",INDEX('ESTUDIOS'!$I$2:$I$455,MATCH($A391,'ESTUDIOS'!$A$2:$A$455,0)))</f>
        <v/>
      </c>
    </row>
    <row r="392" ht="86" customHeight="1">
      <c r="A392" s="4" t="inlineStr">
        <is>
          <t>new_242</t>
        </is>
      </c>
      <c r="B392" s="4" t="inlineStr">
        <is>
          <t>Update</t>
        </is>
      </c>
      <c r="C392" s="4" t="inlineStr">
        <is>
          <t>Neurophysiological EEG Characterization of Autism Spectrum Disorder Using DWT-Based Frequency Analysis With Selective Electrodes and Brain Segmentation: An Explainable AI-Driven Approach</t>
        </is>
      </c>
      <c r="D392" s="4" t="inlineStr">
        <is>
          <t>Research only</t>
        </is>
      </c>
      <c r="E392" s="4" t="inlineStr">
        <is>
          <t>Preliminary neurophysiological diagnostic classifier</t>
        </is>
      </c>
      <c r="F392" s="4" t="n"/>
      <c r="G392" s="4" t="inlineStr">
        <is>
          <t>Recorded in update; verification pending</t>
        </is>
      </c>
      <c r="H392" s="4" t="n"/>
      <c r="I392" s="4" t="inlineStr">
        <is>
          <t>EEG-based ASD diagnostic classification</t>
        </is>
      </c>
      <c r="J392" s="4" t="inlineStr">
        <is>
          <t>DWT features from 15 EEG electrodes were benchmarked across 21 models; Logistic Regression performed best at 88.57% accuracy, and explainability identified delta/theta power as key features. Preliminary small-cohort study with internal validation; the authors explicitly state that larger independent cohorts are needed.</t>
        </is>
      </c>
      <c r="K392" s="4" t="str"/>
      <c r="L392" s="4" t="inlineStr">
        <is>
          <t>https://doi.org/10.1096/fj.202600019r</t>
        </is>
      </c>
      <c r="M392" s="4" t="n"/>
      <c r="N392" s="12" t="n"/>
      <c r="O392" s="41" t="n"/>
      <c r="P392" s="4" t="inlineStr">
        <is>
          <t>Confirmed only when AI was actually evaluated/used within the stated workflow or intervention; intended use alone = Proposed only</t>
        </is>
      </c>
      <c r="Q392" s="4">
        <f>IF(COUNTIFS('ESTUDIOS'!$A$2:$A$455,$A392,'ESTUDIOS'!$I$2:$I$455,"")&gt;0,"",INDEX('ESTUDIOS'!$I$2:$I$455,MATCH($A392,'ESTUDIOS'!$A$2:$A$455,0)))</f>
        <v/>
      </c>
    </row>
    <row r="393" ht="86" customHeight="1">
      <c r="A393" s="4" t="inlineStr">
        <is>
          <t>new_244</t>
        </is>
      </c>
      <c r="B393" s="4" t="inlineStr">
        <is>
          <t>Update</t>
        </is>
      </c>
      <c r="C393" s="4" t="inlineStr">
        <is>
          <t>DHCA-Net: A Novel Dual-Stream Hierarchical Channel Attention Network for Explainable Autism Spectrum Disorder Detection From Facial Images</t>
        </is>
      </c>
      <c r="D393" s="4" t="inlineStr">
        <is>
          <t>Proposed only</t>
        </is>
      </c>
      <c r="E393" s="4" t="inlineStr">
        <is>
          <t>Proposed scalable screening framework; no real clinical workflow evaluation</t>
        </is>
      </c>
      <c r="F393" s="4" t="n"/>
      <c r="G393" s="4" t="inlineStr">
        <is>
          <t>Recorded in update; verification pending</t>
        </is>
      </c>
      <c r="H393" s="4" t="n"/>
      <c r="I393" s="4" t="inlineStr">
        <is>
          <t>Facial-image ASD screening</t>
        </is>
      </c>
      <c r="J393" s="4" t="inlineStr">
        <is>
          <t>DHCA-Net was tested on 2,936 facial images using train/test/validation splits and achieved 93.7% accuracy, F1 0.9365 and AUC 0.9887. Despite the word explainable in the title, the accessible report describes attention mechanisms but no explicit explanation method/output satisfying strict XAI criteria. Broader demographic generalization remains future work.</t>
        </is>
      </c>
      <c r="K393" s="4" t="str"/>
      <c r="L393" s="4" t="inlineStr">
        <is>
          <t>https://doi.org/10.1002/jdn.70158</t>
        </is>
      </c>
      <c r="M393" s="4" t="n"/>
      <c r="N393" s="12" t="n"/>
      <c r="O393" s="41" t="n"/>
      <c r="P393" s="4" t="inlineStr">
        <is>
          <t>Confirmed only when AI was actually evaluated/used within the stated workflow or intervention; intended use alone = Proposed only</t>
        </is>
      </c>
      <c r="Q393" s="4">
        <f>IF(COUNTIFS('ESTUDIOS'!$A$2:$A$455,$A393,'ESTUDIOS'!$I$2:$I$455,"")&gt;0,"",INDEX('ESTUDIOS'!$I$2:$I$455,MATCH($A393,'ESTUDIOS'!$A$2:$A$455,0)))</f>
        <v/>
      </c>
    </row>
    <row r="394" ht="73" customHeight="1">
      <c r="A394" s="4" t="inlineStr">
        <is>
          <t>new_246</t>
        </is>
      </c>
      <c r="B394" s="4" t="inlineStr">
        <is>
          <t>Update</t>
        </is>
      </c>
      <c r="C394" s="4" t="inlineStr">
        <is>
          <t>MTT: Multi-Tier Transformer for Early Diagnosis of Autism Spectrum Disorder and Language Disorder in Infants</t>
        </is>
      </c>
      <c r="D394" s="4" t="inlineStr">
        <is>
          <t>Proposed only</t>
        </is>
      </c>
      <c r="E394" s="4" t="inlineStr">
        <is>
          <t>Proposed auxiliary diagnostic model; not evaluated in a live clinical workflow</t>
        </is>
      </c>
      <c r="F394" s="4" t="n"/>
      <c r="G394" s="4" t="inlineStr">
        <is>
          <t>Recorded in update; verification pending</t>
        </is>
      </c>
      <c r="H394" s="4" t="n"/>
      <c r="I394" s="4" t="inlineStr">
        <is>
          <t>Auxiliary early diagnosis of ASD and developmental language/reading disorder</t>
        </is>
      </c>
      <c r="J394" s="4" t="inlineStr">
        <is>
          <t>MTT uses resting-state infant EEG baseline power, SMOTE, transfer learning and feature/self/cross-attention; reported accuracy is 0.91 and AUC 0.97. No independent external/site-held-out evaluation is identified. Interpretability is attention-based only, so it was coded as partial rather than strict XAI.</t>
        </is>
      </c>
      <c r="K394" s="4" t="str"/>
      <c r="L394" s="4" t="inlineStr">
        <is>
          <t>https://doi.org/10.1111/coin.70131</t>
        </is>
      </c>
      <c r="M394" s="4" t="n"/>
      <c r="N394" s="12" t="n"/>
      <c r="O394" s="41" t="n"/>
      <c r="P394" s="4" t="inlineStr">
        <is>
          <t>Confirmed only when AI was actually evaluated/used within the stated workflow or intervention; intended use alone = Proposed only</t>
        </is>
      </c>
      <c r="Q394" s="4">
        <f>IF(COUNTIFS('ESTUDIOS'!$A$2:$A$455,$A394,'ESTUDIOS'!$I$2:$I$455,"")&gt;0,"",INDEX('ESTUDIOS'!$I$2:$I$455,MATCH($A394,'ESTUDIOS'!$A$2:$A$455,0)))</f>
        <v/>
      </c>
    </row>
    <row r="395" ht="99" customHeight="1">
      <c r="A395" s="4" t="inlineStr">
        <is>
          <t>new_248</t>
        </is>
      </c>
      <c r="B395" s="4" t="inlineStr">
        <is>
          <t>Update</t>
        </is>
      </c>
      <c r="C395" s="4" t="inlineStr">
        <is>
          <t>Optimized quadrangle attention consolidated convolutional multi-scale vision transformer based autism detection</t>
        </is>
      </c>
      <c r="D395" s="4" t="inlineStr">
        <is>
          <t>Proposed only</t>
        </is>
      </c>
      <c r="E395" s="4" t="inlineStr">
        <is>
          <t>Proposed facial-image diagnostic classifier; no live clinical workflow evaluation</t>
        </is>
      </c>
      <c r="F395" s="4" t="n"/>
      <c r="G395" s="4" t="inlineStr">
        <is>
          <t>Recorded in update; verification pending</t>
        </is>
      </c>
      <c r="H395" s="4" t="n"/>
      <c r="I395" s="4" t="inlineStr">
        <is>
          <t>ASD facial-image classification / detection</t>
        </is>
      </c>
      <c r="J395" s="4" t="inlineStr">
        <is>
          <t>Uses two facial-image datasets, AMGF preprocessing, GAN augmentation, DMM-AND feature extraction and an optimized convolutional multi-scale vision transformer; reported accuracies are 97.96% and 98.04%. Evaluation on two datasets is not documented as an independent external-validation design or site-held-out test in the accessible material; very high performance warrants independent replication.</t>
        </is>
      </c>
      <c r="K395" s="4" t="str"/>
      <c r="L395" s="4" t="inlineStr">
        <is>
          <t>https://doi.org/10.1016/j.pscychresns.2026.112251</t>
        </is>
      </c>
      <c r="M395" s="4" t="n"/>
      <c r="N395" s="12" t="n"/>
      <c r="O395" s="41" t="n"/>
      <c r="P395" s="4" t="inlineStr">
        <is>
          <t>Confirmed only when AI was actually evaluated/used within the stated workflow or intervention; intended use alone = Proposed only</t>
        </is>
      </c>
      <c r="Q395" s="4">
        <f>IF(COUNTIFS('ESTUDIOS'!$A$2:$A$455,$A395,'ESTUDIOS'!$I$2:$I$455,"")&gt;0,"",INDEX('ESTUDIOS'!$I$2:$I$455,MATCH($A395,'ESTUDIOS'!$A$2:$A$455,0)))</f>
        <v/>
      </c>
    </row>
    <row r="396" ht="73" customHeight="1">
      <c r="A396" s="4" t="inlineStr">
        <is>
          <t>new_249</t>
        </is>
      </c>
      <c r="B396" s="4" t="inlineStr">
        <is>
          <t>Update</t>
        </is>
      </c>
      <c r="C396" s="4" t="inlineStr">
        <is>
          <t>An early detection of autism spectrum disorder using machine learning</t>
        </is>
      </c>
      <c r="D396" s="4" t="inlineStr">
        <is>
          <t>Proposed only</t>
        </is>
      </c>
      <c r="E396" s="4" t="inlineStr">
        <is>
          <t>Proposed EEG-based early-screening classifier; no clinical workflow deployment evaluated</t>
        </is>
      </c>
      <c r="F396" s="4" t="n"/>
      <c r="G396" s="4" t="inlineStr">
        <is>
          <t>Recorded in update; verification pending</t>
        </is>
      </c>
      <c r="H396" s="4" t="n"/>
      <c r="I396" s="4" t="inlineStr">
        <is>
          <t>Infant ASD classification / early detection</t>
        </is>
      </c>
      <c r="J396" s="4" t="inlineStr">
        <is>
          <t>Baseline infant EEG power features were analyzed with DT, RF and SVM; SVM reached AUC 0.93 and SHAP was used to explain the best-performing model. The accessible record does not establish an independent external cohort, multisite evaluation or prospective clinical deployment.</t>
        </is>
      </c>
      <c r="K396" s="4" t="str"/>
      <c r="L396" s="4" t="inlineStr">
        <is>
          <t>https://doi.org/10.1016/j.compbiomed.2025.111238</t>
        </is>
      </c>
      <c r="M396" s="4" t="n"/>
      <c r="N396" s="12" t="n"/>
      <c r="O396" s="41" t="n"/>
      <c r="P396" s="4" t="inlineStr">
        <is>
          <t>Confirmed only when AI was actually evaluated/used within the stated workflow or intervention; intended use alone = Proposed only</t>
        </is>
      </c>
      <c r="Q396" s="4">
        <f>IF(COUNTIFS('ESTUDIOS'!$A$2:$A$455,$A396,'ESTUDIOS'!$I$2:$I$455,"")&gt;0,"",INDEX('ESTUDIOS'!$I$2:$I$455,MATCH($A396,'ESTUDIOS'!$A$2:$A$455,0)))</f>
        <v/>
      </c>
    </row>
    <row r="397" ht="73" customHeight="1">
      <c r="A397" s="4" t="inlineStr">
        <is>
          <t>new_250</t>
        </is>
      </c>
      <c r="B397" s="4" t="inlineStr">
        <is>
          <t>Update</t>
        </is>
      </c>
      <c r="C397" s="4" t="inlineStr">
        <is>
          <t>An Effective LRSF-DLNN-Based Autism Spectrum Disorder Prediction Using EEG and fMRI</t>
        </is>
      </c>
      <c r="D397" s="4" t="inlineStr">
        <is>
          <t>Proposed only</t>
        </is>
      </c>
      <c r="E397" s="4" t="inlineStr">
        <is>
          <t>Proposed multimodal diagnostic classifier; no workflow deployment evaluated</t>
        </is>
      </c>
      <c r="F397" s="4" t="n"/>
      <c r="G397" s="4" t="inlineStr">
        <is>
          <t>Recorded in update; verification pending</t>
        </is>
      </c>
      <c r="H397" s="4" t="n"/>
      <c r="I397" s="4" t="inlineStr">
        <is>
          <t>ASD classification / prediction</t>
        </is>
      </c>
      <c r="J397" s="4" t="inlineStr">
        <is>
          <t>Combines EEG and fMRI after modality-specific preprocessing and feature extraction, followed by DFGAO feature selection and LRSF-DLNN classification; reported accuracy is 98.8%. No independent external validation, site-held-out robustness or explicit XAI method is established in the accessible material.</t>
        </is>
      </c>
      <c r="K397" s="4" t="str"/>
      <c r="L397" s="4" t="inlineStr">
        <is>
          <t>https://doi.org/10.1002/dneu.70047</t>
        </is>
      </c>
      <c r="M397" s="4" t="n"/>
      <c r="N397" s="12" t="n"/>
      <c r="O397" s="41" t="n"/>
      <c r="P397" s="4" t="inlineStr">
        <is>
          <t>Confirmed only when AI was actually evaluated/used within the stated workflow or intervention; intended use alone = Proposed only</t>
        </is>
      </c>
      <c r="Q397" s="4">
        <f>IF(COUNTIFS('ESTUDIOS'!$A$2:$A$455,$A397,'ESTUDIOS'!$I$2:$I$455,"")&gt;0,"",INDEX('ESTUDIOS'!$I$2:$I$455,MATCH($A397,'ESTUDIOS'!$A$2:$A$455,0)))</f>
        <v/>
      </c>
    </row>
    <row r="398" ht="99" customHeight="1">
      <c r="A398" s="4" t="inlineStr">
        <is>
          <t>new_252</t>
        </is>
      </c>
      <c r="B398" s="4" t="inlineStr">
        <is>
          <t>Update</t>
        </is>
      </c>
      <c r="C398" s="4" t="inlineStr">
        <is>
          <t>A New Paradigm for Autism Spectrum Disorder Discrimination in Children Utilizing EEG Data Collected During Cartoon Viewing With a Focus on Atypical Semantic Processing</t>
        </is>
      </c>
      <c r="D398" s="4" t="inlineStr">
        <is>
          <t>Research only</t>
        </is>
      </c>
      <c r="E398" s="4" t="inlineStr">
        <is>
          <t>Research analysis of EEG semantic processing with potential auxiliary diagnostic value; no deployed workflow</t>
        </is>
      </c>
      <c r="F398" s="4" t="n"/>
      <c r="G398" s="4" t="inlineStr">
        <is>
          <t>Recorded in update; verification pending</t>
        </is>
      </c>
      <c r="H398" s="4" t="n"/>
      <c r="I398" s="4" t="inlineStr">
        <is>
          <t>ASD discrimination / atypical semantic-processing characterization</t>
        </is>
      </c>
      <c r="J398" s="4" t="inlineStr">
        <is>
          <t>EEG recorded during naturalistic cartoon viewing was linked to semantic representations derived from pretrained language models; the study reports ASD/TD discrimination and a validation analysis. The accessible description does not establish that the reported validation analysis used an independent external cohort; semantic annotations are stimulus descriptors rather than a second human data modality.</t>
        </is>
      </c>
      <c r="K398" s="4" t="str"/>
      <c r="L398" s="4" t="inlineStr">
        <is>
          <t>https://doi.org/10.1002/aur.70105</t>
        </is>
      </c>
      <c r="M398" s="4" t="n"/>
      <c r="N398" s="12" t="n"/>
      <c r="O398" s="41" t="n"/>
      <c r="P398" s="4" t="inlineStr">
        <is>
          <t>Confirmed only when AI was actually evaluated/used within the stated workflow or intervention; intended use alone = Proposed only</t>
        </is>
      </c>
      <c r="Q398" s="4">
        <f>IF(COUNTIFS('ESTUDIOS'!$A$2:$A$455,$A398,'ESTUDIOS'!$I$2:$I$455,"")&gt;0,"",INDEX('ESTUDIOS'!$I$2:$I$455,MATCH($A398,'ESTUDIOS'!$A$2:$A$455,0)))</f>
        <v/>
      </c>
    </row>
    <row r="399" ht="73" customHeight="1">
      <c r="A399" s="4" t="inlineStr">
        <is>
          <t>new_254</t>
        </is>
      </c>
      <c r="B399" s="4" t="inlineStr">
        <is>
          <t>Update</t>
        </is>
      </c>
      <c r="C399" s="4" t="inlineStr">
        <is>
          <t>Hybrid groupers-moray orangutan optimization algorithm-based dense-resolution network for autism spectrum disorder detection using multimodal data</t>
        </is>
      </c>
      <c r="D399" s="4" t="inlineStr">
        <is>
          <t>Proposed only</t>
        </is>
      </c>
      <c r="E399" s="4" t="inlineStr">
        <is>
          <t>Proposed multimodal diagnostic classifier; no clinical deployment evaluated</t>
        </is>
      </c>
      <c r="F399" s="4" t="n"/>
      <c r="G399" s="4" t="inlineStr">
        <is>
          <t>Recorded in update; verification pending</t>
        </is>
      </c>
      <c r="H399" s="4" t="n"/>
      <c r="I399" s="4" t="inlineStr">
        <is>
          <t>ASD detection / classification</t>
        </is>
      </c>
      <c r="J399" s="4" t="inlineStr">
        <is>
          <t>Integrates MRI-derived features with phenotypic variables, applies feature selection/optimization and DRNet classification; reported accuracy is 92.77%. No independent external validation, prospective evaluation or explicit site-held-out robustness is established in the accessible record.</t>
        </is>
      </c>
      <c r="K399" s="4" t="str"/>
      <c r="L399" s="4" t="inlineStr">
        <is>
          <t>https://doi.org/10.1016/j.pscychresns.2026.112204</t>
        </is>
      </c>
      <c r="M399" s="4" t="n"/>
      <c r="N399" s="12" t="n"/>
      <c r="O399" s="41" t="n"/>
      <c r="P399" s="4" t="inlineStr">
        <is>
          <t>Confirmed only when AI was actually evaluated/used within the stated workflow or intervention; intended use alone = Proposed only</t>
        </is>
      </c>
      <c r="Q399" s="4">
        <f>IF(COUNTIFS('ESTUDIOS'!$A$2:$A$455,$A399,'ESTUDIOS'!$I$2:$I$455,"")&gt;0,"",INDEX('ESTUDIOS'!$I$2:$I$455,MATCH($A399,'ESTUDIOS'!$A$2:$A$455,0)))</f>
        <v/>
      </c>
    </row>
    <row r="400" ht="99" customHeight="1">
      <c r="A400" s="4" t="inlineStr">
        <is>
          <t>new_266</t>
        </is>
      </c>
      <c r="B400" s="4" t="inlineStr">
        <is>
          <t>Update</t>
        </is>
      </c>
      <c r="C400" s="4" t="inlineStr">
        <is>
          <t>Machine Learning-Based Early Prediction Model for Autism Spectrum Disorder in Infants Using Acoustic Feature</t>
        </is>
      </c>
      <c r="D400" s="4" t="inlineStr">
        <is>
          <t>Research only</t>
        </is>
      </c>
      <c r="E400" s="4" t="inlineStr">
        <is>
          <t>Prospective risk-prediction research; no deployed clinical workflow evaluated</t>
        </is>
      </c>
      <c r="F400" s="4" t="n"/>
      <c r="G400" s="4" t="inlineStr">
        <is>
          <t>Recorded in update; verification pending</t>
        </is>
      </c>
      <c r="H400" s="4" t="n"/>
      <c r="I400" s="4" t="inlineStr">
        <is>
          <t>Prospective prediction of ASD diagnosis at 36 months</t>
        </is>
      </c>
      <c r="J400" s="4" t="inlineStr">
        <is>
          <t>In a prospective infant-sibling cohort, vocalizations at 9-18 months were parameterized into thousands of acoustic features, reduced with LASSO, and classified with SVM against ASD outcome confirmed at 36 months. The cohort is relatively small and the accessible record does not establish independent external validation; LASSO-based feature reduction is treated as partial interpretability rather than strict XAI.</t>
        </is>
      </c>
      <c r="K400" s="4" t="str"/>
      <c r="L400" s="4" t="inlineStr">
        <is>
          <t>https://doi.org/10.1002/aur.70179</t>
        </is>
      </c>
      <c r="M400" s="4" t="n"/>
      <c r="N400" s="12" t="n"/>
      <c r="O400" s="41" t="n"/>
      <c r="P400" s="4" t="inlineStr">
        <is>
          <t>Confirmed only when AI was actually evaluated/used within the stated workflow or intervention; intended use alone = Proposed only</t>
        </is>
      </c>
      <c r="Q400" s="4">
        <f>IF(COUNTIFS('ESTUDIOS'!$A$2:$A$455,$A400,'ESTUDIOS'!$I$2:$I$455,"")&gt;0,"",INDEX('ESTUDIOS'!$I$2:$I$455,MATCH($A400,'ESTUDIOS'!$A$2:$A$455,0)))</f>
        <v/>
      </c>
    </row>
    <row r="401" ht="151" customHeight="1">
      <c r="A401" s="4" t="inlineStr">
        <is>
          <t>new_269</t>
        </is>
      </c>
      <c r="B401" s="4" t="inlineStr">
        <is>
          <t>Update</t>
        </is>
      </c>
      <c r="C401" s="4" t="inlineStr">
        <is>
          <t>Predicting fine motor deficit in autism by measuring brain activities and characterizing motor impairments</t>
        </is>
      </c>
      <c r="D401" s="4" t="inlineStr">
        <is>
          <t>Research only</t>
        </is>
      </c>
      <c r="E401" s="4" t="inlineStr">
        <is>
          <t>Research classification of motor impairment in ASD; no ASD clinical workflow deployment evaluated</t>
        </is>
      </c>
      <c r="F401" s="4" t="n"/>
      <c r="G401" s="4" t="inlineStr">
        <is>
          <t>Recorded in update; verification pending</t>
        </is>
      </c>
      <c r="H401" s="4" t="n"/>
      <c r="I401" s="4" t="inlineStr">
        <is>
          <t>Fine-motor-deficit classification in adolescents with ASD using multimodal data</t>
        </is>
      </c>
      <c r="J401" s="4" t="inlineStr">
        <is>
          <t>The publisher article contains participant recruitment, data collection, Methods and Results. It integrates QEEG, Finger Tapping, Hand-Eye Coordination, Visual Memory and AQ-10 variables; logistic regression was the best model and RF Gini plots were used for feature interpretation. PubMed labels the record as Review, but the publisher full article is clearly an original empirical study with recruited participants and primary data collection. The metadata conflict should be checked independently; stage is left Not specified because the AI endpoint is fine-motor deficit rather than a unique ASD screening/diagnostic stage.</t>
        </is>
      </c>
      <c r="K401" s="4" t="str"/>
      <c r="L401" s="4" t="inlineStr">
        <is>
          <t>https://doi.org/10.1016/j.compbiomed.2026.111470</t>
        </is>
      </c>
      <c r="M401" s="4" t="n"/>
      <c r="N401" s="12" t="n"/>
      <c r="O401" s="41" t="n"/>
      <c r="P401" s="4" t="inlineStr">
        <is>
          <t>Confirmed only when AI was actually evaluated/used within the stated workflow or intervention; intended use alone = Proposed only</t>
        </is>
      </c>
      <c r="Q401" s="4">
        <f>IF(COUNTIFS('ESTUDIOS'!$A$2:$A$455,$A401,'ESTUDIOS'!$I$2:$I$455,"")&gt;0,"",INDEX('ESTUDIOS'!$I$2:$I$455,MATCH($A401,'ESTUDIOS'!$A$2:$A$455,0)))</f>
        <v/>
      </c>
    </row>
    <row r="402" ht="73" customHeight="1">
      <c r="A402" s="4" t="inlineStr">
        <is>
          <t>new_270</t>
        </is>
      </c>
      <c r="B402" s="4" t="inlineStr">
        <is>
          <t>Update</t>
        </is>
      </c>
      <c r="C402" s="4" t="inlineStr">
        <is>
          <t>Diagnosing autism spectrum disorders using ensemble-aided weighted fused features and attention-based residual LSTM with brain MRI images</t>
        </is>
      </c>
      <c r="D402" s="4" t="inlineStr">
        <is>
          <t>Proposed only</t>
        </is>
      </c>
      <c r="E402" s="4" t="inlineStr">
        <is>
          <t>Proposed MRI-based diagnostic classifier; no live workflow evaluation</t>
        </is>
      </c>
      <c r="F402" s="4" t="n"/>
      <c r="G402" s="4" t="inlineStr">
        <is>
          <t>Recorded in update; verification pending</t>
        </is>
      </c>
      <c r="H402" s="4" t="n"/>
      <c r="I402" s="4" t="inlineStr">
        <is>
          <t>ASD diagnosis / classification</t>
        </is>
      </c>
      <c r="J402" s="4" t="inlineStr">
        <is>
          <t>Uses an ensemble CNN feature extractor, optimized weighted feature fusion and ARLSTM classification for MRI-based ASD diagnosis. Attention/recurrent architecture alone is not coded as XAI; no independent external, prospective or site-held-out evaluation is established in the accessible material.</t>
        </is>
      </c>
      <c r="K402" s="4" t="str"/>
      <c r="L402" s="4" t="inlineStr">
        <is>
          <t>https://doi.org/10.1016/j.pscychresns.2026.112230</t>
        </is>
      </c>
      <c r="M402" s="4" t="n"/>
      <c r="N402" s="12" t="n"/>
      <c r="O402" s="41" t="n"/>
      <c r="P402" s="4" t="inlineStr">
        <is>
          <t>Confirmed only when AI was actually evaluated/used within the stated workflow or intervention; intended use alone = Proposed only</t>
        </is>
      </c>
      <c r="Q402" s="4">
        <f>IF(COUNTIFS('ESTUDIOS'!$A$2:$A$455,$A402,'ESTUDIOS'!$I$2:$I$455,"")&gt;0,"",INDEX('ESTUDIOS'!$I$2:$I$455,MATCH($A402,'ESTUDIOS'!$A$2:$A$455,0)))</f>
        <v/>
      </c>
    </row>
    <row r="403" ht="73" customHeight="1">
      <c r="A403" s="4" t="inlineStr">
        <is>
          <t>new_271</t>
        </is>
      </c>
      <c r="B403" s="4" t="inlineStr">
        <is>
          <t>Update</t>
        </is>
      </c>
      <c r="C403" s="4" t="inlineStr">
        <is>
          <t>Early Autism Spectrum Disorder Detection Using SMOTE-Enhanced 1D-CNN and Behavioral Screening Data</t>
        </is>
      </c>
      <c r="D403" s="4" t="inlineStr">
        <is>
          <t>Proposed only</t>
        </is>
      </c>
      <c r="E403" s="4" t="inlineStr">
        <is>
          <t>Proposed questionnaire-based screening classifier; no clinical deployment evaluated</t>
        </is>
      </c>
      <c r="F403" s="4" t="n"/>
      <c r="G403" s="4" t="inlineStr">
        <is>
          <t>Recorded in update; verification pending</t>
        </is>
      </c>
      <c r="H403" s="4" t="n"/>
      <c r="I403" s="4" t="inlineStr">
        <is>
          <t>ASD screening classification</t>
        </is>
      </c>
      <c r="J403" s="4" t="inlineStr">
        <is>
          <t>Uses a public toddler-autism behavioral dataset with SMOTE and a 1D-CNN; evaluation is based on train/test splitting and internal cross-validation. Internal validation does not constitute external validation; no prospective workflow, multisite robustness or explicit XAI is reported.</t>
        </is>
      </c>
      <c r="K403" s="4" t="str"/>
      <c r="L403" s="4" t="inlineStr">
        <is>
          <t>https://doi.org/10.1155/ahci/1316854</t>
        </is>
      </c>
      <c r="M403" s="4" t="n"/>
      <c r="N403" s="12" t="n"/>
      <c r="O403" s="41" t="n"/>
      <c r="P403" s="4" t="inlineStr">
        <is>
          <t>Confirmed only when AI was actually evaluated/used within the stated workflow or intervention; intended use alone = Proposed only</t>
        </is>
      </c>
      <c r="Q403" s="4">
        <f>IF(COUNTIFS('ESTUDIOS'!$A$2:$A$455,$A403,'ESTUDIOS'!$I$2:$I$455,"")&gt;0,"",INDEX('ESTUDIOS'!$I$2:$I$455,MATCH($A403,'ESTUDIOS'!$A$2:$A$455,0)))</f>
        <v/>
      </c>
    </row>
    <row r="404" ht="73" customHeight="1">
      <c r="A404" s="4" t="inlineStr">
        <is>
          <t>new_273</t>
        </is>
      </c>
      <c r="B404" s="4" t="inlineStr">
        <is>
          <t>Update</t>
        </is>
      </c>
      <c r="C404" s="4" t="inlineStr">
        <is>
          <t>Optimizing Autism Spectrum Disorder Diagnosis with VGG16-Based Facial Landmark Recognition</t>
        </is>
      </c>
      <c r="D404" s="4" t="inlineStr">
        <is>
          <t>Proposed only</t>
        </is>
      </c>
      <c r="E404" s="4" t="inlineStr">
        <is>
          <t>Proposed facial-image early-screening classifier; no clinical workflow deployment evaluated</t>
        </is>
      </c>
      <c r="F404" s="4" t="n"/>
      <c r="G404" s="4" t="inlineStr">
        <is>
          <t>Recorded in update; verification pending</t>
        </is>
      </c>
      <c r="H404" s="4" t="n"/>
      <c r="I404" s="4" t="inlineStr">
        <is>
          <t>ASD facial-image classification / early detection</t>
        </is>
      </c>
      <c r="J404" s="4" t="inlineStr">
        <is>
          <t>Applies VGG16 to a Kaggle facial-image dataset of autistic and non-autistic children and reports 98.1% classification accuracy. Single public image dataset and no independent external/prospective evaluation are established; performance may be sensitive to dataset leakage or source bias.</t>
        </is>
      </c>
      <c r="K404" s="4" t="str"/>
      <c r="L404" s="4" t="inlineStr">
        <is>
          <t>https://doi.org/10.1016/j.procs.2026.06.483</t>
        </is>
      </c>
      <c r="M404" s="4" t="n"/>
      <c r="N404" s="12" t="n"/>
      <c r="O404" s="41" t="n"/>
      <c r="P404" s="4" t="inlineStr">
        <is>
          <t>Confirmed only when AI was actually evaluated/used within the stated workflow or intervention; intended use alone = Proposed only</t>
        </is>
      </c>
      <c r="Q404" s="4">
        <f>IF(COUNTIFS('ESTUDIOS'!$A$2:$A$455,$A404,'ESTUDIOS'!$I$2:$I$455,"")&gt;0,"",INDEX('ESTUDIOS'!$I$2:$I$455,MATCH($A404,'ESTUDIOS'!$A$2:$A$455,0)))</f>
        <v/>
      </c>
    </row>
    <row r="405" ht="99" customHeight="1">
      <c r="A405" s="4" t="inlineStr">
        <is>
          <t>new_275</t>
        </is>
      </c>
      <c r="B405" s="4" t="inlineStr">
        <is>
          <t>Update</t>
        </is>
      </c>
      <c r="C405" s="4" t="inlineStr">
        <is>
          <t>Machine Learning Techniques to Uncover Sociodemographic Risk Factors of Autism Spectrum Disorder (ASD) Among Children and Adolescents in Bangladesh</t>
        </is>
      </c>
      <c r="D405" s="4" t="inlineStr">
        <is>
          <t>Research only</t>
        </is>
      </c>
      <c r="E405" s="4" t="inlineStr">
        <is>
          <t>Risk-factor research for low-burden prescreening; no deployed workflow evaluated</t>
        </is>
      </c>
      <c r="F405" s="4" t="n"/>
      <c r="G405" s="4" t="inlineStr">
        <is>
          <t>Recorded in update; verification pending</t>
        </is>
      </c>
      <c r="H405" s="4" t="n"/>
      <c r="I405" s="4" t="inlineStr">
        <is>
          <t>ASD classification and risk-factor discovery</t>
        </is>
      </c>
      <c r="J405" s="4" t="inlineStr">
        <is>
          <t>Analyzes a Bangladesh dataset collected across multiple geographic locations; compares eight classifiers after feature selection, with decision tree reported as best, and identifies interpretable sociodemographic/perinatal predictors. The reported test/CV is internal and geographic sources are pooled rather than site-held-out; regional sampling limits generalizability.</t>
        </is>
      </c>
      <c r="K405" s="4" t="str"/>
      <c r="L405" s="4" t="inlineStr">
        <is>
          <t>https://doi.org/10.1155/acis/6410913</t>
        </is>
      </c>
      <c r="M405" s="4" t="n"/>
      <c r="N405" s="12" t="n"/>
      <c r="O405" s="41" t="n"/>
      <c r="P405" s="4" t="inlineStr">
        <is>
          <t>Confirmed only when AI was actually evaluated/used within the stated workflow or intervention; intended use alone = Proposed only</t>
        </is>
      </c>
      <c r="Q405" s="4">
        <f>IF(COUNTIFS('ESTUDIOS'!$A$2:$A$455,$A405,'ESTUDIOS'!$I$2:$I$455,"")&gt;0,"",INDEX('ESTUDIOS'!$I$2:$I$455,MATCH($A405,'ESTUDIOS'!$A$2:$A$455,0)))</f>
        <v/>
      </c>
    </row>
    <row r="406" ht="86" customHeight="1">
      <c r="A406" s="4" t="inlineStr">
        <is>
          <t>new_277</t>
        </is>
      </c>
      <c r="B406" s="4" t="inlineStr">
        <is>
          <t>Update</t>
        </is>
      </c>
      <c r="C406" s="4" t="inlineStr">
        <is>
          <t>A comprehensive causal and machine learning framework for autism spectrum disorder risk prediction and high-risk subgroup identification from children with chronic health and genetic disorders in the United States</t>
        </is>
      </c>
      <c r="D406" s="4" t="inlineStr">
        <is>
          <t>Research only</t>
        </is>
      </c>
      <c r="E406" s="4" t="inlineStr">
        <is>
          <t>Population-level risk stratification research; no deployed screening workflow evaluated</t>
        </is>
      </c>
      <c r="F406" s="4" t="n"/>
      <c r="G406" s="4" t="inlineStr">
        <is>
          <t>Recorded in update; verification pending</t>
        </is>
      </c>
      <c r="H406" s="4" t="n"/>
      <c r="I406" s="4" t="inlineStr">
        <is>
          <t>ASD risk prediction / high-risk subgroup identification</t>
        </is>
      </c>
      <c r="J406" s="4" t="inlineStr">
        <is>
          <t>Uses 2022-2023 National Survey of Children's Health data, propensity-score methods and machine learning to identify predictor patterns and high-risk subgroups associated with ASD. Survey-based association/prediction is not external validation or prospective evaluation; predictor/subgroup interpretation is coded as partial explainability rather than strict XAI.</t>
        </is>
      </c>
      <c r="K406" s="4" t="str"/>
      <c r="L406" s="4" t="inlineStr">
        <is>
          <t>https://doi.org/10.1016/j.reia.2026.202826</t>
        </is>
      </c>
      <c r="M406" s="4" t="n"/>
      <c r="N406" s="12" t="n"/>
      <c r="O406" s="41" t="n"/>
      <c r="P406" s="4" t="inlineStr">
        <is>
          <t>Confirmed only when AI was actually evaluated/used within the stated workflow or intervention; intended use alone = Proposed only</t>
        </is>
      </c>
      <c r="Q406" s="4">
        <f>IF(COUNTIFS('ESTUDIOS'!$A$2:$A$455,$A406,'ESTUDIOS'!$I$2:$I$455,"")&gt;0,"",INDEX('ESTUDIOS'!$I$2:$I$455,MATCH($A406,'ESTUDIOS'!$A$2:$A$455,0)))</f>
        <v/>
      </c>
    </row>
    <row r="407" ht="86" customHeight="1">
      <c r="A407" s="4" t="inlineStr">
        <is>
          <t>new_280</t>
        </is>
      </c>
      <c r="B407" s="4" t="inlineStr">
        <is>
          <t>Update</t>
        </is>
      </c>
      <c r="C407" s="4" t="inlineStr">
        <is>
          <t>Sleep pattern consistency and autism spectrum disorder in U.S. children: Associations and identification of high-risk subgroups</t>
        </is>
      </c>
      <c r="D407" s="4" t="inlineStr">
        <is>
          <t>Research only</t>
        </is>
      </c>
      <c r="E407" s="4" t="inlineStr">
        <is>
          <t>Population-level risk-profile research; no deployed screening workflow evaluated</t>
        </is>
      </c>
      <c r="F407" s="4" t="n"/>
      <c r="G407" s="4" t="inlineStr">
        <is>
          <t>Recorded in update; verification pending</t>
        </is>
      </c>
      <c r="H407" s="4" t="n"/>
      <c r="I407" s="4" t="inlineStr">
        <is>
          <t>ASD risk-profile prediction / high-risk subgroup identification</t>
        </is>
      </c>
      <c r="J407" s="4" t="inlineStr">
        <is>
          <t>Analyzes 63,866 children from the 2022-2023 NSCH using sleep routines, demographics and comorbidities with regression/ML to identify ASD-associated risk profiles and high-risk subgroups. Cross-sectional survey prediction does not establish prospective or external validation; interpretable risk profiles are coded as partial rather than strict XAI.</t>
        </is>
      </c>
      <c r="K407" s="4" t="str"/>
      <c r="L407" s="4" t="inlineStr">
        <is>
          <t>https://doi.org/10.1016/j.ridd.2025.105201</t>
        </is>
      </c>
      <c r="M407" s="4" t="n"/>
      <c r="N407" s="12" t="n"/>
      <c r="O407" s="41" t="n"/>
      <c r="P407" s="4" t="inlineStr">
        <is>
          <t>Confirmed only when AI was actually evaluated/used within the stated workflow or intervention; intended use alone = Proposed only</t>
        </is>
      </c>
      <c r="Q407" s="4">
        <f>IF(COUNTIFS('ESTUDIOS'!$A$2:$A$455,$A407,'ESTUDIOS'!$I$2:$I$455,"")&gt;0,"",INDEX('ESTUDIOS'!$I$2:$I$455,MATCH($A407,'ESTUDIOS'!$A$2:$A$455,0)))</f>
        <v/>
      </c>
    </row>
    <row r="408" ht="73" customHeight="1">
      <c r="A408" s="4" t="inlineStr">
        <is>
          <t>new_286</t>
        </is>
      </c>
      <c r="B408" s="4" t="inlineStr">
        <is>
          <t>Update</t>
        </is>
      </c>
      <c r="C408" s="4" t="inlineStr">
        <is>
          <t>Identification of Potential Biomarkers in ASD Integrating RNA Seq Data and Machine Learning Approaches</t>
        </is>
      </c>
      <c r="D408" s="4" t="inlineStr">
        <is>
          <t>Research only</t>
        </is>
      </c>
      <c r="E408" s="4" t="inlineStr">
        <is>
          <t>Biomarker discovery for potential screening; no clinical workflow deployment evaluated</t>
        </is>
      </c>
      <c r="F408" s="4" t="n"/>
      <c r="G408" s="4" t="inlineStr">
        <is>
          <t>Recorded in update; verification pending</t>
        </is>
      </c>
      <c r="H408" s="4" t="n"/>
      <c r="I408" s="4" t="inlineStr">
        <is>
          <t>ASD/TD classification and biomarker discovery</t>
        </is>
      </c>
      <c r="J408" s="4" t="inlineStr">
        <is>
          <t>Uses RNA-seq gene-expression data from NCBI GEO, compares RF and XGBoost with fivefold CV, and ranks a compact set of candidate transcriptomic biomarkers. Small dataset and internal CV only; ranked biomarkers are treated as partial interpretability, not strict XAI or external validation.</t>
        </is>
      </c>
      <c r="K408" s="4" t="str"/>
      <c r="L408" s="4" t="inlineStr">
        <is>
          <t>https://doi.org/10.3233/shti260609</t>
        </is>
      </c>
      <c r="M408" s="4" t="n"/>
      <c r="N408" s="12" t="n"/>
      <c r="O408" s="41" t="n"/>
      <c r="P408" s="4" t="inlineStr">
        <is>
          <t>Confirmed only when AI was actually evaluated/used within the stated workflow or intervention; intended use alone = Proposed only</t>
        </is>
      </c>
      <c r="Q408" s="4">
        <f>IF(COUNTIFS('ESTUDIOS'!$A$2:$A$455,$A408,'ESTUDIOS'!$I$2:$I$455,"")&gt;0,"",INDEX('ESTUDIOS'!$I$2:$I$455,MATCH($A408,'ESTUDIOS'!$A$2:$A$455,0)))</f>
        <v/>
      </c>
    </row>
    <row r="409" ht="73" customHeight="1">
      <c r="A409" s="4" t="inlineStr">
        <is>
          <t>new_287</t>
        </is>
      </c>
      <c r="B409" s="4" t="inlineStr">
        <is>
          <t>Update</t>
        </is>
      </c>
      <c r="C409" s="4" t="inlineStr">
        <is>
          <t>REM Sleep Abnormalities in Children With Autism Spectrum Disorder</t>
        </is>
      </c>
      <c r="D409" s="4" t="inlineStr">
        <is>
          <t>Research only</t>
        </is>
      </c>
      <c r="E409" s="4" t="inlineStr">
        <is>
          <t>Retrospective physiological-marker research; no deployed diagnostic workflow evaluated</t>
        </is>
      </c>
      <c r="F409" s="4" t="n"/>
      <c r="G409" s="4" t="inlineStr">
        <is>
          <t>Recorded in update; verification pending</t>
        </is>
      </c>
      <c r="H409" s="4" t="n"/>
      <c r="I409" s="4" t="inlineStr">
        <is>
          <t>ASD classification / predictive sleep-marker analysis</t>
        </is>
      </c>
      <c r="J409" s="4" t="inlineStr">
        <is>
          <t>Matched ASD and non-ASD participants from the NCH Sleep Databank, compared ML models on REM-sleep features, and used SHAP to identify discriminative predictors. Single databank analysis without independent external or prospective validation; SHAP supports strict XAI coding.</t>
        </is>
      </c>
      <c r="K409" s="4" t="str"/>
      <c r="L409" s="4" t="inlineStr">
        <is>
          <t>https://doi.org/10.1002/aur.70222</t>
        </is>
      </c>
      <c r="M409" s="4" t="n"/>
      <c r="N409" s="12" t="n"/>
      <c r="O409" s="41" t="n"/>
      <c r="P409" s="4" t="inlineStr">
        <is>
          <t>Confirmed only when AI was actually evaluated/used within the stated workflow or intervention; intended use alone = Proposed only</t>
        </is>
      </c>
      <c r="Q409" s="4">
        <f>IF(COUNTIFS('ESTUDIOS'!$A$2:$A$455,$A409,'ESTUDIOS'!$I$2:$I$455,"")&gt;0,"",INDEX('ESTUDIOS'!$I$2:$I$455,MATCH($A409,'ESTUDIOS'!$A$2:$A$455,0)))</f>
        <v/>
      </c>
    </row>
    <row r="410" ht="125" customHeight="1">
      <c r="A410" s="4" t="inlineStr">
        <is>
          <t>new_289</t>
        </is>
      </c>
      <c r="B410" s="4" t="inlineStr">
        <is>
          <t>Update</t>
        </is>
      </c>
      <c r="C410" s="4" t="inlineStr">
        <is>
          <t>Diagnosis of autism disorder from rs-fMRI brain images through hierarchical YOLO and mechanism of attention (HYMA)</t>
        </is>
      </c>
      <c r="D410" s="4" t="inlineStr">
        <is>
          <t>Research only</t>
        </is>
      </c>
      <c r="E410" s="4" t="inlineStr">
        <is>
          <t>Retrospective neuroimaging diagnostic research; no clinical workflow deployment evaluated</t>
        </is>
      </c>
      <c r="F410" s="4" t="n"/>
      <c r="G410" s="4" t="inlineStr">
        <is>
          <t>Recorded in update; verification pending</t>
        </is>
      </c>
      <c r="H410" s="4" t="n"/>
      <c r="I410" s="4" t="inlineStr">
        <is>
          <t>ASD diagnosis / classification</t>
        </is>
      </c>
      <c r="J410" s="4" t="inlineStr">
        <is>
          <t>HYMA combines axis-specific YOLO experts, attention and expert fusion; the publisher explicitly reports subject-wise and cross-site evaluations on ABIDE I/II and interprets attention maps over clinically relevant brain regions. The 99.3% accuracy is unusually high for ABIDE and merits independent replication. Cross-site robustness is counted because the paper explicitly reports cross-site evaluation, but external validation is kept at 0 because the exact independent train/external-test relationship is not unambiguously established.</t>
        </is>
      </c>
      <c r="K410" s="4" t="str"/>
      <c r="L410" s="4" t="inlineStr">
        <is>
          <t>https://doi.org/10.1016/j.asoc.2026.114655</t>
        </is>
      </c>
      <c r="M410" s="4" t="n"/>
      <c r="N410" s="12" t="n"/>
      <c r="O410" s="41" t="n"/>
      <c r="P410" s="4" t="inlineStr">
        <is>
          <t>Confirmed only when AI was actually evaluated/used within the stated workflow or intervention; intended use alone = Proposed only</t>
        </is>
      </c>
      <c r="Q410" s="4">
        <f>IF(COUNTIFS('ESTUDIOS'!$A$2:$A$455,$A410,'ESTUDIOS'!$I$2:$I$455,"")&gt;0,"",INDEX('ESTUDIOS'!$I$2:$I$455,MATCH($A410,'ESTUDIOS'!$A$2:$A$455,0)))</f>
        <v/>
      </c>
    </row>
    <row r="411" ht="73" customHeight="1">
      <c r="A411" s="4" t="inlineStr">
        <is>
          <t>new_295</t>
        </is>
      </c>
      <c r="B411" s="4" t="inlineStr">
        <is>
          <t>Update</t>
        </is>
      </c>
      <c r="C411" s="4" t="inlineStr">
        <is>
          <t>Comparing Machine Learning Models for Pupillary Light Reflex–Based Autism Spectrum Disorder Classification</t>
        </is>
      </c>
      <c r="D411" s="4" t="inlineStr">
        <is>
          <t>Proposed only</t>
        </is>
      </c>
      <c r="E411" s="4" t="inlineStr">
        <is>
          <t>Proposed physiological screening classifier; no deployed clinical workflow evaluated</t>
        </is>
      </c>
      <c r="F411" s="4" t="n"/>
      <c r="G411" s="4" t="inlineStr">
        <is>
          <t>Recorded in update; verification pending</t>
        </is>
      </c>
      <c r="H411" s="4" t="n"/>
      <c r="I411" s="4" t="inlineStr">
        <is>
          <t>Automated ASD screening from pupillary light reflex</t>
        </is>
      </c>
      <c r="J411" s="4" t="inlineStr">
        <is>
          <t>Compares conventional classifiers and a DNN on pupillary-light-reflex features from ASD and typically developing children; the DNN gives the strongest test performance. Small sample and no independent external/prospective validation or explicit explainability analysis.</t>
        </is>
      </c>
      <c r="K411" s="4" t="str"/>
      <c r="L411" s="4" t="inlineStr">
        <is>
          <t>https://doi.org/10.1155/acis/1906938</t>
        </is>
      </c>
      <c r="M411" s="4" t="n"/>
      <c r="N411" s="12" t="n"/>
      <c r="O411" s="41" t="n"/>
      <c r="P411" s="4" t="inlineStr">
        <is>
          <t>Confirmed only when AI was actually evaluated/used within the stated workflow or intervention; intended use alone = Proposed only</t>
        </is>
      </c>
      <c r="Q411" s="4">
        <f>IF(COUNTIFS('ESTUDIOS'!$A$2:$A$455,$A411,'ESTUDIOS'!$I$2:$I$455,"")&gt;0,"",INDEX('ESTUDIOS'!$I$2:$I$455,MATCH($A411,'ESTUDIOS'!$A$2:$A$455,0)))</f>
        <v/>
      </c>
    </row>
    <row r="412" ht="73" customHeight="1">
      <c r="A412" s="4" t="inlineStr">
        <is>
          <t>new_296</t>
        </is>
      </c>
      <c r="B412" s="4" t="inlineStr">
        <is>
          <t>Update</t>
        </is>
      </c>
      <c r="C412" s="4" t="inlineStr">
        <is>
          <t>Deep learning for diagnosing autism spectrum disorder using EEG with upright and inverted face processing tasks</t>
        </is>
      </c>
      <c r="D412" s="4" t="inlineStr">
        <is>
          <t>Research only</t>
        </is>
      </c>
      <c r="E412" s="4" t="inlineStr">
        <is>
          <t>Experimental EEG diagnostic research; no deployed clinical workflow evaluated</t>
        </is>
      </c>
      <c r="F412" s="4" t="n"/>
      <c r="G412" s="4" t="inlineStr">
        <is>
          <t>Recorded in update; verification pending</t>
        </is>
      </c>
      <c r="H412" s="4" t="n"/>
      <c r="I412" s="4" t="inlineStr">
        <is>
          <t>ASD classification / diagnosis</t>
        </is>
      </c>
      <c r="J412" s="4" t="inlineStr">
        <is>
          <t>Uses raw EEG recorded from ASD and TD children during upright/inverted face-processing tasks and evaluates lightweight one-dimensional CNN architectures for classification. Accessible material does not establish prospective enrollment, independent external validation, site-held-out robustness or formal XAI.</t>
        </is>
      </c>
      <c r="K412" s="4" t="str"/>
      <c r="L412" s="4" t="inlineStr">
        <is>
          <t>https://doi.org/10.1016/j.bspc.2026.109655</t>
        </is>
      </c>
      <c r="M412" s="4" t="n"/>
      <c r="N412" s="12" t="n"/>
      <c r="O412" s="41" t="n"/>
      <c r="P412" s="4" t="inlineStr">
        <is>
          <t>Confirmed only when AI was actually evaluated/used within the stated workflow or intervention; intended use alone = Proposed only</t>
        </is>
      </c>
      <c r="Q412" s="4">
        <f>IF(COUNTIFS('ESTUDIOS'!$A$2:$A$455,$A412,'ESTUDIOS'!$I$2:$I$455,"")&gt;0,"",INDEX('ESTUDIOS'!$I$2:$I$455,MATCH($A412,'ESTUDIOS'!$A$2:$A$455,0)))</f>
        <v/>
      </c>
    </row>
    <row r="413" ht="99" customHeight="1">
      <c r="A413" s="4" t="inlineStr">
        <is>
          <t>new_298</t>
        </is>
      </c>
      <c r="B413" s="4" t="inlineStr">
        <is>
          <t>Update</t>
        </is>
      </c>
      <c r="C413" s="4" t="inlineStr">
        <is>
          <t>Effects of conversational AI-enhanced peer-mediated intervention by peers with intellectual disabilities on conversational skills in children with ASD</t>
        </is>
      </c>
      <c r="D413" s="4" t="inlineStr">
        <is>
          <t>Confirmed in intervention</t>
        </is>
      </c>
      <c r="E413" s="4" t="inlineStr">
        <is>
          <t>Conversational AI embedded in peer-mediated intervention and experimentally compared with PMI-ID-only</t>
        </is>
      </c>
      <c r="F413" s="4" t="n"/>
      <c r="G413" s="4" t="inlineStr">
        <is>
          <t>Recorded in update; verification pending</t>
        </is>
      </c>
      <c r="H413" s="4" t="n"/>
      <c r="I413" s="4" t="inlineStr">
        <is>
          <t>Conversational-skill intervention support</t>
        </is>
      </c>
      <c r="J413" s="4" t="inlineStr">
        <is>
          <t>A multiple-probe/alternating-treatment intervention compares conversational-AI-enhanced peer mediation with peer-mediated instruction alone and reports gains in initiations, responses, lexical diversity and generalization. The underlying conversational model is not technically specified in the accessible material; the small single-case design limits generalizability despite real intervention deployment.</t>
        </is>
      </c>
      <c r="K413" s="4" t="str"/>
      <c r="L413" s="4" t="inlineStr">
        <is>
          <t>https://doi.org/10.1016/j.ridd.2026.105249</t>
        </is>
      </c>
      <c r="M413" s="4" t="n"/>
      <c r="N413" s="12" t="n"/>
      <c r="O413" s="41" t="n"/>
      <c r="P413" s="4" t="inlineStr">
        <is>
          <t>Confirmed only when AI was actually evaluated/used within the stated workflow or intervention; intended use alone = Proposed only</t>
        </is>
      </c>
      <c r="Q413" s="4">
        <f>IF(COUNTIFS('ESTUDIOS'!$A$2:$A$455,$A413,'ESTUDIOS'!$I$2:$I$455,"")&gt;0,"",INDEX('ESTUDIOS'!$I$2:$I$455,MATCH($A413,'ESTUDIOS'!$A$2:$A$455,0)))</f>
        <v/>
      </c>
    </row>
    <row r="414" ht="99" customHeight="1">
      <c r="A414" s="4" t="inlineStr">
        <is>
          <t>new_299</t>
        </is>
      </c>
      <c r="B414" s="4" t="inlineStr">
        <is>
          <t>Update</t>
        </is>
      </c>
      <c r="C414" s="4" t="inlineStr">
        <is>
          <t>Decoding the Neural Basis of Sensory Phenotypes in Autism</t>
        </is>
      </c>
      <c r="D414" s="4" t="inlineStr">
        <is>
          <t>Research only</t>
        </is>
      </c>
      <c r="E414" s="4" t="inlineStr">
        <is>
          <t>Within-ASD sensory-phenotype characterization; no unique ASD clinical-stage workflow evaluated</t>
        </is>
      </c>
      <c r="F414" s="4" t="n"/>
      <c r="G414" s="4" t="inlineStr">
        <is>
          <t>Recorded in update; verification pending</t>
        </is>
      </c>
      <c r="H414" s="4" t="n"/>
      <c r="I414" s="4" t="inlineStr">
        <is>
          <t>Within-ASD sensory-phenotype subtyping / classification</t>
        </is>
      </c>
      <c r="J414" s="4" t="inlineStr">
        <is>
          <t>Uses POND Network data to derive sensory phenotypes from Short Sensory Profile scores and classify phenotype pairs using graph-theoretical rs-fMRI features and linear SVC. POND is multisite, but no site-held-out generalization analysis is reported. SSP is used to define labels rather than fused as a second model-input modality, so multisource integration is not counted.</t>
        </is>
      </c>
      <c r="K414" s="4" t="str"/>
      <c r="L414" s="4" t="inlineStr">
        <is>
          <t>https://doi.org/10.1016/j.bpsc.2025.12.013</t>
        </is>
      </c>
      <c r="M414" s="4" t="n"/>
      <c r="N414" s="12" t="n"/>
      <c r="O414" s="41" t="n"/>
      <c r="P414" s="4" t="inlineStr">
        <is>
          <t>Confirmed only when AI was actually evaluated/used within the stated workflow or intervention; intended use alone = Proposed only</t>
        </is>
      </c>
      <c r="Q414" s="4">
        <f>IF(COUNTIFS('ESTUDIOS'!$A$2:$A$455,$A414,'ESTUDIOS'!$I$2:$I$455,"")&gt;0,"",INDEX('ESTUDIOS'!$I$2:$I$455,MATCH($A414,'ESTUDIOS'!$A$2:$A$455,0)))</f>
        <v/>
      </c>
    </row>
    <row r="415" ht="86" customHeight="1">
      <c r="A415" s="4" t="inlineStr">
        <is>
          <t>new_306</t>
        </is>
      </c>
      <c r="B415" s="4" t="inlineStr">
        <is>
          <t>Update</t>
        </is>
      </c>
      <c r="C415" s="4" t="inlineStr">
        <is>
          <t>Hybrid ensemble learning for Autism Spectrum Disorder screening using eye-tracking scanpath</t>
        </is>
      </c>
      <c r="D415" s="4" t="inlineStr">
        <is>
          <t>Proposed only</t>
        </is>
      </c>
      <c r="E415" s="4" t="inlineStr">
        <is>
          <t>Proposed eye-tracking screening classifier; no deployed workflow evaluated</t>
        </is>
      </c>
      <c r="F415" s="4" t="n"/>
      <c r="G415" s="4" t="inlineStr">
        <is>
          <t>Recorded in update; verification pending</t>
        </is>
      </c>
      <c r="H415" s="4" t="n"/>
      <c r="I415" s="4" t="inlineStr">
        <is>
          <t>ASD screening classification</t>
        </is>
      </c>
      <c r="J415" s="4" t="inlineStr">
        <is>
          <t>Benchmarks bagging, boosting and stacking on eye-tracking scanpaths; stacking reaches about 0.96 accuracy and the article explicitly argues that raw scanpath representation improves interpretability. Very small benchmark sample and internal fivefold CV; the interpretability claim lacks a formal attribution method and is therefore coded only as partial XAI.</t>
        </is>
      </c>
      <c r="K415" s="4" t="str"/>
      <c r="L415" s="4" t="inlineStr">
        <is>
          <t>https://doi.org/10.1016/j.array.2026.100753</t>
        </is>
      </c>
      <c r="M415" s="4" t="n"/>
      <c r="N415" s="12" t="n"/>
      <c r="O415" s="41" t="n"/>
      <c r="P415" s="4" t="inlineStr">
        <is>
          <t>Confirmed only when AI was actually evaluated/used within the stated workflow or intervention; intended use alone = Proposed only</t>
        </is>
      </c>
      <c r="Q415" s="4">
        <f>IF(COUNTIFS('ESTUDIOS'!$A$2:$A$455,$A415,'ESTUDIOS'!$I$2:$I$455,"")&gt;0,"",INDEX('ESTUDIOS'!$I$2:$I$455,MATCH($A415,'ESTUDIOS'!$A$2:$A$455,0)))</f>
        <v/>
      </c>
    </row>
    <row r="416" ht="99" customHeight="1">
      <c r="A416" s="4" t="inlineStr">
        <is>
          <t>new_316</t>
        </is>
      </c>
      <c r="B416" s="4" t="inlineStr">
        <is>
          <t>Update</t>
        </is>
      </c>
      <c r="C416" s="4" t="inlineStr">
        <is>
          <t>Identifying Immune-related Molecular Biomarkers in Autism Spectrum Disorder Using Data-independent Acquisition Proteomics and Machine Learning.</t>
        </is>
      </c>
      <c r="D416" s="4" t="inlineStr">
        <is>
          <t>Research only</t>
        </is>
      </c>
      <c r="E416" s="4" t="inlineStr">
        <is>
          <t>Biomarker research for diagnostic support; no deployed workflow evaluated</t>
        </is>
      </c>
      <c r="F416" s="4" t="n"/>
      <c r="G416" s="4" t="inlineStr">
        <is>
          <t>Recorded in update; verification pending</t>
        </is>
      </c>
      <c r="H416" s="4" t="n"/>
      <c r="I416" s="4" t="inlineStr">
        <is>
          <t>ASD biomarker discovery / diagnostic classification</t>
        </is>
      </c>
      <c r="J416" s="4" t="inlineStr">
        <is>
          <t>Serum proteomics in ASD and age-matched controls yielded an immune-related protein panel modeled with logistic regression; the biomarker panel is also checked using an orthogonal ELISA assay. Accessible material does not establish that ELISA validation used an independent cohort, so external validation is not counted. The compact biomarker panel supports partial interpretability.</t>
        </is>
      </c>
      <c r="K416" s="4" t="str"/>
      <c r="L416" s="4" t="inlineStr">
        <is>
          <t>https://doi.org/10.3791/68949</t>
        </is>
      </c>
      <c r="M416" s="4" t="n"/>
      <c r="N416" s="12" t="n"/>
      <c r="O416" s="41" t="n"/>
      <c r="P416" s="4" t="inlineStr">
        <is>
          <t>Confirmed only when AI was actually evaluated/used within the stated workflow or intervention; intended use alone = Proposed only</t>
        </is>
      </c>
      <c r="Q416" s="4">
        <f>IF(COUNTIFS('ESTUDIOS'!$A$2:$A$455,$A416,'ESTUDIOS'!$I$2:$I$455,"")&gt;0,"",INDEX('ESTUDIOS'!$I$2:$I$455,MATCH($A416,'ESTUDIOS'!$A$2:$A$455,0)))</f>
        <v/>
      </c>
    </row>
    <row r="417" ht="86" customHeight="1">
      <c r="A417" s="4" t="inlineStr">
        <is>
          <t>new_319</t>
        </is>
      </c>
      <c r="B417" s="4" t="inlineStr">
        <is>
          <t>Update</t>
        </is>
      </c>
      <c r="C417" s="4" t="inlineStr">
        <is>
          <t>Enhanced detection of autism spectrum disorder through neuroimaging data using stack classifier ensembled with modified VGG-19</t>
        </is>
      </c>
      <c r="D417" s="4" t="inlineStr">
        <is>
          <t>Research only</t>
        </is>
      </c>
      <c r="E417" s="4" t="inlineStr">
        <is>
          <t>Retrospective multimodal neuroimaging classification; no clinical workflow deployment evaluated</t>
        </is>
      </c>
      <c r="F417" s="4" t="n"/>
      <c r="G417" s="4" t="inlineStr">
        <is>
          <t>Recorded in update; verification pending</t>
        </is>
      </c>
      <c r="H417" s="4" t="n"/>
      <c r="I417" s="4" t="inlineStr">
        <is>
          <t>ASD classification / detection</t>
        </is>
      </c>
      <c r="J417" s="4" t="inlineStr">
        <is>
          <t>Combines structural and functional MRI from ABIDE I and II with conventional classifiers, stacking and modified VGG-19 features; performance is reported separately for both datasets. ABIDE is multisite and the model is multimodal, but the accessible description does not establish site-held-out robustness or a strict independent external-validation design.</t>
        </is>
      </c>
      <c r="K417" s="4" t="str"/>
      <c r="L417" s="4" t="inlineStr">
        <is>
          <t>https://doi.org/10.1177/02841851251333974</t>
        </is>
      </c>
      <c r="M417" s="4" t="n"/>
      <c r="N417" s="12" t="n"/>
      <c r="O417" s="41" t="n"/>
      <c r="P417" s="4" t="inlineStr">
        <is>
          <t>Confirmed only when AI was actually evaluated/used within the stated workflow or intervention; intended use alone = Proposed only</t>
        </is>
      </c>
      <c r="Q417" s="4">
        <f>IF(COUNTIFS('ESTUDIOS'!$A$2:$A$455,$A417,'ESTUDIOS'!$I$2:$I$455,"")&gt;0,"",INDEX('ESTUDIOS'!$I$2:$I$455,MATCH($A417,'ESTUDIOS'!$A$2:$A$455,0)))</f>
        <v/>
      </c>
    </row>
    <row r="418" ht="99" customHeight="1">
      <c r="A418" s="4" t="inlineStr">
        <is>
          <t>new_323</t>
        </is>
      </c>
      <c r="B418" s="4" t="inlineStr">
        <is>
          <t>Update</t>
        </is>
      </c>
      <c r="C418" s="4" t="inlineStr">
        <is>
          <t>Energy-Efficient EEG-Based Autism Spectrum Disorder Detection Using a Hyperbolic Attention Neural Network</t>
        </is>
      </c>
      <c r="D418" s="4" t="inlineStr">
        <is>
          <t>Proposed only</t>
        </is>
      </c>
      <c r="E418" s="4" t="inlineStr">
        <is>
          <t>Proposed wearable/on-node EEG diagnostic classifier; no clinical workflow deployment evaluated</t>
        </is>
      </c>
      <c r="F418" s="4" t="n"/>
      <c r="G418" s="4" t="inlineStr">
        <is>
          <t>Recorded in update; verification pending</t>
        </is>
      </c>
      <c r="H418" s="4" t="n"/>
      <c r="I418" s="4" t="inlineStr">
        <is>
          <t>ASD detection/classification from EEG with energy-efficient wearable processing</t>
        </is>
      </c>
      <c r="J418" s="4" t="inlineStr">
        <is>
          <t>EEG is denoised and transformed with DT-DWT, features are selected with Parrot Optimization, and HyperCrossNet with Pied Kingfisher Optimization is used for ASD classification; the abstract reports 99.92% accuracy. Public benchmark evaluation with extremely high performance; no independent external cohort, site-held-out analysis, prospective evaluation, or formal XAI was established in the accessible evidence.</t>
        </is>
      </c>
      <c r="K418" s="4" t="str"/>
      <c r="L418" s="4" t="inlineStr">
        <is>
          <t>https://doi.org/10.1002/dneu.70011</t>
        </is>
      </c>
      <c r="M418" s="4" t="n"/>
      <c r="N418" s="12" t="n"/>
      <c r="O418" s="41" t="n"/>
      <c r="P418" s="4" t="inlineStr">
        <is>
          <t>Confirmed only when AI was actually evaluated/used within the stated workflow or intervention; intended use alone = Proposed only</t>
        </is>
      </c>
      <c r="Q418" s="4">
        <f>IF(COUNTIFS('ESTUDIOS'!$A$2:$A$455,$A418,'ESTUDIOS'!$I$2:$I$455,"")&gt;0,"",INDEX('ESTUDIOS'!$I$2:$I$455,MATCH($A418,'ESTUDIOS'!$A$2:$A$455,0)))</f>
        <v/>
      </c>
    </row>
    <row r="419" ht="86" customHeight="1">
      <c r="A419" s="4" t="inlineStr">
        <is>
          <t>new_326</t>
        </is>
      </c>
      <c r="B419" s="4" t="inlineStr">
        <is>
          <t>Update</t>
        </is>
      </c>
      <c r="C419" s="4" t="inlineStr">
        <is>
          <t>Classification of Autism Spectrum Disorder Using Edge-Weight Enhanced Graph Attention Network With Multiple Features of Resting-State fNIRS Signals</t>
        </is>
      </c>
      <c r="D419" s="4" t="inlineStr">
        <is>
          <t>Research only</t>
        </is>
      </c>
      <c r="E419" s="4" t="inlineStr">
        <is>
          <t>Experimental fNIRS diagnostic classifier</t>
        </is>
      </c>
      <c r="F419" s="4" t="n"/>
      <c r="G419" s="4" t="inlineStr">
        <is>
          <t>Recorded in update; verification pending</t>
        </is>
      </c>
      <c r="H419" s="4" t="n"/>
      <c r="I419" s="4" t="inlineStr">
        <is>
          <t>ASD identification/classification from resting-state fNIRS</t>
        </is>
      </c>
      <c r="J419" s="4" t="inlineStr">
        <is>
          <t>Resting-state fNIRS from 22 TD and 25 ASD children was represented with HbO/Hb node and edge features and classified using EWE-GAT; reported accuracy was 97.92%. Very small single cohort; no independent external validation, prospective workflow evaluation, or explicit site-robustness analysis was established.</t>
        </is>
      </c>
      <c r="K419" s="4" t="str"/>
      <c r="L419" s="4" t="inlineStr">
        <is>
          <t>https://doi.org/10.1002/jbio.202500138</t>
        </is>
      </c>
      <c r="M419" s="4" t="n"/>
      <c r="N419" s="12" t="n"/>
      <c r="O419" s="41" t="n"/>
      <c r="P419" s="4" t="inlineStr">
        <is>
          <t>Confirmed only when AI was actually evaluated/used within the stated workflow or intervention; intended use alone = Proposed only</t>
        </is>
      </c>
      <c r="Q419" s="4">
        <f>IF(COUNTIFS('ESTUDIOS'!$A$2:$A$455,$A419,'ESTUDIOS'!$I$2:$I$455,"")&gt;0,"",INDEX('ESTUDIOS'!$I$2:$I$455,MATCH($A419,'ESTUDIOS'!$A$2:$A$455,0)))</f>
        <v/>
      </c>
    </row>
    <row r="420" ht="112" customHeight="1">
      <c r="A420" s="4" t="inlineStr">
        <is>
          <t>new_334</t>
        </is>
      </c>
      <c r="B420" s="4" t="inlineStr">
        <is>
          <t>Update</t>
        </is>
      </c>
      <c r="C420" s="4" t="inlineStr">
        <is>
          <t>Constructing a Predictive Model for Children with Autism Spectrum Disorder Based on Whole-Brain MR Radiomics: A Machine Learning Study</t>
        </is>
      </c>
      <c r="D420" s="4" t="inlineStr">
        <is>
          <t>Research only</t>
        </is>
      </c>
      <c r="E420" s="4" t="inlineStr">
        <is>
          <t>Retrospective diagnostic prediction model with external cohort validation</t>
        </is>
      </c>
      <c r="F420" s="4" t="n"/>
      <c r="G420" s="4" t="inlineStr">
        <is>
          <t>Recorded in update; verification pending</t>
        </is>
      </c>
      <c r="H420" s="4" t="n"/>
      <c r="I420" s="4" t="inlineStr">
        <is>
          <t>ASD prediction/classification</t>
        </is>
      </c>
      <c r="J420" s="4" t="inlineStr">
        <is>
          <t>Whole-brain structural-MRI radiomics and VIQ were modeled in 223 ABIDE participants, with an independent external set of 87 participants from Georgetown and Miami; the decision-tree joint model achieved AUCs 0.87/0.84/0.83 in training/test/external sets. External validation is present, but the accessible report does not describe an explicit leave-site-out robustness design. The radiomics signature and VIQ provide feature-level interpretability rather than a formal post-hoc XAI method.</t>
        </is>
      </c>
      <c r="K420" s="4" t="str"/>
      <c r="L420" s="4" t="inlineStr">
        <is>
          <t>https://doi.org/10.3174/ajnr.a8939</t>
        </is>
      </c>
      <c r="M420" s="4" t="n"/>
      <c r="N420" s="12" t="n"/>
      <c r="O420" s="41" t="n"/>
      <c r="P420" s="4" t="inlineStr">
        <is>
          <t>Confirmed only when AI was actually evaluated/used within the stated workflow or intervention; intended use alone = Proposed only</t>
        </is>
      </c>
      <c r="Q420" s="4">
        <f>IF(COUNTIFS('ESTUDIOS'!$A$2:$A$455,$A420,'ESTUDIOS'!$I$2:$I$455,"")&gt;0,"",INDEX('ESTUDIOS'!$I$2:$I$455,MATCH($A420,'ESTUDIOS'!$A$2:$A$455,0)))</f>
        <v/>
      </c>
    </row>
    <row r="421" ht="86" customHeight="1">
      <c r="A421" s="4" t="inlineStr">
        <is>
          <t>new_342</t>
        </is>
      </c>
      <c r="B421" s="4" t="inlineStr">
        <is>
          <t>Update</t>
        </is>
      </c>
      <c r="C421" s="4" t="inlineStr">
        <is>
          <t>Auditory brainstem response abnormalities in autism spectrum disorder: A deep learning approach to characterize time-frequency signatures</t>
        </is>
      </c>
      <c r="D421" s="4" t="inlineStr">
        <is>
          <t>Research only</t>
        </is>
      </c>
      <c r="E421" s="4" t="inlineStr">
        <is>
          <t>Experimental ABR early-screening classifier with model-interpretability analysis</t>
        </is>
      </c>
      <c r="F421" s="4" t="n"/>
      <c r="G421" s="4" t="inlineStr">
        <is>
          <t>Recorded in update; verification pending</t>
        </is>
      </c>
      <c r="H421" s="4" t="n"/>
      <c r="I421" s="4" t="inlineStr">
        <is>
          <t>ASD classification and ABR signature characterization</t>
        </is>
      </c>
      <c r="J421" s="4" t="inlineStr">
        <is>
          <t>A dual-branch TF-TBN combines raw ABR waveforms and CWT spectrograms from 1,209 recordings; reported accuracy was 96.62%, and interpretability analysis linked decisions to wave III/V and interpeak latency abnormalities. No independent external cohort, site-held-out evaluation, or prospective clinical deployment was identified in the accessible material.</t>
        </is>
      </c>
      <c r="K421" s="4" t="str"/>
      <c r="L421" s="4" t="inlineStr">
        <is>
          <t>https://doi.org/10.1016/j.heares.2026.109654</t>
        </is>
      </c>
      <c r="M421" s="4" t="n"/>
      <c r="N421" s="12" t="n"/>
      <c r="O421" s="41" t="n"/>
      <c r="P421" s="4" t="inlineStr">
        <is>
          <t>Confirmed only when AI was actually evaluated/used within the stated workflow or intervention; intended use alone = Proposed only</t>
        </is>
      </c>
      <c r="Q421" s="4">
        <f>IF(COUNTIFS('ESTUDIOS'!$A$2:$A$455,$A421,'ESTUDIOS'!$I$2:$I$455,"")&gt;0,"",INDEX('ESTUDIOS'!$I$2:$I$455,MATCH($A421,'ESTUDIOS'!$A$2:$A$455,0)))</f>
        <v/>
      </c>
    </row>
    <row r="422" ht="99" customHeight="1">
      <c r="A422" s="4" t="inlineStr">
        <is>
          <t>new_343</t>
        </is>
      </c>
      <c r="B422" s="4" t="inlineStr">
        <is>
          <t>Update</t>
        </is>
      </c>
      <c r="C422" s="4" t="inlineStr">
        <is>
          <t>An explainable machine unlearning algorithm framework for early detection of autism spectrum disorder and brain disabilities in newborns</t>
        </is>
      </c>
      <c r="D422" s="4" t="inlineStr">
        <is>
          <t>Proposed only</t>
        </is>
      </c>
      <c r="E422" s="4" t="inlineStr">
        <is>
          <t>Proposed early-screening framework evaluated on public benchmark datasets</t>
        </is>
      </c>
      <c r="F422" s="4" t="n"/>
      <c r="G422" s="4" t="inlineStr">
        <is>
          <t>Recorded in update; verification pending</t>
        </is>
      </c>
      <c r="H422" s="4" t="n"/>
      <c r="I422" s="4" t="inlineStr">
        <is>
          <t>Early ASD/brain-disability detection</t>
        </is>
      </c>
      <c r="J422" s="4" t="inlineStr">
        <is>
          <t>MUXAI-ASDBD combines CNN-based modeling, partition-oriented explainability and machine unlearning across screening, MRI and EEG benchmark datasets; the paper reports strong classification performance. Benchmark-based evaluation across heterogeneous tasks/datasets does not establish prospective clinical deployment or an independent external/site-held-out validation protocol.</t>
        </is>
      </c>
      <c r="K422" s="4" t="str"/>
      <c r="L422" s="4" t="inlineStr">
        <is>
          <t>https://doi.org/10.1016/j.aej.2026.04.002</t>
        </is>
      </c>
      <c r="M422" s="4" t="n"/>
      <c r="N422" s="12" t="n"/>
      <c r="O422" s="41" t="n"/>
      <c r="P422" s="4" t="inlineStr">
        <is>
          <t>Confirmed only when AI was actually evaluated/used within the stated workflow or intervention; intended use alone = Proposed only</t>
        </is>
      </c>
      <c r="Q422" s="4">
        <f>IF(COUNTIFS('ESTUDIOS'!$A$2:$A$455,$A422,'ESTUDIOS'!$I$2:$I$455,"")&gt;0,"",INDEX('ESTUDIOS'!$I$2:$I$455,MATCH($A422,'ESTUDIOS'!$A$2:$A$455,0)))</f>
        <v/>
      </c>
    </row>
    <row r="423" ht="99" customHeight="1">
      <c r="A423" s="4" t="inlineStr">
        <is>
          <t>new_347</t>
        </is>
      </c>
      <c r="B423" s="4" t="inlineStr">
        <is>
          <t>Update</t>
        </is>
      </c>
      <c r="C423" s="4" t="inlineStr">
        <is>
          <t>Vision transformer and complex network analysis for autism spectrum disorder classification in T1 structural MRI</t>
        </is>
      </c>
      <c r="D423" s="4" t="inlineStr">
        <is>
          <t>Research only</t>
        </is>
      </c>
      <c r="E423" s="4" t="inlineStr">
        <is>
          <t>Retrospective ABIDE structural-MRI diagnostic classifier</t>
        </is>
      </c>
      <c r="F423" s="4" t="n"/>
      <c r="G423" s="4" t="inlineStr">
        <is>
          <t>Recorded in update; verification pending</t>
        </is>
      </c>
      <c r="H423" s="4" t="n"/>
      <c r="I423" s="4" t="inlineStr">
        <is>
          <t>ASD classification from T1 structural MRI</t>
        </is>
      </c>
      <c r="J423" s="4" t="inlineStr">
        <is>
          <t>T1 structural MRI from ABIDE was analyzed using complex-network analysis and Vision Transformer features across multiple federated combinations; the CNA(KNN)-ViT(NN) configuration reported accuracy 0.951 and AUC 0.98. ABIDE is multisite, but the reported evaluation is internal five-fold validation rather than an explicit site-held-out or independent external robustness test.</t>
        </is>
      </c>
      <c r="K423" s="4" t="str"/>
      <c r="L423" s="4" t="inlineStr">
        <is>
          <t>https://doi.org/10.1007/s11604-025-01832-3</t>
        </is>
      </c>
      <c r="M423" s="4" t="n"/>
      <c r="N423" s="12" t="n"/>
      <c r="O423" s="41" t="n"/>
      <c r="P423" s="4" t="inlineStr">
        <is>
          <t>Confirmed only when AI was actually evaluated/used within the stated workflow or intervention; intended use alone = Proposed only</t>
        </is>
      </c>
      <c r="Q423" s="4">
        <f>IF(COUNTIFS('ESTUDIOS'!$A$2:$A$455,$A423,'ESTUDIOS'!$I$2:$I$455,"")&gt;0,"",INDEX('ESTUDIOS'!$I$2:$I$455,MATCH($A423,'ESTUDIOS'!$A$2:$A$455,0)))</f>
        <v/>
      </c>
    </row>
    <row r="424" ht="86" customHeight="1">
      <c r="A424" s="4" t="inlineStr">
        <is>
          <t>new_349</t>
        </is>
      </c>
      <c r="B424" s="4" t="inlineStr">
        <is>
          <t>Update</t>
        </is>
      </c>
      <c r="C424" s="4" t="inlineStr">
        <is>
          <t>Dominant cross-frequency analysis-based early diagnosis of Autism Spectrum Disorder in pediatrics using FRHIS and DSTCNN</t>
        </is>
      </c>
      <c r="D424" s="4" t="inlineStr">
        <is>
          <t>Research only</t>
        </is>
      </c>
      <c r="E424" s="4" t="inlineStr">
        <is>
          <t>Experimental pediatric EEG diagnostic classifier</t>
        </is>
      </c>
      <c r="F424" s="4" t="n"/>
      <c r="G424" s="4" t="inlineStr">
        <is>
          <t>Recorded in update; verification pending</t>
        </is>
      </c>
      <c r="H424" s="4" t="n"/>
      <c r="I424" s="4" t="inlineStr">
        <is>
          <t>Early ASD diagnosis/classification from EEG</t>
        </is>
      </c>
      <c r="J424" s="4" t="inlineStr">
        <is>
          <t>The study applies dominant cross-frequency EEG analysis, FRHIS/CRBM-based feature processing and a DSTCNN classifier for pediatric ASD; the abstract reports 99.03% accuracy. The very high reported performance is not accompanied by an independent external cohort, prospective evaluation, or explicit cross-site robustness analysis in the accessible source.</t>
        </is>
      </c>
      <c r="K424" s="4" t="str"/>
      <c r="L424" s="4" t="inlineStr">
        <is>
          <t>https://doi.org/10.1016/j.pscychresns.2026.112270</t>
        </is>
      </c>
      <c r="M424" s="4" t="n"/>
      <c r="N424" s="12" t="n"/>
      <c r="O424" s="41" t="n"/>
      <c r="P424" s="4" t="inlineStr">
        <is>
          <t>Confirmed only when AI was actually evaluated/used within the stated workflow or intervention; intended use alone = Proposed only</t>
        </is>
      </c>
      <c r="Q424" s="4">
        <f>IF(COUNTIFS('ESTUDIOS'!$A$2:$A$455,$A424,'ESTUDIOS'!$I$2:$I$455,"")&gt;0,"",INDEX('ESTUDIOS'!$I$2:$I$455,MATCH($A424,'ESTUDIOS'!$A$2:$A$455,0)))</f>
        <v/>
      </c>
    </row>
    <row r="425" ht="86" customHeight="1">
      <c r="A425" s="4" t="inlineStr">
        <is>
          <t>new_354</t>
        </is>
      </c>
      <c r="B425" s="4" t="inlineStr">
        <is>
          <t>Update</t>
        </is>
      </c>
      <c r="C425" s="4" t="inlineStr">
        <is>
          <t>Contrastive diffusion adaptation network with rs-fMRI for domain adaptation classification of autism spectrum disorder</t>
        </is>
      </c>
      <c r="D425" s="4" t="inlineStr">
        <is>
          <t>Research only</t>
        </is>
      </c>
      <c r="E425" s="4" t="inlineStr">
        <is>
          <t>Retrospective cross-site rs-fMRI domain-adaptation classifier</t>
        </is>
      </c>
      <c r="F425" s="4" t="n"/>
      <c r="G425" s="4" t="inlineStr">
        <is>
          <t>Recorded in update; verification pending</t>
        </is>
      </c>
      <c r="H425" s="4" t="n"/>
      <c r="I425" s="4" t="inlineStr">
        <is>
          <t>Cross-site ASD classification/domain adaptation</t>
        </is>
      </c>
      <c r="J425" s="4" t="inlineStr">
        <is>
          <t>CoNA-Net combines contrastive graph representation learning, diffusion-based augmentation and brain-node attention to address domain shift across ABIDE sites and to identify influential brain regions. Cross-site/domain-adaptation testing supports robustness but is not equivalent to an independent prospective external clinical validation cohort.</t>
        </is>
      </c>
      <c r="K425" s="4" t="str"/>
      <c r="L425" s="4" t="inlineStr">
        <is>
          <t>https://doi.org/10.1016/j.asoc.2026.115959</t>
        </is>
      </c>
      <c r="M425" s="4" t="n"/>
      <c r="N425" s="12" t="n"/>
      <c r="O425" s="41" t="n"/>
      <c r="P425" s="4" t="inlineStr">
        <is>
          <t>Confirmed only when AI was actually evaluated/used within the stated workflow or intervention; intended use alone = Proposed only</t>
        </is>
      </c>
      <c r="Q425" s="4">
        <f>IF(COUNTIFS('ESTUDIOS'!$A$2:$A$455,$A425,'ESTUDIOS'!$I$2:$I$455,"")&gt;0,"",INDEX('ESTUDIOS'!$I$2:$I$455,MATCH($A425,'ESTUDIOS'!$A$2:$A$455,0)))</f>
        <v/>
      </c>
    </row>
    <row r="426" ht="73" customHeight="1">
      <c r="A426" s="4" t="inlineStr">
        <is>
          <t>new_355</t>
        </is>
      </c>
      <c r="B426" s="4" t="inlineStr">
        <is>
          <t>Update</t>
        </is>
      </c>
      <c r="C426" s="4" t="inlineStr">
        <is>
          <t>Hybrid HOG–ResNet50V2 framework for early autism spectrum disorder detection from facial images</t>
        </is>
      </c>
      <c r="D426" s="4" t="inlineStr">
        <is>
          <t>Proposed only</t>
        </is>
      </c>
      <c r="E426" s="4" t="inlineStr">
        <is>
          <t>Proposed facial-image screening classifier</t>
        </is>
      </c>
      <c r="F426" s="4" t="n"/>
      <c r="G426" s="4" t="inlineStr">
        <is>
          <t>Recorded in update; verification pending</t>
        </is>
      </c>
      <c r="H426" s="4" t="n"/>
      <c r="I426" s="4" t="inlineStr">
        <is>
          <t>Facial-image ASD screening/classification</t>
        </is>
      </c>
      <c r="J426" s="4" t="inlineStr">
        <is>
          <t>The study combines HOG descriptors with ResNet50V2 transfer learning for ASD classification from facial images. The accessible material does not establish independent external validation, prospective deployment, cross-site robustness, or an explicit XAI method.</t>
        </is>
      </c>
      <c r="K426" s="4" t="str"/>
      <c r="L426" s="4" t="inlineStr">
        <is>
          <t>https://doi.org/10.1016/j.array.2026.100936</t>
        </is>
      </c>
      <c r="M426" s="4" t="n"/>
      <c r="N426" s="12" t="n"/>
      <c r="O426" s="41" t="n"/>
      <c r="P426" s="4" t="inlineStr">
        <is>
          <t>Confirmed only when AI was actually evaluated/used within the stated workflow or intervention; intended use alone = Proposed only</t>
        </is>
      </c>
      <c r="Q426" s="4">
        <f>IF(COUNTIFS('ESTUDIOS'!$A$2:$A$455,$A426,'ESTUDIOS'!$I$2:$I$455,"")&gt;0,"",INDEX('ESTUDIOS'!$I$2:$I$455,MATCH($A426,'ESTUDIOS'!$A$2:$A$455,0)))</f>
        <v/>
      </c>
    </row>
    <row r="427" ht="112" customHeight="1">
      <c r="A427" s="4" t="inlineStr">
        <is>
          <t>new_364</t>
        </is>
      </c>
      <c r="B427" s="4" t="inlineStr">
        <is>
          <t>Update</t>
        </is>
      </c>
      <c r="C427" s="4" t="inlineStr">
        <is>
          <t>Smart detection of autism spectrum disorder using optimized deep learner for transforming early diagnosis and intervention</t>
        </is>
      </c>
      <c r="D427" s="4" t="inlineStr">
        <is>
          <t>Proposed only</t>
        </is>
      </c>
      <c r="E427" s="4" t="inlineStr">
        <is>
          <t>Proposed early-screening classifier evaluated on separate structured and text datasets</t>
        </is>
      </c>
      <c r="F427" s="4" t="n"/>
      <c r="G427" s="4" t="inlineStr">
        <is>
          <t>Recorded in update; verification pending</t>
        </is>
      </c>
      <c r="H427" s="4" t="n"/>
      <c r="I427" s="4" t="inlineStr">
        <is>
          <t>ASD detection/classification</t>
        </is>
      </c>
      <c r="J427" s="4" t="inlineStr">
        <is>
          <t>The full text describes experiments on the Reddit Mental Health Dataset and ASD Screening Dataset, including stratified 70/15/15 train/validation/test splits and reported performance near 99%. Material reporting contradiction: the Methods/Results explicitly analyze two datasets, while the Data Availability statement says no datasets were generated or analysed. Inclusion is retained provisionally, but this requires high-priority human verification before final synthesis.</t>
        </is>
      </c>
      <c r="K427" s="4" t="str"/>
      <c r="L427" s="4" t="inlineStr">
        <is>
          <t>https://doi.org/10.1007/s12065-026-01162-x</t>
        </is>
      </c>
      <c r="M427" s="4" t="n"/>
      <c r="N427" s="12" t="n"/>
      <c r="O427" s="41" t="n"/>
      <c r="P427" s="4" t="inlineStr">
        <is>
          <t>Confirmed only when AI was actually evaluated/used within the stated workflow or intervention; intended use alone = Proposed only</t>
        </is>
      </c>
      <c r="Q427" s="4">
        <f>IF(COUNTIFS('ESTUDIOS'!$A$2:$A$455,$A427,'ESTUDIOS'!$I$2:$I$455,"")&gt;0,"",INDEX('ESTUDIOS'!$I$2:$I$455,MATCH($A427,'ESTUDIOS'!$A$2:$A$455,0)))</f>
        <v/>
      </c>
    </row>
    <row r="428" ht="125" customHeight="1">
      <c r="A428" s="4" t="inlineStr">
        <is>
          <t>new_366</t>
        </is>
      </c>
      <c r="B428" s="4" t="inlineStr">
        <is>
          <t>Update</t>
        </is>
      </c>
      <c r="C428" s="4" t="inlineStr">
        <is>
          <t>Hybrid deep learning with cross-attention fusion for autism spectrum disorder classification from facial images</t>
        </is>
      </c>
      <c r="D428" s="4" t="inlineStr">
        <is>
          <t>Proposed only</t>
        </is>
      </c>
      <c r="E428" s="4" t="inlineStr">
        <is>
          <t>Proposed AI-assisted facial-image screening tool</t>
        </is>
      </c>
      <c r="F428" s="4" t="n"/>
      <c r="G428" s="4" t="inlineStr">
        <is>
          <t>Recorded in update; verification pending</t>
        </is>
      </c>
      <c r="H428" s="4" t="n"/>
      <c r="I428" s="4" t="inlineStr">
        <is>
          <t>ASD facial-image screening/classification</t>
        </is>
      </c>
      <c r="J428" s="4" t="inlineStr">
        <is>
          <t>A hybrid ResNet-152-CBAM/ViT-Large model with bidirectional cross-attention, weighted ensemble and test-time augmentation is evaluated on 2,940 public facial images; Grad-CAM highlights periocular regions and the ensemble reports 92% accuracy. The article reports a fixed 86.4%/3.4%/10.2% train/validation/test partition while the abstract also reports mean±SD across 5-fold cross-validation, creating an evaluation-protocol inconsistency that should be reconciled manually. No independent external dataset was used.</t>
        </is>
      </c>
      <c r="K428" s="4" t="str"/>
      <c r="L428" s="4" t="inlineStr">
        <is>
          <t>https://doi.org/10.1016/j.ibmed.2026.100421</t>
        </is>
      </c>
      <c r="M428" s="4" t="n"/>
      <c r="N428" s="12" t="n"/>
      <c r="O428" s="41" t="n"/>
      <c r="P428" s="4" t="inlineStr">
        <is>
          <t>Confirmed only when AI was actually evaluated/used within the stated workflow or intervention; intended use alone = Proposed only</t>
        </is>
      </c>
      <c r="Q428" s="4">
        <f>IF(COUNTIFS('ESTUDIOS'!$A$2:$A$455,$A428,'ESTUDIOS'!$I$2:$I$455,"")&gt;0,"",INDEX('ESTUDIOS'!$I$2:$I$455,MATCH($A428,'ESTUDIOS'!$A$2:$A$455,0)))</f>
        <v/>
      </c>
    </row>
    <row r="429" ht="112" customHeight="1">
      <c r="A429" s="4" t="inlineStr">
        <is>
          <t>new_371</t>
        </is>
      </c>
      <c r="B429" s="4" t="inlineStr">
        <is>
          <t>Update</t>
        </is>
      </c>
      <c r="C429" s="4" t="inlineStr">
        <is>
          <t>A Hybrid CNN-GAT Model for MRI Screening of Autism Spectrum Disorder</t>
        </is>
      </c>
      <c r="D429" s="4" t="inlineStr">
        <is>
          <t>Proposed only</t>
        </is>
      </c>
      <c r="E429" s="4" t="inlineStr">
        <is>
          <t>Proposed MRI-based screening/decision-support model; no clinical deployment evaluated</t>
        </is>
      </c>
      <c r="F429" s="4" t="n"/>
      <c r="G429" s="4" t="inlineStr">
        <is>
          <t>Recorded in update; verification pending</t>
        </is>
      </c>
      <c r="H429" s="4" t="n"/>
      <c r="I429" s="4" t="inlineStr">
        <is>
          <t>Classification (ASD vs non-ASD)</t>
        </is>
      </c>
      <c r="J429" s="4" t="inlineStr">
        <is>
          <t>Springer identifies this as a full conference paper in peer-reviewed MIND 2024 proceedings. The study proposes a hybrid CNN-GAT on publicly accessible MRI data and reports 88% ASD versus non-ASD classification accuracy. GAT attention is used to identify critical brain regions/connections. No independent external cohort, prospective clinical evaluation, or explicit cross-site robustness was established from the accessible evidence.</t>
        </is>
      </c>
      <c r="K429" s="4" t="str"/>
      <c r="L429" s="4" t="inlineStr">
        <is>
          <t>https://doi.org/10.1007/978-3-032-14531-4_4</t>
        </is>
      </c>
      <c r="M429" s="4" t="n"/>
      <c r="N429" s="12" t="n"/>
      <c r="O429" s="41" t="n"/>
      <c r="P429" s="4" t="inlineStr">
        <is>
          <t>Confirmed only when AI was actually evaluated/used within the stated workflow or intervention; intended use alone = Proposed only</t>
        </is>
      </c>
      <c r="Q429" s="4">
        <f>IF(COUNTIFS('ESTUDIOS'!$A$2:$A$455,$A429,'ESTUDIOS'!$I$2:$I$455,"")&gt;0,"",INDEX('ESTUDIOS'!$I$2:$I$455,MATCH($A429,'ESTUDIOS'!$A$2:$A$455,0)))</f>
        <v/>
      </c>
    </row>
    <row r="430" ht="125" customHeight="1">
      <c r="A430" s="4" t="inlineStr">
        <is>
          <t>new_373</t>
        </is>
      </c>
      <c r="B430" s="4" t="inlineStr">
        <is>
          <t>Update</t>
        </is>
      </c>
      <c r="C430" s="4" t="inlineStr">
        <is>
          <t>Multi-feature fusion transformer network for Autism spectrum disorder detection via facial images</t>
        </is>
      </c>
      <c r="D430" s="4" t="inlineStr">
        <is>
          <t>Proposed only</t>
        </is>
      </c>
      <c r="E430" s="4" t="inlineStr">
        <is>
          <t>Proposed interpretable facial-image screening tool</t>
        </is>
      </c>
      <c r="F430" s="4" t="n"/>
      <c r="G430" s="4" t="inlineStr">
        <is>
          <t>Recorded in update; verification pending</t>
        </is>
      </c>
      <c r="H430" s="4" t="n"/>
      <c r="I430" s="4" t="inlineStr">
        <is>
          <t>Early ASD facial screening</t>
        </is>
      </c>
      <c r="J430" s="4" t="inlineStr">
        <is>
          <t>MACFUT fuses facial-image features with landmark geometry, is trained on AFID with 10-fold CV, and is tested on an independent Bangladesh dataset (BACFED), reporting 86.51% external accuracy/AUC 94.78%; attention maps and facial anthropometry support interpretation. External cross-dataset testing strengthens generalization evidence, but the system is not prospectively deployed and image-source/demographic biases remain possible. Landmarks are derived from the same image source, so this was not counted as multisource data.</t>
        </is>
      </c>
      <c r="K430" s="4" t="str"/>
      <c r="L430" s="4" t="inlineStr">
        <is>
          <t>https://doi.org/10.1016/j.bspc.2026.110970</t>
        </is>
      </c>
      <c r="M430" s="4" t="n"/>
      <c r="N430" s="12" t="n"/>
      <c r="O430" s="41" t="n"/>
      <c r="P430" s="4" t="inlineStr">
        <is>
          <t>Confirmed only when AI was actually evaluated/used within the stated workflow or intervention; intended use alone = Proposed only</t>
        </is>
      </c>
      <c r="Q430" s="4">
        <f>IF(COUNTIFS('ESTUDIOS'!$A$2:$A$455,$A430,'ESTUDIOS'!$I$2:$I$455,"")&gt;0,"",INDEX('ESTUDIOS'!$I$2:$I$455,MATCH($A430,'ESTUDIOS'!$A$2:$A$455,0)))</f>
        <v/>
      </c>
    </row>
    <row r="431" ht="125" customHeight="1">
      <c r="A431" s="4" t="inlineStr">
        <is>
          <t>new_383</t>
        </is>
      </c>
      <c r="B431" s="4" t="inlineStr">
        <is>
          <t>Update</t>
        </is>
      </c>
      <c r="C431" s="4" t="inlineStr">
        <is>
          <t>Longitudinal multi-omics analysis of umbilical cord blood and childhood serum in Autism</t>
        </is>
      </c>
      <c r="D431" s="4" t="inlineStr">
        <is>
          <t>Research only</t>
        </is>
      </c>
      <c r="E431" s="4" t="inlineStr">
        <is>
          <t>Longitudinal prognostic biomarker research; not a deployed clinical risk tool</t>
        </is>
      </c>
      <c r="F431" s="4" t="n"/>
      <c r="G431" s="4" t="inlineStr">
        <is>
          <t>Recorded in update; verification pending</t>
        </is>
      </c>
      <c r="H431" s="4" t="n"/>
      <c r="I431" s="4" t="inlineStr">
        <is>
          <t>Prognostic biomarker discovery / future ASD prediction</t>
        </is>
      </c>
      <c r="J431" s="4" t="inlineStr">
        <is>
          <t>Within the BASELINE birth cohort, cord-blood proteomics/metabolomics from children later diagnosed with autism were analyzed and followed with childhood serum profiling; ML prediction models reported AUROC 0.82-0.85. The omics case numbers are small (22 future ASD cases in cord blood; 24 in follow-up), and the accessible report does not identify an independent external validation cohort or the specific ML family. Longitudinal collection supports prospective-evidence coding, not prospective clinical deployment.</t>
        </is>
      </c>
      <c r="K431" s="4" t="str"/>
      <c r="L431" s="4" t="inlineStr">
        <is>
          <t>https://doi.org/10.1038/s41380-025-03157-z</t>
        </is>
      </c>
      <c r="M431" s="4" t="n"/>
      <c r="N431" s="12" t="n"/>
      <c r="O431" s="41" t="n"/>
      <c r="P431" s="4" t="inlineStr">
        <is>
          <t>Confirmed only when AI was actually evaluated/used within the stated workflow or intervention; intended use alone = Proposed only</t>
        </is>
      </c>
      <c r="Q431" s="4">
        <f>IF(COUNTIFS('ESTUDIOS'!$A$2:$A$455,$A431,'ESTUDIOS'!$I$2:$I$455,"")&gt;0,"",INDEX('ESTUDIOS'!$I$2:$I$455,MATCH($A431,'ESTUDIOS'!$A$2:$A$455,0)))</f>
        <v/>
      </c>
    </row>
    <row r="432" ht="86" customHeight="1">
      <c r="A432" s="4" t="inlineStr">
        <is>
          <t>new_386</t>
        </is>
      </c>
      <c r="B432" s="4" t="inlineStr">
        <is>
          <t>Update</t>
        </is>
      </c>
      <c r="C432" s="4" t="inlineStr">
        <is>
          <t>3T dilated inception network for enhanced autism spectrum disorder diagnosis using resting-state fMRI data</t>
        </is>
      </c>
      <c r="D432" s="4" t="inlineStr">
        <is>
          <t>Research only</t>
        </is>
      </c>
      <c r="E432" s="4" t="inlineStr">
        <is>
          <t>Experimental rs-fMRI diagnostic classifier</t>
        </is>
      </c>
      <c r="F432" s="4" t="n"/>
      <c r="G432" s="4" t="inlineStr">
        <is>
          <t>Recorded in update; verification pending</t>
        </is>
      </c>
      <c r="H432" s="4" t="n"/>
      <c r="I432" s="4" t="inlineStr">
        <is>
          <t>ASD diagnosis/classification from rs-fMRI</t>
        </is>
      </c>
      <c r="J432" s="4" t="inlineStr">
        <is>
          <t>3T-DINet combines dilated inception, ResNet components and optimization and is evaluated across five ASD rs-fMRI datasets. Use of multiple ASD datasets was coded as multisite/multidataset evidence, but the accessible report does not establish an explicit leave-site-out or independent prospective external-validation design.</t>
        </is>
      </c>
      <c r="K432" s="4" t="str"/>
      <c r="L432" s="4" t="inlineStr">
        <is>
          <t>https://doi.org/10.1007/s11571-024-10202-0</t>
        </is>
      </c>
      <c r="M432" s="4" t="n"/>
      <c r="N432" s="12" t="n"/>
      <c r="O432" s="41" t="n"/>
      <c r="P432" s="4" t="inlineStr">
        <is>
          <t>Confirmed only when AI was actually evaluated/used within the stated workflow or intervention; intended use alone = Proposed only</t>
        </is>
      </c>
      <c r="Q432" s="4">
        <f>IF(COUNTIFS('ESTUDIOS'!$A$2:$A$455,$A432,'ESTUDIOS'!$I$2:$I$455,"")&gt;0,"",INDEX('ESTUDIOS'!$I$2:$I$455,MATCH($A432,'ESTUDIOS'!$A$2:$A$455,0)))</f>
        <v/>
      </c>
    </row>
    <row r="433" ht="112" customHeight="1">
      <c r="A433" s="4" t="inlineStr">
        <is>
          <t>new_387</t>
        </is>
      </c>
      <c r="B433" s="4" t="inlineStr">
        <is>
          <t>Update</t>
        </is>
      </c>
      <c r="C433" s="4" t="inlineStr">
        <is>
          <t>Predicting pragmatic language abilities from brain structural MRI in preschool children with ASD by NBS-Predict</t>
        </is>
      </c>
      <c r="D433" s="4" t="inlineStr">
        <is>
          <t>Research only</t>
        </is>
      </c>
      <c r="E433" s="4" t="inlineStr">
        <is>
          <t>Research structural-connectome classifier; also predicts pragmatic-language phenotype</t>
        </is>
      </c>
      <c r="F433" s="4" t="n"/>
      <c r="G433" s="4" t="inlineStr">
        <is>
          <t>Recorded in update; verification pending</t>
        </is>
      </c>
      <c r="H433" s="4" t="n"/>
      <c r="I433" s="4" t="inlineStr">
        <is>
          <t>ASD/TD classification and pragmatic-language score prediction</t>
        </is>
      </c>
      <c r="J433" s="4" t="inlineStr">
        <is>
          <t>In 92 preschool children with ASD and 52 TD controls, NBS-Predict identified a 42-connection structural subnetwork; an LDA classifier reported 79.4% ASD/TD accuracy and the network also showed a modest association with pragmatic-language ability. Single-center/cross-sectional evidence with no independent external validation. Diagnosis is used as the primary stage because the qualifying ASD/TD classifier is explicit; the paper also emphasizes pragmatic-language characterization.</t>
        </is>
      </c>
      <c r="K433" s="4" t="str"/>
      <c r="L433" s="4" t="inlineStr">
        <is>
          <t>https://doi.org/10.1007/s00787-025-02775-w</t>
        </is>
      </c>
      <c r="M433" s="4" t="n"/>
      <c r="N433" s="12" t="n"/>
      <c r="O433" s="41" t="n"/>
      <c r="P433" s="4" t="inlineStr">
        <is>
          <t>Confirmed only when AI was actually evaluated/used within the stated workflow or intervention; intended use alone = Proposed only</t>
        </is>
      </c>
      <c r="Q433" s="4">
        <f>IF(COUNTIFS('ESTUDIOS'!$A$2:$A$455,$A433,'ESTUDIOS'!$I$2:$I$455,"")&gt;0,"",INDEX('ESTUDIOS'!$I$2:$I$455,MATCH($A433,'ESTUDIOS'!$A$2:$A$455,0)))</f>
        <v/>
      </c>
    </row>
    <row r="434" ht="86" customHeight="1">
      <c r="A434" s="4" t="inlineStr">
        <is>
          <t>new_391</t>
        </is>
      </c>
      <c r="B434" s="4" t="inlineStr">
        <is>
          <t>Update</t>
        </is>
      </c>
      <c r="C434" s="4" t="inlineStr">
        <is>
          <t>Cell death-associated genes as novel diagnostic biomarkers for autism spectrum disorder</t>
        </is>
      </c>
      <c r="D434" s="4" t="inlineStr">
        <is>
          <t>Research only</t>
        </is>
      </c>
      <c r="E434" s="4" t="inlineStr">
        <is>
          <t>Research blood-biomarker diagnostic model</t>
        </is>
      </c>
      <c r="F434" s="4" t="n"/>
      <c r="G434" s="4" t="inlineStr">
        <is>
          <t>Recorded in update; verification pending</t>
        </is>
      </c>
      <c r="H434" s="4" t="n"/>
      <c r="I434" s="4" t="inlineStr">
        <is>
          <t>Diagnostic biomarker / ASD classification</t>
        </is>
      </c>
      <c r="J434" s="4" t="inlineStr">
        <is>
          <t>Six ML algorithms and WGCNA were used to derive a six-gene diagnostic panel; KNN performed best, with external human blood GSE42133 AUC 0.722 and local-sample AUC 0.781. External human validation is present but discrimination is moderate; mouse prefrontal-cortex validation is not counted as clinical external validation, and real-world replication remains needed.</t>
        </is>
      </c>
      <c r="K434" s="4" t="str"/>
      <c r="L434" s="4" t="inlineStr">
        <is>
          <t>https://doi.org/10.1007/s10495-025-02201-1</t>
        </is>
      </c>
      <c r="M434" s="4" t="n"/>
      <c r="N434" s="12" t="n"/>
      <c r="O434" s="41" t="n"/>
      <c r="P434" s="4" t="inlineStr">
        <is>
          <t>Confirmed only when AI was actually evaluated/used within the stated workflow or intervention; intended use alone = Proposed only</t>
        </is>
      </c>
      <c r="Q434" s="4">
        <f>IF(COUNTIFS('ESTUDIOS'!$A$2:$A$455,$A434,'ESTUDIOS'!$I$2:$I$455,"")&gt;0,"",INDEX('ESTUDIOS'!$I$2:$I$455,MATCH($A434,'ESTUDIOS'!$A$2:$A$455,0)))</f>
        <v/>
      </c>
    </row>
    <row r="435" ht="99" customHeight="1">
      <c r="A435" s="4" t="inlineStr">
        <is>
          <t>new_393</t>
        </is>
      </c>
      <c r="B435" s="4" t="inlineStr">
        <is>
          <t>Update</t>
        </is>
      </c>
      <c r="C435" s="4" t="inlineStr">
        <is>
          <t>Integrating explainable AI with machine learning for reliable autism spectrum disorder diagnosis</t>
        </is>
      </c>
      <c r="D435" s="4" t="inlineStr">
        <is>
          <t>Proposed only</t>
        </is>
      </c>
      <c r="E435" s="4" t="inlineStr">
        <is>
          <t>Proposed explainable structured-data screening classifier</t>
        </is>
      </c>
      <c r="F435" s="4" t="n"/>
      <c r="G435" s="4" t="inlineStr">
        <is>
          <t>Recorded in update; verification pending</t>
        </is>
      </c>
      <c r="H435" s="4" t="n"/>
      <c r="I435" s="4" t="inlineStr">
        <is>
          <t>ASD screening/classification</t>
        </is>
      </c>
      <c r="J435" s="4" t="inlineStr">
        <is>
          <t>The study compares LR, DT, RF, SVM, KNN, CNN and XGBoost on structured toddler/child/adult ASD screening data; XGBoost is reported as best and explanations are generated with LIME and SHAP. Very high reported performance is based on benchmark/combined structured screening data; no independent external cohort, site-held-out analysis or prospective clinical deployment was established in the accessible full text.</t>
        </is>
      </c>
      <c r="K435" s="4" t="str"/>
      <c r="L435" s="4" t="inlineStr">
        <is>
          <t>https://doi.org/10.1007/s42454-025-00087-7</t>
        </is>
      </c>
      <c r="M435" s="4" t="n"/>
      <c r="N435" s="12" t="n"/>
      <c r="O435" s="41" t="n"/>
      <c r="P435" s="4" t="inlineStr">
        <is>
          <t>Confirmed only when AI was actually evaluated/used within the stated workflow or intervention; intended use alone = Proposed only</t>
        </is>
      </c>
      <c r="Q435" s="4">
        <f>IF(COUNTIFS('ESTUDIOS'!$A$2:$A$455,$A435,'ESTUDIOS'!$I$2:$I$455,"")&gt;0,"",INDEX('ESTUDIOS'!$I$2:$I$455,MATCH($A435,'ESTUDIOS'!$A$2:$A$455,0)))</f>
        <v/>
      </c>
    </row>
    <row r="436" ht="99" customHeight="1">
      <c r="A436" s="4" t="inlineStr">
        <is>
          <t>new_398</t>
        </is>
      </c>
      <c r="B436" s="4" t="inlineStr">
        <is>
          <t>Update</t>
        </is>
      </c>
      <c r="C436" s="4" t="inlineStr">
        <is>
          <t>Diagnostic Classification of Autism Spectrum Disorder Using SD Maps of fMRI Data and Machine Learning</t>
        </is>
      </c>
      <c r="D436" s="4" t="inlineStr">
        <is>
          <t>Research only</t>
        </is>
      </c>
      <c r="E436" s="4" t="inlineStr">
        <is>
          <t>Retrospective ABIDE rs-fMRI diagnostic classifier</t>
        </is>
      </c>
      <c r="F436" s="4" t="n"/>
      <c r="G436" s="4" t="inlineStr">
        <is>
          <t>Recorded in update; verification pending</t>
        </is>
      </c>
      <c r="H436" s="4" t="n"/>
      <c r="I436" s="4" t="inlineStr">
        <is>
          <t>ASD diagnostic classification</t>
        </is>
      </c>
      <c r="J436" s="4" t="inlineStr">
        <is>
          <t>3D SD maps from ABIDE-I/II rs-fMRI were converted to 110 features and evaluated with LR, ridge, gradient boosting and XGBoost using 5-fold nested CV; LR achieved mean accuracy 70.71%. Nested cross-validation is methodologically stronger than a simple split but does not establish an independent/site-held-out external validation. Feature-contribution analysis was coded as partial interpretability, not strict XAI.</t>
        </is>
      </c>
      <c r="K436" s="4" t="str"/>
      <c r="L436" s="4" t="inlineStr">
        <is>
          <t>https://doi.org/10.1007/s40846-026-01044-8</t>
        </is>
      </c>
      <c r="M436" s="4" t="n"/>
      <c r="N436" s="12" t="n"/>
      <c r="O436" s="41" t="n"/>
      <c r="P436" s="4" t="inlineStr">
        <is>
          <t>Confirmed only when AI was actually evaluated/used within the stated workflow or intervention; intended use alone = Proposed only</t>
        </is>
      </c>
      <c r="Q436" s="4">
        <f>IF(COUNTIFS('ESTUDIOS'!$A$2:$A$455,$A436,'ESTUDIOS'!$I$2:$I$455,"")&gt;0,"",INDEX('ESTUDIOS'!$I$2:$I$455,MATCH($A436,'ESTUDIOS'!$A$2:$A$455,0)))</f>
        <v/>
      </c>
    </row>
    <row r="437" ht="99" customHeight="1">
      <c r="A437" s="4" t="inlineStr">
        <is>
          <t>new_5</t>
        </is>
      </c>
      <c r="B437" s="4" t="inlineStr">
        <is>
          <t>Update</t>
        </is>
      </c>
      <c r="C437" s="4" t="inlineStr">
        <is>
          <t>An exploration of machine learning approaches for early Autism Spectrum Disorder detection</t>
        </is>
      </c>
      <c r="D437" s="4" t="inlineStr">
        <is>
          <t>Proposed only</t>
        </is>
      </c>
      <c r="E437" s="4" t="inlineStr">
        <is>
          <t>Proposed early-screening classifier evaluated across public/real-world child datasets</t>
        </is>
      </c>
      <c r="F437" s="4" t="n"/>
      <c r="G437" s="4" t="inlineStr">
        <is>
          <t>Recorded in update; verification pending</t>
        </is>
      </c>
      <c r="H437" s="4" t="n"/>
      <c r="I437" s="4" t="inlineStr">
        <is>
          <t>ASD identification / early detection across child and toddler datasets</t>
        </is>
      </c>
      <c r="J437" s="4" t="inlineStr">
        <is>
          <t>Compares LR, SVC, KNN, decision tree and random forest on toddler and child ASD datasets; SVC is reported as the strongest model, with near-perfect/100% performance on some datasets. Very high benchmark performance raises overfitting/data-leakage concerns; no fixed independent external clinical cohort or site-held-out evaluation was established from the accessible evidence.</t>
        </is>
      </c>
      <c r="K437" s="4" t="str"/>
      <c r="L437" s="4" t="inlineStr">
        <is>
          <t>https://doi.org/10.1016/j.health.2024.100379</t>
        </is>
      </c>
      <c r="M437" s="4" t="n"/>
      <c r="N437" s="12" t="n"/>
      <c r="O437" s="41" t="n"/>
      <c r="P437" s="4" t="inlineStr">
        <is>
          <t>Confirmed only when AI was actually evaluated/used within the stated workflow or intervention; intended use alone = Proposed only</t>
        </is>
      </c>
      <c r="Q437" s="4">
        <f>IF(COUNTIFS('ESTUDIOS'!$A$2:$A$455,$A437,'ESTUDIOS'!$I$2:$I$455,"")&gt;0,"",INDEX('ESTUDIOS'!$I$2:$I$455,MATCH($A437,'ESTUDIOS'!$A$2:$A$455,0)))</f>
        <v/>
      </c>
    </row>
    <row r="438" ht="86" customHeight="1">
      <c r="A438" s="4" t="inlineStr">
        <is>
          <t>new_11</t>
        </is>
      </c>
      <c r="B438" s="4" t="inlineStr">
        <is>
          <t>Update</t>
        </is>
      </c>
      <c r="C438" s="4" t="inlineStr">
        <is>
          <t>Ensembler_fMRI: An Intelligent Approach for the Early Prediction of Autism Disorder</t>
        </is>
      </c>
      <c r="D438" s="4" t="inlineStr">
        <is>
          <t>Research only</t>
        </is>
      </c>
      <c r="E438" s="4" t="inlineStr">
        <is>
          <t>Experimental differential neuroimaging classifier; no demonstrated clinical deployment</t>
        </is>
      </c>
      <c r="F438" s="4" t="n"/>
      <c r="G438" s="4" t="inlineStr">
        <is>
          <t>Recorded in update; verification pending</t>
        </is>
      </c>
      <c r="H438" s="4" t="n"/>
      <c r="I438" s="4" t="inlineStr">
        <is>
          <t>Differential classification of ASD and ADHD from fMRI</t>
        </is>
      </c>
      <c r="J438" s="4" t="inlineStr">
        <is>
          <t>Ensembler_fMRI combines multiple AI techniques on fMRI data from ABIDE and ADHD-200 to distinguish ASD from ADHD; the abstract reports 98% accuracy. Use of multisite/multidataset repositories does not itself demonstrate held-out cross-site robustness or external validation; component model details are incomplete in the accessible abstract.</t>
        </is>
      </c>
      <c r="K438" s="4" t="str"/>
      <c r="L438" s="4" t="inlineStr">
        <is>
          <t>https://doi.org/10.1016/j.procs.2025.04.142</t>
        </is>
      </c>
      <c r="M438" s="4" t="n"/>
      <c r="N438" s="12" t="n"/>
      <c r="O438" s="41" t="n"/>
      <c r="P438" s="4" t="inlineStr">
        <is>
          <t>Confirmed only when AI was actually evaluated/used within the stated workflow or intervention; intended use alone = Proposed only</t>
        </is>
      </c>
      <c r="Q438" s="4">
        <f>IF(COUNTIFS('ESTUDIOS'!$A$2:$A$455,$A438,'ESTUDIOS'!$I$2:$I$455,"")&gt;0,"",INDEX('ESTUDIOS'!$I$2:$I$455,MATCH($A438,'ESTUDIOS'!$A$2:$A$455,0)))</f>
        <v/>
      </c>
    </row>
    <row r="439" ht="112" customHeight="1">
      <c r="A439" s="4" t="inlineStr">
        <is>
          <t>new_16</t>
        </is>
      </c>
      <c r="B439" s="4" t="inlineStr">
        <is>
          <t>Update</t>
        </is>
      </c>
      <c r="C439" s="4" t="inlineStr">
        <is>
          <t>Unraveling pathogenesis and potential biomarkers for autism spectrum disorder associated with HIF1A pathway based on machine learning and experiment validation</t>
        </is>
      </c>
      <c r="D439" s="4" t="inlineStr">
        <is>
          <t>Research only</t>
        </is>
      </c>
      <c r="E439" s="4" t="inlineStr">
        <is>
          <t>Research biomarker/pathogenesis model; no deployed clinical diagnostic workflow</t>
        </is>
      </c>
      <c r="F439" s="4" t="n"/>
      <c r="G439" s="4" t="inlineStr">
        <is>
          <t>Recorded in update; verification pending</t>
        </is>
      </c>
      <c r="H439" s="4" t="n"/>
      <c r="I439" s="4" t="inlineStr">
        <is>
          <t>ASD molecular biomarker/pathogenesis characterization and diagnostic-marker discovery</t>
        </is>
      </c>
      <c r="J439" s="4" t="inlineStr">
        <is>
          <t>Human GEO transcriptomic data are used to identify HIF1A-related hub genes with ML; single-cell analysis and MIA mouse/cell experiments support mechanistic interpretation. Human data therefore prevent an animal-only exclusion. Animal/cell validation is mechanistic, not independent clinical external validation; the accessible abstract does not identify a site-held-out human validation design or the exact ML family used for hub-gene selection.</t>
        </is>
      </c>
      <c r="K439" s="4" t="str"/>
      <c r="L439" s="4" t="inlineStr">
        <is>
          <t>https://doi.org/10.1016/j.nbd.2024.106763</t>
        </is>
      </c>
      <c r="M439" s="4" t="n"/>
      <c r="N439" s="12" t="n"/>
      <c r="O439" s="41" t="n"/>
      <c r="P439" s="4" t="inlineStr">
        <is>
          <t>Confirmed only when AI was actually evaluated/used within the stated workflow or intervention; intended use alone = Proposed only</t>
        </is>
      </c>
      <c r="Q439" s="4">
        <f>IF(COUNTIFS('ESTUDIOS'!$A$2:$A$455,$A439,'ESTUDIOS'!$I$2:$I$455,"")&gt;0,"",INDEX('ESTUDIOS'!$I$2:$I$455,MATCH($A439,'ESTUDIOS'!$A$2:$A$455,0)))</f>
        <v/>
      </c>
    </row>
    <row r="440" ht="112" customHeight="1">
      <c r="A440" s="4" t="inlineStr">
        <is>
          <t>new_27</t>
        </is>
      </c>
      <c r="B440" s="4" t="inlineStr">
        <is>
          <t>Update</t>
        </is>
      </c>
      <c r="C440" s="4" t="inlineStr">
        <is>
          <t>Developing a simplified measure to predict the risk of autism spectrum disorders: Abbreviating the M-CHAT-R using a machine learning approach in China</t>
        </is>
      </c>
      <c r="D440" s="4" t="inlineStr">
        <is>
          <t>Proposed only</t>
        </is>
      </c>
      <c r="E440" s="4" t="inlineStr">
        <is>
          <t>Proposed abbreviated M-CHAT-R screening support; no live primary-care deployment evaluated</t>
        </is>
      </c>
      <c r="F440" s="4" t="n"/>
      <c r="G440" s="4" t="inlineStr">
        <is>
          <t>Recorded in update; verification pending</t>
        </is>
      </c>
      <c r="H440" s="4" t="n"/>
      <c r="I440" s="4" t="inlineStr">
        <is>
          <t>Compact-item ASD screening / risk prediction</t>
        </is>
      </c>
      <c r="J440" s="4" t="inlineStr">
        <is>
          <t>Retrospective analysis of 6,049 Chinese toddlers combines M-CHAT-R items with 17 sociodemographic/environmental factors, uses multiple feature-selection methods and six ML models, and derives a shortened screening measure. Derived from an existing validation cohort and not independently externally validated; strong sensitivity/specificity can coexist with low PPV in low-prevalence screening, so clinical utility should not be inferred from discrimination alone.</t>
        </is>
      </c>
      <c r="K440" s="4" t="str"/>
      <c r="L440" s="4" t="inlineStr">
        <is>
          <t>https://doi.org/10.1016/j.psychres.2025.116353</t>
        </is>
      </c>
      <c r="M440" s="4" t="n"/>
      <c r="N440" s="12" t="n"/>
      <c r="O440" s="41" t="n"/>
      <c r="P440" s="4" t="inlineStr">
        <is>
          <t>Confirmed only when AI was actually evaluated/used within the stated workflow or intervention; intended use alone = Proposed only</t>
        </is>
      </c>
      <c r="Q440" s="4">
        <f>IF(COUNTIFS('ESTUDIOS'!$A$2:$A$455,$A440,'ESTUDIOS'!$I$2:$I$455,"")&gt;0,"",INDEX('ESTUDIOS'!$I$2:$I$455,MATCH($A440,'ESTUDIOS'!$A$2:$A$455,0)))</f>
        <v/>
      </c>
    </row>
    <row r="441" ht="86" customHeight="1">
      <c r="A441" s="4" t="inlineStr">
        <is>
          <t>new_31</t>
        </is>
      </c>
      <c r="B441" s="4" t="inlineStr">
        <is>
          <t>Update</t>
        </is>
      </c>
      <c r="C441" s="4" t="inlineStr">
        <is>
          <t>Replication of rs10099100 Association with Autism Spectrum Disorder Risk in a Polish‐Origin Cohort</t>
        </is>
      </c>
      <c r="D441" s="4" t="inlineStr">
        <is>
          <t>Research only</t>
        </is>
      </c>
      <c r="E441" s="4" t="inlineStr">
        <is>
          <t>Genetic biomarker research; no clinical screening workflow evaluated</t>
        </is>
      </c>
      <c r="F441" s="4" t="n"/>
      <c r="G441" s="4" t="inlineStr">
        <is>
          <t>Recorded in update; verification pending</t>
        </is>
      </c>
      <c r="H441" s="4" t="n"/>
      <c r="I441" s="4" t="inlineStr">
        <is>
          <t>ASD genetic-risk marker identification / case-control classification</t>
        </is>
      </c>
      <c r="J441" s="4" t="inlineStr">
        <is>
          <t>A Polish-origin ASD/control cohort is analyzed with Boruta and Random Forest to prioritize genetic and phenotypic markers, including replication of rs10099100-related risk evidence. Single ancestry-specific cohort with no independent external validation; association/feature importance is not equivalent to prospective screening performance.</t>
        </is>
      </c>
      <c r="K441" s="4" t="str"/>
      <c r="L441" s="4" t="inlineStr">
        <is>
          <t>https://doi.org/10.1016/j.reia.2025.202542</t>
        </is>
      </c>
      <c r="M441" s="4" t="n"/>
      <c r="N441" s="12" t="n"/>
      <c r="O441" s="41" t="n"/>
      <c r="P441" s="4" t="inlineStr">
        <is>
          <t>Confirmed only when AI was actually evaluated/used within the stated workflow or intervention; intended use alone = Proposed only</t>
        </is>
      </c>
      <c r="Q441" s="4">
        <f>IF(COUNTIFS('ESTUDIOS'!$A$2:$A$455,$A441,'ESTUDIOS'!$I$2:$I$455,"")&gt;0,"",INDEX('ESTUDIOS'!$I$2:$I$455,MATCH($A441,'ESTUDIOS'!$A$2:$A$455,0)))</f>
        <v/>
      </c>
    </row>
    <row r="442" ht="86" customHeight="1">
      <c r="A442" s="4" t="inlineStr">
        <is>
          <t>new_42</t>
        </is>
      </c>
      <c r="B442" s="4" t="inlineStr">
        <is>
          <t>Update</t>
        </is>
      </c>
      <c r="C442" s="4" t="inlineStr">
        <is>
          <t>Enhancing Early Diagnosis of Autism Spectrum Disorder Using a Bayesian-Optimized Random Forest Algorithm</t>
        </is>
      </c>
      <c r="D442" s="4" t="inlineStr">
        <is>
          <t>Proposed only</t>
        </is>
      </c>
      <c r="E442" s="4" t="inlineStr">
        <is>
          <t>Proposed optimized tabular screening classifier; no live clinical workflow evaluation</t>
        </is>
      </c>
      <c r="F442" s="4" t="n"/>
      <c r="G442" s="4" t="inlineStr">
        <is>
          <t>Recorded in update; verification pending</t>
        </is>
      </c>
      <c r="H442" s="4" t="n"/>
      <c r="I442" s="4" t="inlineStr">
        <is>
          <t>ASD screening / early diagnostic classification</t>
        </is>
      </c>
      <c r="J442" s="4" t="inlineStr">
        <is>
          <t>Uses Bayesian optimization to tune a Random Forest on behavioral, cognitive and demographic ASD variables; the paper reports very high classification performance. No independent external cohort, prospective deployment, or explicit explanation method was established; near-ceiling performance on structured ASD datasets requires careful leakage/selection-bias checks.</t>
        </is>
      </c>
      <c r="K442" s="4" t="str"/>
      <c r="L442" s="4" t="inlineStr">
        <is>
          <t>https://doi.org/10.1016/j.procs.2025.04.389</t>
        </is>
      </c>
      <c r="M442" s="4" t="n"/>
      <c r="N442" s="12" t="n"/>
      <c r="O442" s="41" t="n"/>
      <c r="P442" s="4" t="inlineStr">
        <is>
          <t>Confirmed only when AI was actually evaluated/used within the stated workflow or intervention; intended use alone = Proposed only</t>
        </is>
      </c>
      <c r="Q442" s="4">
        <f>IF(COUNTIFS('ESTUDIOS'!$A$2:$A$455,$A442,'ESTUDIOS'!$I$2:$I$455,"")&gt;0,"",INDEX('ESTUDIOS'!$I$2:$I$455,MATCH($A442,'ESTUDIOS'!$A$2:$A$455,0)))</f>
        <v/>
      </c>
    </row>
    <row r="443" ht="86" customHeight="1">
      <c r="A443" s="4" t="inlineStr">
        <is>
          <t>new_45</t>
        </is>
      </c>
      <c r="B443" s="4" t="inlineStr">
        <is>
          <t>Update</t>
        </is>
      </c>
      <c r="C443" s="4" t="inlineStr">
        <is>
          <t>Autism Spectrum Disorder Detection using Attention-Based CNN and ML Classifiers</t>
        </is>
      </c>
      <c r="D443" s="4" t="inlineStr">
        <is>
          <t>Research only</t>
        </is>
      </c>
      <c r="E443" s="4" t="inlineStr">
        <is>
          <t>Retrospective ABIDE diagnostic classifier; no live clinical deployment</t>
        </is>
      </c>
      <c r="F443" s="4" t="n"/>
      <c r="G443" s="4" t="inlineStr">
        <is>
          <t>Recorded in update; verification pending</t>
        </is>
      </c>
      <c r="H443" s="4" t="n"/>
      <c r="I443" s="4" t="inlineStr">
        <is>
          <t>ASD diagnostic classification from fMRI</t>
        </is>
      </c>
      <c r="J443" s="4" t="inlineStr">
        <is>
          <t>An attention-based CNN/Squeeze-and-Excitation pipeline extracts fMRI features and feeds ML classifiers for ASD detection on ABIDE; very high accuracy is reported. ABIDE is multisite, but no explicit site-held-out or independent external evaluation was established. Architectural attention was not counted as XAI because no explanation analysis was demonstrated.</t>
        </is>
      </c>
      <c r="K443" s="4" t="str"/>
      <c r="L443" s="4" t="inlineStr">
        <is>
          <t>https://doi.org/10.1016/j.procs.2025.04.671</t>
        </is>
      </c>
      <c r="M443" s="4" t="n"/>
      <c r="N443" s="12" t="n"/>
      <c r="O443" s="41" t="n"/>
      <c r="P443" s="4" t="inlineStr">
        <is>
          <t>Confirmed only when AI was actually evaluated/used within the stated workflow or intervention; intended use alone = Proposed only</t>
        </is>
      </c>
      <c r="Q443" s="4">
        <f>IF(COUNTIFS('ESTUDIOS'!$A$2:$A$455,$A443,'ESTUDIOS'!$I$2:$I$455,"")&gt;0,"",INDEX('ESTUDIOS'!$I$2:$I$455,MATCH($A443,'ESTUDIOS'!$A$2:$A$455,0)))</f>
        <v/>
      </c>
    </row>
    <row r="444" ht="73" customHeight="1">
      <c r="A444" s="4" t="inlineStr">
        <is>
          <t>new_56</t>
        </is>
      </c>
      <c r="B444" s="4" t="inlineStr">
        <is>
          <t>Update</t>
        </is>
      </c>
      <c r="C444" s="4" t="inlineStr">
        <is>
          <t>Effective AI Techniques for Analyzing Risk Factors in Autism Spectrum Disorder (ASD)</t>
        </is>
      </c>
      <c r="D444" s="4" t="inlineStr">
        <is>
          <t>Research only</t>
        </is>
      </c>
      <c r="E444" s="4" t="inlineStr">
        <is>
          <t>Risk-factor research; no deployed prospective risk-stratification workflow</t>
        </is>
      </c>
      <c r="F444" s="4" t="n"/>
      <c r="G444" s="4" t="inlineStr">
        <is>
          <t>Recorded in update; verification pending</t>
        </is>
      </c>
      <c r="H444" s="4" t="n"/>
      <c r="I444" s="4" t="inlineStr">
        <is>
          <t>ASD risk-factor analysis / risk stratification</t>
        </is>
      </c>
      <c r="J444" s="4" t="inlineStr">
        <is>
          <t>Applies Random Forest and XGBoost to clinical, genetic and environmental ASD risk variables and uses SHAP to identify influential factors. Risk-factor association and model explanation do not establish causal risk or clinical utility; no independent external or prospective validation was identified.</t>
        </is>
      </c>
      <c r="K444" s="4" t="str"/>
      <c r="L444" s="4" t="inlineStr">
        <is>
          <t>https://doi.org/10.1016/j.procs.2025.10.018</t>
        </is>
      </c>
      <c r="M444" s="4" t="n"/>
      <c r="N444" s="12" t="n"/>
      <c r="O444" s="41" t="n"/>
      <c r="P444" s="4" t="inlineStr">
        <is>
          <t>Confirmed only when AI was actually evaluated/used within the stated workflow or intervention; intended use alone = Proposed only</t>
        </is>
      </c>
      <c r="Q444" s="4">
        <f>IF(COUNTIFS('ESTUDIOS'!$A$2:$A$455,$A444,'ESTUDIOS'!$I$2:$I$455,"")&gt;0,"",INDEX('ESTUDIOS'!$I$2:$I$455,MATCH($A444,'ESTUDIOS'!$A$2:$A$455,0)))</f>
        <v/>
      </c>
    </row>
    <row r="445" ht="99" customHeight="1">
      <c r="A445" s="4" t="inlineStr">
        <is>
          <t>new_92</t>
        </is>
      </c>
      <c r="B445" s="4" t="inlineStr">
        <is>
          <t>Update</t>
        </is>
      </c>
      <c r="C445" s="4" t="inlineStr">
        <is>
          <t>Data independent acquisition proteomics and machine learning reveals that proteins associated with immunity are potential molecular markers for early diagnosis of autism</t>
        </is>
      </c>
      <c r="D445" s="4" t="inlineStr">
        <is>
          <t>Research only</t>
        </is>
      </c>
      <c r="E445" s="4" t="inlineStr">
        <is>
          <t>Research serum-biomarker diagnostic model; no deployed workflow</t>
        </is>
      </c>
      <c r="F445" s="4" t="n"/>
      <c r="G445" s="4" t="inlineStr">
        <is>
          <t>Recorded in update; verification pending</t>
        </is>
      </c>
      <c r="H445" s="4" t="n"/>
      <c r="I445" s="4" t="inlineStr">
        <is>
          <t>ASD biomarker discovery / diagnostic classification</t>
        </is>
      </c>
      <c r="J445" s="4" t="inlineStr">
        <is>
          <t>DIA serum proteomics in 99 ASD and 70 control children yields an eight-protein ML model after bidirectional feature screening; ELISA follow-up is reported for LYZ. Leave-one-out validation is internal; ELISA confirmation of selected proteins is not an independent external cohort test. The sample is geographically limited and biomarker selection can be optimistic without nested external replication.</t>
        </is>
      </c>
      <c r="K445" s="4" t="str"/>
      <c r="L445" s="4" t="inlineStr">
        <is>
          <t>https://doi.org/10.1016/j.cca.2025.120238</t>
        </is>
      </c>
      <c r="M445" s="4" t="n"/>
      <c r="N445" s="12" t="n"/>
      <c r="O445" s="41" t="n"/>
      <c r="P445" s="4" t="inlineStr">
        <is>
          <t>Confirmed only when AI was actually evaluated/used within the stated workflow or intervention; intended use alone = Proposed only</t>
        </is>
      </c>
      <c r="Q445" s="4">
        <f>IF(COUNTIFS('ESTUDIOS'!$A$2:$A$455,$A445,'ESTUDIOS'!$I$2:$I$455,"")&gt;0,"",INDEX('ESTUDIOS'!$I$2:$I$455,MATCH($A445,'ESTUDIOS'!$A$2:$A$455,0)))</f>
        <v/>
      </c>
    </row>
    <row r="446" ht="86" customHeight="1">
      <c r="A446" s="4" t="inlineStr">
        <is>
          <t>new_183</t>
        </is>
      </c>
      <c r="B446" s="4" t="inlineStr">
        <is>
          <t>Update</t>
        </is>
      </c>
      <c r="C446" s="4" t="inlineStr">
        <is>
          <t>Adaptive Multi-Scale Dynamic Graph Representation Learning With Overlapping Community-Awareness for ASD Classification</t>
        </is>
      </c>
      <c r="D446" s="4" t="inlineStr">
        <is>
          <t>Research only</t>
        </is>
      </c>
      <c r="E446" s="4" t="inlineStr">
        <is>
          <t>Retrospective ABIDE graph-learning diagnostic classifier</t>
        </is>
      </c>
      <c r="F446" s="4" t="n"/>
      <c r="G446" s="4" t="inlineStr">
        <is>
          <t>Recorded in update; verification pending</t>
        </is>
      </c>
      <c r="H446" s="4" t="n"/>
      <c r="I446" s="4" t="inlineStr">
        <is>
          <t>ASD diagnostic classification from dynamic functional connectivity</t>
        </is>
      </c>
      <c r="J446" s="4" t="inlineStr">
        <is>
          <t>Ada-MST learns adaptive multi-scale dynamic graph representations from ABIDE-I/II rs-fMRI and includes community-aware readout/visualization for ASD classification. ABIDE-I/II are multisite datasets, but no explicit held-out-site robustness design was established in the accessible report. Visualization was treated as partial interpretability, not strict XAI.</t>
        </is>
      </c>
      <c r="K446" s="4" t="str"/>
      <c r="L446" s="4" t="inlineStr">
        <is>
          <t>https://doi.org/10.1109/jbhi.2025.3622540</t>
        </is>
      </c>
      <c r="M446" s="4" t="n"/>
      <c r="N446" s="12" t="n"/>
      <c r="O446" s="41" t="n"/>
      <c r="P446" s="4" t="inlineStr">
        <is>
          <t>Confirmed only when AI was actually evaluated/used within the stated workflow or intervention; intended use alone = Proposed only</t>
        </is>
      </c>
      <c r="Q446" s="4">
        <f>IF(COUNTIFS('ESTUDIOS'!$A$2:$A$455,$A446,'ESTUDIOS'!$I$2:$I$455,"")&gt;0,"",INDEX('ESTUDIOS'!$I$2:$I$455,MATCH($A446,'ESTUDIOS'!$A$2:$A$455,0)))</f>
        <v/>
      </c>
    </row>
    <row r="447" ht="99" customHeight="1">
      <c r="A447" s="4" t="inlineStr">
        <is>
          <t>new_198</t>
        </is>
      </c>
      <c r="B447" s="4" t="inlineStr">
        <is>
          <t>Update</t>
        </is>
      </c>
      <c r="C447" s="4" t="inlineStr">
        <is>
          <t>A Multimodal AI Framework for Early Autism Identification Using CbRNN–Ensemble Modelling and Advanced NCIAPPF-Based Temporal Encoding</t>
        </is>
      </c>
      <c r="D447" s="4" t="inlineStr">
        <is>
          <t>Proposed only</t>
        </is>
      </c>
      <c r="E447" s="4" t="inlineStr">
        <is>
          <t>Proposed multimodal early-screening framework; no independently validated clinical workflow</t>
        </is>
      </c>
      <c r="F447" s="4" t="n"/>
      <c r="G447" s="4" t="inlineStr">
        <is>
          <t>Recorded in update; verification pending</t>
        </is>
      </c>
      <c r="H447" s="4" t="n"/>
      <c r="I447" s="4" t="inlineStr">
        <is>
          <t>Early ASD multimodal screening / identification</t>
        </is>
      </c>
      <c r="J447" s="4" t="inlineStr">
        <is>
          <t>AutiScan fuses facial-expression, eye-gaze, speech-prosody and behavioral cues using CbRNN-EM and NCIAPPF temporal processing for early ASD identification. High-priority reporting inconsistency: the article describes experimental multimodal analyses, while the publisher Data Availability Statement says that no datasets were generated or analyzed. Independent source/sample and validation verification is required.</t>
        </is>
      </c>
      <c r="K447" s="4" t="str"/>
      <c r="L447" s="4" t="inlineStr">
        <is>
          <t>https://doi.org/10.1002/jdn.70117</t>
        </is>
      </c>
      <c r="M447" s="4" t="n"/>
      <c r="N447" s="12" t="n"/>
      <c r="O447" s="41" t="n"/>
      <c r="P447" s="4" t="inlineStr">
        <is>
          <t>Confirmed only when AI was actually evaluated/used within the stated workflow or intervention; intended use alone = Proposed only</t>
        </is>
      </c>
      <c r="Q447" s="4">
        <f>IF(COUNTIFS('ESTUDIOS'!$A$2:$A$455,$A447,'ESTUDIOS'!$I$2:$I$455,"")&gt;0,"",INDEX('ESTUDIOS'!$I$2:$I$455,MATCH($A447,'ESTUDIOS'!$A$2:$A$455,0)))</f>
        <v/>
      </c>
    </row>
    <row r="448" ht="99" customHeight="1">
      <c r="A448" s="4" t="inlineStr">
        <is>
          <t>new_239</t>
        </is>
      </c>
      <c r="B448" s="4" t="inlineStr">
        <is>
          <t>Update</t>
        </is>
      </c>
      <c r="C448" s="4" t="inlineStr">
        <is>
          <t>Real-Time Classification for EEG Data in Children With ASD Using Deep Learning Techniques</t>
        </is>
      </c>
      <c r="D448" s="4" t="inlineStr">
        <is>
          <t>Research only</t>
        </is>
      </c>
      <c r="E448" s="4" t="inlineStr">
        <is>
          <t>Experimental pediatric EEG diagnostic classifier; no deployed real-time clinical workflow</t>
        </is>
      </c>
      <c r="F448" s="4" t="n"/>
      <c r="G448" s="4" t="inlineStr">
        <is>
          <t>Recorded in update; verification pending</t>
        </is>
      </c>
      <c r="H448" s="4" t="n"/>
      <c r="I448" s="4" t="inlineStr">
        <is>
          <t>EEG-based ASD vs TD diagnostic classification</t>
        </is>
      </c>
      <c r="J448" s="4" t="inlineStr">
        <is>
          <t>EEG from 60 children (30 ASD/30 TD) is processed with STFT/ICA and classified using CNN-LSTM; the paper reports 87.5% accuracy, while a ResNet baseline reports 89.1%. High-priority internal inconsistency: the abstract states that a 60-child EEG dataset was analyzed, while the publisher Data Availability Statement says no datasets were generated or analyzed. No external cohort or real-time prospective deployment was established.</t>
        </is>
      </c>
      <c r="K448" s="4" t="str"/>
      <c r="L448" s="4" t="inlineStr">
        <is>
          <t>https://doi.org/10.1002/dneu.23009</t>
        </is>
      </c>
      <c r="M448" s="4" t="n"/>
      <c r="N448" s="12" t="n"/>
      <c r="O448" s="41" t="n"/>
      <c r="P448" s="4" t="inlineStr">
        <is>
          <t>Confirmed only when AI was actually evaluated/used within the stated workflow or intervention; intended use alone = Proposed only</t>
        </is>
      </c>
      <c r="Q448" s="4">
        <f>IF(COUNTIFS('ESTUDIOS'!$A$2:$A$455,$A448,'ESTUDIOS'!$I$2:$I$455,"")&gt;0,"",INDEX('ESTUDIOS'!$I$2:$I$455,MATCH($A448,'ESTUDIOS'!$A$2:$A$455,0)))</f>
        <v/>
      </c>
    </row>
    <row r="449" ht="99" customHeight="1">
      <c r="A449" s="4" t="inlineStr">
        <is>
          <t>new_400</t>
        </is>
      </c>
      <c r="B449" s="4" t="inlineStr">
        <is>
          <t>Update</t>
        </is>
      </c>
      <c r="C449" s="4" t="inlineStr">
        <is>
          <t>Mitochondrial Gene Signature Reveals Novel Diagnostic Biomarkers for Autism Spectrum Disorder</t>
        </is>
      </c>
      <c r="D449" s="4" t="inlineStr">
        <is>
          <t>Research only</t>
        </is>
      </c>
      <c r="E449" s="4" t="inlineStr">
        <is>
          <t>Research transcriptomic biomarker model; no clinical deployment</t>
        </is>
      </c>
      <c r="F449" s="4" t="n"/>
      <c r="G449" s="4" t="inlineStr">
        <is>
          <t>Recorded in update; verification pending</t>
        </is>
      </c>
      <c r="H449" s="4" t="n"/>
      <c r="I449" s="4" t="inlineStr">
        <is>
          <t>ASD mitochondrial-gene biomarker discovery / diagnostic classification</t>
        </is>
      </c>
      <c r="J449" s="4" t="inlineStr">
        <is>
          <t>Mitochondrial-gene signatures are selected from GSE28521 using LASSO/RF/SVM-RFE and evaluated in GSE64018; ANN/linear/nomogram models are reported, with separate mouse qPCR support. External validation is dataset-level but remains retrospective transcriptomic validation; postmortem cortex limits direct clinical deployability, and mouse qPCR is not human clinical validation.</t>
        </is>
      </c>
      <c r="K449" s="4" t="str"/>
      <c r="L449" s="4" t="inlineStr">
        <is>
          <t>https://doi.org/10.1007/s12035-026-05911-y</t>
        </is>
      </c>
      <c r="M449" s="4" t="n"/>
      <c r="N449" s="12" t="n"/>
      <c r="O449" s="41" t="n"/>
      <c r="P449" s="4" t="inlineStr">
        <is>
          <t>Confirmed only when AI was actually evaluated/used within the stated workflow or intervention; intended use alone = Proposed only</t>
        </is>
      </c>
      <c r="Q449" s="4">
        <f>IF(COUNTIFS('ESTUDIOS'!$A$2:$A$455,$A449,'ESTUDIOS'!$I$2:$I$455,"")&gt;0,"",INDEX('ESTUDIOS'!$I$2:$I$455,MATCH($A449,'ESTUDIOS'!$A$2:$A$455,0)))</f>
        <v/>
      </c>
    </row>
    <row r="450" ht="86" customHeight="1">
      <c r="A450" s="4" t="inlineStr">
        <is>
          <t>new_411</t>
        </is>
      </c>
      <c r="B450" s="4" t="inlineStr">
        <is>
          <t>Update</t>
        </is>
      </c>
      <c r="C450" s="4" t="inlineStr">
        <is>
          <t>Blood-based DNA methylation markers for autism spectrum disorder identification using machine learning</t>
        </is>
      </c>
      <c r="D450" s="4" t="inlineStr">
        <is>
          <t>Research only</t>
        </is>
      </c>
      <c r="E450" s="4" t="inlineStr">
        <is>
          <t>Research blood-methylation biomarker model; no deployed workflow</t>
        </is>
      </c>
      <c r="F450" s="4" t="n"/>
      <c r="G450" s="4" t="inlineStr">
        <is>
          <t>Recorded in update; verification pending</t>
        </is>
      </c>
      <c r="H450" s="4" t="n"/>
      <c r="I450" s="4" t="inlineStr">
        <is>
          <t>ASD blood methylation biomarker identification / classification</t>
        </is>
      </c>
      <c r="J450" s="4" t="inlineStr">
        <is>
          <t>Whole-blood DNA methylation data (52 ASD, 48 TD) are reduced using SVM-RFECV and classified with RF/XGBoost/DT; RF and XGBoost are reported as best-performing. Small single public dataset with no independent external cohort; feature selection and model evaluation on the same source can inflate biomarker optimism without external replication.</t>
        </is>
      </c>
      <c r="K450" s="4" t="str"/>
      <c r="L450" s="4" t="inlineStr">
        <is>
          <t>https://doi.org/10.1080/17501911.2025.2557186</t>
        </is>
      </c>
      <c r="M450" s="4" t="n"/>
      <c r="N450" s="12" t="n"/>
      <c r="O450" s="41" t="n"/>
      <c r="P450" s="4" t="inlineStr">
        <is>
          <t>Confirmed only when AI was actually evaluated/used within the stated workflow or intervention; intended use alone = Proposed only</t>
        </is>
      </c>
      <c r="Q450" s="4">
        <f>IF(COUNTIFS('ESTUDIOS'!$A$2:$A$455,$A450,'ESTUDIOS'!$I$2:$I$455,"")&gt;0,"",INDEX('ESTUDIOS'!$I$2:$I$455,MATCH($A450,'ESTUDIOS'!$A$2:$A$455,0)))</f>
        <v/>
      </c>
    </row>
    <row r="451" ht="99" customHeight="1">
      <c r="A451" s="4" t="inlineStr">
        <is>
          <t>new_412</t>
        </is>
      </c>
      <c r="B451" s="4" t="inlineStr">
        <is>
          <t>Update</t>
        </is>
      </c>
      <c r="C451" s="4" t="inlineStr">
        <is>
          <t>Federated Transformer-Based Deep Learning Framework for Secure and Early Autism Diagnosis</t>
        </is>
      </c>
      <c r="D451" s="4" t="inlineStr">
        <is>
          <t>Proposed only</t>
        </is>
      </c>
      <c r="E451" s="4" t="inlineStr">
        <is>
          <t>Federated-learning diagnostic framework across distributed datasets/locations; no prospective clinical deployment</t>
        </is>
      </c>
      <c r="F451" s="4" t="n"/>
      <c r="G451" s="4" t="inlineStr">
        <is>
          <t>Recorded in update; verification pending</t>
        </is>
      </c>
      <c r="H451" s="4" t="n"/>
      <c r="I451" s="4" t="inlineStr">
        <is>
          <t>Federated ASD diagnostic classification / early diagnosis</t>
        </is>
      </c>
      <c r="J451" s="4" t="inlineStr">
        <is>
          <t>A federated Transformer framework is evaluated on ABIDE- and SPARK-derived data with secure aggregation and model compression, reporting very high classification accuracy. Federated/multisite training is not equivalent to a held-out-site robustness test. The accessible evidence does not establish independent external or prospective clinical validation, and near-ceiling accuracy requires leakage/partition checks.</t>
        </is>
      </c>
      <c r="K451" s="4" t="str"/>
      <c r="L451" s="4" t="inlineStr">
        <is>
          <t>https://doi.org/10.1007/s42979-026-04806-y</t>
        </is>
      </c>
      <c r="M451" s="4" t="n"/>
      <c r="N451" s="12" t="n"/>
      <c r="O451" s="41" t="n"/>
      <c r="P451" s="4" t="inlineStr">
        <is>
          <t>Confirmed only when AI was actually evaluated/used within the stated workflow or intervention; intended use alone = Proposed only</t>
        </is>
      </c>
      <c r="Q451" s="4">
        <f>IF(COUNTIFS('ESTUDIOS'!$A$2:$A$455,$A451,'ESTUDIOS'!$I$2:$I$455,"")&gt;0,"",INDEX('ESTUDIOS'!$I$2:$I$455,MATCH($A451,'ESTUDIOS'!$A$2:$A$455,0)))</f>
        <v/>
      </c>
    </row>
    <row r="452" ht="112" customHeight="1">
      <c r="A452" s="4" t="inlineStr">
        <is>
          <t>new_415</t>
        </is>
      </c>
      <c r="B452" s="4" t="inlineStr">
        <is>
          <t>Update</t>
        </is>
      </c>
      <c r="C452" s="4" t="inlineStr">
        <is>
          <t>Artificial intelligence-based diagnostic model for autism spectrum disorder using blood biomarkers</t>
        </is>
      </c>
      <c r="D452" s="4" t="inlineStr">
        <is>
          <t>Proposed only</t>
        </is>
      </c>
      <c r="E452" s="4" t="inlineStr">
        <is>
          <t>Proposed automatic ASD screening model; exact dataset lineage requires verification</t>
        </is>
      </c>
      <c r="F452" s="4" t="n"/>
      <c r="G452" s="4" t="inlineStr">
        <is>
          <t>Recorded in update; verification pending</t>
        </is>
      </c>
      <c r="H452" s="4" t="n"/>
      <c r="I452" s="4" t="inlineStr">
        <is>
          <t>ASD automated screening / diagnostic classification</t>
        </is>
      </c>
      <c r="J452" s="4" t="inlineStr">
        <is>
          <t>The ASA framework combines information-gain/Genetic-Algorithm feature selection with an optimized DNN and reports approximately 99% accuracy. 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t>
        </is>
      </c>
      <c r="K452" s="4" t="str"/>
      <c r="L452" s="4" t="inlineStr">
        <is>
          <t>https://doi.org/10.1007/s00521-025-11553-3</t>
        </is>
      </c>
      <c r="M452" s="4" t="n"/>
      <c r="N452" s="12" t="n"/>
      <c r="O452" s="41" t="n"/>
      <c r="P452" s="4" t="inlineStr">
        <is>
          <t>Confirmed only when AI was actually evaluated/used within the stated workflow or intervention; intended use alone = Proposed only</t>
        </is>
      </c>
      <c r="Q452" s="4">
        <f>IF(COUNTIFS('ESTUDIOS'!$A$2:$A$455,$A452,'ESTUDIOS'!$I$2:$I$455,"")&gt;0,"",INDEX('ESTUDIOS'!$I$2:$I$455,MATCH($A452,'ESTUDIOS'!$A$2:$A$455,0)))</f>
        <v/>
      </c>
    </row>
    <row r="453" ht="86" customHeight="1">
      <c r="A453" s="4" t="inlineStr">
        <is>
          <t>new_416</t>
        </is>
      </c>
      <c r="B453" s="4" t="inlineStr">
        <is>
          <t>Update</t>
        </is>
      </c>
      <c r="C453" s="4" t="inlineStr">
        <is>
          <t>An explainable deep learning framework for screening level autism severity using behavioural data</t>
        </is>
      </c>
      <c r="D453" s="4" t="inlineStr">
        <is>
          <t>Proposed only</t>
        </is>
      </c>
      <c r="E453" s="4" t="inlineStr">
        <is>
          <t>Proposed explainable structured-data screening classifier; no independent clinical validation</t>
        </is>
      </c>
      <c r="F453" s="4" t="n"/>
      <c r="G453" s="4" t="inlineStr">
        <is>
          <t>Recorded in update; verification pending</t>
        </is>
      </c>
      <c r="H453" s="4" t="n"/>
      <c r="I453" s="4" t="inlineStr">
        <is>
          <t>ASD screening-level classification and severity estimation</t>
        </is>
      </c>
      <c r="J453" s="4" t="inlineStr">
        <is>
          <t>BiLSTM-CGBO is trained on harmonized Kaggle/UCI behavioral screening data and uses SHAP for feature-level explanations of screening/severity outputs. The severity target is closely tied to deterministic behavioral scoring and is not an independently clinician-annotated diagnostic endpoint; no independent external clinical cohort is provided.</t>
        </is>
      </c>
      <c r="K453" s="4" t="str"/>
      <c r="L453" s="4" t="inlineStr">
        <is>
          <t>https://doi.org/10.1007/s42452-026-08352-3</t>
        </is>
      </c>
      <c r="M453" s="4" t="n"/>
      <c r="N453" s="12" t="n"/>
      <c r="O453" s="41" t="n"/>
      <c r="P453" s="4" t="inlineStr">
        <is>
          <t>Confirmed only when AI was actually evaluated/used within the stated workflow or intervention; intended use alone = Proposed only</t>
        </is>
      </c>
      <c r="Q453" s="4">
        <f>IF(COUNTIFS('ESTUDIOS'!$A$2:$A$455,$A453,'ESTUDIOS'!$I$2:$I$455,"")&gt;0,"",INDEX('ESTUDIOS'!$I$2:$I$455,MATCH($A453,'ESTUDIOS'!$A$2:$A$455,0)))</f>
        <v/>
      </c>
    </row>
    <row r="454" ht="112" customHeight="1">
      <c r="A454" s="4" t="inlineStr">
        <is>
          <t>new_421</t>
        </is>
      </c>
      <c r="B454" s="4" t="inlineStr">
        <is>
          <t>Update</t>
        </is>
      </c>
      <c r="C454" s="4" t="inlineStr">
        <is>
          <t>Edge-Based Robot-Assisted Hand Gesture Recognition for Autism Intervention Using Hybrid Keyframe Selection and Contrastive Learning</t>
        </is>
      </c>
      <c r="D454" s="4" t="inlineStr">
        <is>
          <t>Proposed only</t>
        </is>
      </c>
      <c r="E454" s="4" t="inlineStr">
        <is>
          <t>Edge-deployed robot-assisted gesture-learning prototype evaluated with autistic children; intervention efficacy not established</t>
        </is>
      </c>
      <c r="F454" s="4" t="n"/>
      <c r="G454" s="4" t="inlineStr">
        <is>
          <t>Recorded in update; verification pending</t>
        </is>
      </c>
      <c r="H454" s="4" t="n"/>
      <c r="I454" s="4" t="inlineStr">
        <is>
          <t>Robot-assisted hand-gesture recognition/correction for ASD intervention</t>
        </is>
      </c>
      <c r="J454" s="4" t="inlineStr">
        <is>
          <t>CARAT uses MediaPipe landmarks, hybrid keyframe selection, 1D convolution and contrastive learning for real-time gesture recognition/correction; data were collected with healthy and autistic children and ASD recognition accuracy is reported at 96.42%. The study validates gesture-recognition performance, not therapeutic efficacy or durable social-skill improvement. Therefore the system is intervention-oriented but not coded as confirmed clinical intervention effectiveness.</t>
        </is>
      </c>
      <c r="K454" s="4" t="str"/>
      <c r="L454" s="4" t="inlineStr">
        <is>
          <t>https://doi.org/10.1109/tmrb.2026.3680976</t>
        </is>
      </c>
      <c r="M454" s="4" t="n"/>
      <c r="N454" s="12" t="n"/>
      <c r="O454" s="41" t="n"/>
      <c r="P454" s="4" t="inlineStr">
        <is>
          <t>Confirmed only when AI was actually evaluated/used within the stated workflow or intervention; intended use alone = Proposed only</t>
        </is>
      </c>
      <c r="Q454" s="4">
        <f>IF(COUNTIFS('ESTUDIOS'!$A$2:$A$455,$A454,'ESTUDIOS'!$I$2:$I$455,"")&gt;0,"",INDEX('ESTUDIOS'!$I$2:$I$455,MATCH($A454,'ESTUDIOS'!$A$2:$A$455,0)))</f>
        <v/>
      </c>
    </row>
    <row r="455" ht="112" customHeight="1">
      <c r="A455" s="4" t="inlineStr">
        <is>
          <t>new_423</t>
        </is>
      </c>
      <c r="B455" s="4" t="inlineStr">
        <is>
          <t>Update</t>
        </is>
      </c>
      <c r="C455" s="4" t="inlineStr">
        <is>
          <t>Toward a Smartwatch-Based System for Automated Social Interaction Monitoring in Autism</t>
        </is>
      </c>
      <c r="D455" s="4" t="inlineStr">
        <is>
          <t>Confirmed in workflow</t>
        </is>
      </c>
      <c r="E455" s="4" t="inlineStr">
        <is>
          <t>Wearable monitoring workflow tested with formally diagnosed ASD participants in controlled and naturalistic settings</t>
        </is>
      </c>
      <c r="F455" s="4" t="n"/>
      <c r="G455" s="4" t="inlineStr">
        <is>
          <t>Recorded in update; verification pending</t>
        </is>
      </c>
      <c r="H455" s="4" t="n"/>
      <c r="I455" s="4" t="inlineStr">
        <is>
          <t>Automated longitudinal social-interaction monitoring in ASD</t>
        </is>
      </c>
      <c r="J455" s="4" t="inlineStr">
        <is>
          <t>A smartwatch/cloud system combines deep-learning speaker diarization with heart-rate data; it was tested with formally diagnosed ASD participants and in naturalistic social-interaction recordings, supporting an actual monitoring workflow. Sample sizes are small and staged, and the work evaluates measurement/diarization rather than downstream clinical outcomes. Generalization across acoustic contexts, ages, devices and sites remains unproven.</t>
        </is>
      </c>
      <c r="K455" s="4" t="str"/>
      <c r="L455" s="4" t="inlineStr">
        <is>
          <t>https://doi.org/10.1109/access.2026.3674057</t>
        </is>
      </c>
      <c r="M455" s="4" t="n"/>
      <c r="N455" s="12" t="n"/>
      <c r="O455" s="41" t="n"/>
      <c r="P455" s="4" t="inlineStr">
        <is>
          <t>Confirmed only when AI was actually evaluated/used within the stated workflow or intervention; intended use alone = Proposed only</t>
        </is>
      </c>
      <c r="Q455" s="4">
        <f>IF(COUNTIFS('ESTUDIOS'!$A$2:$A$455,$A455,'ESTUDIOS'!$I$2:$I$455,"")&gt;0,"",INDEX('ESTUDIOS'!$I$2:$I$455,MATCH($A455,'ESTUDIOS'!$A$2:$A$455,0)))</f>
        <v/>
      </c>
    </row>
  </sheetData>
  <dataValidations count="2">
    <dataValidation sqref="D2:D455" showDropDown="0" showInputMessage="0" showErrorMessage="0" allowBlank="0" type="list">
      <formula1>"Research only,Proposed only,Confirmed in intervention,Confirmed in workflow,Confirmed in care delivery,Not reported"</formula1>
    </dataValidation>
    <dataValidation sqref="F2:F455" showDropDown="0" showInputMessage="0" showErrorMessage="0" allowBlank="0" type="list">
      <formula1>"Pre-decision,In-decision,Post-decision,Not applicable,Not reported"</formula1>
    </dataValidation>
  </dataValidations>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T455"/>
  <sheetViews>
    <sheetView showGridLines="0" workbookViewId="0">
      <selection activeCell="A1" sqref="A1"/>
    </sheetView>
  </sheetViews>
  <sheetFormatPr baseColWidth="8" defaultRowHeight="15"/>
  <cols>
    <col width="14" customWidth="1" min="1" max="1"/>
    <col width="14" customWidth="1" min="2" max="2"/>
    <col width="55"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65" customWidth="1" min="11" max="11"/>
    <col width="65" customWidth="1" min="12" max="12"/>
    <col width="44" customWidth="1" min="13" max="13"/>
    <col width="20" customWidth="1" min="14" max="14"/>
    <col width="20" customWidth="1" min="15" max="15"/>
    <col width="20" customWidth="1" min="16" max="16"/>
    <col width="28" customWidth="1" min="17" max="17"/>
    <col width="28" customWidth="1" min="18" max="18"/>
    <col width="20" customWidth="1" min="19" max="19"/>
    <col width="20" customWidth="1" min="20" max="20"/>
  </cols>
  <sheetData>
    <row r="1" ht="52" customHeight="1">
      <c r="A1" s="6" t="inlineStr">
        <is>
          <t>study_id</t>
        </is>
      </c>
      <c r="B1" s="6" t="inlineStr">
        <is>
          <t>cohort</t>
        </is>
      </c>
      <c r="C1" s="6" t="inlineStr">
        <is>
          <t>title</t>
        </is>
      </c>
      <c r="D1" s="6" t="inlineStr">
        <is>
          <t>external_validation</t>
        </is>
      </c>
      <c r="E1" s="6" t="inlineStr">
        <is>
          <t>multisite_dataset</t>
        </is>
      </c>
      <c r="F1" s="6" t="inlineStr">
        <is>
          <t>cross_site_robustness</t>
        </is>
      </c>
      <c r="G1" s="6" t="inlineStr">
        <is>
          <t>prospective_evaluation</t>
        </is>
      </c>
      <c r="H1" s="6" t="inlineStr">
        <is>
          <t>xai_strict</t>
        </is>
      </c>
      <c r="I1" s="6" t="inlineStr">
        <is>
          <t>xai_partial</t>
        </is>
      </c>
      <c r="J1" s="6" t="inlineStr">
        <is>
          <t>multisource_data</t>
        </is>
      </c>
      <c r="K1" s="6" t="inlineStr">
        <is>
          <t>evidence_basis</t>
        </is>
      </c>
      <c r="L1" s="6" t="inlineStr">
        <is>
          <t>existing_evidence</t>
        </is>
      </c>
      <c r="M1" s="6" t="inlineStr">
        <is>
          <t>source_url</t>
        </is>
      </c>
      <c r="N1" s="6" t="inlineStr">
        <is>
          <t>legacy_explainability</t>
        </is>
      </c>
      <c r="O1" s="6" t="inlineStr">
        <is>
          <t>legacy_multisource_strategy</t>
        </is>
      </c>
      <c r="P1" s="6" t="inlineStr">
        <is>
          <t>historical_fulltext_flag</t>
        </is>
      </c>
      <c r="Q1" s="6" t="inlineStr">
        <is>
          <t>reviewer_verified</t>
        </is>
      </c>
      <c r="R1" s="39" t="inlineStr">
        <is>
          <t>verification_date</t>
        </is>
      </c>
      <c r="S1" s="6" t="inlineStr">
        <is>
          <t>zero_meaning</t>
        </is>
      </c>
      <c r="T1" s="6" t="inlineStr">
        <is>
          <t>exclude_sensitivity</t>
        </is>
      </c>
    </row>
    <row r="2" ht="86" customHeight="1">
      <c r="A2" s="4" t="inlineStr">
        <is>
          <t>1</t>
        </is>
      </c>
      <c r="B2" s="4" t="inlineStr">
        <is>
          <t>Historical</t>
        </is>
      </c>
      <c r="C2" s="4" t="inlineStr">
        <is>
          <t>A Clinically Interpretable Approach for Early Detection of Autism Using Machine Learning With Explainable AI</t>
        </is>
      </c>
      <c r="D2" s="4" t="n">
        <v>0</v>
      </c>
      <c r="E2" s="4" t="n">
        <v>0</v>
      </c>
      <c r="F2" s="4" t="n">
        <v>0</v>
      </c>
      <c r="G2" s="4" t="n">
        <v>0</v>
      </c>
      <c r="H2" s="4" t="n">
        <v>1</v>
      </c>
      <c r="I2" s="4" t="n">
        <v>0</v>
      </c>
      <c r="J2" s="4" t="n">
        <v>0</v>
      </c>
      <c r="K2" s="4" t="inlineStr">
        <is>
          <t>Historical signals: title/abstract/notes; full-text completion not independently established</t>
        </is>
      </c>
      <c r="L2" s="4" t="inlineStr">
        <is>
          <t>“Comparative ML study: Naive Bayes, SVM, Random Forest; RF best; explainability via SHAP; 5-fold CV.”</t>
        </is>
      </c>
      <c r="M2" s="4" t="inlineStr">
        <is>
          <t>https://doi.org/10.1109/access.2025.3586314</t>
        </is>
      </c>
      <c r="N2" s="4" t="n">
        <v>1</v>
      </c>
      <c r="O2" s="4" t="n">
        <v>0</v>
      </c>
      <c r="P2" s="4" t="n">
        <v>1</v>
      </c>
      <c r="Q2" s="12" t="n"/>
      <c r="R2" s="41" t="n"/>
      <c r="S2" s="4" t="inlineStr">
        <is>
          <t>0 = no reported evidence in material assessed; blank = not coded/unknown; neither proves absence</t>
        </is>
      </c>
      <c r="T2" s="4">
        <f>IF(COUNTIFS('ESTUDIOS'!$A$2:$A$455,$A2,'ESTUDIOS'!$I$2:$I$455,"")&gt;0,"",INDEX('ESTUDIOS'!$I$2:$I$455,MATCH($A2,'ESTUDIOS'!$A$2:$A$455,0)))</f>
        <v/>
      </c>
    </row>
    <row r="3" ht="86" customHeight="1">
      <c r="A3" s="4" t="inlineStr">
        <is>
          <t>2</t>
        </is>
      </c>
      <c r="B3" s="4" t="inlineStr">
        <is>
          <t>Historical</t>
        </is>
      </c>
      <c r="C3" s="4" t="inlineStr">
        <is>
          <t>Searching for a minimal set of behaviors for autism detection through feature selection-based machine learning</t>
        </is>
      </c>
      <c r="D3" s="4" t="n">
        <v>0</v>
      </c>
      <c r="E3" s="4" t="n">
        <v>0</v>
      </c>
      <c r="F3" s="4" t="n">
        <v>0</v>
      </c>
      <c r="G3" s="4" t="n">
        <v>0</v>
      </c>
      <c r="H3" s="4" t="n">
        <v>0</v>
      </c>
      <c r="I3" s="4" t="n">
        <v>1</v>
      </c>
      <c r="J3" s="4" t="n">
        <v>0</v>
      </c>
      <c r="K3" s="4" t="inlineStr">
        <is>
          <t>Historical signals: title/abstract/notes; full-text completion not independently established</t>
        </is>
      </c>
      <c r="L3" s="4" t="inlineStr">
        <is>
          <t>Usa ADOS/ítems conductuales para detección/cribado; algoritmo principal no explícito.</t>
        </is>
      </c>
      <c r="M3" s="4" t="inlineStr">
        <is>
          <t>https://doi.org/10.1038/tp.2015.7</t>
        </is>
      </c>
      <c r="N3" s="4" t="n">
        <v>1</v>
      </c>
      <c r="O3" s="4" t="n">
        <v>0</v>
      </c>
      <c r="P3" s="4" t="n">
        <v>1</v>
      </c>
      <c r="Q3" s="12" t="n"/>
      <c r="R3" s="41" t="n"/>
      <c r="S3" s="4" t="inlineStr">
        <is>
          <t>0 = no reported evidence in material assessed; blank = not coded/unknown; neither proves absence</t>
        </is>
      </c>
      <c r="T3" s="4">
        <f>IF(COUNTIFS('ESTUDIOS'!$A$2:$A$455,$A3,'ESTUDIOS'!$I$2:$I$455,"")&gt;0,"",INDEX('ESTUDIOS'!$I$2:$I$455,MATCH($A3,'ESTUDIOS'!$A$2:$A$455,0)))</f>
        <v/>
      </c>
    </row>
    <row r="4" ht="86" customHeight="1">
      <c r="A4" s="4" t="inlineStr">
        <is>
          <t>3</t>
        </is>
      </c>
      <c r="B4" s="4" t="inlineStr">
        <is>
          <t>Historical</t>
        </is>
      </c>
      <c r="C4" s="4" t="inlineStr">
        <is>
          <t>The use of data independent acquisition based proteomic analysis and machine learning to reveal potential biomarkers for autism spectrum disorder</t>
        </is>
      </c>
      <c r="D4" s="4" t="n">
        <v>1</v>
      </c>
      <c r="E4" s="4" t="n">
        <v>0</v>
      </c>
      <c r="F4" s="4" t="n">
        <v>0</v>
      </c>
      <c r="G4" s="4" t="n">
        <v>0</v>
      </c>
      <c r="H4" s="4" t="n">
        <v>0</v>
      </c>
      <c r="I4" s="4" t="n">
        <v>0</v>
      </c>
      <c r="J4" s="4" t="n">
        <v>0</v>
      </c>
      <c r="K4" s="4" t="inlineStr">
        <is>
          <t>Historical signals: title/abstract/notes; full-text completion not independently established</t>
        </is>
      </c>
      <c r="L4" s="4" t="inlineStr">
        <is>
          <t>Biomarcadores proteómicos en plasma para discriminar ASD vs controles; algoritmo ML no especificado.</t>
        </is>
      </c>
      <c r="M4" s="4" t="inlineStr">
        <is>
          <t>https://doi.org/10.1016/j.jprot.2023.104872</t>
        </is>
      </c>
      <c r="N4" s="4" t="n">
        <v>0</v>
      </c>
      <c r="O4" s="4" t="n">
        <v>0</v>
      </c>
      <c r="P4" s="4" t="n">
        <v>1</v>
      </c>
      <c r="Q4" s="12" t="n"/>
      <c r="R4" s="41" t="n"/>
      <c r="S4" s="4" t="inlineStr">
        <is>
          <t>0 = no reported evidence in material assessed; blank = not coded/unknown; neither proves absence</t>
        </is>
      </c>
      <c r="T4" s="4">
        <f>IF(COUNTIFS('ESTUDIOS'!$A$2:$A$455,$A4,'ESTUDIOS'!$I$2:$I$455,"")&gt;0,"",INDEX('ESTUDIOS'!$I$2:$I$455,MATCH($A4,'ESTUDIOS'!$A$2:$A$455,0)))</f>
        <v/>
      </c>
    </row>
    <row r="5" ht="86" customHeight="1">
      <c r="A5" s="4" t="inlineStr">
        <is>
          <t>4</t>
        </is>
      </c>
      <c r="B5" s="4" t="inlineStr">
        <is>
          <t>Historical</t>
        </is>
      </c>
      <c r="C5" s="4" t="inlineStr">
        <is>
          <t>Cognitive Disorder Detection Used for Early Autism Screening Using Deep Learning</t>
        </is>
      </c>
      <c r="D5" s="4" t="n">
        <v>0</v>
      </c>
      <c r="E5" s="4" t="n">
        <v>0</v>
      </c>
      <c r="F5" s="4" t="n">
        <v>0</v>
      </c>
      <c r="G5" s="4" t="n">
        <v>0</v>
      </c>
      <c r="H5" s="4" t="n">
        <v>0</v>
      </c>
      <c r="I5" s="4" t="n">
        <v>0</v>
      </c>
      <c r="J5" s="4" t="n">
        <v>0</v>
      </c>
      <c r="K5" s="4" t="inlineStr">
        <is>
          <t>Historical signals: title/abstract/notes; full-text completion not independently established</t>
        </is>
      </c>
      <c r="L5" s="4" t="inlineStr">
        <is>
          <t>Classification task; target label not consistently described (cognitive disorder/MiCD vs ‘early autism screening</t>
        </is>
      </c>
      <c r="M5" s="4" t="inlineStr">
        <is>
          <t>https://doi.org/10.1007/978-981-96-3942-7_18</t>
        </is>
      </c>
      <c r="N5" s="4" t="n">
        <v>0</v>
      </c>
      <c r="O5" s="4" t="n">
        <v>0</v>
      </c>
      <c r="P5" s="4" t="n">
        <v>1</v>
      </c>
      <c r="Q5" s="12" t="n"/>
      <c r="R5" s="41" t="n"/>
      <c r="S5" s="4" t="inlineStr">
        <is>
          <t>0 = no reported evidence in material assessed; blank = not coded/unknown; neither proves absence</t>
        </is>
      </c>
      <c r="T5" s="4">
        <f>IF(COUNTIFS('ESTUDIOS'!$A$2:$A$455,$A5,'ESTUDIOS'!$I$2:$I$455,"")&gt;0,"",INDEX('ESTUDIOS'!$I$2:$I$455,MATCH($A5,'ESTUDIOS'!$A$2:$A$455,0)))</f>
        <v/>
      </c>
    </row>
    <row r="6" ht="86" customHeight="1">
      <c r="A6" s="4" t="inlineStr">
        <is>
          <t>5</t>
        </is>
      </c>
      <c r="B6" s="4" t="inlineStr">
        <is>
          <t>Historical</t>
        </is>
      </c>
      <c r="C6" s="4" t="inlineStr">
        <is>
          <t>Metabolomics as a tool for discovery of biomarkers of autism spectrum disorder in the blood plasma of children</t>
        </is>
      </c>
      <c r="D6" s="4" t="n">
        <v>1</v>
      </c>
      <c r="E6" s="4" t="n">
        <v>0</v>
      </c>
      <c r="F6" s="4" t="n">
        <v>0</v>
      </c>
      <c r="G6" s="4" t="n">
        <v>0</v>
      </c>
      <c r="H6" s="4" t="n">
        <v>0</v>
      </c>
      <c r="I6" s="4" t="n">
        <v>0</v>
      </c>
      <c r="J6" s="4" t="n">
        <v>0</v>
      </c>
      <c r="K6" s="4" t="inlineStr">
        <is>
          <t>Historical signals: title/abstract/notes; full-text completion not independently established</t>
        </is>
      </c>
      <c r="L6" s="4" t="inlineStr">
        <is>
          <t>Metabolómica plasmática para discriminar ASD vs controles; confirmar algoritmo principal en full-text.</t>
        </is>
      </c>
      <c r="M6" s="4" t="inlineStr">
        <is>
          <t>https://doi.org/10.1371/journal.pone.0112445</t>
        </is>
      </c>
      <c r="N6" s="4" t="n">
        <v>0</v>
      </c>
      <c r="O6" s="4" t="n">
        <v>0</v>
      </c>
      <c r="P6" s="4" t="n">
        <v>1</v>
      </c>
      <c r="Q6" s="12" t="n"/>
      <c r="R6" s="41" t="n"/>
      <c r="S6" s="4" t="inlineStr">
        <is>
          <t>0 = no reported evidence in material assessed; blank = not coded/unknown; neither proves absence</t>
        </is>
      </c>
      <c r="T6" s="4">
        <f>IF(COUNTIFS('ESTUDIOS'!$A$2:$A$455,$A6,'ESTUDIOS'!$I$2:$I$455,"")&gt;0,"",INDEX('ESTUDIOS'!$I$2:$I$455,MATCH($A6,'ESTUDIOS'!$A$2:$A$455,0)))</f>
        <v/>
      </c>
    </row>
    <row r="7" ht="86" customHeight="1">
      <c r="A7" s="4" t="inlineStr">
        <is>
          <t>6</t>
        </is>
      </c>
      <c r="B7" s="4" t="inlineStr">
        <is>
          <t>Historical</t>
        </is>
      </c>
      <c r="C7" s="4" t="inlineStr">
        <is>
          <t>Sparsifying machine learning models identify stable subsets of predictive features for behavioral detection of autism</t>
        </is>
      </c>
      <c r="D7" s="4" t="n">
        <v>0</v>
      </c>
      <c r="E7" s="4" t="n">
        <v>0</v>
      </c>
      <c r="F7" s="4" t="n">
        <v>0</v>
      </c>
      <c r="G7" s="4" t="n">
        <v>0</v>
      </c>
      <c r="H7" s="4" t="n">
        <v>0</v>
      </c>
      <c r="I7" s="4" t="n">
        <v>1</v>
      </c>
      <c r="J7" s="4" t="n">
        <v>0</v>
      </c>
      <c r="K7" s="4" t="inlineStr">
        <is>
          <t>Historical signals: title/abstract/notes; full-text completion not independently established</t>
        </is>
      </c>
      <c r="L7" s="4" t="inlineStr">
        <is>
          <t>Comparative study (17 supervised models); sparse/regularized; interpretable candidates include Logistic Regression (L2) and Linear SVM (L1).</t>
        </is>
      </c>
      <c r="M7" s="4" t="inlineStr">
        <is>
          <t>https://doi.org/10.1186/s13229-017-0180-6</t>
        </is>
      </c>
      <c r="N7" s="4" t="n">
        <v>1</v>
      </c>
      <c r="O7" s="4" t="n">
        <v>0</v>
      </c>
      <c r="P7" s="4" t="n">
        <v>1</v>
      </c>
      <c r="Q7" s="12" t="n"/>
      <c r="R7" s="41" t="n"/>
      <c r="S7" s="4" t="inlineStr">
        <is>
          <t>0 = no reported evidence in material assessed; blank = not coded/unknown; neither proves absence</t>
        </is>
      </c>
      <c r="T7" s="4">
        <f>IF(COUNTIFS('ESTUDIOS'!$A$2:$A$455,$A7,'ESTUDIOS'!$I$2:$I$455,"")&gt;0,"",INDEX('ESTUDIOS'!$I$2:$I$455,MATCH($A7,'ESTUDIOS'!$A$2:$A$455,0)))</f>
        <v/>
      </c>
    </row>
    <row r="8" ht="86" customHeight="1">
      <c r="A8" s="4" t="inlineStr">
        <is>
          <t>7</t>
        </is>
      </c>
      <c r="B8" s="4" t="inlineStr">
        <is>
          <t>Historical</t>
        </is>
      </c>
      <c r="C8" s="4" t="inlineStr">
        <is>
          <t>Transformer-based deep learning ensemble framework predicts autism spectrum disorder using health administrative and birth registry data</t>
        </is>
      </c>
      <c r="D8" s="4" t="n">
        <v>0</v>
      </c>
      <c r="E8" s="4" t="n">
        <v>0</v>
      </c>
      <c r="F8" s="4" t="n">
        <v>0</v>
      </c>
      <c r="G8" s="4" t="n">
        <v>0</v>
      </c>
      <c r="H8" s="4" t="n">
        <v>1</v>
      </c>
      <c r="I8" s="4" t="n">
        <v>0</v>
      </c>
      <c r="J8" s="4" t="n">
        <v>0</v>
      </c>
      <c r="K8" s="4" t="inlineStr">
        <is>
          <t>Historical signals: title/abstract/notes; full-text completion not independently established</t>
        </is>
      </c>
      <c r="L8" s="4" t="str"/>
      <c r="M8" s="4" t="inlineStr">
        <is>
          <t>https://doi.org/10.1038/s41598-025-90216-8</t>
        </is>
      </c>
      <c r="N8" s="4" t="n">
        <v>1</v>
      </c>
      <c r="O8" s="4" t="n">
        <v>0</v>
      </c>
      <c r="P8" s="4" t="n">
        <v>0</v>
      </c>
      <c r="Q8" s="12" t="n"/>
      <c r="R8" s="41" t="n"/>
      <c r="S8" s="4" t="inlineStr">
        <is>
          <t>0 = no reported evidence in material assessed; blank = not coded/unknown; neither proves absence</t>
        </is>
      </c>
      <c r="T8" s="4">
        <f>IF(COUNTIFS('ESTUDIOS'!$A$2:$A$455,$A8,'ESTUDIOS'!$I$2:$I$455,"")&gt;0,"",INDEX('ESTUDIOS'!$I$2:$I$455,MATCH($A8,'ESTUDIOS'!$A$2:$A$455,0)))</f>
        <v/>
      </c>
    </row>
    <row r="9" ht="86" customHeight="1">
      <c r="A9" s="4" t="inlineStr">
        <is>
          <t>8</t>
        </is>
      </c>
      <c r="B9" s="4" t="inlineStr">
        <is>
          <t>Historical</t>
        </is>
      </c>
      <c r="C9" s="4" t="inlineStr">
        <is>
          <t>A Closed-Loop Ear-Worn Wearable EEG System with Real-Time Passive Electrode Skin Impedance Measurement for Early Autism Detection †</t>
        </is>
      </c>
      <c r="D9" s="4" t="n">
        <v>0</v>
      </c>
      <c r="E9" s="4" t="n">
        <v>0</v>
      </c>
      <c r="F9" s="4" t="n">
        <v>0</v>
      </c>
      <c r="G9" s="4" t="n">
        <v>0</v>
      </c>
      <c r="H9" s="4" t="n">
        <v>0</v>
      </c>
      <c r="I9" s="4" t="n">
        <v>0</v>
      </c>
      <c r="J9" s="4" t="n">
        <v>1</v>
      </c>
      <c r="K9" s="4" t="inlineStr">
        <is>
          <t>Historical signals: title/abstract/notes; full-text completion not independently established</t>
        </is>
      </c>
      <c r="L9" s="4" t="str"/>
      <c r="M9" s="4" t="inlineStr">
        <is>
          <t>https://doi.org/10.3390/s24237489</t>
        </is>
      </c>
      <c r="N9" s="4" t="n">
        <v>0</v>
      </c>
      <c r="O9" s="4" t="n">
        <v>1</v>
      </c>
      <c r="P9" s="4" t="n">
        <v>0</v>
      </c>
      <c r="Q9" s="12" t="n"/>
      <c r="R9" s="41" t="n"/>
      <c r="S9" s="4" t="inlineStr">
        <is>
          <t>0 = no reported evidence in material assessed; blank = not coded/unknown; neither proves absence</t>
        </is>
      </c>
      <c r="T9" s="4">
        <f>IF(COUNTIFS('ESTUDIOS'!$A$2:$A$455,$A9,'ESTUDIOS'!$I$2:$I$455,"")&gt;0,"",INDEX('ESTUDIOS'!$I$2:$I$455,MATCH($A9,'ESTUDIOS'!$A$2:$A$455,0)))</f>
        <v/>
      </c>
    </row>
    <row r="10" ht="86" customHeight="1">
      <c r="A10" s="4" t="inlineStr">
        <is>
          <t>9</t>
        </is>
      </c>
      <c r="B10" s="4" t="inlineStr">
        <is>
          <t>Historical</t>
        </is>
      </c>
      <c r="C10" s="4" t="inlineStr">
        <is>
          <t>An automated assessment framework for atypical prosody and stereotyped idiosyncratic phrases related to autism spectrum disorder</t>
        </is>
      </c>
      <c r="D10" s="4" t="n">
        <v>0</v>
      </c>
      <c r="E10" s="4" t="n">
        <v>0</v>
      </c>
      <c r="F10" s="4" t="n">
        <v>0</v>
      </c>
      <c r="G10" s="4" t="n">
        <v>0</v>
      </c>
      <c r="H10" s="4" t="n">
        <v>0</v>
      </c>
      <c r="I10" s="4" t="n">
        <v>0</v>
      </c>
      <c r="J10" s="4" t="n">
        <v>0</v>
      </c>
      <c r="K10" s="4" t="inlineStr">
        <is>
          <t>Historical signals: title/abstract/notes; full-text completion not independently established</t>
        </is>
      </c>
      <c r="L10" s="4" t="inlineStr">
        <is>
          <t>“End-to-end models: CNN, RNN(BLSTM), CNN+RNN(GRU/LSTM) on spectrograms; baseline OpenSMILE+linear SVM; text task uses linear SVM with n-gram/dep-treebank/TF-IDF/LIWC; score-level fusion.</t>
        </is>
      </c>
      <c r="M10" s="4" t="inlineStr">
        <is>
          <t>https://doi.org/10.1016/j.csl.2018.11.002</t>
        </is>
      </c>
      <c r="N10" s="4" t="n">
        <v>0</v>
      </c>
      <c r="O10" s="4" t="n">
        <v>0</v>
      </c>
      <c r="P10" s="4" t="n">
        <v>0</v>
      </c>
      <c r="Q10" s="12" t="n"/>
      <c r="R10" s="41" t="n"/>
      <c r="S10" s="4" t="inlineStr">
        <is>
          <t>0 = no reported evidence in material assessed; blank = not coded/unknown; neither proves absence</t>
        </is>
      </c>
      <c r="T10" s="4">
        <f>IF(COUNTIFS('ESTUDIOS'!$A$2:$A$455,$A10,'ESTUDIOS'!$I$2:$I$455,"")&gt;0,"",INDEX('ESTUDIOS'!$I$2:$I$455,MATCH($A10,'ESTUDIOS'!$A$2:$A$455,0)))</f>
        <v/>
      </c>
    </row>
    <row r="11" ht="86" customHeight="1">
      <c r="A11" s="4" t="inlineStr">
        <is>
          <t>10</t>
        </is>
      </c>
      <c r="B11" s="4" t="inlineStr">
        <is>
          <t>Historical</t>
        </is>
      </c>
      <c r="C11" s="4" t="inlineStr">
        <is>
          <t>Artificial Intelligence Driven Predictive Analysis of Acoustic and Linguistic Behaviors for ASD Identification</t>
        </is>
      </c>
      <c r="D11" s="4" t="n">
        <v>0</v>
      </c>
      <c r="E11" s="4" t="n">
        <v>0</v>
      </c>
      <c r="F11" s="4" t="n">
        <v>0</v>
      </c>
      <c r="G11" s="4" t="n">
        <v>0</v>
      </c>
      <c r="H11" s="4" t="n">
        <v>0</v>
      </c>
      <c r="I11" s="4" t="n">
        <v>0</v>
      </c>
      <c r="J11" s="4" t="n">
        <v>1</v>
      </c>
      <c r="K11" s="4" t="inlineStr">
        <is>
          <t>Historical signals: title/abstract/notes; full-text completion not independently established</t>
        </is>
      </c>
      <c r="L11" s="4" t="str"/>
      <c r="M11" s="4" t="inlineStr">
        <is>
          <t>https://doi.org/10.1109/tai.2024.3439288</t>
        </is>
      </c>
      <c r="N11" s="4" t="n">
        <v>0</v>
      </c>
      <c r="O11" s="4" t="n">
        <v>1</v>
      </c>
      <c r="P11" s="4" t="n">
        <v>0</v>
      </c>
      <c r="Q11" s="12" t="n"/>
      <c r="R11" s="41" t="n"/>
      <c r="S11" s="4" t="inlineStr">
        <is>
          <t>0 = no reported evidence in material assessed; blank = not coded/unknown; neither proves absence</t>
        </is>
      </c>
      <c r="T11" s="4">
        <f>IF(COUNTIFS('ESTUDIOS'!$A$2:$A$455,$A11,'ESTUDIOS'!$I$2:$I$455,"")&gt;0,"",INDEX('ESTUDIOS'!$I$2:$I$455,MATCH($A11,'ESTUDIOS'!$A$2:$A$455,0)))</f>
        <v/>
      </c>
    </row>
    <row r="12" ht="86" customHeight="1">
      <c r="A12" s="4" t="inlineStr">
        <is>
          <t>11</t>
        </is>
      </c>
      <c r="B12" s="4" t="inlineStr">
        <is>
          <t>Historical</t>
        </is>
      </c>
      <c r="C12" s="4" t="inlineStr">
        <is>
          <t>Data Mining-Based Model for Computer-Aided Diagnosis of Autism and Gelotophobia: Mixed Methods Deep Learning Approach.</t>
        </is>
      </c>
      <c r="D12" s="4" t="n">
        <v>0</v>
      </c>
      <c r="E12" s="4" t="n">
        <v>0</v>
      </c>
      <c r="F12" s="4" t="n">
        <v>0</v>
      </c>
      <c r="G12" s="4" t="n">
        <v>0</v>
      </c>
      <c r="H12" s="4" t="n">
        <v>0</v>
      </c>
      <c r="I12" s="4" t="n">
        <v>0</v>
      </c>
      <c r="J12" s="4" t="n">
        <v>1</v>
      </c>
      <c r="K12" s="4" t="inlineStr">
        <is>
          <t>Historical signals: title/abstract/notes; full-text completion not independently established</t>
        </is>
      </c>
      <c r="L12" s="4" t="inlineStr">
        <is>
          <t>ASD status classification from facial images using DeepFace feature extraction; multiple ML models evaluated; MLP reported as highest test accuracy; gelotophobia assessed via DeepFace emotion analysis + GELOPH&lt;15&gt; questionnaire as confirmatory when facial cues ambiguous</t>
        </is>
      </c>
      <c r="M12" s="4" t="inlineStr">
        <is>
          <t>https://doi.org/10.2196/72115</t>
        </is>
      </c>
      <c r="N12" s="4" t="n">
        <v>0</v>
      </c>
      <c r="O12" s="4" t="n">
        <v>1</v>
      </c>
      <c r="P12" s="4" t="n">
        <v>0</v>
      </c>
      <c r="Q12" s="12" t="n"/>
      <c r="R12" s="41" t="n"/>
      <c r="S12" s="4" t="inlineStr">
        <is>
          <t>0 = no reported evidence in material assessed; blank = not coded/unknown; neither proves absence</t>
        </is>
      </c>
      <c r="T12" s="4">
        <f>IF(COUNTIFS('ESTUDIOS'!$A$2:$A$455,$A12,'ESTUDIOS'!$I$2:$I$455,"")&gt;0,"",INDEX('ESTUDIOS'!$I$2:$I$455,MATCH($A12,'ESTUDIOS'!$A$2:$A$455,0)))</f>
        <v/>
      </c>
    </row>
    <row r="13" ht="86" customHeight="1">
      <c r="A13" s="4" t="inlineStr">
        <is>
          <t>12</t>
        </is>
      </c>
      <c r="B13" s="4" t="inlineStr">
        <is>
          <t>Historical</t>
        </is>
      </c>
      <c r="C13" s="4" t="inlineStr">
        <is>
          <t>Effect of Wearable Digital Intervention for Improving Socialization in Children with Autism Spectrum Disorder: A Randomized Clinical Trial</t>
        </is>
      </c>
      <c r="D13" s="4" t="n">
        <v>0</v>
      </c>
      <c r="E13" s="4" t="n">
        <v>0</v>
      </c>
      <c r="F13" s="4" t="n">
        <v>0</v>
      </c>
      <c r="G13" s="4" t="n">
        <v>0</v>
      </c>
      <c r="H13" s="4" t="n">
        <v>0</v>
      </c>
      <c r="I13" s="4" t="n">
        <v>0</v>
      </c>
      <c r="J13" s="4" t="n">
        <v>1</v>
      </c>
      <c r="K13" s="4" t="inlineStr">
        <is>
          <t>Historical signals: title/abstract/notes; full-text completion not independently established</t>
        </is>
      </c>
      <c r="L13" s="4" t="inlineStr">
        <is>
          <t>Wearable AI-driven behavioral intervention (‘Superpower Glass’) that detects facial expressions and provides cues for emotion recognition during home sessions; clinical RCT; AI model family not specified in paper text.</t>
        </is>
      </c>
      <c r="M13" s="4" t="inlineStr">
        <is>
          <t>https://doi.org/10.1001/jamapediatrics.2019.0285</t>
        </is>
      </c>
      <c r="N13" s="4" t="n">
        <v>0</v>
      </c>
      <c r="O13" s="4" t="n">
        <v>1</v>
      </c>
      <c r="P13" s="4" t="n">
        <v>1</v>
      </c>
      <c r="Q13" s="12" t="n"/>
      <c r="R13" s="41" t="n"/>
      <c r="S13" s="4" t="inlineStr">
        <is>
          <t>0 = no reported evidence in material assessed; blank = not coded/unknown; neither proves absence</t>
        </is>
      </c>
      <c r="T13" s="4">
        <f>IF(COUNTIFS('ESTUDIOS'!$A$2:$A$455,$A13,'ESTUDIOS'!$I$2:$I$455,"")&gt;0,"",INDEX('ESTUDIOS'!$I$2:$I$455,MATCH($A13,'ESTUDIOS'!$A$2:$A$455,0)))</f>
        <v/>
      </c>
    </row>
    <row r="14" ht="86" customHeight="1">
      <c r="A14" s="4" t="inlineStr">
        <is>
          <t>13</t>
        </is>
      </c>
      <c r="B14" s="4" t="inlineStr">
        <is>
          <t>Historical</t>
        </is>
      </c>
      <c r="C14" s="4" t="inlineStr">
        <is>
          <t>Feature Signature Discovery for Autism Detection: An Automated Machine Learning Based Feature Ranking Framework</t>
        </is>
      </c>
      <c r="D14" s="4" t="n">
        <v>0</v>
      </c>
      <c r="E14" s="4" t="n">
        <v>0</v>
      </c>
      <c r="F14" s="4" t="n">
        <v>0</v>
      </c>
      <c r="G14" s="4" t="n">
        <v>0</v>
      </c>
      <c r="H14" s="4" t="n">
        <v>0</v>
      </c>
      <c r="I14" s="4" t="n">
        <v>1</v>
      </c>
      <c r="J14" s="4" t="n">
        <v>0</v>
      </c>
      <c r="K14" s="4" t="inlineStr">
        <is>
          <t>Historical signals: title/abstract/notes; full-text completion not independently established</t>
        </is>
      </c>
      <c r="L14" s="4" t="inlineStr">
        <is>
          <t>Usa puntajes Q-CHAT; framework AutoML/feature ranking no mapea a un algoritmo único.</t>
        </is>
      </c>
      <c r="M14" s="4" t="inlineStr">
        <is>
          <t>https://doi.org/10.1155/2023/6330002</t>
        </is>
      </c>
      <c r="N14" s="4" t="n">
        <v>1</v>
      </c>
      <c r="O14" s="4" t="n">
        <v>0</v>
      </c>
      <c r="P14" s="4" t="n">
        <v>1</v>
      </c>
      <c r="Q14" s="12" t="n"/>
      <c r="R14" s="41" t="n"/>
      <c r="S14" s="4" t="inlineStr">
        <is>
          <t>0 = no reported evidence in material assessed; blank = not coded/unknown; neither proves absence</t>
        </is>
      </c>
      <c r="T14" s="4">
        <f>IF(COUNTIFS('ESTUDIOS'!$A$2:$A$455,$A14,'ESTUDIOS'!$I$2:$I$455,"")&gt;0,"",INDEX('ESTUDIOS'!$I$2:$I$455,MATCH($A14,'ESTUDIOS'!$A$2:$A$455,0)))</f>
        <v/>
      </c>
    </row>
    <row r="15" ht="86" customHeight="1">
      <c r="A15" s="4" t="inlineStr">
        <is>
          <t>14</t>
        </is>
      </c>
      <c r="B15" s="4" t="inlineStr">
        <is>
          <t>Historical</t>
        </is>
      </c>
      <c r="C15" s="4" t="inlineStr">
        <is>
          <t>Functional neuroimaging of high-risk 6-month-old infants predicts a diagnosis of autism at 24 months of age</t>
        </is>
      </c>
      <c r="D15" s="4" t="n">
        <v>0</v>
      </c>
      <c r="E15" s="4" t="n">
        <v>0</v>
      </c>
      <c r="F15" s="4" t="n">
        <v>0</v>
      </c>
      <c r="G15" s="4" t="n">
        <v>1</v>
      </c>
      <c r="H15" s="4" t="n">
        <v>0</v>
      </c>
      <c r="I15" s="4" t="n">
        <v>0</v>
      </c>
      <c r="J15" s="4" t="n">
        <v>0</v>
      </c>
      <c r="K15" s="4" t="inlineStr">
        <is>
          <t>Historical signals: title/abstract/notes; full-text completion not independently established</t>
        </is>
      </c>
      <c r="L15" s="4" t="inlineStr">
        <is>
          <t>Algoritmo principal no explícito o fuera del codebook; Confirmar algoritmo principal en full-text</t>
        </is>
      </c>
      <c r="M15" s="4" t="inlineStr">
        <is>
          <t>https://doi.org/10.1126/scitranslmed.aag2882</t>
        </is>
      </c>
      <c r="N15" s="4" t="n">
        <v>0</v>
      </c>
      <c r="O15" s="4" t="n">
        <v>0</v>
      </c>
      <c r="P15" s="4" t="n">
        <v>1</v>
      </c>
      <c r="Q15" s="12" t="n"/>
      <c r="R15" s="41" t="n"/>
      <c r="S15" s="4" t="inlineStr">
        <is>
          <t>0 = no reported evidence in material assessed; blank = not coded/unknown; neither proves absence</t>
        </is>
      </c>
      <c r="T15" s="4">
        <f>IF(COUNTIFS('ESTUDIOS'!$A$2:$A$455,$A15,'ESTUDIOS'!$I$2:$I$455,"")&gt;0,"",INDEX('ESTUDIOS'!$I$2:$I$455,MATCH($A15,'ESTUDIOS'!$A$2:$A$455,0)))</f>
        <v/>
      </c>
    </row>
    <row r="16" ht="86" customHeight="1">
      <c r="A16" s="4" t="inlineStr">
        <is>
          <t>15</t>
        </is>
      </c>
      <c r="B16" s="4" t="inlineStr">
        <is>
          <t>Historical</t>
        </is>
      </c>
      <c r="C16" s="4" t="inlineStr">
        <is>
          <t>Hybrid CNN and random forest model with late fusion for detection of autism spectrum disorder in Toddlers</t>
        </is>
      </c>
      <c r="D16" s="4" t="n">
        <v>0</v>
      </c>
      <c r="E16" s="4" t="n">
        <v>0</v>
      </c>
      <c r="F16" s="4" t="n">
        <v>0</v>
      </c>
      <c r="G16" s="4" t="n">
        <v>0</v>
      </c>
      <c r="H16" s="4" t="n">
        <v>0</v>
      </c>
      <c r="I16" s="4" t="n">
        <v>0</v>
      </c>
      <c r="J16" s="4" t="n">
        <v>0</v>
      </c>
      <c r="K16" s="4" t="inlineStr">
        <is>
          <t>Historical signals: title/abstract/notes; full-text completion not independently established</t>
        </is>
      </c>
      <c r="L16" s="4" t="inlineStr">
        <is>
          <t>Hybrid late-fusion: VGG16 (CNN feature extractor) + Random Forest classifier; compares vs VGG16/EfficientNet/AlexNet and conventional ML</t>
        </is>
      </c>
      <c r="M16" s="4" t="inlineStr">
        <is>
          <t>https://doi.org/10.1016/j.mex.2025.103278</t>
        </is>
      </c>
      <c r="N16" s="4" t="n">
        <v>0</v>
      </c>
      <c r="O16" s="4" t="n">
        <v>0</v>
      </c>
      <c r="P16" s="4" t="n">
        <v>1</v>
      </c>
      <c r="Q16" s="12" t="n"/>
      <c r="R16" s="41" t="n"/>
      <c r="S16" s="4" t="inlineStr">
        <is>
          <t>0 = no reported evidence in material assessed; blank = not coded/unknown; neither proves absence</t>
        </is>
      </c>
      <c r="T16" s="4">
        <f>IF(COUNTIFS('ESTUDIOS'!$A$2:$A$455,$A16,'ESTUDIOS'!$I$2:$I$455,"")&gt;0,"",INDEX('ESTUDIOS'!$I$2:$I$455,MATCH($A16,'ESTUDIOS'!$A$2:$A$455,0)))</f>
        <v/>
      </c>
    </row>
    <row r="17" ht="86" customHeight="1">
      <c r="A17" s="4" t="inlineStr">
        <is>
          <t>16</t>
        </is>
      </c>
      <c r="B17" s="4" t="inlineStr">
        <is>
          <t>Historical</t>
        </is>
      </c>
      <c r="C17" s="4" t="inlineStr">
        <is>
          <t>Machine Learning Approaches for the Early Diagnosis of Autism Spectrum Disorder: A Systematic Framework</t>
        </is>
      </c>
      <c r="D17" s="4" t="n">
        <v>0</v>
      </c>
      <c r="E17" s="4" t="n">
        <v>0</v>
      </c>
      <c r="F17" s="4" t="n">
        <v>0</v>
      </c>
      <c r="G17" s="4" t="n">
        <v>0</v>
      </c>
      <c r="H17" s="4" t="n">
        <v>0</v>
      </c>
      <c r="I17" s="4" t="n">
        <v>0</v>
      </c>
      <c r="J17" s="4" t="n">
        <v>0</v>
      </c>
      <c r="K17" s="4" t="inlineStr">
        <is>
          <t>Historical signals: title/abstract/notes; full-text completion not independently established</t>
        </is>
      </c>
      <c r="L17" s="4" t="str"/>
      <c r="M17" s="4" t="inlineStr">
        <is>
          <t>https://doi.org/10.1007/978-3-031-81083-1_7</t>
        </is>
      </c>
      <c r="N17" s="4" t="n">
        <v>0</v>
      </c>
      <c r="O17" s="4" t="n">
        <v>0</v>
      </c>
      <c r="P17" s="4" t="n">
        <v>0</v>
      </c>
      <c r="Q17" s="12" t="n"/>
      <c r="R17" s="41" t="n"/>
      <c r="S17" s="4" t="inlineStr">
        <is>
          <t>0 = no reported evidence in material assessed; blank = not coded/unknown; neither proves absence</t>
        </is>
      </c>
      <c r="T17" s="4">
        <f>IF(COUNTIFS('ESTUDIOS'!$A$2:$A$455,$A17,'ESTUDIOS'!$I$2:$I$455,"")&gt;0,"",INDEX('ESTUDIOS'!$I$2:$I$455,MATCH($A17,'ESTUDIOS'!$A$2:$A$455,0)))</f>
        <v/>
      </c>
    </row>
    <row r="18" ht="86" customHeight="1">
      <c r="A18" s="4" t="inlineStr">
        <is>
          <t>17</t>
        </is>
      </c>
      <c r="B18" s="4" t="inlineStr">
        <is>
          <t>Historical</t>
        </is>
      </c>
      <c r="C18" s="4" t="inlineStr">
        <is>
          <t>Machine learning classification of autism spectrum disorder based on reciprocity in naturalistic social interactions</t>
        </is>
      </c>
      <c r="D18" s="4" t="n">
        <v>0</v>
      </c>
      <c r="E18" s="4" t="n">
        <v>0</v>
      </c>
      <c r="F18" s="4" t="n">
        <v>0</v>
      </c>
      <c r="G18" s="4" t="n">
        <v>0</v>
      </c>
      <c r="H18" s="4" t="n">
        <v>0</v>
      </c>
      <c r="I18" s="4" t="n">
        <v>0</v>
      </c>
      <c r="J18" s="4" t="n">
        <v>0</v>
      </c>
      <c r="K18" s="4" t="inlineStr">
        <is>
          <t>Historical signals: title/abstract/notes; full-text completion not independently established</t>
        </is>
      </c>
      <c r="L18" s="4" t="inlineStr">
        <is>
          <t>Naturalistic social interaction videos; open-source computer vision used for objective annotation (movement/facial expression synchrony); features fed into SVM model to classify autistic vs non-autistic interaction dyads; supplementary exploratory RF mentioned</t>
        </is>
      </c>
      <c r="M18" s="4" t="inlineStr">
        <is>
          <t>https://doi.org/10.1038/s41398-024-02802-5</t>
        </is>
      </c>
      <c r="N18" s="4" t="n">
        <v>0</v>
      </c>
      <c r="O18" s="4" t="n">
        <v>0</v>
      </c>
      <c r="P18" s="4" t="n">
        <v>0</v>
      </c>
      <c r="Q18" s="12" t="n"/>
      <c r="R18" s="41" t="n"/>
      <c r="S18" s="4" t="inlineStr">
        <is>
          <t>0 = no reported evidence in material assessed; blank = not coded/unknown; neither proves absence</t>
        </is>
      </c>
      <c r="T18" s="4">
        <f>IF(COUNTIFS('ESTUDIOS'!$A$2:$A$455,$A18,'ESTUDIOS'!$I$2:$I$455,"")&gt;0,"",INDEX('ESTUDIOS'!$I$2:$I$455,MATCH($A18,'ESTUDIOS'!$A$2:$A$455,0)))</f>
        <v/>
      </c>
    </row>
    <row r="19" ht="86" customHeight="1">
      <c r="A19" s="4" t="inlineStr">
        <is>
          <t>18</t>
        </is>
      </c>
      <c r="B19" s="4" t="inlineStr">
        <is>
          <t>Historical</t>
        </is>
      </c>
      <c r="C19" s="4" t="inlineStr">
        <is>
          <t>Multiparametric MRI characterization and prediction in autism spectrum disorder using graph theory and machine learning</t>
        </is>
      </c>
      <c r="D19" s="4" t="n">
        <v>0</v>
      </c>
      <c r="E19" s="4" t="n">
        <v>1</v>
      </c>
      <c r="F19" s="4" t="n">
        <v>0</v>
      </c>
      <c r="G19" s="4" t="n">
        <v>0</v>
      </c>
      <c r="H19" s="4" t="n">
        <v>0</v>
      </c>
      <c r="I19" s="4" t="n">
        <v>0</v>
      </c>
      <c r="J19" s="4" t="n">
        <v>1</v>
      </c>
      <c r="K19" s="4" t="inlineStr">
        <is>
          <t>Historical signals: title/abstract/notes; full-text completion not independently established</t>
        </is>
      </c>
      <c r="L19" s="4" t="inlineStr">
        <is>
          <t>Clasificación ASD vs control con MRI multiparamétrica; también predice rasgos fenotípicos.</t>
        </is>
      </c>
      <c r="M19" s="4" t="inlineStr">
        <is>
          <t>https://doi.org/10.1371/journal.pone.0090405</t>
        </is>
      </c>
      <c r="N19" s="4" t="n">
        <v>0</v>
      </c>
      <c r="O19" s="4" t="n">
        <v>1</v>
      </c>
      <c r="P19" s="4" t="n">
        <v>1</v>
      </c>
      <c r="Q19" s="12" t="n"/>
      <c r="R19" s="41" t="n"/>
      <c r="S19" s="4" t="inlineStr">
        <is>
          <t>0 = no reported evidence in material assessed; blank = not coded/unknown; neither proves absence</t>
        </is>
      </c>
      <c r="T19" s="4">
        <f>IF(COUNTIFS('ESTUDIOS'!$A$2:$A$455,$A19,'ESTUDIOS'!$I$2:$I$455,"")&gt;0,"",INDEX('ESTUDIOS'!$I$2:$I$455,MATCH($A19,'ESTUDIOS'!$A$2:$A$455,0)))</f>
        <v/>
      </c>
    </row>
    <row r="20" ht="86" customHeight="1">
      <c r="A20" s="4" t="inlineStr">
        <is>
          <t>19</t>
        </is>
      </c>
      <c r="B20" s="4" t="inlineStr">
        <is>
          <t>Historical</t>
        </is>
      </c>
      <c r="C20" s="4" t="inlineStr">
        <is>
          <t>Multivariate Neural Connectivity Patterns in Early Infancy Predict Later Autism Symptoms</t>
        </is>
      </c>
      <c r="D20" s="4" t="n">
        <v>0</v>
      </c>
      <c r="E20" s="4" t="n">
        <v>0</v>
      </c>
      <c r="F20" s="4" t="n">
        <v>0</v>
      </c>
      <c r="G20" s="4" t="n">
        <v>0</v>
      </c>
      <c r="H20" s="4" t="n">
        <v>0</v>
      </c>
      <c r="I20" s="4" t="n">
        <v>0</v>
      </c>
      <c r="J20" s="4" t="n">
        <v>0</v>
      </c>
      <c r="K20" s="4" t="inlineStr">
        <is>
          <t>Historical signals: title/abstract/notes; full-text completion not independently established</t>
        </is>
      </c>
      <c r="L20" s="4" t="str"/>
      <c r="M20" s="4" t="inlineStr">
        <is>
          <t>https://doi.org/10.1016/j.bpsc.2020.06.003</t>
        </is>
      </c>
      <c r="N20" s="4" t="n">
        <v>0</v>
      </c>
      <c r="O20" s="4" t="n">
        <v>0</v>
      </c>
      <c r="P20" s="4" t="n">
        <v>0</v>
      </c>
      <c r="Q20" s="12" t="n"/>
      <c r="R20" s="41" t="n"/>
      <c r="S20" s="4" t="inlineStr">
        <is>
          <t>0 = no reported evidence in material assessed; blank = not coded/unknown; neither proves absence</t>
        </is>
      </c>
      <c r="T20" s="4">
        <f>IF(COUNTIFS('ESTUDIOS'!$A$2:$A$455,$A20,'ESTUDIOS'!$I$2:$I$455,"")&gt;0,"",INDEX('ESTUDIOS'!$I$2:$I$455,MATCH($A20,'ESTUDIOS'!$A$2:$A$455,0)))</f>
        <v/>
      </c>
    </row>
    <row r="21" ht="86" customHeight="1">
      <c r="A21" s="4" t="inlineStr">
        <is>
          <t>20</t>
        </is>
      </c>
      <c r="B21" s="4" t="inlineStr">
        <is>
          <t>Historical</t>
        </is>
      </c>
      <c r="C21" s="4" t="inlineStr">
        <is>
          <t>Testing the accuracy of an observation-based classifier for rapid detection of autism risk.</t>
        </is>
      </c>
      <c r="D21" s="4" t="n">
        <v>1</v>
      </c>
      <c r="E21" s="4" t="n">
        <v>0</v>
      </c>
      <c r="F21" s="4" t="n">
        <v>0</v>
      </c>
      <c r="G21" s="4" t="n">
        <v>0</v>
      </c>
      <c r="H21" s="4" t="n">
        <v>0</v>
      </c>
      <c r="I21" s="4" t="n">
        <v>0</v>
      </c>
      <c r="J21" s="4" t="n">
        <v>0</v>
      </c>
      <c r="K21" s="4" t="inlineStr">
        <is>
          <t>Historical signals: title/abstract/notes; full-text completion not independently established</t>
        </is>
      </c>
      <c r="L21" s="4" t="inlineStr">
        <is>
          <t>Algorithm specifically is Alternating Decision Tree (ADTree) (not a standard single CART/ID3); mapped to Decision Tree due to allowed categories</t>
        </is>
      </c>
      <c r="M21" s="4" t="inlineStr">
        <is>
          <t>https://doi.org/10.1038/tp.2014.65</t>
        </is>
      </c>
      <c r="N21" s="4" t="n">
        <v>0</v>
      </c>
      <c r="O21" s="4" t="n">
        <v>0</v>
      </c>
      <c r="P21" s="4" t="n">
        <v>0</v>
      </c>
      <c r="Q21" s="12" t="n"/>
      <c r="R21" s="41" t="n"/>
      <c r="S21" s="4" t="inlineStr">
        <is>
          <t>0 = no reported evidence in material assessed; blank = not coded/unknown; neither proves absence</t>
        </is>
      </c>
      <c r="T21" s="4">
        <f>IF(COUNTIFS('ESTUDIOS'!$A$2:$A$455,$A21,'ESTUDIOS'!$I$2:$I$455,"")&gt;0,"",INDEX('ESTUDIOS'!$I$2:$I$455,MATCH($A21,'ESTUDIOS'!$A$2:$A$455,0)))</f>
        <v/>
      </c>
    </row>
    <row r="22" ht="86" customHeight="1">
      <c r="A22" s="4" t="inlineStr">
        <is>
          <t>21</t>
        </is>
      </c>
      <c r="B22" s="4" t="inlineStr">
        <is>
          <t>Historical</t>
        </is>
      </c>
      <c r="C22" s="4" t="inlineStr">
        <is>
          <t>Using deep learning to classify developmental differences in reaching and placing movements in children with and without autism spectrum disorder</t>
        </is>
      </c>
      <c r="D22" s="4" t="n">
        <v>0</v>
      </c>
      <c r="E22" s="4" t="n">
        <v>0</v>
      </c>
      <c r="F22" s="4" t="n">
        <v>0</v>
      </c>
      <c r="G22" s="4" t="n">
        <v>0</v>
      </c>
      <c r="H22" s="4" t="n">
        <v>0</v>
      </c>
      <c r="I22" s="4" t="n">
        <v>0</v>
      </c>
      <c r="J22" s="4" t="n">
        <v>1</v>
      </c>
      <c r="K22" s="4" t="inlineStr">
        <is>
          <t>Historical signals: title/abstract/notes; full-text completion not independently established</t>
        </is>
      </c>
      <c r="L22" s="4" t="str"/>
      <c r="M22" s="4" t="inlineStr">
        <is>
          <t>https://doi.org/10.1038/s41598-024-81652-z</t>
        </is>
      </c>
      <c r="N22" s="4" t="n">
        <v>0</v>
      </c>
      <c r="O22" s="4" t="n">
        <v>1</v>
      </c>
      <c r="P22" s="4" t="n">
        <v>0</v>
      </c>
      <c r="Q22" s="12" t="n"/>
      <c r="R22" s="41" t="n"/>
      <c r="S22" s="4" t="inlineStr">
        <is>
          <t>0 = no reported evidence in material assessed; blank = not coded/unknown; neither proves absence</t>
        </is>
      </c>
      <c r="T22" s="4">
        <f>IF(COUNTIFS('ESTUDIOS'!$A$2:$A$455,$A22,'ESTUDIOS'!$I$2:$I$455,"")&gt;0,"",INDEX('ESTUDIOS'!$I$2:$I$455,MATCH($A22,'ESTUDIOS'!$A$2:$A$455,0)))</f>
        <v/>
      </c>
    </row>
    <row r="23" ht="86" customHeight="1">
      <c r="A23" s="4" t="inlineStr">
        <is>
          <t>22</t>
        </is>
      </c>
      <c r="B23" s="4" t="inlineStr">
        <is>
          <t>Historical</t>
        </is>
      </c>
      <c r="C23" s="4" t="inlineStr">
        <is>
          <t>A CNN deep local and global ASD classification approach with continuous wavelet transform using task-based FMRI</t>
        </is>
      </c>
      <c r="D23" s="4" t="n">
        <v>0</v>
      </c>
      <c r="E23" s="4" t="n">
        <v>0</v>
      </c>
      <c r="F23" s="4" t="n">
        <v>0</v>
      </c>
      <c r="G23" s="4" t="n">
        <v>0</v>
      </c>
      <c r="H23" s="4" t="n">
        <v>0</v>
      </c>
      <c r="I23" s="4" t="n">
        <v>0</v>
      </c>
      <c r="J23" s="4" t="n">
        <v>0</v>
      </c>
      <c r="K23" s="4" t="inlineStr">
        <is>
          <t>Historical signals: title/abstract/notes; full-text completion not independently established</t>
        </is>
      </c>
      <c r="L23" s="4" t="inlineStr">
        <is>
          <t>Incluye clustering para ROI/selección dimensional y generan “brain map indicating ASD severity level”, pero el objetivo central del sistema es clasificación ASD vs TD con CNN.</t>
        </is>
      </c>
      <c r="M23" s="4" t="inlineStr">
        <is>
          <t>https://doi.org/10.3390/s21175822</t>
        </is>
      </c>
      <c r="N23" s="4" t="n">
        <v>0</v>
      </c>
      <c r="O23" s="4" t="n">
        <v>0</v>
      </c>
      <c r="P23" s="4" t="n">
        <v>1</v>
      </c>
      <c r="Q23" s="12" t="n"/>
      <c r="R23" s="41" t="n"/>
      <c r="S23" s="4" t="inlineStr">
        <is>
          <t>0 = no reported evidence in material assessed; blank = not coded/unknown; neither proves absence</t>
        </is>
      </c>
      <c r="T23" s="4">
        <f>IF(COUNTIFS('ESTUDIOS'!$A$2:$A$455,$A23,'ESTUDIOS'!$I$2:$I$455,"")&gt;0,"",INDEX('ESTUDIOS'!$I$2:$I$455,MATCH($A23,'ESTUDIOS'!$A$2:$A$455,0)))</f>
        <v/>
      </c>
    </row>
    <row r="24" ht="86" customHeight="1">
      <c r="A24" s="4" t="inlineStr">
        <is>
          <t>23</t>
        </is>
      </c>
      <c r="B24" s="4" t="inlineStr">
        <is>
          <t>Historical</t>
        </is>
      </c>
      <c r="C24" s="4" t="inlineStr">
        <is>
          <t>A new machine learning model based on induction of rules for autism detection</t>
        </is>
      </c>
      <c r="D24" s="4" t="n">
        <v>0</v>
      </c>
      <c r="E24" s="4" t="n">
        <v>0</v>
      </c>
      <c r="F24" s="4" t="n">
        <v>0</v>
      </c>
      <c r="G24" s="4" t="n">
        <v>0</v>
      </c>
      <c r="H24" s="4" t="n">
        <v>0</v>
      </c>
      <c r="I24" s="4" t="n">
        <v>0</v>
      </c>
      <c r="J24" s="4" t="n">
        <v>0</v>
      </c>
      <c r="K24" s="4" t="inlineStr">
        <is>
          <t>Historical signals: title/abstract/notes; full-text completion not independently established</t>
        </is>
      </c>
      <c r="L24" s="4" t="inlineStr">
        <is>
          <t>Boosting, Bagging, rule induction methods (rules-machine learning framework), Modelo basado en inducción de reglas sobre datasets de cribado; algoritmo fuera del codebook.</t>
        </is>
      </c>
      <c r="M24" s="4" t="inlineStr">
        <is>
          <t>https://doi.org/10.1177/1460458218824711</t>
        </is>
      </c>
      <c r="N24" s="4" t="n">
        <v>0</v>
      </c>
      <c r="O24" s="4" t="n">
        <v>0</v>
      </c>
      <c r="P24" s="4" t="n">
        <v>1</v>
      </c>
      <c r="Q24" s="12" t="n"/>
      <c r="R24" s="41" t="n"/>
      <c r="S24" s="4" t="inlineStr">
        <is>
          <t>0 = no reported evidence in material assessed; blank = not coded/unknown; neither proves absence</t>
        </is>
      </c>
      <c r="T24" s="4">
        <f>IF(COUNTIFS('ESTUDIOS'!$A$2:$A$455,$A24,'ESTUDIOS'!$I$2:$I$455,"")&gt;0,"",INDEX('ESTUDIOS'!$I$2:$I$455,MATCH($A24,'ESTUDIOS'!$A$2:$A$455,0)))</f>
        <v/>
      </c>
    </row>
    <row r="25" ht="86" customHeight="1">
      <c r="A25" s="4" t="inlineStr">
        <is>
          <t>24</t>
        </is>
      </c>
      <c r="B25" s="4" t="inlineStr">
        <is>
          <t>Historical</t>
        </is>
      </c>
      <c r="C25" s="4" t="inlineStr">
        <is>
          <t>A Novel Grading System for Autism Severity Level Using Task-Based Functional MRI: A Response to Speech Study</t>
        </is>
      </c>
      <c r="D25" s="4" t="n">
        <v>0</v>
      </c>
      <c r="E25" s="4" t="n">
        <v>0</v>
      </c>
      <c r="F25" s="4" t="n">
        <v>0</v>
      </c>
      <c r="G25" s="4" t="n">
        <v>0</v>
      </c>
      <c r="H25" s="4" t="n">
        <v>0</v>
      </c>
      <c r="I25" s="4" t="n">
        <v>0</v>
      </c>
      <c r="J25" s="4" t="n">
        <v>0</v>
      </c>
      <c r="K25" s="4" t="inlineStr">
        <is>
          <t>Historical signals: title/abstract/notes; full-text completion not independently established</t>
        </is>
      </c>
      <c r="L25" s="4" t="inlineStr">
        <is>
          <t>Gradación de severidad por clases con task-fMRI; clasificadores múltiples no detallados.</t>
        </is>
      </c>
      <c r="M25" s="4" t="inlineStr">
        <is>
          <t>https://doi.org/10.1109/access.2021.3097606</t>
        </is>
      </c>
      <c r="N25" s="4" t="n">
        <v>0</v>
      </c>
      <c r="O25" s="4" t="n">
        <v>0</v>
      </c>
      <c r="P25" s="4" t="n">
        <v>1</v>
      </c>
      <c r="Q25" s="12" t="n"/>
      <c r="R25" s="41" t="n"/>
      <c r="S25" s="4" t="inlineStr">
        <is>
          <t>0 = no reported evidence in material assessed; blank = not coded/unknown; neither proves absence</t>
        </is>
      </c>
      <c r="T25" s="4">
        <f>IF(COUNTIFS('ESTUDIOS'!$A$2:$A$455,$A25,'ESTUDIOS'!$I$2:$I$455,"")&gt;0,"",INDEX('ESTUDIOS'!$I$2:$I$455,MATCH($A25,'ESTUDIOS'!$A$2:$A$455,0)))</f>
        <v/>
      </c>
    </row>
    <row r="26" ht="86" customHeight="1">
      <c r="A26" s="4" t="inlineStr">
        <is>
          <t>26</t>
        </is>
      </c>
      <c r="B26" s="4" t="inlineStr">
        <is>
          <t>Historical</t>
        </is>
      </c>
      <c r="C26" s="4" t="inlineStr">
        <is>
          <t>An Analysis of the Use of Machine Learning in the Diagnosis of Autism Spectrum Disorder</t>
        </is>
      </c>
      <c r="D26" s="4" t="n">
        <v>0</v>
      </c>
      <c r="E26" s="4" t="n">
        <v>0</v>
      </c>
      <c r="F26" s="4" t="n">
        <v>0</v>
      </c>
      <c r="G26" s="4" t="n">
        <v>0</v>
      </c>
      <c r="H26" s="4" t="n">
        <v>0</v>
      </c>
      <c r="I26" s="4" t="n">
        <v>0</v>
      </c>
      <c r="J26" s="4" t="n">
        <v>1</v>
      </c>
      <c r="K26" s="4" t="inlineStr">
        <is>
          <t>Historical signals: title/abstract/notes; full-text completion not independently established</t>
        </is>
      </c>
      <c r="L26" s="4" t="str"/>
      <c r="M26" s="4" t="inlineStr">
        <is>
          <t>https://doi.org/10.1007/978-3-031-23683-9_12</t>
        </is>
      </c>
      <c r="N26" s="4" t="n">
        <v>0</v>
      </c>
      <c r="O26" s="4" t="n">
        <v>1</v>
      </c>
      <c r="P26" s="4" t="n">
        <v>0</v>
      </c>
      <c r="Q26" s="12" t="n"/>
      <c r="R26" s="41" t="n"/>
      <c r="S26" s="4" t="inlineStr">
        <is>
          <t>0 = no reported evidence in material assessed; blank = not coded/unknown; neither proves absence</t>
        </is>
      </c>
      <c r="T26" s="4">
        <f>IF(COUNTIFS('ESTUDIOS'!$A$2:$A$455,$A26,'ESTUDIOS'!$I$2:$I$455,"")&gt;0,"",INDEX('ESTUDIOS'!$I$2:$I$455,MATCH($A26,'ESTUDIOS'!$A$2:$A$455,0)))</f>
        <v/>
      </c>
    </row>
    <row r="27" ht="86" customHeight="1">
      <c r="A27" s="4" t="inlineStr">
        <is>
          <t>27</t>
        </is>
      </c>
      <c r="B27" s="4" t="inlineStr">
        <is>
          <t>Historical</t>
        </is>
      </c>
      <c r="C27" s="4" t="inlineStr">
        <is>
          <t>An analytics-driven model for identifying autism spectrum disorder using eye tracking</t>
        </is>
      </c>
      <c r="D27" s="4" t="n">
        <v>0</v>
      </c>
      <c r="E27" s="4" t="n">
        <v>0</v>
      </c>
      <c r="F27" s="4" t="n">
        <v>0</v>
      </c>
      <c r="G27" s="4" t="n">
        <v>0</v>
      </c>
      <c r="H27" s="4" t="n">
        <v>0</v>
      </c>
      <c r="I27" s="4" t="n">
        <v>0</v>
      </c>
      <c r="J27" s="4" t="n">
        <v>0</v>
      </c>
      <c r="K27" s="4" t="inlineStr">
        <is>
          <t>Historical signals: title/abstract/notes; full-text completion not independently established</t>
        </is>
      </c>
      <c r="L27" s="4" t="inlineStr">
        <is>
          <t>Usa eye-tracking/gaze movement; algoritmo principal no explícito.</t>
        </is>
      </c>
      <c r="M27" s="4" t="inlineStr">
        <is>
          <t>https://doi.org/10.1016/j.health.2025.100409</t>
        </is>
      </c>
      <c r="N27" s="4" t="n">
        <v>0</v>
      </c>
      <c r="O27" s="4" t="n">
        <v>0</v>
      </c>
      <c r="P27" s="4" t="n">
        <v>1</v>
      </c>
      <c r="Q27" s="12" t="n"/>
      <c r="R27" s="41" t="n"/>
      <c r="S27" s="4" t="inlineStr">
        <is>
          <t>0 = no reported evidence in material assessed; blank = not coded/unknown; neither proves absence</t>
        </is>
      </c>
      <c r="T27" s="4">
        <f>IF(COUNTIFS('ESTUDIOS'!$A$2:$A$455,$A27,'ESTUDIOS'!$I$2:$I$455,"")&gt;0,"",INDEX('ESTUDIOS'!$I$2:$I$455,MATCH($A27,'ESTUDIOS'!$A$2:$A$455,0)))</f>
        <v/>
      </c>
    </row>
    <row r="28" ht="86" customHeight="1">
      <c r="A28" s="4" t="inlineStr">
        <is>
          <t>28</t>
        </is>
      </c>
      <c r="B28" s="4" t="inlineStr">
        <is>
          <t>Historical</t>
        </is>
      </c>
      <c r="C28" s="4" t="inlineStr">
        <is>
          <t>An evaluation of machine learning approaches for early diagnosis of autism spectrum disorder</t>
        </is>
      </c>
      <c r="D28" s="4" t="n">
        <v>0</v>
      </c>
      <c r="E28" s="4" t="n">
        <v>0</v>
      </c>
      <c r="F28" s="4" t="n">
        <v>0</v>
      </c>
      <c r="G28" s="4" t="n">
        <v>0</v>
      </c>
      <c r="H28" s="4" t="n">
        <v>0</v>
      </c>
      <c r="I28" s="4" t="n">
        <v>0</v>
      </c>
      <c r="J28" s="4" t="n">
        <v>0</v>
      </c>
      <c r="K28" s="4" t="inlineStr">
        <is>
          <t>Historical signals: title/abstract/notes; full-text completion not independently established</t>
        </is>
      </c>
      <c r="L28" s="4" t="inlineStr">
        <is>
          <t>Compara varios clasificadores; ANN/MLP reporta mejor desempeño en dataset combinado.</t>
        </is>
      </c>
      <c r="M28" s="4" t="inlineStr">
        <is>
          <t>https://doi.org/10.1016/j.health.2023.100293</t>
        </is>
      </c>
      <c r="N28" s="4" t="n">
        <v>0</v>
      </c>
      <c r="O28" s="4" t="n">
        <v>0</v>
      </c>
      <c r="P28" s="4" t="n">
        <v>1</v>
      </c>
      <c r="Q28" s="12" t="n"/>
      <c r="R28" s="41" t="n"/>
      <c r="S28" s="4" t="inlineStr">
        <is>
          <t>0 = no reported evidence in material assessed; blank = not coded/unknown; neither proves absence</t>
        </is>
      </c>
      <c r="T28" s="4">
        <f>IF(COUNTIFS('ESTUDIOS'!$A$2:$A$455,$A28,'ESTUDIOS'!$I$2:$I$455,"")&gt;0,"",INDEX('ESTUDIOS'!$I$2:$I$455,MATCH($A28,'ESTUDIOS'!$A$2:$A$455,0)))</f>
        <v/>
      </c>
    </row>
    <row r="29" ht="86" customHeight="1">
      <c r="A29" s="4" t="inlineStr">
        <is>
          <t>29</t>
        </is>
      </c>
      <c r="B29" s="4" t="inlineStr">
        <is>
          <t>Historical</t>
        </is>
      </c>
      <c r="C29" s="4" t="inlineStr">
        <is>
          <t>An intellectual autism spectrum disorder classification framework in healthcare industry using ViT-based adaptive deep learning model</t>
        </is>
      </c>
      <c r="D29" s="4" t="n">
        <v>0</v>
      </c>
      <c r="E29" s="4" t="n">
        <v>0</v>
      </c>
      <c r="F29" s="4" t="n">
        <v>0</v>
      </c>
      <c r="G29" s="4" t="n">
        <v>0</v>
      </c>
      <c r="H29" s="4" t="n">
        <v>0</v>
      </c>
      <c r="I29" s="4" t="n">
        <v>0</v>
      </c>
      <c r="J29" s="4" t="n">
        <v>0</v>
      </c>
      <c r="K29" s="4" t="inlineStr">
        <is>
          <t>Historical signals: title/abstract/notes; full-text completion not independently established</t>
        </is>
      </c>
      <c r="L29" s="4" t="inlineStr">
        <is>
          <t>Hybrid architecture includes ViT + (Adaptive Residual DenseNet) + LSTM; mapped to Transformer as primary component.</t>
        </is>
      </c>
      <c r="M29" s="4" t="inlineStr">
        <is>
          <t>https://doi.org/10.1016/j.bspc.2025.107737</t>
        </is>
      </c>
      <c r="N29" s="4" t="n">
        <v>0</v>
      </c>
      <c r="O29" s="4" t="n">
        <v>0</v>
      </c>
      <c r="P29" s="4" t="n">
        <v>1</v>
      </c>
      <c r="Q29" s="12" t="n"/>
      <c r="R29" s="41" t="n"/>
      <c r="S29" s="4" t="inlineStr">
        <is>
          <t>0 = no reported evidence in material assessed; blank = not coded/unknown; neither proves absence</t>
        </is>
      </c>
      <c r="T29" s="4">
        <f>IF(COUNTIFS('ESTUDIOS'!$A$2:$A$455,$A29,'ESTUDIOS'!$I$2:$I$455,"")&gt;0,"",INDEX('ESTUDIOS'!$I$2:$I$455,MATCH($A29,'ESTUDIOS'!$A$2:$A$455,0)))</f>
        <v/>
      </c>
    </row>
    <row r="30" ht="86" customHeight="1">
      <c r="A30" s="4" t="inlineStr">
        <is>
          <t>30</t>
        </is>
      </c>
      <c r="B30" s="4" t="inlineStr">
        <is>
          <t>Historical</t>
        </is>
      </c>
      <c r="C30" s="4" t="inlineStr">
        <is>
          <t>Analysis and Detection of Autism Spectrum Disorder Using Machine Learning Techniques</t>
        </is>
      </c>
      <c r="D30" s="4" t="n">
        <v>0</v>
      </c>
      <c r="E30" s="4" t="n">
        <v>0</v>
      </c>
      <c r="F30" s="4" t="n">
        <v>0</v>
      </c>
      <c r="G30" s="4" t="n">
        <v>0</v>
      </c>
      <c r="H30" s="4" t="n">
        <v>0</v>
      </c>
      <c r="I30" s="4" t="n">
        <v>0</v>
      </c>
      <c r="J30" s="4" t="n">
        <v>0</v>
      </c>
      <c r="K30" s="4" t="inlineStr">
        <is>
          <t>Historical signals: title/abstract/notes; full-text completion not independently established</t>
        </is>
      </c>
      <c r="L30" s="4" t="inlineStr">
        <is>
          <t>Comparan varios algoritmos (Naive Bayes, SVM, LR, KNN, NN y CNN); para tu columna AI_algorithm_main conviene poner CNN porque es el que señalan como mejor globalmente</t>
        </is>
      </c>
      <c r="M30" s="4" t="inlineStr">
        <is>
          <t>https://doi.org/10.1016/j.procs.2020.03.399</t>
        </is>
      </c>
      <c r="N30" s="4" t="n">
        <v>0</v>
      </c>
      <c r="O30" s="4" t="n">
        <v>0</v>
      </c>
      <c r="P30" s="4" t="n">
        <v>1</v>
      </c>
      <c r="Q30" s="12" t="n"/>
      <c r="R30" s="41" t="n"/>
      <c r="S30" s="4" t="inlineStr">
        <is>
          <t>0 = no reported evidence in material assessed; blank = not coded/unknown; neither proves absence</t>
        </is>
      </c>
      <c r="T30" s="4">
        <f>IF(COUNTIFS('ESTUDIOS'!$A$2:$A$455,$A30,'ESTUDIOS'!$I$2:$I$455,"")&gt;0,"",INDEX('ESTUDIOS'!$I$2:$I$455,MATCH($A30,'ESTUDIOS'!$A$2:$A$455,0)))</f>
        <v/>
      </c>
    </row>
    <row r="31" ht="86" customHeight="1">
      <c r="A31" s="4" t="inlineStr">
        <is>
          <t>31</t>
        </is>
      </c>
      <c r="B31" s="4" t="inlineStr">
        <is>
          <t>Historical</t>
        </is>
      </c>
      <c r="C31" s="4" t="inlineStr">
        <is>
          <t>ASD classification for children using deep neural network</t>
        </is>
      </c>
      <c r="D31" s="4" t="n">
        <v>0</v>
      </c>
      <c r="E31" s="4" t="n">
        <v>0</v>
      </c>
      <c r="F31" s="4" t="n">
        <v>0</v>
      </c>
      <c r="G31" s="4" t="n">
        <v>0</v>
      </c>
      <c r="H31" s="4" t="n">
        <v>0</v>
      </c>
      <c r="I31" s="4" t="n">
        <v>0</v>
      </c>
      <c r="J31" s="4" t="n">
        <v>0</v>
      </c>
      <c r="K31" s="4" t="inlineStr">
        <is>
          <t>Historical signals: title/abstract/notes; full-text completion not independently established</t>
        </is>
      </c>
      <c r="L31" s="4" t="inlineStr">
        <is>
          <t>Tabular screening dataset; diffusion mapping + DNN classifier.</t>
        </is>
      </c>
      <c r="M31" s="4" t="inlineStr">
        <is>
          <t>https://doi.org/10.1016/j.gltp.2021.08.042</t>
        </is>
      </c>
      <c r="N31" s="4" t="n">
        <v>0</v>
      </c>
      <c r="O31" s="4" t="n">
        <v>0</v>
      </c>
      <c r="P31" s="4" t="n">
        <v>0</v>
      </c>
      <c r="Q31" s="12" t="n"/>
      <c r="R31" s="41" t="n"/>
      <c r="S31" s="4" t="inlineStr">
        <is>
          <t>0 = no reported evidence in material assessed; blank = not coded/unknown; neither proves absence</t>
        </is>
      </c>
      <c r="T31" s="4">
        <f>IF(COUNTIFS('ESTUDIOS'!$A$2:$A$455,$A31,'ESTUDIOS'!$I$2:$I$455,"")&gt;0,"",INDEX('ESTUDIOS'!$I$2:$I$455,MATCH($A31,'ESTUDIOS'!$A$2:$A$455,0)))</f>
        <v/>
      </c>
    </row>
    <row r="32" ht="86" customHeight="1">
      <c r="A32" s="4" t="inlineStr">
        <is>
          <t>32</t>
        </is>
      </c>
      <c r="B32" s="4" t="inlineStr">
        <is>
          <t>Historical</t>
        </is>
      </c>
      <c r="C32" s="4" t="inlineStr">
        <is>
          <t>ASD-GraphNet: A novel graph learning approach for Autism Spectrum Disorder diagnosis using fMRI data</t>
        </is>
      </c>
      <c r="D32" s="4" t="n">
        <v>0</v>
      </c>
      <c r="E32" s="4" t="n">
        <v>1</v>
      </c>
      <c r="F32" s="4" t="n">
        <v>0</v>
      </c>
      <c r="G32" s="4" t="n">
        <v>0</v>
      </c>
      <c r="H32" s="4" t="n">
        <v>0</v>
      </c>
      <c r="I32" s="4" t="n">
        <v>1</v>
      </c>
      <c r="J32" s="4" t="n">
        <v>0</v>
      </c>
      <c r="K32" s="4" t="inlineStr">
        <is>
          <t>Historical signals: title/abstract/notes; full-text completion not independently established</t>
        </is>
      </c>
      <c r="L32" s="4" t="inlineStr">
        <is>
          <t>Graph feature engineering + classifier comparison (LR, SVM, XGBoost/LightGBM); main/best model not specified in abstract</t>
        </is>
      </c>
      <c r="M32" s="4" t="inlineStr">
        <is>
          <t>https://doi.org/10.1016/j.compbiomed.2025.110723</t>
        </is>
      </c>
      <c r="N32" s="4" t="n">
        <v>1</v>
      </c>
      <c r="O32" s="4" t="n">
        <v>0</v>
      </c>
      <c r="P32" s="4" t="n">
        <v>1</v>
      </c>
      <c r="Q32" s="12" t="n"/>
      <c r="R32" s="41" t="n"/>
      <c r="S32" s="4" t="inlineStr">
        <is>
          <t>0 = no reported evidence in material assessed; blank = not coded/unknown; neither proves absence</t>
        </is>
      </c>
      <c r="T32" s="4">
        <f>IF(COUNTIFS('ESTUDIOS'!$A$2:$A$455,$A32,'ESTUDIOS'!$I$2:$I$455,"")&gt;0,"",INDEX('ESTUDIOS'!$I$2:$I$455,MATCH($A32,'ESTUDIOS'!$A$2:$A$455,0)))</f>
        <v/>
      </c>
    </row>
    <row r="33" ht="86" customHeight="1">
      <c r="A33" s="4" t="inlineStr">
        <is>
          <t>33</t>
        </is>
      </c>
      <c r="B33" s="4" t="inlineStr">
        <is>
          <t>Historical</t>
        </is>
      </c>
      <c r="C33" s="4" t="inlineStr">
        <is>
          <t>Automated identification of postural control for children with autism spectrum disorder using a machine learning approach</t>
        </is>
      </c>
      <c r="D33" s="4" t="n">
        <v>0</v>
      </c>
      <c r="E33" s="4" t="n">
        <v>0</v>
      </c>
      <c r="F33" s="4" t="n">
        <v>0</v>
      </c>
      <c r="G33" s="4" t="n">
        <v>0</v>
      </c>
      <c r="H33" s="4" t="n">
        <v>0</v>
      </c>
      <c r="I33" s="4" t="n">
        <v>0</v>
      </c>
      <c r="J33" s="4" t="n">
        <v>0</v>
      </c>
      <c r="K33" s="4" t="inlineStr">
        <is>
          <t>Historical signals: title/abstract/notes; full-text completion not independently established</t>
        </is>
      </c>
      <c r="L33" s="4" t="str"/>
      <c r="M33" s="4" t="inlineStr">
        <is>
          <t>https://doi.org/10.1016/j.jbiomech.2020.110073</t>
        </is>
      </c>
      <c r="N33" s="4" t="n">
        <v>0</v>
      </c>
      <c r="O33" s="4" t="n">
        <v>0</v>
      </c>
      <c r="P33" s="4" t="n">
        <v>0</v>
      </c>
      <c r="Q33" s="12" t="n"/>
      <c r="R33" s="41" t="n"/>
      <c r="S33" s="4" t="inlineStr">
        <is>
          <t>0 = no reported evidence in material assessed; blank = not coded/unknown; neither proves absence</t>
        </is>
      </c>
      <c r="T33" s="4">
        <f>IF(COUNTIFS('ESTUDIOS'!$A$2:$A$455,$A33,'ESTUDIOS'!$I$2:$I$455,"")&gt;0,"",INDEX('ESTUDIOS'!$I$2:$I$455,MATCH($A33,'ESTUDIOS'!$A$2:$A$455,0)))</f>
        <v/>
      </c>
    </row>
    <row r="34" ht="86" customHeight="1">
      <c r="A34" s="4" t="inlineStr">
        <is>
          <t>34</t>
        </is>
      </c>
      <c r="B34" s="4" t="inlineStr">
        <is>
          <t>Historical</t>
        </is>
      </c>
      <c r="C34" s="4" t="inlineStr">
        <is>
          <t>Distributed Intrinsic Functional Connectivity Patterns Predict Diagnostic Status in Large Autism Cohort</t>
        </is>
      </c>
      <c r="D34" s="4" t="n">
        <v>1</v>
      </c>
      <c r="E34" s="4" t="n">
        <v>0</v>
      </c>
      <c r="F34" s="4" t="n">
        <v>0</v>
      </c>
      <c r="G34" s="4" t="n">
        <v>0</v>
      </c>
      <c r="H34" s="4" t="n">
        <v>0</v>
      </c>
      <c r="I34" s="4" t="n">
        <v>0</v>
      </c>
      <c r="J34" s="4" t="n">
        <v>0</v>
      </c>
      <c r="K34" s="4" t="inlineStr">
        <is>
          <t>Historical signals: title/abstract/notes; full-text completion not independently established</t>
        </is>
      </c>
      <c r="L34" s="4" t="inlineStr">
        <is>
          <t>Usa conditional random forest sobre rs-fMRI para clasificación diagnóstica.</t>
        </is>
      </c>
      <c r="M34" s="4" t="inlineStr">
        <is>
          <t>https://doi.org/10.1089/brain.2017.0496</t>
        </is>
      </c>
      <c r="N34" s="4" t="n">
        <v>0</v>
      </c>
      <c r="O34" s="4" t="n">
        <v>0</v>
      </c>
      <c r="P34" s="4" t="n">
        <v>0</v>
      </c>
      <c r="Q34" s="12" t="n"/>
      <c r="R34" s="41" t="n"/>
      <c r="S34" s="4" t="inlineStr">
        <is>
          <t>0 = no reported evidence in material assessed; blank = not coded/unknown; neither proves absence</t>
        </is>
      </c>
      <c r="T34" s="4">
        <f>IF(COUNTIFS('ESTUDIOS'!$A$2:$A$455,$A34,'ESTUDIOS'!$I$2:$I$455,"")&gt;0,"",INDEX('ESTUDIOS'!$I$2:$I$455,MATCH($A34,'ESTUDIOS'!$A$2:$A$455,0)))</f>
        <v/>
      </c>
    </row>
    <row r="35" ht="86" customHeight="1">
      <c r="A35" s="4" t="inlineStr">
        <is>
          <t>35</t>
        </is>
      </c>
      <c r="B35" s="4" t="inlineStr">
        <is>
          <t>Historical</t>
        </is>
      </c>
      <c r="C35" s="4" t="inlineStr">
        <is>
          <t>Enhancing diagnosis of autism with optimized machine learning models and personal characteristic data</t>
        </is>
      </c>
      <c r="D35" s="4" t="n">
        <v>0</v>
      </c>
      <c r="E35" s="4" t="n">
        <v>1</v>
      </c>
      <c r="F35" s="4" t="n">
        <v>0</v>
      </c>
      <c r="G35" s="4" t="n">
        <v>0</v>
      </c>
      <c r="H35" s="4" t="n">
        <v>0</v>
      </c>
      <c r="I35" s="4" t="n">
        <v>0</v>
      </c>
      <c r="J35" s="4" t="n">
        <v>0</v>
      </c>
      <c r="K35" s="4" t="inlineStr">
        <is>
          <t>Historical signals: title/abstract/notes; full-text completion not independently established</t>
        </is>
      </c>
      <c r="L35" s="4" t="inlineStr">
        <is>
          <t>Usa solo personal characteristic data de ABIDE; red neuronal fue el mejor modelo.</t>
        </is>
      </c>
      <c r="M35" s="4" t="inlineStr">
        <is>
          <t>https://doi.org/10.3389/fncom.2019.00009/full</t>
        </is>
      </c>
      <c r="N35" s="4" t="n">
        <v>0</v>
      </c>
      <c r="O35" s="4" t="n">
        <v>0</v>
      </c>
      <c r="P35" s="4" t="n">
        <v>0</v>
      </c>
      <c r="Q35" s="12" t="n"/>
      <c r="R35" s="41" t="n"/>
      <c r="S35" s="4" t="inlineStr">
        <is>
          <t>0 = no reported evidence in material assessed; blank = not coded/unknown; neither proves absence</t>
        </is>
      </c>
      <c r="T35" s="4">
        <f>IF(COUNTIFS('ESTUDIOS'!$A$2:$A$455,$A35,'ESTUDIOS'!$I$2:$I$455,"")&gt;0,"",INDEX('ESTUDIOS'!$I$2:$I$455,MATCH($A35,'ESTUDIOS'!$A$2:$A$455,0)))</f>
        <v/>
      </c>
    </row>
    <row r="36" ht="86" customHeight="1">
      <c r="A36" s="4" t="inlineStr">
        <is>
          <t>36</t>
        </is>
      </c>
      <c r="B36" s="4" t="inlineStr">
        <is>
          <t>Historical</t>
        </is>
      </c>
      <c r="C36" s="4" t="inlineStr">
        <is>
          <t>Investigating multiclass autism spectrum disorder classification using machine learning techniques</t>
        </is>
      </c>
      <c r="D36" s="4" t="n">
        <v>0</v>
      </c>
      <c r="E36" s="4" t="n">
        <v>0</v>
      </c>
      <c r="F36" s="4" t="n">
        <v>0</v>
      </c>
      <c r="G36" s="4" t="n">
        <v>0</v>
      </c>
      <c r="H36" s="4" t="n">
        <v>0</v>
      </c>
      <c r="I36" s="4" t="n">
        <v>0</v>
      </c>
      <c r="J36" s="4" t="n">
        <v>0</v>
      </c>
      <c r="K36" s="4" t="inlineStr">
        <is>
          <t>Historical signals: title/abstract/notes; full-text completion not independently established</t>
        </is>
      </c>
      <c r="L36" s="4" t="inlineStr">
        <is>
          <t>LR y SVM destacan; se selecciona LR como principal por mejor desempeño reportado en varios subconjuntos.</t>
        </is>
      </c>
      <c r="M36" s="4" t="inlineStr">
        <is>
          <t>https://doi.org/10.1016/j.prime.2024.100602</t>
        </is>
      </c>
      <c r="N36" s="4" t="n">
        <v>0</v>
      </c>
      <c r="O36" s="4" t="n">
        <v>0</v>
      </c>
      <c r="P36" s="4" t="n">
        <v>1</v>
      </c>
      <c r="Q36" s="12" t="n"/>
      <c r="R36" s="41" t="n"/>
      <c r="S36" s="4" t="inlineStr">
        <is>
          <t>0 = no reported evidence in material assessed; blank = not coded/unknown; neither proves absence</t>
        </is>
      </c>
      <c r="T36" s="4">
        <f>IF(COUNTIFS('ESTUDIOS'!$A$2:$A$455,$A36,'ESTUDIOS'!$I$2:$I$455,"")&gt;0,"",INDEX('ESTUDIOS'!$I$2:$I$455,MATCH($A36,'ESTUDIOS'!$A$2:$A$455,0)))</f>
        <v/>
      </c>
    </row>
    <row r="37" ht="86" customHeight="1">
      <c r="A37" s="4" t="inlineStr">
        <is>
          <t>37</t>
        </is>
      </c>
      <c r="B37" s="4" t="inlineStr">
        <is>
          <t>Historical</t>
        </is>
      </c>
      <c r="C37" s="4" t="inlineStr">
        <is>
          <t>Jellyfish Search Optimization with Deep Learning Driven Autism Spectrum Disorder Classification</t>
        </is>
      </c>
      <c r="D37" s="4" t="n">
        <v>0</v>
      </c>
      <c r="E37" s="4" t="n">
        <v>0</v>
      </c>
      <c r="F37" s="4" t="n">
        <v>0</v>
      </c>
      <c r="G37" s="4" t="n">
        <v>0</v>
      </c>
      <c r="H37" s="4" t="n">
        <v>0</v>
      </c>
      <c r="I37" s="4" t="n">
        <v>0</v>
      </c>
      <c r="J37" s="4" t="n">
        <v>1</v>
      </c>
      <c r="K37" s="4" t="inlineStr">
        <is>
          <t>Historical signals: title/abstract/notes; full-text completion not independently established</t>
        </is>
      </c>
      <c r="L37" s="4" t="str"/>
      <c r="M37" s="4" t="inlineStr">
        <is>
          <t>https://doi.org/10.32604/cmc.2023.032586</t>
        </is>
      </c>
      <c r="N37" s="4" t="n">
        <v>0</v>
      </c>
      <c r="O37" s="4" t="n">
        <v>1</v>
      </c>
      <c r="P37" s="4" t="n">
        <v>0</v>
      </c>
      <c r="Q37" s="12" t="n"/>
      <c r="R37" s="41" t="n"/>
      <c r="S37" s="4" t="inlineStr">
        <is>
          <t>0 = no reported evidence in material assessed; blank = not coded/unknown; neither proves absence</t>
        </is>
      </c>
      <c r="T37" s="4">
        <f>IF(COUNTIFS('ESTUDIOS'!$A$2:$A$455,$A37,'ESTUDIOS'!$I$2:$I$455,"")&gt;0,"",INDEX('ESTUDIOS'!$I$2:$I$455,MATCH($A37,'ESTUDIOS'!$A$2:$A$455,0)))</f>
        <v/>
      </c>
    </row>
    <row r="38" ht="86" customHeight="1">
      <c r="A38" s="4" t="inlineStr">
        <is>
          <t>38</t>
        </is>
      </c>
      <c r="B38" s="4" t="inlineStr">
        <is>
          <t>Historical</t>
        </is>
      </c>
      <c r="C38" s="4" t="inlineStr">
        <is>
          <t>Machine learning analysis of pregnancy data enables early identification of a subpopulation of newborns with ASD</t>
        </is>
      </c>
      <c r="D38" s="4" t="n">
        <v>0</v>
      </c>
      <c r="E38" s="4" t="n">
        <v>0</v>
      </c>
      <c r="F38" s="4" t="n">
        <v>0</v>
      </c>
      <c r="G38" s="4" t="n">
        <v>0</v>
      </c>
      <c r="H38" s="4" t="n">
        <v>1</v>
      </c>
      <c r="I38" s="4" t="n">
        <v>0</v>
      </c>
      <c r="J38" s="4" t="n">
        <v>0</v>
      </c>
      <c r="K38" s="4" t="inlineStr">
        <is>
          <t>Historical signals: title/abstract/notes; full-text completion not independently established</t>
        </is>
      </c>
      <c r="L38" s="4" t="inlineStr">
        <is>
          <t>“Main classifier: Gradient Boosting Decision Trees implemented with XGBoost; feature selection via Lasso (automatic / semi-automatic) + SHAP interpretability; nested CV.</t>
        </is>
      </c>
      <c r="M38" s="4" t="inlineStr">
        <is>
          <t>https://doi.org/10.1038/s41598-021-86320-0</t>
        </is>
      </c>
      <c r="N38" s="4" t="n">
        <v>1</v>
      </c>
      <c r="O38" s="4" t="n">
        <v>0</v>
      </c>
      <c r="P38" s="4" t="n">
        <v>1</v>
      </c>
      <c r="Q38" s="12" t="n"/>
      <c r="R38" s="41" t="n"/>
      <c r="S38" s="4" t="inlineStr">
        <is>
          <t>0 = no reported evidence in material assessed; blank = not coded/unknown; neither proves absence</t>
        </is>
      </c>
      <c r="T38" s="4">
        <f>IF(COUNTIFS('ESTUDIOS'!$A$2:$A$455,$A38,'ESTUDIOS'!$I$2:$I$455,"")&gt;0,"",INDEX('ESTUDIOS'!$I$2:$I$455,MATCH($A38,'ESTUDIOS'!$A$2:$A$455,0)))</f>
        <v/>
      </c>
    </row>
    <row r="39" ht="86" customHeight="1">
      <c r="A39" s="4" t="inlineStr">
        <is>
          <t>39</t>
        </is>
      </c>
      <c r="B39" s="4" t="inlineStr">
        <is>
          <t>Historical</t>
        </is>
      </c>
      <c r="C39" s="4" t="inlineStr">
        <is>
          <t>Machine Learning-Based Blood RNA Signature for Diagnosis of Autism Spectrum Disorder</t>
        </is>
      </c>
      <c r="D39" s="4" t="n">
        <v>0</v>
      </c>
      <c r="E39" s="4" t="n">
        <v>0</v>
      </c>
      <c r="F39" s="4" t="n">
        <v>0</v>
      </c>
      <c r="G39" s="4" t="n">
        <v>0</v>
      </c>
      <c r="H39" s="4" t="n">
        <v>0</v>
      </c>
      <c r="I39" s="4" t="n">
        <v>0</v>
      </c>
      <c r="J39" s="4" t="n">
        <v>0</v>
      </c>
      <c r="K39" s="4" t="inlineStr">
        <is>
          <t>Historical signals: title/abstract/notes; full-text completion not independently established</t>
        </is>
      </c>
      <c r="L39" s="4" t="inlineStr">
        <is>
          <t>También usan Extra Trees</t>
        </is>
      </c>
      <c r="M39" s="4" t="inlineStr">
        <is>
          <t>https://doi.org/10.3390/ijms24032082</t>
        </is>
      </c>
      <c r="N39" s="4" t="n">
        <v>0</v>
      </c>
      <c r="O39" s="4" t="n">
        <v>0</v>
      </c>
      <c r="P39" s="4" t="n">
        <v>1</v>
      </c>
      <c r="Q39" s="12" t="n"/>
      <c r="R39" s="41" t="n"/>
      <c r="S39" s="4" t="inlineStr">
        <is>
          <t>0 = no reported evidence in material assessed; blank = not coded/unknown; neither proves absence</t>
        </is>
      </c>
      <c r="T39" s="4">
        <f>IF(COUNTIFS('ESTUDIOS'!$A$2:$A$455,$A39,'ESTUDIOS'!$I$2:$I$455,"")&gt;0,"",INDEX('ESTUDIOS'!$I$2:$I$455,MATCH($A39,'ESTUDIOS'!$A$2:$A$455,0)))</f>
        <v/>
      </c>
    </row>
    <row r="40" ht="86" customHeight="1">
      <c r="A40" s="4" t="inlineStr">
        <is>
          <t>40</t>
        </is>
      </c>
      <c r="B40" s="4" t="inlineStr">
        <is>
          <t>Historical</t>
        </is>
      </c>
      <c r="C40" s="4" t="inlineStr">
        <is>
          <t>Metabolomic analysis of maternal mid-gestation plasma and cord blood in autism spectrum disorders</t>
        </is>
      </c>
      <c r="D40" s="4" t="n">
        <v>0</v>
      </c>
      <c r="E40" s="4" t="n">
        <v>0</v>
      </c>
      <c r="F40" s="4" t="n">
        <v>0</v>
      </c>
      <c r="G40" s="4" t="n">
        <v>0</v>
      </c>
      <c r="H40" s="4" t="n">
        <v>0</v>
      </c>
      <c r="I40" s="4" t="n">
        <v>0</v>
      </c>
      <c r="J40" s="4" t="n">
        <v>0</v>
      </c>
      <c r="K40" s="4" t="inlineStr">
        <is>
          <t>Historical signals: title/abstract/notes; full-text completion not independently established</t>
        </is>
      </c>
      <c r="L40" s="4" t="str"/>
      <c r="M40" s="4" t="inlineStr">
        <is>
          <t>https://doi.org/10.1038/s41380-023-02051-w</t>
        </is>
      </c>
      <c r="N40" s="4" t="n">
        <v>0</v>
      </c>
      <c r="O40" s="4" t="n">
        <v>0</v>
      </c>
      <c r="P40" s="4" t="n">
        <v>1</v>
      </c>
      <c r="Q40" s="12" t="n"/>
      <c r="R40" s="41" t="n"/>
      <c r="S40" s="4" t="inlineStr">
        <is>
          <t>0 = no reported evidence in material assessed; blank = not coded/unknown; neither proves absence</t>
        </is>
      </c>
      <c r="T40" s="4">
        <f>IF(COUNTIFS('ESTUDIOS'!$A$2:$A$455,$A40,'ESTUDIOS'!$I$2:$I$455,"")&gt;0,"",INDEX('ESTUDIOS'!$I$2:$I$455,MATCH($A40,'ESTUDIOS'!$A$2:$A$455,0)))</f>
        <v/>
      </c>
    </row>
    <row r="41" ht="86" customHeight="1">
      <c r="A41" s="4" t="inlineStr">
        <is>
          <t>41</t>
        </is>
      </c>
      <c r="B41" s="4" t="inlineStr">
        <is>
          <t>Historical</t>
        </is>
      </c>
      <c r="C41" s="4" t="inlineStr">
        <is>
          <t>Predictors of age at diagnosis in autism spectrum disorders: the use of multiple regression analyses and a classification tree on a clinical sample</t>
        </is>
      </c>
      <c r="D41" s="4" t="n">
        <v>0</v>
      </c>
      <c r="E41" s="4" t="n">
        <v>0</v>
      </c>
      <c r="F41" s="4" t="n">
        <v>0</v>
      </c>
      <c r="G41" s="4" t="n">
        <v>0</v>
      </c>
      <c r="H41" s="4" t="n">
        <v>0</v>
      </c>
      <c r="I41" s="4" t="n">
        <v>0</v>
      </c>
      <c r="J41" s="4" t="n">
        <v>0</v>
      </c>
      <c r="K41" s="4" t="inlineStr">
        <is>
          <t>Historical signals: title/abstract/notes; full-text completion not independently established</t>
        </is>
      </c>
      <c r="L41" s="4" t="inlineStr">
        <is>
          <t>Análisis de predictores de edad al diagnóstico (regresión + árbol); no encaja claramente en una etapa clínica RQ1.</t>
        </is>
      </c>
      <c r="M41" s="4" t="inlineStr">
        <is>
          <t>https://doi.org/10.1007/s00787-023-02189-6</t>
        </is>
      </c>
      <c r="N41" s="4" t="n">
        <v>0</v>
      </c>
      <c r="O41" s="4" t="n">
        <v>0</v>
      </c>
      <c r="P41" s="4" t="n">
        <v>1</v>
      </c>
      <c r="Q41" s="12" t="n"/>
      <c r="R41" s="41" t="n"/>
      <c r="S41" s="4" t="inlineStr">
        <is>
          <t>0 = no reported evidence in material assessed; blank = not coded/unknown; neither proves absence</t>
        </is>
      </c>
      <c r="T41" s="4">
        <f>IF(COUNTIFS('ESTUDIOS'!$A$2:$A$455,$A41,'ESTUDIOS'!$I$2:$I$455,"")&gt;0,"",INDEX('ESTUDIOS'!$I$2:$I$455,MATCH($A41,'ESTUDIOS'!$A$2:$A$455,0)))</f>
        <v/>
      </c>
    </row>
    <row r="42" ht="86" customHeight="1">
      <c r="A42" s="4" t="inlineStr">
        <is>
          <t>42</t>
        </is>
      </c>
      <c r="B42" s="4" t="inlineStr">
        <is>
          <t>Historical</t>
        </is>
      </c>
      <c r="C42" s="4" t="inlineStr">
        <is>
          <t>Promoting emotional and behavioral interventions in ASD treatment: Evidence from EPIGRAM, A naturalistic, prospective and longitudinal study</t>
        </is>
      </c>
      <c r="D42" s="4" t="n">
        <v>0</v>
      </c>
      <c r="E42" s="4" t="n">
        <v>0</v>
      </c>
      <c r="F42" s="4" t="n">
        <v>0</v>
      </c>
      <c r="G42" s="4" t="n">
        <v>0</v>
      </c>
      <c r="H42" s="4" t="n">
        <v>0</v>
      </c>
      <c r="I42" s="4" t="n">
        <v>0</v>
      </c>
      <c r="J42" s="4" t="n">
        <v>0</v>
      </c>
      <c r="K42" s="4" t="inlineStr">
        <is>
          <t>Historical signals: title/abstract/notes; full-text completion not independently established</t>
        </is>
      </c>
      <c r="L42" s="4" t="str"/>
      <c r="M42" s="4" t="inlineStr">
        <is>
          <t>https://doi.org/10.1016/j.ridd.2024.104688</t>
        </is>
      </c>
      <c r="N42" s="4" t="n">
        <v>0</v>
      </c>
      <c r="O42" s="4" t="n">
        <v>0</v>
      </c>
      <c r="P42" s="4" t="n">
        <v>0</v>
      </c>
      <c r="Q42" s="12" t="n"/>
      <c r="R42" s="41" t="n"/>
      <c r="S42" s="4" t="inlineStr">
        <is>
          <t>0 = no reported evidence in material assessed; blank = not coded/unknown; neither proves absence</t>
        </is>
      </c>
      <c r="T42" s="4">
        <f>IF(COUNTIFS('ESTUDIOS'!$A$2:$A$455,$A42,'ESTUDIOS'!$I$2:$I$455,"")&gt;0,"",INDEX('ESTUDIOS'!$I$2:$I$455,MATCH($A42,'ESTUDIOS'!$A$2:$A$455,0)))</f>
        <v/>
      </c>
    </row>
    <row r="43" ht="86" customHeight="1">
      <c r="A43" s="4" t="inlineStr">
        <is>
          <t>43</t>
        </is>
      </c>
      <c r="B43" s="4" t="inlineStr">
        <is>
          <t>Historical</t>
        </is>
      </c>
      <c r="C43" s="4" t="inlineStr">
        <is>
          <t>The role of the dopamine system in autism spectrum disorder revealed using machine learning: an ABIDE database–based study</t>
        </is>
      </c>
      <c r="D43" s="4" t="n">
        <v>0</v>
      </c>
      <c r="E43" s="4" t="n">
        <v>1</v>
      </c>
      <c r="F43" s="4" t="n">
        <v>0</v>
      </c>
      <c r="G43" s="4" t="n">
        <v>0</v>
      </c>
      <c r="H43" s="4" t="n">
        <v>0</v>
      </c>
      <c r="I43" s="4" t="n">
        <v>0</v>
      </c>
      <c r="J43" s="4" t="n">
        <v>1</v>
      </c>
      <c r="K43" s="4" t="inlineStr">
        <is>
          <t>Historical signals: title/abstract/notes; full-text completion not independently established</t>
        </is>
      </c>
      <c r="L43" s="4" t="inlineStr">
        <is>
          <t>Usa ABIDE; marcar señal multisitio.</t>
        </is>
      </c>
      <c r="M43" s="4" t="inlineStr">
        <is>
          <t>https://doi.org/10.1093/cercor/bhaf022</t>
        </is>
      </c>
      <c r="N43" s="4" t="n">
        <v>0</v>
      </c>
      <c r="O43" s="4" t="n">
        <v>1</v>
      </c>
      <c r="P43" s="4" t="n"/>
      <c r="Q43" s="12" t="n"/>
      <c r="R43" s="41" t="n"/>
      <c r="S43" s="4" t="inlineStr">
        <is>
          <t>0 = no reported evidence in material assessed; blank = not coded/unknown; neither proves absence</t>
        </is>
      </c>
      <c r="T43" s="4">
        <f>IF(COUNTIFS('ESTUDIOS'!$A$2:$A$455,$A43,'ESTUDIOS'!$I$2:$I$455,"")&gt;0,"",INDEX('ESTUDIOS'!$I$2:$I$455,MATCH($A43,'ESTUDIOS'!$A$2:$A$455,0)))</f>
        <v/>
      </c>
    </row>
    <row r="44" ht="86" customHeight="1">
      <c r="A44" s="4" t="inlineStr">
        <is>
          <t>44</t>
        </is>
      </c>
      <c r="B44" s="4" t="inlineStr">
        <is>
          <t>Historical</t>
        </is>
      </c>
      <c r="C44" s="4" t="inlineStr">
        <is>
          <t>Using Artificial Intelligence to Identify Factors Associated with Autism Spectrum Disorder in Adolescents with Cerebral Palsy</t>
        </is>
      </c>
      <c r="D44" s="4" t="n">
        <v>0</v>
      </c>
      <c r="E44" s="4" t="n">
        <v>1</v>
      </c>
      <c r="F44" s="4" t="n">
        <v>0</v>
      </c>
      <c r="G44" s="4" t="n">
        <v>0</v>
      </c>
      <c r="H44" s="4" t="n">
        <v>0</v>
      </c>
      <c r="I44" s="4" t="n">
        <v>0</v>
      </c>
      <c r="J44" s="4" t="n">
        <v>0</v>
      </c>
      <c r="K44" s="4" t="inlineStr">
        <is>
          <t>Historical signals: title/abstract/notes; full-text completion not independently established</t>
        </is>
      </c>
      <c r="L44" s="4" t="inlineStr">
        <is>
          <t>Modelo predictivo con variables clínicas para identificar adolescentes con CP en riesgo de ASD.</t>
        </is>
      </c>
      <c r="M44" s="4" t="inlineStr">
        <is>
          <t>https://doi.org/10.1055/s-0039-1685525</t>
        </is>
      </c>
      <c r="N44" s="4" t="n">
        <v>0</v>
      </c>
      <c r="O44" s="4" t="n">
        <v>0</v>
      </c>
      <c r="P44" s="4" t="n">
        <v>1</v>
      </c>
      <c r="Q44" s="12" t="n"/>
      <c r="R44" s="41" t="n"/>
      <c r="S44" s="4" t="inlineStr">
        <is>
          <t>0 = no reported evidence in material assessed; blank = not coded/unknown; neither proves absence</t>
        </is>
      </c>
      <c r="T44" s="4">
        <f>IF(COUNTIFS('ESTUDIOS'!$A$2:$A$455,$A44,'ESTUDIOS'!$I$2:$I$455,"")&gt;0,"",INDEX('ESTUDIOS'!$I$2:$I$455,MATCH($A44,'ESTUDIOS'!$A$2:$A$455,0)))</f>
        <v/>
      </c>
    </row>
    <row r="45" ht="86" customHeight="1">
      <c r="A45" s="4" t="inlineStr">
        <is>
          <t>45</t>
        </is>
      </c>
      <c r="B45" s="4" t="inlineStr">
        <is>
          <t>Historical</t>
        </is>
      </c>
      <c r="C45" s="4" t="inlineStr">
        <is>
          <t>Using resting state functional MRI to build a personalized autism diagnosis system</t>
        </is>
      </c>
      <c r="D45" s="4" t="n">
        <v>0</v>
      </c>
      <c r="E45" s="4" t="n">
        <v>0</v>
      </c>
      <c r="F45" s="4" t="n">
        <v>0</v>
      </c>
      <c r="G45" s="4" t="n">
        <v>0</v>
      </c>
      <c r="H45" s="4" t="n">
        <v>0</v>
      </c>
      <c r="I45" s="4" t="n">
        <v>0</v>
      </c>
      <c r="J45" s="4" t="n">
        <v>1</v>
      </c>
      <c r="K45" s="4" t="inlineStr">
        <is>
          <t>Historical signals: title/abstract/notes; full-text completion not independently established</t>
        </is>
      </c>
      <c r="L45" s="4" t="str"/>
      <c r="M45" s="4" t="inlineStr">
        <is>
          <t>https://doi.org/10.1371/journal.pone.0206351</t>
        </is>
      </c>
      <c r="N45" s="4" t="n">
        <v>0</v>
      </c>
      <c r="O45" s="4" t="n">
        <v>1</v>
      </c>
      <c r="P45" s="4" t="n">
        <v>0</v>
      </c>
      <c r="Q45" s="12" t="n"/>
      <c r="R45" s="41" t="n"/>
      <c r="S45" s="4" t="inlineStr">
        <is>
          <t>0 = no reported evidence in material assessed; blank = not coded/unknown; neither proves absence</t>
        </is>
      </c>
      <c r="T45" s="4">
        <f>IF(COUNTIFS('ESTUDIOS'!$A$2:$A$455,$A45,'ESTUDIOS'!$I$2:$I$455,"")&gt;0,"",INDEX('ESTUDIOS'!$I$2:$I$455,MATCH($A45,'ESTUDIOS'!$A$2:$A$455,0)))</f>
        <v/>
      </c>
    </row>
    <row r="46" ht="86" customHeight="1">
      <c r="A46" s="4" t="inlineStr">
        <is>
          <t>46</t>
        </is>
      </c>
      <c r="B46" s="4" t="inlineStr">
        <is>
          <t>Historical</t>
        </is>
      </c>
      <c r="C46" s="4" t="inlineStr">
        <is>
          <t>A Model to Support the Prediction of Indicators in the Diagnosis and Intervention of Autism Spectrum Disorder</t>
        </is>
      </c>
      <c r="D46" s="4" t="n">
        <v>0</v>
      </c>
      <c r="E46" s="4" t="n">
        <v>0</v>
      </c>
      <c r="F46" s="4" t="n">
        <v>0</v>
      </c>
      <c r="G46" s="4" t="n">
        <v>0</v>
      </c>
      <c r="H46" s="4" t="n">
        <v>0</v>
      </c>
      <c r="I46" s="4" t="n">
        <v>0</v>
      </c>
      <c r="J46" s="4" t="n">
        <v>1</v>
      </c>
      <c r="K46" s="4" t="inlineStr">
        <is>
          <t>Historical signals: title/abstract/notes; full-text completion not independently established</t>
        </is>
      </c>
      <c r="L46" s="4" t="inlineStr">
        <is>
          <t>Proyecto en curso basado en conversaciones/escritura para apoyar indicadores diagnósticos/intervención; confirmar arquitectura final.</t>
        </is>
      </c>
      <c r="M46" s="4" t="inlineStr">
        <is>
          <t>https://doi.org/10.1007/978-3-031-48642-5_7</t>
        </is>
      </c>
      <c r="N46" s="4" t="n">
        <v>0</v>
      </c>
      <c r="O46" s="4" t="n">
        <v>1</v>
      </c>
      <c r="P46" s="4" t="n">
        <v>1</v>
      </c>
      <c r="Q46" s="12" t="n"/>
      <c r="R46" s="41" t="n"/>
      <c r="S46" s="4" t="inlineStr">
        <is>
          <t>0 = no reported evidence in material assessed; blank = not coded/unknown; neither proves absence</t>
        </is>
      </c>
      <c r="T46" s="4">
        <f>IF(COUNTIFS('ESTUDIOS'!$A$2:$A$455,$A46,'ESTUDIOS'!$I$2:$I$455,"")&gt;0,"",INDEX('ESTUDIOS'!$I$2:$I$455,MATCH($A46,'ESTUDIOS'!$A$2:$A$455,0)))</f>
        <v/>
      </c>
    </row>
    <row r="47" ht="86" customHeight="1">
      <c r="A47" s="4" t="inlineStr">
        <is>
          <t>47</t>
        </is>
      </c>
      <c r="B47" s="4" t="inlineStr">
        <is>
          <t>Historical</t>
        </is>
      </c>
      <c r="C47" s="4" t="inlineStr">
        <is>
          <t>A novel multi-modal model to assist the diagnosis of autism spectrum disorder using eye-tracking data</t>
        </is>
      </c>
      <c r="D47" s="4" t="n">
        <v>0</v>
      </c>
      <c r="E47" s="4" t="n">
        <v>0</v>
      </c>
      <c r="F47" s="4" t="n">
        <v>0</v>
      </c>
      <c r="G47" s="4" t="n">
        <v>0</v>
      </c>
      <c r="H47" s="4" t="n">
        <v>0</v>
      </c>
      <c r="I47" s="4" t="n">
        <v>0</v>
      </c>
      <c r="J47" s="4" t="n">
        <v>1</v>
      </c>
      <c r="K47" s="4" t="inlineStr">
        <is>
          <t>Historical signals: title/abstract/notes; full-text completion not independently established</t>
        </is>
      </c>
      <c r="L47" s="4" t="inlineStr">
        <is>
          <t>Hybrid CNN-GRU-ANN; mapped to RNN/LSTM/GRU as main due to temporal sequence modeling</t>
        </is>
      </c>
      <c r="M47" s="4" t="inlineStr">
        <is>
          <t>https://doi.org/10.1007/s13755-024-00299-2</t>
        </is>
      </c>
      <c r="N47" s="4" t="n">
        <v>0</v>
      </c>
      <c r="O47" s="4" t="n">
        <v>1</v>
      </c>
      <c r="P47" s="4" t="n">
        <v>1</v>
      </c>
      <c r="Q47" s="12" t="n"/>
      <c r="R47" s="41" t="n"/>
      <c r="S47" s="4" t="inlineStr">
        <is>
          <t>0 = no reported evidence in material assessed; blank = not coded/unknown; neither proves absence</t>
        </is>
      </c>
      <c r="T47" s="4">
        <f>IF(COUNTIFS('ESTUDIOS'!$A$2:$A$455,$A47,'ESTUDIOS'!$I$2:$I$455,"")&gt;0,"",INDEX('ESTUDIOS'!$I$2:$I$455,MATCH($A47,'ESTUDIOS'!$A$2:$A$455,0)))</f>
        <v/>
      </c>
    </row>
    <row r="48" ht="86" customHeight="1">
      <c r="A48" s="4" t="inlineStr">
        <is>
          <t>48</t>
        </is>
      </c>
      <c r="B48" s="4" t="inlineStr">
        <is>
          <t>Historical</t>
        </is>
      </c>
      <c r="C48" s="4" t="inlineStr">
        <is>
          <t>A randomized controlled trial of 25 sessions comparing music therapy and music listening for children with autism spectrum disorder</t>
        </is>
      </c>
      <c r="D48" s="4" t="n">
        <v>0</v>
      </c>
      <c r="E48" s="4" t="n">
        <v>0</v>
      </c>
      <c r="F48" s="4" t="n">
        <v>0</v>
      </c>
      <c r="G48" s="4" t="n">
        <v>0</v>
      </c>
      <c r="H48" s="4" t="n">
        <v>0</v>
      </c>
      <c r="I48" s="4" t="n">
        <v>0</v>
      </c>
      <c r="J48" s="4" t="n">
        <v>0</v>
      </c>
      <c r="K48" s="4" t="inlineStr">
        <is>
          <t>Historical signals: title/abstract/notes; full-text completion not independently established</t>
        </is>
      </c>
      <c r="L48" s="4" t="inlineStr">
        <is>
          <t>Posible desajuste título-abstract; el abstract describe detección por eye-tracking temporal.</t>
        </is>
      </c>
      <c r="M48" s="4" t="inlineStr">
        <is>
          <t>https://doi.org/10.1016/j.psychres.2020.113377</t>
        </is>
      </c>
      <c r="N48" s="4" t="n">
        <v>0</v>
      </c>
      <c r="O48" s="4" t="n">
        <v>0</v>
      </c>
      <c r="P48" s="4" t="n">
        <v>1</v>
      </c>
      <c r="Q48" s="12" t="n"/>
      <c r="R48" s="41" t="n"/>
      <c r="S48" s="4" t="inlineStr">
        <is>
          <t>0 = no reported evidence in material assessed; blank = not coded/unknown; neither proves absence</t>
        </is>
      </c>
      <c r="T48" s="4">
        <f>IF(COUNTIFS('ESTUDIOS'!$A$2:$A$455,$A48,'ESTUDIOS'!$I$2:$I$455,"")&gt;0,"",INDEX('ESTUDIOS'!$I$2:$I$455,MATCH($A48,'ESTUDIOS'!$A$2:$A$455,0)))</f>
        <v/>
      </c>
    </row>
    <row r="49" ht="86" customHeight="1">
      <c r="A49" s="4" t="inlineStr">
        <is>
          <t>49</t>
        </is>
      </c>
      <c r="B49" s="4" t="inlineStr">
        <is>
          <t>Historical</t>
        </is>
      </c>
      <c r="C49" s="4" t="inlineStr">
        <is>
          <t>A Triple-Pooling Graph Neural Network for\&amp;#xa0;Multi-scale Topological Learning of\&amp;#xa0;Brain Functional Connectivity: Application to\&amp;#xa0;ASD Diagnosis</t>
        </is>
      </c>
      <c r="D49" s="4" t="n">
        <v>0</v>
      </c>
      <c r="E49" s="4" t="n">
        <v>0</v>
      </c>
      <c r="F49" s="4" t="n">
        <v>0</v>
      </c>
      <c r="G49" s="4" t="n">
        <v>0</v>
      </c>
      <c r="H49" s="4" t="n">
        <v>0</v>
      </c>
      <c r="I49" s="4" t="n">
        <v>0</v>
      </c>
      <c r="J49" s="4" t="n">
        <v>0</v>
      </c>
      <c r="K49" s="4" t="inlineStr">
        <is>
          <t>Historical signals: title/abstract/notes; full-text completion not independently established</t>
        </is>
      </c>
      <c r="L49" s="4" t="inlineStr">
        <is>
          <t>Graph Neural Network (TPGNN) for rs-fMRI functional connectivity; mapped to Other (GNN not in list)</t>
        </is>
      </c>
      <c r="M49" s="4" t="inlineStr">
        <is>
          <t>https://doi.org/10.1007/978-3-030-93049-3_30</t>
        </is>
      </c>
      <c r="N49" s="4" t="n">
        <v>0</v>
      </c>
      <c r="O49" s="4" t="n">
        <v>0</v>
      </c>
      <c r="P49" s="4" t="n">
        <v>0</v>
      </c>
      <c r="Q49" s="12" t="n"/>
      <c r="R49" s="41" t="n"/>
      <c r="S49" s="4" t="inlineStr">
        <is>
          <t>0 = no reported evidence in material assessed; blank = not coded/unknown; neither proves absence</t>
        </is>
      </c>
      <c r="T49" s="4">
        <f>IF(COUNTIFS('ESTUDIOS'!$A$2:$A$455,$A49,'ESTUDIOS'!$I$2:$I$455,"")&gt;0,"",INDEX('ESTUDIOS'!$I$2:$I$455,MATCH($A49,'ESTUDIOS'!$A$2:$A$455,0)))</f>
        <v/>
      </c>
    </row>
    <row r="50" ht="86" customHeight="1">
      <c r="A50" s="4" t="inlineStr">
        <is>
          <t>51</t>
        </is>
      </c>
      <c r="B50" s="4" t="inlineStr">
        <is>
          <t>Historical</t>
        </is>
      </c>
      <c r="C50" s="4" t="inlineStr">
        <is>
          <t>Bilinear Perceptual Fusion Algorithm Based on Brain Functional and Structural Data for ASD Diagnosis and Regions of Interest Identification</t>
        </is>
      </c>
      <c r="D50" s="4" t="n">
        <v>0</v>
      </c>
      <c r="E50" s="4" t="n">
        <v>0</v>
      </c>
      <c r="F50" s="4" t="n">
        <v>0</v>
      </c>
      <c r="G50" s="4" t="n">
        <v>0</v>
      </c>
      <c r="H50" s="4" t="n">
        <v>0</v>
      </c>
      <c r="I50" s="4" t="n">
        <v>0</v>
      </c>
      <c r="J50" s="4" t="n">
        <v>1</v>
      </c>
      <c r="K50" s="4" t="inlineStr">
        <is>
          <t>Historical signals: title/abstract/notes; full-text completion not independently established</t>
        </is>
      </c>
      <c r="L50" s="4" t="inlineStr">
        <is>
          <t>Fusión multimodal de datos cerebrales estructurales/funcionales; arquitectura GCN fuera del codebook.</t>
        </is>
      </c>
      <c r="M50" s="4" t="inlineStr">
        <is>
          <t>https://doi.org/10.1007/s12539-024-00651-w</t>
        </is>
      </c>
      <c r="N50" s="4" t="n">
        <v>0</v>
      </c>
      <c r="O50" s="4" t="n">
        <v>1</v>
      </c>
      <c r="P50" s="4" t="n">
        <v>1</v>
      </c>
      <c r="Q50" s="12" t="n"/>
      <c r="R50" s="41" t="n"/>
      <c r="S50" s="4" t="inlineStr">
        <is>
          <t>0 = no reported evidence in material assessed; blank = not coded/unknown; neither proves absence</t>
        </is>
      </c>
      <c r="T50" s="4">
        <f>IF(COUNTIFS('ESTUDIOS'!$A$2:$A$455,$A50,'ESTUDIOS'!$I$2:$I$455,"")&gt;0,"",INDEX('ESTUDIOS'!$I$2:$I$455,MATCH($A50,'ESTUDIOS'!$A$2:$A$455,0)))</f>
        <v/>
      </c>
    </row>
    <row r="51" ht="86" customHeight="1">
      <c r="A51" s="4" t="inlineStr">
        <is>
          <t>52</t>
        </is>
      </c>
      <c r="B51" s="4" t="inlineStr">
        <is>
          <t>Historical</t>
        </is>
      </c>
      <c r="C51" s="4" t="inlineStr">
        <is>
          <t>Computer-aided diagnosis of autism spectrum disorder from EEG signals using deep learning with FAWT and multiscale permutation entropy features</t>
        </is>
      </c>
      <c r="D51" s="4" t="n">
        <v>0</v>
      </c>
      <c r="E51" s="4" t="n">
        <v>0</v>
      </c>
      <c r="F51" s="4" t="n">
        <v>0</v>
      </c>
      <c r="G51" s="4" t="n">
        <v>0</v>
      </c>
      <c r="H51" s="4" t="n">
        <v>0</v>
      </c>
      <c r="I51" s="4" t="n">
        <v>0</v>
      </c>
      <c r="J51" s="4" t="n">
        <v>0</v>
      </c>
      <c r="K51" s="4" t="inlineStr">
        <is>
          <t>Historical signals: title/abstract/notes; full-text completion not independently established</t>
        </is>
      </c>
      <c r="L51" s="4" t="str"/>
      <c r="M51" s="4" t="inlineStr">
        <is>
          <t>https://doi.org/10.1177/09544119221141751</t>
        </is>
      </c>
      <c r="N51" s="4" t="n">
        <v>0</v>
      </c>
      <c r="O51" s="4" t="n">
        <v>0</v>
      </c>
      <c r="P51" s="4" t="n">
        <v>0</v>
      </c>
      <c r="Q51" s="12" t="n"/>
      <c r="R51" s="41" t="n"/>
      <c r="S51" s="4" t="inlineStr">
        <is>
          <t>0 = no reported evidence in material assessed; blank = not coded/unknown; neither proves absence</t>
        </is>
      </c>
      <c r="T51" s="4">
        <f>IF(COUNTIFS('ESTUDIOS'!$A$2:$A$455,$A51,'ESTUDIOS'!$I$2:$I$455,"")&gt;0,"",INDEX('ESTUDIOS'!$I$2:$I$455,MATCH($A51,'ESTUDIOS'!$A$2:$A$455,0)))</f>
        <v/>
      </c>
    </row>
    <row r="52" ht="86" customHeight="1">
      <c r="A52" s="4" t="inlineStr">
        <is>
          <t>53</t>
        </is>
      </c>
      <c r="B52" s="4" t="inlineStr">
        <is>
          <t>Historical</t>
        </is>
      </c>
      <c r="C52" s="4" t="inlineStr">
        <is>
          <t>Development and validation of a machine learning-based tool to predict autism among children</t>
        </is>
      </c>
      <c r="D52" s="4" t="n">
        <v>0</v>
      </c>
      <c r="E52" s="4" t="n">
        <v>0</v>
      </c>
      <c r="F52" s="4" t="n">
        <v>0</v>
      </c>
      <c r="G52" s="4" t="n">
        <v>0</v>
      </c>
      <c r="H52" s="4" t="n">
        <v>0</v>
      </c>
      <c r="I52" s="4" t="n">
        <v>0</v>
      </c>
      <c r="J52" s="4" t="n">
        <v>0</v>
      </c>
      <c r="K52" s="4" t="inlineStr">
        <is>
          <t>Historical signals: title/abstract/notes; full-text completion not independently established</t>
        </is>
      </c>
      <c r="L52" s="4" t="inlineStr">
        <is>
          <t>También entrenan Gradient Boosted Trees (XGBoost/GBDT) y reportan desempeño comparable en validación.</t>
        </is>
      </c>
      <c r="M52" s="4" t="inlineStr">
        <is>
          <t>https://doi.org/10.1002/aur.2912</t>
        </is>
      </c>
      <c r="N52" s="4" t="n">
        <v>0</v>
      </c>
      <c r="O52" s="4" t="n">
        <v>0</v>
      </c>
      <c r="P52" s="4" t="n">
        <v>0</v>
      </c>
      <c r="Q52" s="12" t="n"/>
      <c r="R52" s="41" t="n"/>
      <c r="S52" s="4" t="inlineStr">
        <is>
          <t>0 = no reported evidence in material assessed; blank = not coded/unknown; neither proves absence</t>
        </is>
      </c>
      <c r="T52" s="4">
        <f>IF(COUNTIFS('ESTUDIOS'!$A$2:$A$455,$A52,'ESTUDIOS'!$I$2:$I$455,"")&gt;0,"",INDEX('ESTUDIOS'!$I$2:$I$455,MATCH($A52,'ESTUDIOS'!$A$2:$A$455,0)))</f>
        <v/>
      </c>
    </row>
    <row r="53" ht="86" customHeight="1">
      <c r="A53" s="4" t="inlineStr">
        <is>
          <t>54</t>
        </is>
      </c>
      <c r="B53" s="4" t="inlineStr">
        <is>
          <t>Historical</t>
        </is>
      </c>
      <c r="C53" s="4" t="inlineStr">
        <is>
          <t>Diagnostic classification of intrinsic functional connectivity highlights somatosensory, default mode, and visual regions in autism</t>
        </is>
      </c>
      <c r="D53" s="4" t="n">
        <v>0</v>
      </c>
      <c r="E53" s="4" t="n">
        <v>1</v>
      </c>
      <c r="F53" s="4" t="n">
        <v>0</v>
      </c>
      <c r="G53" s="4" t="n">
        <v>0</v>
      </c>
      <c r="H53" s="4" t="n">
        <v>0</v>
      </c>
      <c r="I53" s="4" t="n">
        <v>0</v>
      </c>
      <c r="J53" s="4" t="n">
        <v>0</v>
      </c>
      <c r="K53" s="4" t="inlineStr">
        <is>
          <t>Historical signals: title/abstract/notes; full-text completion not independently established</t>
        </is>
      </c>
      <c r="L53" s="4" t="str"/>
      <c r="M53" s="4" t="inlineStr">
        <is>
          <t>https://doi.org/10.1016/j.nicl.2015.04.002</t>
        </is>
      </c>
      <c r="N53" s="4" t="n">
        <v>0</v>
      </c>
      <c r="O53" s="4" t="n">
        <v>0</v>
      </c>
      <c r="P53" s="4" t="n">
        <v>0</v>
      </c>
      <c r="Q53" s="12" t="n"/>
      <c r="R53" s="41" t="n"/>
      <c r="S53" s="4" t="inlineStr">
        <is>
          <t>0 = no reported evidence in material assessed; blank = not coded/unknown; neither proves absence</t>
        </is>
      </c>
      <c r="T53" s="4">
        <f>IF(COUNTIFS('ESTUDIOS'!$A$2:$A$455,$A53,'ESTUDIOS'!$I$2:$I$455,"")&gt;0,"",INDEX('ESTUDIOS'!$I$2:$I$455,MATCH($A53,'ESTUDIOS'!$A$2:$A$455,0)))</f>
        <v/>
      </c>
    </row>
    <row r="54" ht="86" customHeight="1">
      <c r="A54" s="4" t="inlineStr">
        <is>
          <t>56</t>
        </is>
      </c>
      <c r="B54" s="4" t="inlineStr">
        <is>
          <t>Historical</t>
        </is>
      </c>
      <c r="C54" s="4" t="inlineStr">
        <is>
          <t>Epigenomic signatures reveal mechanistic clues and predictive markers for autism spectrum disorder</t>
        </is>
      </c>
      <c r="D54" s="4" t="n">
        <v>0</v>
      </c>
      <c r="E54" s="4" t="n">
        <v>0</v>
      </c>
      <c r="F54" s="4" t="n">
        <v>0</v>
      </c>
      <c r="G54" s="4" t="n">
        <v>0</v>
      </c>
      <c r="H54" s="4" t="n">
        <v>0</v>
      </c>
      <c r="I54" s="4" t="n">
        <v>0</v>
      </c>
      <c r="J54" s="4" t="n">
        <v>0</v>
      </c>
      <c r="K54" s="4" t="inlineStr">
        <is>
          <t>Historical signals: title/abstract/notes; full-text completion not independently established</t>
        </is>
      </c>
      <c r="L54" s="4" t="inlineStr">
        <is>
          <t>Sin señal explícita Q3 en título/abstract.</t>
        </is>
      </c>
      <c r="M54" s="4" t="inlineStr">
        <is>
          <t>https://doi.org/10.1038/s41380-022-01917-9</t>
        </is>
      </c>
      <c r="N54" s="4" t="n">
        <v>0</v>
      </c>
      <c r="O54" s="4" t="n">
        <v>0</v>
      </c>
      <c r="P54" s="4" t="n"/>
      <c r="Q54" s="12" t="n"/>
      <c r="R54" s="41" t="n"/>
      <c r="S54" s="4" t="inlineStr">
        <is>
          <t>0 = no reported evidence in material assessed; blank = not coded/unknown; neither proves absence</t>
        </is>
      </c>
      <c r="T54" s="4">
        <f>IF(COUNTIFS('ESTUDIOS'!$A$2:$A$455,$A54,'ESTUDIOS'!$I$2:$I$455,"")&gt;0,"",INDEX('ESTUDIOS'!$I$2:$I$455,MATCH($A54,'ESTUDIOS'!$A$2:$A$455,0)))</f>
        <v/>
      </c>
    </row>
    <row r="55" ht="86" customHeight="1">
      <c r="A55" s="4" t="inlineStr">
        <is>
          <t>57</t>
        </is>
      </c>
      <c r="B55" s="4" t="inlineStr">
        <is>
          <t>Historical</t>
        </is>
      </c>
      <c r="C55" s="4" t="inlineStr">
        <is>
          <t>Evaluation and benchmarking of hybrid machine learning models for autism spectrum disorder diagnosis using a 2-tuple linguistic neutrosophic fuzzy sets-based decision-making model</t>
        </is>
      </c>
      <c r="D55" s="4" t="n">
        <v>0</v>
      </c>
      <c r="E55" s="4" t="n">
        <v>0</v>
      </c>
      <c r="F55" s="4" t="n">
        <v>0</v>
      </c>
      <c r="G55" s="4" t="n">
        <v>0</v>
      </c>
      <c r="H55" s="4" t="n">
        <v>0</v>
      </c>
      <c r="I55" s="4" t="n">
        <v>0</v>
      </c>
      <c r="J55" s="4" t="n">
        <v>0</v>
      </c>
      <c r="K55" s="4" t="inlineStr">
        <is>
          <t>Historical signals: title/abstract/notes; full-text completion not independently established</t>
        </is>
      </c>
      <c r="L55" s="4" t="inlineStr">
        <is>
          <t>Algoritmo principal no explícito o fuera del codebook; Confirmar algoritmo principal en full-text; Se comparan varios modelos; se eligió el principal/mejor reportado</t>
        </is>
      </c>
      <c r="M55" s="4" t="inlineStr">
        <is>
          <t>https://doi.org/10.1007/s00521-024-09905-6</t>
        </is>
      </c>
      <c r="N55" s="4" t="n">
        <v>0</v>
      </c>
      <c r="O55" s="4" t="n">
        <v>0</v>
      </c>
      <c r="P55" s="4" t="n">
        <v>1</v>
      </c>
      <c r="Q55" s="12" t="n"/>
      <c r="R55" s="41" t="n"/>
      <c r="S55" s="4" t="inlineStr">
        <is>
          <t>0 = no reported evidence in material assessed; blank = not coded/unknown; neither proves absence</t>
        </is>
      </c>
      <c r="T55" s="4">
        <f>IF(COUNTIFS('ESTUDIOS'!$A$2:$A$455,$A55,'ESTUDIOS'!$I$2:$I$455,"")&gt;0,"",INDEX('ESTUDIOS'!$I$2:$I$455,MATCH($A55,'ESTUDIOS'!$A$2:$A$455,0)))</f>
        <v/>
      </c>
    </row>
    <row r="56" ht="86" customHeight="1">
      <c r="A56" s="4" t="inlineStr">
        <is>
          <t>58</t>
        </is>
      </c>
      <c r="B56" s="4" t="inlineStr">
        <is>
          <t>Historical</t>
        </is>
      </c>
      <c r="C56" s="4" t="inlineStr">
        <is>
          <t>Event Related Potential Analysis Using Machine Learning to Predict Diagnostic Outcome of Autism Spectrum Disorder</t>
        </is>
      </c>
      <c r="D56" s="4" t="n">
        <v>0</v>
      </c>
      <c r="E56" s="4" t="n">
        <v>0</v>
      </c>
      <c r="F56" s="4" t="n">
        <v>0</v>
      </c>
      <c r="G56" s="4" t="n">
        <v>0</v>
      </c>
      <c r="H56" s="4" t="n">
        <v>0</v>
      </c>
      <c r="I56" s="4" t="n">
        <v>0</v>
      </c>
      <c r="J56" s="4" t="n">
        <v>0</v>
      </c>
      <c r="K56" s="4" t="inlineStr">
        <is>
          <t>Historical signals: title/abstract/notes; full-text completion not independently established</t>
        </is>
      </c>
      <c r="L56" s="4" t="str"/>
      <c r="M56" s="4" t="inlineStr">
        <is>
          <t>https://doi.org/10.1007/978-3-030-88163-4_7</t>
        </is>
      </c>
      <c r="N56" s="4" t="n">
        <v>0</v>
      </c>
      <c r="O56" s="4" t="n">
        <v>0</v>
      </c>
      <c r="P56" s="4" t="n">
        <v>0</v>
      </c>
      <c r="Q56" s="12" t="n"/>
      <c r="R56" s="41" t="n"/>
      <c r="S56" s="4" t="inlineStr">
        <is>
          <t>0 = no reported evidence in material assessed; blank = not coded/unknown; neither proves absence</t>
        </is>
      </c>
      <c r="T56" s="4">
        <f>IF(COUNTIFS('ESTUDIOS'!$A$2:$A$455,$A56,'ESTUDIOS'!$I$2:$I$455,"")&gt;0,"",INDEX('ESTUDIOS'!$I$2:$I$455,MATCH($A56,'ESTUDIOS'!$A$2:$A$455,0)))</f>
        <v/>
      </c>
    </row>
    <row r="57" ht="86" customHeight="1">
      <c r="A57" s="4" t="inlineStr">
        <is>
          <t>59</t>
        </is>
      </c>
      <c r="B57" s="4" t="inlineStr">
        <is>
          <t>Historical</t>
        </is>
      </c>
      <c r="C57" s="4" t="inlineStr">
        <is>
          <t>Functional Connectivities Are More Informative Than Anatomical Variables in Diagnostic Classification of Autism</t>
        </is>
      </c>
      <c r="D57" s="4" t="n">
        <v>0</v>
      </c>
      <c r="E57" s="4" t="n">
        <v>0</v>
      </c>
      <c r="F57" s="4" t="n">
        <v>0</v>
      </c>
      <c r="G57" s="4" t="n">
        <v>0</v>
      </c>
      <c r="H57" s="4" t="n">
        <v>0</v>
      </c>
      <c r="I57" s="4" t="n">
        <v>0</v>
      </c>
      <c r="J57" s="4" t="n">
        <v>1</v>
      </c>
      <c r="K57" s="4" t="inlineStr">
        <is>
          <t>Historical signals: title/abstract/notes; full-text completion not independently established</t>
        </is>
      </c>
      <c r="L57" s="4" t="str"/>
      <c r="M57" s="4" t="inlineStr">
        <is>
          <t>https://doi.org/10.1089/brain.2019.0689</t>
        </is>
      </c>
      <c r="N57" s="4" t="n">
        <v>0</v>
      </c>
      <c r="O57" s="4" t="n">
        <v>1</v>
      </c>
      <c r="P57" s="4" t="n">
        <v>1</v>
      </c>
      <c r="Q57" s="12" t="n"/>
      <c r="R57" s="41" t="n"/>
      <c r="S57" s="4" t="inlineStr">
        <is>
          <t>0 = no reported evidence in material assessed; blank = not coded/unknown; neither proves absence</t>
        </is>
      </c>
      <c r="T57" s="4">
        <f>IF(COUNTIFS('ESTUDIOS'!$A$2:$A$455,$A57,'ESTUDIOS'!$I$2:$I$455,"")&gt;0,"",INDEX('ESTUDIOS'!$I$2:$I$455,MATCH($A57,'ESTUDIOS'!$A$2:$A$455,0)))</f>
        <v/>
      </c>
    </row>
    <row r="58" ht="86" customHeight="1">
      <c r="A58" s="4" t="inlineStr">
        <is>
          <t>60</t>
        </is>
      </c>
      <c r="B58" s="4" t="inlineStr">
        <is>
          <t>Historical</t>
        </is>
      </c>
      <c r="C58" s="4" t="inlineStr">
        <is>
          <t>Hyperuricemia and Metabolic Adverse Effect in Children and Adolescents with Autism Spectrum Disorder Treated with Risperidone</t>
        </is>
      </c>
      <c r="D58" s="4" t="n">
        <v>0</v>
      </c>
      <c r="E58" s="4" t="n">
        <v>0</v>
      </c>
      <c r="F58" s="4" t="n">
        <v>0</v>
      </c>
      <c r="G58" s="4" t="n">
        <v>0</v>
      </c>
      <c r="H58" s="4" t="n">
        <v>0</v>
      </c>
      <c r="I58" s="4" t="n">
        <v>0</v>
      </c>
      <c r="J58" s="4" t="n">
        <v>1</v>
      </c>
      <c r="K58" s="4" t="inlineStr">
        <is>
          <t>Historical signals: title/abstract/notes; full-text completion not independently established</t>
        </is>
      </c>
      <c r="L58" s="4" t="inlineStr">
        <is>
          <t>Estudio principalmente clínico/estadístico sobre efectos metabólicos de risperidona; relevancia de IA ambigua.</t>
        </is>
      </c>
      <c r="M58" s="4" t="inlineStr">
        <is>
          <t>https://doi.org/10.1016/j.eurpsy.2017.02.198</t>
        </is>
      </c>
      <c r="N58" s="4" t="n">
        <v>0</v>
      </c>
      <c r="O58" s="4" t="n">
        <v>1</v>
      </c>
      <c r="P58" s="4" t="n">
        <v>1</v>
      </c>
      <c r="Q58" s="12" t="n"/>
      <c r="R58" s="41" t="n"/>
      <c r="S58" s="4" t="inlineStr">
        <is>
          <t>0 = no reported evidence in material assessed; blank = not coded/unknown; neither proves absence</t>
        </is>
      </c>
      <c r="T58" s="4">
        <f>IF(COUNTIFS('ESTUDIOS'!$A$2:$A$455,$A58,'ESTUDIOS'!$I$2:$I$455,"")&gt;0,"",INDEX('ESTUDIOS'!$I$2:$I$455,MATCH($A58,'ESTUDIOS'!$A$2:$A$455,0)))</f>
        <v/>
      </c>
    </row>
    <row r="59" ht="86" customHeight="1">
      <c r="A59" s="4" t="inlineStr">
        <is>
          <t>61</t>
        </is>
      </c>
      <c r="B59" s="4" t="inlineStr">
        <is>
          <t>Historical</t>
        </is>
      </c>
      <c r="C59" s="4" t="inlineStr">
        <is>
          <t>Identifying Visual Attention Features Accurately Discerning Between Autism and Typically Developing: a Deep Learning Framework</t>
        </is>
      </c>
      <c r="D59" s="4" t="n">
        <v>0</v>
      </c>
      <c r="E59" s="4" t="n">
        <v>0</v>
      </c>
      <c r="F59" s="4" t="n">
        <v>0</v>
      </c>
      <c r="G59" s="4" t="n">
        <v>0</v>
      </c>
      <c r="H59" s="4" t="n">
        <v>0</v>
      </c>
      <c r="I59" s="4" t="n">
        <v>0</v>
      </c>
      <c r="J59" s="4" t="n">
        <v>0</v>
      </c>
      <c r="K59" s="4" t="inlineStr">
        <is>
          <t>Historical signals: title/abstract/notes; full-text completion not independently established</t>
        </is>
      </c>
      <c r="L59" s="4" t="str"/>
      <c r="M59" s="4" t="inlineStr">
        <is>
          <t>https://doi.org/10.1007/s12539-022-00510-6</t>
        </is>
      </c>
      <c r="N59" s="4" t="n">
        <v>0</v>
      </c>
      <c r="O59" s="4" t="n">
        <v>0</v>
      </c>
      <c r="P59" s="4" t="n">
        <v>1</v>
      </c>
      <c r="Q59" s="12" t="n"/>
      <c r="R59" s="41" t="n"/>
      <c r="S59" s="4" t="inlineStr">
        <is>
          <t>0 = no reported evidence in material assessed; blank = not coded/unknown; neither proves absence</t>
        </is>
      </c>
      <c r="T59" s="4">
        <f>IF(COUNTIFS('ESTUDIOS'!$A$2:$A$455,$A59,'ESTUDIOS'!$I$2:$I$455,"")&gt;0,"",INDEX('ESTUDIOS'!$I$2:$I$455,MATCH($A59,'ESTUDIOS'!$A$2:$A$455,0)))</f>
        <v/>
      </c>
    </row>
    <row r="60" ht="86" customHeight="1">
      <c r="A60" s="4" t="inlineStr">
        <is>
          <t>62</t>
        </is>
      </c>
      <c r="B60" s="4" t="inlineStr">
        <is>
          <t>Historical</t>
        </is>
      </c>
      <c r="C60" s="4" t="inlineStr">
        <is>
          <t>Impact of DRD2 polymorphisms on prolactin level in risperidone-treated Thai children and adolescent with autism spectrum disorders</t>
        </is>
      </c>
      <c r="D60" s="4" t="n">
        <v>0</v>
      </c>
      <c r="E60" s="4" t="n">
        <v>0</v>
      </c>
      <c r="F60" s="4" t="n">
        <v>0</v>
      </c>
      <c r="G60" s="4" t="n">
        <v>0</v>
      </c>
      <c r="H60" s="4" t="n">
        <v>0</v>
      </c>
      <c r="I60" s="4" t="n">
        <v>0</v>
      </c>
      <c r="J60" s="4" t="n">
        <v>1</v>
      </c>
      <c r="K60" s="4" t="inlineStr">
        <is>
          <t>Historical signals: title/abstract/notes; full-text completion not independently established</t>
        </is>
      </c>
      <c r="L60" s="4" t="inlineStr">
        <is>
          <t>Estudio farmacogenético de prolactina en tratamiento con risperidona; uso de IA/ML no claramente descrito.</t>
        </is>
      </c>
      <c r="M60" s="4" t="inlineStr">
        <is>
          <t>https://doi.org/10.1016/j.eurpsy.2016.01.060</t>
        </is>
      </c>
      <c r="N60" s="4" t="n">
        <v>0</v>
      </c>
      <c r="O60" s="4" t="n">
        <v>1</v>
      </c>
      <c r="P60" s="4" t="n">
        <v>1</v>
      </c>
      <c r="Q60" s="12" t="n"/>
      <c r="R60" s="41" t="n"/>
      <c r="S60" s="4" t="inlineStr">
        <is>
          <t>0 = no reported evidence in material assessed; blank = not coded/unknown; neither proves absence</t>
        </is>
      </c>
      <c r="T60" s="4">
        <f>IF(COUNTIFS('ESTUDIOS'!$A$2:$A$455,$A60,'ESTUDIOS'!$I$2:$I$455,"")&gt;0,"",INDEX('ESTUDIOS'!$I$2:$I$455,MATCH($A60,'ESTUDIOS'!$A$2:$A$455,0)))</f>
        <v/>
      </c>
    </row>
    <row r="61" ht="86" customHeight="1">
      <c r="A61" s="4" t="inlineStr">
        <is>
          <t>63</t>
        </is>
      </c>
      <c r="B61" s="4" t="inlineStr">
        <is>
          <t>Historical</t>
        </is>
      </c>
      <c r="C61" s="4" t="inlineStr">
        <is>
          <t>Improving fMRI-Based Autism Severity Identification via Brain Network Distance and Adaptive Label Distribution Learning</t>
        </is>
      </c>
      <c r="D61" s="4" t="n">
        <v>0</v>
      </c>
      <c r="E61" s="4" t="n">
        <v>1</v>
      </c>
      <c r="F61" s="4" t="n">
        <v>0</v>
      </c>
      <c r="G61" s="4" t="n">
        <v>0</v>
      </c>
      <c r="H61" s="4" t="n">
        <v>0</v>
      </c>
      <c r="I61" s="4" t="n">
        <v>0</v>
      </c>
      <c r="J61" s="4" t="n">
        <v>0</v>
      </c>
      <c r="K61" s="4" t="inlineStr">
        <is>
          <t>Historical signals: title/abstract/notes; full-text completion not independently established</t>
        </is>
      </c>
      <c r="L61" s="4" t="inlineStr">
        <is>
          <t>Algoritmo principal no explícito o fuera del codebook; Confirmar algoritmo principal en full-text</t>
        </is>
      </c>
      <c r="M61" s="4" t="inlineStr">
        <is>
          <t>https://doi.org/10.1109/tnsre.2024.3516216</t>
        </is>
      </c>
      <c r="N61" s="4" t="n">
        <v>0</v>
      </c>
      <c r="O61" s="4" t="n">
        <v>0</v>
      </c>
      <c r="P61" s="4" t="n">
        <v>1</v>
      </c>
      <c r="Q61" s="12" t="n"/>
      <c r="R61" s="41" t="n"/>
      <c r="S61" s="4" t="inlineStr">
        <is>
          <t>0 = no reported evidence in material assessed; blank = not coded/unknown; neither proves absence</t>
        </is>
      </c>
      <c r="T61" s="4">
        <f>IF(COUNTIFS('ESTUDIOS'!$A$2:$A$455,$A61,'ESTUDIOS'!$I$2:$I$455,"")&gt;0,"",INDEX('ESTUDIOS'!$I$2:$I$455,MATCH($A61,'ESTUDIOS'!$A$2:$A$455,0)))</f>
        <v/>
      </c>
    </row>
    <row r="62" ht="86" customHeight="1">
      <c r="A62" s="4" t="inlineStr">
        <is>
          <t>64</t>
        </is>
      </c>
      <c r="B62" s="4" t="inlineStr">
        <is>
          <t>Historical</t>
        </is>
      </c>
      <c r="C62" s="4" t="inlineStr">
        <is>
          <t>Leveraging hybrid model of ConvNextBase and LightGBM for early ASD detection via eye-gaze analysis</t>
        </is>
      </c>
      <c r="D62" s="4" t="n">
        <v>0</v>
      </c>
      <c r="E62" s="4" t="n">
        <v>0</v>
      </c>
      <c r="F62" s="4" t="n">
        <v>0</v>
      </c>
      <c r="G62" s="4" t="n">
        <v>0</v>
      </c>
      <c r="H62" s="4" t="n">
        <v>0</v>
      </c>
      <c r="I62" s="4" t="n">
        <v>0</v>
      </c>
      <c r="J62" s="4" t="n">
        <v>0</v>
      </c>
      <c r="K62" s="4" t="inlineStr">
        <is>
          <t>Historical signals: title/abstract/notes; full-text completion not independently established</t>
        </is>
      </c>
      <c r="L62" s="4" t="inlineStr">
        <is>
          <t>Es un híbrido: ConvNeXtBase (CNN) como extractor de características + LightGBM (GBDT) como clasificador.</t>
        </is>
      </c>
      <c r="M62" s="4" t="inlineStr">
        <is>
          <t>https://doi.org/10.1016/j.mex.2025.103166</t>
        </is>
      </c>
      <c r="N62" s="4" t="n">
        <v>0</v>
      </c>
      <c r="O62" s="4" t="n">
        <v>0</v>
      </c>
      <c r="P62" s="4" t="n">
        <v>1</v>
      </c>
      <c r="Q62" s="12" t="n"/>
      <c r="R62" s="41" t="n"/>
      <c r="S62" s="4" t="inlineStr">
        <is>
          <t>0 = no reported evidence in material assessed; blank = not coded/unknown; neither proves absence</t>
        </is>
      </c>
      <c r="T62" s="4">
        <f>IF(COUNTIFS('ESTUDIOS'!$A$2:$A$455,$A62,'ESTUDIOS'!$I$2:$I$455,"")&gt;0,"",INDEX('ESTUDIOS'!$I$2:$I$455,MATCH($A62,'ESTUDIOS'!$A$2:$A$455,0)))</f>
        <v/>
      </c>
    </row>
    <row r="63" ht="86" customHeight="1">
      <c r="A63" s="4" t="inlineStr">
        <is>
          <t>65</t>
        </is>
      </c>
      <c r="B63" s="4" t="inlineStr">
        <is>
          <t>Historical</t>
        </is>
      </c>
      <c r="C63" s="4" t="inlineStr">
        <is>
          <t>Modified Grasshopper Optimization Algorithm for detection of Autism Spectrum Disorder</t>
        </is>
      </c>
      <c r="D63" s="4" t="n">
        <v>0</v>
      </c>
      <c r="E63" s="4" t="n">
        <v>0</v>
      </c>
      <c r="F63" s="4" t="n">
        <v>0</v>
      </c>
      <c r="G63" s="4" t="n">
        <v>0</v>
      </c>
      <c r="H63" s="4" t="n">
        <v>0</v>
      </c>
      <c r="I63" s="4" t="n">
        <v>0</v>
      </c>
      <c r="J63" s="4" t="n">
        <v>0</v>
      </c>
      <c r="K63" s="4" t="inlineStr">
        <is>
          <t>Historical signals: title/abstract/notes; full-text completion not independently established</t>
        </is>
      </c>
      <c r="L63" s="4" t="inlineStr">
        <is>
          <t>Algoritmo principal no explícito o fuera del codebook; Confirmar algoritmo principal en full-text</t>
        </is>
      </c>
      <c r="M63" s="4" t="inlineStr">
        <is>
          <t>https://doi.org/10.1016/j.phycom.2020.101115</t>
        </is>
      </c>
      <c r="N63" s="4" t="n">
        <v>0</v>
      </c>
      <c r="O63" s="4" t="n">
        <v>0</v>
      </c>
      <c r="P63" s="4" t="n">
        <v>1</v>
      </c>
      <c r="Q63" s="12" t="n"/>
      <c r="R63" s="41" t="n"/>
      <c r="S63" s="4" t="inlineStr">
        <is>
          <t>0 = no reported evidence in material assessed; blank = not coded/unknown; neither proves absence</t>
        </is>
      </c>
      <c r="T63" s="4">
        <f>IF(COUNTIFS('ESTUDIOS'!$A$2:$A$455,$A63,'ESTUDIOS'!$I$2:$I$455,"")&gt;0,"",INDEX('ESTUDIOS'!$I$2:$I$455,MATCH($A63,'ESTUDIOS'!$A$2:$A$455,0)))</f>
        <v/>
      </c>
    </row>
    <row r="64" ht="86" customHeight="1">
      <c r="A64" s="4" t="inlineStr">
        <is>
          <t>66</t>
        </is>
      </c>
      <c r="B64" s="4" t="inlineStr">
        <is>
          <t>Historical</t>
        </is>
      </c>
      <c r="C64" s="4" t="inlineStr">
        <is>
          <t>Motor Signature Differences Between Autism Spectrum Disorder and Developmental Coordination Disorder, and Their Neural Mechanisms</t>
        </is>
      </c>
      <c r="D64" s="4" t="n">
        <v>0</v>
      </c>
      <c r="E64" s="4" t="n">
        <v>0</v>
      </c>
      <c r="F64" s="4" t="n">
        <v>0</v>
      </c>
      <c r="G64" s="4" t="n">
        <v>0</v>
      </c>
      <c r="H64" s="4" t="n">
        <v>0</v>
      </c>
      <c r="I64" s="4" t="n">
        <v>0</v>
      </c>
      <c r="J64" s="4" t="n">
        <v>1</v>
      </c>
      <c r="K64" s="4" t="inlineStr">
        <is>
          <t>Historical signals: title/abstract/notes; full-text completion not independently established</t>
        </is>
      </c>
      <c r="L64" s="4" t="inlineStr">
        <is>
          <t>Combina kinemática de tablet/video y fMRI para diferenciar ASD, DCD y TD; algoritmo principal no explícito.</t>
        </is>
      </c>
      <c r="M64" s="4" t="inlineStr">
        <is>
          <t>https://doi.org/10.1007/s10803-023-06171-8</t>
        </is>
      </c>
      <c r="N64" s="4" t="n">
        <v>0</v>
      </c>
      <c r="O64" s="4" t="n">
        <v>1</v>
      </c>
      <c r="P64" s="4" t="n">
        <v>1</v>
      </c>
      <c r="Q64" s="12" t="n"/>
      <c r="R64" s="41" t="n"/>
      <c r="S64" s="4" t="inlineStr">
        <is>
          <t>0 = no reported evidence in material assessed; blank = not coded/unknown; neither proves absence</t>
        </is>
      </c>
      <c r="T64" s="4">
        <f>IF(COUNTIFS('ESTUDIOS'!$A$2:$A$455,$A64,'ESTUDIOS'!$I$2:$I$455,"")&gt;0,"",INDEX('ESTUDIOS'!$I$2:$I$455,MATCH($A64,'ESTUDIOS'!$A$2:$A$455,0)))</f>
        <v/>
      </c>
    </row>
    <row r="65" ht="86" customHeight="1">
      <c r="A65" s="4" t="inlineStr">
        <is>
          <t>67</t>
        </is>
      </c>
      <c r="B65" s="4" t="inlineStr">
        <is>
          <t>Historical</t>
        </is>
      </c>
      <c r="C65" s="4" t="inlineStr">
        <is>
          <t>Novelty detection using deep normative modeling for imu-based abnormal movement monitoring in parkinson’s disease and autism spectrum disorders</t>
        </is>
      </c>
      <c r="D65" s="4" t="n">
        <v>0</v>
      </c>
      <c r="E65" s="4" t="n">
        <v>0</v>
      </c>
      <c r="F65" s="4" t="n">
        <v>0</v>
      </c>
      <c r="G65" s="4" t="n">
        <v>0</v>
      </c>
      <c r="H65" s="4" t="n">
        <v>0</v>
      </c>
      <c r="I65" s="4" t="n">
        <v>0</v>
      </c>
      <c r="J65" s="4" t="n">
        <v>0</v>
      </c>
      <c r="K65" s="4" t="inlineStr">
        <is>
          <t>Historical signals: title/abstract/notes; full-text completion not independently established</t>
        </is>
      </c>
      <c r="L65" s="4" t="inlineStr">
        <is>
          <t>Monitorización de movimiento anómalo con IMU mediante novelty/deep normative modeling; confirmar modelo principal.</t>
        </is>
      </c>
      <c r="M65" s="4" t="inlineStr">
        <is>
          <t>https://doi.org/10.3390/s18103533</t>
        </is>
      </c>
      <c r="N65" s="4" t="n">
        <v>0</v>
      </c>
      <c r="O65" s="4" t="n">
        <v>0</v>
      </c>
      <c r="P65" s="4" t="n">
        <v>1</v>
      </c>
      <c r="Q65" s="12" t="n"/>
      <c r="R65" s="41" t="n"/>
      <c r="S65" s="4" t="inlineStr">
        <is>
          <t>0 = no reported evidence in material assessed; blank = not coded/unknown; neither proves absence</t>
        </is>
      </c>
      <c r="T65" s="4">
        <f>IF(COUNTIFS('ESTUDIOS'!$A$2:$A$455,$A65,'ESTUDIOS'!$I$2:$I$455,"")&gt;0,"",INDEX('ESTUDIOS'!$I$2:$I$455,MATCH($A65,'ESTUDIOS'!$A$2:$A$455,0)))</f>
        <v/>
      </c>
    </row>
    <row r="66" ht="86" customHeight="1">
      <c r="A66" s="4" t="inlineStr">
        <is>
          <t>68</t>
        </is>
      </c>
      <c r="B66" s="4" t="inlineStr">
        <is>
          <t>Historical</t>
        </is>
      </c>
      <c r="C66" s="4" t="inlineStr">
        <is>
          <t>Perceived social support in adults with autism spectrum disorder and attention-deficit/hyperactivity disorder</t>
        </is>
      </c>
      <c r="D66" s="4" t="n">
        <v>0</v>
      </c>
      <c r="E66" s="4" t="n">
        <v>0</v>
      </c>
      <c r="F66" s="4" t="n">
        <v>0</v>
      </c>
      <c r="G66" s="4" t="n">
        <v>0</v>
      </c>
      <c r="H66" s="4" t="n">
        <v>0</v>
      </c>
      <c r="I66" s="4" t="n">
        <v>0</v>
      </c>
      <c r="J66" s="4" t="n">
        <v>0</v>
      </c>
      <c r="K66" s="4" t="inlineStr">
        <is>
          <t>Historical signals: title/abstract/notes; full-text completion not independently established</t>
        </is>
      </c>
      <c r="L66" s="4" t="inlineStr">
        <is>
          <t>ste paper no es diagnóstico ASD vs control; usa ML para modelar/predicir un puntaje de apoyo social percibido (MSPSS-f) en grupos ASD/ADHD/controles.</t>
        </is>
      </c>
      <c r="M66" s="4" t="inlineStr">
        <is>
          <t>https://doi.org/10.1002/aur.1735</t>
        </is>
      </c>
      <c r="N66" s="4" t="n">
        <v>0</v>
      </c>
      <c r="O66" s="4" t="n">
        <v>0</v>
      </c>
      <c r="P66" s="4" t="n">
        <v>0</v>
      </c>
      <c r="Q66" s="12" t="n"/>
      <c r="R66" s="41" t="n"/>
      <c r="S66" s="4" t="inlineStr">
        <is>
          <t>0 = no reported evidence in material assessed; blank = not coded/unknown; neither proves absence</t>
        </is>
      </c>
      <c r="T66" s="4">
        <f>IF(COUNTIFS('ESTUDIOS'!$A$2:$A$455,$A66,'ESTUDIOS'!$I$2:$I$455,"")&gt;0,"",INDEX('ESTUDIOS'!$I$2:$I$455,MATCH($A66,'ESTUDIOS'!$A$2:$A$455,0)))</f>
        <v/>
      </c>
    </row>
    <row r="67" ht="86" customHeight="1">
      <c r="A67" s="4" t="inlineStr">
        <is>
          <t>69</t>
        </is>
      </c>
      <c r="B67" s="4" t="inlineStr">
        <is>
          <t>Historical</t>
        </is>
      </c>
      <c r="C67" s="4" t="inlineStr">
        <is>
          <t>Regional-Asymmetric Adaptive Graph Convolutional Neural Network for Diagnosis of Autism in Children with Resting-State EEG</t>
        </is>
      </c>
      <c r="D67" s="4" t="n">
        <v>0</v>
      </c>
      <c r="E67" s="4" t="n">
        <v>0</v>
      </c>
      <c r="F67" s="4" t="n">
        <v>0</v>
      </c>
      <c r="G67" s="4" t="n">
        <v>0</v>
      </c>
      <c r="H67" s="4" t="n">
        <v>0</v>
      </c>
      <c r="I67" s="4" t="n">
        <v>0</v>
      </c>
      <c r="J67" s="4" t="n">
        <v>0</v>
      </c>
      <c r="K67" s="4" t="inlineStr">
        <is>
          <t>Historical signals: title/abstract/notes; full-text completion not independently established</t>
        </is>
      </c>
      <c r="L67" s="4" t="inlineStr">
        <is>
          <t>Red neuronal convolucional en grafos sobre EEG; arquitectura fuera del codebook.</t>
        </is>
      </c>
      <c r="M67" s="4" t="inlineStr">
        <is>
          <t>https://doi.org/10.1109/tnsre.2023.3347134</t>
        </is>
      </c>
      <c r="N67" s="4" t="n">
        <v>0</v>
      </c>
      <c r="O67" s="4" t="n">
        <v>0</v>
      </c>
      <c r="P67" s="4" t="n">
        <v>1</v>
      </c>
      <c r="Q67" s="12" t="n"/>
      <c r="R67" s="41" t="n"/>
      <c r="S67" s="4" t="inlineStr">
        <is>
          <t>0 = no reported evidence in material assessed; blank = not coded/unknown; neither proves absence</t>
        </is>
      </c>
      <c r="T67" s="4">
        <f>IF(COUNTIFS('ESTUDIOS'!$A$2:$A$455,$A67,'ESTUDIOS'!$I$2:$I$455,"")&gt;0,"",INDEX('ESTUDIOS'!$I$2:$I$455,MATCH($A67,'ESTUDIOS'!$A$2:$A$455,0)))</f>
        <v/>
      </c>
    </row>
    <row r="68" ht="86" customHeight="1">
      <c r="A68" s="4" t="inlineStr">
        <is>
          <t>70</t>
        </is>
      </c>
      <c r="B68" s="4" t="inlineStr">
        <is>
          <t>Historical</t>
        </is>
      </c>
      <c r="C68" s="4" t="inlineStr">
        <is>
          <t>Relationship between abnormal intrinsic functional connectivity of subcortices and autism symptoms in high-functioning adults with autism spectrum disorder</t>
        </is>
      </c>
      <c r="D68" s="4" t="n">
        <v>0</v>
      </c>
      <c r="E68" s="4" t="n">
        <v>0</v>
      </c>
      <c r="F68" s="4" t="n">
        <v>0</v>
      </c>
      <c r="G68" s="4" t="n">
        <v>0</v>
      </c>
      <c r="H68" s="4" t="n">
        <v>0</v>
      </c>
      <c r="I68" s="4" t="n">
        <v>0</v>
      </c>
      <c r="J68" s="4" t="n">
        <v>0</v>
      </c>
      <c r="K68" s="4" t="inlineStr">
        <is>
          <t>Historical signals: title/abstract/notes; full-text completion not independently established</t>
        </is>
      </c>
      <c r="L68" s="4" t="str"/>
      <c r="M68" s="4" t="inlineStr">
        <is>
          <t>https://doi.org/10.1016/j.pscychresns.2023.111762</t>
        </is>
      </c>
      <c r="N68" s="4" t="n">
        <v>0</v>
      </c>
      <c r="O68" s="4" t="n">
        <v>0</v>
      </c>
      <c r="P68" s="4" t="n">
        <v>0</v>
      </c>
      <c r="Q68" s="12" t="n"/>
      <c r="R68" s="41" t="n"/>
      <c r="S68" s="4" t="inlineStr">
        <is>
          <t>0 = no reported evidence in material assessed; blank = not coded/unknown; neither proves absence</t>
        </is>
      </c>
      <c r="T68" s="4">
        <f>IF(COUNTIFS('ESTUDIOS'!$A$2:$A$455,$A68,'ESTUDIOS'!$I$2:$I$455,"")&gt;0,"",INDEX('ESTUDIOS'!$I$2:$I$455,MATCH($A68,'ESTUDIOS'!$A$2:$A$455,0)))</f>
        <v/>
      </c>
    </row>
    <row r="69" ht="86" customHeight="1">
      <c r="A69" s="4" t="inlineStr">
        <is>
          <t>72</t>
        </is>
      </c>
      <c r="B69" s="4" t="inlineStr">
        <is>
          <t>Historical</t>
        </is>
      </c>
      <c r="C69" s="4" t="inlineStr">
        <is>
          <t>Transdiagnostic symptom subtypes across autism spectrum disorders and attention deficit hyperactivity disorder: validated by measures of neurocognition and structural connectivity</t>
        </is>
      </c>
      <c r="D69" s="4" t="n">
        <v>0</v>
      </c>
      <c r="E69" s="4" t="n">
        <v>0</v>
      </c>
      <c r="F69" s="4" t="n">
        <v>0</v>
      </c>
      <c r="G69" s="4" t="n">
        <v>0</v>
      </c>
      <c r="H69" s="4" t="n">
        <v>0</v>
      </c>
      <c r="I69" s="4" t="n">
        <v>0</v>
      </c>
      <c r="J69" s="4" t="n">
        <v>1</v>
      </c>
      <c r="K69" s="4" t="inlineStr">
        <is>
          <t>Historical signals: title/abstract/notes; full-text completion not independently established</t>
        </is>
      </c>
      <c r="L69" s="4" t="inlineStr">
        <is>
          <t>Subtipado transdiagnóstico validado con neurocognición y conectividad estructural.</t>
        </is>
      </c>
      <c r="M69" s="4" t="inlineStr">
        <is>
          <t>https://doi.org/10.1186/s12888-022-03734-4</t>
        </is>
      </c>
      <c r="N69" s="4" t="n">
        <v>0</v>
      </c>
      <c r="O69" s="4" t="n">
        <v>1</v>
      </c>
      <c r="P69" s="4" t="n">
        <v>0</v>
      </c>
      <c r="Q69" s="12" t="n"/>
      <c r="R69" s="41" t="n"/>
      <c r="S69" s="4" t="inlineStr">
        <is>
          <t>0 = no reported evidence in material assessed; blank = not coded/unknown; neither proves absence</t>
        </is>
      </c>
      <c r="T69" s="4">
        <f>IF(COUNTIFS('ESTUDIOS'!$A$2:$A$455,$A69,'ESTUDIOS'!$I$2:$I$455,"")&gt;0,"",INDEX('ESTUDIOS'!$I$2:$I$455,MATCH($A69,'ESTUDIOS'!$A$2:$A$455,0)))</f>
        <v/>
      </c>
    </row>
    <row r="70" ht="86" customHeight="1">
      <c r="A70" s="4" t="inlineStr">
        <is>
          <t>73</t>
        </is>
      </c>
      <c r="B70" s="4" t="inlineStr">
        <is>
          <t>Historical</t>
        </is>
      </c>
      <c r="C70" s="4" t="inlineStr">
        <is>
          <t>A Convolutional Neural Network Combined With Prototype Learning Framework for Brain Functional Network Classification of Autism Spectrum Disorder</t>
        </is>
      </c>
      <c r="D70" s="4" t="n">
        <v>0</v>
      </c>
      <c r="E70" s="4" t="n">
        <v>0</v>
      </c>
      <c r="F70" s="4" t="n">
        <v>0</v>
      </c>
      <c r="G70" s="4" t="n">
        <v>0</v>
      </c>
      <c r="H70" s="4" t="n">
        <v>0</v>
      </c>
      <c r="I70" s="4" t="n">
        <v>0</v>
      </c>
      <c r="J70" s="4" t="n">
        <v>0</v>
      </c>
      <c r="K70" s="4" t="inlineStr">
        <is>
          <t>Historical signals: title/abstract/notes; full-text completion not independently established</t>
        </is>
      </c>
      <c r="L70" s="4" t="str"/>
      <c r="M70" s="4" t="inlineStr">
        <is>
          <t>https://doi.org/10.1109/tnsre.2021.3120024</t>
        </is>
      </c>
      <c r="N70" s="4" t="n">
        <v>0</v>
      </c>
      <c r="O70" s="4" t="n">
        <v>0</v>
      </c>
      <c r="P70" s="4" t="n">
        <v>0</v>
      </c>
      <c r="Q70" s="12" t="n"/>
      <c r="R70" s="41" t="n"/>
      <c r="S70" s="4" t="inlineStr">
        <is>
          <t>0 = no reported evidence in material assessed; blank = not coded/unknown; neither proves absence</t>
        </is>
      </c>
      <c r="T70" s="4">
        <f>IF(COUNTIFS('ESTUDIOS'!$A$2:$A$455,$A70,'ESTUDIOS'!$I$2:$I$455,"")&gt;0,"",INDEX('ESTUDIOS'!$I$2:$I$455,MATCH($A70,'ESTUDIOS'!$A$2:$A$455,0)))</f>
        <v/>
      </c>
    </row>
    <row r="71" ht="86" customHeight="1">
      <c r="A71" s="4" t="inlineStr">
        <is>
          <t>74</t>
        </is>
      </c>
      <c r="B71" s="4" t="inlineStr">
        <is>
          <t>Historical</t>
        </is>
      </c>
      <c r="C71" s="4" t="inlineStr">
        <is>
          <t>A heterogeneous graph convolutional attention network method for classification of autism spectrum disorder</t>
        </is>
      </c>
      <c r="D71" s="4" t="n">
        <v>0</v>
      </c>
      <c r="E71" s="4" t="n">
        <v>1</v>
      </c>
      <c r="F71" s="4" t="n">
        <v>0</v>
      </c>
      <c r="G71" s="4" t="n">
        <v>0</v>
      </c>
      <c r="H71" s="4" t="n">
        <v>0</v>
      </c>
      <c r="I71" s="4" t="n">
        <v>1</v>
      </c>
      <c r="J71" s="4" t="n">
        <v>1</v>
      </c>
      <c r="K71" s="4" t="inlineStr">
        <is>
          <t>Historical signals: title/abstract/notes; full-text completion not independently established</t>
        </is>
      </c>
      <c r="L71" s="4" t="inlineStr">
        <is>
          <t>Algoritmo principal no explícito o fuera del codebook; Confirmar algoritmo principal en full-text; Se comparan varios modelos; se eligió el principal/mejor reportado</t>
        </is>
      </c>
      <c r="M71" s="4" t="inlineStr">
        <is>
          <t>https://doi.org/10.1186/s12859-023-05495-7</t>
        </is>
      </c>
      <c r="N71" s="4" t="n">
        <v>1</v>
      </c>
      <c r="O71" s="4" t="n">
        <v>1</v>
      </c>
      <c r="P71" s="4" t="n">
        <v>1</v>
      </c>
      <c r="Q71" s="12" t="n"/>
      <c r="R71" s="41" t="n"/>
      <c r="S71" s="4" t="inlineStr">
        <is>
          <t>0 = no reported evidence in material assessed; blank = not coded/unknown; neither proves absence</t>
        </is>
      </c>
      <c r="T71" s="4">
        <f>IF(COUNTIFS('ESTUDIOS'!$A$2:$A$455,$A71,'ESTUDIOS'!$I$2:$I$455,"")&gt;0,"",INDEX('ESTUDIOS'!$I$2:$I$455,MATCH($A71,'ESTUDIOS'!$A$2:$A$455,0)))</f>
        <v/>
      </c>
    </row>
    <row r="72" ht="86" customHeight="1">
      <c r="A72" s="4" t="inlineStr">
        <is>
          <t>75</t>
        </is>
      </c>
      <c r="B72" s="4" t="inlineStr">
        <is>
          <t>Historical</t>
        </is>
      </c>
      <c r="C72" s="4" t="inlineStr">
        <is>
          <t>A monitoring system for patients of autism spectrum disorder using artificial intelligence</t>
        </is>
      </c>
      <c r="D72" s="4" t="n">
        <v>0</v>
      </c>
      <c r="E72" s="4" t="n">
        <v>0</v>
      </c>
      <c r="F72" s="4" t="n">
        <v>0</v>
      </c>
      <c r="G72" s="4" t="n">
        <v>0</v>
      </c>
      <c r="H72" s="4" t="n">
        <v>0</v>
      </c>
      <c r="I72" s="4" t="n">
        <v>0</v>
      </c>
      <c r="J72" s="4" t="n">
        <v>0</v>
      </c>
      <c r="K72" s="4" t="inlineStr">
        <is>
          <t>Historical signals: title/abstract/notes; full-text completion not independently established</t>
        </is>
      </c>
      <c r="L72" s="4" t="inlineStr">
        <is>
          <t>Sin señal explícita Q3 en título/abstract.</t>
        </is>
      </c>
      <c r="M72" s="4" t="inlineStr">
        <is>
          <t>https://doi.org/10.1007/978-3-030-59277-6_23</t>
        </is>
      </c>
      <c r="N72" s="4" t="n">
        <v>0</v>
      </c>
      <c r="O72" s="4" t="n">
        <v>0</v>
      </c>
      <c r="P72" s="4" t="n"/>
      <c r="Q72" s="12" t="n"/>
      <c r="R72" s="41" t="n"/>
      <c r="S72" s="4" t="inlineStr">
        <is>
          <t>0 = no reported evidence in material assessed; blank = not coded/unknown; neither proves absence</t>
        </is>
      </c>
      <c r="T72" s="4">
        <f>IF(COUNTIFS('ESTUDIOS'!$A$2:$A$455,$A72,'ESTUDIOS'!$I$2:$I$455,"")&gt;0,"",INDEX('ESTUDIOS'!$I$2:$I$455,MATCH($A72,'ESTUDIOS'!$A$2:$A$455,0)))</f>
        <v/>
      </c>
    </row>
    <row r="73" ht="86" customHeight="1">
      <c r="A73" s="4" t="inlineStr">
        <is>
          <t>77</t>
        </is>
      </c>
      <c r="B73" s="4" t="inlineStr">
        <is>
          <t>Historical</t>
        </is>
      </c>
      <c r="C73" s="4" t="inlineStr">
        <is>
          <t>Age-Specific Diagnostic Classification of ASD Using Deep Learning Approaches</t>
        </is>
      </c>
      <c r="D73" s="4" t="n">
        <v>0</v>
      </c>
      <c r="E73" s="4" t="n">
        <v>1</v>
      </c>
      <c r="F73" s="4" t="n">
        <v>0</v>
      </c>
      <c r="G73" s="4" t="n">
        <v>0</v>
      </c>
      <c r="H73" s="4" t="n">
        <v>0</v>
      </c>
      <c r="I73" s="4" t="n">
        <v>0</v>
      </c>
      <c r="J73" s="4" t="n">
        <v>0</v>
      </c>
      <c r="K73" s="4" t="inlineStr">
        <is>
          <t>Historical signals: title/abstract/notes; full-text completion not independently established</t>
        </is>
      </c>
      <c r="L73" s="4" t="str"/>
      <c r="M73" s="4" t="inlineStr">
        <is>
          <t>https://doi.org/10.3233/shti230794</t>
        </is>
      </c>
      <c r="N73" s="4" t="n">
        <v>0</v>
      </c>
      <c r="O73" s="4" t="n">
        <v>0</v>
      </c>
      <c r="P73" s="4" t="n">
        <v>0</v>
      </c>
      <c r="Q73" s="12" t="n"/>
      <c r="R73" s="41" t="n"/>
      <c r="S73" s="4" t="inlineStr">
        <is>
          <t>0 = no reported evidence in material assessed; blank = not coded/unknown; neither proves absence</t>
        </is>
      </c>
      <c r="T73" s="4">
        <f>IF(COUNTIFS('ESTUDIOS'!$A$2:$A$455,$A73,'ESTUDIOS'!$I$2:$I$455,"")&gt;0,"",INDEX('ESTUDIOS'!$I$2:$I$455,MATCH($A73,'ESTUDIOS'!$A$2:$A$455,0)))</f>
        <v/>
      </c>
    </row>
    <row r="74" ht="86" customHeight="1">
      <c r="A74" s="4" t="inlineStr">
        <is>
          <t>78</t>
        </is>
      </c>
      <c r="B74" s="4" t="inlineStr">
        <is>
          <t>Historical</t>
        </is>
      </c>
      <c r="C74" s="4" t="inlineStr">
        <is>
          <t>An Automatic Framework for Detecting Autism Spectrum Disorder From EEG Signals Using TFD</t>
        </is>
      </c>
      <c r="D74" s="4" t="n">
        <v>0</v>
      </c>
      <c r="E74" s="4" t="n">
        <v>0</v>
      </c>
      <c r="F74" s="4" t="n">
        <v>0</v>
      </c>
      <c r="G74" s="4" t="n">
        <v>0</v>
      </c>
      <c r="H74" s="4" t="n">
        <v>0</v>
      </c>
      <c r="I74" s="4" t="n">
        <v>0</v>
      </c>
      <c r="J74" s="4" t="n">
        <v>0</v>
      </c>
      <c r="K74" s="4" t="inlineStr">
        <is>
          <t>Historical signals: title/abstract/notes; full-text completion not independently established</t>
        </is>
      </c>
      <c r="L74" s="4" t="inlineStr">
        <is>
          <t>Se comparan varios modelos; se eligió el principal/mejor reportado</t>
        </is>
      </c>
      <c r="M74" s="4" t="inlineStr">
        <is>
          <t>https://doi.org/10.1109/jsen.2024.3362341</t>
        </is>
      </c>
      <c r="N74" s="4" t="n">
        <v>0</v>
      </c>
      <c r="O74" s="4" t="n">
        <v>0</v>
      </c>
      <c r="P74" s="4" t="n">
        <v>0</v>
      </c>
      <c r="Q74" s="12" t="n"/>
      <c r="R74" s="41" t="n"/>
      <c r="S74" s="4" t="inlineStr">
        <is>
          <t>0 = no reported evidence in material assessed; blank = not coded/unknown; neither proves absence</t>
        </is>
      </c>
      <c r="T74" s="4">
        <f>IF(COUNTIFS('ESTUDIOS'!$A$2:$A$455,$A74,'ESTUDIOS'!$I$2:$I$455,"")&gt;0,"",INDEX('ESTUDIOS'!$I$2:$I$455,MATCH($A74,'ESTUDIOS'!$A$2:$A$455,0)))</f>
        <v/>
      </c>
    </row>
    <row r="75" ht="86" customHeight="1">
      <c r="A75" s="4" t="inlineStr">
        <is>
          <t>79</t>
        </is>
      </c>
      <c r="B75" s="4" t="inlineStr">
        <is>
          <t>Historical</t>
        </is>
      </c>
      <c r="C75" s="4" t="inlineStr">
        <is>
          <t>Applying Machine Learning to Kinematic and Eye Movement Features of a Movement Imitation Task to Predict Autism Diagnosis</t>
        </is>
      </c>
      <c r="D75" s="4" t="n">
        <v>1</v>
      </c>
      <c r="E75" s="4" t="n">
        <v>0</v>
      </c>
      <c r="F75" s="4" t="n">
        <v>0</v>
      </c>
      <c r="G75" s="4" t="n">
        <v>0</v>
      </c>
      <c r="H75" s="4" t="n">
        <v>0</v>
      </c>
      <c r="I75" s="4" t="n">
        <v>1</v>
      </c>
      <c r="J75" s="4" t="n">
        <v>1</v>
      </c>
      <c r="K75" s="4" t="inlineStr">
        <is>
          <t>Historical signals: title/abstract/notes; full-text completion not independently established</t>
        </is>
      </c>
      <c r="L75" s="4" t="inlineStr">
        <is>
          <t>Clasifica ASD vs no-ASD con cinemática y eye-tracking en tarea de imitación.</t>
        </is>
      </c>
      <c r="M75" s="4" t="inlineStr">
        <is>
          <t>https://doi.org/10.1038/s41598-020-65384-4</t>
        </is>
      </c>
      <c r="N75" s="4" t="n">
        <v>1</v>
      </c>
      <c r="O75" s="4" t="n">
        <v>1</v>
      </c>
      <c r="P75" s="4" t="n">
        <v>1</v>
      </c>
      <c r="Q75" s="12" t="n"/>
      <c r="R75" s="41" t="n"/>
      <c r="S75" s="4" t="inlineStr">
        <is>
          <t>0 = no reported evidence in material assessed; blank = not coded/unknown; neither proves absence</t>
        </is>
      </c>
      <c r="T75" s="4">
        <f>IF(COUNTIFS('ESTUDIOS'!$A$2:$A$455,$A75,'ESTUDIOS'!$I$2:$I$455,"")&gt;0,"",INDEX('ESTUDIOS'!$I$2:$I$455,MATCH($A75,'ESTUDIOS'!$A$2:$A$455,0)))</f>
        <v/>
      </c>
    </row>
    <row r="76" ht="86" customHeight="1">
      <c r="A76" s="4" t="inlineStr">
        <is>
          <t>80</t>
        </is>
      </c>
      <c r="B76" s="4" t="inlineStr">
        <is>
          <t>Historical</t>
        </is>
      </c>
      <c r="C76" s="4" t="inlineStr">
        <is>
          <t>Artificial intelligence analysis of newborn leucocyte epigenomic markers for the prediction of autism</t>
        </is>
      </c>
      <c r="D76" s="4" t="n">
        <v>0</v>
      </c>
      <c r="E76" s="4" t="n">
        <v>0</v>
      </c>
      <c r="F76" s="4" t="n">
        <v>0</v>
      </c>
      <c r="G76" s="4" t="n">
        <v>0</v>
      </c>
      <c r="H76" s="4" t="n">
        <v>0</v>
      </c>
      <c r="I76" s="4" t="n">
        <v>0</v>
      </c>
      <c r="J76" s="4" t="n">
        <v>0</v>
      </c>
      <c r="K76" s="4" t="inlineStr">
        <is>
          <t>Historical signals: title/abstract/notes; full-text completion not independently established</t>
        </is>
      </c>
      <c r="L76" s="4" t="inlineStr">
        <is>
          <t>Algoritmo principal no explícito o fuera del codebook; Confirmar algoritmo principal en full-text</t>
        </is>
      </c>
      <c r="M76" s="4" t="inlineStr">
        <is>
          <t>https://doi.org/10.1016/j.brainres.2019.146457</t>
        </is>
      </c>
      <c r="N76" s="4" t="n">
        <v>0</v>
      </c>
      <c r="O76" s="4" t="n">
        <v>0</v>
      </c>
      <c r="P76" s="4" t="n">
        <v>1</v>
      </c>
      <c r="Q76" s="12" t="n"/>
      <c r="R76" s="41" t="n"/>
      <c r="S76" s="4" t="inlineStr">
        <is>
          <t>0 = no reported evidence in material assessed; blank = not coded/unknown; neither proves absence</t>
        </is>
      </c>
      <c r="T76" s="4">
        <f>IF(COUNTIFS('ESTUDIOS'!$A$2:$A$455,$A76,'ESTUDIOS'!$I$2:$I$455,"")&gt;0,"",INDEX('ESTUDIOS'!$I$2:$I$455,MATCH($A76,'ESTUDIOS'!$A$2:$A$455,0)))</f>
        <v/>
      </c>
    </row>
    <row r="77" ht="86" customHeight="1">
      <c r="A77" s="4" t="inlineStr">
        <is>
          <t>81</t>
        </is>
      </c>
      <c r="B77" s="4" t="inlineStr">
        <is>
          <t>Historical</t>
        </is>
      </c>
      <c r="C77" s="4" t="inlineStr">
        <is>
          <t>Autism Detection in Children using Common Spatial Patterns of MEG Signals</t>
        </is>
      </c>
      <c r="D77" s="4" t="n">
        <v>0</v>
      </c>
      <c r="E77" s="4" t="n">
        <v>0</v>
      </c>
      <c r="F77" s="4" t="n">
        <v>0</v>
      </c>
      <c r="G77" s="4" t="n">
        <v>0</v>
      </c>
      <c r="H77" s="4" t="n">
        <v>0</v>
      </c>
      <c r="I77" s="4" t="n">
        <v>0</v>
      </c>
      <c r="J77" s="4" t="n">
        <v>0</v>
      </c>
      <c r="K77" s="4" t="inlineStr">
        <is>
          <t>Historical signals: title/abstract/notes; full-text completion not independently established</t>
        </is>
      </c>
      <c r="L77" s="4" t="inlineStr">
        <is>
          <t>Algoritmo principal no explícito o fuera del codebook; Confirmar algoritmo principal en full-text</t>
        </is>
      </c>
      <c r="M77" s="4" t="inlineStr">
        <is>
          <t>https://doi.org/10.1109/embc40787.2023.10340449</t>
        </is>
      </c>
      <c r="N77" s="4" t="n">
        <v>0</v>
      </c>
      <c r="O77" s="4" t="n">
        <v>0</v>
      </c>
      <c r="P77" s="4" t="n">
        <v>1</v>
      </c>
      <c r="Q77" s="12" t="n"/>
      <c r="R77" s="41" t="n"/>
      <c r="S77" s="4" t="inlineStr">
        <is>
          <t>0 = no reported evidence in material assessed; blank = not coded/unknown; neither proves absence</t>
        </is>
      </c>
      <c r="T77" s="4">
        <f>IF(COUNTIFS('ESTUDIOS'!$A$2:$A$455,$A77,'ESTUDIOS'!$I$2:$I$455,"")&gt;0,"",INDEX('ESTUDIOS'!$I$2:$I$455,MATCH($A77,'ESTUDIOS'!$A$2:$A$455,0)))</f>
        <v/>
      </c>
    </row>
    <row r="78" ht="86" customHeight="1">
      <c r="A78" s="4" t="inlineStr">
        <is>
          <t>82</t>
        </is>
      </c>
      <c r="B78" s="4" t="inlineStr">
        <is>
          <t>Historical</t>
        </is>
      </c>
      <c r="C78" s="4" t="inlineStr">
        <is>
          <t>Autism Spectrum Disorder detection framework for children based on federated learning integrated CNN-LSTM</t>
        </is>
      </c>
      <c r="D78" s="4" t="n">
        <v>0</v>
      </c>
      <c r="E78" s="4" t="n">
        <v>0</v>
      </c>
      <c r="F78" s="4" t="n">
        <v>0</v>
      </c>
      <c r="G78" s="4" t="n">
        <v>0</v>
      </c>
      <c r="H78" s="4" t="n">
        <v>0</v>
      </c>
      <c r="I78" s="4" t="n">
        <v>0</v>
      </c>
      <c r="J78" s="4" t="n">
        <v>1</v>
      </c>
      <c r="K78" s="4" t="inlineStr">
        <is>
          <t>Historical signals: title/abstract/notes; full-text completion not independently established</t>
        </is>
      </c>
      <c r="L78" s="4" t="inlineStr">
        <is>
          <t>Marco federado CNN-LSTM con datasets multimodales de cribado; arquitectura híbrida fuera del codebook.</t>
        </is>
      </c>
      <c r="M78" s="4" t="inlineStr">
        <is>
          <t>https://doi.org/10.1016/j.compbiomed.2023.107539</t>
        </is>
      </c>
      <c r="N78" s="4" t="n">
        <v>0</v>
      </c>
      <c r="O78" s="4" t="n">
        <v>1</v>
      </c>
      <c r="P78" s="4" t="n">
        <v>0</v>
      </c>
      <c r="Q78" s="12" t="n"/>
      <c r="R78" s="41" t="n"/>
      <c r="S78" s="4" t="inlineStr">
        <is>
          <t>0 = no reported evidence in material assessed; blank = not coded/unknown; neither proves absence</t>
        </is>
      </c>
      <c r="T78" s="4">
        <f>IF(COUNTIFS('ESTUDIOS'!$A$2:$A$455,$A78,'ESTUDIOS'!$I$2:$I$455,"")&gt;0,"",INDEX('ESTUDIOS'!$I$2:$I$455,MATCH($A78,'ESTUDIOS'!$A$2:$A$455,0)))</f>
        <v/>
      </c>
    </row>
    <row r="79" ht="86" customHeight="1">
      <c r="A79" s="4" t="inlineStr">
        <is>
          <t>83</t>
        </is>
      </c>
      <c r="B79" s="4" t="inlineStr">
        <is>
          <t>Historical</t>
        </is>
      </c>
      <c r="C79" s="4" t="inlineStr">
        <is>
          <t>Converging Representations of Attention-Deficit/Hyperactivity Disorder and Autism on Social Media: Linguistic and Topic Analysis of Trends in Reddit Data</t>
        </is>
      </c>
      <c r="D79" s="4" t="n">
        <v>0</v>
      </c>
      <c r="E79" s="4" t="n">
        <v>0</v>
      </c>
      <c r="F79" s="4" t="n">
        <v>0</v>
      </c>
      <c r="G79" s="4" t="n">
        <v>0</v>
      </c>
      <c r="H79" s="4" t="n">
        <v>0</v>
      </c>
      <c r="I79" s="4" t="n">
        <v>0</v>
      </c>
      <c r="J79" s="4" t="n">
        <v>0</v>
      </c>
      <c r="K79" s="4" t="inlineStr">
        <is>
          <t>Historical signals: title/abstract/notes; full-text completion not independently established</t>
        </is>
      </c>
      <c r="L79" s="4" t="str"/>
      <c r="M79" s="4" t="inlineStr">
        <is>
          <t>https://doi.org/10.2196/70914</t>
        </is>
      </c>
      <c r="N79" s="4" t="n">
        <v>0</v>
      </c>
      <c r="O79" s="4" t="n">
        <v>0</v>
      </c>
      <c r="P79" s="4" t="n">
        <v>0</v>
      </c>
      <c r="Q79" s="12" t="n"/>
      <c r="R79" s="41" t="n"/>
      <c r="S79" s="4" t="inlineStr">
        <is>
          <t>0 = no reported evidence in material assessed; blank = not coded/unknown; neither proves absence</t>
        </is>
      </c>
      <c r="T79" s="4">
        <f>IF(COUNTIFS('ESTUDIOS'!$A$2:$A$455,$A79,'ESTUDIOS'!$I$2:$I$455,"")&gt;0,"",INDEX('ESTUDIOS'!$I$2:$I$455,MATCH($A79,'ESTUDIOS'!$A$2:$A$455,0)))</f>
        <v/>
      </c>
    </row>
    <row r="80" ht="86" customHeight="1">
      <c r="A80" s="4" t="inlineStr">
        <is>
          <t>84</t>
        </is>
      </c>
      <c r="B80" s="4" t="inlineStr">
        <is>
          <t>Historical</t>
        </is>
      </c>
      <c r="C80" s="4" t="inlineStr">
        <is>
          <t>Creating a diagnostic assessment model for autism spectrum disorder by differentiating lexicogrammatical choices through machine learning</t>
        </is>
      </c>
      <c r="D80" s="4" t="n">
        <v>0</v>
      </c>
      <c r="E80" s="4" t="n">
        <v>0</v>
      </c>
      <c r="F80" s="4" t="n">
        <v>0</v>
      </c>
      <c r="G80" s="4" t="n">
        <v>0</v>
      </c>
      <c r="H80" s="4" t="n">
        <v>0</v>
      </c>
      <c r="I80" s="4" t="n">
        <v>1</v>
      </c>
      <c r="J80" s="4" t="n">
        <v>0</v>
      </c>
      <c r="K80" s="4" t="inlineStr">
        <is>
          <t>Historical signals: title/abstract/notes; full-text completion not independently established</t>
        </is>
      </c>
      <c r="L80" s="4" t="inlineStr">
        <is>
          <t>comparan modelo lineal vs DNN; el modelo lineal es logistic regression (baseline interpretable).</t>
        </is>
      </c>
      <c r="M80" s="4" t="inlineStr">
        <is>
          <t>https://doi.org/10.1371/journal.pone.0311209</t>
        </is>
      </c>
      <c r="N80" s="4" t="n">
        <v>1</v>
      </c>
      <c r="O80" s="4" t="n">
        <v>0</v>
      </c>
      <c r="P80" s="4" t="n">
        <v>0</v>
      </c>
      <c r="Q80" s="12" t="n"/>
      <c r="R80" s="41" t="n"/>
      <c r="S80" s="4" t="inlineStr">
        <is>
          <t>0 = no reported evidence in material assessed; blank = not coded/unknown; neither proves absence</t>
        </is>
      </c>
      <c r="T80" s="4">
        <f>IF(COUNTIFS('ESTUDIOS'!$A$2:$A$455,$A80,'ESTUDIOS'!$I$2:$I$455,"")&gt;0,"",INDEX('ESTUDIOS'!$I$2:$I$455,MATCH($A80,'ESTUDIOS'!$A$2:$A$455,0)))</f>
        <v/>
      </c>
    </row>
    <row r="81" ht="86" customHeight="1">
      <c r="A81" s="4" t="inlineStr">
        <is>
          <t>85</t>
        </is>
      </c>
      <c r="B81" s="4" t="inlineStr">
        <is>
          <t>Historical</t>
        </is>
      </c>
      <c r="C81" s="4" t="inlineStr">
        <is>
          <t>Diagnosing autism spectrum disorder in children using conventional MRI and apparent diffusion coefficient based deep learning algorithms</t>
        </is>
      </c>
      <c r="D81" s="4" t="n">
        <v>1</v>
      </c>
      <c r="E81" s="4" t="n">
        <v>0</v>
      </c>
      <c r="F81" s="4" t="n">
        <v>0</v>
      </c>
      <c r="G81" s="4" t="n">
        <v>0</v>
      </c>
      <c r="H81" s="4" t="n">
        <v>0</v>
      </c>
      <c r="I81" s="4" t="n">
        <v>0</v>
      </c>
      <c r="J81" s="4" t="n">
        <v>0</v>
      </c>
      <c r="K81" s="4" t="inlineStr">
        <is>
          <t>Historical signals: title/abstract/notes; full-text completion not independently established</t>
        </is>
      </c>
      <c r="L81" s="4" t="inlineStr">
        <is>
          <t>Algoritmo principal no explícito o fuera del codebook; Confirmar algoritmo principal en full-text; Se comparan varios modelos; se eligió el principal/mejor reportado</t>
        </is>
      </c>
      <c r="M81" s="4" t="inlineStr">
        <is>
          <t>https://doi.org/10.1007/s00330-021-08239-4</t>
        </is>
      </c>
      <c r="N81" s="4" t="n">
        <v>0</v>
      </c>
      <c r="O81" s="4" t="n">
        <v>0</v>
      </c>
      <c r="P81" s="4" t="n">
        <v>1</v>
      </c>
      <c r="Q81" s="12" t="n"/>
      <c r="R81" s="41" t="n"/>
      <c r="S81" s="4" t="inlineStr">
        <is>
          <t>0 = no reported evidence in material assessed; blank = not coded/unknown; neither proves absence</t>
        </is>
      </c>
      <c r="T81" s="4">
        <f>IF(COUNTIFS('ESTUDIOS'!$A$2:$A$455,$A81,'ESTUDIOS'!$I$2:$I$455,"")&gt;0,"",INDEX('ESTUDIOS'!$I$2:$I$455,MATCH($A81,'ESTUDIOS'!$A$2:$A$455,0)))</f>
        <v/>
      </c>
    </row>
    <row r="82" ht="86" customHeight="1">
      <c r="A82" s="4" t="inlineStr">
        <is>
          <t>86</t>
        </is>
      </c>
      <c r="B82" s="4" t="inlineStr">
        <is>
          <t>Historical</t>
        </is>
      </c>
      <c r="C82" s="4" t="inlineStr">
        <is>
          <t>Dissecting the heterogeneity of autism spectrum disorder with sensory behavior, brain, and epigenetic factors</t>
        </is>
      </c>
      <c r="D82" s="4" t="n">
        <v>0</v>
      </c>
      <c r="E82" s="4" t="n">
        <v>0</v>
      </c>
      <c r="F82" s="4" t="n">
        <v>0</v>
      </c>
      <c r="G82" s="4" t="n">
        <v>0</v>
      </c>
      <c r="H82" s="4" t="n">
        <v>0</v>
      </c>
      <c r="I82" s="4" t="n">
        <v>0</v>
      </c>
      <c r="J82" s="4" t="n">
        <v>0</v>
      </c>
      <c r="K82" s="4" t="inlineStr">
        <is>
          <t>Historical signals: title/abstract/notes; full-text completion not independently established</t>
        </is>
      </c>
      <c r="L82" s="4" t="inlineStr">
        <is>
          <t>Clasificación ASD vs control integrando AASP (sensory behavior) + neuroimagen + metilación (OXTR/AVPR). Evaluaron varios algoritmos; el modelo final reportado usa XGBoost (otros probados: RF/SVM/LR).</t>
        </is>
      </c>
      <c r="M82" s="4" t="inlineStr">
        <is>
          <t>https://doi.org/10.1038/s41398-025-03566-2</t>
        </is>
      </c>
      <c r="N82" s="4" t="n">
        <v>0</v>
      </c>
      <c r="O82" s="4" t="n">
        <v>0</v>
      </c>
      <c r="P82" s="4" t="n">
        <v>1</v>
      </c>
      <c r="Q82" s="12" t="n"/>
      <c r="R82" s="41" t="n"/>
      <c r="S82" s="4" t="inlineStr">
        <is>
          <t>0 = no reported evidence in material assessed; blank = not coded/unknown; neither proves absence</t>
        </is>
      </c>
      <c r="T82" s="4">
        <f>IF(COUNTIFS('ESTUDIOS'!$A$2:$A$455,$A82,'ESTUDIOS'!$I$2:$I$455,"")&gt;0,"",INDEX('ESTUDIOS'!$I$2:$I$455,MATCH($A82,'ESTUDIOS'!$A$2:$A$455,0)))</f>
        <v/>
      </c>
    </row>
    <row r="83" ht="86" customHeight="1">
      <c r="A83" s="4" t="inlineStr">
        <is>
          <t>88</t>
        </is>
      </c>
      <c r="B83" s="4" t="inlineStr">
        <is>
          <t>Historical</t>
        </is>
      </c>
      <c r="C83" s="4" t="inlineStr">
        <is>
          <t>Facial Emotions Are Accurately Encoded in the Neural Signal of Those With Autism Spectrum Disorder: A Deep Learning Approach</t>
        </is>
      </c>
      <c r="D83" s="4" t="n">
        <v>1</v>
      </c>
      <c r="E83" s="4" t="n">
        <v>0</v>
      </c>
      <c r="F83" s="4" t="n">
        <v>0</v>
      </c>
      <c r="G83" s="4" t="n">
        <v>0</v>
      </c>
      <c r="H83" s="4" t="n">
        <v>0</v>
      </c>
      <c r="I83" s="4" t="n">
        <v>1</v>
      </c>
      <c r="J83" s="4" t="n">
        <v>0</v>
      </c>
      <c r="K83" s="4" t="inlineStr">
        <is>
          <t>Historical signals: title/abstract/notes; full-text completion not independently established</t>
        </is>
      </c>
      <c r="L83" s="4" t="str"/>
      <c r="M83" s="4" t="inlineStr">
        <is>
          <t>https://doi.org/10.1016/j.bpsc.2021.03.015</t>
        </is>
      </c>
      <c r="N83" s="4" t="n">
        <v>1</v>
      </c>
      <c r="O83" s="4" t="n">
        <v>0</v>
      </c>
      <c r="P83" s="4" t="n">
        <v>0</v>
      </c>
      <c r="Q83" s="12" t="n"/>
      <c r="R83" s="41" t="n"/>
      <c r="S83" s="4" t="inlineStr">
        <is>
          <t>0 = no reported evidence in material assessed; blank = not coded/unknown; neither proves absence</t>
        </is>
      </c>
      <c r="T83" s="4">
        <f>IF(COUNTIFS('ESTUDIOS'!$A$2:$A$455,$A83,'ESTUDIOS'!$I$2:$I$455,"")&gt;0,"",INDEX('ESTUDIOS'!$I$2:$I$455,MATCH($A83,'ESTUDIOS'!$A$2:$A$455,0)))</f>
        <v/>
      </c>
    </row>
    <row r="84" ht="86" customHeight="1">
      <c r="A84" s="4" t="inlineStr">
        <is>
          <t>89</t>
        </is>
      </c>
      <c r="B84" s="4" t="inlineStr">
        <is>
          <t>Historical</t>
        </is>
      </c>
      <c r="C84" s="4" t="inlineStr">
        <is>
          <t>Feasibility Testing of a Wearable Behavioral Aid for Social Learning in Children with Autism</t>
        </is>
      </c>
      <c r="D84" s="4" t="n">
        <v>0</v>
      </c>
      <c r="E84" s="4" t="n">
        <v>0</v>
      </c>
      <c r="F84" s="4" t="n">
        <v>0</v>
      </c>
      <c r="G84" s="4" t="n">
        <v>0</v>
      </c>
      <c r="H84" s="4" t="n">
        <v>0</v>
      </c>
      <c r="I84" s="4" t="n">
        <v>0</v>
      </c>
      <c r="J84" s="4" t="n">
        <v>0</v>
      </c>
      <c r="K84" s="4" t="inlineStr">
        <is>
          <t>Historical signals: title/abstract/notes; full-text completion not independently established</t>
        </is>
      </c>
      <c r="L84" s="4" t="inlineStr">
        <is>
          <t>Clasificación ASD vs NC usando matrices de confusión de reconocimiento de emociones; el sistema (Google Glass) da ‘emotion labeling’, pero el clasificador principal para inferir ASD/NC es logistic regression</t>
        </is>
      </c>
      <c r="M84" s="4" t="inlineStr">
        <is>
          <t>https://doi.org/10.1055/s-0038-1626727</t>
        </is>
      </c>
      <c r="N84" s="4" t="n">
        <v>0</v>
      </c>
      <c r="O84" s="4" t="n">
        <v>0</v>
      </c>
      <c r="P84" s="4" t="n">
        <v>1</v>
      </c>
      <c r="Q84" s="12" t="n"/>
      <c r="R84" s="41" t="n"/>
      <c r="S84" s="4" t="inlineStr">
        <is>
          <t>0 = no reported evidence in material assessed; blank = not coded/unknown; neither proves absence</t>
        </is>
      </c>
      <c r="T84" s="4">
        <f>IF(COUNTIFS('ESTUDIOS'!$A$2:$A$455,$A84,'ESTUDIOS'!$I$2:$I$455,"")&gt;0,"",INDEX('ESTUDIOS'!$I$2:$I$455,MATCH($A84,'ESTUDIOS'!$A$2:$A$455,0)))</f>
        <v/>
      </c>
    </row>
    <row r="85" ht="86" customHeight="1">
      <c r="A85" s="4" t="inlineStr">
        <is>
          <t>90</t>
        </is>
      </c>
      <c r="B85" s="4" t="inlineStr">
        <is>
          <t>Historical</t>
        </is>
      </c>
      <c r="C85" s="4" t="inlineStr">
        <is>
          <t>Handwriting-Based ADHD Detection for Children Having ASD Using Machine Learning Approaches</t>
        </is>
      </c>
      <c r="D85" s="4" t="n">
        <v>0</v>
      </c>
      <c r="E85" s="4" t="n">
        <v>0</v>
      </c>
      <c r="F85" s="4" t="n">
        <v>0</v>
      </c>
      <c r="G85" s="4" t="n">
        <v>0</v>
      </c>
      <c r="H85" s="4" t="n">
        <v>0</v>
      </c>
      <c r="I85" s="4" t="n">
        <v>1</v>
      </c>
      <c r="J85" s="4" t="n">
        <v>0</v>
      </c>
      <c r="K85" s="4" t="inlineStr">
        <is>
          <t>Historical signals: title/abstract/notes; full-text completion not independently established</t>
        </is>
      </c>
      <c r="L85" s="4" t="inlineStr">
        <is>
          <t>Target is ADHD with coexisting ASD vs healthy (not ASD diagnosis). RF best on periodic lines task.</t>
        </is>
      </c>
      <c r="M85" s="4" t="inlineStr">
        <is>
          <t>https://doi.org/10.1109/access.2023.3302903</t>
        </is>
      </c>
      <c r="N85" s="4" t="n">
        <v>1</v>
      </c>
      <c r="O85" s="4" t="n">
        <v>0</v>
      </c>
      <c r="P85" s="4" t="n">
        <v>1</v>
      </c>
      <c r="Q85" s="12" t="n"/>
      <c r="R85" s="41" t="n"/>
      <c r="S85" s="4" t="inlineStr">
        <is>
          <t>0 = no reported evidence in material assessed; blank = not coded/unknown; neither proves absence</t>
        </is>
      </c>
      <c r="T85" s="4">
        <f>IF(COUNTIFS('ESTUDIOS'!$A$2:$A$455,$A85,'ESTUDIOS'!$I$2:$I$455,"")&gt;0,"",INDEX('ESTUDIOS'!$I$2:$I$455,MATCH($A85,'ESTUDIOS'!$A$2:$A$455,0)))</f>
        <v/>
      </c>
    </row>
    <row r="86" ht="86" customHeight="1">
      <c r="A86" s="4" t="inlineStr">
        <is>
          <t>91</t>
        </is>
      </c>
      <c r="B86" s="4" t="inlineStr">
        <is>
          <t>Historical</t>
        </is>
      </c>
      <c r="C86" s="4" t="inlineStr">
        <is>
          <t>Integrating Graph Convolutional Networks (GCNNs) and Long Short-Term Memory (LSTM) for Efficient Diagnosis of Autism</t>
        </is>
      </c>
      <c r="D86" s="4" t="n">
        <v>0</v>
      </c>
      <c r="E86" s="4" t="n">
        <v>1</v>
      </c>
      <c r="F86" s="4" t="n">
        <v>0</v>
      </c>
      <c r="G86" s="4" t="n">
        <v>0</v>
      </c>
      <c r="H86" s="4" t="n">
        <v>0</v>
      </c>
      <c r="I86" s="4" t="n">
        <v>0</v>
      </c>
      <c r="J86" s="4" t="n">
        <v>0</v>
      </c>
      <c r="K86" s="4" t="inlineStr">
        <is>
          <t>Historical signals: title/abstract/notes; full-text completion not independently established</t>
        </is>
      </c>
      <c r="L86" s="4" t="inlineStr">
        <is>
          <t>Hybrid GCNN + LSTM on ABIDE fMRI; mapped to Other because GNN not in algorithm list.</t>
        </is>
      </c>
      <c r="M86" s="4" t="inlineStr">
        <is>
          <t>https://doi.org/10.1007/978-3-031-09342-5_11</t>
        </is>
      </c>
      <c r="N86" s="4" t="n">
        <v>0</v>
      </c>
      <c r="O86" s="4" t="n">
        <v>0</v>
      </c>
      <c r="P86" s="4" t="n">
        <v>0</v>
      </c>
      <c r="Q86" s="12" t="n"/>
      <c r="R86" s="41" t="n"/>
      <c r="S86" s="4" t="inlineStr">
        <is>
          <t>0 = no reported evidence in material assessed; blank = not coded/unknown; neither proves absence</t>
        </is>
      </c>
      <c r="T86" s="4">
        <f>IF(COUNTIFS('ESTUDIOS'!$A$2:$A$455,$A86,'ESTUDIOS'!$I$2:$I$455,"")&gt;0,"",INDEX('ESTUDIOS'!$I$2:$I$455,MATCH($A86,'ESTUDIOS'!$A$2:$A$455,0)))</f>
        <v/>
      </c>
    </row>
    <row r="87" ht="86" customHeight="1">
      <c r="A87" s="4" t="inlineStr">
        <is>
          <t>92</t>
        </is>
      </c>
      <c r="B87" s="4" t="inlineStr">
        <is>
          <t>Historical</t>
        </is>
      </c>
      <c r="C87" s="4" t="inlineStr">
        <is>
          <t>Learning discriminative functional connectivity networks for identifying Autism spectrum disorder</t>
        </is>
      </c>
      <c r="D87" s="4" t="n">
        <v>0</v>
      </c>
      <c r="E87" s="4" t="n">
        <v>1</v>
      </c>
      <c r="F87" s="4" t="n">
        <v>0</v>
      </c>
      <c r="G87" s="4" t="n">
        <v>0</v>
      </c>
      <c r="H87" s="4" t="n">
        <v>0</v>
      </c>
      <c r="I87" s="4" t="n">
        <v>0</v>
      </c>
      <c r="J87" s="4" t="n">
        <v>0</v>
      </c>
      <c r="K87" s="4" t="inlineStr">
        <is>
          <t>Historical signals: title/abstract/notes; full-text completion not independently established</t>
        </is>
      </c>
      <c r="L87" s="4" t="inlineStr">
        <is>
          <t>Algoritmo principal no explícito o fuera del codebook; Confirmar algoritmo principal en full-text</t>
        </is>
      </c>
      <c r="M87" s="4" t="inlineStr">
        <is>
          <t>https://doi.org/10.1016/j.bspc.2024.107466</t>
        </is>
      </c>
      <c r="N87" s="4" t="n">
        <v>0</v>
      </c>
      <c r="O87" s="4" t="n">
        <v>0</v>
      </c>
      <c r="P87" s="4" t="n">
        <v>1</v>
      </c>
      <c r="Q87" s="12" t="n"/>
      <c r="R87" s="41" t="n"/>
      <c r="S87" s="4" t="inlineStr">
        <is>
          <t>0 = no reported evidence in material assessed; blank = not coded/unknown; neither proves absence</t>
        </is>
      </c>
      <c r="T87" s="4">
        <f>IF(COUNTIFS('ESTUDIOS'!$A$2:$A$455,$A87,'ESTUDIOS'!$I$2:$I$455,"")&gt;0,"",INDEX('ESTUDIOS'!$I$2:$I$455,MATCH($A87,'ESTUDIOS'!$A$2:$A$455,0)))</f>
        <v/>
      </c>
    </row>
    <row r="88" ht="86" customHeight="1">
      <c r="A88" s="4" t="inlineStr">
        <is>
          <t>94</t>
        </is>
      </c>
      <c r="B88" s="4" t="inlineStr">
        <is>
          <t>Historical</t>
        </is>
      </c>
      <c r="C88" s="4" t="inlineStr">
        <is>
          <t>Optimizing a de novo artificial intelligence-based medical device under a predetermined change control plan: Improved ability to detect or rule out pediatric autism</t>
        </is>
      </c>
      <c r="D88" s="4" t="n">
        <v>0</v>
      </c>
      <c r="E88" s="4" t="n">
        <v>0</v>
      </c>
      <c r="F88" s="4" t="n">
        <v>0</v>
      </c>
      <c r="G88" s="4" t="n">
        <v>0</v>
      </c>
      <c r="H88" s="4" t="n">
        <v>0</v>
      </c>
      <c r="I88" s="4" t="n">
        <v>0</v>
      </c>
      <c r="J88" s="4" t="n">
        <v>0</v>
      </c>
      <c r="K88" s="4" t="inlineStr">
        <is>
          <t>Historical signals: title/abstract/notes; full-text completion not independently established</t>
        </is>
      </c>
      <c r="L88" s="4" t="inlineStr">
        <is>
          <t>Algoritmo principal no explícito o fuera del codebook; Confirmar algoritmo principal en full-text</t>
        </is>
      </c>
      <c r="M88" s="4" t="inlineStr">
        <is>
          <t>https://doi.org/10.1016/j.ibmed.2023.100102</t>
        </is>
      </c>
      <c r="N88" s="4" t="n">
        <v>0</v>
      </c>
      <c r="O88" s="4" t="n">
        <v>0</v>
      </c>
      <c r="P88" s="4" t="n">
        <v>1</v>
      </c>
      <c r="Q88" s="12" t="n"/>
      <c r="R88" s="41" t="n"/>
      <c r="S88" s="4" t="inlineStr">
        <is>
          <t>0 = no reported evidence in material assessed; blank = not coded/unknown; neither proves absence</t>
        </is>
      </c>
      <c r="T88" s="4">
        <f>IF(COUNTIFS('ESTUDIOS'!$A$2:$A$455,$A88,'ESTUDIOS'!$I$2:$I$455,"")&gt;0,"",INDEX('ESTUDIOS'!$I$2:$I$455,MATCH($A88,'ESTUDIOS'!$A$2:$A$455,0)))</f>
        <v/>
      </c>
    </row>
    <row r="89" ht="86" customHeight="1">
      <c r="A89" s="4" t="inlineStr">
        <is>
          <t>95</t>
        </is>
      </c>
      <c r="B89" s="4" t="inlineStr">
        <is>
          <t>Historical</t>
        </is>
      </c>
      <c r="C89" s="4" t="inlineStr">
        <is>
          <t>Physician Versus Large Language Model Chatbot Responses to Web-Based Questions From Autistic Patients in Chinese: Cross-Sectional Comparative Analysis</t>
        </is>
      </c>
      <c r="D89" s="4" t="n">
        <v>0</v>
      </c>
      <c r="E89" s="4" t="n">
        <v>0</v>
      </c>
      <c r="F89" s="4" t="n">
        <v>0</v>
      </c>
      <c r="G89" s="4" t="n">
        <v>0</v>
      </c>
      <c r="H89" s="4" t="n">
        <v>0</v>
      </c>
      <c r="I89" s="4" t="n">
        <v>0</v>
      </c>
      <c r="J89" s="4" t="n">
        <v>0</v>
      </c>
      <c r="K89" s="4" t="inlineStr">
        <is>
          <t>Historical signals: title/abstract/notes; full-text completion not independently established</t>
        </is>
      </c>
      <c r="L89" s="4" t="inlineStr">
        <is>
          <t>Compara respuestas de médicos vs LLMs a preguntas web; no mapea claramente a una etapa clínica RQ1.</t>
        </is>
      </c>
      <c r="M89" s="4" t="inlineStr">
        <is>
          <t>https://doi.org/10.2196/54706</t>
        </is>
      </c>
      <c r="N89" s="4" t="n">
        <v>0</v>
      </c>
      <c r="O89" s="4" t="n">
        <v>0</v>
      </c>
      <c r="P89" s="4" t="n">
        <v>1</v>
      </c>
      <c r="Q89" s="12" t="n"/>
      <c r="R89" s="41" t="n"/>
      <c r="S89" s="4" t="inlineStr">
        <is>
          <t>0 = no reported evidence in material assessed; blank = not coded/unknown; neither proves absence</t>
        </is>
      </c>
      <c r="T89" s="4">
        <f>IF(COUNTIFS('ESTUDIOS'!$A$2:$A$455,$A89,'ESTUDIOS'!$I$2:$I$455,"")&gt;0,"",INDEX('ESTUDIOS'!$I$2:$I$455,MATCH($A89,'ESTUDIOS'!$A$2:$A$455,0)))</f>
        <v/>
      </c>
    </row>
    <row r="90" ht="86" customHeight="1">
      <c r="A90" s="4" t="inlineStr">
        <is>
          <t>96</t>
        </is>
      </c>
      <c r="B90" s="4" t="inlineStr">
        <is>
          <t>Historical</t>
        </is>
      </c>
      <c r="C90" s="4" t="inlineStr">
        <is>
          <t>Polychlorinated biphenyls influence on autism spectrum disorder risk in the MARBLES cohort</t>
        </is>
      </c>
      <c r="D90" s="4" t="n">
        <v>0</v>
      </c>
      <c r="E90" s="4" t="n">
        <v>0</v>
      </c>
      <c r="F90" s="4" t="n">
        <v>0</v>
      </c>
      <c r="G90" s="4" t="n">
        <v>0</v>
      </c>
      <c r="H90" s="4" t="n">
        <v>0</v>
      </c>
      <c r="I90" s="4" t="n">
        <v>0</v>
      </c>
      <c r="J90" s="4" t="n">
        <v>1</v>
      </c>
      <c r="K90" s="4" t="inlineStr">
        <is>
          <t>Historical signals: title/abstract/notes; full-text completion not independently established</t>
        </is>
      </c>
      <c r="L90" s="4" t="inlineStr">
        <is>
          <t>Epidemiologic multinomial logistic regression (not ML/AI). Outcome categories ASD / Non-TD / TD at 3 years</t>
        </is>
      </c>
      <c r="M90" s="4" t="inlineStr">
        <is>
          <t>https://doi.org/10.1016/j.envres.2018.12.061</t>
        </is>
      </c>
      <c r="N90" s="4" t="n">
        <v>0</v>
      </c>
      <c r="O90" s="4" t="n">
        <v>1</v>
      </c>
      <c r="P90" s="4" t="n">
        <v>0</v>
      </c>
      <c r="Q90" s="12" t="n"/>
      <c r="R90" s="41" t="n"/>
      <c r="S90" s="4" t="inlineStr">
        <is>
          <t>0 = no reported evidence in material assessed; blank = not coded/unknown; neither proves absence</t>
        </is>
      </c>
      <c r="T90" s="4">
        <f>IF(COUNTIFS('ESTUDIOS'!$A$2:$A$455,$A90,'ESTUDIOS'!$I$2:$I$455,"")&gt;0,"",INDEX('ESTUDIOS'!$I$2:$I$455,MATCH($A90,'ESTUDIOS'!$A$2:$A$455,0)))</f>
        <v/>
      </c>
    </row>
    <row r="91" ht="86" customHeight="1">
      <c r="A91" s="4" t="inlineStr">
        <is>
          <t>97</t>
        </is>
      </c>
      <c r="B91" s="4" t="inlineStr">
        <is>
          <t>Historical</t>
        </is>
      </c>
      <c r="C91" s="4" t="inlineStr">
        <is>
          <t>Predicting Core Characteristics of ASD Through Facial Emotion Recognition and Eye Tracking in Youth.</t>
        </is>
      </c>
      <c r="D91" s="4" t="n">
        <v>0</v>
      </c>
      <c r="E91" s="4" t="n">
        <v>0</v>
      </c>
      <c r="F91" s="4" t="n">
        <v>0</v>
      </c>
      <c r="G91" s="4" t="n">
        <v>0</v>
      </c>
      <c r="H91" s="4" t="n">
        <v>0</v>
      </c>
      <c r="I91" s="4" t="n">
        <v>0</v>
      </c>
      <c r="J91" s="4" t="n">
        <v>1</v>
      </c>
      <c r="K91" s="4" t="inlineStr">
        <is>
          <t>Historical signals: title/abstract/notes; full-text completion not independently established</t>
        </is>
      </c>
      <c r="L91" s="4" t="inlineStr">
        <is>
          <t>aunque el paper comenta que el enfoque “may serve as a classifier for ASD diagnosis” y muestra ROC para clasificación, el pipeline principal reportado es regresión de puntajes; por eso conviene codificarlo como Regression</t>
        </is>
      </c>
      <c r="M91" s="4" t="inlineStr">
        <is>
          <t>https://doi.org/10.1109/embc44109.2020.9176843</t>
        </is>
      </c>
      <c r="N91" s="4" t="n">
        <v>0</v>
      </c>
      <c r="O91" s="4" t="n">
        <v>1</v>
      </c>
      <c r="P91" s="4" t="n">
        <v>0</v>
      </c>
      <c r="Q91" s="12" t="n"/>
      <c r="R91" s="41" t="n"/>
      <c r="S91" s="4" t="inlineStr">
        <is>
          <t>0 = no reported evidence in material assessed; blank = not coded/unknown; neither proves absence</t>
        </is>
      </c>
      <c r="T91" s="4">
        <f>IF(COUNTIFS('ESTUDIOS'!$A$2:$A$455,$A91,'ESTUDIOS'!$I$2:$I$455,"")&gt;0,"",INDEX('ESTUDIOS'!$I$2:$I$455,MATCH($A91,'ESTUDIOS'!$A$2:$A$455,0)))</f>
        <v/>
      </c>
    </row>
    <row r="92" ht="86" customHeight="1">
      <c r="A92" s="4" t="inlineStr">
        <is>
          <t>98</t>
        </is>
      </c>
      <c r="B92" s="4" t="inlineStr">
        <is>
          <t>Historical</t>
        </is>
      </c>
      <c r="C92" s="4" t="inlineStr">
        <is>
          <t>Self-supervised machine learning approach for autism detection in young children using MEG signals</t>
        </is>
      </c>
      <c r="D92" s="4" t="n">
        <v>0</v>
      </c>
      <c r="E92" s="4" t="n">
        <v>0</v>
      </c>
      <c r="F92" s="4" t="n">
        <v>0</v>
      </c>
      <c r="G92" s="4" t="n">
        <v>0</v>
      </c>
      <c r="H92" s="4" t="n">
        <v>0</v>
      </c>
      <c r="I92" s="4" t="n">
        <v>0</v>
      </c>
      <c r="J92" s="4" t="n">
        <v>0</v>
      </c>
      <c r="K92" s="4" t="inlineStr">
        <is>
          <t>Historical signals: title/abstract/notes; full-text completion not independently established</t>
        </is>
      </c>
      <c r="L92" s="4" t="inlineStr">
        <is>
          <t>SSL con wav2vec 2.0 para extraer embeddings MEG; clasificación final con ANN/SVM.</t>
        </is>
      </c>
      <c r="M92" s="4" t="inlineStr">
        <is>
          <t>https://doi.org/10.1016/j.bspc.2024.106671</t>
        </is>
      </c>
      <c r="N92" s="4" t="n">
        <v>0</v>
      </c>
      <c r="O92" s="4" t="n">
        <v>0</v>
      </c>
      <c r="P92" s="4" t="n">
        <v>1</v>
      </c>
      <c r="Q92" s="12" t="n"/>
      <c r="R92" s="41" t="n"/>
      <c r="S92" s="4" t="inlineStr">
        <is>
          <t>0 = no reported evidence in material assessed; blank = not coded/unknown; neither proves absence</t>
        </is>
      </c>
      <c r="T92" s="4">
        <f>IF(COUNTIFS('ESTUDIOS'!$A$2:$A$455,$A92,'ESTUDIOS'!$I$2:$I$455,"")&gt;0,"",INDEX('ESTUDIOS'!$I$2:$I$455,MATCH($A92,'ESTUDIOS'!$A$2:$A$455,0)))</f>
        <v/>
      </c>
    </row>
    <row r="93" ht="86" customHeight="1">
      <c r="A93" s="4" t="inlineStr">
        <is>
          <t>99</t>
        </is>
      </c>
      <c r="B93" s="4" t="inlineStr">
        <is>
          <t>Historical</t>
        </is>
      </c>
      <c r="C93" s="4" t="inlineStr">
        <is>
          <t>Serum Brain-derived neurotrophic factor levels in Chinese children with autism spectrum disorders: A pilot study</t>
        </is>
      </c>
      <c r="D93" s="4" t="n">
        <v>0</v>
      </c>
      <c r="E93" s="4" t="n">
        <v>0</v>
      </c>
      <c r="F93" s="4" t="n">
        <v>0</v>
      </c>
      <c r="G93" s="4" t="n">
        <v>0</v>
      </c>
      <c r="H93" s="4" t="n">
        <v>0</v>
      </c>
      <c r="I93" s="4" t="n">
        <v>0</v>
      </c>
      <c r="J93" s="4" t="n">
        <v>0</v>
      </c>
      <c r="K93" s="4" t="inlineStr">
        <is>
          <t>Historical signals: title/abstract/notes; full-text completion not independently established</t>
        </is>
      </c>
      <c r="L93" s="4" t="inlineStr">
        <is>
          <t>Estudio de biomarcador sérico (BDNF) con ROC; no se describe algoritmo de IA/ML principal.</t>
        </is>
      </c>
      <c r="M93" s="4" t="inlineStr">
        <is>
          <t>https://doi.org/10.1016/j.ijdevneu.2014.06.013</t>
        </is>
      </c>
      <c r="N93" s="4" t="n">
        <v>0</v>
      </c>
      <c r="O93" s="4" t="n">
        <v>0</v>
      </c>
      <c r="P93" s="4" t="n">
        <v>1</v>
      </c>
      <c r="Q93" s="12" t="n"/>
      <c r="R93" s="41" t="n"/>
      <c r="S93" s="4" t="inlineStr">
        <is>
          <t>0 = no reported evidence in material assessed; blank = not coded/unknown; neither proves absence</t>
        </is>
      </c>
      <c r="T93" s="4">
        <f>IF(COUNTIFS('ESTUDIOS'!$A$2:$A$455,$A93,'ESTUDIOS'!$I$2:$I$455,"")&gt;0,"",INDEX('ESTUDIOS'!$I$2:$I$455,MATCH($A93,'ESTUDIOS'!$A$2:$A$455,0)))</f>
        <v/>
      </c>
    </row>
    <row r="94" ht="86" customHeight="1">
      <c r="A94" s="4" t="inlineStr">
        <is>
          <t>100</t>
        </is>
      </c>
      <c r="B94" s="4" t="inlineStr">
        <is>
          <t>Historical</t>
        </is>
      </c>
      <c r="C94" s="4" t="inlineStr">
        <is>
          <t>Sex Differences in Functional Gradients and Dynamic Functional Connectivity in Preschool-Aged Children With ASD</t>
        </is>
      </c>
      <c r="D94" s="4" t="n">
        <v>0</v>
      </c>
      <c r="E94" s="4" t="n">
        <v>0</v>
      </c>
      <c r="F94" s="4" t="n">
        <v>0</v>
      </c>
      <c r="G94" s="4" t="n">
        <v>0</v>
      </c>
      <c r="H94" s="4" t="n">
        <v>0</v>
      </c>
      <c r="I94" s="4" t="n">
        <v>0</v>
      </c>
      <c r="J94" s="4" t="n">
        <v>0</v>
      </c>
      <c r="K94" s="4" t="inlineStr">
        <is>
          <t>Historical signals: title/abstract/notes; full-text completion not independently established</t>
        </is>
      </c>
      <c r="L94" s="4" t="inlineStr">
        <is>
          <t>Se aplican múltiples modelos ML a características de conectividad/gradientes; algoritmo principal no especificado.</t>
        </is>
      </c>
      <c r="M94" s="4" t="inlineStr">
        <is>
          <t>https://doi.org/10.1111/cns.70562</t>
        </is>
      </c>
      <c r="N94" s="4" t="n">
        <v>0</v>
      </c>
      <c r="O94" s="4" t="n">
        <v>0</v>
      </c>
      <c r="P94" s="4" t="n">
        <v>1</v>
      </c>
      <c r="Q94" s="12" t="n"/>
      <c r="R94" s="41" t="n"/>
      <c r="S94" s="4" t="inlineStr">
        <is>
          <t>0 = no reported evidence in material assessed; blank = not coded/unknown; neither proves absence</t>
        </is>
      </c>
      <c r="T94" s="4">
        <f>IF(COUNTIFS('ESTUDIOS'!$A$2:$A$455,$A94,'ESTUDIOS'!$I$2:$I$455,"")&gt;0,"",INDEX('ESTUDIOS'!$I$2:$I$455,MATCH($A94,'ESTUDIOS'!$A$2:$A$455,0)))</f>
        <v/>
      </c>
    </row>
    <row r="95" ht="86" customHeight="1">
      <c r="A95" s="4" t="inlineStr">
        <is>
          <t>102</t>
        </is>
      </c>
      <c r="B95" s="4" t="inlineStr">
        <is>
          <t>Historical</t>
        </is>
      </c>
      <c r="C95" s="4" t="inlineStr">
        <is>
          <t>Toward continuous social phenotyping: Analyzing gaze patterns in an emotion recognition task for children with autism through wearable smart glasses</t>
        </is>
      </c>
      <c r="D95" s="4" t="n">
        <v>0</v>
      </c>
      <c r="E95" s="4" t="n">
        <v>0</v>
      </c>
      <c r="F95" s="4" t="n">
        <v>0</v>
      </c>
      <c r="G95" s="4" t="n">
        <v>0</v>
      </c>
      <c r="H95" s="4" t="n">
        <v>0</v>
      </c>
      <c r="I95" s="4" t="n">
        <v>0</v>
      </c>
      <c r="J95" s="4" t="n">
        <v>1</v>
      </c>
      <c r="K95" s="4" t="inlineStr">
        <is>
          <t>Historical signals: title/abstract/notes; full-text completion not independently established</t>
        </is>
      </c>
      <c r="L95" s="4" t="inlineStr">
        <is>
          <t>Algoritmo principal no explícito o fuera del codebook; Confirmar algoritmo principal en full-text; Se comparan varios modelos; se eligió el principal/mejor reportado</t>
        </is>
      </c>
      <c r="M95" s="4" t="inlineStr">
        <is>
          <t>https://doi.org/10.2196/13810</t>
        </is>
      </c>
      <c r="N95" s="4" t="n">
        <v>0</v>
      </c>
      <c r="O95" s="4" t="n">
        <v>1</v>
      </c>
      <c r="P95" s="4" t="n">
        <v>1</v>
      </c>
      <c r="Q95" s="12" t="n"/>
      <c r="R95" s="41" t="n"/>
      <c r="S95" s="4" t="inlineStr">
        <is>
          <t>0 = no reported evidence in material assessed; blank = not coded/unknown; neither proves absence</t>
        </is>
      </c>
      <c r="T95" s="4">
        <f>IF(COUNTIFS('ESTUDIOS'!$A$2:$A$455,$A95,'ESTUDIOS'!$I$2:$I$455,"")&gt;0,"",INDEX('ESTUDIOS'!$I$2:$I$455,MATCH($A95,'ESTUDIOS'!$A$2:$A$455,0)))</f>
        <v/>
      </c>
    </row>
    <row r="96" ht="86" customHeight="1">
      <c r="A96" s="4" t="inlineStr">
        <is>
          <t>103</t>
        </is>
      </c>
      <c r="B96" s="4" t="inlineStr">
        <is>
          <t>Historical</t>
        </is>
      </c>
      <c r="C96" s="4" t="inlineStr">
        <is>
          <t>Using machine learning to identify patterns of lifetime health problems in decedents with autism spectrum disorder</t>
        </is>
      </c>
      <c r="D96" s="4" t="n">
        <v>0</v>
      </c>
      <c r="E96" s="4" t="n">
        <v>0</v>
      </c>
      <c r="F96" s="4" t="n">
        <v>0</v>
      </c>
      <c r="G96" s="4" t="n">
        <v>0</v>
      </c>
      <c r="H96" s="4" t="n">
        <v>0</v>
      </c>
      <c r="I96" s="4" t="n">
        <v>0</v>
      </c>
      <c r="J96" s="4" t="n">
        <v>1</v>
      </c>
      <c r="K96" s="4" t="inlineStr">
        <is>
          <t>Historical signals: title/abstract/notes; full-text completion not independently established</t>
        </is>
      </c>
      <c r="L96" s="4" t="inlineStr">
        <is>
          <t>la clasificación se hace a partir de códigos ICD-9/V/E de EHR en decedentes, para distinguir patrones de salud de por vida (no es biomarcador directo ni herramienta clínica prospectiva).</t>
        </is>
      </c>
      <c r="M96" s="4" t="inlineStr">
        <is>
          <t>https://doi.org/10.1002/aur.1960</t>
        </is>
      </c>
      <c r="N96" s="4" t="n">
        <v>0</v>
      </c>
      <c r="O96" s="4" t="n">
        <v>1</v>
      </c>
      <c r="P96" s="4" t="n">
        <v>0</v>
      </c>
      <c r="Q96" s="12" t="n"/>
      <c r="R96" s="41" t="n"/>
      <c r="S96" s="4" t="inlineStr">
        <is>
          <t>0 = no reported evidence in material assessed; blank = not coded/unknown; neither proves absence</t>
        </is>
      </c>
      <c r="T96" s="4">
        <f>IF(COUNTIFS('ESTUDIOS'!$A$2:$A$455,$A96,'ESTUDIOS'!$I$2:$I$455,"")&gt;0,"",INDEX('ESTUDIOS'!$I$2:$I$455,MATCH($A96,'ESTUDIOS'!$A$2:$A$455,0)))</f>
        <v/>
      </c>
    </row>
    <row r="97" ht="86" customHeight="1">
      <c r="A97" s="4" t="inlineStr">
        <is>
          <t>104</t>
        </is>
      </c>
      <c r="B97" s="4" t="inlineStr">
        <is>
          <t>Historical</t>
        </is>
      </c>
      <c r="C97" s="4" t="inlineStr">
        <is>
          <t>A Framework for Comparison and Interpretation of Machine Learning Classifiers to Predict Autism on the ABIDE Dataset</t>
        </is>
      </c>
      <c r="D97" s="4" t="n">
        <v>0</v>
      </c>
      <c r="E97" s="4" t="n">
        <v>1</v>
      </c>
      <c r="F97" s="4" t="n">
        <v>0</v>
      </c>
      <c r="G97" s="4" t="n">
        <v>0</v>
      </c>
      <c r="H97" s="4" t="n">
        <v>1</v>
      </c>
      <c r="I97" s="4" t="n">
        <v>0</v>
      </c>
      <c r="J97" s="4" t="n">
        <v>1</v>
      </c>
      <c r="K97" s="4" t="inlineStr">
        <is>
          <t>Historical signals: title/abstract/notes; full-text completion not independently established</t>
        </is>
      </c>
      <c r="L97" s="4" t="inlineStr">
        <is>
          <t>este paper es benchmark/comparación bajo un marco estandarizado; reporta que el mayor desempeño se obtiene con ensemble y resultados cercanos entre modelos (GCN/EV-GCN/FCN/AE-FCN/SVM)</t>
        </is>
      </c>
      <c r="M97" s="4" t="inlineStr">
        <is>
          <t>https://doi.org/10.1002/hbm.70190</t>
        </is>
      </c>
      <c r="N97" s="4" t="n">
        <v>1</v>
      </c>
      <c r="O97" s="4" t="n">
        <v>1</v>
      </c>
      <c r="P97" s="4" t="n">
        <v>0</v>
      </c>
      <c r="Q97" s="12" t="n"/>
      <c r="R97" s="41" t="n"/>
      <c r="S97" s="4" t="inlineStr">
        <is>
          <t>0 = no reported evidence in material assessed; blank = not coded/unknown; neither proves absence</t>
        </is>
      </c>
      <c r="T97" s="4">
        <f>IF(COUNTIFS('ESTUDIOS'!$A$2:$A$455,$A97,'ESTUDIOS'!$I$2:$I$455,"")&gt;0,"",INDEX('ESTUDIOS'!$I$2:$I$455,MATCH($A97,'ESTUDIOS'!$A$2:$A$455,0)))</f>
        <v/>
      </c>
    </row>
    <row r="98" ht="86" customHeight="1">
      <c r="A98" s="4" t="inlineStr">
        <is>
          <t>105</t>
        </is>
      </c>
      <c r="B98" s="4" t="inlineStr">
        <is>
          <t>Historical</t>
        </is>
      </c>
      <c r="C98" s="4" t="inlineStr">
        <is>
          <t>A Novel Deep Learning Approach for Recognizing Stereotypical Motor Movements within and across Subjects on the Autism Spectrum Disorder</t>
        </is>
      </c>
      <c r="D98" s="4" t="n">
        <v>0</v>
      </c>
      <c r="E98" s="4" t="n">
        <v>0</v>
      </c>
      <c r="F98" s="4" t="n">
        <v>0</v>
      </c>
      <c r="G98" s="4" t="n">
        <v>0</v>
      </c>
      <c r="H98" s="4" t="n">
        <v>0</v>
      </c>
      <c r="I98" s="4" t="n">
        <v>0</v>
      </c>
      <c r="J98" s="4" t="n">
        <v>0</v>
      </c>
      <c r="K98" s="4" t="inlineStr">
        <is>
          <t>Historical signals: title/abstract/notes; full-text completion not independently established</t>
        </is>
      </c>
      <c r="L98" s="4" t="inlineStr">
        <is>
          <t>para el escenario across-subjects combinan transfer learning + SVM classifier. Si tu Excel solo permite un algoritmo principal, deja CNN como principal y anota “SVM + transfer learning para across-subject”</t>
        </is>
      </c>
      <c r="M98" s="4" t="inlineStr">
        <is>
          <t>https://doi.org/10.1155/2018/7186762</t>
        </is>
      </c>
      <c r="N98" s="4" t="n">
        <v>0</v>
      </c>
      <c r="O98" s="4" t="n">
        <v>0</v>
      </c>
      <c r="P98" s="4" t="n">
        <v>1</v>
      </c>
      <c r="Q98" s="12" t="n"/>
      <c r="R98" s="41" t="n"/>
      <c r="S98" s="4" t="inlineStr">
        <is>
          <t>0 = no reported evidence in material assessed; blank = not coded/unknown; neither proves absence</t>
        </is>
      </c>
      <c r="T98" s="4">
        <f>IF(COUNTIFS('ESTUDIOS'!$A$2:$A$455,$A98,'ESTUDIOS'!$I$2:$I$455,"")&gt;0,"",INDEX('ESTUDIOS'!$I$2:$I$455,MATCH($A98,'ESTUDIOS'!$A$2:$A$455,0)))</f>
        <v/>
      </c>
    </row>
    <row r="99" ht="86" customHeight="1">
      <c r="A99" s="4" t="inlineStr">
        <is>
          <t>106</t>
        </is>
      </c>
      <c r="B99" s="4" t="inlineStr">
        <is>
          <t>Historical</t>
        </is>
      </c>
      <c r="C99" s="4" t="inlineStr">
        <is>
          <t>Analysis of variant interactions in families with autism points to genes involved in the development of the central nervous system</t>
        </is>
      </c>
      <c r="D99" s="4" t="n">
        <v>0</v>
      </c>
      <c r="E99" s="4" t="n">
        <v>0</v>
      </c>
      <c r="F99" s="4" t="n">
        <v>0</v>
      </c>
      <c r="G99" s="4" t="n">
        <v>0</v>
      </c>
      <c r="H99" s="4" t="n">
        <v>0</v>
      </c>
      <c r="I99" s="4" t="n">
        <v>0</v>
      </c>
      <c r="J99" s="4" t="n">
        <v>0</v>
      </c>
      <c r="K99" s="4" t="inlineStr">
        <is>
          <t>Historical signals: title/abstract/notes; full-text completion not independently established</t>
        </is>
      </c>
      <c r="L99" s="4" t="inlineStr">
        <is>
          <t>además del predictor supervisado, el paper también hace clustering de muestras para explorar heterogeneidad (menciona K-means y propone PAM/medoids por interpretabilidad en datos binarios)</t>
        </is>
      </c>
      <c r="M99" s="4" t="inlineStr">
        <is>
          <t>https://doi.org/10.1371/journal.pone.0326022</t>
        </is>
      </c>
      <c r="N99" s="4" t="n">
        <v>0</v>
      </c>
      <c r="O99" s="4" t="n">
        <v>0</v>
      </c>
      <c r="P99" s="4" t="n">
        <v>0</v>
      </c>
      <c r="Q99" s="12" t="n"/>
      <c r="R99" s="41" t="n"/>
      <c r="S99" s="4" t="inlineStr">
        <is>
          <t>0 = no reported evidence in material assessed; blank = not coded/unknown; neither proves absence</t>
        </is>
      </c>
      <c r="T99" s="4">
        <f>IF(COUNTIFS('ESTUDIOS'!$A$2:$A$455,$A99,'ESTUDIOS'!$I$2:$I$455,"")&gt;0,"",INDEX('ESTUDIOS'!$I$2:$I$455,MATCH($A99,'ESTUDIOS'!$A$2:$A$455,0)))</f>
        <v/>
      </c>
    </row>
    <row r="100" ht="86" customHeight="1">
      <c r="A100" s="4" t="inlineStr">
        <is>
          <t>107</t>
        </is>
      </c>
      <c r="B100" s="4" t="inlineStr">
        <is>
          <t>Historical</t>
        </is>
      </c>
      <c r="C100" s="4" t="inlineStr">
        <is>
          <t>Detecting High-Functioning Autism in Adults Using Eye Tracking and Machine Learning</t>
        </is>
      </c>
      <c r="D100" s="4" t="n">
        <v>0</v>
      </c>
      <c r="E100" s="4" t="n">
        <v>0</v>
      </c>
      <c r="F100" s="4" t="n">
        <v>0</v>
      </c>
      <c r="G100" s="4" t="n">
        <v>0</v>
      </c>
      <c r="H100" s="4" t="n">
        <v>0</v>
      </c>
      <c r="I100" s="4" t="n">
        <v>0</v>
      </c>
      <c r="J100" s="4" t="n">
        <v>1</v>
      </c>
      <c r="K100" s="4" t="inlineStr">
        <is>
          <t>Historical signals: title/abstract/notes; full-text completion not independently established</t>
        </is>
      </c>
      <c r="L100" s="4" t="str"/>
      <c r="M100" s="4" t="inlineStr">
        <is>
          <t>https://doi.org/10.1109/tnsre.2020.2991675</t>
        </is>
      </c>
      <c r="N100" s="4" t="n">
        <v>0</v>
      </c>
      <c r="O100" s="4" t="n">
        <v>1</v>
      </c>
      <c r="P100" s="4" t="n">
        <v>0</v>
      </c>
      <c r="Q100" s="12" t="n"/>
      <c r="R100" s="41" t="n"/>
      <c r="S100" s="4" t="inlineStr">
        <is>
          <t>0 = no reported evidence in material assessed; blank = not coded/unknown; neither proves absence</t>
        </is>
      </c>
      <c r="T100" s="4">
        <f>IF(COUNTIFS('ESTUDIOS'!$A$2:$A$455,$A100,'ESTUDIOS'!$I$2:$I$455,"")&gt;0,"",INDEX('ESTUDIOS'!$I$2:$I$455,MATCH($A100,'ESTUDIOS'!$A$2:$A$455,0)))</f>
        <v/>
      </c>
    </row>
    <row r="101" ht="86" customHeight="1">
      <c r="A101" s="4" t="inlineStr">
        <is>
          <t>108</t>
        </is>
      </c>
      <c r="B101" s="4" t="inlineStr">
        <is>
          <t>Historical</t>
        </is>
      </c>
      <c r="C101" s="4" t="inlineStr">
        <is>
          <t>Identification of neural connectivity signatures of autism using machine learning</t>
        </is>
      </c>
      <c r="D101" s="4" t="n">
        <v>0</v>
      </c>
      <c r="E101" s="4" t="n">
        <v>0</v>
      </c>
      <c r="F101" s="4" t="n">
        <v>0</v>
      </c>
      <c r="G101" s="4" t="n">
        <v>0</v>
      </c>
      <c r="H101" s="4" t="n">
        <v>0</v>
      </c>
      <c r="I101" s="4" t="n">
        <v>0</v>
      </c>
      <c r="J101" s="4" t="n">
        <v>0</v>
      </c>
      <c r="K101" s="4" t="inlineStr">
        <is>
          <t>Historical signals: title/abstract/notes; full-text completion not independently established</t>
        </is>
      </c>
      <c r="L101" s="4" t="inlineStr">
        <is>
          <t>Se comparan varios modelos; se eligió el principal/mejor reportado</t>
        </is>
      </c>
      <c r="M101" s="4" t="inlineStr">
        <is>
          <t>https://doi.org/10.3389/fnhum.2013.00670/full</t>
        </is>
      </c>
      <c r="N101" s="4" t="n">
        <v>0</v>
      </c>
      <c r="O101" s="4" t="n">
        <v>0</v>
      </c>
      <c r="P101" s="4" t="n">
        <v>0</v>
      </c>
      <c r="Q101" s="12" t="n"/>
      <c r="R101" s="41" t="n"/>
      <c r="S101" s="4" t="inlineStr">
        <is>
          <t>0 = no reported evidence in material assessed; blank = not coded/unknown; neither proves absence</t>
        </is>
      </c>
      <c r="T101" s="4">
        <f>IF(COUNTIFS('ESTUDIOS'!$A$2:$A$455,$A101,'ESTUDIOS'!$I$2:$I$455,"")&gt;0,"",INDEX('ESTUDIOS'!$I$2:$I$455,MATCH($A101,'ESTUDIOS'!$A$2:$A$455,0)))</f>
        <v/>
      </c>
    </row>
    <row r="102" ht="86" customHeight="1">
      <c r="A102" s="4" t="inlineStr">
        <is>
          <t>109</t>
        </is>
      </c>
      <c r="B102" s="4" t="inlineStr">
        <is>
          <t>Historical</t>
        </is>
      </c>
      <c r="C102" s="4" t="inlineStr">
        <is>
          <t>Identifying autism from neural representations of social interactions: Neurocognitive markers of autism</t>
        </is>
      </c>
      <c r="D102" s="4" t="n">
        <v>0</v>
      </c>
      <c r="E102" s="4" t="n">
        <v>0</v>
      </c>
      <c r="F102" s="4" t="n">
        <v>0</v>
      </c>
      <c r="G102" s="4" t="n">
        <v>0</v>
      </c>
      <c r="H102" s="4" t="n">
        <v>0</v>
      </c>
      <c r="I102" s="4" t="n">
        <v>0</v>
      </c>
      <c r="J102" s="4" t="n">
        <v>0</v>
      </c>
      <c r="K102" s="4" t="inlineStr">
        <is>
          <t>Historical signals: title/abstract/notes; full-text completion not independently established</t>
        </is>
      </c>
      <c r="L102" s="4" t="inlineStr">
        <is>
          <t>Algoritmo principal no explícito o fuera del codebook; Confirmar algoritmo principal en full-text</t>
        </is>
      </c>
      <c r="M102" s="4" t="inlineStr">
        <is>
          <t>https://doi.org/10.1371/journal.pone.0113879</t>
        </is>
      </c>
      <c r="N102" s="4" t="n">
        <v>0</v>
      </c>
      <c r="O102" s="4" t="n">
        <v>0</v>
      </c>
      <c r="P102" s="4" t="n">
        <v>1</v>
      </c>
      <c r="Q102" s="12" t="n"/>
      <c r="R102" s="41" t="n"/>
      <c r="S102" s="4" t="inlineStr">
        <is>
          <t>0 = no reported evidence in material assessed; blank = not coded/unknown; neither proves absence</t>
        </is>
      </c>
      <c r="T102" s="4">
        <f>IF(COUNTIFS('ESTUDIOS'!$A$2:$A$455,$A102,'ESTUDIOS'!$I$2:$I$455,"")&gt;0,"",INDEX('ESTUDIOS'!$I$2:$I$455,MATCH($A102,'ESTUDIOS'!$A$2:$A$455,0)))</f>
        <v/>
      </c>
    </row>
    <row r="103" ht="86" customHeight="1">
      <c r="A103" s="4" t="inlineStr">
        <is>
          <t>110</t>
        </is>
      </c>
      <c r="B103" s="4" t="inlineStr">
        <is>
          <t>Historical</t>
        </is>
      </c>
      <c r="C103" s="4" t="inlineStr">
        <is>
          <t>Identifying Language and Cognitive Profiles in Children With ASD via a Cluster Analysis Exploration: Implications for the New ICD-11</t>
        </is>
      </c>
      <c r="D103" s="4" t="n">
        <v>0</v>
      </c>
      <c r="E103" s="4" t="n">
        <v>0</v>
      </c>
      <c r="F103" s="4" t="n">
        <v>0</v>
      </c>
      <c r="G103" s="4" t="n">
        <v>0</v>
      </c>
      <c r="H103" s="4" t="n">
        <v>0</v>
      </c>
      <c r="I103" s="4" t="n">
        <v>0</v>
      </c>
      <c r="J103" s="4" t="n">
        <v>0</v>
      </c>
      <c r="K103" s="4" t="inlineStr">
        <is>
          <t>Historical signals: title/abstract/notes; full-text completion not independently established</t>
        </is>
      </c>
      <c r="L103" s="4" t="str"/>
      <c r="M103" s="4" t="inlineStr">
        <is>
          <t>https://doi.org/10.1002/aur.2268</t>
        </is>
      </c>
      <c r="N103" s="4" t="n">
        <v>0</v>
      </c>
      <c r="O103" s="4" t="n">
        <v>0</v>
      </c>
      <c r="P103" s="4" t="n">
        <v>1</v>
      </c>
      <c r="Q103" s="12" t="n"/>
      <c r="R103" s="41" t="n"/>
      <c r="S103" s="4" t="inlineStr">
        <is>
          <t>0 = no reported evidence in material assessed; blank = not coded/unknown; neither proves absence</t>
        </is>
      </c>
      <c r="T103" s="4">
        <f>IF(COUNTIFS('ESTUDIOS'!$A$2:$A$455,$A103,'ESTUDIOS'!$I$2:$I$455,"")&gt;0,"",INDEX('ESTUDIOS'!$I$2:$I$455,MATCH($A103,'ESTUDIOS'!$A$2:$A$455,0)))</f>
        <v/>
      </c>
    </row>
    <row r="104" ht="86" customHeight="1">
      <c r="A104" s="4" t="inlineStr">
        <is>
          <t>111</t>
        </is>
      </c>
      <c r="B104" s="4" t="inlineStr">
        <is>
          <t>Historical</t>
        </is>
      </c>
      <c r="C104" s="4" t="inlineStr">
        <is>
          <t>On the Utility of Parents' Historical Data to Investigate the Causes of Autism Spectrum Disorder: A Data Mining-Based Framework</t>
        </is>
      </c>
      <c r="D104" s="4" t="n">
        <v>0</v>
      </c>
      <c r="E104" s="4" t="n">
        <v>0</v>
      </c>
      <c r="F104" s="4" t="n">
        <v>0</v>
      </c>
      <c r="G104" s="4" t="n">
        <v>0</v>
      </c>
      <c r="H104" s="4" t="n">
        <v>0</v>
      </c>
      <c r="I104" s="4" t="n">
        <v>1</v>
      </c>
      <c r="J104" s="4" t="n">
        <v>0</v>
      </c>
      <c r="K104" s="4" t="inlineStr">
        <is>
          <t>Historical signals: title/abstract/notes; full-text completion not independently established</t>
        </is>
      </c>
      <c r="L104" s="4" t="inlineStr">
        <is>
          <t>Usa historia parental/perinatal estructurada para modelar riesgo/causas; mezcla clustering y predicción sin algoritmo principal claro.</t>
        </is>
      </c>
      <c r="M104" s="4" t="inlineStr">
        <is>
          <t>https://doi.org/10.1016/j.irbm.2023.100780</t>
        </is>
      </c>
      <c r="N104" s="4" t="n">
        <v>1</v>
      </c>
      <c r="O104" s="4" t="n">
        <v>0</v>
      </c>
      <c r="P104" s="4" t="n">
        <v>1</v>
      </c>
      <c r="Q104" s="12" t="n"/>
      <c r="R104" s="41" t="n"/>
      <c r="S104" s="4" t="inlineStr">
        <is>
          <t>0 = no reported evidence in material assessed; blank = not coded/unknown; neither proves absence</t>
        </is>
      </c>
      <c r="T104" s="4">
        <f>IF(COUNTIFS('ESTUDIOS'!$A$2:$A$455,$A104,'ESTUDIOS'!$I$2:$I$455,"")&gt;0,"",INDEX('ESTUDIOS'!$I$2:$I$455,MATCH($A104,'ESTUDIOS'!$A$2:$A$455,0)))</f>
        <v/>
      </c>
    </row>
    <row r="105" ht="86" customHeight="1">
      <c r="A105" s="4" t="inlineStr">
        <is>
          <t>112</t>
        </is>
      </c>
      <c r="B105" s="4" t="inlineStr">
        <is>
          <t>Historical</t>
        </is>
      </c>
      <c r="C105" s="4" t="inlineStr">
        <is>
          <t>Structural variants identified using non-Mendelian inheritance patterns advance the mechanistic understanding of autism spectrum disorder</t>
        </is>
      </c>
      <c r="D105" s="4" t="n">
        <v>0</v>
      </c>
      <c r="E105" s="4" t="n">
        <v>0</v>
      </c>
      <c r="F105" s="4" t="n">
        <v>0</v>
      </c>
      <c r="G105" s="4" t="n">
        <v>0</v>
      </c>
      <c r="H105" s="4" t="n">
        <v>1</v>
      </c>
      <c r="I105" s="4" t="n">
        <v>0</v>
      </c>
      <c r="J105" s="4" t="n">
        <v>0</v>
      </c>
      <c r="K105" s="4" t="inlineStr">
        <is>
          <t>Historical signals: title/abstract/notes; full-text completion not independently established</t>
        </is>
      </c>
      <c r="L105" s="4" t="inlineStr">
        <is>
          <t>Estudio genómico/estructural sin sistema IA clínico claramente codificable en el abstract.</t>
        </is>
      </c>
      <c r="M105" s="4" t="inlineStr">
        <is>
          <t>https://doi.org/10.1016/j.xhgg.2022.100150</t>
        </is>
      </c>
      <c r="N105" s="4" t="n">
        <v>1</v>
      </c>
      <c r="O105" s="4" t="n">
        <v>0</v>
      </c>
      <c r="P105" s="4" t="n">
        <v>1</v>
      </c>
      <c r="Q105" s="12" t="n"/>
      <c r="R105" s="41" t="n"/>
      <c r="S105" s="4" t="inlineStr">
        <is>
          <t>0 = no reported evidence in material assessed; blank = not coded/unknown; neither proves absence</t>
        </is>
      </c>
      <c r="T105" s="4">
        <f>IF(COUNTIFS('ESTUDIOS'!$A$2:$A$455,$A105,'ESTUDIOS'!$I$2:$I$455,"")&gt;0,"",INDEX('ESTUDIOS'!$I$2:$I$455,MATCH($A105,'ESTUDIOS'!$A$2:$A$455,0)))</f>
        <v/>
      </c>
    </row>
    <row r="106" ht="86" customHeight="1">
      <c r="A106" s="4" t="inlineStr">
        <is>
          <t>113</t>
        </is>
      </c>
      <c r="B106" s="4" t="inlineStr">
        <is>
          <t>Historical</t>
        </is>
      </c>
      <c r="C106" s="4" t="inlineStr">
        <is>
          <t>Transient hearing abnormalities precede social deficits in a mouse model of autism</t>
        </is>
      </c>
      <c r="D106" s="4" t="n">
        <v>0</v>
      </c>
      <c r="E106" s="4" t="n">
        <v>0</v>
      </c>
      <c r="F106" s="4" t="n">
        <v>0</v>
      </c>
      <c r="G106" s="4" t="n">
        <v>0</v>
      </c>
      <c r="H106" s="4" t="n">
        <v>0</v>
      </c>
      <c r="I106" s="4" t="n">
        <v>0</v>
      </c>
      <c r="J106" s="4" t="n">
        <v>0</v>
      </c>
      <c r="K106" s="4" t="inlineStr">
        <is>
          <t>Historical signals: title/abstract/notes; full-text completion not independently established</t>
        </is>
      </c>
      <c r="L106" s="4" t="inlineStr">
        <is>
          <t>Animal model; ML predicts genotype from ABR features (not ASD-vs-control clinical classification). Used as early risk indicator</t>
        </is>
      </c>
      <c r="M106" s="4" t="inlineStr">
        <is>
          <t>https://doi.org/10.1016/j.bbr.2022.114149</t>
        </is>
      </c>
      <c r="N106" s="4" t="n">
        <v>0</v>
      </c>
      <c r="O106" s="4" t="n">
        <v>0</v>
      </c>
      <c r="P106" s="4" t="n">
        <v>0</v>
      </c>
      <c r="Q106" s="12" t="n"/>
      <c r="R106" s="41" t="n"/>
      <c r="S106" s="4" t="inlineStr">
        <is>
          <t>0 = no reported evidence in material assessed; blank = not coded/unknown; neither proves absence</t>
        </is>
      </c>
      <c r="T106" s="4">
        <f>IF(COUNTIFS('ESTUDIOS'!$A$2:$A$455,$A106,'ESTUDIOS'!$I$2:$I$455,"")&gt;0,"",INDEX('ESTUDIOS'!$I$2:$I$455,MATCH($A106,'ESTUDIOS'!$A$2:$A$455,0)))</f>
        <v/>
      </c>
    </row>
    <row r="107" ht="86" customHeight="1">
      <c r="A107" s="4" t="inlineStr">
        <is>
          <t>114</t>
        </is>
      </c>
      <c r="B107" s="4" t="inlineStr">
        <is>
          <t>Historical</t>
        </is>
      </c>
      <c r="C107" s="4" t="inlineStr">
        <is>
          <t>Early-stage identification of autism in children using gesture monitoring based on artificial intelligence</t>
        </is>
      </c>
      <c r="D107" s="4" t="n">
        <v>0</v>
      </c>
      <c r="E107" s="4" t="n">
        <v>0</v>
      </c>
      <c r="F107" s="4" t="n">
        <v>0</v>
      </c>
      <c r="G107" s="4" t="n">
        <v>0</v>
      </c>
      <c r="H107" s="4" t="n">
        <v>0</v>
      </c>
      <c r="I107" s="4" t="n">
        <v>0</v>
      </c>
      <c r="J107" s="4" t="n">
        <v>0</v>
      </c>
      <c r="K107" s="4" t="inlineStr">
        <is>
          <t>Historical signals: title/abstract/notes; full-text completion not independently established</t>
        </is>
      </c>
      <c r="L107" s="4" t="str"/>
      <c r="M107" s="4" t="inlineStr">
        <is>
          <t>https://doi.org/10.1016/b978-0-443-19073-5.00018-5</t>
        </is>
      </c>
      <c r="N107" s="4" t="n">
        <v>0</v>
      </c>
      <c r="O107" s="4" t="n">
        <v>0</v>
      </c>
      <c r="P107" s="4" t="n">
        <v>1</v>
      </c>
      <c r="Q107" s="12" t="n"/>
      <c r="R107" s="41" t="n"/>
      <c r="S107" s="4" t="inlineStr">
        <is>
          <t>0 = no reported evidence in material assessed; blank = not coded/unknown; neither proves absence</t>
        </is>
      </c>
      <c r="T107" s="4">
        <f>IF(COUNTIFS('ESTUDIOS'!$A$2:$A$455,$A107,'ESTUDIOS'!$I$2:$I$455,"")&gt;0,"",INDEX('ESTUDIOS'!$I$2:$I$455,MATCH($A107,'ESTUDIOS'!$A$2:$A$455,0)))</f>
        <v/>
      </c>
    </row>
    <row r="108" ht="86" customHeight="1">
      <c r="A108" s="4" t="inlineStr">
        <is>
          <t>115</t>
        </is>
      </c>
      <c r="B108" s="4" t="inlineStr">
        <is>
          <t>Historical</t>
        </is>
      </c>
      <c r="C108" s="4" t="inlineStr">
        <is>
          <t>Electromagnetic Interaction Algorithm (EIA)-Based Feature Selection With Adaptive Kernel Attention Network (AKAttNet) for Autism Spectrum Disorder Classification</t>
        </is>
      </c>
      <c r="D108" s="4" t="n">
        <v>0</v>
      </c>
      <c r="E108" s="4" t="n">
        <v>0</v>
      </c>
      <c r="F108" s="4" t="n">
        <v>0</v>
      </c>
      <c r="G108" s="4" t="n">
        <v>0</v>
      </c>
      <c r="H108" s="4" t="n">
        <v>0</v>
      </c>
      <c r="I108" s="4" t="n">
        <v>0</v>
      </c>
      <c r="J108" s="4" t="n">
        <v>0</v>
      </c>
      <c r="K108" s="4" t="inlineStr">
        <is>
          <t>Historical signals: title/abstract/notes; full-text completion not independently established</t>
        </is>
      </c>
      <c r="L108" s="4" t="inlineStr">
        <is>
          <t>Algoritmo principal no explícito o fuera del codebook; Confirmar algoritmo principal en full-text; Se comparan varios modelos; se eligió el principal/mejor reportado</t>
        </is>
      </c>
      <c r="M108" s="4" t="inlineStr">
        <is>
          <t>https://doi.org/10.1002/jdn.70034</t>
        </is>
      </c>
      <c r="N108" s="4" t="n">
        <v>0</v>
      </c>
      <c r="O108" s="4" t="n">
        <v>0</v>
      </c>
      <c r="P108" s="4" t="n">
        <v>1</v>
      </c>
      <c r="Q108" s="12" t="n"/>
      <c r="R108" s="41" t="n"/>
      <c r="S108" s="4" t="inlineStr">
        <is>
          <t>0 = no reported evidence in material assessed; blank = not coded/unknown; neither proves absence</t>
        </is>
      </c>
      <c r="T108" s="4">
        <f>IF(COUNTIFS('ESTUDIOS'!$A$2:$A$455,$A108,'ESTUDIOS'!$I$2:$I$455,"")&gt;0,"",INDEX('ESTUDIOS'!$I$2:$I$455,MATCH($A108,'ESTUDIOS'!$A$2:$A$455,0)))</f>
        <v/>
      </c>
    </row>
    <row r="109" ht="86" customHeight="1">
      <c r="A109" s="4" t="inlineStr">
        <is>
          <t>116</t>
        </is>
      </c>
      <c r="B109" s="4" t="inlineStr">
        <is>
          <t>Historical</t>
        </is>
      </c>
      <c r="C109" s="4" t="inlineStr">
        <is>
          <t>Use of machine learning for behavioral distinction of autism and ADHD</t>
        </is>
      </c>
      <c r="D109" s="4" t="n">
        <v>0</v>
      </c>
      <c r="E109" s="4" t="n">
        <v>0</v>
      </c>
      <c r="F109" s="4" t="n">
        <v>0</v>
      </c>
      <c r="G109" s="4" t="n">
        <v>0</v>
      </c>
      <c r="H109" s="4" t="n">
        <v>0</v>
      </c>
      <c r="I109" s="4" t="n">
        <v>0</v>
      </c>
      <c r="J109" s="4" t="n">
        <v>0</v>
      </c>
      <c r="K109" s="4" t="inlineStr">
        <is>
          <t>Historical signals: title/abstract/notes; full-text completion not independently established</t>
        </is>
      </c>
      <c r="L109" s="4" t="inlineStr">
        <is>
          <t>Usa puntajes SRS para distinguir ASD vs ADHD; aunque es herramienta de cribado, el objetivo es distinción diagnóstica diferencial.</t>
        </is>
      </c>
      <c r="M109" s="4" t="inlineStr">
        <is>
          <t>https://doi.org/10.1038/tp.2015.221</t>
        </is>
      </c>
      <c r="N109" s="4" t="n">
        <v>0</v>
      </c>
      <c r="O109" s="4" t="n">
        <v>0</v>
      </c>
      <c r="P109" s="4" t="n">
        <v>1</v>
      </c>
      <c r="Q109" s="12" t="n"/>
      <c r="R109" s="41" t="n"/>
      <c r="S109" s="4" t="inlineStr">
        <is>
          <t>0 = no reported evidence in material assessed; blank = not coded/unknown; neither proves absence</t>
        </is>
      </c>
      <c r="T109" s="4">
        <f>IF(COUNTIFS('ESTUDIOS'!$A$2:$A$455,$A109,'ESTUDIOS'!$I$2:$I$455,"")&gt;0,"",INDEX('ESTUDIOS'!$I$2:$I$455,MATCH($A109,'ESTUDIOS'!$A$2:$A$455,0)))</f>
        <v/>
      </c>
    </row>
    <row r="110" ht="86" customHeight="1">
      <c r="A110" s="4" t="inlineStr">
        <is>
          <t>117</t>
        </is>
      </c>
      <c r="B110" s="4" t="inlineStr">
        <is>
          <t>Historical</t>
        </is>
      </c>
      <c r="C110" s="4" t="inlineStr">
        <is>
          <t>A Machine Learning Strategy for Autism Screening in Toddlers</t>
        </is>
      </c>
      <c r="D110" s="4" t="n">
        <v>0</v>
      </c>
      <c r="E110" s="4" t="n">
        <v>0</v>
      </c>
      <c r="F110" s="4" t="n">
        <v>0</v>
      </c>
      <c r="G110" s="4" t="n">
        <v>0</v>
      </c>
      <c r="H110" s="4" t="n">
        <v>0</v>
      </c>
      <c r="I110" s="4" t="n">
        <v>1</v>
      </c>
      <c r="J110" s="4" t="n">
        <v>0</v>
      </c>
      <c r="K110" s="4" t="inlineStr">
        <is>
          <t>Historical signals: title/abstract/notes; full-text completion not independently established</t>
        </is>
      </c>
      <c r="L110" s="4" t="inlineStr">
        <is>
          <t>Feedforward neural network aplicado a M-CHAT-R para cribado en toddlers.</t>
        </is>
      </c>
      <c r="M110" s="4" t="inlineStr">
        <is>
          <t>https://doi.org/10.1097/dbp.0000000000000668</t>
        </is>
      </c>
      <c r="N110" s="4" t="n">
        <v>1</v>
      </c>
      <c r="O110" s="4" t="n">
        <v>0</v>
      </c>
      <c r="P110" s="4" t="n">
        <v>0</v>
      </c>
      <c r="Q110" s="12" t="n"/>
      <c r="R110" s="41" t="n"/>
      <c r="S110" s="4" t="inlineStr">
        <is>
          <t>0 = no reported evidence in material assessed; blank = not coded/unknown; neither proves absence</t>
        </is>
      </c>
      <c r="T110" s="4">
        <f>IF(COUNTIFS('ESTUDIOS'!$A$2:$A$455,$A110,'ESTUDIOS'!$I$2:$I$455,"")&gt;0,"",INDEX('ESTUDIOS'!$I$2:$I$455,MATCH($A110,'ESTUDIOS'!$A$2:$A$455,0)))</f>
        <v/>
      </c>
    </row>
    <row r="111" ht="86" customHeight="1">
      <c r="A111" s="4" t="inlineStr">
        <is>
          <t>118</t>
        </is>
      </c>
      <c r="B111" s="4" t="inlineStr">
        <is>
          <t>Historical</t>
        </is>
      </c>
      <c r="C111" s="4" t="inlineStr">
        <is>
          <t>Early detection of autism using digital behavioral phenotyping</t>
        </is>
      </c>
      <c r="D111" s="4" t="n">
        <v>1</v>
      </c>
      <c r="E111" s="4" t="n">
        <v>0</v>
      </c>
      <c r="F111" s="4" t="n">
        <v>0</v>
      </c>
      <c r="G111" s="4" t="n">
        <v>1</v>
      </c>
      <c r="H111" s="4" t="n">
        <v>0</v>
      </c>
      <c r="I111" s="4" t="n">
        <v>0</v>
      </c>
      <c r="J111" s="4" t="n">
        <v>0</v>
      </c>
      <c r="K111" s="4" t="inlineStr">
        <is>
          <t>Historical signals: title/abstract/notes; full-text completion not independently established</t>
        </is>
      </c>
      <c r="L111" s="4" t="str"/>
      <c r="M111" s="4" t="inlineStr">
        <is>
          <t>https://doi.org/10.1038/s41591-023-02574-3</t>
        </is>
      </c>
      <c r="N111" s="4" t="n">
        <v>0</v>
      </c>
      <c r="O111" s="4" t="n">
        <v>0</v>
      </c>
      <c r="P111" s="4" t="n">
        <v>1</v>
      </c>
      <c r="Q111" s="12" t="n"/>
      <c r="R111" s="41" t="n"/>
      <c r="S111" s="4" t="inlineStr">
        <is>
          <t>0 = no reported evidence in material assessed; blank = not coded/unknown; neither proves absence</t>
        </is>
      </c>
      <c r="T111" s="4">
        <f>IF(COUNTIFS('ESTUDIOS'!$A$2:$A$455,$A111,'ESTUDIOS'!$I$2:$I$455,"")&gt;0,"",INDEX('ESTUDIOS'!$I$2:$I$455,MATCH($A111,'ESTUDIOS'!$A$2:$A$455,0)))</f>
        <v/>
      </c>
    </row>
    <row r="112" ht="86" customHeight="1">
      <c r="A112" s="4" t="inlineStr">
        <is>
          <t>119</t>
        </is>
      </c>
      <c r="B112" s="4" t="inlineStr">
        <is>
          <t>Historical</t>
        </is>
      </c>
      <c r="C112" s="4" t="inlineStr">
        <is>
          <t>Ensemble statistical and subspace clustering model for analysis of autism spectrum disorder phenotypes</t>
        </is>
      </c>
      <c r="D112" s="4" t="n">
        <v>0</v>
      </c>
      <c r="E112" s="4" t="n">
        <v>0</v>
      </c>
      <c r="F112" s="4" t="n">
        <v>0</v>
      </c>
      <c r="G112" s="4" t="n">
        <v>0</v>
      </c>
      <c r="H112" s="4" t="n">
        <v>0</v>
      </c>
      <c r="I112" s="4" t="n">
        <v>0</v>
      </c>
      <c r="J112" s="4" t="n">
        <v>1</v>
      </c>
      <c r="K112" s="4" t="inlineStr">
        <is>
          <t>Historical signals: title/abstract/notes; full-text completion not independently established</t>
        </is>
      </c>
      <c r="L112" s="4" t="inlineStr">
        <is>
          <t>Estudio de subtipificación/heterogeneidad en una cohorte ASD ya confirmada (SSC; ADI-R/ADOS); no clasifica ASD vs control como endpoint principal</t>
        </is>
      </c>
      <c r="M112" s="4" t="inlineStr">
        <is>
          <t>https://doi.org/10.1109/embc.2016.7591440</t>
        </is>
      </c>
      <c r="N112" s="4" t="n">
        <v>0</v>
      </c>
      <c r="O112" s="4" t="n">
        <v>1</v>
      </c>
      <c r="P112" s="4" t="n">
        <v>0</v>
      </c>
      <c r="Q112" s="12" t="n"/>
      <c r="R112" s="41" t="n"/>
      <c r="S112" s="4" t="inlineStr">
        <is>
          <t>0 = no reported evidence in material assessed; blank = not coded/unknown; neither proves absence</t>
        </is>
      </c>
      <c r="T112" s="4">
        <f>IF(COUNTIFS('ESTUDIOS'!$A$2:$A$455,$A112,'ESTUDIOS'!$I$2:$I$455,"")&gt;0,"",INDEX('ESTUDIOS'!$I$2:$I$455,MATCH($A112,'ESTUDIOS'!$A$2:$A$455,0)))</f>
        <v/>
      </c>
    </row>
    <row r="113" ht="86" customHeight="1">
      <c r="A113" s="4" t="inlineStr">
        <is>
          <t>120</t>
        </is>
      </c>
      <c r="B113" s="4" t="inlineStr">
        <is>
          <t>Historical</t>
        </is>
      </c>
      <c r="C113" s="4" t="inlineStr">
        <is>
          <t>Screening autism spectrum disorder in children using machine learning on speech transcripts</t>
        </is>
      </c>
      <c r="D113" s="4" t="n">
        <v>0</v>
      </c>
      <c r="E113" s="4" t="n">
        <v>0</v>
      </c>
      <c r="F113" s="4" t="n">
        <v>0</v>
      </c>
      <c r="G113" s="4" t="n">
        <v>0</v>
      </c>
      <c r="H113" s="4" t="n">
        <v>0</v>
      </c>
      <c r="I113" s="4" t="n">
        <v>0</v>
      </c>
      <c r="J113" s="4" t="n">
        <v>1</v>
      </c>
      <c r="K113" s="4" t="inlineStr">
        <is>
          <t>Historical signals: title/abstract/notes; full-text completion not independently established</t>
        </is>
      </c>
      <c r="L113" s="4" t="inlineStr">
        <is>
          <t>Algoritmo principal no explícito o fuera del codebook; Confirmar algoritmo principal en full-text</t>
        </is>
      </c>
      <c r="M113" s="4" t="inlineStr">
        <is>
          <t>https://doi.org/10.1038/s41598-025-01500-6</t>
        </is>
      </c>
      <c r="N113" s="4" t="n">
        <v>0</v>
      </c>
      <c r="O113" s="4" t="n">
        <v>1</v>
      </c>
      <c r="P113" s="4" t="n">
        <v>1</v>
      </c>
      <c r="Q113" s="12" t="n"/>
      <c r="R113" s="41" t="n"/>
      <c r="S113" s="4" t="inlineStr">
        <is>
          <t>0 = no reported evidence in material assessed; blank = not coded/unknown; neither proves absence</t>
        </is>
      </c>
      <c r="T113" s="4">
        <f>IF(COUNTIFS('ESTUDIOS'!$A$2:$A$455,$A113,'ESTUDIOS'!$I$2:$I$455,"")&gt;0,"",INDEX('ESTUDIOS'!$I$2:$I$455,MATCH($A113,'ESTUDIOS'!$A$2:$A$455,0)))</f>
        <v/>
      </c>
    </row>
    <row r="114" ht="86" customHeight="1">
      <c r="A114" s="4" t="inlineStr">
        <is>
          <t>121</t>
        </is>
      </c>
      <c r="B114" s="4" t="inlineStr">
        <is>
          <t>Historical</t>
        </is>
      </c>
      <c r="C114" s="4" t="inlineStr">
        <is>
          <t>46.3 ARTIFICIAL INTELLIGENCE: UTILIZING GOOGLE GLASS AND OTHER MOBILE APPLICATIONS FOR SOCIAL SKILLS TRAINING IN AUTISM SPECTRUM DISORDERS</t>
        </is>
      </c>
      <c r="D114" s="4" t="n">
        <v>0</v>
      </c>
      <c r="E114" s="4" t="n">
        <v>0</v>
      </c>
      <c r="F114" s="4" t="n">
        <v>0</v>
      </c>
      <c r="G114" s="4" t="n">
        <v>0</v>
      </c>
      <c r="H114" s="4" t="n">
        <v>0</v>
      </c>
      <c r="I114" s="4" t="n">
        <v>0</v>
      </c>
      <c r="J114" s="4" t="n">
        <v>0</v>
      </c>
      <c r="K114" s="4" t="inlineStr">
        <is>
          <t>Historical signals: title/abstract/notes; full-text completion not independently established</t>
        </is>
      </c>
      <c r="L114" s="4" t="inlineStr">
        <is>
          <t>Sin señal explícita Q3 en título/abstract.</t>
        </is>
      </c>
      <c r="M114" s="4" t="inlineStr">
        <is>
          <t>https://doi.org/10.1016/j.jaac.2016.07.715</t>
        </is>
      </c>
      <c r="N114" s="4" t="n">
        <v>0</v>
      </c>
      <c r="O114" s="4" t="n">
        <v>0</v>
      </c>
      <c r="P114" s="4" t="n"/>
      <c r="Q114" s="12" t="n"/>
      <c r="R114" s="41" t="n"/>
      <c r="S114" s="4" t="inlineStr">
        <is>
          <t>0 = no reported evidence in material assessed; blank = not coded/unknown; neither proves absence</t>
        </is>
      </c>
      <c r="T114" s="4">
        <f>IF(COUNTIFS('ESTUDIOS'!$A$2:$A$455,$A114,'ESTUDIOS'!$I$2:$I$455,"")&gt;0,"",INDEX('ESTUDIOS'!$I$2:$I$455,MATCH($A114,'ESTUDIOS'!$A$2:$A$455,0)))</f>
        <v/>
      </c>
    </row>
    <row r="115" ht="86" customHeight="1">
      <c r="A115" s="4" t="inlineStr">
        <is>
          <t>122</t>
        </is>
      </c>
      <c r="B115" s="4" t="inlineStr">
        <is>
          <t>Historical</t>
        </is>
      </c>
      <c r="C115" s="4" t="inlineStr">
        <is>
          <t>A Quantum-Based Machine Learning Approach for Autism Detection Using Common Spatial Patterns of EEG Signals</t>
        </is>
      </c>
      <c r="D115" s="4" t="n">
        <v>0</v>
      </c>
      <c r="E115" s="4" t="n">
        <v>0</v>
      </c>
      <c r="F115" s="4" t="n">
        <v>0</v>
      </c>
      <c r="G115" s="4" t="n">
        <v>0</v>
      </c>
      <c r="H115" s="4" t="n">
        <v>0</v>
      </c>
      <c r="I115" s="4" t="n">
        <v>0</v>
      </c>
      <c r="J115" s="4" t="n">
        <v>0</v>
      </c>
      <c r="K115" s="4" t="inlineStr">
        <is>
          <t>Historical signals: title/abstract/notes; full-text completion not independently established</t>
        </is>
      </c>
      <c r="L115" s="4" t="str"/>
      <c r="M115" s="4" t="inlineStr">
        <is>
          <t>https://doi.org/10.1109/access.2025.3531979</t>
        </is>
      </c>
      <c r="N115" s="4" t="n">
        <v>0</v>
      </c>
      <c r="O115" s="4" t="n">
        <v>0</v>
      </c>
      <c r="P115" s="4" t="n">
        <v>0</v>
      </c>
      <c r="Q115" s="12" t="n"/>
      <c r="R115" s="41" t="n"/>
      <c r="S115" s="4" t="inlineStr">
        <is>
          <t>0 = no reported evidence in material assessed; blank = not coded/unknown; neither proves absence</t>
        </is>
      </c>
      <c r="T115" s="4">
        <f>IF(COUNTIFS('ESTUDIOS'!$A$2:$A$455,$A115,'ESTUDIOS'!$I$2:$I$455,"")&gt;0,"",INDEX('ESTUDIOS'!$I$2:$I$455,MATCH($A115,'ESTUDIOS'!$A$2:$A$455,0)))</f>
        <v/>
      </c>
    </row>
    <row r="116" ht="86" customHeight="1">
      <c r="A116" s="4" t="inlineStr">
        <is>
          <t>124</t>
        </is>
      </c>
      <c r="B116" s="4" t="inlineStr">
        <is>
          <t>Historical</t>
        </is>
      </c>
      <c r="C116" s="4" t="inlineStr">
        <is>
          <t>ASD2-TL∗ GTO: Autism spectrum disorders detection via transfer learning with gorilla troops optimizer framework</t>
        </is>
      </c>
      <c r="D116" s="4" t="n">
        <v>0</v>
      </c>
      <c r="E116" s="4" t="n">
        <v>0</v>
      </c>
      <c r="F116" s="4" t="n">
        <v>0</v>
      </c>
      <c r="G116" s="4" t="n">
        <v>0</v>
      </c>
      <c r="H116" s="4" t="n">
        <v>0</v>
      </c>
      <c r="I116" s="4" t="n">
        <v>0</v>
      </c>
      <c r="J116" s="4" t="n">
        <v>0</v>
      </c>
      <c r="K116" s="4" t="inlineStr">
        <is>
          <t>Historical signals: title/abstract/notes; full-text completion not independently established</t>
        </is>
      </c>
      <c r="L116" s="4" t="inlineStr">
        <is>
          <t>El “main” encaja mejor como CNN porque usa transfer learning con DenseNet169 para imágenes faciales; además usa un metaheurístico (GTO) para selección de características y también experimentos con datos de screening (UCI). GTO no aparece en tu lista; por eso debe ir en comentario</t>
        </is>
      </c>
      <c r="M116" s="4" t="inlineStr">
        <is>
          <t>https://doi.org/10.1016/j.heliyon.2023.e21530</t>
        </is>
      </c>
      <c r="N116" s="4" t="n">
        <v>0</v>
      </c>
      <c r="O116" s="4" t="n">
        <v>0</v>
      </c>
      <c r="P116" s="4" t="n">
        <v>0</v>
      </c>
      <c r="Q116" s="12" t="n"/>
      <c r="R116" s="41" t="n"/>
      <c r="S116" s="4" t="inlineStr">
        <is>
          <t>0 = no reported evidence in material assessed; blank = not coded/unknown; neither proves absence</t>
        </is>
      </c>
      <c r="T116" s="4">
        <f>IF(COUNTIFS('ESTUDIOS'!$A$2:$A$455,$A116,'ESTUDIOS'!$I$2:$I$455,"")&gt;0,"",INDEX('ESTUDIOS'!$I$2:$I$455,MATCH($A116,'ESTUDIOS'!$A$2:$A$455,0)))</f>
        <v/>
      </c>
    </row>
    <row r="117" ht="86" customHeight="1">
      <c r="A117" s="4" t="inlineStr">
        <is>
          <t>125</t>
        </is>
      </c>
      <c r="B117" s="4" t="inlineStr">
        <is>
          <t>Historical</t>
        </is>
      </c>
      <c r="C117" s="4" t="inlineStr">
        <is>
          <t>Diagnosis of Autism Spectrum Disorders in Young Children Based on Resting-State Functional Magnetic Resonance Imaging Data Using Convolutional Neural Networks</t>
        </is>
      </c>
      <c r="D117" s="4" t="n">
        <v>0</v>
      </c>
      <c r="E117" s="4" t="n">
        <v>1</v>
      </c>
      <c r="F117" s="4" t="n">
        <v>0</v>
      </c>
      <c r="G117" s="4" t="n">
        <v>0</v>
      </c>
      <c r="H117" s="4" t="n">
        <v>0</v>
      </c>
      <c r="I117" s="4" t="n">
        <v>0</v>
      </c>
      <c r="J117" s="4" t="n">
        <v>0</v>
      </c>
      <c r="K117" s="4" t="inlineStr">
        <is>
          <t>Historical signals: title/abstract/notes; full-text completion not independently established</t>
        </is>
      </c>
      <c r="L117" s="4" t="inlineStr">
        <is>
          <t>demás de CNN, reporta transfer learning y combinación de clasificadores (mixture of experts / simple Bayes), pero el núcleo es CNN para clasificar ASD vs no-ASD con rs-fMRI (ABIDE).</t>
        </is>
      </c>
      <c r="M117" s="4" t="inlineStr">
        <is>
          <t>https://doi.org/10.1007/s10278-019-00196-1</t>
        </is>
      </c>
      <c r="N117" s="4" t="n">
        <v>0</v>
      </c>
      <c r="O117" s="4" t="n">
        <v>0</v>
      </c>
      <c r="P117" s="4" t="n">
        <v>0</v>
      </c>
      <c r="Q117" s="12" t="n"/>
      <c r="R117" s="41" t="n"/>
      <c r="S117" s="4" t="inlineStr">
        <is>
          <t>0 = no reported evidence in material assessed; blank = not coded/unknown; neither proves absence</t>
        </is>
      </c>
      <c r="T117" s="4">
        <f>IF(COUNTIFS('ESTUDIOS'!$A$2:$A$455,$A117,'ESTUDIOS'!$I$2:$I$455,"")&gt;0,"",INDEX('ESTUDIOS'!$I$2:$I$455,MATCH($A117,'ESTUDIOS'!$A$2:$A$455,0)))</f>
        <v/>
      </c>
    </row>
    <row r="118" ht="86" customHeight="1">
      <c r="A118" s="4" t="inlineStr">
        <is>
          <t>128</t>
        </is>
      </c>
      <c r="B118" s="4" t="inlineStr">
        <is>
          <t>Historical</t>
        </is>
      </c>
      <c r="C118" s="4" t="inlineStr">
        <is>
          <t>Improvement of attention-deficit/hyperactivity disorder symptoms in school-aged children, adolescents, and young adults with autism via a digital smartglasses-based socioemotional coaching aid: Short-term, uncontrolled pilot study</t>
        </is>
      </c>
      <c r="D118" s="4" t="n">
        <v>0</v>
      </c>
      <c r="E118" s="4" t="n">
        <v>0</v>
      </c>
      <c r="F118" s="4" t="n">
        <v>0</v>
      </c>
      <c r="G118" s="4" t="n">
        <v>0</v>
      </c>
      <c r="H118" s="4" t="n">
        <v>0</v>
      </c>
      <c r="I118" s="4" t="n">
        <v>0</v>
      </c>
      <c r="J118" s="4" t="n">
        <v>0</v>
      </c>
      <c r="K118" s="4" t="inlineStr">
        <is>
          <t>Historical signals: title/abstract/notes; full-text completion not independently established</t>
        </is>
      </c>
      <c r="L118" s="4" t="str"/>
      <c r="M118" s="4" t="inlineStr">
        <is>
          <t>https://doi.org/10.2196/mental.9631</t>
        </is>
      </c>
      <c r="N118" s="4" t="n">
        <v>0</v>
      </c>
      <c r="O118" s="4" t="n">
        <v>0</v>
      </c>
      <c r="P118" s="4" t="n">
        <v>1</v>
      </c>
      <c r="Q118" s="12" t="n"/>
      <c r="R118" s="41" t="n"/>
      <c r="S118" s="4" t="inlineStr">
        <is>
          <t>0 = no reported evidence in material assessed; blank = not coded/unknown; neither proves absence</t>
        </is>
      </c>
      <c r="T118" s="4">
        <f>IF(COUNTIFS('ESTUDIOS'!$A$2:$A$455,$A118,'ESTUDIOS'!$I$2:$I$455,"")&gt;0,"",INDEX('ESTUDIOS'!$I$2:$I$455,MATCH($A118,'ESTUDIOS'!$A$2:$A$455,0)))</f>
        <v/>
      </c>
    </row>
    <row r="119" ht="86" customHeight="1">
      <c r="A119" s="4" t="inlineStr">
        <is>
          <t>129</t>
        </is>
      </c>
      <c r="B119" s="4" t="inlineStr">
        <is>
          <t>Historical</t>
        </is>
      </c>
      <c r="C119" s="4" t="inlineStr">
        <is>
          <t>Investigating Diagnostic Data and Performance Implications in the Autism AI Dataset</t>
        </is>
      </c>
      <c r="D119" s="4" t="n">
        <v>0</v>
      </c>
      <c r="E119" s="4" t="n">
        <v>0</v>
      </c>
      <c r="F119" s="4" t="n">
        <v>0</v>
      </c>
      <c r="G119" s="4" t="n">
        <v>0</v>
      </c>
      <c r="H119" s="4" t="n">
        <v>0</v>
      </c>
      <c r="I119" s="4" t="n">
        <v>0</v>
      </c>
      <c r="J119" s="4" t="n">
        <v>1</v>
      </c>
      <c r="K119" s="4" t="inlineStr">
        <is>
          <t>Historical signals: title/abstract/notes; full-text completion not independently established</t>
        </is>
      </c>
      <c r="L119" s="4" t="str"/>
      <c r="M119" s="4" t="inlineStr">
        <is>
          <t>https://doi.org/10.1007/978-981-96-6960-8_26</t>
        </is>
      </c>
      <c r="N119" s="4" t="n">
        <v>0</v>
      </c>
      <c r="O119" s="4" t="n">
        <v>1</v>
      </c>
      <c r="P119" s="4" t="n">
        <v>0</v>
      </c>
      <c r="Q119" s="12" t="n"/>
      <c r="R119" s="41" t="n"/>
      <c r="S119" s="4" t="inlineStr">
        <is>
          <t>0 = no reported evidence in material assessed; blank = not coded/unknown; neither proves absence</t>
        </is>
      </c>
      <c r="T119" s="4">
        <f>IF(COUNTIFS('ESTUDIOS'!$A$2:$A$455,$A119,'ESTUDIOS'!$I$2:$I$455,"")&gt;0,"",INDEX('ESTUDIOS'!$I$2:$I$455,MATCH($A119,'ESTUDIOS'!$A$2:$A$455,0)))</f>
        <v/>
      </c>
    </row>
    <row r="120" ht="86" customHeight="1">
      <c r="A120" s="4" t="inlineStr">
        <is>
          <t>130</t>
        </is>
      </c>
      <c r="B120" s="4" t="inlineStr">
        <is>
          <t>Historical</t>
        </is>
      </c>
      <c r="C120" s="4" t="inlineStr">
        <is>
          <t>Large-scale examination of early-age sex differences in neurotypical toddlers and those with autism spectrum disorder or other developmental conditions</t>
        </is>
      </c>
      <c r="D120" s="4" t="n">
        <v>0</v>
      </c>
      <c r="E120" s="4" t="n">
        <v>0</v>
      </c>
      <c r="F120" s="4" t="n">
        <v>0</v>
      </c>
      <c r="G120" s="4" t="n">
        <v>0</v>
      </c>
      <c r="H120" s="4" t="n">
        <v>0</v>
      </c>
      <c r="I120" s="4" t="n">
        <v>0</v>
      </c>
      <c r="J120" s="4" t="n">
        <v>1</v>
      </c>
      <c r="K120" s="4" t="inlineStr">
        <is>
          <t>Historical signals: title/abstract/notes; full-text completion not independently established</t>
        </is>
      </c>
      <c r="L120" s="4" t="inlineStr">
        <is>
          <t>Examen de diferencias por sexo/edad; no queda claro el algoritmo o la tarea principal de IA.</t>
        </is>
      </c>
      <c r="M120" s="4" t="inlineStr">
        <is>
          <t>https://doi.org/10.1038/s41562-025-02132-6</t>
        </is>
      </c>
      <c r="N120" s="4" t="n">
        <v>0</v>
      </c>
      <c r="O120" s="4" t="n">
        <v>1</v>
      </c>
      <c r="P120" s="4" t="n">
        <v>1</v>
      </c>
      <c r="Q120" s="12" t="n"/>
      <c r="R120" s="41" t="n"/>
      <c r="S120" s="4" t="inlineStr">
        <is>
          <t>0 = no reported evidence in material assessed; blank = not coded/unknown; neither proves absence</t>
        </is>
      </c>
      <c r="T120" s="4">
        <f>IF(COUNTIFS('ESTUDIOS'!$A$2:$A$455,$A120,'ESTUDIOS'!$I$2:$I$455,"")&gt;0,"",INDEX('ESTUDIOS'!$I$2:$I$455,MATCH($A120,'ESTUDIOS'!$A$2:$A$455,0)))</f>
        <v/>
      </c>
    </row>
    <row r="121" ht="86" customHeight="1">
      <c r="A121" s="4" t="inlineStr">
        <is>
          <t>131</t>
        </is>
      </c>
      <c r="B121" s="4" t="inlineStr">
        <is>
          <t>Historical</t>
        </is>
      </c>
      <c r="C121" s="4" t="inlineStr">
        <is>
          <t>Online concerns of parents suspecting autism spectrum disorder in their child: Content analysis of signs and automated prediction of risk</t>
        </is>
      </c>
      <c r="D121" s="4" t="n">
        <v>0</v>
      </c>
      <c r="E121" s="4" t="n">
        <v>0</v>
      </c>
      <c r="F121" s="4" t="n">
        <v>0</v>
      </c>
      <c r="G121" s="4" t="n">
        <v>0</v>
      </c>
      <c r="H121" s="4" t="n">
        <v>0</v>
      </c>
      <c r="I121" s="4" t="n">
        <v>0</v>
      </c>
      <c r="J121" s="4" t="n">
        <v>1</v>
      </c>
      <c r="K121" s="4" t="inlineStr">
        <is>
          <t>Historical signals: title/abstract/notes; full-text completion not independently established</t>
        </is>
      </c>
      <c r="L121" s="4" t="str"/>
      <c r="M121" s="4" t="inlineStr">
        <is>
          <t>https://doi.org/10.2196/jmir.5439</t>
        </is>
      </c>
      <c r="N121" s="4" t="n">
        <v>0</v>
      </c>
      <c r="O121" s="4" t="n">
        <v>1</v>
      </c>
      <c r="P121" s="4" t="n">
        <v>0</v>
      </c>
      <c r="Q121" s="12" t="n"/>
      <c r="R121" s="41" t="n"/>
      <c r="S121" s="4" t="inlineStr">
        <is>
          <t>0 = no reported evidence in material assessed; blank = not coded/unknown; neither proves absence</t>
        </is>
      </c>
      <c r="T121" s="4">
        <f>IF(COUNTIFS('ESTUDIOS'!$A$2:$A$455,$A121,'ESTUDIOS'!$I$2:$I$455,"")&gt;0,"",INDEX('ESTUDIOS'!$I$2:$I$455,MATCH($A121,'ESTUDIOS'!$A$2:$A$455,0)))</f>
        <v/>
      </c>
    </row>
    <row r="122" ht="86" customHeight="1">
      <c r="A122" s="4" t="inlineStr">
        <is>
          <t>132</t>
        </is>
      </c>
      <c r="B122" s="4" t="inlineStr">
        <is>
          <t>Historical</t>
        </is>
      </c>
      <c r="C122" s="4" t="inlineStr">
        <is>
          <t>Use of machine learning to improve autism screening and diagnostic instruments: Effectiveness, efficiency, and multi‐instrument fusion</t>
        </is>
      </c>
      <c r="D122" s="4" t="n">
        <v>0</v>
      </c>
      <c r="E122" s="4" t="n">
        <v>0</v>
      </c>
      <c r="F122" s="4" t="n">
        <v>0</v>
      </c>
      <c r="G122" s="4" t="n">
        <v>0</v>
      </c>
      <c r="H122" s="4" t="n">
        <v>0</v>
      </c>
      <c r="I122" s="4" t="n">
        <v>0</v>
      </c>
      <c r="J122" s="4" t="n">
        <v>1</v>
      </c>
      <c r="K122" s="4" t="inlineStr">
        <is>
          <t>Historical signals: title/abstract/notes; full-text completion not independently established</t>
        </is>
      </c>
      <c r="L122" s="4" t="str"/>
      <c r="M122" s="4" t="inlineStr">
        <is>
          <t>https://doi.org/10.1111/jcpp.12559</t>
        </is>
      </c>
      <c r="N122" s="4" t="n">
        <v>0</v>
      </c>
      <c r="O122" s="4" t="n">
        <v>1</v>
      </c>
      <c r="P122" s="4" t="n">
        <v>1</v>
      </c>
      <c r="Q122" s="12" t="n"/>
      <c r="R122" s="41" t="n"/>
      <c r="S122" s="4" t="inlineStr">
        <is>
          <t>0 = no reported evidence in material assessed; blank = not coded/unknown; neither proves absence</t>
        </is>
      </c>
      <c r="T122" s="4">
        <f>IF(COUNTIFS('ESTUDIOS'!$A$2:$A$455,$A122,'ESTUDIOS'!$I$2:$I$455,"")&gt;0,"",INDEX('ESTUDIOS'!$I$2:$I$455,MATCH($A122,'ESTUDIOS'!$A$2:$A$455,0)))</f>
        <v/>
      </c>
    </row>
    <row r="123" ht="86" customHeight="1">
      <c r="A123" s="4" t="inlineStr">
        <is>
          <t>133</t>
        </is>
      </c>
      <c r="B123" s="4" t="inlineStr">
        <is>
          <t>Historical</t>
        </is>
      </c>
      <c r="C123" s="4" t="inlineStr">
        <is>
          <t>A data driven machine learning approach to differentiate between autism spectrum disorder and attention-deficit/hyperactivity disorder based on the best-practice diagnostic instruments for autism</t>
        </is>
      </c>
      <c r="D123" s="4" t="n">
        <v>0</v>
      </c>
      <c r="E123" s="4" t="n">
        <v>0</v>
      </c>
      <c r="F123" s="4" t="n">
        <v>0</v>
      </c>
      <c r="G123" s="4" t="n">
        <v>0</v>
      </c>
      <c r="H123" s="4" t="n">
        <v>0</v>
      </c>
      <c r="I123" s="4" t="n">
        <v>0</v>
      </c>
      <c r="J123" s="4" t="n">
        <v>0</v>
      </c>
      <c r="K123" s="4" t="inlineStr">
        <is>
          <t>Historical signals: title/abstract/notes; full-text completion not independently established</t>
        </is>
      </c>
      <c r="L123" s="4" t="str"/>
      <c r="M123" s="4" t="inlineStr">
        <is>
          <t>https://doi.org/10.1038/s41598-022-21719-x</t>
        </is>
      </c>
      <c r="N123" s="4" t="n">
        <v>0</v>
      </c>
      <c r="O123" s="4" t="n">
        <v>0</v>
      </c>
      <c r="P123" s="4" t="n">
        <v>0</v>
      </c>
      <c r="Q123" s="12" t="n"/>
      <c r="R123" s="41" t="n"/>
      <c r="S123" s="4" t="inlineStr">
        <is>
          <t>0 = no reported evidence in material assessed; blank = not coded/unknown; neither proves absence</t>
        </is>
      </c>
      <c r="T123" s="4">
        <f>IF(COUNTIFS('ESTUDIOS'!$A$2:$A$455,$A123,'ESTUDIOS'!$I$2:$I$455,"")&gt;0,"",INDEX('ESTUDIOS'!$I$2:$I$455,MATCH($A123,'ESTUDIOS'!$A$2:$A$455,0)))</f>
        <v/>
      </c>
    </row>
    <row r="124" ht="86" customHeight="1">
      <c r="A124" s="4" t="inlineStr">
        <is>
          <t>134</t>
        </is>
      </c>
      <c r="B124" s="4" t="inlineStr">
        <is>
          <t>Historical</t>
        </is>
      </c>
      <c r="C124" s="4" t="inlineStr">
        <is>
          <t>A deep learning predictive classifier for autism screening and diagnosis</t>
        </is>
      </c>
      <c r="D124" s="4" t="n">
        <v>0</v>
      </c>
      <c r="E124" s="4" t="n">
        <v>0</v>
      </c>
      <c r="F124" s="4" t="n">
        <v>0</v>
      </c>
      <c r="G124" s="4" t="n">
        <v>0</v>
      </c>
      <c r="H124" s="4" t="n">
        <v>0</v>
      </c>
      <c r="I124" s="4" t="n">
        <v>0</v>
      </c>
      <c r="J124" s="4" t="n">
        <v>0</v>
      </c>
      <c r="K124" s="4" t="inlineStr">
        <is>
          <t>Historical signals: title/abstract/notes; full-text completion not independently established</t>
        </is>
      </c>
      <c r="L124" s="4" t="inlineStr">
        <is>
          <t>Algoritmo principal no explícito o fuera del codebook; Confirmar algoritmo principal en full-text; Se comparan varios modelos; se eligió el principal/mejor reportado</t>
        </is>
      </c>
      <c r="M124" s="4" t="inlineStr">
        <is>
          <t>https://doi.org/10.1016/b978-0-12-822822-7.00011-9</t>
        </is>
      </c>
      <c r="N124" s="4" t="n">
        <v>0</v>
      </c>
      <c r="O124" s="4" t="n">
        <v>0</v>
      </c>
      <c r="P124" s="4" t="n">
        <v>1</v>
      </c>
      <c r="Q124" s="12" t="n"/>
      <c r="R124" s="41" t="n"/>
      <c r="S124" s="4" t="inlineStr">
        <is>
          <t>0 = no reported evidence in material assessed; blank = not coded/unknown; neither proves absence</t>
        </is>
      </c>
      <c r="T124" s="4">
        <f>IF(COUNTIFS('ESTUDIOS'!$A$2:$A$455,$A124,'ESTUDIOS'!$I$2:$I$455,"")&gt;0,"",INDEX('ESTUDIOS'!$I$2:$I$455,MATCH($A124,'ESTUDIOS'!$A$2:$A$455,0)))</f>
        <v/>
      </c>
    </row>
    <row r="125" ht="86" customHeight="1">
      <c r="A125" s="4" t="inlineStr">
        <is>
          <t>135</t>
        </is>
      </c>
      <c r="B125" s="4" t="inlineStr">
        <is>
          <t>Historical</t>
        </is>
      </c>
      <c r="C125" s="4" t="inlineStr">
        <is>
          <t>A Deep Neural Network-Based Model for Screening Autism Spectrum Disorder Using the Quantitative Checklist for Autism in Toddlers (QCHAT)</t>
        </is>
      </c>
      <c r="D125" s="4" t="n">
        <v>0</v>
      </c>
      <c r="E125" s="4" t="n">
        <v>0</v>
      </c>
      <c r="F125" s="4" t="n">
        <v>0</v>
      </c>
      <c r="G125" s="4" t="n">
        <v>0</v>
      </c>
      <c r="H125" s="4" t="n">
        <v>0</v>
      </c>
      <c r="I125" s="4" t="n">
        <v>0</v>
      </c>
      <c r="J125" s="4" t="n">
        <v>0</v>
      </c>
      <c r="K125" s="4" t="inlineStr">
        <is>
          <t>Historical signals: title/abstract/notes; full-text completion not independently established</t>
        </is>
      </c>
      <c r="L125" s="4" t="inlineStr">
        <is>
          <t>Algoritmo principal no explícito o fuera del codebook; Confirmar algoritmo principal en full-text</t>
        </is>
      </c>
      <c r="M125" s="4" t="inlineStr">
        <is>
          <t>https://doi.org/10.1007/s10803-021-05141-2</t>
        </is>
      </c>
      <c r="N125" s="4" t="n">
        <v>0</v>
      </c>
      <c r="O125" s="4" t="n">
        <v>0</v>
      </c>
      <c r="P125" s="4" t="n">
        <v>1</v>
      </c>
      <c r="Q125" s="12" t="n"/>
      <c r="R125" s="41" t="n"/>
      <c r="S125" s="4" t="inlineStr">
        <is>
          <t>0 = no reported evidence in material assessed; blank = not coded/unknown; neither proves absence</t>
        </is>
      </c>
      <c r="T125" s="4">
        <f>IF(COUNTIFS('ESTUDIOS'!$A$2:$A$455,$A125,'ESTUDIOS'!$I$2:$I$455,"")&gt;0,"",INDEX('ESTUDIOS'!$I$2:$I$455,MATCH($A125,'ESTUDIOS'!$A$2:$A$455,0)))</f>
        <v/>
      </c>
    </row>
    <row r="126" ht="86" customHeight="1">
      <c r="A126" s="4" t="inlineStr">
        <is>
          <t>136</t>
        </is>
      </c>
      <c r="B126" s="4" t="inlineStr">
        <is>
          <t>Historical</t>
        </is>
      </c>
      <c r="C126" s="4" t="inlineStr">
        <is>
          <t>A semi-supervised autoencoder for autism disease diagnosis</t>
        </is>
      </c>
      <c r="D126" s="4" t="n">
        <v>0</v>
      </c>
      <c r="E126" s="4" t="n">
        <v>1</v>
      </c>
      <c r="F126" s="4" t="n">
        <v>0</v>
      </c>
      <c r="G126" s="4" t="n">
        <v>0</v>
      </c>
      <c r="H126" s="4" t="n">
        <v>0</v>
      </c>
      <c r="I126" s="4" t="n">
        <v>0</v>
      </c>
      <c r="J126" s="4" t="n">
        <v>0</v>
      </c>
      <c r="K126" s="4" t="inlineStr">
        <is>
          <t>Historical signals: title/abstract/notes; full-text completion not independently established</t>
        </is>
      </c>
      <c r="L126" s="4" t="str"/>
      <c r="M126" s="4" t="inlineStr">
        <is>
          <t>https://doi.org/10.1016/j.neucom.2022.02.017</t>
        </is>
      </c>
      <c r="N126" s="4" t="n">
        <v>0</v>
      </c>
      <c r="O126" s="4" t="n">
        <v>0</v>
      </c>
      <c r="P126" s="4" t="n">
        <v>0</v>
      </c>
      <c r="Q126" s="12" t="n"/>
      <c r="R126" s="41" t="n"/>
      <c r="S126" s="4" t="inlineStr">
        <is>
          <t>0 = no reported evidence in material assessed; blank = not coded/unknown; neither proves absence</t>
        </is>
      </c>
      <c r="T126" s="4">
        <f>IF(COUNTIFS('ESTUDIOS'!$A$2:$A$455,$A126,'ESTUDIOS'!$I$2:$I$455,"")&gt;0,"",INDEX('ESTUDIOS'!$I$2:$I$455,MATCH($A126,'ESTUDIOS'!$A$2:$A$455,0)))</f>
        <v/>
      </c>
    </row>
    <row r="127" ht="86" customHeight="1">
      <c r="A127" s="4" t="inlineStr">
        <is>
          <t>137</t>
        </is>
      </c>
      <c r="B127" s="4" t="inlineStr">
        <is>
          <t>Historical</t>
        </is>
      </c>
      <c r="C127" s="4" t="inlineStr">
        <is>
          <t>Applying machine learning on home videos for remote autism diagnosis: Further study and analysis</t>
        </is>
      </c>
      <c r="D127" s="4" t="n">
        <v>0</v>
      </c>
      <c r="E127" s="4" t="n">
        <v>0</v>
      </c>
      <c r="F127" s="4" t="n">
        <v>0</v>
      </c>
      <c r="G127" s="4" t="n">
        <v>0</v>
      </c>
      <c r="H127" s="4" t="n">
        <v>1</v>
      </c>
      <c r="I127" s="4" t="n">
        <v>0</v>
      </c>
      <c r="J127" s="4" t="n">
        <v>0</v>
      </c>
      <c r="K127" s="4" t="inlineStr">
        <is>
          <t>Historical signals: title/abstract/notes; full-text completion not independently established</t>
        </is>
      </c>
      <c r="L127" s="4" t="inlineStr">
        <is>
          <t>Algoritmo principal no explícito o fuera del codebook; Confirmar algoritmo principal en full-text</t>
        </is>
      </c>
      <c r="M127" s="4" t="inlineStr">
        <is>
          <t>https://doi.org/10.1177/1460458221991882</t>
        </is>
      </c>
      <c r="N127" s="4" t="n">
        <v>1</v>
      </c>
      <c r="O127" s="4" t="n">
        <v>0</v>
      </c>
      <c r="P127" s="4" t="n">
        <v>1</v>
      </c>
      <c r="Q127" s="12" t="n"/>
      <c r="R127" s="41" t="n"/>
      <c r="S127" s="4" t="inlineStr">
        <is>
          <t>0 = no reported evidence in material assessed; blank = not coded/unknown; neither proves absence</t>
        </is>
      </c>
      <c r="T127" s="4">
        <f>IF(COUNTIFS('ESTUDIOS'!$A$2:$A$455,$A127,'ESTUDIOS'!$I$2:$I$455,"")&gt;0,"",INDEX('ESTUDIOS'!$I$2:$I$455,MATCH($A127,'ESTUDIOS'!$A$2:$A$455,0)))</f>
        <v/>
      </c>
    </row>
    <row r="128" ht="86" customHeight="1">
      <c r="A128" s="4" t="inlineStr">
        <is>
          <t>138</t>
        </is>
      </c>
      <c r="B128" s="4" t="inlineStr">
        <is>
          <t>Historical</t>
        </is>
      </c>
      <c r="C128" s="4" t="inlineStr">
        <is>
          <t>ASD-SWNet: a novel shared-weight feature extraction and classification network for autism spectrum disorder diagnosis</t>
        </is>
      </c>
      <c r="D128" s="4" t="n">
        <v>0</v>
      </c>
      <c r="E128" s="4" t="n">
        <v>1</v>
      </c>
      <c r="F128" s="4" t="n">
        <v>0</v>
      </c>
      <c r="G128" s="4" t="n">
        <v>0</v>
      </c>
      <c r="H128" s="4" t="n">
        <v>0</v>
      </c>
      <c r="I128" s="4" t="n">
        <v>0</v>
      </c>
      <c r="J128" s="4" t="n">
        <v>0</v>
      </c>
      <c r="K128" s="4" t="inlineStr">
        <is>
          <t>Historical signals: title/abstract/notes; full-text completion not independently established</t>
        </is>
      </c>
      <c r="L128" s="4" t="str"/>
      <c r="M128" s="4" t="inlineStr">
        <is>
          <t>https://doi.org/10.1038/s41598-024-64299-8</t>
        </is>
      </c>
      <c r="N128" s="4" t="n">
        <v>0</v>
      </c>
      <c r="O128" s="4" t="n">
        <v>0</v>
      </c>
      <c r="P128" s="4" t="n">
        <v>0</v>
      </c>
      <c r="Q128" s="12" t="n"/>
      <c r="R128" s="41" t="n"/>
      <c r="S128" s="4" t="inlineStr">
        <is>
          <t>0 = no reported evidence in material assessed; blank = not coded/unknown; neither proves absence</t>
        </is>
      </c>
      <c r="T128" s="4">
        <f>IF(COUNTIFS('ESTUDIOS'!$A$2:$A$455,$A128,'ESTUDIOS'!$I$2:$I$455,"")&gt;0,"",INDEX('ESTUDIOS'!$I$2:$I$455,MATCH($A128,'ESTUDIOS'!$A$2:$A$455,0)))</f>
        <v/>
      </c>
    </row>
    <row r="129" ht="86" customHeight="1">
      <c r="A129" s="4" t="inlineStr">
        <is>
          <t>140</t>
        </is>
      </c>
      <c r="B129" s="4" t="inlineStr">
        <is>
          <t>Historical</t>
        </is>
      </c>
      <c r="C129" s="4" t="inlineStr">
        <is>
          <t>Autism spectrum disorder diagnosis based on deep unrolling-based spatial constraint representation.</t>
        </is>
      </c>
      <c r="D129" s="4" t="n">
        <v>0</v>
      </c>
      <c r="E129" s="4" t="n">
        <v>1</v>
      </c>
      <c r="F129" s="4" t="n">
        <v>0</v>
      </c>
      <c r="G129" s="4" t="n">
        <v>0</v>
      </c>
      <c r="H129" s="4" t="n">
        <v>0</v>
      </c>
      <c r="I129" s="4" t="n">
        <v>0</v>
      </c>
      <c r="J129" s="4" t="n">
        <v>0</v>
      </c>
      <c r="K129" s="4" t="inlineStr">
        <is>
          <t>Historical signals: title/abstract/notes; full-text completion not independently established</t>
        </is>
      </c>
      <c r="L129" s="4" t="str"/>
      <c r="M129" s="4" t="inlineStr">
        <is>
          <t>https://doi.org/10.1007/s11517-023-02859-2</t>
        </is>
      </c>
      <c r="N129" s="4" t="n">
        <v>0</v>
      </c>
      <c r="O129" s="4" t="n">
        <v>0</v>
      </c>
      <c r="P129" s="4" t="n">
        <v>0</v>
      </c>
      <c r="Q129" s="12" t="n"/>
      <c r="R129" s="41" t="n"/>
      <c r="S129" s="4" t="inlineStr">
        <is>
          <t>0 = no reported evidence in material assessed; blank = not coded/unknown; neither proves absence</t>
        </is>
      </c>
      <c r="T129" s="4">
        <f>IF(COUNTIFS('ESTUDIOS'!$A$2:$A$455,$A129,'ESTUDIOS'!$I$2:$I$455,"")&gt;0,"",INDEX('ESTUDIOS'!$I$2:$I$455,MATCH($A129,'ESTUDIOS'!$A$2:$A$455,0)))</f>
        <v/>
      </c>
    </row>
    <row r="130" ht="86" customHeight="1">
      <c r="A130" s="4" t="inlineStr">
        <is>
          <t>141</t>
        </is>
      </c>
      <c r="B130" s="4" t="inlineStr">
        <is>
          <t>Historical</t>
        </is>
      </c>
      <c r="C130" s="4" t="inlineStr">
        <is>
          <t>Automatic Cry Analysis: Deep Learning for Screening of Autism Spectrum Disorder in Early Childhood</t>
        </is>
      </c>
      <c r="D130" s="4" t="n">
        <v>0</v>
      </c>
      <c r="E130" s="4" t="n">
        <v>0</v>
      </c>
      <c r="F130" s="4" t="n">
        <v>0</v>
      </c>
      <c r="G130" s="4" t="n">
        <v>0</v>
      </c>
      <c r="H130" s="4" t="n">
        <v>0</v>
      </c>
      <c r="I130" s="4" t="n">
        <v>0</v>
      </c>
      <c r="J130" s="4" t="n">
        <v>1</v>
      </c>
      <c r="K130" s="4" t="inlineStr">
        <is>
          <t>Historical signals: title/abstract/notes; full-text completion not independently established</t>
        </is>
      </c>
      <c r="L130" s="4" t="str"/>
      <c r="M130" s="4" t="inlineStr">
        <is>
          <t>https://doi.org/10.1007/s10803-025-06811-1</t>
        </is>
      </c>
      <c r="N130" s="4" t="n">
        <v>0</v>
      </c>
      <c r="O130" s="4" t="n">
        <v>1</v>
      </c>
      <c r="P130" s="4" t="n">
        <v>0</v>
      </c>
      <c r="Q130" s="12" t="n"/>
      <c r="R130" s="41" t="n"/>
      <c r="S130" s="4" t="inlineStr">
        <is>
          <t>0 = no reported evidence in material assessed; blank = not coded/unknown; neither proves absence</t>
        </is>
      </c>
      <c r="T130" s="4">
        <f>IF(COUNTIFS('ESTUDIOS'!$A$2:$A$455,$A130,'ESTUDIOS'!$I$2:$I$455,"")&gt;0,"",INDEX('ESTUDIOS'!$I$2:$I$455,MATCH($A130,'ESTUDIOS'!$A$2:$A$455,0)))</f>
        <v/>
      </c>
    </row>
    <row r="131" ht="86" customHeight="1">
      <c r="A131" s="4" t="inlineStr">
        <is>
          <t>142</t>
        </is>
      </c>
      <c r="B131" s="4" t="inlineStr">
        <is>
          <t>Historical</t>
        </is>
      </c>
      <c r="C131" s="4" t="inlineStr">
        <is>
          <t>AV-FOS: Transformer-Based Audio-Visual Multimodal Interaction Style Recognition for Children With Autism Using the Revised Family Observation Schedule 3rd Edition (FOS-R-III)</t>
        </is>
      </c>
      <c r="D131" s="4" t="n">
        <v>0</v>
      </c>
      <c r="E131" s="4" t="n">
        <v>0</v>
      </c>
      <c r="F131" s="4" t="n">
        <v>0</v>
      </c>
      <c r="G131" s="4" t="n">
        <v>0</v>
      </c>
      <c r="H131" s="4" t="n">
        <v>0</v>
      </c>
      <c r="I131" s="4" t="n">
        <v>0</v>
      </c>
      <c r="J131" s="4" t="n">
        <v>1</v>
      </c>
      <c r="K131" s="4" t="inlineStr">
        <is>
          <t>Historical signals: title/abstract/notes; full-text completion not independently established</t>
        </is>
      </c>
      <c r="L131" s="4" t="inlineStr">
        <is>
          <t>Reconocimiento de estilo de interacción audio-visual en FOS-R-III; etapa clínica exacta requiere confirmación.</t>
        </is>
      </c>
      <c r="M131" s="4" t="inlineStr">
        <is>
          <t>https://doi.org/10.1109/jbhi.2025.3542066</t>
        </is>
      </c>
      <c r="N131" s="4" t="n">
        <v>0</v>
      </c>
      <c r="O131" s="4" t="n">
        <v>1</v>
      </c>
      <c r="P131" s="4" t="n">
        <v>1</v>
      </c>
      <c r="Q131" s="12" t="n"/>
      <c r="R131" s="41" t="n"/>
      <c r="S131" s="4" t="inlineStr">
        <is>
          <t>0 = no reported evidence in material assessed; blank = not coded/unknown; neither proves absence</t>
        </is>
      </c>
      <c r="T131" s="4">
        <f>IF(COUNTIFS('ESTUDIOS'!$A$2:$A$455,$A131,'ESTUDIOS'!$I$2:$I$455,"")&gt;0,"",INDEX('ESTUDIOS'!$I$2:$I$455,MATCH($A131,'ESTUDIOS'!$A$2:$A$455,0)))</f>
        <v/>
      </c>
    </row>
    <row r="132" ht="86" customHeight="1">
      <c r="A132" s="4" t="inlineStr">
        <is>
          <t>143</t>
        </is>
      </c>
      <c r="B132" s="4" t="inlineStr">
        <is>
          <t>Historical</t>
        </is>
      </c>
      <c r="C132" s="4" t="inlineStr">
        <is>
          <t>Biomarker prediction in autism spectrum disorder using a network-based approach</t>
        </is>
      </c>
      <c r="D132" s="4" t="n">
        <v>0</v>
      </c>
      <c r="E132" s="4" t="n">
        <v>0</v>
      </c>
      <c r="F132" s="4" t="n">
        <v>0</v>
      </c>
      <c r="G132" s="4" t="n">
        <v>0</v>
      </c>
      <c r="H132" s="4" t="n">
        <v>0</v>
      </c>
      <c r="I132" s="4" t="n">
        <v>0</v>
      </c>
      <c r="J132" s="4" t="n">
        <v>0</v>
      </c>
      <c r="K132" s="4" t="inlineStr">
        <is>
          <t>Historical signals: title/abstract/notes; full-text completion not independently established</t>
        </is>
      </c>
      <c r="L132" s="4" t="inlineStr">
        <is>
          <t>Algoritmo principal no explícito o fuera del codebook; Confirmar algoritmo principal en full-text</t>
        </is>
      </c>
      <c r="M132" s="4" t="inlineStr">
        <is>
          <t>https://doi.org/10.1186/s12920-023-01439-5</t>
        </is>
      </c>
      <c r="N132" s="4" t="n">
        <v>0</v>
      </c>
      <c r="O132" s="4" t="n">
        <v>0</v>
      </c>
      <c r="P132" s="4" t="n">
        <v>1</v>
      </c>
      <c r="Q132" s="12" t="n"/>
      <c r="R132" s="41" t="n"/>
      <c r="S132" s="4" t="inlineStr">
        <is>
          <t>0 = no reported evidence in material assessed; blank = not coded/unknown; neither proves absence</t>
        </is>
      </c>
      <c r="T132" s="4">
        <f>IF(COUNTIFS('ESTUDIOS'!$A$2:$A$455,$A132,'ESTUDIOS'!$I$2:$I$455,"")&gt;0,"",INDEX('ESTUDIOS'!$I$2:$I$455,MATCH($A132,'ESTUDIOS'!$A$2:$A$455,0)))</f>
        <v/>
      </c>
    </row>
    <row r="133" ht="86" customHeight="1">
      <c r="A133" s="4" t="inlineStr">
        <is>
          <t>144</t>
        </is>
      </c>
      <c r="B133" s="4" t="inlineStr">
        <is>
          <t>Historical</t>
        </is>
      </c>
      <c r="C133" s="4" t="inlineStr">
        <is>
          <t>Classifying autism in a clinical population based on motion synchrony: a proof-of-concept study using real-life diagnostic interviews</t>
        </is>
      </c>
      <c r="D133" s="4" t="n">
        <v>0</v>
      </c>
      <c r="E133" s="4" t="n">
        <v>0</v>
      </c>
      <c r="F133" s="4" t="n">
        <v>0</v>
      </c>
      <c r="G133" s="4" t="n">
        <v>0</v>
      </c>
      <c r="H133" s="4" t="n">
        <v>0</v>
      </c>
      <c r="I133" s="4" t="n">
        <v>0</v>
      </c>
      <c r="J133" s="4" t="n">
        <v>0</v>
      </c>
      <c r="K133" s="4" t="inlineStr">
        <is>
          <t>Historical signals: title/abstract/notes; full-text completion not independently established</t>
        </is>
      </c>
      <c r="L133" s="4" t="str"/>
      <c r="M133" s="4" t="inlineStr">
        <is>
          <t>https://doi.org/10.1038/s41598-024-56098-y</t>
        </is>
      </c>
      <c r="N133" s="4" t="n">
        <v>0</v>
      </c>
      <c r="O133" s="4" t="n">
        <v>0</v>
      </c>
      <c r="P133" s="4" t="n">
        <v>0</v>
      </c>
      <c r="Q133" s="12" t="n"/>
      <c r="R133" s="41" t="n"/>
      <c r="S133" s="4" t="inlineStr">
        <is>
          <t>0 = no reported evidence in material assessed; blank = not coded/unknown; neither proves absence</t>
        </is>
      </c>
      <c r="T133" s="4">
        <f>IF(COUNTIFS('ESTUDIOS'!$A$2:$A$455,$A133,'ESTUDIOS'!$I$2:$I$455,"")&gt;0,"",INDEX('ESTUDIOS'!$I$2:$I$455,MATCH($A133,'ESTUDIOS'!$A$2:$A$455,0)))</f>
        <v/>
      </c>
    </row>
    <row r="134" ht="86" customHeight="1">
      <c r="A134" s="4" t="inlineStr">
        <is>
          <t>145</t>
        </is>
      </c>
      <c r="B134" s="4" t="inlineStr">
        <is>
          <t>Historical</t>
        </is>
      </c>
      <c r="C134" s="4" t="inlineStr">
        <is>
          <t>Clinical Evaluation of a Novel and Mobile Autism Risk Assessment</t>
        </is>
      </c>
      <c r="D134" s="4" t="n">
        <v>0</v>
      </c>
      <c r="E134" s="4" t="n">
        <v>0</v>
      </c>
      <c r="F134" s="4" t="n">
        <v>0</v>
      </c>
      <c r="G134" s="4" t="n">
        <v>0</v>
      </c>
      <c r="H134" s="4" t="n">
        <v>0</v>
      </c>
      <c r="I134" s="4" t="n">
        <v>0</v>
      </c>
      <c r="J134" s="4" t="n">
        <v>0</v>
      </c>
      <c r="K134" s="4" t="inlineStr">
        <is>
          <t>Historical signals: title/abstract/notes; full-text completion not independently established</t>
        </is>
      </c>
      <c r="L134" s="4" t="inlineStr">
        <is>
          <t>Alternating Decision Tree (ADTree)” es una variante de árbol de decisión; por eso cae naturalmente en Decision Tree</t>
        </is>
      </c>
      <c r="M134" s="4" t="inlineStr">
        <is>
          <t>https://doi.org/10.1007/s10803-016-2718-4</t>
        </is>
      </c>
      <c r="N134" s="4" t="n">
        <v>0</v>
      </c>
      <c r="O134" s="4" t="n">
        <v>0</v>
      </c>
      <c r="P134" s="4" t="n">
        <v>1</v>
      </c>
      <c r="Q134" s="12" t="n"/>
      <c r="R134" s="41" t="n"/>
      <c r="S134" s="4" t="inlineStr">
        <is>
          <t>0 = no reported evidence in material assessed; blank = not coded/unknown; neither proves absence</t>
        </is>
      </c>
      <c r="T134" s="4">
        <f>IF(COUNTIFS('ESTUDIOS'!$A$2:$A$455,$A134,'ESTUDIOS'!$I$2:$I$455,"")&gt;0,"",INDEX('ESTUDIOS'!$I$2:$I$455,MATCH($A134,'ESTUDIOS'!$A$2:$A$455,0)))</f>
        <v/>
      </c>
    </row>
    <row r="135" ht="86" customHeight="1">
      <c r="A135" s="4" t="inlineStr">
        <is>
          <t>146</t>
        </is>
      </c>
      <c r="B135" s="4" t="inlineStr">
        <is>
          <t>Historical</t>
        </is>
      </c>
      <c r="C135" s="4" t="inlineStr">
        <is>
          <t>Comparison of classification algorithms for predicting autistic spectrum disorder using WEKA modeler</t>
        </is>
      </c>
      <c r="D135" s="4" t="n">
        <v>0</v>
      </c>
      <c r="E135" s="4" t="n">
        <v>0</v>
      </c>
      <c r="F135" s="4" t="n">
        <v>0</v>
      </c>
      <c r="G135" s="4" t="n">
        <v>0</v>
      </c>
      <c r="H135" s="4" t="n">
        <v>0</v>
      </c>
      <c r="I135" s="4" t="n">
        <v>0</v>
      </c>
      <c r="J135" s="4" t="n">
        <v>0</v>
      </c>
      <c r="K135" s="4" t="inlineStr">
        <is>
          <t>Historical signals: title/abstract/notes; full-text completion not independently established</t>
        </is>
      </c>
      <c r="L135" s="4" t="inlineStr">
        <is>
          <t>Se comparan varios modelos; se eligió el principal/mejor reportado</t>
        </is>
      </c>
      <c r="M135" s="4" t="inlineStr">
        <is>
          <t>https://doi.org/10.1186/s12911-022-02050-x</t>
        </is>
      </c>
      <c r="N135" s="4" t="n">
        <v>0</v>
      </c>
      <c r="O135" s="4" t="n">
        <v>0</v>
      </c>
      <c r="P135" s="4" t="n">
        <v>0</v>
      </c>
      <c r="Q135" s="12" t="n"/>
      <c r="R135" s="41" t="n"/>
      <c r="S135" s="4" t="inlineStr">
        <is>
          <t>0 = no reported evidence in material assessed; blank = not coded/unknown; neither proves absence</t>
        </is>
      </c>
      <c r="T135" s="4">
        <f>IF(COUNTIFS('ESTUDIOS'!$A$2:$A$455,$A135,'ESTUDIOS'!$I$2:$I$455,"")&gt;0,"",INDEX('ESTUDIOS'!$I$2:$I$455,MATCH($A135,'ESTUDIOS'!$A$2:$A$455,0)))</f>
        <v/>
      </c>
    </row>
    <row r="136" ht="86" customHeight="1">
      <c r="A136" s="4" t="inlineStr">
        <is>
          <t>147</t>
        </is>
      </c>
      <c r="B136" s="4" t="inlineStr">
        <is>
          <t>Historical</t>
        </is>
      </c>
      <c r="C136" s="4" t="inlineStr">
        <is>
          <t>DALNN: Dual Attention Learning Neural Network for Diagnosis of Autism Spectrum Disorders and Exploration of Lesion Brain Regions</t>
        </is>
      </c>
      <c r="D136" s="4" t="n">
        <v>0</v>
      </c>
      <c r="E136" s="4" t="n">
        <v>1</v>
      </c>
      <c r="F136" s="4" t="n">
        <v>0</v>
      </c>
      <c r="G136" s="4" t="n">
        <v>0</v>
      </c>
      <c r="H136" s="4" t="n">
        <v>0</v>
      </c>
      <c r="I136" s="4" t="n">
        <v>0</v>
      </c>
      <c r="J136" s="4" t="n">
        <v>1</v>
      </c>
      <c r="K136" s="4" t="inlineStr">
        <is>
          <t>Historical signals: title/abstract/notes; full-text completion not independently established</t>
        </is>
      </c>
      <c r="L136" s="4" t="inlineStr">
        <is>
          <t>Algoritmo principal no explícito o fuera del codebook; Confirmar algoritmo principal en full-text</t>
        </is>
      </c>
      <c r="M136" s="4" t="inlineStr">
        <is>
          <t>https://doi.org/10.1109/tcss.2025.3593119</t>
        </is>
      </c>
      <c r="N136" s="4" t="n">
        <v>0</v>
      </c>
      <c r="O136" s="4" t="n">
        <v>1</v>
      </c>
      <c r="P136" s="4" t="n">
        <v>1</v>
      </c>
      <c r="Q136" s="12" t="n"/>
      <c r="R136" s="41" t="n"/>
      <c r="S136" s="4" t="inlineStr">
        <is>
          <t>0 = no reported evidence in material assessed; blank = not coded/unknown; neither proves absence</t>
        </is>
      </c>
      <c r="T136" s="4">
        <f>IF(COUNTIFS('ESTUDIOS'!$A$2:$A$455,$A136,'ESTUDIOS'!$I$2:$I$455,"")&gt;0,"",INDEX('ESTUDIOS'!$I$2:$I$455,MATCH($A136,'ESTUDIOS'!$A$2:$A$455,0)))</f>
        <v/>
      </c>
    </row>
    <row r="137" ht="86" customHeight="1">
      <c r="A137" s="4" t="inlineStr">
        <is>
          <t>148</t>
        </is>
      </c>
      <c r="B137" s="4" t="inlineStr">
        <is>
          <t>Historical</t>
        </is>
      </c>
      <c r="C137" s="4" t="inlineStr">
        <is>
          <t>Detecting Autism Spectrum Disorder and Attention Deficit Hyperactivity Disorder Using Multimodal Time-Frequency Analysis with Machine Learning Using the Electroretinogram from Two Flash Strengths</t>
        </is>
      </c>
      <c r="D137" s="4" t="n">
        <v>0</v>
      </c>
      <c r="E137" s="4" t="n">
        <v>0</v>
      </c>
      <c r="F137" s="4" t="n">
        <v>0</v>
      </c>
      <c r="G137" s="4" t="n">
        <v>0</v>
      </c>
      <c r="H137" s="4" t="n">
        <v>0</v>
      </c>
      <c r="I137" s="4" t="n">
        <v>0</v>
      </c>
      <c r="J137" s="4" t="n">
        <v>1</v>
      </c>
      <c r="K137" s="4" t="inlineStr">
        <is>
          <t>Historical signals: title/abstract/notes; full-text completion not independently established</t>
        </is>
      </c>
      <c r="L137" s="4" t="str"/>
      <c r="M137" s="4" t="inlineStr">
        <is>
          <t>https://doi.org/10.1007/s10803-024-06290-w</t>
        </is>
      </c>
      <c r="N137" s="4" t="n">
        <v>0</v>
      </c>
      <c r="O137" s="4" t="n">
        <v>1</v>
      </c>
      <c r="P137" s="4" t="n">
        <v>0</v>
      </c>
      <c r="Q137" s="12" t="n"/>
      <c r="R137" s="41" t="n"/>
      <c r="S137" s="4" t="inlineStr">
        <is>
          <t>0 = no reported evidence in material assessed; blank = not coded/unknown; neither proves absence</t>
        </is>
      </c>
      <c r="T137" s="4">
        <f>IF(COUNTIFS('ESTUDIOS'!$A$2:$A$455,$A137,'ESTUDIOS'!$I$2:$I$455,"")&gt;0,"",INDEX('ESTUDIOS'!$I$2:$I$455,MATCH($A137,'ESTUDIOS'!$A$2:$A$455,0)))</f>
        <v/>
      </c>
    </row>
    <row r="138" ht="86" customHeight="1">
      <c r="A138" s="4" t="inlineStr">
        <is>
          <t>149</t>
        </is>
      </c>
      <c r="B138" s="4" t="inlineStr">
        <is>
          <t>Historical</t>
        </is>
      </c>
      <c r="C138" s="4" t="inlineStr">
        <is>
          <t>Diagnostic classification for human autism and obsessive-compulsive disorder based on machine learning from a primate genetic model</t>
        </is>
      </c>
      <c r="D138" s="4" t="n">
        <v>0</v>
      </c>
      <c r="E138" s="4" t="n">
        <v>1</v>
      </c>
      <c r="F138" s="4" t="n">
        <v>0</v>
      </c>
      <c r="G138" s="4" t="n">
        <v>0</v>
      </c>
      <c r="H138" s="4" t="n">
        <v>0</v>
      </c>
      <c r="I138" s="4" t="n">
        <v>0</v>
      </c>
      <c r="J138" s="4" t="n">
        <v>1</v>
      </c>
      <c r="K138" s="4" t="inlineStr">
        <is>
          <t>Historical signals: title/abstract/notes; full-text completion not independently established</t>
        </is>
      </c>
      <c r="L138" s="4" t="inlineStr">
        <is>
          <t>Clasificación diagnóstica basada en modelo genético de primates; confirmar fuente biológica exacta.</t>
        </is>
      </c>
      <c r="M138" s="4" t="inlineStr">
        <is>
          <t>https://doi.org/10.1176/appi.ajp.2020.19101091</t>
        </is>
      </c>
      <c r="N138" s="4" t="n">
        <v>0</v>
      </c>
      <c r="O138" s="4" t="n">
        <v>1</v>
      </c>
      <c r="P138" s="4" t="n">
        <v>1</v>
      </c>
      <c r="Q138" s="12" t="n"/>
      <c r="R138" s="41" t="n"/>
      <c r="S138" s="4" t="inlineStr">
        <is>
          <t>0 = no reported evidence in material assessed; blank = not coded/unknown; neither proves absence</t>
        </is>
      </c>
      <c r="T138" s="4">
        <f>IF(COUNTIFS('ESTUDIOS'!$A$2:$A$455,$A138,'ESTUDIOS'!$I$2:$I$455,"")&gt;0,"",INDEX('ESTUDIOS'!$I$2:$I$455,MATCH($A138,'ESTUDIOS'!$A$2:$A$455,0)))</f>
        <v/>
      </c>
    </row>
    <row r="139" ht="86" customHeight="1">
      <c r="A139" s="4" t="inlineStr">
        <is>
          <t>150</t>
        </is>
      </c>
      <c r="B139" s="4" t="inlineStr">
        <is>
          <t>Historical</t>
        </is>
      </c>
      <c r="C139" s="4" t="inlineStr">
        <is>
          <t>Diagnostic shifts in autism spectrum disorder can be linked to the fuzzy nature of the diagnostic boundary: a data-driven approach</t>
        </is>
      </c>
      <c r="D139" s="4" t="n">
        <v>0</v>
      </c>
      <c r="E139" s="4" t="n">
        <v>0</v>
      </c>
      <c r="F139" s="4" t="n">
        <v>0</v>
      </c>
      <c r="G139" s="4" t="n">
        <v>0</v>
      </c>
      <c r="H139" s="4" t="n">
        <v>0</v>
      </c>
      <c r="I139" s="4" t="n">
        <v>1</v>
      </c>
      <c r="J139" s="4" t="n">
        <v>0</v>
      </c>
      <c r="K139" s="4" t="inlineStr">
        <is>
          <t>Historical signals: title/abstract/notes; full-text completion not independently established</t>
        </is>
      </c>
      <c r="L139" s="4" t="inlineStr">
        <is>
          <t>Algoritmo principal no explícito o fuera del codebook; Confirmar algoritmo principal en full-text; Se comparan varios modelos; se eligió el principal/mejor reportado</t>
        </is>
      </c>
      <c r="M139" s="4" t="inlineStr">
        <is>
          <t>https://doi.org/10.1111/jcpp.13406</t>
        </is>
      </c>
      <c r="N139" s="4" t="n">
        <v>1</v>
      </c>
      <c r="O139" s="4" t="n">
        <v>0</v>
      </c>
      <c r="P139" s="4" t="n">
        <v>1</v>
      </c>
      <c r="Q139" s="12" t="n"/>
      <c r="R139" s="41" t="n"/>
      <c r="S139" s="4" t="inlineStr">
        <is>
          <t>0 = no reported evidence in material assessed; blank = not coded/unknown; neither proves absence</t>
        </is>
      </c>
      <c r="T139" s="4">
        <f>IF(COUNTIFS('ESTUDIOS'!$A$2:$A$455,$A139,'ESTUDIOS'!$I$2:$I$455,"")&gt;0,"",INDEX('ESTUDIOS'!$I$2:$I$455,MATCH($A139,'ESTUDIOS'!$A$2:$A$455,0)))</f>
        <v/>
      </c>
    </row>
    <row r="140" ht="86" customHeight="1">
      <c r="A140" s="4" t="inlineStr">
        <is>
          <t>151</t>
        </is>
      </c>
      <c r="B140" s="4" t="inlineStr">
        <is>
          <t>Historical</t>
        </is>
      </c>
      <c r="C140" s="4" t="inlineStr">
        <is>
          <t>Early identification of autism spectrum disorder by multi-instrument fusion: A clinically applicable machine learning approach</t>
        </is>
      </c>
      <c r="D140" s="4" t="n">
        <v>1</v>
      </c>
      <c r="E140" s="4" t="n">
        <v>0</v>
      </c>
      <c r="F140" s="4" t="n">
        <v>0</v>
      </c>
      <c r="G140" s="4" t="n">
        <v>0</v>
      </c>
      <c r="H140" s="4" t="n">
        <v>1</v>
      </c>
      <c r="I140" s="4" t="n">
        <v>0</v>
      </c>
      <c r="J140" s="4" t="n">
        <v>1</v>
      </c>
      <c r="K140" s="4" t="inlineStr">
        <is>
          <t>Historical signals: title/abstract/notes; full-text completion not independently established</t>
        </is>
      </c>
      <c r="L140" s="4" t="inlineStr">
        <is>
          <t>Fusión multi-instrumento para identificación temprana; enfoque clínicamente aplicable de cribado.</t>
        </is>
      </c>
      <c r="M140" s="4" t="inlineStr">
        <is>
          <t>https://doi.org/10.1016/j.psychres.2023.115050</t>
        </is>
      </c>
      <c r="N140" s="4" t="n">
        <v>1</v>
      </c>
      <c r="O140" s="4" t="n">
        <v>1</v>
      </c>
      <c r="P140" s="4" t="n">
        <v>0</v>
      </c>
      <c r="Q140" s="12" t="n"/>
      <c r="R140" s="41" t="n"/>
      <c r="S140" s="4" t="inlineStr">
        <is>
          <t>0 = no reported evidence in material assessed; blank = not coded/unknown; neither proves absence</t>
        </is>
      </c>
      <c r="T140" s="4">
        <f>IF(COUNTIFS('ESTUDIOS'!$A$2:$A$455,$A140,'ESTUDIOS'!$I$2:$I$455,"")&gt;0,"",INDEX('ESTUDIOS'!$I$2:$I$455,MATCH($A140,'ESTUDIOS'!$A$2:$A$455,0)))</f>
        <v/>
      </c>
    </row>
    <row r="141" ht="86" customHeight="1">
      <c r="A141" s="4" t="inlineStr">
        <is>
          <t>152</t>
        </is>
      </c>
      <c r="B141" s="4" t="inlineStr">
        <is>
          <t>Historical</t>
        </is>
      </c>
      <c r="C141" s="4" t="inlineStr">
        <is>
          <t>Early screening of autism spectrum disorder diagnoses of children using artificial intelligence</t>
        </is>
      </c>
      <c r="D141" s="4" t="n">
        <v>0</v>
      </c>
      <c r="E141" s="4" t="n">
        <v>0</v>
      </c>
      <c r="F141" s="4" t="n">
        <v>0</v>
      </c>
      <c r="G141" s="4" t="n">
        <v>0</v>
      </c>
      <c r="H141" s="4" t="n">
        <v>0</v>
      </c>
      <c r="I141" s="4" t="n">
        <v>0</v>
      </c>
      <c r="J141" s="4" t="n">
        <v>1</v>
      </c>
      <c r="K141" s="4" t="inlineStr">
        <is>
          <t>Historical signals: title/abstract/notes; full-text completion not independently established</t>
        </is>
      </c>
      <c r="L141" s="4" t="str"/>
      <c r="M141" s="4" t="inlineStr">
        <is>
          <t>https://doi.org/10.57197/jdr-2023-0004</t>
        </is>
      </c>
      <c r="N141" s="4" t="n">
        <v>0</v>
      </c>
      <c r="O141" s="4" t="n">
        <v>1</v>
      </c>
      <c r="P141" s="4" t="n">
        <v>1</v>
      </c>
      <c r="Q141" s="12" t="n"/>
      <c r="R141" s="41" t="n"/>
      <c r="S141" s="4" t="inlineStr">
        <is>
          <t>0 = no reported evidence in material assessed; blank = not coded/unknown; neither proves absence</t>
        </is>
      </c>
      <c r="T141" s="4">
        <f>IF(COUNTIFS('ESTUDIOS'!$A$2:$A$455,$A141,'ESTUDIOS'!$I$2:$I$455,"")&gt;0,"",INDEX('ESTUDIOS'!$I$2:$I$455,MATCH($A141,'ESTUDIOS'!$A$2:$A$455,0)))</f>
        <v/>
      </c>
    </row>
    <row r="142" ht="86" customHeight="1">
      <c r="A142" s="4" t="inlineStr">
        <is>
          <t>153</t>
        </is>
      </c>
      <c r="B142" s="4" t="inlineStr">
        <is>
          <t>Historical</t>
        </is>
      </c>
      <c r="C142" s="4" t="inlineStr">
        <is>
          <t>Enhanced Special Needs Assessment: A Multimodal Approach for Autism Prediction</t>
        </is>
      </c>
      <c r="D142" s="4" t="n">
        <v>0</v>
      </c>
      <c r="E142" s="4" t="n">
        <v>0</v>
      </c>
      <c r="F142" s="4" t="n">
        <v>0</v>
      </c>
      <c r="G142" s="4" t="n">
        <v>0</v>
      </c>
      <c r="H142" s="4" t="n">
        <v>0</v>
      </c>
      <c r="I142" s="4" t="n">
        <v>0</v>
      </c>
      <c r="J142" s="4" t="n">
        <v>1</v>
      </c>
      <c r="K142" s="4" t="inlineStr">
        <is>
          <t>Historical signals: title/abstract/notes; full-text completion not independently established</t>
        </is>
      </c>
      <c r="L142" s="4" t="str"/>
      <c r="M142" s="4" t="inlineStr">
        <is>
          <t>https://doi.org/10.1109/access.2024.3453440</t>
        </is>
      </c>
      <c r="N142" s="4" t="n">
        <v>0</v>
      </c>
      <c r="O142" s="4" t="n">
        <v>1</v>
      </c>
      <c r="P142" s="4" t="n">
        <v>1</v>
      </c>
      <c r="Q142" s="12" t="n"/>
      <c r="R142" s="41" t="n"/>
      <c r="S142" s="4" t="inlineStr">
        <is>
          <t>0 = no reported evidence in material assessed; blank = not coded/unknown; neither proves absence</t>
        </is>
      </c>
      <c r="T142" s="4">
        <f>IF(COUNTIFS('ESTUDIOS'!$A$2:$A$455,$A142,'ESTUDIOS'!$I$2:$I$455,"")&gt;0,"",INDEX('ESTUDIOS'!$I$2:$I$455,MATCH($A142,'ESTUDIOS'!$A$2:$A$455,0)))</f>
        <v/>
      </c>
    </row>
    <row r="143" ht="86" customHeight="1">
      <c r="A143" s="4" t="inlineStr">
        <is>
          <t>154</t>
        </is>
      </c>
      <c r="B143" s="4" t="inlineStr">
        <is>
          <t>Historical</t>
        </is>
      </c>
      <c r="C143" s="4" t="inlineStr">
        <is>
          <t>Enhancing Early Diagnosis of Autism Spectrum Disorder in Children: A Comparative Analysis of Machine Learning Techniques</t>
        </is>
      </c>
      <c r="D143" s="4" t="n">
        <v>0</v>
      </c>
      <c r="E143" s="4" t="n">
        <v>0</v>
      </c>
      <c r="F143" s="4" t="n">
        <v>0</v>
      </c>
      <c r="G143" s="4" t="n">
        <v>0</v>
      </c>
      <c r="H143" s="4" t="n">
        <v>0</v>
      </c>
      <c r="I143" s="4" t="n">
        <v>0</v>
      </c>
      <c r="J143" s="4" t="n">
        <v>1</v>
      </c>
      <c r="K143" s="4" t="inlineStr">
        <is>
          <t>Historical signals: title/abstract/notes; full-text completion not independently established</t>
        </is>
      </c>
      <c r="L143" s="4" t="inlineStr">
        <is>
          <t>Comparative study; no best model declared in abstract</t>
        </is>
      </c>
      <c r="M143" s="4" t="inlineStr">
        <is>
          <t>https://doi.org/10.1007/978-981-97-6995-7_34</t>
        </is>
      </c>
      <c r="N143" s="4" t="n">
        <v>0</v>
      </c>
      <c r="O143" s="4" t="n">
        <v>1</v>
      </c>
      <c r="P143" s="4" t="n">
        <v>1</v>
      </c>
      <c r="Q143" s="12" t="n"/>
      <c r="R143" s="41" t="n"/>
      <c r="S143" s="4" t="inlineStr">
        <is>
          <t>0 = no reported evidence in material assessed; blank = not coded/unknown; neither proves absence</t>
        </is>
      </c>
      <c r="T143" s="4">
        <f>IF(COUNTIFS('ESTUDIOS'!$A$2:$A$455,$A143,'ESTUDIOS'!$I$2:$I$455,"")&gt;0,"",INDEX('ESTUDIOS'!$I$2:$I$455,MATCH($A143,'ESTUDIOS'!$A$2:$A$455,0)))</f>
        <v/>
      </c>
    </row>
    <row r="144" ht="86" customHeight="1">
      <c r="A144" s="4" t="inlineStr">
        <is>
          <t>155</t>
        </is>
      </c>
      <c r="B144" s="4" t="inlineStr">
        <is>
          <t>Historical</t>
        </is>
      </c>
      <c r="C144" s="4" t="inlineStr">
        <is>
          <t>Evaluation of AI tools for healthcare networks at the cloud-edge interaction to diagnose autism in educational environments</t>
        </is>
      </c>
      <c r="D144" s="4" t="n">
        <v>0</v>
      </c>
      <c r="E144" s="4" t="n">
        <v>0</v>
      </c>
      <c r="F144" s="4" t="n">
        <v>0</v>
      </c>
      <c r="G144" s="4" t="n">
        <v>0</v>
      </c>
      <c r="H144" s="4" t="n">
        <v>0</v>
      </c>
      <c r="I144" s="4" t="n">
        <v>0</v>
      </c>
      <c r="J144" s="4" t="n">
        <v>1</v>
      </c>
      <c r="K144" s="4" t="inlineStr">
        <is>
          <t>Historical signals: title/abstract/notes; full-text completion not independently established</t>
        </is>
      </c>
      <c r="L144" s="4" t="inlineStr">
        <is>
          <t>Discute varias técnicas pero aplica AlexNet sobre rostros en entorno educativo; confirmar diseño final.</t>
        </is>
      </c>
      <c r="M144" s="4" t="inlineStr">
        <is>
          <t>https://doi.org/10.1186/s13677-023-00558-9</t>
        </is>
      </c>
      <c r="N144" s="4" t="n">
        <v>0</v>
      </c>
      <c r="O144" s="4" t="n">
        <v>1</v>
      </c>
      <c r="P144" s="4" t="n">
        <v>1</v>
      </c>
      <c r="Q144" s="12" t="n"/>
      <c r="R144" s="41" t="n"/>
      <c r="S144" s="4" t="inlineStr">
        <is>
          <t>0 = no reported evidence in material assessed; blank = not coded/unknown; neither proves absence</t>
        </is>
      </c>
      <c r="T144" s="4">
        <f>IF(COUNTIFS('ESTUDIOS'!$A$2:$A$455,$A144,'ESTUDIOS'!$I$2:$I$455,"")&gt;0,"",INDEX('ESTUDIOS'!$I$2:$I$455,MATCH($A144,'ESTUDIOS'!$A$2:$A$455,0)))</f>
        <v/>
      </c>
    </row>
    <row r="145" ht="86" customHeight="1">
      <c r="A145" s="4" t="inlineStr">
        <is>
          <t>156</t>
        </is>
      </c>
      <c r="B145" s="4" t="inlineStr">
        <is>
          <t>Historical</t>
        </is>
      </c>
      <c r="C145" s="4" t="inlineStr">
        <is>
          <t>Exploring sMRI Biomarkers for Diagnosis of Autism Spectrum Disorders Based on Multi Class Activation Mapping Models</t>
        </is>
      </c>
      <c r="D145" s="4" t="n">
        <v>0</v>
      </c>
      <c r="E145" s="4" t="n">
        <v>0</v>
      </c>
      <c r="F145" s="4" t="n">
        <v>0</v>
      </c>
      <c r="G145" s="4" t="n">
        <v>0</v>
      </c>
      <c r="H145" s="4" t="n">
        <v>1</v>
      </c>
      <c r="I145" s="4" t="n">
        <v>0</v>
      </c>
      <c r="J145" s="4" t="n">
        <v>0</v>
      </c>
      <c r="K145" s="4" t="inlineStr">
        <is>
          <t>Historical signals: title/abstract/notes; full-text completion not independently established</t>
        </is>
      </c>
      <c r="L145" s="4" t="inlineStr">
        <is>
          <t>Algoritmo principal no explícito o fuera del codebook; Confirmar algoritmo principal en full-text</t>
        </is>
      </c>
      <c r="M145" s="4" t="inlineStr">
        <is>
          <t>https://doi.org/10.1109/access.2021.3069211</t>
        </is>
      </c>
      <c r="N145" s="4" t="n">
        <v>1</v>
      </c>
      <c r="O145" s="4" t="n">
        <v>0</v>
      </c>
      <c r="P145" s="4" t="n">
        <v>1</v>
      </c>
      <c r="Q145" s="12" t="n"/>
      <c r="R145" s="41" t="n"/>
      <c r="S145" s="4" t="inlineStr">
        <is>
          <t>0 = no reported evidence in material assessed; blank = not coded/unknown; neither proves absence</t>
        </is>
      </c>
      <c r="T145" s="4">
        <f>IF(COUNTIFS('ESTUDIOS'!$A$2:$A$455,$A145,'ESTUDIOS'!$I$2:$I$455,"")&gt;0,"",INDEX('ESTUDIOS'!$I$2:$I$455,MATCH($A145,'ESTUDIOS'!$A$2:$A$455,0)))</f>
        <v/>
      </c>
    </row>
    <row r="146" ht="86" customHeight="1">
      <c r="A146" s="4" t="inlineStr">
        <is>
          <t>157</t>
        </is>
      </c>
      <c r="B146" s="4" t="inlineStr">
        <is>
          <t>Historical</t>
        </is>
      </c>
      <c r="C146" s="4" t="inlineStr">
        <is>
          <t>Functional connectivity classification of autism identifies highly predictive brain features but falls short of biomarker standards</t>
        </is>
      </c>
      <c r="D146" s="4" t="n">
        <v>0</v>
      </c>
      <c r="E146" s="4" t="n">
        <v>1</v>
      </c>
      <c r="F146" s="4" t="n">
        <v>0</v>
      </c>
      <c r="G146" s="4" t="n">
        <v>0</v>
      </c>
      <c r="H146" s="4" t="n">
        <v>0</v>
      </c>
      <c r="I146" s="4" t="n">
        <v>0</v>
      </c>
      <c r="J146" s="4" t="n">
        <v>1</v>
      </c>
      <c r="K146" s="4" t="inlineStr">
        <is>
          <t>Historical signals: title/abstract/notes; full-text completion not independently established</t>
        </is>
      </c>
      <c r="L146" s="4" t="inlineStr">
        <is>
          <t>comparan múltiples algoritmos (RF, KNN, SVM, varias regresiones logísticas, etc.), pero para “main” aquí lo más defendible es Logistic Regression (L2LR) por desempeño consistente.</t>
        </is>
      </c>
      <c r="M146" s="4" t="inlineStr">
        <is>
          <t>https://doi.org/10.1016/j.nicl.2014.12.013</t>
        </is>
      </c>
      <c r="N146" s="4" t="n">
        <v>0</v>
      </c>
      <c r="O146" s="4" t="n">
        <v>1</v>
      </c>
      <c r="P146" s="4" t="n">
        <v>1</v>
      </c>
      <c r="Q146" s="12" t="n"/>
      <c r="R146" s="41" t="n"/>
      <c r="S146" s="4" t="inlineStr">
        <is>
          <t>0 = no reported evidence in material assessed; blank = not coded/unknown; neither proves absence</t>
        </is>
      </c>
      <c r="T146" s="4">
        <f>IF(COUNTIFS('ESTUDIOS'!$A$2:$A$455,$A146,'ESTUDIOS'!$I$2:$I$455,"")&gt;0,"",INDEX('ESTUDIOS'!$I$2:$I$455,MATCH($A146,'ESTUDIOS'!$A$2:$A$455,0)))</f>
        <v/>
      </c>
    </row>
    <row r="147" ht="86" customHeight="1">
      <c r="A147" s="4" t="inlineStr">
        <is>
          <t>158</t>
        </is>
      </c>
      <c r="B147" s="4" t="inlineStr">
        <is>
          <t>Historical</t>
        </is>
      </c>
      <c r="C147" s="4" t="inlineStr">
        <is>
          <t>Graph Convolutional Networks Based on\&amp;#xa0;Relational Attention Mechanism for\&amp;#xa0;Autism Spectrum Disorders Diagnosis</t>
        </is>
      </c>
      <c r="D147" s="4" t="n">
        <v>0</v>
      </c>
      <c r="E147" s="4" t="n">
        <v>1</v>
      </c>
      <c r="F147" s="4" t="n">
        <v>0</v>
      </c>
      <c r="G147" s="4" t="n">
        <v>0</v>
      </c>
      <c r="H147" s="4" t="n">
        <v>0</v>
      </c>
      <c r="I147" s="4" t="n">
        <v>0</v>
      </c>
      <c r="J147" s="4" t="n">
        <v>0</v>
      </c>
      <c r="K147" s="4" t="inlineStr">
        <is>
          <t>Historical signals: title/abstract/notes; full-text completion not independently established</t>
        </is>
      </c>
      <c r="L147" s="4" t="inlineStr">
        <is>
          <t>Algoritmo principal no explícito o fuera del codebook; Confirmar algoritmo principal en full-text; Se comparan varios modelos; se eligió el principal/mejor reportado</t>
        </is>
      </c>
      <c r="M147" s="4" t="inlineStr">
        <is>
          <t>https://doi.org/10.1007/978-3-031-13844-7_33</t>
        </is>
      </c>
      <c r="N147" s="4" t="n">
        <v>0</v>
      </c>
      <c r="O147" s="4" t="n">
        <v>0</v>
      </c>
      <c r="P147" s="4" t="n">
        <v>1</v>
      </c>
      <c r="Q147" s="12" t="n"/>
      <c r="R147" s="41" t="n"/>
      <c r="S147" s="4" t="inlineStr">
        <is>
          <t>0 = no reported evidence in material assessed; blank = not coded/unknown; neither proves absence</t>
        </is>
      </c>
      <c r="T147" s="4">
        <f>IF(COUNTIFS('ESTUDIOS'!$A$2:$A$455,$A147,'ESTUDIOS'!$I$2:$I$455,"")&gt;0,"",INDEX('ESTUDIOS'!$I$2:$I$455,MATCH($A147,'ESTUDIOS'!$A$2:$A$455,0)))</f>
        <v/>
      </c>
    </row>
    <row r="148" ht="86" customHeight="1">
      <c r="A148" s="4" t="inlineStr">
        <is>
          <t>159</t>
        </is>
      </c>
      <c r="B148" s="4" t="inlineStr">
        <is>
          <t>Historical</t>
        </is>
      </c>
      <c r="C148" s="4" t="inlineStr">
        <is>
          <t>Hybrid similarity based feature selection and cascade deep maxout fuzzy network for Autism Spectrum Disorder detection using EEG signal</t>
        </is>
      </c>
      <c r="D148" s="4" t="n">
        <v>0</v>
      </c>
      <c r="E148" s="4" t="n">
        <v>0</v>
      </c>
      <c r="F148" s="4" t="n">
        <v>0</v>
      </c>
      <c r="G148" s="4" t="n">
        <v>0</v>
      </c>
      <c r="H148" s="4" t="n">
        <v>0</v>
      </c>
      <c r="I148" s="4" t="n">
        <v>0</v>
      </c>
      <c r="J148" s="4" t="n">
        <v>0</v>
      </c>
      <c r="K148" s="4" t="inlineStr">
        <is>
          <t>Historical signals: title/abstract/notes; full-text completion not independently established</t>
        </is>
      </c>
      <c r="L148" s="4" t="inlineStr">
        <is>
          <t>Cascade Deep Maxout Fuzzy Network (DMN + neuro-fuzzy), con feature selection por medidas de similitud</t>
        </is>
      </c>
      <c r="M148" s="4" t="inlineStr">
        <is>
          <t>https://doi.org/10.1016/j.compbiolchem.2024.108177</t>
        </is>
      </c>
      <c r="N148" s="4" t="n">
        <v>0</v>
      </c>
      <c r="O148" s="4" t="n">
        <v>0</v>
      </c>
      <c r="P148" s="4" t="n">
        <v>0</v>
      </c>
      <c r="Q148" s="12" t="n"/>
      <c r="R148" s="41" t="n"/>
      <c r="S148" s="4" t="inlineStr">
        <is>
          <t>0 = no reported evidence in material assessed; blank = not coded/unknown; neither proves absence</t>
        </is>
      </c>
      <c r="T148" s="4">
        <f>IF(COUNTIFS('ESTUDIOS'!$A$2:$A$455,$A148,'ESTUDIOS'!$I$2:$I$455,"")&gt;0,"",INDEX('ESTUDIOS'!$I$2:$I$455,MATCH($A148,'ESTUDIOS'!$A$2:$A$455,0)))</f>
        <v/>
      </c>
    </row>
    <row r="149" ht="86" customHeight="1">
      <c r="A149" s="4" t="inlineStr">
        <is>
          <t>160</t>
        </is>
      </c>
      <c r="B149" s="4" t="inlineStr">
        <is>
          <t>Historical</t>
        </is>
      </c>
      <c r="C149" s="4" t="inlineStr">
        <is>
          <t>Imputing cognitive impairment in SPARK, a large autism cohort</t>
        </is>
      </c>
      <c r="D149" s="4" t="n">
        <v>0</v>
      </c>
      <c r="E149" s="4" t="n">
        <v>0</v>
      </c>
      <c r="F149" s="4" t="n">
        <v>0</v>
      </c>
      <c r="G149" s="4" t="n">
        <v>0</v>
      </c>
      <c r="H149" s="4" t="n">
        <v>0</v>
      </c>
      <c r="I149" s="4" t="n">
        <v>0</v>
      </c>
      <c r="J149" s="4" t="n">
        <v>0</v>
      </c>
      <c r="K149" s="4" t="inlineStr">
        <is>
          <t>Historical signals: title/abstract/notes; full-text completion not independently established</t>
        </is>
      </c>
      <c r="L149" s="4" t="inlineStr">
        <is>
          <t>el modelo no busca detectar ASD vs no-ASD; trabaja dentro de una cohorte ASD para imputar/estimar capacidad cognitiva / impairment (FSIQ y umbrales). Eso no cae limpio en Prescreening/Screening/Diagnosis/Prognosis/Monitoring de ASD.</t>
        </is>
      </c>
      <c r="M149" s="4" t="inlineStr">
        <is>
          <t>https://doi.org/10.1002/aur.2622</t>
        </is>
      </c>
      <c r="N149" s="4" t="n">
        <v>0</v>
      </c>
      <c r="O149" s="4" t="n">
        <v>0</v>
      </c>
      <c r="P149" s="4" t="n">
        <v>0</v>
      </c>
      <c r="Q149" s="12" t="n"/>
      <c r="R149" s="41" t="n"/>
      <c r="S149" s="4" t="inlineStr">
        <is>
          <t>0 = no reported evidence in material assessed; blank = not coded/unknown; neither proves absence</t>
        </is>
      </c>
      <c r="T149" s="4">
        <f>IF(COUNTIFS('ESTUDIOS'!$A$2:$A$455,$A149,'ESTUDIOS'!$I$2:$I$455,"")&gt;0,"",INDEX('ESTUDIOS'!$I$2:$I$455,MATCH($A149,'ESTUDIOS'!$A$2:$A$455,0)))</f>
        <v/>
      </c>
    </row>
    <row r="150" ht="86" customHeight="1">
      <c r="A150" s="4" t="inlineStr">
        <is>
          <t>162</t>
        </is>
      </c>
      <c r="B150" s="4" t="inlineStr">
        <is>
          <t>Historical</t>
        </is>
      </c>
      <c r="C150" s="4" t="inlineStr">
        <is>
          <t>Machine Learning in ASD: An Intensive Study of Automated Disease Prediction System</t>
        </is>
      </c>
      <c r="D150" s="4" t="n">
        <v>0</v>
      </c>
      <c r="E150" s="4" t="n">
        <v>0</v>
      </c>
      <c r="F150" s="4" t="n">
        <v>0</v>
      </c>
      <c r="G150" s="4" t="n">
        <v>0</v>
      </c>
      <c r="H150" s="4" t="n">
        <v>0</v>
      </c>
      <c r="I150" s="4" t="n">
        <v>0</v>
      </c>
      <c r="J150" s="4" t="n">
        <v>0</v>
      </c>
      <c r="K150" s="4" t="inlineStr">
        <is>
          <t>Historical signals: title/abstract/notes; full-text completion not independently established</t>
        </is>
      </c>
      <c r="L150" s="4" t="inlineStr">
        <is>
          <t>Sin señal explícita Q3 en título/abstract.</t>
        </is>
      </c>
      <c r="M150" s="4" t="inlineStr">
        <is>
          <t>https://doi.org/10.1002/9781119896838.ch18</t>
        </is>
      </c>
      <c r="N150" s="4" t="n">
        <v>0</v>
      </c>
      <c r="O150" s="4" t="n">
        <v>0</v>
      </c>
      <c r="P150" s="4" t="n"/>
      <c r="Q150" s="12" t="n"/>
      <c r="R150" s="41" t="n"/>
      <c r="S150" s="4" t="inlineStr">
        <is>
          <t>0 = no reported evidence in material assessed; blank = not coded/unknown; neither proves absence</t>
        </is>
      </c>
      <c r="T150" s="4">
        <f>IF(COUNTIFS('ESTUDIOS'!$A$2:$A$455,$A150,'ESTUDIOS'!$I$2:$I$455,"")&gt;0,"",INDEX('ESTUDIOS'!$I$2:$I$455,MATCH($A150,'ESTUDIOS'!$A$2:$A$455,0)))</f>
        <v/>
      </c>
    </row>
    <row r="151" ht="86" customHeight="1">
      <c r="A151" s="4" t="inlineStr">
        <is>
          <t>163</t>
        </is>
      </c>
      <c r="B151" s="4" t="inlineStr">
        <is>
          <t>Historical</t>
        </is>
      </c>
      <c r="C151" s="4" t="inlineStr">
        <is>
          <t>Multichannel Deep Attention Neural Networks for the Classification of Autism Spectrum Disorder Using Neuroimaging and Personal Characteristic Data</t>
        </is>
      </c>
      <c r="D151" s="4" t="n">
        <v>0</v>
      </c>
      <c r="E151" s="4" t="n">
        <v>1</v>
      </c>
      <c r="F151" s="4" t="n">
        <v>1</v>
      </c>
      <c r="G151" s="4" t="n">
        <v>0</v>
      </c>
      <c r="H151" s="4" t="n">
        <v>0</v>
      </c>
      <c r="I151" s="4" t="n">
        <v>0</v>
      </c>
      <c r="J151" s="4" t="n">
        <v>1</v>
      </c>
      <c r="K151" s="4" t="inlineStr">
        <is>
          <t>Historical signals: title/abstract/notes; full-text completion not independently established</t>
        </is>
      </c>
      <c r="L151" s="4" t="inlineStr">
        <is>
          <t>Algoritmo principal no explícito o fuera del codebook; Confirmar algoritmo principal en full-text</t>
        </is>
      </c>
      <c r="M151" s="4" t="inlineStr">
        <is>
          <t>https://doi.org/10.1155/2020/1357853</t>
        </is>
      </c>
      <c r="N151" s="4" t="n">
        <v>0</v>
      </c>
      <c r="O151" s="4" t="n">
        <v>1</v>
      </c>
      <c r="P151" s="4" t="n">
        <v>1</v>
      </c>
      <c r="Q151" s="12" t="n"/>
      <c r="R151" s="41" t="n"/>
      <c r="S151" s="4" t="inlineStr">
        <is>
          <t>0 = no reported evidence in material assessed; blank = not coded/unknown; neither proves absence</t>
        </is>
      </c>
      <c r="T151" s="4">
        <f>IF(COUNTIFS('ESTUDIOS'!$A$2:$A$455,$A151,'ESTUDIOS'!$I$2:$I$455,"")&gt;0,"",INDEX('ESTUDIOS'!$I$2:$I$455,MATCH($A151,'ESTUDIOS'!$A$2:$A$455,0)))</f>
        <v/>
      </c>
    </row>
    <row r="152" ht="86" customHeight="1">
      <c r="A152" s="4" t="inlineStr">
        <is>
          <t>164</t>
        </is>
      </c>
      <c r="B152" s="4" t="inlineStr">
        <is>
          <t>Historical</t>
        </is>
      </c>
      <c r="C152" s="4" t="inlineStr">
        <is>
          <t>Multimodal Kernel-based discriminant correlation analysis data-fusion approach: an automated autism spectrum disorder diagnostic system</t>
        </is>
      </c>
      <c r="D152" s="4" t="n">
        <v>0</v>
      </c>
      <c r="E152" s="4" t="n">
        <v>0</v>
      </c>
      <c r="F152" s="4" t="n">
        <v>0</v>
      </c>
      <c r="G152" s="4" t="n">
        <v>0</v>
      </c>
      <c r="H152" s="4" t="n">
        <v>0</v>
      </c>
      <c r="I152" s="4" t="n">
        <v>0</v>
      </c>
      <c r="J152" s="4" t="n">
        <v>1</v>
      </c>
      <c r="K152" s="4" t="inlineStr">
        <is>
          <t>Historical signals: title/abstract/notes; full-text completion not independently established</t>
        </is>
      </c>
      <c r="L152" s="4" t="inlineStr">
        <is>
          <t>Fusión MKDCA + SVM; multimodal EEG+eye-tracking+computational”.</t>
        </is>
      </c>
      <c r="M152" s="4" t="inlineStr">
        <is>
          <t>https://doi.org/10.1007/s13246-023-01350-4</t>
        </is>
      </c>
      <c r="N152" s="4" t="n">
        <v>0</v>
      </c>
      <c r="O152" s="4" t="n">
        <v>1</v>
      </c>
      <c r="P152" s="4" t="n">
        <v>0</v>
      </c>
      <c r="Q152" s="12" t="n"/>
      <c r="R152" s="41" t="n"/>
      <c r="S152" s="4" t="inlineStr">
        <is>
          <t>0 = no reported evidence in material assessed; blank = not coded/unknown; neither proves absence</t>
        </is>
      </c>
      <c r="T152" s="4">
        <f>IF(COUNTIFS('ESTUDIOS'!$A$2:$A$455,$A152,'ESTUDIOS'!$I$2:$I$455,"")&gt;0,"",INDEX('ESTUDIOS'!$I$2:$I$455,MATCH($A152,'ESTUDIOS'!$A$2:$A$455,0)))</f>
        <v/>
      </c>
    </row>
    <row r="153" ht="86" customHeight="1">
      <c r="A153" s="4" t="inlineStr">
        <is>
          <t>165</t>
        </is>
      </c>
      <c r="B153" s="4" t="inlineStr">
        <is>
          <t>Historical</t>
        </is>
      </c>
      <c r="C153" s="4" t="inlineStr">
        <is>
          <t>Phase 3 diagnostic evaluation of a smart tablet serious game to identify autism in 760 children 3-5 years old in Sweden and the United Kingdom</t>
        </is>
      </c>
      <c r="D153" s="4" t="n">
        <v>0</v>
      </c>
      <c r="E153" s="4" t="n">
        <v>0</v>
      </c>
      <c r="F153" s="4" t="n">
        <v>0</v>
      </c>
      <c r="G153" s="4" t="n">
        <v>1</v>
      </c>
      <c r="H153" s="4" t="n">
        <v>0</v>
      </c>
      <c r="I153" s="4" t="n">
        <v>0</v>
      </c>
      <c r="J153" s="4" t="n">
        <v>0</v>
      </c>
      <c r="K153" s="4" t="inlineStr">
        <is>
          <t>Historical signals: title/abstract/notes; full-text completion not independently established</t>
        </is>
      </c>
      <c r="L153" s="4" t="str"/>
      <c r="M153" s="4" t="inlineStr">
        <is>
          <t>https://doi.org/10.1136/bmjopen-2018-026226</t>
        </is>
      </c>
      <c r="N153" s="4" t="n">
        <v>0</v>
      </c>
      <c r="O153" s="4" t="n">
        <v>0</v>
      </c>
      <c r="P153" s="4" t="n">
        <v>0</v>
      </c>
      <c r="Q153" s="12" t="n"/>
      <c r="R153" s="41" t="n"/>
      <c r="S153" s="4" t="inlineStr">
        <is>
          <t>0 = no reported evidence in material assessed; blank = not coded/unknown; neither proves absence</t>
        </is>
      </c>
      <c r="T153" s="4">
        <f>IF(COUNTIFS('ESTUDIOS'!$A$2:$A$455,$A153,'ESTUDIOS'!$I$2:$I$455,"")&gt;0,"",INDEX('ESTUDIOS'!$I$2:$I$455,MATCH($A153,'ESTUDIOS'!$A$2:$A$455,0)))</f>
        <v/>
      </c>
    </row>
    <row r="154" ht="86" customHeight="1">
      <c r="A154" s="4" t="inlineStr">
        <is>
          <t>166</t>
        </is>
      </c>
      <c r="B154" s="4" t="inlineStr">
        <is>
          <t>Historical</t>
        </is>
      </c>
      <c r="C154" s="4" t="inlineStr">
        <is>
          <t>Research and development of autism diagnosis information system based on deep convolution neural network and facial expression data</t>
        </is>
      </c>
      <c r="D154" s="4" t="n">
        <v>0</v>
      </c>
      <c r="E154" s="4" t="n">
        <v>0</v>
      </c>
      <c r="F154" s="4" t="n">
        <v>0</v>
      </c>
      <c r="G154" s="4" t="n">
        <v>0</v>
      </c>
      <c r="H154" s="4" t="n">
        <v>0</v>
      </c>
      <c r="I154" s="4" t="n">
        <v>0</v>
      </c>
      <c r="J154" s="4" t="n">
        <v>0</v>
      </c>
      <c r="K154" s="4" t="inlineStr">
        <is>
          <t>Historical signals: title/abstract/notes; full-text completion not independently established</t>
        </is>
      </c>
      <c r="L154" s="4" t="str"/>
      <c r="M154" s="4" t="inlineStr">
        <is>
          <t>https://doi.org/10.1108/lht-08-2019-0176</t>
        </is>
      </c>
      <c r="N154" s="4" t="n">
        <v>0</v>
      </c>
      <c r="O154" s="4" t="n">
        <v>0</v>
      </c>
      <c r="P154" s="4" t="n">
        <v>0</v>
      </c>
      <c r="Q154" s="12" t="n"/>
      <c r="R154" s="41" t="n"/>
      <c r="S154" s="4" t="inlineStr">
        <is>
          <t>0 = no reported evidence in material assessed; blank = not coded/unknown; neither proves absence</t>
        </is>
      </c>
      <c r="T154" s="4">
        <f>IF(COUNTIFS('ESTUDIOS'!$A$2:$A$455,$A154,'ESTUDIOS'!$I$2:$I$455,"")&gt;0,"",INDEX('ESTUDIOS'!$I$2:$I$455,MATCH($A154,'ESTUDIOS'!$A$2:$A$455,0)))</f>
        <v/>
      </c>
    </row>
    <row r="155" ht="86" customHeight="1">
      <c r="A155" s="4" t="inlineStr">
        <is>
          <t>168</t>
        </is>
      </c>
      <c r="B155" s="4" t="inlineStr">
        <is>
          <t>Historical</t>
        </is>
      </c>
      <c r="C155" s="4" t="inlineStr">
        <is>
          <t>Stratification of Children with Autism Spectrum Disorder Through Fusion of Temporal Information in Eye-gaze Scan-Paths</t>
        </is>
      </c>
      <c r="D155" s="4" t="n">
        <v>0</v>
      </c>
      <c r="E155" s="4" t="n">
        <v>0</v>
      </c>
      <c r="F155" s="4" t="n">
        <v>0</v>
      </c>
      <c r="G155" s="4" t="n">
        <v>0</v>
      </c>
      <c r="H155" s="4" t="n">
        <v>0</v>
      </c>
      <c r="I155" s="4" t="n">
        <v>0</v>
      </c>
      <c r="J155" s="4" t="n">
        <v>0</v>
      </c>
      <c r="K155" s="4" t="inlineStr">
        <is>
          <t>Historical signals: title/abstract/notes; full-text completion not independently established</t>
        </is>
      </c>
      <c r="L155" s="4" t="inlineStr">
        <is>
          <t>Estratificación de niños con ASD usando trayectorias de eye-gaze; confirmar si el objetivo es subtipado vs clasificación.</t>
        </is>
      </c>
      <c r="M155" s="4" t="inlineStr">
        <is>
          <t>https://doi.org/10.1145/3539226</t>
        </is>
      </c>
      <c r="N155" s="4" t="n">
        <v>0</v>
      </c>
      <c r="O155" s="4" t="n">
        <v>0</v>
      </c>
      <c r="P155" s="4" t="n">
        <v>1</v>
      </c>
      <c r="Q155" s="12" t="n"/>
      <c r="R155" s="41" t="n"/>
      <c r="S155" s="4" t="inlineStr">
        <is>
          <t>0 = no reported evidence in material assessed; blank = not coded/unknown; neither proves absence</t>
        </is>
      </c>
      <c r="T155" s="4">
        <f>IF(COUNTIFS('ESTUDIOS'!$A$2:$A$455,$A155,'ESTUDIOS'!$I$2:$I$455,"")&gt;0,"",INDEX('ESTUDIOS'!$I$2:$I$455,MATCH($A155,'ESTUDIOS'!$A$2:$A$455,0)))</f>
        <v/>
      </c>
    </row>
    <row r="156" ht="86" customHeight="1">
      <c r="A156" s="4" t="inlineStr">
        <is>
          <t>169</t>
        </is>
      </c>
      <c r="B156" s="4" t="inlineStr">
        <is>
          <t>Historical</t>
        </is>
      </c>
      <c r="C156" s="4" t="inlineStr">
        <is>
          <t>The Classification of Abnormal Hand Movement to Aid in Autism Detection: Machine Learning Study</t>
        </is>
      </c>
      <c r="D156" s="4" t="n">
        <v>0</v>
      </c>
      <c r="E156" s="4" t="n">
        <v>0</v>
      </c>
      <c r="F156" s="4" t="n">
        <v>0</v>
      </c>
      <c r="G156" s="4" t="n">
        <v>0</v>
      </c>
      <c r="H156" s="4" t="n">
        <v>0</v>
      </c>
      <c r="I156" s="4" t="n">
        <v>0</v>
      </c>
      <c r="J156" s="4" t="n">
        <v>0</v>
      </c>
      <c r="K156" s="4" t="inlineStr">
        <is>
          <t>Historical signals: title/abstract/notes; full-text completion not independently established</t>
        </is>
      </c>
      <c r="L156" s="4" t="str"/>
      <c r="M156" s="4" t="inlineStr">
        <is>
          <t>https://doi.org/10.2196/33771</t>
        </is>
      </c>
      <c r="N156" s="4" t="n">
        <v>0</v>
      </c>
      <c r="O156" s="4" t="n">
        <v>0</v>
      </c>
      <c r="P156" s="4" t="n">
        <v>0</v>
      </c>
      <c r="Q156" s="12" t="n"/>
      <c r="R156" s="41" t="n"/>
      <c r="S156" s="4" t="inlineStr">
        <is>
          <t>0 = no reported evidence in material assessed; blank = not coded/unknown; neither proves absence</t>
        </is>
      </c>
      <c r="T156" s="4">
        <f>IF(COUNTIFS('ESTUDIOS'!$A$2:$A$455,$A156,'ESTUDIOS'!$I$2:$I$455,"")&gt;0,"",INDEX('ESTUDIOS'!$I$2:$I$455,MATCH($A156,'ESTUDIOS'!$A$2:$A$455,0)))</f>
        <v/>
      </c>
    </row>
    <row r="157" ht="86" customHeight="1">
      <c r="A157" s="4" t="inlineStr">
        <is>
          <t>170</t>
        </is>
      </c>
      <c r="B157" s="4" t="inlineStr">
        <is>
          <t>Historical</t>
        </is>
      </c>
      <c r="C157" s="4" t="inlineStr">
        <is>
          <t>The development of a practical artificial intelligence tool for diagnosing and evaluating autism spectrum disorder: Multicenter study</t>
        </is>
      </c>
      <c r="D157" s="4" t="n">
        <v>0</v>
      </c>
      <c r="E157" s="4" t="n">
        <v>1</v>
      </c>
      <c r="F157" s="4" t="n">
        <v>0</v>
      </c>
      <c r="G157" s="4" t="n">
        <v>0</v>
      </c>
      <c r="H157" s="4" t="n">
        <v>0</v>
      </c>
      <c r="I157" s="4" t="n">
        <v>0</v>
      </c>
      <c r="J157" s="4" t="n">
        <v>0</v>
      </c>
      <c r="K157" s="4" t="inlineStr">
        <is>
          <t>Historical signals: title/abstract/notes; full-text completion not independently established</t>
        </is>
      </c>
      <c r="L157" s="4" t="inlineStr">
        <is>
          <t>Algoritmo principal no explícito o fuera del codebook; Confirmar algoritmo principal en full-text; Se comparan varios modelos; se eligió el principal/mejor reportado</t>
        </is>
      </c>
      <c r="M157" s="4" t="inlineStr">
        <is>
          <t>https://doi.org/10.2196/15767</t>
        </is>
      </c>
      <c r="N157" s="4" t="n">
        <v>0</v>
      </c>
      <c r="O157" s="4" t="n">
        <v>0</v>
      </c>
      <c r="P157" s="4" t="n">
        <v>1</v>
      </c>
      <c r="Q157" s="12" t="n"/>
      <c r="R157" s="41" t="n"/>
      <c r="S157" s="4" t="inlineStr">
        <is>
          <t>0 = no reported evidence in material assessed; blank = not coded/unknown; neither proves absence</t>
        </is>
      </c>
      <c r="T157" s="4">
        <f>IF(COUNTIFS('ESTUDIOS'!$A$2:$A$455,$A157,'ESTUDIOS'!$I$2:$I$455,"")&gt;0,"",INDEX('ESTUDIOS'!$I$2:$I$455,MATCH($A157,'ESTUDIOS'!$A$2:$A$455,0)))</f>
        <v/>
      </c>
    </row>
    <row r="158" ht="86" customHeight="1">
      <c r="A158" s="4" t="inlineStr">
        <is>
          <t>171</t>
        </is>
      </c>
      <c r="B158" s="4" t="inlineStr">
        <is>
          <t>Historical</t>
        </is>
      </c>
      <c r="C158" s="4" t="inlineStr">
        <is>
          <t>Toward the Autism Motor Signature: Gesture patterns during smart tablet gameplay identify children with autism</t>
        </is>
      </c>
      <c r="D158" s="4" t="n">
        <v>0</v>
      </c>
      <c r="E158" s="4" t="n">
        <v>0</v>
      </c>
      <c r="F158" s="4" t="n">
        <v>0</v>
      </c>
      <c r="G158" s="4" t="n">
        <v>0</v>
      </c>
      <c r="H158" s="4" t="n">
        <v>0</v>
      </c>
      <c r="I158" s="4" t="n">
        <v>0</v>
      </c>
      <c r="J158" s="4" t="n">
        <v>0</v>
      </c>
      <c r="K158" s="4" t="inlineStr">
        <is>
          <t>Historical signals: title/abstract/notes; full-text completion not independently established</t>
        </is>
      </c>
      <c r="L158" s="4" t="inlineStr">
        <is>
          <t>Algoritmo principal no explícito o fuera del codebook; Confirmar algoritmo principal en full-text</t>
        </is>
      </c>
      <c r="M158" s="4" t="inlineStr">
        <is>
          <t>https://doi.org/10.1038/srep31107</t>
        </is>
      </c>
      <c r="N158" s="4" t="n">
        <v>0</v>
      </c>
      <c r="O158" s="4" t="n">
        <v>0</v>
      </c>
      <c r="P158" s="4" t="n">
        <v>1</v>
      </c>
      <c r="Q158" s="12" t="n"/>
      <c r="R158" s="41" t="n"/>
      <c r="S158" s="4" t="inlineStr">
        <is>
          <t>0 = no reported evidence in material assessed; blank = not coded/unknown; neither proves absence</t>
        </is>
      </c>
      <c r="T158" s="4">
        <f>IF(COUNTIFS('ESTUDIOS'!$A$2:$A$455,$A158,'ESTUDIOS'!$I$2:$I$455,"")&gt;0,"",INDEX('ESTUDIOS'!$I$2:$I$455,MATCH($A158,'ESTUDIOS'!$A$2:$A$455,0)))</f>
        <v/>
      </c>
    </row>
    <row r="159" ht="86" customHeight="1">
      <c r="A159" s="4" t="inlineStr">
        <is>
          <t>172</t>
        </is>
      </c>
      <c r="B159" s="4" t="inlineStr">
        <is>
          <t>Historical</t>
        </is>
      </c>
      <c r="C159" s="4" t="inlineStr">
        <is>
          <t>Using #ActuallyAutistic on Twitter for Precision Diagnosis of Autism Spectrum Disorder: Machine Learning Study</t>
        </is>
      </c>
      <c r="D159" s="4" t="n">
        <v>0</v>
      </c>
      <c r="E159" s="4" t="n">
        <v>0</v>
      </c>
      <c r="F159" s="4" t="n">
        <v>0</v>
      </c>
      <c r="G159" s="4" t="n">
        <v>0</v>
      </c>
      <c r="H159" s="4" t="n">
        <v>0</v>
      </c>
      <c r="I159" s="4" t="n">
        <v>0</v>
      </c>
      <c r="J159" s="4" t="n">
        <v>0</v>
      </c>
      <c r="K159" s="4" t="inlineStr">
        <is>
          <t>Historical signals: title/abstract/notes; full-text completion not independently established</t>
        </is>
      </c>
      <c r="L159" s="4" t="inlineStr">
        <is>
          <t>Clasificación de tweets #ActuallyAutistic; relevancia clínica/etapa RQ1 ambigua.</t>
        </is>
      </c>
      <c r="M159" s="4" t="inlineStr">
        <is>
          <t>https://doi.org/10.2196/52660</t>
        </is>
      </c>
      <c r="N159" s="4" t="n">
        <v>0</v>
      </c>
      <c r="O159" s="4" t="n">
        <v>0</v>
      </c>
      <c r="P159" s="4" t="n">
        <v>1</v>
      </c>
      <c r="Q159" s="12" t="n"/>
      <c r="R159" s="41" t="n"/>
      <c r="S159" s="4" t="inlineStr">
        <is>
          <t>0 = no reported evidence in material assessed; blank = not coded/unknown; neither proves absence</t>
        </is>
      </c>
      <c r="T159" s="4">
        <f>IF(COUNTIFS('ESTUDIOS'!$A$2:$A$455,$A159,'ESTUDIOS'!$I$2:$I$455,"")&gt;0,"",INDEX('ESTUDIOS'!$I$2:$I$455,MATCH($A159,'ESTUDIOS'!$A$2:$A$455,0)))</f>
        <v/>
      </c>
    </row>
    <row r="160" ht="86" customHeight="1">
      <c r="A160" s="4" t="inlineStr">
        <is>
          <t>173</t>
        </is>
      </c>
      <c r="B160" s="4" t="inlineStr">
        <is>
          <t>Historical</t>
        </is>
      </c>
      <c r="C160" s="4" t="inlineStr">
        <is>
          <t>Using machine learning to improve diagnostic assessment of ASD in the light of specific differential and co-occurring diagnoses</t>
        </is>
      </c>
      <c r="D160" s="4" t="n">
        <v>0</v>
      </c>
      <c r="E160" s="4" t="n">
        <v>0</v>
      </c>
      <c r="F160" s="4" t="n">
        <v>0</v>
      </c>
      <c r="G160" s="4" t="n">
        <v>0</v>
      </c>
      <c r="H160" s="4" t="n">
        <v>0</v>
      </c>
      <c r="I160" s="4" t="n">
        <v>0</v>
      </c>
      <c r="J160" s="4" t="n">
        <v>0</v>
      </c>
      <c r="K160" s="4" t="inlineStr">
        <is>
          <t>Historical signals: title/abstract/notes; full-text completion not independently established</t>
        </is>
      </c>
      <c r="L160" s="4" t="inlineStr">
        <is>
          <t>Se comparan varios modelos; se eligió el principal/mejor reportado</t>
        </is>
      </c>
      <c r="M160" s="4" t="inlineStr">
        <is>
          <t>https://doi.org/10.1111/jcpp.13650</t>
        </is>
      </c>
      <c r="N160" s="4" t="n">
        <v>0</v>
      </c>
      <c r="O160" s="4" t="n">
        <v>0</v>
      </c>
      <c r="P160" s="4" t="n">
        <v>0</v>
      </c>
      <c r="Q160" s="12" t="n"/>
      <c r="R160" s="41" t="n"/>
      <c r="S160" s="4" t="inlineStr">
        <is>
          <t>0 = no reported evidence in material assessed; blank = not coded/unknown; neither proves absence</t>
        </is>
      </c>
      <c r="T160" s="4">
        <f>IF(COUNTIFS('ESTUDIOS'!$A$2:$A$455,$A160,'ESTUDIOS'!$I$2:$I$455,"")&gt;0,"",INDEX('ESTUDIOS'!$I$2:$I$455,MATCH($A160,'ESTUDIOS'!$A$2:$A$455,0)))</f>
        <v/>
      </c>
    </row>
    <row r="161" ht="86" customHeight="1">
      <c r="A161" s="4" t="inlineStr">
        <is>
          <t>174</t>
        </is>
      </c>
      <c r="B161" s="4" t="inlineStr">
        <is>
          <t>Historical</t>
        </is>
      </c>
      <c r="C161" s="4" t="inlineStr">
        <is>
          <t>A Framework to Diagnose Autism Spectrum Disorder Using Morphological Connectivity of sMRI and XGBoost</t>
        </is>
      </c>
      <c r="D161" s="4" t="n">
        <v>0</v>
      </c>
      <c r="E161" s="4" t="n">
        <v>0</v>
      </c>
      <c r="F161" s="4" t="n">
        <v>0</v>
      </c>
      <c r="G161" s="4" t="n">
        <v>0</v>
      </c>
      <c r="H161" s="4" t="n">
        <v>0</v>
      </c>
      <c r="I161" s="4" t="n">
        <v>0</v>
      </c>
      <c r="J161" s="4" t="n">
        <v>0</v>
      </c>
      <c r="K161" s="4" t="inlineStr">
        <is>
          <t>Historical signals: title/abstract/notes; full-text completion not independently established</t>
        </is>
      </c>
      <c r="L161" s="4" t="str"/>
      <c r="M161" s="4" t="inlineStr">
        <is>
          <t>https://doi.org/10.3233/shti230734</t>
        </is>
      </c>
      <c r="N161" s="4" t="n">
        <v>0</v>
      </c>
      <c r="O161" s="4" t="n">
        <v>0</v>
      </c>
      <c r="P161" s="4" t="n">
        <v>0</v>
      </c>
      <c r="Q161" s="12" t="n"/>
      <c r="R161" s="41" t="n"/>
      <c r="S161" s="4" t="inlineStr">
        <is>
          <t>0 = no reported evidence in material assessed; blank = not coded/unknown; neither proves absence</t>
        </is>
      </c>
      <c r="T161" s="4">
        <f>IF(COUNTIFS('ESTUDIOS'!$A$2:$A$455,$A161,'ESTUDIOS'!$I$2:$I$455,"")&gt;0,"",INDEX('ESTUDIOS'!$I$2:$I$455,MATCH($A161,'ESTUDIOS'!$A$2:$A$455,0)))</f>
        <v/>
      </c>
    </row>
    <row r="162" ht="86" customHeight="1">
      <c r="A162" s="4" t="inlineStr">
        <is>
          <t>175</t>
        </is>
      </c>
      <c r="B162" s="4" t="inlineStr">
        <is>
          <t>Historical</t>
        </is>
      </c>
      <c r="C162" s="4" t="inlineStr">
        <is>
          <t>A machine learning approach for understanding the metabolomics response of children with autism spectrum disorder to medical cannabis treatment</t>
        </is>
      </c>
      <c r="D162" s="4" t="n">
        <v>0</v>
      </c>
      <c r="E162" s="4" t="n">
        <v>0</v>
      </c>
      <c r="F162" s="4" t="n">
        <v>0</v>
      </c>
      <c r="G162" s="4" t="n">
        <v>0</v>
      </c>
      <c r="H162" s="4" t="n">
        <v>0</v>
      </c>
      <c r="I162" s="4" t="n">
        <v>0</v>
      </c>
      <c r="J162" s="4" t="n">
        <v>0</v>
      </c>
      <c r="K162" s="4" t="inlineStr">
        <is>
          <t>Historical signals: title/abstract/notes; full-text completion not independently established</t>
        </is>
      </c>
      <c r="L162" s="4" t="inlineStr">
        <is>
          <t>Algoritmo principal no explícito o fuera del codebook; Confirmar algoritmo principal en full-text</t>
        </is>
      </c>
      <c r="M162" s="4" t="inlineStr">
        <is>
          <t>https://doi.org/10.1038/s41598-023-40073-0</t>
        </is>
      </c>
      <c r="N162" s="4" t="n">
        <v>0</v>
      </c>
      <c r="O162" s="4" t="n">
        <v>0</v>
      </c>
      <c r="P162" s="4" t="n">
        <v>1</v>
      </c>
      <c r="Q162" s="12" t="n"/>
      <c r="R162" s="41" t="n"/>
      <c r="S162" s="4" t="inlineStr">
        <is>
          <t>0 = no reported evidence in material assessed; blank = not coded/unknown; neither proves absence</t>
        </is>
      </c>
      <c r="T162" s="4">
        <f>IF(COUNTIFS('ESTUDIOS'!$A$2:$A$455,$A162,'ESTUDIOS'!$I$2:$I$455,"")&gt;0,"",INDEX('ESTUDIOS'!$I$2:$I$455,MATCH($A162,'ESTUDIOS'!$A$2:$A$455,0)))</f>
        <v/>
      </c>
    </row>
    <row r="163" ht="86" customHeight="1">
      <c r="A163" s="4" t="inlineStr">
        <is>
          <t>177</t>
        </is>
      </c>
      <c r="B163" s="4" t="inlineStr">
        <is>
          <t>Historical</t>
        </is>
      </c>
      <c r="C163" s="4" t="inlineStr">
        <is>
          <t>Aided Diagnosis of\&amp;#xa0;Autism Spectrum Disorder Based on\&amp;#xa0;a\&amp;#xa0;Mixed Neural Network Model</t>
        </is>
      </c>
      <c r="D163" s="4" t="n">
        <v>0</v>
      </c>
      <c r="E163" s="4" t="n">
        <v>1</v>
      </c>
      <c r="F163" s="4" t="n">
        <v>0</v>
      </c>
      <c r="G163" s="4" t="n">
        <v>0</v>
      </c>
      <c r="H163" s="4" t="n">
        <v>0</v>
      </c>
      <c r="I163" s="4" t="n">
        <v>0</v>
      </c>
      <c r="J163" s="4" t="n">
        <v>1</v>
      </c>
      <c r="K163" s="4" t="inlineStr">
        <is>
          <t>Historical signals: title/abstract/notes; full-text completion not independently established</t>
        </is>
      </c>
      <c r="L163" s="4" t="inlineStr">
        <is>
          <t>Se comparan varios modelos; se eligió el principal/mejor reportado</t>
        </is>
      </c>
      <c r="M163" s="4" t="inlineStr">
        <is>
          <t>https://doi.org/10.1007/978-981-99-8141-0_12</t>
        </is>
      </c>
      <c r="N163" s="4" t="n">
        <v>0</v>
      </c>
      <c r="O163" s="4" t="n">
        <v>1</v>
      </c>
      <c r="P163" s="4" t="n">
        <v>0</v>
      </c>
      <c r="Q163" s="12" t="n"/>
      <c r="R163" s="41" t="n"/>
      <c r="S163" s="4" t="inlineStr">
        <is>
          <t>0 = no reported evidence in material assessed; blank = not coded/unknown; neither proves absence</t>
        </is>
      </c>
      <c r="T163" s="4">
        <f>IF(COUNTIFS('ESTUDIOS'!$A$2:$A$455,$A163,'ESTUDIOS'!$I$2:$I$455,"")&gt;0,"",INDEX('ESTUDIOS'!$I$2:$I$455,MATCH($A163,'ESTUDIOS'!$A$2:$A$455,0)))</f>
        <v/>
      </c>
    </row>
    <row r="164" ht="86" customHeight="1">
      <c r="A164" s="4" t="inlineStr">
        <is>
          <t>178</t>
        </is>
      </c>
      <c r="B164" s="4" t="inlineStr">
        <is>
          <t>Historical</t>
        </is>
      </c>
      <c r="C164" s="4" t="inlineStr">
        <is>
          <t>Application of Single-Nucleotide Polymorphisms in the Diagnosis of Autism Spectrum Disorders: A Preliminary Study with Artificial Neural Networks</t>
        </is>
      </c>
      <c r="D164" s="4" t="n">
        <v>0</v>
      </c>
      <c r="E164" s="4" t="n">
        <v>0</v>
      </c>
      <c r="F164" s="4" t="n">
        <v>0</v>
      </c>
      <c r="G164" s="4" t="n">
        <v>0</v>
      </c>
      <c r="H164" s="4" t="n">
        <v>1</v>
      </c>
      <c r="I164" s="4" t="n">
        <v>0</v>
      </c>
      <c r="J164" s="4" t="n">
        <v>0</v>
      </c>
      <c r="K164" s="4" t="inlineStr">
        <is>
          <t>Historical signals: title/abstract/notes; full-text completion not independently established</t>
        </is>
      </c>
      <c r="L164" s="4" t="str"/>
      <c r="M164" s="4" t="inlineStr">
        <is>
          <t>https://doi.org/10.1007/s12031-019-01311-1</t>
        </is>
      </c>
      <c r="N164" s="4" t="n">
        <v>1</v>
      </c>
      <c r="O164" s="4" t="n">
        <v>0</v>
      </c>
      <c r="P164" s="4" t="n">
        <v>0</v>
      </c>
      <c r="Q164" s="12" t="n"/>
      <c r="R164" s="41" t="n"/>
      <c r="S164" s="4" t="inlineStr">
        <is>
          <t>0 = no reported evidence in material assessed; blank = not coded/unknown; neither proves absence</t>
        </is>
      </c>
      <c r="T164" s="4">
        <f>IF(COUNTIFS('ESTUDIOS'!$A$2:$A$455,$A164,'ESTUDIOS'!$I$2:$I$455,"")&gt;0,"",INDEX('ESTUDIOS'!$I$2:$I$455,MATCH($A164,'ESTUDIOS'!$A$2:$A$455,0)))</f>
        <v/>
      </c>
    </row>
    <row r="165" ht="86" customHeight="1">
      <c r="A165" s="4" t="inlineStr">
        <is>
          <t>179</t>
        </is>
      </c>
      <c r="B165" s="4" t="inlineStr">
        <is>
          <t>Historical</t>
        </is>
      </c>
      <c r="C165" s="4" t="inlineStr">
        <is>
          <t>Autism spectrum disorder detection with machine learning methods</t>
        </is>
      </c>
      <c r="D165" s="4" t="n">
        <v>0</v>
      </c>
      <c r="E165" s="4" t="n">
        <v>0</v>
      </c>
      <c r="F165" s="4" t="n">
        <v>0</v>
      </c>
      <c r="G165" s="4" t="n">
        <v>0</v>
      </c>
      <c r="H165" s="4" t="n">
        <v>0</v>
      </c>
      <c r="I165" s="4" t="n">
        <v>0</v>
      </c>
      <c r="J165" s="4" t="n">
        <v>0</v>
      </c>
      <c r="K165" s="4" t="inlineStr">
        <is>
          <t>Historical signals: title/abstract/notes; full-text completion not independently established</t>
        </is>
      </c>
      <c r="L165" s="4" t="str"/>
      <c r="M165" s="4" t="inlineStr">
        <is>
          <t>https://doi.org/10.2174/2666082215666191111121115</t>
        </is>
      </c>
      <c r="N165" s="4" t="n">
        <v>0</v>
      </c>
      <c r="O165" s="4" t="n">
        <v>0</v>
      </c>
      <c r="P165" s="4" t="n">
        <v>0</v>
      </c>
      <c r="Q165" s="12" t="n"/>
      <c r="R165" s="41" t="n"/>
      <c r="S165" s="4" t="inlineStr">
        <is>
          <t>0 = no reported evidence in material assessed; blank = not coded/unknown; neither proves absence</t>
        </is>
      </c>
      <c r="T165" s="4">
        <f>IF(COUNTIFS('ESTUDIOS'!$A$2:$A$455,$A165,'ESTUDIOS'!$I$2:$I$455,"")&gt;0,"",INDEX('ESTUDIOS'!$I$2:$I$455,MATCH($A165,'ESTUDIOS'!$A$2:$A$455,0)))</f>
        <v/>
      </c>
    </row>
    <row r="166" ht="86" customHeight="1">
      <c r="A166" s="4" t="inlineStr">
        <is>
          <t>180</t>
        </is>
      </c>
      <c r="B166" s="4" t="inlineStr">
        <is>
          <t>Historical</t>
        </is>
      </c>
      <c r="C166" s="4" t="inlineStr">
        <is>
          <t>Biosignal comparison for autism assessment using machine learning models and virtual reality</t>
        </is>
      </c>
      <c r="D166" s="4" t="n">
        <v>0</v>
      </c>
      <c r="E166" s="4" t="n">
        <v>0</v>
      </c>
      <c r="F166" s="4" t="n">
        <v>0</v>
      </c>
      <c r="G166" s="4" t="n">
        <v>0</v>
      </c>
      <c r="H166" s="4" t="n">
        <v>0</v>
      </c>
      <c r="I166" s="4" t="n">
        <v>0</v>
      </c>
      <c r="J166" s="4" t="n">
        <v>1</v>
      </c>
      <c r="K166" s="4" t="inlineStr">
        <is>
          <t>Historical signals: title/abstract/notes; full-text completion not independently established</t>
        </is>
      </c>
      <c r="L166" s="4" t="inlineStr">
        <is>
          <t>Se comparan varios modelos; se eligió el principal/mejor reportado</t>
        </is>
      </c>
      <c r="M166" s="4" t="inlineStr">
        <is>
          <t>https://doi.org/10.1016/j.compbiomed.2024.108194</t>
        </is>
      </c>
      <c r="N166" s="4" t="n">
        <v>0</v>
      </c>
      <c r="O166" s="4" t="n">
        <v>1</v>
      </c>
      <c r="P166" s="4" t="n">
        <v>0</v>
      </c>
      <c r="Q166" s="12" t="n"/>
      <c r="R166" s="41" t="n"/>
      <c r="S166" s="4" t="inlineStr">
        <is>
          <t>0 = no reported evidence in material assessed; blank = not coded/unknown; neither proves absence</t>
        </is>
      </c>
      <c r="T166" s="4">
        <f>IF(COUNTIFS('ESTUDIOS'!$A$2:$A$455,$A166,'ESTUDIOS'!$I$2:$I$455,"")&gt;0,"",INDEX('ESTUDIOS'!$I$2:$I$455,MATCH($A166,'ESTUDIOS'!$A$2:$A$455,0)))</f>
        <v/>
      </c>
    </row>
    <row r="167" ht="86" customHeight="1">
      <c r="A167" s="4" t="inlineStr">
        <is>
          <t>182</t>
        </is>
      </c>
      <c r="B167" s="4" t="inlineStr">
        <is>
          <t>Historical</t>
        </is>
      </c>
      <c r="C167" s="4" t="inlineStr">
        <is>
          <t>COMBINED ANALYSIS OF THE ORAL MICROBIOME AND MICROTRANSCRIPTOME OF AUTISM SPECTRUM DISORDER</t>
        </is>
      </c>
      <c r="D167" s="4" t="n">
        <v>0</v>
      </c>
      <c r="E167" s="4" t="n">
        <v>0</v>
      </c>
      <c r="F167" s="4" t="n">
        <v>0</v>
      </c>
      <c r="G167" s="4" t="n">
        <v>0</v>
      </c>
      <c r="H167" s="4" t="n">
        <v>0</v>
      </c>
      <c r="I167" s="4" t="n">
        <v>0</v>
      </c>
      <c r="J167" s="4" t="n">
        <v>1</v>
      </c>
      <c r="K167" s="4" t="inlineStr">
        <is>
          <t>Historical signals: title/abstract/notes; full-text completion not independently established</t>
        </is>
      </c>
      <c r="L167" s="4" t="str"/>
      <c r="M167" s="4" t="inlineStr">
        <is>
          <t>https://doi.org/10.1016/j.euroneuro.2017.08.321</t>
        </is>
      </c>
      <c r="N167" s="4" t="n">
        <v>0</v>
      </c>
      <c r="O167" s="4" t="n">
        <v>1</v>
      </c>
      <c r="P167" s="4" t="n">
        <v>0</v>
      </c>
      <c r="Q167" s="12" t="n"/>
      <c r="R167" s="41" t="n"/>
      <c r="S167" s="4" t="inlineStr">
        <is>
          <t>0 = no reported evidence in material assessed; blank = not coded/unknown; neither proves absence</t>
        </is>
      </c>
      <c r="T167" s="4">
        <f>IF(COUNTIFS('ESTUDIOS'!$A$2:$A$455,$A167,'ESTUDIOS'!$I$2:$I$455,"")&gt;0,"",INDEX('ESTUDIOS'!$I$2:$I$455,MATCH($A167,'ESTUDIOS'!$A$2:$A$455,0)))</f>
        <v/>
      </c>
    </row>
    <row r="168" ht="86" customHeight="1">
      <c r="A168" s="4" t="inlineStr">
        <is>
          <t>183</t>
        </is>
      </c>
      <c r="B168" s="4" t="inlineStr">
        <is>
          <t>Historical</t>
        </is>
      </c>
      <c r="C168" s="4" t="inlineStr">
        <is>
          <t>Computational Methods to Measure Patterns of Gaze in Toddlers with Autism Spectrum Disorder</t>
        </is>
      </c>
      <c r="D168" s="4" t="n">
        <v>1</v>
      </c>
      <c r="E168" s="4" t="n">
        <v>0</v>
      </c>
      <c r="F168" s="4" t="n">
        <v>0</v>
      </c>
      <c r="G168" s="4" t="n">
        <v>1</v>
      </c>
      <c r="H168" s="4" t="n">
        <v>0</v>
      </c>
      <c r="I168" s="4" t="n">
        <v>1</v>
      </c>
      <c r="J168" s="4" t="n">
        <v>0</v>
      </c>
      <c r="K168" s="4" t="inlineStr">
        <is>
          <t>Historical signals: title/abstract/notes; full-text completion not independently established</t>
        </is>
      </c>
      <c r="L168" s="4" t="inlineStr">
        <is>
          <t>No es “diagnóstico” como tal; es una herramienta en visita pediátrica para detectar síntomas tempranos/riesgo usando patrones de mirada.</t>
        </is>
      </c>
      <c r="M168" s="4" t="inlineStr">
        <is>
          <t>https://doi.org/10.1001/jamapediatrics.2021.0530</t>
        </is>
      </c>
      <c r="N168" s="4" t="n">
        <v>1</v>
      </c>
      <c r="O168" s="4" t="n">
        <v>0</v>
      </c>
      <c r="P168" s="4" t="n">
        <v>0</v>
      </c>
      <c r="Q168" s="12" t="n"/>
      <c r="R168" s="41" t="n"/>
      <c r="S168" s="4" t="inlineStr">
        <is>
          <t>0 = no reported evidence in material assessed; blank = not coded/unknown; neither proves absence</t>
        </is>
      </c>
      <c r="T168" s="4">
        <f>IF(COUNTIFS('ESTUDIOS'!$A$2:$A$455,$A168,'ESTUDIOS'!$I$2:$I$455,"")&gt;0,"",INDEX('ESTUDIOS'!$I$2:$I$455,MATCH($A168,'ESTUDIOS'!$A$2:$A$455,0)))</f>
        <v/>
      </c>
    </row>
    <row r="169" ht="86" customHeight="1">
      <c r="A169" s="4" t="inlineStr">
        <is>
          <t>184</t>
        </is>
      </c>
      <c r="B169" s="4" t="inlineStr">
        <is>
          <t>Historical</t>
        </is>
      </c>
      <c r="C169" s="4" t="inlineStr">
        <is>
          <t>Computerized Assessment of Motor Imitation as a Scalable Method for Distinguishing Children With Autism</t>
        </is>
      </c>
      <c r="D169" s="4" t="n">
        <v>0</v>
      </c>
      <c r="E169" s="4" t="n">
        <v>0</v>
      </c>
      <c r="F169" s="4" t="n">
        <v>0</v>
      </c>
      <c r="G169" s="4" t="n">
        <v>0</v>
      </c>
      <c r="H169" s="4" t="n">
        <v>1</v>
      </c>
      <c r="I169" s="4" t="n">
        <v>0</v>
      </c>
      <c r="J169" s="4" t="n">
        <v>0</v>
      </c>
      <c r="K169" s="4" t="inlineStr">
        <is>
          <t>Historical signals: title/abstract/notes; full-text completion not independently established</t>
        </is>
      </c>
      <c r="L169" s="4" t="inlineStr">
        <is>
          <t>Algoritmo principal no explícito o fuera del codebook; Confirmar algoritmo principal en full-text; Se comparan varios modelos; se eligió el principal/mejor reportado</t>
        </is>
      </c>
      <c r="M169" s="4" t="inlineStr">
        <is>
          <t>https://doi.org/10.1016/j.bpsc.2020.09.001</t>
        </is>
      </c>
      <c r="N169" s="4" t="n">
        <v>1</v>
      </c>
      <c r="O169" s="4" t="n">
        <v>0</v>
      </c>
      <c r="P169" s="4" t="n">
        <v>1</v>
      </c>
      <c r="Q169" s="12" t="n"/>
      <c r="R169" s="41" t="n"/>
      <c r="S169" s="4" t="inlineStr">
        <is>
          <t>0 = no reported evidence in material assessed; blank = not coded/unknown; neither proves absence</t>
        </is>
      </c>
      <c r="T169" s="4">
        <f>IF(COUNTIFS('ESTUDIOS'!$A$2:$A$455,$A169,'ESTUDIOS'!$I$2:$I$455,"")&gt;0,"",INDEX('ESTUDIOS'!$I$2:$I$455,MATCH($A169,'ESTUDIOS'!$A$2:$A$455,0)))</f>
        <v/>
      </c>
    </row>
    <row r="170" ht="86" customHeight="1">
      <c r="A170" s="4" t="inlineStr">
        <is>
          <t>185</t>
        </is>
      </c>
      <c r="B170" s="4" t="inlineStr">
        <is>
          <t>Historical</t>
        </is>
      </c>
      <c r="C170" s="4" t="inlineStr">
        <is>
          <t>Construction of ASD Intervention System Based On Neural Network Model</t>
        </is>
      </c>
      <c r="D170" s="4" t="n">
        <v>0</v>
      </c>
      <c r="E170" s="4" t="n">
        <v>0</v>
      </c>
      <c r="F170" s="4" t="n">
        <v>0</v>
      </c>
      <c r="G170" s="4" t="n">
        <v>0</v>
      </c>
      <c r="H170" s="4" t="n">
        <v>0</v>
      </c>
      <c r="I170" s="4" t="n">
        <v>0</v>
      </c>
      <c r="J170" s="4" t="n">
        <v>1</v>
      </c>
      <c r="K170" s="4" t="inlineStr">
        <is>
          <t>Historical signals: title/abstract/notes; full-text completion not independently established</t>
        </is>
      </c>
      <c r="L170" s="4" t="str"/>
      <c r="M170" s="4" t="inlineStr">
        <is>
          <t>https://doi.org/10.1016/j.procs.2025.05.032</t>
        </is>
      </c>
      <c r="N170" s="4" t="n">
        <v>0</v>
      </c>
      <c r="O170" s="4" t="n">
        <v>1</v>
      </c>
      <c r="P170" s="4" t="n">
        <v>0</v>
      </c>
      <c r="Q170" s="12" t="n"/>
      <c r="R170" s="41" t="n"/>
      <c r="S170" s="4" t="inlineStr">
        <is>
          <t>0 = no reported evidence in material assessed; blank = not coded/unknown; neither proves absence</t>
        </is>
      </c>
      <c r="T170" s="4">
        <f>IF(COUNTIFS('ESTUDIOS'!$A$2:$A$455,$A170,'ESTUDIOS'!$I$2:$I$455,"")&gt;0,"",INDEX('ESTUDIOS'!$I$2:$I$455,MATCH($A170,'ESTUDIOS'!$A$2:$A$455,0)))</f>
        <v/>
      </c>
    </row>
    <row r="171" ht="86" customHeight="1">
      <c r="A171" s="4" t="inlineStr">
        <is>
          <t>186</t>
        </is>
      </c>
      <c r="B171" s="4" t="inlineStr">
        <is>
          <t>Historical</t>
        </is>
      </c>
      <c r="C171" s="4" t="inlineStr">
        <is>
          <t>Decoding Autism: Uncovering patterns in brain connectivity through sparsity analysis with rs-fMRI data</t>
        </is>
      </c>
      <c r="D171" s="4" t="n">
        <v>0</v>
      </c>
      <c r="E171" s="4" t="n">
        <v>0</v>
      </c>
      <c r="F171" s="4" t="n">
        <v>0</v>
      </c>
      <c r="G171" s="4" t="n">
        <v>0</v>
      </c>
      <c r="H171" s="4" t="n">
        <v>0</v>
      </c>
      <c r="I171" s="4" t="n">
        <v>0</v>
      </c>
      <c r="J171" s="4" t="n">
        <v>0</v>
      </c>
      <c r="K171" s="4" t="inlineStr">
        <is>
          <t>Historical signals: title/abstract/notes; full-text completion not independently established</t>
        </is>
      </c>
      <c r="L171" s="4" t="inlineStr">
        <is>
          <t>Algoritmo principal no explícito o fuera del codebook; Confirmar algoritmo principal en full-text; Se comparan varios modelos; se eligió el principal/mejor reportado</t>
        </is>
      </c>
      <c r="M171" s="4" t="inlineStr">
        <is>
          <t>https://doi.org/10.1016/j.jneumeth.2024.110100</t>
        </is>
      </c>
      <c r="N171" s="4" t="n">
        <v>0</v>
      </c>
      <c r="O171" s="4" t="n">
        <v>0</v>
      </c>
      <c r="P171" s="4" t="n">
        <v>1</v>
      </c>
      <c r="Q171" s="12" t="n"/>
      <c r="R171" s="41" t="n"/>
      <c r="S171" s="4" t="inlineStr">
        <is>
          <t>0 = no reported evidence in material assessed; blank = not coded/unknown; neither proves absence</t>
        </is>
      </c>
      <c r="T171" s="4">
        <f>IF(COUNTIFS('ESTUDIOS'!$A$2:$A$455,$A171,'ESTUDIOS'!$I$2:$I$455,"")&gt;0,"",INDEX('ESTUDIOS'!$I$2:$I$455,MATCH($A171,'ESTUDIOS'!$A$2:$A$455,0)))</f>
        <v/>
      </c>
    </row>
    <row r="172" ht="86" customHeight="1">
      <c r="A172" s="4" t="inlineStr">
        <is>
          <t>187</t>
        </is>
      </c>
      <c r="B172" s="4" t="inlineStr">
        <is>
          <t>Historical</t>
        </is>
      </c>
      <c r="C172" s="4" t="inlineStr">
        <is>
          <t>Deep Radiomics for Autism Diagnosis and Age Prediction</t>
        </is>
      </c>
      <c r="D172" s="4" t="n">
        <v>0</v>
      </c>
      <c r="E172" s="4" t="n">
        <v>1</v>
      </c>
      <c r="F172" s="4" t="n">
        <v>1</v>
      </c>
      <c r="G172" s="4" t="n">
        <v>0</v>
      </c>
      <c r="H172" s="4" t="n">
        <v>0</v>
      </c>
      <c r="I172" s="4" t="n">
        <v>1</v>
      </c>
      <c r="J172" s="4" t="n">
        <v>0</v>
      </c>
      <c r="K172" s="4" t="inlineStr">
        <is>
          <t>Historical signals: title/abstract/notes; full-text completion not independently established</t>
        </is>
      </c>
      <c r="L172" s="4" t="str"/>
      <c r="M172" s="4" t="inlineStr">
        <is>
          <t>https://doi.org/10.1109/thms.2025.3526957</t>
        </is>
      </c>
      <c r="N172" s="4" t="n">
        <v>1</v>
      </c>
      <c r="O172" s="4" t="n">
        <v>0</v>
      </c>
      <c r="P172" s="4" t="n">
        <v>0</v>
      </c>
      <c r="Q172" s="12" t="n"/>
      <c r="R172" s="41" t="n"/>
      <c r="S172" s="4" t="inlineStr">
        <is>
          <t>0 = no reported evidence in material assessed; blank = not coded/unknown; neither proves absence</t>
        </is>
      </c>
      <c r="T172" s="4">
        <f>IF(COUNTIFS('ESTUDIOS'!$A$2:$A$455,$A172,'ESTUDIOS'!$I$2:$I$455,"")&gt;0,"",INDEX('ESTUDIOS'!$I$2:$I$455,MATCH($A172,'ESTUDIOS'!$A$2:$A$455,0)))</f>
        <v/>
      </c>
    </row>
    <row r="173" ht="86" customHeight="1">
      <c r="A173" s="4" t="inlineStr">
        <is>
          <t>188</t>
        </is>
      </c>
      <c r="B173" s="4" t="inlineStr">
        <is>
          <t>Historical</t>
        </is>
      </c>
      <c r="C173" s="4" t="inlineStr">
        <is>
          <t>Deep-learning-based detection of infants with autism spectrum disorder using auto-encoder feature representation</t>
        </is>
      </c>
      <c r="D173" s="4" t="n">
        <v>0</v>
      </c>
      <c r="E173" s="4" t="n">
        <v>0</v>
      </c>
      <c r="F173" s="4" t="n">
        <v>0</v>
      </c>
      <c r="G173" s="4" t="n">
        <v>0</v>
      </c>
      <c r="H173" s="4" t="n">
        <v>0</v>
      </c>
      <c r="I173" s="4" t="n">
        <v>0</v>
      </c>
      <c r="J173" s="4" t="n">
        <v>0</v>
      </c>
      <c r="K173" s="4" t="inlineStr">
        <is>
          <t>Historical signals: title/abstract/notes; full-text completion not independently established</t>
        </is>
      </c>
      <c r="L173" s="4" t="inlineStr">
        <is>
          <t>Autoencoder para detección en infantes; confirmar fuente de datos exacta (no totalmente explícita en el abstract).</t>
        </is>
      </c>
      <c r="M173" s="4" t="inlineStr">
        <is>
          <t>https://doi.org/10.3390/s20236762</t>
        </is>
      </c>
      <c r="N173" s="4" t="n">
        <v>0</v>
      </c>
      <c r="O173" s="4" t="n">
        <v>0</v>
      </c>
      <c r="P173" s="4" t="n">
        <v>1</v>
      </c>
      <c r="Q173" s="12" t="n"/>
      <c r="R173" s="41" t="n"/>
      <c r="S173" s="4" t="inlineStr">
        <is>
          <t>0 = no reported evidence in material assessed; blank = not coded/unknown; neither proves absence</t>
        </is>
      </c>
      <c r="T173" s="4">
        <f>IF(COUNTIFS('ESTUDIOS'!$A$2:$A$455,$A173,'ESTUDIOS'!$I$2:$I$455,"")&gt;0,"",INDEX('ESTUDIOS'!$I$2:$I$455,MATCH($A173,'ESTUDIOS'!$A$2:$A$455,0)))</f>
        <v/>
      </c>
    </row>
    <row r="174" ht="86" customHeight="1">
      <c r="A174" s="4" t="inlineStr">
        <is>
          <t>189</t>
        </is>
      </c>
      <c r="B174" s="4" t="inlineStr">
        <is>
          <t>Historical</t>
        </is>
      </c>
      <c r="C174" s="4" t="inlineStr">
        <is>
          <t>Early identification of autism spectrum disorder based on machine learning with eye-tracking data</t>
        </is>
      </c>
      <c r="D174" s="4" t="n">
        <v>1</v>
      </c>
      <c r="E174" s="4" t="n">
        <v>0</v>
      </c>
      <c r="F174" s="4" t="n">
        <v>0</v>
      </c>
      <c r="G174" s="4" t="n">
        <v>1</v>
      </c>
      <c r="H174" s="4" t="n">
        <v>1</v>
      </c>
      <c r="I174" s="4" t="n">
        <v>0</v>
      </c>
      <c r="J174" s="4" t="n">
        <v>0</v>
      </c>
      <c r="K174" s="4" t="inlineStr">
        <is>
          <t>Historical signals: title/abstract/notes; full-text completion not independently established</t>
        </is>
      </c>
      <c r="L174" s="4" t="inlineStr">
        <is>
          <t>Se comparan varios modelos; se eligió el principal/mejor reportado</t>
        </is>
      </c>
      <c r="M174" s="4" t="inlineStr">
        <is>
          <t>https://doi.org/10.1016/j.jad.2024.04.049</t>
        </is>
      </c>
      <c r="N174" s="4" t="n">
        <v>1</v>
      </c>
      <c r="O174" s="4" t="n">
        <v>0</v>
      </c>
      <c r="P174" s="4" t="n">
        <v>0</v>
      </c>
      <c r="Q174" s="12" t="n"/>
      <c r="R174" s="41" t="n"/>
      <c r="S174" s="4" t="inlineStr">
        <is>
          <t>0 = no reported evidence in material assessed; blank = not coded/unknown; neither proves absence</t>
        </is>
      </c>
      <c r="T174" s="4">
        <f>IF(COUNTIFS('ESTUDIOS'!$A$2:$A$455,$A174,'ESTUDIOS'!$I$2:$I$455,"")&gt;0,"",INDEX('ESTUDIOS'!$I$2:$I$455,MATCH($A174,'ESTUDIOS'!$A$2:$A$455,0)))</f>
        <v/>
      </c>
    </row>
    <row r="175" ht="86" customHeight="1">
      <c r="A175" s="4" t="inlineStr">
        <is>
          <t>190</t>
        </is>
      </c>
      <c r="B175" s="4" t="inlineStr">
        <is>
          <t>Historical</t>
        </is>
      </c>
      <c r="C175" s="4" t="inlineStr">
        <is>
          <t>Examining overlap and homogeneity in ASD, ADHD, and OCD: a data-driven, diagnosis-agnostic approach</t>
        </is>
      </c>
      <c r="D175" s="4" t="n">
        <v>0</v>
      </c>
      <c r="E175" s="4" t="n">
        <v>1</v>
      </c>
      <c r="F175" s="4" t="n">
        <v>0</v>
      </c>
      <c r="G175" s="4" t="n">
        <v>0</v>
      </c>
      <c r="H175" s="4" t="n">
        <v>0</v>
      </c>
      <c r="I175" s="4" t="n">
        <v>1</v>
      </c>
      <c r="J175" s="4" t="n">
        <v>1</v>
      </c>
      <c r="K175" s="4" t="inlineStr">
        <is>
          <t>Historical signals: title/abstract/notes; full-text completion not independently established</t>
        </is>
      </c>
      <c r="L175" s="4" t="inlineStr">
        <is>
          <t>Bagged-multiview clustering (bagging + spectral clustering)</t>
        </is>
      </c>
      <c r="M175" s="4" t="inlineStr">
        <is>
          <t>https://doi.org/10.1038/s41398-019-0631-2</t>
        </is>
      </c>
      <c r="N175" s="4" t="n">
        <v>1</v>
      </c>
      <c r="O175" s="4" t="n">
        <v>1</v>
      </c>
      <c r="P175" s="4" t="n">
        <v>0</v>
      </c>
      <c r="Q175" s="12" t="n"/>
      <c r="R175" s="41" t="n"/>
      <c r="S175" s="4" t="inlineStr">
        <is>
          <t>0 = no reported evidence in material assessed; blank = not coded/unknown; neither proves absence</t>
        </is>
      </c>
      <c r="T175" s="4">
        <f>IF(COUNTIFS('ESTUDIOS'!$A$2:$A$455,$A175,'ESTUDIOS'!$I$2:$I$455,"")&gt;0,"",INDEX('ESTUDIOS'!$I$2:$I$455,MATCH($A175,'ESTUDIOS'!$A$2:$A$455,0)))</f>
        <v/>
      </c>
    </row>
    <row r="176" ht="86" customHeight="1">
      <c r="A176" s="4" t="inlineStr">
        <is>
          <t>191</t>
        </is>
      </c>
      <c r="B176" s="4" t="inlineStr">
        <is>
          <t>Historical</t>
        </is>
      </c>
      <c r="C176" s="4" t="inlineStr">
        <is>
          <t>Explainable and scalable machine learning algorithms for detection of autism spectrum disorder using fMRI data</t>
        </is>
      </c>
      <c r="D176" s="4" t="n">
        <v>0</v>
      </c>
      <c r="E176" s="4" t="n">
        <v>0</v>
      </c>
      <c r="F176" s="4" t="n">
        <v>0</v>
      </c>
      <c r="G176" s="4" t="n">
        <v>0</v>
      </c>
      <c r="H176" s="4" t="n">
        <v>1</v>
      </c>
      <c r="I176" s="4" t="n">
        <v>0</v>
      </c>
      <c r="J176" s="4" t="n">
        <v>0</v>
      </c>
      <c r="K176" s="4" t="inlineStr">
        <is>
          <t>Historical signals: title/abstract/notes; full-text completion not independently established</t>
        </is>
      </c>
      <c r="L176" s="4" t="inlineStr">
        <is>
          <t>Título/abstract con señal explícita de explainable; estrategia híbrida/integrativa.</t>
        </is>
      </c>
      <c r="M176" s="4" t="inlineStr">
        <is>
          <t>https://doi.org/10.1016/b978-0-12-822822-7.00004-1</t>
        </is>
      </c>
      <c r="N176" s="4" t="n">
        <v>1</v>
      </c>
      <c r="O176" s="4" t="n">
        <v>0</v>
      </c>
      <c r="P176" s="4" t="n"/>
      <c r="Q176" s="12" t="n"/>
      <c r="R176" s="41" t="n"/>
      <c r="S176" s="4" t="inlineStr">
        <is>
          <t>0 = no reported evidence in material assessed; blank = not coded/unknown; neither proves absence</t>
        </is>
      </c>
      <c r="T176" s="4">
        <f>IF(COUNTIFS('ESTUDIOS'!$A$2:$A$455,$A176,'ESTUDIOS'!$I$2:$I$455,"")&gt;0,"",INDEX('ESTUDIOS'!$I$2:$I$455,MATCH($A176,'ESTUDIOS'!$A$2:$A$455,0)))</f>
        <v/>
      </c>
    </row>
    <row r="177" ht="86" customHeight="1">
      <c r="A177" s="4" t="inlineStr">
        <is>
          <t>193</t>
        </is>
      </c>
      <c r="B177" s="4" t="inlineStr">
        <is>
          <t>Historical</t>
        </is>
      </c>
      <c r="C177" s="4" t="inlineStr">
        <is>
          <t>Feasibility Study of\&amp;#xa0;a\&amp;#xa0;ML-Based ASD Monitoring System</t>
        </is>
      </c>
      <c r="D177" s="4" t="n">
        <v>0</v>
      </c>
      <c r="E177" s="4" t="n">
        <v>0</v>
      </c>
      <c r="F177" s="4" t="n">
        <v>0</v>
      </c>
      <c r="G177" s="4" t="n">
        <v>0</v>
      </c>
      <c r="H177" s="4" t="n">
        <v>0</v>
      </c>
      <c r="I177" s="4" t="n">
        <v>0</v>
      </c>
      <c r="J177" s="4" t="n">
        <v>1</v>
      </c>
      <c r="K177" s="4" t="inlineStr">
        <is>
          <t>Historical signals: title/abstract/notes; full-text completion not independently established</t>
        </is>
      </c>
      <c r="L177" s="4" t="str"/>
      <c r="M177" s="4" t="inlineStr">
        <is>
          <t>https://doi.org/10.1007/978-3-031-06242-1_27</t>
        </is>
      </c>
      <c r="N177" s="4" t="n">
        <v>0</v>
      </c>
      <c r="O177" s="4" t="n">
        <v>1</v>
      </c>
      <c r="P177" s="4" t="n">
        <v>0</v>
      </c>
      <c r="Q177" s="12" t="n"/>
      <c r="R177" s="41" t="n"/>
      <c r="S177" s="4" t="inlineStr">
        <is>
          <t>0 = no reported evidence in material assessed; blank = not coded/unknown; neither proves absence</t>
        </is>
      </c>
      <c r="T177" s="4">
        <f>IF(COUNTIFS('ESTUDIOS'!$A$2:$A$455,$A177,'ESTUDIOS'!$I$2:$I$455,"")&gt;0,"",INDEX('ESTUDIOS'!$I$2:$I$455,MATCH($A177,'ESTUDIOS'!$A$2:$A$455,0)))</f>
        <v/>
      </c>
    </row>
    <row r="178" ht="86" customHeight="1">
      <c r="A178" s="4" t="inlineStr">
        <is>
          <t>194</t>
        </is>
      </c>
      <c r="B178" s="4" t="inlineStr">
        <is>
          <t>Historical</t>
        </is>
      </c>
      <c r="C178" s="4" t="inlineStr">
        <is>
          <t>Feature replacement methods enable reliable home video analysis for machine learning detection of autism</t>
        </is>
      </c>
      <c r="D178" s="4" t="n">
        <v>1</v>
      </c>
      <c r="E178" s="4" t="n">
        <v>0</v>
      </c>
      <c r="F178" s="4" t="n">
        <v>0</v>
      </c>
      <c r="G178" s="4" t="n">
        <v>0</v>
      </c>
      <c r="H178" s="4" t="n">
        <v>0</v>
      </c>
      <c r="I178" s="4" t="n">
        <v>0</v>
      </c>
      <c r="J178" s="4" t="n">
        <v>0</v>
      </c>
      <c r="K178" s="4" t="inlineStr">
        <is>
          <t>Historical signals: title/abstract/notes; full-text completion not independently established</t>
        </is>
      </c>
      <c r="L178" s="4" t="inlineStr">
        <is>
          <t>El paper evalúa dos familias (LR9 y ADTree7). Si tu columna “main algorithm” solo permite una opción, conviene añadir una opción tipo “Multiple (specify)” o permitir multiselección para no perder fidelidad</t>
        </is>
      </c>
      <c r="M178" s="4" t="inlineStr">
        <is>
          <t>https://doi.org/10.1038/s41598-020-76874-w</t>
        </is>
      </c>
      <c r="N178" s="4" t="n">
        <v>0</v>
      </c>
      <c r="O178" s="4" t="n">
        <v>0</v>
      </c>
      <c r="P178" s="4" t="n">
        <v>1</v>
      </c>
      <c r="Q178" s="12" t="n"/>
      <c r="R178" s="41" t="n"/>
      <c r="S178" s="4" t="inlineStr">
        <is>
          <t>0 = no reported evidence in material assessed; blank = not coded/unknown; neither proves absence</t>
        </is>
      </c>
      <c r="T178" s="4">
        <f>IF(COUNTIFS('ESTUDIOS'!$A$2:$A$455,$A178,'ESTUDIOS'!$I$2:$I$455,"")&gt;0,"",INDEX('ESTUDIOS'!$I$2:$I$455,MATCH($A178,'ESTUDIOS'!$A$2:$A$455,0)))</f>
        <v/>
      </c>
    </row>
    <row r="179" ht="86" customHeight="1">
      <c r="A179" s="4" t="inlineStr">
        <is>
          <t>195</t>
        </is>
      </c>
      <c r="B179" s="4" t="inlineStr">
        <is>
          <t>Historical</t>
        </is>
      </c>
      <c r="C179" s="4" t="inlineStr">
        <is>
          <t>Fuzzy logic-based hybrid knowledge systems for the detection and diagnosis of childhood autism</t>
        </is>
      </c>
      <c r="D179" s="4" t="n">
        <v>0</v>
      </c>
      <c r="E179" s="4" t="n">
        <v>0</v>
      </c>
      <c r="F179" s="4" t="n">
        <v>0</v>
      </c>
      <c r="G179" s="4" t="n">
        <v>0</v>
      </c>
      <c r="H179" s="4" t="n">
        <v>0</v>
      </c>
      <c r="I179" s="4" t="n">
        <v>0</v>
      </c>
      <c r="J179" s="4" t="n">
        <v>0</v>
      </c>
      <c r="K179" s="4" t="inlineStr">
        <is>
          <t>Historical signals: title/abstract/notes; full-text completion not independently established</t>
        </is>
      </c>
      <c r="L179" s="4" t="str"/>
      <c r="M179" s="4" t="inlineStr">
        <is>
          <t>https://doi.org/10.1016/b978-0-12-822271-3.00016-5</t>
        </is>
      </c>
      <c r="N179" s="4" t="n">
        <v>0</v>
      </c>
      <c r="O179" s="4" t="n">
        <v>0</v>
      </c>
      <c r="P179" s="4" t="n">
        <v>1</v>
      </c>
      <c r="Q179" s="12" t="n"/>
      <c r="R179" s="41" t="n"/>
      <c r="S179" s="4" t="inlineStr">
        <is>
          <t>0 = no reported evidence in material assessed; blank = not coded/unknown; neither proves absence</t>
        </is>
      </c>
      <c r="T179" s="4">
        <f>IF(COUNTIFS('ESTUDIOS'!$A$2:$A$455,$A179,'ESTUDIOS'!$I$2:$I$455,"")&gt;0,"",INDEX('ESTUDIOS'!$I$2:$I$455,MATCH($A179,'ESTUDIOS'!$A$2:$A$455,0)))</f>
        <v/>
      </c>
    </row>
    <row r="180" ht="86" customHeight="1">
      <c r="A180" s="4" t="inlineStr">
        <is>
          <t>196</t>
        </is>
      </c>
      <c r="B180" s="4" t="inlineStr">
        <is>
          <t>Historical</t>
        </is>
      </c>
      <c r="C180" s="4" t="inlineStr">
        <is>
          <t>Genetic factor analysis for an early diagnosis of autism through machine learning</t>
        </is>
      </c>
      <c r="D180" s="4" t="n">
        <v>0</v>
      </c>
      <c r="E180" s="4" t="n">
        <v>0</v>
      </c>
      <c r="F180" s="4" t="n">
        <v>0</v>
      </c>
      <c r="G180" s="4" t="n">
        <v>0</v>
      </c>
      <c r="H180" s="4" t="n">
        <v>0</v>
      </c>
      <c r="I180" s="4" t="n">
        <v>0</v>
      </c>
      <c r="J180" s="4" t="n">
        <v>0</v>
      </c>
      <c r="K180" s="4" t="inlineStr">
        <is>
          <t>Historical signals: title/abstract/notes; full-text completion not independently established</t>
        </is>
      </c>
      <c r="L180" s="4" t="inlineStr">
        <is>
          <t>Sin señal explícita Q3 en título/abstract.</t>
        </is>
      </c>
      <c r="M180" s="4" t="inlineStr">
        <is>
          <t>https://doi.org/10.1016/b978-0-323-98352-5.00001-x</t>
        </is>
      </c>
      <c r="N180" s="4" t="n">
        <v>0</v>
      </c>
      <c r="O180" s="4" t="n">
        <v>0</v>
      </c>
      <c r="P180" s="4" t="n"/>
      <c r="Q180" s="12" t="n"/>
      <c r="R180" s="41" t="n"/>
      <c r="S180" s="4" t="inlineStr">
        <is>
          <t>0 = no reported evidence in material assessed; blank = not coded/unknown; neither proves absence</t>
        </is>
      </c>
      <c r="T180" s="4">
        <f>IF(COUNTIFS('ESTUDIOS'!$A$2:$A$455,$A180,'ESTUDIOS'!$I$2:$I$455,"")&gt;0,"",INDEX('ESTUDIOS'!$I$2:$I$455,MATCH($A180,'ESTUDIOS'!$A$2:$A$455,0)))</f>
        <v/>
      </c>
    </row>
    <row r="181" ht="86" customHeight="1">
      <c r="A181" s="4" t="inlineStr">
        <is>
          <t>197</t>
        </is>
      </c>
      <c r="B181" s="4" t="inlineStr">
        <is>
          <t>Historical</t>
        </is>
      </c>
      <c r="C181" s="4" t="inlineStr">
        <is>
          <t>Hybrid Diagnosis Models for Autism Patients Based on Medical and Sociodemographic Features Using Machine Learning and Multicriteria Decision-Making (MCDM) Techniques: An Evaluation and Benchmarking Framework</t>
        </is>
      </c>
      <c r="D181" s="4" t="n">
        <v>0</v>
      </c>
      <c r="E181" s="4" t="n">
        <v>0</v>
      </c>
      <c r="F181" s="4" t="n">
        <v>0</v>
      </c>
      <c r="G181" s="4" t="n">
        <v>0</v>
      </c>
      <c r="H181" s="4" t="n">
        <v>0</v>
      </c>
      <c r="I181" s="4" t="n">
        <v>1</v>
      </c>
      <c r="J181" s="4" t="n">
        <v>1</v>
      </c>
      <c r="K181" s="4" t="inlineStr">
        <is>
          <t>Historical signals: title/abstract/notes; full-text completion not independently established</t>
        </is>
      </c>
      <c r="L181" s="4" t="inlineStr">
        <is>
          <t>Algoritmo principal no explícito o fuera del codebook; Confirmar algoritmo principal en full-text; Se comparan varios modelos; se eligió el principal/mejor reportado</t>
        </is>
      </c>
      <c r="M181" s="4" t="inlineStr">
        <is>
          <t>https://doi.org/10.1155/2022/9410222</t>
        </is>
      </c>
      <c r="N181" s="4" t="n">
        <v>1</v>
      </c>
      <c r="O181" s="4" t="n">
        <v>1</v>
      </c>
      <c r="P181" s="4" t="n">
        <v>1</v>
      </c>
      <c r="Q181" s="12" t="n"/>
      <c r="R181" s="41" t="n"/>
      <c r="S181" s="4" t="inlineStr">
        <is>
          <t>0 = no reported evidence in material assessed; blank = not coded/unknown; neither proves absence</t>
        </is>
      </c>
      <c r="T181" s="4">
        <f>IF(COUNTIFS('ESTUDIOS'!$A$2:$A$455,$A181,'ESTUDIOS'!$I$2:$I$455,"")&gt;0,"",INDEX('ESTUDIOS'!$I$2:$I$455,MATCH($A181,'ESTUDIOS'!$A$2:$A$455,0)))</f>
        <v/>
      </c>
    </row>
    <row r="182" ht="86" customHeight="1">
      <c r="A182" s="4" t="inlineStr">
        <is>
          <t>199</t>
        </is>
      </c>
      <c r="B182" s="4" t="inlineStr">
        <is>
          <t>Historical</t>
        </is>
      </c>
      <c r="C182" s="4" t="inlineStr">
        <is>
          <t>Informing developmental milestone achievement for children with autism: Machine learning approach</t>
        </is>
      </c>
      <c r="D182" s="4" t="n">
        <v>0</v>
      </c>
      <c r="E182" s="4" t="n">
        <v>0</v>
      </c>
      <c r="F182" s="4" t="n">
        <v>0</v>
      </c>
      <c r="G182" s="4" t="n">
        <v>0</v>
      </c>
      <c r="H182" s="4" t="n">
        <v>0</v>
      </c>
      <c r="I182" s="4" t="n">
        <v>0</v>
      </c>
      <c r="J182" s="4" t="n">
        <v>0</v>
      </c>
      <c r="K182" s="4" t="inlineStr">
        <is>
          <t>Historical signals: title/abstract/notes; full-text completion not independently established</t>
        </is>
      </c>
      <c r="L182" s="4" t="inlineStr">
        <is>
          <t>Binary classification of milestone achievement; not ASD-vs-control.</t>
        </is>
      </c>
      <c r="M182" s="4" t="inlineStr">
        <is>
          <t>https://doi.org/10.2196/29242</t>
        </is>
      </c>
      <c r="N182" s="4" t="n">
        <v>0</v>
      </c>
      <c r="O182" s="4" t="n">
        <v>0</v>
      </c>
      <c r="P182" s="4" t="n">
        <v>1</v>
      </c>
      <c r="Q182" s="12" t="n"/>
      <c r="R182" s="41" t="n"/>
      <c r="S182" s="4" t="inlineStr">
        <is>
          <t>0 = no reported evidence in material assessed; blank = not coded/unknown; neither proves absence</t>
        </is>
      </c>
      <c r="T182" s="4">
        <f>IF(COUNTIFS('ESTUDIOS'!$A$2:$A$455,$A182,'ESTUDIOS'!$I$2:$I$455,"")&gt;0,"",INDEX('ESTUDIOS'!$I$2:$I$455,MATCH($A182,'ESTUDIOS'!$A$2:$A$455,0)))</f>
        <v/>
      </c>
    </row>
    <row r="183" ht="86" customHeight="1">
      <c r="A183" s="4" t="inlineStr">
        <is>
          <t>200</t>
        </is>
      </c>
      <c r="B183" s="4" t="inlineStr">
        <is>
          <t>Historical</t>
        </is>
      </c>
      <c r="C183" s="4" t="inlineStr">
        <is>
          <t>Machine learning based autism screening tool—a modified approach</t>
        </is>
      </c>
      <c r="D183" s="4" t="n">
        <v>0</v>
      </c>
      <c r="E183" s="4" t="n">
        <v>0</v>
      </c>
      <c r="F183" s="4" t="n">
        <v>0</v>
      </c>
      <c r="G183" s="4" t="n">
        <v>0</v>
      </c>
      <c r="H183" s="4" t="n">
        <v>0</v>
      </c>
      <c r="I183" s="4" t="n">
        <v>0</v>
      </c>
      <c r="J183" s="4" t="n">
        <v>0</v>
      </c>
      <c r="K183" s="4" t="inlineStr">
        <is>
          <t>Historical signals: title/abstract/notes; full-text completion not independently established</t>
        </is>
      </c>
      <c r="L183" s="4" t="str"/>
      <c r="M183" s="4" t="inlineStr">
        <is>
          <t>https://doi.org/10.1007/s11042-024-18519-y</t>
        </is>
      </c>
      <c r="N183" s="4" t="n">
        <v>0</v>
      </c>
      <c r="O183" s="4" t="n">
        <v>0</v>
      </c>
      <c r="P183" s="4" t="n">
        <v>0</v>
      </c>
      <c r="Q183" s="12" t="n"/>
      <c r="R183" s="41" t="n"/>
      <c r="S183" s="4" t="inlineStr">
        <is>
          <t>0 = no reported evidence in material assessed; blank = not coded/unknown; neither proves absence</t>
        </is>
      </c>
      <c r="T183" s="4">
        <f>IF(COUNTIFS('ESTUDIOS'!$A$2:$A$455,$A183,'ESTUDIOS'!$I$2:$I$455,"")&gt;0,"",INDEX('ESTUDIOS'!$I$2:$I$455,MATCH($A183,'ESTUDIOS'!$A$2:$A$455,0)))</f>
        <v/>
      </c>
    </row>
    <row r="184" ht="86" customHeight="1">
      <c r="A184" s="4" t="inlineStr">
        <is>
          <t>201</t>
        </is>
      </c>
      <c r="B184" s="4" t="inlineStr">
        <is>
          <t>Historical</t>
        </is>
      </c>
      <c r="C184" s="4" t="inlineStr">
        <is>
          <t>Machine Learning–Based Approach for Early Screening of Autism Spectrum Disorders</t>
        </is>
      </c>
      <c r="D184" s="4" t="n">
        <v>0</v>
      </c>
      <c r="E184" s="4" t="n">
        <v>0</v>
      </c>
      <c r="F184" s="4" t="n">
        <v>0</v>
      </c>
      <c r="G184" s="4" t="n">
        <v>0</v>
      </c>
      <c r="H184" s="4" t="n">
        <v>0</v>
      </c>
      <c r="I184" s="4" t="n">
        <v>0</v>
      </c>
      <c r="J184" s="4" t="n">
        <v>0</v>
      </c>
      <c r="K184" s="4" t="inlineStr">
        <is>
          <t>Historical signals: title/abstract/notes; full-text completion not independently established</t>
        </is>
      </c>
      <c r="L184" s="4" t="inlineStr">
        <is>
          <t>Se comparan varios modelos; se eligió el principal/mejor reportado</t>
        </is>
      </c>
      <c r="M184" s="4" t="inlineStr">
        <is>
          <t>https://doi.org/10.1155/acis/9975499</t>
        </is>
      </c>
      <c r="N184" s="4" t="n">
        <v>0</v>
      </c>
      <c r="O184" s="4" t="n">
        <v>0</v>
      </c>
      <c r="P184" s="4" t="n">
        <v>0</v>
      </c>
      <c r="Q184" s="12" t="n"/>
      <c r="R184" s="41" t="n"/>
      <c r="S184" s="4" t="inlineStr">
        <is>
          <t>0 = no reported evidence in material assessed; blank = not coded/unknown; neither proves absence</t>
        </is>
      </c>
      <c r="T184" s="4">
        <f>IF(COUNTIFS('ESTUDIOS'!$A$2:$A$455,$A184,'ESTUDIOS'!$I$2:$I$455,"")&gt;0,"",INDEX('ESTUDIOS'!$I$2:$I$455,MATCH($A184,'ESTUDIOS'!$A$2:$A$455,0)))</f>
        <v/>
      </c>
    </row>
    <row r="185" ht="86" customHeight="1">
      <c r="A185" s="4" t="inlineStr">
        <is>
          <t>202</t>
        </is>
      </c>
      <c r="B185" s="4" t="inlineStr">
        <is>
          <t>Historical</t>
        </is>
      </c>
      <c r="C185" s="4" t="inlineStr">
        <is>
          <t>Model selection to achieve reproducible associations between resting state EEG features and autism</t>
        </is>
      </c>
      <c r="D185" s="4" t="n">
        <v>0</v>
      </c>
      <c r="E185" s="4" t="n">
        <v>0</v>
      </c>
      <c r="F185" s="4" t="n">
        <v>0</v>
      </c>
      <c r="G185" s="4" t="n">
        <v>0</v>
      </c>
      <c r="H185" s="4" t="n">
        <v>0</v>
      </c>
      <c r="I185" s="4" t="n">
        <v>0</v>
      </c>
      <c r="J185" s="4" t="n">
        <v>0</v>
      </c>
      <c r="K185" s="4" t="inlineStr">
        <is>
          <t>Historical signals: title/abstract/notes; full-text completion not independently established</t>
        </is>
      </c>
      <c r="L185" s="4" t="inlineStr">
        <is>
          <t>Algoritmo principal no explícito o fuera del codebook; Confirmar algoritmo principal en full-text</t>
        </is>
      </c>
      <c r="M185" s="4" t="inlineStr">
        <is>
          <t>https://doi.org/10.1038/s41598-024-76659-5</t>
        </is>
      </c>
      <c r="N185" s="4" t="n">
        <v>0</v>
      </c>
      <c r="O185" s="4" t="n">
        <v>0</v>
      </c>
      <c r="P185" s="4" t="n">
        <v>1</v>
      </c>
      <c r="Q185" s="12" t="n"/>
      <c r="R185" s="41" t="n"/>
      <c r="S185" s="4" t="inlineStr">
        <is>
          <t>0 = no reported evidence in material assessed; blank = not coded/unknown; neither proves absence</t>
        </is>
      </c>
      <c r="T185" s="4">
        <f>IF(COUNTIFS('ESTUDIOS'!$A$2:$A$455,$A185,'ESTUDIOS'!$I$2:$I$455,"")&gt;0,"",INDEX('ESTUDIOS'!$I$2:$I$455,MATCH($A185,'ESTUDIOS'!$A$2:$A$455,0)))</f>
        <v/>
      </c>
    </row>
    <row r="186" ht="86" customHeight="1">
      <c r="A186" s="4" t="inlineStr">
        <is>
          <t>203</t>
        </is>
      </c>
      <c r="B186" s="4" t="inlineStr">
        <is>
          <t>Historical</t>
        </is>
      </c>
      <c r="C186" s="4" t="inlineStr">
        <is>
          <t>Multimodal autism detection: Deep hybrid model with improved feature level fusion</t>
        </is>
      </c>
      <c r="D186" s="4" t="n">
        <v>0</v>
      </c>
      <c r="E186" s="4" t="n">
        <v>0</v>
      </c>
      <c r="F186" s="4" t="n">
        <v>0</v>
      </c>
      <c r="G186" s="4" t="n">
        <v>0</v>
      </c>
      <c r="H186" s="4" t="n">
        <v>0</v>
      </c>
      <c r="I186" s="4" t="n">
        <v>0</v>
      </c>
      <c r="J186" s="4" t="n">
        <v>1</v>
      </c>
      <c r="K186" s="4" t="inlineStr">
        <is>
          <t>Historical signals: title/abstract/notes; full-text completion not independently established</t>
        </is>
      </c>
      <c r="L186" s="4" t="str"/>
      <c r="M186" s="4" t="inlineStr">
        <is>
          <t>https://doi.org/10.1016/j.cmpb.2024.108492</t>
        </is>
      </c>
      <c r="N186" s="4" t="n">
        <v>0</v>
      </c>
      <c r="O186" s="4" t="n">
        <v>1</v>
      </c>
      <c r="P186" s="4" t="n">
        <v>1</v>
      </c>
      <c r="Q186" s="12" t="n"/>
      <c r="R186" s="41" t="n"/>
      <c r="S186" s="4" t="inlineStr">
        <is>
          <t>0 = no reported evidence in material assessed; blank = not coded/unknown; neither proves absence</t>
        </is>
      </c>
      <c r="T186" s="4">
        <f>IF(COUNTIFS('ESTUDIOS'!$A$2:$A$455,$A186,'ESTUDIOS'!$I$2:$I$455,"")&gt;0,"",INDEX('ESTUDIOS'!$I$2:$I$455,MATCH($A186,'ESTUDIOS'!$A$2:$A$455,0)))</f>
        <v/>
      </c>
    </row>
    <row r="187" ht="86" customHeight="1">
      <c r="A187" s="4" t="inlineStr">
        <is>
          <t>204</t>
        </is>
      </c>
      <c r="B187" s="4" t="inlineStr">
        <is>
          <t>Historical</t>
        </is>
      </c>
      <c r="C187" s="4" t="inlineStr">
        <is>
          <t>Multi-task feature selection via supervised canonical graph matching for diagnosis of autism spectrum disorder</t>
        </is>
      </c>
      <c r="D187" s="4" t="n">
        <v>0</v>
      </c>
      <c r="E187" s="4" t="n">
        <v>0</v>
      </c>
      <c r="F187" s="4" t="n">
        <v>0</v>
      </c>
      <c r="G187" s="4" t="n">
        <v>0</v>
      </c>
      <c r="H187" s="4" t="n">
        <v>0</v>
      </c>
      <c r="I187" s="4" t="n">
        <v>0</v>
      </c>
      <c r="J187" s="4" t="n">
        <v>0</v>
      </c>
      <c r="K187" s="4" t="inlineStr">
        <is>
          <t>Historical signals: title/abstract/notes; full-text completion not independently established</t>
        </is>
      </c>
      <c r="L187" s="4" t="str"/>
      <c r="M187" s="4" t="inlineStr">
        <is>
          <t>https://doi.org/10.1007/s11682-015-9360-1</t>
        </is>
      </c>
      <c r="N187" s="4" t="n">
        <v>0</v>
      </c>
      <c r="O187" s="4" t="n">
        <v>0</v>
      </c>
      <c r="P187" s="4" t="n">
        <v>0</v>
      </c>
      <c r="Q187" s="12" t="n"/>
      <c r="R187" s="41" t="n"/>
      <c r="S187" s="4" t="inlineStr">
        <is>
          <t>0 = no reported evidence in material assessed; blank = not coded/unknown; neither proves absence</t>
        </is>
      </c>
      <c r="T187" s="4">
        <f>IF(COUNTIFS('ESTUDIOS'!$A$2:$A$455,$A187,'ESTUDIOS'!$I$2:$I$455,"")&gt;0,"",INDEX('ESTUDIOS'!$I$2:$I$455,MATCH($A187,'ESTUDIOS'!$A$2:$A$455,0)))</f>
        <v/>
      </c>
    </row>
    <row r="188" ht="86" customHeight="1">
      <c r="A188" s="4" t="inlineStr">
        <is>
          <t>205</t>
        </is>
      </c>
      <c r="B188" s="4" t="inlineStr">
        <is>
          <t>Historical</t>
        </is>
      </c>
      <c r="C188" s="4" t="inlineStr">
        <is>
          <t>Off-Body Sleep Analysis for Predicting Adverse Behavior in Individuals With Autism Spectrum Disorder</t>
        </is>
      </c>
      <c r="D188" s="4" t="n">
        <v>0</v>
      </c>
      <c r="E188" s="4" t="n">
        <v>0</v>
      </c>
      <c r="F188" s="4" t="n">
        <v>0</v>
      </c>
      <c r="G188" s="4" t="n">
        <v>0</v>
      </c>
      <c r="H188" s="4" t="n">
        <v>0</v>
      </c>
      <c r="I188" s="4" t="n">
        <v>0</v>
      </c>
      <c r="J188" s="4" t="n">
        <v>0</v>
      </c>
      <c r="K188" s="4" t="inlineStr">
        <is>
          <t>Historical signals: title/abstract/notes; full-text completion not independently established</t>
        </is>
      </c>
      <c r="L188" s="4" t="inlineStr">
        <is>
          <t>Algoritmo principal no explícito o fuera del codebook; Confirmar algoritmo principal en full-text</t>
        </is>
      </c>
      <c r="M188" s="4" t="inlineStr">
        <is>
          <t>https://doi.org/10.1109/jbhi.2024.3455942</t>
        </is>
      </c>
      <c r="N188" s="4" t="n">
        <v>0</v>
      </c>
      <c r="O188" s="4" t="n">
        <v>0</v>
      </c>
      <c r="P188" s="4" t="n">
        <v>1</v>
      </c>
      <c r="Q188" s="12" t="n"/>
      <c r="R188" s="41" t="n"/>
      <c r="S188" s="4" t="inlineStr">
        <is>
          <t>0 = no reported evidence in material assessed; blank = not coded/unknown; neither proves absence</t>
        </is>
      </c>
      <c r="T188" s="4">
        <f>IF(COUNTIFS('ESTUDIOS'!$A$2:$A$455,$A188,'ESTUDIOS'!$I$2:$I$455,"")&gt;0,"",INDEX('ESTUDIOS'!$I$2:$I$455,MATCH($A188,'ESTUDIOS'!$A$2:$A$455,0)))</f>
        <v/>
      </c>
    </row>
    <row r="189" ht="86" customHeight="1">
      <c r="A189" s="4" t="inlineStr">
        <is>
          <t>206</t>
        </is>
      </c>
      <c r="B189" s="4" t="inlineStr">
        <is>
          <t>Historical</t>
        </is>
      </c>
      <c r="C189" s="4" t="inlineStr">
        <is>
          <t>Overlaps in brain dynamic functional connectivity between schizophrenia and autism spectrum disorder</t>
        </is>
      </c>
      <c r="D189" s="4" t="n">
        <v>0</v>
      </c>
      <c r="E189" s="4" t="n">
        <v>0</v>
      </c>
      <c r="F189" s="4" t="n">
        <v>0</v>
      </c>
      <c r="G189" s="4" t="n">
        <v>0</v>
      </c>
      <c r="H189" s="4" t="n">
        <v>0</v>
      </c>
      <c r="I189" s="4" t="n">
        <v>0</v>
      </c>
      <c r="J189" s="4" t="n">
        <v>1</v>
      </c>
      <c r="K189" s="4" t="inlineStr">
        <is>
          <t>Historical signals: title/abstract/notes; full-text completion not independently established</t>
        </is>
      </c>
      <c r="L189" s="4" t="inlineStr">
        <is>
          <t>Algoritmo principal no explícito o fuera del codebook; Confirmar algoritmo principal en full-text</t>
        </is>
      </c>
      <c r="M189" s="4" t="inlineStr">
        <is>
          <t>https://doi.org/10.1016/j.sciaf.2018.e00019</t>
        </is>
      </c>
      <c r="N189" s="4" t="n">
        <v>0</v>
      </c>
      <c r="O189" s="4" t="n">
        <v>1</v>
      </c>
      <c r="P189" s="4" t="n">
        <v>1</v>
      </c>
      <c r="Q189" s="12" t="n"/>
      <c r="R189" s="41" t="n"/>
      <c r="S189" s="4" t="inlineStr">
        <is>
          <t>0 = no reported evidence in material assessed; blank = not coded/unknown; neither proves absence</t>
        </is>
      </c>
      <c r="T189" s="4">
        <f>IF(COUNTIFS('ESTUDIOS'!$A$2:$A$455,$A189,'ESTUDIOS'!$I$2:$I$455,"")&gt;0,"",INDEX('ESTUDIOS'!$I$2:$I$455,MATCH($A189,'ESTUDIOS'!$A$2:$A$455,0)))</f>
        <v/>
      </c>
    </row>
    <row r="190" ht="86" customHeight="1">
      <c r="A190" s="4" t="inlineStr">
        <is>
          <t>207</t>
        </is>
      </c>
      <c r="B190" s="4" t="inlineStr">
        <is>
          <t>Historical</t>
        </is>
      </c>
      <c r="C190" s="4" t="inlineStr">
        <is>
          <t>Persistent spectral based machine learning method for autism spectrum disorder classification</t>
        </is>
      </c>
      <c r="D190" s="4" t="n">
        <v>0</v>
      </c>
      <c r="E190" s="4" t="n">
        <v>0</v>
      </c>
      <c r="F190" s="4" t="n">
        <v>0</v>
      </c>
      <c r="G190" s="4" t="n">
        <v>0</v>
      </c>
      <c r="H190" s="4" t="n">
        <v>0</v>
      </c>
      <c r="I190" s="4" t="n">
        <v>0</v>
      </c>
      <c r="J190" s="4" t="n">
        <v>0</v>
      </c>
      <c r="K190" s="4" t="inlineStr">
        <is>
          <t>Historical signals: title/abstract/notes; full-text completion not independently established</t>
        </is>
      </c>
      <c r="L190" s="4" t="str"/>
      <c r="M190" s="4" t="inlineStr">
        <is>
          <t>https://doi.org/10.1016/j.neucom.2025.130780</t>
        </is>
      </c>
      <c r="N190" s="4" t="n">
        <v>0</v>
      </c>
      <c r="O190" s="4" t="n">
        <v>0</v>
      </c>
      <c r="P190" s="4" t="n">
        <v>1</v>
      </c>
      <c r="Q190" s="12" t="n"/>
      <c r="R190" s="41" t="n"/>
      <c r="S190" s="4" t="inlineStr">
        <is>
          <t>0 = no reported evidence in material assessed; blank = not coded/unknown; neither proves absence</t>
        </is>
      </c>
      <c r="T190" s="4">
        <f>IF(COUNTIFS('ESTUDIOS'!$A$2:$A$455,$A190,'ESTUDIOS'!$I$2:$I$455,"")&gt;0,"",INDEX('ESTUDIOS'!$I$2:$I$455,MATCH($A190,'ESTUDIOS'!$A$2:$A$455,0)))</f>
        <v/>
      </c>
    </row>
    <row r="191" ht="86" customHeight="1">
      <c r="A191" s="4" t="inlineStr">
        <is>
          <t>208</t>
        </is>
      </c>
      <c r="B191" s="4" t="inlineStr">
        <is>
          <t>Historical</t>
        </is>
      </c>
      <c r="C191" s="4" t="inlineStr">
        <is>
          <t>Phenotypic differences between female and male individuals with suspicion of autism spectrum disorder</t>
        </is>
      </c>
      <c r="D191" s="4" t="n">
        <v>0</v>
      </c>
      <c r="E191" s="4" t="n">
        <v>0</v>
      </c>
      <c r="F191" s="4" t="n">
        <v>0</v>
      </c>
      <c r="G191" s="4" t="n">
        <v>0</v>
      </c>
      <c r="H191" s="4" t="n">
        <v>0</v>
      </c>
      <c r="I191" s="4" t="n">
        <v>0</v>
      </c>
      <c r="J191" s="4" t="n">
        <v>1</v>
      </c>
      <c r="K191" s="4" t="inlineStr">
        <is>
          <t>Historical signals: title/abstract/notes; full-text completion not independently established</t>
        </is>
      </c>
      <c r="L191" s="4" t="str"/>
      <c r="M191" s="4" t="inlineStr">
        <is>
          <t>https://doi.org/10.1186/s13229-022-00491-9</t>
        </is>
      </c>
      <c r="N191" s="4" t="n">
        <v>0</v>
      </c>
      <c r="O191" s="4" t="n">
        <v>1</v>
      </c>
      <c r="P191" s="4" t="n">
        <v>0</v>
      </c>
      <c r="Q191" s="12" t="n"/>
      <c r="R191" s="41" t="n"/>
      <c r="S191" s="4" t="inlineStr">
        <is>
          <t>0 = no reported evidence in material assessed; blank = not coded/unknown; neither proves absence</t>
        </is>
      </c>
      <c r="T191" s="4">
        <f>IF(COUNTIFS('ESTUDIOS'!$A$2:$A$455,$A191,'ESTUDIOS'!$I$2:$I$455,"")&gt;0,"",INDEX('ESTUDIOS'!$I$2:$I$455,MATCH($A191,'ESTUDIOS'!$A$2:$A$455,0)))</f>
        <v/>
      </c>
    </row>
    <row r="192" ht="86" customHeight="1">
      <c r="A192" s="4" t="inlineStr">
        <is>
          <t>209</t>
        </is>
      </c>
      <c r="B192" s="4" t="inlineStr">
        <is>
          <t>Historical</t>
        </is>
      </c>
      <c r="C192" s="4" t="inlineStr">
        <is>
          <t>Predicting individual autistic symptoms for patients with autism spectrum disorder using interregional morphological connectivity</t>
        </is>
      </c>
      <c r="D192" s="4" t="n">
        <v>0</v>
      </c>
      <c r="E192" s="4" t="n">
        <v>1</v>
      </c>
      <c r="F192" s="4" t="n">
        <v>0</v>
      </c>
      <c r="G192" s="4" t="n">
        <v>0</v>
      </c>
      <c r="H192" s="4" t="n">
        <v>0</v>
      </c>
      <c r="I192" s="4" t="n">
        <v>0</v>
      </c>
      <c r="J192" s="4" t="n">
        <v>1</v>
      </c>
      <c r="K192" s="4" t="inlineStr">
        <is>
          <t>Historical signals: title/abstract/notes; full-text completion not independently established</t>
        </is>
      </c>
      <c r="L192" s="4" t="inlineStr">
        <is>
          <t>Algoritmo principal no explícito o fuera del codebook; Confirmar algoritmo principal en full-text</t>
        </is>
      </c>
      <c r="M192" s="4" t="inlineStr">
        <is>
          <t>https://doi.org/10.1016/j.pscychresns.2024.111822</t>
        </is>
      </c>
      <c r="N192" s="4" t="n">
        <v>0</v>
      </c>
      <c r="O192" s="4" t="n">
        <v>1</v>
      </c>
      <c r="P192" s="4" t="n">
        <v>1</v>
      </c>
      <c r="Q192" s="12" t="n"/>
      <c r="R192" s="41" t="n"/>
      <c r="S192" s="4" t="inlineStr">
        <is>
          <t>0 = no reported evidence in material assessed; blank = not coded/unknown; neither proves absence</t>
        </is>
      </c>
      <c r="T192" s="4">
        <f>IF(COUNTIFS('ESTUDIOS'!$A$2:$A$455,$A192,'ESTUDIOS'!$I$2:$I$455,"")&gt;0,"",INDEX('ESTUDIOS'!$I$2:$I$455,MATCH($A192,'ESTUDIOS'!$A$2:$A$455,0)))</f>
        <v/>
      </c>
    </row>
    <row r="193" ht="86" customHeight="1">
      <c r="A193" s="4" t="inlineStr">
        <is>
          <t>210</t>
        </is>
      </c>
      <c r="B193" s="4" t="inlineStr">
        <is>
          <t>Historical</t>
        </is>
      </c>
      <c r="C193" s="4" t="inlineStr">
        <is>
          <t>Prediction of Behavioral Improvement Through Resting-State Electroencephalography and Clinical Severity in a Randomized Controlled Trial Testing Bumetanide in Autism Spectrum Disorder</t>
        </is>
      </c>
      <c r="D193" s="4" t="n">
        <v>0</v>
      </c>
      <c r="E193" s="4" t="n">
        <v>0</v>
      </c>
      <c r="F193" s="4" t="n">
        <v>0</v>
      </c>
      <c r="G193" s="4" t="n">
        <v>0</v>
      </c>
      <c r="H193" s="4" t="n">
        <v>0</v>
      </c>
      <c r="I193" s="4" t="n">
        <v>0</v>
      </c>
      <c r="J193" s="4" t="n">
        <v>0</v>
      </c>
      <c r="K193" s="4" t="inlineStr">
        <is>
          <t>Historical signals: title/abstract/notes; full-text completion not independently established</t>
        </is>
      </c>
      <c r="L193" s="4" t="inlineStr">
        <is>
          <t>Algoritmo principal no explícito o fuera del codebook; Confirmar algoritmo principal en full-text</t>
        </is>
      </c>
      <c r="M193" s="4" t="inlineStr">
        <is>
          <t>https://doi.org/10.1016/j.bpsc.2021.08.009</t>
        </is>
      </c>
      <c r="N193" s="4" t="n">
        <v>0</v>
      </c>
      <c r="O193" s="4" t="n">
        <v>0</v>
      </c>
      <c r="P193" s="4" t="n">
        <v>1</v>
      </c>
      <c r="Q193" s="12" t="n"/>
      <c r="R193" s="41" t="n"/>
      <c r="S193" s="4" t="inlineStr">
        <is>
          <t>0 = no reported evidence in material assessed; blank = not coded/unknown; neither proves absence</t>
        </is>
      </c>
      <c r="T193" s="4">
        <f>IF(COUNTIFS('ESTUDIOS'!$A$2:$A$455,$A193,'ESTUDIOS'!$I$2:$I$455,"")&gt;0,"",INDEX('ESTUDIOS'!$I$2:$I$455,MATCH($A193,'ESTUDIOS'!$A$2:$A$455,0)))</f>
        <v/>
      </c>
    </row>
    <row r="194" ht="86" customHeight="1">
      <c r="A194" s="4" t="inlineStr">
        <is>
          <t>211</t>
        </is>
      </c>
      <c r="B194" s="4" t="inlineStr">
        <is>
          <t>Historical</t>
        </is>
      </c>
      <c r="C194" s="4" t="inlineStr">
        <is>
          <t>Prediction of Outcomes in Mini-Basketball Training Program for Preschool Children with Autism Using Machine Learning Models</t>
        </is>
      </c>
      <c r="D194" s="4" t="n">
        <v>0</v>
      </c>
      <c r="E194" s="4" t="n">
        <v>0</v>
      </c>
      <c r="F194" s="4" t="n">
        <v>0</v>
      </c>
      <c r="G194" s="4" t="n">
        <v>0</v>
      </c>
      <c r="H194" s="4" t="n">
        <v>0</v>
      </c>
      <c r="I194" s="4" t="n">
        <v>0</v>
      </c>
      <c r="J194" s="4" t="n">
        <v>0</v>
      </c>
      <c r="K194" s="4" t="inlineStr">
        <is>
          <t>Historical signals: title/abstract/notes; full-text completion not independently established</t>
        </is>
      </c>
      <c r="L194" s="4" t="str"/>
      <c r="M194" s="4" t="inlineStr">
        <is>
          <t>https://doi.org/10.32604/ijmhp.2022.020075</t>
        </is>
      </c>
      <c r="N194" s="4" t="n">
        <v>0</v>
      </c>
      <c r="O194" s="4" t="n">
        <v>0</v>
      </c>
      <c r="P194" s="4" t="n">
        <v>0</v>
      </c>
      <c r="Q194" s="12" t="n"/>
      <c r="R194" s="41" t="n"/>
      <c r="S194" s="4" t="inlineStr">
        <is>
          <t>0 = no reported evidence in material assessed; blank = not coded/unknown; neither proves absence</t>
        </is>
      </c>
      <c r="T194" s="4">
        <f>IF(COUNTIFS('ESTUDIOS'!$A$2:$A$455,$A194,'ESTUDIOS'!$I$2:$I$455,"")&gt;0,"",INDEX('ESTUDIOS'!$I$2:$I$455,MATCH($A194,'ESTUDIOS'!$A$2:$A$455,0)))</f>
        <v/>
      </c>
    </row>
    <row r="195" ht="86" customHeight="1">
      <c r="A195" s="4" t="inlineStr">
        <is>
          <t>212</t>
        </is>
      </c>
      <c r="B195" s="4" t="inlineStr">
        <is>
          <t>Historical</t>
        </is>
      </c>
      <c r="C195" s="4" t="inlineStr">
        <is>
          <t>Pre-trained artificial intelligence language model represents pragmatic language variability central to autism and genetically related phenotypes</t>
        </is>
      </c>
      <c r="D195" s="4" t="n">
        <v>0</v>
      </c>
      <c r="E195" s="4" t="n">
        <v>0</v>
      </c>
      <c r="F195" s="4" t="n">
        <v>0</v>
      </c>
      <c r="G195" s="4" t="n">
        <v>0</v>
      </c>
      <c r="H195" s="4" t="n">
        <v>0</v>
      </c>
      <c r="I195" s="4" t="n">
        <v>0</v>
      </c>
      <c r="J195" s="4" t="n">
        <v>0</v>
      </c>
      <c r="K195" s="4" t="inlineStr">
        <is>
          <t>Historical signals: title/abstract/notes; full-text completion not independently established</t>
        </is>
      </c>
      <c r="L195" s="4" t="str"/>
      <c r="M195" s="4" t="inlineStr">
        <is>
          <t>https://doi.org/10.1177/13623613241304488</t>
        </is>
      </c>
      <c r="N195" s="4" t="n">
        <v>0</v>
      </c>
      <c r="O195" s="4" t="n">
        <v>0</v>
      </c>
      <c r="P195" s="4" t="n">
        <v>0</v>
      </c>
      <c r="Q195" s="12" t="n"/>
      <c r="R195" s="41" t="n"/>
      <c r="S195" s="4" t="inlineStr">
        <is>
          <t>0 = no reported evidence in material assessed; blank = not coded/unknown; neither proves absence</t>
        </is>
      </c>
      <c r="T195" s="4">
        <f>IF(COUNTIFS('ESTUDIOS'!$A$2:$A$455,$A195,'ESTUDIOS'!$I$2:$I$455,"")&gt;0,"",INDEX('ESTUDIOS'!$I$2:$I$455,MATCH($A195,'ESTUDIOS'!$A$2:$A$455,0)))</f>
        <v/>
      </c>
    </row>
    <row r="196" ht="86" customHeight="1">
      <c r="A196" s="4" t="inlineStr">
        <is>
          <t>213</t>
        </is>
      </c>
      <c r="B196" s="4" t="inlineStr">
        <is>
          <t>Historical</t>
        </is>
      </c>
      <c r="C196" s="4" t="inlineStr">
        <is>
          <t>Resting state functional magnetic resonance imaging and neural network classified autism and control</t>
        </is>
      </c>
      <c r="D196" s="4" t="n">
        <v>0</v>
      </c>
      <c r="E196" s="4" t="n">
        <v>1</v>
      </c>
      <c r="F196" s="4" t="n">
        <v>0</v>
      </c>
      <c r="G196" s="4" t="n">
        <v>0</v>
      </c>
      <c r="H196" s="4" t="n">
        <v>0</v>
      </c>
      <c r="I196" s="4" t="n">
        <v>0</v>
      </c>
      <c r="J196" s="4" t="n">
        <v>0</v>
      </c>
      <c r="K196" s="4" t="inlineStr">
        <is>
          <t>Historical signals: title/abstract/notes; full-text completion not independently established</t>
        </is>
      </c>
      <c r="L196" s="4" t="inlineStr">
        <is>
          <t>Algoritmo principal no explícito o fuera del codebook; Confirmar algoritmo principal en full-text</t>
        </is>
      </c>
      <c r="M196" s="4" t="inlineStr">
        <is>
          <t>https://doi.org/10.1016/j.cortex.2014.08.011</t>
        </is>
      </c>
      <c r="N196" s="4" t="n">
        <v>0</v>
      </c>
      <c r="O196" s="4" t="n">
        <v>0</v>
      </c>
      <c r="P196" s="4" t="n">
        <v>1</v>
      </c>
      <c r="Q196" s="12" t="n"/>
      <c r="R196" s="41" t="n"/>
      <c r="S196" s="4" t="inlineStr">
        <is>
          <t>0 = no reported evidence in material assessed; blank = not coded/unknown; neither proves absence</t>
        </is>
      </c>
      <c r="T196" s="4">
        <f>IF(COUNTIFS('ESTUDIOS'!$A$2:$A$455,$A196,'ESTUDIOS'!$I$2:$I$455,"")&gt;0,"",INDEX('ESTUDIOS'!$I$2:$I$455,MATCH($A196,'ESTUDIOS'!$A$2:$A$455,0)))</f>
        <v/>
      </c>
    </row>
    <row r="197" ht="86" customHeight="1">
      <c r="A197" s="4" t="inlineStr">
        <is>
          <t>214</t>
        </is>
      </c>
      <c r="B197" s="4" t="inlineStr">
        <is>
          <t>Historical</t>
        </is>
      </c>
      <c r="C197" s="4" t="inlineStr">
        <is>
          <t>Self-Paced Learning and Privileged Information based Cascaded Multi-column Classification algorithm for ASD diagnosis</t>
        </is>
      </c>
      <c r="D197" s="4" t="n">
        <v>0</v>
      </c>
      <c r="E197" s="4" t="n">
        <v>0</v>
      </c>
      <c r="F197" s="4" t="n">
        <v>0</v>
      </c>
      <c r="G197" s="4" t="n">
        <v>0</v>
      </c>
      <c r="H197" s="4" t="n">
        <v>0</v>
      </c>
      <c r="I197" s="4" t="n">
        <v>0</v>
      </c>
      <c r="J197" s="4" t="n">
        <v>0</v>
      </c>
      <c r="K197" s="4" t="inlineStr">
        <is>
          <t>Historical signals: title/abstract/notes; full-text completion not independently established</t>
        </is>
      </c>
      <c r="L197" s="4" t="str"/>
      <c r="M197" s="4" t="inlineStr">
        <is>
          <t>https://doi.org/10.1109/embc46164.2021.9630150</t>
        </is>
      </c>
      <c r="N197" s="4" t="n">
        <v>0</v>
      </c>
      <c r="O197" s="4" t="n">
        <v>0</v>
      </c>
      <c r="P197" s="4" t="n">
        <v>0</v>
      </c>
      <c r="Q197" s="12" t="n"/>
      <c r="R197" s="41" t="n"/>
      <c r="S197" s="4" t="inlineStr">
        <is>
          <t>0 = no reported evidence in material assessed; blank = not coded/unknown; neither proves absence</t>
        </is>
      </c>
      <c r="T197" s="4">
        <f>IF(COUNTIFS('ESTUDIOS'!$A$2:$A$455,$A197,'ESTUDIOS'!$I$2:$I$455,"")&gt;0,"",INDEX('ESTUDIOS'!$I$2:$I$455,MATCH($A197,'ESTUDIOS'!$A$2:$A$455,0)))</f>
        <v/>
      </c>
    </row>
    <row r="198" ht="86" customHeight="1">
      <c r="A198" s="4" t="inlineStr">
        <is>
          <t>215</t>
        </is>
      </c>
      <c r="B198" s="4" t="inlineStr">
        <is>
          <t>Historical</t>
        </is>
      </c>
      <c r="C198" s="4" t="inlineStr">
        <is>
          <t>Smartphone Haptics Can Uncover Differences in Touch Interactions Between ASD and Neurotypicals</t>
        </is>
      </c>
      <c r="D198" s="4" t="n">
        <v>0</v>
      </c>
      <c r="E198" s="4" t="n">
        <v>0</v>
      </c>
      <c r="F198" s="4" t="n">
        <v>0</v>
      </c>
      <c r="G198" s="4" t="n">
        <v>0</v>
      </c>
      <c r="H198" s="4" t="n">
        <v>0</v>
      </c>
      <c r="I198" s="4" t="n">
        <v>0</v>
      </c>
      <c r="J198" s="4" t="n">
        <v>0</v>
      </c>
      <c r="K198" s="4" t="inlineStr">
        <is>
          <t>Historical signals: title/abstract/notes; full-text completion not independently established</t>
        </is>
      </c>
      <c r="L198" s="4" t="str"/>
      <c r="M198" s="4" t="inlineStr">
        <is>
          <t>https://doi.org/10.1145/3699749</t>
        </is>
      </c>
      <c r="N198" s="4" t="n">
        <v>0</v>
      </c>
      <c r="O198" s="4" t="n">
        <v>0</v>
      </c>
      <c r="P198" s="4" t="n">
        <v>1</v>
      </c>
      <c r="Q198" s="12" t="n"/>
      <c r="R198" s="41" t="n"/>
      <c r="S198" s="4" t="inlineStr">
        <is>
          <t>0 = no reported evidence in material assessed; blank = not coded/unknown; neither proves absence</t>
        </is>
      </c>
      <c r="T198" s="4">
        <f>IF(COUNTIFS('ESTUDIOS'!$A$2:$A$455,$A198,'ESTUDIOS'!$I$2:$I$455,"")&gt;0,"",INDEX('ESTUDIOS'!$I$2:$I$455,MATCH($A198,'ESTUDIOS'!$A$2:$A$455,0)))</f>
        <v/>
      </c>
    </row>
    <row r="199" ht="86" customHeight="1">
      <c r="A199" s="4" t="inlineStr">
        <is>
          <t>216</t>
        </is>
      </c>
      <c r="B199" s="4" t="inlineStr">
        <is>
          <t>Historical</t>
        </is>
      </c>
      <c r="C199" s="4" t="inlineStr">
        <is>
          <t>Targeted metabolomics in children with autism spectrum disorder with and without developmental regression</t>
        </is>
      </c>
      <c r="D199" s="4" t="n">
        <v>0</v>
      </c>
      <c r="E199" s="4" t="n">
        <v>0</v>
      </c>
      <c r="F199" s="4" t="n">
        <v>0</v>
      </c>
      <c r="G199" s="4" t="n">
        <v>0</v>
      </c>
      <c r="H199" s="4" t="n">
        <v>0</v>
      </c>
      <c r="I199" s="4" t="n">
        <v>0</v>
      </c>
      <c r="J199" s="4" t="n">
        <v>0</v>
      </c>
      <c r="K199" s="4" t="inlineStr">
        <is>
          <t>Historical signals: title/abstract/notes; full-text completion not independently established</t>
        </is>
      </c>
      <c r="L199" s="4" t="str"/>
      <c r="M199" s="4" t="inlineStr">
        <is>
          <t>https://doi.org/10.1007/s11011-025-01604-y</t>
        </is>
      </c>
      <c r="N199" s="4" t="n">
        <v>0</v>
      </c>
      <c r="O199" s="4" t="n">
        <v>0</v>
      </c>
      <c r="P199" s="4" t="n">
        <v>0</v>
      </c>
      <c r="Q199" s="12" t="n"/>
      <c r="R199" s="41" t="n"/>
      <c r="S199" s="4" t="inlineStr">
        <is>
          <t>0 = no reported evidence in material assessed; blank = not coded/unknown; neither proves absence</t>
        </is>
      </c>
      <c r="T199" s="4">
        <f>IF(COUNTIFS('ESTUDIOS'!$A$2:$A$455,$A199,'ESTUDIOS'!$I$2:$I$455,"")&gt;0,"",INDEX('ESTUDIOS'!$I$2:$I$455,MATCH($A199,'ESTUDIOS'!$A$2:$A$455,0)))</f>
        <v/>
      </c>
    </row>
    <row r="200" ht="86" customHeight="1">
      <c r="A200" s="4" t="inlineStr">
        <is>
          <t>217</t>
        </is>
      </c>
      <c r="B200" s="4" t="inlineStr">
        <is>
          <t>Historical</t>
        </is>
      </c>
      <c r="C200" s="4" t="inlineStr">
        <is>
          <t>Twinned neuroimaging analysis contributes to improving the classification of young people with autism spectrum disorder</t>
        </is>
      </c>
      <c r="D200" s="4" t="n">
        <v>0</v>
      </c>
      <c r="E200" s="4" t="n">
        <v>1</v>
      </c>
      <c r="F200" s="4" t="n">
        <v>0</v>
      </c>
      <c r="G200" s="4" t="n">
        <v>0</v>
      </c>
      <c r="H200" s="4" t="n">
        <v>0</v>
      </c>
      <c r="I200" s="4" t="n">
        <v>0</v>
      </c>
      <c r="J200" s="4" t="n">
        <v>0</v>
      </c>
      <c r="K200" s="4" t="inlineStr">
        <is>
          <t>Historical signals: title/abstract/notes; full-text completion not independently established</t>
        </is>
      </c>
      <c r="L200" s="4" t="str"/>
      <c r="M200" s="4" t="inlineStr">
        <is>
          <t>https://doi.org/10.1038/s41598-024-71174-z</t>
        </is>
      </c>
      <c r="N200" s="4" t="n">
        <v>0</v>
      </c>
      <c r="O200" s="4" t="n">
        <v>0</v>
      </c>
      <c r="P200" s="4" t="n">
        <v>0</v>
      </c>
      <c r="Q200" s="12" t="n"/>
      <c r="R200" s="41" t="n"/>
      <c r="S200" s="4" t="inlineStr">
        <is>
          <t>0 = no reported evidence in material assessed; blank = not coded/unknown; neither proves absence</t>
        </is>
      </c>
      <c r="T200" s="4">
        <f>IF(COUNTIFS('ESTUDIOS'!$A$2:$A$455,$A200,'ESTUDIOS'!$I$2:$I$455,"")&gt;0,"",INDEX('ESTUDIOS'!$I$2:$I$455,MATCH($A200,'ESTUDIOS'!$A$2:$A$455,0)))</f>
        <v/>
      </c>
    </row>
    <row r="201" ht="86" customHeight="1">
      <c r="A201" s="4" t="inlineStr">
        <is>
          <t>218</t>
        </is>
      </c>
      <c r="B201" s="4" t="inlineStr">
        <is>
          <t>Historical</t>
        </is>
      </c>
      <c r="C201" s="4" t="inlineStr">
        <is>
          <t>Using a small dataset to classify strength-interactions with an elastic display: a case study for the screening of autism spectrum disorder</t>
        </is>
      </c>
      <c r="D201" s="4" t="n">
        <v>0</v>
      </c>
      <c r="E201" s="4" t="n">
        <v>0</v>
      </c>
      <c r="F201" s="4" t="n">
        <v>0</v>
      </c>
      <c r="G201" s="4" t="n">
        <v>0</v>
      </c>
      <c r="H201" s="4" t="n">
        <v>0</v>
      </c>
      <c r="I201" s="4" t="n">
        <v>0</v>
      </c>
      <c r="J201" s="4" t="n">
        <v>0</v>
      </c>
      <c r="K201" s="4" t="inlineStr">
        <is>
          <t>Historical signals: title/abstract/notes; full-text completion not independently established</t>
        </is>
      </c>
      <c r="L201" s="4" t="inlineStr">
        <is>
          <t>Algoritmo principal no explícito o fuera del codebook; Confirmar algoritmo principal en full-text</t>
        </is>
      </c>
      <c r="M201" s="4" t="inlineStr">
        <is>
          <t>https://doi.org/10.1007/s13042-022-01554-2</t>
        </is>
      </c>
      <c r="N201" s="4" t="n">
        <v>0</v>
      </c>
      <c r="O201" s="4" t="n">
        <v>0</v>
      </c>
      <c r="P201" s="4" t="n">
        <v>1</v>
      </c>
      <c r="Q201" s="12" t="n"/>
      <c r="R201" s="41" t="n"/>
      <c r="S201" s="4" t="inlineStr">
        <is>
          <t>0 = no reported evidence in material assessed; blank = not coded/unknown; neither proves absence</t>
        </is>
      </c>
      <c r="T201" s="4">
        <f>IF(COUNTIFS('ESTUDIOS'!$A$2:$A$455,$A201,'ESTUDIOS'!$I$2:$I$455,"")&gt;0,"",INDEX('ESTUDIOS'!$I$2:$I$455,MATCH($A201,'ESTUDIOS'!$A$2:$A$455,0)))</f>
        <v/>
      </c>
    </row>
    <row r="202" ht="86" customHeight="1">
      <c r="A202" s="4" t="inlineStr">
        <is>
          <t>219</t>
        </is>
      </c>
      <c r="B202" s="4" t="inlineStr">
        <is>
          <t>Historical</t>
        </is>
      </c>
      <c r="C202" s="4" t="inlineStr">
        <is>
          <t>Wearable EEG Neurofeedback Based-on Machine Learning Algorithms for Children with Autism: A Randomized, Placebo-controlled Study</t>
        </is>
      </c>
      <c r="D202" s="4" t="n">
        <v>0</v>
      </c>
      <c r="E202" s="4" t="n">
        <v>1</v>
      </c>
      <c r="F202" s="4" t="n">
        <v>0</v>
      </c>
      <c r="G202" s="4" t="n">
        <v>0</v>
      </c>
      <c r="H202" s="4" t="n">
        <v>0</v>
      </c>
      <c r="I202" s="4" t="n">
        <v>0</v>
      </c>
      <c r="J202" s="4" t="n">
        <v>0</v>
      </c>
      <c r="K202" s="4" t="inlineStr">
        <is>
          <t>Historical signals: title/abstract/notes; full-text completion not independently established</t>
        </is>
      </c>
      <c r="L202" s="4" t="inlineStr">
        <is>
          <t>Menciona two center-based intervention sites; señal multisitio preliminar.</t>
        </is>
      </c>
      <c r="M202" s="4" t="inlineStr">
        <is>
          <t>https://doi.org/10.1007/s11596-024-2938-3</t>
        </is>
      </c>
      <c r="N202" s="4" t="n">
        <v>0</v>
      </c>
      <c r="O202" s="4" t="n">
        <v>0</v>
      </c>
      <c r="P202" s="4" t="n"/>
      <c r="Q202" s="12" t="n"/>
      <c r="R202" s="41" t="n"/>
      <c r="S202" s="4" t="inlineStr">
        <is>
          <t>0 = no reported evidence in material assessed; blank = not coded/unknown; neither proves absence</t>
        </is>
      </c>
      <c r="T202" s="4">
        <f>IF(COUNTIFS('ESTUDIOS'!$A$2:$A$455,$A202,'ESTUDIOS'!$I$2:$I$455,"")&gt;0,"",INDEX('ESTUDIOS'!$I$2:$I$455,MATCH($A202,'ESTUDIOS'!$A$2:$A$455,0)))</f>
        <v/>
      </c>
    </row>
    <row r="203" ht="86" customHeight="1">
      <c r="A203" s="4" t="inlineStr">
        <is>
          <t>220</t>
        </is>
      </c>
      <c r="B203" s="4" t="inlineStr">
        <is>
          <t>Historical</t>
        </is>
      </c>
      <c r="C203" s="4" t="inlineStr">
        <is>
          <t>1D-convolutional neural network and fast Walsh–Hadamard transform approach for diagnosing autism spectrum disorder</t>
        </is>
      </c>
      <c r="D203" s="4" t="n">
        <v>0</v>
      </c>
      <c r="E203" s="4" t="n">
        <v>0</v>
      </c>
      <c r="F203" s="4" t="n">
        <v>0</v>
      </c>
      <c r="G203" s="4" t="n">
        <v>0</v>
      </c>
      <c r="H203" s="4" t="n">
        <v>0</v>
      </c>
      <c r="I203" s="4" t="n">
        <v>0</v>
      </c>
      <c r="J203" s="4" t="n">
        <v>0</v>
      </c>
      <c r="K203" s="4" t="inlineStr">
        <is>
          <t>Historical signals: title/abstract/notes; full-text completion not independently established</t>
        </is>
      </c>
      <c r="L203" s="4" t="str"/>
      <c r="M203" s="4" t="inlineStr">
        <is>
          <t>https://doi.org/10.1007/s00521-025-11208-3</t>
        </is>
      </c>
      <c r="N203" s="4" t="n">
        <v>0</v>
      </c>
      <c r="O203" s="4" t="n">
        <v>0</v>
      </c>
      <c r="P203" s="4" t="n">
        <v>1</v>
      </c>
      <c r="Q203" s="12" t="n"/>
      <c r="R203" s="41" t="n"/>
      <c r="S203" s="4" t="inlineStr">
        <is>
          <t>0 = no reported evidence in material assessed; blank = not coded/unknown; neither proves absence</t>
        </is>
      </c>
      <c r="T203" s="4">
        <f>IF(COUNTIFS('ESTUDIOS'!$A$2:$A$455,$A203,'ESTUDIOS'!$I$2:$I$455,"")&gt;0,"",INDEX('ESTUDIOS'!$I$2:$I$455,MATCH($A203,'ESTUDIOS'!$A$2:$A$455,0)))</f>
        <v/>
      </c>
    </row>
    <row r="204" ht="86" customHeight="1">
      <c r="A204" s="4" t="inlineStr">
        <is>
          <t>221</t>
        </is>
      </c>
      <c r="B204" s="4" t="inlineStr">
        <is>
          <t>Historical</t>
        </is>
      </c>
      <c r="C204" s="4" t="inlineStr">
        <is>
          <t>A hybrid Stacking-SMOTE model for optimizing the prediction of autistic genes</t>
        </is>
      </c>
      <c r="D204" s="4" t="n">
        <v>0</v>
      </c>
      <c r="E204" s="4" t="n">
        <v>0</v>
      </c>
      <c r="F204" s="4" t="n">
        <v>0</v>
      </c>
      <c r="G204" s="4" t="n">
        <v>0</v>
      </c>
      <c r="H204" s="4" t="n">
        <v>0</v>
      </c>
      <c r="I204" s="4" t="n">
        <v>0</v>
      </c>
      <c r="J204" s="4" t="n">
        <v>0</v>
      </c>
      <c r="K204" s="4" t="inlineStr">
        <is>
          <t>Historical signals: title/abstract/notes; full-text completion not independently established</t>
        </is>
      </c>
      <c r="L204" s="4" t="inlineStr">
        <is>
          <t>Algoritmo principal no explícito o fuera del codebook; Confirmar algoritmo principal en full-text</t>
        </is>
      </c>
      <c r="M204" s="4" t="inlineStr">
        <is>
          <t>https://doi.org/10.1186/s12859-023-05501-y</t>
        </is>
      </c>
      <c r="N204" s="4" t="n">
        <v>0</v>
      </c>
      <c r="O204" s="4" t="n">
        <v>0</v>
      </c>
      <c r="P204" s="4" t="n">
        <v>1</v>
      </c>
      <c r="Q204" s="12" t="n"/>
      <c r="R204" s="41" t="n"/>
      <c r="S204" s="4" t="inlineStr">
        <is>
          <t>0 = no reported evidence in material assessed; blank = not coded/unknown; neither proves absence</t>
        </is>
      </c>
      <c r="T204" s="4">
        <f>IF(COUNTIFS('ESTUDIOS'!$A$2:$A$455,$A204,'ESTUDIOS'!$I$2:$I$455,"")&gt;0,"",INDEX('ESTUDIOS'!$I$2:$I$455,MATCH($A204,'ESTUDIOS'!$A$2:$A$455,0)))</f>
        <v/>
      </c>
    </row>
    <row r="205" ht="86" customHeight="1">
      <c r="A205" s="4" t="inlineStr">
        <is>
          <t>222</t>
        </is>
      </c>
      <c r="B205" s="4" t="inlineStr">
        <is>
          <t>Historical</t>
        </is>
      </c>
      <c r="C205" s="4" t="inlineStr">
        <is>
          <t>An amygdala-centered hyper-connectivity signature of threatening face processing predicts anxiety in youths with autism spectrum conditions</t>
        </is>
      </c>
      <c r="D205" s="4" t="n">
        <v>0</v>
      </c>
      <c r="E205" s="4" t="n">
        <v>0</v>
      </c>
      <c r="F205" s="4" t="n">
        <v>0</v>
      </c>
      <c r="G205" s="4" t="n">
        <v>0</v>
      </c>
      <c r="H205" s="4" t="n">
        <v>0</v>
      </c>
      <c r="I205" s="4" t="n">
        <v>0</v>
      </c>
      <c r="J205" s="4" t="n">
        <v>0</v>
      </c>
      <c r="K205" s="4" t="inlineStr">
        <is>
          <t>Historical signals: title/abstract/notes; full-text completion not independently established</t>
        </is>
      </c>
      <c r="L205" s="4" t="inlineStr">
        <is>
          <t>Usa fMRI de procesamiento de amenaza para predecir ansiedad en jóvenes con ASC.</t>
        </is>
      </c>
      <c r="M205" s="4" t="inlineStr">
        <is>
          <t>https://doi.org/10.1002/aur.2595</t>
        </is>
      </c>
      <c r="N205" s="4" t="n">
        <v>0</v>
      </c>
      <c r="O205" s="4" t="n">
        <v>0</v>
      </c>
      <c r="P205" s="4" t="n">
        <v>1</v>
      </c>
      <c r="Q205" s="12" t="n"/>
      <c r="R205" s="41" t="n"/>
      <c r="S205" s="4" t="inlineStr">
        <is>
          <t>0 = no reported evidence in material assessed; blank = not coded/unknown; neither proves absence</t>
        </is>
      </c>
      <c r="T205" s="4">
        <f>IF(COUNTIFS('ESTUDIOS'!$A$2:$A$455,$A205,'ESTUDIOS'!$I$2:$I$455,"")&gt;0,"",INDEX('ESTUDIOS'!$I$2:$I$455,MATCH($A205,'ESTUDIOS'!$A$2:$A$455,0)))</f>
        <v/>
      </c>
    </row>
    <row r="206" ht="86" customHeight="1">
      <c r="A206" s="4" t="inlineStr">
        <is>
          <t>223</t>
        </is>
      </c>
      <c r="B206" s="4" t="inlineStr">
        <is>
          <t>Historical</t>
        </is>
      </c>
      <c r="C206" s="4" t="inlineStr">
        <is>
          <t>An effective autism spectrum disorder screening method using machine learning classification techniques</t>
        </is>
      </c>
      <c r="D206" s="4" t="n">
        <v>0</v>
      </c>
      <c r="E206" s="4" t="n">
        <v>0</v>
      </c>
      <c r="F206" s="4" t="n">
        <v>0</v>
      </c>
      <c r="G206" s="4" t="n">
        <v>0</v>
      </c>
      <c r="H206" s="4" t="n">
        <v>0</v>
      </c>
      <c r="I206" s="4" t="n">
        <v>0</v>
      </c>
      <c r="J206" s="4" t="n">
        <v>1</v>
      </c>
      <c r="K206" s="4" t="inlineStr">
        <is>
          <t>Historical signals: title/abstract/notes; full-text completion not independently established</t>
        </is>
      </c>
      <c r="L206" s="4" t="str"/>
      <c r="M206" s="4" t="inlineStr">
        <is>
          <t>https://doi.org/10.1002/cpe.7898</t>
        </is>
      </c>
      <c r="N206" s="4" t="n">
        <v>0</v>
      </c>
      <c r="O206" s="4" t="n">
        <v>1</v>
      </c>
      <c r="P206" s="4" t="n">
        <v>0</v>
      </c>
      <c r="Q206" s="12" t="n"/>
      <c r="R206" s="41" t="n"/>
      <c r="S206" s="4" t="inlineStr">
        <is>
          <t>0 = no reported evidence in material assessed; blank = not coded/unknown; neither proves absence</t>
        </is>
      </c>
      <c r="T206" s="4">
        <f>IF(COUNTIFS('ESTUDIOS'!$A$2:$A$455,$A206,'ESTUDIOS'!$I$2:$I$455,"")&gt;0,"",INDEX('ESTUDIOS'!$I$2:$I$455,MATCH($A206,'ESTUDIOS'!$A$2:$A$455,0)))</f>
        <v/>
      </c>
    </row>
    <row r="207" ht="86" customHeight="1">
      <c r="A207" s="4" t="inlineStr">
        <is>
          <t>224</t>
        </is>
      </c>
      <c r="B207" s="4" t="inlineStr">
        <is>
          <t>Historical</t>
        </is>
      </c>
      <c r="C207" s="4" t="inlineStr">
        <is>
          <t>An ensemble classifier for emotion classification from EEG and GSR signals for autism detection</t>
        </is>
      </c>
      <c r="D207" s="4" t="n">
        <v>0</v>
      </c>
      <c r="E207" s="4" t="n">
        <v>0</v>
      </c>
      <c r="F207" s="4" t="n">
        <v>0</v>
      </c>
      <c r="G207" s="4" t="n">
        <v>0</v>
      </c>
      <c r="H207" s="4" t="n">
        <v>0</v>
      </c>
      <c r="I207" s="4" t="n">
        <v>0</v>
      </c>
      <c r="J207" s="4" t="n">
        <v>1</v>
      </c>
      <c r="K207" s="4" t="inlineStr">
        <is>
          <t>Historical signals: title/abstract/notes; full-text completion not independently established</t>
        </is>
      </c>
      <c r="L207" s="4" t="str"/>
      <c r="M207" s="4" t="inlineStr">
        <is>
          <t>https://doi.org/10.1016/j.cmpb.2025.108921</t>
        </is>
      </c>
      <c r="N207" s="4" t="n">
        <v>0</v>
      </c>
      <c r="O207" s="4" t="n">
        <v>1</v>
      </c>
      <c r="P207" s="4" t="n">
        <v>0</v>
      </c>
      <c r="Q207" s="12" t="n"/>
      <c r="R207" s="41" t="n"/>
      <c r="S207" s="4" t="inlineStr">
        <is>
          <t>0 = no reported evidence in material assessed; blank = not coded/unknown; neither proves absence</t>
        </is>
      </c>
      <c r="T207" s="4">
        <f>IF(COUNTIFS('ESTUDIOS'!$A$2:$A$455,$A207,'ESTUDIOS'!$I$2:$I$455,"")&gt;0,"",INDEX('ESTUDIOS'!$I$2:$I$455,MATCH($A207,'ESTUDIOS'!$A$2:$A$455,0)))</f>
        <v/>
      </c>
    </row>
    <row r="208" ht="86" customHeight="1">
      <c r="A208" s="4" t="inlineStr">
        <is>
          <t>225</t>
        </is>
      </c>
      <c r="B208" s="4" t="inlineStr">
        <is>
          <t>Historical</t>
        </is>
      </c>
      <c r="C208" s="4" t="inlineStr">
        <is>
          <t>Applying Eye Tracking to Identify Autism Spectrum Disorder in Children</t>
        </is>
      </c>
      <c r="D208" s="4" t="n">
        <v>0</v>
      </c>
      <c r="E208" s="4" t="n">
        <v>0</v>
      </c>
      <c r="F208" s="4" t="n">
        <v>0</v>
      </c>
      <c r="G208" s="4" t="n">
        <v>0</v>
      </c>
      <c r="H208" s="4" t="n">
        <v>0</v>
      </c>
      <c r="I208" s="4" t="n">
        <v>0</v>
      </c>
      <c r="J208" s="4" t="n">
        <v>0</v>
      </c>
      <c r="K208" s="4" t="inlineStr">
        <is>
          <t>Historical signals: title/abstract/notes; full-text completion not independently established</t>
        </is>
      </c>
      <c r="L208" s="4" t="inlineStr">
        <is>
          <t>Algoritmo principal no explícito o fuera del codebook; Confirmar algoritmo principal en full-text</t>
        </is>
      </c>
      <c r="M208" s="4" t="inlineStr">
        <is>
          <t>https://doi.org/10.1007/s10803-018-3690-y</t>
        </is>
      </c>
      <c r="N208" s="4" t="n">
        <v>0</v>
      </c>
      <c r="O208" s="4" t="n">
        <v>0</v>
      </c>
      <c r="P208" s="4" t="n">
        <v>1</v>
      </c>
      <c r="Q208" s="12" t="n"/>
      <c r="R208" s="41" t="n"/>
      <c r="S208" s="4" t="inlineStr">
        <is>
          <t>0 = no reported evidence in material assessed; blank = not coded/unknown; neither proves absence</t>
        </is>
      </c>
      <c r="T208" s="4">
        <f>IF(COUNTIFS('ESTUDIOS'!$A$2:$A$455,$A208,'ESTUDIOS'!$I$2:$I$455,"")&gt;0,"",INDEX('ESTUDIOS'!$I$2:$I$455,MATCH($A208,'ESTUDIOS'!$A$2:$A$455,0)))</f>
        <v/>
      </c>
    </row>
    <row r="209" ht="86" customHeight="1">
      <c r="A209" s="4" t="inlineStr">
        <is>
          <t>226</t>
        </is>
      </c>
      <c r="B209" s="4" t="inlineStr">
        <is>
          <t>Historical</t>
        </is>
      </c>
      <c r="C209" s="4" t="inlineStr">
        <is>
          <t>Artificial intelligence and sensor-based autism spectrum disorder diagnosis using brain connectivity analysis</t>
        </is>
      </c>
      <c r="D209" s="4" t="n">
        <v>0</v>
      </c>
      <c r="E209" s="4" t="n">
        <v>0</v>
      </c>
      <c r="F209" s="4" t="n">
        <v>0</v>
      </c>
      <c r="G209" s="4" t="n">
        <v>0</v>
      </c>
      <c r="H209" s="4" t="n">
        <v>0</v>
      </c>
      <c r="I209" s="4" t="n">
        <v>0</v>
      </c>
      <c r="J209" s="4" t="n">
        <v>0</v>
      </c>
      <c r="K209" s="4" t="inlineStr">
        <is>
          <t>Historical signals: title/abstract/notes; full-text completion not independently established</t>
        </is>
      </c>
      <c r="L209" s="4" t="inlineStr">
        <is>
          <t>Algoritmo principal no explícito o fuera del codebook; Confirmar algoritmo principal en full-text</t>
        </is>
      </c>
      <c r="M209" s="4" t="inlineStr">
        <is>
          <t>https://doi.org/10.1016/j.compeleceng.2023.108720</t>
        </is>
      </c>
      <c r="N209" s="4" t="n">
        <v>0</v>
      </c>
      <c r="O209" s="4" t="n">
        <v>0</v>
      </c>
      <c r="P209" s="4" t="n">
        <v>1</v>
      </c>
      <c r="Q209" s="12" t="n"/>
      <c r="R209" s="41" t="n"/>
      <c r="S209" s="4" t="inlineStr">
        <is>
          <t>0 = no reported evidence in material assessed; blank = not coded/unknown; neither proves absence</t>
        </is>
      </c>
      <c r="T209" s="4">
        <f>IF(COUNTIFS('ESTUDIOS'!$A$2:$A$455,$A209,'ESTUDIOS'!$I$2:$I$455,"")&gt;0,"",INDEX('ESTUDIOS'!$I$2:$I$455,MATCH($A209,'ESTUDIOS'!$A$2:$A$455,0)))</f>
        <v/>
      </c>
    </row>
    <row r="210" ht="86" customHeight="1">
      <c r="A210" s="4" t="inlineStr">
        <is>
          <t>227</t>
        </is>
      </c>
      <c r="B210" s="4" t="inlineStr">
        <is>
          <t>Historical</t>
        </is>
      </c>
      <c r="C210" s="4" t="inlineStr">
        <is>
          <t>Attention Level Evaluation in Children With Autism: Leveraging Head Pose and Gaze Parameters From Videos for Educational Intervention</t>
        </is>
      </c>
      <c r="D210" s="4" t="n">
        <v>0</v>
      </c>
      <c r="E210" s="4" t="n">
        <v>0</v>
      </c>
      <c r="F210" s="4" t="n">
        <v>0</v>
      </c>
      <c r="G210" s="4" t="n">
        <v>0</v>
      </c>
      <c r="H210" s="4" t="n">
        <v>0</v>
      </c>
      <c r="I210" s="4" t="n">
        <v>0</v>
      </c>
      <c r="J210" s="4" t="n">
        <v>1</v>
      </c>
      <c r="K210" s="4" t="inlineStr">
        <is>
          <t>Historical signals: title/abstract/notes; full-text completion not independently established</t>
        </is>
      </c>
      <c r="L210" s="4" t="inlineStr">
        <is>
          <t>Combina señales conductuales y estrategia explícita de ensemble.</t>
        </is>
      </c>
      <c r="M210" s="4" t="inlineStr">
        <is>
          <t>https://doi.org/10.1109/tlt.2024.3409702</t>
        </is>
      </c>
      <c r="N210" s="4" t="n">
        <v>0</v>
      </c>
      <c r="O210" s="4" t="n">
        <v>1</v>
      </c>
      <c r="P210" s="4" t="n"/>
      <c r="Q210" s="12" t="n"/>
      <c r="R210" s="41" t="n"/>
      <c r="S210" s="4" t="inlineStr">
        <is>
          <t>0 = no reported evidence in material assessed; blank = not coded/unknown; neither proves absence</t>
        </is>
      </c>
      <c r="T210" s="4">
        <f>IF(COUNTIFS('ESTUDIOS'!$A$2:$A$455,$A210,'ESTUDIOS'!$I$2:$I$455,"")&gt;0,"",INDEX('ESTUDIOS'!$I$2:$I$455,MATCH($A210,'ESTUDIOS'!$A$2:$A$455,0)))</f>
        <v/>
      </c>
    </row>
    <row r="211" ht="86" customHeight="1">
      <c r="A211" s="4" t="inlineStr">
        <is>
          <t>228</t>
        </is>
      </c>
      <c r="B211" s="4" t="inlineStr">
        <is>
          <t>Historical</t>
        </is>
      </c>
      <c r="C211" s="4" t="inlineStr">
        <is>
          <t>Autism Spectrum Disorder Diagnosis Using Graph Neural Network Based on\&amp;#xa0;Graph Pooling and\&amp;#xa0;Self-adjust Filter</t>
        </is>
      </c>
      <c r="D211" s="4" t="n">
        <v>0</v>
      </c>
      <c r="E211" s="4" t="n">
        <v>1</v>
      </c>
      <c r="F211" s="4" t="n">
        <v>0</v>
      </c>
      <c r="G211" s="4" t="n">
        <v>0</v>
      </c>
      <c r="H211" s="4" t="n">
        <v>0</v>
      </c>
      <c r="I211" s="4" t="n">
        <v>0</v>
      </c>
      <c r="J211" s="4" t="n">
        <v>1</v>
      </c>
      <c r="K211" s="4" t="inlineStr">
        <is>
          <t>Historical signals: title/abstract/notes; full-text completion not independently established</t>
        </is>
      </c>
      <c r="L211" s="4" t="inlineStr">
        <is>
          <t>ABIDE I + integración de fMRI con datos fenotípicos.</t>
        </is>
      </c>
      <c r="M211" s="4" t="inlineStr">
        <is>
          <t>https://doi.org/10.1007/978-981-99-8558-6_35</t>
        </is>
      </c>
      <c r="N211" s="4" t="n">
        <v>0</v>
      </c>
      <c r="O211" s="4" t="n">
        <v>1</v>
      </c>
      <c r="P211" s="4" t="n"/>
      <c r="Q211" s="12" t="n"/>
      <c r="R211" s="41" t="n"/>
      <c r="S211" s="4" t="inlineStr">
        <is>
          <t>0 = no reported evidence in material assessed; blank = not coded/unknown; neither proves absence</t>
        </is>
      </c>
      <c r="T211" s="4">
        <f>IF(COUNTIFS('ESTUDIOS'!$A$2:$A$455,$A211,'ESTUDIOS'!$I$2:$I$455,"")&gt;0,"",INDEX('ESTUDIOS'!$I$2:$I$455,MATCH($A211,'ESTUDIOS'!$A$2:$A$455,0)))</f>
        <v/>
      </c>
    </row>
    <row r="212" ht="86" customHeight="1">
      <c r="A212" s="4" t="inlineStr">
        <is>
          <t>229</t>
        </is>
      </c>
      <c r="B212" s="4" t="inlineStr">
        <is>
          <t>Historical</t>
        </is>
      </c>
      <c r="C212" s="4" t="inlineStr">
        <is>
          <t>Autoencoder Based Methods for Diagnosis of Autism Spectrum Disorder</t>
        </is>
      </c>
      <c r="D212" s="4" t="n">
        <v>0</v>
      </c>
      <c r="E212" s="4" t="n">
        <v>1</v>
      </c>
      <c r="F212" s="4" t="n">
        <v>0</v>
      </c>
      <c r="G212" s="4" t="n">
        <v>0</v>
      </c>
      <c r="H212" s="4" t="n">
        <v>0</v>
      </c>
      <c r="I212" s="4" t="n">
        <v>0</v>
      </c>
      <c r="J212" s="4" t="n">
        <v>0</v>
      </c>
      <c r="K212" s="4" t="inlineStr">
        <is>
          <t>Historical signals: title/abstract/notes; full-text completion not independently established</t>
        </is>
      </c>
      <c r="L212" s="4" t="inlineStr">
        <is>
          <t>Pipeline AE + (SVM/KNN/subspace discriminant) + DNN; AE+DNN logra mejor (accuracy 79.2%, AUC 82.4%). Paradigma mixto: AE (no supervisado) + clasificador (supervisado); abstract no etiqueta “supervised”.</t>
        </is>
      </c>
      <c r="M212" s="4" t="inlineStr">
        <is>
          <t>https://doi.org/10.1007/978-3-030-46165-2_4</t>
        </is>
      </c>
      <c r="N212" s="4" t="n">
        <v>0</v>
      </c>
      <c r="O212" s="4" t="n">
        <v>0</v>
      </c>
      <c r="P212" s="4" t="n">
        <v>0</v>
      </c>
      <c r="Q212" s="12" t="n"/>
      <c r="R212" s="41" t="n"/>
      <c r="S212" s="4" t="inlineStr">
        <is>
          <t>0 = no reported evidence in material assessed; blank = not coded/unknown; neither proves absence</t>
        </is>
      </c>
      <c r="T212" s="4">
        <f>IF(COUNTIFS('ESTUDIOS'!$A$2:$A$455,$A212,'ESTUDIOS'!$I$2:$I$455,"")&gt;0,"",INDEX('ESTUDIOS'!$I$2:$I$455,MATCH($A212,'ESTUDIOS'!$A$2:$A$455,0)))</f>
        <v/>
      </c>
    </row>
    <row r="213" ht="86" customHeight="1">
      <c r="A213" s="4" t="inlineStr">
        <is>
          <t>230</t>
        </is>
      </c>
      <c r="B213" s="4" t="inlineStr">
        <is>
          <t>Historical</t>
        </is>
      </c>
      <c r="C213" s="4" t="inlineStr">
        <is>
          <t>BrainWaveNet: Wavelet-based Transformer for Autism Spectrum Disorder Diagnosis</t>
        </is>
      </c>
      <c r="D213" s="4" t="n">
        <v>0</v>
      </c>
      <c r="E213" s="4" t="n">
        <v>1</v>
      </c>
      <c r="F213" s="4" t="n">
        <v>0</v>
      </c>
      <c r="G213" s="4" t="n">
        <v>0</v>
      </c>
      <c r="H213" s="4" t="n">
        <v>0</v>
      </c>
      <c r="I213" s="4" t="n">
        <v>1</v>
      </c>
      <c r="J213" s="4" t="n">
        <v>0</v>
      </c>
      <c r="K213" s="4" t="inlineStr">
        <is>
          <t>Historical signals: title/abstract/notes; full-text completion not independently established</t>
        </is>
      </c>
      <c r="L213" s="4" t="str"/>
      <c r="M213" s="4" t="inlineStr">
        <is>
          <t>https://doi.org/10.1007/978-3-031-72069-7_6</t>
        </is>
      </c>
      <c r="N213" s="4" t="n">
        <v>1</v>
      </c>
      <c r="O213" s="4" t="n">
        <v>0</v>
      </c>
      <c r="P213" s="4" t="n">
        <v>0</v>
      </c>
      <c r="Q213" s="12" t="n"/>
      <c r="R213" s="41" t="n"/>
      <c r="S213" s="4" t="inlineStr">
        <is>
          <t>0 = no reported evidence in material assessed; blank = not coded/unknown; neither proves absence</t>
        </is>
      </c>
      <c r="T213" s="4">
        <f>IF(COUNTIFS('ESTUDIOS'!$A$2:$A$455,$A213,'ESTUDIOS'!$I$2:$I$455,"")&gt;0,"",INDEX('ESTUDIOS'!$I$2:$I$455,MATCH($A213,'ESTUDIOS'!$A$2:$A$455,0)))</f>
        <v/>
      </c>
    </row>
    <row r="214" ht="86" customHeight="1">
      <c r="A214" s="4" t="inlineStr">
        <is>
          <t>231</t>
        </is>
      </c>
      <c r="B214" s="4" t="inlineStr">
        <is>
          <t>Historical</t>
        </is>
      </c>
      <c r="C214" s="4" t="inlineStr">
        <is>
          <t>Can lung airway geometry be used to predict autism? A preliminary machine learning-based study</t>
        </is>
      </c>
      <c r="D214" s="4" t="n">
        <v>0</v>
      </c>
      <c r="E214" s="4" t="n">
        <v>0</v>
      </c>
      <c r="F214" s="4" t="n">
        <v>0</v>
      </c>
      <c r="G214" s="4" t="n">
        <v>0</v>
      </c>
      <c r="H214" s="4" t="n">
        <v>0</v>
      </c>
      <c r="I214" s="4" t="n">
        <v>0</v>
      </c>
      <c r="J214" s="4" t="n">
        <v>0</v>
      </c>
      <c r="K214" s="4" t="inlineStr">
        <is>
          <t>Historical signals: title/abstract/notes; full-text completion not independently established</t>
        </is>
      </c>
      <c r="L214" s="4" t="str"/>
      <c r="M214" s="4" t="inlineStr">
        <is>
          <t>https://doi.org/10.1002/ar.25332</t>
        </is>
      </c>
      <c r="N214" s="4" t="n">
        <v>0</v>
      </c>
      <c r="O214" s="4" t="n">
        <v>0</v>
      </c>
      <c r="P214" s="4" t="n">
        <v>0</v>
      </c>
      <c r="Q214" s="12" t="n"/>
      <c r="R214" s="41" t="n"/>
      <c r="S214" s="4" t="inlineStr">
        <is>
          <t>0 = no reported evidence in material assessed; blank = not coded/unknown; neither proves absence</t>
        </is>
      </c>
      <c r="T214" s="4">
        <f>IF(COUNTIFS('ESTUDIOS'!$A$2:$A$455,$A214,'ESTUDIOS'!$I$2:$I$455,"")&gt;0,"",INDEX('ESTUDIOS'!$I$2:$I$455,MATCH($A214,'ESTUDIOS'!$A$2:$A$455,0)))</f>
        <v/>
      </c>
    </row>
    <row r="215" ht="86" customHeight="1">
      <c r="A215" s="4" t="inlineStr">
        <is>
          <t>232</t>
        </is>
      </c>
      <c r="B215" s="4" t="inlineStr">
        <is>
          <t>Historical</t>
        </is>
      </c>
      <c r="C215" s="4" t="inlineStr">
        <is>
          <t>Classification of autism spectrum disorder based on fluctuation entropy of spontaneous hemodynamic fluctuations</t>
        </is>
      </c>
      <c r="D215" s="4" t="n">
        <v>0</v>
      </c>
      <c r="E215" s="4" t="n">
        <v>0</v>
      </c>
      <c r="F215" s="4" t="n">
        <v>0</v>
      </c>
      <c r="G215" s="4" t="n">
        <v>0</v>
      </c>
      <c r="H215" s="4" t="n">
        <v>0</v>
      </c>
      <c r="I215" s="4" t="n">
        <v>0</v>
      </c>
      <c r="J215" s="4" t="n">
        <v>0</v>
      </c>
      <c r="K215" s="4" t="inlineStr">
        <is>
          <t>Historical signals: title/abstract/notes; full-text completion not independently established</t>
        </is>
      </c>
      <c r="L215" s="4"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M215" s="4" t="inlineStr">
        <is>
          <t>https://doi.org/10.1016/j.bspc.2020.101958</t>
        </is>
      </c>
      <c r="N215" s="4" t="n">
        <v>0</v>
      </c>
      <c r="O215" s="4" t="n">
        <v>0</v>
      </c>
      <c r="P215" s="4" t="n">
        <v>0</v>
      </c>
      <c r="Q215" s="12" t="n"/>
      <c r="R215" s="41" t="n"/>
      <c r="S215" s="4" t="inlineStr">
        <is>
          <t>0 = no reported evidence in material assessed; blank = not coded/unknown; neither proves absence</t>
        </is>
      </c>
      <c r="T215" s="4">
        <f>IF(COUNTIFS('ESTUDIOS'!$A$2:$A$455,$A215,'ESTUDIOS'!$I$2:$I$455,"")&gt;0,"",INDEX('ESTUDIOS'!$I$2:$I$455,MATCH($A215,'ESTUDIOS'!$A$2:$A$455,0)))</f>
        <v/>
      </c>
    </row>
    <row r="216" ht="86" customHeight="1">
      <c r="A216" s="4" t="inlineStr">
        <is>
          <t>233</t>
        </is>
      </c>
      <c r="B216" s="4" t="inlineStr">
        <is>
          <t>Historical</t>
        </is>
      </c>
      <c r="C216" s="4" t="inlineStr">
        <is>
          <t>Classification of autism spectrum disorder based on sample entropy of spontaneous functional near infra-red spectroscopy signal</t>
        </is>
      </c>
      <c r="D216" s="4" t="n">
        <v>0</v>
      </c>
      <c r="E216" s="4" t="n">
        <v>0</v>
      </c>
      <c r="F216" s="4" t="n">
        <v>0</v>
      </c>
      <c r="G216" s="4" t="n">
        <v>0</v>
      </c>
      <c r="H216" s="4" t="n">
        <v>0</v>
      </c>
      <c r="I216" s="4" t="n">
        <v>0</v>
      </c>
      <c r="J216" s="4" t="n">
        <v>0</v>
      </c>
      <c r="K216" s="4" t="inlineStr">
        <is>
          <t>Historical signals: title/abstract/notes; full-text completion not independently established</t>
        </is>
      </c>
      <c r="L216" s="4"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M216" s="4" t="inlineStr">
        <is>
          <t>https://doi.org/10.1016/j.clinph.2019.12.400</t>
        </is>
      </c>
      <c r="N216" s="4" t="n">
        <v>0</v>
      </c>
      <c r="O216" s="4" t="n">
        <v>0</v>
      </c>
      <c r="P216" s="4" t="n">
        <v>0</v>
      </c>
      <c r="Q216" s="12" t="n"/>
      <c r="R216" s="41" t="n"/>
      <c r="S216" s="4" t="inlineStr">
        <is>
          <t>0 = no reported evidence in material assessed; blank = not coded/unknown; neither proves absence</t>
        </is>
      </c>
      <c r="T216" s="4">
        <f>IF(COUNTIFS('ESTUDIOS'!$A$2:$A$455,$A216,'ESTUDIOS'!$I$2:$I$455,"")&gt;0,"",INDEX('ESTUDIOS'!$I$2:$I$455,MATCH($A216,'ESTUDIOS'!$A$2:$A$455,0)))</f>
        <v/>
      </c>
    </row>
    <row r="217" ht="86" customHeight="1">
      <c r="A217" s="4" t="inlineStr">
        <is>
          <t>234</t>
        </is>
      </c>
      <c r="B217" s="4" t="inlineStr">
        <is>
          <t>Historical</t>
        </is>
      </c>
      <c r="C217" s="4" t="inlineStr">
        <is>
          <t>Classification of\&amp;#xa0;Facial Images to\&amp;#xa0;Assist in\&amp;#xa0;the\&amp;#xa0;Diagnosis of\&amp;#xa0;Autism Spectrum Disorder: A Study on\&amp;#xa0;the\&amp;#xa0;Effect of\&amp;#xa0;Face Detection and\&amp;#xa0;Landmark Identification Algorithms</t>
        </is>
      </c>
      <c r="D217" s="4" t="n">
        <v>0</v>
      </c>
      <c r="E217" s="4" t="n">
        <v>0</v>
      </c>
      <c r="F217" s="4" t="n">
        <v>0</v>
      </c>
      <c r="G217" s="4" t="n">
        <v>0</v>
      </c>
      <c r="H217" s="4" t="n">
        <v>0</v>
      </c>
      <c r="I217" s="4" t="n">
        <v>0</v>
      </c>
      <c r="J217" s="4" t="n">
        <v>0</v>
      </c>
      <c r="K217" s="4" t="inlineStr">
        <is>
          <t>Historical signals: title/abstract/notes; full-text completion not independently established</t>
        </is>
      </c>
      <c r="L217" s="4" t="inlineStr">
        <is>
          <t>Algoritmo principal no explícito o fuera del codebook; Confirmar algoritmo principal en full-text</t>
        </is>
      </c>
      <c r="M217" s="4" t="inlineStr">
        <is>
          <t>https://doi.org/10.1007/978-3-031-45389-2_18</t>
        </is>
      </c>
      <c r="N217" s="4" t="n">
        <v>0</v>
      </c>
      <c r="O217" s="4" t="n">
        <v>0</v>
      </c>
      <c r="P217" s="4" t="n">
        <v>1</v>
      </c>
      <c r="Q217" s="12" t="n"/>
      <c r="R217" s="41" t="n"/>
      <c r="S217" s="4" t="inlineStr">
        <is>
          <t>0 = no reported evidence in material assessed; blank = not coded/unknown; neither proves absence</t>
        </is>
      </c>
      <c r="T217" s="4">
        <f>IF(COUNTIFS('ESTUDIOS'!$A$2:$A$455,$A217,'ESTUDIOS'!$I$2:$I$455,"")&gt;0,"",INDEX('ESTUDIOS'!$I$2:$I$455,MATCH($A217,'ESTUDIOS'!$A$2:$A$455,0)))</f>
        <v/>
      </c>
    </row>
    <row r="218" ht="86" customHeight="1">
      <c r="A218" s="4" t="inlineStr">
        <is>
          <t>235</t>
        </is>
      </c>
      <c r="B218" s="4" t="inlineStr">
        <is>
          <t>Historical</t>
        </is>
      </c>
      <c r="C218" s="4" t="inlineStr">
        <is>
          <t>Combining anatomical and functional networks for neuropathology identification: A case study on autism spectrum disorder</t>
        </is>
      </c>
      <c r="D218" s="4" t="n">
        <v>0</v>
      </c>
      <c r="E218" s="4" t="n">
        <v>1</v>
      </c>
      <c r="F218" s="4" t="n">
        <v>0</v>
      </c>
      <c r="G218" s="4" t="n">
        <v>0</v>
      </c>
      <c r="H218" s="4" t="n">
        <v>0</v>
      </c>
      <c r="I218" s="4" t="n">
        <v>1</v>
      </c>
      <c r="J218" s="4" t="n">
        <v>1</v>
      </c>
      <c r="K218" s="4" t="inlineStr">
        <is>
          <t>Historical signals: title/abstract/notes; full-text completion not independently established</t>
        </is>
      </c>
      <c r="L218" s="4" t="str"/>
      <c r="M218" s="4" t="inlineStr">
        <is>
          <t>https://doi.org/10.1016/j.media.2021.101986</t>
        </is>
      </c>
      <c r="N218" s="4" t="n">
        <v>1</v>
      </c>
      <c r="O218" s="4" t="n">
        <v>1</v>
      </c>
      <c r="P218" s="4" t="n">
        <v>1</v>
      </c>
      <c r="Q218" s="12" t="n"/>
      <c r="R218" s="41" t="n"/>
      <c r="S218" s="4" t="inlineStr">
        <is>
          <t>0 = no reported evidence in material assessed; blank = not coded/unknown; neither proves absence</t>
        </is>
      </c>
      <c r="T218" s="4">
        <f>IF(COUNTIFS('ESTUDIOS'!$A$2:$A$455,$A218,'ESTUDIOS'!$I$2:$I$455,"")&gt;0,"",INDEX('ESTUDIOS'!$I$2:$I$455,MATCH($A218,'ESTUDIOS'!$A$2:$A$455,0)))</f>
        <v/>
      </c>
    </row>
    <row r="219" ht="86" customHeight="1">
      <c r="A219" s="4" t="inlineStr">
        <is>
          <t>236</t>
        </is>
      </c>
      <c r="B219" s="4" t="inlineStr">
        <is>
          <t>Historical</t>
        </is>
      </c>
      <c r="C219" s="4" t="inlineStr">
        <is>
          <t>Correlations between blood group and Rh factor in families and autism spectrum disorder: A comprehensive analysis</t>
        </is>
      </c>
      <c r="D219" s="4" t="n">
        <v>0</v>
      </c>
      <c r="E219" s="4" t="n">
        <v>0</v>
      </c>
      <c r="F219" s="4" t="n">
        <v>0</v>
      </c>
      <c r="G219" s="4" t="n">
        <v>0</v>
      </c>
      <c r="H219" s="4" t="n">
        <v>0</v>
      </c>
      <c r="I219" s="4" t="n">
        <v>0</v>
      </c>
      <c r="J219" s="4" t="n">
        <v>0</v>
      </c>
      <c r="K219" s="4" t="inlineStr">
        <is>
          <t>Historical signals: title/abstract/notes; full-text completion not independently established</t>
        </is>
      </c>
      <c r="L219" s="4" t="inlineStr">
        <is>
          <t>Análisis de grupos sanguíneos con regresión logística/ML no claramente central para una etapa clínica RQ1.</t>
        </is>
      </c>
      <c r="M219" s="4" t="inlineStr">
        <is>
          <t>https://doi.org/10.1038/s41598-025-97313-8</t>
        </is>
      </c>
      <c r="N219" s="4" t="n">
        <v>0</v>
      </c>
      <c r="O219" s="4" t="n">
        <v>0</v>
      </c>
      <c r="P219" s="4" t="n">
        <v>1</v>
      </c>
      <c r="Q219" s="12" t="n"/>
      <c r="R219" s="41" t="n"/>
      <c r="S219" s="4" t="inlineStr">
        <is>
          <t>0 = no reported evidence in material assessed; blank = not coded/unknown; neither proves absence</t>
        </is>
      </c>
      <c r="T219" s="4">
        <f>IF(COUNTIFS('ESTUDIOS'!$A$2:$A$455,$A219,'ESTUDIOS'!$I$2:$I$455,"")&gt;0,"",INDEX('ESTUDIOS'!$I$2:$I$455,MATCH($A219,'ESTUDIOS'!$A$2:$A$455,0)))</f>
        <v/>
      </c>
    </row>
    <row r="220" ht="86" customHeight="1">
      <c r="A220" s="4" t="inlineStr">
        <is>
          <t>237</t>
        </is>
      </c>
      <c r="B220" s="4" t="inlineStr">
        <is>
          <t>Historical</t>
        </is>
      </c>
      <c r="C220" s="4" t="inlineStr">
        <is>
          <t>Cross-linguistic patterns of speech prosodic differences in autism: A machine learning study</t>
        </is>
      </c>
      <c r="D220" s="4" t="n">
        <v>0</v>
      </c>
      <c r="E220" s="4" t="n">
        <v>0</v>
      </c>
      <c r="F220" s="4" t="n">
        <v>0</v>
      </c>
      <c r="G220" s="4" t="n">
        <v>0</v>
      </c>
      <c r="H220" s="4" t="n">
        <v>0</v>
      </c>
      <c r="I220" s="4" t="n">
        <v>0</v>
      </c>
      <c r="J220" s="4" t="n">
        <v>0</v>
      </c>
      <c r="K220" s="4" t="inlineStr">
        <is>
          <t>Historical signals: title/abstract/notes; full-text completion not independently established</t>
        </is>
      </c>
      <c r="L220" s="4" t="inlineStr">
        <is>
          <t>Algoritmo principal no explícito o fuera del codebook; Confirmar algoritmo principal en full-text</t>
        </is>
      </c>
      <c r="M220" s="4" t="inlineStr">
        <is>
          <t>https://doi.org/10.1371/journal.pone.0269637</t>
        </is>
      </c>
      <c r="N220" s="4" t="n">
        <v>0</v>
      </c>
      <c r="O220" s="4" t="n">
        <v>0</v>
      </c>
      <c r="P220" s="4" t="n">
        <v>1</v>
      </c>
      <c r="Q220" s="12" t="n"/>
      <c r="R220" s="41" t="n"/>
      <c r="S220" s="4" t="inlineStr">
        <is>
          <t>0 = no reported evidence in material assessed; blank = not coded/unknown; neither proves absence</t>
        </is>
      </c>
      <c r="T220" s="4">
        <f>IF(COUNTIFS('ESTUDIOS'!$A$2:$A$455,$A220,'ESTUDIOS'!$I$2:$I$455,"")&gt;0,"",INDEX('ESTUDIOS'!$I$2:$I$455,MATCH($A220,'ESTUDIOS'!$A$2:$A$455,0)))</f>
        <v/>
      </c>
    </row>
    <row r="221" ht="86" customHeight="1">
      <c r="A221" s="4" t="inlineStr">
        <is>
          <t>238</t>
        </is>
      </c>
      <c r="B221" s="4" t="inlineStr">
        <is>
          <t>Historical</t>
        </is>
      </c>
      <c r="C221" s="4" t="inlineStr">
        <is>
          <t>Data mining and machine learning techniques for early detection in autism spectrum disorder</t>
        </is>
      </c>
      <c r="D221" s="4" t="n">
        <v>0</v>
      </c>
      <c r="E221" s="4" t="n">
        <v>0</v>
      </c>
      <c r="F221" s="4" t="n">
        <v>0</v>
      </c>
      <c r="G221" s="4" t="n">
        <v>0</v>
      </c>
      <c r="H221" s="4" t="n">
        <v>0</v>
      </c>
      <c r="I221" s="4" t="n">
        <v>0</v>
      </c>
      <c r="J221" s="4" t="n">
        <v>0</v>
      </c>
      <c r="K221" s="4" t="inlineStr">
        <is>
          <t>Historical signals: title/abstract/notes; full-text completion not independently established</t>
        </is>
      </c>
      <c r="L221" s="4" t="inlineStr">
        <is>
          <t>Usa varios datasets, pero no basta para marcar validación externa o multisource strategy.</t>
        </is>
      </c>
      <c r="M221" s="4" t="inlineStr">
        <is>
          <t>https://doi.org/10.1016/b978-0-12-822822-7.00006-5</t>
        </is>
      </c>
      <c r="N221" s="4" t="n">
        <v>0</v>
      </c>
      <c r="O221" s="4" t="n">
        <v>0</v>
      </c>
      <c r="P221" s="4" t="n"/>
      <c r="Q221" s="12" t="n"/>
      <c r="R221" s="41" t="n"/>
      <c r="S221" s="4" t="inlineStr">
        <is>
          <t>0 = no reported evidence in material assessed; blank = not coded/unknown; neither proves absence</t>
        </is>
      </c>
      <c r="T221" s="4">
        <f>IF(COUNTIFS('ESTUDIOS'!$A$2:$A$455,$A221,'ESTUDIOS'!$I$2:$I$455,"")&gt;0,"",INDEX('ESTUDIOS'!$I$2:$I$455,MATCH($A221,'ESTUDIOS'!$A$2:$A$455,0)))</f>
        <v/>
      </c>
    </row>
    <row r="222" ht="86" customHeight="1">
      <c r="A222" s="4" t="inlineStr">
        <is>
          <t>239</t>
        </is>
      </c>
      <c r="B222" s="4" t="inlineStr">
        <is>
          <t>Historical</t>
        </is>
      </c>
      <c r="C222" s="4" t="inlineStr">
        <is>
          <t>Diagnosing autism severity associated with physical fitness and gray matter volume in children with autism spectrum disorder: Explainable machine learning method</t>
        </is>
      </c>
      <c r="D222" s="4" t="n">
        <v>0</v>
      </c>
      <c r="E222" s="4" t="n">
        <v>0</v>
      </c>
      <c r="F222" s="4" t="n">
        <v>0</v>
      </c>
      <c r="G222" s="4" t="n">
        <v>0</v>
      </c>
      <c r="H222" s="4" t="n">
        <v>1</v>
      </c>
      <c r="I222" s="4" t="n">
        <v>0</v>
      </c>
      <c r="J222" s="4" t="n">
        <v>0</v>
      </c>
      <c r="K222" s="4" t="inlineStr">
        <is>
          <t>Historical signals: title/abstract/notes; full-text completion not independently established</t>
        </is>
      </c>
      <c r="L222" s="4" t="inlineStr">
        <is>
          <t>Modelos XGB/RF/SVM/DT para severidad; se selecciona XGBoost como principal y se marca GMV + pruebas físicas.</t>
        </is>
      </c>
      <c r="M222" s="4" t="inlineStr">
        <is>
          <t>https://doi.org/10.1016/j.ctcp.2023.101825</t>
        </is>
      </c>
      <c r="N222" s="4" t="n">
        <v>1</v>
      </c>
      <c r="O222" s="4" t="n">
        <v>0</v>
      </c>
      <c r="P222" s="4" t="n">
        <v>1</v>
      </c>
      <c r="Q222" s="12" t="n"/>
      <c r="R222" s="41" t="n"/>
      <c r="S222" s="4" t="inlineStr">
        <is>
          <t>0 = no reported evidence in material assessed; blank = not coded/unknown; neither proves absence</t>
        </is>
      </c>
      <c r="T222" s="4">
        <f>IF(COUNTIFS('ESTUDIOS'!$A$2:$A$455,$A222,'ESTUDIOS'!$I$2:$I$455,"")&gt;0,"",INDEX('ESTUDIOS'!$I$2:$I$455,MATCH($A222,'ESTUDIOS'!$A$2:$A$455,0)))</f>
        <v/>
      </c>
    </row>
    <row r="223" ht="86" customHeight="1">
      <c r="A223" s="4" t="inlineStr">
        <is>
          <t>240</t>
        </is>
      </c>
      <c r="B223" s="4" t="inlineStr">
        <is>
          <t>Historical</t>
        </is>
      </c>
      <c r="C223" s="4" t="inlineStr">
        <is>
          <t>Diagnosis of Autism Disorder Based on Deep Network Trained by Augmented EEG Signals</t>
        </is>
      </c>
      <c r="D223" s="4" t="n">
        <v>0</v>
      </c>
      <c r="E223" s="4" t="n">
        <v>0</v>
      </c>
      <c r="F223" s="4" t="n">
        <v>0</v>
      </c>
      <c r="G223" s="4" t="n">
        <v>0</v>
      </c>
      <c r="H223" s="4" t="n">
        <v>0</v>
      </c>
      <c r="I223" s="4" t="n">
        <v>0</v>
      </c>
      <c r="J223" s="4" t="n">
        <v>0</v>
      </c>
      <c r="K223" s="4" t="inlineStr">
        <is>
          <t>Historical signals: title/abstract/notes; full-text completion not independently established</t>
        </is>
      </c>
      <c r="L223" s="4" t="inlineStr">
        <is>
          <t>Se comparan varios modelos; se eligió el principal/mejor reportado</t>
        </is>
      </c>
      <c r="M223" s="4" t="inlineStr">
        <is>
          <t>https://doi.org/10.1142/s0129065722500460</t>
        </is>
      </c>
      <c r="N223" s="4" t="n">
        <v>0</v>
      </c>
      <c r="O223" s="4" t="n">
        <v>0</v>
      </c>
      <c r="P223" s="4" t="n">
        <v>0</v>
      </c>
      <c r="Q223" s="12" t="n"/>
      <c r="R223" s="41" t="n"/>
      <c r="S223" s="4" t="inlineStr">
        <is>
          <t>0 = no reported evidence in material assessed; blank = not coded/unknown; neither proves absence</t>
        </is>
      </c>
      <c r="T223" s="4">
        <f>IF(COUNTIFS('ESTUDIOS'!$A$2:$A$455,$A223,'ESTUDIOS'!$I$2:$I$455,"")&gt;0,"",INDEX('ESTUDIOS'!$I$2:$I$455,MATCH($A223,'ESTUDIOS'!$A$2:$A$455,0)))</f>
        <v/>
      </c>
    </row>
    <row r="224" ht="86" customHeight="1">
      <c r="A224" s="4" t="inlineStr">
        <is>
          <t>241</t>
        </is>
      </c>
      <c r="B224" s="4" t="inlineStr">
        <is>
          <t>Historical</t>
        </is>
      </c>
      <c r="C224" s="4" t="inlineStr">
        <is>
          <t>Differences in atypical resting-state effective connectivity distinguish autism from schizophrenia</t>
        </is>
      </c>
      <c r="D224" s="4" t="n">
        <v>1</v>
      </c>
      <c r="E224" s="4" t="n">
        <v>0</v>
      </c>
      <c r="F224" s="4" t="n">
        <v>0</v>
      </c>
      <c r="G224" s="4" t="n">
        <v>0</v>
      </c>
      <c r="H224" s="4" t="n">
        <v>0</v>
      </c>
      <c r="I224" s="4" t="n">
        <v>1</v>
      </c>
      <c r="J224" s="4" t="n">
        <v>0</v>
      </c>
      <c r="K224" s="4" t="inlineStr">
        <is>
          <t>Historical signals: title/abstract/notes; full-text completion not independently established</t>
        </is>
      </c>
      <c r="L224" s="4" t="str"/>
      <c r="M224" s="4" t="inlineStr">
        <is>
          <t>https://doi.org/10.1016/j.nicl.2018.01.014</t>
        </is>
      </c>
      <c r="N224" s="4" t="n">
        <v>1</v>
      </c>
      <c r="O224" s="4" t="n">
        <v>0</v>
      </c>
      <c r="P224" s="4" t="n">
        <v>0</v>
      </c>
      <c r="Q224" s="12" t="n"/>
      <c r="R224" s="41" t="n"/>
      <c r="S224" s="4" t="inlineStr">
        <is>
          <t>0 = no reported evidence in material assessed; blank = not coded/unknown; neither proves absence</t>
        </is>
      </c>
      <c r="T224" s="4">
        <f>IF(COUNTIFS('ESTUDIOS'!$A$2:$A$455,$A224,'ESTUDIOS'!$I$2:$I$455,"")&gt;0,"",INDEX('ESTUDIOS'!$I$2:$I$455,MATCH($A224,'ESTUDIOS'!$A$2:$A$455,0)))</f>
        <v/>
      </c>
    </row>
    <row r="225" ht="86" customHeight="1">
      <c r="A225" s="4" t="inlineStr">
        <is>
          <t>242</t>
        </is>
      </c>
      <c r="B225" s="4" t="inlineStr">
        <is>
          <t>Historical</t>
        </is>
      </c>
      <c r="C225" s="4" t="inlineStr">
        <is>
          <t>Eigenvector Centrality Characterization on fMRI Data: Gender and Node Differences in Normal and ASD Subjects: Author name</t>
        </is>
      </c>
      <c r="D225" s="4" t="n">
        <v>0</v>
      </c>
      <c r="E225" s="4" t="n">
        <v>0</v>
      </c>
      <c r="F225" s="4" t="n">
        <v>0</v>
      </c>
      <c r="G225" s="4" t="n">
        <v>0</v>
      </c>
      <c r="H225" s="4" t="n">
        <v>0</v>
      </c>
      <c r="I225" s="4" t="n">
        <v>0</v>
      </c>
      <c r="J225" s="4" t="n">
        <v>0</v>
      </c>
      <c r="K225" s="4" t="inlineStr">
        <is>
          <t>Historical signals: title/abstract/notes; full-text completion not independently established</t>
        </is>
      </c>
      <c r="L225" s="4" t="str"/>
      <c r="M225" s="4" t="inlineStr">
        <is>
          <t>https://doi.org/10.1007/s10803-023-05922-x</t>
        </is>
      </c>
      <c r="N225" s="4" t="n">
        <v>0</v>
      </c>
      <c r="O225" s="4" t="n">
        <v>0</v>
      </c>
      <c r="P225" s="4" t="n">
        <v>0</v>
      </c>
      <c r="Q225" s="12" t="n"/>
      <c r="R225" s="41" t="n"/>
      <c r="S225" s="4" t="inlineStr">
        <is>
          <t>0 = no reported evidence in material assessed; blank = not coded/unknown; neither proves absence</t>
        </is>
      </c>
      <c r="T225" s="4">
        <f>IF(COUNTIFS('ESTUDIOS'!$A$2:$A$455,$A225,'ESTUDIOS'!$I$2:$I$455,"")&gt;0,"",INDEX('ESTUDIOS'!$I$2:$I$455,MATCH($A225,'ESTUDIOS'!$A$2:$A$455,0)))</f>
        <v/>
      </c>
    </row>
    <row r="226" ht="86" customHeight="1">
      <c r="A226" s="4" t="inlineStr">
        <is>
          <t>243</t>
        </is>
      </c>
      <c r="B226" s="4" t="inlineStr">
        <is>
          <t>Historical</t>
        </is>
      </c>
      <c r="C226" s="4" t="inlineStr">
        <is>
          <t>Enhancing Multi-view ASD Diagnosis Using Structural MRI and Pretrained CNN</t>
        </is>
      </c>
      <c r="D226" s="4" t="n">
        <v>0</v>
      </c>
      <c r="E226" s="4" t="n">
        <v>1</v>
      </c>
      <c r="F226" s="4" t="n">
        <v>0</v>
      </c>
      <c r="G226" s="4" t="n">
        <v>0</v>
      </c>
      <c r="H226" s="4" t="n">
        <v>0</v>
      </c>
      <c r="I226" s="4" t="n">
        <v>0</v>
      </c>
      <c r="J226" s="4" t="n">
        <v>1</v>
      </c>
      <c r="K226" s="4" t="inlineStr">
        <is>
          <t>Historical signals: title/abstract/notes; full-text completion not independently established</t>
        </is>
      </c>
      <c r="L226" s="4" t="str"/>
      <c r="M226" s="4" t="inlineStr">
        <is>
          <t>https://doi.org/10.1007/978-3-031-83845-3_26</t>
        </is>
      </c>
      <c r="N226" s="4" t="n">
        <v>0</v>
      </c>
      <c r="O226" s="4" t="n">
        <v>1</v>
      </c>
      <c r="P226" s="4" t="n">
        <v>0</v>
      </c>
      <c r="Q226" s="12" t="n"/>
      <c r="R226" s="41" t="n"/>
      <c r="S226" s="4" t="inlineStr">
        <is>
          <t>0 = no reported evidence in material assessed; blank = not coded/unknown; neither proves absence</t>
        </is>
      </c>
      <c r="T226" s="4">
        <f>IF(COUNTIFS('ESTUDIOS'!$A$2:$A$455,$A226,'ESTUDIOS'!$I$2:$I$455,"")&gt;0,"",INDEX('ESTUDIOS'!$I$2:$I$455,MATCH($A226,'ESTUDIOS'!$A$2:$A$455,0)))</f>
        <v/>
      </c>
    </row>
    <row r="227" ht="86" customHeight="1">
      <c r="A227" s="4" t="inlineStr">
        <is>
          <t>245</t>
        </is>
      </c>
      <c r="B227" s="4" t="inlineStr">
        <is>
          <t>Historical</t>
        </is>
      </c>
      <c r="C227" s="4" t="inlineStr">
        <is>
          <t>Exploring Sparse Gaussian Processes for Bayesian Optimization in Convolutional Neural Networks for Autism Classification</t>
        </is>
      </c>
      <c r="D227" s="4" t="n">
        <v>0</v>
      </c>
      <c r="E227" s="4" t="n">
        <v>0</v>
      </c>
      <c r="F227" s="4" t="n">
        <v>0</v>
      </c>
      <c r="G227" s="4" t="n">
        <v>0</v>
      </c>
      <c r="H227" s="4" t="n">
        <v>0</v>
      </c>
      <c r="I227" s="4" t="n">
        <v>0</v>
      </c>
      <c r="J227" s="4" t="n">
        <v>0</v>
      </c>
      <c r="K227" s="4" t="inlineStr">
        <is>
          <t>Historical signals: title/abstract/notes; full-text completion not independently established</t>
        </is>
      </c>
      <c r="L227" s="4" t="inlineStr">
        <is>
          <t>Sin señal explícita Q3 en título/abstract.</t>
        </is>
      </c>
      <c r="M227" s="4" t="inlineStr">
        <is>
          <t>https://doi.org/10.1109/access.2024.3351168</t>
        </is>
      </c>
      <c r="N227" s="4" t="n">
        <v>0</v>
      </c>
      <c r="O227" s="4" t="n">
        <v>0</v>
      </c>
      <c r="P227" s="4" t="n"/>
      <c r="Q227" s="12" t="n"/>
      <c r="R227" s="41" t="n"/>
      <c r="S227" s="4" t="inlineStr">
        <is>
          <t>0 = no reported evidence in material assessed; blank = not coded/unknown; neither proves absence</t>
        </is>
      </c>
      <c r="T227" s="4">
        <f>IF(COUNTIFS('ESTUDIOS'!$A$2:$A$455,$A227,'ESTUDIOS'!$I$2:$I$455,"")&gt;0,"",INDEX('ESTUDIOS'!$I$2:$I$455,MATCH($A227,'ESTUDIOS'!$A$2:$A$455,0)))</f>
        <v/>
      </c>
    </row>
    <row r="228" ht="86" customHeight="1">
      <c r="A228" s="4" t="inlineStr">
        <is>
          <t>246</t>
        </is>
      </c>
      <c r="B228" s="4" t="inlineStr">
        <is>
          <t>Historical</t>
        </is>
      </c>
      <c r="C228" s="4" t="inlineStr">
        <is>
          <t>Exploring tree-based machine learning methods to predict autism spectrum disorder</t>
        </is>
      </c>
      <c r="D228" s="4" t="n">
        <v>0</v>
      </c>
      <c r="E228" s="4" t="n">
        <v>0</v>
      </c>
      <c r="F228" s="4" t="n">
        <v>0</v>
      </c>
      <c r="G228" s="4" t="n">
        <v>0</v>
      </c>
      <c r="H228" s="4" t="n">
        <v>0</v>
      </c>
      <c r="I228" s="4" t="n">
        <v>0</v>
      </c>
      <c r="J228" s="4" t="n">
        <v>0</v>
      </c>
      <c r="K228" s="4" t="inlineStr">
        <is>
          <t>Historical signals: title/abstract/notes; full-text completion not independently established</t>
        </is>
      </c>
      <c r="L228" s="4" t="str"/>
      <c r="M228" s="4" t="inlineStr">
        <is>
          <t>https://doi.org/10.1016/b978-0-12-822822-7.00009-0</t>
        </is>
      </c>
      <c r="N228" s="4" t="n">
        <v>0</v>
      </c>
      <c r="O228" s="4" t="n">
        <v>0</v>
      </c>
      <c r="P228" s="4" t="n">
        <v>0</v>
      </c>
      <c r="Q228" s="12" t="n"/>
      <c r="R228" s="41" t="n"/>
      <c r="S228" s="4" t="inlineStr">
        <is>
          <t>0 = no reported evidence in material assessed; blank = not coded/unknown; neither proves absence</t>
        </is>
      </c>
      <c r="T228" s="4">
        <f>IF(COUNTIFS('ESTUDIOS'!$A$2:$A$455,$A228,'ESTUDIOS'!$I$2:$I$455,"")&gt;0,"",INDEX('ESTUDIOS'!$I$2:$I$455,MATCH($A228,'ESTUDIOS'!$A$2:$A$455,0)))</f>
        <v/>
      </c>
    </row>
    <row r="229" ht="86" customHeight="1">
      <c r="A229" s="4" t="inlineStr">
        <is>
          <t>247</t>
        </is>
      </c>
      <c r="B229" s="4" t="inlineStr">
        <is>
          <t>Historical</t>
        </is>
      </c>
      <c r="C229" s="4" t="inlineStr">
        <is>
          <t>Few-Shot Classification of Autism Spectrum Disorder using Site-Agnostic Meta-Learning and Brain MRI</t>
        </is>
      </c>
      <c r="D229" s="4" t="n">
        <v>1</v>
      </c>
      <c r="E229" s="4" t="n">
        <v>1</v>
      </c>
      <c r="F229" s="4" t="n">
        <v>1</v>
      </c>
      <c r="G229" s="4" t="n">
        <v>0</v>
      </c>
      <c r="H229" s="4" t="n">
        <v>0</v>
      </c>
      <c r="I229" s="4" t="n">
        <v>0</v>
      </c>
      <c r="J229" s="4" t="n">
        <v>0</v>
      </c>
      <c r="K229" s="4" t="inlineStr">
        <is>
          <t>Historical signals: title/abstract/notes; full-text completion not independently established</t>
        </is>
      </c>
      <c r="L229" s="4" t="str"/>
      <c r="M229" s="4" t="inlineStr">
        <is>
          <t>https://doi.org/10.1109/embc40787.2023.10340852</t>
        </is>
      </c>
      <c r="N229" s="4" t="n">
        <v>0</v>
      </c>
      <c r="O229" s="4" t="n">
        <v>0</v>
      </c>
      <c r="P229" s="4" t="n">
        <v>0</v>
      </c>
      <c r="Q229" s="12" t="n"/>
      <c r="R229" s="41" t="n"/>
      <c r="S229" s="4" t="inlineStr">
        <is>
          <t>0 = no reported evidence in material assessed; blank = not coded/unknown; neither proves absence</t>
        </is>
      </c>
      <c r="T229" s="4">
        <f>IF(COUNTIFS('ESTUDIOS'!$A$2:$A$455,$A229,'ESTUDIOS'!$I$2:$I$455,"")&gt;0,"",INDEX('ESTUDIOS'!$I$2:$I$455,MATCH($A229,'ESTUDIOS'!$A$2:$A$455,0)))</f>
        <v/>
      </c>
    </row>
    <row r="230" ht="86" customHeight="1">
      <c r="A230" s="4" t="inlineStr">
        <is>
          <t>248</t>
        </is>
      </c>
      <c r="B230" s="4" t="inlineStr">
        <is>
          <t>Historical</t>
        </is>
      </c>
      <c r="C230" s="4" t="inlineStr">
        <is>
          <t>Gaze Patterns in Children With Autism Spectrum Disorder to Emotional Faces: Scanpath and Similarity</t>
        </is>
      </c>
      <c r="D230" s="4" t="n">
        <v>0</v>
      </c>
      <c r="E230" s="4" t="n">
        <v>0</v>
      </c>
      <c r="F230" s="4" t="n">
        <v>0</v>
      </c>
      <c r="G230" s="4" t="n">
        <v>0</v>
      </c>
      <c r="H230" s="4" t="n">
        <v>0</v>
      </c>
      <c r="I230" s="4" t="n">
        <v>0</v>
      </c>
      <c r="J230" s="4" t="n">
        <v>0</v>
      </c>
      <c r="K230" s="4" t="inlineStr">
        <is>
          <t>Historical signals: title/abstract/notes; full-text completion not independently established</t>
        </is>
      </c>
      <c r="L230" s="4" t="str"/>
      <c r="M230" s="4" t="inlineStr">
        <is>
          <t>https://doi.org/10.1109/tnsre.2024.3361935</t>
        </is>
      </c>
      <c r="N230" s="4" t="n">
        <v>0</v>
      </c>
      <c r="O230" s="4" t="n">
        <v>0</v>
      </c>
      <c r="P230" s="4" t="n">
        <v>0</v>
      </c>
      <c r="Q230" s="12" t="n"/>
      <c r="R230" s="41" t="n"/>
      <c r="S230" s="4" t="inlineStr">
        <is>
          <t>0 = no reported evidence in material assessed; blank = not coded/unknown; neither proves absence</t>
        </is>
      </c>
      <c r="T230" s="4">
        <f>IF(COUNTIFS('ESTUDIOS'!$A$2:$A$455,$A230,'ESTUDIOS'!$I$2:$I$455,"")&gt;0,"",INDEX('ESTUDIOS'!$I$2:$I$455,MATCH($A230,'ESTUDIOS'!$A$2:$A$455,0)))</f>
        <v/>
      </c>
    </row>
    <row r="231" ht="86" customHeight="1">
      <c r="A231" s="4" t="inlineStr">
        <is>
          <t>249</t>
        </is>
      </c>
      <c r="B231" s="4" t="inlineStr">
        <is>
          <t>Historical</t>
        </is>
      </c>
      <c r="C231" s="4" t="inlineStr">
        <is>
          <t>Gray Matter Alterations in Young Children with Autism Spectrum Disorders: Comparing Morphometry at the Voxel and Regional Level</t>
        </is>
      </c>
      <c r="D231" s="4" t="n">
        <v>0</v>
      </c>
      <c r="E231" s="4" t="n">
        <v>0</v>
      </c>
      <c r="F231" s="4" t="n">
        <v>0</v>
      </c>
      <c r="G231" s="4" t="n">
        <v>0</v>
      </c>
      <c r="H231" s="4" t="n">
        <v>0</v>
      </c>
      <c r="I231" s="4" t="n">
        <v>0</v>
      </c>
      <c r="J231" s="4" t="n">
        <v>0</v>
      </c>
      <c r="K231" s="4" t="inlineStr">
        <is>
          <t>Historical signals: title/abstract/notes; full-text completion not independently established</t>
        </is>
      </c>
      <c r="L231" s="4" t="inlineStr">
        <is>
          <t>Algoritmo principal no explícito o fuera del codebook; Confirmar algoritmo principal en full-text</t>
        </is>
      </c>
      <c r="M231" s="4" t="inlineStr">
        <is>
          <t>https://doi.org/10.1111/jon.12280</t>
        </is>
      </c>
      <c r="N231" s="4" t="n">
        <v>0</v>
      </c>
      <c r="O231" s="4" t="n">
        <v>0</v>
      </c>
      <c r="P231" s="4" t="n">
        <v>1</v>
      </c>
      <c r="Q231" s="12" t="n"/>
      <c r="R231" s="41" t="n"/>
      <c r="S231" s="4" t="inlineStr">
        <is>
          <t>0 = no reported evidence in material assessed; blank = not coded/unknown; neither proves absence</t>
        </is>
      </c>
      <c r="T231" s="4">
        <f>IF(COUNTIFS('ESTUDIOS'!$A$2:$A$455,$A231,'ESTUDIOS'!$I$2:$I$455,"")&gt;0,"",INDEX('ESTUDIOS'!$I$2:$I$455,MATCH($A231,'ESTUDIOS'!$A$2:$A$455,0)))</f>
        <v/>
      </c>
    </row>
    <row r="232" ht="86" customHeight="1">
      <c r="A232" s="4" t="inlineStr">
        <is>
          <t>250</t>
        </is>
      </c>
      <c r="B232" s="4" t="inlineStr">
        <is>
          <t>Historical</t>
        </is>
      </c>
      <c r="C232" s="4" t="inlineStr">
        <is>
          <t>Identification of Autism spectrum disorder based on a novel feature selection method and Variational Autoencoder</t>
        </is>
      </c>
      <c r="D232" s="4" t="n">
        <v>0</v>
      </c>
      <c r="E232" s="4" t="n">
        <v>0</v>
      </c>
      <c r="F232" s="4" t="n">
        <v>0</v>
      </c>
      <c r="G232" s="4" t="n">
        <v>0</v>
      </c>
      <c r="H232" s="4" t="n">
        <v>0</v>
      </c>
      <c r="I232" s="4" t="n">
        <v>0</v>
      </c>
      <c r="J232" s="4" t="n">
        <v>0</v>
      </c>
      <c r="K232" s="4" t="inlineStr">
        <is>
          <t>Historical signals: title/abstract/notes; full-text completion not independently established</t>
        </is>
      </c>
      <c r="L232" s="4" t="str"/>
      <c r="M232" s="4" t="inlineStr">
        <is>
          <t>https://doi.org/10.1016/j.compbiomed.2022.105854</t>
        </is>
      </c>
      <c r="N232" s="4" t="n">
        <v>0</v>
      </c>
      <c r="O232" s="4" t="n">
        <v>0</v>
      </c>
      <c r="P232" s="4" t="n">
        <v>0</v>
      </c>
      <c r="Q232" s="12" t="n"/>
      <c r="R232" s="41" t="n"/>
      <c r="S232" s="4" t="inlineStr">
        <is>
          <t>0 = no reported evidence in material assessed; blank = not coded/unknown; neither proves absence</t>
        </is>
      </c>
      <c r="T232" s="4">
        <f>IF(COUNTIFS('ESTUDIOS'!$A$2:$A$455,$A232,'ESTUDIOS'!$I$2:$I$455,"")&gt;0,"",INDEX('ESTUDIOS'!$I$2:$I$455,MATCH($A232,'ESTUDIOS'!$A$2:$A$455,0)))</f>
        <v/>
      </c>
    </row>
    <row r="233" ht="86" customHeight="1">
      <c r="A233" s="4" t="inlineStr">
        <is>
          <t>251</t>
        </is>
      </c>
      <c r="B233" s="4" t="inlineStr">
        <is>
          <t>Historical</t>
        </is>
      </c>
      <c r="C233" s="4" t="inlineStr">
        <is>
          <t>Integrative analysis of long noncoding RNAs dysregulation and synapse-associated ceRNA regulatory axes in autism</t>
        </is>
      </c>
      <c r="D233" s="4" t="n">
        <v>0</v>
      </c>
      <c r="E233" s="4" t="n">
        <v>0</v>
      </c>
      <c r="F233" s="4" t="n">
        <v>0</v>
      </c>
      <c r="G233" s="4" t="n">
        <v>0</v>
      </c>
      <c r="H233" s="4" t="n">
        <v>0</v>
      </c>
      <c r="I233" s="4" t="n">
        <v>0</v>
      </c>
      <c r="J233" s="4" t="n">
        <v>0</v>
      </c>
      <c r="K233" s="4" t="inlineStr">
        <is>
          <t>Historical signals: title/abstract/notes; full-text completion not independently established</t>
        </is>
      </c>
      <c r="L233" s="4" t="inlineStr">
        <is>
          <t>Análisis integrativo de lncRNA/ceRNA sin algoritmo de IA clínico principal claramente reportado.</t>
        </is>
      </c>
      <c r="M233" s="4" t="inlineStr">
        <is>
          <t>https://doi.org/10.1038/s41398-023-02662-5</t>
        </is>
      </c>
      <c r="N233" s="4" t="n">
        <v>0</v>
      </c>
      <c r="O233" s="4" t="n">
        <v>0</v>
      </c>
      <c r="P233" s="4" t="n">
        <v>1</v>
      </c>
      <c r="Q233" s="12" t="n"/>
      <c r="R233" s="41" t="n"/>
      <c r="S233" s="4" t="inlineStr">
        <is>
          <t>0 = no reported evidence in material assessed; blank = not coded/unknown; neither proves absence</t>
        </is>
      </c>
      <c r="T233" s="4">
        <f>IF(COUNTIFS('ESTUDIOS'!$A$2:$A$455,$A233,'ESTUDIOS'!$I$2:$I$455,"")&gt;0,"",INDEX('ESTUDIOS'!$I$2:$I$455,MATCH($A233,'ESTUDIOS'!$A$2:$A$455,0)))</f>
        <v/>
      </c>
    </row>
    <row r="234" ht="86" customHeight="1">
      <c r="A234" s="4" t="inlineStr">
        <is>
          <t>253</t>
        </is>
      </c>
      <c r="B234" s="4" t="inlineStr">
        <is>
          <t>Historical</t>
        </is>
      </c>
      <c r="C234" s="4" t="inlineStr">
        <is>
          <t>Interpersonal Motor Coordination in Children with Autism and the Establishment of Machine Learning Models to Objectively Classify Children with Autism and Typical Development</t>
        </is>
      </c>
      <c r="D234" s="4" t="n">
        <v>0</v>
      </c>
      <c r="E234" s="4" t="n">
        <v>0</v>
      </c>
      <c r="F234" s="4" t="n">
        <v>0</v>
      </c>
      <c r="G234" s="4" t="n">
        <v>0</v>
      </c>
      <c r="H234" s="4" t="n">
        <v>0</v>
      </c>
      <c r="I234" s="4" t="n">
        <v>0</v>
      </c>
      <c r="J234" s="4" t="n">
        <v>0</v>
      </c>
      <c r="K234" s="4" t="inlineStr">
        <is>
          <t>Historical signals: title/abstract/notes; full-text completion not independently established</t>
        </is>
      </c>
      <c r="L234" s="4" t="inlineStr">
        <is>
          <t>Algoritmo principal no explícito o fuera del codebook; Confirmar algoritmo principal en full-text</t>
        </is>
      </c>
      <c r="M234" s="4" t="inlineStr">
        <is>
          <t>https://doi.org/10.1016/j.irbm.2024.100838</t>
        </is>
      </c>
      <c r="N234" s="4" t="n">
        <v>0</v>
      </c>
      <c r="O234" s="4" t="n">
        <v>0</v>
      </c>
      <c r="P234" s="4" t="n">
        <v>1</v>
      </c>
      <c r="Q234" s="12" t="n"/>
      <c r="R234" s="41" t="n"/>
      <c r="S234" s="4" t="inlineStr">
        <is>
          <t>0 = no reported evidence in material assessed; blank = not coded/unknown; neither proves absence</t>
        </is>
      </c>
      <c r="T234" s="4">
        <f>IF(COUNTIFS('ESTUDIOS'!$A$2:$A$455,$A234,'ESTUDIOS'!$I$2:$I$455,"")&gt;0,"",INDEX('ESTUDIOS'!$I$2:$I$455,MATCH($A234,'ESTUDIOS'!$A$2:$A$455,0)))</f>
        <v/>
      </c>
    </row>
    <row r="235" ht="86" customHeight="1">
      <c r="A235" s="4" t="inlineStr">
        <is>
          <t>254</t>
        </is>
      </c>
      <c r="B235" s="4" t="inlineStr">
        <is>
          <t>Historical</t>
        </is>
      </c>
      <c r="C235" s="4" t="inlineStr">
        <is>
          <t>Low-Rank Representation for Multi-center Autism Spectrum Disorder Identification.</t>
        </is>
      </c>
      <c r="D235" s="4" t="n">
        <v>0</v>
      </c>
      <c r="E235" s="4" t="n">
        <v>1</v>
      </c>
      <c r="F235" s="4" t="n">
        <v>1</v>
      </c>
      <c r="G235" s="4" t="n">
        <v>0</v>
      </c>
      <c r="H235" s="4" t="n">
        <v>0</v>
      </c>
      <c r="I235" s="4" t="n">
        <v>0</v>
      </c>
      <c r="J235" s="4" t="n">
        <v>0</v>
      </c>
      <c r="K235" s="4" t="inlineStr">
        <is>
          <t>Historical signals: title/abstract/notes; full-text completion not independently established</t>
        </is>
      </c>
      <c r="L235" s="4" t="inlineStr">
        <is>
          <t>Algoritmo principal no explícito o fuera del codebook; Confirmar algoritmo principal en full-text; Se comparan varios modelos; se eligió el principal/mejor reportado</t>
        </is>
      </c>
      <c r="M235" s="4" t="inlineStr">
        <is>
          <t>https://doi.org/10.1007/978-3-030-00928-1_73</t>
        </is>
      </c>
      <c r="N235" s="4" t="n">
        <v>0</v>
      </c>
      <c r="O235" s="4" t="n">
        <v>0</v>
      </c>
      <c r="P235" s="4" t="n">
        <v>1</v>
      </c>
      <c r="Q235" s="12" t="n"/>
      <c r="R235" s="41" t="n"/>
      <c r="S235" s="4" t="inlineStr">
        <is>
          <t>0 = no reported evidence in material assessed; blank = not coded/unknown; neither proves absence</t>
        </is>
      </c>
      <c r="T235" s="4">
        <f>IF(COUNTIFS('ESTUDIOS'!$A$2:$A$455,$A235,'ESTUDIOS'!$I$2:$I$455,"")&gt;0,"",INDEX('ESTUDIOS'!$I$2:$I$455,MATCH($A235,'ESTUDIOS'!$A$2:$A$455,0)))</f>
        <v/>
      </c>
    </row>
    <row r="236" ht="86" customHeight="1">
      <c r="A236" s="4" t="inlineStr">
        <is>
          <t>255</t>
        </is>
      </c>
      <c r="B236" s="4" t="inlineStr">
        <is>
          <t>Historical</t>
        </is>
      </c>
      <c r="C236" s="4" t="inlineStr">
        <is>
          <t>LSTA-CNN: A Lightweight Spatiotemporal Attention-Based Convolutional Neural Network for ASD Diagnosis Using EEG</t>
        </is>
      </c>
      <c r="D236" s="4" t="n">
        <v>0</v>
      </c>
      <c r="E236" s="4" t="n">
        <v>0</v>
      </c>
      <c r="F236" s="4" t="n">
        <v>0</v>
      </c>
      <c r="G236" s="4" t="n">
        <v>0</v>
      </c>
      <c r="H236" s="4" t="n">
        <v>0</v>
      </c>
      <c r="I236" s="4" t="n">
        <v>0</v>
      </c>
      <c r="J236" s="4" t="n">
        <v>0</v>
      </c>
      <c r="K236" s="4" t="inlineStr">
        <is>
          <t>Historical signals: title/abstract/notes; full-text completion not independently established</t>
        </is>
      </c>
      <c r="L236" s="4" t="inlineStr">
        <is>
          <t>Se comparan varios modelos; se eligió el principal/mejor reportado</t>
        </is>
      </c>
      <c r="M236" s="4" t="inlineStr">
        <is>
          <t>https://doi.org/10.1109/tnsre.2025.3580593</t>
        </is>
      </c>
      <c r="N236" s="4" t="n">
        <v>0</v>
      </c>
      <c r="O236" s="4" t="n">
        <v>0</v>
      </c>
      <c r="P236" s="4" t="n">
        <v>0</v>
      </c>
      <c r="Q236" s="12" t="n"/>
      <c r="R236" s="41" t="n"/>
      <c r="S236" s="4" t="inlineStr">
        <is>
          <t>0 = no reported evidence in material assessed; blank = not coded/unknown; neither proves absence</t>
        </is>
      </c>
      <c r="T236" s="4">
        <f>IF(COUNTIFS('ESTUDIOS'!$A$2:$A$455,$A236,'ESTUDIOS'!$I$2:$I$455,"")&gt;0,"",INDEX('ESTUDIOS'!$I$2:$I$455,MATCH($A236,'ESTUDIOS'!$A$2:$A$455,0)))</f>
        <v/>
      </c>
    </row>
    <row r="237" ht="86" customHeight="1">
      <c r="A237" s="4" t="inlineStr">
        <is>
          <t>256</t>
        </is>
      </c>
      <c r="B237" s="4" t="inlineStr">
        <is>
          <t>Historical</t>
        </is>
      </c>
      <c r="C237" s="4" t="inlineStr">
        <is>
          <t>Machine learning methods for autism spectrum disorder classification</t>
        </is>
      </c>
      <c r="D237" s="4" t="n">
        <v>0</v>
      </c>
      <c r="E237" s="4" t="n">
        <v>0</v>
      </c>
      <c r="F237" s="4" t="n">
        <v>0</v>
      </c>
      <c r="G237" s="4" t="n">
        <v>0</v>
      </c>
      <c r="H237" s="4" t="n">
        <v>0</v>
      </c>
      <c r="I237" s="4" t="n">
        <v>0</v>
      </c>
      <c r="J237" s="4" t="n">
        <v>0</v>
      </c>
      <c r="K237" s="4" t="inlineStr">
        <is>
          <t>Historical signals: title/abstract/notes; full-text completion not independently established</t>
        </is>
      </c>
      <c r="L237" s="4" t="inlineStr">
        <is>
          <t>Sin señal explícita Q3 en título/abstract.</t>
        </is>
      </c>
      <c r="M237" s="4" t="inlineStr">
        <is>
          <t>https://doi.org/10.1016/b978-0-12-822822-7.00008-9</t>
        </is>
      </c>
      <c r="N237" s="4" t="n">
        <v>0</v>
      </c>
      <c r="O237" s="4" t="n">
        <v>0</v>
      </c>
      <c r="P237" s="4" t="n"/>
      <c r="Q237" s="12" t="n"/>
      <c r="R237" s="41" t="n"/>
      <c r="S237" s="4" t="inlineStr">
        <is>
          <t>0 = no reported evidence in material assessed; blank = not coded/unknown; neither proves absence</t>
        </is>
      </c>
      <c r="T237" s="4">
        <f>IF(COUNTIFS('ESTUDIOS'!$A$2:$A$455,$A237,'ESTUDIOS'!$I$2:$I$455,"")&gt;0,"",INDEX('ESTUDIOS'!$I$2:$I$455,MATCH($A237,'ESTUDIOS'!$A$2:$A$455,0)))</f>
        <v/>
      </c>
    </row>
    <row r="238" ht="86" customHeight="1">
      <c r="A238" s="4" t="inlineStr">
        <is>
          <t>258</t>
        </is>
      </c>
      <c r="B238" s="4" t="inlineStr">
        <is>
          <t>Historical</t>
        </is>
      </c>
      <c r="C238" s="4" t="inlineStr">
        <is>
          <t>MDNCT: a multi-domain neurocognitive transformer architecture approach for early prediction of autism spectrum disorders</t>
        </is>
      </c>
      <c r="D238" s="4" t="n">
        <v>0</v>
      </c>
      <c r="E238" s="4" t="n">
        <v>0</v>
      </c>
      <c r="F238" s="4" t="n">
        <v>0</v>
      </c>
      <c r="G238" s="4" t="n">
        <v>0</v>
      </c>
      <c r="H238" s="4" t="n">
        <v>0</v>
      </c>
      <c r="I238" s="4" t="n">
        <v>0</v>
      </c>
      <c r="J238" s="4" t="n">
        <v>0</v>
      </c>
      <c r="K238" s="4" t="inlineStr">
        <is>
          <t>Historical signals: title/abstract/notes; full-text completion not independently established</t>
        </is>
      </c>
      <c r="L238" s="4" t="inlineStr">
        <is>
          <t>Arquitectura transformer multi-domain para predicción temprana; fuente de datos específica no es explícita en el abstract.</t>
        </is>
      </c>
      <c r="M238" s="4" t="inlineStr">
        <is>
          <t>https://doi.org/10.1038/s41598-025-09862-7</t>
        </is>
      </c>
      <c r="N238" s="4" t="n">
        <v>0</v>
      </c>
      <c r="O238" s="4" t="n">
        <v>0</v>
      </c>
      <c r="P238" s="4" t="n">
        <v>1</v>
      </c>
      <c r="Q238" s="12" t="n"/>
      <c r="R238" s="41" t="n"/>
      <c r="S238" s="4" t="inlineStr">
        <is>
          <t>0 = no reported evidence in material assessed; blank = not coded/unknown; neither proves absence</t>
        </is>
      </c>
      <c r="T238" s="4">
        <f>IF(COUNTIFS('ESTUDIOS'!$A$2:$A$455,$A238,'ESTUDIOS'!$I$2:$I$455,"")&gt;0,"",INDEX('ESTUDIOS'!$I$2:$I$455,MATCH($A238,'ESTUDIOS'!$A$2:$A$455,0)))</f>
        <v/>
      </c>
    </row>
    <row r="239" ht="86" customHeight="1">
      <c r="A239" s="4" t="inlineStr">
        <is>
          <t>259</t>
        </is>
      </c>
      <c r="B239" s="4" t="inlineStr">
        <is>
          <t>Historical</t>
        </is>
      </c>
      <c r="C239" s="4" t="inlineStr">
        <is>
          <t>MHATC: Autism Spectrum Disorder Identification Utilizing Multi-Head Attention Encoder Along with Temporal Consolidation Modules</t>
        </is>
      </c>
      <c r="D239" s="4" t="n">
        <v>0</v>
      </c>
      <c r="E239" s="4" t="n">
        <v>0</v>
      </c>
      <c r="F239" s="4" t="n">
        <v>0</v>
      </c>
      <c r="G239" s="4" t="n">
        <v>0</v>
      </c>
      <c r="H239" s="4" t="n">
        <v>0</v>
      </c>
      <c r="I239" s="4" t="n">
        <v>0</v>
      </c>
      <c r="J239" s="4" t="n">
        <v>0</v>
      </c>
      <c r="K239" s="4" t="inlineStr">
        <is>
          <t>Historical signals: title/abstract/notes; full-text completion not independently established</t>
        </is>
      </c>
      <c r="L239" s="4" t="str"/>
      <c r="M239" s="4" t="inlineStr">
        <is>
          <t>https://doi.org/10.1109/embc48229.2022.9871130</t>
        </is>
      </c>
      <c r="N239" s="4" t="n">
        <v>0</v>
      </c>
      <c r="O239" s="4" t="n">
        <v>0</v>
      </c>
      <c r="P239" s="4" t="n">
        <v>1</v>
      </c>
      <c r="Q239" s="12" t="n"/>
      <c r="R239" s="41" t="n"/>
      <c r="S239" s="4" t="inlineStr">
        <is>
          <t>0 = no reported evidence in material assessed; blank = not coded/unknown; neither proves absence</t>
        </is>
      </c>
      <c r="T239" s="4">
        <f>IF(COUNTIFS('ESTUDIOS'!$A$2:$A$455,$A239,'ESTUDIOS'!$I$2:$I$455,"")&gt;0,"",INDEX('ESTUDIOS'!$I$2:$I$455,MATCH($A239,'ESTUDIOS'!$A$2:$A$455,0)))</f>
        <v/>
      </c>
    </row>
    <row r="240" ht="86" customHeight="1">
      <c r="A240" s="4" t="inlineStr">
        <is>
          <t>260</t>
        </is>
      </c>
      <c r="B240" s="4" t="inlineStr">
        <is>
          <t>Historical</t>
        </is>
      </c>
      <c r="C240" s="4" t="inlineStr">
        <is>
          <t>Multi-atlas Representations Based on\&amp;#xa0;Graph Convolutional Networks for\&amp;#xa0;Autism Spectrum Disorder Diagnosis</t>
        </is>
      </c>
      <c r="D240" s="4" t="n">
        <v>0</v>
      </c>
      <c r="E240" s="4" t="n">
        <v>0</v>
      </c>
      <c r="F240" s="4" t="n">
        <v>0</v>
      </c>
      <c r="G240" s="4" t="n">
        <v>0</v>
      </c>
      <c r="H240" s="4" t="n">
        <v>0</v>
      </c>
      <c r="I240" s="4" t="n">
        <v>0</v>
      </c>
      <c r="J240" s="4" t="n">
        <v>1</v>
      </c>
      <c r="K240" s="4" t="inlineStr">
        <is>
          <t>Historical signals: title/abstract/notes; full-text completion not independently established</t>
        </is>
      </c>
      <c r="L240" s="4" t="inlineStr">
        <is>
          <t>Algoritmo principal no explícito o fuera del codebook; Confirmar algoritmo principal en full-text; Se comparan varios modelos; se eligió el principal/mejor reportado</t>
        </is>
      </c>
      <c r="M240" s="4" t="inlineStr">
        <is>
          <t>https://doi.org/10.1007/978-981-99-8558-6_38</t>
        </is>
      </c>
      <c r="N240" s="4" t="n">
        <v>0</v>
      </c>
      <c r="O240" s="4" t="n">
        <v>1</v>
      </c>
      <c r="P240" s="4" t="n">
        <v>1</v>
      </c>
      <c r="Q240" s="12" t="n"/>
      <c r="R240" s="41" t="n"/>
      <c r="S240" s="4" t="inlineStr">
        <is>
          <t>0 = no reported evidence in material assessed; blank = not coded/unknown; neither proves absence</t>
        </is>
      </c>
      <c r="T240" s="4">
        <f>IF(COUNTIFS('ESTUDIOS'!$A$2:$A$455,$A240,'ESTUDIOS'!$I$2:$I$455,"")&gt;0,"",INDEX('ESTUDIOS'!$I$2:$I$455,MATCH($A240,'ESTUDIOS'!$A$2:$A$455,0)))</f>
        <v/>
      </c>
    </row>
    <row r="241" ht="86" customHeight="1">
      <c r="A241" s="4" t="inlineStr">
        <is>
          <t>261</t>
        </is>
      </c>
      <c r="B241" s="4" t="inlineStr">
        <is>
          <t>Historical</t>
        </is>
      </c>
      <c r="C241" s="4" t="inlineStr">
        <is>
          <t>Multiple Classification of Brain MRI Autism Spectrum Disorder by Age and Gender Using Deep Learning</t>
        </is>
      </c>
      <c r="D241" s="4" t="n">
        <v>0</v>
      </c>
      <c r="E241" s="4" t="n">
        <v>0</v>
      </c>
      <c r="F241" s="4" t="n">
        <v>0</v>
      </c>
      <c r="G241" s="4" t="n">
        <v>0</v>
      </c>
      <c r="H241" s="4" t="n">
        <v>0</v>
      </c>
      <c r="I241" s="4" t="n">
        <v>0</v>
      </c>
      <c r="J241" s="4" t="n">
        <v>0</v>
      </c>
      <c r="K241" s="4" t="inlineStr">
        <is>
          <t>Historical signals: title/abstract/notes; full-text completion not independently established</t>
        </is>
      </c>
      <c r="L241" s="4" t="str"/>
      <c r="M241" s="4" t="inlineStr">
        <is>
          <t>https://doi.org/10.1007/s10916-023-02032-0</t>
        </is>
      </c>
      <c r="N241" s="4" t="n">
        <v>0</v>
      </c>
      <c r="O241" s="4" t="n">
        <v>0</v>
      </c>
      <c r="P241" s="4" t="n">
        <v>0</v>
      </c>
      <c r="Q241" s="12" t="n"/>
      <c r="R241" s="41" t="n"/>
      <c r="S241" s="4" t="inlineStr">
        <is>
          <t>0 = no reported evidence in material assessed; blank = not coded/unknown; neither proves absence</t>
        </is>
      </c>
      <c r="T241" s="4">
        <f>IF(COUNTIFS('ESTUDIOS'!$A$2:$A$455,$A241,'ESTUDIOS'!$I$2:$I$455,"")&gt;0,"",INDEX('ESTUDIOS'!$I$2:$I$455,MATCH($A241,'ESTUDIOS'!$A$2:$A$455,0)))</f>
        <v/>
      </c>
    </row>
    <row r="242" ht="86" customHeight="1">
      <c r="A242" s="4" t="inlineStr">
        <is>
          <t>262</t>
        </is>
      </c>
      <c r="B242" s="4" t="inlineStr">
        <is>
          <t>Historical</t>
        </is>
      </c>
      <c r="C242" s="4" t="inlineStr">
        <is>
          <t>MVS-GCN: A prior brain structure learning-guided multi-view graph convolution network for autism spectrum disorder diagnosis</t>
        </is>
      </c>
      <c r="D242" s="4" t="n">
        <v>0</v>
      </c>
      <c r="E242" s="4" t="n">
        <v>1</v>
      </c>
      <c r="F242" s="4" t="n">
        <v>0</v>
      </c>
      <c r="G242" s="4" t="n">
        <v>0</v>
      </c>
      <c r="H242" s="4" t="n">
        <v>0</v>
      </c>
      <c r="I242" s="4" t="n">
        <v>1</v>
      </c>
      <c r="J242" s="4" t="n">
        <v>1</v>
      </c>
      <c r="K242" s="4" t="inlineStr">
        <is>
          <t>Historical signals: title/abstract/notes; full-text completion not independently established</t>
        </is>
      </c>
      <c r="L242" s="4" t="str"/>
      <c r="M242" s="4" t="inlineStr">
        <is>
          <t>https://doi.org/10.1016/j.compbiomed.2022.105239</t>
        </is>
      </c>
      <c r="N242" s="4" t="n">
        <v>1</v>
      </c>
      <c r="O242" s="4" t="n">
        <v>1</v>
      </c>
      <c r="P242" s="4" t="n">
        <v>0</v>
      </c>
      <c r="Q242" s="12" t="n"/>
      <c r="R242" s="41" t="n"/>
      <c r="S242" s="4" t="inlineStr">
        <is>
          <t>0 = no reported evidence in material assessed; blank = not coded/unknown; neither proves absence</t>
        </is>
      </c>
      <c r="T242" s="4">
        <f>IF(COUNTIFS('ESTUDIOS'!$A$2:$A$455,$A242,'ESTUDIOS'!$I$2:$I$455,"")&gt;0,"",INDEX('ESTUDIOS'!$I$2:$I$455,MATCH($A242,'ESTUDIOS'!$A$2:$A$455,0)))</f>
        <v/>
      </c>
    </row>
    <row r="243" ht="86" customHeight="1">
      <c r="A243" s="4" t="inlineStr">
        <is>
          <t>263</t>
        </is>
      </c>
      <c r="B243" s="4" t="inlineStr">
        <is>
          <t>Historical</t>
        </is>
      </c>
      <c r="C243" s="4" t="inlineStr">
        <is>
          <t>Neurodevelopmental model of schizophrenia revisited: similarity in individual deviation and idiosyncrasy from the normative model of whole-brain white matter tracts and shared brain-cognition covariation with ADHD and ASD</t>
        </is>
      </c>
      <c r="D243" s="4" t="n">
        <v>0</v>
      </c>
      <c r="E243" s="4" t="n">
        <v>0</v>
      </c>
      <c r="F243" s="4" t="n">
        <v>0</v>
      </c>
      <c r="G243" s="4" t="n">
        <v>0</v>
      </c>
      <c r="H243" s="4" t="n">
        <v>0</v>
      </c>
      <c r="I243" s="4" t="n">
        <v>0</v>
      </c>
      <c r="J243" s="4" t="n">
        <v>0</v>
      </c>
      <c r="K243" s="4" t="inlineStr">
        <is>
          <t>Historical signals: title/abstract/notes; full-text completion not independently established</t>
        </is>
      </c>
      <c r="L243" s="4" t="str"/>
      <c r="M243" s="4" t="inlineStr">
        <is>
          <t>https://doi.org/10.1038/s41380-022-01636-1</t>
        </is>
      </c>
      <c r="N243" s="4" t="n">
        <v>0</v>
      </c>
      <c r="O243" s="4" t="n">
        <v>0</v>
      </c>
      <c r="P243" s="4" t="n">
        <v>0</v>
      </c>
      <c r="Q243" s="12" t="n"/>
      <c r="R243" s="41" t="n"/>
      <c r="S243" s="4" t="inlineStr">
        <is>
          <t>0 = no reported evidence in material assessed; blank = not coded/unknown; neither proves absence</t>
        </is>
      </c>
      <c r="T243" s="4">
        <f>IF(COUNTIFS('ESTUDIOS'!$A$2:$A$455,$A243,'ESTUDIOS'!$I$2:$I$455,"")&gt;0,"",INDEX('ESTUDIOS'!$I$2:$I$455,MATCH($A243,'ESTUDIOS'!$A$2:$A$455,0)))</f>
        <v/>
      </c>
    </row>
    <row r="244" ht="138" customHeight="1">
      <c r="A244" s="4" t="inlineStr">
        <is>
          <t>264</t>
        </is>
      </c>
      <c r="B244" s="4" t="inlineStr">
        <is>
          <t>Historical</t>
        </is>
      </c>
      <c r="C244" s="4" t="inlineStr">
        <is>
          <t>Non-Oscillatory Connectivity Approach for Classification of Autism Spectrum Disorder Subtypes Using Resting-State fMRI</t>
        </is>
      </c>
      <c r="D244" s="4" t="n">
        <v>0</v>
      </c>
      <c r="E244" s="4" t="n">
        <v>0</v>
      </c>
      <c r="F244" s="4" t="n">
        <v>0</v>
      </c>
      <c r="G244" s="4" t="n">
        <v>0</v>
      </c>
      <c r="H244" s="4" t="n">
        <v>0</v>
      </c>
      <c r="I244" s="4" t="n">
        <v>1</v>
      </c>
      <c r="J244" s="4" t="n">
        <v>0</v>
      </c>
      <c r="K244" s="4" t="inlineStr">
        <is>
          <t>Historical signals: title/abstract/notes; full-text completion not independently established</t>
        </is>
      </c>
      <c r="L244" s="4" t="inlineStr">
        <is>
          <t>No hay un único “modelo”; hay un pipeline de conectividad NOC + selección por p-values + comparación de clasificadores, y SVM queda como el mejor. 
Non-Oscillatory_Connectivity_Ap…
Dataset de subtipos es pequeño (36 sujetos por clase), y además validan ASD vs NC con un dataset grande (505 ASD / 530 NC). Esto puede ser importante si tu Excel tiene campo de “tamaño/validación”.</t>
        </is>
      </c>
      <c r="M244" s="4" t="inlineStr">
        <is>
          <t>https://doi.org/10.1109/access.2022.3146719</t>
        </is>
      </c>
      <c r="N244" s="4" t="n">
        <v>1</v>
      </c>
      <c r="O244" s="4" t="n">
        <v>0</v>
      </c>
      <c r="P244" s="4" t="n">
        <v>0</v>
      </c>
      <c r="Q244" s="12" t="n"/>
      <c r="R244" s="41" t="n"/>
      <c r="S244" s="4" t="inlineStr">
        <is>
          <t>0 = no reported evidence in material assessed; blank = not coded/unknown; neither proves absence</t>
        </is>
      </c>
      <c r="T244" s="4">
        <f>IF(COUNTIFS('ESTUDIOS'!$A$2:$A$455,$A244,'ESTUDIOS'!$I$2:$I$455,"")&gt;0,"",INDEX('ESTUDIOS'!$I$2:$I$455,MATCH($A244,'ESTUDIOS'!$A$2:$A$455,0)))</f>
        <v/>
      </c>
    </row>
    <row r="245" ht="86" customHeight="1">
      <c r="A245" s="4" t="inlineStr">
        <is>
          <t>265</t>
        </is>
      </c>
      <c r="B245" s="4" t="inlineStr">
        <is>
          <t>Historical</t>
        </is>
      </c>
      <c r="C245" s="4" t="inlineStr">
        <is>
          <t>Personalized identification of autism-related bacteria in the gut microbiome using explainable artificial intelligence</t>
        </is>
      </c>
      <c r="D245" s="4" t="n">
        <v>0</v>
      </c>
      <c r="E245" s="4" t="n">
        <v>0</v>
      </c>
      <c r="F245" s="4" t="n">
        <v>0</v>
      </c>
      <c r="G245" s="4" t="n">
        <v>0</v>
      </c>
      <c r="H245" s="4" t="n">
        <v>1</v>
      </c>
      <c r="I245" s="4" t="n">
        <v>0</v>
      </c>
      <c r="J245" s="4" t="n">
        <v>0</v>
      </c>
      <c r="K245" s="4" t="inlineStr">
        <is>
          <t>Historical signals: title/abstract/notes; full-text completion not independently established</t>
        </is>
      </c>
      <c r="L245" s="4" t="str"/>
      <c r="M245" s="4" t="inlineStr">
        <is>
          <t>https://doi.org/10.1016/j.isci.2024.110709</t>
        </is>
      </c>
      <c r="N245" s="4" t="n">
        <v>1</v>
      </c>
      <c r="O245" s="4" t="n">
        <v>0</v>
      </c>
      <c r="P245" s="4" t="n">
        <v>1</v>
      </c>
      <c r="Q245" s="12" t="n"/>
      <c r="R245" s="41" t="n"/>
      <c r="S245" s="4" t="inlineStr">
        <is>
          <t>0 = no reported evidence in material assessed; blank = not coded/unknown; neither proves absence</t>
        </is>
      </c>
      <c r="T245" s="4">
        <f>IF(COUNTIFS('ESTUDIOS'!$A$2:$A$455,$A245,'ESTUDIOS'!$I$2:$I$455,"")&gt;0,"",INDEX('ESTUDIOS'!$I$2:$I$455,MATCH($A245,'ESTUDIOS'!$A$2:$A$455,0)))</f>
        <v/>
      </c>
    </row>
    <row r="246" ht="86" customHeight="1">
      <c r="A246" s="4" t="inlineStr">
        <is>
          <t>266</t>
        </is>
      </c>
      <c r="B246" s="4" t="inlineStr">
        <is>
          <t>Historical</t>
        </is>
      </c>
      <c r="C246" s="4" t="inlineStr">
        <is>
          <t>Prenatal exposure to criteria air pollution and traffic-related air toxics and risk of autism spectrum disorder: A population-based cohort study of California births (1990–2018)</t>
        </is>
      </c>
      <c r="D246" s="4" t="n">
        <v>0</v>
      </c>
      <c r="E246" s="4" t="n">
        <v>0</v>
      </c>
      <c r="F246" s="4" t="n">
        <v>0</v>
      </c>
      <c r="G246" s="4" t="n">
        <v>0</v>
      </c>
      <c r="H246" s="4" t="n">
        <v>0</v>
      </c>
      <c r="I246" s="4" t="n">
        <v>0</v>
      </c>
      <c r="J246" s="4" t="n">
        <v>0</v>
      </c>
      <c r="K246" s="4" t="inlineStr">
        <is>
          <t>Historical signals: title/abstract/notes; full-text completion not independently established</t>
        </is>
      </c>
      <c r="L246" s="4" t="inlineStr">
        <is>
          <t>Algoritmo principal no explícito o fuera del codebook; Confirmar algoritmo principal en full-text</t>
        </is>
      </c>
      <c r="M246" s="4" t="inlineStr">
        <is>
          <t>https://doi.org/10.1016/j.envint.2025.109562</t>
        </is>
      </c>
      <c r="N246" s="4" t="n">
        <v>0</v>
      </c>
      <c r="O246" s="4" t="n">
        <v>0</v>
      </c>
      <c r="P246" s="4" t="n">
        <v>1</v>
      </c>
      <c r="Q246" s="12" t="n"/>
      <c r="R246" s="41" t="n"/>
      <c r="S246" s="4" t="inlineStr">
        <is>
          <t>0 = no reported evidence in material assessed; blank = not coded/unknown; neither proves absence</t>
        </is>
      </c>
      <c r="T246" s="4">
        <f>IF(COUNTIFS('ESTUDIOS'!$A$2:$A$455,$A246,'ESTUDIOS'!$I$2:$I$455,"")&gt;0,"",INDEX('ESTUDIOS'!$I$2:$I$455,MATCH($A246,'ESTUDIOS'!$A$2:$A$455,0)))</f>
        <v/>
      </c>
    </row>
    <row r="247" ht="86" customHeight="1">
      <c r="A247" s="4" t="inlineStr">
        <is>
          <t>267</t>
        </is>
      </c>
      <c r="B247" s="4" t="inlineStr">
        <is>
          <t>Historical</t>
        </is>
      </c>
      <c r="C247" s="4" t="inlineStr">
        <is>
          <t>Risk assessment for parents who suspect their child has autism spectrum disorder: Machine learning approach</t>
        </is>
      </c>
      <c r="D247" s="4" t="n">
        <v>0</v>
      </c>
      <c r="E247" s="4" t="n">
        <v>0</v>
      </c>
      <c r="F247" s="4" t="n">
        <v>0</v>
      </c>
      <c r="G247" s="4" t="n">
        <v>0</v>
      </c>
      <c r="H247" s="4" t="n">
        <v>0</v>
      </c>
      <c r="I247" s="4" t="n">
        <v>0</v>
      </c>
      <c r="J247" s="4" t="n">
        <v>0</v>
      </c>
      <c r="K247" s="4" t="inlineStr">
        <is>
          <t>Historical signals: title/abstract/notes; full-text completion not independently established</t>
        </is>
      </c>
      <c r="L247" s="4" t="inlineStr">
        <is>
          <t>Algoritmo principal no explícito o fuera del codebook; Confirmar algoritmo principal en full-text</t>
        </is>
      </c>
      <c r="M247" s="4" t="inlineStr">
        <is>
          <t>https://doi.org/10.2196/jmir.9496</t>
        </is>
      </c>
      <c r="N247" s="4" t="n">
        <v>0</v>
      </c>
      <c r="O247" s="4" t="n">
        <v>0</v>
      </c>
      <c r="P247" s="4" t="n">
        <v>1</v>
      </c>
      <c r="Q247" s="12" t="n"/>
      <c r="R247" s="41" t="n"/>
      <c r="S247" s="4" t="inlineStr">
        <is>
          <t>0 = no reported evidence in material assessed; blank = not coded/unknown; neither proves absence</t>
        </is>
      </c>
      <c r="T247" s="4">
        <f>IF(COUNTIFS('ESTUDIOS'!$A$2:$A$455,$A247,'ESTUDIOS'!$I$2:$I$455,"")&gt;0,"",INDEX('ESTUDIOS'!$I$2:$I$455,MATCH($A247,'ESTUDIOS'!$A$2:$A$455,0)))</f>
        <v/>
      </c>
    </row>
    <row r="248" ht="86" customHeight="1">
      <c r="A248" s="4" t="inlineStr">
        <is>
          <t>268</t>
        </is>
      </c>
      <c r="B248" s="4" t="inlineStr">
        <is>
          <t>Historical</t>
        </is>
      </c>
      <c r="C248" s="4" t="inlineStr">
        <is>
          <t>Robust Low Complexity Framework for Early Diagnosis of Autism Spectrum Disorder Based on Cross Wavelet Transform and Deep Transfer Learning</t>
        </is>
      </c>
      <c r="D248" s="4" t="n">
        <v>0</v>
      </c>
      <c r="E248" s="4" t="n">
        <v>0</v>
      </c>
      <c r="F248" s="4" t="n">
        <v>0</v>
      </c>
      <c r="G248" s="4" t="n">
        <v>0</v>
      </c>
      <c r="H248" s="4" t="n">
        <v>0</v>
      </c>
      <c r="I248" s="4" t="n">
        <v>0</v>
      </c>
      <c r="J248" s="4" t="n">
        <v>0</v>
      </c>
      <c r="K248" s="4" t="inlineStr">
        <is>
          <t>Historical signals: title/abstract/notes; full-text completion not independently established</t>
        </is>
      </c>
      <c r="L248" s="4" t="str"/>
      <c r="M248" s="4" t="inlineStr">
        <is>
          <t>https://doi.org/10.1007/s42979-023-02564-9</t>
        </is>
      </c>
      <c r="N248" s="4" t="n">
        <v>0</v>
      </c>
      <c r="O248" s="4" t="n">
        <v>0</v>
      </c>
      <c r="P248" s="4" t="n">
        <v>0</v>
      </c>
      <c r="Q248" s="12" t="n"/>
      <c r="R248" s="41" t="n"/>
      <c r="S248" s="4" t="inlineStr">
        <is>
          <t>0 = no reported evidence in material assessed; blank = not coded/unknown; neither proves absence</t>
        </is>
      </c>
      <c r="T248" s="4">
        <f>IF(COUNTIFS('ESTUDIOS'!$A$2:$A$455,$A248,'ESTUDIOS'!$I$2:$I$455,"")&gt;0,"",INDEX('ESTUDIOS'!$I$2:$I$455,MATCH($A248,'ESTUDIOS'!$A$2:$A$455,0)))</f>
        <v/>
      </c>
    </row>
    <row r="249" ht="86" customHeight="1">
      <c r="A249" s="4" t="inlineStr">
        <is>
          <t>269</t>
        </is>
      </c>
      <c r="B249" s="4" t="inlineStr">
        <is>
          <t>Historical</t>
        </is>
      </c>
      <c r="C249" s="4" t="inlineStr">
        <is>
          <t>Self-weighted adaptive structure learning for ASD diagnosis via multi-template multi-center representation</t>
        </is>
      </c>
      <c r="D249" s="4" t="n">
        <v>0</v>
      </c>
      <c r="E249" s="4" t="n">
        <v>1</v>
      </c>
      <c r="F249" s="4" t="n">
        <v>1</v>
      </c>
      <c r="G249" s="4" t="n">
        <v>0</v>
      </c>
      <c r="H249" s="4" t="n">
        <v>0</v>
      </c>
      <c r="I249" s="4" t="n">
        <v>0</v>
      </c>
      <c r="J249" s="4" t="n">
        <v>1</v>
      </c>
      <c r="K249" s="4" t="inlineStr">
        <is>
          <t>Historical signals: title/abstract/notes; full-text completion not independently established</t>
        </is>
      </c>
      <c r="L249" s="4" t="inlineStr">
        <is>
          <t>el algoritmo principal es SASL-E/SASL, no uno de tu lista</t>
        </is>
      </c>
      <c r="M249" s="4" t="inlineStr">
        <is>
          <t>https://doi.org/10.1016/j.media.2020.101662</t>
        </is>
      </c>
      <c r="N249" s="4" t="n">
        <v>0</v>
      </c>
      <c r="O249" s="4" t="n">
        <v>1</v>
      </c>
      <c r="P249" s="4" t="n">
        <v>0</v>
      </c>
      <c r="Q249" s="12" t="n"/>
      <c r="R249" s="41" t="n"/>
      <c r="S249" s="4" t="inlineStr">
        <is>
          <t>0 = no reported evidence in material assessed; blank = not coded/unknown; neither proves absence</t>
        </is>
      </c>
      <c r="T249" s="4">
        <f>IF(COUNTIFS('ESTUDIOS'!$A$2:$A$455,$A249,'ESTUDIOS'!$I$2:$I$455,"")&gt;0,"",INDEX('ESTUDIOS'!$I$2:$I$455,MATCH($A249,'ESTUDIOS'!$A$2:$A$455,0)))</f>
        <v/>
      </c>
    </row>
    <row r="250" ht="86" customHeight="1">
      <c r="A250" s="4" t="inlineStr">
        <is>
          <t>270</t>
        </is>
      </c>
      <c r="B250" s="4" t="inlineStr">
        <is>
          <t>Historical</t>
        </is>
      </c>
      <c r="C250" s="4" t="inlineStr">
        <is>
          <t>Smart bed based daytime behavior prediction in Children with autism spectrum disorder - A Pilot Study</t>
        </is>
      </c>
      <c r="D250" s="4" t="n">
        <v>0</v>
      </c>
      <c r="E250" s="4" t="n">
        <v>0</v>
      </c>
      <c r="F250" s="4" t="n">
        <v>0</v>
      </c>
      <c r="G250" s="4" t="n">
        <v>0</v>
      </c>
      <c r="H250" s="4" t="n">
        <v>0</v>
      </c>
      <c r="I250" s="4" t="n">
        <v>0</v>
      </c>
      <c r="J250" s="4" t="n">
        <v>0</v>
      </c>
      <c r="K250" s="4" t="inlineStr">
        <is>
          <t>Historical signals: title/abstract/notes; full-text completion not independently established</t>
        </is>
      </c>
      <c r="L250" s="4" t="inlineStr">
        <is>
          <t>Predice conducta diurna a partir de señales BCG de smart bed; SVM y ANN comparados.</t>
        </is>
      </c>
      <c r="M250" s="4" t="inlineStr">
        <is>
          <t>https://doi.org/10.1016/j.medengphy.2020.07.004</t>
        </is>
      </c>
      <c r="N250" s="4" t="n">
        <v>0</v>
      </c>
      <c r="O250" s="4" t="n">
        <v>0</v>
      </c>
      <c r="P250" s="4" t="n">
        <v>1</v>
      </c>
      <c r="Q250" s="12" t="n"/>
      <c r="R250" s="41" t="n"/>
      <c r="S250" s="4" t="inlineStr">
        <is>
          <t>0 = no reported evidence in material assessed; blank = not coded/unknown; neither proves absence</t>
        </is>
      </c>
      <c r="T250" s="4">
        <f>IF(COUNTIFS('ESTUDIOS'!$A$2:$A$455,$A250,'ESTUDIOS'!$I$2:$I$455,"")&gt;0,"",INDEX('ESTUDIOS'!$I$2:$I$455,MATCH($A250,'ESTUDIOS'!$A$2:$A$455,0)))</f>
        <v/>
      </c>
    </row>
    <row r="251" ht="86" customHeight="1">
      <c r="A251" s="4" t="inlineStr">
        <is>
          <t>272</t>
        </is>
      </c>
      <c r="B251" s="4" t="inlineStr">
        <is>
          <t>Historical</t>
        </is>
      </c>
      <c r="C251" s="4" t="inlineStr">
        <is>
          <t>Subtyping cognitive profiles in Autism Spectrum Disorder using a Functional Random Forest algorithm</t>
        </is>
      </c>
      <c r="D251" s="4" t="n">
        <v>0</v>
      </c>
      <c r="E251" s="4" t="n">
        <v>0</v>
      </c>
      <c r="F251" s="4" t="n">
        <v>0</v>
      </c>
      <c r="G251" s="4" t="n">
        <v>0</v>
      </c>
      <c r="H251" s="4" t="n">
        <v>0</v>
      </c>
      <c r="I251" s="4" t="n">
        <v>1</v>
      </c>
      <c r="J251" s="4" t="n">
        <v>1</v>
      </c>
      <c r="K251" s="4" t="inlineStr">
        <is>
          <t>Historical signals: title/abstract/notes; full-text completion not independently established</t>
        </is>
      </c>
      <c r="L251" s="4" t="inlineStr">
        <is>
          <t>Random forest funcional para matriz de proximidad y posterior detección de comunidades/cognitivos subtipos.</t>
        </is>
      </c>
      <c r="M251" s="4" t="inlineStr">
        <is>
          <t>https://doi.org/10.1016/j.neuroimage.2017.12.044</t>
        </is>
      </c>
      <c r="N251" s="4" t="n">
        <v>1</v>
      </c>
      <c r="O251" s="4" t="n">
        <v>1</v>
      </c>
      <c r="P251" s="4" t="n">
        <v>0</v>
      </c>
      <c r="Q251" s="12" t="n"/>
      <c r="R251" s="41" t="n"/>
      <c r="S251" s="4" t="inlineStr">
        <is>
          <t>0 = no reported evidence in material assessed; blank = not coded/unknown; neither proves absence</t>
        </is>
      </c>
      <c r="T251" s="4">
        <f>IF(COUNTIFS('ESTUDIOS'!$A$2:$A$455,$A251,'ESTUDIOS'!$I$2:$I$455,"")&gt;0,"",INDEX('ESTUDIOS'!$I$2:$I$455,MATCH($A251,'ESTUDIOS'!$A$2:$A$455,0)))</f>
        <v/>
      </c>
    </row>
    <row r="252" ht="86" customHeight="1">
      <c r="A252" s="4" t="inlineStr">
        <is>
          <t>273</t>
        </is>
      </c>
      <c r="B252" s="4" t="inlineStr">
        <is>
          <t>Historical</t>
        </is>
      </c>
      <c r="C252" s="4" t="inlineStr">
        <is>
          <t>Towards autism subtype detection through identification of discriminatory factors using machine learning</t>
        </is>
      </c>
      <c r="D252" s="4" t="n">
        <v>0</v>
      </c>
      <c r="E252" s="4" t="n">
        <v>0</v>
      </c>
      <c r="F252" s="4" t="n">
        <v>0</v>
      </c>
      <c r="G252" s="4" t="n">
        <v>0</v>
      </c>
      <c r="H252" s="4" t="n">
        <v>1</v>
      </c>
      <c r="I252" s="4" t="n">
        <v>0</v>
      </c>
      <c r="J252" s="4" t="n">
        <v>0</v>
      </c>
      <c r="K252" s="4" t="inlineStr">
        <is>
          <t>Historical signals: title/abstract/notes; full-text completion not independently established</t>
        </is>
      </c>
      <c r="L252" s="4" t="inlineStr">
        <is>
          <t>Genera subtipos con k-means a partir de Q-CHAT/AQ-10; clasificadores posteriores son secundarios.</t>
        </is>
      </c>
      <c r="M252" s="4" t="inlineStr">
        <is>
          <t>https://doi.org/10.1007/978-3-030-86993-9_36</t>
        </is>
      </c>
      <c r="N252" s="4" t="n">
        <v>1</v>
      </c>
      <c r="O252" s="4" t="n">
        <v>0</v>
      </c>
      <c r="P252" s="4" t="n">
        <v>0</v>
      </c>
      <c r="Q252" s="12" t="n"/>
      <c r="R252" s="41" t="n"/>
      <c r="S252" s="4" t="inlineStr">
        <is>
          <t>0 = no reported evidence in material assessed; blank = not coded/unknown; neither proves absence</t>
        </is>
      </c>
      <c r="T252" s="4">
        <f>IF(COUNTIFS('ESTUDIOS'!$A$2:$A$455,$A252,'ESTUDIOS'!$I$2:$I$455,"")&gt;0,"",INDEX('ESTUDIOS'!$I$2:$I$455,MATCH($A252,'ESTUDIOS'!$A$2:$A$455,0)))</f>
        <v/>
      </c>
    </row>
    <row r="253" ht="86" customHeight="1">
      <c r="A253" s="4" t="inlineStr">
        <is>
          <t>274</t>
        </is>
      </c>
      <c r="B253" s="4" t="inlineStr">
        <is>
          <t>Historical</t>
        </is>
      </c>
      <c r="C253" s="4" t="inlineStr">
        <is>
          <t>‘IoT and AI-Based Application for Automatic Interpretation of the Affective State of Children Diagnosed with Autism</t>
        </is>
      </c>
      <c r="D253" s="4" t="n">
        <v>0</v>
      </c>
      <c r="E253" s="4" t="n">
        <v>0</v>
      </c>
      <c r="F253" s="4" t="n">
        <v>0</v>
      </c>
      <c r="G253" s="4" t="n">
        <v>0</v>
      </c>
      <c r="H253" s="4" t="n">
        <v>0</v>
      </c>
      <c r="I253" s="4" t="n">
        <v>0</v>
      </c>
      <c r="J253" s="4" t="n">
        <v>0</v>
      </c>
      <c r="K253" s="4" t="inlineStr">
        <is>
          <t>Historical signals: title/abstract/notes; full-text completion not independently established</t>
        </is>
      </c>
      <c r="L253" s="4" t="str"/>
      <c r="M253" s="4" t="inlineStr">
        <is>
          <t>https://doi.org/10.3390/s22072528</t>
        </is>
      </c>
      <c r="N253" s="4" t="n">
        <v>0</v>
      </c>
      <c r="O253" s="4" t="n">
        <v>0</v>
      </c>
      <c r="P253" s="4" t="n">
        <v>0</v>
      </c>
      <c r="Q253" s="12" t="n"/>
      <c r="R253" s="41" t="n"/>
      <c r="S253" s="4" t="inlineStr">
        <is>
          <t>0 = no reported evidence in material assessed; blank = not coded/unknown; neither proves absence</t>
        </is>
      </c>
      <c r="T253" s="4">
        <f>IF(COUNTIFS('ESTUDIOS'!$A$2:$A$455,$A253,'ESTUDIOS'!$I$2:$I$455,"")&gt;0,"",INDEX('ESTUDIOS'!$I$2:$I$455,MATCH($A253,'ESTUDIOS'!$A$2:$A$455,0)))</f>
        <v/>
      </c>
    </row>
    <row r="254" ht="86" customHeight="1">
      <c r="A254" s="4" t="inlineStr">
        <is>
          <t>275</t>
        </is>
      </c>
      <c r="B254" s="4" t="inlineStr">
        <is>
          <t>Historical</t>
        </is>
      </c>
      <c r="C254" s="4" t="inlineStr">
        <is>
          <t>A Fusion-Based Machine Learning Approach for Autism Detection in Young Children Using Magnetoencephalography Signals</t>
        </is>
      </c>
      <c r="D254" s="4" t="n">
        <v>0</v>
      </c>
      <c r="E254" s="4" t="n">
        <v>0</v>
      </c>
      <c r="F254" s="4" t="n">
        <v>0</v>
      </c>
      <c r="G254" s="4" t="n">
        <v>0</v>
      </c>
      <c r="H254" s="4" t="n">
        <v>0</v>
      </c>
      <c r="I254" s="4" t="n">
        <v>0</v>
      </c>
      <c r="J254" s="4" t="n">
        <v>0</v>
      </c>
      <c r="K254" s="4" t="inlineStr">
        <is>
          <t>Historical signals: title/abstract/notes; full-text completion not independently established</t>
        </is>
      </c>
      <c r="L254" s="4" t="inlineStr">
        <is>
          <t>Aunque el paper enfatiza “young children” y “early markers”, el uso que reporta es clasificación ASD vs TD en una muestra ya diagnosticada; por eso “Diagnosis” es el mapeo más consistente con tus opciones.</t>
        </is>
      </c>
      <c r="M254" s="4" t="inlineStr">
        <is>
          <t>https://doi.org/10.1007/s10803-022-05767-w</t>
        </is>
      </c>
      <c r="N254" s="4" t="n">
        <v>0</v>
      </c>
      <c r="O254" s="4" t="n">
        <v>0</v>
      </c>
      <c r="P254" s="4" t="n">
        <v>1</v>
      </c>
      <c r="Q254" s="12" t="n"/>
      <c r="R254" s="41" t="n"/>
      <c r="S254" s="4" t="inlineStr">
        <is>
          <t>0 = no reported evidence in material assessed; blank = not coded/unknown; neither proves absence</t>
        </is>
      </c>
      <c r="T254" s="4">
        <f>IF(COUNTIFS('ESTUDIOS'!$A$2:$A$455,$A254,'ESTUDIOS'!$I$2:$I$455,"")&gt;0,"",INDEX('ESTUDIOS'!$I$2:$I$455,MATCH($A254,'ESTUDIOS'!$A$2:$A$455,0)))</f>
        <v/>
      </c>
    </row>
    <row r="255" ht="86" customHeight="1">
      <c r="A255" s="4" t="inlineStr">
        <is>
          <t>276</t>
        </is>
      </c>
      <c r="B255" s="4" t="inlineStr">
        <is>
          <t>Historical</t>
        </is>
      </c>
      <c r="C255" s="4" t="inlineStr">
        <is>
          <t>A situation-aware system for the detection of motion disorders of patients with Autism Spectrum Disorders</t>
        </is>
      </c>
      <c r="D255" s="4" t="n">
        <v>0</v>
      </c>
      <c r="E255" s="4" t="n">
        <v>0</v>
      </c>
      <c r="F255" s="4" t="n">
        <v>0</v>
      </c>
      <c r="G255" s="4" t="n">
        <v>0</v>
      </c>
      <c r="H255" s="4" t="n">
        <v>0</v>
      </c>
      <c r="I255" s="4" t="n">
        <v>0</v>
      </c>
      <c r="J255" s="4" t="n">
        <v>0</v>
      </c>
      <c r="K255" s="4" t="inlineStr">
        <is>
          <t>Historical signals: title/abstract/notes; full-text completion not independently established</t>
        </is>
      </c>
      <c r="L255" s="4" t="inlineStr">
        <is>
          <t>Algoritmo principal no explícito o fuera del codebook; Confirmar algoritmo principal en full-text</t>
        </is>
      </c>
      <c r="M255" s="4" t="inlineStr">
        <is>
          <t>https://doi.org/10.1016/j.eswa.2014.05.011</t>
        </is>
      </c>
      <c r="N255" s="4" t="n">
        <v>0</v>
      </c>
      <c r="O255" s="4" t="n">
        <v>0</v>
      </c>
      <c r="P255" s="4" t="n">
        <v>1</v>
      </c>
      <c r="Q255" s="12" t="n"/>
      <c r="R255" s="41" t="n"/>
      <c r="S255" s="4" t="inlineStr">
        <is>
          <t>0 = no reported evidence in material assessed; blank = not coded/unknown; neither proves absence</t>
        </is>
      </c>
      <c r="T255" s="4">
        <f>IF(COUNTIFS('ESTUDIOS'!$A$2:$A$455,$A255,'ESTUDIOS'!$I$2:$I$455,"")&gt;0,"",INDEX('ESTUDIOS'!$I$2:$I$455,MATCH($A255,'ESTUDIOS'!$A$2:$A$455,0)))</f>
        <v/>
      </c>
    </row>
    <row r="256" ht="86" customHeight="1">
      <c r="A256" s="4" t="inlineStr">
        <is>
          <t>277</t>
        </is>
      </c>
      <c r="B256" s="4" t="inlineStr">
        <is>
          <t>Historical</t>
        </is>
      </c>
      <c r="C256" s="4" t="inlineStr">
        <is>
          <t>Accurate corresponding fiber tract segmentation via FiberGeoMap learner with application to autism</t>
        </is>
      </c>
      <c r="D256" s="4" t="n">
        <v>0</v>
      </c>
      <c r="E256" s="4" t="n">
        <v>0</v>
      </c>
      <c r="F256" s="4" t="n">
        <v>0</v>
      </c>
      <c r="G256" s="4" t="n">
        <v>0</v>
      </c>
      <c r="H256" s="4" t="n">
        <v>0</v>
      </c>
      <c r="I256" s="4" t="n">
        <v>0</v>
      </c>
      <c r="J256" s="4" t="n">
        <v>0</v>
      </c>
      <c r="K256" s="4" t="inlineStr">
        <is>
          <t>Historical signals: title/abstract/notes; full-text completion not independently established</t>
        </is>
      </c>
      <c r="L256" s="4" t="inlineStr">
        <is>
          <t>Segmentación de tractos de difusión; algoritmo FiberGeoMap fuera del codebook.</t>
        </is>
      </c>
      <c r="M256" s="4" t="inlineStr">
        <is>
          <t>https://doi.org/10.1093/cercor/bhad125</t>
        </is>
      </c>
      <c r="N256" s="4" t="n">
        <v>0</v>
      </c>
      <c r="O256" s="4" t="n">
        <v>0</v>
      </c>
      <c r="P256" s="4" t="n">
        <v>1</v>
      </c>
      <c r="Q256" s="12" t="n"/>
      <c r="R256" s="41" t="n"/>
      <c r="S256" s="4" t="inlineStr">
        <is>
          <t>0 = no reported evidence in material assessed; blank = not coded/unknown; neither proves absence</t>
        </is>
      </c>
      <c r="T256" s="4">
        <f>IF(COUNTIFS('ESTUDIOS'!$A$2:$A$455,$A256,'ESTUDIOS'!$I$2:$I$455,"")&gt;0,"",INDEX('ESTUDIOS'!$I$2:$I$455,MATCH($A256,'ESTUDIOS'!$A$2:$A$455,0)))</f>
        <v/>
      </c>
    </row>
    <row r="257" ht="86" customHeight="1">
      <c r="A257" s="4" t="inlineStr">
        <is>
          <t>278</t>
        </is>
      </c>
      <c r="B257" s="4" t="inlineStr">
        <is>
          <t>Historical</t>
        </is>
      </c>
      <c r="C257" s="4" t="inlineStr">
        <is>
          <t>Autism risk classification using placental chorionic surface vascular network features</t>
        </is>
      </c>
      <c r="D257" s="4" t="n">
        <v>0</v>
      </c>
      <c r="E257" s="4" t="n">
        <v>0</v>
      </c>
      <c r="F257" s="4" t="n">
        <v>0</v>
      </c>
      <c r="G257" s="4" t="n">
        <v>0</v>
      </c>
      <c r="H257" s="4" t="n">
        <v>0</v>
      </c>
      <c r="I257" s="4" t="n">
        <v>0</v>
      </c>
      <c r="J257" s="4" t="n">
        <v>0</v>
      </c>
      <c r="K257" s="4" t="inlineStr">
        <is>
          <t>Historical signals: title/abstract/notes; full-text completion not independently established</t>
        </is>
      </c>
      <c r="L257" s="4" t="str"/>
      <c r="M257" s="4" t="inlineStr">
        <is>
          <t>https://doi.org/10.1186/s12911-017-0564-8</t>
        </is>
      </c>
      <c r="N257" s="4" t="n">
        <v>0</v>
      </c>
      <c r="O257" s="4" t="n">
        <v>0</v>
      </c>
      <c r="P257" s="4" t="n">
        <v>0</v>
      </c>
      <c r="Q257" s="12" t="n"/>
      <c r="R257" s="41" t="n"/>
      <c r="S257" s="4" t="inlineStr">
        <is>
          <t>0 = no reported evidence in material assessed; blank = not coded/unknown; neither proves absence</t>
        </is>
      </c>
      <c r="T257" s="4">
        <f>IF(COUNTIFS('ESTUDIOS'!$A$2:$A$455,$A257,'ESTUDIOS'!$I$2:$I$455,"")&gt;0,"",INDEX('ESTUDIOS'!$I$2:$I$455,MATCH($A257,'ESTUDIOS'!$A$2:$A$455,0)))</f>
        <v/>
      </c>
    </row>
    <row r="258" ht="86" customHeight="1">
      <c r="A258" s="4" t="inlineStr">
        <is>
          <t>279</t>
        </is>
      </c>
      <c r="B258" s="4" t="inlineStr">
        <is>
          <t>Historical</t>
        </is>
      </c>
      <c r="C258" s="4" t="inlineStr">
        <is>
          <t>Autism spectrum disorder detection using sequential minimal optimization-support vector machine hybrid classifier according to history of jaundice and family autism in children</t>
        </is>
      </c>
      <c r="D258" s="4" t="n">
        <v>0</v>
      </c>
      <c r="E258" s="4" t="n">
        <v>0</v>
      </c>
      <c r="F258" s="4" t="n">
        <v>0</v>
      </c>
      <c r="G258" s="4" t="n">
        <v>0</v>
      </c>
      <c r="H258" s="4" t="n">
        <v>0</v>
      </c>
      <c r="I258" s="4" t="n">
        <v>0</v>
      </c>
      <c r="J258" s="4" t="n">
        <v>0</v>
      </c>
      <c r="K258" s="4" t="inlineStr">
        <is>
          <t>Historical signals: title/abstract/notes; full-text completion not independently established</t>
        </is>
      </c>
      <c r="L258" s="4" t="str"/>
      <c r="M258" s="4" t="inlineStr">
        <is>
          <t>https://doi.org/10.1002/cpe.6498</t>
        </is>
      </c>
      <c r="N258" s="4" t="n">
        <v>0</v>
      </c>
      <c r="O258" s="4" t="n">
        <v>0</v>
      </c>
      <c r="P258" s="4" t="n">
        <v>0</v>
      </c>
      <c r="Q258" s="12" t="n"/>
      <c r="R258" s="41" t="n"/>
      <c r="S258" s="4" t="inlineStr">
        <is>
          <t>0 = no reported evidence in material assessed; blank = not coded/unknown; neither proves absence</t>
        </is>
      </c>
      <c r="T258" s="4">
        <f>IF(COUNTIFS('ESTUDIOS'!$A$2:$A$455,$A258,'ESTUDIOS'!$I$2:$I$455,"")&gt;0,"",INDEX('ESTUDIOS'!$I$2:$I$455,MATCH($A258,'ESTUDIOS'!$A$2:$A$455,0)))</f>
        <v/>
      </c>
    </row>
    <row r="259" ht="86" customHeight="1">
      <c r="A259" s="4" t="inlineStr">
        <is>
          <t>280</t>
        </is>
      </c>
      <c r="B259" s="4" t="inlineStr">
        <is>
          <t>Historical</t>
        </is>
      </c>
      <c r="C259" s="4" t="inlineStr">
        <is>
          <t>Classification of autism based on short-term spontaneous hemodynamic fluctuations using an adaptive graph neural network</t>
        </is>
      </c>
      <c r="D259" s="4" t="n">
        <v>0</v>
      </c>
      <c r="E259" s="4" t="n">
        <v>0</v>
      </c>
      <c r="F259" s="4" t="n">
        <v>0</v>
      </c>
      <c r="G259" s="4" t="n">
        <v>0</v>
      </c>
      <c r="H259" s="4" t="n">
        <v>0</v>
      </c>
      <c r="I259" s="4" t="n">
        <v>0</v>
      </c>
      <c r="J259" s="4" t="n">
        <v>1</v>
      </c>
      <c r="K259" s="4" t="inlineStr">
        <is>
          <t>Historical signals: title/abstract/notes; full-text completion not independently established</t>
        </is>
      </c>
      <c r="L259" s="4" t="inlineStr">
        <is>
          <t>Algoritmo principal no explícito o fuera del codebook; Confirmar algoritmo principal en full-text; Se comparan varios modelos; se eligió el principal/mejor reportado</t>
        </is>
      </c>
      <c r="M259" s="4" t="inlineStr">
        <is>
          <t>https://doi.org/10.1016/j.jneumeth.2023.109901</t>
        </is>
      </c>
      <c r="N259" s="4" t="n">
        <v>0</v>
      </c>
      <c r="O259" s="4" t="n">
        <v>1</v>
      </c>
      <c r="P259" s="4" t="n">
        <v>1</v>
      </c>
      <c r="Q259" s="12" t="n"/>
      <c r="R259" s="41" t="n"/>
      <c r="S259" s="4" t="inlineStr">
        <is>
          <t>0 = no reported evidence in material assessed; blank = not coded/unknown; neither proves absence</t>
        </is>
      </c>
      <c r="T259" s="4">
        <f>IF(COUNTIFS('ESTUDIOS'!$A$2:$A$455,$A259,'ESTUDIOS'!$I$2:$I$455,"")&gt;0,"",INDEX('ESTUDIOS'!$I$2:$I$455,MATCH($A259,'ESTUDIOS'!$A$2:$A$455,0)))</f>
        <v/>
      </c>
    </row>
    <row r="260" ht="86" customHeight="1">
      <c r="A260" s="4" t="inlineStr">
        <is>
          <t>281</t>
        </is>
      </c>
      <c r="B260" s="4" t="inlineStr">
        <is>
          <t>Historical</t>
        </is>
      </c>
      <c r="C260" s="4" t="inlineStr">
        <is>
          <t>Deep Mobile Linguistic Therapy for Patients with ASD</t>
        </is>
      </c>
      <c r="D260" s="4" t="n">
        <v>0</v>
      </c>
      <c r="E260" s="4" t="n">
        <v>0</v>
      </c>
      <c r="F260" s="4" t="n">
        <v>0</v>
      </c>
      <c r="G260" s="4" t="n">
        <v>0</v>
      </c>
      <c r="H260" s="4" t="n">
        <v>0</v>
      </c>
      <c r="I260" s="4" t="n">
        <v>0</v>
      </c>
      <c r="J260" s="4" t="n">
        <v>0</v>
      </c>
      <c r="K260" s="4" t="inlineStr">
        <is>
          <t>Historical signals: title/abstract/notes; full-text completion not independently established</t>
        </is>
      </c>
      <c r="L260" s="4" t="inlineStr">
        <is>
          <t>Sistema de terapia lingüística móvil; no corresponde a una tarea diagnóstica clásica.</t>
        </is>
      </c>
      <c r="M260" s="4" t="inlineStr">
        <is>
          <t>https://doi.org/10.3390/ijerph191912857</t>
        </is>
      </c>
      <c r="N260" s="4" t="n">
        <v>0</v>
      </c>
      <c r="O260" s="4" t="n">
        <v>0</v>
      </c>
      <c r="P260" s="4" t="n">
        <v>1</v>
      </c>
      <c r="Q260" s="12" t="n"/>
      <c r="R260" s="41" t="n"/>
      <c r="S260" s="4" t="inlineStr">
        <is>
          <t>0 = no reported evidence in material assessed; blank = not coded/unknown; neither proves absence</t>
        </is>
      </c>
      <c r="T260" s="4">
        <f>IF(COUNTIFS('ESTUDIOS'!$A$2:$A$455,$A260,'ESTUDIOS'!$I$2:$I$455,"")&gt;0,"",INDEX('ESTUDIOS'!$I$2:$I$455,MATCH($A260,'ESTUDIOS'!$A$2:$A$455,0)))</f>
        <v/>
      </c>
    </row>
    <row r="261" ht="86" customHeight="1">
      <c r="A261" s="4" t="inlineStr">
        <is>
          <t>282</t>
        </is>
      </c>
      <c r="B261" s="4" t="inlineStr">
        <is>
          <t>Historical</t>
        </is>
      </c>
      <c r="C261" s="4" t="inlineStr">
        <is>
          <t>DeepASDPred: a CNN-LSTM-based deep learning method for Autism spectrum disorders risk RNA identification</t>
        </is>
      </c>
      <c r="D261" s="4" t="n">
        <v>0</v>
      </c>
      <c r="E261" s="4" t="n">
        <v>0</v>
      </c>
      <c r="F261" s="4" t="n">
        <v>0</v>
      </c>
      <c r="G261" s="4" t="n">
        <v>0</v>
      </c>
      <c r="H261" s="4" t="n">
        <v>0</v>
      </c>
      <c r="I261" s="4" t="n">
        <v>0</v>
      </c>
      <c r="J261" s="4" t="n">
        <v>0</v>
      </c>
      <c r="K261" s="4" t="inlineStr">
        <is>
          <t>Historical signals: title/abstract/notes; full-text completion not independently established</t>
        </is>
      </c>
      <c r="L261" s="4" t="inlineStr">
        <is>
          <t>Recodificado desde texto completo: secuencia de RNA y expresión génica; identificación etiológica de RNA/genes de riesgo, no prescreening clínico.</t>
        </is>
      </c>
      <c r="M261" s="4" t="inlineStr">
        <is>
          <t>https://doi.org/10.1186/s12859-023-05378-x</t>
        </is>
      </c>
      <c r="N261" s="4" t="n">
        <v>0</v>
      </c>
      <c r="O261" s="4" t="n">
        <v>0</v>
      </c>
      <c r="P261" s="4" t="n">
        <v>0</v>
      </c>
      <c r="Q261" s="12" t="n"/>
      <c r="R261" s="41" t="n"/>
      <c r="S261" s="4" t="inlineStr">
        <is>
          <t>0 = no reported evidence in material assessed; blank = not coded/unknown; neither proves absence</t>
        </is>
      </c>
      <c r="T261" s="4">
        <f>IF(COUNTIFS('ESTUDIOS'!$A$2:$A$455,$A261,'ESTUDIOS'!$I$2:$I$455,"")&gt;0,"",INDEX('ESTUDIOS'!$I$2:$I$455,MATCH($A261,'ESTUDIOS'!$A$2:$A$455,0)))</f>
        <v/>
      </c>
    </row>
    <row r="262" ht="86" customHeight="1">
      <c r="A262" s="4" t="inlineStr">
        <is>
          <t>283</t>
        </is>
      </c>
      <c r="B262" s="4" t="inlineStr">
        <is>
          <t>Historical</t>
        </is>
      </c>
      <c r="C262" s="4" t="inlineStr">
        <is>
          <t>Employing Machine Learning-Based Predictive Analytical Approaches to Classify Autism Spectrum Disorder Types</t>
        </is>
      </c>
      <c r="D262" s="4" t="n">
        <v>0</v>
      </c>
      <c r="E262" s="4" t="n">
        <v>0</v>
      </c>
      <c r="F262" s="4" t="n">
        <v>0</v>
      </c>
      <c r="G262" s="4" t="n">
        <v>0</v>
      </c>
      <c r="H262" s="4" t="n">
        <v>0</v>
      </c>
      <c r="I262" s="4" t="n">
        <v>0</v>
      </c>
      <c r="J262" s="4" t="n">
        <v>0</v>
      </c>
      <c r="K262" s="4" t="inlineStr">
        <is>
          <t>Historical signals: title/abstract/notes; full-text completion not independently established</t>
        </is>
      </c>
      <c r="L262" s="4" t="inlineStr">
        <is>
          <t xml:space="preserve">No es “ASD vs TD” puro; es clasificación de severidad (incluye “No ASD” + Levels 1–3). Si tu análisis separa “diagnosis binaria” vs “severity”, aquí conviene anotarlo. </t>
        </is>
      </c>
      <c r="M262" s="4" t="inlineStr">
        <is>
          <t>https://doi.org/10.1155/2022/8134018</t>
        </is>
      </c>
      <c r="N262" s="4" t="n">
        <v>0</v>
      </c>
      <c r="O262" s="4" t="n">
        <v>0</v>
      </c>
      <c r="P262" s="4" t="n">
        <v>0</v>
      </c>
      <c r="Q262" s="12" t="n"/>
      <c r="R262" s="41" t="n"/>
      <c r="S262" s="4" t="inlineStr">
        <is>
          <t>0 = no reported evidence in material assessed; blank = not coded/unknown; neither proves absence</t>
        </is>
      </c>
      <c r="T262" s="4">
        <f>IF(COUNTIFS('ESTUDIOS'!$A$2:$A$455,$A262,'ESTUDIOS'!$I$2:$I$455,"")&gt;0,"",INDEX('ESTUDIOS'!$I$2:$I$455,MATCH($A262,'ESTUDIOS'!$A$2:$A$455,0)))</f>
        <v/>
      </c>
    </row>
    <row r="263" ht="86" customHeight="1">
      <c r="A263" s="4" t="inlineStr">
        <is>
          <t>284</t>
        </is>
      </c>
      <c r="B263" s="4" t="inlineStr">
        <is>
          <t>Historical</t>
        </is>
      </c>
      <c r="C263" s="4" t="inlineStr">
        <is>
          <t>Exploration of Autism Spectrum Disorder using Classification Algorithms</t>
        </is>
      </c>
      <c r="D263" s="4" t="n">
        <v>0</v>
      </c>
      <c r="E263" s="4" t="n">
        <v>0</v>
      </c>
      <c r="F263" s="4" t="n">
        <v>0</v>
      </c>
      <c r="G263" s="4" t="n">
        <v>0</v>
      </c>
      <c r="H263" s="4" t="n">
        <v>0</v>
      </c>
      <c r="I263" s="4" t="n">
        <v>0</v>
      </c>
      <c r="J263" s="4" t="n">
        <v>0</v>
      </c>
      <c r="K263" s="4" t="inlineStr">
        <is>
          <t>Historical signals: title/abstract/notes; full-text completion not independently established</t>
        </is>
      </c>
      <c r="L263" s="4" t="inlineStr">
        <is>
          <t>Es un paper comparativo (Naive Bayes, Decision Table, SVM). Aunque SVM es “best” según su texto, también reportan desempeño perfecto para otro método en su tabla; si tu Excel exige un solo “main”, SVM es defendible solo con esa frase de “best”</t>
        </is>
      </c>
      <c r="M263" s="4" t="inlineStr">
        <is>
          <t>https://doi.org/10.1016/j.procs.2020.01.098</t>
        </is>
      </c>
      <c r="N263" s="4" t="n">
        <v>0</v>
      </c>
      <c r="O263" s="4" t="n">
        <v>0</v>
      </c>
      <c r="P263" s="4" t="n">
        <v>1</v>
      </c>
      <c r="Q263" s="12" t="n"/>
      <c r="R263" s="41" t="n"/>
      <c r="S263" s="4" t="inlineStr">
        <is>
          <t>0 = no reported evidence in material assessed; blank = not coded/unknown; neither proves absence</t>
        </is>
      </c>
      <c r="T263" s="4">
        <f>IF(COUNTIFS('ESTUDIOS'!$A$2:$A$455,$A263,'ESTUDIOS'!$I$2:$I$455,"")&gt;0,"",INDEX('ESTUDIOS'!$I$2:$I$455,MATCH($A263,'ESTUDIOS'!$A$2:$A$455,0)))</f>
        <v/>
      </c>
    </row>
    <row r="264" ht="86" customHeight="1">
      <c r="A264" s="4" t="inlineStr">
        <is>
          <t>285</t>
        </is>
      </c>
      <c r="B264" s="4" t="inlineStr">
        <is>
          <t>Historical</t>
        </is>
      </c>
      <c r="C264" s="4" t="inlineStr">
        <is>
          <t>Exploring pesticide risk in autism via integrative machine learning and network toxicology</t>
        </is>
      </c>
      <c r="D264" s="4" t="n">
        <v>0</v>
      </c>
      <c r="E264" s="4" t="n">
        <v>0</v>
      </c>
      <c r="F264" s="4" t="n">
        <v>0</v>
      </c>
      <c r="G264" s="4" t="n">
        <v>0</v>
      </c>
      <c r="H264" s="4" t="n">
        <v>0</v>
      </c>
      <c r="I264" s="4" t="n">
        <v>0</v>
      </c>
      <c r="J264" s="4" t="n">
        <v>0</v>
      </c>
      <c r="K264" s="4" t="inlineStr">
        <is>
          <t>Historical signals: title/abstract/notes; full-text completion not independently established</t>
        </is>
      </c>
      <c r="L264" s="4" t="inlineStr">
        <is>
          <t>La ML se usa como parte de un pipeline mecanístico: LASSO para seleccionar targets (“Using the LASSO algorithm, 23 key targets…”) y luego selección final por desempeño (“SGD model… best predictive performance… 20 features”)</t>
        </is>
      </c>
      <c r="M264" s="4" t="inlineStr">
        <is>
          <t>https://doi.org/10.1016/j.ecoenv.2025.118233</t>
        </is>
      </c>
      <c r="N264" s="4" t="n">
        <v>0</v>
      </c>
      <c r="O264" s="4" t="n">
        <v>0</v>
      </c>
      <c r="P264" s="4" t="n">
        <v>0</v>
      </c>
      <c r="Q264" s="12" t="n"/>
      <c r="R264" s="41" t="n"/>
      <c r="S264" s="4" t="inlineStr">
        <is>
          <t>0 = no reported evidence in material assessed; blank = not coded/unknown; neither proves absence</t>
        </is>
      </c>
      <c r="T264" s="4">
        <f>IF(COUNTIFS('ESTUDIOS'!$A$2:$A$455,$A264,'ESTUDIOS'!$I$2:$I$455,"")&gt;0,"",INDEX('ESTUDIOS'!$I$2:$I$455,MATCH($A264,'ESTUDIOS'!$A$2:$A$455,0)))</f>
        <v/>
      </c>
    </row>
    <row r="265" ht="86" customHeight="1">
      <c r="A265" s="4" t="inlineStr">
        <is>
          <t>286</t>
        </is>
      </c>
      <c r="B265" s="4" t="inlineStr">
        <is>
          <t>Historical</t>
        </is>
      </c>
      <c r="C265" s="4" t="inlineStr">
        <is>
          <t>Feedback Artificial Tree-Anti Corona Virus Optimization enabled deep learning for detecting autism spectrum disorder</t>
        </is>
      </c>
      <c r="D265" s="4" t="n">
        <v>0</v>
      </c>
      <c r="E265" s="4" t="n">
        <v>1</v>
      </c>
      <c r="F265" s="4" t="n">
        <v>0</v>
      </c>
      <c r="G265" s="4" t="n">
        <v>0</v>
      </c>
      <c r="H265" s="4" t="n">
        <v>0</v>
      </c>
      <c r="I265" s="4" t="n">
        <v>0</v>
      </c>
      <c r="J265" s="4" t="n">
        <v>0</v>
      </c>
      <c r="K265" s="4" t="inlineStr">
        <is>
          <t>Historical signals: title/abstract/notes; full-text completion not independently established</t>
        </is>
      </c>
      <c r="L265" s="4" t="inlineStr">
        <is>
          <t>fMRI con ROI extraction + deep residual network optimizada; se codifica CNN/DRN como algoritmo principal.</t>
        </is>
      </c>
      <c r="M265" s="4" t="inlineStr">
        <is>
          <t>https://doi.org/10.1111/exsy.13040</t>
        </is>
      </c>
      <c r="N265" s="4" t="n">
        <v>0</v>
      </c>
      <c r="O265" s="4" t="n">
        <v>0</v>
      </c>
      <c r="P265" s="4" t="n">
        <v>1</v>
      </c>
      <c r="Q265" s="12" t="n"/>
      <c r="R265" s="41" t="n"/>
      <c r="S265" s="4" t="inlineStr">
        <is>
          <t>0 = no reported evidence in material assessed; blank = not coded/unknown; neither proves absence</t>
        </is>
      </c>
      <c r="T265" s="4">
        <f>IF(COUNTIFS('ESTUDIOS'!$A$2:$A$455,$A265,'ESTUDIOS'!$I$2:$I$455,"")&gt;0,"",INDEX('ESTUDIOS'!$I$2:$I$455,MATCH($A265,'ESTUDIOS'!$A$2:$A$455,0)))</f>
        <v/>
      </c>
    </row>
    <row r="266" ht="86" customHeight="1">
      <c r="A266" s="4" t="inlineStr">
        <is>
          <t>287</t>
        </is>
      </c>
      <c r="B266" s="4" t="inlineStr">
        <is>
          <t>Historical</t>
        </is>
      </c>
      <c r="C266" s="4" t="inlineStr">
        <is>
          <t>Forecasting risk gene discovery in autism with machine learning and genome-scale data</t>
        </is>
      </c>
      <c r="D266" s="4" t="n">
        <v>1</v>
      </c>
      <c r="E266" s="4" t="n">
        <v>0</v>
      </c>
      <c r="F266" s="4" t="n">
        <v>0</v>
      </c>
      <c r="G266" s="4" t="n">
        <v>0</v>
      </c>
      <c r="H266" s="4" t="n">
        <v>0</v>
      </c>
      <c r="I266" s="4" t="n">
        <v>0</v>
      </c>
      <c r="J266" s="4" t="n">
        <v>1</v>
      </c>
      <c r="K266" s="4" t="inlineStr">
        <is>
          <t>Historical signals: title/abstract/notes; full-text completion not independently established</t>
        </is>
      </c>
      <c r="L266" s="4" t="inlineStr">
        <is>
          <t>Algoritmo principal no explícito o fuera del codebook; Confirmar algoritmo principal en full-text</t>
        </is>
      </c>
      <c r="M266" s="4" t="inlineStr">
        <is>
          <t>https://doi.org/10.1038/s41598-020-61288-5</t>
        </is>
      </c>
      <c r="N266" s="4" t="n">
        <v>0</v>
      </c>
      <c r="O266" s="4" t="n">
        <v>1</v>
      </c>
      <c r="P266" s="4" t="n">
        <v>1</v>
      </c>
      <c r="Q266" s="12" t="n"/>
      <c r="R266" s="41" t="n"/>
      <c r="S266" s="4" t="inlineStr">
        <is>
          <t>0 = no reported evidence in material assessed; blank = not coded/unknown; neither proves absence</t>
        </is>
      </c>
      <c r="T266" s="4">
        <f>IF(COUNTIFS('ESTUDIOS'!$A$2:$A$455,$A266,'ESTUDIOS'!$I$2:$I$455,"")&gt;0,"",INDEX('ESTUDIOS'!$I$2:$I$455,MATCH($A266,'ESTUDIOS'!$A$2:$A$455,0)))</f>
        <v/>
      </c>
    </row>
    <row r="267" ht="86" customHeight="1">
      <c r="A267" s="4" t="inlineStr">
        <is>
          <t>288</t>
        </is>
      </c>
      <c r="B267" s="4" t="inlineStr">
        <is>
          <t>Historical</t>
        </is>
      </c>
      <c r="C267" s="4" t="inlineStr">
        <is>
          <t>Identifying Autism with Head Movement Features by Implementing Machine Learning Algorithms</t>
        </is>
      </c>
      <c r="D267" s="4" t="n">
        <v>0</v>
      </c>
      <c r="E267" s="4" t="n">
        <v>0</v>
      </c>
      <c r="F267" s="4" t="n">
        <v>0</v>
      </c>
      <c r="G267" s="4" t="n">
        <v>0</v>
      </c>
      <c r="H267" s="4" t="n">
        <v>0</v>
      </c>
      <c r="I267" s="4" t="n">
        <v>0</v>
      </c>
      <c r="J267" s="4" t="n">
        <v>0</v>
      </c>
      <c r="K267" s="4" t="inlineStr">
        <is>
          <t>Historical signals: title/abstract/notes; full-text completion not independently established</t>
        </is>
      </c>
      <c r="L267" s="4" t="inlineStr">
        <is>
          <t>Algoritmo principal no explícito o fuera del codebook; Confirmar algoritmo principal en full-text</t>
        </is>
      </c>
      <c r="M267" s="4" t="inlineStr">
        <is>
          <t>https://doi.org/10.1007/s10803-021-05179-2</t>
        </is>
      </c>
      <c r="N267" s="4" t="n">
        <v>0</v>
      </c>
      <c r="O267" s="4" t="n">
        <v>0</v>
      </c>
      <c r="P267" s="4" t="n">
        <v>1</v>
      </c>
      <c r="Q267" s="12" t="n"/>
      <c r="R267" s="41" t="n"/>
      <c r="S267" s="4" t="inlineStr">
        <is>
          <t>0 = no reported evidence in material assessed; blank = not coded/unknown; neither proves absence</t>
        </is>
      </c>
      <c r="T267" s="4">
        <f>IF(COUNTIFS('ESTUDIOS'!$A$2:$A$455,$A267,'ESTUDIOS'!$I$2:$I$455,"")&gt;0,"",INDEX('ESTUDIOS'!$I$2:$I$455,MATCH($A267,'ESTUDIOS'!$A$2:$A$455,0)))</f>
        <v/>
      </c>
    </row>
    <row r="268" ht="86" customHeight="1">
      <c r="A268" s="4" t="inlineStr">
        <is>
          <t>289</t>
        </is>
      </c>
      <c r="B268" s="4" t="inlineStr">
        <is>
          <t>Historical</t>
        </is>
      </c>
      <c r="C268" s="4" t="inlineStr">
        <is>
          <t>Increased serum levels of macrophage migration inhibitory factor in autism spectrum disorders</t>
        </is>
      </c>
      <c r="D268" s="4" t="n">
        <v>0</v>
      </c>
      <c r="E268" s="4" t="n">
        <v>0</v>
      </c>
      <c r="F268" s="4" t="n">
        <v>0</v>
      </c>
      <c r="G268" s="4" t="n">
        <v>0</v>
      </c>
      <c r="H268" s="4" t="n">
        <v>0</v>
      </c>
      <c r="I268" s="4" t="n">
        <v>0</v>
      </c>
      <c r="J268" s="4" t="n">
        <v>0</v>
      </c>
      <c r="K268" s="4" t="inlineStr">
        <is>
          <t>Historical signals: title/abstract/notes; full-text completion not independently established</t>
        </is>
      </c>
      <c r="L268" s="4" t="inlineStr">
        <is>
          <t>Etapa clínica no clara</t>
        </is>
      </c>
      <c r="M268" s="4" t="inlineStr">
        <is>
          <t>https://doi.org/10.1016/j.neuro.2018.11.015</t>
        </is>
      </c>
      <c r="N268" s="4" t="n">
        <v>0</v>
      </c>
      <c r="O268" s="4" t="n">
        <v>0</v>
      </c>
      <c r="P268" s="4" t="n">
        <v>1</v>
      </c>
      <c r="Q268" s="12" t="n"/>
      <c r="R268" s="41" t="n"/>
      <c r="S268" s="4" t="inlineStr">
        <is>
          <t>0 = no reported evidence in material assessed; blank = not coded/unknown; neither proves absence</t>
        </is>
      </c>
      <c r="T268" s="4">
        <f>IF(COUNTIFS('ESTUDIOS'!$A$2:$A$455,$A268,'ESTUDIOS'!$I$2:$I$455,"")&gt;0,"",INDEX('ESTUDIOS'!$I$2:$I$455,MATCH($A268,'ESTUDIOS'!$A$2:$A$455,0)))</f>
        <v/>
      </c>
    </row>
    <row r="269" ht="86" customHeight="1">
      <c r="A269" s="4" t="inlineStr">
        <is>
          <t>290</t>
        </is>
      </c>
      <c r="B269" s="4" t="inlineStr">
        <is>
          <t>Historical</t>
        </is>
      </c>
      <c r="C269" s="4" t="inlineStr">
        <is>
          <t>Machine Learning and Structural Dynamics-Based Approach to Reveal Molecular Mechanism of PTEN Missense Mutations Shared by Cancer and Autism Spectrum Disorder</t>
        </is>
      </c>
      <c r="D269" s="4" t="n">
        <v>0</v>
      </c>
      <c r="E269" s="4" t="n">
        <v>0</v>
      </c>
      <c r="F269" s="4" t="n">
        <v>0</v>
      </c>
      <c r="G269" s="4" t="n">
        <v>0</v>
      </c>
      <c r="H269" s="4" t="n">
        <v>1</v>
      </c>
      <c r="I269" s="4" t="n">
        <v>0</v>
      </c>
      <c r="J269" s="4" t="n">
        <v>1</v>
      </c>
      <c r="K269" s="4" t="inlineStr">
        <is>
          <t>Historical signals: title/abstract/notes; full-text completion not independently established</t>
        </is>
      </c>
      <c r="L269" s="4" t="str"/>
      <c r="M269" s="4" t="inlineStr">
        <is>
          <t>https://doi.org/10.1021/acs.jcim.5c00134</t>
        </is>
      </c>
      <c r="N269" s="4" t="n">
        <v>1</v>
      </c>
      <c r="O269" s="4" t="n">
        <v>1</v>
      </c>
      <c r="P269" s="4" t="n">
        <v>0</v>
      </c>
      <c r="Q269" s="12" t="n"/>
      <c r="R269" s="41" t="n"/>
      <c r="S269" s="4" t="inlineStr">
        <is>
          <t>0 = no reported evidence in material assessed; blank = not coded/unknown; neither proves absence</t>
        </is>
      </c>
      <c r="T269" s="4">
        <f>IF(COUNTIFS('ESTUDIOS'!$A$2:$A$455,$A269,'ESTUDIOS'!$I$2:$I$455,"")&gt;0,"",INDEX('ESTUDIOS'!$I$2:$I$455,MATCH($A269,'ESTUDIOS'!$A$2:$A$455,0)))</f>
        <v/>
      </c>
    </row>
    <row r="270" ht="86" customHeight="1">
      <c r="A270" s="4" t="inlineStr">
        <is>
          <t>291</t>
        </is>
      </c>
      <c r="B270" s="4" t="inlineStr">
        <is>
          <t>Historical</t>
        </is>
      </c>
      <c r="C270" s="4" t="inlineStr">
        <is>
          <t>MCDGLN: Masked connection-based dynamic graph learning network for autism spectrum disorder</t>
        </is>
      </c>
      <c r="D270" s="4" t="n">
        <v>0</v>
      </c>
      <c r="E270" s="4" t="n">
        <v>1</v>
      </c>
      <c r="F270" s="4" t="n">
        <v>0</v>
      </c>
      <c r="G270" s="4" t="n">
        <v>0</v>
      </c>
      <c r="H270" s="4" t="n">
        <v>0</v>
      </c>
      <c r="I270" s="4" t="n">
        <v>0</v>
      </c>
      <c r="J270" s="4" t="n">
        <v>0</v>
      </c>
      <c r="K270" s="4" t="inlineStr">
        <is>
          <t>Historical signals: title/abstract/notes; full-text completion not independently established</t>
        </is>
      </c>
      <c r="L270" s="4" t="inlineStr">
        <is>
          <t>Modelo explícitamente dinámico + máscara anti-ruido: “segments BOLD signals using sliding temporal windows… and… mask… reducing noise and pruning irrelevant links.” Además reportan dataset ABIDE-I “1035 subjects… 505 with ASD and 530 TD”</t>
        </is>
      </c>
      <c r="M270" s="4" t="inlineStr">
        <is>
          <t>https://doi.org/10.1016/j.brainresbull.2025.111290</t>
        </is>
      </c>
      <c r="N270" s="4" t="n">
        <v>0</v>
      </c>
      <c r="O270" s="4" t="n">
        <v>0</v>
      </c>
      <c r="P270" s="4" t="n">
        <v>1</v>
      </c>
      <c r="Q270" s="12" t="n"/>
      <c r="R270" s="41" t="n"/>
      <c r="S270" s="4" t="inlineStr">
        <is>
          <t>0 = no reported evidence in material assessed; blank = not coded/unknown; neither proves absence</t>
        </is>
      </c>
      <c r="T270" s="4">
        <f>IF(COUNTIFS('ESTUDIOS'!$A$2:$A$455,$A270,'ESTUDIOS'!$I$2:$I$455,"")&gt;0,"",INDEX('ESTUDIOS'!$I$2:$I$455,MATCH($A270,'ESTUDIOS'!$A$2:$A$455,0)))</f>
        <v/>
      </c>
    </row>
    <row r="271" ht="86" customHeight="1">
      <c r="A271" s="4" t="inlineStr">
        <is>
          <t>292</t>
        </is>
      </c>
      <c r="B271" s="4" t="inlineStr">
        <is>
          <t>Historical</t>
        </is>
      </c>
      <c r="C271" s="4" t="inlineStr">
        <is>
          <t>Performance of case-control rare copy number variation annotation in classification of autism</t>
        </is>
      </c>
      <c r="D271" s="4" t="n">
        <v>0</v>
      </c>
      <c r="E271" s="4" t="n">
        <v>0</v>
      </c>
      <c r="F271" s="4" t="n">
        <v>0</v>
      </c>
      <c r="G271" s="4" t="n">
        <v>0</v>
      </c>
      <c r="H271" s="4" t="n">
        <v>0</v>
      </c>
      <c r="I271" s="4" t="n">
        <v>0</v>
      </c>
      <c r="J271" s="4" t="n">
        <v>0</v>
      </c>
      <c r="K271" s="4" t="inlineStr">
        <is>
          <t>Historical signals: title/abstract/notes; full-text completion not independently established</t>
        </is>
      </c>
      <c r="L271" s="4" t="inlineStr">
        <is>
          <t>Clasificación basada en rare CNV; conditional inference forest rinde mejor.</t>
        </is>
      </c>
      <c r="M271" s="4" t="inlineStr">
        <is>
          <t>https://doi.org/10.1186/1755-8794-8-s1-s7</t>
        </is>
      </c>
      <c r="N271" s="4" t="n">
        <v>0</v>
      </c>
      <c r="O271" s="4" t="n">
        <v>0</v>
      </c>
      <c r="P271" s="4" t="n">
        <v>0</v>
      </c>
      <c r="Q271" s="12" t="n"/>
      <c r="R271" s="41" t="n"/>
      <c r="S271" s="4" t="inlineStr">
        <is>
          <t>0 = no reported evidence in material assessed; blank = not coded/unknown; neither proves absence</t>
        </is>
      </c>
      <c r="T271" s="4">
        <f>IF(COUNTIFS('ESTUDIOS'!$A$2:$A$455,$A271,'ESTUDIOS'!$I$2:$I$455,"")&gt;0,"",INDEX('ESTUDIOS'!$I$2:$I$455,MATCH($A271,'ESTUDIOS'!$A$2:$A$455,0)))</f>
        <v/>
      </c>
    </row>
    <row r="272" ht="86" customHeight="1">
      <c r="A272" s="4" t="inlineStr">
        <is>
          <t>293</t>
        </is>
      </c>
      <c r="B272" s="4" t="inlineStr">
        <is>
          <t>Historical</t>
        </is>
      </c>
      <c r="C272" s="4" t="inlineStr">
        <is>
          <t>Personalized machine learning for robot perception of affect and engagement in autism therapy</t>
        </is>
      </c>
      <c r="D272" s="4" t="n">
        <v>0</v>
      </c>
      <c r="E272" s="4" t="n">
        <v>0</v>
      </c>
      <c r="F272" s="4" t="n">
        <v>0</v>
      </c>
      <c r="G272" s="4" t="n">
        <v>0</v>
      </c>
      <c r="H272" s="4" t="n">
        <v>0</v>
      </c>
      <c r="I272" s="4" t="n">
        <v>0</v>
      </c>
      <c r="J272" s="4" t="n">
        <v>1</v>
      </c>
      <c r="K272" s="4" t="inlineStr">
        <is>
          <t>Historical signals: title/abstract/notes; full-text completion not independently established</t>
        </is>
      </c>
      <c r="L272" s="4" t="str"/>
      <c r="M272" s="4" t="inlineStr">
        <is>
          <t>https://doi.org/10.1126/scirobotics.aao6760</t>
        </is>
      </c>
      <c r="N272" s="4" t="n">
        <v>0</v>
      </c>
      <c r="O272" s="4" t="n">
        <v>1</v>
      </c>
      <c r="P272" s="4" t="n">
        <v>1</v>
      </c>
      <c r="Q272" s="12" t="n"/>
      <c r="R272" s="41" t="n"/>
      <c r="S272" s="4" t="inlineStr">
        <is>
          <t>0 = no reported evidence in material assessed; blank = not coded/unknown; neither proves absence</t>
        </is>
      </c>
      <c r="T272" s="4">
        <f>IF(COUNTIFS('ESTUDIOS'!$A$2:$A$455,$A272,'ESTUDIOS'!$I$2:$I$455,"")&gt;0,"",INDEX('ESTUDIOS'!$I$2:$I$455,MATCH($A272,'ESTUDIOS'!$A$2:$A$455,0)))</f>
        <v/>
      </c>
    </row>
    <row r="273" ht="86" customHeight="1">
      <c r="A273" s="4" t="inlineStr">
        <is>
          <t>295</t>
        </is>
      </c>
      <c r="B273" s="4" t="inlineStr">
        <is>
          <t>Historical</t>
        </is>
      </c>
      <c r="C273" s="4" t="inlineStr">
        <is>
          <t>Prediction of Autism at 3 Years from Behavioural and Developmental Measures in High-Risk Infants: A Longitudinal Cross-Domain Classifier Analysis</t>
        </is>
      </c>
      <c r="D273" s="4" t="n">
        <v>0</v>
      </c>
      <c r="E273" s="4" t="n">
        <v>0</v>
      </c>
      <c r="F273" s="4" t="n">
        <v>0</v>
      </c>
      <c r="G273" s="4" t="n">
        <v>0</v>
      </c>
      <c r="H273" s="4" t="n">
        <v>0</v>
      </c>
      <c r="I273" s="4" t="n">
        <v>0</v>
      </c>
      <c r="J273" s="4" t="n">
        <v>1</v>
      </c>
      <c r="K273" s="4" t="inlineStr">
        <is>
          <t>Historical signals: title/abstract/notes; full-text completion not independently established</t>
        </is>
      </c>
      <c r="L273" s="4" t="inlineStr">
        <is>
          <t>No es “ASD vs control poblacional”, sino predicción dentro del grupo de alto riesgo: “Low-risk controls were excluded… our main aim… predicting ASD outcome among HR siblings.”</t>
        </is>
      </c>
      <c r="M273" s="4" t="inlineStr">
        <is>
          <t>https://doi.org/10.1007/s10803-018-3509-x</t>
        </is>
      </c>
      <c r="N273" s="4" t="n">
        <v>0</v>
      </c>
      <c r="O273" s="4" t="n">
        <v>1</v>
      </c>
      <c r="P273" s="4" t="n">
        <v>0</v>
      </c>
      <c r="Q273" s="12" t="n"/>
      <c r="R273" s="41" t="n"/>
      <c r="S273" s="4" t="inlineStr">
        <is>
          <t>0 = no reported evidence in material assessed; blank = not coded/unknown; neither proves absence</t>
        </is>
      </c>
      <c r="T273" s="4">
        <f>IF(COUNTIFS('ESTUDIOS'!$A$2:$A$455,$A273,'ESTUDIOS'!$I$2:$I$455,"")&gt;0,"",INDEX('ESTUDIOS'!$I$2:$I$455,MATCH($A273,'ESTUDIOS'!$A$2:$A$455,0)))</f>
        <v/>
      </c>
    </row>
    <row r="274" ht="86" customHeight="1">
      <c r="A274" s="4" t="inlineStr">
        <is>
          <t>296</t>
        </is>
      </c>
      <c r="B274" s="4" t="inlineStr">
        <is>
          <t>Historical</t>
        </is>
      </c>
      <c r="C274" s="4" t="inlineStr">
        <is>
          <t>STDCformer: Spatial-temporal dual-path cross-attention model for fMRI-based autism spectrum disorder identification</t>
        </is>
      </c>
      <c r="D274" s="4" t="n">
        <v>0</v>
      </c>
      <c r="E274" s="4" t="n">
        <v>1</v>
      </c>
      <c r="F274" s="4" t="n">
        <v>0</v>
      </c>
      <c r="G274" s="4" t="n">
        <v>0</v>
      </c>
      <c r="H274" s="4" t="n">
        <v>0</v>
      </c>
      <c r="I274" s="4" t="n">
        <v>0</v>
      </c>
      <c r="J274" s="4" t="n">
        <v>0</v>
      </c>
      <c r="K274" s="4" t="inlineStr">
        <is>
          <t>Historical signals: title/abstract/notes; full-text completion not independently established</t>
        </is>
      </c>
      <c r="L274" s="4" t="inlineStr">
        <is>
          <t>arquitectura híbrida: embedding temporal con “LSTM” y embedding espacial con “GAT”, integrados con “dual-path cross-attention” y “2D convolution” en el feed-forward.</t>
        </is>
      </c>
      <c r="M274" s="4" t="inlineStr">
        <is>
          <t>https://doi.org/10.1016/j.heliyon.2024.e34245</t>
        </is>
      </c>
      <c r="N274" s="4" t="n">
        <v>0</v>
      </c>
      <c r="O274" s="4" t="n">
        <v>0</v>
      </c>
      <c r="P274" s="4" t="n">
        <v>1</v>
      </c>
      <c r="Q274" s="12" t="n"/>
      <c r="R274" s="41" t="n"/>
      <c r="S274" s="4" t="inlineStr">
        <is>
          <t>0 = no reported evidence in material assessed; blank = not coded/unknown; neither proves absence</t>
        </is>
      </c>
      <c r="T274" s="4">
        <f>IF(COUNTIFS('ESTUDIOS'!$A$2:$A$455,$A274,'ESTUDIOS'!$I$2:$I$455,"")&gt;0,"",INDEX('ESTUDIOS'!$I$2:$I$455,MATCH($A274,'ESTUDIOS'!$A$2:$A$455,0)))</f>
        <v/>
      </c>
    </row>
    <row r="275" ht="86" customHeight="1">
      <c r="A275" s="4" t="inlineStr">
        <is>
          <t>298</t>
        </is>
      </c>
      <c r="B275" s="4" t="inlineStr">
        <is>
          <t>Historical</t>
        </is>
      </c>
      <c r="C275" s="4" t="inlineStr">
        <is>
          <t>Three Distinct Neuroanatomical Subtypes of Autism Spectrum Disorder, Revealed via Machine Learning, and Their Similarities With Schizophrenia Subtypes</t>
        </is>
      </c>
      <c r="D275" s="4" t="n">
        <v>0</v>
      </c>
      <c r="E275" s="4" t="n">
        <v>1</v>
      </c>
      <c r="F275" s="4" t="n">
        <v>0</v>
      </c>
      <c r="G275" s="4" t="n">
        <v>0</v>
      </c>
      <c r="H275" s="4" t="n">
        <v>0</v>
      </c>
      <c r="I275" s="4" t="n">
        <v>0</v>
      </c>
      <c r="J275" s="4" t="n">
        <v>1</v>
      </c>
      <c r="K275" s="4" t="inlineStr">
        <is>
          <t>Historical signals: title/abstract/notes; full-text completion not independently established</t>
        </is>
      </c>
      <c r="L275" s="4" t="str"/>
      <c r="M275" s="4" t="inlineStr">
        <is>
          <t>https://doi.org/10.1016/j.biopsych.2021.02.931</t>
        </is>
      </c>
      <c r="N275" s="4" t="n">
        <v>0</v>
      </c>
      <c r="O275" s="4" t="n">
        <v>1</v>
      </c>
      <c r="P275" s="4" t="n">
        <v>1</v>
      </c>
      <c r="Q275" s="12" t="n"/>
      <c r="R275" s="41" t="n"/>
      <c r="S275" s="4" t="inlineStr">
        <is>
          <t>0 = no reported evidence in material assessed; blank = not coded/unknown; neither proves absence</t>
        </is>
      </c>
      <c r="T275" s="4">
        <f>IF(COUNTIFS('ESTUDIOS'!$A$2:$A$455,$A275,'ESTUDIOS'!$I$2:$I$455,"")&gt;0,"",INDEX('ESTUDIOS'!$I$2:$I$455,MATCH($A275,'ESTUDIOS'!$A$2:$A$455,0)))</f>
        <v/>
      </c>
    </row>
    <row r="276" ht="86" customHeight="1">
      <c r="A276" s="4" t="inlineStr">
        <is>
          <t>299</t>
        </is>
      </c>
      <c r="B276" s="4" t="inlineStr">
        <is>
          <t>Historical</t>
        </is>
      </c>
      <c r="C276" s="4" t="inlineStr">
        <is>
          <t>Three-dimensional quantification of oxytocin neurons in the hypothalamic paraventricular nucleus reveals sex- and subregion-specific differences in two genetic mouse models of autism</t>
        </is>
      </c>
      <c r="D276" s="4" t="n">
        <v>0</v>
      </c>
      <c r="E276" s="4" t="n">
        <v>0</v>
      </c>
      <c r="F276" s="4" t="n">
        <v>0</v>
      </c>
      <c r="G276" s="4" t="n">
        <v>0</v>
      </c>
      <c r="H276" s="4" t="n">
        <v>0</v>
      </c>
      <c r="I276" s="4" t="n">
        <v>0</v>
      </c>
      <c r="J276" s="4" t="n">
        <v>0</v>
      </c>
      <c r="K276" s="4" t="inlineStr">
        <is>
          <t>Historical signals: title/abstract/notes; full-text completion not independently established</t>
        </is>
      </c>
      <c r="L276" s="4" t="inlineStr">
        <is>
          <t>Sin señal explícita Q3 en título/abstract.</t>
        </is>
      </c>
      <c r="M276" s="4" t="inlineStr">
        <is>
          <t>https://doi.org/10.1111/jne.70092</t>
        </is>
      </c>
      <c r="N276" s="4" t="n">
        <v>0</v>
      </c>
      <c r="O276" s="4" t="n">
        <v>0</v>
      </c>
      <c r="P276" s="4" t="n"/>
      <c r="Q276" s="12" t="n"/>
      <c r="R276" s="41" t="n"/>
      <c r="S276" s="4" t="inlineStr">
        <is>
          <t>0 = no reported evidence in material assessed; blank = not coded/unknown; neither proves absence</t>
        </is>
      </c>
      <c r="T276" s="4">
        <f>IF(COUNTIFS('ESTUDIOS'!$A$2:$A$455,$A276,'ESTUDIOS'!$I$2:$I$455,"")&gt;0,"",INDEX('ESTUDIOS'!$I$2:$I$455,MATCH($A276,'ESTUDIOS'!$A$2:$A$455,0)))</f>
        <v/>
      </c>
    </row>
    <row r="277" ht="86" customHeight="1">
      <c r="A277" s="4" t="inlineStr">
        <is>
          <t>300</t>
        </is>
      </c>
      <c r="B277" s="4" t="inlineStr">
        <is>
          <t>Historical</t>
        </is>
      </c>
      <c r="C277" s="4" t="inlineStr">
        <is>
          <t>Application of Speech Signal for Early Screening of Children with Autism Spectrum Disorder</t>
        </is>
      </c>
      <c r="D277" s="4" t="n">
        <v>0</v>
      </c>
      <c r="E277" s="4" t="n">
        <v>0</v>
      </c>
      <c r="F277" s="4" t="n">
        <v>0</v>
      </c>
      <c r="G277" s="4" t="n">
        <v>0</v>
      </c>
      <c r="H277" s="4" t="n">
        <v>0</v>
      </c>
      <c r="I277" s="4" t="n">
        <v>0</v>
      </c>
      <c r="J277" s="4" t="n">
        <v>0</v>
      </c>
      <c r="K277" s="4" t="inlineStr">
        <is>
          <t>Historical signals: title/abstract/notes; full-text completion not independently established</t>
        </is>
      </c>
      <c r="L277" s="4" t="inlineStr">
        <is>
          <t>Sin señal explícita Q3 en título/abstract.</t>
        </is>
      </c>
      <c r="M277" s="4" t="inlineStr">
        <is>
          <t>https://doi.org/10.1007/978-3-031-62273-1_36</t>
        </is>
      </c>
      <c r="N277" s="4" t="n">
        <v>0</v>
      </c>
      <c r="O277" s="4" t="n">
        <v>0</v>
      </c>
      <c r="P277" s="4" t="n">
        <v>1</v>
      </c>
      <c r="Q277" s="12" t="n"/>
      <c r="R277" s="41" t="n"/>
      <c r="S277" s="4" t="inlineStr">
        <is>
          <t>0 = no reported evidence in material assessed; blank = not coded/unknown; neither proves absence</t>
        </is>
      </c>
      <c r="T277" s="4">
        <f>IF(COUNTIFS('ESTUDIOS'!$A$2:$A$455,$A277,'ESTUDIOS'!$I$2:$I$455,"")&gt;0,"",INDEX('ESTUDIOS'!$I$2:$I$455,MATCH($A277,'ESTUDIOS'!$A$2:$A$455,0)))</f>
        <v/>
      </c>
    </row>
    <row r="278" ht="112" customHeight="1">
      <c r="A278" s="4" t="inlineStr">
        <is>
          <t>new_12</t>
        </is>
      </c>
      <c r="B278" s="4" t="inlineStr">
        <is>
          <t>Update</t>
        </is>
      </c>
      <c r="C278" s="4" t="inlineStr">
        <is>
          <t>Integration of an Artificial Intelligence–Based Autism Diagnostic Device into the ECHO Autism Primary Care Workflow: Prospective Observational Study</t>
        </is>
      </c>
      <c r="D278" s="4" t="n">
        <v>0</v>
      </c>
      <c r="E278" s="4" t="n">
        <v>0</v>
      </c>
      <c r="F278" s="4" t="n">
        <v>0</v>
      </c>
      <c r="G278" s="4" t="n">
        <v>1</v>
      </c>
      <c r="H278" s="4" t="n">
        <v>0</v>
      </c>
      <c r="I278" s="4" t="n">
        <v>0</v>
      </c>
      <c r="J278" s="4" t="n">
        <v>1</v>
      </c>
      <c r="K278" s="4" t="inlineStr">
        <is>
          <t>Inherited scoped adjudication; see source level and lot caveats</t>
        </is>
      </c>
      <c r="L278" s="4" t="inlineStr">
        <is>
          <t xml:space="preserve">Background: Pediatric specialist shortages and rapidly rising autism prevalence rates have compelled primary care clinicians to consider playing a greater role in the autism diagnostic process. The ECHO Autism: Early Diagnosis Program (EDx) prepares clinicians to screen, evaluate, differentiate, diagnose, and provide longitudinal care for children with autism in primary care settings. Canvas Dx is a prescription-only Software as a Medical Device </t>
        </is>
      </c>
      <c r="M278" s="4" t="inlineStr">
        <is>
          <t>https://doi.org/10.2196/80733</t>
        </is>
      </c>
      <c r="N278" s="4" t="n"/>
      <c r="O278" s="4" t="n"/>
      <c r="P278" s="4" t="n"/>
      <c r="Q278" s="12" t="n"/>
      <c r="R278" s="41" t="n"/>
      <c r="S278" s="4" t="inlineStr">
        <is>
          <t>0 = no reported evidence in material assessed; blank = not coded/unknown; neither proves absence</t>
        </is>
      </c>
      <c r="T278" s="4">
        <f>IF(COUNTIFS('ESTUDIOS'!$A$2:$A$455,$A278,'ESTUDIOS'!$I$2:$I$455,"")&gt;0,"",INDEX('ESTUDIOS'!$I$2:$I$455,MATCH($A278,'ESTUDIOS'!$A$2:$A$455,0)))</f>
        <v/>
      </c>
    </row>
    <row r="279" ht="112" customHeight="1">
      <c r="A279" s="4" t="inlineStr">
        <is>
          <t>new_13</t>
        </is>
      </c>
      <c r="B279" s="4" t="inlineStr">
        <is>
          <t>Update</t>
        </is>
      </c>
      <c r="C279" s="4" t="inlineStr">
        <is>
          <t>In-silico assessment of dynamic symbiotic microbial interactions in a reduced microbiota related to the autism spectrum disorder symptoms</t>
        </is>
      </c>
      <c r="D279" s="4" t="n">
        <v>0</v>
      </c>
      <c r="E279" s="4" t="n">
        <v>0</v>
      </c>
      <c r="F279" s="4" t="n">
        <v>0</v>
      </c>
      <c r="G279" s="4" t="n">
        <v>0</v>
      </c>
      <c r="H279" s="4" t="n">
        <v>0</v>
      </c>
      <c r="I279" s="4" t="n">
        <v>1</v>
      </c>
      <c r="J279" s="4" t="n">
        <v>0</v>
      </c>
      <c r="K279" s="4" t="inlineStr">
        <is>
          <t>Inherited scoped adjudication; see source level and lot caveats</t>
        </is>
      </c>
      <c r="L279" s="4" t="inlineStr">
        <is>
          <t>The gut microbiota plays a crucial role in human health, with growing evidence linking its composition to the development of Autism Spectrum Disorder. However, inconsistencies in previous studies have hindered the identification of a definitive microbial signature associated with Autism Spectrum Disorder. Machine learning models have emerged as powerful tools for analyzing microbiome data, yet their interpretability remains limited. In this study</t>
        </is>
      </c>
      <c r="M279" s="4" t="inlineStr">
        <is>
          <t>https://doi.org/10.1016/j.csbj.2025.09.006</t>
        </is>
      </c>
      <c r="N279" s="4" t="n"/>
      <c r="O279" s="4" t="n"/>
      <c r="P279" s="4" t="n"/>
      <c r="Q279" s="12" t="n"/>
      <c r="R279" s="41" t="n"/>
      <c r="S279" s="4" t="inlineStr">
        <is>
          <t>0 = no reported evidence in material assessed; blank = not coded/unknown; neither proves absence</t>
        </is>
      </c>
      <c r="T279" s="4">
        <f>IF(COUNTIFS('ESTUDIOS'!$A$2:$A$455,$A279,'ESTUDIOS'!$I$2:$I$455,"")&gt;0,"",INDEX('ESTUDIOS'!$I$2:$I$455,MATCH($A279,'ESTUDIOS'!$A$2:$A$455,0)))</f>
        <v/>
      </c>
    </row>
    <row r="280" ht="112" customHeight="1">
      <c r="A280" s="4" t="inlineStr">
        <is>
          <t>new_35</t>
        </is>
      </c>
      <c r="B280" s="4" t="inlineStr">
        <is>
          <t>Update</t>
        </is>
      </c>
      <c r="C280" s="4" t="inlineStr">
        <is>
          <t>Deep Learning Approaches for Classifying Children With and Without Autism Spectrum Disorder Using Inertial Measurement Unit Hand Tracking Data: Comparative Study</t>
        </is>
      </c>
      <c r="D280" s="4" t="n">
        <v>0</v>
      </c>
      <c r="E280" s="4" t="n">
        <v>0</v>
      </c>
      <c r="F280" s="4" t="n">
        <v>0</v>
      </c>
      <c r="G280" s="4" t="n">
        <v>0</v>
      </c>
      <c r="H280" s="4" t="n">
        <v>0</v>
      </c>
      <c r="I280" s="4" t="n">
        <v>0</v>
      </c>
      <c r="J280" s="4" t="n">
        <v>0</v>
      </c>
      <c r="K280" s="4" t="inlineStr">
        <is>
          <t>Inherited scoped adjudication; see source level and lot caveats</t>
        </is>
      </c>
      <c r="L280" s="4" t="inlineStr">
        <is>
          <t>Background: Autism spectrum disorder (ASD) is a prevalent neurodevelopmental condition that can be quite difficult to diagnose due to a lack of objective diagnostic methods in the currently used behavioral assessments. Recent work has shown that children with ASD have a higher incidence of motor control differences. A compilation of studies indicates that between 50% and 88% of the children with ASD have issues with movement control based on stan</t>
        </is>
      </c>
      <c r="M280" s="4" t="inlineStr">
        <is>
          <t>https://doi.org/10.2196/73440</t>
        </is>
      </c>
      <c r="N280" s="4" t="n"/>
      <c r="O280" s="4" t="n"/>
      <c r="P280" s="4" t="n"/>
      <c r="Q280" s="12" t="n"/>
      <c r="R280" s="41" t="n"/>
      <c r="S280" s="4" t="inlineStr">
        <is>
          <t>0 = no reported evidence in material assessed; blank = not coded/unknown; neither proves absence</t>
        </is>
      </c>
      <c r="T280" s="4">
        <f>IF(COUNTIFS('ESTUDIOS'!$A$2:$A$455,$A280,'ESTUDIOS'!$I$2:$I$455,"")&gt;0,"",INDEX('ESTUDIOS'!$I$2:$I$455,MATCH($A280,'ESTUDIOS'!$A$2:$A$455,0)))</f>
        <v/>
      </c>
    </row>
    <row r="281" ht="112" customHeight="1">
      <c r="A281" s="4" t="inlineStr">
        <is>
          <t>new_50</t>
        </is>
      </c>
      <c r="B281" s="4" t="inlineStr">
        <is>
          <t>Update</t>
        </is>
      </c>
      <c r="C281" s="4" t="inlineStr">
        <is>
          <t>Effectiveness of Artificial Intelligence–Based Platform in Administering Therapies for Children With Autism Spectrum Disorder: 12-Month Observational Study</t>
        </is>
      </c>
      <c r="D281" s="4" t="n">
        <v>0</v>
      </c>
      <c r="E281" s="4" t="n">
        <v>0</v>
      </c>
      <c r="F281" s="4" t="n">
        <v>0</v>
      </c>
      <c r="G281" s="4" t="n">
        <v>1</v>
      </c>
      <c r="H281" s="4" t="n">
        <v>0</v>
      </c>
      <c r="I281" s="4" t="n">
        <v>0</v>
      </c>
      <c r="J281" s="4" t="n">
        <v>0</v>
      </c>
      <c r="K281" s="4" t="inlineStr">
        <is>
          <t>Inherited scoped adjudication; see source level and lot caveats</t>
        </is>
      </c>
      <c r="L281" s="4" t="inlineStr">
        <is>
          <t xml:space="preserve">Background: A 12-month longitudinal observational study was conducted on 43 children aged 2‐18 years to evaluate the effectiveness of the CognitiveBotics artificial intelligence (AI)–based platform in conjunction with continuous therapy in improving therapeutic outcomes for children with autism spectrum disorder (ASD). Objective: This study evaluates the CognitiveBotics software’s effectiveness in supporting children with ASD through structured, </t>
        </is>
      </c>
      <c r="M281" s="4" t="inlineStr">
        <is>
          <t>https://doi.org/10.2196/70589</t>
        </is>
      </c>
      <c r="N281" s="4" t="n"/>
      <c r="O281" s="4" t="n"/>
      <c r="P281" s="4" t="n"/>
      <c r="Q281" s="12" t="n"/>
      <c r="R281" s="41" t="n"/>
      <c r="S281" s="4" t="inlineStr">
        <is>
          <t>0 = no reported evidence in material assessed; blank = not coded/unknown; neither proves absence</t>
        </is>
      </c>
      <c r="T281" s="4">
        <f>IF(COUNTIFS('ESTUDIOS'!$A$2:$A$455,$A281,'ESTUDIOS'!$I$2:$I$455,"")&gt;0,"",INDEX('ESTUDIOS'!$I$2:$I$455,MATCH($A281,'ESTUDIOS'!$A$2:$A$455,0)))</f>
        <v/>
      </c>
    </row>
    <row r="282" ht="112" customHeight="1">
      <c r="A282" s="4" t="inlineStr">
        <is>
          <t>new_93</t>
        </is>
      </c>
      <c r="B282" s="4" t="inlineStr">
        <is>
          <t>Update</t>
        </is>
      </c>
      <c r="C282" s="4" t="inlineStr">
        <is>
          <t>Large language models deconstruct the clinical intuition behind diagnosing autism</t>
        </is>
      </c>
      <c r="D282" s="4" t="n">
        <v>0</v>
      </c>
      <c r="E282" s="4" t="n">
        <v>0</v>
      </c>
      <c r="F282" s="4" t="n">
        <v>0</v>
      </c>
      <c r="G282" s="4" t="n">
        <v>0</v>
      </c>
      <c r="H282" s="4" t="n">
        <v>1</v>
      </c>
      <c r="I282" s="4" t="n">
        <v>0</v>
      </c>
      <c r="J282" s="4" t="n">
        <v>0</v>
      </c>
      <c r="K282" s="4" t="inlineStr">
        <is>
          <t>Inherited scoped adjudication; see source level and lot caveats</t>
        </is>
      </c>
      <c r="L282" s="4" t="inlineStr">
        <is>
          <t>Efforts to use genome-wide assays or brain scans to diagnose autism have seen diminishing returns. Yet the clinical intuition of healthcare professionals, based on longstanding first-hand experience, remains the gold standard for diagnosis of autism. We leveraged deep learning to deconstruct and interrogate the logic of expert clinician intuition from clinical reports to inform our understanding of autism. After pre-training on hundreds of millio</t>
        </is>
      </c>
      <c r="M282" s="4" t="inlineStr">
        <is>
          <t>https://doi.org/10.1016/j.cell.2025.02.025</t>
        </is>
      </c>
      <c r="N282" s="4" t="n"/>
      <c r="O282" s="4" t="n"/>
      <c r="P282" s="4" t="n"/>
      <c r="Q282" s="12" t="n"/>
      <c r="R282" s="41" t="n"/>
      <c r="S282" s="4" t="inlineStr">
        <is>
          <t>0 = no reported evidence in material assessed; blank = not coded/unknown; neither proves absence</t>
        </is>
      </c>
      <c r="T282" s="4">
        <f>IF(COUNTIFS('ESTUDIOS'!$A$2:$A$455,$A282,'ESTUDIOS'!$I$2:$I$455,"")&gt;0,"",INDEX('ESTUDIOS'!$I$2:$I$455,MATCH($A282,'ESTUDIOS'!$A$2:$A$455,0)))</f>
        <v/>
      </c>
    </row>
    <row r="283" ht="112" customHeight="1">
      <c r="A283" s="4" t="inlineStr">
        <is>
          <t>new_96</t>
        </is>
      </c>
      <c r="B283" s="4" t="inlineStr">
        <is>
          <t>Update</t>
        </is>
      </c>
      <c r="C283" s="4" t="inlineStr">
        <is>
          <t>Ensemble of Deep Learning with Crested Porcupine Optimizer Based Autism Spectrum Disorder Detection Using Facial Images</t>
        </is>
      </c>
      <c r="D283" s="4" t="n">
        <v>0</v>
      </c>
      <c r="E283" s="4" t="n">
        <v>0</v>
      </c>
      <c r="F283" s="4" t="n">
        <v>0</v>
      </c>
      <c r="G283" s="4" t="n">
        <v>0</v>
      </c>
      <c r="H283" s="4" t="n">
        <v>0</v>
      </c>
      <c r="I283" s="4" t="n">
        <v>0</v>
      </c>
      <c r="J283" s="4" t="n">
        <v>0</v>
      </c>
      <c r="K283" s="4" t="inlineStr">
        <is>
          <t>Inherited scoped adjudication; see source level and lot caveats</t>
        </is>
      </c>
      <c r="L283" s="4" t="inlineStr">
        <is>
          <t>Autism spectrum disorder (ASD) is a multifaceted neurological developmental condition that manifests in several ways. Nearly all autistic children remain undiagnosed before the age of three. Developmental problems affecting face features are often associated with fundamental brain disorders. The facial evolution of newborns with ASD is quite different from that of typically developing children. Early recognition is very significant to aid familie</t>
        </is>
      </c>
      <c r="M283" s="4" t="inlineStr">
        <is>
          <t>https://doi.org/10.32604/cmc.2025.062266</t>
        </is>
      </c>
      <c r="N283" s="4" t="n"/>
      <c r="O283" s="4" t="n"/>
      <c r="P283" s="4" t="n"/>
      <c r="Q283" s="12" t="n"/>
      <c r="R283" s="41" t="n"/>
      <c r="S283" s="4" t="inlineStr">
        <is>
          <t>0 = no reported evidence in material assessed; blank = not coded/unknown; neither proves absence</t>
        </is>
      </c>
      <c r="T283" s="4">
        <f>IF(COUNTIFS('ESTUDIOS'!$A$2:$A$455,$A283,'ESTUDIOS'!$I$2:$I$455,"")&gt;0,"",INDEX('ESTUDIOS'!$I$2:$I$455,MATCH($A283,'ESTUDIOS'!$A$2:$A$455,0)))</f>
        <v/>
      </c>
    </row>
    <row r="284" ht="112" customHeight="1">
      <c r="A284" s="4" t="inlineStr">
        <is>
          <t>new_108</t>
        </is>
      </c>
      <c r="B284" s="4" t="inlineStr">
        <is>
          <t>Update</t>
        </is>
      </c>
      <c r="C284" s="4" t="inlineStr">
        <is>
          <t>Awareness with Machine: Hybrid Approach to Detecting ASD with a Clustering</t>
        </is>
      </c>
      <c r="D284" s="4" t="n">
        <v>0</v>
      </c>
      <c r="E284" s="4" t="n">
        <v>0</v>
      </c>
      <c r="F284" s="4" t="n">
        <v>0</v>
      </c>
      <c r="G284" s="4" t="n">
        <v>0</v>
      </c>
      <c r="H284" s="4" t="n">
        <v>0</v>
      </c>
      <c r="I284" s="4" t="n">
        <v>0</v>
      </c>
      <c r="J284" s="4" t="n">
        <v>0</v>
      </c>
      <c r="K284" s="4" t="inlineStr">
        <is>
          <t>Inherited scoped adjudication; see source level and lot caveats</t>
        </is>
      </c>
      <c r="L284" s="4" t="inlineStr">
        <is>
          <t>Detection of Autism Spectrum Disorder (ASD) is a crucial area of research, representing a foundational aspect of psychological studies. The advancement of technology and the widespread adoption of machine learning methodologies have brought significant attention to this field in recent years. Interdisciplinary efforts have further propelled research into detection methods. Consequently, this study aims to contribute to both the fields of psycholo</t>
        </is>
      </c>
      <c r="M284" s="4" t="inlineStr">
        <is>
          <t>https://doi.org/10.32604/cmc.2025.062643</t>
        </is>
      </c>
      <c r="N284" s="4" t="n"/>
      <c r="O284" s="4" t="n"/>
      <c r="P284" s="4" t="n"/>
      <c r="Q284" s="12" t="n"/>
      <c r="R284" s="41" t="n"/>
      <c r="S284" s="4" t="inlineStr">
        <is>
          <t>0 = no reported evidence in material assessed; blank = not coded/unknown; neither proves absence</t>
        </is>
      </c>
      <c r="T284" s="4">
        <f>IF(COUNTIFS('ESTUDIOS'!$A$2:$A$455,$A284,'ESTUDIOS'!$I$2:$I$455,"")&gt;0,"",INDEX('ESTUDIOS'!$I$2:$I$455,MATCH($A284,'ESTUDIOS'!$A$2:$A$455,0)))</f>
        <v/>
      </c>
    </row>
    <row r="285" ht="112" customHeight="1">
      <c r="A285" s="4" t="inlineStr">
        <is>
          <t>new_125</t>
        </is>
      </c>
      <c r="B285" s="4" t="inlineStr">
        <is>
          <t>Update</t>
        </is>
      </c>
      <c r="C285" s="4" t="inlineStr">
        <is>
          <t>Identification of critical brain regions for autism diagnosis from fMRI data using explainable AI: an observational analysis of the ABIDE dataset</t>
        </is>
      </c>
      <c r="D285" s="4" t="n">
        <v>0</v>
      </c>
      <c r="E285" s="4" t="n">
        <v>1</v>
      </c>
      <c r="F285" s="4" t="n">
        <v>0</v>
      </c>
      <c r="G285" s="4" t="n">
        <v>0</v>
      </c>
      <c r="H285" s="4" t="n">
        <v>1</v>
      </c>
      <c r="I285" s="4" t="n">
        <v>0</v>
      </c>
      <c r="J285" s="4" t="n">
        <v>0</v>
      </c>
      <c r="K285" s="4" t="inlineStr">
        <is>
          <t>Inherited scoped adjudication; see source level and lot caveats</t>
        </is>
      </c>
      <c r="L285" s="4" t="inlineStr">
        <is>
          <t>Background: Diagnosis of autism spectrum disorder (ASD) significantly improves quality of life, yet current diagnostic practices rely on subjective behavioural assessments. While machine learning models using functional Magnetic Resonance Imaging (fMRI) show promise for objective diagnosis, existing approaches have critical limitations. High-accuracy models often neglect interpretability, increasing clinical distrust, while interpretable approach</t>
        </is>
      </c>
      <c r="M285" s="4" t="inlineStr">
        <is>
          <t>https://doi.org/10.1016/j.eclinm.2025.103452</t>
        </is>
      </c>
      <c r="N285" s="4" t="n"/>
      <c r="O285" s="4" t="n"/>
      <c r="P285" s="4" t="n"/>
      <c r="Q285" s="12" t="n"/>
      <c r="R285" s="41" t="n"/>
      <c r="S285" s="4" t="inlineStr">
        <is>
          <t>0 = no reported evidence in material assessed; blank = not coded/unknown; neither proves absence</t>
        </is>
      </c>
      <c r="T285" s="4">
        <f>IF(COUNTIFS('ESTUDIOS'!$A$2:$A$455,$A285,'ESTUDIOS'!$I$2:$I$455,"")&gt;0,"",INDEX('ESTUDIOS'!$I$2:$I$455,MATCH($A285,'ESTUDIOS'!$A$2:$A$455,0)))</f>
        <v/>
      </c>
    </row>
    <row r="286" ht="112" customHeight="1">
      <c r="A286" s="4" t="inlineStr">
        <is>
          <t>new_132</t>
        </is>
      </c>
      <c r="B286" s="4" t="inlineStr">
        <is>
          <t>Update</t>
        </is>
      </c>
      <c r="C286" s="4" t="inlineStr">
        <is>
          <t>A Brief Observation to Screen Autism in Toddlers and Predict Developmental Trajectory</t>
        </is>
      </c>
      <c r="D286" s="4" t="n">
        <v>0</v>
      </c>
      <c r="E286" s="4" t="n">
        <v>0</v>
      </c>
      <c r="F286" s="4" t="n">
        <v>0</v>
      </c>
      <c r="G286" s="4" t="n">
        <v>1</v>
      </c>
      <c r="H286" s="4" t="n">
        <v>0</v>
      </c>
      <c r="I286" s="4" t="n">
        <v>1</v>
      </c>
      <c r="J286" s="4" t="n">
        <v>0</v>
      </c>
      <c r="K286" s="4" t="inlineStr">
        <is>
          <t>Inherited scoped adjudication; see source level and lot caveats</t>
        </is>
      </c>
      <c r="L286" s="4" t="inlineStr">
        <is>
          <t>Objective: Autism spectrum disorder (ASD) affects approximately 1 in 31 children. Early diagnosis is crucial for optimizing outcomes through early interventions, and primary care settings need efficient tools to identify children presenting autistic features. This study explores the potential of early socio-communicative behaviors, measured by the Early Social Communication Scales, to screen for ASD in children younger than 3 years old, and predi</t>
        </is>
      </c>
      <c r="M286" s="4" t="inlineStr">
        <is>
          <t>https://doi.org/10.1016/j.jpedcp.2025.200176</t>
        </is>
      </c>
      <c r="N286" s="4" t="n"/>
      <c r="O286" s="4" t="n"/>
      <c r="P286" s="4" t="n"/>
      <c r="Q286" s="12" t="n"/>
      <c r="R286" s="41" t="n"/>
      <c r="S286" s="4" t="inlineStr">
        <is>
          <t>0 = no reported evidence in material assessed; blank = not coded/unknown; neither proves absence</t>
        </is>
      </c>
      <c r="T286" s="4">
        <f>IF(COUNTIFS('ESTUDIOS'!$A$2:$A$455,$A286,'ESTUDIOS'!$I$2:$I$455,"")&gt;0,"",INDEX('ESTUDIOS'!$I$2:$I$455,MATCH($A286,'ESTUDIOS'!$A$2:$A$455,0)))</f>
        <v/>
      </c>
    </row>
    <row r="287" ht="112" customHeight="1">
      <c r="A287" s="4" t="inlineStr">
        <is>
          <t>new_145</t>
        </is>
      </c>
      <c r="B287" s="4" t="inlineStr">
        <is>
          <t>Update</t>
        </is>
      </c>
      <c r="C287" s="4" t="inlineStr">
        <is>
          <t>Explainable Ensemble Learning Framework for Early Detection of Autism Spectrum Disorder: Enhancing Trust, Interpretability and Reliability in AI-Driven Healthcare</t>
        </is>
      </c>
      <c r="D287" s="4" t="n">
        <v>0</v>
      </c>
      <c r="E287" s="4" t="n">
        <v>0</v>
      </c>
      <c r="F287" s="4" t="n">
        <v>0</v>
      </c>
      <c r="G287" s="4" t="n">
        <v>0</v>
      </c>
      <c r="H287" s="4" t="n">
        <v>1</v>
      </c>
      <c r="I287" s="4" t="n">
        <v>0</v>
      </c>
      <c r="J287" s="4" t="n">
        <v>1</v>
      </c>
      <c r="K287" s="4" t="inlineStr">
        <is>
          <t>Inherited scoped adjudication; see source level and lot caveats</t>
        </is>
      </c>
      <c r="L287" s="4" t="inlineStr">
        <is>
          <t>Artificial Intelligence (AI) is changing healthcare by helping with diagnosis. However, for doctors to trust AI tools, they need to be both accurate and easy to understand. In this study, we created a new machine learning system for the early detection of Autism Spectrum Disorder (ASD) in children. Our main goal was to build a model that is not only good at predicting ASD but also clear in its reasoning. For this, we combined several different mo</t>
        </is>
      </c>
      <c r="M287" s="4" t="inlineStr">
        <is>
          <t>https://doi.org/10.32604/cmes.2025.074627</t>
        </is>
      </c>
      <c r="N287" s="4" t="n"/>
      <c r="O287" s="4" t="n"/>
      <c r="P287" s="4" t="n"/>
      <c r="Q287" s="12" t="n"/>
      <c r="R287" s="41" t="n"/>
      <c r="S287" s="4" t="inlineStr">
        <is>
          <t>0 = no reported evidence in material assessed; blank = not coded/unknown; neither proves absence</t>
        </is>
      </c>
      <c r="T287" s="4">
        <f>IF(COUNTIFS('ESTUDIOS'!$A$2:$A$455,$A287,'ESTUDIOS'!$I$2:$I$455,"")&gt;0,"",INDEX('ESTUDIOS'!$I$2:$I$455,MATCH($A287,'ESTUDIOS'!$A$2:$A$455,0)))</f>
        <v/>
      </c>
    </row>
    <row r="288" ht="86" customHeight="1">
      <c r="A288" s="4" t="inlineStr">
        <is>
          <t>new_160</t>
        </is>
      </c>
      <c r="B288" s="4" t="inlineStr">
        <is>
          <t>Update</t>
        </is>
      </c>
      <c r="C288" s="4" t="inlineStr">
        <is>
          <t>LLM-Assisted Annotation Framework for Cross Platform Analysis of Autism Online Communities: Implications for Parent Education and Digital Support (Preprint)</t>
        </is>
      </c>
      <c r="D288" s="4" t="n">
        <v>0</v>
      </c>
      <c r="E288" s="4" t="n">
        <v>0</v>
      </c>
      <c r="F288" s="4" t="n">
        <v>0</v>
      </c>
      <c r="G288" s="4" t="n">
        <v>0</v>
      </c>
      <c r="H288" s="4" t="n">
        <v>0</v>
      </c>
      <c r="I288" s="4" t="n">
        <v>0</v>
      </c>
      <c r="J288" s="4" t="n">
        <v>0</v>
      </c>
      <c r="K288" s="4" t="inlineStr">
        <is>
          <t>Inherited scoped adjudication; see source level and lot caveats</t>
        </is>
      </c>
      <c r="L288" s="4" t="str"/>
      <c r="M288" s="4" t="inlineStr">
        <is>
          <t>https://doi.org/10.2196/85290</t>
        </is>
      </c>
      <c r="N288" s="4" t="n"/>
      <c r="O288" s="4" t="n"/>
      <c r="P288" s="4" t="n"/>
      <c r="Q288" s="12" t="n"/>
      <c r="R288" s="41" t="n"/>
      <c r="S288" s="4" t="inlineStr">
        <is>
          <t>0 = no reported evidence in material assessed; blank = not coded/unknown; neither proves absence</t>
        </is>
      </c>
      <c r="T288" s="4">
        <f>IF(COUNTIFS('ESTUDIOS'!$A$2:$A$455,$A288,'ESTUDIOS'!$I$2:$I$455,"")&gt;0,"",INDEX('ESTUDIOS'!$I$2:$I$455,MATCH($A288,'ESTUDIOS'!$A$2:$A$455,0)))</f>
        <v/>
      </c>
    </row>
    <row r="289" ht="112" customHeight="1">
      <c r="A289" s="4" t="inlineStr">
        <is>
          <t>new_169</t>
        </is>
      </c>
      <c r="B289" s="4" t="inlineStr">
        <is>
          <t>Update</t>
        </is>
      </c>
      <c r="C289" s="4" t="inlineStr">
        <is>
          <t>GPT-Powered Chatbot-Based Positive Psychology Intervention for Well-Being Among Parents of Children With Autism Spectrum Disorder: Single-Arm Mixed Methods Study</t>
        </is>
      </c>
      <c r="D289" s="4" t="n">
        <v>0</v>
      </c>
      <c r="E289" s="4" t="n">
        <v>0</v>
      </c>
      <c r="F289" s="4" t="n">
        <v>0</v>
      </c>
      <c r="G289" s="4" t="n">
        <v>1</v>
      </c>
      <c r="H289" s="4" t="n">
        <v>0</v>
      </c>
      <c r="I289" s="4" t="n">
        <v>0</v>
      </c>
      <c r="J289" s="4" t="n">
        <v>1</v>
      </c>
      <c r="K289" s="4" t="inlineStr">
        <is>
          <t>Inherited scoped adjudication; see source level and lot caveats</t>
        </is>
      </c>
      <c r="L289" s="4" t="inlineStr">
        <is>
          <t>Background: Parents of autistic children frequently experience elevated stress levels, depressive symptoms, and reduced well-being. Positive psychology interventions (PPIs) can strengthen resilience, and chatbots offer a scalable channel through which such skills can be delivered. However, evidence on the evaluation of large language model–guided PPI-based chatbots for this population is limited. Objective: This study evaluated the feasibility an</t>
        </is>
      </c>
      <c r="M289" s="4" t="inlineStr">
        <is>
          <t>https://doi.org/10.2196/85060</t>
        </is>
      </c>
      <c r="N289" s="4" t="n"/>
      <c r="O289" s="4" t="n"/>
      <c r="P289" s="4" t="n"/>
      <c r="Q289" s="12" t="n"/>
      <c r="R289" s="41" t="n"/>
      <c r="S289" s="4" t="inlineStr">
        <is>
          <t>0 = no reported evidence in material assessed; blank = not coded/unknown; neither proves absence</t>
        </is>
      </c>
      <c r="T289" s="4">
        <f>IF(COUNTIFS('ESTUDIOS'!$A$2:$A$455,$A289,'ESTUDIOS'!$I$2:$I$455,"")&gt;0,"",INDEX('ESTUDIOS'!$I$2:$I$455,MATCH($A289,'ESTUDIOS'!$A$2:$A$455,0)))</f>
        <v/>
      </c>
    </row>
    <row r="290" ht="86" customHeight="1">
      <c r="A290" s="4" t="inlineStr">
        <is>
          <t>new_171</t>
        </is>
      </c>
      <c r="B290" s="4" t="inlineStr">
        <is>
          <t>Update</t>
        </is>
      </c>
      <c r="C290" s="4" t="inlineStr">
        <is>
          <t>Artificial Intelligence Prediction of Individual Treatment Response to Smartphone-Based Mindfulness in Autistic Adults with Anxiety Symptoms: A Randomized Controlled Trial Analysis (Preprint)</t>
        </is>
      </c>
      <c r="D290" s="4" t="n">
        <v>0</v>
      </c>
      <c r="E290" s="4" t="n">
        <v>0</v>
      </c>
      <c r="F290" s="4" t="n">
        <v>0</v>
      </c>
      <c r="G290" s="4" t="n">
        <v>0</v>
      </c>
      <c r="H290" s="4" t="n">
        <v>0</v>
      </c>
      <c r="I290" s="4" t="n">
        <v>1</v>
      </c>
      <c r="J290" s="4" t="n">
        <v>0</v>
      </c>
      <c r="K290" s="4" t="inlineStr">
        <is>
          <t>Inherited scoped adjudication; see source level and lot caveats</t>
        </is>
      </c>
      <c r="L290" s="4" t="str"/>
      <c r="M290" s="4" t="inlineStr">
        <is>
          <t>https://doi.org/10.2196/89054</t>
        </is>
      </c>
      <c r="N290" s="4" t="n"/>
      <c r="O290" s="4" t="n"/>
      <c r="P290" s="4" t="n"/>
      <c r="Q290" s="12" t="n"/>
      <c r="R290" s="41" t="n"/>
      <c r="S290" s="4" t="inlineStr">
        <is>
          <t>0 = no reported evidence in material assessed; blank = not coded/unknown; neither proves absence</t>
        </is>
      </c>
      <c r="T290" s="4">
        <f>IF(COUNTIFS('ESTUDIOS'!$A$2:$A$455,$A290,'ESTUDIOS'!$I$2:$I$455,"")&gt;0,"",INDEX('ESTUDIOS'!$I$2:$I$455,MATCH($A290,'ESTUDIOS'!$A$2:$A$455,0)))</f>
        <v/>
      </c>
    </row>
    <row r="291" ht="112" customHeight="1">
      <c r="A291" s="4" t="inlineStr">
        <is>
          <t>new_172</t>
        </is>
      </c>
      <c r="B291" s="4" t="inlineStr">
        <is>
          <t>Update</t>
        </is>
      </c>
      <c r="C291" s="4" t="inlineStr">
        <is>
          <t>Evaluating Public Sentiment on Attention-Deficit/Hyperactivity Disorder and Autism Spectrum Disorder Compared With Other Mental Health Disorders From Posts on X (Formerly Known as Twitter): Longitudinal Analysis</t>
        </is>
      </c>
      <c r="D291" s="4" t="n">
        <v>0</v>
      </c>
      <c r="E291" s="4" t="n">
        <v>0</v>
      </c>
      <c r="F291" s="4" t="n">
        <v>0</v>
      </c>
      <c r="G291" s="4" t="n">
        <v>0</v>
      </c>
      <c r="H291" s="4" t="n">
        <v>0</v>
      </c>
      <c r="I291" s="4" t="n">
        <v>0</v>
      </c>
      <c r="J291" s="4" t="n">
        <v>0</v>
      </c>
      <c r="K291" s="4" t="inlineStr">
        <is>
          <t>Inherited scoped adjudication; see source level and lot caveats</t>
        </is>
      </c>
      <c r="L291" s="4" t="inlineStr">
        <is>
          <t xml:space="preserve">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t>
        </is>
      </c>
      <c r="M291" s="4" t="inlineStr">
        <is>
          <t>https://doi.org/10.2196/74440</t>
        </is>
      </c>
      <c r="N291" s="4" t="n"/>
      <c r="O291" s="4" t="n"/>
      <c r="P291" s="4" t="n"/>
      <c r="Q291" s="12" t="n"/>
      <c r="R291" s="41" t="n"/>
      <c r="S291" s="4" t="inlineStr">
        <is>
          <t>0 = no reported evidence in material assessed; blank = not coded/unknown; neither proves absence</t>
        </is>
      </c>
      <c r="T291" s="4">
        <f>IF(COUNTIFS('ESTUDIOS'!$A$2:$A$455,$A291,'ESTUDIOS'!$I$2:$I$455,"")&gt;0,"",INDEX('ESTUDIOS'!$I$2:$I$455,MATCH($A291,'ESTUDIOS'!$A$2:$A$455,0)))</f>
        <v/>
      </c>
    </row>
    <row r="292" ht="86" customHeight="1">
      <c r="A292" s="4" t="inlineStr">
        <is>
          <t>new_173</t>
        </is>
      </c>
      <c r="B292" s="4" t="inlineStr">
        <is>
          <t>Update</t>
        </is>
      </c>
      <c r="C292" s="4" t="inlineStr">
        <is>
          <t>From Click to Chat: A Comparative, Bilingual Study of Autism-Related Information on Websites and General-Purpose AI Chatbots (Preprint)</t>
        </is>
      </c>
      <c r="D292" s="4" t="n">
        <v>0</v>
      </c>
      <c r="E292" s="4" t="n">
        <v>0</v>
      </c>
      <c r="F292" s="4" t="n">
        <v>0</v>
      </c>
      <c r="G292" s="4" t="n">
        <v>0</v>
      </c>
      <c r="H292" s="4" t="n">
        <v>0</v>
      </c>
      <c r="I292" s="4" t="n">
        <v>0</v>
      </c>
      <c r="J292" s="4" t="n">
        <v>0</v>
      </c>
      <c r="K292" s="4" t="inlineStr">
        <is>
          <t>Inherited scoped adjudication; see source level and lot caveats</t>
        </is>
      </c>
      <c r="L292" s="4" t="str"/>
      <c r="M292" s="4" t="inlineStr">
        <is>
          <t>https://doi.org/10.2196/85196</t>
        </is>
      </c>
      <c r="N292" s="4" t="n"/>
      <c r="O292" s="4" t="n"/>
      <c r="P292" s="4" t="n"/>
      <c r="Q292" s="12" t="n"/>
      <c r="R292" s="41" t="n"/>
      <c r="S292" s="4" t="inlineStr">
        <is>
          <t>0 = no reported evidence in material assessed; blank = not coded/unknown; neither proves absence</t>
        </is>
      </c>
      <c r="T292" s="4">
        <f>IF(COUNTIFS('ESTUDIOS'!$A$2:$A$455,$A292,'ESTUDIOS'!$I$2:$I$455,"")&gt;0,"",INDEX('ESTUDIOS'!$I$2:$I$455,MATCH($A292,'ESTUDIOS'!$A$2:$A$455,0)))</f>
        <v/>
      </c>
    </row>
    <row r="293" ht="112" customHeight="1">
      <c r="A293" s="4" t="inlineStr">
        <is>
          <t>new_179</t>
        </is>
      </c>
      <c r="B293" s="4" t="inlineStr">
        <is>
          <t>Update</t>
        </is>
      </c>
      <c r="C293" s="4" t="inlineStr">
        <is>
          <t>Free Water Corrected Diffusion Magnetic Resonance Imaging Reveals Microstructural Alterations in Corpus Callosum Subregions of Preschool Children With Autism</t>
        </is>
      </c>
      <c r="D293" s="4" t="n">
        <v>1</v>
      </c>
      <c r="E293" s="4" t="n">
        <v>0</v>
      </c>
      <c r="F293" s="4" t="n">
        <v>0</v>
      </c>
      <c r="G293" s="4" t="n">
        <v>0</v>
      </c>
      <c r="H293" s="4" t="n">
        <v>0</v>
      </c>
      <c r="I293" s="4" t="n">
        <v>0</v>
      </c>
      <c r="J293" s="4" t="n">
        <v>0</v>
      </c>
      <c r="K293" s="4" t="inlineStr">
        <is>
          <t>Inherited scoped adjudication; see source level and lot caveats</t>
        </is>
      </c>
      <c r="L293" s="4" t="inlineStr">
        <is>
          <t>Autism spectrum disorder (ASD) is associated with white matter microstructural abnormalities, particularly in the corpus callosum (CC). This study employed free water corrected diffusion magnetic resonance imaging (fwc-dMRI) to investigate CC subregion-specific microstructural alterations in preschool children with ASD, which mitigates partial volume effects from extracellular free water. Sixty-one ASD children (6.03 ± 1.08 years) and 62 typicall</t>
        </is>
      </c>
      <c r="M293" s="4" t="inlineStr">
        <is>
          <t>https://doi.org/10.1002/hbm.70435</t>
        </is>
      </c>
      <c r="N293" s="4" t="n"/>
      <c r="O293" s="4" t="n"/>
      <c r="P293" s="4" t="n"/>
      <c r="Q293" s="12" t="n"/>
      <c r="R293" s="41" t="n"/>
      <c r="S293" s="4" t="inlineStr">
        <is>
          <t>0 = no reported evidence in material assessed; blank = not coded/unknown; neither proves absence</t>
        </is>
      </c>
      <c r="T293" s="4">
        <f>IF(COUNTIFS('ESTUDIOS'!$A$2:$A$455,$A293,'ESTUDIOS'!$I$2:$I$455,"")&gt;0,"",INDEX('ESTUDIOS'!$I$2:$I$455,MATCH($A293,'ESTUDIOS'!$A$2:$A$455,0)))</f>
        <v/>
      </c>
    </row>
    <row r="294" ht="112" customHeight="1">
      <c r="A294" s="4" t="inlineStr">
        <is>
          <t>new_182</t>
        </is>
      </c>
      <c r="B294" s="4" t="inlineStr">
        <is>
          <t>Update</t>
        </is>
      </c>
      <c r="C294" s="4" t="inlineStr">
        <is>
          <t>Label leakage unmasked: a trustworthy-AI audit of autism screening models using the CLEAR-RD framework.</t>
        </is>
      </c>
      <c r="D294" s="4" t="n">
        <v>0</v>
      </c>
      <c r="E294" s="4" t="n">
        <v>0</v>
      </c>
      <c r="F294" s="4" t="n">
        <v>0</v>
      </c>
      <c r="G294" s="4" t="n">
        <v>0</v>
      </c>
      <c r="H294" s="4" t="n">
        <v>0</v>
      </c>
      <c r="I294" s="4" t="n">
        <v>1</v>
      </c>
      <c r="J294" s="4" t="n">
        <v>0</v>
      </c>
      <c r="K294" s="4" t="inlineStr">
        <is>
          <t>Inherited scoped adjudication; see source level and lot caveats</t>
        </is>
      </c>
      <c r="L294" s="4" t="inlineStr">
        <is>
          <t xml:space="preserve">Trustworthy pediatric screening AI needs more than accuracy: label validity, calibration, subgroup robustness, and clinical-scope limits. We propose Clear-Rd (Clinical Leakage Evaluation and Audit Routine for Rule-Derived labels), a five-stage framework-Configure, Lift, Evaluate, Audit, Report-and apply it to two public autism-screening datasets-Q-CHAT-10 toddler (N = 1054) and AQ-10 child/adolescent/adult (N = 6075)-merged into a unified cohort </t>
        </is>
      </c>
      <c r="M294" s="4" t="inlineStr">
        <is>
          <t>https://doi.org/10.3389/fpubh.2026.1881829</t>
        </is>
      </c>
      <c r="N294" s="4" t="n"/>
      <c r="O294" s="4" t="n"/>
      <c r="P294" s="4" t="n"/>
      <c r="Q294" s="12" t="n"/>
      <c r="R294" s="41" t="n"/>
      <c r="S294" s="4" t="inlineStr">
        <is>
          <t>0 = no reported evidence in material assessed; blank = not coded/unknown; neither proves absence</t>
        </is>
      </c>
      <c r="T294" s="4">
        <f>IF(COUNTIFS('ESTUDIOS'!$A$2:$A$455,$A294,'ESTUDIOS'!$I$2:$I$455,"")&gt;0,"",INDEX('ESTUDIOS'!$I$2:$I$455,MATCH($A294,'ESTUDIOS'!$A$2:$A$455,0)))</f>
        <v/>
      </c>
    </row>
    <row r="295" ht="112" customHeight="1">
      <c r="A295" s="4" t="inlineStr">
        <is>
          <t>new_185</t>
        </is>
      </c>
      <c r="B295" s="4" t="inlineStr">
        <is>
          <t>Update</t>
        </is>
      </c>
      <c r="C295" s="4" t="inlineStr">
        <is>
          <t>Early multimodal behavioral cues in autism: a micro-analytical exploration of actions, gestures and speech during naturalistic parent-child interactions</t>
        </is>
      </c>
      <c r="D295" s="4" t="n">
        <v>0</v>
      </c>
      <c r="E295" s="4" t="n">
        <v>0</v>
      </c>
      <c r="F295" s="4" t="n">
        <v>0</v>
      </c>
      <c r="G295" s="4" t="n">
        <v>0</v>
      </c>
      <c r="H295" s="4" t="n">
        <v>1</v>
      </c>
      <c r="I295" s="4" t="n">
        <v>0</v>
      </c>
      <c r="J295" s="4" t="n">
        <v>1</v>
      </c>
      <c r="K295" s="4" t="inlineStr">
        <is>
          <t>Inherited scoped adjudication; see source level and lot caveats</t>
        </is>
      </c>
      <c r="L295" s="4" t="inlineStr">
        <is>
          <t>Early signs of autism often emerge through distinct developmental pathways, particularly in communication, social interaction, and play. While naturalistic parent-child interactions during free play are ideal for observing spontaneous social behaviors, few autism studies have adopted this ecological and developmental approach. To address this gap, we used a fine-grained microanalytic method to examine motor, gestural, and vocal behaviors in young</t>
        </is>
      </c>
      <c r="M295" s="4" t="inlineStr">
        <is>
          <t>https://doi.org/10.1016/j.ijchp.2026.100664</t>
        </is>
      </c>
      <c r="N295" s="4" t="n"/>
      <c r="O295" s="4" t="n"/>
      <c r="P295" s="4" t="n"/>
      <c r="Q295" s="12" t="n"/>
      <c r="R295" s="41" t="n"/>
      <c r="S295" s="4" t="inlineStr">
        <is>
          <t>0 = no reported evidence in material assessed; blank = not coded/unknown; neither proves absence</t>
        </is>
      </c>
      <c r="T295" s="4">
        <f>IF(COUNTIFS('ESTUDIOS'!$A$2:$A$455,$A295,'ESTUDIOS'!$I$2:$I$455,"")&gt;0,"",INDEX('ESTUDIOS'!$I$2:$I$455,MATCH($A295,'ESTUDIOS'!$A$2:$A$455,0)))</f>
        <v/>
      </c>
    </row>
    <row r="296" ht="112" customHeight="1">
      <c r="A296" s="4" t="inlineStr">
        <is>
          <t>new_186</t>
        </is>
      </c>
      <c r="B296" s="4" t="inlineStr">
        <is>
          <t>Update</t>
        </is>
      </c>
      <c r="C296" s="4" t="inlineStr">
        <is>
          <t>Mood instability and mental health service use in autism and attention-deficit/hyperactivity disorder: a natural language processing analysis of CRIS electronic healthcare records from 21 906 children and adolescents.</t>
        </is>
      </c>
      <c r="D296" s="4" t="n">
        <v>0</v>
      </c>
      <c r="E296" s="4" t="n">
        <v>0</v>
      </c>
      <c r="F296" s="4" t="n">
        <v>0</v>
      </c>
      <c r="G296" s="4" t="n">
        <v>0</v>
      </c>
      <c r="H296" s="4" t="n">
        <v>0</v>
      </c>
      <c r="I296" s="4" t="n">
        <v>0</v>
      </c>
      <c r="J296" s="4" t="n">
        <v>0</v>
      </c>
      <c r="K296" s="4" t="inlineStr">
        <is>
          <t>Inherited scoped adjudication; see source level and lot caveats</t>
        </is>
      </c>
      <c r="L296" s="4" t="inlineStr">
        <is>
          <t>BACKGROUND Children and young people (CYP) with neurodevelopmental diagnoses such as autism spectrum disorder (ASD) and attention-deficit/hyperactivity disorder (ADHD) have high child and adolescent mental health service (CAMHS) needs. Mood instability is a common and impairing emotion dysregulation-related symptom linked to increased adult psychiatric service use; however, its role in CAMHS trajectories remains unclear. We aimed to examine wheth</t>
        </is>
      </c>
      <c r="M296" s="4" t="inlineStr">
        <is>
          <t>https://doi.org/10.1136/bmjment-2026-302488</t>
        </is>
      </c>
      <c r="N296" s="4" t="n"/>
      <c r="O296" s="4" t="n"/>
      <c r="P296" s="4" t="n"/>
      <c r="Q296" s="12" t="n"/>
      <c r="R296" s="41" t="n"/>
      <c r="S296" s="4" t="inlineStr">
        <is>
          <t>0 = no reported evidence in material assessed; blank = not coded/unknown; neither proves absence</t>
        </is>
      </c>
      <c r="T296" s="4">
        <f>IF(COUNTIFS('ESTUDIOS'!$A$2:$A$455,$A296,'ESTUDIOS'!$I$2:$I$455,"")&gt;0,"",INDEX('ESTUDIOS'!$I$2:$I$455,MATCH($A296,'ESTUDIOS'!$A$2:$A$455,0)))</f>
        <v/>
      </c>
    </row>
    <row r="297" ht="112" customHeight="1">
      <c r="A297" s="4" t="inlineStr">
        <is>
          <t>new_191</t>
        </is>
      </c>
      <c r="B297" s="4" t="inlineStr">
        <is>
          <t>Update</t>
        </is>
      </c>
      <c r="C297" s="4" t="inlineStr">
        <is>
          <t>A functional system-informed graph neural network framework to quantify interpretable brain dysfunction in ASD</t>
        </is>
      </c>
      <c r="D297" s="4" t="n">
        <v>0</v>
      </c>
      <c r="E297" s="4" t="n">
        <v>1</v>
      </c>
      <c r="F297" s="4" t="n">
        <v>0</v>
      </c>
      <c r="G297" s="4" t="n">
        <v>0</v>
      </c>
      <c r="H297" s="4" t="n">
        <v>0</v>
      </c>
      <c r="I297" s="4" t="n">
        <v>1</v>
      </c>
      <c r="J297" s="4" t="n">
        <v>0</v>
      </c>
      <c r="K297" s="4" t="inlineStr">
        <is>
          <t>Inherited scoped adjudication; see source level and lot caveats</t>
        </is>
      </c>
      <c r="L297" s="4" t="inlineStr">
        <is>
          <t>Autism Spectrum Disorder (ASD) is one of the most common neurodevelopmental disorders affecting patients from childhood to adulthood. Yet, its pathological mechanism has not been conclusively established, and its diagnosis mainly depends on subjective assessments of clinical or behavioral measures. In the human brain, connectivity is ubiquitous between brain regions that share functional properties, and groups of brain regions spontaneously assem</t>
        </is>
      </c>
      <c r="M297" s="4" t="inlineStr">
        <is>
          <t>https://doi.org/10.1016/j.neunet.2025.108295</t>
        </is>
      </c>
      <c r="N297" s="4" t="n"/>
      <c r="O297" s="4" t="n"/>
      <c r="P297" s="4" t="n"/>
      <c r="Q297" s="12" t="n"/>
      <c r="R297" s="41" t="n"/>
      <c r="S297" s="4" t="inlineStr">
        <is>
          <t>0 = no reported evidence in material assessed; blank = not coded/unknown; neither proves absence</t>
        </is>
      </c>
      <c r="T297" s="4">
        <f>IF(COUNTIFS('ESTUDIOS'!$A$2:$A$455,$A297,'ESTUDIOS'!$I$2:$I$455,"")&gt;0,"",INDEX('ESTUDIOS'!$I$2:$I$455,MATCH($A297,'ESTUDIOS'!$A$2:$A$455,0)))</f>
        <v/>
      </c>
    </row>
    <row r="298" ht="112" customHeight="1">
      <c r="A298" s="4" t="inlineStr">
        <is>
          <t>new_197</t>
        </is>
      </c>
      <c r="B298" s="4" t="inlineStr">
        <is>
          <t>Update</t>
        </is>
      </c>
      <c r="C298" s="4" t="inlineStr">
        <is>
          <t>Deep learning for autism detection using clinical notes: A comparison of transfer learning for a transparent and black-box approach</t>
        </is>
      </c>
      <c r="D298" s="4" t="n">
        <v>1</v>
      </c>
      <c r="E298" s="4" t="n">
        <v>0</v>
      </c>
      <c r="F298" s="4" t="n">
        <v>0</v>
      </c>
      <c r="G298" s="4" t="n">
        <v>0</v>
      </c>
      <c r="H298" s="4" t="n">
        <v>0</v>
      </c>
      <c r="I298" s="4" t="n">
        <v>1</v>
      </c>
      <c r="J298" s="4" t="n">
        <v>0</v>
      </c>
      <c r="K298" s="4" t="inlineStr">
        <is>
          <t>Inherited scoped adjudication; see source level and lot caveats</t>
        </is>
      </c>
      <c r="L298" s="4" t="inlineStr">
        <is>
          <t>Autism spectrum disorder (ASD) is a complex neurodevelopmental condition whose rising prevalence places increasing demands on a lengthy diagnostic process. Machine learning (ML) has shown promise in automating ASD diagnosis, but most existing models operate as black boxes and are typically trained on a single dataset, limiting their generalizability. In this study, we introduce a transparent and interpretable ML approach that leverages BioBERT, a</t>
        </is>
      </c>
      <c r="M298" s="4" t="inlineStr">
        <is>
          <t>https://doi.org/10.1016/j.artmed.2025.103318</t>
        </is>
      </c>
      <c r="N298" s="4" t="n"/>
      <c r="O298" s="4" t="n"/>
      <c r="P298" s="4" t="n"/>
      <c r="Q298" s="12" t="n"/>
      <c r="R298" s="41" t="n"/>
      <c r="S298" s="4" t="inlineStr">
        <is>
          <t>0 = no reported evidence in material assessed; blank = not coded/unknown; neither proves absence</t>
        </is>
      </c>
      <c r="T298" s="4">
        <f>IF(COUNTIFS('ESTUDIOS'!$A$2:$A$455,$A298,'ESTUDIOS'!$I$2:$I$455,"")&gt;0,"",INDEX('ESTUDIOS'!$I$2:$I$455,MATCH($A298,'ESTUDIOS'!$A$2:$A$455,0)))</f>
        <v/>
      </c>
    </row>
    <row r="299" ht="112" customHeight="1">
      <c r="A299" s="4" t="inlineStr">
        <is>
          <t>new_200</t>
        </is>
      </c>
      <c r="B299" s="4" t="inlineStr">
        <is>
          <t>Update</t>
        </is>
      </c>
      <c r="C299" s="4" t="inlineStr">
        <is>
          <t>Finding the forest in the trees: Using machine learning and online cognitive and perceptual measures to predict adult autism diagnosis</t>
        </is>
      </c>
      <c r="D299" s="4" t="n">
        <v>0</v>
      </c>
      <c r="E299" s="4" t="n">
        <v>0</v>
      </c>
      <c r="F299" s="4" t="n">
        <v>0</v>
      </c>
      <c r="G299" s="4" t="n">
        <v>0</v>
      </c>
      <c r="H299" s="4" t="n">
        <v>0</v>
      </c>
      <c r="I299" s="4" t="n">
        <v>1</v>
      </c>
      <c r="J299" s="4" t="n">
        <v>0</v>
      </c>
      <c r="K299" s="4" t="inlineStr">
        <is>
          <t>Inherited scoped adjudication; see source level and lot caveats</t>
        </is>
      </c>
      <c r="L299" s="4" t="inlineStr">
        <is>
          <t>Traditional subjective measures are limited in the insight they provide into underlying behavioral differences associated with autism and, accordingly, their ability to predict diagnosis. Performance-based measures offer an attractive alternative, being designed to capture neuropsychological constructs more directly and objectively. However, due to the heterogeneity of autism, differences in any one specific neuropsychological domain are inconsis</t>
        </is>
      </c>
      <c r="M299" s="4" t="inlineStr">
        <is>
          <t>https://doi.org/10.1038/s41398-026-03823-y</t>
        </is>
      </c>
      <c r="N299" s="4" t="n"/>
      <c r="O299" s="4" t="n"/>
      <c r="P299" s="4" t="n"/>
      <c r="Q299" s="12" t="n"/>
      <c r="R299" s="41" t="n"/>
      <c r="S299" s="4" t="inlineStr">
        <is>
          <t>0 = no reported evidence in material assessed; blank = not coded/unknown; neither proves absence</t>
        </is>
      </c>
      <c r="T299" s="4">
        <f>IF(COUNTIFS('ESTUDIOS'!$A$2:$A$455,$A299,'ESTUDIOS'!$I$2:$I$455,"")&gt;0,"",INDEX('ESTUDIOS'!$I$2:$I$455,MATCH($A299,'ESTUDIOS'!$A$2:$A$455,0)))</f>
        <v/>
      </c>
    </row>
    <row r="300" ht="112" customHeight="1">
      <c r="A300" s="4" t="inlineStr">
        <is>
          <t>new_210</t>
        </is>
      </c>
      <c r="B300" s="4" t="inlineStr">
        <is>
          <t>Update</t>
        </is>
      </c>
      <c r="C300" s="4" t="inlineStr">
        <is>
          <t>Biomarker Discovery for Autism Prediction Using Massive Feature Extraction Based on EEG Signals</t>
        </is>
      </c>
      <c r="D300" s="4" t="n">
        <v>0</v>
      </c>
      <c r="E300" s="4" t="n">
        <v>0</v>
      </c>
      <c r="F300" s="4" t="n">
        <v>0</v>
      </c>
      <c r="G300" s="4" t="n">
        <v>0</v>
      </c>
      <c r="H300" s="4" t="n">
        <v>1</v>
      </c>
      <c r="I300" s="4" t="n">
        <v>0</v>
      </c>
      <c r="J300" s="4" t="n">
        <v>0</v>
      </c>
      <c r="K300" s="4" t="inlineStr">
        <is>
          <t>Inherited scoped adjudication; see source level and lot caveats</t>
        </is>
      </c>
      <c r="L300" s="4" t="inlineStr">
        <is>
          <t>Autism spectrum disorder (ASD) is a heterogeneous neurodevelopmental disorder that requires early diagnosis for better intervention. However, current clinical behavioural examinations are time-consuming and prone to human error. Objective and effective biomarkers are essential for the diagnosis and prognosis of the disorder. Electroencephalography (EEG) is a non-invasive and inexpensive brain-imaging technique that is widely applied in the diagno</t>
        </is>
      </c>
      <c r="M300" s="4" t="inlineStr">
        <is>
          <t>https://doi.org/10.3390/s26061862</t>
        </is>
      </c>
      <c r="N300" s="4" t="n"/>
      <c r="O300" s="4" t="n"/>
      <c r="P300" s="4" t="n"/>
      <c r="Q300" s="12" t="n"/>
      <c r="R300" s="41" t="n"/>
      <c r="S300" s="4" t="inlineStr">
        <is>
          <t>0 = no reported evidence in material assessed; blank = not coded/unknown; neither proves absence</t>
        </is>
      </c>
      <c r="T300" s="4">
        <f>IF(COUNTIFS('ESTUDIOS'!$A$2:$A$455,$A300,'ESTUDIOS'!$I$2:$I$455,"")&gt;0,"",INDEX('ESTUDIOS'!$I$2:$I$455,MATCH($A300,'ESTUDIOS'!$A$2:$A$455,0)))</f>
        <v/>
      </c>
    </row>
    <row r="301" ht="112" customHeight="1">
      <c r="A301" s="4" t="inlineStr">
        <is>
          <t>new_212</t>
        </is>
      </c>
      <c r="B301" s="4" t="inlineStr">
        <is>
          <t>Update</t>
        </is>
      </c>
      <c r="C301" s="4" t="inlineStr">
        <is>
          <t>Comparison of cognitive ability and its distribution between men with autism spectrum disorder and attention-deficit/hyperactivity disorder</t>
        </is>
      </c>
      <c r="D301" s="4" t="n">
        <v>0</v>
      </c>
      <c r="E301" s="4" t="n">
        <v>0</v>
      </c>
      <c r="F301" s="4" t="n">
        <v>0</v>
      </c>
      <c r="G301" s="4" t="n">
        <v>0</v>
      </c>
      <c r="H301" s="4" t="n">
        <v>0</v>
      </c>
      <c r="I301" s="4" t="n">
        <v>0</v>
      </c>
      <c r="J301" s="4" t="n">
        <v>0</v>
      </c>
      <c r="K301" s="4" t="inlineStr">
        <is>
          <t>Inherited scoped adjudication; see source level and lot caveats</t>
        </is>
      </c>
      <c r="L301" s="4" t="inlineStr">
        <is>
          <t>Objectives Clarification of the strengths and weaknesses of cognitive ability is essential to our understanding of the characteristics of autism spectrum disorder and attention deficit/ hyperactivity disorder. However, whether individuals with these conditions exhibit distinct patterns of cognitive ability remains unclear. To address this point, we aimed to compare the cognitive profiles of patients with autism spectrum disorder with those of pat</t>
        </is>
      </c>
      <c r="M301" s="4" t="inlineStr">
        <is>
          <t>https://doi.org/10.1371/journal.pone.0345522</t>
        </is>
      </c>
      <c r="N301" s="4" t="n"/>
      <c r="O301" s="4" t="n"/>
      <c r="P301" s="4" t="n"/>
      <c r="Q301" s="12" t="n"/>
      <c r="R301" s="41" t="n"/>
      <c r="S301" s="4" t="inlineStr">
        <is>
          <t>0 = no reported evidence in material assessed; blank = not coded/unknown; neither proves absence</t>
        </is>
      </c>
      <c r="T301" s="4">
        <f>IF(COUNTIFS('ESTUDIOS'!$A$2:$A$455,$A301,'ESTUDIOS'!$I$2:$I$455,"")&gt;0,"",INDEX('ESTUDIOS'!$I$2:$I$455,MATCH($A301,'ESTUDIOS'!$A$2:$A$455,0)))</f>
        <v/>
      </c>
    </row>
    <row r="302" ht="112" customHeight="1">
      <c r="A302" s="4" t="inlineStr">
        <is>
          <t>new_214</t>
        </is>
      </c>
      <c r="B302" s="4" t="inlineStr">
        <is>
          <t>Update</t>
        </is>
      </c>
      <c r="C302" s="4" t="inlineStr">
        <is>
          <t>Hippocampal Subregion Function and Its Clinical Correlations in Childhood Autism Spectrum Disorders</t>
        </is>
      </c>
      <c r="D302" s="4" t="n">
        <v>0</v>
      </c>
      <c r="E302" s="4" t="n">
        <v>1</v>
      </c>
      <c r="F302" s="4" t="n">
        <v>0</v>
      </c>
      <c r="G302" s="4" t="n">
        <v>0</v>
      </c>
      <c r="H302" s="4" t="n">
        <v>0</v>
      </c>
      <c r="I302" s="4" t="n">
        <v>0</v>
      </c>
      <c r="J302" s="4" t="n">
        <v>0</v>
      </c>
      <c r="K302" s="4" t="inlineStr">
        <is>
          <t>Inherited scoped adjudication; see source level and lot caveats</t>
        </is>
      </c>
      <c r="L302" s="4" t="inlineStr">
        <is>
          <t>The hippocampus plays a crucial role in memory and social processing, both of which are impaired in autism spectrum disorder (ASD). Investigating the functional activity of hippocampal subregions can provide valuable insights into their involvement in ASD-related social and behavioral symptoms. This study analyzed hippocampal resting-state functional connectivity (rsFC) in 507 male child participants from the ABIDE dataset (225 ASD, 282 typical c</t>
        </is>
      </c>
      <c r="M302" s="4" t="inlineStr">
        <is>
          <t>https://doi.org/10.1002/aur.70124</t>
        </is>
      </c>
      <c r="N302" s="4" t="n"/>
      <c r="O302" s="4" t="n"/>
      <c r="P302" s="4" t="n"/>
      <c r="Q302" s="12" t="n"/>
      <c r="R302" s="41" t="n"/>
      <c r="S302" s="4" t="inlineStr">
        <is>
          <t>0 = no reported evidence in material assessed; blank = not coded/unknown; neither proves absence</t>
        </is>
      </c>
      <c r="T302" s="4">
        <f>IF(COUNTIFS('ESTUDIOS'!$A$2:$A$455,$A302,'ESTUDIOS'!$I$2:$I$455,"")&gt;0,"",INDEX('ESTUDIOS'!$I$2:$I$455,MATCH($A302,'ESTUDIOS'!$A$2:$A$455,0)))</f>
        <v/>
      </c>
    </row>
    <row r="303" ht="112" customHeight="1">
      <c r="A303" s="4" t="inlineStr">
        <is>
          <t>new_216</t>
        </is>
      </c>
      <c r="B303" s="4" t="inlineStr">
        <is>
          <t>Update</t>
        </is>
      </c>
      <c r="C303" s="4" t="inlineStr">
        <is>
          <t>Parental Stress and Caregiver Role Modulate Child–Caregiver Prosodic Synchrony in Autism: A Computational Analysis</t>
        </is>
      </c>
      <c r="D303" s="4" t="n">
        <v>0</v>
      </c>
      <c r="E303" s="4" t="n">
        <v>0</v>
      </c>
      <c r="F303" s="4" t="n">
        <v>0</v>
      </c>
      <c r="G303" s="4" t="n">
        <v>0</v>
      </c>
      <c r="H303" s="4" t="n">
        <v>0</v>
      </c>
      <c r="I303" s="4" t="n">
        <v>0</v>
      </c>
      <c r="J303" s="4" t="n">
        <v>0</v>
      </c>
      <c r="K303" s="4" t="inlineStr">
        <is>
          <t>Inherited scoped adjudication; see source level and lot caveats</t>
        </is>
      </c>
      <c r="L303" s="4" t="inlineStr">
        <is>
          <t>Parental stress influences parent–child interactions in typical development and is a prognostic factor of autism outcome. However, we still do not know to what extent parental stress affects parent–child interactions and whether caregiver role matters. This study explored the relationship between parental stress and prosodic synchrony in parent–child vocal interactions, drawing on complex dynamic systems and affective computing frameworks. We ass</t>
        </is>
      </c>
      <c r="M303" s="4" t="inlineStr">
        <is>
          <t>https://doi.org/10.1002/aur.70189</t>
        </is>
      </c>
      <c r="N303" s="4" t="n"/>
      <c r="O303" s="4" t="n"/>
      <c r="P303" s="4" t="n"/>
      <c r="Q303" s="12" t="n"/>
      <c r="R303" s="41" t="n"/>
      <c r="S303" s="4" t="inlineStr">
        <is>
          <t>0 = no reported evidence in material assessed; blank = not coded/unknown; neither proves absence</t>
        </is>
      </c>
      <c r="T303" s="4">
        <f>IF(COUNTIFS('ESTUDIOS'!$A$2:$A$455,$A303,'ESTUDIOS'!$I$2:$I$455,"")&gt;0,"",INDEX('ESTUDIOS'!$I$2:$I$455,MATCH($A303,'ESTUDIOS'!$A$2:$A$455,0)))</f>
        <v/>
      </c>
    </row>
    <row r="304" ht="112" customHeight="1">
      <c r="A304" s="4" t="inlineStr">
        <is>
          <t>new_217</t>
        </is>
      </c>
      <c r="B304" s="4" t="inlineStr">
        <is>
          <t>Update</t>
        </is>
      </c>
      <c r="C304" s="4" t="inlineStr">
        <is>
          <t>Predicting brain age in children aged 2–6 years with autism spectrum disorders using routine T1- and T2-weighted magnetic resonance imaging</t>
        </is>
      </c>
      <c r="D304" s="4" t="n">
        <v>1</v>
      </c>
      <c r="E304" s="4" t="n">
        <v>0</v>
      </c>
      <c r="F304" s="4" t="n">
        <v>0</v>
      </c>
      <c r="G304" s="4" t="n">
        <v>0</v>
      </c>
      <c r="H304" s="4" t="n">
        <v>0</v>
      </c>
      <c r="I304" s="4" t="n">
        <v>0</v>
      </c>
      <c r="J304" s="4" t="n">
        <v>0</v>
      </c>
      <c r="K304" s="4" t="inlineStr">
        <is>
          <t>Inherited scoped adjudication; see source level and lot caveats</t>
        </is>
      </c>
      <c r="L304" s="4" t="inlineStr">
        <is>
          <t>Importance: Early childhood (ages 2–6 years) represents a dynamic phase of brain maturation and a critical window for the emergence of neurodevelopmental disorders, such as autism spectrum disorder (ASD). However, the maturational patterns of the brain during this period remain underexplored, especially regarding the utility of routine clinical imaging. Objective: To develop a brain age prediction model using routine magnetic resonance imaging (M</t>
        </is>
      </c>
      <c r="M304" s="4" t="inlineStr">
        <is>
          <t>https://doi.org/10.1002/ped4.70064</t>
        </is>
      </c>
      <c r="N304" s="4" t="n"/>
      <c r="O304" s="4" t="n"/>
      <c r="P304" s="4" t="n"/>
      <c r="Q304" s="12" t="n"/>
      <c r="R304" s="41" t="n"/>
      <c r="S304" s="4" t="inlineStr">
        <is>
          <t>0 = no reported evidence in material assessed; blank = not coded/unknown; neither proves absence</t>
        </is>
      </c>
      <c r="T304" s="4">
        <f>IF(COUNTIFS('ESTUDIOS'!$A$2:$A$455,$A304,'ESTUDIOS'!$I$2:$I$455,"")&gt;0,"",INDEX('ESTUDIOS'!$I$2:$I$455,MATCH($A304,'ESTUDIOS'!$A$2:$A$455,0)))</f>
        <v/>
      </c>
    </row>
    <row r="305" ht="112" customHeight="1">
      <c r="A305" s="4" t="inlineStr">
        <is>
          <t>new_228</t>
        </is>
      </c>
      <c r="B305" s="4" t="inlineStr">
        <is>
          <t>Update</t>
        </is>
      </c>
      <c r="C305" s="4" t="inlineStr">
        <is>
          <t>Unveiling Diagnostic Biomarkers in Autism: A Comparative Proteome Analysis of CNTNAP2 Knockout Mice and Human ASD Patients</t>
        </is>
      </c>
      <c r="D305" s="4" t="n">
        <v>0</v>
      </c>
      <c r="E305" s="4" t="n">
        <v>0</v>
      </c>
      <c r="F305" s="4" t="n">
        <v>0</v>
      </c>
      <c r="G305" s="4" t="n">
        <v>0</v>
      </c>
      <c r="H305" s="4" t="n">
        <v>0</v>
      </c>
      <c r="I305" s="4" t="n">
        <v>1</v>
      </c>
      <c r="J305" s="4" t="n">
        <v>1</v>
      </c>
      <c r="K305" s="4" t="inlineStr">
        <is>
          <t>Inherited scoped adjudication; see source level and lot caveats</t>
        </is>
      </c>
      <c r="L305" s="4" t="inlineStr">
        <is>
          <t>Autism Spectrum Disorder (ASD) is a biologically heterogeneous neurodevelopmental condition, presenting a major barrier to the identification of robust and translatable molecular biomarkers. Here, we employ a cross-species proteomic framework to identify conserved protein signatures associated with ASD. Quantitative proteomic profiling of brain and serum from CNTNAP2 knockout mice, integrated with serum proteomes from individuals with ASD, reveal</t>
        </is>
      </c>
      <c r="M305" s="4" t="inlineStr">
        <is>
          <t>https://doi.org/10.3390/biom16030340</t>
        </is>
      </c>
      <c r="N305" s="4" t="n"/>
      <c r="O305" s="4" t="n"/>
      <c r="P305" s="4" t="n"/>
      <c r="Q305" s="12" t="n"/>
      <c r="R305" s="41" t="n"/>
      <c r="S305" s="4" t="inlineStr">
        <is>
          <t>0 = no reported evidence in material assessed; blank = not coded/unknown; neither proves absence</t>
        </is>
      </c>
      <c r="T305" s="4">
        <f>IF(COUNTIFS('ESTUDIOS'!$A$2:$A$455,$A305,'ESTUDIOS'!$I$2:$I$455,"")&gt;0,"",INDEX('ESTUDIOS'!$I$2:$I$455,MATCH($A305,'ESTUDIOS'!$A$2:$A$455,0)))</f>
        <v/>
      </c>
    </row>
    <row r="306" ht="112" customHeight="1">
      <c r="A306" s="4" t="inlineStr">
        <is>
          <t>new_237</t>
        </is>
      </c>
      <c r="B306" s="4" t="inlineStr">
        <is>
          <t>Update</t>
        </is>
      </c>
      <c r="C306" s="4" t="inlineStr">
        <is>
          <t>Late Fusion Model for Emotion Recognition from Facial Expressions and Biosignals in a Dataset of Children with Autism Spectrum Disorder</t>
        </is>
      </c>
      <c r="D306" s="4" t="n">
        <v>0</v>
      </c>
      <c r="E306" s="4" t="n">
        <v>0</v>
      </c>
      <c r="F306" s="4" t="n">
        <v>0</v>
      </c>
      <c r="G306" s="4" t="n">
        <v>0</v>
      </c>
      <c r="H306" s="4" t="n">
        <v>0</v>
      </c>
      <c r="I306" s="4" t="n">
        <v>0</v>
      </c>
      <c r="J306" s="4" t="n">
        <v>1</v>
      </c>
      <c r="K306" s="4" t="inlineStr">
        <is>
          <t>Inherited scoped adjudication; see source level and lot caveats</t>
        </is>
      </c>
      <c r="L306" s="4" t="inlineStr">
        <is>
          <t xml:space="preserve">Children with autism spectrum disorder (ASD) often display atypical emotional expressions and physiological responses, making emotion recognition challenging. This study proposes a multimodal recognition model employing a late fusion framework combining facial expression with physiological measures: electrodermal activity (EDA), temperature (TEMP), and heart rate (HR). Emotional states are annotated using two complementary schemes derived from a </t>
        </is>
      </c>
      <c r="M306" s="4" t="inlineStr">
        <is>
          <t>https://doi.org/10.3390/s25247485</t>
        </is>
      </c>
      <c r="N306" s="4" t="n"/>
      <c r="O306" s="4" t="n"/>
      <c r="P306" s="4" t="n"/>
      <c r="Q306" s="12" t="n"/>
      <c r="R306" s="41" t="n"/>
      <c r="S306" s="4" t="inlineStr">
        <is>
          <t>0 = no reported evidence in material assessed; blank = not coded/unknown; neither proves absence</t>
        </is>
      </c>
      <c r="T306" s="4">
        <f>IF(COUNTIFS('ESTUDIOS'!$A$2:$A$455,$A306,'ESTUDIOS'!$I$2:$I$455,"")&gt;0,"",INDEX('ESTUDIOS'!$I$2:$I$455,MATCH($A306,'ESTUDIOS'!$A$2:$A$455,0)))</f>
        <v/>
      </c>
    </row>
    <row r="307" ht="112" customHeight="1">
      <c r="A307" s="4" t="inlineStr">
        <is>
          <t>new_247</t>
        </is>
      </c>
      <c r="B307" s="4" t="inlineStr">
        <is>
          <t>Update</t>
        </is>
      </c>
      <c r="C307" s="4" t="inlineStr">
        <is>
          <t>New intelligent music therapy method for applications of enhancing social skills of autism children based on TL-GCN and deep learning</t>
        </is>
      </c>
      <c r="D307" s="4" t="n">
        <v>0</v>
      </c>
      <c r="E307" s="4" t="n">
        <v>0</v>
      </c>
      <c r="F307" s="4" t="n">
        <v>0</v>
      </c>
      <c r="G307" s="4" t="n">
        <v>1</v>
      </c>
      <c r="H307" s="4" t="n">
        <v>0</v>
      </c>
      <c r="I307" s="4" t="n">
        <v>0</v>
      </c>
      <c r="J307" s="4" t="n">
        <v>1</v>
      </c>
      <c r="K307" s="4" t="inlineStr">
        <is>
          <t>Inherited scoped adjudication; see source level and lot caveats</t>
        </is>
      </c>
      <c r="L307" s="4" t="inlineStr">
        <is>
          <t>To address the long-standing challenges children with autism face in social skills and emotional regulation, this study introduces Emotion-based Music Intelligent Network (EmoMusik-Net)—a deep learning model designed for intelligent music therapy. The model focuses on emotional impairments exhibited during social interactions, integrating Transformer-based temporal modeling with a Transfer Learning-based Graph Convolutional Network (TL-GCN). This</t>
        </is>
      </c>
      <c r="M307" s="4" t="inlineStr">
        <is>
          <t>https://doi.org/10.1038/s41598-025-26307-3</t>
        </is>
      </c>
      <c r="N307" s="4" t="n"/>
      <c r="O307" s="4" t="n"/>
      <c r="P307" s="4" t="n"/>
      <c r="Q307" s="12" t="n"/>
      <c r="R307" s="41" t="n"/>
      <c r="S307" s="4" t="inlineStr">
        <is>
          <t>0 = no reported evidence in material assessed; blank = not coded/unknown; neither proves absence</t>
        </is>
      </c>
      <c r="T307" s="4">
        <f>IF(COUNTIFS('ESTUDIOS'!$A$2:$A$455,$A307,'ESTUDIOS'!$I$2:$I$455,"")&gt;0,"",INDEX('ESTUDIOS'!$I$2:$I$455,MATCH($A307,'ESTUDIOS'!$A$2:$A$455,0)))</f>
        <v/>
      </c>
    </row>
    <row r="308" ht="112" customHeight="1">
      <c r="A308" s="4" t="inlineStr">
        <is>
          <t>new_257</t>
        </is>
      </c>
      <c r="B308" s="4" t="inlineStr">
        <is>
          <t>Update</t>
        </is>
      </c>
      <c r="C308" s="4" t="inlineStr">
        <is>
          <t>The Use of the Social Robot LOVOT for Children with Autism Spectrum Disorder: A Feasibility Study</t>
        </is>
      </c>
      <c r="D308" s="4" t="n">
        <v>0</v>
      </c>
      <c r="E308" s="4" t="n">
        <v>0</v>
      </c>
      <c r="F308" s="4" t="n">
        <v>0</v>
      </c>
      <c r="G308" s="4" t="n">
        <v>1</v>
      </c>
      <c r="H308" s="4" t="n">
        <v>0</v>
      </c>
      <c r="I308" s="4" t="n">
        <v>0</v>
      </c>
      <c r="J308" s="4" t="n">
        <v>0</v>
      </c>
      <c r="K308" s="4" t="inlineStr">
        <is>
          <t>Inherited scoped adjudication; see source level and lot caveats</t>
        </is>
      </c>
      <c r="L308" s="4" t="inlineStr">
        <is>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t>
        </is>
      </c>
      <c r="M308" s="4" t="inlineStr">
        <is>
          <t>https://doi.org/10.3233/shti251499</t>
        </is>
      </c>
      <c r="N308" s="4" t="n"/>
      <c r="O308" s="4" t="n"/>
      <c r="P308" s="4" t="n"/>
      <c r="Q308" s="12" t="n"/>
      <c r="R308" s="41" t="n"/>
      <c r="S308" s="4" t="inlineStr">
        <is>
          <t>0 = no reported evidence in material assessed; blank = not coded/unknown; neither proves absence</t>
        </is>
      </c>
      <c r="T308" s="4">
        <f>IF(COUNTIFS('ESTUDIOS'!$A$2:$A$455,$A308,'ESTUDIOS'!$I$2:$I$455,"")&gt;0,"",INDEX('ESTUDIOS'!$I$2:$I$455,MATCH($A308,'ESTUDIOS'!$A$2:$A$455,0)))</f>
        <v/>
      </c>
    </row>
    <row r="309" ht="112" customHeight="1">
      <c r="A309" s="4" t="inlineStr">
        <is>
          <t>new_259</t>
        </is>
      </c>
      <c r="B309" s="4" t="inlineStr">
        <is>
          <t>Update</t>
        </is>
      </c>
      <c r="C309" s="4" t="inlineStr">
        <is>
          <t>Data-Driven and Explainable Discovery of Autism Spectrum Disorder Patterns Across Age Groups</t>
        </is>
      </c>
      <c r="D309" s="4" t="n">
        <v>0</v>
      </c>
      <c r="E309" s="4" t="n">
        <v>0</v>
      </c>
      <c r="F309" s="4" t="n">
        <v>0</v>
      </c>
      <c r="G309" s="4" t="n">
        <v>0</v>
      </c>
      <c r="H309" s="4" t="n">
        <v>0</v>
      </c>
      <c r="I309" s="4" t="n">
        <v>1</v>
      </c>
      <c r="J309" s="4" t="n">
        <v>0</v>
      </c>
      <c r="K309" s="4" t="inlineStr">
        <is>
          <t>Inherited scoped adjudication; see source level and lot caveats</t>
        </is>
      </c>
      <c r="L309" s="4" t="inlineStr">
        <is>
          <t xml:space="preserve">Autism Spectrum Disorder (ASD) presents a complex and diverse challenge, with difficulties in social communication and restricted interests manifesting differently among children, adolescents and adults. The traditional ASD diagnosis is often time consuming and resource intensive, delaying access to crucial interventions. Early detection of ASD is vital, as it enables timely referral for comprehensive assessment and supports interventions during </t>
        </is>
      </c>
      <c r="M309" s="4" t="inlineStr">
        <is>
          <t>https://doi.org/10.1155/hbe2/1923339</t>
        </is>
      </c>
      <c r="N309" s="4" t="n"/>
      <c r="O309" s="4" t="n"/>
      <c r="P309" s="4" t="n"/>
      <c r="Q309" s="12" t="n"/>
      <c r="R309" s="41" t="n"/>
      <c r="S309" s="4" t="inlineStr">
        <is>
          <t>0 = no reported evidence in material assessed; blank = not coded/unknown; neither proves absence</t>
        </is>
      </c>
      <c r="T309" s="4">
        <f>IF(COUNTIFS('ESTUDIOS'!$A$2:$A$455,$A309,'ESTUDIOS'!$I$2:$I$455,"")&gt;0,"",INDEX('ESTUDIOS'!$I$2:$I$455,MATCH($A309,'ESTUDIOS'!$A$2:$A$455,0)))</f>
        <v/>
      </c>
    </row>
    <row r="310" ht="112" customHeight="1">
      <c r="A310" s="4" t="inlineStr">
        <is>
          <t>new_261</t>
        </is>
      </c>
      <c r="B310" s="4" t="inlineStr">
        <is>
          <t>Update</t>
        </is>
      </c>
      <c r="C310" s="4" t="inlineStr">
        <is>
          <t>Artificial Intelligence Networks Combining Histopathology and Machine Learning Can Extract Axon Pathology in Autism Spectrum Disorder</t>
        </is>
      </c>
      <c r="D310" s="4" t="n">
        <v>0</v>
      </c>
      <c r="E310" s="4" t="n">
        <v>0</v>
      </c>
      <c r="F310" s="4" t="n">
        <v>0</v>
      </c>
      <c r="G310" s="4" t="n">
        <v>0</v>
      </c>
      <c r="H310" s="4" t="n">
        <v>1</v>
      </c>
      <c r="I310" s="4" t="n">
        <v>0</v>
      </c>
      <c r="J310" s="4" t="n">
        <v>1</v>
      </c>
      <c r="K310" s="4" t="inlineStr">
        <is>
          <t>Inherited scoped adjudication; see source level and lot caveats</t>
        </is>
      </c>
      <c r="L310" s="4" t="inlineStr">
        <is>
          <t>Axon features that underlie the structural and functional organization of cortical pathways have distinct patterns in the brains of neurotypical controls (CTR) compared to individuals with Autism Spectrum Disorder (ASD). However, detailed axon study demands labor-intensive surveys and time-consuming analysis of microscopic sections from postmortem human brain tissue, making it challenging to systematically examine large regions of the brain. To a</t>
        </is>
      </c>
      <c r="M310" s="4" t="inlineStr">
        <is>
          <t>https://doi.org/10.1002/aur.70135</t>
        </is>
      </c>
      <c r="N310" s="4" t="n"/>
      <c r="O310" s="4" t="n"/>
      <c r="P310" s="4" t="n"/>
      <c r="Q310" s="12" t="n"/>
      <c r="R310" s="41" t="n"/>
      <c r="S310" s="4" t="inlineStr">
        <is>
          <t>0 = no reported evidence in material assessed; blank = not coded/unknown; neither proves absence</t>
        </is>
      </c>
      <c r="T310" s="4">
        <f>IF(COUNTIFS('ESTUDIOS'!$A$2:$A$455,$A310,'ESTUDIOS'!$I$2:$I$455,"")&gt;0,"",INDEX('ESTUDIOS'!$I$2:$I$455,MATCH($A310,'ESTUDIOS'!$A$2:$A$455,0)))</f>
        <v/>
      </c>
    </row>
    <row r="311" ht="112" customHeight="1">
      <c r="A311" s="4" t="inlineStr">
        <is>
          <t>new_262</t>
        </is>
      </c>
      <c r="B311" s="4" t="inlineStr">
        <is>
          <t>Update</t>
        </is>
      </c>
      <c r="C311" s="4" t="inlineStr">
        <is>
          <t>Profiling Chinese children with symptoms of SpLD, ADHD, or ASD: a transdiagnostic and biopsychosocial study</t>
        </is>
      </c>
      <c r="D311" s="4" t="n">
        <v>0</v>
      </c>
      <c r="E311" s="4" t="n">
        <v>0</v>
      </c>
      <c r="F311" s="4" t="n">
        <v>0</v>
      </c>
      <c r="G311" s="4" t="n">
        <v>0</v>
      </c>
      <c r="H311" s="4" t="n">
        <v>0</v>
      </c>
      <c r="I311" s="4" t="n">
        <v>1</v>
      </c>
      <c r="J311" s="4" t="n">
        <v>0</v>
      </c>
      <c r="K311" s="4" t="inlineStr">
        <is>
          <t>Inherited scoped adjudication; see source level and lot caveats</t>
        </is>
      </c>
      <c r="L311" s="4" t="inlineStr">
        <is>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t>
        </is>
      </c>
      <c r="M311" s="4" t="inlineStr">
        <is>
          <t>https://doi.org/10.1186/s12888-025-07754-8</t>
        </is>
      </c>
      <c r="N311" s="4" t="n"/>
      <c r="O311" s="4" t="n"/>
      <c r="P311" s="4" t="n"/>
      <c r="Q311" s="12" t="n"/>
      <c r="R311" s="41" t="n"/>
      <c r="S311" s="4" t="inlineStr">
        <is>
          <t>0 = no reported evidence in material assessed; blank = not coded/unknown; neither proves absence</t>
        </is>
      </c>
      <c r="T311" s="4">
        <f>IF(COUNTIFS('ESTUDIOS'!$A$2:$A$455,$A311,'ESTUDIOS'!$I$2:$I$455,"")&gt;0,"",INDEX('ESTUDIOS'!$I$2:$I$455,MATCH($A311,'ESTUDIOS'!$A$2:$A$455,0)))</f>
        <v/>
      </c>
    </row>
    <row r="312" ht="112" customHeight="1">
      <c r="A312" s="4" t="inlineStr">
        <is>
          <t>new_263</t>
        </is>
      </c>
      <c r="B312" s="4" t="inlineStr">
        <is>
          <t>Update</t>
        </is>
      </c>
      <c r="C312" s="4" t="inlineStr">
        <is>
          <t>Enhancing Psychological Assessments with Open-Ended Questionnaires and Large Language Models: An ASD Case Study</t>
        </is>
      </c>
      <c r="D312" s="4" t="n">
        <v>0</v>
      </c>
      <c r="E312" s="4" t="n">
        <v>0</v>
      </c>
      <c r="F312" s="4" t="n">
        <v>0</v>
      </c>
      <c r="G312" s="4" t="n">
        <v>0</v>
      </c>
      <c r="H312" s="4" t="n">
        <v>1</v>
      </c>
      <c r="I312" s="4" t="n">
        <v>0</v>
      </c>
      <c r="J312" s="4" t="n">
        <v>0</v>
      </c>
      <c r="K312" s="4" t="inlineStr">
        <is>
          <t>Inherited scoped adjudication; see source level and lot caveats</t>
        </is>
      </c>
      <c r="L312" s="4" t="inlineStr">
        <is>
          <t>Open-ended questionnaires allow respondents to express freely, capturing richer information than close-ended formats, but they are harder to analyze. Recent natural language processing advancements enable automatic assessment of open-ended responses, yet its use in psychological classification is underexplored. This study proposes a methodology using pre-trained large language models (LLMs) for automatic classification of open-ended questionnaire</t>
        </is>
      </c>
      <c r="M312" s="4" t="inlineStr">
        <is>
          <t>https://doi.org/10.1109/jbhi.2025.3599643</t>
        </is>
      </c>
      <c r="N312" s="4" t="n"/>
      <c r="O312" s="4" t="n"/>
      <c r="P312" s="4" t="n"/>
      <c r="Q312" s="12" t="n"/>
      <c r="R312" s="41" t="n"/>
      <c r="S312" s="4" t="inlineStr">
        <is>
          <t>0 = no reported evidence in material assessed; blank = not coded/unknown; neither proves absence</t>
        </is>
      </c>
      <c r="T312" s="4">
        <f>IF(COUNTIFS('ESTUDIOS'!$A$2:$A$455,$A312,'ESTUDIOS'!$I$2:$I$455,"")&gt;0,"",INDEX('ESTUDIOS'!$I$2:$I$455,MATCH($A312,'ESTUDIOS'!$A$2:$A$455,0)))</f>
        <v/>
      </c>
    </row>
    <row r="313" ht="112" customHeight="1">
      <c r="A313" s="4" t="inlineStr">
        <is>
          <t>new_268</t>
        </is>
      </c>
      <c r="B313" s="4" t="inlineStr">
        <is>
          <t>Update</t>
        </is>
      </c>
      <c r="C313" s="4" t="inlineStr">
        <is>
          <t>Compact subsets of autism screening items predict clinical diagnoses with a machine learning analysis of the QCHAT-10</t>
        </is>
      </c>
      <c r="D313" s="4" t="n">
        <v>1</v>
      </c>
      <c r="E313" s="4" t="n">
        <v>0</v>
      </c>
      <c r="F313" s="4" t="n">
        <v>0</v>
      </c>
      <c r="G313" s="4" t="n">
        <v>0</v>
      </c>
      <c r="H313" s="4" t="n">
        <v>0</v>
      </c>
      <c r="I313" s="4" t="n">
        <v>1</v>
      </c>
      <c r="J313" s="4" t="n">
        <v>0</v>
      </c>
      <c r="K313" s="4" t="inlineStr">
        <is>
          <t>Inherited scoped adjudication; see source level and lot caveats</t>
        </is>
      </c>
      <c r="L313" s="4" t="inlineStr">
        <is>
          <t>Early identification improves life outcomes for individuals with autism. This study addresses a central question: do compact subsets of the most predictive QCHAT-10 items, when fed into machine learning (ML) models trained to reproduce the full questionnaire’s screening result, generalize to predicting clinician-established autism diagnoses in independent clinical settings? We applied ML to the 10-question QCHAT-10, training models on New Zealand</t>
        </is>
      </c>
      <c r="M313" s="4" t="inlineStr">
        <is>
          <t>https://doi.org/10.1038/s41598-025-26131-9</t>
        </is>
      </c>
      <c r="N313" s="4" t="n"/>
      <c r="O313" s="4" t="n"/>
      <c r="P313" s="4" t="n"/>
      <c r="Q313" s="12" t="n"/>
      <c r="R313" s="41" t="n"/>
      <c r="S313" s="4" t="inlineStr">
        <is>
          <t>0 = no reported evidence in material assessed; blank = not coded/unknown; neither proves absence</t>
        </is>
      </c>
      <c r="T313" s="4">
        <f>IF(COUNTIFS('ESTUDIOS'!$A$2:$A$455,$A313,'ESTUDIOS'!$I$2:$I$455,"")&gt;0,"",INDEX('ESTUDIOS'!$I$2:$I$455,MATCH($A313,'ESTUDIOS'!$A$2:$A$455,0)))</f>
        <v/>
      </c>
    </row>
    <row r="314" ht="112" customHeight="1">
      <c r="A314" s="4" t="inlineStr">
        <is>
          <t>new_288</t>
        </is>
      </c>
      <c r="B314" s="4" t="inlineStr">
        <is>
          <t>Update</t>
        </is>
      </c>
      <c r="C314" s="4" t="inlineStr">
        <is>
          <t>Nonparametric motion control in functional connectivity studies in children with autism spectrum disorder</t>
        </is>
      </c>
      <c r="D314" s="4" t="n">
        <v>0</v>
      </c>
      <c r="E314" s="4" t="n">
        <v>0</v>
      </c>
      <c r="F314" s="4" t="n">
        <v>0</v>
      </c>
      <c r="G314" s="4" t="n">
        <v>0</v>
      </c>
      <c r="H314" s="4" t="n">
        <v>0</v>
      </c>
      <c r="I314" s="4" t="n">
        <v>0</v>
      </c>
      <c r="J314" s="4" t="n">
        <v>0</v>
      </c>
      <c r="K314" s="4" t="inlineStr">
        <is>
          <t>Inherited scoped adjudication; see source level and lot caveats</t>
        </is>
      </c>
      <c r="L314" s="4" t="inlineStr">
        <is>
          <t>Autism spectrum disorder (ASD) is a neurodevelopmental condition associated with difficulties with social interactions, communication, and restricted or repetitive behaviors. To characterize ASD, investigators often use functional connectivity derived from resting-state functional magnetic resonance imaging of the brain. However, participants’ head motion during the scanning session can induce motion artifacts. Many studies remove participants wi</t>
        </is>
      </c>
      <c r="M314" s="4" t="inlineStr">
        <is>
          <t>https://doi.org/10.1093/biomtc/ujag099</t>
        </is>
      </c>
      <c r="N314" s="4" t="n"/>
      <c r="O314" s="4" t="n"/>
      <c r="P314" s="4" t="n"/>
      <c r="Q314" s="12" t="n"/>
      <c r="R314" s="41" t="n"/>
      <c r="S314" s="4" t="inlineStr">
        <is>
          <t>0 = no reported evidence in material assessed; blank = not coded/unknown; neither proves absence</t>
        </is>
      </c>
      <c r="T314" s="4">
        <f>IF(COUNTIFS('ESTUDIOS'!$A$2:$A$455,$A314,'ESTUDIOS'!$I$2:$I$455,"")&gt;0,"",INDEX('ESTUDIOS'!$I$2:$I$455,MATCH($A314,'ESTUDIOS'!$A$2:$A$455,0)))</f>
        <v/>
      </c>
    </row>
    <row r="315" ht="112" customHeight="1">
      <c r="A315" s="4" t="inlineStr">
        <is>
          <t>new_305</t>
        </is>
      </c>
      <c r="B315" s="4" t="inlineStr">
        <is>
          <t>Update</t>
        </is>
      </c>
      <c r="C315" s="4" t="inlineStr">
        <is>
          <t>Integrating Multimodal Neuroimaging and Physical-Health Markers for Autism Spectrum Disorder in the ABCD Study</t>
        </is>
      </c>
      <c r="D315" s="4" t="n">
        <v>0</v>
      </c>
      <c r="E315" s="4" t="n">
        <v>1</v>
      </c>
      <c r="F315" s="4" t="n">
        <v>0</v>
      </c>
      <c r="G315" s="4" t="n">
        <v>0</v>
      </c>
      <c r="H315" s="4" t="n">
        <v>0</v>
      </c>
      <c r="I315" s="4" t="n">
        <v>1</v>
      </c>
      <c r="J315" s="4" t="n">
        <v>1</v>
      </c>
      <c r="K315" s="4" t="inlineStr">
        <is>
          <t>Inherited scoped adjudication; see source level and lot caveats</t>
        </is>
      </c>
      <c r="L315" s="4" t="inlineStr">
        <is>
          <t xml:space="preserve">Background: Autism Spectrum Disorder (ASD) is a complex neurodevelopmental condition characterized by diverse presentations, which complicates the identification of consistent biological markers. This study examined whether integrating multimodal neuroimaging and physical-health measures from a population-based cohort can improve ASD classification and reveal interpretable markers that reflect both clinical and community variation. Methods: Data </t>
        </is>
      </c>
      <c r="M315" s="4" t="inlineStr">
        <is>
          <t>https://doi.org/10.31083/jin48212</t>
        </is>
      </c>
      <c r="N315" s="4" t="n"/>
      <c r="O315" s="4" t="n"/>
      <c r="P315" s="4" t="n"/>
      <c r="Q315" s="12" t="n"/>
      <c r="R315" s="41" t="n"/>
      <c r="S315" s="4" t="inlineStr">
        <is>
          <t>0 = no reported evidence in material assessed; blank = not coded/unknown; neither proves absence</t>
        </is>
      </c>
      <c r="T315" s="4">
        <f>IF(COUNTIFS('ESTUDIOS'!$A$2:$A$455,$A315,'ESTUDIOS'!$I$2:$I$455,"")&gt;0,"",INDEX('ESTUDIOS'!$I$2:$I$455,MATCH($A315,'ESTUDIOS'!$A$2:$A$455,0)))</f>
        <v/>
      </c>
    </row>
    <row r="316" ht="112" customHeight="1">
      <c r="A316" s="4" t="inlineStr">
        <is>
          <t>new_307</t>
        </is>
      </c>
      <c r="B316" s="4" t="inlineStr">
        <is>
          <t>Update</t>
        </is>
      </c>
      <c r="C316" s="4" t="inlineStr">
        <is>
          <t>Spatial structure based deep feature fusion network for autism spectrum disorder classification</t>
        </is>
      </c>
      <c r="D316" s="4" t="n">
        <v>1</v>
      </c>
      <c r="E316" s="4" t="n">
        <v>0</v>
      </c>
      <c r="F316" s="4" t="n">
        <v>0</v>
      </c>
      <c r="G316" s="4" t="n">
        <v>0</v>
      </c>
      <c r="H316" s="4" t="n">
        <v>0</v>
      </c>
      <c r="I316" s="4" t="n">
        <v>1</v>
      </c>
      <c r="J316" s="4" t="n">
        <v>0</v>
      </c>
      <c r="K316" s="4" t="inlineStr">
        <is>
          <t>Inherited scoped adjudication; see source level and lot caveats</t>
        </is>
      </c>
      <c r="L316" s="4" t="inlineStr">
        <is>
          <t>Autism spectrum disorder (ASD) is a neuro-developmental disorder that has serious impact on person’s social interaction, communication, and behavior. Non intrusive detection through analysis of electroencephalogram (EEG) signals with deep learning techniques has been the prominent area of research in ASD diagnosis. The current deep learning techniques processed EEG signals without considering their spatial structure. They treat EEG features as in</t>
        </is>
      </c>
      <c r="M316" s="4" t="inlineStr">
        <is>
          <t>https://doi.org/10.1038/s41598-026-48562-8</t>
        </is>
      </c>
      <c r="N316" s="4" t="n"/>
      <c r="O316" s="4" t="n"/>
      <c r="P316" s="4" t="n"/>
      <c r="Q316" s="12" t="n"/>
      <c r="R316" s="41" t="n"/>
      <c r="S316" s="4" t="inlineStr">
        <is>
          <t>0 = no reported evidence in material assessed; blank = not coded/unknown; neither proves absence</t>
        </is>
      </c>
      <c r="T316" s="4">
        <f>IF(COUNTIFS('ESTUDIOS'!$A$2:$A$455,$A316,'ESTUDIOS'!$I$2:$I$455,"")&gt;0,"",INDEX('ESTUDIOS'!$I$2:$I$455,MATCH($A316,'ESTUDIOS'!$A$2:$A$455,0)))</f>
        <v/>
      </c>
    </row>
    <row r="317" ht="112" customHeight="1">
      <c r="A317" s="4" t="inlineStr">
        <is>
          <t>new_313</t>
        </is>
      </c>
      <c r="B317" s="4" t="inlineStr">
        <is>
          <t>Update</t>
        </is>
      </c>
      <c r="C317" s="4" t="inlineStr">
        <is>
          <t>Metaheuristic hyperparameter optimization of deep neural networks for demographic-aware autism spectrum disorder classification.</t>
        </is>
      </c>
      <c r="D317" s="4" t="n">
        <v>0</v>
      </c>
      <c r="E317" s="4" t="n">
        <v>1</v>
      </c>
      <c r="F317" s="4" t="n">
        <v>0</v>
      </c>
      <c r="G317" s="4" t="n">
        <v>0</v>
      </c>
      <c r="H317" s="4" t="n">
        <v>0</v>
      </c>
      <c r="I317" s="4" t="n">
        <v>0</v>
      </c>
      <c r="J317" s="4" t="n">
        <v>0</v>
      </c>
      <c r="K317" s="4" t="inlineStr">
        <is>
          <t>Inherited scoped adjudication; see source level and lot caveats</t>
        </is>
      </c>
      <c r="L317" s="4" t="inlineStr">
        <is>
          <t>Autism Spectrum Disorder (ASD) classification from neuroimaging data poses significant challenges due to high data heterogeneity and the complexity of learning robust representations across demographic subgroups. While recent deep learning approaches have shown promise, most existing studies rely on binary classification and limited model tuning strategies, overlooking demographic variability and the role of systematic optimization in model desig</t>
        </is>
      </c>
      <c r="M317" s="4" t="inlineStr">
        <is>
          <t>https://doi.org/10.1038/s41598-026-58789-0</t>
        </is>
      </c>
      <c r="N317" s="4" t="n"/>
      <c r="O317" s="4" t="n"/>
      <c r="P317" s="4" t="n"/>
      <c r="Q317" s="12" t="n"/>
      <c r="R317" s="41" t="n"/>
      <c r="S317" s="4" t="inlineStr">
        <is>
          <t>0 = no reported evidence in material assessed; blank = not coded/unknown; neither proves absence</t>
        </is>
      </c>
      <c r="T317" s="4">
        <f>IF(COUNTIFS('ESTUDIOS'!$A$2:$A$455,$A317,'ESTUDIOS'!$I$2:$I$455,"")&gt;0,"",INDEX('ESTUDIOS'!$I$2:$I$455,MATCH($A317,'ESTUDIOS'!$A$2:$A$455,0)))</f>
        <v/>
      </c>
    </row>
    <row r="318" ht="112" customHeight="1">
      <c r="A318" s="4" t="inlineStr">
        <is>
          <t>new_321</t>
        </is>
      </c>
      <c r="B318" s="4" t="inlineStr">
        <is>
          <t>Update</t>
        </is>
      </c>
      <c r="C318" s="4" t="inlineStr">
        <is>
          <t>Bridging the gap: explainable ai for autism diagnosis and parental support with TabPFNMix and SHAP</t>
        </is>
      </c>
      <c r="D318" s="4" t="n">
        <v>0</v>
      </c>
      <c r="E318" s="4" t="n">
        <v>0</v>
      </c>
      <c r="F318" s="4" t="n">
        <v>0</v>
      </c>
      <c r="G318" s="4" t="n">
        <v>0</v>
      </c>
      <c r="H318" s="4" t="n">
        <v>1</v>
      </c>
      <c r="I318" s="4" t="n">
        <v>0</v>
      </c>
      <c r="J318" s="4" t="n">
        <v>0</v>
      </c>
      <c r="K318" s="4" t="inlineStr">
        <is>
          <t>Inherited scoped adjudication; see source level and lot caveats</t>
        </is>
      </c>
      <c r="L318" s="4" t="inlineStr">
        <is>
          <t>Autism Spectrum Disorder (ASD) is a complex neurodevelopmental condition that affects a growing number of individuals worldwide. Despite extensive research, the underlying causes of ASD remain largely unknown, with genetic predisposition, parental history, and environmental influences identified as potential risk factors. Diagnosing ASD remains challenging due to its highly variable presentation and overlap with other neurodevelopmental disorders</t>
        </is>
      </c>
      <c r="M318" s="4" t="inlineStr">
        <is>
          <t>https://doi.org/10.1038/s41598-025-24662-9</t>
        </is>
      </c>
      <c r="N318" s="4" t="n"/>
      <c r="O318" s="4" t="n"/>
      <c r="P318" s="4" t="n"/>
      <c r="Q318" s="12" t="n"/>
      <c r="R318" s="41" t="n"/>
      <c r="S318" s="4" t="inlineStr">
        <is>
          <t>0 = no reported evidence in material assessed; blank = not coded/unknown; neither proves absence</t>
        </is>
      </c>
      <c r="T318" s="4">
        <f>IF(COUNTIFS('ESTUDIOS'!$A$2:$A$455,$A318,'ESTUDIOS'!$I$2:$I$455,"")&gt;0,"",INDEX('ESTUDIOS'!$I$2:$I$455,MATCH($A318,'ESTUDIOS'!$A$2:$A$455,0)))</f>
        <v/>
      </c>
    </row>
    <row r="319" ht="112" customHeight="1">
      <c r="A319" s="4" t="inlineStr">
        <is>
          <t>new_331</t>
        </is>
      </c>
      <c r="B319" s="4" t="inlineStr">
        <is>
          <t>Update</t>
        </is>
      </c>
      <c r="C319" s="4" t="inlineStr">
        <is>
          <t>Hybrid deep learning and feature selection approach for autism detection from rs-fMRI data</t>
        </is>
      </c>
      <c r="D319" s="4" t="n">
        <v>0</v>
      </c>
      <c r="E319" s="4" t="n">
        <v>1</v>
      </c>
      <c r="F319" s="4" t="n">
        <v>0</v>
      </c>
      <c r="G319" s="4" t="n">
        <v>0</v>
      </c>
      <c r="H319" s="4" t="n">
        <v>0</v>
      </c>
      <c r="I319" s="4" t="n">
        <v>0</v>
      </c>
      <c r="J319" s="4" t="n">
        <v>0</v>
      </c>
      <c r="K319" s="4" t="inlineStr">
        <is>
          <t>Inherited scoped adjudication; see source level and lot caveats</t>
        </is>
      </c>
      <c r="L319" s="4" t="inlineStr">
        <is>
          <t>Autism Spectrum Disorder (ASD) is a neurodevelopmental condition that is primarily characterized by deficits in social communication and restricted or repetitive behavioral patterns. Although psychologists contribute significantly to the understanding of ASD, offering insights into its cognitive, emotional, and behavioral dimensions through assessments, diagnoses, therapeutic approaches, and family support, the diagnostic process remains complex.</t>
        </is>
      </c>
      <c r="M319" s="4" t="inlineStr">
        <is>
          <t>https://doi.org/10.1371/journal.pone.0339921</t>
        </is>
      </c>
      <c r="N319" s="4" t="n"/>
      <c r="O319" s="4" t="n"/>
      <c r="P319" s="4" t="n"/>
      <c r="Q319" s="12" t="n"/>
      <c r="R319" s="41" t="n"/>
      <c r="S319" s="4" t="inlineStr">
        <is>
          <t>0 = no reported evidence in material assessed; blank = not coded/unknown; neither proves absence</t>
        </is>
      </c>
      <c r="T319" s="4">
        <f>IF(COUNTIFS('ESTUDIOS'!$A$2:$A$455,$A319,'ESTUDIOS'!$I$2:$I$455,"")&gt;0,"",INDEX('ESTUDIOS'!$I$2:$I$455,MATCH($A319,'ESTUDIOS'!$A$2:$A$455,0)))</f>
        <v/>
      </c>
    </row>
    <row r="320" ht="112" customHeight="1">
      <c r="A320" s="4" t="inlineStr">
        <is>
          <t>new_335</t>
        </is>
      </c>
      <c r="B320" s="4" t="inlineStr">
        <is>
          <t>Update</t>
        </is>
      </c>
      <c r="C320" s="4" t="inlineStr">
        <is>
          <t>Diagnostic Classification of Autism Spectrum Disorder in the Frequency Domain Using Resting-State fMRI</t>
        </is>
      </c>
      <c r="D320" s="4" t="n">
        <v>0</v>
      </c>
      <c r="E320" s="4" t="n">
        <v>1</v>
      </c>
      <c r="F320" s="4" t="n">
        <v>0</v>
      </c>
      <c r="G320" s="4" t="n">
        <v>0</v>
      </c>
      <c r="H320" s="4" t="n">
        <v>0</v>
      </c>
      <c r="I320" s="4" t="n">
        <v>0</v>
      </c>
      <c r="J320" s="4" t="n">
        <v>0</v>
      </c>
      <c r="K320" s="4" t="inlineStr">
        <is>
          <t>Inherited scoped adjudication; see source level and lot caveats</t>
        </is>
      </c>
      <c r="L320" s="4" t="inlineStr">
        <is>
          <t xml:space="preserve">Autism spectrum disorder (ASD) is a neurodevelopmental disorder with problems in social interactions, verbal and non-verbal communication, repetitive behaviors, and limited interests in a person. Considering the challenges in diagnosing ASD based on behavioral symptoms—such as subjectivity, variability among individuals, and overlap with other developmental conditions—it seems necessary to propose computer-aided diagnosis systems (CADS) for ASD. </t>
        </is>
      </c>
      <c r="M320" s="4" t="inlineStr">
        <is>
          <t>https://doi.org/10.1007/s12021-026-09782-5</t>
        </is>
      </c>
      <c r="N320" s="4" t="n"/>
      <c r="O320" s="4" t="n"/>
      <c r="P320" s="4" t="n"/>
      <c r="Q320" s="12" t="n"/>
      <c r="R320" s="41" t="n"/>
      <c r="S320" s="4" t="inlineStr">
        <is>
          <t>0 = no reported evidence in material assessed; blank = not coded/unknown; neither proves absence</t>
        </is>
      </c>
      <c r="T320" s="4">
        <f>IF(COUNTIFS('ESTUDIOS'!$A$2:$A$455,$A320,'ESTUDIOS'!$I$2:$I$455,"")&gt;0,"",INDEX('ESTUDIOS'!$I$2:$I$455,MATCH($A320,'ESTUDIOS'!$A$2:$A$455,0)))</f>
        <v/>
      </c>
    </row>
    <row r="321" ht="112" customHeight="1">
      <c r="A321" s="4" t="inlineStr">
        <is>
          <t>new_352</t>
        </is>
      </c>
      <c r="B321" s="4" t="inlineStr">
        <is>
          <t>Update</t>
        </is>
      </c>
      <c r="C321" s="4" t="inlineStr">
        <is>
          <t>Efficient Kulczynski EEG feature selection for autism spectrum disorder diagnosis over fog and cloud computing</t>
        </is>
      </c>
      <c r="D321" s="4" t="n">
        <v>0</v>
      </c>
      <c r="E321" s="4" t="n">
        <v>0</v>
      </c>
      <c r="F321" s="4" t="n">
        <v>0</v>
      </c>
      <c r="G321" s="4" t="n">
        <v>0</v>
      </c>
      <c r="H321" s="4" t="n">
        <v>0</v>
      </c>
      <c r="I321" s="4" t="n">
        <v>1</v>
      </c>
      <c r="J321" s="4" t="n">
        <v>0</v>
      </c>
      <c r="K321" s="4" t="inlineStr">
        <is>
          <t>Inherited scoped adjudication; see source level and lot caveats</t>
        </is>
      </c>
      <c r="L321" s="4" t="inlineStr">
        <is>
          <t>This work introduces an efficient feature selection approach based on the Kulczynski Similarity (KS) measure to improve the efficiency and accuracy of machine learning models in Electroencephalogram (EEG)-based autism spectrum disorder (ASD) detection. EEG data are inherently high-dimensional, and using all features increases computational burden while incorporating redundant or irrelevant attributes that may hinder classification performance. Th</t>
        </is>
      </c>
      <c r="M321" s="4" t="inlineStr">
        <is>
          <t>https://doi.org/10.1007/s41870-025-02987-y</t>
        </is>
      </c>
      <c r="N321" s="4" t="n"/>
      <c r="O321" s="4" t="n"/>
      <c r="P321" s="4" t="n"/>
      <c r="Q321" s="12" t="n"/>
      <c r="R321" s="41" t="n"/>
      <c r="S321" s="4" t="inlineStr">
        <is>
          <t>0 = no reported evidence in material assessed; blank = not coded/unknown; neither proves absence</t>
        </is>
      </c>
      <c r="T321" s="4">
        <f>IF(COUNTIFS('ESTUDIOS'!$A$2:$A$455,$A321,'ESTUDIOS'!$I$2:$I$455,"")&gt;0,"",INDEX('ESTUDIOS'!$I$2:$I$455,MATCH($A321,'ESTUDIOS'!$A$2:$A$455,0)))</f>
        <v/>
      </c>
    </row>
    <row r="322" ht="112" customHeight="1">
      <c r="A322" s="4" t="inlineStr">
        <is>
          <t>new_359</t>
        </is>
      </c>
      <c r="B322" s="4" t="inlineStr">
        <is>
          <t>Update</t>
        </is>
      </c>
      <c r="C322" s="4" t="inlineStr">
        <is>
          <t>Privacy preserving federated framework for autism spectrum disorder screening with ensemble stacking and deep learning approaches</t>
        </is>
      </c>
      <c r="D322" s="4" t="n">
        <v>0</v>
      </c>
      <c r="E322" s="4" t="n">
        <v>0</v>
      </c>
      <c r="F322" s="4" t="n">
        <v>0</v>
      </c>
      <c r="G322" s="4" t="n">
        <v>0</v>
      </c>
      <c r="H322" s="4" t="n">
        <v>0</v>
      </c>
      <c r="I322" s="4" t="n">
        <v>1</v>
      </c>
      <c r="J322" s="4" t="n">
        <v>0</v>
      </c>
      <c r="K322" s="4" t="inlineStr">
        <is>
          <t>Inherited scoped adjudication; see source level and lot caveats</t>
        </is>
      </c>
      <c r="L322" s="4" t="inlineStr">
        <is>
          <t>Objectives: Autism Spectrum Disorder (ASD) is a neurological condition that affects social and cognitive skills, and early detection is crucial for minimizing long-term effects. This study aims to develop a decentralized diagnostic framework for precise ASD detection, utilizing a federated learning simulation with raw data held at the client-side, but no specific privacy safety (DP, Secure Aggregation, Homomorphic Encryption). It integrates Ensem</t>
        </is>
      </c>
      <c r="M322" s="4" t="inlineStr">
        <is>
          <t>https://doi.org/10.1007/s44163-026-01103-8</t>
        </is>
      </c>
      <c r="N322" s="4" t="n"/>
      <c r="O322" s="4" t="n"/>
      <c r="P322" s="4" t="n"/>
      <c r="Q322" s="12" t="n"/>
      <c r="R322" s="41" t="n"/>
      <c r="S322" s="4" t="inlineStr">
        <is>
          <t>0 = no reported evidence in material assessed; blank = not coded/unknown; neither proves absence</t>
        </is>
      </c>
      <c r="T322" s="4">
        <f>IF(COUNTIFS('ESTUDIOS'!$A$2:$A$455,$A322,'ESTUDIOS'!$I$2:$I$455,"")&gt;0,"",INDEX('ESTUDIOS'!$I$2:$I$455,MATCH($A322,'ESTUDIOS'!$A$2:$A$455,0)))</f>
        <v/>
      </c>
    </row>
    <row r="323" ht="112" customHeight="1">
      <c r="A323" s="4" t="inlineStr">
        <is>
          <t>new_372</t>
        </is>
      </c>
      <c r="B323" s="4" t="inlineStr">
        <is>
          <t>Update</t>
        </is>
      </c>
      <c r="C323" s="4" t="inlineStr">
        <is>
          <t>Machine learning of clinical phenotypes facilitates autism screening and identifies novel subgroups with distinct transcriptomic profiles</t>
        </is>
      </c>
      <c r="D323" s="4" t="n">
        <v>0</v>
      </c>
      <c r="E323" s="4" t="n">
        <v>0</v>
      </c>
      <c r="F323" s="4" t="n">
        <v>0</v>
      </c>
      <c r="G323" s="4" t="n">
        <v>0</v>
      </c>
      <c r="H323" s="4" t="n">
        <v>0</v>
      </c>
      <c r="I323" s="4" t="n">
        <v>0</v>
      </c>
      <c r="J323" s="4" t="n">
        <v>1</v>
      </c>
      <c r="K323" s="4" t="inlineStr">
        <is>
          <t>Inherited scoped adjudication; see source level and lot caveats</t>
        </is>
      </c>
      <c r="L323" s="4" t="inlineStr">
        <is>
          <t>Autism spectrum disorder (ASD) presents significant challenges in diagnosis and intervention due to its diverse clinical manifestations and underlying biological complexity. This study explored machine learning approaches to enhance ASD screening accuracy and identify meaningful subtypes using clinical assessments from AGRE database integrated with molecular data from GSE15402. Analysis of ADI-R scores from a large cohort of 2794 individuals demo</t>
        </is>
      </c>
      <c r="M323" s="4" t="inlineStr">
        <is>
          <t>https://doi.org/10.1038/s41598-025-95291-5</t>
        </is>
      </c>
      <c r="N323" s="4" t="n"/>
      <c r="O323" s="4" t="n"/>
      <c r="P323" s="4" t="n"/>
      <c r="Q323" s="12" t="n"/>
      <c r="R323" s="41" t="n"/>
      <c r="S323" s="4" t="inlineStr">
        <is>
          <t>0 = no reported evidence in material assessed; blank = not coded/unknown; neither proves absence</t>
        </is>
      </c>
      <c r="T323" s="4">
        <f>IF(COUNTIFS('ESTUDIOS'!$A$2:$A$455,$A323,'ESTUDIOS'!$I$2:$I$455,"")&gt;0,"",INDEX('ESTUDIOS'!$I$2:$I$455,MATCH($A323,'ESTUDIOS'!$A$2:$A$455,0)))</f>
        <v/>
      </c>
    </row>
    <row r="324" ht="112" customHeight="1">
      <c r="A324" s="4" t="inlineStr">
        <is>
          <t>new_378</t>
        </is>
      </c>
      <c r="B324" s="4" t="inlineStr">
        <is>
          <t>Update</t>
        </is>
      </c>
      <c r="C324" s="4" t="inlineStr">
        <is>
          <t>Integrating Network Analysis and Machine Learning Identifies Key Autism Spectrum Disorder Genes Linked to Immune Dysregulation and Therapeutic Targets</t>
        </is>
      </c>
      <c r="D324" s="4" t="n">
        <v>0</v>
      </c>
      <c r="E324" s="4" t="n">
        <v>0</v>
      </c>
      <c r="F324" s="4" t="n">
        <v>0</v>
      </c>
      <c r="G324" s="4" t="n">
        <v>0</v>
      </c>
      <c r="H324" s="4" t="n">
        <v>0</v>
      </c>
      <c r="I324" s="4" t="n">
        <v>1</v>
      </c>
      <c r="J324" s="4" t="n">
        <v>0</v>
      </c>
      <c r="K324" s="4" t="inlineStr">
        <is>
          <t>Inherited scoped adjudication; see source level and lot caveats</t>
        </is>
      </c>
      <c r="L324" s="4" t="inlineStr">
        <is>
          <t>Background: Understanding the genetic mechanisms and identifying potential therapeutic targets are essential for clarifying Autism Spectrum Disorder (ASD) etiology and improving treatments. This study aims to bridge the gap between basic transcriptomic discoveries and clinical applications in ASD research. Methods: Differentially expressed genes (DEGs) of GSE18123 datase were identified. A protein–protein interaction (PPI) network was constructed</t>
        </is>
      </c>
      <c r="M324" s="4" t="inlineStr">
        <is>
          <t>https://doi.org/10.3390/genes16091109</t>
        </is>
      </c>
      <c r="N324" s="4" t="n"/>
      <c r="O324" s="4" t="n"/>
      <c r="P324" s="4" t="n"/>
      <c r="Q324" s="12" t="n"/>
      <c r="R324" s="41" t="n"/>
      <c r="S324" s="4" t="inlineStr">
        <is>
          <t>0 = no reported evidence in material assessed; blank = not coded/unknown; neither proves absence</t>
        </is>
      </c>
      <c r="T324" s="4">
        <f>IF(COUNTIFS('ESTUDIOS'!$A$2:$A$455,$A324,'ESTUDIOS'!$I$2:$I$455,"")&gt;0,"",INDEX('ESTUDIOS'!$I$2:$I$455,MATCH($A324,'ESTUDIOS'!$A$2:$A$455,0)))</f>
        <v/>
      </c>
    </row>
    <row r="325" ht="112" customHeight="1">
      <c r="A325" s="4" t="inlineStr">
        <is>
          <t>new_384</t>
        </is>
      </c>
      <c r="B325" s="4" t="inlineStr">
        <is>
          <t>Update</t>
        </is>
      </c>
      <c r="C325" s="4" t="inlineStr">
        <is>
          <t>Air pollution and autism-like traits: Sensitive periods and joint effects of exposure to sources and constituents of fine particulate matter</t>
        </is>
      </c>
      <c r="D325" s="4" t="n">
        <v>0</v>
      </c>
      <c r="E325" s="4" t="n">
        <v>0</v>
      </c>
      <c r="F325" s="4" t="n">
        <v>0</v>
      </c>
      <c r="G325" s="4" t="n">
        <v>0</v>
      </c>
      <c r="H325" s="4" t="n">
        <v>0</v>
      </c>
      <c r="I325" s="4" t="n">
        <v>0</v>
      </c>
      <c r="J325" s="4" t="n">
        <v>0</v>
      </c>
      <c r="K325" s="4" t="inlineStr">
        <is>
          <t>Inherited scoped adjudication; see source level and lot caveats</t>
        </is>
      </c>
      <c r="L325" s="4" t="inlineStr">
        <is>
          <t xml:space="preserve">Growing evidence suggests that exposure to air pollution during early life is associated with autism spectrum disorder (ASD). However, results have been inconsistent for autism-like traits and in low exposure settings. Here, we assessed sensitive windows of exposure to fine particulate matter (PM2.5), nitrogen dioxide (NO2), and ozone (O3) and joint effects of exposure to sources and constituents of PM2.5 on autism-like traits among 798 children </t>
        </is>
      </c>
      <c r="M325" s="4" t="inlineStr">
        <is>
          <t>https://doi.org/10.1016/j.envres.2026.125213</t>
        </is>
      </c>
      <c r="N325" s="4" t="n"/>
      <c r="O325" s="4" t="n"/>
      <c r="P325" s="4" t="n"/>
      <c r="Q325" s="12" t="n"/>
      <c r="R325" s="41" t="n"/>
      <c r="S325" s="4" t="inlineStr">
        <is>
          <t>0 = no reported evidence in material assessed; blank = not coded/unknown; neither proves absence</t>
        </is>
      </c>
      <c r="T325" s="4">
        <f>IF(COUNTIFS('ESTUDIOS'!$A$2:$A$455,$A325,'ESTUDIOS'!$I$2:$I$455,"")&gt;0,"",INDEX('ESTUDIOS'!$I$2:$I$455,MATCH($A325,'ESTUDIOS'!$A$2:$A$455,0)))</f>
        <v/>
      </c>
    </row>
    <row r="326" ht="112" customHeight="1">
      <c r="A326" s="4" t="inlineStr">
        <is>
          <t>new_395</t>
        </is>
      </c>
      <c r="B326" s="4" t="inlineStr">
        <is>
          <t>Update</t>
        </is>
      </c>
      <c r="C326" s="4" t="inlineStr">
        <is>
          <t>Prematurity and genetic liability for autism spectrum disorder</t>
        </is>
      </c>
      <c r="D326" s="4" t="n">
        <v>1</v>
      </c>
      <c r="E326" s="4" t="n">
        <v>0</v>
      </c>
      <c r="F326" s="4" t="n">
        <v>0</v>
      </c>
      <c r="G326" s="4" t="n">
        <v>0</v>
      </c>
      <c r="H326" s="4" t="n">
        <v>1</v>
      </c>
      <c r="I326" s="4" t="n">
        <v>0</v>
      </c>
      <c r="J326" s="4" t="n">
        <v>1</v>
      </c>
      <c r="K326" s="4" t="inlineStr">
        <is>
          <t>Inherited scoped adjudication; see source level and lot caveats</t>
        </is>
      </c>
      <c r="L326" s="4" t="inlineStr">
        <is>
          <t>Background: Autism spectrum disorder (ASD) is a neurodevelopmental condition characterized by diverse presentations and a strong genetic component. Environmental factors, such as prematurity, have also been linked to increased liability for ASD, though the interaction between genetic predisposition and prematurity remains unclear. This study aims to investigate the impact of genetic liability and preterm birth on ASD conditions. Methods: We analy</t>
        </is>
      </c>
      <c r="M326" s="4" t="inlineStr">
        <is>
          <t>https://doi.org/10.1186/s13073-025-01552-3</t>
        </is>
      </c>
      <c r="N326" s="4" t="n"/>
      <c r="O326" s="4" t="n"/>
      <c r="P326" s="4" t="n"/>
      <c r="Q326" s="12" t="n"/>
      <c r="R326" s="41" t="n"/>
      <c r="S326" s="4" t="inlineStr">
        <is>
          <t>0 = no reported evidence in material assessed; blank = not coded/unknown; neither proves absence</t>
        </is>
      </c>
      <c r="T326" s="4">
        <f>IF(COUNTIFS('ESTUDIOS'!$A$2:$A$455,$A326,'ESTUDIOS'!$I$2:$I$455,"")&gt;0,"",INDEX('ESTUDIOS'!$I$2:$I$455,MATCH($A326,'ESTUDIOS'!$A$2:$A$455,0)))</f>
        <v/>
      </c>
    </row>
    <row r="327" ht="112" customHeight="1">
      <c r="A327" s="4" t="inlineStr">
        <is>
          <t>new_406</t>
        </is>
      </c>
      <c r="B327" s="4" t="inlineStr">
        <is>
          <t>Update</t>
        </is>
      </c>
      <c r="C327" s="4" t="inlineStr">
        <is>
          <t>NeuroCypher ASD: Machine Learning with Knowledge Graph-Based Representation for ASD Screening in Toddlers</t>
        </is>
      </c>
      <c r="D327" s="4" t="n">
        <v>0</v>
      </c>
      <c r="E327" s="4" t="n">
        <v>0</v>
      </c>
      <c r="F327" s="4" t="n">
        <v>0</v>
      </c>
      <c r="G327" s="4" t="n">
        <v>0</v>
      </c>
      <c r="H327" s="4" t="n">
        <v>1</v>
      </c>
      <c r="I327" s="4" t="n">
        <v>0</v>
      </c>
      <c r="J327" s="4" t="n">
        <v>1</v>
      </c>
      <c r="K327" s="4" t="inlineStr">
        <is>
          <t>Inherited scoped adjudication; see source level and lot caveats</t>
        </is>
      </c>
      <c r="L327" s="4" t="inlineStr">
        <is>
          <t xml:space="preserve">Autism Spectrum Disorder (ASD) screening often relies on structured questionnaires. Yet these data are not always easy to interpret or use in practice. There is a need for screening frameworks that support risk estimation, case comparison, and pattern exploration in a clear and accessible way. In this work, we present NeuroCypher ASD, a framework that combines tabular machine learning with a knowledge graph for ASD screening, interpretation, and </t>
        </is>
      </c>
      <c r="M327" s="4" t="inlineStr">
        <is>
          <t>https://doi.org/10.1007/s41666-026-00243-x</t>
        </is>
      </c>
      <c r="N327" s="4" t="n"/>
      <c r="O327" s="4" t="n"/>
      <c r="P327" s="4" t="n"/>
      <c r="Q327" s="12" t="n"/>
      <c r="R327" s="41" t="n"/>
      <c r="S327" s="4" t="inlineStr">
        <is>
          <t>0 = no reported evidence in material assessed; blank = not coded/unknown; neither proves absence</t>
        </is>
      </c>
      <c r="T327" s="4">
        <f>IF(COUNTIFS('ESTUDIOS'!$A$2:$A$455,$A327,'ESTUDIOS'!$I$2:$I$455,"")&gt;0,"",INDEX('ESTUDIOS'!$I$2:$I$455,MATCH($A327,'ESTUDIOS'!$A$2:$A$455,0)))</f>
        <v/>
      </c>
    </row>
    <row r="328" ht="112" customHeight="1">
      <c r="A328" s="4" t="inlineStr">
        <is>
          <t>new_410</t>
        </is>
      </c>
      <c r="B328" s="4" t="inlineStr">
        <is>
          <t>Update</t>
        </is>
      </c>
      <c r="C328" s="4" t="inlineStr">
        <is>
          <t>Robust deep learning pipeline to improve access to autism triage and diagnosis</t>
        </is>
      </c>
      <c r="D328" s="4" t="n">
        <v>0</v>
      </c>
      <c r="E328" s="4" t="n">
        <v>1</v>
      </c>
      <c r="F328" s="4" t="n">
        <v>0</v>
      </c>
      <c r="G328" s="4" t="n">
        <v>0</v>
      </c>
      <c r="H328" s="4" t="n">
        <v>0</v>
      </c>
      <c r="I328" s="4" t="n">
        <v>0</v>
      </c>
      <c r="J328" s="4" t="n">
        <v>1</v>
      </c>
      <c r="K328" s="4" t="inlineStr">
        <is>
          <t>Inherited scoped adjudication; see source level and lot caveats</t>
        </is>
      </c>
      <c r="L328" s="4" t="inlineStr">
        <is>
          <t>Purpose: Timely access to autism spectrum disorder (ASD) diagnosis represents a major clinical burden, especially in children. Robust and quantitative triage tools to refer children at high risk of ASD for rapid evaluation are not available. We investigate a robust artificial intelligence pipeline combining anatomic and resting state MRI scans with demographics to triage children into high and low risk of an ASD diagnosis. Methods: The ABIDE I an</t>
        </is>
      </c>
      <c r="M328" s="4" t="inlineStr">
        <is>
          <t>https://doi.org/10.1007/s44163-026-01299-9</t>
        </is>
      </c>
      <c r="N328" s="4" t="n"/>
      <c r="O328" s="4" t="n"/>
      <c r="P328" s="4" t="n"/>
      <c r="Q328" s="12" t="n"/>
      <c r="R328" s="41" t="n"/>
      <c r="S328" s="4" t="inlineStr">
        <is>
          <t>0 = no reported evidence in material assessed; blank = not coded/unknown; neither proves absence</t>
        </is>
      </c>
      <c r="T328" s="4">
        <f>IF(COUNTIFS('ESTUDIOS'!$A$2:$A$455,$A328,'ESTUDIOS'!$I$2:$I$455,"")&gt;0,"",INDEX('ESTUDIOS'!$I$2:$I$455,MATCH($A328,'ESTUDIOS'!$A$2:$A$455,0)))</f>
        <v/>
      </c>
    </row>
    <row r="329" ht="112" customHeight="1">
      <c r="A329" s="4" t="inlineStr">
        <is>
          <t>new_417</t>
        </is>
      </c>
      <c r="B329" s="4" t="inlineStr">
        <is>
          <t>Update</t>
        </is>
      </c>
      <c r="C329" s="4" t="inlineStr">
        <is>
          <t>Perivascular Space Burden in Children With Autism Spectrum Disorder Correlates With Neurodevelopmental Severity</t>
        </is>
      </c>
      <c r="D329" s="4" t="n">
        <v>0</v>
      </c>
      <c r="E329" s="4" t="n">
        <v>0</v>
      </c>
      <c r="F329" s="4" t="n">
        <v>0</v>
      </c>
      <c r="G329" s="4" t="n">
        <v>0</v>
      </c>
      <c r="H329" s="4" t="n">
        <v>0</v>
      </c>
      <c r="I329" s="4" t="n">
        <v>0</v>
      </c>
      <c r="J329" s="4" t="n">
        <v>0</v>
      </c>
      <c r="K329" s="4" t="inlineStr">
        <is>
          <t>Inherited scoped adjudication; see source level and lot caveats</t>
        </is>
      </c>
      <c r="L329" s="4" t="inlineStr">
        <is>
          <t>Background: Cerebral perivascular spaces (PVS) are involved in cerebrospinal fluid (CSF) circulation and clearance of metabolic waste in adult humans. A high number of PVS has been reported in autism spectrum disorder (ASD) but its relationship with CSF and disease severity is unclear. Purpose: To quantify PVS in children with ASD through MRI. Study Type: Retrospective. Population: Sixty six children with ASD (mean age: 4.7 ± 1.5 years; males/fem</t>
        </is>
      </c>
      <c r="M329" s="4" t="inlineStr">
        <is>
          <t>https://doi.org/10.1002/jmri.70023</t>
        </is>
      </c>
      <c r="N329" s="4" t="n"/>
      <c r="O329" s="4" t="n"/>
      <c r="P329" s="4" t="n"/>
      <c r="Q329" s="12" t="n"/>
      <c r="R329" s="41" t="n"/>
      <c r="S329" s="4" t="inlineStr">
        <is>
          <t>0 = no reported evidence in material assessed; blank = not coded/unknown; neither proves absence</t>
        </is>
      </c>
      <c r="T329" s="4">
        <f>IF(COUNTIFS('ESTUDIOS'!$A$2:$A$455,$A329,'ESTUDIOS'!$I$2:$I$455,"")&gt;0,"",INDEX('ESTUDIOS'!$I$2:$I$455,MATCH($A329,'ESTUDIOS'!$A$2:$A$455,0)))</f>
        <v/>
      </c>
    </row>
    <row r="330" ht="112" customHeight="1">
      <c r="A330" s="4" t="inlineStr">
        <is>
          <t>new_420</t>
        </is>
      </c>
      <c r="B330" s="4" t="inlineStr">
        <is>
          <t>Update</t>
        </is>
      </c>
      <c r="C330" s="4" t="inlineStr">
        <is>
          <t>Two-tier nature inspired optimization-driven ensemble of deep learning models for effective autism spectrum disorder diagnosis in disabled persons</t>
        </is>
      </c>
      <c r="D330" s="4" t="n">
        <v>0</v>
      </c>
      <c r="E330" s="4" t="n">
        <v>0</v>
      </c>
      <c r="F330" s="4" t="n">
        <v>0</v>
      </c>
      <c r="G330" s="4" t="n">
        <v>0</v>
      </c>
      <c r="H330" s="4" t="n">
        <v>0</v>
      </c>
      <c r="I330" s="4" t="n">
        <v>0</v>
      </c>
      <c r="J330" s="4" t="n">
        <v>0</v>
      </c>
      <c r="K330" s="4" t="inlineStr">
        <is>
          <t>Inherited scoped adjudication; see source level and lot caveats</t>
        </is>
      </c>
      <c r="L330" s="4" t="inlineStr">
        <is>
          <t>Autism spectrum disorder (ASD) includes a varied set of neuropsychiatric illnesses. This disorder is described by a definite grade of loss in social communication, academic functioning, personal contact, and limited and repetitive behaviours. Individuals with ASD might perform, convey, and study in a different way than others. ASDs naturally are apparent before age 3 years, with related impairments affecting manifold regions of a person’s lifespa</t>
        </is>
      </c>
      <c r="M330" s="4" t="inlineStr">
        <is>
          <t>https://doi.org/10.1038/s41598-025-93802-y</t>
        </is>
      </c>
      <c r="N330" s="4" t="n"/>
      <c r="O330" s="4" t="n"/>
      <c r="P330" s="4" t="n"/>
      <c r="Q330" s="12" t="n"/>
      <c r="R330" s="41" t="n"/>
      <c r="S330" s="4" t="inlineStr">
        <is>
          <t>0 = no reported evidence in material assessed; blank = not coded/unknown; neither proves absence</t>
        </is>
      </c>
      <c r="T330" s="4">
        <f>IF(COUNTIFS('ESTUDIOS'!$A$2:$A$455,$A330,'ESTUDIOS'!$I$2:$I$455,"")&gt;0,"",INDEX('ESTUDIOS'!$I$2:$I$455,MATCH($A330,'ESTUDIOS'!$A$2:$A$455,0)))</f>
        <v/>
      </c>
    </row>
    <row r="331" ht="112" customHeight="1">
      <c r="A331" s="4" t="inlineStr">
        <is>
          <t>new_422</t>
        </is>
      </c>
      <c r="B331" s="4" t="inlineStr">
        <is>
          <t>Update</t>
        </is>
      </c>
      <c r="C331" s="4" t="inlineStr">
        <is>
          <t>MIND-TEA: An Adaptive Multi-Agent Framework for Multimodal Autism Diagnosis</t>
        </is>
      </c>
      <c r="D331" s="4" t="n">
        <v>1</v>
      </c>
      <c r="E331" s="4" t="n">
        <v>1</v>
      </c>
      <c r="F331" s="4" t="n">
        <v>1</v>
      </c>
      <c r="G331" s="4" t="n">
        <v>0</v>
      </c>
      <c r="H331" s="4" t="n">
        <v>0</v>
      </c>
      <c r="I331" s="4" t="n">
        <v>0</v>
      </c>
      <c r="J331" s="4" t="n">
        <v>1</v>
      </c>
      <c r="K331" s="4" t="inlineStr">
        <is>
          <t>Inherited scoped adjudication; see source level and lot caveats</t>
        </is>
      </c>
      <c r="L331" s="4" t="inlineStr">
        <is>
          <t>Autism Spectrum Disorder (ASD) presents substantial diagnostic heterogeneity, challenging the reliability and generalization of static, single-model classifiers. To address this, MIND-TEA is introduced as an adaptive multimodal framework for neurodevelopmental diagnosis. The system integrates resting-state fMRI (rs-fMRI) features with clinical text and utilizes a meta-learning orchestrator to dynamically route each patient to an optimal specialis</t>
        </is>
      </c>
      <c r="M331" s="4" t="inlineStr">
        <is>
          <t>https://doi.org/10.1109/access.2026.3688987</t>
        </is>
      </c>
      <c r="N331" s="4" t="n"/>
      <c r="O331" s="4" t="n"/>
      <c r="P331" s="4" t="n"/>
      <c r="Q331" s="12" t="n"/>
      <c r="R331" s="41" t="n"/>
      <c r="S331" s="4" t="inlineStr">
        <is>
          <t>0 = no reported evidence in material assessed; blank = not coded/unknown; neither proves absence</t>
        </is>
      </c>
      <c r="T331" s="4">
        <f>IF(COUNTIFS('ESTUDIOS'!$A$2:$A$455,$A331,'ESTUDIOS'!$I$2:$I$455,"")&gt;0,"",INDEX('ESTUDIOS'!$I$2:$I$455,MATCH($A331,'ESTUDIOS'!$A$2:$A$455,0)))</f>
        <v/>
      </c>
    </row>
    <row r="332" ht="112" customHeight="1">
      <c r="A332" s="4" t="inlineStr">
        <is>
          <t>new_424</t>
        </is>
      </c>
      <c r="B332" s="4" t="inlineStr">
        <is>
          <t>Update</t>
        </is>
      </c>
      <c r="C332" s="4" t="inlineStr">
        <is>
          <t>Interpretable Autism Screening via Object-Based Analysis of Child-Drawn Sketches</t>
        </is>
      </c>
      <c r="D332" s="4" t="n">
        <v>0</v>
      </c>
      <c r="E332" s="4" t="n">
        <v>0</v>
      </c>
      <c r="F332" s="4" t="n">
        <v>0</v>
      </c>
      <c r="G332" s="4" t="n">
        <v>0</v>
      </c>
      <c r="H332" s="4" t="n">
        <v>1</v>
      </c>
      <c r="I332" s="4" t="n">
        <v>0</v>
      </c>
      <c r="J332" s="4" t="n">
        <v>0</v>
      </c>
      <c r="K332" s="4" t="inlineStr">
        <is>
          <t>Inherited scoped adjudication; see source level and lot caveats</t>
        </is>
      </c>
      <c r="L332" s="4" t="inlineStr">
        <is>
          <t>Developmental assessment methods for children largely rely on subjective manual scoring, which leads to limitations in interpretability, consistency, and scalability. For high-stakes applications in clinical and educational environments, high accuracy and transparency are essential in decision-making, which underscores the growing importance of explainable artificial intelligence techniques for automated developmental assessment. To address these</t>
        </is>
      </c>
      <c r="M332" s="4" t="inlineStr">
        <is>
          <t>https://doi.org/10.1109/access.2025.3642950</t>
        </is>
      </c>
      <c r="N332" s="4" t="n"/>
      <c r="O332" s="4" t="n"/>
      <c r="P332" s="4" t="n"/>
      <c r="Q332" s="12" t="n"/>
      <c r="R332" s="41" t="n"/>
      <c r="S332" s="4" t="inlineStr">
        <is>
          <t>0 = no reported evidence in material assessed; blank = not coded/unknown; neither proves absence</t>
        </is>
      </c>
      <c r="T332" s="4">
        <f>IF(COUNTIFS('ESTUDIOS'!$A$2:$A$455,$A332,'ESTUDIOS'!$I$2:$I$455,"")&gt;0,"",INDEX('ESTUDIOS'!$I$2:$I$455,MATCH($A332,'ESTUDIOS'!$A$2:$A$455,0)))</f>
        <v/>
      </c>
    </row>
    <row r="333" ht="112" customHeight="1">
      <c r="A333" s="4" t="inlineStr">
        <is>
          <t>new_425</t>
        </is>
      </c>
      <c r="B333" s="4" t="inlineStr">
        <is>
          <t>Update</t>
        </is>
      </c>
      <c r="C333" s="4" t="inlineStr">
        <is>
          <t>Bridging Deep Learning and Quantum Computing for EEG-Driven P300 Targeted ASD Response Detection</t>
        </is>
      </c>
      <c r="D333" s="4" t="n">
        <v>0</v>
      </c>
      <c r="E333" s="4" t="n">
        <v>0</v>
      </c>
      <c r="F333" s="4" t="n">
        <v>0</v>
      </c>
      <c r="G333" s="4" t="n">
        <v>0</v>
      </c>
      <c r="H333" s="4" t="n">
        <v>0</v>
      </c>
      <c r="I333" s="4" t="n">
        <v>1</v>
      </c>
      <c r="J333" s="4" t="n">
        <v>0</v>
      </c>
      <c r="K333" s="4" t="inlineStr">
        <is>
          <t>Inherited scoped adjudication; see source level and lot caveats</t>
        </is>
      </c>
      <c r="L333" s="4" t="inlineStr">
        <is>
          <t xml:space="preserve">Autism Spectrum Disorder (ASD) is a neurodevelopmental condition whose diagnosis relies heavily on subjective behavioral assessments. Electroencephalography (EEG) provides an inexpensive and non-invasive method of objective biomarker detection, but is plagued by high dimensionality and noise that complicates automated analysis. This article introduces a hybrid Transformer-Quantum Neural Network (QNN) model that combines deep learning and quantum </t>
        </is>
      </c>
      <c r="M333" s="4" t="inlineStr">
        <is>
          <t>https://doi.org/10.1109/access.2025.3646589</t>
        </is>
      </c>
      <c r="N333" s="4" t="n"/>
      <c r="O333" s="4" t="n"/>
      <c r="P333" s="4" t="n"/>
      <c r="Q333" s="12" t="n"/>
      <c r="R333" s="41" t="n"/>
      <c r="S333" s="4" t="inlineStr">
        <is>
          <t>0 = no reported evidence in material assessed; blank = not coded/unknown; neither proves absence</t>
        </is>
      </c>
      <c r="T333" s="4">
        <f>IF(COUNTIFS('ESTUDIOS'!$A$2:$A$455,$A333,'ESTUDIOS'!$I$2:$I$455,"")&gt;0,"",INDEX('ESTUDIOS'!$I$2:$I$455,MATCH($A333,'ESTUDIOS'!$A$2:$A$455,0)))</f>
        <v/>
      </c>
    </row>
    <row r="334" ht="112" customHeight="1">
      <c r="A334" s="4" t="inlineStr">
        <is>
          <t>new_427</t>
        </is>
      </c>
      <c r="B334" s="4" t="inlineStr">
        <is>
          <t>Update</t>
        </is>
      </c>
      <c r="C334" s="4" t="inlineStr">
        <is>
          <t>A Hybrid Multi-Branch Deep Learning Model for Autism Spectrum Disorder Detection Using Spatiotemporal Gait Analysis</t>
        </is>
      </c>
      <c r="D334" s="4" t="n">
        <v>0</v>
      </c>
      <c r="E334" s="4" t="n">
        <v>0</v>
      </c>
      <c r="F334" s="4" t="n">
        <v>0</v>
      </c>
      <c r="G334" s="4" t="n">
        <v>0</v>
      </c>
      <c r="H334" s="4" t="n">
        <v>0</v>
      </c>
      <c r="I334" s="4" t="n">
        <v>0</v>
      </c>
      <c r="J334" s="4" t="n">
        <v>0</v>
      </c>
      <c r="K334" s="4" t="inlineStr">
        <is>
          <t>Inherited scoped adjudication; see source level and lot caveats</t>
        </is>
      </c>
      <c r="L334" s="4" t="inlineStr">
        <is>
          <t xml:space="preserve">Early and objective diagnosis of autism spectrum disorders (ASD) remains a pressing issue in modern medical and cognitive informatics, where motor behavior analysis is considered a promising source of digital biomarkers. In particular, kinematic gait characteristics obtained with contactless sensors enable the identification of subtle motor impairments that may not be apparent on visual assessment. In this paper, we propose a hybrid multi-branch </t>
        </is>
      </c>
      <c r="M334" s="4" t="inlineStr">
        <is>
          <t>https://doi.org/10.1109/access.2026.3704046</t>
        </is>
      </c>
      <c r="N334" s="4" t="n"/>
      <c r="O334" s="4" t="n"/>
      <c r="P334" s="4" t="n"/>
      <c r="Q334" s="12" t="n"/>
      <c r="R334" s="41" t="n"/>
      <c r="S334" s="4" t="inlineStr">
        <is>
          <t>0 = no reported evidence in material assessed; blank = not coded/unknown; neither proves absence</t>
        </is>
      </c>
      <c r="T334" s="4">
        <f>IF(COUNTIFS('ESTUDIOS'!$A$2:$A$455,$A334,'ESTUDIOS'!$I$2:$I$455,"")&gt;0,"",INDEX('ESTUDIOS'!$I$2:$I$455,MATCH($A334,'ESTUDIOS'!$A$2:$A$455,0)))</f>
        <v/>
      </c>
    </row>
    <row r="335" ht="112" customHeight="1">
      <c r="A335" s="4" t="inlineStr">
        <is>
          <t>new_428</t>
        </is>
      </c>
      <c r="B335" s="4" t="inlineStr">
        <is>
          <t>Update</t>
        </is>
      </c>
      <c r="C335" s="4" t="inlineStr">
        <is>
          <t>Autism Action Dataset (AAD): A Comprehensive Video Benchmark for ASD Behavior Recognition Using Deep Learning</t>
        </is>
      </c>
      <c r="D335" s="4" t="n">
        <v>0</v>
      </c>
      <c r="E335" s="4" t="n">
        <v>0</v>
      </c>
      <c r="F335" s="4" t="n">
        <v>0</v>
      </c>
      <c r="G335" s="4" t="n">
        <v>0</v>
      </c>
      <c r="H335" s="4" t="n">
        <v>1</v>
      </c>
      <c r="I335" s="4" t="n">
        <v>0</v>
      </c>
      <c r="J335" s="4" t="n">
        <v>0</v>
      </c>
      <c r="K335" s="4" t="inlineStr">
        <is>
          <t>Inherited scoped adjudication; see source level and lot caveats</t>
        </is>
      </c>
      <c r="L335" s="4" t="inlineStr">
        <is>
          <t>Autism spectrum disorder (ASD) is a neurodevelopmental disorder characterized by impairments in social interaction, communication, and behavior. Accurately recognizing the behaviors of children with ASD is crucial for diagnosis and early intervention. Traditional clinician- or caregiver-based approaches are often time-consuming, subjective, and delayed. In contrast, computer vision, along with modern deep learning (DL)-based methods, offers promi</t>
        </is>
      </c>
      <c r="M335" s="4" t="inlineStr">
        <is>
          <t>https://doi.org/10.1109/access.2026.3686583</t>
        </is>
      </c>
      <c r="N335" s="4" t="n"/>
      <c r="O335" s="4" t="n"/>
      <c r="P335" s="4" t="n"/>
      <c r="Q335" s="12" t="n"/>
      <c r="R335" s="41" t="n"/>
      <c r="S335" s="4" t="inlineStr">
        <is>
          <t>0 = no reported evidence in material assessed; blank = not coded/unknown; neither proves absence</t>
        </is>
      </c>
      <c r="T335" s="4">
        <f>IF(COUNTIFS('ESTUDIOS'!$A$2:$A$455,$A335,'ESTUDIOS'!$I$2:$I$455,"")&gt;0,"",INDEX('ESTUDIOS'!$I$2:$I$455,MATCH($A335,'ESTUDIOS'!$A$2:$A$455,0)))</f>
        <v/>
      </c>
    </row>
    <row r="336" ht="112" customHeight="1">
      <c r="A336" s="4" t="inlineStr">
        <is>
          <t>new_429</t>
        </is>
      </c>
      <c r="B336" s="4" t="inlineStr">
        <is>
          <t>Update</t>
        </is>
      </c>
      <c r="C336" s="4" t="inlineStr">
        <is>
          <t>A Data-Driven Approach for Autism Spectrum Disorder Screening</t>
        </is>
      </c>
      <c r="D336" s="4" t="n">
        <v>0</v>
      </c>
      <c r="E336" s="4" t="n">
        <v>0</v>
      </c>
      <c r="F336" s="4" t="n">
        <v>0</v>
      </c>
      <c r="G336" s="4" t="n">
        <v>0</v>
      </c>
      <c r="H336" s="4" t="n">
        <v>0</v>
      </c>
      <c r="I336" s="4" t="n">
        <v>0</v>
      </c>
      <c r="J336" s="4" t="n">
        <v>0</v>
      </c>
      <c r="K336" s="4" t="inlineStr">
        <is>
          <t>Inherited scoped adjudication; see source level and lot caveats</t>
        </is>
      </c>
      <c r="L336" s="4" t="inlineStr">
        <is>
          <t>Autism spectrum disorder (ASD) is a brain development condition influenced by genes and environment, with no known cause or cure. The diagnosis is challenging due to the absence of biological markers, requiring various examinations and specialist input. Delayed diagnosis often results in late intervention, emphasizing the need for early, individualized therapeutic approaches to enhance quality of life. Current ASD research emphasizes early detect</t>
        </is>
      </c>
      <c r="M336" s="4" t="inlineStr">
        <is>
          <t>https://doi.org/10.1109/access.2026.3650856</t>
        </is>
      </c>
      <c r="N336" s="4" t="n"/>
      <c r="O336" s="4" t="n"/>
      <c r="P336" s="4" t="n"/>
      <c r="Q336" s="12" t="n"/>
      <c r="R336" s="41" t="n"/>
      <c r="S336" s="4" t="inlineStr">
        <is>
          <t>0 = no reported evidence in material assessed; blank = not coded/unknown; neither proves absence</t>
        </is>
      </c>
      <c r="T336" s="4">
        <f>IF(COUNTIFS('ESTUDIOS'!$A$2:$A$455,$A336,'ESTUDIOS'!$I$2:$I$455,"")&gt;0,"",INDEX('ESTUDIOS'!$I$2:$I$455,MATCH($A336,'ESTUDIOS'!$A$2:$A$455,0)))</f>
        <v/>
      </c>
    </row>
    <row r="337" ht="86" customHeight="1">
      <c r="A337" s="4" t="inlineStr">
        <is>
          <t>new_1</t>
        </is>
      </c>
      <c r="B337" s="4" t="inlineStr">
        <is>
          <t>Update</t>
        </is>
      </c>
      <c r="C337" s="4" t="inlineStr">
        <is>
          <t>A novel thermal imaging-based framework for continuous ASD classification and behavior analysis using facial mood and skin temperature features</t>
        </is>
      </c>
      <c r="D337" s="4" t="n">
        <v>0</v>
      </c>
      <c r="E337" s="4" t="n">
        <v>0</v>
      </c>
      <c r="F337" s="4" t="n">
        <v>0</v>
      </c>
      <c r="G337" s="4" t="n">
        <v>0</v>
      </c>
      <c r="H337" s="4" t="n">
        <v>0</v>
      </c>
      <c r="I337" s="4" t="n">
        <v>0</v>
      </c>
      <c r="J337" s="4" t="n">
        <v>0</v>
      </c>
      <c r="K337" s="4" t="inlineStr">
        <is>
          <t>Inherited scoped adjudication; see source level and lot caveats</t>
        </is>
      </c>
      <c r="L337" s="4" t="inlineStr">
        <is>
          <t>El marco extrae estado afectivo y temperatura cutánea de imágenes térmicas; DN-FME reporta 96.39% de accuracy y RF/SVM 98.33% para clasificación de severidad. La propuesta de ajustar dosis farmacológica no fue evaluada como intervención clínica prospectiva en el texto recuperado; debe tratarse como integración propuesta, no como eficacia clínica demostrada.</t>
        </is>
      </c>
      <c r="M337" s="4" t="inlineStr">
        <is>
          <t>https://doi.org/10.1016/j.bspc.2024.107009</t>
        </is>
      </c>
      <c r="N337" s="4" t="n"/>
      <c r="O337" s="4" t="n"/>
      <c r="P337" s="4" t="n"/>
      <c r="Q337" s="12" t="n"/>
      <c r="R337" s="41" t="n"/>
      <c r="S337" s="4" t="inlineStr">
        <is>
          <t>0 = no reported evidence in material assessed; blank = not coded/unknown; neither proves absence</t>
        </is>
      </c>
      <c r="T337" s="4">
        <f>IF(COUNTIFS('ESTUDIOS'!$A$2:$A$455,$A337,'ESTUDIOS'!$I$2:$I$455,"")&gt;0,"",INDEX('ESTUDIOS'!$I$2:$I$455,MATCH($A337,'ESTUDIOS'!$A$2:$A$455,0)))</f>
        <v/>
      </c>
    </row>
    <row r="338" ht="86" customHeight="1">
      <c r="A338" s="4" t="inlineStr">
        <is>
          <t>new_3</t>
        </is>
      </c>
      <c r="B338" s="4" t="inlineStr">
        <is>
          <t>Update</t>
        </is>
      </c>
      <c r="C338" s="4" t="inlineStr">
        <is>
          <t>Efficient machine learning models across multiple datasets for autism spectrum disorder diagnoses</t>
        </is>
      </c>
      <c r="D338" s="4" t="n">
        <v>0</v>
      </c>
      <c r="E338" s="4" t="n">
        <v>0</v>
      </c>
      <c r="F338" s="4" t="n">
        <v>0</v>
      </c>
      <c r="G338" s="4" t="n">
        <v>0</v>
      </c>
      <c r="H338" s="4" t="n">
        <v>0</v>
      </c>
      <c r="I338" s="4" t="n">
        <v>0</v>
      </c>
      <c r="J338" s="4" t="n">
        <v>0</v>
      </c>
      <c r="K338" s="4" t="inlineStr">
        <is>
          <t>Inherited scoped adjudication; see source level and lot caveats</t>
        </is>
      </c>
      <c r="L338" s="4" t="inlineStr">
        <is>
          <t>ASDD evalúa 27 modelos y herramientas AutoML sobre siete datasets y un dataset combinado; varios resultados llegan a 100% de accuracy/F1. Los resultados perfectos exigen cautela. No se identificó una validación externa fija en un cohort/dataset independiente del proceso de desarrollo; múltiples datasets no equivalen automáticamente a external validation.</t>
        </is>
      </c>
      <c r="M338" s="4" t="inlineStr">
        <is>
          <t>https://doi.org/10.1016/j.bspc.2024.106949</t>
        </is>
      </c>
      <c r="N338" s="4" t="n"/>
      <c r="O338" s="4" t="n"/>
      <c r="P338" s="4" t="n"/>
      <c r="Q338" s="12" t="n"/>
      <c r="R338" s="41" t="n"/>
      <c r="S338" s="4" t="inlineStr">
        <is>
          <t>0 = no reported evidence in material assessed; blank = not coded/unknown; neither proves absence</t>
        </is>
      </c>
      <c r="T338" s="4">
        <f>IF(COUNTIFS('ESTUDIOS'!$A$2:$A$455,$A338,'ESTUDIOS'!$I$2:$I$455,"")&gt;0,"",INDEX('ESTUDIOS'!$I$2:$I$455,MATCH($A338,'ESTUDIOS'!$A$2:$A$455,0)))</f>
        <v/>
      </c>
    </row>
    <row r="339" ht="86" customHeight="1">
      <c r="A339" s="4" t="inlineStr">
        <is>
          <t>new_4</t>
        </is>
      </c>
      <c r="B339" s="4" t="inlineStr">
        <is>
          <t>Update</t>
        </is>
      </c>
      <c r="C339" s="4" t="inlineStr">
        <is>
          <t>EmoLand: Utilizing narrative animations, multilevel games, and affective computing to foster emotional development in children with autism spectrum disorder</t>
        </is>
      </c>
      <c r="D339" s="4" t="n">
        <v>0</v>
      </c>
      <c r="E339" s="4" t="n">
        <v>0</v>
      </c>
      <c r="F339" s="4" t="n">
        <v>0</v>
      </c>
      <c r="G339" s="4" t="n">
        <v>1</v>
      </c>
      <c r="H339" s="4" t="n">
        <v>0</v>
      </c>
      <c r="I339" s="4" t="n">
        <v>0</v>
      </c>
      <c r="J339" s="4" t="n">
        <v>0</v>
      </c>
      <c r="K339" s="4" t="inlineStr">
        <is>
          <t>Inherited scoped adjudication; see source level and lot caveats</t>
        </is>
      </c>
      <c r="L339" s="4" t="inlineStr">
        <is>
          <t>Evaluación de campo de 3 semanas en escuela especial: 12 niños con ASD, 5 tutores, 330 clips revisados; el módulo de feedback afectivo reporta 97.6% de acierto. Muestra pequeña y evaluación breve. La precisión del módulo de feedback no debe confundirse con eficacia clínica de largo plazo.</t>
        </is>
      </c>
      <c r="M339" s="4" t="inlineStr">
        <is>
          <t>https://doi.org/10.1016/j.ijhcs.2025.103486</t>
        </is>
      </c>
      <c r="N339" s="4" t="n"/>
      <c r="O339" s="4" t="n"/>
      <c r="P339" s="4" t="n"/>
      <c r="Q339" s="12" t="n"/>
      <c r="R339" s="41" t="n"/>
      <c r="S339" s="4" t="inlineStr">
        <is>
          <t>0 = no reported evidence in material assessed; blank = not coded/unknown; neither proves absence</t>
        </is>
      </c>
      <c r="T339" s="4">
        <f>IF(COUNTIFS('ESTUDIOS'!$A$2:$A$455,$A339,'ESTUDIOS'!$I$2:$I$455,"")&gt;0,"",INDEX('ESTUDIOS'!$I$2:$I$455,MATCH($A339,'ESTUDIOS'!$A$2:$A$455,0)))</f>
        <v/>
      </c>
    </row>
    <row r="340" ht="86" customHeight="1">
      <c r="A340" s="4" t="inlineStr">
        <is>
          <t>new_7</t>
        </is>
      </c>
      <c r="B340" s="4" t="inlineStr">
        <is>
          <t>Update</t>
        </is>
      </c>
      <c r="C340" s="4" t="inlineStr">
        <is>
          <t>Hybrid optimization enabled DenseNet for autism spectrum disorders using MRI image</t>
        </is>
      </c>
      <c r="D340" s="4" t="n">
        <v>0</v>
      </c>
      <c r="E340" s="4" t="n">
        <v>0</v>
      </c>
      <c r="F340" s="4" t="n">
        <v>0</v>
      </c>
      <c r="G340" s="4" t="n">
        <v>0</v>
      </c>
      <c r="H340" s="4" t="n">
        <v>0</v>
      </c>
      <c r="I340" s="4" t="n">
        <v>0</v>
      </c>
      <c r="J340" s="4" t="n">
        <v>0</v>
      </c>
      <c r="K340" s="4" t="inlineStr">
        <is>
          <t>Inherited scoped adjudication; see source level and lot caveats</t>
        </is>
      </c>
      <c r="L340" s="4" t="inlineStr">
        <is>
          <t>Pipeline con preprocesamiento MRI, extracción ROI/rasgos y DenseNet optimizado con JSTO; reporta accuracy de 94.8%. No se identificó validación externa independiente. Además, el texto indexado reporta FNR/FPR que parecen incompatibles con TPR/TNR simultáneamente reportados bajo definiciones estándar; requiere comprobación de tabla en verificación independiente.</t>
        </is>
      </c>
      <c r="M340" s="4" t="inlineStr">
        <is>
          <t>https://doi.org/10.1016/j.compbiolchem.2024.108335</t>
        </is>
      </c>
      <c r="N340" s="4" t="n"/>
      <c r="O340" s="4" t="n"/>
      <c r="P340" s="4" t="n"/>
      <c r="Q340" s="12" t="n"/>
      <c r="R340" s="41" t="n"/>
      <c r="S340" s="4" t="inlineStr">
        <is>
          <t>0 = no reported evidence in material assessed; blank = not coded/unknown; neither proves absence</t>
        </is>
      </c>
      <c r="T340" s="4">
        <f>IF(COUNTIFS('ESTUDIOS'!$A$2:$A$455,$A340,'ESTUDIOS'!$I$2:$I$455,"")&gt;0,"",INDEX('ESTUDIOS'!$I$2:$I$455,MATCH($A340,'ESTUDIOS'!$A$2:$A$455,0)))</f>
        <v/>
      </c>
    </row>
    <row r="341" ht="86" customHeight="1">
      <c r="A341" s="4" t="inlineStr">
        <is>
          <t>new_15</t>
        </is>
      </c>
      <c r="B341" s="4" t="inlineStr">
        <is>
          <t>Update</t>
        </is>
      </c>
      <c r="C341" s="4" t="inlineStr">
        <is>
          <t>MCBERT: A multi-modal framework for the diagnosis of autism spectrum disorder</t>
        </is>
      </c>
      <c r="D341" s="4" t="n">
        <v>1</v>
      </c>
      <c r="E341" s="4" t="n">
        <v>1</v>
      </c>
      <c r="F341" s="4" t="n">
        <v>1</v>
      </c>
      <c r="G341" s="4" t="n">
        <v>0</v>
      </c>
      <c r="H341" s="4" t="n">
        <v>0</v>
      </c>
      <c r="I341" s="4" t="n">
        <v>0</v>
      </c>
      <c r="J341" s="4" t="n">
        <v>1</v>
      </c>
      <c r="K341" s="4" t="inlineStr">
        <is>
          <t>Inherited scoped adjudication; see source level and lot caveats</t>
        </is>
      </c>
      <c r="L341" s="4" t="inlineStr">
        <is>
          <t>MCBERT fusiona MRI y meta-features en ABIDE-I y usa leave-one-site-out; se reporta accuracy máxima de 93.4%. LOSO sí aporta evaluación entre sitios y se codifica como external/site-held-out validation. El uso de atención arquitectónica no se contabilizó como XAI porque no se identificó una evaluación explícita de explicaciones.</t>
        </is>
      </c>
      <c r="M341" s="4" t="inlineStr">
        <is>
          <t>https://doi.org/10.1016/j.biopsycho.2024.108976</t>
        </is>
      </c>
      <c r="N341" s="4" t="n"/>
      <c r="O341" s="4" t="n"/>
      <c r="P341" s="4" t="n"/>
      <c r="Q341" s="12" t="n"/>
      <c r="R341" s="41" t="n"/>
      <c r="S341" s="4" t="inlineStr">
        <is>
          <t>0 = no reported evidence in material assessed; blank = not coded/unknown; neither proves absence</t>
        </is>
      </c>
      <c r="T341" s="4">
        <f>IF(COUNTIFS('ESTUDIOS'!$A$2:$A$455,$A341,'ESTUDIOS'!$I$2:$I$455,"")&gt;0,"",INDEX('ESTUDIOS'!$I$2:$I$455,MATCH($A341,'ESTUDIOS'!$A$2:$A$455,0)))</f>
        <v/>
      </c>
    </row>
    <row r="342" ht="86" customHeight="1">
      <c r="A342" s="4" t="inlineStr">
        <is>
          <t>new_21</t>
        </is>
      </c>
      <c r="B342" s="4" t="inlineStr">
        <is>
          <t>Update</t>
        </is>
      </c>
      <c r="C342" s="4" t="inlineStr">
        <is>
          <t>Screening biomarkers for autism spectrum disorder using plasma proteomics combined with machine learning methods</t>
        </is>
      </c>
      <c r="D342" s="4" t="n">
        <v>1</v>
      </c>
      <c r="E342" s="4" t="n">
        <v>0</v>
      </c>
      <c r="F342" s="4" t="n">
        <v>0</v>
      </c>
      <c r="G342" s="4" t="n">
        <v>0</v>
      </c>
      <c r="H342" s="4" t="n">
        <v>0</v>
      </c>
      <c r="I342" s="4" t="n">
        <v>0</v>
      </c>
      <c r="J342" s="4" t="n">
        <v>0</v>
      </c>
      <c r="K342" s="4" t="inlineStr">
        <is>
          <t>Inherited scoped adjudication; see source level and lot caveats</t>
        </is>
      </c>
      <c r="L342" s="4" t="inlineStr">
        <is>
          <t>SWATH-MS en 30 ASD vs controles seleccionó biomarcadores mediante ML; un grupo independiente adicional de 30 ASD vs controles fue validado por MRM. Panel de 4 proteínas: AUC 0.8087. La validación independiente fortalece el biomarcador, pero parece provenir del mismo entorno institucional y no demuestra generalización cross-site.</t>
        </is>
      </c>
      <c r="M342" s="4" t="inlineStr">
        <is>
          <t>https://doi.org/10.1016/j.cca.2024.120018</t>
        </is>
      </c>
      <c r="N342" s="4" t="n"/>
      <c r="O342" s="4" t="n"/>
      <c r="P342" s="4" t="n"/>
      <c r="Q342" s="12" t="n"/>
      <c r="R342" s="41" t="n"/>
      <c r="S342" s="4" t="inlineStr">
        <is>
          <t>0 = no reported evidence in material assessed; blank = not coded/unknown; neither proves absence</t>
        </is>
      </c>
      <c r="T342" s="4">
        <f>IF(COUNTIFS('ESTUDIOS'!$A$2:$A$455,$A342,'ESTUDIOS'!$I$2:$I$455,"")&gt;0,"",INDEX('ESTUDIOS'!$I$2:$I$455,MATCH($A342,'ESTUDIOS'!$A$2:$A$455,0)))</f>
        <v/>
      </c>
    </row>
    <row r="343" ht="86" customHeight="1">
      <c r="A343" s="4" t="inlineStr">
        <is>
          <t>new_23</t>
        </is>
      </c>
      <c r="B343" s="4" t="inlineStr">
        <is>
          <t>Update</t>
        </is>
      </c>
      <c r="C343" s="4" t="inlineStr">
        <is>
          <t>Introducing 3DCNN ResNets for ASD full-body kinematic assessment: A comparison with hand-crafted features</t>
        </is>
      </c>
      <c r="D343" s="4" t="n">
        <v>0</v>
      </c>
      <c r="E343" s="4" t="n">
        <v>0</v>
      </c>
      <c r="F343" s="4" t="n">
        <v>0</v>
      </c>
      <c r="G343" s="4" t="n">
        <v>0</v>
      </c>
      <c r="H343" s="4" t="n">
        <v>1</v>
      </c>
      <c r="I343" s="4" t="n">
        <v>0</v>
      </c>
      <c r="J343" s="4" t="n">
        <v>0</v>
      </c>
      <c r="K343" s="4" t="inlineStr">
        <is>
          <t>Inherited scoped adjudication; see source level and lot caveats</t>
        </is>
      </c>
      <c r="L343" s="4" t="inlineStr">
        <is>
          <t>n=81 (42 TD, 39 ASD); validación anidada repetida separada por sujeto; compara modelos end-to-end 3D CNN-ResNet con rasgos manuales y aplica SHAP. La validación interna está bien protegida contra mezcla de sujetos, pero el tamaño muestral sigue siendo pequeño y no existe cohorte externa independiente.</t>
        </is>
      </c>
      <c r="M343" s="4" t="inlineStr">
        <is>
          <t>https://doi.org/10.1016/j.eswa.2024.126295</t>
        </is>
      </c>
      <c r="N343" s="4" t="n"/>
      <c r="O343" s="4" t="n"/>
      <c r="P343" s="4" t="n"/>
      <c r="Q343" s="12" t="n"/>
      <c r="R343" s="41" t="n"/>
      <c r="S343" s="4" t="inlineStr">
        <is>
          <t>0 = no reported evidence in material assessed; blank = not coded/unknown; neither proves absence</t>
        </is>
      </c>
      <c r="T343" s="4">
        <f>IF(COUNTIFS('ESTUDIOS'!$A$2:$A$455,$A343,'ESTUDIOS'!$I$2:$I$455,"")&gt;0,"",INDEX('ESTUDIOS'!$I$2:$I$455,MATCH($A343,'ESTUDIOS'!$A$2:$A$455,0)))</f>
        <v/>
      </c>
    </row>
    <row r="344" ht="86" customHeight="1">
      <c r="A344" s="4" t="inlineStr">
        <is>
          <t>new_37</t>
        </is>
      </c>
      <c r="B344" s="4" t="inlineStr">
        <is>
          <t>Update</t>
        </is>
      </c>
      <c r="C344" s="4" t="inlineStr">
        <is>
          <t>Design of adaptive recommendation system for autism children using optimal feature selection-based adaptive dilated 1DCNN-LSTM with attention mechanism</t>
        </is>
      </c>
      <c r="D344" s="4" t="n">
        <v>0</v>
      </c>
      <c r="E344" s="4" t="n">
        <v>0</v>
      </c>
      <c r="F344" s="4" t="n">
        <v>0</v>
      </c>
      <c r="G344" s="4" t="n">
        <v>0</v>
      </c>
      <c r="H344" s="4" t="n">
        <v>0</v>
      </c>
      <c r="I344" s="4" t="n">
        <v>0</v>
      </c>
      <c r="J344" s="4" t="n">
        <v>0</v>
      </c>
      <c r="K344" s="4" t="inlineStr">
        <is>
          <t>Inherited scoped adjudication; see source level and lot caveats</t>
        </is>
      </c>
      <c r="L344" s="4" t="inlineStr">
        <is>
          <t>Sistema adaptativo con selección/optimización MGSOA y red dilated 1DCNN-LSTM con atención para detectar estados y recomendar acciones; la evaluación descrita es computacional/simulada. No se identificó despliegue real ni evaluación clínica prospectiva; la modalidad primaria de datos no quedó suficientemente especificada para codificarla sin inferencia.</t>
        </is>
      </c>
      <c r="M344" s="4" t="inlineStr">
        <is>
          <t>https://doi.org/10.1016/j.eswa.2024.125399</t>
        </is>
      </c>
      <c r="N344" s="4" t="n"/>
      <c r="O344" s="4" t="n"/>
      <c r="P344" s="4" t="n"/>
      <c r="Q344" s="12" t="n"/>
      <c r="R344" s="41" t="n"/>
      <c r="S344" s="4" t="inlineStr">
        <is>
          <t>0 = no reported evidence in material assessed; blank = not coded/unknown; neither proves absence</t>
        </is>
      </c>
      <c r="T344" s="4">
        <f>IF(COUNTIFS('ESTUDIOS'!$A$2:$A$455,$A344,'ESTUDIOS'!$I$2:$I$455,"")&gt;0,"",INDEX('ESTUDIOS'!$I$2:$I$455,MATCH($A344,'ESTUDIOS'!$A$2:$A$455,0)))</f>
        <v/>
      </c>
    </row>
    <row r="345" ht="99" customHeight="1">
      <c r="A345" s="4" t="inlineStr">
        <is>
          <t>new_38</t>
        </is>
      </c>
      <c r="B345" s="4" t="inlineStr">
        <is>
          <t>Update</t>
        </is>
      </c>
      <c r="C345" s="4" t="inlineStr">
        <is>
          <t>Early detection of autism spectrum disorder using explainable AI and optimized teaching strategies</t>
        </is>
      </c>
      <c r="D345" s="4" t="n">
        <v>0</v>
      </c>
      <c r="E345" s="4" t="n">
        <v>0</v>
      </c>
      <c r="F345" s="4" t="n">
        <v>0</v>
      </c>
      <c r="G345" s="4" t="n">
        <v>0</v>
      </c>
      <c r="H345" s="4" t="n">
        <v>0</v>
      </c>
      <c r="I345" s="4" t="n">
        <v>1</v>
      </c>
      <c r="J345" s="4" t="n">
        <v>0</v>
      </c>
      <c r="K345" s="4" t="inlineStr">
        <is>
          <t>Inherited scoped adjudication; see source level and lot caveats</t>
        </is>
      </c>
      <c r="L345" s="4" t="inlineStr">
        <is>
          <t>Combina dos datasets de toddlers, usa split 80:20, SMOTE, tres métodos de selección y ensamble LR-SVM; reporta 94% para ASD y 99.29% para estrategia docente. Aunque el título usa “explainable AI”, no se identificó SHAP/LIME u otro método XAI formal en el texto recuperado; se codificó solo interpretabilidad parcial por selección de rasgos. No hay validación externa independiente.</t>
        </is>
      </c>
      <c r="M345" s="4" t="inlineStr">
        <is>
          <t>https://doi.org/10.1016/j.jneumeth.2024.110315</t>
        </is>
      </c>
      <c r="N345" s="4" t="n"/>
      <c r="O345" s="4" t="n"/>
      <c r="P345" s="4" t="n"/>
      <c r="Q345" s="12" t="n"/>
      <c r="R345" s="41" t="n"/>
      <c r="S345" s="4" t="inlineStr">
        <is>
          <t>0 = no reported evidence in material assessed; blank = not coded/unknown; neither proves absence</t>
        </is>
      </c>
      <c r="T345" s="4">
        <f>IF(COUNTIFS('ESTUDIOS'!$A$2:$A$455,$A345,'ESTUDIOS'!$I$2:$I$455,"")&gt;0,"",INDEX('ESTUDIOS'!$I$2:$I$455,MATCH($A345,'ESTUDIOS'!$A$2:$A$455,0)))</f>
        <v/>
      </c>
    </row>
    <row r="346" ht="86" customHeight="1">
      <c r="A346" s="4" t="inlineStr">
        <is>
          <t>new_41</t>
        </is>
      </c>
      <c r="B346" s="4" t="inlineStr">
        <is>
          <t>Update</t>
        </is>
      </c>
      <c r="C346" s="4" t="inlineStr">
        <is>
          <t>A systematic evaluation of autism spectrum disorder identification with Scanpath Trend Analysis (STA)</t>
        </is>
      </c>
      <c r="D346" s="4" t="n">
        <v>0</v>
      </c>
      <c r="E346" s="4" t="n">
        <v>0</v>
      </c>
      <c r="F346" s="4" t="n">
        <v>0</v>
      </c>
      <c r="G346" s="4" t="n">
        <v>0</v>
      </c>
      <c r="H346" s="4" t="n">
        <v>0</v>
      </c>
      <c r="I346" s="4" t="n">
        <v>0</v>
      </c>
      <c r="J346" s="4" t="n">
        <v>0</v>
      </c>
      <c r="K346" s="4" t="inlineStr">
        <is>
          <t>Inherited scoped adjudication; see source level and lot caveats</t>
        </is>
      </c>
      <c r="L346" s="4" t="inlineStr">
        <is>
          <t>Evalúa STA en tres datasets de eye-tracking y diferentes páginas/tareas; obtiene ~60% de éxito, con menor variación que comparadores ML. La repetición en tres datasets muestra consistencia del algoritmo, pero no se identificó un esquema de entrenamiento fijo en una cohorte y validación externa en otra; no se codifica external validation.</t>
        </is>
      </c>
      <c r="M346" s="4" t="inlineStr">
        <is>
          <t>https://doi.org/10.1016/j.bspc.2024.107414</t>
        </is>
      </c>
      <c r="N346" s="4" t="n"/>
      <c r="O346" s="4" t="n"/>
      <c r="P346" s="4" t="n"/>
      <c r="Q346" s="12" t="n"/>
      <c r="R346" s="41" t="n"/>
      <c r="S346" s="4" t="inlineStr">
        <is>
          <t>0 = no reported evidence in material assessed; blank = not coded/unknown; neither proves absence</t>
        </is>
      </c>
      <c r="T346" s="4">
        <f>IF(COUNTIFS('ESTUDIOS'!$A$2:$A$455,$A346,'ESTUDIOS'!$I$2:$I$455,"")&gt;0,"",INDEX('ESTUDIOS'!$I$2:$I$455,MATCH($A346,'ESTUDIOS'!$A$2:$A$455,0)))</f>
        <v/>
      </c>
    </row>
    <row r="347" ht="86" customHeight="1">
      <c r="A347" s="4" t="inlineStr">
        <is>
          <t>new_46</t>
        </is>
      </c>
      <c r="B347" s="4" t="inlineStr">
        <is>
          <t>Update</t>
        </is>
      </c>
      <c r="C347" s="4" t="inlineStr">
        <is>
          <t>Recognition of autism in subcortical brain volumetric images using autoencoding-based region selection method and Siamese Convolutional Neural Network</t>
        </is>
      </c>
      <c r="D347" s="4" t="n">
        <v>0</v>
      </c>
      <c r="E347" s="4" t="n">
        <v>1</v>
      </c>
      <c r="F347" s="4" t="n">
        <v>0</v>
      </c>
      <c r="G347" s="4" t="n">
        <v>0</v>
      </c>
      <c r="H347" s="4" t="n">
        <v>0</v>
      </c>
      <c r="I347" s="4" t="n">
        <v>1</v>
      </c>
      <c r="J347" s="4" t="n">
        <v>0</v>
      </c>
      <c r="K347" s="4" t="inlineStr">
        <is>
          <t>Inherited scoped adjudication; see source level and lot caveats</t>
        </is>
      </c>
      <c r="L347" s="4" t="inlineStr">
        <is>
          <t>Usa ABIDE-II, autoencoder 3D para representación/selección regional y Siamese CNN; la selección MI alcanza accuracy máxima reportada cercana a 0.66. ABIDE-II es multisitio, pero no se identificó validación site-held-out. La selección de regiones aporta interpretabilidad anatómica parcial, no XAI formal.</t>
        </is>
      </c>
      <c r="M347" s="4" t="inlineStr">
        <is>
          <t>https://doi.org/10.1016/j.ijmedinf.2024.105707</t>
        </is>
      </c>
      <c r="N347" s="4" t="n"/>
      <c r="O347" s="4" t="n"/>
      <c r="P347" s="4" t="n"/>
      <c r="Q347" s="12" t="n"/>
      <c r="R347" s="41" t="n"/>
      <c r="S347" s="4" t="inlineStr">
        <is>
          <t>0 = no reported evidence in material assessed; blank = not coded/unknown; neither proves absence</t>
        </is>
      </c>
      <c r="T347" s="4">
        <f>IF(COUNTIFS('ESTUDIOS'!$A$2:$A$455,$A347,'ESTUDIOS'!$I$2:$I$455,"")&gt;0,"",INDEX('ESTUDIOS'!$I$2:$I$455,MATCH($A347,'ESTUDIOS'!$A$2:$A$455,0)))</f>
        <v/>
      </c>
    </row>
    <row r="348" ht="86" customHeight="1">
      <c r="A348" s="4" t="inlineStr">
        <is>
          <t>new_47</t>
        </is>
      </c>
      <c r="B348" s="4" t="inlineStr">
        <is>
          <t>Update</t>
        </is>
      </c>
      <c r="C348" s="4" t="inlineStr">
        <is>
          <t>Leveraging deep learning for enhanced diagnosis of autism spectrum disorder using resting-state functional magnetic resonance imaging and clinical data</t>
        </is>
      </c>
      <c r="D348" s="4" t="n">
        <v>0</v>
      </c>
      <c r="E348" s="4" t="n">
        <v>1</v>
      </c>
      <c r="F348" s="4" t="n">
        <v>0</v>
      </c>
      <c r="G348" s="4" t="n">
        <v>0</v>
      </c>
      <c r="H348" s="4" t="n">
        <v>0</v>
      </c>
      <c r="I348" s="4" t="n">
        <v>0</v>
      </c>
      <c r="J348" s="4" t="n">
        <v>1</v>
      </c>
      <c r="K348" s="4" t="inlineStr">
        <is>
          <t>Inherited scoped adjudication; see source level and lot caveats</t>
        </is>
      </c>
      <c r="L348" s="4" t="inlineStr">
        <is>
          <t>ABIDE (n≈1112) con conectividad rs-fMRI + datos fenotípicos; CNN-BiLSTM con atención y split interno 70/30. El conjunto es multisitio y multifuente, pero la evaluación reportada es un split interno; no se identificó site-held-out/cross-site validation. Atención arquitectónica no se contó como XAI sin análisis de explicación.</t>
        </is>
      </c>
      <c r="M348" s="4" t="inlineStr">
        <is>
          <t>https://doi.org/10.1016/j.rineng.2025.104444</t>
        </is>
      </c>
      <c r="N348" s="4" t="n"/>
      <c r="O348" s="4" t="n"/>
      <c r="P348" s="4" t="n"/>
      <c r="Q348" s="12" t="n"/>
      <c r="R348" s="41" t="n"/>
      <c r="S348" s="4" t="inlineStr">
        <is>
          <t>0 = no reported evidence in material assessed; blank = not coded/unknown; neither proves absence</t>
        </is>
      </c>
      <c r="T348" s="4">
        <f>IF(COUNTIFS('ESTUDIOS'!$A$2:$A$455,$A348,'ESTUDIOS'!$I$2:$I$455,"")&gt;0,"",INDEX('ESTUDIOS'!$I$2:$I$455,MATCH($A348,'ESTUDIOS'!$A$2:$A$455,0)))</f>
        <v/>
      </c>
    </row>
    <row r="349" ht="99" customHeight="1">
      <c r="A349" s="4" t="inlineStr">
        <is>
          <t>new_51</t>
        </is>
      </c>
      <c r="B349" s="4" t="inlineStr">
        <is>
          <t>Update</t>
        </is>
      </c>
      <c r="C349" s="4" t="inlineStr">
        <is>
          <t>Involution fused convolution for classifying eye-tracking patterns of children with Autism Spectrum Disorder</t>
        </is>
      </c>
      <c r="D349" s="4" t="n">
        <v>0</v>
      </c>
      <c r="E349" s="4" t="n">
        <v>0</v>
      </c>
      <c r="F349" s="4" t="n">
        <v>0</v>
      </c>
      <c r="G349" s="4" t="n">
        <v>0</v>
      </c>
      <c r="H349" s="4" t="n">
        <v>0</v>
      </c>
      <c r="I349" s="4" t="n">
        <v>0</v>
      </c>
      <c r="J349" s="4" t="n">
        <v>0</v>
      </c>
      <c r="K349" s="4" t="inlineStr">
        <is>
          <t>Inherited scoped adjudication; see source level and lot caveats</t>
        </is>
      </c>
      <c r="L349" s="4" t="inlineStr">
        <is>
          <t>Evalúa involution+convolution en dos datasets de eye-tracking y su combinación; el modelo IC con tres capas de involution supera comparadores. Se usa partición aleatoria tras combinar/aumentar imágenes. Esto plantea un riesgo potencial de dependencia entre imágenes/sujetos si la partición no fue totalmente subject-wise; no se afirma leakage porque el texto no lo demuestra.</t>
        </is>
      </c>
      <c r="M349" s="4" t="inlineStr">
        <is>
          <t>https://doi.org/10.1016/j.engappai.2024.109475</t>
        </is>
      </c>
      <c r="N349" s="4" t="n"/>
      <c r="O349" s="4" t="n"/>
      <c r="P349" s="4" t="n"/>
      <c r="Q349" s="12" t="n"/>
      <c r="R349" s="41" t="n"/>
      <c r="S349" s="4" t="inlineStr">
        <is>
          <t>0 = no reported evidence in material assessed; blank = not coded/unknown; neither proves absence</t>
        </is>
      </c>
      <c r="T349" s="4">
        <f>IF(COUNTIFS('ESTUDIOS'!$A$2:$A$455,$A349,'ESTUDIOS'!$I$2:$I$455,"")&gt;0,"",INDEX('ESTUDIOS'!$I$2:$I$455,MATCH($A349,'ESTUDIOS'!$A$2:$A$455,0)))</f>
        <v/>
      </c>
    </row>
    <row r="350" ht="86" customHeight="1">
      <c r="A350" s="4" t="inlineStr">
        <is>
          <t>new_59</t>
        </is>
      </c>
      <c r="B350" s="4" t="inlineStr">
        <is>
          <t>Update</t>
        </is>
      </c>
      <c r="C350" s="4" t="inlineStr">
        <is>
          <t>Advanced autism detection and visualization through XGBoost algorithm for fNIRS hemo-dynamic signals</t>
        </is>
      </c>
      <c r="D350" s="4" t="n">
        <v>0</v>
      </c>
      <c r="E350" s="4" t="n">
        <v>0</v>
      </c>
      <c r="F350" s="4" t="n">
        <v>0</v>
      </c>
      <c r="G350" s="4" t="n">
        <v>1</v>
      </c>
      <c r="H350" s="4" t="n">
        <v>0</v>
      </c>
      <c r="I350" s="4" t="n">
        <v>0</v>
      </c>
      <c r="J350" s="4" t="n">
        <v>0</v>
      </c>
      <c r="K350" s="4" t="inlineStr">
        <is>
          <t>Inherited scoped adjudication; see source level and lot caveats</t>
        </is>
      </c>
      <c r="L350" s="4" t="inlineStr">
        <is>
          <t>Estudio clínico prospectivo con 24 ASD y 27 TD, fNIRS de 41 canales y XGBoost con validación anidada (outer 10, inner 5); reporta accuracy 96%. La validación es interna. Los autores reconocen muestra pequeña y ausencia de ADI-R/ADOS como gold-standard; no hay cohorte externa.</t>
        </is>
      </c>
      <c r="M350" s="4" t="inlineStr">
        <is>
          <t>https://doi.org/10.1016/j.eswa.2025.127013</t>
        </is>
      </c>
      <c r="N350" s="4" t="n"/>
      <c r="O350" s="4" t="n"/>
      <c r="P350" s="4" t="n"/>
      <c r="Q350" s="12" t="n"/>
      <c r="R350" s="41" t="n"/>
      <c r="S350" s="4" t="inlineStr">
        <is>
          <t>0 = no reported evidence in material assessed; blank = not coded/unknown; neither proves absence</t>
        </is>
      </c>
      <c r="T350" s="4">
        <f>IF(COUNTIFS('ESTUDIOS'!$A$2:$A$455,$A350,'ESTUDIOS'!$I$2:$I$455,"")&gt;0,"",INDEX('ESTUDIOS'!$I$2:$I$455,MATCH($A350,'ESTUDIOS'!$A$2:$A$455,0)))</f>
        <v/>
      </c>
    </row>
    <row r="351" ht="99" customHeight="1">
      <c r="A351" s="4" t="inlineStr">
        <is>
          <t>new_60</t>
        </is>
      </c>
      <c r="B351" s="4" t="inlineStr">
        <is>
          <t>Update</t>
        </is>
      </c>
      <c r="C351" s="4" t="inlineStr">
        <is>
          <t>Using convolutional network in graphical model detection of autism disorders with fuzzy inference systems</t>
        </is>
      </c>
      <c r="D351" s="4" t="n">
        <v>0</v>
      </c>
      <c r="E351" s="4" t="n">
        <v>1</v>
      </c>
      <c r="F351" s="4" t="n">
        <v>0</v>
      </c>
      <c r="G351" s="4" t="n">
        <v>0</v>
      </c>
      <c r="H351" s="4" t="n">
        <v>0</v>
      </c>
      <c r="I351" s="4" t="n">
        <v>1</v>
      </c>
      <c r="J351" s="4" t="n">
        <v>1</v>
      </c>
      <c r="K351" s="4" t="inlineStr">
        <is>
          <t>Inherited scoped adjudication; see source level and lot caveats</t>
        </is>
      </c>
      <c r="L351" s="4" t="inlineStr">
        <is>
          <t>Combina conectividad rs-fMRI y variables fenotípicas de ABIDE-I en un GCN multiescala con inferencia difusa; usa 11-fold CV interno. Aunque ABIDE-I es multisitio, no se identificó site-held-out validation. El sitio de adquisición aparece entre rasgos fenotípicos, lo que puede introducir dependencia del sitio; se requiere análisis específico antes de afirmar robustez cross-site.</t>
        </is>
      </c>
      <c r="M351" s="4" t="inlineStr">
        <is>
          <t>https://doi.org/10.1016/j.ibmed.2025.100213</t>
        </is>
      </c>
      <c r="N351" s="4" t="n"/>
      <c r="O351" s="4" t="n"/>
      <c r="P351" s="4" t="n"/>
      <c r="Q351" s="12" t="n"/>
      <c r="R351" s="41" t="n"/>
      <c r="S351" s="4" t="inlineStr">
        <is>
          <t>0 = no reported evidence in material assessed; blank = not coded/unknown; neither proves absence</t>
        </is>
      </c>
      <c r="T351" s="4">
        <f>IF(COUNTIFS('ESTUDIOS'!$A$2:$A$455,$A351,'ESTUDIOS'!$I$2:$I$455,"")&gt;0,"",INDEX('ESTUDIOS'!$I$2:$I$455,MATCH($A351,'ESTUDIOS'!$A$2:$A$455,0)))</f>
        <v/>
      </c>
    </row>
    <row r="352" ht="86" customHeight="1">
      <c r="A352" s="4" t="inlineStr">
        <is>
          <t>new_63</t>
        </is>
      </c>
      <c r="B352" s="4" t="inlineStr">
        <is>
          <t>Update</t>
        </is>
      </c>
      <c r="C352" s="4" t="inlineStr">
        <is>
          <t>Enhancing autism spectrum disorder early detection with parent-child dyads block-play protocol and attention-enhanced hybrid deep learning framework</t>
        </is>
      </c>
      <c r="D352" s="4" t="n">
        <v>0</v>
      </c>
      <c r="E352" s="4" t="n">
        <v>0</v>
      </c>
      <c r="F352" s="4" t="n">
        <v>0</v>
      </c>
      <c r="G352" s="4" t="n">
        <v>1</v>
      </c>
      <c r="H352" s="4" t="n">
        <v>0</v>
      </c>
      <c r="I352" s="4" t="n">
        <v>0</v>
      </c>
      <c r="J352" s="4" t="n">
        <v>0</v>
      </c>
      <c r="K352" s="4" t="inlineStr">
        <is>
          <t>Inherited scoped adjudication; see source level and lot caveats</t>
        </is>
      </c>
      <c r="L352" s="4" t="inlineStr">
        <is>
          <t>Protocolo de block-play parent-child con 40 ASD y 89 TD; cámara RGB, pose con Faster R-CNN+HRNet y clasificador 2sGCN-AxLSTM; accuracy reportada 89.6%. Datos recogidos prospectivamente en un único entorno y n=129; no hay validación externa independiente. El módulo de atención no se contó como XAI porque no se presentó como explicación clínica.</t>
        </is>
      </c>
      <c r="M352" s="4" t="inlineStr">
        <is>
          <t>https://doi.org/10.1016/j.engappai.2025.110430</t>
        </is>
      </c>
      <c r="N352" s="4" t="n"/>
      <c r="O352" s="4" t="n"/>
      <c r="P352" s="4" t="n"/>
      <c r="Q352" s="12" t="n"/>
      <c r="R352" s="41" t="n"/>
      <c r="S352" s="4" t="inlineStr">
        <is>
          <t>0 = no reported evidence in material assessed; blank = not coded/unknown; neither proves absence</t>
        </is>
      </c>
      <c r="T352" s="4">
        <f>IF(COUNTIFS('ESTUDIOS'!$A$2:$A$455,$A352,'ESTUDIOS'!$I$2:$I$455,"")&gt;0,"",INDEX('ESTUDIOS'!$I$2:$I$455,MATCH($A352,'ESTUDIOS'!$A$2:$A$455,0)))</f>
        <v/>
      </c>
    </row>
    <row r="353" ht="86" customHeight="1">
      <c r="A353" s="4" t="inlineStr">
        <is>
          <t>new_64</t>
        </is>
      </c>
      <c r="B353" s="4" t="inlineStr">
        <is>
          <t>Update</t>
        </is>
      </c>
      <c r="C353" s="4" t="inlineStr">
        <is>
          <t>Involvement of disulfidptosis in the pathophysiology of autism spectrum disorder</t>
        </is>
      </c>
      <c r="D353" s="4" t="n">
        <v>1</v>
      </c>
      <c r="E353" s="4" t="n">
        <v>0</v>
      </c>
      <c r="F353" s="4" t="n">
        <v>0</v>
      </c>
      <c r="G353" s="4" t="n">
        <v>0</v>
      </c>
      <c r="H353" s="4" t="n">
        <v>0</v>
      </c>
      <c r="I353" s="4" t="n">
        <v>0</v>
      </c>
      <c r="J353" s="4" t="n">
        <v>0</v>
      </c>
      <c r="K353" s="4" t="inlineStr">
        <is>
          <t>Inherited scoped adjudication; see source level and lot caveats</t>
        </is>
      </c>
      <c r="L353" s="4" t="inlineStr">
        <is>
          <t>Identifies seven disulfidptosis-related genes and reports a predictive model (AUC 0.759) with external validation (AUC 0.811), plus animal follow-up. The paper is primarily mechanistic/biomarker research. External datasets support validation, but no real clinical workflow or site-held-out evaluation was demonstrated.</t>
        </is>
      </c>
      <c r="M353" s="4" t="inlineStr">
        <is>
          <t>https://doi.org/10.1016/j.lfs.2025.123531</t>
        </is>
      </c>
      <c r="N353" s="4" t="n"/>
      <c r="O353" s="4" t="n"/>
      <c r="P353" s="4" t="n"/>
      <c r="Q353" s="12" t="n"/>
      <c r="R353" s="41" t="n"/>
      <c r="S353" s="4" t="inlineStr">
        <is>
          <t>0 = no reported evidence in material assessed; blank = not coded/unknown; neither proves absence</t>
        </is>
      </c>
      <c r="T353" s="4">
        <f>IF(COUNTIFS('ESTUDIOS'!$A$2:$A$455,$A353,'ESTUDIOS'!$I$2:$I$455,"")&gt;0,"",INDEX('ESTUDIOS'!$I$2:$I$455,MATCH($A353,'ESTUDIOS'!$A$2:$A$455,0)))</f>
        <v/>
      </c>
    </row>
    <row r="354" ht="86" customHeight="1">
      <c r="A354" s="4" t="inlineStr">
        <is>
          <t>new_67</t>
        </is>
      </c>
      <c r="B354" s="4" t="inlineStr">
        <is>
          <t>Update</t>
        </is>
      </c>
      <c r="C354" s="4" t="inlineStr">
        <is>
          <t>Enhancing the identification of autism spectrum disorder in facial expressions using DenseResNet-Based transfer learning approach</t>
        </is>
      </c>
      <c r="D354" s="4" t="n">
        <v>0</v>
      </c>
      <c r="E354" s="4" t="n">
        <v>0</v>
      </c>
      <c r="F354" s="4" t="n">
        <v>0</v>
      </c>
      <c r="G354" s="4" t="n">
        <v>0</v>
      </c>
      <c r="H354" s="4" t="n">
        <v>0</v>
      </c>
      <c r="I354" s="4" t="n">
        <v>0</v>
      </c>
      <c r="J354" s="4" t="n">
        <v>0</v>
      </c>
      <c r="K354" s="4" t="inlineStr">
        <is>
          <t>Inherited scoped adjudication; see source level and lot caveats</t>
        </is>
      </c>
      <c r="L354" s="4" t="inlineStr">
        <is>
          <t>DenseResNet combines DenseNet and ResNet transfer learning on facial images; 2526 training and 200 test images; reported accuracy 97.07%. Internal dataset evaluation only. No independent external cohort, prospective clinical workflow, cross-site test, or formal XAI was identified.</t>
        </is>
      </c>
      <c r="M354" s="4" t="inlineStr">
        <is>
          <t>https://doi.org/10.1016/j.bspc.2024.107433</t>
        </is>
      </c>
      <c r="N354" s="4" t="n"/>
      <c r="O354" s="4" t="n"/>
      <c r="P354" s="4" t="n"/>
      <c r="Q354" s="12" t="n"/>
      <c r="R354" s="41" t="n"/>
      <c r="S354" s="4" t="inlineStr">
        <is>
          <t>0 = no reported evidence in material assessed; blank = not coded/unknown; neither proves absence</t>
        </is>
      </c>
      <c r="T354" s="4">
        <f>IF(COUNTIFS('ESTUDIOS'!$A$2:$A$455,$A354,'ESTUDIOS'!$I$2:$I$455,"")&gt;0,"",INDEX('ESTUDIOS'!$I$2:$I$455,MATCH($A354,'ESTUDIOS'!$A$2:$A$455,0)))</f>
        <v/>
      </c>
    </row>
    <row r="355" ht="86" customHeight="1">
      <c r="A355" s="4" t="inlineStr">
        <is>
          <t>new_74</t>
        </is>
      </c>
      <c r="B355" s="4" t="inlineStr">
        <is>
          <t>Update</t>
        </is>
      </c>
      <c r="C355" s="4" t="inlineStr">
        <is>
          <t>Deep neurocomputational fusion for ASD diagnosis using multi-domain EEG analysis</t>
        </is>
      </c>
      <c r="D355" s="4" t="n">
        <v>0</v>
      </c>
      <c r="E355" s="4" t="n">
        <v>0</v>
      </c>
      <c r="F355" s="4" t="n">
        <v>0</v>
      </c>
      <c r="G355" s="4" t="n">
        <v>0</v>
      </c>
      <c r="H355" s="4" t="n">
        <v>0</v>
      </c>
      <c r="I355" s="4" t="n">
        <v>0</v>
      </c>
      <c r="J355" s="4" t="n">
        <v>0</v>
      </c>
      <c r="K355" s="4" t="inlineStr">
        <is>
          <t>Inherited scoped adjudication; see source level and lot caveats</t>
        </is>
      </c>
      <c r="L355" s="4" t="inlineStr">
        <is>
          <t>EEFM fuses time/frequency EEG features using an LSTM autoencoder, XGBoost and linear regression; reported ASD-vs-TD accuracy is 93%. Multiple EEG collections do not by themselves establish independent external validation or cross-site robustness; no formal XAI was reported.</t>
        </is>
      </c>
      <c r="M355" s="4" t="inlineStr">
        <is>
          <t>https://doi.org/10.1016/j.neucom.2025.130353</t>
        </is>
      </c>
      <c r="N355" s="4" t="n"/>
      <c r="O355" s="4" t="n"/>
      <c r="P355" s="4" t="n"/>
      <c r="Q355" s="12" t="n"/>
      <c r="R355" s="41" t="n"/>
      <c r="S355" s="4" t="inlineStr">
        <is>
          <t>0 = no reported evidence in material assessed; blank = not coded/unknown; neither proves absence</t>
        </is>
      </c>
      <c r="T355" s="4">
        <f>IF(COUNTIFS('ESTUDIOS'!$A$2:$A$455,$A355,'ESTUDIOS'!$I$2:$I$455,"")&gt;0,"",INDEX('ESTUDIOS'!$I$2:$I$455,MATCH($A355,'ESTUDIOS'!$A$2:$A$455,0)))</f>
        <v/>
      </c>
    </row>
    <row r="356" ht="86" customHeight="1">
      <c r="A356" s="4" t="inlineStr">
        <is>
          <t>new_76</t>
        </is>
      </c>
      <c r="B356" s="4" t="inlineStr">
        <is>
          <t>Update</t>
        </is>
      </c>
      <c r="C356" s="4" t="inlineStr">
        <is>
          <t>Female autism categorization using CNN based NeuroNet57 and ant colony optimization</t>
        </is>
      </c>
      <c r="D356" s="4" t="n">
        <v>0</v>
      </c>
      <c r="E356" s="4" t="n">
        <v>1</v>
      </c>
      <c r="F356" s="4" t="n">
        <v>0</v>
      </c>
      <c r="G356" s="4" t="n">
        <v>0</v>
      </c>
      <c r="H356" s="4" t="n">
        <v>0</v>
      </c>
      <c r="I356" s="4" t="n">
        <v>0</v>
      </c>
      <c r="J356" s="4" t="n">
        <v>0</v>
      </c>
      <c r="K356" s="4" t="inlineStr">
        <is>
          <t>Inherited scoped adjudication; see source level and lot caveats</t>
        </is>
      </c>
      <c r="L356" s="4" t="inlineStr">
        <is>
          <t>NeuroNet57 extracts ABIDE-I/II features, ACO selects features, and FineKNN reports 92.21% accuracy on ABIDE-I and 93.49% on ABIDE-II. ABIDE is multisite, but the recovered text did not document site-held-out testing or a fixed development-versus-external validation design.</t>
        </is>
      </c>
      <c r="M356" s="4" t="inlineStr">
        <is>
          <t>https://doi.org/10.1016/j.compbiomed.2025.109926</t>
        </is>
      </c>
      <c r="N356" s="4" t="n"/>
      <c r="O356" s="4" t="n"/>
      <c r="P356" s="4" t="n"/>
      <c r="Q356" s="12" t="n"/>
      <c r="R356" s="41" t="n"/>
      <c r="S356" s="4" t="inlineStr">
        <is>
          <t>0 = no reported evidence in material assessed; blank = not coded/unknown; neither proves absence</t>
        </is>
      </c>
      <c r="T356" s="4">
        <f>IF(COUNTIFS('ESTUDIOS'!$A$2:$A$455,$A356,'ESTUDIOS'!$I$2:$I$455,"")&gt;0,"",INDEX('ESTUDIOS'!$I$2:$I$455,MATCH($A356,'ESTUDIOS'!$A$2:$A$455,0)))</f>
        <v/>
      </c>
    </row>
    <row r="357" ht="86" customHeight="1">
      <c r="A357" s="4" t="inlineStr">
        <is>
          <t>new_78</t>
        </is>
      </c>
      <c r="B357" s="4" t="inlineStr">
        <is>
          <t>Update</t>
        </is>
      </c>
      <c r="C357" s="4" t="inlineStr">
        <is>
          <t>Capsule DenseNet++: Enhanced autism detection framework with deep learning and reinforcement learning-based lifestyle recommendation</t>
        </is>
      </c>
      <c r="D357" s="4" t="n">
        <v>0</v>
      </c>
      <c r="E357" s="4" t="n">
        <v>0</v>
      </c>
      <c r="F357" s="4" t="n">
        <v>0</v>
      </c>
      <c r="G357" s="4" t="n">
        <v>0</v>
      </c>
      <c r="H357" s="4" t="n">
        <v>0</v>
      </c>
      <c r="I357" s="4" t="n">
        <v>0</v>
      </c>
      <c r="J357" s="4" t="n">
        <v>0</v>
      </c>
      <c r="K357" s="4" t="inlineStr">
        <is>
          <t>Inherited scoped adjudication; see source level and lot caveats</t>
        </is>
      </c>
      <c r="L357" s="4" t="inlineStr">
        <is>
          <t>Uses Capsule DenseNet++ with optimization for ASD screening on two public datasets and a PPO component for lifestyle recommendation; reported accuracies are about 99.2-99.3%. The two datasets were not documented as a fixed independent external-validation scheme, and the recommendation component was not evaluated in a prospective care workflow.</t>
        </is>
      </c>
      <c r="M357" s="4" t="inlineStr">
        <is>
          <t>https://doi.org/10.1016/j.compbiomed.2025.110038</t>
        </is>
      </c>
      <c r="N357" s="4" t="n"/>
      <c r="O357" s="4" t="n"/>
      <c r="P357" s="4" t="n"/>
      <c r="Q357" s="12" t="n"/>
      <c r="R357" s="41" t="n"/>
      <c r="S357" s="4" t="inlineStr">
        <is>
          <t>0 = no reported evidence in material assessed; blank = not coded/unknown; neither proves absence</t>
        </is>
      </c>
      <c r="T357" s="4">
        <f>IF(COUNTIFS('ESTUDIOS'!$A$2:$A$455,$A357,'ESTUDIOS'!$I$2:$I$455,"")&gt;0,"",INDEX('ESTUDIOS'!$I$2:$I$455,MATCH($A357,'ESTUDIOS'!$A$2:$A$455,0)))</f>
        <v/>
      </c>
    </row>
    <row r="358" ht="86" customHeight="1">
      <c r="A358" s="4" t="inlineStr">
        <is>
          <t>new_81</t>
        </is>
      </c>
      <c r="B358" s="4" t="inlineStr">
        <is>
          <t>Update</t>
        </is>
      </c>
      <c r="C358" s="4" t="inlineStr">
        <is>
          <t>Self-training EEG discrimination model with weakly supervised sample construction: An age-based perspective on ASD evaluation</t>
        </is>
      </c>
      <c r="D358" s="4" t="n">
        <v>0</v>
      </c>
      <c r="E358" s="4" t="n">
        <v>0</v>
      </c>
      <c r="F358" s="4" t="n">
        <v>0</v>
      </c>
      <c r="G358" s="4" t="n">
        <v>0</v>
      </c>
      <c r="H358" s="4" t="n">
        <v>0</v>
      </c>
      <c r="I358" s="4" t="n">
        <v>0</v>
      </c>
      <c r="J358" s="4" t="n">
        <v>0</v>
      </c>
      <c r="K358" s="4" t="inlineStr">
        <is>
          <t>Inherited scoped adjudication; see source level and lot caveats</t>
        </is>
      </c>
      <c r="L358" s="4" t="inlineStr">
        <is>
          <t>STEM combines an autoencoder, depthwise-separable convolution, BiGRU and pseudo-label self-training across EEG data; reported accuracy is 88.33% and F1 87.24%. Use of several EEG datasets does not automatically prove external validation; no explicit site-held-out or prospective clinical evaluation was identified.</t>
        </is>
      </c>
      <c r="M358" s="4" t="inlineStr">
        <is>
          <t>https://doi.org/10.1016/j.neunet.2025.107337</t>
        </is>
      </c>
      <c r="N358" s="4" t="n"/>
      <c r="O358" s="4" t="n"/>
      <c r="P358" s="4" t="n"/>
      <c r="Q358" s="12" t="n"/>
      <c r="R358" s="41" t="n"/>
      <c r="S358" s="4" t="inlineStr">
        <is>
          <t>0 = no reported evidence in material assessed; blank = not coded/unknown; neither proves absence</t>
        </is>
      </c>
      <c r="T358" s="4">
        <f>IF(COUNTIFS('ESTUDIOS'!$A$2:$A$455,$A358,'ESTUDIOS'!$I$2:$I$455,"")&gt;0,"",INDEX('ESTUDIOS'!$I$2:$I$455,MATCH($A358,'ESTUDIOS'!$A$2:$A$455,0)))</f>
        <v/>
      </c>
    </row>
    <row r="359" ht="86" customHeight="1">
      <c r="A359" s="4" t="inlineStr">
        <is>
          <t>new_84</t>
        </is>
      </c>
      <c r="B359" s="4" t="inlineStr">
        <is>
          <t>Update</t>
        </is>
      </c>
      <c r="C359" s="4" t="inlineStr">
        <is>
          <t>Towards screening of children students with autism spectrum disorder based on executive functions with serious game and machine learning approaches</t>
        </is>
      </c>
      <c r="D359" s="4" t="n">
        <v>0</v>
      </c>
      <c r="E359" s="4" t="n">
        <v>0</v>
      </c>
      <c r="F359" s="4" t="n">
        <v>0</v>
      </c>
      <c r="G359" s="4" t="n">
        <v>1</v>
      </c>
      <c r="H359" s="4" t="n">
        <v>0</v>
      </c>
      <c r="I359" s="4" t="n">
        <v>0</v>
      </c>
      <c r="J359" s="4" t="n">
        <v>0</v>
      </c>
      <c r="K359" s="4" t="inlineStr">
        <is>
          <t>Inherited scoped adjudication; see source level and lot caveats</t>
        </is>
      </c>
      <c r="L359" s="4" t="inlineStr">
        <is>
          <t>Three teachers supervised 12 children (6 ASD, 6 TD) over three months and 640 game sessions; Random Forest was best, with reported accuracy near 96%. Very small single-context sample. Data collection was prospective, but the classifier was not shown to operate as an independent deployed screening decision in routine practice.</t>
        </is>
      </c>
      <c r="M359" s="4" t="inlineStr">
        <is>
          <t>https://doi.org/10.1016/j.eswa.2025.128884</t>
        </is>
      </c>
      <c r="N359" s="4" t="n"/>
      <c r="O359" s="4" t="n"/>
      <c r="P359" s="4" t="n"/>
      <c r="Q359" s="12" t="n"/>
      <c r="R359" s="41" t="n"/>
      <c r="S359" s="4" t="inlineStr">
        <is>
          <t>0 = no reported evidence in material assessed; blank = not coded/unknown; neither proves absence</t>
        </is>
      </c>
      <c r="T359" s="4">
        <f>IF(COUNTIFS('ESTUDIOS'!$A$2:$A$455,$A359,'ESTUDIOS'!$I$2:$I$455,"")&gt;0,"",INDEX('ESTUDIOS'!$I$2:$I$455,MATCH($A359,'ESTUDIOS'!$A$2:$A$455,0)))</f>
        <v/>
      </c>
    </row>
    <row r="360" ht="86" customHeight="1">
      <c r="A360" s="4" t="inlineStr">
        <is>
          <t>new_86</t>
        </is>
      </c>
      <c r="B360" s="4" t="inlineStr">
        <is>
          <t>Update</t>
        </is>
      </c>
      <c r="C360" s="4" t="inlineStr">
        <is>
          <t>Optimized attention-enhanced U-Net for autism detection and region localization in MRI</t>
        </is>
      </c>
      <c r="D360" s="4" t="n">
        <v>0</v>
      </c>
      <c r="E360" s="4" t="n">
        <v>1</v>
      </c>
      <c r="F360" s="4" t="n">
        <v>0</v>
      </c>
      <c r="G360" s="4" t="n">
        <v>0</v>
      </c>
      <c r="H360" s="4" t="n">
        <v>0</v>
      </c>
      <c r="I360" s="4" t="n">
        <v>1</v>
      </c>
      <c r="J360" s="4" t="n">
        <v>0</v>
      </c>
      <c r="K360" s="4" t="inlineStr">
        <is>
          <t>Inherited scoped adjudication; see source level and lot caveats</t>
        </is>
      </c>
      <c r="L360" s="4" t="inlineStr">
        <is>
          <t>An optimized attention-enhanced MRI pipeline classifies ASD and localizes abnormal regions; reported accuracy is 97.29% on ABIDE-derived data. ABIDE provides multisite data, but no site-held-out validation was identified. Region localization was coded as partial interpretability, not formal XAI.</t>
        </is>
      </c>
      <c r="M360" s="4" t="inlineStr">
        <is>
          <t>https://doi.org/10.1016/j.pscychresns.2025.111970</t>
        </is>
      </c>
      <c r="N360" s="4" t="n"/>
      <c r="O360" s="4" t="n"/>
      <c r="P360" s="4" t="n"/>
      <c r="Q360" s="12" t="n"/>
      <c r="R360" s="41" t="n"/>
      <c r="S360" s="4" t="inlineStr">
        <is>
          <t>0 = no reported evidence in material assessed; blank = not coded/unknown; neither proves absence</t>
        </is>
      </c>
      <c r="T360" s="4">
        <f>IF(COUNTIFS('ESTUDIOS'!$A$2:$A$455,$A360,'ESTUDIOS'!$I$2:$I$455,"")&gt;0,"",INDEX('ESTUDIOS'!$I$2:$I$455,MATCH($A360,'ESTUDIOS'!$A$2:$A$455,0)))</f>
        <v/>
      </c>
    </row>
    <row r="361" ht="86" customHeight="1">
      <c r="A361" s="4" t="inlineStr">
        <is>
          <t>new_97</t>
        </is>
      </c>
      <c r="B361" s="4" t="inlineStr">
        <is>
          <t>Update</t>
        </is>
      </c>
      <c r="C361" s="4" t="inlineStr">
        <is>
          <t>Child-therapist acoustic synchrony and response trajectories in autism intervention: an AI-based automated analysis using dynamic systems theory and affective computing</t>
        </is>
      </c>
      <c r="D361" s="4" t="n">
        <v>0</v>
      </c>
      <c r="E361" s="4" t="n">
        <v>0</v>
      </c>
      <c r="F361" s="4" t="n">
        <v>0</v>
      </c>
      <c r="G361" s="4" t="n">
        <v>1</v>
      </c>
      <c r="H361" s="4" t="n">
        <v>0</v>
      </c>
      <c r="I361" s="4" t="n">
        <v>0</v>
      </c>
      <c r="J361" s="4" t="n">
        <v>0</v>
      </c>
      <c r="K361" s="4" t="inlineStr">
        <is>
          <t>Inherited scoped adjudication; see source level and lot caveats</t>
        </is>
      </c>
      <c r="L361" s="4" t="inlineStr">
        <is>
          <t>Follows 25 autistic preschoolers over one year of NDBI; 75 intervention videos are analyzed with automatic speech segmentation and CRQA acoustic synchrony. Prospective longitudinal data support monitoring research, but the AI output was analyzed as a research measure rather than used to alter therapy decisions in real time.</t>
        </is>
      </c>
      <c r="M361" s="4" t="inlineStr">
        <is>
          <t>https://doi.org/10.1016/j.etdah.2025.100176</t>
        </is>
      </c>
      <c r="N361" s="4" t="n"/>
      <c r="O361" s="4" t="n"/>
      <c r="P361" s="4" t="n"/>
      <c r="Q361" s="12" t="n"/>
      <c r="R361" s="41" t="n"/>
      <c r="S361" s="4" t="inlineStr">
        <is>
          <t>0 = no reported evidence in material assessed; blank = not coded/unknown; neither proves absence</t>
        </is>
      </c>
      <c r="T361" s="4">
        <f>IF(COUNTIFS('ESTUDIOS'!$A$2:$A$455,$A361,'ESTUDIOS'!$I$2:$I$455,"")&gt;0,"",INDEX('ESTUDIOS'!$I$2:$I$455,MATCH($A361,'ESTUDIOS'!$A$2:$A$455,0)))</f>
        <v/>
      </c>
    </row>
    <row r="362" ht="86" customHeight="1">
      <c r="A362" s="4" t="inlineStr">
        <is>
          <t>new_103</t>
        </is>
      </c>
      <c r="B362" s="4" t="inlineStr">
        <is>
          <t>Update</t>
        </is>
      </c>
      <c r="C362" s="4" t="inlineStr">
        <is>
          <t>Early fusion for Autism classification with biomarker detection using rs-fMRI and phenotypic data</t>
        </is>
      </c>
      <c r="D362" s="4" t="n">
        <v>1</v>
      </c>
      <c r="E362" s="4" t="n">
        <v>1</v>
      </c>
      <c r="F362" s="4" t="n">
        <v>1</v>
      </c>
      <c r="G362" s="4" t="n">
        <v>0</v>
      </c>
      <c r="H362" s="4" t="n">
        <v>1</v>
      </c>
      <c r="I362" s="4" t="n">
        <v>0</v>
      </c>
      <c r="J362" s="4" t="n">
        <v>1</v>
      </c>
      <c r="K362" s="4" t="inlineStr">
        <is>
          <t>Inherited scoped adjudication; see source level and lot caveats</t>
        </is>
      </c>
      <c r="L362" s="4" t="inlineStr">
        <is>
          <t>Early fusion combines rs-fMRI and phenotypic features; the study reports explainable biomarker analysis and leave-one-site-out evaluation on multisite ABIDE data. LOSO is strong evidence of site-level generalization but performance remains moderate; it is still retrospective research rather than prospective clinical deployment.</t>
        </is>
      </c>
      <c r="M362" s="4" t="inlineStr">
        <is>
          <t>https://doi.org/10.1016/j.bspc.2025.108020</t>
        </is>
      </c>
      <c r="N362" s="4" t="n"/>
      <c r="O362" s="4" t="n"/>
      <c r="P362" s="4" t="n"/>
      <c r="Q362" s="12" t="n"/>
      <c r="R362" s="41" t="n"/>
      <c r="S362" s="4" t="inlineStr">
        <is>
          <t>0 = no reported evidence in material assessed; blank = not coded/unknown; neither proves absence</t>
        </is>
      </c>
      <c r="T362" s="4">
        <f>IF(COUNTIFS('ESTUDIOS'!$A$2:$A$455,$A362,'ESTUDIOS'!$I$2:$I$455,"")&gt;0,"",INDEX('ESTUDIOS'!$I$2:$I$455,MATCH($A362,'ESTUDIOS'!$A$2:$A$455,0)))</f>
        <v/>
      </c>
    </row>
    <row r="363" ht="86" customHeight="1">
      <c r="A363" s="4" t="inlineStr">
        <is>
          <t>new_110</t>
        </is>
      </c>
      <c r="B363" s="4" t="inlineStr">
        <is>
          <t>Update</t>
        </is>
      </c>
      <c r="C363" s="4" t="inlineStr">
        <is>
          <t>A deep learning model for diagnosing autism using brain time series</t>
        </is>
      </c>
      <c r="D363" s="4" t="n">
        <v>0</v>
      </c>
      <c r="E363" s="4" t="n">
        <v>1</v>
      </c>
      <c r="F363" s="4" t="n">
        <v>0</v>
      </c>
      <c r="G363" s="4" t="n">
        <v>0</v>
      </c>
      <c r="H363" s="4" t="n">
        <v>0</v>
      </c>
      <c r="I363" s="4" t="n">
        <v>0</v>
      </c>
      <c r="J363" s="4" t="n">
        <v>0</v>
      </c>
      <c r="K363" s="4" t="inlineStr">
        <is>
          <t>Inherited scoped adjudication; see source level and lot caveats</t>
        </is>
      </c>
      <c r="L363" s="4" t="inlineStr">
        <is>
          <t>Uses ABIDE brain time series with an LSTM-attention architecture; evaluation uses an internal subject split and cross-validation, with no separate external test set. ABIDE is multisite, but the recovered evaluation is not site-held-out. Architectural attention was not counted as XAI without explicit explanation analysis.</t>
        </is>
      </c>
      <c r="M363" s="4" t="inlineStr">
        <is>
          <t>https://doi.org/10.1016/j.neuroscience.2025.08.001</t>
        </is>
      </c>
      <c r="N363" s="4" t="n"/>
      <c r="O363" s="4" t="n"/>
      <c r="P363" s="4" t="n"/>
      <c r="Q363" s="12" t="n"/>
      <c r="R363" s="41" t="n"/>
      <c r="S363" s="4" t="inlineStr">
        <is>
          <t>0 = no reported evidence in material assessed; blank = not coded/unknown; neither proves absence</t>
        </is>
      </c>
      <c r="T363" s="4">
        <f>IF(COUNTIFS('ESTUDIOS'!$A$2:$A$455,$A363,'ESTUDIOS'!$I$2:$I$455,"")&gt;0,"",INDEX('ESTUDIOS'!$I$2:$I$455,MATCH($A363,'ESTUDIOS'!$A$2:$A$455,0)))</f>
        <v/>
      </c>
    </row>
    <row r="364" ht="86" customHeight="1">
      <c r="A364" s="4" t="inlineStr">
        <is>
          <t>new_118</t>
        </is>
      </c>
      <c r="B364" s="4" t="inlineStr">
        <is>
          <t>Update</t>
        </is>
      </c>
      <c r="C364" s="4" t="inlineStr">
        <is>
          <t>Massively parallel characterization of non-coding de novo mutations in autism spectrum disorder</t>
        </is>
      </c>
      <c r="D364" s="4" t="n">
        <v>0</v>
      </c>
      <c r="E364" s="4" t="n">
        <v>0</v>
      </c>
      <c r="F364" s="4" t="n">
        <v>0</v>
      </c>
      <c r="G364" s="4" t="n">
        <v>0</v>
      </c>
      <c r="H364" s="4" t="n">
        <v>0</v>
      </c>
      <c r="I364" s="4" t="n">
        <v>0</v>
      </c>
      <c r="J364" s="4" t="n">
        <v>0</v>
      </c>
      <c r="K364" s="4" t="inlineStr">
        <is>
          <t>Inherited scoped adjudication; see source level and lot caveats</t>
        </is>
      </c>
      <c r="L364" s="4" t="inlineStr">
        <is>
          <t>Analyzes ncDNMs from SSC and MSSNG using a cell-specific variant-effect model and MPRA follow-up, prioritizing ASD-risk regulatory mutations. This is mechanistic genomic research rather than a clinical-stage decision tool. Multiple cohorts/assays were not coded as formal multisource model fusion or cross-site validation.</t>
        </is>
      </c>
      <c r="M364" s="4" t="inlineStr">
        <is>
          <t>https://doi.org/10.1016/j.jgg.2025.07.008</t>
        </is>
      </c>
      <c r="N364" s="4" t="n"/>
      <c r="O364" s="4" t="n"/>
      <c r="P364" s="4" t="n"/>
      <c r="Q364" s="12" t="n"/>
      <c r="R364" s="41" t="n"/>
      <c r="S364" s="4" t="inlineStr">
        <is>
          <t>0 = no reported evidence in material assessed; blank = not coded/unknown; neither proves absence</t>
        </is>
      </c>
      <c r="T364" s="4">
        <f>IF(COUNTIFS('ESTUDIOS'!$A$2:$A$455,$A364,'ESTUDIOS'!$I$2:$I$455,"")&gt;0,"",INDEX('ESTUDIOS'!$I$2:$I$455,MATCH($A364,'ESTUDIOS'!$A$2:$A$455,0)))</f>
        <v/>
      </c>
    </row>
    <row r="365" ht="86" customHeight="1">
      <c r="A365" s="4" t="inlineStr">
        <is>
          <t>new_122</t>
        </is>
      </c>
      <c r="B365" s="4" t="inlineStr">
        <is>
          <t>Update</t>
        </is>
      </c>
      <c r="C365" s="4" t="inlineStr">
        <is>
          <t>A novel hybrid deep learning model using MEResNextfor autism spectrum disorder detection</t>
        </is>
      </c>
      <c r="D365" s="4" t="n">
        <v>0</v>
      </c>
      <c r="E365" s="4" t="n">
        <v>0</v>
      </c>
      <c r="F365" s="4" t="n">
        <v>0</v>
      </c>
      <c r="G365" s="4" t="n">
        <v>0</v>
      </c>
      <c r="H365" s="4" t="n">
        <v>0</v>
      </c>
      <c r="I365" s="4" t="n">
        <v>0</v>
      </c>
      <c r="J365" s="4" t="n">
        <v>0</v>
      </c>
      <c r="K365" s="4" t="inlineStr">
        <is>
          <t>Inherited scoped adjudication; see source level and lot caveats</t>
        </is>
      </c>
      <c r="L365" s="4" t="inlineStr">
        <is>
          <t>Proposes MEResNeXt with feature selection for ASD detection on a structured toddler screening dataset and reports high classification performance. No independent external cohort, prospective workflow, cross-site test or formal XAI was identified in the recovered article text.</t>
        </is>
      </c>
      <c r="M365" s="4" t="inlineStr">
        <is>
          <t>https://doi.org/10.1016/j.compbiolchem.2025.108619</t>
        </is>
      </c>
      <c r="N365" s="4" t="n"/>
      <c r="O365" s="4" t="n"/>
      <c r="P365" s="4" t="n"/>
      <c r="Q365" s="12" t="n"/>
      <c r="R365" s="41" t="n"/>
      <c r="S365" s="4" t="inlineStr">
        <is>
          <t>0 = no reported evidence in material assessed; blank = not coded/unknown; neither proves absence</t>
        </is>
      </c>
      <c r="T365" s="4">
        <f>IF(COUNTIFS('ESTUDIOS'!$A$2:$A$455,$A365,'ESTUDIOS'!$I$2:$I$455,"")&gt;0,"",INDEX('ESTUDIOS'!$I$2:$I$455,MATCH($A365,'ESTUDIOS'!$A$2:$A$455,0)))</f>
        <v/>
      </c>
    </row>
    <row r="366" ht="86" customHeight="1">
      <c r="A366" s="4" t="inlineStr">
        <is>
          <t>new_123</t>
        </is>
      </c>
      <c r="B366" s="4" t="inlineStr">
        <is>
          <t>Update</t>
        </is>
      </c>
      <c r="C366" s="4" t="inlineStr">
        <is>
          <t>FaithfulNet: An explainable deep learning framework for autism diagnosis using structural MRI</t>
        </is>
      </c>
      <c r="D366" s="4" t="n">
        <v>0</v>
      </c>
      <c r="E366" s="4" t="n">
        <v>1</v>
      </c>
      <c r="F366" s="4" t="n">
        <v>0</v>
      </c>
      <c r="G366" s="4" t="n">
        <v>0</v>
      </c>
      <c r="H366" s="4" t="n">
        <v>1</v>
      </c>
      <c r="I366" s="4" t="n">
        <v>0</v>
      </c>
      <c r="J366" s="4" t="n">
        <v>0</v>
      </c>
      <c r="K366" s="4" t="inlineStr">
        <is>
          <t>Inherited scoped adjudication; see source level and lot caveats</t>
        </is>
      </c>
      <c r="L366" s="4" t="inlineStr">
        <is>
          <t>FaithfulNet classifies ABIDE-II sMRI and Faith_CAM combines Grad-CAM with SHAP for explanation/region localization; very high internal performance is reported. ABIDE-II is multisite, but no site-held-out or independent external validation was identified. Very high performance warrants leakage/partition review during human verification.</t>
        </is>
      </c>
      <c r="M366" s="4" t="inlineStr">
        <is>
          <t>https://doi.org/10.1016/j.brainres.2025.149904</t>
        </is>
      </c>
      <c r="N366" s="4" t="n"/>
      <c r="O366" s="4" t="n"/>
      <c r="P366" s="4" t="n"/>
      <c r="Q366" s="12" t="n"/>
      <c r="R366" s="41" t="n"/>
      <c r="S366" s="4" t="inlineStr">
        <is>
          <t>0 = no reported evidence in material assessed; blank = not coded/unknown; neither proves absence</t>
        </is>
      </c>
      <c r="T366" s="4">
        <f>IF(COUNTIFS('ESTUDIOS'!$A$2:$A$455,$A366,'ESTUDIOS'!$I$2:$I$455,"")&gt;0,"",INDEX('ESTUDIOS'!$I$2:$I$455,MATCH($A366,'ESTUDIOS'!$A$2:$A$455,0)))</f>
        <v/>
      </c>
    </row>
    <row r="367" ht="86" customHeight="1">
      <c r="A367" s="4" t="inlineStr">
        <is>
          <t>new_126</t>
        </is>
      </c>
      <c r="B367" s="4" t="inlineStr">
        <is>
          <t>Update</t>
        </is>
      </c>
      <c r="C367" s="4" t="inlineStr">
        <is>
          <t>CARE: Comprehensive Artificial Intelligence Techniques for Reliable Autism Evaluation in Pediatric Care</t>
        </is>
      </c>
      <c r="D367" s="4" t="n">
        <v>0</v>
      </c>
      <c r="E367" s="4" t="n">
        <v>0</v>
      </c>
      <c r="F367" s="4" t="n">
        <v>0</v>
      </c>
      <c r="G367" s="4" t="n">
        <v>0</v>
      </c>
      <c r="H367" s="4" t="n">
        <v>1</v>
      </c>
      <c r="I367" s="4" t="n">
        <v>0</v>
      </c>
      <c r="J367" s="4" t="n">
        <v>0</v>
      </c>
      <c r="K367" s="4" t="inlineStr">
        <is>
          <t>Inherited scoped adjudication; see source level and lot caveats</t>
        </is>
      </c>
      <c r="L367" s="4" t="inlineStr">
        <is>
          <t>CARE evaluates AutoML/CatBoost on a pediatric ASD-traits dataset and uses SHAP for explicit feature-level explanation. Retrospective/public structured-data modeling only; no independent external cohort or prospective pediatric workflow evaluation was demonstrated.</t>
        </is>
      </c>
      <c r="M367" s="4" t="inlineStr">
        <is>
          <t>https://doi.org/10.32604/cmc.2025.067784</t>
        </is>
      </c>
      <c r="N367" s="4" t="n"/>
      <c r="O367" s="4" t="n"/>
      <c r="P367" s="4" t="n"/>
      <c r="Q367" s="12" t="n"/>
      <c r="R367" s="41" t="n"/>
      <c r="S367" s="4" t="inlineStr">
        <is>
          <t>0 = no reported evidence in material assessed; blank = not coded/unknown; neither proves absence</t>
        </is>
      </c>
      <c r="T367" s="4">
        <f>IF(COUNTIFS('ESTUDIOS'!$A$2:$A$455,$A367,'ESTUDIOS'!$I$2:$I$455,"")&gt;0,"",INDEX('ESTUDIOS'!$I$2:$I$455,MATCH($A367,'ESTUDIOS'!$A$2:$A$455,0)))</f>
        <v/>
      </c>
    </row>
    <row r="368" ht="86" customHeight="1">
      <c r="A368" s="4" t="inlineStr">
        <is>
          <t>new_134</t>
        </is>
      </c>
      <c r="B368" s="4" t="inlineStr">
        <is>
          <t>Update</t>
        </is>
      </c>
      <c r="C368" s="4" t="inlineStr">
        <is>
          <t>ASD-HybridNet: A hybrid deep learning framework for detection of autism spectrum disorder</t>
        </is>
      </c>
      <c r="D368" s="4" t="n">
        <v>0</v>
      </c>
      <c r="E368" s="4" t="n">
        <v>1</v>
      </c>
      <c r="F368" s="4" t="n">
        <v>0</v>
      </c>
      <c r="G368" s="4" t="n">
        <v>0</v>
      </c>
      <c r="H368" s="4" t="n">
        <v>0</v>
      </c>
      <c r="I368" s="4" t="n">
        <v>0</v>
      </c>
      <c r="J368" s="4" t="n">
        <v>0</v>
      </c>
      <c r="K368" s="4" t="inlineStr">
        <is>
          <t>Inherited scoped adjudication; see source level and lot caveats</t>
        </is>
      </c>
      <c r="L368" s="4" t="inlineStr">
        <is>
          <t>ASD-HybridNet fuses ROI time-series and functional-connectivity representations from ABIDE-I; reported accuracy is about 71.87%. The fused inputs are representations of the same rs-fMRI source, so q3_multisource_data remains 0. ABIDE-I is multisite but no site-held-out test was identified.</t>
        </is>
      </c>
      <c r="M368" s="4" t="inlineStr">
        <is>
          <t>https://doi.org/10.1016/j.mri.2025.110492</t>
        </is>
      </c>
      <c r="N368" s="4" t="n"/>
      <c r="O368" s="4" t="n"/>
      <c r="P368" s="4" t="n"/>
      <c r="Q368" s="12" t="n"/>
      <c r="R368" s="41" t="n"/>
      <c r="S368" s="4" t="inlineStr">
        <is>
          <t>0 = no reported evidence in material assessed; blank = not coded/unknown; neither proves absence</t>
        </is>
      </c>
      <c r="T368" s="4">
        <f>IF(COUNTIFS('ESTUDIOS'!$A$2:$A$455,$A368,'ESTUDIOS'!$I$2:$I$455,"")&gt;0,"",INDEX('ESTUDIOS'!$I$2:$I$455,MATCH($A368,'ESTUDIOS'!$A$2:$A$455,0)))</f>
        <v/>
      </c>
    </row>
    <row r="369" ht="86" customHeight="1">
      <c r="A369" s="4" t="inlineStr">
        <is>
          <t>new_146</t>
        </is>
      </c>
      <c r="B369" s="4" t="inlineStr">
        <is>
          <t>Update</t>
        </is>
      </c>
      <c r="C369" s="4" t="inlineStr">
        <is>
          <t>Deep learning-based detection of autism spectrum disorder and emotion recognition in children</t>
        </is>
      </c>
      <c r="D369" s="4" t="n">
        <v>0</v>
      </c>
      <c r="E369" s="4" t="n">
        <v>0</v>
      </c>
      <c r="F369" s="4" t="n">
        <v>0</v>
      </c>
      <c r="G369" s="4" t="n">
        <v>0</v>
      </c>
      <c r="H369" s="4" t="n">
        <v>0</v>
      </c>
      <c r="I369" s="4" t="n">
        <v>0</v>
      </c>
      <c r="J369" s="4" t="n">
        <v>0</v>
      </c>
      <c r="K369" s="4" t="inlineStr">
        <is>
          <t>Inherited scoped adjudication; see source level and lot caveats</t>
        </is>
      </c>
      <c r="L369" s="4" t="inlineStr">
        <is>
          <t>Combines deep CNN architectures for child facial ASD detection and emotion recognition on public image datasets; ASD accuracy is reported near 95%. No external clinical cohort, prospective workflow or formal XAI was identified; explainability/multimodal extensions are presented as future directions.</t>
        </is>
      </c>
      <c r="M369" s="4" t="inlineStr">
        <is>
          <t>https://doi.org/10.1016/j.patcog.2025.112906</t>
        </is>
      </c>
      <c r="N369" s="4" t="n"/>
      <c r="O369" s="4" t="n"/>
      <c r="P369" s="4" t="n"/>
      <c r="Q369" s="12" t="n"/>
      <c r="R369" s="41" t="n"/>
      <c r="S369" s="4" t="inlineStr">
        <is>
          <t>0 = no reported evidence in material assessed; blank = not coded/unknown; neither proves absence</t>
        </is>
      </c>
      <c r="T369" s="4">
        <f>IF(COUNTIFS('ESTUDIOS'!$A$2:$A$455,$A369,'ESTUDIOS'!$I$2:$I$455,"")&gt;0,"",INDEX('ESTUDIOS'!$I$2:$I$455,MATCH($A369,'ESTUDIOS'!$A$2:$A$455,0)))</f>
        <v/>
      </c>
    </row>
    <row r="370" ht="86" customHeight="1">
      <c r="A370" s="4" t="inlineStr">
        <is>
          <t>new_149</t>
        </is>
      </c>
      <c r="B370" s="4" t="inlineStr">
        <is>
          <t>Update</t>
        </is>
      </c>
      <c r="C370" s="4" t="inlineStr">
        <is>
          <t>A new approach in autism diagnosis: Evaluating natural interaction using point of view (POV) glasses</t>
        </is>
      </c>
      <c r="D370" s="4" t="n">
        <v>0</v>
      </c>
      <c r="E370" s="4" t="n">
        <v>0</v>
      </c>
      <c r="F370" s="4" t="n">
        <v>0</v>
      </c>
      <c r="G370" s="4" t="n">
        <v>1</v>
      </c>
      <c r="H370" s="4" t="n">
        <v>0</v>
      </c>
      <c r="I370" s="4" t="n">
        <v>0</v>
      </c>
      <c r="J370" s="4" t="n">
        <v>0</v>
      </c>
      <c r="K370" s="4" t="inlineStr">
        <is>
          <t>Inherited scoped adjudication; see source level and lot caveats</t>
        </is>
      </c>
      <c r="L370" s="4" t="inlineStr">
        <is>
          <t>Uses examiner-worn POV glasses with 29 ASD and 27 non-ASD children aged 17-36 months; CV features feed AdaBoost/decision trees, with reported AUC about 0.95. Prospective participant data were collected, but the model was not validated in an independent site/cohort or used to determine real clinical decisions during care.</t>
        </is>
      </c>
      <c r="M370" s="4" t="inlineStr">
        <is>
          <t>https://doi.org/10.1016/j.ajp.2025.104798</t>
        </is>
      </c>
      <c r="N370" s="4" t="n"/>
      <c r="O370" s="4" t="n"/>
      <c r="P370" s="4" t="n"/>
      <c r="Q370" s="12" t="n"/>
      <c r="R370" s="41" t="n"/>
      <c r="S370" s="4" t="inlineStr">
        <is>
          <t>0 = no reported evidence in material assessed; blank = not coded/unknown; neither proves absence</t>
        </is>
      </c>
      <c r="T370" s="4">
        <f>IF(COUNTIFS('ESTUDIOS'!$A$2:$A$455,$A370,'ESTUDIOS'!$I$2:$I$455,"")&gt;0,"",INDEX('ESTUDIOS'!$I$2:$I$455,MATCH($A370,'ESTUDIOS'!$A$2:$A$455,0)))</f>
        <v/>
      </c>
    </row>
    <row r="371" ht="99" customHeight="1">
      <c r="A371" s="4" t="inlineStr">
        <is>
          <t>new_154</t>
        </is>
      </c>
      <c r="B371" s="4" t="inlineStr">
        <is>
          <t>Update</t>
        </is>
      </c>
      <c r="C371" s="4" t="inlineStr">
        <is>
          <t>A two-step temporal data augmentation and supervised learning framework for predicting autism diagnosis at 36 months in patients with tuberous sclerosis complex</t>
        </is>
      </c>
      <c r="D371" s="4" t="n">
        <v>0</v>
      </c>
      <c r="E371" s="4" t="n">
        <v>1</v>
      </c>
      <c r="F371" s="4" t="n">
        <v>0</v>
      </c>
      <c r="G371" s="4" t="n">
        <v>1</v>
      </c>
      <c r="H371" s="4" t="n">
        <v>0</v>
      </c>
      <c r="I371" s="4" t="n">
        <v>0</v>
      </c>
      <c r="J371" s="4" t="n">
        <v>1</v>
      </c>
      <c r="K371" s="4" t="inlineStr">
        <is>
          <t>Inherited scoped adjudication; see source level and lot caveats</t>
        </is>
      </c>
      <c r="L371" s="4" t="inlineStr">
        <is>
          <t>TACERN is a prospective longitudinal multisite study; DTI plus behavioral features from 93 children predict 36-month ASD diagnosis, with regularized logistic regression AUC about 0.808-0.831. Although the cohort is multisite and prospective, the recovered evaluation uses repeated train-test procedures rather than an explicit site-held-out or independent external validation cohort.</t>
        </is>
      </c>
      <c r="M371" s="4" t="inlineStr">
        <is>
          <t>https://doi.org/10.1016/j.compbiomed.2026.111719</t>
        </is>
      </c>
      <c r="N371" s="4" t="n"/>
      <c r="O371" s="4" t="n"/>
      <c r="P371" s="4" t="n"/>
      <c r="Q371" s="12" t="n"/>
      <c r="R371" s="41" t="n"/>
      <c r="S371" s="4" t="inlineStr">
        <is>
          <t>0 = no reported evidence in material assessed; blank = not coded/unknown; neither proves absence</t>
        </is>
      </c>
      <c r="T371" s="4">
        <f>IF(COUNTIFS('ESTUDIOS'!$A$2:$A$455,$A371,'ESTUDIOS'!$I$2:$I$455,"")&gt;0,"",INDEX('ESTUDIOS'!$I$2:$I$455,MATCH($A371,'ESTUDIOS'!$A$2:$A$455,0)))</f>
        <v/>
      </c>
    </row>
    <row r="372" ht="86" customHeight="1">
      <c r="A372" s="4" t="inlineStr">
        <is>
          <t>new_162</t>
        </is>
      </c>
      <c r="B372" s="4" t="inlineStr">
        <is>
          <t>Update</t>
        </is>
      </c>
      <c r="C372" s="4" t="inlineStr">
        <is>
          <t>EMLF-Net: A multi-level feature fusion network based on autism EEG signals for autism spectrum disorder classification</t>
        </is>
      </c>
      <c r="D372" s="4" t="n">
        <v>0</v>
      </c>
      <c r="E372" s="4" t="n">
        <v>0</v>
      </c>
      <c r="F372" s="4" t="n">
        <v>0</v>
      </c>
      <c r="G372" s="4" t="n">
        <v>0</v>
      </c>
      <c r="H372" s="4" t="n">
        <v>0</v>
      </c>
      <c r="I372" s="4" t="n">
        <v>1</v>
      </c>
      <c r="J372" s="4" t="n">
        <v>0</v>
      </c>
      <c r="K372" s="4" t="inlineStr">
        <is>
          <t>Inherited scoped adjudication; see source level and lot caveats</t>
        </is>
      </c>
      <c r="L372" s="4" t="inlineStr">
        <is>
          <t>EMLF-Net fuses time- and frequency-domain EEG features; KAU results are 99.20% subject-dependent and 92.09% subject-independent; topographic analysis shows channel importance. Single small public dataset (12 ASD, 5 TD). Topographic/channel-importance visualization was coded as partial interpretability, not formal XAI.</t>
        </is>
      </c>
      <c r="M372" s="4" t="inlineStr">
        <is>
          <t>https://doi.org/10.1016/j.bspc.2025.109180</t>
        </is>
      </c>
      <c r="N372" s="4" t="n"/>
      <c r="O372" s="4" t="n"/>
      <c r="P372" s="4" t="n"/>
      <c r="Q372" s="12" t="n"/>
      <c r="R372" s="41" t="n"/>
      <c r="S372" s="4" t="inlineStr">
        <is>
          <t>0 = no reported evidence in material assessed; blank = not coded/unknown; neither proves absence</t>
        </is>
      </c>
      <c r="T372" s="4">
        <f>IF(COUNTIFS('ESTUDIOS'!$A$2:$A$455,$A372,'ESTUDIOS'!$I$2:$I$455,"")&gt;0,"",INDEX('ESTUDIOS'!$I$2:$I$455,MATCH($A372,'ESTUDIOS'!$A$2:$A$455,0)))</f>
        <v/>
      </c>
    </row>
    <row r="373" ht="86" customHeight="1">
      <c r="A373" s="4" t="inlineStr">
        <is>
          <t>new_180</t>
        </is>
      </c>
      <c r="B373" s="4" t="inlineStr">
        <is>
          <t>Update</t>
        </is>
      </c>
      <c r="C373" s="4" t="inlineStr">
        <is>
          <t>The effect of spatial and intensity level augmentation of structural magnetic resonance images on autism diagnosis model</t>
        </is>
      </c>
      <c r="D373" s="4" t="n">
        <v>0</v>
      </c>
      <c r="E373" s="4" t="n">
        <v>1</v>
      </c>
      <c r="F373" s="4" t="n">
        <v>0</v>
      </c>
      <c r="G373" s="4" t="n">
        <v>0</v>
      </c>
      <c r="H373" s="4" t="n">
        <v>0</v>
      </c>
      <c r="I373" s="4" t="n">
        <v>0</v>
      </c>
      <c r="J373" s="4" t="n">
        <v>0</v>
      </c>
      <c r="K373" s="4" t="inlineStr">
        <is>
          <t>Inherited scoped adjudication; see source level and lot caveats</t>
        </is>
      </c>
      <c r="L373" s="4" t="inlineStr">
        <is>
          <t>Systematically evaluates spatial and intensity augmentation on structural MRI with ResNet34; combined augmentation improves reported AUC to 0.7433. ABIDE data are multisite, but no site-held-out cross-site evaluation was identified. The study evaluates augmentation robustness, not external clinical generalization.</t>
        </is>
      </c>
      <c r="M373" s="4" t="inlineStr">
        <is>
          <t>https://doi.org/10.1016/j.ajp.2026.104830</t>
        </is>
      </c>
      <c r="N373" s="4" t="n"/>
      <c r="O373" s="4" t="n"/>
      <c r="P373" s="4" t="n"/>
      <c r="Q373" s="12" t="n"/>
      <c r="R373" s="41" t="n"/>
      <c r="S373" s="4" t="inlineStr">
        <is>
          <t>0 = no reported evidence in material assessed; blank = not coded/unknown; neither proves absence</t>
        </is>
      </c>
      <c r="T373" s="4">
        <f>IF(COUNTIFS('ESTUDIOS'!$A$2:$A$455,$A373,'ESTUDIOS'!$I$2:$I$455,"")&gt;0,"",INDEX('ESTUDIOS'!$I$2:$I$455,MATCH($A373,'ESTUDIOS'!$A$2:$A$455,0)))</f>
        <v/>
      </c>
    </row>
    <row r="374" ht="86" customHeight="1">
      <c r="A374" s="4" t="inlineStr">
        <is>
          <t>new_181</t>
        </is>
      </c>
      <c r="B374" s="4" t="inlineStr">
        <is>
          <t>Update</t>
        </is>
      </c>
      <c r="C374" s="4" t="inlineStr">
        <is>
          <t>Human-centered AI for inclusive tourism: enhancing travel planning for adults with autism spectrum disorder</t>
        </is>
      </c>
      <c r="D374" s="4" t="n">
        <v>0</v>
      </c>
      <c r="E374" s="4" t="n">
        <v>0</v>
      </c>
      <c r="F374" s="4" t="n">
        <v>0</v>
      </c>
      <c r="G374" s="4" t="n">
        <v>1</v>
      </c>
      <c r="H374" s="4" t="n">
        <v>0</v>
      </c>
      <c r="I374" s="4" t="n">
        <v>0</v>
      </c>
      <c r="J374" s="4" t="n">
        <v>0</v>
      </c>
      <c r="K374" s="4" t="inlineStr">
        <is>
          <t>Inherited scoped adjudication; see source level and lot caveats</t>
        </is>
      </c>
      <c r="L374" s="4" t="inlineStr">
        <is>
          <t>CARES is a human-centered AI trip planner tested with 14 autistic adults, designed to reduce information overload while preserving user decision autonomy. The paper demonstrates an assistive user-facing intervention, not a clinical diagnostic workflow. The exact algorithm family does not map cleanly to ML/DL and is therefore left Not specified.</t>
        </is>
      </c>
      <c r="M374" s="4" t="inlineStr">
        <is>
          <t>https://doi.org/10.1016/j.ijhcs.2025.103696</t>
        </is>
      </c>
      <c r="N374" s="4" t="n"/>
      <c r="O374" s="4" t="n"/>
      <c r="P374" s="4" t="n"/>
      <c r="Q374" s="12" t="n"/>
      <c r="R374" s="41" t="n"/>
      <c r="S374" s="4" t="inlineStr">
        <is>
          <t>0 = no reported evidence in material assessed; blank = not coded/unknown; neither proves absence</t>
        </is>
      </c>
      <c r="T374" s="4">
        <f>IF(COUNTIFS('ESTUDIOS'!$A$2:$A$455,$A374,'ESTUDIOS'!$I$2:$I$455,"")&gt;0,"",INDEX('ESTUDIOS'!$I$2:$I$455,MATCH($A374,'ESTUDIOS'!$A$2:$A$455,0)))</f>
        <v/>
      </c>
    </row>
    <row r="375" ht="86" customHeight="1">
      <c r="A375" s="4" t="inlineStr">
        <is>
          <t>new_187</t>
        </is>
      </c>
      <c r="B375" s="4" t="inlineStr">
        <is>
          <t>Update</t>
        </is>
      </c>
      <c r="C375" s="4" t="inlineStr">
        <is>
          <t>Early Identification of Autism Spectrum Disorder using a Hybrid ViT–Mamba Multimodal Architecture</t>
        </is>
      </c>
      <c r="D375" s="4" t="n">
        <v>0</v>
      </c>
      <c r="E375" s="4" t="n">
        <v>0</v>
      </c>
      <c r="F375" s="4" t="n">
        <v>0</v>
      </c>
      <c r="G375" s="4" t="n">
        <v>0</v>
      </c>
      <c r="H375" s="4" t="n">
        <v>0</v>
      </c>
      <c r="I375" s="4" t="n">
        <v>0</v>
      </c>
      <c r="J375" s="4" t="n">
        <v>1</v>
      </c>
      <c r="K375" s="4" t="inlineStr">
        <is>
          <t>Inherited scoped adjudication; see source level and lot caveats</t>
        </is>
      </c>
      <c r="L375" s="4" t="inlineStr">
        <is>
          <t>Combines handwriting and behavioral questionnaire data with a Mamba-enabled multimodal architecture; reported screening accuracy is 95%. Evaluation is experimental and the article itself describes uncertain/limited datasets; no independent external cohort, prospective deployment, site-held-out robustness, or formal XAI was identified.</t>
        </is>
      </c>
      <c r="M375" s="4" t="inlineStr">
        <is>
          <t>https://doi.org/10.1016/j.procs.2026.06.363</t>
        </is>
      </c>
      <c r="N375" s="4" t="n"/>
      <c r="O375" s="4" t="n"/>
      <c r="P375" s="4" t="n"/>
      <c r="Q375" s="12" t="n"/>
      <c r="R375" s="41" t="n"/>
      <c r="S375" s="4" t="inlineStr">
        <is>
          <t>0 = no reported evidence in material assessed; blank = not coded/unknown; neither proves absence</t>
        </is>
      </c>
      <c r="T375" s="4">
        <f>IF(COUNTIFS('ESTUDIOS'!$A$2:$A$455,$A375,'ESTUDIOS'!$I$2:$I$455,"")&gt;0,"",INDEX('ESTUDIOS'!$I$2:$I$455,MATCH($A375,'ESTUDIOS'!$A$2:$A$455,0)))</f>
        <v/>
      </c>
    </row>
    <row r="376" ht="99" customHeight="1">
      <c r="A376" s="4" t="inlineStr">
        <is>
          <t>new_188</t>
        </is>
      </c>
      <c r="B376" s="4" t="inlineStr">
        <is>
          <t>Update</t>
        </is>
      </c>
      <c r="C376" s="4" t="inlineStr">
        <is>
          <t>Baseline symptom severity and response to multisession cathodal transcranial direct current stimulation in adolescents and young adults with autism: an exploratory analysis</t>
        </is>
      </c>
      <c r="D376" s="4" t="n">
        <v>0</v>
      </c>
      <c r="E376" s="4" t="n">
        <v>0</v>
      </c>
      <c r="F376" s="4" t="n">
        <v>0</v>
      </c>
      <c r="G376" s="4" t="n">
        <v>1</v>
      </c>
      <c r="H376" s="4" t="n">
        <v>1</v>
      </c>
      <c r="I376" s="4" t="n">
        <v>0</v>
      </c>
      <c r="J376" s="4" t="n">
        <v>0</v>
      </c>
      <c r="K376" s="4" t="inlineStr">
        <is>
          <t>Inherited scoped adjudication; see source level and lot caveats</t>
        </is>
      </c>
      <c r="L376" s="4" t="inlineStr">
        <is>
          <t>Baseline ADI-R features were used to distinguish tDCS responders; SHAP linked lower verbal communication severity to greater RRB reduction and a model-derived threshold of 19.6 was reported. Exploratory analysis from a registered intervention protocol. The article explicitly calls for replication in larger independent cohorts; the exact base learner was not recoverable from the indexed text.</t>
        </is>
      </c>
      <c r="M376" s="4" t="inlineStr">
        <is>
          <t>https://doi.org/10.1016/j.jpsychires.2026.03.043</t>
        </is>
      </c>
      <c r="N376" s="4" t="n"/>
      <c r="O376" s="4" t="n"/>
      <c r="P376" s="4" t="n"/>
      <c r="Q376" s="12" t="n"/>
      <c r="R376" s="41" t="n"/>
      <c r="S376" s="4" t="inlineStr">
        <is>
          <t>0 = no reported evidence in material assessed; blank = not coded/unknown; neither proves absence</t>
        </is>
      </c>
      <c r="T376" s="4">
        <f>IF(COUNTIFS('ESTUDIOS'!$A$2:$A$455,$A376,'ESTUDIOS'!$I$2:$I$455,"")&gt;0,"",INDEX('ESTUDIOS'!$I$2:$I$455,MATCH($A376,'ESTUDIOS'!$A$2:$A$455,0)))</f>
        <v/>
      </c>
    </row>
    <row r="377" ht="86" customHeight="1">
      <c r="A377" s="4" t="inlineStr">
        <is>
          <t>new_190</t>
        </is>
      </c>
      <c r="B377" s="4" t="inlineStr">
        <is>
          <t>Update</t>
        </is>
      </c>
      <c r="C377" s="4" t="inlineStr">
        <is>
          <t>DenWide-Net: Dense WideresNet for autism spectrum disorder detection using MRI image</t>
        </is>
      </c>
      <c r="D377" s="4" t="n">
        <v>0</v>
      </c>
      <c r="E377" s="4" t="n">
        <v>1</v>
      </c>
      <c r="F377" s="4" t="n">
        <v>0</v>
      </c>
      <c r="G377" s="4" t="n">
        <v>0</v>
      </c>
      <c r="H377" s="4" t="n">
        <v>0</v>
      </c>
      <c r="I377" s="4" t="n">
        <v>0</v>
      </c>
      <c r="J377" s="4" t="n">
        <v>0</v>
      </c>
      <c r="K377" s="4" t="inlineStr">
        <is>
          <t>Inherited scoped adjudication; see source level and lot caveats</t>
        </is>
      </c>
      <c r="L377" s="4" t="inlineStr">
        <is>
          <t>Uses Acerta-ABIDE brain MRI with Wiener filtering, ROI extraction, fractional hiking optimization and Dense WideResNet; reported accuracy is about 91%. ABIDE is multisite, but no explicit site-held-out or independent external validation design was identified; no prospective clinical evaluation or formal XAI was reported.</t>
        </is>
      </c>
      <c r="M377" s="4" t="inlineStr">
        <is>
          <t>https://doi.org/10.1016/j.bspc.2025.108976</t>
        </is>
      </c>
      <c r="N377" s="4" t="n"/>
      <c r="O377" s="4" t="n"/>
      <c r="P377" s="4" t="n"/>
      <c r="Q377" s="12" t="n"/>
      <c r="R377" s="41" t="n"/>
      <c r="S377" s="4" t="inlineStr">
        <is>
          <t>0 = no reported evidence in material assessed; blank = not coded/unknown; neither proves absence</t>
        </is>
      </c>
      <c r="T377" s="4">
        <f>IF(COUNTIFS('ESTUDIOS'!$A$2:$A$455,$A377,'ESTUDIOS'!$I$2:$I$455,"")&gt;0,"",INDEX('ESTUDIOS'!$I$2:$I$455,MATCH($A377,'ESTUDIOS'!$A$2:$A$455,0)))</f>
        <v/>
      </c>
    </row>
    <row r="378" ht="99" customHeight="1">
      <c r="A378" s="4" t="inlineStr">
        <is>
          <t>new_199</t>
        </is>
      </c>
      <c r="B378" s="4" t="inlineStr">
        <is>
          <t>Update</t>
        </is>
      </c>
      <c r="C378" s="4" t="inlineStr">
        <is>
          <t>Artificial Intelligence for Enhancing Emotion Expression in Augmentative and Alternative Communication Systems: A Preliminary Study Including Children Both With and Without Autism.</t>
        </is>
      </c>
      <c r="D378" s="4" t="n">
        <v>0</v>
      </c>
      <c r="E378" s="4" t="n">
        <v>0</v>
      </c>
      <c r="F378" s="4" t="n">
        <v>0</v>
      </c>
      <c r="G378" s="4" t="n">
        <v>1</v>
      </c>
      <c r="H378" s="4" t="n">
        <v>0</v>
      </c>
      <c r="I378" s="4" t="n">
        <v>0</v>
      </c>
      <c r="J378" s="4" t="n">
        <v>0</v>
      </c>
      <c r="K378" s="4" t="inlineStr">
        <is>
          <t>Inherited scoped adjudication; see source level and lot caveats</t>
        </is>
      </c>
      <c r="L378" s="4" t="inlineStr">
        <is>
          <t>Twelve neurotypical children and four autistic children completed imitation and semispontaneous emotion tasks using DeepFace with individualized calibration; provisional accuracy and user experience were reported. Very small ASD subgroup and no active AAC users. The study is preliminary; multimodal inputs, broader populations and real-world AAC deployment remain future work.</t>
        </is>
      </c>
      <c r="M378" s="4" t="inlineStr">
        <is>
          <t>https://doi.org/10.1044/2026_ajslp-25-00469</t>
        </is>
      </c>
      <c r="N378" s="4" t="n"/>
      <c r="O378" s="4" t="n"/>
      <c r="P378" s="4" t="n"/>
      <c r="Q378" s="12" t="n"/>
      <c r="R378" s="41" t="n"/>
      <c r="S378" s="4" t="inlineStr">
        <is>
          <t>0 = no reported evidence in material assessed; blank = not coded/unknown; neither proves absence</t>
        </is>
      </c>
      <c r="T378" s="4">
        <f>IF(COUNTIFS('ESTUDIOS'!$A$2:$A$455,$A378,'ESTUDIOS'!$I$2:$I$455,"")&gt;0,"",INDEX('ESTUDIOS'!$I$2:$I$455,MATCH($A378,'ESTUDIOS'!$A$2:$A$455,0)))</f>
        <v/>
      </c>
    </row>
    <row r="379" ht="86" customHeight="1">
      <c r="A379" s="4" t="inlineStr">
        <is>
          <t>new_203</t>
        </is>
      </c>
      <c r="B379" s="4" t="inlineStr">
        <is>
          <t>Update</t>
        </is>
      </c>
      <c r="C379" s="4" t="inlineStr">
        <is>
          <t>Individuation of predictive parameters of posterior cranial fossa decompression in pediatric patients with Chiari I malformation and autism spectrum disorder</t>
        </is>
      </c>
      <c r="D379" s="4" t="n">
        <v>0</v>
      </c>
      <c r="E379" s="4" t="n">
        <v>0</v>
      </c>
      <c r="F379" s="4" t="n">
        <v>0</v>
      </c>
      <c r="G379" s="4" t="n">
        <v>0</v>
      </c>
      <c r="H379" s="4" t="n">
        <v>0</v>
      </c>
      <c r="I379" s="4" t="n">
        <v>1</v>
      </c>
      <c r="J379" s="4" t="n">
        <v>1</v>
      </c>
      <c r="K379" s="4" t="inlineStr">
        <is>
          <t>Inherited scoped adjudication; see source level and lot caveats</t>
        </is>
      </c>
      <c r="L379" s="4" t="inlineStr">
        <is>
          <t>CT/MRI morphometry and a binary tree classifier identified tentorium angle as a potential predictor of postsurgical ASD symptom improvement in children with Chiari I malformation. Narrow comorbid pediatric population and retrospective/small-cohort design limit generalizability. The tree/cutoff is interpretable, but no external or prospective validation was identified.</t>
        </is>
      </c>
      <c r="M379" s="4" t="inlineStr">
        <is>
          <t>https://doi.org/10.1007/s00381-025-07119-2</t>
        </is>
      </c>
      <c r="N379" s="4" t="n"/>
      <c r="O379" s="4" t="n"/>
      <c r="P379" s="4" t="n"/>
      <c r="Q379" s="12" t="n"/>
      <c r="R379" s="41" t="n"/>
      <c r="S379" s="4" t="inlineStr">
        <is>
          <t>0 = no reported evidence in material assessed; blank = not coded/unknown; neither proves absence</t>
        </is>
      </c>
      <c r="T379" s="4">
        <f>IF(COUNTIFS('ESTUDIOS'!$A$2:$A$455,$A379,'ESTUDIOS'!$I$2:$I$455,"")&gt;0,"",INDEX('ESTUDIOS'!$I$2:$I$455,MATCH($A379,'ESTUDIOS'!$A$2:$A$455,0)))</f>
        <v/>
      </c>
    </row>
    <row r="380" ht="86" customHeight="1">
      <c r="A380" s="4" t="inlineStr">
        <is>
          <t>new_204</t>
        </is>
      </c>
      <c r="B380" s="4" t="inlineStr">
        <is>
          <t>Update</t>
        </is>
      </c>
      <c r="C380" s="4" t="inlineStr">
        <is>
          <t>An automated detection system of autism spectrum disorder using meta-heuristic approach of adaptive LSTM with bayesian learning technique</t>
        </is>
      </c>
      <c r="D380" s="4" t="n">
        <v>0</v>
      </c>
      <c r="E380" s="4" t="n">
        <v>1</v>
      </c>
      <c r="F380" s="4" t="n">
        <v>0</v>
      </c>
      <c r="G380" s="4" t="n">
        <v>0</v>
      </c>
      <c r="H380" s="4" t="n">
        <v>0</v>
      </c>
      <c r="I380" s="4" t="n">
        <v>0</v>
      </c>
      <c r="J380" s="4" t="n">
        <v>0</v>
      </c>
      <c r="K380" s="4" t="inlineStr">
        <is>
          <t>Inherited scoped adjudication; see source level and lot caveats</t>
        </is>
      </c>
      <c r="L380" s="4" t="inlineStr">
        <is>
          <t>Combines MResNet feature extraction, adaptive cascaded-attention LSTM with Bayesian learning and metaheuristic optimization on ABIDE brain images. Public multisite dataset use does not establish independent external or site-held-out validation. Attention is architectural and was not counted as formal XAI.</t>
        </is>
      </c>
      <c r="M380" s="4" t="inlineStr">
        <is>
          <t>https://doi.org/10.1007/s13246-025-01681-4</t>
        </is>
      </c>
      <c r="N380" s="4" t="n"/>
      <c r="O380" s="4" t="n"/>
      <c r="P380" s="4" t="n"/>
      <c r="Q380" s="12" t="n"/>
      <c r="R380" s="41" t="n"/>
      <c r="S380" s="4" t="inlineStr">
        <is>
          <t>0 = no reported evidence in material assessed; blank = not coded/unknown; neither proves absence</t>
        </is>
      </c>
      <c r="T380" s="4">
        <f>IF(COUNTIFS('ESTUDIOS'!$A$2:$A$455,$A380,'ESTUDIOS'!$I$2:$I$455,"")&gt;0,"",INDEX('ESTUDIOS'!$I$2:$I$455,MATCH($A380,'ESTUDIOS'!$A$2:$A$455,0)))</f>
        <v/>
      </c>
    </row>
    <row r="381" ht="86" customHeight="1">
      <c r="A381" s="4" t="inlineStr">
        <is>
          <t>new_208</t>
        </is>
      </c>
      <c r="B381" s="4" t="inlineStr">
        <is>
          <t>Update</t>
        </is>
      </c>
      <c r="C381" s="4" t="inlineStr">
        <is>
          <t>ADBrainNet: a deep neural network for Autism Spectrum Disorder (ASD) and Attention Deficit and Hyperactivity Disorder (ADHD) classification using resting-state fMRI images based on explainable artificial intelligence.</t>
        </is>
      </c>
      <c r="D381" s="4" t="n">
        <v>1</v>
      </c>
      <c r="E381" s="4" t="n">
        <v>1</v>
      </c>
      <c r="F381" s="4" t="n">
        <v>0</v>
      </c>
      <c r="G381" s="4" t="n">
        <v>0</v>
      </c>
      <c r="H381" s="4" t="n">
        <v>1</v>
      </c>
      <c r="I381" s="4" t="n">
        <v>0</v>
      </c>
      <c r="J381" s="4" t="n">
        <v>0</v>
      </c>
      <c r="K381" s="4" t="inlineStr">
        <is>
          <t>Inherited scoped adjudication; see source level and lot caveats</t>
        </is>
      </c>
      <c r="L381" s="4" t="inlineStr">
        <is>
          <t>ADBrainNet uses rs-fMRI from ABIDE and ADHD-200 and reports an independent external testing set; LIME was used to identify influential features. The abstract describes the external test together with five-fold cross-validation, so the exact independence of the external evaluation should be checked manually. No explicit site-held-out robustness analysis was identified.</t>
        </is>
      </c>
      <c r="M381" s="4" t="inlineStr">
        <is>
          <t>https://doi.org/10.1007/s11517-026-03530-2</t>
        </is>
      </c>
      <c r="N381" s="4" t="n"/>
      <c r="O381" s="4" t="n"/>
      <c r="P381" s="4" t="n"/>
      <c r="Q381" s="12" t="n"/>
      <c r="R381" s="41" t="n"/>
      <c r="S381" s="4" t="inlineStr">
        <is>
          <t>0 = no reported evidence in material assessed; blank = not coded/unknown; neither proves absence</t>
        </is>
      </c>
      <c r="T381" s="4">
        <f>IF(COUNTIFS('ESTUDIOS'!$A$2:$A$455,$A381,'ESTUDIOS'!$I$2:$I$455,"")&gt;0,"",INDEX('ESTUDIOS'!$I$2:$I$455,MATCH($A381,'ESTUDIOS'!$A$2:$A$455,0)))</f>
        <v/>
      </c>
    </row>
    <row r="382" ht="86" customHeight="1">
      <c r="A382" s="4" t="inlineStr">
        <is>
          <t>new_209</t>
        </is>
      </c>
      <c r="B382" s="4" t="inlineStr">
        <is>
          <t>Update</t>
        </is>
      </c>
      <c r="C382" s="4" t="inlineStr">
        <is>
          <t>Integrating EEG microstate dynamics in a stacked ensemble for neurodiagnostic ASD assessment</t>
        </is>
      </c>
      <c r="D382" s="4" t="n">
        <v>0</v>
      </c>
      <c r="E382" s="4" t="n">
        <v>0</v>
      </c>
      <c r="F382" s="4" t="n">
        <v>0</v>
      </c>
      <c r="G382" s="4" t="n">
        <v>0</v>
      </c>
      <c r="H382" s="4" t="n">
        <v>0</v>
      </c>
      <c r="I382" s="4" t="n">
        <v>0</v>
      </c>
      <c r="J382" s="4" t="n">
        <v>0</v>
      </c>
      <c r="K382" s="4" t="inlineStr">
        <is>
          <t>Inherited scoped adjudication; see source level and lot caveats</t>
        </is>
      </c>
      <c r="L382" s="4" t="inlineStr">
        <is>
          <t>A stacked Random Forest ensemble integrates spectral/connectivity/complexity features with microstate and HMM dynamics, reaching 96.3% accuracy under GroupKFold validation. Validation is internal GroupKFold; no independent external cohort, multisite/site-held-out robustness, prospective evaluation, or formal XAI was identified.</t>
        </is>
      </c>
      <c r="M382" s="4" t="inlineStr">
        <is>
          <t>https://doi.org/10.1016/j.bbr.2026.116220</t>
        </is>
      </c>
      <c r="N382" s="4" t="n"/>
      <c r="O382" s="4" t="n"/>
      <c r="P382" s="4" t="n"/>
      <c r="Q382" s="12" t="n"/>
      <c r="R382" s="41" t="n"/>
      <c r="S382" s="4" t="inlineStr">
        <is>
          <t>0 = no reported evidence in material assessed; blank = not coded/unknown; neither proves absence</t>
        </is>
      </c>
      <c r="T382" s="4">
        <f>IF(COUNTIFS('ESTUDIOS'!$A$2:$A$455,$A382,'ESTUDIOS'!$I$2:$I$455,"")&gt;0,"",INDEX('ESTUDIOS'!$I$2:$I$455,MATCH($A382,'ESTUDIOS'!$A$2:$A$455,0)))</f>
        <v/>
      </c>
    </row>
    <row r="383" ht="86" customHeight="1">
      <c r="A383" s="4" t="inlineStr">
        <is>
          <t>new_213</t>
        </is>
      </c>
      <c r="B383" s="4" t="inlineStr">
        <is>
          <t>Update</t>
        </is>
      </c>
      <c r="C383" s="4" t="inlineStr">
        <is>
          <t>Identifying autism spectrum disorder diagnosis in children via temporal-frequency hyperdimensional computing with resting-state EEG</t>
        </is>
      </c>
      <c r="D383" s="4" t="n">
        <v>0</v>
      </c>
      <c r="E383" s="4" t="n">
        <v>0</v>
      </c>
      <c r="F383" s="4" t="n">
        <v>0</v>
      </c>
      <c r="G383" s="4" t="n">
        <v>0</v>
      </c>
      <c r="H383" s="4" t="n">
        <v>0</v>
      </c>
      <c r="I383" s="4" t="n">
        <v>0</v>
      </c>
      <c r="J383" s="4" t="n">
        <v>0</v>
      </c>
      <c r="K383" s="4" t="inlineStr">
        <is>
          <t>Inherited scoped adjudication; see source level and lot caveats</t>
        </is>
      </c>
      <c r="L383" s="4" t="inlineStr">
        <is>
          <t>TF-HDC classifies resting-state EEG from 120 age-matched male participants (60 ASD, 60 TD) and reports about 90.9% accuracy while benchmarking conventional ML/DL models. Small single-cohort evaluation with no independent external dataset, site-held-out test, prospective clinical workflow, or formal XAI identified.</t>
        </is>
      </c>
      <c r="M383" s="4" t="inlineStr">
        <is>
          <t>https://doi.org/10.1016/j.eswa.2025.130671</t>
        </is>
      </c>
      <c r="N383" s="4" t="n"/>
      <c r="O383" s="4" t="n"/>
      <c r="P383" s="4" t="n"/>
      <c r="Q383" s="12" t="n"/>
      <c r="R383" s="41" t="n"/>
      <c r="S383" s="4" t="inlineStr">
        <is>
          <t>0 = no reported evidence in material assessed; blank = not coded/unknown; neither proves absence</t>
        </is>
      </c>
      <c r="T383" s="4">
        <f>IF(COUNTIFS('ESTUDIOS'!$A$2:$A$455,$A383,'ESTUDIOS'!$I$2:$I$455,"")&gt;0,"",INDEX('ESTUDIOS'!$I$2:$I$455,MATCH($A383,'ESTUDIOS'!$A$2:$A$455,0)))</f>
        <v/>
      </c>
    </row>
    <row r="384" ht="99" customHeight="1">
      <c r="A384" s="4" t="inlineStr">
        <is>
          <t>new_215</t>
        </is>
      </c>
      <c r="B384" s="4" t="inlineStr">
        <is>
          <t>Update</t>
        </is>
      </c>
      <c r="C384" s="4" t="inlineStr">
        <is>
          <t>Integrated transcriptomic and clinical analysis of autism spectrum disorder reveals structured heterogeneity and links Methyl-CpG Binding Domain Protein 2 expression with symptom severity</t>
        </is>
      </c>
      <c r="D384" s="4" t="n">
        <v>0</v>
      </c>
      <c r="E384" s="4" t="n">
        <v>0</v>
      </c>
      <c r="F384" s="4" t="n">
        <v>0</v>
      </c>
      <c r="G384" s="4" t="n">
        <v>0</v>
      </c>
      <c r="H384" s="4" t="n">
        <v>0</v>
      </c>
      <c r="I384" s="4" t="n">
        <v>1</v>
      </c>
      <c r="J384" s="4" t="n">
        <v>1</v>
      </c>
      <c r="K384" s="4" t="inlineStr">
        <is>
          <t>Inherited scoped adjudication; see source level and lot caveats</t>
        </is>
      </c>
      <c r="L384" s="4" t="inlineStr">
        <is>
          <t>Transcriptomic profiling (150 ASD/70 TD) and clinical data (200 ASD/110 TD) were analyzed with clustering, integrative modeling and clinical ML; a 17-transcript panel showed discriminative performance. Screening performance is explicitly within-cohort and no external/site-held-out validation was reported in the accessible text. Molecular clusters only partially corresponded to clinical phenotype.</t>
        </is>
      </c>
      <c r="M384" s="4" t="inlineStr">
        <is>
          <t>https://doi.org/10.1111/pcn.70065</t>
        </is>
      </c>
      <c r="N384" s="4" t="n"/>
      <c r="O384" s="4" t="n"/>
      <c r="P384" s="4" t="n"/>
      <c r="Q384" s="12" t="n"/>
      <c r="R384" s="41" t="n"/>
      <c r="S384" s="4" t="inlineStr">
        <is>
          <t>0 = no reported evidence in material assessed; blank = not coded/unknown; neither proves absence</t>
        </is>
      </c>
      <c r="T384" s="4">
        <f>IF(COUNTIFS('ESTUDIOS'!$A$2:$A$455,$A384,'ESTUDIOS'!$I$2:$I$455,"")&gt;0,"",INDEX('ESTUDIOS'!$I$2:$I$455,MATCH($A384,'ESTUDIOS'!$A$2:$A$455,0)))</f>
        <v/>
      </c>
    </row>
    <row r="385" ht="86" customHeight="1">
      <c r="A385" s="4" t="inlineStr">
        <is>
          <t>new_218</t>
        </is>
      </c>
      <c r="B385" s="4" t="inlineStr">
        <is>
          <t>Update</t>
        </is>
      </c>
      <c r="C385" s="4" t="inlineStr">
        <is>
          <t>A Robust Computational Framework for Autism Spectrum Disorder Identification Using Optimized Image Processing and Hybrid Learning Models</t>
        </is>
      </c>
      <c r="D385" s="4" t="n">
        <v>0</v>
      </c>
      <c r="E385" s="4" t="n">
        <v>1</v>
      </c>
      <c r="F385" s="4" t="n">
        <v>0</v>
      </c>
      <c r="G385" s="4" t="n">
        <v>0</v>
      </c>
      <c r="H385" s="4" t="n">
        <v>0</v>
      </c>
      <c r="I385" s="4" t="n">
        <v>0</v>
      </c>
      <c r="J385" s="4" t="n">
        <v>0</v>
      </c>
      <c r="K385" s="4" t="inlineStr">
        <is>
          <t>Inherited scoped adjudication; see source level and lot caveats</t>
        </is>
      </c>
      <c r="L385" s="4" t="inlineStr">
        <is>
          <t>The hybrid pipeline was tested on AID, structured ASD screening data and ABIDE and reports very high performance (accuracy 99.95%). The accessible report does not establish a fixed development-versus-independent-external design or cross-site evaluation. Heterogeneous public datasets are evaluated, but explicit multisource fusion is not demonstrated.</t>
        </is>
      </c>
      <c r="M385" s="4" t="inlineStr">
        <is>
          <t>https://doi.org/10.1002/dneu.70028</t>
        </is>
      </c>
      <c r="N385" s="4" t="n"/>
      <c r="O385" s="4" t="n"/>
      <c r="P385" s="4" t="n"/>
      <c r="Q385" s="12" t="n"/>
      <c r="R385" s="41" t="n"/>
      <c r="S385" s="4" t="inlineStr">
        <is>
          <t>0 = no reported evidence in material assessed; blank = not coded/unknown; neither proves absence</t>
        </is>
      </c>
      <c r="T385" s="4">
        <f>IF(COUNTIFS('ESTUDIOS'!$A$2:$A$455,$A385,'ESTUDIOS'!$I$2:$I$455,"")&gt;0,"",INDEX('ESTUDIOS'!$I$2:$I$455,MATCH($A385,'ESTUDIOS'!$A$2:$A$455,0)))</f>
        <v/>
      </c>
    </row>
    <row r="386" ht="86" customHeight="1">
      <c r="A386" s="4" t="inlineStr">
        <is>
          <t>new_222</t>
        </is>
      </c>
      <c r="B386" s="4" t="inlineStr">
        <is>
          <t>Update</t>
        </is>
      </c>
      <c r="C386" s="4" t="inlineStr">
        <is>
          <t>Adaptive network based fuzzy inference system efficientnet for autism spectrum disorder detection with optimization based pivotal region extraction</t>
        </is>
      </c>
      <c r="D386" s="4" t="n">
        <v>0</v>
      </c>
      <c r="E386" s="4" t="n">
        <v>1</v>
      </c>
      <c r="F386" s="4" t="n">
        <v>0</v>
      </c>
      <c r="G386" s="4" t="n">
        <v>0</v>
      </c>
      <c r="H386" s="4" t="n">
        <v>0</v>
      </c>
      <c r="I386" s="4" t="n">
        <v>0</v>
      </c>
      <c r="J386" s="4" t="n">
        <v>0</v>
      </c>
      <c r="K386" s="4" t="inlineStr">
        <is>
          <t>Inherited scoped adjudication; see source level and lot caveats</t>
        </is>
      </c>
      <c r="L386" s="4" t="inlineStr">
        <is>
          <t>ANFIS-EffNet combines fuzzy inference and EfficientNet with optimization-based pivotal-region extraction; reported accuracy is about 93.2% on ABIDE-related imaging. ABIDE-I/II use was treated as multisite evidence only; no explicit train-on-one/test-on-another or site-held-out robustness design was identified. Pivotal-region extraction was not counted as formal XAI.</t>
        </is>
      </c>
      <c r="M386" s="4" t="inlineStr">
        <is>
          <t>https://doi.org/10.1016/j.pscychresns.2025.112109</t>
        </is>
      </c>
      <c r="N386" s="4" t="n"/>
      <c r="O386" s="4" t="n"/>
      <c r="P386" s="4" t="n"/>
      <c r="Q386" s="12" t="n"/>
      <c r="R386" s="41" t="n"/>
      <c r="S386" s="4" t="inlineStr">
        <is>
          <t>0 = no reported evidence in material assessed; blank = not coded/unknown; neither proves absence</t>
        </is>
      </c>
      <c r="T386" s="4">
        <f>IF(COUNTIFS('ESTUDIOS'!$A$2:$A$455,$A386,'ESTUDIOS'!$I$2:$I$455,"")&gt;0,"",INDEX('ESTUDIOS'!$I$2:$I$455,MATCH($A386,'ESTUDIOS'!$A$2:$A$455,0)))</f>
        <v/>
      </c>
    </row>
    <row r="387" ht="86" customHeight="1">
      <c r="A387" s="4" t="inlineStr">
        <is>
          <t>new_223</t>
        </is>
      </c>
      <c r="B387" s="4" t="inlineStr">
        <is>
          <t>Update</t>
        </is>
      </c>
      <c r="C387" s="4" t="inlineStr">
        <is>
          <t>Identification of Autism Through Fractal Analysis of EEG Signals and Bayesian Optimized Artificial Neural Network</t>
        </is>
      </c>
      <c r="D387" s="4" t="n">
        <v>0</v>
      </c>
      <c r="E387" s="4" t="n">
        <v>0</v>
      </c>
      <c r="F387" s="4" t="n">
        <v>0</v>
      </c>
      <c r="G387" s="4" t="n">
        <v>0</v>
      </c>
      <c r="H387" s="4" t="n">
        <v>1</v>
      </c>
      <c r="I387" s="4" t="n">
        <v>0</v>
      </c>
      <c r="J387" s="4" t="n">
        <v>0</v>
      </c>
      <c r="K387" s="4" t="inlineStr">
        <is>
          <t>Inherited scoped adjudication; see source level and lot caveats</t>
        </is>
      </c>
      <c r="L387" s="4" t="inlineStr">
        <is>
          <t>Five fractal-dimension measures from 16 EEG channels feed several classifiers; BO-ANN reached 97.38% accuracy and XGBoost feature importance identified influential channels/features. Small sample (29 ASD, 30 TD) and no independent external/site-held-out validation. Feature importance supports XAI coding but does not establish clinical interpretability or utility.</t>
        </is>
      </c>
      <c r="M387" s="4" t="inlineStr">
        <is>
          <t>https://doi.org/10.1002/ima.70326</t>
        </is>
      </c>
      <c r="N387" s="4" t="n"/>
      <c r="O387" s="4" t="n"/>
      <c r="P387" s="4" t="n"/>
      <c r="Q387" s="12" t="n"/>
      <c r="R387" s="41" t="n"/>
      <c r="S387" s="4" t="inlineStr">
        <is>
          <t>0 = no reported evidence in material assessed; blank = not coded/unknown; neither proves absence</t>
        </is>
      </c>
      <c r="T387" s="4">
        <f>IF(COUNTIFS('ESTUDIOS'!$A$2:$A$455,$A387,'ESTUDIOS'!$I$2:$I$455,"")&gt;0,"",INDEX('ESTUDIOS'!$I$2:$I$455,MATCH($A387,'ESTUDIOS'!$A$2:$A$455,0)))</f>
        <v/>
      </c>
    </row>
    <row r="388" ht="86" customHeight="1">
      <c r="A388" s="4" t="inlineStr">
        <is>
          <t>new_231</t>
        </is>
      </c>
      <c r="B388" s="4" t="inlineStr">
        <is>
          <t>Update</t>
        </is>
      </c>
      <c r="C388" s="4" t="inlineStr">
        <is>
          <t>Linguistic Explanations of Deep Models in Detecting Autism and Schizophrenia</t>
        </is>
      </c>
      <c r="D388" s="4" t="n">
        <v>0</v>
      </c>
      <c r="E388" s="4" t="n">
        <v>0</v>
      </c>
      <c r="F388" s="4" t="n">
        <v>0</v>
      </c>
      <c r="G388" s="4" t="n">
        <v>0</v>
      </c>
      <c r="H388" s="4" t="n">
        <v>1</v>
      </c>
      <c r="I388" s="4" t="n">
        <v>0</v>
      </c>
      <c r="J388" s="4" t="n">
        <v>0</v>
      </c>
      <c r="K388" s="4" t="inlineStr">
        <is>
          <t>Inherited scoped adjudication; see source level and lot caveats</t>
        </is>
      </c>
      <c r="L388" s="4" t="inlineStr">
        <is>
          <t>Integrated Gradients token attributions from HerBERT are mapped to syntactic and psycholinguistic variables and linked to feature importance and selected clinical tests. The indexed text does not expose the full sampling/validation design or evidence of independent external testing; data are restricted and available on request.</t>
        </is>
      </c>
      <c r="M388" s="4" t="inlineStr">
        <is>
          <t>https://doi.org/10.1111/coin.70158</t>
        </is>
      </c>
      <c r="N388" s="4" t="n"/>
      <c r="O388" s="4" t="n"/>
      <c r="P388" s="4" t="n"/>
      <c r="Q388" s="12" t="n"/>
      <c r="R388" s="41" t="n"/>
      <c r="S388" s="4" t="inlineStr">
        <is>
          <t>0 = no reported evidence in material assessed; blank = not coded/unknown; neither proves absence</t>
        </is>
      </c>
      <c r="T388" s="4">
        <f>IF(COUNTIFS('ESTUDIOS'!$A$2:$A$455,$A388,'ESTUDIOS'!$I$2:$I$455,"")&gt;0,"",INDEX('ESTUDIOS'!$I$2:$I$455,MATCH($A388,'ESTUDIOS'!$A$2:$A$455,0)))</f>
        <v/>
      </c>
    </row>
    <row r="389" ht="86" customHeight="1">
      <c r="A389" s="4" t="inlineStr">
        <is>
          <t>new_233</t>
        </is>
      </c>
      <c r="B389" s="4" t="inlineStr">
        <is>
          <t>Update</t>
        </is>
      </c>
      <c r="C389" s="4" t="inlineStr">
        <is>
          <t>Autism Screening Based on Deep Learning Analysis of Eye Movement Trajectories</t>
        </is>
      </c>
      <c r="D389" s="4" t="n">
        <v>0</v>
      </c>
      <c r="E389" s="4" t="n">
        <v>0</v>
      </c>
      <c r="F389" s="4" t="n">
        <v>0</v>
      </c>
      <c r="G389" s="4" t="n">
        <v>0</v>
      </c>
      <c r="H389" s="4" t="n">
        <v>0</v>
      </c>
      <c r="I389" s="4" t="n">
        <v>0</v>
      </c>
      <c r="J389" s="4" t="n">
        <v>0</v>
      </c>
      <c r="K389" s="4" t="inlineStr">
        <is>
          <t>Inherited scoped adjudication; see source level and lot caveats</t>
        </is>
      </c>
      <c r="L389" s="4" t="inlineStr">
        <is>
          <t>ET-ASDNet analyzes eye-movement trajectories and reports 85.19% and 72.67% accuracy on two public datasets. Use of two public datasets does not by itself establish external validation unless a fixed development/external design is shown. Attention/fusion modules were not counted as formal XAI.</t>
        </is>
      </c>
      <c r="M389" s="4" t="inlineStr">
        <is>
          <t>https://doi.org/10.1049/cvi2.70078</t>
        </is>
      </c>
      <c r="N389" s="4" t="n"/>
      <c r="O389" s="4" t="n"/>
      <c r="P389" s="4" t="n"/>
      <c r="Q389" s="12" t="n"/>
      <c r="R389" s="41" t="n"/>
      <c r="S389" s="4" t="inlineStr">
        <is>
          <t>0 = no reported evidence in material assessed; blank = not coded/unknown; neither proves absence</t>
        </is>
      </c>
      <c r="T389" s="4">
        <f>IF(COUNTIFS('ESTUDIOS'!$A$2:$A$455,$A389,'ESTUDIOS'!$I$2:$I$455,"")&gt;0,"",INDEX('ESTUDIOS'!$I$2:$I$455,MATCH($A389,'ESTUDIOS'!$A$2:$A$455,0)))</f>
        <v/>
      </c>
    </row>
    <row r="390" ht="86" customHeight="1">
      <c r="A390" s="4" t="inlineStr">
        <is>
          <t>new_235</t>
        </is>
      </c>
      <c r="B390" s="4" t="inlineStr">
        <is>
          <t>Update</t>
        </is>
      </c>
      <c r="C390" s="4" t="inlineStr">
        <is>
          <t>Automatic measurement of social gaze during naturalistic conversations in autism</t>
        </is>
      </c>
      <c r="D390" s="4" t="n">
        <v>0</v>
      </c>
      <c r="E390" s="4" t="n">
        <v>0</v>
      </c>
      <c r="F390" s="4" t="n">
        <v>0</v>
      </c>
      <c r="G390" s="4" t="n">
        <v>1</v>
      </c>
      <c r="H390" s="4" t="n">
        <v>0</v>
      </c>
      <c r="I390" s="4" t="n">
        <v>1</v>
      </c>
      <c r="J390" s="4" t="n">
        <v>0</v>
      </c>
      <c r="K390" s="4" t="inlineStr">
        <is>
          <t>Inherited scoped adjudication; see source level and lot caveats</t>
        </is>
      </c>
      <c r="L390" s="4" t="inlineStr">
        <is>
          <t>Videos from 46 autistic and 36 neurotypical participants were used to train an automatic gaze detector; granular gaze features correlated with ADOS-2 Social Affect and classified ASD vs NT at 73%. Cross-validation is internal and no independent cohort/site test was reported. Human-defined gaze features are interpretable, but no formal post-hoc XAI method was used.</t>
        </is>
      </c>
      <c r="M390" s="4" t="inlineStr">
        <is>
          <t>https://doi.org/10.1016/j.jpsychires.2026.05.015</t>
        </is>
      </c>
      <c r="N390" s="4" t="n"/>
      <c r="O390" s="4" t="n"/>
      <c r="P390" s="4" t="n"/>
      <c r="Q390" s="12" t="n"/>
      <c r="R390" s="41" t="n"/>
      <c r="S390" s="4" t="inlineStr">
        <is>
          <t>0 = no reported evidence in material assessed; blank = not coded/unknown; neither proves absence</t>
        </is>
      </c>
      <c r="T390" s="4">
        <f>IF(COUNTIFS('ESTUDIOS'!$A$2:$A$455,$A390,'ESTUDIOS'!$I$2:$I$455,"")&gt;0,"",INDEX('ESTUDIOS'!$I$2:$I$455,MATCH($A390,'ESTUDIOS'!$A$2:$A$455,0)))</f>
        <v/>
      </c>
    </row>
    <row r="391" ht="86" customHeight="1">
      <c r="A391" s="4" t="inlineStr">
        <is>
          <t>new_236</t>
        </is>
      </c>
      <c r="B391" s="4" t="inlineStr">
        <is>
          <t>Update</t>
        </is>
      </c>
      <c r="C391" s="4" t="inlineStr">
        <is>
          <t>An image-based analytics framework for early autism detection using eye movements</t>
        </is>
      </c>
      <c r="D391" s="4" t="n">
        <v>0</v>
      </c>
      <c r="E391" s="4" t="n">
        <v>0</v>
      </c>
      <c r="F391" s="4" t="n">
        <v>0</v>
      </c>
      <c r="G391" s="4" t="n">
        <v>0</v>
      </c>
      <c r="H391" s="4" t="n">
        <v>0</v>
      </c>
      <c r="I391" s="4" t="n">
        <v>0</v>
      </c>
      <c r="J391" s="4" t="n">
        <v>0</v>
      </c>
      <c r="K391" s="4" t="inlineStr">
        <is>
          <t>Inherited scoped adjudication; see source level and lot caveats</t>
        </is>
      </c>
      <c r="L391" s="4" t="inlineStr">
        <is>
          <t>GazeScan converts gaze trajectories into grayscale scanpath images and uses a lightweight CNN; five-fold CV on ETSP reports 97.01% accuracy and AUC 0.98. Public single-dataset internal cross-validation only; no independent external cohort, multisite robustness, prospective clinical evaluation, or formal XAI identified.</t>
        </is>
      </c>
      <c r="M391" s="4" t="inlineStr">
        <is>
          <t>https://doi.org/10.1016/j.health.2025.100439</t>
        </is>
      </c>
      <c r="N391" s="4" t="n"/>
      <c r="O391" s="4" t="n"/>
      <c r="P391" s="4" t="n"/>
      <c r="Q391" s="12" t="n"/>
      <c r="R391" s="41" t="n"/>
      <c r="S391" s="4" t="inlineStr">
        <is>
          <t>0 = no reported evidence in material assessed; blank = not coded/unknown; neither proves absence</t>
        </is>
      </c>
      <c r="T391" s="4">
        <f>IF(COUNTIFS('ESTUDIOS'!$A$2:$A$455,$A391,'ESTUDIOS'!$I$2:$I$455,"")&gt;0,"",INDEX('ESTUDIOS'!$I$2:$I$455,MATCH($A391,'ESTUDIOS'!$A$2:$A$455,0)))</f>
        <v/>
      </c>
    </row>
    <row r="392" ht="86" customHeight="1">
      <c r="A392" s="4" t="inlineStr">
        <is>
          <t>new_242</t>
        </is>
      </c>
      <c r="B392" s="4" t="inlineStr">
        <is>
          <t>Update</t>
        </is>
      </c>
      <c r="C392" s="4" t="inlineStr">
        <is>
          <t>Neurophysiological EEG Characterization of Autism Spectrum Disorder Using DWT-Based Frequency Analysis With Selective Electrodes and Brain Segmentation: An Explainable AI-Driven Approach</t>
        </is>
      </c>
      <c r="D392" s="4" t="n">
        <v>0</v>
      </c>
      <c r="E392" s="4" t="n">
        <v>0</v>
      </c>
      <c r="F392" s="4" t="n">
        <v>0</v>
      </c>
      <c r="G392" s="4" t="n">
        <v>0</v>
      </c>
      <c r="H392" s="4" t="n">
        <v>1</v>
      </c>
      <c r="I392" s="4" t="n">
        <v>0</v>
      </c>
      <c r="J392" s="4" t="n">
        <v>0</v>
      </c>
      <c r="K392" s="4" t="inlineStr">
        <is>
          <t>Inherited scoped adjudication; see source level and lot caveats</t>
        </is>
      </c>
      <c r="L392" s="4" t="inlineStr">
        <is>
          <t>DWT features from 15 EEG electrodes were benchmarked across 21 models; Logistic Regression performed best at 88.57% accuracy, and explainability identified delta/theta power as key features. Preliminary small-cohort study with internal validation; the authors explicitly state that larger independent cohorts are needed.</t>
        </is>
      </c>
      <c r="M392" s="4" t="inlineStr">
        <is>
          <t>https://doi.org/10.1096/fj.202600019r</t>
        </is>
      </c>
      <c r="N392" s="4" t="n"/>
      <c r="O392" s="4" t="n"/>
      <c r="P392" s="4" t="n"/>
      <c r="Q392" s="12" t="n"/>
      <c r="R392" s="41" t="n"/>
      <c r="S392" s="4" t="inlineStr">
        <is>
          <t>0 = no reported evidence in material assessed; blank = not coded/unknown; neither proves absence</t>
        </is>
      </c>
      <c r="T392" s="4">
        <f>IF(COUNTIFS('ESTUDIOS'!$A$2:$A$455,$A392,'ESTUDIOS'!$I$2:$I$455,"")&gt;0,"",INDEX('ESTUDIOS'!$I$2:$I$455,MATCH($A392,'ESTUDIOS'!$A$2:$A$455,0)))</f>
        <v/>
      </c>
    </row>
    <row r="393" ht="86" customHeight="1">
      <c r="A393" s="4" t="inlineStr">
        <is>
          <t>new_244</t>
        </is>
      </c>
      <c r="B393" s="4" t="inlineStr">
        <is>
          <t>Update</t>
        </is>
      </c>
      <c r="C393" s="4" t="inlineStr">
        <is>
          <t>DHCA-Net: A Novel Dual-Stream Hierarchical Channel Attention Network for Explainable Autism Spectrum Disorder Detection From Facial Images</t>
        </is>
      </c>
      <c r="D393" s="4" t="n">
        <v>0</v>
      </c>
      <c r="E393" s="4" t="n">
        <v>0</v>
      </c>
      <c r="F393" s="4" t="n">
        <v>0</v>
      </c>
      <c r="G393" s="4" t="n">
        <v>0</v>
      </c>
      <c r="H393" s="4" t="n">
        <v>0</v>
      </c>
      <c r="I393" s="4" t="n">
        <v>0</v>
      </c>
      <c r="J393" s="4" t="n">
        <v>0</v>
      </c>
      <c r="K393" s="4" t="inlineStr">
        <is>
          <t>Inherited scoped adjudication; see source level and lot caveats</t>
        </is>
      </c>
      <c r="L393" s="4" t="inlineStr">
        <is>
          <t>DHCA-Net was tested on 2,936 facial images using train/test/validation splits and achieved 93.7% accuracy, F1 0.9365 and AUC 0.9887. Despite the word explainable in the title, the accessible report describes attention mechanisms but no explicit explanation method/output satisfying strict XAI criteria. Broader demographic generalization remains future work.</t>
        </is>
      </c>
      <c r="M393" s="4" t="inlineStr">
        <is>
          <t>https://doi.org/10.1002/jdn.70158</t>
        </is>
      </c>
      <c r="N393" s="4" t="n"/>
      <c r="O393" s="4" t="n"/>
      <c r="P393" s="4" t="n"/>
      <c r="Q393" s="12" t="n"/>
      <c r="R393" s="41" t="n"/>
      <c r="S393" s="4" t="inlineStr">
        <is>
          <t>0 = no reported evidence in material assessed; blank = not coded/unknown; neither proves absence</t>
        </is>
      </c>
      <c r="T393" s="4">
        <f>IF(COUNTIFS('ESTUDIOS'!$A$2:$A$455,$A393,'ESTUDIOS'!$I$2:$I$455,"")&gt;0,"",INDEX('ESTUDIOS'!$I$2:$I$455,MATCH($A393,'ESTUDIOS'!$A$2:$A$455,0)))</f>
        <v/>
      </c>
    </row>
    <row r="394" ht="86" customHeight="1">
      <c r="A394" s="4" t="inlineStr">
        <is>
          <t>new_246</t>
        </is>
      </c>
      <c r="B394" s="4" t="inlineStr">
        <is>
          <t>Update</t>
        </is>
      </c>
      <c r="C394" s="4" t="inlineStr">
        <is>
          <t>MTT: Multi-Tier Transformer for Early Diagnosis of Autism Spectrum Disorder and Language Disorder in Infants</t>
        </is>
      </c>
      <c r="D394" s="4" t="n">
        <v>0</v>
      </c>
      <c r="E394" s="4" t="n">
        <v>0</v>
      </c>
      <c r="F394" s="4" t="n">
        <v>0</v>
      </c>
      <c r="G394" s="4" t="n">
        <v>0</v>
      </c>
      <c r="H394" s="4" t="n">
        <v>0</v>
      </c>
      <c r="I394" s="4" t="n">
        <v>1</v>
      </c>
      <c r="J394" s="4" t="n">
        <v>0</v>
      </c>
      <c r="K394" s="4" t="inlineStr">
        <is>
          <t>Inherited scoped adjudication; see source level and lot caveats</t>
        </is>
      </c>
      <c r="L394" s="4" t="inlineStr">
        <is>
          <t>MTT uses resting-state infant EEG baseline power, SMOTE, transfer learning and feature/self/cross-attention; reported accuracy is 0.91 and AUC 0.97. No independent external/site-held-out evaluation is identified. Interpretability is attention-based only, so it was coded as partial rather than strict XAI.</t>
        </is>
      </c>
      <c r="M394" s="4" t="inlineStr">
        <is>
          <t>https://doi.org/10.1111/coin.70131</t>
        </is>
      </c>
      <c r="N394" s="4" t="n"/>
      <c r="O394" s="4" t="n"/>
      <c r="P394" s="4" t="n"/>
      <c r="Q394" s="12" t="n"/>
      <c r="R394" s="41" t="n"/>
      <c r="S394" s="4" t="inlineStr">
        <is>
          <t>0 = no reported evidence in material assessed; blank = not coded/unknown; neither proves absence</t>
        </is>
      </c>
      <c r="T394" s="4">
        <f>IF(COUNTIFS('ESTUDIOS'!$A$2:$A$455,$A394,'ESTUDIOS'!$I$2:$I$455,"")&gt;0,"",INDEX('ESTUDIOS'!$I$2:$I$455,MATCH($A394,'ESTUDIOS'!$A$2:$A$455,0)))</f>
        <v/>
      </c>
    </row>
    <row r="395" ht="99" customHeight="1">
      <c r="A395" s="4" t="inlineStr">
        <is>
          <t>new_248</t>
        </is>
      </c>
      <c r="B395" s="4" t="inlineStr">
        <is>
          <t>Update</t>
        </is>
      </c>
      <c r="C395" s="4" t="inlineStr">
        <is>
          <t>Optimized quadrangle attention consolidated convolutional multi-scale vision transformer based autism detection</t>
        </is>
      </c>
      <c r="D395" s="4" t="n">
        <v>0</v>
      </c>
      <c r="E395" s="4" t="n">
        <v>0</v>
      </c>
      <c r="F395" s="4" t="n">
        <v>0</v>
      </c>
      <c r="G395" s="4" t="n">
        <v>0</v>
      </c>
      <c r="H395" s="4" t="n">
        <v>0</v>
      </c>
      <c r="I395" s="4" t="n">
        <v>0</v>
      </c>
      <c r="J395" s="4" t="n">
        <v>0</v>
      </c>
      <c r="K395" s="4" t="inlineStr">
        <is>
          <t>Inherited scoped adjudication; see source level and lot caveats</t>
        </is>
      </c>
      <c r="L395" s="4" t="inlineStr">
        <is>
          <t>Uses two facial-image datasets, AMGF preprocessing, GAN augmentation, DMM-AND feature extraction and an optimized convolutional multi-scale vision transformer; reported accuracies are 97.96% and 98.04%. Evaluation on two datasets is not documented as an independent external-validation design or site-held-out test in the accessible material; very high performance warrants independent replication.</t>
        </is>
      </c>
      <c r="M395" s="4" t="inlineStr">
        <is>
          <t>https://doi.org/10.1016/j.pscychresns.2026.112251</t>
        </is>
      </c>
      <c r="N395" s="4" t="n"/>
      <c r="O395" s="4" t="n"/>
      <c r="P395" s="4" t="n"/>
      <c r="Q395" s="12" t="n"/>
      <c r="R395" s="41" t="n"/>
      <c r="S395" s="4" t="inlineStr">
        <is>
          <t>0 = no reported evidence in material assessed; blank = not coded/unknown; neither proves absence</t>
        </is>
      </c>
      <c r="T395" s="4">
        <f>IF(COUNTIFS('ESTUDIOS'!$A$2:$A$455,$A395,'ESTUDIOS'!$I$2:$I$455,"")&gt;0,"",INDEX('ESTUDIOS'!$I$2:$I$455,MATCH($A395,'ESTUDIOS'!$A$2:$A$455,0)))</f>
        <v/>
      </c>
    </row>
    <row r="396" ht="86" customHeight="1">
      <c r="A396" s="4" t="inlineStr">
        <is>
          <t>new_249</t>
        </is>
      </c>
      <c r="B396" s="4" t="inlineStr">
        <is>
          <t>Update</t>
        </is>
      </c>
      <c r="C396" s="4" t="inlineStr">
        <is>
          <t>An early detection of autism spectrum disorder using machine learning</t>
        </is>
      </c>
      <c r="D396" s="4" t="n">
        <v>0</v>
      </c>
      <c r="E396" s="4" t="n">
        <v>0</v>
      </c>
      <c r="F396" s="4" t="n">
        <v>0</v>
      </c>
      <c r="G396" s="4" t="n">
        <v>0</v>
      </c>
      <c r="H396" s="4" t="n">
        <v>1</v>
      </c>
      <c r="I396" s="4" t="n">
        <v>0</v>
      </c>
      <c r="J396" s="4" t="n">
        <v>0</v>
      </c>
      <c r="K396" s="4" t="inlineStr">
        <is>
          <t>Inherited scoped adjudication; see source level and lot caveats</t>
        </is>
      </c>
      <c r="L396" s="4" t="inlineStr">
        <is>
          <t>Baseline infant EEG power features were analyzed with DT, RF and SVM; SVM reached AUC 0.93 and SHAP was used to explain the best-performing model. The accessible record does not establish an independent external cohort, multisite evaluation or prospective clinical deployment.</t>
        </is>
      </c>
      <c r="M396" s="4" t="inlineStr">
        <is>
          <t>https://doi.org/10.1016/j.compbiomed.2025.111238</t>
        </is>
      </c>
      <c r="N396" s="4" t="n"/>
      <c r="O396" s="4" t="n"/>
      <c r="P396" s="4" t="n"/>
      <c r="Q396" s="12" t="n"/>
      <c r="R396" s="41" t="n"/>
      <c r="S396" s="4" t="inlineStr">
        <is>
          <t>0 = no reported evidence in material assessed; blank = not coded/unknown; neither proves absence</t>
        </is>
      </c>
      <c r="T396" s="4">
        <f>IF(COUNTIFS('ESTUDIOS'!$A$2:$A$455,$A396,'ESTUDIOS'!$I$2:$I$455,"")&gt;0,"",INDEX('ESTUDIOS'!$I$2:$I$455,MATCH($A396,'ESTUDIOS'!$A$2:$A$455,0)))</f>
        <v/>
      </c>
    </row>
    <row r="397" ht="86" customHeight="1">
      <c r="A397" s="4" t="inlineStr">
        <is>
          <t>new_250</t>
        </is>
      </c>
      <c r="B397" s="4" t="inlineStr">
        <is>
          <t>Update</t>
        </is>
      </c>
      <c r="C397" s="4" t="inlineStr">
        <is>
          <t>An Effective LRSF-DLNN-Based Autism Spectrum Disorder Prediction Using EEG and fMRI</t>
        </is>
      </c>
      <c r="D397" s="4" t="n">
        <v>0</v>
      </c>
      <c r="E397" s="4" t="n">
        <v>0</v>
      </c>
      <c r="F397" s="4" t="n">
        <v>0</v>
      </c>
      <c r="G397" s="4" t="n">
        <v>0</v>
      </c>
      <c r="H397" s="4" t="n">
        <v>0</v>
      </c>
      <c r="I397" s="4" t="n">
        <v>0</v>
      </c>
      <c r="J397" s="4" t="n">
        <v>1</v>
      </c>
      <c r="K397" s="4" t="inlineStr">
        <is>
          <t>Inherited scoped adjudication; see source level and lot caveats</t>
        </is>
      </c>
      <c r="L397" s="4" t="inlineStr">
        <is>
          <t>Combines EEG and fMRI after modality-specific preprocessing and feature extraction, followed by DFGAO feature selection and LRSF-DLNN classification; reported accuracy is 98.8%. No independent external validation, site-held-out robustness or explicit XAI method is established in the accessible material.</t>
        </is>
      </c>
      <c r="M397" s="4" t="inlineStr">
        <is>
          <t>https://doi.org/10.1002/dneu.70047</t>
        </is>
      </c>
      <c r="N397" s="4" t="n"/>
      <c r="O397" s="4" t="n"/>
      <c r="P397" s="4" t="n"/>
      <c r="Q397" s="12" t="n"/>
      <c r="R397" s="41" t="n"/>
      <c r="S397" s="4" t="inlineStr">
        <is>
          <t>0 = no reported evidence in material assessed; blank = not coded/unknown; neither proves absence</t>
        </is>
      </c>
      <c r="T397" s="4">
        <f>IF(COUNTIFS('ESTUDIOS'!$A$2:$A$455,$A397,'ESTUDIOS'!$I$2:$I$455,"")&gt;0,"",INDEX('ESTUDIOS'!$I$2:$I$455,MATCH($A397,'ESTUDIOS'!$A$2:$A$455,0)))</f>
        <v/>
      </c>
    </row>
    <row r="398" ht="99" customHeight="1">
      <c r="A398" s="4" t="inlineStr">
        <is>
          <t>new_252</t>
        </is>
      </c>
      <c r="B398" s="4" t="inlineStr">
        <is>
          <t>Update</t>
        </is>
      </c>
      <c r="C398" s="4" t="inlineStr">
        <is>
          <t>A New Paradigm for Autism Spectrum Disorder Discrimination in Children Utilizing EEG Data Collected During Cartoon Viewing With a Focus on Atypical Semantic Processing</t>
        </is>
      </c>
      <c r="D398" s="4" t="n">
        <v>0</v>
      </c>
      <c r="E398" s="4" t="n">
        <v>0</v>
      </c>
      <c r="F398" s="4" t="n">
        <v>0</v>
      </c>
      <c r="G398" s="4" t="n">
        <v>0</v>
      </c>
      <c r="H398" s="4" t="n">
        <v>0</v>
      </c>
      <c r="I398" s="4" t="n">
        <v>0</v>
      </c>
      <c r="J398" s="4" t="n">
        <v>0</v>
      </c>
      <c r="K398" s="4" t="inlineStr">
        <is>
          <t>Inherited scoped adjudication; see source level and lot caveats</t>
        </is>
      </c>
      <c r="L398" s="4" t="inlineStr">
        <is>
          <t>EEG recorded during naturalistic cartoon viewing was linked to semantic representations derived from pretrained language models; the study reports ASD/TD discrimination and a validation analysis. The accessible description does not establish that the reported validation analysis used an independent external cohort; semantic annotations are stimulus descriptors rather than a second human data modality.</t>
        </is>
      </c>
      <c r="M398" s="4" t="inlineStr">
        <is>
          <t>https://doi.org/10.1002/aur.70105</t>
        </is>
      </c>
      <c r="N398" s="4" t="n"/>
      <c r="O398" s="4" t="n"/>
      <c r="P398" s="4" t="n"/>
      <c r="Q398" s="12" t="n"/>
      <c r="R398" s="41" t="n"/>
      <c r="S398" s="4" t="inlineStr">
        <is>
          <t>0 = no reported evidence in material assessed; blank = not coded/unknown; neither proves absence</t>
        </is>
      </c>
      <c r="T398" s="4">
        <f>IF(COUNTIFS('ESTUDIOS'!$A$2:$A$455,$A398,'ESTUDIOS'!$I$2:$I$455,"")&gt;0,"",INDEX('ESTUDIOS'!$I$2:$I$455,MATCH($A398,'ESTUDIOS'!$A$2:$A$455,0)))</f>
        <v/>
      </c>
    </row>
    <row r="399" ht="86" customHeight="1">
      <c r="A399" s="4" t="inlineStr">
        <is>
          <t>new_254</t>
        </is>
      </c>
      <c r="B399" s="4" t="inlineStr">
        <is>
          <t>Update</t>
        </is>
      </c>
      <c r="C399" s="4" t="inlineStr">
        <is>
          <t>Hybrid groupers-moray orangutan optimization algorithm-based dense-resolution network for autism spectrum disorder detection using multimodal data</t>
        </is>
      </c>
      <c r="D399" s="4" t="n">
        <v>0</v>
      </c>
      <c r="E399" s="4" t="n">
        <v>0</v>
      </c>
      <c r="F399" s="4" t="n">
        <v>0</v>
      </c>
      <c r="G399" s="4" t="n">
        <v>0</v>
      </c>
      <c r="H399" s="4" t="n">
        <v>0</v>
      </c>
      <c r="I399" s="4" t="n">
        <v>0</v>
      </c>
      <c r="J399" s="4" t="n">
        <v>1</v>
      </c>
      <c r="K399" s="4" t="inlineStr">
        <is>
          <t>Inherited scoped adjudication; see source level and lot caveats</t>
        </is>
      </c>
      <c r="L399" s="4" t="inlineStr">
        <is>
          <t>Integrates MRI-derived features with phenotypic variables, applies feature selection/optimization and DRNet classification; reported accuracy is 92.77%. No independent external validation, prospective evaluation or explicit site-held-out robustness is established in the accessible record.</t>
        </is>
      </c>
      <c r="M399" s="4" t="inlineStr">
        <is>
          <t>https://doi.org/10.1016/j.pscychresns.2026.112204</t>
        </is>
      </c>
      <c r="N399" s="4" t="n"/>
      <c r="O399" s="4" t="n"/>
      <c r="P399" s="4" t="n"/>
      <c r="Q399" s="12" t="n"/>
      <c r="R399" s="41" t="n"/>
      <c r="S399" s="4" t="inlineStr">
        <is>
          <t>0 = no reported evidence in material assessed; blank = not coded/unknown; neither proves absence</t>
        </is>
      </c>
      <c r="T399" s="4">
        <f>IF(COUNTIFS('ESTUDIOS'!$A$2:$A$455,$A399,'ESTUDIOS'!$I$2:$I$455,"")&gt;0,"",INDEX('ESTUDIOS'!$I$2:$I$455,MATCH($A399,'ESTUDIOS'!$A$2:$A$455,0)))</f>
        <v/>
      </c>
    </row>
    <row r="400" ht="99" customHeight="1">
      <c r="A400" s="4" t="inlineStr">
        <is>
          <t>new_266</t>
        </is>
      </c>
      <c r="B400" s="4" t="inlineStr">
        <is>
          <t>Update</t>
        </is>
      </c>
      <c r="C400" s="4" t="inlineStr">
        <is>
          <t>Machine Learning-Based Early Prediction Model for Autism Spectrum Disorder in Infants Using Acoustic Feature</t>
        </is>
      </c>
      <c r="D400" s="4" t="n">
        <v>0</v>
      </c>
      <c r="E400" s="4" t="n">
        <v>0</v>
      </c>
      <c r="F400" s="4" t="n">
        <v>0</v>
      </c>
      <c r="G400" s="4" t="n">
        <v>1</v>
      </c>
      <c r="H400" s="4" t="n">
        <v>0</v>
      </c>
      <c r="I400" s="4" t="n">
        <v>1</v>
      </c>
      <c r="J400" s="4" t="n">
        <v>0</v>
      </c>
      <c r="K400" s="4" t="inlineStr">
        <is>
          <t>Inherited scoped adjudication; see source level and lot caveats</t>
        </is>
      </c>
      <c r="L400" s="4" t="inlineStr">
        <is>
          <t>In a prospective infant-sibling cohort, vocalizations at 9-18 months were parameterized into thousands of acoustic features, reduced with LASSO, and classified with SVM against ASD outcome confirmed at 36 months. The cohort is relatively small and the accessible record does not establish independent external validation; LASSO-based feature reduction is treated as partial interpretability rather than strict XAI.</t>
        </is>
      </c>
      <c r="M400" s="4" t="inlineStr">
        <is>
          <t>https://doi.org/10.1002/aur.70179</t>
        </is>
      </c>
      <c r="N400" s="4" t="n"/>
      <c r="O400" s="4" t="n"/>
      <c r="P400" s="4" t="n"/>
      <c r="Q400" s="12" t="n"/>
      <c r="R400" s="41" t="n"/>
      <c r="S400" s="4" t="inlineStr">
        <is>
          <t>0 = no reported evidence in material assessed; blank = not coded/unknown; neither proves absence</t>
        </is>
      </c>
      <c r="T400" s="4">
        <f>IF(COUNTIFS('ESTUDIOS'!$A$2:$A$455,$A400,'ESTUDIOS'!$I$2:$I$455,"")&gt;0,"",INDEX('ESTUDIOS'!$I$2:$I$455,MATCH($A400,'ESTUDIOS'!$A$2:$A$455,0)))</f>
        <v/>
      </c>
    </row>
    <row r="401" ht="151" customHeight="1">
      <c r="A401" s="4" t="inlineStr">
        <is>
          <t>new_269</t>
        </is>
      </c>
      <c r="B401" s="4" t="inlineStr">
        <is>
          <t>Update</t>
        </is>
      </c>
      <c r="C401" s="4" t="inlineStr">
        <is>
          <t>Predicting fine motor deficit in autism by measuring brain activities and characterizing motor impairments</t>
        </is>
      </c>
      <c r="D401" s="4" t="n">
        <v>0</v>
      </c>
      <c r="E401" s="4" t="n">
        <v>0</v>
      </c>
      <c r="F401" s="4" t="n">
        <v>0</v>
      </c>
      <c r="G401" s="4" t="n">
        <v>0</v>
      </c>
      <c r="H401" s="4" t="n">
        <v>0</v>
      </c>
      <c r="I401" s="4" t="n">
        <v>1</v>
      </c>
      <c r="J401" s="4" t="n">
        <v>1</v>
      </c>
      <c r="K401" s="4" t="inlineStr">
        <is>
          <t>Inherited scoped adjudication; see source level and lot caveats</t>
        </is>
      </c>
      <c r="L401" s="4" t="inlineStr">
        <is>
          <t>The publisher article contains participant recruitment, data collection, Methods and Results. It integrates QEEG, Finger Tapping, Hand-Eye Coordination, Visual Memory and AQ-10 variables; logistic regression was the best model and RF Gini plots were used for feature interpretation. PubMed labels the record as Review, but the publisher full article is clearly an original empirical study with recruited participants and primary data collection. The metadata conflict should be checked independently; stage is left Not specified because the AI endpoint is fine-motor deficit rather than a unique ASD screening/diagnostic stage.</t>
        </is>
      </c>
      <c r="M401" s="4" t="inlineStr">
        <is>
          <t>https://doi.org/10.1016/j.compbiomed.2026.111470</t>
        </is>
      </c>
      <c r="N401" s="4" t="n"/>
      <c r="O401" s="4" t="n"/>
      <c r="P401" s="4" t="n"/>
      <c r="Q401" s="12" t="n"/>
      <c r="R401" s="41" t="n"/>
      <c r="S401" s="4" t="inlineStr">
        <is>
          <t>0 = no reported evidence in material assessed; blank = not coded/unknown; neither proves absence</t>
        </is>
      </c>
      <c r="T401" s="4">
        <f>IF(COUNTIFS('ESTUDIOS'!$A$2:$A$455,$A401,'ESTUDIOS'!$I$2:$I$455,"")&gt;0,"",INDEX('ESTUDIOS'!$I$2:$I$455,MATCH($A401,'ESTUDIOS'!$A$2:$A$455,0)))</f>
        <v/>
      </c>
    </row>
    <row r="402" ht="86" customHeight="1">
      <c r="A402" s="4" t="inlineStr">
        <is>
          <t>new_270</t>
        </is>
      </c>
      <c r="B402" s="4" t="inlineStr">
        <is>
          <t>Update</t>
        </is>
      </c>
      <c r="C402" s="4" t="inlineStr">
        <is>
          <t>Diagnosing autism spectrum disorders using ensemble-aided weighted fused features and attention-based residual LSTM with brain MRI images</t>
        </is>
      </c>
      <c r="D402" s="4" t="n">
        <v>0</v>
      </c>
      <c r="E402" s="4" t="n">
        <v>0</v>
      </c>
      <c r="F402" s="4" t="n">
        <v>0</v>
      </c>
      <c r="G402" s="4" t="n">
        <v>0</v>
      </c>
      <c r="H402" s="4" t="n">
        <v>0</v>
      </c>
      <c r="I402" s="4" t="n">
        <v>0</v>
      </c>
      <c r="J402" s="4" t="n">
        <v>0</v>
      </c>
      <c r="K402" s="4" t="inlineStr">
        <is>
          <t>Inherited scoped adjudication; see source level and lot caveats</t>
        </is>
      </c>
      <c r="L402" s="4" t="inlineStr">
        <is>
          <t>Uses an ensemble CNN feature extractor, optimized weighted feature fusion and ARLSTM classification for MRI-based ASD diagnosis. Attention/recurrent architecture alone is not coded as XAI; no independent external, prospective or site-held-out evaluation is established in the accessible material.</t>
        </is>
      </c>
      <c r="M402" s="4" t="inlineStr">
        <is>
          <t>https://doi.org/10.1016/j.pscychresns.2026.112230</t>
        </is>
      </c>
      <c r="N402" s="4" t="n"/>
      <c r="O402" s="4" t="n"/>
      <c r="P402" s="4" t="n"/>
      <c r="Q402" s="12" t="n"/>
      <c r="R402" s="41" t="n"/>
      <c r="S402" s="4" t="inlineStr">
        <is>
          <t>0 = no reported evidence in material assessed; blank = not coded/unknown; neither proves absence</t>
        </is>
      </c>
      <c r="T402" s="4">
        <f>IF(COUNTIFS('ESTUDIOS'!$A$2:$A$455,$A402,'ESTUDIOS'!$I$2:$I$455,"")&gt;0,"",INDEX('ESTUDIOS'!$I$2:$I$455,MATCH($A402,'ESTUDIOS'!$A$2:$A$455,0)))</f>
        <v/>
      </c>
    </row>
    <row r="403" ht="86" customHeight="1">
      <c r="A403" s="4" t="inlineStr">
        <is>
          <t>new_271</t>
        </is>
      </c>
      <c r="B403" s="4" t="inlineStr">
        <is>
          <t>Update</t>
        </is>
      </c>
      <c r="C403" s="4" t="inlineStr">
        <is>
          <t>Early Autism Spectrum Disorder Detection Using SMOTE-Enhanced 1D-CNN and Behavioral Screening Data</t>
        </is>
      </c>
      <c r="D403" s="4" t="n">
        <v>0</v>
      </c>
      <c r="E403" s="4" t="n">
        <v>0</v>
      </c>
      <c r="F403" s="4" t="n">
        <v>0</v>
      </c>
      <c r="G403" s="4" t="n">
        <v>0</v>
      </c>
      <c r="H403" s="4" t="n">
        <v>0</v>
      </c>
      <c r="I403" s="4" t="n">
        <v>0</v>
      </c>
      <c r="J403" s="4" t="n">
        <v>0</v>
      </c>
      <c r="K403" s="4" t="inlineStr">
        <is>
          <t>Inherited scoped adjudication; see source level and lot caveats</t>
        </is>
      </c>
      <c r="L403" s="4" t="inlineStr">
        <is>
          <t>Uses a public toddler-autism behavioral dataset with SMOTE and a 1D-CNN; evaluation is based on train/test splitting and internal cross-validation. Internal validation does not constitute external validation; no prospective workflow, multisite robustness or explicit XAI is reported.</t>
        </is>
      </c>
      <c r="M403" s="4" t="inlineStr">
        <is>
          <t>https://doi.org/10.1155/ahci/1316854</t>
        </is>
      </c>
      <c r="N403" s="4" t="n"/>
      <c r="O403" s="4" t="n"/>
      <c r="P403" s="4" t="n"/>
      <c r="Q403" s="12" t="n"/>
      <c r="R403" s="41" t="n"/>
      <c r="S403" s="4" t="inlineStr">
        <is>
          <t>0 = no reported evidence in material assessed; blank = not coded/unknown; neither proves absence</t>
        </is>
      </c>
      <c r="T403" s="4">
        <f>IF(COUNTIFS('ESTUDIOS'!$A$2:$A$455,$A403,'ESTUDIOS'!$I$2:$I$455,"")&gt;0,"",INDEX('ESTUDIOS'!$I$2:$I$455,MATCH($A403,'ESTUDIOS'!$A$2:$A$455,0)))</f>
        <v/>
      </c>
    </row>
    <row r="404" ht="86" customHeight="1">
      <c r="A404" s="4" t="inlineStr">
        <is>
          <t>new_273</t>
        </is>
      </c>
      <c r="B404" s="4" t="inlineStr">
        <is>
          <t>Update</t>
        </is>
      </c>
      <c r="C404" s="4" t="inlineStr">
        <is>
          <t>Optimizing Autism Spectrum Disorder Diagnosis with VGG16-Based Facial Landmark Recognition</t>
        </is>
      </c>
      <c r="D404" s="4" t="n">
        <v>0</v>
      </c>
      <c r="E404" s="4" t="n">
        <v>0</v>
      </c>
      <c r="F404" s="4" t="n">
        <v>0</v>
      </c>
      <c r="G404" s="4" t="n">
        <v>0</v>
      </c>
      <c r="H404" s="4" t="n">
        <v>0</v>
      </c>
      <c r="I404" s="4" t="n">
        <v>0</v>
      </c>
      <c r="J404" s="4" t="n">
        <v>0</v>
      </c>
      <c r="K404" s="4" t="inlineStr">
        <is>
          <t>Inherited scoped adjudication; see source level and lot caveats</t>
        </is>
      </c>
      <c r="L404" s="4" t="inlineStr">
        <is>
          <t>Applies VGG16 to a Kaggle facial-image dataset of autistic and non-autistic children and reports 98.1% classification accuracy. Single public image dataset and no independent external/prospective evaluation are established; performance may be sensitive to dataset leakage or source bias.</t>
        </is>
      </c>
      <c r="M404" s="4" t="inlineStr">
        <is>
          <t>https://doi.org/10.1016/j.procs.2026.06.483</t>
        </is>
      </c>
      <c r="N404" s="4" t="n"/>
      <c r="O404" s="4" t="n"/>
      <c r="P404" s="4" t="n"/>
      <c r="Q404" s="12" t="n"/>
      <c r="R404" s="41" t="n"/>
      <c r="S404" s="4" t="inlineStr">
        <is>
          <t>0 = no reported evidence in material assessed; blank = not coded/unknown; neither proves absence</t>
        </is>
      </c>
      <c r="T404" s="4">
        <f>IF(COUNTIFS('ESTUDIOS'!$A$2:$A$455,$A404,'ESTUDIOS'!$I$2:$I$455,"")&gt;0,"",INDEX('ESTUDIOS'!$I$2:$I$455,MATCH($A404,'ESTUDIOS'!$A$2:$A$455,0)))</f>
        <v/>
      </c>
    </row>
    <row r="405" ht="99" customHeight="1">
      <c r="A405" s="4" t="inlineStr">
        <is>
          <t>new_275</t>
        </is>
      </c>
      <c r="B405" s="4" t="inlineStr">
        <is>
          <t>Update</t>
        </is>
      </c>
      <c r="C405" s="4" t="inlineStr">
        <is>
          <t>Machine Learning Techniques to Uncover Sociodemographic Risk Factors of Autism Spectrum Disorder (ASD) Among Children and Adolescents in Bangladesh</t>
        </is>
      </c>
      <c r="D405" s="4" t="n">
        <v>0</v>
      </c>
      <c r="E405" s="4" t="n">
        <v>1</v>
      </c>
      <c r="F405" s="4" t="n">
        <v>0</v>
      </c>
      <c r="G405" s="4" t="n">
        <v>0</v>
      </c>
      <c r="H405" s="4" t="n">
        <v>0</v>
      </c>
      <c r="I405" s="4" t="n">
        <v>1</v>
      </c>
      <c r="J405" s="4" t="n">
        <v>0</v>
      </c>
      <c r="K405" s="4" t="inlineStr">
        <is>
          <t>Inherited scoped adjudication; see source level and lot caveats</t>
        </is>
      </c>
      <c r="L405" s="4" t="inlineStr">
        <is>
          <t>Analyzes a Bangladesh dataset collected across multiple geographic locations; compares eight classifiers after feature selection, with decision tree reported as best, and identifies interpretable sociodemographic/perinatal predictors. The reported test/CV is internal and geographic sources are pooled rather than site-held-out; regional sampling limits generalizability.</t>
        </is>
      </c>
      <c r="M405" s="4" t="inlineStr">
        <is>
          <t>https://doi.org/10.1155/acis/6410913</t>
        </is>
      </c>
      <c r="N405" s="4" t="n"/>
      <c r="O405" s="4" t="n"/>
      <c r="P405" s="4" t="n"/>
      <c r="Q405" s="12" t="n"/>
      <c r="R405" s="41" t="n"/>
      <c r="S405" s="4" t="inlineStr">
        <is>
          <t>0 = no reported evidence in material assessed; blank = not coded/unknown; neither proves absence</t>
        </is>
      </c>
      <c r="T405" s="4">
        <f>IF(COUNTIFS('ESTUDIOS'!$A$2:$A$455,$A405,'ESTUDIOS'!$I$2:$I$455,"")&gt;0,"",INDEX('ESTUDIOS'!$I$2:$I$455,MATCH($A405,'ESTUDIOS'!$A$2:$A$455,0)))</f>
        <v/>
      </c>
    </row>
    <row r="406" ht="86" customHeight="1">
      <c r="A406" s="4" t="inlineStr">
        <is>
          <t>new_277</t>
        </is>
      </c>
      <c r="B406" s="4" t="inlineStr">
        <is>
          <t>Update</t>
        </is>
      </c>
      <c r="C406" s="4" t="inlineStr">
        <is>
          <t>A comprehensive causal and machine learning framework for autism spectrum disorder risk prediction and high-risk subgroup identification from children with chronic health and genetic disorders in the United States</t>
        </is>
      </c>
      <c r="D406" s="4" t="n">
        <v>0</v>
      </c>
      <c r="E406" s="4" t="n">
        <v>0</v>
      </c>
      <c r="F406" s="4" t="n">
        <v>0</v>
      </c>
      <c r="G406" s="4" t="n">
        <v>0</v>
      </c>
      <c r="H406" s="4" t="n">
        <v>0</v>
      </c>
      <c r="I406" s="4" t="n">
        <v>1</v>
      </c>
      <c r="J406" s="4" t="n">
        <v>0</v>
      </c>
      <c r="K406" s="4" t="inlineStr">
        <is>
          <t>Inherited scoped adjudication; see source level and lot caveats</t>
        </is>
      </c>
      <c r="L406" s="4" t="inlineStr">
        <is>
          <t>Uses 2022-2023 National Survey of Children's Health data, propensity-score methods and machine learning to identify predictor patterns and high-risk subgroups associated with ASD. Survey-based association/prediction is not external validation or prospective evaluation; predictor/subgroup interpretation is coded as partial explainability rather than strict XAI.</t>
        </is>
      </c>
      <c r="M406" s="4" t="inlineStr">
        <is>
          <t>https://doi.org/10.1016/j.reia.2026.202826</t>
        </is>
      </c>
      <c r="N406" s="4" t="n"/>
      <c r="O406" s="4" t="n"/>
      <c r="P406" s="4" t="n"/>
      <c r="Q406" s="12" t="n"/>
      <c r="R406" s="41" t="n"/>
      <c r="S406" s="4" t="inlineStr">
        <is>
          <t>0 = no reported evidence in material assessed; blank = not coded/unknown; neither proves absence</t>
        </is>
      </c>
      <c r="T406" s="4">
        <f>IF(COUNTIFS('ESTUDIOS'!$A$2:$A$455,$A406,'ESTUDIOS'!$I$2:$I$455,"")&gt;0,"",INDEX('ESTUDIOS'!$I$2:$I$455,MATCH($A406,'ESTUDIOS'!$A$2:$A$455,0)))</f>
        <v/>
      </c>
    </row>
    <row r="407" ht="86" customHeight="1">
      <c r="A407" s="4" t="inlineStr">
        <is>
          <t>new_280</t>
        </is>
      </c>
      <c r="B407" s="4" t="inlineStr">
        <is>
          <t>Update</t>
        </is>
      </c>
      <c r="C407" s="4" t="inlineStr">
        <is>
          <t>Sleep pattern consistency and autism spectrum disorder in U.S. children: Associations and identification of high-risk subgroups</t>
        </is>
      </c>
      <c r="D407" s="4" t="n">
        <v>0</v>
      </c>
      <c r="E407" s="4" t="n">
        <v>0</v>
      </c>
      <c r="F407" s="4" t="n">
        <v>0</v>
      </c>
      <c r="G407" s="4" t="n">
        <v>0</v>
      </c>
      <c r="H407" s="4" t="n">
        <v>0</v>
      </c>
      <c r="I407" s="4" t="n">
        <v>1</v>
      </c>
      <c r="J407" s="4" t="n">
        <v>0</v>
      </c>
      <c r="K407" s="4" t="inlineStr">
        <is>
          <t>Inherited scoped adjudication; see source level and lot caveats</t>
        </is>
      </c>
      <c r="L407" s="4" t="inlineStr">
        <is>
          <t>Analyzes 63,866 children from the 2022-2023 NSCH using sleep routines, demographics and comorbidities with regression/ML to identify ASD-associated risk profiles and high-risk subgroups. Cross-sectional survey prediction does not establish prospective or external validation; interpretable risk profiles are coded as partial rather than strict XAI.</t>
        </is>
      </c>
      <c r="M407" s="4" t="inlineStr">
        <is>
          <t>https://doi.org/10.1016/j.ridd.2025.105201</t>
        </is>
      </c>
      <c r="N407" s="4" t="n"/>
      <c r="O407" s="4" t="n"/>
      <c r="P407" s="4" t="n"/>
      <c r="Q407" s="12" t="n"/>
      <c r="R407" s="41" t="n"/>
      <c r="S407" s="4" t="inlineStr">
        <is>
          <t>0 = no reported evidence in material assessed; blank = not coded/unknown; neither proves absence</t>
        </is>
      </c>
      <c r="T407" s="4">
        <f>IF(COUNTIFS('ESTUDIOS'!$A$2:$A$455,$A407,'ESTUDIOS'!$I$2:$I$455,"")&gt;0,"",INDEX('ESTUDIOS'!$I$2:$I$455,MATCH($A407,'ESTUDIOS'!$A$2:$A$455,0)))</f>
        <v/>
      </c>
    </row>
    <row r="408" ht="86" customHeight="1">
      <c r="A408" s="4" t="inlineStr">
        <is>
          <t>new_286</t>
        </is>
      </c>
      <c r="B408" s="4" t="inlineStr">
        <is>
          <t>Update</t>
        </is>
      </c>
      <c r="C408" s="4" t="inlineStr">
        <is>
          <t>Identification of Potential Biomarkers in ASD Integrating RNA Seq Data and Machine Learning Approaches</t>
        </is>
      </c>
      <c r="D408" s="4" t="n">
        <v>0</v>
      </c>
      <c r="E408" s="4" t="n">
        <v>0</v>
      </c>
      <c r="F408" s="4" t="n">
        <v>0</v>
      </c>
      <c r="G408" s="4" t="n">
        <v>0</v>
      </c>
      <c r="H408" s="4" t="n">
        <v>0</v>
      </c>
      <c r="I408" s="4" t="n">
        <v>1</v>
      </c>
      <c r="J408" s="4" t="n">
        <v>0</v>
      </c>
      <c r="K408" s="4" t="inlineStr">
        <is>
          <t>Inherited scoped adjudication; see source level and lot caveats</t>
        </is>
      </c>
      <c r="L408" s="4" t="inlineStr">
        <is>
          <t>Uses RNA-seq gene-expression data from NCBI GEO, compares RF and XGBoost with fivefold CV, and ranks a compact set of candidate transcriptomic biomarkers. Small dataset and internal CV only; ranked biomarkers are treated as partial interpretability, not strict XAI or external validation.</t>
        </is>
      </c>
      <c r="M408" s="4" t="inlineStr">
        <is>
          <t>https://doi.org/10.3233/shti260609</t>
        </is>
      </c>
      <c r="N408" s="4" t="n"/>
      <c r="O408" s="4" t="n"/>
      <c r="P408" s="4" t="n"/>
      <c r="Q408" s="12" t="n"/>
      <c r="R408" s="41" t="n"/>
      <c r="S408" s="4" t="inlineStr">
        <is>
          <t>0 = no reported evidence in material assessed; blank = not coded/unknown; neither proves absence</t>
        </is>
      </c>
      <c r="T408" s="4">
        <f>IF(COUNTIFS('ESTUDIOS'!$A$2:$A$455,$A408,'ESTUDIOS'!$I$2:$I$455,"")&gt;0,"",INDEX('ESTUDIOS'!$I$2:$I$455,MATCH($A408,'ESTUDIOS'!$A$2:$A$455,0)))</f>
        <v/>
      </c>
    </row>
    <row r="409" ht="86" customHeight="1">
      <c r="A409" s="4" t="inlineStr">
        <is>
          <t>new_287</t>
        </is>
      </c>
      <c r="B409" s="4" t="inlineStr">
        <is>
          <t>Update</t>
        </is>
      </c>
      <c r="C409" s="4" t="inlineStr">
        <is>
          <t>REM Sleep Abnormalities in Children With Autism Spectrum Disorder</t>
        </is>
      </c>
      <c r="D409" s="4" t="n">
        <v>0</v>
      </c>
      <c r="E409" s="4" t="n">
        <v>0</v>
      </c>
      <c r="F409" s="4" t="n">
        <v>0</v>
      </c>
      <c r="G409" s="4" t="n">
        <v>0</v>
      </c>
      <c r="H409" s="4" t="n">
        <v>1</v>
      </c>
      <c r="I409" s="4" t="n">
        <v>0</v>
      </c>
      <c r="J409" s="4" t="n">
        <v>0</v>
      </c>
      <c r="K409" s="4" t="inlineStr">
        <is>
          <t>Inherited scoped adjudication; see source level and lot caveats</t>
        </is>
      </c>
      <c r="L409" s="4" t="inlineStr">
        <is>
          <t>Matched ASD and non-ASD participants from the NCH Sleep Databank, compared ML models on REM-sleep features, and used SHAP to identify discriminative predictors. Single databank analysis without independent external or prospective validation; SHAP supports strict XAI coding.</t>
        </is>
      </c>
      <c r="M409" s="4" t="inlineStr">
        <is>
          <t>https://doi.org/10.1002/aur.70222</t>
        </is>
      </c>
      <c r="N409" s="4" t="n"/>
      <c r="O409" s="4" t="n"/>
      <c r="P409" s="4" t="n"/>
      <c r="Q409" s="12" t="n"/>
      <c r="R409" s="41" t="n"/>
      <c r="S409" s="4" t="inlineStr">
        <is>
          <t>0 = no reported evidence in material assessed; blank = not coded/unknown; neither proves absence</t>
        </is>
      </c>
      <c r="T409" s="4">
        <f>IF(COUNTIFS('ESTUDIOS'!$A$2:$A$455,$A409,'ESTUDIOS'!$I$2:$I$455,"")&gt;0,"",INDEX('ESTUDIOS'!$I$2:$I$455,MATCH($A409,'ESTUDIOS'!$A$2:$A$455,0)))</f>
        <v/>
      </c>
    </row>
    <row r="410" ht="125" customHeight="1">
      <c r="A410" s="4" t="inlineStr">
        <is>
          <t>new_289</t>
        </is>
      </c>
      <c r="B410" s="4" t="inlineStr">
        <is>
          <t>Update</t>
        </is>
      </c>
      <c r="C410" s="4" t="inlineStr">
        <is>
          <t>Diagnosis of autism disorder from rs-fMRI brain images through hierarchical YOLO and mechanism of attention (HYMA)</t>
        </is>
      </c>
      <c r="D410" s="4" t="n">
        <v>0</v>
      </c>
      <c r="E410" s="4" t="n">
        <v>1</v>
      </c>
      <c r="F410" s="4" t="n">
        <v>1</v>
      </c>
      <c r="G410" s="4" t="n">
        <v>0</v>
      </c>
      <c r="H410" s="4" t="n">
        <v>1</v>
      </c>
      <c r="I410" s="4" t="n">
        <v>0</v>
      </c>
      <c r="J410" s="4" t="n">
        <v>0</v>
      </c>
      <c r="K410" s="4" t="inlineStr">
        <is>
          <t>Inherited scoped adjudication; see source level and lot caveats</t>
        </is>
      </c>
      <c r="L410" s="4" t="inlineStr">
        <is>
          <t>HYMA combines axis-specific YOLO experts, attention and expert fusion; the publisher explicitly reports subject-wise and cross-site evaluations on ABIDE I/II and interprets attention maps over clinically relevant brain regions. The 99.3% accuracy is unusually high for ABIDE and merits independent replication. Cross-site robustness is counted because the paper explicitly reports cross-site evaluation, but external validation is kept at 0 because the exact independent train/external-test relationship is not unambiguously established.</t>
        </is>
      </c>
      <c r="M410" s="4" t="inlineStr">
        <is>
          <t>https://doi.org/10.1016/j.asoc.2026.114655</t>
        </is>
      </c>
      <c r="N410" s="4" t="n"/>
      <c r="O410" s="4" t="n"/>
      <c r="P410" s="4" t="n"/>
      <c r="Q410" s="12" t="n"/>
      <c r="R410" s="41" t="n"/>
      <c r="S410" s="4" t="inlineStr">
        <is>
          <t>0 = no reported evidence in material assessed; blank = not coded/unknown; neither proves absence</t>
        </is>
      </c>
      <c r="T410" s="4">
        <f>IF(COUNTIFS('ESTUDIOS'!$A$2:$A$455,$A410,'ESTUDIOS'!$I$2:$I$455,"")&gt;0,"",INDEX('ESTUDIOS'!$I$2:$I$455,MATCH($A410,'ESTUDIOS'!$A$2:$A$455,0)))</f>
        <v/>
      </c>
    </row>
    <row r="411" ht="86" customHeight="1">
      <c r="A411" s="4" t="inlineStr">
        <is>
          <t>new_295</t>
        </is>
      </c>
      <c r="B411" s="4" t="inlineStr">
        <is>
          <t>Update</t>
        </is>
      </c>
      <c r="C411" s="4" t="inlineStr">
        <is>
          <t>Comparing Machine Learning Models for Pupillary Light Reflex–Based Autism Spectrum Disorder Classification</t>
        </is>
      </c>
      <c r="D411" s="4" t="n">
        <v>0</v>
      </c>
      <c r="E411" s="4" t="n">
        <v>0</v>
      </c>
      <c r="F411" s="4" t="n">
        <v>0</v>
      </c>
      <c r="G411" s="4" t="n">
        <v>0</v>
      </c>
      <c r="H411" s="4" t="n">
        <v>0</v>
      </c>
      <c r="I411" s="4" t="n">
        <v>0</v>
      </c>
      <c r="J411" s="4" t="n">
        <v>0</v>
      </c>
      <c r="K411" s="4" t="inlineStr">
        <is>
          <t>Inherited scoped adjudication; see source level and lot caveats</t>
        </is>
      </c>
      <c r="L411" s="4" t="inlineStr">
        <is>
          <t>Compares conventional classifiers and a DNN on pupillary-light-reflex features from ASD and typically developing children; the DNN gives the strongest test performance. Small sample and no independent external/prospective validation or explicit explainability analysis.</t>
        </is>
      </c>
      <c r="M411" s="4" t="inlineStr">
        <is>
          <t>https://doi.org/10.1155/acis/1906938</t>
        </is>
      </c>
      <c r="N411" s="4" t="n"/>
      <c r="O411" s="4" t="n"/>
      <c r="P411" s="4" t="n"/>
      <c r="Q411" s="12" t="n"/>
      <c r="R411" s="41" t="n"/>
      <c r="S411" s="4" t="inlineStr">
        <is>
          <t>0 = no reported evidence in material assessed; blank = not coded/unknown; neither proves absence</t>
        </is>
      </c>
      <c r="T411" s="4">
        <f>IF(COUNTIFS('ESTUDIOS'!$A$2:$A$455,$A411,'ESTUDIOS'!$I$2:$I$455,"")&gt;0,"",INDEX('ESTUDIOS'!$I$2:$I$455,MATCH($A411,'ESTUDIOS'!$A$2:$A$455,0)))</f>
        <v/>
      </c>
    </row>
    <row r="412" ht="86" customHeight="1">
      <c r="A412" s="4" t="inlineStr">
        <is>
          <t>new_296</t>
        </is>
      </c>
      <c r="B412" s="4" t="inlineStr">
        <is>
          <t>Update</t>
        </is>
      </c>
      <c r="C412" s="4" t="inlineStr">
        <is>
          <t>Deep learning for diagnosing autism spectrum disorder using EEG with upright and inverted face processing tasks</t>
        </is>
      </c>
      <c r="D412" s="4" t="n">
        <v>0</v>
      </c>
      <c r="E412" s="4" t="n">
        <v>0</v>
      </c>
      <c r="F412" s="4" t="n">
        <v>0</v>
      </c>
      <c r="G412" s="4" t="n">
        <v>0</v>
      </c>
      <c r="H412" s="4" t="n">
        <v>0</v>
      </c>
      <c r="I412" s="4" t="n">
        <v>0</v>
      </c>
      <c r="J412" s="4" t="n">
        <v>0</v>
      </c>
      <c r="K412" s="4" t="inlineStr">
        <is>
          <t>Inherited scoped adjudication; see source level and lot caveats</t>
        </is>
      </c>
      <c r="L412" s="4" t="inlineStr">
        <is>
          <t>Uses raw EEG recorded from ASD and TD children during upright/inverted face-processing tasks and evaluates lightweight one-dimensional CNN architectures for classification. Accessible material does not establish prospective enrollment, independent external validation, site-held-out robustness or formal XAI.</t>
        </is>
      </c>
      <c r="M412" s="4" t="inlineStr">
        <is>
          <t>https://doi.org/10.1016/j.bspc.2026.109655</t>
        </is>
      </c>
      <c r="N412" s="4" t="n"/>
      <c r="O412" s="4" t="n"/>
      <c r="P412" s="4" t="n"/>
      <c r="Q412" s="12" t="n"/>
      <c r="R412" s="41" t="n"/>
      <c r="S412" s="4" t="inlineStr">
        <is>
          <t>0 = no reported evidence in material assessed; blank = not coded/unknown; neither proves absence</t>
        </is>
      </c>
      <c r="T412" s="4">
        <f>IF(COUNTIFS('ESTUDIOS'!$A$2:$A$455,$A412,'ESTUDIOS'!$I$2:$I$455,"")&gt;0,"",INDEX('ESTUDIOS'!$I$2:$I$455,MATCH($A412,'ESTUDIOS'!$A$2:$A$455,0)))</f>
        <v/>
      </c>
    </row>
    <row r="413" ht="99" customHeight="1">
      <c r="A413" s="4" t="inlineStr">
        <is>
          <t>new_298</t>
        </is>
      </c>
      <c r="B413" s="4" t="inlineStr">
        <is>
          <t>Update</t>
        </is>
      </c>
      <c r="C413" s="4" t="inlineStr">
        <is>
          <t>Effects of conversational AI-enhanced peer-mediated intervention by peers with intellectual disabilities on conversational skills in children with ASD</t>
        </is>
      </c>
      <c r="D413" s="4" t="n">
        <v>0</v>
      </c>
      <c r="E413" s="4" t="n">
        <v>0</v>
      </c>
      <c r="F413" s="4" t="n">
        <v>0</v>
      </c>
      <c r="G413" s="4" t="n">
        <v>1</v>
      </c>
      <c r="H413" s="4" t="n">
        <v>0</v>
      </c>
      <c r="I413" s="4" t="n">
        <v>0</v>
      </c>
      <c r="J413" s="4" t="n">
        <v>0</v>
      </c>
      <c r="K413" s="4" t="inlineStr">
        <is>
          <t>Inherited scoped adjudication; see source level and lot caveats</t>
        </is>
      </c>
      <c r="L413" s="4" t="inlineStr">
        <is>
          <t>A multiple-probe/alternating-treatment intervention compares conversational-AI-enhanced peer mediation with peer-mediated instruction alone and reports gains in initiations, responses, lexical diversity and generalization. The underlying conversational model is not technically specified in the accessible material; the small single-case design limits generalizability despite real intervention deployment.</t>
        </is>
      </c>
      <c r="M413" s="4" t="inlineStr">
        <is>
          <t>https://doi.org/10.1016/j.ridd.2026.105249</t>
        </is>
      </c>
      <c r="N413" s="4" t="n"/>
      <c r="O413" s="4" t="n"/>
      <c r="P413" s="4" t="n"/>
      <c r="Q413" s="12" t="n"/>
      <c r="R413" s="41" t="n"/>
      <c r="S413" s="4" t="inlineStr">
        <is>
          <t>0 = no reported evidence in material assessed; blank = not coded/unknown; neither proves absence</t>
        </is>
      </c>
      <c r="T413" s="4">
        <f>IF(COUNTIFS('ESTUDIOS'!$A$2:$A$455,$A413,'ESTUDIOS'!$I$2:$I$455,"")&gt;0,"",INDEX('ESTUDIOS'!$I$2:$I$455,MATCH($A413,'ESTUDIOS'!$A$2:$A$455,0)))</f>
        <v/>
      </c>
    </row>
    <row r="414" ht="99" customHeight="1">
      <c r="A414" s="4" t="inlineStr">
        <is>
          <t>new_299</t>
        </is>
      </c>
      <c r="B414" s="4" t="inlineStr">
        <is>
          <t>Update</t>
        </is>
      </c>
      <c r="C414" s="4" t="inlineStr">
        <is>
          <t>Decoding the Neural Basis of Sensory Phenotypes in Autism</t>
        </is>
      </c>
      <c r="D414" s="4" t="n">
        <v>0</v>
      </c>
      <c r="E414" s="4" t="n">
        <v>1</v>
      </c>
      <c r="F414" s="4" t="n">
        <v>0</v>
      </c>
      <c r="G414" s="4" t="n">
        <v>0</v>
      </c>
      <c r="H414" s="4" t="n">
        <v>0</v>
      </c>
      <c r="I414" s="4" t="n">
        <v>1</v>
      </c>
      <c r="J414" s="4" t="n">
        <v>0</v>
      </c>
      <c r="K414" s="4" t="inlineStr">
        <is>
          <t>Inherited scoped adjudication; see source level and lot caveats</t>
        </is>
      </c>
      <c r="L414" s="4" t="inlineStr">
        <is>
          <t>Uses POND Network data to derive sensory phenotypes from Short Sensory Profile scores and classify phenotype pairs using graph-theoretical rs-fMRI features and linear SVC. POND is multisite, but no site-held-out generalization analysis is reported. SSP is used to define labels rather than fused as a second model-input modality, so multisource integration is not counted.</t>
        </is>
      </c>
      <c r="M414" s="4" t="inlineStr">
        <is>
          <t>https://doi.org/10.1016/j.bpsc.2025.12.013</t>
        </is>
      </c>
      <c r="N414" s="4" t="n"/>
      <c r="O414" s="4" t="n"/>
      <c r="P414" s="4" t="n"/>
      <c r="Q414" s="12" t="n"/>
      <c r="R414" s="41" t="n"/>
      <c r="S414" s="4" t="inlineStr">
        <is>
          <t>0 = no reported evidence in material assessed; blank = not coded/unknown; neither proves absence</t>
        </is>
      </c>
      <c r="T414" s="4">
        <f>IF(COUNTIFS('ESTUDIOS'!$A$2:$A$455,$A414,'ESTUDIOS'!$I$2:$I$455,"")&gt;0,"",INDEX('ESTUDIOS'!$I$2:$I$455,MATCH($A414,'ESTUDIOS'!$A$2:$A$455,0)))</f>
        <v/>
      </c>
    </row>
    <row r="415" ht="86" customHeight="1">
      <c r="A415" s="4" t="inlineStr">
        <is>
          <t>new_306</t>
        </is>
      </c>
      <c r="B415" s="4" t="inlineStr">
        <is>
          <t>Update</t>
        </is>
      </c>
      <c r="C415" s="4" t="inlineStr">
        <is>
          <t>Hybrid ensemble learning for Autism Spectrum Disorder screening using eye-tracking scanpath</t>
        </is>
      </c>
      <c r="D415" s="4" t="n">
        <v>0</v>
      </c>
      <c r="E415" s="4" t="n">
        <v>0</v>
      </c>
      <c r="F415" s="4" t="n">
        <v>0</v>
      </c>
      <c r="G415" s="4" t="n">
        <v>0</v>
      </c>
      <c r="H415" s="4" t="n">
        <v>0</v>
      </c>
      <c r="I415" s="4" t="n">
        <v>1</v>
      </c>
      <c r="J415" s="4" t="n">
        <v>0</v>
      </c>
      <c r="K415" s="4" t="inlineStr">
        <is>
          <t>Inherited scoped adjudication; see source level and lot caveats</t>
        </is>
      </c>
      <c r="L415" s="4" t="inlineStr">
        <is>
          <t>Benchmarks bagging, boosting and stacking on eye-tracking scanpaths; stacking reaches about 0.96 accuracy and the article explicitly argues that raw scanpath representation improves interpretability. Very small benchmark sample and internal fivefold CV; the interpretability claim lacks a formal attribution method and is therefore coded only as partial XAI.</t>
        </is>
      </c>
      <c r="M415" s="4" t="inlineStr">
        <is>
          <t>https://doi.org/10.1016/j.array.2026.100753</t>
        </is>
      </c>
      <c r="N415" s="4" t="n"/>
      <c r="O415" s="4" t="n"/>
      <c r="P415" s="4" t="n"/>
      <c r="Q415" s="12" t="n"/>
      <c r="R415" s="41" t="n"/>
      <c r="S415" s="4" t="inlineStr">
        <is>
          <t>0 = no reported evidence in material assessed; blank = not coded/unknown; neither proves absence</t>
        </is>
      </c>
      <c r="T415" s="4">
        <f>IF(COUNTIFS('ESTUDIOS'!$A$2:$A$455,$A415,'ESTUDIOS'!$I$2:$I$455,"")&gt;0,"",INDEX('ESTUDIOS'!$I$2:$I$455,MATCH($A415,'ESTUDIOS'!$A$2:$A$455,0)))</f>
        <v/>
      </c>
    </row>
    <row r="416" ht="99" customHeight="1">
      <c r="A416" s="4" t="inlineStr">
        <is>
          <t>new_316</t>
        </is>
      </c>
      <c r="B416" s="4" t="inlineStr">
        <is>
          <t>Update</t>
        </is>
      </c>
      <c r="C416" s="4" t="inlineStr">
        <is>
          <t>Identifying Immune-related Molecular Biomarkers in Autism Spectrum Disorder Using Data-independent Acquisition Proteomics and Machine Learning.</t>
        </is>
      </c>
      <c r="D416" s="4" t="n">
        <v>0</v>
      </c>
      <c r="E416" s="4" t="n">
        <v>0</v>
      </c>
      <c r="F416" s="4" t="n">
        <v>0</v>
      </c>
      <c r="G416" s="4" t="n">
        <v>0</v>
      </c>
      <c r="H416" s="4" t="n">
        <v>0</v>
      </c>
      <c r="I416" s="4" t="n">
        <v>1</v>
      </c>
      <c r="J416" s="4" t="n">
        <v>0</v>
      </c>
      <c r="K416" s="4" t="inlineStr">
        <is>
          <t>Inherited scoped adjudication; see source level and lot caveats</t>
        </is>
      </c>
      <c r="L416" s="4" t="inlineStr">
        <is>
          <t>Serum proteomics in ASD and age-matched controls yielded an immune-related protein panel modeled with logistic regression; the biomarker panel is also checked using an orthogonal ELISA assay. Accessible material does not establish that ELISA validation used an independent cohort, so external validation is not counted. The compact biomarker panel supports partial interpretability.</t>
        </is>
      </c>
      <c r="M416" s="4" t="inlineStr">
        <is>
          <t>https://doi.org/10.3791/68949</t>
        </is>
      </c>
      <c r="N416" s="4" t="n"/>
      <c r="O416" s="4" t="n"/>
      <c r="P416" s="4" t="n"/>
      <c r="Q416" s="12" t="n"/>
      <c r="R416" s="41" t="n"/>
      <c r="S416" s="4" t="inlineStr">
        <is>
          <t>0 = no reported evidence in material assessed; blank = not coded/unknown; neither proves absence</t>
        </is>
      </c>
      <c r="T416" s="4">
        <f>IF(COUNTIFS('ESTUDIOS'!$A$2:$A$455,$A416,'ESTUDIOS'!$I$2:$I$455,"")&gt;0,"",INDEX('ESTUDIOS'!$I$2:$I$455,MATCH($A416,'ESTUDIOS'!$A$2:$A$455,0)))</f>
        <v/>
      </c>
    </row>
    <row r="417" ht="86" customHeight="1">
      <c r="A417" s="4" t="inlineStr">
        <is>
          <t>new_319</t>
        </is>
      </c>
      <c r="B417" s="4" t="inlineStr">
        <is>
          <t>Update</t>
        </is>
      </c>
      <c r="C417" s="4" t="inlineStr">
        <is>
          <t>Enhanced detection of autism spectrum disorder through neuroimaging data using stack classifier ensembled with modified VGG-19</t>
        </is>
      </c>
      <c r="D417" s="4" t="n">
        <v>0</v>
      </c>
      <c r="E417" s="4" t="n">
        <v>1</v>
      </c>
      <c r="F417" s="4" t="n">
        <v>0</v>
      </c>
      <c r="G417" s="4" t="n">
        <v>0</v>
      </c>
      <c r="H417" s="4" t="n">
        <v>0</v>
      </c>
      <c r="I417" s="4" t="n">
        <v>0</v>
      </c>
      <c r="J417" s="4" t="n">
        <v>1</v>
      </c>
      <c r="K417" s="4" t="inlineStr">
        <is>
          <t>Inherited scoped adjudication; see source level and lot caveats</t>
        </is>
      </c>
      <c r="L417" s="4" t="inlineStr">
        <is>
          <t>Combines structural and functional MRI from ABIDE I and II with conventional classifiers, stacking and modified VGG-19 features; performance is reported separately for both datasets. ABIDE is multisite and the model is multimodal, but the accessible description does not establish site-held-out robustness or a strict independent external-validation design.</t>
        </is>
      </c>
      <c r="M417" s="4" t="inlineStr">
        <is>
          <t>https://doi.org/10.1177/02841851251333974</t>
        </is>
      </c>
      <c r="N417" s="4" t="n"/>
      <c r="O417" s="4" t="n"/>
      <c r="P417" s="4" t="n"/>
      <c r="Q417" s="12" t="n"/>
      <c r="R417" s="41" t="n"/>
      <c r="S417" s="4" t="inlineStr">
        <is>
          <t>0 = no reported evidence in material assessed; blank = not coded/unknown; neither proves absence</t>
        </is>
      </c>
      <c r="T417" s="4">
        <f>IF(COUNTIFS('ESTUDIOS'!$A$2:$A$455,$A417,'ESTUDIOS'!$I$2:$I$455,"")&gt;0,"",INDEX('ESTUDIOS'!$I$2:$I$455,MATCH($A417,'ESTUDIOS'!$A$2:$A$455,0)))</f>
        <v/>
      </c>
    </row>
    <row r="418" ht="99" customHeight="1">
      <c r="A418" s="4" t="inlineStr">
        <is>
          <t>new_323</t>
        </is>
      </c>
      <c r="B418" s="4" t="inlineStr">
        <is>
          <t>Update</t>
        </is>
      </c>
      <c r="C418" s="4" t="inlineStr">
        <is>
          <t>Energy-Efficient EEG-Based Autism Spectrum Disorder Detection Using a Hyperbolic Attention Neural Network</t>
        </is>
      </c>
      <c r="D418" s="4" t="n">
        <v>0</v>
      </c>
      <c r="E418" s="4" t="n">
        <v>0</v>
      </c>
      <c r="F418" s="4" t="n">
        <v>0</v>
      </c>
      <c r="G418" s="4" t="n">
        <v>0</v>
      </c>
      <c r="H418" s="4" t="n">
        <v>0</v>
      </c>
      <c r="I418" s="4" t="n">
        <v>0</v>
      </c>
      <c r="J418" s="4" t="n">
        <v>0</v>
      </c>
      <c r="K418" s="4" t="inlineStr">
        <is>
          <t>Inherited scoped adjudication; see source level and lot caveats</t>
        </is>
      </c>
      <c r="L418" s="4" t="inlineStr">
        <is>
          <t>EEG is denoised and transformed with DT-DWT, features are selected with Parrot Optimization, and HyperCrossNet with Pied Kingfisher Optimization is used for ASD classification; the abstract reports 99.92% accuracy. Public benchmark evaluation with extremely high performance; no independent external cohort, site-held-out analysis, prospective evaluation, or formal XAI was established in the accessible evidence.</t>
        </is>
      </c>
      <c r="M418" s="4" t="inlineStr">
        <is>
          <t>https://doi.org/10.1002/dneu.70011</t>
        </is>
      </c>
      <c r="N418" s="4" t="n"/>
      <c r="O418" s="4" t="n"/>
      <c r="P418" s="4" t="n"/>
      <c r="Q418" s="12" t="n"/>
      <c r="R418" s="41" t="n"/>
      <c r="S418" s="4" t="inlineStr">
        <is>
          <t>0 = no reported evidence in material assessed; blank = not coded/unknown; neither proves absence</t>
        </is>
      </c>
      <c r="T418" s="4">
        <f>IF(COUNTIFS('ESTUDIOS'!$A$2:$A$455,$A418,'ESTUDIOS'!$I$2:$I$455,"")&gt;0,"",INDEX('ESTUDIOS'!$I$2:$I$455,MATCH($A418,'ESTUDIOS'!$A$2:$A$455,0)))</f>
        <v/>
      </c>
    </row>
    <row r="419" ht="86" customHeight="1">
      <c r="A419" s="4" t="inlineStr">
        <is>
          <t>new_326</t>
        </is>
      </c>
      <c r="B419" s="4" t="inlineStr">
        <is>
          <t>Update</t>
        </is>
      </c>
      <c r="C419" s="4" t="inlineStr">
        <is>
          <t>Classification of Autism Spectrum Disorder Using Edge-Weight Enhanced Graph Attention Network With Multiple Features of Resting-State fNIRS Signals</t>
        </is>
      </c>
      <c r="D419" s="4" t="n">
        <v>0</v>
      </c>
      <c r="E419" s="4" t="n">
        <v>0</v>
      </c>
      <c r="F419" s="4" t="n">
        <v>0</v>
      </c>
      <c r="G419" s="4" t="n">
        <v>0</v>
      </c>
      <c r="H419" s="4" t="n">
        <v>0</v>
      </c>
      <c r="I419" s="4" t="n">
        <v>0</v>
      </c>
      <c r="J419" s="4" t="n">
        <v>0</v>
      </c>
      <c r="K419" s="4" t="inlineStr">
        <is>
          <t>Inherited scoped adjudication; see source level and lot caveats</t>
        </is>
      </c>
      <c r="L419" s="4" t="inlineStr">
        <is>
          <t>Resting-state fNIRS from 22 TD and 25 ASD children was represented with HbO/Hb node and edge features and classified using EWE-GAT; reported accuracy was 97.92%. Very small single cohort; no independent external validation, prospective workflow evaluation, or explicit site-robustness analysis was established.</t>
        </is>
      </c>
      <c r="M419" s="4" t="inlineStr">
        <is>
          <t>https://doi.org/10.1002/jbio.202500138</t>
        </is>
      </c>
      <c r="N419" s="4" t="n"/>
      <c r="O419" s="4" t="n"/>
      <c r="P419" s="4" t="n"/>
      <c r="Q419" s="12" t="n"/>
      <c r="R419" s="41" t="n"/>
      <c r="S419" s="4" t="inlineStr">
        <is>
          <t>0 = no reported evidence in material assessed; blank = not coded/unknown; neither proves absence</t>
        </is>
      </c>
      <c r="T419" s="4">
        <f>IF(COUNTIFS('ESTUDIOS'!$A$2:$A$455,$A419,'ESTUDIOS'!$I$2:$I$455,"")&gt;0,"",INDEX('ESTUDIOS'!$I$2:$I$455,MATCH($A419,'ESTUDIOS'!$A$2:$A$455,0)))</f>
        <v/>
      </c>
    </row>
    <row r="420" ht="112" customHeight="1">
      <c r="A420" s="4" t="inlineStr">
        <is>
          <t>new_334</t>
        </is>
      </c>
      <c r="B420" s="4" t="inlineStr">
        <is>
          <t>Update</t>
        </is>
      </c>
      <c r="C420" s="4" t="inlineStr">
        <is>
          <t>Constructing a Predictive Model for Children with Autism Spectrum Disorder Based on Whole-Brain MR Radiomics: A Machine Learning Study</t>
        </is>
      </c>
      <c r="D420" s="4" t="n">
        <v>1</v>
      </c>
      <c r="E420" s="4" t="n">
        <v>1</v>
      </c>
      <c r="F420" s="4" t="n">
        <v>0</v>
      </c>
      <c r="G420" s="4" t="n">
        <v>0</v>
      </c>
      <c r="H420" s="4" t="n">
        <v>0</v>
      </c>
      <c r="I420" s="4" t="n">
        <v>1</v>
      </c>
      <c r="J420" s="4" t="n">
        <v>1</v>
      </c>
      <c r="K420" s="4" t="inlineStr">
        <is>
          <t>Inherited scoped adjudication; see source level and lot caveats</t>
        </is>
      </c>
      <c r="L420" s="4" t="inlineStr">
        <is>
          <t>Whole-brain structural-MRI radiomics and VIQ were modeled in 223 ABIDE participants, with an independent external set of 87 participants from Georgetown and Miami; the decision-tree joint model achieved AUCs 0.87/0.84/0.83 in training/test/external sets. External validation is present, but the accessible report does not describe an explicit leave-site-out robustness design. The radiomics signature and VIQ provide feature-level interpretability rather than a formal post-hoc XAI method.</t>
        </is>
      </c>
      <c r="M420" s="4" t="inlineStr">
        <is>
          <t>https://doi.org/10.3174/ajnr.a8939</t>
        </is>
      </c>
      <c r="N420" s="4" t="n"/>
      <c r="O420" s="4" t="n"/>
      <c r="P420" s="4" t="n"/>
      <c r="Q420" s="12" t="n"/>
      <c r="R420" s="41" t="n"/>
      <c r="S420" s="4" t="inlineStr">
        <is>
          <t>0 = no reported evidence in material assessed; blank = not coded/unknown; neither proves absence</t>
        </is>
      </c>
      <c r="T420" s="4">
        <f>IF(COUNTIFS('ESTUDIOS'!$A$2:$A$455,$A420,'ESTUDIOS'!$I$2:$I$455,"")&gt;0,"",INDEX('ESTUDIOS'!$I$2:$I$455,MATCH($A420,'ESTUDIOS'!$A$2:$A$455,0)))</f>
        <v/>
      </c>
    </row>
    <row r="421" ht="86" customHeight="1">
      <c r="A421" s="4" t="inlineStr">
        <is>
          <t>new_342</t>
        </is>
      </c>
      <c r="B421" s="4" t="inlineStr">
        <is>
          <t>Update</t>
        </is>
      </c>
      <c r="C421" s="4" t="inlineStr">
        <is>
          <t>Auditory brainstem response abnormalities in autism spectrum disorder: A deep learning approach to characterize time-frequency signatures</t>
        </is>
      </c>
      <c r="D421" s="4" t="n">
        <v>0</v>
      </c>
      <c r="E421" s="4" t="n">
        <v>0</v>
      </c>
      <c r="F421" s="4" t="n">
        <v>0</v>
      </c>
      <c r="G421" s="4" t="n">
        <v>0</v>
      </c>
      <c r="H421" s="4" t="n">
        <v>1</v>
      </c>
      <c r="I421" s="4" t="n">
        <v>0</v>
      </c>
      <c r="J421" s="4" t="n">
        <v>0</v>
      </c>
      <c r="K421" s="4" t="inlineStr">
        <is>
          <t>Inherited scoped adjudication; see source level and lot caveats</t>
        </is>
      </c>
      <c r="L421" s="4" t="inlineStr">
        <is>
          <t>A dual-branch TF-TBN combines raw ABR waveforms and CWT spectrograms from 1,209 recordings; reported accuracy was 96.62%, and interpretability analysis linked decisions to wave III/V and interpeak latency abnormalities. No independent external cohort, site-held-out evaluation, or prospective clinical deployment was identified in the accessible material.</t>
        </is>
      </c>
      <c r="M421" s="4" t="inlineStr">
        <is>
          <t>https://doi.org/10.1016/j.heares.2026.109654</t>
        </is>
      </c>
      <c r="N421" s="4" t="n"/>
      <c r="O421" s="4" t="n"/>
      <c r="P421" s="4" t="n"/>
      <c r="Q421" s="12" t="n"/>
      <c r="R421" s="41" t="n"/>
      <c r="S421" s="4" t="inlineStr">
        <is>
          <t>0 = no reported evidence in material assessed; blank = not coded/unknown; neither proves absence</t>
        </is>
      </c>
      <c r="T421" s="4">
        <f>IF(COUNTIFS('ESTUDIOS'!$A$2:$A$455,$A421,'ESTUDIOS'!$I$2:$I$455,"")&gt;0,"",INDEX('ESTUDIOS'!$I$2:$I$455,MATCH($A421,'ESTUDIOS'!$A$2:$A$455,0)))</f>
        <v/>
      </c>
    </row>
    <row r="422" ht="99" customHeight="1">
      <c r="A422" s="4" t="inlineStr">
        <is>
          <t>new_343</t>
        </is>
      </c>
      <c r="B422" s="4" t="inlineStr">
        <is>
          <t>Update</t>
        </is>
      </c>
      <c r="C422" s="4" t="inlineStr">
        <is>
          <t>An explainable machine unlearning algorithm framework for early detection of autism spectrum disorder and brain disabilities in newborns</t>
        </is>
      </c>
      <c r="D422" s="4" t="n">
        <v>0</v>
      </c>
      <c r="E422" s="4" t="n">
        <v>0</v>
      </c>
      <c r="F422" s="4" t="n">
        <v>0</v>
      </c>
      <c r="G422" s="4" t="n">
        <v>0</v>
      </c>
      <c r="H422" s="4" t="n">
        <v>1</v>
      </c>
      <c r="I422" s="4" t="n">
        <v>0</v>
      </c>
      <c r="J422" s="4" t="n">
        <v>1</v>
      </c>
      <c r="K422" s="4" t="inlineStr">
        <is>
          <t>Inherited scoped adjudication; see source level and lot caveats</t>
        </is>
      </c>
      <c r="L422" s="4" t="inlineStr">
        <is>
          <t>MUXAI-ASDBD combines CNN-based modeling, partition-oriented explainability and machine unlearning across screening, MRI and EEG benchmark datasets; the paper reports strong classification performance. Benchmark-based evaluation across heterogeneous tasks/datasets does not establish prospective clinical deployment or an independent external/site-held-out validation protocol.</t>
        </is>
      </c>
      <c r="M422" s="4" t="inlineStr">
        <is>
          <t>https://doi.org/10.1016/j.aej.2026.04.002</t>
        </is>
      </c>
      <c r="N422" s="4" t="n"/>
      <c r="O422" s="4" t="n"/>
      <c r="P422" s="4" t="n"/>
      <c r="Q422" s="12" t="n"/>
      <c r="R422" s="41" t="n"/>
      <c r="S422" s="4" t="inlineStr">
        <is>
          <t>0 = no reported evidence in material assessed; blank = not coded/unknown; neither proves absence</t>
        </is>
      </c>
      <c r="T422" s="4">
        <f>IF(COUNTIFS('ESTUDIOS'!$A$2:$A$455,$A422,'ESTUDIOS'!$I$2:$I$455,"")&gt;0,"",INDEX('ESTUDIOS'!$I$2:$I$455,MATCH($A422,'ESTUDIOS'!$A$2:$A$455,0)))</f>
        <v/>
      </c>
    </row>
    <row r="423" ht="99" customHeight="1">
      <c r="A423" s="4" t="inlineStr">
        <is>
          <t>new_347</t>
        </is>
      </c>
      <c r="B423" s="4" t="inlineStr">
        <is>
          <t>Update</t>
        </is>
      </c>
      <c r="C423" s="4" t="inlineStr">
        <is>
          <t>Vision transformer and complex network analysis for autism spectrum disorder classification in T1 structural MRI</t>
        </is>
      </c>
      <c r="D423" s="4" t="n">
        <v>0</v>
      </c>
      <c r="E423" s="4" t="n">
        <v>1</v>
      </c>
      <c r="F423" s="4" t="n">
        <v>0</v>
      </c>
      <c r="G423" s="4" t="n">
        <v>0</v>
      </c>
      <c r="H423" s="4" t="n">
        <v>0</v>
      </c>
      <c r="I423" s="4" t="n">
        <v>0</v>
      </c>
      <c r="J423" s="4" t="n">
        <v>0</v>
      </c>
      <c r="K423" s="4" t="inlineStr">
        <is>
          <t>Inherited scoped adjudication; see source level and lot caveats</t>
        </is>
      </c>
      <c r="L423" s="4" t="inlineStr">
        <is>
          <t>T1 structural MRI from ABIDE was analyzed using complex-network analysis and Vision Transformer features across multiple federated combinations; the CNA(KNN)-ViT(NN) configuration reported accuracy 0.951 and AUC 0.98. ABIDE is multisite, but the reported evaluation is internal five-fold validation rather than an explicit site-held-out or independent external robustness test.</t>
        </is>
      </c>
      <c r="M423" s="4" t="inlineStr">
        <is>
          <t>https://doi.org/10.1007/s11604-025-01832-3</t>
        </is>
      </c>
      <c r="N423" s="4" t="n"/>
      <c r="O423" s="4" t="n"/>
      <c r="P423" s="4" t="n"/>
      <c r="Q423" s="12" t="n"/>
      <c r="R423" s="41" t="n"/>
      <c r="S423" s="4" t="inlineStr">
        <is>
          <t>0 = no reported evidence in material assessed; blank = not coded/unknown; neither proves absence</t>
        </is>
      </c>
      <c r="T423" s="4">
        <f>IF(COUNTIFS('ESTUDIOS'!$A$2:$A$455,$A423,'ESTUDIOS'!$I$2:$I$455,"")&gt;0,"",INDEX('ESTUDIOS'!$I$2:$I$455,MATCH($A423,'ESTUDIOS'!$A$2:$A$455,0)))</f>
        <v/>
      </c>
    </row>
    <row r="424" ht="86" customHeight="1">
      <c r="A424" s="4" t="inlineStr">
        <is>
          <t>new_349</t>
        </is>
      </c>
      <c r="B424" s="4" t="inlineStr">
        <is>
          <t>Update</t>
        </is>
      </c>
      <c r="C424" s="4" t="inlineStr">
        <is>
          <t>Dominant cross-frequency analysis-based early diagnosis of Autism Spectrum Disorder in pediatrics using FRHIS and DSTCNN</t>
        </is>
      </c>
      <c r="D424" s="4" t="n">
        <v>0</v>
      </c>
      <c r="E424" s="4" t="n">
        <v>0</v>
      </c>
      <c r="F424" s="4" t="n">
        <v>0</v>
      </c>
      <c r="G424" s="4" t="n">
        <v>0</v>
      </c>
      <c r="H424" s="4" t="n">
        <v>0</v>
      </c>
      <c r="I424" s="4" t="n">
        <v>0</v>
      </c>
      <c r="J424" s="4" t="n">
        <v>0</v>
      </c>
      <c r="K424" s="4" t="inlineStr">
        <is>
          <t>Inherited scoped adjudication; see source level and lot caveats</t>
        </is>
      </c>
      <c r="L424" s="4" t="inlineStr">
        <is>
          <t>The study applies dominant cross-frequency EEG analysis, FRHIS/CRBM-based feature processing and a DSTCNN classifier for pediatric ASD; the abstract reports 99.03% accuracy. The very high reported performance is not accompanied by an independent external cohort, prospective evaluation, or explicit cross-site robustness analysis in the accessible source.</t>
        </is>
      </c>
      <c r="M424" s="4" t="inlineStr">
        <is>
          <t>https://doi.org/10.1016/j.pscychresns.2026.112270</t>
        </is>
      </c>
      <c r="N424" s="4" t="n"/>
      <c r="O424" s="4" t="n"/>
      <c r="P424" s="4" t="n"/>
      <c r="Q424" s="12" t="n"/>
      <c r="R424" s="41" t="n"/>
      <c r="S424" s="4" t="inlineStr">
        <is>
          <t>0 = no reported evidence in material assessed; blank = not coded/unknown; neither proves absence</t>
        </is>
      </c>
      <c r="T424" s="4">
        <f>IF(COUNTIFS('ESTUDIOS'!$A$2:$A$455,$A424,'ESTUDIOS'!$I$2:$I$455,"")&gt;0,"",INDEX('ESTUDIOS'!$I$2:$I$455,MATCH($A424,'ESTUDIOS'!$A$2:$A$455,0)))</f>
        <v/>
      </c>
    </row>
    <row r="425" ht="86" customHeight="1">
      <c r="A425" s="4" t="inlineStr">
        <is>
          <t>new_354</t>
        </is>
      </c>
      <c r="B425" s="4" t="inlineStr">
        <is>
          <t>Update</t>
        </is>
      </c>
      <c r="C425" s="4" t="inlineStr">
        <is>
          <t>Contrastive diffusion adaptation network with rs-fMRI for domain adaptation classification of autism spectrum disorder</t>
        </is>
      </c>
      <c r="D425" s="4" t="n">
        <v>0</v>
      </c>
      <c r="E425" s="4" t="n">
        <v>1</v>
      </c>
      <c r="F425" s="4" t="n">
        <v>1</v>
      </c>
      <c r="G425" s="4" t="n">
        <v>0</v>
      </c>
      <c r="H425" s="4" t="n">
        <v>1</v>
      </c>
      <c r="I425" s="4" t="n">
        <v>0</v>
      </c>
      <c r="J425" s="4" t="n">
        <v>0</v>
      </c>
      <c r="K425" s="4" t="inlineStr">
        <is>
          <t>Inherited scoped adjudication; see source level and lot caveats</t>
        </is>
      </c>
      <c r="L425" s="4" t="inlineStr">
        <is>
          <t>CoNA-Net combines contrastive graph representation learning, diffusion-based augmentation and brain-node attention to address domain shift across ABIDE sites and to identify influential brain regions. Cross-site/domain-adaptation testing supports robustness but is not equivalent to an independent prospective external clinical validation cohort.</t>
        </is>
      </c>
      <c r="M425" s="4" t="inlineStr">
        <is>
          <t>https://doi.org/10.1016/j.asoc.2026.115959</t>
        </is>
      </c>
      <c r="N425" s="4" t="n"/>
      <c r="O425" s="4" t="n"/>
      <c r="P425" s="4" t="n"/>
      <c r="Q425" s="12" t="n"/>
      <c r="R425" s="41" t="n"/>
      <c r="S425" s="4" t="inlineStr">
        <is>
          <t>0 = no reported evidence in material assessed; blank = not coded/unknown; neither proves absence</t>
        </is>
      </c>
      <c r="T425" s="4">
        <f>IF(COUNTIFS('ESTUDIOS'!$A$2:$A$455,$A425,'ESTUDIOS'!$I$2:$I$455,"")&gt;0,"",INDEX('ESTUDIOS'!$I$2:$I$455,MATCH($A425,'ESTUDIOS'!$A$2:$A$455,0)))</f>
        <v/>
      </c>
    </row>
    <row r="426" ht="86" customHeight="1">
      <c r="A426" s="4" t="inlineStr">
        <is>
          <t>new_355</t>
        </is>
      </c>
      <c r="B426" s="4" t="inlineStr">
        <is>
          <t>Update</t>
        </is>
      </c>
      <c r="C426" s="4" t="inlineStr">
        <is>
          <t>Hybrid HOG–ResNet50V2 framework for early autism spectrum disorder detection from facial images</t>
        </is>
      </c>
      <c r="D426" s="4" t="n">
        <v>0</v>
      </c>
      <c r="E426" s="4" t="n">
        <v>0</v>
      </c>
      <c r="F426" s="4" t="n">
        <v>0</v>
      </c>
      <c r="G426" s="4" t="n">
        <v>0</v>
      </c>
      <c r="H426" s="4" t="n">
        <v>0</v>
      </c>
      <c r="I426" s="4" t="n">
        <v>0</v>
      </c>
      <c r="J426" s="4" t="n">
        <v>0</v>
      </c>
      <c r="K426" s="4" t="inlineStr">
        <is>
          <t>Inherited scoped adjudication; see source level and lot caveats</t>
        </is>
      </c>
      <c r="L426" s="4" t="inlineStr">
        <is>
          <t>The study combines HOG descriptors with ResNet50V2 transfer learning for ASD classification from facial images. The accessible material does not establish independent external validation, prospective deployment, cross-site robustness, or an explicit XAI method.</t>
        </is>
      </c>
      <c r="M426" s="4" t="inlineStr">
        <is>
          <t>https://doi.org/10.1016/j.array.2026.100936</t>
        </is>
      </c>
      <c r="N426" s="4" t="n"/>
      <c r="O426" s="4" t="n"/>
      <c r="P426" s="4" t="n"/>
      <c r="Q426" s="12" t="n"/>
      <c r="R426" s="41" t="n"/>
      <c r="S426" s="4" t="inlineStr">
        <is>
          <t>0 = no reported evidence in material assessed; blank = not coded/unknown; neither proves absence</t>
        </is>
      </c>
      <c r="T426" s="4">
        <f>IF(COUNTIFS('ESTUDIOS'!$A$2:$A$455,$A426,'ESTUDIOS'!$I$2:$I$455,"")&gt;0,"",INDEX('ESTUDIOS'!$I$2:$I$455,MATCH($A426,'ESTUDIOS'!$A$2:$A$455,0)))</f>
        <v/>
      </c>
    </row>
    <row r="427" ht="112" customHeight="1">
      <c r="A427" s="4" t="inlineStr">
        <is>
          <t>new_364</t>
        </is>
      </c>
      <c r="B427" s="4" t="inlineStr">
        <is>
          <t>Update</t>
        </is>
      </c>
      <c r="C427" s="4" t="inlineStr">
        <is>
          <t>Smart detection of autism spectrum disorder using optimized deep learner for transforming early diagnosis and intervention</t>
        </is>
      </c>
      <c r="D427" s="4" t="n">
        <v>0</v>
      </c>
      <c r="E427" s="4" t="n">
        <v>0</v>
      </c>
      <c r="F427" s="4" t="n">
        <v>0</v>
      </c>
      <c r="G427" s="4" t="n">
        <v>0</v>
      </c>
      <c r="H427" s="4" t="n">
        <v>0</v>
      </c>
      <c r="I427" s="4" t="n">
        <v>0</v>
      </c>
      <c r="J427" s="4" t="n">
        <v>0</v>
      </c>
      <c r="K427" s="4" t="inlineStr">
        <is>
          <t>Inherited scoped adjudication; see source level and lot caveats</t>
        </is>
      </c>
      <c r="L427" s="4" t="inlineStr">
        <is>
          <t>The full text describes experiments on the Reddit Mental Health Dataset and ASD Screening Dataset, including stratified 70/15/15 train/validation/test splits and reported performance near 99%. Material reporting contradiction: the Methods/Results explicitly analyze two datasets, while the Data Availability statement says no datasets were generated or analysed. Inclusion is retained provisionally, but this requires high-priority human verification before final synthesis.</t>
        </is>
      </c>
      <c r="M427" s="4" t="inlineStr">
        <is>
          <t>https://doi.org/10.1007/s12065-026-01162-x</t>
        </is>
      </c>
      <c r="N427" s="4" t="n"/>
      <c r="O427" s="4" t="n"/>
      <c r="P427" s="4" t="n"/>
      <c r="Q427" s="12" t="n"/>
      <c r="R427" s="41" t="n"/>
      <c r="S427" s="4" t="inlineStr">
        <is>
          <t>0 = no reported evidence in material assessed; blank = not coded/unknown; neither proves absence</t>
        </is>
      </c>
      <c r="T427" s="4">
        <f>IF(COUNTIFS('ESTUDIOS'!$A$2:$A$455,$A427,'ESTUDIOS'!$I$2:$I$455,"")&gt;0,"",INDEX('ESTUDIOS'!$I$2:$I$455,MATCH($A427,'ESTUDIOS'!$A$2:$A$455,0)))</f>
        <v/>
      </c>
    </row>
    <row r="428" ht="125" customHeight="1">
      <c r="A428" s="4" t="inlineStr">
        <is>
          <t>new_366</t>
        </is>
      </c>
      <c r="B428" s="4" t="inlineStr">
        <is>
          <t>Update</t>
        </is>
      </c>
      <c r="C428" s="4" t="inlineStr">
        <is>
          <t>Hybrid deep learning with cross-attention fusion for autism spectrum disorder classification from facial images</t>
        </is>
      </c>
      <c r="D428" s="4" t="n">
        <v>0</v>
      </c>
      <c r="E428" s="4" t="n">
        <v>0</v>
      </c>
      <c r="F428" s="4" t="n">
        <v>0</v>
      </c>
      <c r="G428" s="4" t="n">
        <v>0</v>
      </c>
      <c r="H428" s="4" t="n">
        <v>1</v>
      </c>
      <c r="I428" s="4" t="n">
        <v>0</v>
      </c>
      <c r="J428" s="4" t="n">
        <v>0</v>
      </c>
      <c r="K428" s="4" t="inlineStr">
        <is>
          <t>Inherited scoped adjudication; see source level and lot caveats</t>
        </is>
      </c>
      <c r="L428" s="4" t="inlineStr">
        <is>
          <t>A hybrid ResNet-152-CBAM/ViT-Large model with bidirectional cross-attention, weighted ensemble and test-time augmentation is evaluated on 2,940 public facial images; Grad-CAM highlights periocular regions and the ensemble reports 92% accuracy. The article reports a fixed 86.4%/3.4%/10.2% train/validation/test partition while the abstract also reports mean±SD across 5-fold cross-validation, creating an evaluation-protocol inconsistency that should be reconciled manually. No independent external dataset was used.</t>
        </is>
      </c>
      <c r="M428" s="4" t="inlineStr">
        <is>
          <t>https://doi.org/10.1016/j.ibmed.2026.100421</t>
        </is>
      </c>
      <c r="N428" s="4" t="n"/>
      <c r="O428" s="4" t="n"/>
      <c r="P428" s="4" t="n"/>
      <c r="Q428" s="12" t="n"/>
      <c r="R428" s="41" t="n"/>
      <c r="S428" s="4" t="inlineStr">
        <is>
          <t>0 = no reported evidence in material assessed; blank = not coded/unknown; neither proves absence</t>
        </is>
      </c>
      <c r="T428" s="4">
        <f>IF(COUNTIFS('ESTUDIOS'!$A$2:$A$455,$A428,'ESTUDIOS'!$I$2:$I$455,"")&gt;0,"",INDEX('ESTUDIOS'!$I$2:$I$455,MATCH($A428,'ESTUDIOS'!$A$2:$A$455,0)))</f>
        <v/>
      </c>
    </row>
    <row r="429" ht="112" customHeight="1">
      <c r="A429" s="4" t="inlineStr">
        <is>
          <t>new_371</t>
        </is>
      </c>
      <c r="B429" s="4" t="inlineStr">
        <is>
          <t>Update</t>
        </is>
      </c>
      <c r="C429" s="4" t="inlineStr">
        <is>
          <t>A Hybrid CNN-GAT Model for MRI Screening of Autism Spectrum Disorder</t>
        </is>
      </c>
      <c r="D429" s="4" t="n">
        <v>0</v>
      </c>
      <c r="E429" s="4" t="n">
        <v>0</v>
      </c>
      <c r="F429" s="4" t="n">
        <v>0</v>
      </c>
      <c r="G429" s="4" t="n">
        <v>0</v>
      </c>
      <c r="H429" s="4" t="n">
        <v>1</v>
      </c>
      <c r="I429" s="4" t="n">
        <v>0</v>
      </c>
      <c r="J429" s="4" t="n">
        <v>0</v>
      </c>
      <c r="K429" s="4" t="inlineStr">
        <is>
          <t>Inherited scoped adjudication; see source level and lot caveats</t>
        </is>
      </c>
      <c r="L429" s="4" t="inlineStr">
        <is>
          <t>Springer identifies this as a full conference paper in peer-reviewed MIND 2024 proceedings. The study proposes a hybrid CNN-GAT on publicly accessible MRI data and reports 88% ASD versus non-ASD classification accuracy. GAT attention is used to identify critical brain regions/connections. No independent external cohort, prospective clinical evaluation, or explicit cross-site robustness was established from the accessible evidence.</t>
        </is>
      </c>
      <c r="M429" s="4" t="inlineStr">
        <is>
          <t>https://doi.org/10.1007/978-3-032-14531-4_4</t>
        </is>
      </c>
      <c r="N429" s="4" t="n"/>
      <c r="O429" s="4" t="n"/>
      <c r="P429" s="4" t="n"/>
      <c r="Q429" s="12" t="n"/>
      <c r="R429" s="41" t="n"/>
      <c r="S429" s="4" t="inlineStr">
        <is>
          <t>0 = no reported evidence in material assessed; blank = not coded/unknown; neither proves absence</t>
        </is>
      </c>
      <c r="T429" s="4">
        <f>IF(COUNTIFS('ESTUDIOS'!$A$2:$A$455,$A429,'ESTUDIOS'!$I$2:$I$455,"")&gt;0,"",INDEX('ESTUDIOS'!$I$2:$I$455,MATCH($A429,'ESTUDIOS'!$A$2:$A$455,0)))</f>
        <v/>
      </c>
    </row>
    <row r="430" ht="125" customHeight="1">
      <c r="A430" s="4" t="inlineStr">
        <is>
          <t>new_373</t>
        </is>
      </c>
      <c r="B430" s="4" t="inlineStr">
        <is>
          <t>Update</t>
        </is>
      </c>
      <c r="C430" s="4" t="inlineStr">
        <is>
          <t>Multi-feature fusion transformer network for Autism spectrum disorder detection via facial images</t>
        </is>
      </c>
      <c r="D430" s="4" t="n">
        <v>1</v>
      </c>
      <c r="E430" s="4" t="n">
        <v>0</v>
      </c>
      <c r="F430" s="4" t="n">
        <v>1</v>
      </c>
      <c r="G430" s="4" t="n">
        <v>0</v>
      </c>
      <c r="H430" s="4" t="n">
        <v>1</v>
      </c>
      <c r="I430" s="4" t="n">
        <v>0</v>
      </c>
      <c r="J430" s="4" t="n">
        <v>0</v>
      </c>
      <c r="K430" s="4" t="inlineStr">
        <is>
          <t>Inherited scoped adjudication; see source level and lot caveats</t>
        </is>
      </c>
      <c r="L430" s="4" t="inlineStr">
        <is>
          <t>MACFUT fuses facial-image features with landmark geometry, is trained on AFID with 10-fold CV, and is tested on an independent Bangladesh dataset (BACFED), reporting 86.51% external accuracy/AUC 94.78%; attention maps and facial anthropometry support interpretation. External cross-dataset testing strengthens generalization evidence, but the system is not prospectively deployed and image-source/demographic biases remain possible. Landmarks are derived from the same image source, so this was not counted as multisource data.</t>
        </is>
      </c>
      <c r="M430" s="4" t="inlineStr">
        <is>
          <t>https://doi.org/10.1016/j.bspc.2026.110970</t>
        </is>
      </c>
      <c r="N430" s="4" t="n"/>
      <c r="O430" s="4" t="n"/>
      <c r="P430" s="4" t="n"/>
      <c r="Q430" s="12" t="n"/>
      <c r="R430" s="41" t="n"/>
      <c r="S430" s="4" t="inlineStr">
        <is>
          <t>0 = no reported evidence in material assessed; blank = not coded/unknown; neither proves absence</t>
        </is>
      </c>
      <c r="T430" s="4">
        <f>IF(COUNTIFS('ESTUDIOS'!$A$2:$A$455,$A430,'ESTUDIOS'!$I$2:$I$455,"")&gt;0,"",INDEX('ESTUDIOS'!$I$2:$I$455,MATCH($A430,'ESTUDIOS'!$A$2:$A$455,0)))</f>
        <v/>
      </c>
    </row>
    <row r="431" ht="125" customHeight="1">
      <c r="A431" s="4" t="inlineStr">
        <is>
          <t>new_383</t>
        </is>
      </c>
      <c r="B431" s="4" t="inlineStr">
        <is>
          <t>Update</t>
        </is>
      </c>
      <c r="C431" s="4" t="inlineStr">
        <is>
          <t>Longitudinal multi-omics analysis of umbilical cord blood and childhood serum in Autism</t>
        </is>
      </c>
      <c r="D431" s="4" t="n">
        <v>0</v>
      </c>
      <c r="E431" s="4" t="n">
        <v>0</v>
      </c>
      <c r="F431" s="4" t="n">
        <v>0</v>
      </c>
      <c r="G431" s="4" t="n">
        <v>1</v>
      </c>
      <c r="H431" s="4" t="n">
        <v>0</v>
      </c>
      <c r="I431" s="4" t="n">
        <v>1</v>
      </c>
      <c r="J431" s="4" t="n">
        <v>1</v>
      </c>
      <c r="K431" s="4" t="inlineStr">
        <is>
          <t>Inherited scoped adjudication; see source level and lot caveats</t>
        </is>
      </c>
      <c r="L431" s="4" t="inlineStr">
        <is>
          <t>Within the BASELINE birth cohort, cord-blood proteomics/metabolomics from children later diagnosed with autism were analyzed and followed with childhood serum profiling; ML prediction models reported AUROC 0.82-0.85. The omics case numbers are small (22 future ASD cases in cord blood; 24 in follow-up), and the accessible report does not identify an independent external validation cohort or the specific ML family. Longitudinal collection supports prospective-evidence coding, not prospective clinical deployment.</t>
        </is>
      </c>
      <c r="M431" s="4" t="inlineStr">
        <is>
          <t>https://doi.org/10.1038/s41380-025-03157-z</t>
        </is>
      </c>
      <c r="N431" s="4" t="n"/>
      <c r="O431" s="4" t="n"/>
      <c r="P431" s="4" t="n"/>
      <c r="Q431" s="12" t="n"/>
      <c r="R431" s="41" t="n"/>
      <c r="S431" s="4" t="inlineStr">
        <is>
          <t>0 = no reported evidence in material assessed; blank = not coded/unknown; neither proves absence</t>
        </is>
      </c>
      <c r="T431" s="4">
        <f>IF(COUNTIFS('ESTUDIOS'!$A$2:$A$455,$A431,'ESTUDIOS'!$I$2:$I$455,"")&gt;0,"",INDEX('ESTUDIOS'!$I$2:$I$455,MATCH($A431,'ESTUDIOS'!$A$2:$A$455,0)))</f>
        <v/>
      </c>
    </row>
    <row r="432" ht="86" customHeight="1">
      <c r="A432" s="4" t="inlineStr">
        <is>
          <t>new_386</t>
        </is>
      </c>
      <c r="B432" s="4" t="inlineStr">
        <is>
          <t>Update</t>
        </is>
      </c>
      <c r="C432" s="4" t="inlineStr">
        <is>
          <t>3T dilated inception network for enhanced autism spectrum disorder diagnosis using resting-state fMRI data</t>
        </is>
      </c>
      <c r="D432" s="4" t="n">
        <v>0</v>
      </c>
      <c r="E432" s="4" t="n">
        <v>1</v>
      </c>
      <c r="F432" s="4" t="n">
        <v>0</v>
      </c>
      <c r="G432" s="4" t="n">
        <v>0</v>
      </c>
      <c r="H432" s="4" t="n">
        <v>0</v>
      </c>
      <c r="I432" s="4" t="n">
        <v>0</v>
      </c>
      <c r="J432" s="4" t="n">
        <v>0</v>
      </c>
      <c r="K432" s="4" t="inlineStr">
        <is>
          <t>Inherited scoped adjudication; see source level and lot caveats</t>
        </is>
      </c>
      <c r="L432" s="4" t="inlineStr">
        <is>
          <t>3T-DINet combines dilated inception, ResNet components and optimization and is evaluated across five ASD rs-fMRI datasets. Use of multiple ASD datasets was coded as multisite/multidataset evidence, but the accessible report does not establish an explicit leave-site-out or independent prospective external-validation design.</t>
        </is>
      </c>
      <c r="M432" s="4" t="inlineStr">
        <is>
          <t>https://doi.org/10.1007/s11571-024-10202-0</t>
        </is>
      </c>
      <c r="N432" s="4" t="n"/>
      <c r="O432" s="4" t="n"/>
      <c r="P432" s="4" t="n"/>
      <c r="Q432" s="12" t="n"/>
      <c r="R432" s="41" t="n"/>
      <c r="S432" s="4" t="inlineStr">
        <is>
          <t>0 = no reported evidence in material assessed; blank = not coded/unknown; neither proves absence</t>
        </is>
      </c>
      <c r="T432" s="4">
        <f>IF(COUNTIFS('ESTUDIOS'!$A$2:$A$455,$A432,'ESTUDIOS'!$I$2:$I$455,"")&gt;0,"",INDEX('ESTUDIOS'!$I$2:$I$455,MATCH($A432,'ESTUDIOS'!$A$2:$A$455,0)))</f>
        <v/>
      </c>
    </row>
    <row r="433" ht="112" customHeight="1">
      <c r="A433" s="4" t="inlineStr">
        <is>
          <t>new_387</t>
        </is>
      </c>
      <c r="B433" s="4" t="inlineStr">
        <is>
          <t>Update</t>
        </is>
      </c>
      <c r="C433" s="4" t="inlineStr">
        <is>
          <t>Predicting pragmatic language abilities from brain structural MRI in preschool children with ASD by NBS-Predict</t>
        </is>
      </c>
      <c r="D433" s="4" t="n">
        <v>0</v>
      </c>
      <c r="E433" s="4" t="n">
        <v>0</v>
      </c>
      <c r="F433" s="4" t="n">
        <v>0</v>
      </c>
      <c r="G433" s="4" t="n">
        <v>0</v>
      </c>
      <c r="H433" s="4" t="n">
        <v>0</v>
      </c>
      <c r="I433" s="4" t="n">
        <v>1</v>
      </c>
      <c r="J433" s="4" t="n">
        <v>0</v>
      </c>
      <c r="K433" s="4" t="inlineStr">
        <is>
          <t>Inherited scoped adjudication; see source level and lot caveats</t>
        </is>
      </c>
      <c r="L433" s="4" t="inlineStr">
        <is>
          <t>In 92 preschool children with ASD and 52 TD controls, NBS-Predict identified a 42-connection structural subnetwork; an LDA classifier reported 79.4% ASD/TD accuracy and the network also showed a modest association with pragmatic-language ability. Single-center/cross-sectional evidence with no independent external validation. Diagnosis is used as the primary stage because the qualifying ASD/TD classifier is explicit; the paper also emphasizes pragmatic-language characterization.</t>
        </is>
      </c>
      <c r="M433" s="4" t="inlineStr">
        <is>
          <t>https://doi.org/10.1007/s00787-025-02775-w</t>
        </is>
      </c>
      <c r="N433" s="4" t="n"/>
      <c r="O433" s="4" t="n"/>
      <c r="P433" s="4" t="n"/>
      <c r="Q433" s="12" t="n"/>
      <c r="R433" s="41" t="n"/>
      <c r="S433" s="4" t="inlineStr">
        <is>
          <t>0 = no reported evidence in material assessed; blank = not coded/unknown; neither proves absence</t>
        </is>
      </c>
      <c r="T433" s="4">
        <f>IF(COUNTIFS('ESTUDIOS'!$A$2:$A$455,$A433,'ESTUDIOS'!$I$2:$I$455,"")&gt;0,"",INDEX('ESTUDIOS'!$I$2:$I$455,MATCH($A433,'ESTUDIOS'!$A$2:$A$455,0)))</f>
        <v/>
      </c>
    </row>
    <row r="434" ht="86" customHeight="1">
      <c r="A434" s="4" t="inlineStr">
        <is>
          <t>new_391</t>
        </is>
      </c>
      <c r="B434" s="4" t="inlineStr">
        <is>
          <t>Update</t>
        </is>
      </c>
      <c r="C434" s="4" t="inlineStr">
        <is>
          <t>Cell death-associated genes as novel diagnostic biomarkers for autism spectrum disorder</t>
        </is>
      </c>
      <c r="D434" s="4" t="n">
        <v>1</v>
      </c>
      <c r="E434" s="4" t="n">
        <v>0</v>
      </c>
      <c r="F434" s="4" t="n">
        <v>0</v>
      </c>
      <c r="G434" s="4" t="n">
        <v>0</v>
      </c>
      <c r="H434" s="4" t="n">
        <v>0</v>
      </c>
      <c r="I434" s="4" t="n">
        <v>1</v>
      </c>
      <c r="J434" s="4" t="n">
        <v>0</v>
      </c>
      <c r="K434" s="4" t="inlineStr">
        <is>
          <t>Inherited scoped adjudication; see source level and lot caveats</t>
        </is>
      </c>
      <c r="L434" s="4" t="inlineStr">
        <is>
          <t>Six ML algorithms and WGCNA were used to derive a six-gene diagnostic panel; KNN performed best, with external human blood GSE42133 AUC 0.722 and local-sample AUC 0.781. External human validation is present but discrimination is moderate; mouse prefrontal-cortex validation is not counted as clinical external validation, and real-world replication remains needed.</t>
        </is>
      </c>
      <c r="M434" s="4" t="inlineStr">
        <is>
          <t>https://doi.org/10.1007/s10495-025-02201-1</t>
        </is>
      </c>
      <c r="N434" s="4" t="n"/>
      <c r="O434" s="4" t="n"/>
      <c r="P434" s="4" t="n"/>
      <c r="Q434" s="12" t="n"/>
      <c r="R434" s="41" t="n"/>
      <c r="S434" s="4" t="inlineStr">
        <is>
          <t>0 = no reported evidence in material assessed; blank = not coded/unknown; neither proves absence</t>
        </is>
      </c>
      <c r="T434" s="4">
        <f>IF(COUNTIFS('ESTUDIOS'!$A$2:$A$455,$A434,'ESTUDIOS'!$I$2:$I$455,"")&gt;0,"",INDEX('ESTUDIOS'!$I$2:$I$455,MATCH($A434,'ESTUDIOS'!$A$2:$A$455,0)))</f>
        <v/>
      </c>
    </row>
    <row r="435" ht="99" customHeight="1">
      <c r="A435" s="4" t="inlineStr">
        <is>
          <t>new_393</t>
        </is>
      </c>
      <c r="B435" s="4" t="inlineStr">
        <is>
          <t>Update</t>
        </is>
      </c>
      <c r="C435" s="4" t="inlineStr">
        <is>
          <t>Integrating explainable AI with machine learning for reliable autism spectrum disorder diagnosis</t>
        </is>
      </c>
      <c r="D435" s="4" t="n">
        <v>0</v>
      </c>
      <c r="E435" s="4" t="n">
        <v>0</v>
      </c>
      <c r="F435" s="4" t="n">
        <v>0</v>
      </c>
      <c r="G435" s="4" t="n">
        <v>0</v>
      </c>
      <c r="H435" s="4" t="n">
        <v>1</v>
      </c>
      <c r="I435" s="4" t="n">
        <v>0</v>
      </c>
      <c r="J435" s="4" t="n">
        <v>0</v>
      </c>
      <c r="K435" s="4" t="inlineStr">
        <is>
          <t>Inherited scoped adjudication; see source level and lot caveats</t>
        </is>
      </c>
      <c r="L435" s="4" t="inlineStr">
        <is>
          <t>The study compares LR, DT, RF, SVM, KNN, CNN and XGBoost on structured toddler/child/adult ASD screening data; XGBoost is reported as best and explanations are generated with LIME and SHAP. Very high reported performance is based on benchmark/combined structured screening data; no independent external cohort, site-held-out analysis or prospective clinical deployment was established in the accessible full text.</t>
        </is>
      </c>
      <c r="M435" s="4" t="inlineStr">
        <is>
          <t>https://doi.org/10.1007/s42454-025-00087-7</t>
        </is>
      </c>
      <c r="N435" s="4" t="n"/>
      <c r="O435" s="4" t="n"/>
      <c r="P435" s="4" t="n"/>
      <c r="Q435" s="12" t="n"/>
      <c r="R435" s="41" t="n"/>
      <c r="S435" s="4" t="inlineStr">
        <is>
          <t>0 = no reported evidence in material assessed; blank = not coded/unknown; neither proves absence</t>
        </is>
      </c>
      <c r="T435" s="4">
        <f>IF(COUNTIFS('ESTUDIOS'!$A$2:$A$455,$A435,'ESTUDIOS'!$I$2:$I$455,"")&gt;0,"",INDEX('ESTUDIOS'!$I$2:$I$455,MATCH($A435,'ESTUDIOS'!$A$2:$A$455,0)))</f>
        <v/>
      </c>
    </row>
    <row r="436" ht="99" customHeight="1">
      <c r="A436" s="4" t="inlineStr">
        <is>
          <t>new_398</t>
        </is>
      </c>
      <c r="B436" s="4" t="inlineStr">
        <is>
          <t>Update</t>
        </is>
      </c>
      <c r="C436" s="4" t="inlineStr">
        <is>
          <t>Diagnostic Classification of Autism Spectrum Disorder Using SD Maps of fMRI Data and Machine Learning</t>
        </is>
      </c>
      <c r="D436" s="4" t="n">
        <v>0</v>
      </c>
      <c r="E436" s="4" t="n">
        <v>1</v>
      </c>
      <c r="F436" s="4" t="n">
        <v>0</v>
      </c>
      <c r="G436" s="4" t="n">
        <v>0</v>
      </c>
      <c r="H436" s="4" t="n">
        <v>0</v>
      </c>
      <c r="I436" s="4" t="n">
        <v>1</v>
      </c>
      <c r="J436" s="4" t="n">
        <v>0</v>
      </c>
      <c r="K436" s="4" t="inlineStr">
        <is>
          <t>Inherited scoped adjudication; see source level and lot caveats</t>
        </is>
      </c>
      <c r="L436" s="4" t="inlineStr">
        <is>
          <t>3D SD maps from ABIDE-I/II rs-fMRI were converted to 110 features and evaluated with LR, ridge, gradient boosting and XGBoost using 5-fold nested CV; LR achieved mean accuracy 70.71%. Nested cross-validation is methodologically stronger than a simple split but does not establish an independent/site-held-out external validation. Feature-contribution analysis was coded as partial interpretability, not strict XAI.</t>
        </is>
      </c>
      <c r="M436" s="4" t="inlineStr">
        <is>
          <t>https://doi.org/10.1007/s40846-026-01044-8</t>
        </is>
      </c>
      <c r="N436" s="4" t="n"/>
      <c r="O436" s="4" t="n"/>
      <c r="P436" s="4" t="n"/>
      <c r="Q436" s="12" t="n"/>
      <c r="R436" s="41" t="n"/>
      <c r="S436" s="4" t="inlineStr">
        <is>
          <t>0 = no reported evidence in material assessed; blank = not coded/unknown; neither proves absence</t>
        </is>
      </c>
      <c r="T436" s="4">
        <f>IF(COUNTIFS('ESTUDIOS'!$A$2:$A$455,$A436,'ESTUDIOS'!$I$2:$I$455,"")&gt;0,"",INDEX('ESTUDIOS'!$I$2:$I$455,MATCH($A436,'ESTUDIOS'!$A$2:$A$455,0)))</f>
        <v/>
      </c>
    </row>
    <row r="437" ht="99" customHeight="1">
      <c r="A437" s="4" t="inlineStr">
        <is>
          <t>new_5</t>
        </is>
      </c>
      <c r="B437" s="4" t="inlineStr">
        <is>
          <t>Update</t>
        </is>
      </c>
      <c r="C437" s="4" t="inlineStr">
        <is>
          <t>An exploration of machine learning approaches for early Autism Spectrum Disorder detection</t>
        </is>
      </c>
      <c r="D437" s="4" t="n">
        <v>0</v>
      </c>
      <c r="E437" s="4" t="n">
        <v>1</v>
      </c>
      <c r="F437" s="4" t="n">
        <v>0</v>
      </c>
      <c r="G437" s="4" t="n">
        <v>0</v>
      </c>
      <c r="H437" s="4" t="n">
        <v>0</v>
      </c>
      <c r="I437" s="4" t="n">
        <v>0</v>
      </c>
      <c r="J437" s="4" t="n">
        <v>0</v>
      </c>
      <c r="K437" s="4" t="inlineStr">
        <is>
          <t>Inherited scoped adjudication; see source level and lot caveats</t>
        </is>
      </c>
      <c r="L437" s="4" t="inlineStr">
        <is>
          <t>Compares LR, SVC, KNN, decision tree and random forest on toddler and child ASD datasets; SVC is reported as the strongest model, with near-perfect/100% performance on some datasets. Very high benchmark performance raises overfitting/data-leakage concerns; no fixed independent external clinical cohort or site-held-out evaluation was established from the accessible evidence.</t>
        </is>
      </c>
      <c r="M437" s="4" t="inlineStr">
        <is>
          <t>https://doi.org/10.1016/j.health.2024.100379</t>
        </is>
      </c>
      <c r="N437" s="4" t="n"/>
      <c r="O437" s="4" t="n"/>
      <c r="P437" s="4" t="n"/>
      <c r="Q437" s="12" t="n"/>
      <c r="R437" s="41" t="n"/>
      <c r="S437" s="4" t="inlineStr">
        <is>
          <t>0 = no reported evidence in material assessed; blank = not coded/unknown; neither proves absence</t>
        </is>
      </c>
      <c r="T437" s="4">
        <f>IF(COUNTIFS('ESTUDIOS'!$A$2:$A$455,$A437,'ESTUDIOS'!$I$2:$I$455,"")&gt;0,"",INDEX('ESTUDIOS'!$I$2:$I$455,MATCH($A437,'ESTUDIOS'!$A$2:$A$455,0)))</f>
        <v/>
      </c>
    </row>
    <row r="438" ht="86" customHeight="1">
      <c r="A438" s="4" t="inlineStr">
        <is>
          <t>new_11</t>
        </is>
      </c>
      <c r="B438" s="4" t="inlineStr">
        <is>
          <t>Update</t>
        </is>
      </c>
      <c r="C438" s="4" t="inlineStr">
        <is>
          <t>Ensembler_fMRI: An Intelligent Approach for the Early Prediction of Autism Disorder</t>
        </is>
      </c>
      <c r="D438" s="4" t="n">
        <v>0</v>
      </c>
      <c r="E438" s="4" t="n">
        <v>1</v>
      </c>
      <c r="F438" s="4" t="n">
        <v>0</v>
      </c>
      <c r="G438" s="4" t="n">
        <v>0</v>
      </c>
      <c r="H438" s="4" t="n">
        <v>0</v>
      </c>
      <c r="I438" s="4" t="n">
        <v>0</v>
      </c>
      <c r="J438" s="4" t="n">
        <v>0</v>
      </c>
      <c r="K438" s="4" t="inlineStr">
        <is>
          <t>Inherited scoped adjudication; see source level and lot caveats</t>
        </is>
      </c>
      <c r="L438" s="4" t="inlineStr">
        <is>
          <t>Ensembler_fMRI combines multiple AI techniques on fMRI data from ABIDE and ADHD-200 to distinguish ASD from ADHD; the abstract reports 98% accuracy. Use of multisite/multidataset repositories does not itself demonstrate held-out cross-site robustness or external validation; component model details are incomplete in the accessible abstract.</t>
        </is>
      </c>
      <c r="M438" s="4" t="inlineStr">
        <is>
          <t>https://doi.org/10.1016/j.procs.2025.04.142</t>
        </is>
      </c>
      <c r="N438" s="4" t="n"/>
      <c r="O438" s="4" t="n"/>
      <c r="P438" s="4" t="n"/>
      <c r="Q438" s="12" t="n"/>
      <c r="R438" s="41" t="n"/>
      <c r="S438" s="4" t="inlineStr">
        <is>
          <t>0 = no reported evidence in material assessed; blank = not coded/unknown; neither proves absence</t>
        </is>
      </c>
      <c r="T438" s="4">
        <f>IF(COUNTIFS('ESTUDIOS'!$A$2:$A$455,$A438,'ESTUDIOS'!$I$2:$I$455,"")&gt;0,"",INDEX('ESTUDIOS'!$I$2:$I$455,MATCH($A438,'ESTUDIOS'!$A$2:$A$455,0)))</f>
        <v/>
      </c>
    </row>
    <row r="439" ht="112" customHeight="1">
      <c r="A439" s="4" t="inlineStr">
        <is>
          <t>new_16</t>
        </is>
      </c>
      <c r="B439" s="4" t="inlineStr">
        <is>
          <t>Update</t>
        </is>
      </c>
      <c r="C439" s="4" t="inlineStr">
        <is>
          <t>Unraveling pathogenesis and potential biomarkers for autism spectrum disorder associated with HIF1A pathway based on machine learning and experiment validation</t>
        </is>
      </c>
      <c r="D439" s="4" t="n">
        <v>0</v>
      </c>
      <c r="E439" s="4" t="n">
        <v>1</v>
      </c>
      <c r="F439" s="4" t="n">
        <v>0</v>
      </c>
      <c r="G439" s="4" t="n">
        <v>0</v>
      </c>
      <c r="H439" s="4" t="n">
        <v>0</v>
      </c>
      <c r="I439" s="4" t="n">
        <v>1</v>
      </c>
      <c r="J439" s="4" t="n">
        <v>0</v>
      </c>
      <c r="K439" s="4" t="inlineStr">
        <is>
          <t>Inherited scoped adjudication; see source level and lot caveats</t>
        </is>
      </c>
      <c r="L439" s="4" t="inlineStr">
        <is>
          <t>Human GEO transcriptomic data are used to identify HIF1A-related hub genes with ML; single-cell analysis and MIA mouse/cell experiments support mechanistic interpretation. Human data therefore prevent an animal-only exclusion. Animal/cell validation is mechanistic, not independent clinical external validation; the accessible abstract does not identify a site-held-out human validation design or the exact ML family used for hub-gene selection.</t>
        </is>
      </c>
      <c r="M439" s="4" t="inlineStr">
        <is>
          <t>https://doi.org/10.1016/j.nbd.2024.106763</t>
        </is>
      </c>
      <c r="N439" s="4" t="n"/>
      <c r="O439" s="4" t="n"/>
      <c r="P439" s="4" t="n"/>
      <c r="Q439" s="12" t="n"/>
      <c r="R439" s="41" t="n"/>
      <c r="S439" s="4" t="inlineStr">
        <is>
          <t>0 = no reported evidence in material assessed; blank = not coded/unknown; neither proves absence</t>
        </is>
      </c>
      <c r="T439" s="4">
        <f>IF(COUNTIFS('ESTUDIOS'!$A$2:$A$455,$A439,'ESTUDIOS'!$I$2:$I$455,"")&gt;0,"",INDEX('ESTUDIOS'!$I$2:$I$455,MATCH($A439,'ESTUDIOS'!$A$2:$A$455,0)))</f>
        <v/>
      </c>
    </row>
    <row r="440" ht="112" customHeight="1">
      <c r="A440" s="4" t="inlineStr">
        <is>
          <t>new_27</t>
        </is>
      </c>
      <c r="B440" s="4" t="inlineStr">
        <is>
          <t>Update</t>
        </is>
      </c>
      <c r="C440" s="4" t="inlineStr">
        <is>
          <t>Developing a simplified measure to predict the risk of autism spectrum disorders: Abbreviating the M-CHAT-R using a machine learning approach in China</t>
        </is>
      </c>
      <c r="D440" s="4" t="n">
        <v>0</v>
      </c>
      <c r="E440" s="4" t="n">
        <v>0</v>
      </c>
      <c r="F440" s="4" t="n">
        <v>0</v>
      </c>
      <c r="G440" s="4" t="n">
        <v>0</v>
      </c>
      <c r="H440" s="4" t="n">
        <v>0</v>
      </c>
      <c r="I440" s="4" t="n">
        <v>1</v>
      </c>
      <c r="J440" s="4" t="n">
        <v>1</v>
      </c>
      <c r="K440" s="4" t="inlineStr">
        <is>
          <t>Inherited scoped adjudication; see source level and lot caveats</t>
        </is>
      </c>
      <c r="L440" s="4" t="inlineStr">
        <is>
          <t>Retrospective analysis of 6,049 Chinese toddlers combines M-CHAT-R items with 17 sociodemographic/environmental factors, uses multiple feature-selection methods and six ML models, and derives a shortened screening measure. Derived from an existing validation cohort and not independently externally validated; strong sensitivity/specificity can coexist with low PPV in low-prevalence screening, so clinical utility should not be inferred from discrimination alone.</t>
        </is>
      </c>
      <c r="M440" s="4" t="inlineStr">
        <is>
          <t>https://doi.org/10.1016/j.psychres.2025.116353</t>
        </is>
      </c>
      <c r="N440" s="4" t="n"/>
      <c r="O440" s="4" t="n"/>
      <c r="P440" s="4" t="n"/>
      <c r="Q440" s="12" t="n"/>
      <c r="R440" s="41" t="n"/>
      <c r="S440" s="4" t="inlineStr">
        <is>
          <t>0 = no reported evidence in material assessed; blank = not coded/unknown; neither proves absence</t>
        </is>
      </c>
      <c r="T440" s="4">
        <f>IF(COUNTIFS('ESTUDIOS'!$A$2:$A$455,$A440,'ESTUDIOS'!$I$2:$I$455,"")&gt;0,"",INDEX('ESTUDIOS'!$I$2:$I$455,MATCH($A440,'ESTUDIOS'!$A$2:$A$455,0)))</f>
        <v/>
      </c>
    </row>
    <row r="441" ht="86" customHeight="1">
      <c r="A441" s="4" t="inlineStr">
        <is>
          <t>new_31</t>
        </is>
      </c>
      <c r="B441" s="4" t="inlineStr">
        <is>
          <t>Update</t>
        </is>
      </c>
      <c r="C441" s="4" t="inlineStr">
        <is>
          <t>Replication of rs10099100 Association with Autism Spectrum Disorder Risk in a Polish‐Origin Cohort</t>
        </is>
      </c>
      <c r="D441" s="4" t="n">
        <v>0</v>
      </c>
      <c r="E441" s="4" t="n">
        <v>0</v>
      </c>
      <c r="F441" s="4" t="n">
        <v>0</v>
      </c>
      <c r="G441" s="4" t="n">
        <v>0</v>
      </c>
      <c r="H441" s="4" t="n">
        <v>0</v>
      </c>
      <c r="I441" s="4" t="n">
        <v>1</v>
      </c>
      <c r="J441" s="4" t="n">
        <v>1</v>
      </c>
      <c r="K441" s="4" t="inlineStr">
        <is>
          <t>Inherited scoped adjudication; see source level and lot caveats</t>
        </is>
      </c>
      <c r="L441" s="4" t="inlineStr">
        <is>
          <t>A Polish-origin ASD/control cohort is analyzed with Boruta and Random Forest to prioritize genetic and phenotypic markers, including replication of rs10099100-related risk evidence. Single ancestry-specific cohort with no independent external validation; association/feature importance is not equivalent to prospective screening performance.</t>
        </is>
      </c>
      <c r="M441" s="4" t="inlineStr">
        <is>
          <t>https://doi.org/10.1016/j.reia.2025.202542</t>
        </is>
      </c>
      <c r="N441" s="4" t="n"/>
      <c r="O441" s="4" t="n"/>
      <c r="P441" s="4" t="n"/>
      <c r="Q441" s="12" t="n"/>
      <c r="R441" s="41" t="n"/>
      <c r="S441" s="4" t="inlineStr">
        <is>
          <t>0 = no reported evidence in material assessed; blank = not coded/unknown; neither proves absence</t>
        </is>
      </c>
      <c r="T441" s="4">
        <f>IF(COUNTIFS('ESTUDIOS'!$A$2:$A$455,$A441,'ESTUDIOS'!$I$2:$I$455,"")&gt;0,"",INDEX('ESTUDIOS'!$I$2:$I$455,MATCH($A441,'ESTUDIOS'!$A$2:$A$455,0)))</f>
        <v/>
      </c>
    </row>
    <row r="442" ht="86" customHeight="1">
      <c r="A442" s="4" t="inlineStr">
        <is>
          <t>new_42</t>
        </is>
      </c>
      <c r="B442" s="4" t="inlineStr">
        <is>
          <t>Update</t>
        </is>
      </c>
      <c r="C442" s="4" t="inlineStr">
        <is>
          <t>Enhancing Early Diagnosis of Autism Spectrum Disorder Using a Bayesian-Optimized Random Forest Algorithm</t>
        </is>
      </c>
      <c r="D442" s="4" t="n">
        <v>0</v>
      </c>
      <c r="E442" s="4" t="n">
        <v>0</v>
      </c>
      <c r="F442" s="4" t="n">
        <v>0</v>
      </c>
      <c r="G442" s="4" t="n">
        <v>0</v>
      </c>
      <c r="H442" s="4" t="n">
        <v>0</v>
      </c>
      <c r="I442" s="4" t="n">
        <v>0</v>
      </c>
      <c r="J442" s="4" t="n">
        <v>0</v>
      </c>
      <c r="K442" s="4" t="inlineStr">
        <is>
          <t>Inherited scoped adjudication; see source level and lot caveats</t>
        </is>
      </c>
      <c r="L442" s="4" t="inlineStr">
        <is>
          <t>Uses Bayesian optimization to tune a Random Forest on behavioral, cognitive and demographic ASD variables; the paper reports very high classification performance. No independent external cohort, prospective deployment, or explicit explanation method was established; near-ceiling performance on structured ASD datasets requires careful leakage/selection-bias checks.</t>
        </is>
      </c>
      <c r="M442" s="4" t="inlineStr">
        <is>
          <t>https://doi.org/10.1016/j.procs.2025.04.389</t>
        </is>
      </c>
      <c r="N442" s="4" t="n"/>
      <c r="O442" s="4" t="n"/>
      <c r="P442" s="4" t="n"/>
      <c r="Q442" s="12" t="n"/>
      <c r="R442" s="41" t="n"/>
      <c r="S442" s="4" t="inlineStr">
        <is>
          <t>0 = no reported evidence in material assessed; blank = not coded/unknown; neither proves absence</t>
        </is>
      </c>
      <c r="T442" s="4">
        <f>IF(COUNTIFS('ESTUDIOS'!$A$2:$A$455,$A442,'ESTUDIOS'!$I$2:$I$455,"")&gt;0,"",INDEX('ESTUDIOS'!$I$2:$I$455,MATCH($A442,'ESTUDIOS'!$A$2:$A$455,0)))</f>
        <v/>
      </c>
    </row>
    <row r="443" ht="86" customHeight="1">
      <c r="A443" s="4" t="inlineStr">
        <is>
          <t>new_45</t>
        </is>
      </c>
      <c r="B443" s="4" t="inlineStr">
        <is>
          <t>Update</t>
        </is>
      </c>
      <c r="C443" s="4" t="inlineStr">
        <is>
          <t>Autism Spectrum Disorder Detection using Attention-Based CNN and ML Classifiers</t>
        </is>
      </c>
      <c r="D443" s="4" t="n">
        <v>0</v>
      </c>
      <c r="E443" s="4" t="n">
        <v>1</v>
      </c>
      <c r="F443" s="4" t="n">
        <v>0</v>
      </c>
      <c r="G443" s="4" t="n">
        <v>0</v>
      </c>
      <c r="H443" s="4" t="n">
        <v>0</v>
      </c>
      <c r="I443" s="4" t="n">
        <v>0</v>
      </c>
      <c r="J443" s="4" t="n">
        <v>0</v>
      </c>
      <c r="K443" s="4" t="inlineStr">
        <is>
          <t>Inherited scoped adjudication; see source level and lot caveats</t>
        </is>
      </c>
      <c r="L443" s="4" t="inlineStr">
        <is>
          <t>An attention-based CNN/Squeeze-and-Excitation pipeline extracts fMRI features and feeds ML classifiers for ASD detection on ABIDE; very high accuracy is reported. ABIDE is multisite, but no explicit site-held-out or independent external evaluation was established. Architectural attention was not counted as XAI because no explanation analysis was demonstrated.</t>
        </is>
      </c>
      <c r="M443" s="4" t="inlineStr">
        <is>
          <t>https://doi.org/10.1016/j.procs.2025.04.671</t>
        </is>
      </c>
      <c r="N443" s="4" t="n"/>
      <c r="O443" s="4" t="n"/>
      <c r="P443" s="4" t="n"/>
      <c r="Q443" s="12" t="n"/>
      <c r="R443" s="41" t="n"/>
      <c r="S443" s="4" t="inlineStr">
        <is>
          <t>0 = no reported evidence in material assessed; blank = not coded/unknown; neither proves absence</t>
        </is>
      </c>
      <c r="T443" s="4">
        <f>IF(COUNTIFS('ESTUDIOS'!$A$2:$A$455,$A443,'ESTUDIOS'!$I$2:$I$455,"")&gt;0,"",INDEX('ESTUDIOS'!$I$2:$I$455,MATCH($A443,'ESTUDIOS'!$A$2:$A$455,0)))</f>
        <v/>
      </c>
    </row>
    <row r="444" ht="86" customHeight="1">
      <c r="A444" s="4" t="inlineStr">
        <is>
          <t>new_56</t>
        </is>
      </c>
      <c r="B444" s="4" t="inlineStr">
        <is>
          <t>Update</t>
        </is>
      </c>
      <c r="C444" s="4" t="inlineStr">
        <is>
          <t>Effective AI Techniques for Analyzing Risk Factors in Autism Spectrum Disorder (ASD)</t>
        </is>
      </c>
      <c r="D444" s="4" t="n">
        <v>0</v>
      </c>
      <c r="E444" s="4" t="n">
        <v>0</v>
      </c>
      <c r="F444" s="4" t="n">
        <v>0</v>
      </c>
      <c r="G444" s="4" t="n">
        <v>0</v>
      </c>
      <c r="H444" s="4" t="n">
        <v>1</v>
      </c>
      <c r="I444" s="4" t="n">
        <v>0</v>
      </c>
      <c r="J444" s="4" t="n">
        <v>1</v>
      </c>
      <c r="K444" s="4" t="inlineStr">
        <is>
          <t>Inherited scoped adjudication; see source level and lot caveats</t>
        </is>
      </c>
      <c r="L444" s="4" t="inlineStr">
        <is>
          <t>Applies Random Forest and XGBoost to clinical, genetic and environmental ASD risk variables and uses SHAP to identify influential factors. Risk-factor association and model explanation do not establish causal risk or clinical utility; no independent external or prospective validation was identified.</t>
        </is>
      </c>
      <c r="M444" s="4" t="inlineStr">
        <is>
          <t>https://doi.org/10.1016/j.procs.2025.10.018</t>
        </is>
      </c>
      <c r="N444" s="4" t="n"/>
      <c r="O444" s="4" t="n"/>
      <c r="P444" s="4" t="n"/>
      <c r="Q444" s="12" t="n"/>
      <c r="R444" s="41" t="n"/>
      <c r="S444" s="4" t="inlineStr">
        <is>
          <t>0 = no reported evidence in material assessed; blank = not coded/unknown; neither proves absence</t>
        </is>
      </c>
      <c r="T444" s="4">
        <f>IF(COUNTIFS('ESTUDIOS'!$A$2:$A$455,$A444,'ESTUDIOS'!$I$2:$I$455,"")&gt;0,"",INDEX('ESTUDIOS'!$I$2:$I$455,MATCH($A444,'ESTUDIOS'!$A$2:$A$455,0)))</f>
        <v/>
      </c>
    </row>
    <row r="445" ht="99" customHeight="1">
      <c r="A445" s="4" t="inlineStr">
        <is>
          <t>new_92</t>
        </is>
      </c>
      <c r="B445" s="4" t="inlineStr">
        <is>
          <t>Update</t>
        </is>
      </c>
      <c r="C445" s="4" t="inlineStr">
        <is>
          <t>Data independent acquisition proteomics and machine learning reveals that proteins associated with immunity are potential molecular markers for early diagnosis of autism</t>
        </is>
      </c>
      <c r="D445" s="4" t="n">
        <v>0</v>
      </c>
      <c r="E445" s="4" t="n">
        <v>0</v>
      </c>
      <c r="F445" s="4" t="n">
        <v>0</v>
      </c>
      <c r="G445" s="4" t="n">
        <v>0</v>
      </c>
      <c r="H445" s="4" t="n">
        <v>0</v>
      </c>
      <c r="I445" s="4" t="n">
        <v>1</v>
      </c>
      <c r="J445" s="4" t="n">
        <v>0</v>
      </c>
      <c r="K445" s="4" t="inlineStr">
        <is>
          <t>Inherited scoped adjudication; see source level and lot caveats</t>
        </is>
      </c>
      <c r="L445" s="4" t="inlineStr">
        <is>
          <t>DIA serum proteomics in 99 ASD and 70 control children yields an eight-protein ML model after bidirectional feature screening; ELISA follow-up is reported for LYZ. Leave-one-out validation is internal; ELISA confirmation of selected proteins is not an independent external cohort test. The sample is geographically limited and biomarker selection can be optimistic without nested external replication.</t>
        </is>
      </c>
      <c r="M445" s="4" t="inlineStr">
        <is>
          <t>https://doi.org/10.1016/j.cca.2025.120238</t>
        </is>
      </c>
      <c r="N445" s="4" t="n"/>
      <c r="O445" s="4" t="n"/>
      <c r="P445" s="4" t="n"/>
      <c r="Q445" s="12" t="n"/>
      <c r="R445" s="41" t="n"/>
      <c r="S445" s="4" t="inlineStr">
        <is>
          <t>0 = no reported evidence in material assessed; blank = not coded/unknown; neither proves absence</t>
        </is>
      </c>
      <c r="T445" s="4">
        <f>IF(COUNTIFS('ESTUDIOS'!$A$2:$A$455,$A445,'ESTUDIOS'!$I$2:$I$455,"")&gt;0,"",INDEX('ESTUDIOS'!$I$2:$I$455,MATCH($A445,'ESTUDIOS'!$A$2:$A$455,0)))</f>
        <v/>
      </c>
    </row>
    <row r="446" ht="86" customHeight="1">
      <c r="A446" s="4" t="inlineStr">
        <is>
          <t>new_183</t>
        </is>
      </c>
      <c r="B446" s="4" t="inlineStr">
        <is>
          <t>Update</t>
        </is>
      </c>
      <c r="C446" s="4" t="inlineStr">
        <is>
          <t>Adaptive Multi-Scale Dynamic Graph Representation Learning With Overlapping Community-Awareness for ASD Classification</t>
        </is>
      </c>
      <c r="D446" s="4" t="n">
        <v>0</v>
      </c>
      <c r="E446" s="4" t="n">
        <v>1</v>
      </c>
      <c r="F446" s="4" t="n">
        <v>0</v>
      </c>
      <c r="G446" s="4" t="n">
        <v>0</v>
      </c>
      <c r="H446" s="4" t="n">
        <v>0</v>
      </c>
      <c r="I446" s="4" t="n">
        <v>1</v>
      </c>
      <c r="J446" s="4" t="n">
        <v>0</v>
      </c>
      <c r="K446" s="4" t="inlineStr">
        <is>
          <t>Inherited scoped adjudication; see source level and lot caveats</t>
        </is>
      </c>
      <c r="L446" s="4" t="inlineStr">
        <is>
          <t>Ada-MST learns adaptive multi-scale dynamic graph representations from ABIDE-I/II rs-fMRI and includes community-aware readout/visualization for ASD classification. ABIDE-I/II are multisite datasets, but no explicit held-out-site robustness design was established in the accessible report. Visualization was treated as partial interpretability, not strict XAI.</t>
        </is>
      </c>
      <c r="M446" s="4" t="inlineStr">
        <is>
          <t>https://doi.org/10.1109/jbhi.2025.3622540</t>
        </is>
      </c>
      <c r="N446" s="4" t="n"/>
      <c r="O446" s="4" t="n"/>
      <c r="P446" s="4" t="n"/>
      <c r="Q446" s="12" t="n"/>
      <c r="R446" s="41" t="n"/>
      <c r="S446" s="4" t="inlineStr">
        <is>
          <t>0 = no reported evidence in material assessed; blank = not coded/unknown; neither proves absence</t>
        </is>
      </c>
      <c r="T446" s="4">
        <f>IF(COUNTIFS('ESTUDIOS'!$A$2:$A$455,$A446,'ESTUDIOS'!$I$2:$I$455,"")&gt;0,"",INDEX('ESTUDIOS'!$I$2:$I$455,MATCH($A446,'ESTUDIOS'!$A$2:$A$455,0)))</f>
        <v/>
      </c>
    </row>
    <row r="447" ht="99" customHeight="1">
      <c r="A447" s="4" t="inlineStr">
        <is>
          <t>new_198</t>
        </is>
      </c>
      <c r="B447" s="4" t="inlineStr">
        <is>
          <t>Update</t>
        </is>
      </c>
      <c r="C447" s="4" t="inlineStr">
        <is>
          <t>A Multimodal AI Framework for Early Autism Identification Using CbRNN–Ensemble Modelling and Advanced NCIAPPF-Based Temporal Encoding</t>
        </is>
      </c>
      <c r="D447" s="4" t="n">
        <v>0</v>
      </c>
      <c r="E447" s="4" t="n">
        <v>0</v>
      </c>
      <c r="F447" s="4" t="n">
        <v>0</v>
      </c>
      <c r="G447" s="4" t="n">
        <v>0</v>
      </c>
      <c r="H447" s="4" t="n">
        <v>0</v>
      </c>
      <c r="I447" s="4" t="n">
        <v>0</v>
      </c>
      <c r="J447" s="4" t="n">
        <v>1</v>
      </c>
      <c r="K447" s="4" t="inlineStr">
        <is>
          <t>Inherited scoped adjudication; see source level and lot caveats</t>
        </is>
      </c>
      <c r="L447" s="4" t="inlineStr">
        <is>
          <t>AutiScan fuses facial-expression, eye-gaze, speech-prosody and behavioral cues using CbRNN-EM and NCIAPPF temporal processing for early ASD identification. High-priority reporting inconsistency: the article describes experimental multimodal analyses, while the publisher Data Availability Statement says that no datasets were generated or analyzed. Independent source/sample and validation verification is required.</t>
        </is>
      </c>
      <c r="M447" s="4" t="inlineStr">
        <is>
          <t>https://doi.org/10.1002/jdn.70117</t>
        </is>
      </c>
      <c r="N447" s="4" t="n"/>
      <c r="O447" s="4" t="n"/>
      <c r="P447" s="4" t="n"/>
      <c r="Q447" s="12" t="n"/>
      <c r="R447" s="41" t="n"/>
      <c r="S447" s="4" t="inlineStr">
        <is>
          <t>0 = no reported evidence in material assessed; blank = not coded/unknown; neither proves absence</t>
        </is>
      </c>
      <c r="T447" s="4">
        <f>IF(COUNTIFS('ESTUDIOS'!$A$2:$A$455,$A447,'ESTUDIOS'!$I$2:$I$455,"")&gt;0,"",INDEX('ESTUDIOS'!$I$2:$I$455,MATCH($A447,'ESTUDIOS'!$A$2:$A$455,0)))</f>
        <v/>
      </c>
    </row>
    <row r="448" ht="99" customHeight="1">
      <c r="A448" s="4" t="inlineStr">
        <is>
          <t>new_239</t>
        </is>
      </c>
      <c r="B448" s="4" t="inlineStr">
        <is>
          <t>Update</t>
        </is>
      </c>
      <c r="C448" s="4" t="inlineStr">
        <is>
          <t>Real-Time Classification for EEG Data in Children With ASD Using Deep Learning Techniques</t>
        </is>
      </c>
      <c r="D448" s="4" t="n">
        <v>0</v>
      </c>
      <c r="E448" s="4" t="n">
        <v>0</v>
      </c>
      <c r="F448" s="4" t="n">
        <v>0</v>
      </c>
      <c r="G448" s="4" t="n">
        <v>0</v>
      </c>
      <c r="H448" s="4" t="n">
        <v>0</v>
      </c>
      <c r="I448" s="4" t="n">
        <v>0</v>
      </c>
      <c r="J448" s="4" t="n">
        <v>0</v>
      </c>
      <c r="K448" s="4" t="inlineStr">
        <is>
          <t>Inherited scoped adjudication; see source level and lot caveats</t>
        </is>
      </c>
      <c r="L448" s="4" t="inlineStr">
        <is>
          <t>EEG from 60 children (30 ASD/30 TD) is processed with STFT/ICA and classified using CNN-LSTM; the paper reports 87.5% accuracy, while a ResNet baseline reports 89.1%. High-priority internal inconsistency: the abstract states that a 60-child EEG dataset was analyzed, while the publisher Data Availability Statement says no datasets were generated or analyzed. No external cohort or real-time prospective deployment was established.</t>
        </is>
      </c>
      <c r="M448" s="4" t="inlineStr">
        <is>
          <t>https://doi.org/10.1002/dneu.23009</t>
        </is>
      </c>
      <c r="N448" s="4" t="n"/>
      <c r="O448" s="4" t="n"/>
      <c r="P448" s="4" t="n"/>
      <c r="Q448" s="12" t="n"/>
      <c r="R448" s="41" t="n"/>
      <c r="S448" s="4" t="inlineStr">
        <is>
          <t>0 = no reported evidence in material assessed; blank = not coded/unknown; neither proves absence</t>
        </is>
      </c>
      <c r="T448" s="4">
        <f>IF(COUNTIFS('ESTUDIOS'!$A$2:$A$455,$A448,'ESTUDIOS'!$I$2:$I$455,"")&gt;0,"",INDEX('ESTUDIOS'!$I$2:$I$455,MATCH($A448,'ESTUDIOS'!$A$2:$A$455,0)))</f>
        <v/>
      </c>
    </row>
    <row r="449" ht="99" customHeight="1">
      <c r="A449" s="4" t="inlineStr">
        <is>
          <t>new_400</t>
        </is>
      </c>
      <c r="B449" s="4" t="inlineStr">
        <is>
          <t>Update</t>
        </is>
      </c>
      <c r="C449" s="4" t="inlineStr">
        <is>
          <t>Mitochondrial Gene Signature Reveals Novel Diagnostic Biomarkers for Autism Spectrum Disorder</t>
        </is>
      </c>
      <c r="D449" s="4" t="n">
        <v>1</v>
      </c>
      <c r="E449" s="4" t="n">
        <v>1</v>
      </c>
      <c r="F449" s="4" t="n">
        <v>0</v>
      </c>
      <c r="G449" s="4" t="n">
        <v>0</v>
      </c>
      <c r="H449" s="4" t="n">
        <v>0</v>
      </c>
      <c r="I449" s="4" t="n">
        <v>1</v>
      </c>
      <c r="J449" s="4" t="n">
        <v>0</v>
      </c>
      <c r="K449" s="4" t="inlineStr">
        <is>
          <t>Inherited scoped adjudication; see source level and lot caveats</t>
        </is>
      </c>
      <c r="L449" s="4" t="inlineStr">
        <is>
          <t>Mitochondrial-gene signatures are selected from GSE28521 using LASSO/RF/SVM-RFE and evaluated in GSE64018; ANN/linear/nomogram models are reported, with separate mouse qPCR support. External validation is dataset-level but remains retrospective transcriptomic validation; postmortem cortex limits direct clinical deployability, and mouse qPCR is not human clinical validation.</t>
        </is>
      </c>
      <c r="M449" s="4" t="inlineStr">
        <is>
          <t>https://doi.org/10.1007/s12035-026-05911-y</t>
        </is>
      </c>
      <c r="N449" s="4" t="n"/>
      <c r="O449" s="4" t="n"/>
      <c r="P449" s="4" t="n"/>
      <c r="Q449" s="12" t="n"/>
      <c r="R449" s="41" t="n"/>
      <c r="S449" s="4" t="inlineStr">
        <is>
          <t>0 = no reported evidence in material assessed; blank = not coded/unknown; neither proves absence</t>
        </is>
      </c>
      <c r="T449" s="4">
        <f>IF(COUNTIFS('ESTUDIOS'!$A$2:$A$455,$A449,'ESTUDIOS'!$I$2:$I$455,"")&gt;0,"",INDEX('ESTUDIOS'!$I$2:$I$455,MATCH($A449,'ESTUDIOS'!$A$2:$A$455,0)))</f>
        <v/>
      </c>
    </row>
    <row r="450" ht="86" customHeight="1">
      <c r="A450" s="4" t="inlineStr">
        <is>
          <t>new_411</t>
        </is>
      </c>
      <c r="B450" s="4" t="inlineStr">
        <is>
          <t>Update</t>
        </is>
      </c>
      <c r="C450" s="4" t="inlineStr">
        <is>
          <t>Blood-based DNA methylation markers for autism spectrum disorder identification using machine learning</t>
        </is>
      </c>
      <c r="D450" s="4" t="n">
        <v>0</v>
      </c>
      <c r="E450" s="4" t="n">
        <v>0</v>
      </c>
      <c r="F450" s="4" t="n">
        <v>0</v>
      </c>
      <c r="G450" s="4" t="n">
        <v>0</v>
      </c>
      <c r="H450" s="4" t="n">
        <v>0</v>
      </c>
      <c r="I450" s="4" t="n">
        <v>1</v>
      </c>
      <c r="J450" s="4" t="n">
        <v>0</v>
      </c>
      <c r="K450" s="4" t="inlineStr">
        <is>
          <t>Inherited scoped adjudication; see source level and lot caveats</t>
        </is>
      </c>
      <c r="L450" s="4" t="inlineStr">
        <is>
          <t>Whole-blood DNA methylation data (52 ASD, 48 TD) are reduced using SVM-RFECV and classified with RF/XGBoost/DT; RF and XGBoost are reported as best-performing. Small single public dataset with no independent external cohort; feature selection and model evaluation on the same source can inflate biomarker optimism without external replication.</t>
        </is>
      </c>
      <c r="M450" s="4" t="inlineStr">
        <is>
          <t>https://doi.org/10.1080/17501911.2025.2557186</t>
        </is>
      </c>
      <c r="N450" s="4" t="n"/>
      <c r="O450" s="4" t="n"/>
      <c r="P450" s="4" t="n"/>
      <c r="Q450" s="12" t="n"/>
      <c r="R450" s="41" t="n"/>
      <c r="S450" s="4" t="inlineStr">
        <is>
          <t>0 = no reported evidence in material assessed; blank = not coded/unknown; neither proves absence</t>
        </is>
      </c>
      <c r="T450" s="4">
        <f>IF(COUNTIFS('ESTUDIOS'!$A$2:$A$455,$A450,'ESTUDIOS'!$I$2:$I$455,"")&gt;0,"",INDEX('ESTUDIOS'!$I$2:$I$455,MATCH($A450,'ESTUDIOS'!$A$2:$A$455,0)))</f>
        <v/>
      </c>
    </row>
    <row r="451" ht="99" customHeight="1">
      <c r="A451" s="4" t="inlineStr">
        <is>
          <t>new_412</t>
        </is>
      </c>
      <c r="B451" s="4" t="inlineStr">
        <is>
          <t>Update</t>
        </is>
      </c>
      <c r="C451" s="4" t="inlineStr">
        <is>
          <t>Federated Transformer-Based Deep Learning Framework for Secure and Early Autism Diagnosis</t>
        </is>
      </c>
      <c r="D451" s="4" t="n">
        <v>0</v>
      </c>
      <c r="E451" s="4" t="n">
        <v>1</v>
      </c>
      <c r="F451" s="4" t="n">
        <v>0</v>
      </c>
      <c r="G451" s="4" t="n">
        <v>0</v>
      </c>
      <c r="H451" s="4" t="n">
        <v>0</v>
      </c>
      <c r="I451" s="4" t="n">
        <v>0</v>
      </c>
      <c r="J451" s="4" t="n">
        <v>1</v>
      </c>
      <c r="K451" s="4" t="inlineStr">
        <is>
          <t>Inherited scoped adjudication; see source level and lot caveats</t>
        </is>
      </c>
      <c r="L451" s="4" t="inlineStr">
        <is>
          <t>A federated Transformer framework is evaluated on ABIDE- and SPARK-derived data with secure aggregation and model compression, reporting very high classification accuracy. Federated/multisite training is not equivalent to a held-out-site robustness test. The accessible evidence does not establish independent external or prospective clinical validation, and near-ceiling accuracy requires leakage/partition checks.</t>
        </is>
      </c>
      <c r="M451" s="4" t="inlineStr">
        <is>
          <t>https://doi.org/10.1007/s42979-026-04806-y</t>
        </is>
      </c>
      <c r="N451" s="4" t="n"/>
      <c r="O451" s="4" t="n"/>
      <c r="P451" s="4" t="n"/>
      <c r="Q451" s="12" t="n"/>
      <c r="R451" s="41" t="n"/>
      <c r="S451" s="4" t="inlineStr">
        <is>
          <t>0 = no reported evidence in material assessed; blank = not coded/unknown; neither proves absence</t>
        </is>
      </c>
      <c r="T451" s="4">
        <f>IF(COUNTIFS('ESTUDIOS'!$A$2:$A$455,$A451,'ESTUDIOS'!$I$2:$I$455,"")&gt;0,"",INDEX('ESTUDIOS'!$I$2:$I$455,MATCH($A451,'ESTUDIOS'!$A$2:$A$455,0)))</f>
        <v/>
      </c>
    </row>
    <row r="452" ht="112" customHeight="1">
      <c r="A452" s="4" t="inlineStr">
        <is>
          <t>new_415</t>
        </is>
      </c>
      <c r="B452" s="4" t="inlineStr">
        <is>
          <t>Update</t>
        </is>
      </c>
      <c r="C452" s="4" t="inlineStr">
        <is>
          <t>Artificial intelligence-based diagnostic model for autism spectrum disorder using blood biomarkers</t>
        </is>
      </c>
      <c r="D452" s="4" t="n">
        <v>0</v>
      </c>
      <c r="E452" s="4" t="n">
        <v>1</v>
      </c>
      <c r="F452" s="4" t="n">
        <v>0</v>
      </c>
      <c r="G452" s="4" t="n">
        <v>0</v>
      </c>
      <c r="H452" s="4" t="n">
        <v>0</v>
      </c>
      <c r="I452" s="4" t="n">
        <v>1</v>
      </c>
      <c r="J452" s="4" t="n">
        <v>0</v>
      </c>
      <c r="K452" s="4" t="inlineStr">
        <is>
          <t>Inherited scoped adjudication; see source level and lot caveats</t>
        </is>
      </c>
      <c r="L452" s="4" t="inlineStr">
        <is>
          <t>The ASA framework combines information-gain/Genetic-Algorithm feature selection with an optimized DNN and reports approximately 99% accuracy. 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t>
        </is>
      </c>
      <c r="M452" s="4" t="inlineStr">
        <is>
          <t>https://doi.org/10.1007/s00521-025-11553-3</t>
        </is>
      </c>
      <c r="N452" s="4" t="n"/>
      <c r="O452" s="4" t="n"/>
      <c r="P452" s="4" t="n"/>
      <c r="Q452" s="12" t="n"/>
      <c r="R452" s="41" t="n"/>
      <c r="S452" s="4" t="inlineStr">
        <is>
          <t>0 = no reported evidence in material assessed; blank = not coded/unknown; neither proves absence</t>
        </is>
      </c>
      <c r="T452" s="4">
        <f>IF(COUNTIFS('ESTUDIOS'!$A$2:$A$455,$A452,'ESTUDIOS'!$I$2:$I$455,"")&gt;0,"",INDEX('ESTUDIOS'!$I$2:$I$455,MATCH($A452,'ESTUDIOS'!$A$2:$A$455,0)))</f>
        <v/>
      </c>
    </row>
    <row r="453" ht="86" customHeight="1">
      <c r="A453" s="4" t="inlineStr">
        <is>
          <t>new_416</t>
        </is>
      </c>
      <c r="B453" s="4" t="inlineStr">
        <is>
          <t>Update</t>
        </is>
      </c>
      <c r="C453" s="4" t="inlineStr">
        <is>
          <t>An explainable deep learning framework for screening level autism severity using behavioural data</t>
        </is>
      </c>
      <c r="D453" s="4" t="n">
        <v>0</v>
      </c>
      <c r="E453" s="4" t="n">
        <v>1</v>
      </c>
      <c r="F453" s="4" t="n">
        <v>0</v>
      </c>
      <c r="G453" s="4" t="n">
        <v>0</v>
      </c>
      <c r="H453" s="4" t="n">
        <v>1</v>
      </c>
      <c r="I453" s="4" t="n">
        <v>0</v>
      </c>
      <c r="J453" s="4" t="n">
        <v>0</v>
      </c>
      <c r="K453" s="4" t="inlineStr">
        <is>
          <t>Inherited scoped adjudication; see source level and lot caveats</t>
        </is>
      </c>
      <c r="L453" s="4" t="inlineStr">
        <is>
          <t>BiLSTM-CGBO is trained on harmonized Kaggle/UCI behavioral screening data and uses SHAP for feature-level explanations of screening/severity outputs. The severity target is closely tied to deterministic behavioral scoring and is not an independently clinician-annotated diagnostic endpoint; no independent external clinical cohort is provided.</t>
        </is>
      </c>
      <c r="M453" s="4" t="inlineStr">
        <is>
          <t>https://doi.org/10.1007/s42452-026-08352-3</t>
        </is>
      </c>
      <c r="N453" s="4" t="n"/>
      <c r="O453" s="4" t="n"/>
      <c r="P453" s="4" t="n"/>
      <c r="Q453" s="12" t="n"/>
      <c r="R453" s="41" t="n"/>
      <c r="S453" s="4" t="inlineStr">
        <is>
          <t>0 = no reported evidence in material assessed; blank = not coded/unknown; neither proves absence</t>
        </is>
      </c>
      <c r="T453" s="4">
        <f>IF(COUNTIFS('ESTUDIOS'!$A$2:$A$455,$A453,'ESTUDIOS'!$I$2:$I$455,"")&gt;0,"",INDEX('ESTUDIOS'!$I$2:$I$455,MATCH($A453,'ESTUDIOS'!$A$2:$A$455,0)))</f>
        <v/>
      </c>
    </row>
    <row r="454" ht="112" customHeight="1">
      <c r="A454" s="4" t="inlineStr">
        <is>
          <t>new_421</t>
        </is>
      </c>
      <c r="B454" s="4" t="inlineStr">
        <is>
          <t>Update</t>
        </is>
      </c>
      <c r="C454" s="4" t="inlineStr">
        <is>
          <t>Edge-Based Robot-Assisted Hand Gesture Recognition for Autism Intervention Using Hybrid Keyframe Selection and Contrastive Learning</t>
        </is>
      </c>
      <c r="D454" s="4" t="n">
        <v>0</v>
      </c>
      <c r="E454" s="4" t="n">
        <v>0</v>
      </c>
      <c r="F454" s="4" t="n">
        <v>0</v>
      </c>
      <c r="G454" s="4" t="n">
        <v>1</v>
      </c>
      <c r="H454" s="4" t="n">
        <v>0</v>
      </c>
      <c r="I454" s="4" t="n">
        <v>0</v>
      </c>
      <c r="J454" s="4" t="n">
        <v>0</v>
      </c>
      <c r="K454" s="4" t="inlineStr">
        <is>
          <t>Inherited scoped adjudication; see source level and lot caveats</t>
        </is>
      </c>
      <c r="L454" s="4" t="inlineStr">
        <is>
          <t>CARAT uses MediaPipe landmarks, hybrid keyframe selection, 1D convolution and contrastive learning for real-time gesture recognition/correction; data were collected with healthy and autistic children and ASD recognition accuracy is reported at 96.42%. The study validates gesture-recognition performance, not therapeutic efficacy or durable social-skill improvement. Therefore the system is intervention-oriented but not coded as confirmed clinical intervention effectiveness.</t>
        </is>
      </c>
      <c r="M454" s="4" t="inlineStr">
        <is>
          <t>https://doi.org/10.1109/tmrb.2026.3680976</t>
        </is>
      </c>
      <c r="N454" s="4" t="n"/>
      <c r="O454" s="4" t="n"/>
      <c r="P454" s="4" t="n"/>
      <c r="Q454" s="12" t="n"/>
      <c r="R454" s="41" t="n"/>
      <c r="S454" s="4" t="inlineStr">
        <is>
          <t>0 = no reported evidence in material assessed; blank = not coded/unknown; neither proves absence</t>
        </is>
      </c>
      <c r="T454" s="4">
        <f>IF(COUNTIFS('ESTUDIOS'!$A$2:$A$455,$A454,'ESTUDIOS'!$I$2:$I$455,"")&gt;0,"",INDEX('ESTUDIOS'!$I$2:$I$455,MATCH($A454,'ESTUDIOS'!$A$2:$A$455,0)))</f>
        <v/>
      </c>
    </row>
    <row r="455" ht="112" customHeight="1">
      <c r="A455" s="4" t="inlineStr">
        <is>
          <t>new_423</t>
        </is>
      </c>
      <c r="B455" s="4" t="inlineStr">
        <is>
          <t>Update</t>
        </is>
      </c>
      <c r="C455" s="4" t="inlineStr">
        <is>
          <t>Toward a Smartwatch-Based System for Automated Social Interaction Monitoring in Autism</t>
        </is>
      </c>
      <c r="D455" s="4" t="n">
        <v>0</v>
      </c>
      <c r="E455" s="4" t="n">
        <v>0</v>
      </c>
      <c r="F455" s="4" t="n">
        <v>0</v>
      </c>
      <c r="G455" s="4" t="n">
        <v>1</v>
      </c>
      <c r="H455" s="4" t="n">
        <v>0</v>
      </c>
      <c r="I455" s="4" t="n">
        <v>0</v>
      </c>
      <c r="J455" s="4" t="n">
        <v>1</v>
      </c>
      <c r="K455" s="4" t="inlineStr">
        <is>
          <t>Inherited scoped adjudication; see source level and lot caveats</t>
        </is>
      </c>
      <c r="L455" s="4" t="inlineStr">
        <is>
          <t>A smartwatch/cloud system combines deep-learning speaker diarization with heart-rate data; it was tested with formally diagnosed ASD participants and in naturalistic social-interaction recordings, supporting an actual monitoring workflow. Sample sizes are small and staged, and the work evaluates measurement/diarization rather than downstream clinical outcomes. Generalization across acoustic contexts, ages, devices and sites remains unproven.</t>
        </is>
      </c>
      <c r="M455" s="4" t="inlineStr">
        <is>
          <t>https://doi.org/10.1109/access.2026.3674057</t>
        </is>
      </c>
      <c r="N455" s="4" t="n"/>
      <c r="O455" s="4" t="n"/>
      <c r="P455" s="4" t="n"/>
      <c r="Q455" s="12" t="n"/>
      <c r="R455" s="41" t="n"/>
      <c r="S455" s="4" t="inlineStr">
        <is>
          <t>0 = no reported evidence in material assessed; blank = not coded/unknown; neither proves absence</t>
        </is>
      </c>
      <c r="T455" s="4">
        <f>IF(COUNTIFS('ESTUDIOS'!$A$2:$A$455,$A455,'ESTUDIOS'!$I$2:$I$455,"")&gt;0,"",INDEX('ESTUDIOS'!$I$2:$I$455,MATCH($A455,'ESTUDIOS'!$A$2:$A$455,0)))</f>
        <v/>
      </c>
    </row>
  </sheetData>
  <dataValidations count="7">
    <dataValidation sqref="D2:D455" showDropDown="0" showInputMessage="0" showErrorMessage="0" allowBlank="0" type="list">
      <formula1>"0,1"</formula1>
    </dataValidation>
    <dataValidation sqref="E2:E455" showDropDown="0" showInputMessage="0" showErrorMessage="0" allowBlank="0" type="list">
      <formula1>"0,1"</formula1>
    </dataValidation>
    <dataValidation sqref="F2:F455" showDropDown="0" showInputMessage="0" showErrorMessage="0" allowBlank="0" type="list">
      <formula1>"0,1"</formula1>
    </dataValidation>
    <dataValidation sqref="G2:G455" showDropDown="0" showInputMessage="0" showErrorMessage="0" allowBlank="0" type="list">
      <formula1>"0,1"</formula1>
    </dataValidation>
    <dataValidation sqref="H2:H455" showDropDown="0" showInputMessage="0" showErrorMessage="0" allowBlank="0" type="list">
      <formula1>"0,1"</formula1>
    </dataValidation>
    <dataValidation sqref="I2:I455" showDropDown="0" showInputMessage="0" showErrorMessage="0" allowBlank="0" type="list">
      <formula1>"0,1"</formula1>
    </dataValidation>
    <dataValidation sqref="J2:J455" showDropDown="0" showInputMessage="0" showErrorMessage="0" allowBlank="0" type="list">
      <formula1>"0,1"</formula1>
    </dataValidation>
  </dataValidations>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455"/>
  <sheetViews>
    <sheetView showGridLines="0" workbookViewId="0">
      <selection activeCell="A1" sqref="A1"/>
    </sheetView>
  </sheetViews>
  <sheetFormatPr baseColWidth="8" defaultRowHeight="15"/>
  <cols>
    <col width="14" customWidth="1" min="1" max="1"/>
    <col width="14" customWidth="1" min="2" max="2"/>
    <col width="55" customWidth="1" min="3" max="3"/>
    <col width="44" customWidth="1" min="4" max="4"/>
    <col width="44" customWidth="1" min="5" max="5"/>
    <col width="65" customWidth="1" min="6" max="6"/>
    <col width="65" customWidth="1" min="7" max="7"/>
    <col width="20" customWidth="1" min="8" max="8"/>
    <col width="65" customWidth="1" min="9" max="9"/>
    <col width="65" customWidth="1" min="10" max="10"/>
    <col width="65" customWidth="1" min="11" max="11"/>
    <col width="28" customWidth="1" min="12" max="12"/>
  </cols>
  <sheetData>
    <row r="1" ht="52" customHeight="1">
      <c r="A1" s="6" t="inlineStr">
        <is>
          <t>study_id</t>
        </is>
      </c>
      <c r="B1" s="6" t="inlineStr">
        <is>
          <t>cohort</t>
        </is>
      </c>
      <c r="C1" s="6" t="inlineStr">
        <is>
          <t>title</t>
        </is>
      </c>
      <c r="D1" s="6" t="inlineStr">
        <is>
          <t>doi</t>
        </is>
      </c>
      <c r="E1" s="6" t="inlineStr">
        <is>
          <t>source_url</t>
        </is>
      </c>
      <c r="F1" s="6" t="inlineStr">
        <is>
          <t>abstract_original</t>
        </is>
      </c>
      <c r="G1" s="6" t="inlineStr">
        <is>
          <t>coding_notes</t>
        </is>
      </c>
      <c r="H1" s="6" t="inlineStr">
        <is>
          <t>historical_rq2_resolution</t>
        </is>
      </c>
      <c r="I1" s="6" t="inlineStr">
        <is>
          <t>lot_evidence_and_caveats</t>
        </is>
      </c>
      <c r="J1" s="6" t="inlineStr">
        <is>
          <t>access_note</t>
        </is>
      </c>
      <c r="K1" s="6" t="inlineStr">
        <is>
          <t>source_basis</t>
        </is>
      </c>
      <c r="L1" s="6" t="inlineStr">
        <is>
          <t>independent_verification</t>
        </is>
      </c>
    </row>
    <row r="2" ht="409" customHeight="1">
      <c r="A2" s="4" t="inlineStr">
        <is>
          <t>1</t>
        </is>
      </c>
      <c r="B2" s="4" t="inlineStr">
        <is>
          <t>Historical</t>
        </is>
      </c>
      <c r="C2" s="4" t="inlineStr">
        <is>
          <t>A Clinically Interpretable Approach for Early Detection of Autism Using Machine Learning With Explainable AI</t>
        </is>
      </c>
      <c r="D2" s="4" t="inlineStr">
        <is>
          <t>10.1109/access.2025.3586314</t>
        </is>
      </c>
      <c r="E2" s="4" t="inlineStr">
        <is>
          <t>https://doi.org/10.1109/access.2025.3586314</t>
        </is>
      </c>
      <c r="F2" s="4" t="inlineStr">
        <is>
          <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t>
        </is>
      </c>
      <c r="G2" s="4" t="inlineStr">
        <is>
          <t>“Comparative ML study: Naive Bayes, SVM, Random Forest; RF best; explainability via SHAP; 5-fold CV.”</t>
        </is>
      </c>
      <c r="H2" s="4" t="str"/>
      <c r="I2" s="4" t="str"/>
      <c r="J2" s="4" t="n"/>
      <c r="K2" s="4" t="inlineStr">
        <is>
          <t>Historical signals: title/abstract/notes; full-text completion not independently established</t>
        </is>
      </c>
      <c r="L2" s="4" t="inlineStr">
        <is>
          <t>Not documented in provided sources</t>
        </is>
      </c>
    </row>
    <row r="3" ht="372" customHeight="1">
      <c r="A3" s="4" t="inlineStr">
        <is>
          <t>2</t>
        </is>
      </c>
      <c r="B3" s="4" t="inlineStr">
        <is>
          <t>Historical</t>
        </is>
      </c>
      <c r="C3" s="4" t="inlineStr">
        <is>
          <t>Searching for a minimal set of behaviors for autism detection through feature selection-based machine learning</t>
        </is>
      </c>
      <c r="D3" s="4" t="inlineStr">
        <is>
          <t>10.1038/tp.2015.7</t>
        </is>
      </c>
      <c r="E3" s="4" t="inlineStr">
        <is>
          <t>https://doi.org/10.1038/tp.2015.7</t>
        </is>
      </c>
      <c r="F3" s="4" t="inlineStr">
        <is>
          <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t>
        </is>
      </c>
      <c r="G3" s="4" t="inlineStr">
        <is>
          <t>Usa ADOS/ítems conductuales para detección/cribado; algoritmo principal no explícito.</t>
        </is>
      </c>
      <c r="H3" s="4" t="str"/>
      <c r="I3" s="4" t="str"/>
      <c r="J3" s="4" t="n"/>
      <c r="K3" s="4" t="inlineStr">
        <is>
          <t>Historical signals: title/abstract/notes; full-text completion not independently established</t>
        </is>
      </c>
      <c r="L3" s="4" t="inlineStr">
        <is>
          <t>Not documented in provided sources</t>
        </is>
      </c>
    </row>
    <row r="4" ht="409" customHeight="1">
      <c r="A4" s="4" t="inlineStr">
        <is>
          <t>3</t>
        </is>
      </c>
      <c r="B4" s="4" t="inlineStr">
        <is>
          <t>Historical</t>
        </is>
      </c>
      <c r="C4" s="4" t="inlineStr">
        <is>
          <t>The use of data independent acquisition based proteomic analysis and machine learning to reveal potential biomarkers for autism spectrum disorder</t>
        </is>
      </c>
      <c r="D4" s="4" t="inlineStr">
        <is>
          <t>10.1016/j.jprot.2023.104872</t>
        </is>
      </c>
      <c r="E4" s="4" t="inlineStr">
        <is>
          <t>https://doi.org/10.1016/j.jprot.2023.104872</t>
        </is>
      </c>
      <c r="F4" s="4" t="inlineStr">
        <is>
          <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t>
        </is>
      </c>
      <c r="G4" s="4" t="inlineStr">
        <is>
          <t>Biomarcadores proteómicos en plasma para discriminar ASD vs controles; algoritmo ML no especificado.</t>
        </is>
      </c>
      <c r="H4" s="4" t="str"/>
      <c r="I4" s="4" t="str"/>
      <c r="J4" s="4" t="n"/>
      <c r="K4" s="4" t="inlineStr">
        <is>
          <t>Historical signals: title/abstract/notes; full-text completion not independently established</t>
        </is>
      </c>
      <c r="L4" s="4" t="inlineStr">
        <is>
          <t>Not documented in provided sources</t>
        </is>
      </c>
    </row>
    <row r="5" ht="242" customHeight="1">
      <c r="A5" s="4" t="inlineStr">
        <is>
          <t>4</t>
        </is>
      </c>
      <c r="B5" s="4" t="inlineStr">
        <is>
          <t>Historical</t>
        </is>
      </c>
      <c r="C5" s="4" t="inlineStr">
        <is>
          <t>Cognitive Disorder Detection Used for Early Autism Screening Using Deep Learning</t>
        </is>
      </c>
      <c r="D5" s="4" t="inlineStr">
        <is>
          <t>10.1007/978-981-96-3942-7_18</t>
        </is>
      </c>
      <c r="E5" s="4" t="inlineStr">
        <is>
          <t>https://doi.org/10.1007/978-981-96-3942-7_18</t>
        </is>
      </c>
      <c r="F5" s="4" t="inlineStr">
        <is>
          <t>The proposed Monotonous Trans cranial Magnetic Stimulation device has been used as an invasive therapy for a variety of neurological and psychiatric conditions, including schizophrenia, Parkinson's disease, and depression, throughout the last ten years. Early detection of cognitive disorders such as dementias and Alzheimer's allows patients to get higher-quality therapy that helps them retrieve the information they need and preserve their memories. The rTMS device modifies the firing pulse of neurons to initiate brain communication by providing a varying magnetic field. This problem arises because Alzheimer's disease tangles and the resulting neuronal death often begin in memory-related areas like the progress to. In clinical and research contexts, cognitive disorders are associated with difficulties; moderate cognitive disorder (MCD) in particular need a high level of diagnostic suspicion in addition to equipment that are sensitive enough to detect it. This study was out to validate the short cognitive test (CATest) for MiCD diagnosis.</t>
        </is>
      </c>
      <c r="G5" s="4" t="inlineStr">
        <is>
          <t>Classification task; target label not consistently described (cognitive disorder/MiCD vs ‘early autism screening</t>
        </is>
      </c>
      <c r="H5" s="4" t="str"/>
      <c r="I5" s="4" t="str"/>
      <c r="J5" s="4" t="n"/>
      <c r="K5" s="4" t="inlineStr">
        <is>
          <t>Historical signals: title/abstract/notes; full-text completion not independently established</t>
        </is>
      </c>
      <c r="L5" s="4" t="inlineStr">
        <is>
          <t>Not documented in provided sources</t>
        </is>
      </c>
    </row>
    <row r="6" ht="409" customHeight="1">
      <c r="A6" s="4" t="inlineStr">
        <is>
          <t>5</t>
        </is>
      </c>
      <c r="B6" s="4" t="inlineStr">
        <is>
          <t>Historical</t>
        </is>
      </c>
      <c r="C6" s="4" t="inlineStr">
        <is>
          <t>Metabolomics as a tool for discovery of biomarkers of autism spectrum disorder in the blood plasma of children</t>
        </is>
      </c>
      <c r="D6" s="4" t="inlineStr">
        <is>
          <t>10.1371/journal.pone.0112445</t>
        </is>
      </c>
      <c r="E6" s="4" t="inlineStr">
        <is>
          <t>https://doi.org/10.1371/journal.pone.0112445</t>
        </is>
      </c>
      <c r="F6" s="4" t="inlineStr">
        <is>
          <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t>
        </is>
      </c>
      <c r="G6" s="4" t="inlineStr">
        <is>
          <t>Metabolómica plasmática para discriminar ASD vs controles; confirmar algoritmo principal en full-text.</t>
        </is>
      </c>
      <c r="H6" s="4" t="str"/>
      <c r="I6" s="4" t="str"/>
      <c r="J6" s="4" t="n"/>
      <c r="K6" s="4" t="inlineStr">
        <is>
          <t>Historical signals: title/abstract/notes; full-text completion not independently established</t>
        </is>
      </c>
      <c r="L6" s="4" t="inlineStr">
        <is>
          <t>Not documented in provided sources</t>
        </is>
      </c>
    </row>
    <row r="7" ht="409" customHeight="1">
      <c r="A7" s="4" t="inlineStr">
        <is>
          <t>6</t>
        </is>
      </c>
      <c r="B7" s="4" t="inlineStr">
        <is>
          <t>Historical</t>
        </is>
      </c>
      <c r="C7" s="4" t="inlineStr">
        <is>
          <t>Sparsifying machine learning models identify stable subsets of predictive features for behavioral detection of autism</t>
        </is>
      </c>
      <c r="D7" s="4" t="inlineStr">
        <is>
          <t>10.1186/s13229-017-0180-6</t>
        </is>
      </c>
      <c r="E7" s="4" t="inlineStr">
        <is>
          <t>https://doi.org/10.1186/s13229-017-0180-6</t>
        </is>
      </c>
      <c r="F7" s="4" t="inlineStr">
        <is>
          <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t>
        </is>
      </c>
      <c r="G7" s="4" t="inlineStr">
        <is>
          <t>Comparative study (17 supervised models); sparse/regularized; interpretable candidates include Logistic Regression (L2) and Linear SVM (L1).</t>
        </is>
      </c>
      <c r="H7" s="4" t="str"/>
      <c r="I7" s="4" t="str"/>
      <c r="J7" s="4" t="n"/>
      <c r="K7" s="4" t="inlineStr">
        <is>
          <t>Historical signals: title/abstract/notes; full-text completion not independently established</t>
        </is>
      </c>
      <c r="L7" s="4" t="inlineStr">
        <is>
          <t>Not documented in provided sources</t>
        </is>
      </c>
    </row>
    <row r="8" ht="409" customHeight="1">
      <c r="A8" s="4" t="inlineStr">
        <is>
          <t>7</t>
        </is>
      </c>
      <c r="B8" s="4" t="inlineStr">
        <is>
          <t>Historical</t>
        </is>
      </c>
      <c r="C8" s="4" t="inlineStr">
        <is>
          <t>Transformer-based deep learning ensemble framework predicts autism spectrum disorder using health administrative and birth registry data</t>
        </is>
      </c>
      <c r="D8" s="4" t="inlineStr">
        <is>
          <t>10.1038/s41598-025-90216-8</t>
        </is>
      </c>
      <c r="E8" s="4" t="inlineStr">
        <is>
          <t>https://doi.org/10.1038/s41598-025-90216-8</t>
        </is>
      </c>
      <c r="F8" s="4" t="inlineStr">
        <is>
          <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t>
        </is>
      </c>
      <c r="G8" s="4" t="str"/>
      <c r="H8" s="4" t="str"/>
      <c r="I8" s="4" t="str"/>
      <c r="J8" s="4" t="n"/>
      <c r="K8" s="4" t="inlineStr">
        <is>
          <t>Historical signals: title/abstract/notes; full-text completion not independently established</t>
        </is>
      </c>
      <c r="L8" s="4" t="inlineStr">
        <is>
          <t>Not documented in provided sources</t>
        </is>
      </c>
    </row>
    <row r="9" ht="255" customHeight="1">
      <c r="A9" s="4" t="inlineStr">
        <is>
          <t>8</t>
        </is>
      </c>
      <c r="B9" s="4" t="inlineStr">
        <is>
          <t>Historical</t>
        </is>
      </c>
      <c r="C9" s="4" t="inlineStr">
        <is>
          <t>A Closed-Loop Ear-Worn Wearable EEG System with Real-Time Passive Electrode Skin Impedance Measurement for Early Autism Detection †</t>
        </is>
      </c>
      <c r="D9" s="4" t="inlineStr">
        <is>
          <t>10.3390/s24237489</t>
        </is>
      </c>
      <c r="E9" s="4" t="inlineStr">
        <is>
          <t>https://doi.org/10.3390/s24237489</t>
        </is>
      </c>
      <c r="F9" s="4" t="inlineStr">
        <is>
          <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t>
        </is>
      </c>
      <c r="G9" s="4" t="str"/>
      <c r="H9" s="4" t="str"/>
      <c r="I9" s="4" t="str"/>
      <c r="J9" s="4" t="n"/>
      <c r="K9" s="4" t="inlineStr">
        <is>
          <t>Historical signals: title/abstract/notes; full-text completion not independently established</t>
        </is>
      </c>
      <c r="L9" s="4" t="inlineStr">
        <is>
          <t>Not documented in provided sources</t>
        </is>
      </c>
    </row>
    <row r="10" ht="409" customHeight="1">
      <c r="A10" s="4" t="inlineStr">
        <is>
          <t>9</t>
        </is>
      </c>
      <c r="B10" s="4" t="inlineStr">
        <is>
          <t>Historical</t>
        </is>
      </c>
      <c r="C10" s="4" t="inlineStr">
        <is>
          <t>An automated assessment framework for atypical prosody and stereotyped idiosyncratic phrases related to autism spectrum disorder</t>
        </is>
      </c>
      <c r="D10" s="4" t="inlineStr">
        <is>
          <t>10.1016/j.csl.2018.11.002</t>
        </is>
      </c>
      <c r="E10" s="4" t="inlineStr">
        <is>
          <t>https://doi.org/10.1016/j.csl.2018.11.002</t>
        </is>
      </c>
      <c r="F10" s="4" t="inlineStr">
        <is>
          <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t>
        </is>
      </c>
      <c r="G10" s="4" t="inlineStr">
        <is>
          <t>“End-to-end models: CNN, RNN(BLSTM), CNN+RNN(GRU/LSTM) on spectrograms; baseline OpenSMILE+linear SVM; text task uses linear SVM with n-gram/dep-treebank/TF-IDF/LIWC; score-level fusion.</t>
        </is>
      </c>
      <c r="H10" s="4" t="str"/>
      <c r="I10" s="4" t="str"/>
      <c r="J10" s="4" t="n"/>
      <c r="K10" s="4" t="inlineStr">
        <is>
          <t>Historical signals: title/abstract/notes; full-text completion not independently established</t>
        </is>
      </c>
      <c r="L10" s="4" t="inlineStr">
        <is>
          <t>Not documented in provided sources</t>
        </is>
      </c>
    </row>
    <row r="11" ht="409" customHeight="1">
      <c r="A11" s="4" t="inlineStr">
        <is>
          <t>10</t>
        </is>
      </c>
      <c r="B11" s="4" t="inlineStr">
        <is>
          <t>Historical</t>
        </is>
      </c>
      <c r="C11" s="4" t="inlineStr">
        <is>
          <t>Artificial Intelligence Driven Predictive Analysis of Acoustic and Linguistic Behaviors for ASD Identification</t>
        </is>
      </c>
      <c r="D11" s="4" t="inlineStr">
        <is>
          <t>10.1109/tai.2024.3439288</t>
        </is>
      </c>
      <c r="E11" s="4" t="inlineStr">
        <is>
          <t>https://doi.org/10.1109/tai.2024.3439288</t>
        </is>
      </c>
      <c r="F11" s="4" t="inlineStr">
        <is>
          <t>Our study addresses a crucial gap in autism research by delving into linguistic challenges in low-resource languages, often overlooked in prior research primarily focused on English. By investigating unique acoustic and linguistic features in Hindi-speaking CwA, our study aligns with established diagnostic tools and highlights a significant ∼9% enhancement in diagnostic accuracy (∼91.3%) for ASD in Hindi-speaking children. Hindi, a non-English language spoken by over 325 million people in India and ranking fifth globally, has been the subject of our pioneering effort, marking the first exploration of ASD speech analysis in this language. This initiative not only represents the first exploration of ASD speech analysis in Hindi but also establishes a precedent for studying linguistic atypicalities in similar resource-constrained languages. The potential impact extends beyond diagnosis, offering promise for enhanced early identification and interventions, ultimately improving outcomes for CwA in low-resource language settings.Show Less
Abstract:
The identification of autism spectrum disorder (ASD) faces challenges due to the lack of reliable biomarkers and the subjectivity in diagnostic procedures, necessitating improved tools for objectivity and efficiency. Being a key characteristic of autism, language impairments are regarded as potential markers for identifying ASD. However, current research predominantly focuses on analyzing language characteristics in English, overlooking linguistic and contextual specificities in other resource-constrained languages. Motivated by these, we developed an artificial intelligence (AI)-based system to detect ASD, utilizing a range of acoustic and linguistic features extracted from dyadic conversations between a child and their communication partner. Validating our model on 76 English-speaking children [35 ASD and 41 typically developing (TD)] and 33 Hindi-speaking children (15 ASD and 18 TD), our extensive analysis of a diverse and comprehensive set of acoustic and linguistic speech attributes, including lexical, syntactic, semantic, and pragmatic elements revealed reliable speech attributes as predictors of ASD. This comprehensive analysis achieved a remarkable macro F1-score of approximately ∼91.30%. We further addressed the influence of linguistic diversity on speech-based ASD assessment by examining speech behaviors in both English and the low-resource language, Hindi. Specific features such as adverbs and distinct roots contributed significantly to ASD classification in English, while the proportion of unintelligible utterances and adposition use held greater importance in Hindi. This study underscores the reliability of speech-based biomarkers in ASD assessment, emphasizing their effectiveness across diverse linguistic backgrounds and highlighting the need for language-specific research in this domain.</t>
        </is>
      </c>
      <c r="G11" s="4" t="str"/>
      <c r="H11" s="4" t="str"/>
      <c r="I11" s="4" t="str"/>
      <c r="J11" s="4" t="n"/>
      <c r="K11" s="4" t="inlineStr">
        <is>
          <t>Historical signals: title/abstract/notes; full-text completion not independently established</t>
        </is>
      </c>
      <c r="L11" s="4" t="inlineStr">
        <is>
          <t>Not documented in provided sources</t>
        </is>
      </c>
    </row>
    <row r="12" ht="409" customHeight="1">
      <c r="A12" s="4" t="inlineStr">
        <is>
          <t>11</t>
        </is>
      </c>
      <c r="B12" s="4" t="inlineStr">
        <is>
          <t>Historical</t>
        </is>
      </c>
      <c r="C12" s="4" t="inlineStr">
        <is>
          <t>Data Mining-Based Model for Computer-Aided Diagnosis of Autism and Gelotophobia: Mixed Methods Deep Learning Approach.</t>
        </is>
      </c>
      <c r="D12" s="4" t="inlineStr">
        <is>
          <t>10.2196/72115</t>
        </is>
      </c>
      <c r="E12" s="4" t="inlineStr">
        <is>
          <t>https://doi.org/10.2196/72115</t>
        </is>
      </c>
      <c r="F12" s="4"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G12" s="4" t="inlineStr">
        <is>
          <t>ASD status classification from facial images using DeepFace feature extraction; multiple ML models evaluated; MLP reported as highest test accuracy; gelotophobia assessed via DeepFace emotion analysis + GELOPH&lt;15&gt; questionnaire as confirmatory when facial cues ambiguous</t>
        </is>
      </c>
      <c r="H12" s="4" t="str"/>
      <c r="I12" s="4" t="str"/>
      <c r="J12" s="4" t="n"/>
      <c r="K12" s="4" t="inlineStr">
        <is>
          <t>Historical signals: title/abstract/notes; full-text completion not independently established</t>
        </is>
      </c>
      <c r="L12" s="4" t="inlineStr">
        <is>
          <t>Not documented in provided sources</t>
        </is>
      </c>
    </row>
    <row r="13" ht="409" customHeight="1">
      <c r="A13" s="4" t="inlineStr">
        <is>
          <t>12</t>
        </is>
      </c>
      <c r="B13" s="4" t="inlineStr">
        <is>
          <t>Historical</t>
        </is>
      </c>
      <c r="C13" s="4" t="inlineStr">
        <is>
          <t>Effect of Wearable Digital Intervention for Improving Socialization in Children with Autism Spectrum Disorder: A Randomized Clinical Trial</t>
        </is>
      </c>
      <c r="D13" s="4" t="inlineStr">
        <is>
          <t>10.1001/jamapediatrics.2019.0285</t>
        </is>
      </c>
      <c r="E13" s="4" t="inlineStr">
        <is>
          <t>https://doi.org/10.1001/jamapediatrics.2019.0285</t>
        </is>
      </c>
      <c r="F13" s="4" t="inlineStr">
        <is>
          <t>Importance: Autism behavioral therapy is effective but expensive and difficult to access. While mobile technology-based therapy can alleviate wait-lists and scale for increasing demand, few clinical trials exist to support its use for autism spectrum disorder (ASD) care. Objective: To evaluate the efficacy of Superpower Glass, an artificial intelligence-driven wearable behavioral intervention for improving social outcomes of children with ASD. Design, Setting, and Participants: A randomized clinical trial in which participants received the Superpower Glass intervention plus standard of care applied behavioral analysis therapy and control participants received only applied behavioral analysis therapy. Assessments were completed at the Stanford University Medical School, and enrolled participants used the Superpower Glass intervention in their homes. Children aged 6 to 12 years with a formal ASD diagnosis who were currently receiving applied behavioral analysis therapy were included. Families were recruited between June 2016 and December 2017. The first participant was enrolled on November 1, 2016, and the last appointment was completed on April 11, 2018. Data analysis was conducted between April and October 2018. Interventions: The Superpower Glass intervention, deployed via Google Glass (worn by the child) and a smartphone app, promotes facial engagement and emotion recognition by detecting facial expressions and providing reinforcing social cues. Families were asked to conduct 20-minute sessions at home 4 times per week for 6 weeks. Main Outcomes and Measures: Four socialization measures were assessed using an intention-to-treat analysis with a Bonferroni test correction. Results: Overall, 71 children (63 boys [89%]; mean [SD] age, 8.38 [2.46] years) diagnosed with ASD were enrolled (40 [56.3%] were randomized to treatment, and 31 (43.7%) were randomized to control). Children receiving the intervention showed significant improvements on the Vineland Adaptive Behaviors Scale socialization subscale compared with treatment as usual controls (mean [SD] treatment impact, 4.58 [1.62]; P =.005). Positive mean treatment effects were also found for the other 3 primary measures but not to a significance threshold of P =.0125. Conclusions and Relevance: The observed 4.58-point average gain on the Vineland Adaptive Behaviors Scale socialization subscale is comparable with gains observed with standard of care therapy. To our knowledge, this is the first randomized clinical trial to demonstrate efficacy of a wearable digital intervention to improve social behavior of children with ASD. The intervention reinforces facial engagement and emotion recognition, suggesting either or both could be a mechanism of action driving the observed improvement. This study underscores the potential of digital home therapy to augment the standard of care. Trial Registration: ClinicalTrials.gov identifier: NCT03569176.</t>
        </is>
      </c>
      <c r="G13" s="4" t="inlineStr">
        <is>
          <t>Wearable AI-driven behavioral intervention (‘Superpower Glass’) that detects facial expressions and provides cues for emotion recognition during home sessions; clinical RCT; AI model family not specified in paper text.</t>
        </is>
      </c>
      <c r="H13" s="4" t="str"/>
      <c r="I13" s="4" t="str"/>
      <c r="J13" s="4" t="n"/>
      <c r="K13" s="4" t="inlineStr">
        <is>
          <t>Historical signals: title/abstract/notes; full-text completion not independently established</t>
        </is>
      </c>
      <c r="L13" s="4" t="inlineStr">
        <is>
          <t>Not documented in provided sources</t>
        </is>
      </c>
    </row>
    <row r="14" ht="409" customHeight="1">
      <c r="A14" s="4" t="inlineStr">
        <is>
          <t>13</t>
        </is>
      </c>
      <c r="B14" s="4" t="inlineStr">
        <is>
          <t>Historical</t>
        </is>
      </c>
      <c r="C14" s="4" t="inlineStr">
        <is>
          <t>Feature Signature Discovery for Autism Detection: An Automated Machine Learning Based Feature Ranking Framework</t>
        </is>
      </c>
      <c r="D14" s="4" t="inlineStr">
        <is>
          <t>10.1155/2023/6330002</t>
        </is>
      </c>
      <c r="E14" s="4" t="inlineStr">
        <is>
          <t>https://doi.org/10.1155/2023/6330002</t>
        </is>
      </c>
      <c r="F14" s="4" t="inlineStr">
        <is>
          <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t>
        </is>
      </c>
      <c r="G14" s="4" t="inlineStr">
        <is>
          <t>Usa puntajes Q-CHAT; framework AutoML/feature ranking no mapea a un algoritmo único.</t>
        </is>
      </c>
      <c r="H14" s="4" t="str"/>
      <c r="I14" s="4" t="str"/>
      <c r="J14" s="4" t="n"/>
      <c r="K14" s="4" t="inlineStr">
        <is>
          <t>Historical signals: title/abstract/notes; full-text completion not independently established</t>
        </is>
      </c>
      <c r="L14" s="4" t="inlineStr">
        <is>
          <t>Not documented in provided sources</t>
        </is>
      </c>
    </row>
    <row r="15" ht="320" customHeight="1">
      <c r="A15" s="4" t="inlineStr">
        <is>
          <t>14</t>
        </is>
      </c>
      <c r="B15" s="4" t="inlineStr">
        <is>
          <t>Historical</t>
        </is>
      </c>
      <c r="C15" s="4" t="inlineStr">
        <is>
          <t>Functional neuroimaging of high-risk 6-month-old infants predicts a diagnosis of autism at 24 months of age</t>
        </is>
      </c>
      <c r="D15" s="4" t="inlineStr">
        <is>
          <t>10.1126/scitranslmed.aag2882</t>
        </is>
      </c>
      <c r="E15" s="4" t="inlineStr">
        <is>
          <t>https://doi.org/10.1126/scitranslmed.aag2882</t>
        </is>
      </c>
      <c r="F15" s="4" t="inlineStr">
        <is>
          <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t>
        </is>
      </c>
      <c r="G15" s="4" t="inlineStr">
        <is>
          <t>Algoritmo principal no explícito o fuera del codebook; Confirmar algoritmo principal en full-text</t>
        </is>
      </c>
      <c r="H15" s="4" t="str"/>
      <c r="I15" s="4" t="str"/>
      <c r="J15" s="4" t="n"/>
      <c r="K15" s="4" t="inlineStr">
        <is>
          <t>Historical signals: title/abstract/notes; full-text completion not independently established</t>
        </is>
      </c>
      <c r="L15" s="4" t="inlineStr">
        <is>
          <t>Not documented in provided sources</t>
        </is>
      </c>
    </row>
    <row r="16" ht="320" customHeight="1">
      <c r="A16" s="4" t="inlineStr">
        <is>
          <t>15</t>
        </is>
      </c>
      <c r="B16" s="4" t="inlineStr">
        <is>
          <t>Historical</t>
        </is>
      </c>
      <c r="C16" s="4" t="inlineStr">
        <is>
          <t>Hybrid CNN and random forest model with late fusion for detection of autism spectrum disorder in Toddlers</t>
        </is>
      </c>
      <c r="D16" s="4" t="inlineStr">
        <is>
          <t>10.1016/j.mex.2025.103278</t>
        </is>
      </c>
      <c r="E16" s="4" t="inlineStr">
        <is>
          <t>https://doi.org/10.1016/j.mex.2025.103278</t>
        </is>
      </c>
      <c r="F16" s="4" t="inlineStr">
        <is>
          <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t>
        </is>
      </c>
      <c r="G16" s="4" t="inlineStr">
        <is>
          <t>Hybrid late-fusion: VGG16 (CNN feature extractor) + Random Forest classifier; compares vs VGG16/EfficientNet/AlexNet and conventional ML</t>
        </is>
      </c>
      <c r="H16" s="4" t="str"/>
      <c r="I16" s="4" t="str"/>
      <c r="J16" s="4" t="n"/>
      <c r="K16" s="4" t="inlineStr">
        <is>
          <t>Historical signals: title/abstract/notes; full-text completion not independently established</t>
        </is>
      </c>
      <c r="L16" s="4" t="inlineStr">
        <is>
          <t>Not documented in provided sources</t>
        </is>
      </c>
    </row>
    <row r="17" ht="307" customHeight="1">
      <c r="A17" s="4" t="inlineStr">
        <is>
          <t>16</t>
        </is>
      </c>
      <c r="B17" s="4" t="inlineStr">
        <is>
          <t>Historical</t>
        </is>
      </c>
      <c r="C17" s="4" t="inlineStr">
        <is>
          <t>Machine Learning Approaches for the Early Diagnosis of Autism Spectrum Disorder: A Systematic Framework</t>
        </is>
      </c>
      <c r="D17" s="4" t="inlineStr">
        <is>
          <t>10.1007/978-3-031-81083-1_7</t>
        </is>
      </c>
      <c r="E17" s="4" t="inlineStr">
        <is>
          <t>https://doi.org/10.1007/978-3-031-81083-1_7</t>
        </is>
      </c>
      <c r="F17" s="4" t="inlineStr">
        <is>
          <t>This study uses machine learning to address the urgent need for early detection and intervention in autism spectrum disorder (ASD). Autism Spectrum Disorder (ASD), a disorder of neural development affecting cognition and social interaction, necessitates customized interventions. Our research uses various screening assessments in early infancy as datasets to train for neural network algorithms, with the objective of identifying patterns associated with ASD. The suggested methodology utilizes predictive machine learning techniques to assess the ASD spectrum, accounting for its diverse pitches. Utilizing sophisticated screening instruments and an innovative methodology, we seek to establish a dependable system for the early detection of ASD. Ethical considerations, data privacy, and algorithmic openness are essential. The studies seek to foster collaboration among experts in neurodevelopment, psychological science, and data science to build precise tools for earlier identification of ASD. The use of machine learning, an effective tool, enhances the knowledge of healthcare workers. The research results underscore technology's capacity to transform initial measures, leading to enhanced outcomes for those on the autistic spectrum. It provides this assistance to enhance the dialogue at the gathering, thereby promoting interaction at the nexus of healthcare and digital technology.</t>
        </is>
      </c>
      <c r="G17" s="4" t="str"/>
      <c r="H17" s="4" t="str"/>
      <c r="I17" s="4" t="str"/>
      <c r="J17" s="4" t="n"/>
      <c r="K17" s="4" t="inlineStr">
        <is>
          <t>Historical signals: title/abstract/notes; full-text completion not independently established</t>
        </is>
      </c>
      <c r="L17" s="4" t="inlineStr">
        <is>
          <t>Not documented in provided sources</t>
        </is>
      </c>
    </row>
    <row r="18" ht="409" customHeight="1">
      <c r="A18" s="4" t="inlineStr">
        <is>
          <t>17</t>
        </is>
      </c>
      <c r="B18" s="4" t="inlineStr">
        <is>
          <t>Historical</t>
        </is>
      </c>
      <c r="C18" s="4" t="inlineStr">
        <is>
          <t>Machine learning classification of autism spectrum disorder based on reciprocity in naturalistic social interactions</t>
        </is>
      </c>
      <c r="D18" s="4" t="inlineStr">
        <is>
          <t>10.1038/s41398-024-02802-5</t>
        </is>
      </c>
      <c r="E18" s="4" t="inlineStr">
        <is>
          <t>https://doi.org/10.1038/s41398-024-02802-5</t>
        </is>
      </c>
      <c r="F18" s="4" t="inlineStr">
        <is>
          <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t>
        </is>
      </c>
      <c r="G18" s="4" t="inlineStr">
        <is>
          <t>Naturalistic social interaction videos; open-source computer vision used for objective annotation (movement/facial expression synchrony); features fed into SVM model to classify autistic vs non-autistic interaction dyads; supplementary exploratory RF mentioned</t>
        </is>
      </c>
      <c r="H18" s="4" t="str"/>
      <c r="I18" s="4" t="str"/>
      <c r="J18" s="4" t="n"/>
      <c r="K18" s="4" t="inlineStr">
        <is>
          <t>Historical signals: title/abstract/notes; full-text completion not independently established</t>
        </is>
      </c>
      <c r="L18" s="4" t="inlineStr">
        <is>
          <t>Not documented in provided sources</t>
        </is>
      </c>
    </row>
    <row r="19" ht="307" customHeight="1">
      <c r="A19" s="4" t="inlineStr">
        <is>
          <t>18</t>
        </is>
      </c>
      <c r="B19" s="4" t="inlineStr">
        <is>
          <t>Historical</t>
        </is>
      </c>
      <c r="C19" s="4" t="inlineStr">
        <is>
          <t>Multiparametric MRI characterization and prediction in autism spectrum disorder using graph theory and machine learning</t>
        </is>
      </c>
      <c r="D19" s="4" t="inlineStr">
        <is>
          <t>10.1371/journal.pone.0090405</t>
        </is>
      </c>
      <c r="E19" s="4" t="inlineStr">
        <is>
          <t>https://doi.org/10.1371/journal.pone.0090405</t>
        </is>
      </c>
      <c r="F19" s="4" t="inlineStr">
        <is>
          <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t>
        </is>
      </c>
      <c r="G19" s="4" t="inlineStr">
        <is>
          <t>Clasificación ASD vs control con MRI multiparamétrica; también predice rasgos fenotípicos.</t>
        </is>
      </c>
      <c r="H19" s="4" t="str"/>
      <c r="I19" s="4" t="str"/>
      <c r="J19" s="4" t="n"/>
      <c r="K19" s="4" t="inlineStr">
        <is>
          <t>Historical signals: title/abstract/notes; full-text completion not independently established</t>
        </is>
      </c>
      <c r="L19" s="4" t="inlineStr">
        <is>
          <t>Not documented in provided sources</t>
        </is>
      </c>
    </row>
    <row r="20" ht="409" customHeight="1">
      <c r="A20" s="4" t="inlineStr">
        <is>
          <t>19</t>
        </is>
      </c>
      <c r="B20" s="4" t="inlineStr">
        <is>
          <t>Historical</t>
        </is>
      </c>
      <c r="C20" s="4" t="inlineStr">
        <is>
          <t>Multivariate Neural Connectivity Patterns in Early Infancy Predict Later Autism Symptoms</t>
        </is>
      </c>
      <c r="D20" s="4" t="inlineStr">
        <is>
          <t>10.1016/j.bpsc.2020.06.003</t>
        </is>
      </c>
      <c r="E20" s="4" t="inlineStr">
        <is>
          <t>https://doi.org/10.1016/j.bpsc.2020.06.003</t>
        </is>
      </c>
      <c r="F20" s="4" t="inlineStr">
        <is>
          <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t>
        </is>
      </c>
      <c r="G20" s="4" t="str"/>
      <c r="H20" s="4" t="str"/>
      <c r="I20" s="4" t="str"/>
      <c r="J20" s="4" t="n"/>
      <c r="K20" s="4" t="inlineStr">
        <is>
          <t>Historical signals: title/abstract/notes; full-text completion not independently established</t>
        </is>
      </c>
      <c r="L20" s="4" t="inlineStr">
        <is>
          <t>Not documented in provided sources</t>
        </is>
      </c>
    </row>
    <row r="21" ht="359" customHeight="1">
      <c r="A21" s="4" t="inlineStr">
        <is>
          <t>20</t>
        </is>
      </c>
      <c r="B21" s="4" t="inlineStr">
        <is>
          <t>Historical</t>
        </is>
      </c>
      <c r="C21" s="4" t="inlineStr">
        <is>
          <t>Testing the accuracy of an observation-based classifier for rapid detection of autism risk.</t>
        </is>
      </c>
      <c r="D21" s="4" t="inlineStr">
        <is>
          <t>10.1038/tp.2014.65</t>
        </is>
      </c>
      <c r="E21" s="4" t="inlineStr">
        <is>
          <t>https://doi.org/10.1038/tp.2014.65</t>
        </is>
      </c>
      <c r="F21" s="4" t="inlineStr">
        <is>
          <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t>
        </is>
      </c>
      <c r="G21" s="4" t="inlineStr">
        <is>
          <t>Algorithm specifically is Alternating Decision Tree (ADTree) (not a standard single CART/ID3); mapped to Decision Tree due to allowed categories</t>
        </is>
      </c>
      <c r="H21" s="4" t="str"/>
      <c r="I21" s="4" t="str"/>
      <c r="J21" s="4" t="n"/>
      <c r="K21" s="4" t="inlineStr">
        <is>
          <t>Historical signals: title/abstract/notes; full-text completion not independently established</t>
        </is>
      </c>
      <c r="L21" s="4" t="inlineStr">
        <is>
          <t>Not documented in provided sources</t>
        </is>
      </c>
    </row>
    <row r="22" ht="398" customHeight="1">
      <c r="A22" s="4" t="inlineStr">
        <is>
          <t>21</t>
        </is>
      </c>
      <c r="B22" s="4" t="inlineStr">
        <is>
          <t>Historical</t>
        </is>
      </c>
      <c r="C22" s="4" t="inlineStr">
        <is>
          <t>Using deep learning to classify developmental differences in reaching and placing movements in children with and without autism spectrum disorder</t>
        </is>
      </c>
      <c r="D22" s="4" t="inlineStr">
        <is>
          <t>10.1038/s41598-024-81652-z</t>
        </is>
      </c>
      <c r="E22" s="4" t="inlineStr">
        <is>
          <t>https://doi.org/10.1038/s41598-024-81652-z</t>
        </is>
      </c>
      <c r="F22" s="4" t="inlineStr">
        <is>
          <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t>
        </is>
      </c>
      <c r="G22" s="4" t="str"/>
      <c r="H22" s="4" t="str"/>
      <c r="I22" s="4" t="str"/>
      <c r="J22" s="4" t="n"/>
      <c r="K22" s="4" t="inlineStr">
        <is>
          <t>Historical signals: title/abstract/notes; full-text completion not independently established</t>
        </is>
      </c>
      <c r="L22" s="4" t="inlineStr">
        <is>
          <t>Not documented in provided sources</t>
        </is>
      </c>
    </row>
    <row r="23" ht="333" customHeight="1">
      <c r="A23" s="4" t="inlineStr">
        <is>
          <t>22</t>
        </is>
      </c>
      <c r="B23" s="4" t="inlineStr">
        <is>
          <t>Historical</t>
        </is>
      </c>
      <c r="C23" s="4" t="inlineStr">
        <is>
          <t>A CNN deep local and global ASD classification approach with continuous wavelet transform using task-based FMRI</t>
        </is>
      </c>
      <c r="D23" s="4" t="inlineStr">
        <is>
          <t>10.3390/s21175822</t>
        </is>
      </c>
      <c r="E23" s="4" t="inlineStr">
        <is>
          <t>https://doi.org/10.3390/s21175822</t>
        </is>
      </c>
      <c r="F23" s="4" t="inlineStr">
        <is>
          <t>Autism spectrum disorder (ASD) is a neurodegenerative disorder characterized by lingual and social disabilities. The autism diagnostic observation schedule is the current gold standard for ASD diagnosis. Developing objective computer aided technologies for ASD diagnosis with the utilization of brain imaging modalities and machine learning is one of main tracks in current studies to understand autism. Task-based fMRI demonstrates the functional activation in the brain by measuring blood oxygen level-dependent (BOLD) variations in response to certain tasks. It is believed to hold discriminant features for autism. A novel computer aided diagnosis (CAD) framework is proposed to classify 50 ASD and 50 typically developed toddlers with the adoption of CNN deep networks. The CAD system includes both local and global diagnosis in a response to speech task. Spatial dimensionality reduction with region of interest selection and clustering has been utilized. In addition, the proposed framework performs discriminant feature extraction with continuous wavelet transform. Local diagnosis on cingulate gyri, superior temporal gyrus, primary auditory cortex and angular gyrus achieves accuracies ranging between 71% and 80% with a four-fold cross validation technique. The fused global diagnosis achieves an accuracy of 86% with 82% sensitivity, 92% specificity. A brain map indicating ASD severity level for each brain area is created, which contributes to personalized diagnosis and treatment plans.</t>
        </is>
      </c>
      <c r="G23" s="4" t="inlineStr">
        <is>
          <t>Incluye clustering para ROI/selección dimensional y generan “brain map indicating ASD severity level”, pero el objetivo central del sistema es clasificación ASD vs TD con CNN.</t>
        </is>
      </c>
      <c r="H23" s="4" t="str"/>
      <c r="I23" s="4" t="str"/>
      <c r="J23" s="4" t="n"/>
      <c r="K23" s="4" t="inlineStr">
        <is>
          <t>Historical signals: title/abstract/notes; full-text completion not independently established</t>
        </is>
      </c>
      <c r="L23" s="4" t="inlineStr">
        <is>
          <t>Not documented in provided sources</t>
        </is>
      </c>
    </row>
    <row r="24" ht="398" customHeight="1">
      <c r="A24" s="4" t="inlineStr">
        <is>
          <t>23</t>
        </is>
      </c>
      <c r="B24" s="4" t="inlineStr">
        <is>
          <t>Historical</t>
        </is>
      </c>
      <c r="C24" s="4" t="inlineStr">
        <is>
          <t>A new machine learning model based on induction of rules for autism detection</t>
        </is>
      </c>
      <c r="D24" s="4" t="inlineStr">
        <is>
          <t>10.1177/1460458218824711</t>
        </is>
      </c>
      <c r="E24" s="4" t="inlineStr">
        <is>
          <t>https://doi.org/10.1177/1460458218824711</t>
        </is>
      </c>
      <c r="F24" s="4" t="inlineStr">
        <is>
          <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t>
        </is>
      </c>
      <c r="G24" s="4" t="inlineStr">
        <is>
          <t>Boosting, Bagging, rule induction methods (rules-machine learning framework), Modelo basado en inducción de reglas sobre datasets de cribado; algoritmo fuera del codebook.</t>
        </is>
      </c>
      <c r="H24" s="4" t="str"/>
      <c r="I24" s="4" t="str"/>
      <c r="J24" s="4" t="n"/>
      <c r="K24" s="4" t="inlineStr">
        <is>
          <t>Historical signals: title/abstract/notes; full-text completion not independently established</t>
        </is>
      </c>
      <c r="L24" s="4" t="inlineStr">
        <is>
          <t>Not documented in provided sources</t>
        </is>
      </c>
    </row>
    <row r="25" ht="409" customHeight="1">
      <c r="A25" s="4" t="inlineStr">
        <is>
          <t>24</t>
        </is>
      </c>
      <c r="B25" s="4" t="inlineStr">
        <is>
          <t>Historical</t>
        </is>
      </c>
      <c r="C25" s="4" t="inlineStr">
        <is>
          <t>A Novel Grading System for Autism Severity Level Using Task-Based Functional MRI: A Response to Speech Study</t>
        </is>
      </c>
      <c r="D25" s="4" t="inlineStr">
        <is>
          <t>10.1109/access.2021.3097606</t>
        </is>
      </c>
      <c r="E25" s="4" t="inlineStr">
        <is>
          <t>https://doi.org/10.1109/access.2021.3097606</t>
        </is>
      </c>
      <c r="F25" s="4" t="inlineStr">
        <is>
          <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t>
        </is>
      </c>
      <c r="G25" s="4" t="inlineStr">
        <is>
          <t>Gradación de severidad por clases con task-fMRI; clasificadores múltiples no detallados.</t>
        </is>
      </c>
      <c r="H25" s="4" t="str"/>
      <c r="I25" s="4" t="str"/>
      <c r="J25" s="4" t="n"/>
      <c r="K25" s="4" t="inlineStr">
        <is>
          <t>Historical signals: title/abstract/notes; full-text completion not independently established</t>
        </is>
      </c>
      <c r="L25" s="4" t="inlineStr">
        <is>
          <t>Not documented in provided sources</t>
        </is>
      </c>
    </row>
    <row r="26" ht="281" customHeight="1">
      <c r="A26" s="4" t="inlineStr">
        <is>
          <t>26</t>
        </is>
      </c>
      <c r="B26" s="4" t="inlineStr">
        <is>
          <t>Historical</t>
        </is>
      </c>
      <c r="C26" s="4" t="inlineStr">
        <is>
          <t>An Analysis of the Use of Machine Learning in the Diagnosis of Autism Spectrum Disorder</t>
        </is>
      </c>
      <c r="D26" s="4" t="inlineStr">
        <is>
          <t>10.1007/978-3-031-23683-9_12</t>
        </is>
      </c>
      <c r="E26" s="4" t="inlineStr">
        <is>
          <t>https://doi.org/10.1007/978-3-031-23683-9_12</t>
        </is>
      </c>
      <c r="F26" s="4" t="inlineStr">
        <is>
          <t>Autism spectrum disorder (ASD) is an illness related to brain development along with long-standing neuro-developmental disability. A subject with prior therapy at the initial stages has been proven to improve the subject’s indication and skill to work. The nature of ASD differs from person to person. One of the most important problems to adequate therapy of ASD is the challenge of early identification, but unfortunately, due to the lack of obtainability in identifying and diagnostic equipment in a few areas, many children who are affected remain undiagnosed without knowing that it is ASD or are diagnosed so late. The main motive of the work is to analyze autism spectrum disorder at the initial point to make better brain improvement and to make arrangements for enough attention to this disorder to the parents and guardians. Currently, ML algorithms play an essential role in determining ASD. This work aims to identify and survey the different techniques based on machine learning and review the attributes of autism and estimation of performance by the utilization of several metrics and examine the encouraging ways for the forthcoming research. This survey presents that the Random Forest algorithm provides a good outcome when contrasted with other algorithms.</t>
        </is>
      </c>
      <c r="G26" s="4" t="str"/>
      <c r="H26" s="4" t="str"/>
      <c r="I26" s="4" t="str"/>
      <c r="J26" s="4" t="n"/>
      <c r="K26" s="4" t="inlineStr">
        <is>
          <t>Historical signals: title/abstract/notes; full-text completion not independently established</t>
        </is>
      </c>
      <c r="L26" s="4" t="inlineStr">
        <is>
          <t>Not documented in provided sources</t>
        </is>
      </c>
    </row>
    <row r="27" ht="268" customHeight="1">
      <c r="A27" s="4" t="inlineStr">
        <is>
          <t>27</t>
        </is>
      </c>
      <c r="B27" s="4" t="inlineStr">
        <is>
          <t>Historical</t>
        </is>
      </c>
      <c r="C27" s="4" t="inlineStr">
        <is>
          <t>An analytics-driven model for identifying autism spectrum disorder using eye tracking</t>
        </is>
      </c>
      <c r="D27" s="4" t="inlineStr">
        <is>
          <t>10.1016/j.health.2025.100409</t>
        </is>
      </c>
      <c r="E27" s="4" t="inlineStr">
        <is>
          <t>https://doi.org/10.1016/j.health.2025.100409</t>
        </is>
      </c>
      <c r="F27" s="4"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G27" s="4" t="inlineStr">
        <is>
          <t>Usa eye-tracking/gaze movement; algoritmo principal no explícito.</t>
        </is>
      </c>
      <c r="H27" s="4" t="str"/>
      <c r="I27" s="4" t="str"/>
      <c r="J27" s="4" t="n"/>
      <c r="K27" s="4" t="inlineStr">
        <is>
          <t>Historical signals: title/abstract/notes; full-text completion not independently established</t>
        </is>
      </c>
      <c r="L27" s="4" t="inlineStr">
        <is>
          <t>Not documented in provided sources</t>
        </is>
      </c>
    </row>
    <row r="28" ht="385" customHeight="1">
      <c r="A28" s="4" t="inlineStr">
        <is>
          <t>28</t>
        </is>
      </c>
      <c r="B28" s="4" t="inlineStr">
        <is>
          <t>Historical</t>
        </is>
      </c>
      <c r="C28" s="4" t="inlineStr">
        <is>
          <t>An evaluation of machine learning approaches for early diagnosis of autism spectrum disorder</t>
        </is>
      </c>
      <c r="D28" s="4" t="inlineStr">
        <is>
          <t>10.1016/j.health.2023.100293</t>
        </is>
      </c>
      <c r="E28" s="4" t="inlineStr">
        <is>
          <t>https://doi.org/10.1016/j.health.2023.100293</t>
        </is>
      </c>
      <c r="F28" s="4" t="inlineStr">
        <is>
          <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t>
        </is>
      </c>
      <c r="G28" s="4" t="inlineStr">
        <is>
          <t>Compara varios clasificadores; ANN/MLP reporta mejor desempeño en dataset combinado.</t>
        </is>
      </c>
      <c r="H28" s="4" t="str"/>
      <c r="I28" s="4" t="str"/>
      <c r="J28" s="4" t="n"/>
      <c r="K28" s="4" t="inlineStr">
        <is>
          <t>Historical signals: title/abstract/notes; full-text completion not independently established</t>
        </is>
      </c>
      <c r="L28" s="4" t="inlineStr">
        <is>
          <t>Not documented in provided sources</t>
        </is>
      </c>
    </row>
    <row r="29" ht="409" customHeight="1">
      <c r="A29" s="4" t="inlineStr">
        <is>
          <t>29</t>
        </is>
      </c>
      <c r="B29" s="4" t="inlineStr">
        <is>
          <t>Historical</t>
        </is>
      </c>
      <c r="C29" s="4" t="inlineStr">
        <is>
          <t>An intellectual autism spectrum disorder classification framework in healthcare industry using ViT-based adaptive deep learning model</t>
        </is>
      </c>
      <c r="D29" s="4" t="inlineStr">
        <is>
          <t>10.1016/j.bspc.2025.107737</t>
        </is>
      </c>
      <c r="E29" s="4" t="inlineStr">
        <is>
          <t>https://doi.org/10.1016/j.bspc.2025.107737</t>
        </is>
      </c>
      <c r="F29" s="4"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G29" s="4" t="inlineStr">
        <is>
          <t>Hybrid architecture includes ViT + (Adaptive Residual DenseNet) + LSTM; mapped to Transformer as primary component.</t>
        </is>
      </c>
      <c r="H29" s="4" t="str"/>
      <c r="I29" s="4" t="str"/>
      <c r="J29" s="4" t="n"/>
      <c r="K29" s="4" t="inlineStr">
        <is>
          <t>Historical signals: title/abstract/notes; full-text completion not independently established</t>
        </is>
      </c>
      <c r="L29" s="4" t="inlineStr">
        <is>
          <t>Not documented in provided sources</t>
        </is>
      </c>
    </row>
    <row r="30" ht="333" customHeight="1">
      <c r="A30" s="4" t="inlineStr">
        <is>
          <t>30</t>
        </is>
      </c>
      <c r="B30" s="4" t="inlineStr">
        <is>
          <t>Historical</t>
        </is>
      </c>
      <c r="C30" s="4" t="inlineStr">
        <is>
          <t>Analysis and Detection of Autism Spectrum Disorder Using Machine Learning Techniques</t>
        </is>
      </c>
      <c r="D30" s="4" t="inlineStr">
        <is>
          <t>10.1016/j.procs.2020.03.399</t>
        </is>
      </c>
      <c r="E30" s="4" t="inlineStr">
        <is>
          <t>https://doi.org/10.1016/j.procs.2020.03.399</t>
        </is>
      </c>
      <c r="F30" s="4" t="inlineStr">
        <is>
          <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t>
        </is>
      </c>
      <c r="G30" s="4" t="inlineStr">
        <is>
          <t>Comparan varios algoritmos (Naive Bayes, SVM, LR, KNN, NN y CNN); para tu columna AI_algorithm_main conviene poner CNN porque es el que señalan como mejor globalmente</t>
        </is>
      </c>
      <c r="H30" s="4" t="str"/>
      <c r="I30" s="4" t="str"/>
      <c r="J30" s="4" t="n"/>
      <c r="K30" s="4" t="inlineStr">
        <is>
          <t>Historical signals: title/abstract/notes; full-text completion not independently established</t>
        </is>
      </c>
      <c r="L30" s="4" t="inlineStr">
        <is>
          <t>Not documented in provided sources</t>
        </is>
      </c>
    </row>
    <row r="31" ht="242" customHeight="1">
      <c r="A31" s="4" t="inlineStr">
        <is>
          <t>31</t>
        </is>
      </c>
      <c r="B31" s="4" t="inlineStr">
        <is>
          <t>Historical</t>
        </is>
      </c>
      <c r="C31" s="4" t="inlineStr">
        <is>
          <t>ASD classification for children using deep neural network</t>
        </is>
      </c>
      <c r="D31" s="4" t="inlineStr">
        <is>
          <t>10.1016/j.gltp.2021.08.042</t>
        </is>
      </c>
      <c r="E31" s="4" t="inlineStr">
        <is>
          <t>https://doi.org/10.1016/j.gltp.2021.08.042</t>
        </is>
      </c>
      <c r="F31" s="4" t="inlineStr">
        <is>
          <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t>
        </is>
      </c>
      <c r="G31" s="4" t="inlineStr">
        <is>
          <t>Tabular screening dataset; diffusion mapping + DNN classifier.</t>
        </is>
      </c>
      <c r="H31" s="4" t="str"/>
      <c r="I31" s="4" t="str"/>
      <c r="J31" s="4" t="n"/>
      <c r="K31" s="4" t="inlineStr">
        <is>
          <t>Historical signals: title/abstract/notes; full-text completion not independently established</t>
        </is>
      </c>
      <c r="L31" s="4" t="inlineStr">
        <is>
          <t>Not documented in provided sources</t>
        </is>
      </c>
    </row>
    <row r="32" ht="359" customHeight="1">
      <c r="A32" s="4" t="inlineStr">
        <is>
          <t>32</t>
        </is>
      </c>
      <c r="B32" s="4" t="inlineStr">
        <is>
          <t>Historical</t>
        </is>
      </c>
      <c r="C32" s="4" t="inlineStr">
        <is>
          <t>ASD-GraphNet: A novel graph learning approach for Autism Spectrum Disorder diagnosis using fMRI data</t>
        </is>
      </c>
      <c r="D32" s="4" t="inlineStr">
        <is>
          <t>10.1016/j.compbiomed.2025.110723</t>
        </is>
      </c>
      <c r="E32" s="4" t="inlineStr">
        <is>
          <t>https://doi.org/10.1016/j.compbiomed.2025.110723</t>
        </is>
      </c>
      <c r="F32" s="4"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G32" s="4" t="inlineStr">
        <is>
          <t>Graph feature engineering + classifier comparison (LR, SVM, XGBoost/LightGBM); main/best model not specified in abstract</t>
        </is>
      </c>
      <c r="H32" s="4" t="str"/>
      <c r="I32" s="4" t="str"/>
      <c r="J32" s="4" t="n"/>
      <c r="K32" s="4" t="inlineStr">
        <is>
          <t>Historical signals: title/abstract/notes; full-text completion not independently established</t>
        </is>
      </c>
      <c r="L32" s="4" t="inlineStr">
        <is>
          <t>Not documented in provided sources</t>
        </is>
      </c>
    </row>
    <row r="33" ht="346" customHeight="1">
      <c r="A33" s="4" t="inlineStr">
        <is>
          <t>33</t>
        </is>
      </c>
      <c r="B33" s="4" t="inlineStr">
        <is>
          <t>Historical</t>
        </is>
      </c>
      <c r="C33" s="4" t="inlineStr">
        <is>
          <t>Automated identification of postural control for children with autism spectrum disorder using a machine learning approach</t>
        </is>
      </c>
      <c r="D33" s="4" t="inlineStr">
        <is>
          <t>10.1016/j.jbiomech.2020.110073</t>
        </is>
      </c>
      <c r="E33" s="4" t="inlineStr">
        <is>
          <t>https://doi.org/10.1016/j.jbiomech.2020.110073</t>
        </is>
      </c>
      <c r="F33" s="4" t="inlineStr">
        <is>
          <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t>
        </is>
      </c>
      <c r="G33" s="4" t="str"/>
      <c r="H33" s="4" t="str"/>
      <c r="I33" s="4" t="str"/>
      <c r="J33" s="4" t="n"/>
      <c r="K33" s="4" t="inlineStr">
        <is>
          <t>Historical signals: title/abstract/notes; full-text completion not independently established</t>
        </is>
      </c>
      <c r="L33" s="4" t="inlineStr">
        <is>
          <t>Not documented in provided sources</t>
        </is>
      </c>
    </row>
    <row r="34" ht="372" customHeight="1">
      <c r="A34" s="4" t="inlineStr">
        <is>
          <t>34</t>
        </is>
      </c>
      <c r="B34" s="4" t="inlineStr">
        <is>
          <t>Historical</t>
        </is>
      </c>
      <c r="C34" s="4" t="inlineStr">
        <is>
          <t>Distributed Intrinsic Functional Connectivity Patterns Predict Diagnostic Status in Large Autism Cohort</t>
        </is>
      </c>
      <c r="D34" s="4" t="inlineStr">
        <is>
          <t>10.1089/brain.2017.0496</t>
        </is>
      </c>
      <c r="E34" s="4" t="inlineStr">
        <is>
          <t>https://doi.org/10.1089/brain.2017.0496</t>
        </is>
      </c>
      <c r="F34" s="4" t="inlineStr">
        <is>
          <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t>
        </is>
      </c>
      <c r="G34" s="4" t="inlineStr">
        <is>
          <t>Usa conditional random forest sobre rs-fMRI para clasificación diagnóstica.</t>
        </is>
      </c>
      <c r="H34" s="4" t="str"/>
      <c r="I34" s="4" t="str"/>
      <c r="J34" s="4" t="n"/>
      <c r="K34" s="4" t="inlineStr">
        <is>
          <t>Historical signals: title/abstract/notes; full-text completion not independently established</t>
        </is>
      </c>
      <c r="L34" s="4" t="inlineStr">
        <is>
          <t>Not documented in provided sources</t>
        </is>
      </c>
    </row>
    <row r="35" ht="359" customHeight="1">
      <c r="A35" s="4" t="inlineStr">
        <is>
          <t>35</t>
        </is>
      </c>
      <c r="B35" s="4" t="inlineStr">
        <is>
          <t>Historical</t>
        </is>
      </c>
      <c r="C35" s="4" t="inlineStr">
        <is>
          <t>Enhancing diagnosis of autism with optimized machine learning models and personal characteristic data</t>
        </is>
      </c>
      <c r="D35" s="4" t="inlineStr">
        <is>
          <t>10.3389/fncom.2019.00009/full</t>
        </is>
      </c>
      <c r="E35" s="4" t="inlineStr">
        <is>
          <t>https://doi.org/10.3389/fncom.2019.00009/full</t>
        </is>
      </c>
      <c r="F35" s="4" t="inlineStr">
        <is>
          <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t>
        </is>
      </c>
      <c r="G35" s="4" t="inlineStr">
        <is>
          <t>Usa solo personal characteristic data de ABIDE; red neuronal fue el mejor modelo.</t>
        </is>
      </c>
      <c r="H35" s="4" t="str"/>
      <c r="I35" s="4" t="str"/>
      <c r="J35" s="4" t="n"/>
      <c r="K35" s="4" t="inlineStr">
        <is>
          <t>Historical signals: title/abstract/notes; full-text completion not independently established</t>
        </is>
      </c>
      <c r="L35" s="4" t="inlineStr">
        <is>
          <t>Not documented in provided sources</t>
        </is>
      </c>
    </row>
    <row r="36" ht="346" customHeight="1">
      <c r="A36" s="4" t="inlineStr">
        <is>
          <t>36</t>
        </is>
      </c>
      <c r="B36" s="4" t="inlineStr">
        <is>
          <t>Historical</t>
        </is>
      </c>
      <c r="C36" s="4" t="inlineStr">
        <is>
          <t>Investigating multiclass autism spectrum disorder classification using machine learning techniques</t>
        </is>
      </c>
      <c r="D36" s="4" t="inlineStr">
        <is>
          <t>10.1016/j.prime.2024.100602</t>
        </is>
      </c>
      <c r="E36" s="4" t="inlineStr">
        <is>
          <t>https://doi.org/10.1016/j.prime.2024.100602</t>
        </is>
      </c>
      <c r="F36" s="4" t="inlineStr">
        <is>
          <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t>
        </is>
      </c>
      <c r="G36" s="4" t="inlineStr">
        <is>
          <t>LR y SVM destacan; se selecciona LR como principal por mejor desempeño reportado en varios subconjuntos.</t>
        </is>
      </c>
      <c r="H36" s="4" t="str"/>
      <c r="I36" s="4" t="str"/>
      <c r="J36" s="4" t="n"/>
      <c r="K36" s="4" t="inlineStr">
        <is>
          <t>Historical signals: title/abstract/notes; full-text completion not independently established</t>
        </is>
      </c>
      <c r="L36" s="4" t="inlineStr">
        <is>
          <t>Not documented in provided sources</t>
        </is>
      </c>
    </row>
    <row r="37" ht="346" customHeight="1">
      <c r="A37" s="4" t="inlineStr">
        <is>
          <t>37</t>
        </is>
      </c>
      <c r="B37" s="4" t="inlineStr">
        <is>
          <t>Historical</t>
        </is>
      </c>
      <c r="C37" s="4" t="inlineStr">
        <is>
          <t>Jellyfish Search Optimization with Deep Learning Driven Autism Spectrum Disorder Classification</t>
        </is>
      </c>
      <c r="D37" s="4" t="inlineStr">
        <is>
          <t>10.32604/cmc.2023.032586</t>
        </is>
      </c>
      <c r="E37" s="4" t="inlineStr">
        <is>
          <t>https://doi.org/10.32604/cmc.2023.032586</t>
        </is>
      </c>
      <c r="F37" s="4" t="inlineStr">
        <is>
          <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t>
        </is>
      </c>
      <c r="G37" s="4" t="str"/>
      <c r="H37" s="4" t="str"/>
      <c r="I37" s="4" t="str"/>
      <c r="J37" s="4" t="n"/>
      <c r="K37" s="4" t="inlineStr">
        <is>
          <t>Historical signals: title/abstract/notes; full-text completion not independently established</t>
        </is>
      </c>
      <c r="L37" s="4" t="inlineStr">
        <is>
          <t>Not documented in provided sources</t>
        </is>
      </c>
    </row>
    <row r="38" ht="307" customHeight="1">
      <c r="A38" s="4" t="inlineStr">
        <is>
          <t>38</t>
        </is>
      </c>
      <c r="B38" s="4" t="inlineStr">
        <is>
          <t>Historical</t>
        </is>
      </c>
      <c r="C38" s="4" t="inlineStr">
        <is>
          <t>Machine learning analysis of pregnancy data enables early identification of a subpopulation of newborns with ASD</t>
        </is>
      </c>
      <c r="D38" s="4" t="inlineStr">
        <is>
          <t>10.1038/s41598-021-86320-0</t>
        </is>
      </c>
      <c r="E38" s="4" t="inlineStr">
        <is>
          <t>https://doi.org/10.1038/s41598-021-86320-0</t>
        </is>
      </c>
      <c r="F38" s="4" t="inlineStr">
        <is>
          <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t>
        </is>
      </c>
      <c r="G38" s="4" t="inlineStr">
        <is>
          <t>“Main classifier: Gradient Boosting Decision Trees implemented with XGBoost; feature selection via Lasso (automatic / semi-automatic) + SHAP interpretability; nested CV.</t>
        </is>
      </c>
      <c r="H38" s="4" t="str"/>
      <c r="I38" s="4" t="str"/>
      <c r="J38" s="4" t="n"/>
      <c r="K38" s="4" t="inlineStr">
        <is>
          <t>Historical signals: title/abstract/notes; full-text completion not independently established</t>
        </is>
      </c>
      <c r="L38" s="4" t="inlineStr">
        <is>
          <t>Not documented in provided sources</t>
        </is>
      </c>
    </row>
    <row r="39" ht="281" customHeight="1">
      <c r="A39" s="4" t="inlineStr">
        <is>
          <t>39</t>
        </is>
      </c>
      <c r="B39" s="4" t="inlineStr">
        <is>
          <t>Historical</t>
        </is>
      </c>
      <c r="C39" s="4" t="inlineStr">
        <is>
          <t>Machine Learning-Based Blood RNA Signature for Diagnosis of Autism Spectrum Disorder</t>
        </is>
      </c>
      <c r="D39" s="4" t="inlineStr">
        <is>
          <t>10.3390/ijms24032082</t>
        </is>
      </c>
      <c r="E39" s="4" t="inlineStr">
        <is>
          <t>https://doi.org/10.3390/ijms24032082</t>
        </is>
      </c>
      <c r="F39" s="4" t="inlineStr">
        <is>
          <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t>
        </is>
      </c>
      <c r="G39" s="4" t="inlineStr">
        <is>
          <t>También usan Extra Trees</t>
        </is>
      </c>
      <c r="H39" s="4" t="str"/>
      <c r="I39" s="4" t="str"/>
      <c r="J39" s="4" t="n"/>
      <c r="K39" s="4" t="inlineStr">
        <is>
          <t>Historical signals: title/abstract/notes; full-text completion not independently established</t>
        </is>
      </c>
      <c r="L39" s="4" t="inlineStr">
        <is>
          <t>Not documented in provided sources</t>
        </is>
      </c>
    </row>
    <row r="40" ht="385" customHeight="1">
      <c r="A40" s="4" t="inlineStr">
        <is>
          <t>40</t>
        </is>
      </c>
      <c r="B40" s="4" t="inlineStr">
        <is>
          <t>Historical</t>
        </is>
      </c>
      <c r="C40" s="4" t="inlineStr">
        <is>
          <t>Metabolomic analysis of maternal mid-gestation plasma and cord blood in autism spectrum disorders</t>
        </is>
      </c>
      <c r="D40" s="4" t="inlineStr">
        <is>
          <t>10.1038/s41380-023-02051-w</t>
        </is>
      </c>
      <c r="E40" s="4" t="inlineStr">
        <is>
          <t>https://doi.org/10.1038/s41380-023-02051-w</t>
        </is>
      </c>
      <c r="F40" s="4" t="inlineStr">
        <is>
          <t>The discovery of prenatal and neonatal molecular biomarkers has the potential to yield insights into autism spectrum disorder (ASD) and facilitate early diagnosis. We characterized metabolomic profiles in ASD using plasma samples collected in the Norwegian Autism Birth Cohort from mothers at weeks 17–21 gestation (maternal mid-gestation, MMG, n = 408) and from children on the day of birth (cord blood, CB, n = 418). We analyzed associations using sex-stratified adjusted logistic regression models with Bayesian analyses. Chemical enrichment analyses (ChemRICH) were performed to determine altered chemical clusters. We also employed machine learning algorithms to assess the utility of metabolomics as ASD biomarkers. We identified ASD associations with a variety of chemical compounds including arachidonic acid, glutamate, and glutamine, and metabolite clusters including hydroxy eicospentaenoic acids, phosphatidylcholines, and ceramides in MMG and CB plasma that are consistent with inflammation, disruption of membrane integrity, and impaired neurotransmission and neurotoxicity. Girls with ASD have disruption of ether/non-ether phospholipid balance in the MMG plasma that is similar to that found in other neurodevelopmental disorders. ASD boys in the CB analyses had the highest number of dysregulated chemical clusters. Machine learning classifiers distinguished ASD cases from controls with area under the receiver operating characteristic (AUROC) values ranging from 0.710 to 0.853. Predictive performance was better in CB analyses than in MMG. These findings may provide new insights into the sex-specific differences in ASD and have implications for discovery of biomarkers that may enable early detection and intervention.</t>
        </is>
      </c>
      <c r="G40" s="4" t="str"/>
      <c r="H40" s="4" t="str"/>
      <c r="I40" s="4" t="str"/>
      <c r="J40" s="4" t="n"/>
      <c r="K40" s="4" t="inlineStr">
        <is>
          <t>Historical signals: title/abstract/notes; full-text completion not independently established</t>
        </is>
      </c>
      <c r="L40" s="4" t="inlineStr">
        <is>
          <t>Not documented in provided sources</t>
        </is>
      </c>
    </row>
    <row r="41" ht="320" customHeight="1">
      <c r="A41" s="4" t="inlineStr">
        <is>
          <t>41</t>
        </is>
      </c>
      <c r="B41" s="4" t="inlineStr">
        <is>
          <t>Historical</t>
        </is>
      </c>
      <c r="C41" s="4" t="inlineStr">
        <is>
          <t>Predictors of age at diagnosis in autism spectrum disorders: the use of multiple regression analyses and a classification tree on a clinical sample</t>
        </is>
      </c>
      <c r="D41" s="4" t="inlineStr">
        <is>
          <t>10.1007/s00787-023-02189-6</t>
        </is>
      </c>
      <c r="E41" s="4" t="inlineStr">
        <is>
          <t>https://doi.org/10.1007/s00787-023-02189-6</t>
        </is>
      </c>
      <c r="F41" s="4" t="inlineStr">
        <is>
          <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t>
        </is>
      </c>
      <c r="G41" s="4" t="inlineStr">
        <is>
          <t>Análisis de predictores de edad al diagnóstico (regresión + árbol); no encaja claramente en una etapa clínica RQ1.</t>
        </is>
      </c>
      <c r="H41" s="4" t="str"/>
      <c r="I41" s="4" t="str"/>
      <c r="J41" s="4" t="n"/>
      <c r="K41" s="4" t="inlineStr">
        <is>
          <t>Historical signals: title/abstract/notes; full-text completion not independently established</t>
        </is>
      </c>
      <c r="L41" s="4" t="inlineStr">
        <is>
          <t>Not documented in provided sources</t>
        </is>
      </c>
    </row>
    <row r="42" ht="409" customHeight="1">
      <c r="A42" s="4" t="inlineStr">
        <is>
          <t>42</t>
        </is>
      </c>
      <c r="B42" s="4" t="inlineStr">
        <is>
          <t>Historical</t>
        </is>
      </c>
      <c r="C42" s="4" t="inlineStr">
        <is>
          <t>Promoting emotional and behavioral interventions in ASD treatment: Evidence from EPIGRAM, A naturalistic, prospective and longitudinal study</t>
        </is>
      </c>
      <c r="D42" s="4" t="inlineStr">
        <is>
          <t>10.1016/j.ridd.2024.104688</t>
        </is>
      </c>
      <c r="E42" s="4" t="inlineStr">
        <is>
          <t>https://doi.org/10.1016/j.ridd.2024.104688</t>
        </is>
      </c>
      <c r="F42" s="4" t="inlineStr">
        <is>
          <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t>
        </is>
      </c>
      <c r="G42" s="4" t="str"/>
      <c r="H42" s="4" t="str"/>
      <c r="I42" s="4" t="str"/>
      <c r="J42" s="4" t="n"/>
      <c r="K42" s="4" t="inlineStr">
        <is>
          <t>Historical signals: title/abstract/notes; full-text completion not independently established</t>
        </is>
      </c>
      <c r="L42" s="4" t="inlineStr">
        <is>
          <t>Not documented in provided sources</t>
        </is>
      </c>
    </row>
    <row r="43" ht="294" customHeight="1">
      <c r="A43" s="4" t="inlineStr">
        <is>
          <t>43</t>
        </is>
      </c>
      <c r="B43" s="4" t="inlineStr">
        <is>
          <t>Historical</t>
        </is>
      </c>
      <c r="C43" s="4" t="inlineStr">
        <is>
          <t>The role of the dopamine system in autism spectrum disorder revealed using machine learning: an ABIDE database–based study</t>
        </is>
      </c>
      <c r="D43" s="4" t="inlineStr">
        <is>
          <t>10.1093/cercor/bhaf022</t>
        </is>
      </c>
      <c r="E43" s="4" t="inlineStr">
        <is>
          <t>https://doi.org/10.1093/cercor/bhaf022</t>
        </is>
      </c>
      <c r="F43" s="4" t="inlineStr">
        <is>
          <t>This study explores the diagnostic value of dopamine system imaging characteristics in children with autism spectrum disorder. Functional magnetic resonance data from 551 children in the Autism Brain Imaging Data Exchange database were analyzed, focusing on six dopamine-related brain regions as regions of interest. Functional connectivity between these ROIs and across the whole brain was assessed. Machine learning techniques then evaluated the ability of the dopamine system’s imaging features to predict autism spectrum disorder. Functional connectivity was significantly higher in autism spectrum disorder children between the ventral tegmental area and substantia nigra, prefrontal cortex, nucleus accumbens, and between the substantia nigra and hypothalamus compared to typically developing children. Additionally, clustering methods identified two autism spectrum disorder subtypes, achieving over 0.8 accuracy. Subtype 1 showed higher stereotyped behavior scores than subtype 2 in both genders, with subtype-specific functional connectivity differences between male and female autism spectrum disorder groups. These findings suggest that abnormal functional connectivity in the dopamine system serves as a diagnostic biomarker for autism spectrum disorder and can support clinical decision-making and personalized treatment optimization.</t>
        </is>
      </c>
      <c r="G43" s="4" t="inlineStr">
        <is>
          <t>Usa ABIDE; marcar señal multisitio.</t>
        </is>
      </c>
      <c r="H43" s="4" t="inlineStr">
        <is>
          <t>ML evaluates dopamine-system imaging features to predict ASD.</t>
        </is>
      </c>
      <c r="I43" s="4" t="str"/>
      <c r="J43" s="4" t="n"/>
      <c r="K43" s="4" t="inlineStr">
        <is>
          <t>Historical signals: title/abstract/notes; full-text completion not independently established</t>
        </is>
      </c>
      <c r="L43" s="4" t="inlineStr">
        <is>
          <t>Not documented in provided sources</t>
        </is>
      </c>
    </row>
    <row r="44" ht="385" customHeight="1">
      <c r="A44" s="4" t="inlineStr">
        <is>
          <t>44</t>
        </is>
      </c>
      <c r="B44" s="4" t="inlineStr">
        <is>
          <t>Historical</t>
        </is>
      </c>
      <c r="C44" s="4" t="inlineStr">
        <is>
          <t>Using Artificial Intelligence to Identify Factors Associated with Autism Spectrum Disorder in Adolescents with Cerebral Palsy</t>
        </is>
      </c>
      <c r="D44" s="4" t="inlineStr">
        <is>
          <t>10.1055/s-0039-1685525</t>
        </is>
      </c>
      <c r="E44" s="4" t="inlineStr">
        <is>
          <t>https://doi.org/10.1055/s-0039-1685525</t>
        </is>
      </c>
      <c r="F44" s="4" t="inlineStr">
        <is>
          <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t>
        </is>
      </c>
      <c r="G44" s="4" t="inlineStr">
        <is>
          <t>Modelo predictivo con variables clínicas para identificar adolescentes con CP en riesgo de ASD.</t>
        </is>
      </c>
      <c r="H44" s="4" t="str"/>
      <c r="I44" s="4" t="str"/>
      <c r="J44" s="4" t="n"/>
      <c r="K44" s="4" t="inlineStr">
        <is>
          <t>Historical signals: title/abstract/notes; full-text completion not independently established</t>
        </is>
      </c>
      <c r="L44" s="4" t="inlineStr">
        <is>
          <t>Not documented in provided sources</t>
        </is>
      </c>
    </row>
    <row r="45" ht="409" customHeight="1">
      <c r="A45" s="4" t="inlineStr">
        <is>
          <t>45</t>
        </is>
      </c>
      <c r="B45" s="4" t="inlineStr">
        <is>
          <t>Historical</t>
        </is>
      </c>
      <c r="C45" s="4" t="inlineStr">
        <is>
          <t>Using resting state functional MRI to build a personalized autism diagnosis system</t>
        </is>
      </c>
      <c r="D45" s="4" t="inlineStr">
        <is>
          <t>10.1371/journal.pone.0206351</t>
        </is>
      </c>
      <c r="E45" s="4" t="inlineStr">
        <is>
          <t>https://doi.org/10.1371/journal.pone.0206351</t>
        </is>
      </c>
      <c r="F45" s="4" t="inlineStr">
        <is>
          <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t>
        </is>
      </c>
      <c r="G45" s="4" t="str"/>
      <c r="H45" s="4" t="str"/>
      <c r="I45" s="4" t="str"/>
      <c r="J45" s="4" t="n"/>
      <c r="K45" s="4" t="inlineStr">
        <is>
          <t>Historical signals: title/abstract/notes; full-text completion not independently established</t>
        </is>
      </c>
      <c r="L45" s="4" t="inlineStr">
        <is>
          <t>Not documented in provided sources</t>
        </is>
      </c>
    </row>
    <row r="46" ht="203" customHeight="1">
      <c r="A46" s="4" t="inlineStr">
        <is>
          <t>46</t>
        </is>
      </c>
      <c r="B46" s="4" t="inlineStr">
        <is>
          <t>Historical</t>
        </is>
      </c>
      <c r="C46" s="4" t="inlineStr">
        <is>
          <t>A Model to Support the Prediction of Indicators in the Diagnosis and Intervention of Autism Spectrum Disorder</t>
        </is>
      </c>
      <c r="D46" s="4" t="inlineStr">
        <is>
          <t>10.1007/978-3-031-48642-5_7</t>
        </is>
      </c>
      <c r="E46" s="4" t="inlineStr">
        <is>
          <t>https://doi.org/10.1007/978-3-031-48642-5_7</t>
        </is>
      </c>
      <c r="F46" s="4" t="inlineStr">
        <is>
          <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t>
        </is>
      </c>
      <c r="G46" s="4" t="inlineStr">
        <is>
          <t>Proyecto en curso basado en conversaciones/escritura para apoyar indicadores diagnósticos/intervención; confirmar arquitectura final.</t>
        </is>
      </c>
      <c r="H46" s="4" t="str"/>
      <c r="I46" s="4" t="str"/>
      <c r="J46" s="4" t="n"/>
      <c r="K46" s="4" t="inlineStr">
        <is>
          <t>Historical signals: title/abstract/notes; full-text completion not independently established</t>
        </is>
      </c>
      <c r="L46" s="4" t="inlineStr">
        <is>
          <t>Not documented in provided sources</t>
        </is>
      </c>
    </row>
    <row r="47" ht="409" customHeight="1">
      <c r="A47" s="4" t="inlineStr">
        <is>
          <t>47</t>
        </is>
      </c>
      <c r="B47" s="4" t="inlineStr">
        <is>
          <t>Historical</t>
        </is>
      </c>
      <c r="C47" s="4" t="inlineStr">
        <is>
          <t>A novel multi-modal model to assist the diagnosis of autism spectrum disorder using eye-tracking data</t>
        </is>
      </c>
      <c r="D47" s="4" t="inlineStr">
        <is>
          <t>10.1007/s13755-024-00299-2</t>
        </is>
      </c>
      <c r="E47" s="4" t="inlineStr">
        <is>
          <t>https://doi.org/10.1007/s13755-024-00299-2</t>
        </is>
      </c>
      <c r="F47" s="4" t="inlineStr">
        <is>
          <t>Background and objective
Timely and accurate detection of Autism Spectrum Disorder (ASD) is essential for early intervention and improved patient outcomes. This study aims to harness the power of machine learning (ML) techniques to improve ASD detection by incorporating temporal eye-tracking data. We developed a novel ML model to leverage eye scan paths, sequences of distances of eye movement, and a sequence of fixation durations, enhancing the temporal aspect of the analysis for more effective ASD identification.
Methods
We utilized a dataset of eye-tracking data without augmentation to train our ML model, which consists of a CNN-GRU-ANN architecture. The model was trained using gaze maps, the sequences of distances between eye fixations, and durations of fixations and saccades. Additionally, we employed a validation dataset to assess the model’s performance and compare it with other works.
Results
Our ML model demonstrated superior performance in ASD detection compared to the VGG-16 model. By incorporating temporal information from eye-tracking data, our model achieved higher accuracy, precision, and recall. The novel addition of sequence-based features allowed our model to effectively distinguish between ASD and typically developing individuals, achieving an impressive precision value of 93.10% on the validation dataset.
Conclusion
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G47" s="4" t="inlineStr">
        <is>
          <t>Hybrid CNN-GRU-ANN; mapped to RNN/LSTM/GRU as main due to temporal sequence modeling</t>
        </is>
      </c>
      <c r="H47" s="4" t="str"/>
      <c r="I47" s="4" t="str"/>
      <c r="J47" s="4" t="n"/>
      <c r="K47" s="4" t="inlineStr">
        <is>
          <t>Historical signals: title/abstract/notes; full-text completion not independently established</t>
        </is>
      </c>
      <c r="L47" s="4" t="inlineStr">
        <is>
          <t>Not documented in provided sources</t>
        </is>
      </c>
    </row>
    <row r="48" ht="99" customHeight="1">
      <c r="A48" s="4" t="inlineStr">
        <is>
          <t>48</t>
        </is>
      </c>
      <c r="B48" s="4" t="inlineStr">
        <is>
          <t>Historical</t>
        </is>
      </c>
      <c r="C48" s="4" t="inlineStr">
        <is>
          <t>A randomized controlled trial of 25 sessions comparing music therapy and music listening for children with autism spectrum disorder</t>
        </is>
      </c>
      <c r="D48" s="4" t="inlineStr">
        <is>
          <t>10.1016/j.psychres.2020.113377</t>
        </is>
      </c>
      <c r="E48" s="4" t="inlineStr">
        <is>
          <t>https://doi.org/10.1016/j.psychres.2020.113377</t>
        </is>
      </c>
      <c r="F48" s="4" t="inlineStr">
        <is>
          <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G48" s="4" t="inlineStr">
        <is>
          <t>Posible desajuste título-abstract; el abstract describe detección por eye-tracking temporal.</t>
        </is>
      </c>
      <c r="H48" s="4" t="str"/>
      <c r="I48" s="4" t="str"/>
      <c r="J48" s="4" t="n"/>
      <c r="K48" s="4" t="inlineStr">
        <is>
          <t>Historical signals: title/abstract/notes; full-text completion not independently established</t>
        </is>
      </c>
      <c r="L48" s="4" t="inlineStr">
        <is>
          <t>Not documented in provided sources</t>
        </is>
      </c>
    </row>
    <row r="49" ht="255" customHeight="1">
      <c r="A49" s="4" t="inlineStr">
        <is>
          <t>49</t>
        </is>
      </c>
      <c r="B49" s="4" t="inlineStr">
        <is>
          <t>Historical</t>
        </is>
      </c>
      <c r="C49" s="4" t="inlineStr">
        <is>
          <t>A Triple-Pooling Graph Neural Network for\&amp;#xa0;Multi-scale Topological Learning of\&amp;#xa0;Brain Functional Connectivity: Application to\&amp;#xa0;ASD Diagnosis</t>
        </is>
      </c>
      <c r="D49" s="4" t="inlineStr">
        <is>
          <t>10.1007/978-3-030-93049-3_30</t>
        </is>
      </c>
      <c r="E49" s="4" t="inlineStr">
        <is>
          <t>https://doi.org/10.1007/978-3-030-93049-3_30</t>
        </is>
      </c>
      <c r="F49" s="4" t="inlineStr">
        <is>
          <t>Brain functional connectivity (BFC) built from resting-state functional magnetic resonance imaging (rs-fMRI) has shown promising results in revealing the pathological basis of neurological disorders. However, a major problem is that existing approaches tend to limit analysis to a single scale, which unmatches the truth that modern neuroscience highlights BFC as a multi-scale topological architecture. Such a narrow view does lose representation of the inherent BFC topology and would weaken its performance. To solve this issue, we propose a novel triple-pooling graph neural network (TPGNN) to learn different scales of BFC topological knowledge in a task-adaptive way. Specifically, a pooling architecture with triple branches is designed to automate BFC analysis on the global scale, community scale, and region of interest (ROI) scale, respectively. We validate the diagnostic performance of TPGNN on an open autism spectrum disorder (ASD) dataset. Experimental results demonstrate that TPGNN outperforms the alternative state-of-the-art BFC analysis methods and provides potential biomarkers of different scales to benefit neuroscience.</t>
        </is>
      </c>
      <c r="G49" s="4" t="inlineStr">
        <is>
          <t>Graph Neural Network (TPGNN) for rs-fMRI functional connectivity; mapped to Other (GNN not in list)</t>
        </is>
      </c>
      <c r="H49" s="4" t="str"/>
      <c r="I49" s="4" t="str"/>
      <c r="J49" s="4" t="n"/>
      <c r="K49" s="4" t="inlineStr">
        <is>
          <t>Historical signals: title/abstract/notes; full-text completion not independently established</t>
        </is>
      </c>
      <c r="L49" s="4" t="inlineStr">
        <is>
          <t>Not documented in provided sources</t>
        </is>
      </c>
    </row>
    <row r="50" ht="372" customHeight="1">
      <c r="A50" s="4" t="inlineStr">
        <is>
          <t>51</t>
        </is>
      </c>
      <c r="B50" s="4" t="inlineStr">
        <is>
          <t>Historical</t>
        </is>
      </c>
      <c r="C50" s="4" t="inlineStr">
        <is>
          <t>Bilinear Perceptual Fusion Algorithm Based on Brain Functional and Structural Data for ASD Diagnosis and Regions of Interest Identification</t>
        </is>
      </c>
      <c r="D50" s="4" t="inlineStr">
        <is>
          <t>10.1007/s12539-024-00651-w</t>
        </is>
      </c>
      <c r="E50" s="4" t="inlineStr">
        <is>
          <t>https://doi.org/10.1007/s12539-024-00651-w</t>
        </is>
      </c>
      <c r="F50" s="4" t="inlineStr">
        <is>
          <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t>
        </is>
      </c>
      <c r="G50" s="4" t="inlineStr">
        <is>
          <t>Fusión multimodal de datos cerebrales estructurales/funcionales; arquitectura GCN fuera del codebook.</t>
        </is>
      </c>
      <c r="H50" s="4" t="str"/>
      <c r="I50" s="4" t="str"/>
      <c r="J50" s="4" t="n"/>
      <c r="K50" s="4" t="inlineStr">
        <is>
          <t>Historical signals: title/abstract/notes; full-text completion not independently established</t>
        </is>
      </c>
      <c r="L50" s="4" t="inlineStr">
        <is>
          <t>Not documented in provided sources</t>
        </is>
      </c>
    </row>
    <row r="51" ht="372" customHeight="1">
      <c r="A51" s="4" t="inlineStr">
        <is>
          <t>52</t>
        </is>
      </c>
      <c r="B51" s="4" t="inlineStr">
        <is>
          <t>Historical</t>
        </is>
      </c>
      <c r="C51" s="4" t="inlineStr">
        <is>
          <t>Computer-aided diagnosis of autism spectrum disorder from EEG signals using deep learning with FAWT and multiscale permutation entropy features</t>
        </is>
      </c>
      <c r="D51" s="4" t="inlineStr">
        <is>
          <t>10.1177/09544119221141751</t>
        </is>
      </c>
      <c r="E51" s="4" t="inlineStr">
        <is>
          <t>https://doi.org/10.1177/09544119221141751</t>
        </is>
      </c>
      <c r="F51" s="4" t="inlineStr">
        <is>
          <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t>
        </is>
      </c>
      <c r="G51" s="4" t="str"/>
      <c r="H51" s="4" t="str"/>
      <c r="I51" s="4" t="str"/>
      <c r="J51" s="4" t="n"/>
      <c r="K51" s="4" t="inlineStr">
        <is>
          <t>Historical signals: title/abstract/notes; full-text completion not independently established</t>
        </is>
      </c>
      <c r="L51" s="4" t="inlineStr">
        <is>
          <t>Not documented in provided sources</t>
        </is>
      </c>
    </row>
    <row r="52" ht="307" customHeight="1">
      <c r="A52" s="4" t="inlineStr">
        <is>
          <t>53</t>
        </is>
      </c>
      <c r="B52" s="4" t="inlineStr">
        <is>
          <t>Historical</t>
        </is>
      </c>
      <c r="C52" s="4" t="inlineStr">
        <is>
          <t>Development and validation of a machine learning-based tool to predict autism among children</t>
        </is>
      </c>
      <c r="D52" s="4" t="inlineStr">
        <is>
          <t>10.1002/aur.2912</t>
        </is>
      </c>
      <c r="E52" s="4" t="inlineStr">
        <is>
          <t>https://doi.org/10.1002/aur.2912</t>
        </is>
      </c>
      <c r="F52" s="4" t="inlineStr">
        <is>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is>
      </c>
      <c r="G52" s="4" t="inlineStr">
        <is>
          <t>También entrenan Gradient Boosted Trees (XGBoost/GBDT) y reportan desempeño comparable en validación.</t>
        </is>
      </c>
      <c r="H52" s="4" t="str"/>
      <c r="I52" s="4" t="str"/>
      <c r="J52" s="4" t="n"/>
      <c r="K52" s="4" t="inlineStr">
        <is>
          <t>Historical signals: title/abstract/notes; full-text completion not independently established</t>
        </is>
      </c>
      <c r="L52" s="4" t="inlineStr">
        <is>
          <t>Not documented in provided sources</t>
        </is>
      </c>
    </row>
    <row r="53" ht="372" customHeight="1">
      <c r="A53" s="4" t="inlineStr">
        <is>
          <t>54</t>
        </is>
      </c>
      <c r="B53" s="4" t="inlineStr">
        <is>
          <t>Historical</t>
        </is>
      </c>
      <c r="C53" s="4" t="inlineStr">
        <is>
          <t>Diagnostic classification of intrinsic functional connectivity highlights somatosensory, default mode, and visual regions in autism</t>
        </is>
      </c>
      <c r="D53" s="4" t="inlineStr">
        <is>
          <t>10.1016/j.nicl.2015.04.002</t>
        </is>
      </c>
      <c r="E53" s="4" t="inlineStr">
        <is>
          <t>https://doi.org/10.1016/j.nicl.2015.04.002</t>
        </is>
      </c>
      <c r="F53" s="4" t="inlineStr">
        <is>
          <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t>
        </is>
      </c>
      <c r="G53" s="4" t="str"/>
      <c r="H53" s="4" t="str"/>
      <c r="I53" s="4" t="str"/>
      <c r="J53" s="4" t="n"/>
      <c r="K53" s="4" t="inlineStr">
        <is>
          <t>Historical signals: title/abstract/notes; full-text completion not independently established</t>
        </is>
      </c>
      <c r="L53" s="4" t="inlineStr">
        <is>
          <t>Not documented in provided sources</t>
        </is>
      </c>
    </row>
    <row r="54" ht="409" customHeight="1">
      <c r="A54" s="4" t="inlineStr">
        <is>
          <t>56</t>
        </is>
      </c>
      <c r="B54" s="4" t="inlineStr">
        <is>
          <t>Historical</t>
        </is>
      </c>
      <c r="C54" s="4" t="inlineStr">
        <is>
          <t>Epigenomic signatures reveal mechanistic clues and predictive markers for autism spectrum disorder</t>
        </is>
      </c>
      <c r="D54" s="4" t="inlineStr">
        <is>
          <t>10.1038/s41380-022-01917-9</t>
        </is>
      </c>
      <c r="E54" s="4" t="inlineStr">
        <is>
          <t>https://doi.org/10.1038/s41380-022-01917-9</t>
        </is>
      </c>
      <c r="F54" s="4" t="inlineStr">
        <is>
          <t>Autism spectrum disorder (ASD) comprises a heterogeneous group of neurodevelopmental outcomes in children with a commonality in deficits in social communication and language combined with repetitive behaviors and interests. The etiology of ASD is heterogeneous, as several hundred genes have been implicated as well as multiple in utero environmental exposures. Over the past two decades, epigenetic investigations, including DNA methylation, have emerged as a novel way to capture the complex interface of multivariate ASD etiologies. More recently, epigenome-wide association studies using human brain and surrogate accessible tissues have revealed some convergent genes that are epigenetically altered in ASD, many of which overlap with known genetic risk factors. Unlike transcriptomes, epigenomic signatures defined by DNA methylation from surrogate tissues such as placenta and cord blood can reflect past differences in fetal brain gene transcription, transcription factor binding, and chromatin. For example, the discovery of NHIP (neuronal hypoxia inducible, placenta associated) through an epigenome-wide association in placenta, identified a common genetic risk for ASD that was modified by prenatal vitamin use. While epigenomic signatures are distinct between different genetic syndromic causes of ASD, bivalent chromatin and some convergent gene pathways are consistently epigenetically altered in both syndromic and idiopathic ASD, as well as some environmental exposures. Together, these epigenomic signatures hold promising clues towards improved early prediction and prevention of ASD as well genes and gene pathways to target for pharmacological interventions. Future advancements in single cell and multi-omic technologies, machine learning, as well as non-invasive screening of epigenomic signatures during pregnancy or newborn periods are expected to continue to impact the translatability of the recent discoveries in epigenomics to precision public health.</t>
        </is>
      </c>
      <c r="G54" s="4" t="inlineStr">
        <is>
          <t>Sin señal explícita Q3 en título/abstract.</t>
        </is>
      </c>
      <c r="H54" s="4" t="inlineStr">
        <is>
          <t>Epigenomic/mechanistic biomarker review or marker study; no operational AI clinical decision workflow.</t>
        </is>
      </c>
      <c r="I54" s="4" t="str"/>
      <c r="J54" s="4" t="n"/>
      <c r="K54" s="4" t="inlineStr">
        <is>
          <t>Historical signals: title/abstract/notes; full-text completion not independently established</t>
        </is>
      </c>
      <c r="L54" s="4" t="inlineStr">
        <is>
          <t>Not documented in provided sources</t>
        </is>
      </c>
    </row>
    <row r="55" ht="409" customHeight="1">
      <c r="A55" s="4" t="inlineStr">
        <is>
          <t>57</t>
        </is>
      </c>
      <c r="B55" s="4" t="inlineStr">
        <is>
          <t>Historical</t>
        </is>
      </c>
      <c r="C55" s="4" t="inlineStr">
        <is>
          <t>Evaluation and benchmarking of hybrid machine learning models for autism spectrum disorder diagnosis using a 2-tuple linguistic neutrosophic fuzzy sets-based decision-making model</t>
        </is>
      </c>
      <c r="D55" s="4" t="inlineStr">
        <is>
          <t>10.1007/s00521-024-09905-6</t>
        </is>
      </c>
      <c r="E55" s="4" t="inlineStr">
        <is>
          <t>https://doi.org/10.1007/s00521-024-09905-6</t>
        </is>
      </c>
      <c r="F55" s="4" t="inlineStr">
        <is>
          <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t>
        </is>
      </c>
      <c r="G55" s="4" t="inlineStr">
        <is>
          <t>Algoritmo principal no explícito o fuera del codebook; Confirmar algoritmo principal en full-text; Se comparan varios modelos; se eligió el principal/mejor reportado</t>
        </is>
      </c>
      <c r="H55" s="4" t="str"/>
      <c r="I55" s="4" t="str"/>
      <c r="J55" s="4" t="n"/>
      <c r="K55" s="4" t="inlineStr">
        <is>
          <t>Historical signals: title/abstract/notes; full-text completion not independently established</t>
        </is>
      </c>
      <c r="L55" s="4" t="inlineStr">
        <is>
          <t>Not documented in provided sources</t>
        </is>
      </c>
    </row>
    <row r="56" ht="281" customHeight="1">
      <c r="A56" s="4" t="inlineStr">
        <is>
          <t>58</t>
        </is>
      </c>
      <c r="B56" s="4" t="inlineStr">
        <is>
          <t>Historical</t>
        </is>
      </c>
      <c r="C56" s="4" t="inlineStr">
        <is>
          <t>Event Related Potential Analysis Using Machine Learning to Predict Diagnostic Outcome of Autism Spectrum Disorder</t>
        </is>
      </c>
      <c r="D56" s="4" t="inlineStr">
        <is>
          <t>10.1007/978-3-030-88163-4_7</t>
        </is>
      </c>
      <c r="E56" s="4" t="inlineStr">
        <is>
          <t>https://doi.org/10.1007/978-3-030-88163-4_7</t>
        </is>
      </c>
      <c r="F56" s="4" t="inlineStr">
        <is>
          <t>dentifying diagnostic biomarkers for autism spectrum disorder (ASD) is one of the challenges in autism research today. Recent studies using visual Event Related Potentials (ERPs) have identified abnormal patterns of brain activity in high-risk infants who go onto ASD diagnosis. In this study, we used well-established ERP components related to face processing. Features of these ERPs were used to explore the performance of machine learning algorithms in classifying ASD diagnostic outcomes. Data were used from the EEG Integrated Platform (EEG-IP). ERPs were recorded from six-months infants in response to static faces that dynamically changed between direct and averted eye gaze. Amplitude and latency measures of prominent ERP peaks including P100, N290 and P400 were derived across five scalp regions. Difference Scores between stimulus conditions (direct versus indirect eye gaze, toward versus away and face versus noise) were considered. Features were selected by weight correlation and used as inputs to three classifiers: k-Nearest Neighbor, Support Vector machines and Decision tree. Performance of these classifiers was compared. The results showed that the Decision tree classifier had the greatest average accuracy rate of 78.09% in classifying ASD diagnosis in high-risk infants.</t>
        </is>
      </c>
      <c r="G56" s="4" t="str"/>
      <c r="H56" s="4" t="str"/>
      <c r="I56" s="4" t="str"/>
      <c r="J56" s="4" t="n"/>
      <c r="K56" s="4" t="inlineStr">
        <is>
          <t>Historical signals: title/abstract/notes; full-text completion not independently established</t>
        </is>
      </c>
      <c r="L56" s="4" t="inlineStr">
        <is>
          <t>Not documented in provided sources</t>
        </is>
      </c>
    </row>
    <row r="57" ht="359" customHeight="1">
      <c r="A57" s="4" t="inlineStr">
        <is>
          <t>59</t>
        </is>
      </c>
      <c r="B57" s="4" t="inlineStr">
        <is>
          <t>Historical</t>
        </is>
      </c>
      <c r="C57" s="4" t="inlineStr">
        <is>
          <t>Functional Connectivities Are More Informative Than Anatomical Variables in Diagnostic Classification of Autism</t>
        </is>
      </c>
      <c r="D57" s="4" t="inlineStr">
        <is>
          <t>10.1089/brain.2019.0689</t>
        </is>
      </c>
      <c r="E57" s="4" t="inlineStr">
        <is>
          <t>https://doi.org/10.1089/brain.2019.0689</t>
        </is>
      </c>
      <c r="F57" s="4" t="inlineStr">
        <is>
          <t>Machine learning techniques have been implemented to reveal brain features that distinguish people with autism spectrum disorders (ASDs) from typically developing (TD) peers. However, it remains unknown whether different neuroimaging modalities are equally informative for diagnostic classification. We combined anatomical magnetic resonance imaging (aMRI), diffusion weighted imaging (DWI), and functional connectivity MRI (fcMRI) using conditional random forest (CRF) for supervised learning to compare how informative each modality was in diagnostic classification. In-house data (N = 93) included 47 TD and 46 ASD participants, matched on age, motion, and nonverbal IQ. Four main analyses consistently indicated that fcMRI variables were significantly more informative than anatomical variables from aMRI and DWI. This was found (1) when the top 100 variables from CRF (run separately in each modality) were combined for multimodal CRF; (2) when only 19 top variables reaching &gt;67% accuracy in each modality were combined in multimodal CRF; and (3) when the large number of initial variables (before dimension reduction) potentially biasing comparisons in favor of fcMRI was reduced using a less granular region of interest scheme. Consistent superiority of fcMRI was even found (4) when 100 variables per modality were randomly selected, removing any such potential bias. Greater informative value of functional than anatomical modalities may relate to the nature of fcMRI data, reflecting more closely behavioral condition, which is also the basis of diagnosis, whereas brain anatomy may be more reflective of neurodevelopmental history.</t>
        </is>
      </c>
      <c r="G57" s="4" t="str"/>
      <c r="H57" s="4" t="str"/>
      <c r="I57" s="4" t="str"/>
      <c r="J57" s="4" t="n"/>
      <c r="K57" s="4" t="inlineStr">
        <is>
          <t>Historical signals: title/abstract/notes; full-text completion not independently established</t>
        </is>
      </c>
      <c r="L57" s="4" t="inlineStr">
        <is>
          <t>Not documented in provided sources</t>
        </is>
      </c>
    </row>
    <row r="58" ht="385" customHeight="1">
      <c r="A58" s="4" t="inlineStr">
        <is>
          <t>60</t>
        </is>
      </c>
      <c r="B58" s="4" t="inlineStr">
        <is>
          <t>Historical</t>
        </is>
      </c>
      <c r="C58" s="4" t="inlineStr">
        <is>
          <t>Hyperuricemia and Metabolic Adverse Effect in Children and Adolescents with Autism Spectrum Disorder Treated with Risperidone</t>
        </is>
      </c>
      <c r="D58" s="4" t="inlineStr">
        <is>
          <t>10.1016/j.eurpsy.2017.02.198</t>
        </is>
      </c>
      <c r="E58" s="4" t="inlineStr">
        <is>
          <t>https://doi.org/10.1016/j.eurpsy.2017.02.198</t>
        </is>
      </c>
      <c r="F58" s="4" t="inlineStr">
        <is>
          <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t>
        </is>
      </c>
      <c r="G58" s="4" t="inlineStr">
        <is>
          <t>Estudio principalmente clínico/estadístico sobre efectos metabólicos de risperidona; relevancia de IA ambigua.</t>
        </is>
      </c>
      <c r="H58" s="4" t="str"/>
      <c r="I58" s="4" t="str"/>
      <c r="J58" s="4" t="n"/>
      <c r="K58" s="4" t="inlineStr">
        <is>
          <t>Historical signals: title/abstract/notes; full-text completion not independently established</t>
        </is>
      </c>
      <c r="L58" s="4" t="inlineStr">
        <is>
          <t>Not documented in provided sources</t>
        </is>
      </c>
    </row>
    <row r="59" ht="346" customHeight="1">
      <c r="A59" s="4" t="inlineStr">
        <is>
          <t>61</t>
        </is>
      </c>
      <c r="B59" s="4" t="inlineStr">
        <is>
          <t>Historical</t>
        </is>
      </c>
      <c r="C59" s="4" t="inlineStr">
        <is>
          <t>Identifying Visual Attention Features Accurately Discerning Between Autism and Typically Developing: a Deep Learning Framework</t>
        </is>
      </c>
      <c r="D59" s="4" t="inlineStr">
        <is>
          <t>10.1007/s12539-022-00510-6</t>
        </is>
      </c>
      <c r="E59" s="4" t="inlineStr">
        <is>
          <t>https://doi.org/10.1007/s12539-022-00510-6</t>
        </is>
      </c>
      <c r="F59" s="4" t="inlineStr">
        <is>
          <t>Atypical visual attention is a hallmark of autism spectrum disorder (ASD). Identifying the attention features accurately discerning between people with ASD and typically developing (TD) at the individual level remains a challenge. In this study, we developed a new systematic framework combining high accuracy deep learning classification, deep learning segmentation, image ablation and a direct measurement of classification ability to identify the discriminative features for autism identification. Our two-stream model achieved the state-of-the-art performance with a classification accuracy of 0.95. Using this framework, two new categories of features, Food &amp; drink and Outdoor-objects, were identified as discriminative attention features, in addition to the previously reported features including Center-object and Human-faces, etc. Altered attention to the new categories helps to understand related atypical behaviors in ASD. Importantly, the area under curve (AUC) based on the combined top-9 features identified in this study was 0.92, allowing an accurate classification at the individual level. We also obtained a small but informative dataset of 12 images with an AUC of 0.86, suggesting a potentially efficient approach for the clinical diagnosis of ASD. Together, our deep learning framework based on VGG-16 provides a novel and powerful tool to recognize and understand abnormal visual attention in ASD, which will, in turn, facilitate the identification of biomarkers for ASD. Graphical abstract: [Figure not available: see fulltext.].</t>
        </is>
      </c>
      <c r="G59" s="4" t="str"/>
      <c r="H59" s="4" t="str"/>
      <c r="I59" s="4" t="str"/>
      <c r="J59" s="4" t="n"/>
      <c r="K59" s="4" t="inlineStr">
        <is>
          <t>Historical signals: title/abstract/notes; full-text completion not independently established</t>
        </is>
      </c>
      <c r="L59" s="4" t="inlineStr">
        <is>
          <t>Not documented in provided sources</t>
        </is>
      </c>
    </row>
    <row r="60" ht="359" customHeight="1">
      <c r="A60" s="4" t="inlineStr">
        <is>
          <t>62</t>
        </is>
      </c>
      <c r="B60" s="4" t="inlineStr">
        <is>
          <t>Historical</t>
        </is>
      </c>
      <c r="C60" s="4" t="inlineStr">
        <is>
          <t>Impact of DRD2 polymorphisms on prolactin level in risperidone-treated Thai children and adolescent with autism spectrum disorders</t>
        </is>
      </c>
      <c r="D60" s="4" t="inlineStr">
        <is>
          <t>10.1016/j.eurpsy.2016.01.060</t>
        </is>
      </c>
      <c r="E60" s="4" t="inlineStr">
        <is>
          <t>https://doi.org/10.1016/j.eurpsy.2016.01.060</t>
        </is>
      </c>
      <c r="F60" s="4" t="inlineStr">
        <is>
          <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t>
        </is>
      </c>
      <c r="G60" s="4" t="inlineStr">
        <is>
          <t>Estudio farmacogenético de prolactina en tratamiento con risperidona; uso de IA/ML no claramente descrito.</t>
        </is>
      </c>
      <c r="H60" s="4" t="str"/>
      <c r="I60" s="4" t="str"/>
      <c r="J60" s="4" t="n"/>
      <c r="K60" s="4" t="inlineStr">
        <is>
          <t>Historical signals: title/abstract/notes; full-text completion not independently established</t>
        </is>
      </c>
      <c r="L60" s="4" t="inlineStr">
        <is>
          <t>Not documented in provided sources</t>
        </is>
      </c>
    </row>
    <row r="61" ht="372" customHeight="1">
      <c r="A61" s="4" t="inlineStr">
        <is>
          <t>63</t>
        </is>
      </c>
      <c r="B61" s="4" t="inlineStr">
        <is>
          <t>Historical</t>
        </is>
      </c>
      <c r="C61" s="4" t="inlineStr">
        <is>
          <t>Improving fMRI-Based Autism Severity Identification via Brain Network Distance and Adaptive Label Distribution Learning</t>
        </is>
      </c>
      <c r="D61" s="4" t="inlineStr">
        <is>
          <t>10.1109/tnsre.2024.3516216</t>
        </is>
      </c>
      <c r="E61" s="4" t="inlineStr">
        <is>
          <t>https://doi.org/10.1109/tnsre.2024.3516216</t>
        </is>
      </c>
      <c r="F61" s="4" t="inlineStr">
        <is>
          <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t>
        </is>
      </c>
      <c r="G61" s="4" t="inlineStr">
        <is>
          <t>Algoritmo principal no explícito o fuera del codebook; Confirmar algoritmo principal en full-text</t>
        </is>
      </c>
      <c r="H61" s="4" t="str"/>
      <c r="I61" s="4" t="str"/>
      <c r="J61" s="4" t="n"/>
      <c r="K61" s="4" t="inlineStr">
        <is>
          <t>Historical signals: title/abstract/notes; full-text completion not independently established</t>
        </is>
      </c>
      <c r="L61" s="4" t="inlineStr">
        <is>
          <t>Not documented in provided sources</t>
        </is>
      </c>
    </row>
    <row r="62" ht="409" customHeight="1">
      <c r="A62" s="4" t="inlineStr">
        <is>
          <t>64</t>
        </is>
      </c>
      <c r="B62" s="4" t="inlineStr">
        <is>
          <t>Historical</t>
        </is>
      </c>
      <c r="C62" s="4" t="inlineStr">
        <is>
          <t>Leveraging hybrid model of ConvNextBase and LightGBM for early ASD detection via eye-gaze analysis</t>
        </is>
      </c>
      <c r="D62" s="4" t="inlineStr">
        <is>
          <t>10.1016/j.mex.2025.103166</t>
        </is>
      </c>
      <c r="E62" s="4" t="inlineStr">
        <is>
          <t>https://doi.org/10.1016/j.mex.2025.103166</t>
        </is>
      </c>
      <c r="F62" s="4" t="inlineStr">
        <is>
          <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t>
        </is>
      </c>
      <c r="G62" s="4" t="inlineStr">
        <is>
          <t>Es un híbrido: ConvNeXtBase (CNN) como extractor de características + LightGBM (GBDT) como clasificador.</t>
        </is>
      </c>
      <c r="H62" s="4" t="str"/>
      <c r="I62" s="4" t="str"/>
      <c r="J62" s="4" t="n"/>
      <c r="K62" s="4" t="inlineStr">
        <is>
          <t>Historical signals: title/abstract/notes; full-text completion not independently established</t>
        </is>
      </c>
      <c r="L62" s="4" t="inlineStr">
        <is>
          <t>Not documented in provided sources</t>
        </is>
      </c>
    </row>
    <row r="63" ht="333" customHeight="1">
      <c r="A63" s="4" t="inlineStr">
        <is>
          <t>65</t>
        </is>
      </c>
      <c r="B63" s="4" t="inlineStr">
        <is>
          <t>Historical</t>
        </is>
      </c>
      <c r="C63" s="4" t="inlineStr">
        <is>
          <t>Modified Grasshopper Optimization Algorithm for detection of Autism Spectrum Disorder</t>
        </is>
      </c>
      <c r="D63" s="4" t="inlineStr">
        <is>
          <t>10.1016/j.phycom.2020.101115</t>
        </is>
      </c>
      <c r="E63" s="4" t="inlineStr">
        <is>
          <t>https://doi.org/10.1016/j.phycom.2020.101115</t>
        </is>
      </c>
      <c r="F63" s="4" t="inlineStr">
        <is>
          <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t>
        </is>
      </c>
      <c r="G63" s="4" t="inlineStr">
        <is>
          <t>Algoritmo principal no explícito o fuera del codebook; Confirmar algoritmo principal en full-text</t>
        </is>
      </c>
      <c r="H63" s="4" t="str"/>
      <c r="I63" s="4" t="str"/>
      <c r="J63" s="4" t="n"/>
      <c r="K63" s="4" t="inlineStr">
        <is>
          <t>Historical signals: title/abstract/notes; full-text completion not independently established</t>
        </is>
      </c>
      <c r="L63" s="4" t="inlineStr">
        <is>
          <t>Not documented in provided sources</t>
        </is>
      </c>
    </row>
    <row r="64" ht="320" customHeight="1">
      <c r="A64" s="4" t="inlineStr">
        <is>
          <t>66</t>
        </is>
      </c>
      <c r="B64" s="4" t="inlineStr">
        <is>
          <t>Historical</t>
        </is>
      </c>
      <c r="C64" s="4" t="inlineStr">
        <is>
          <t>Motor Signature Differences Between Autism Spectrum Disorder and Developmental Coordination Disorder, and Their Neural Mechanisms</t>
        </is>
      </c>
      <c r="D64" s="4" t="inlineStr">
        <is>
          <t>10.1007/s10803-023-06171-8</t>
        </is>
      </c>
      <c r="E64" s="4" t="inlineStr">
        <is>
          <t>https://doi.org/10.1007/s10803-023-06171-8</t>
        </is>
      </c>
      <c r="F64" s="4" t="inlineStr">
        <is>
          <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t>
        </is>
      </c>
      <c r="G64" s="4" t="inlineStr">
        <is>
          <t>Combina kinemática de tablet/video y fMRI para diferenciar ASD, DCD y TD; algoritmo principal no explícito.</t>
        </is>
      </c>
      <c r="H64" s="4" t="str"/>
      <c r="I64" s="4" t="str"/>
      <c r="J64" s="4" t="n"/>
      <c r="K64" s="4" t="inlineStr">
        <is>
          <t>Historical signals: title/abstract/notes; full-text completion not independently established</t>
        </is>
      </c>
      <c r="L64" s="4" t="inlineStr">
        <is>
          <t>Not documented in provided sources</t>
        </is>
      </c>
    </row>
    <row r="65" ht="281" customHeight="1">
      <c r="A65" s="4" t="inlineStr">
        <is>
          <t>67</t>
        </is>
      </c>
      <c r="B65" s="4" t="inlineStr">
        <is>
          <t>Historical</t>
        </is>
      </c>
      <c r="C65" s="4" t="inlineStr">
        <is>
          <t>Novelty detection using deep normative modeling for imu-based abnormal movement monitoring in parkinson’s disease and autism spectrum disorders</t>
        </is>
      </c>
      <c r="D65" s="4" t="inlineStr">
        <is>
          <t>10.3390/s18103533</t>
        </is>
      </c>
      <c r="E65" s="4" t="inlineStr">
        <is>
          <t>https://doi.org/10.3390/s18103533</t>
        </is>
      </c>
      <c r="F65" s="4" t="inlineStr">
        <is>
          <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t>
        </is>
      </c>
      <c r="G65" s="4" t="inlineStr">
        <is>
          <t>Monitorización de movimiento anómalo con IMU mediante novelty/deep normative modeling; confirmar modelo principal.</t>
        </is>
      </c>
      <c r="H65" s="4" t="str"/>
      <c r="I65" s="4" t="str"/>
      <c r="J65" s="4" t="n"/>
      <c r="K65" s="4" t="inlineStr">
        <is>
          <t>Historical signals: title/abstract/notes; full-text completion not independently established</t>
        </is>
      </c>
      <c r="L65" s="4" t="inlineStr">
        <is>
          <t>Not documented in provided sources</t>
        </is>
      </c>
    </row>
    <row r="66" ht="333" customHeight="1">
      <c r="A66" s="4" t="inlineStr">
        <is>
          <t>68</t>
        </is>
      </c>
      <c r="B66" s="4" t="inlineStr">
        <is>
          <t>Historical</t>
        </is>
      </c>
      <c r="C66" s="4" t="inlineStr">
        <is>
          <t>Perceived social support in adults with autism spectrum disorder and attention-deficit/hyperactivity disorder</t>
        </is>
      </c>
      <c r="D66" s="4" t="inlineStr">
        <is>
          <t>10.1002/aur.1735</t>
        </is>
      </c>
      <c r="E66" s="4" t="inlineStr">
        <is>
          <t>https://doi.org/10.1002/aur.1735</t>
        </is>
      </c>
      <c r="F66" s="4" t="inlineStr">
        <is>
          <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t>
        </is>
      </c>
      <c r="G66" s="4" t="inlineStr">
        <is>
          <t>ste paper no es diagnóstico ASD vs control; usa ML para modelar/predicir un puntaje de apoyo social percibido (MSPSS-f) en grupos ASD/ADHD/controles.</t>
        </is>
      </c>
      <c r="H66" s="4" t="str"/>
      <c r="I66" s="4" t="str"/>
      <c r="J66" s="4" t="n"/>
      <c r="K66" s="4" t="inlineStr">
        <is>
          <t>Historical signals: title/abstract/notes; full-text completion not independently established</t>
        </is>
      </c>
      <c r="L66" s="4" t="inlineStr">
        <is>
          <t>Not documented in provided sources</t>
        </is>
      </c>
    </row>
    <row r="67" ht="409" customHeight="1">
      <c r="A67" s="4" t="inlineStr">
        <is>
          <t>69</t>
        </is>
      </c>
      <c r="B67" s="4" t="inlineStr">
        <is>
          <t>Historical</t>
        </is>
      </c>
      <c r="C67" s="4" t="inlineStr">
        <is>
          <t>Regional-Asymmetric Adaptive Graph Convolutional Neural Network for Diagnosis of Autism in Children with Resting-State EEG</t>
        </is>
      </c>
      <c r="D67" s="4" t="inlineStr">
        <is>
          <t>10.1109/tnsre.2023.3347134</t>
        </is>
      </c>
      <c r="E67" s="4" t="inlineStr">
        <is>
          <t>https://doi.org/10.1109/tnsre.2023.3347134</t>
        </is>
      </c>
      <c r="F67" s="4" t="inlineStr">
        <is>
          <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t>
        </is>
      </c>
      <c r="G67" s="4" t="inlineStr">
        <is>
          <t>Red neuronal convolucional en grafos sobre EEG; arquitectura fuera del codebook.</t>
        </is>
      </c>
      <c r="H67" s="4" t="str"/>
      <c r="I67" s="4" t="str"/>
      <c r="J67" s="4" t="n"/>
      <c r="K67" s="4" t="inlineStr">
        <is>
          <t>Historical signals: title/abstract/notes; full-text completion not independently established</t>
        </is>
      </c>
      <c r="L67" s="4" t="inlineStr">
        <is>
          <t>Not documented in provided sources</t>
        </is>
      </c>
    </row>
    <row r="68" ht="307" customHeight="1">
      <c r="A68" s="4" t="inlineStr">
        <is>
          <t>70</t>
        </is>
      </c>
      <c r="B68" s="4" t="inlineStr">
        <is>
          <t>Historical</t>
        </is>
      </c>
      <c r="C68" s="4" t="inlineStr">
        <is>
          <t>Relationship between abnormal intrinsic functional connectivity of subcortices and autism symptoms in high-functioning adults with autism spectrum disorder</t>
        </is>
      </c>
      <c r="D68" s="4" t="inlineStr">
        <is>
          <t>10.1016/j.pscychresns.2023.111762</t>
        </is>
      </c>
      <c r="E68" s="4" t="inlineStr">
        <is>
          <t>https://doi.org/10.1016/j.pscychresns.2023.111762</t>
        </is>
      </c>
      <c r="F68" s="4" t="inlineStr">
        <is>
          <t>Purpose: This study explores subcortices and their intrinsic functional connectivity (iFC) in autism spectrum disorder (ASD) adults and investigates their relationship with clinical severity. Methods: Resting-state functional magnetic resonance imaging (rs-fMRI) data were acquired from 74 ASD patients, and 63 gender and age-matched typically developing (TD) adults. Independent component analysis (ICA) was conducted to evaluate subcortical patterns of basal ganglia (BG) and thalamus. These two brain areas were treated as regions of interest to further calculate whole-brain FC. In addition, we employed multivariate machine learning to identify subcortices-based FC brain patterns and clinical scores to classify ASD adults from those TD subjects. Results: In ASD individuals, autism diagnostic observation schedule (ADOS) was negatively correlated with the BG network. Similarly, social responsiveness scale (SRS) was negatively correlated with the thalamus network. The BG-based iFC analysis revealed adults with ASD versus TD had lower FC, and its FC with the right medial temporal lobe (MTL), was positively correlated with SRS and ADOS separately. ASD could be predicted with a balanced accuracy of around 60.0 % using brain patterns and 84.7 % using clinical variables. Conclusion: Our results revealed the abnormal subcortical iFC may be related to autism symptoms.</t>
        </is>
      </c>
      <c r="G68" s="4" t="str"/>
      <c r="H68" s="4" t="str"/>
      <c r="I68" s="4" t="str"/>
      <c r="J68" s="4" t="n"/>
      <c r="K68" s="4" t="inlineStr">
        <is>
          <t>Historical signals: title/abstract/notes; full-text completion not independently established</t>
        </is>
      </c>
      <c r="L68" s="4" t="inlineStr">
        <is>
          <t>Not documented in provided sources</t>
        </is>
      </c>
    </row>
    <row r="69" ht="409" customHeight="1">
      <c r="A69" s="4" t="inlineStr">
        <is>
          <t>72</t>
        </is>
      </c>
      <c r="B69" s="4" t="inlineStr">
        <is>
          <t>Historical</t>
        </is>
      </c>
      <c r="C69" s="4" t="inlineStr">
        <is>
          <t>Transdiagnostic symptom subtypes across autism spectrum disorders and attention deficit hyperactivity disorder: validated by measures of neurocognition and structural connectivity</t>
        </is>
      </c>
      <c r="D69" s="4" t="inlineStr">
        <is>
          <t>10.1186/s12888-022-03734-4</t>
        </is>
      </c>
      <c r="E69" s="4" t="inlineStr">
        <is>
          <t>https://doi.org/10.1186/s12888-022-03734-4</t>
        </is>
      </c>
      <c r="F69" s="4" t="inlineStr">
        <is>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is>
      </c>
      <c r="G69" s="4" t="inlineStr">
        <is>
          <t>Subtipado transdiagnóstico validado con neurocognición y conectividad estructural.</t>
        </is>
      </c>
      <c r="H69" s="4" t="str"/>
      <c r="I69" s="4" t="str"/>
      <c r="J69" s="4" t="n"/>
      <c r="K69" s="4" t="inlineStr">
        <is>
          <t>Historical signals: title/abstract/notes; full-text completion not independently established</t>
        </is>
      </c>
      <c r="L69" s="4" t="inlineStr">
        <is>
          <t>Not documented in provided sources</t>
        </is>
      </c>
    </row>
    <row r="70" ht="372" customHeight="1">
      <c r="A70" s="4" t="inlineStr">
        <is>
          <t>73</t>
        </is>
      </c>
      <c r="B70" s="4" t="inlineStr">
        <is>
          <t>Historical</t>
        </is>
      </c>
      <c r="C70" s="4" t="inlineStr">
        <is>
          <t>A Convolutional Neural Network Combined With Prototype Learning Framework for Brain Functional Network Classification of Autism Spectrum Disorder</t>
        </is>
      </c>
      <c r="D70" s="4" t="inlineStr">
        <is>
          <t>10.1109/tnsre.2021.3120024</t>
        </is>
      </c>
      <c r="E70" s="4" t="inlineStr">
        <is>
          <t>https://doi.org/10.1109/tnsre.2021.3120024</t>
        </is>
      </c>
      <c r="F70" s="4" t="inlineStr">
        <is>
          <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t>
        </is>
      </c>
      <c r="G70" s="4" t="str"/>
      <c r="H70" s="4" t="str"/>
      <c r="I70" s="4" t="str"/>
      <c r="J70" s="4" t="n"/>
      <c r="K70" s="4" t="inlineStr">
        <is>
          <t>Historical signals: title/abstract/notes; full-text completion not independently established</t>
        </is>
      </c>
      <c r="L70" s="4" t="inlineStr">
        <is>
          <t>Not documented in provided sources</t>
        </is>
      </c>
    </row>
    <row r="71" ht="409" customHeight="1">
      <c r="A71" s="4" t="inlineStr">
        <is>
          <t>74</t>
        </is>
      </c>
      <c r="B71" s="4" t="inlineStr">
        <is>
          <t>Historical</t>
        </is>
      </c>
      <c r="C71" s="4" t="inlineStr">
        <is>
          <t>A heterogeneous graph convolutional attention network method for classification of autism spectrum disorder</t>
        </is>
      </c>
      <c r="D71" s="4" t="inlineStr">
        <is>
          <t>10.1186/s12859-023-05495-7</t>
        </is>
      </c>
      <c r="E71" s="4" t="inlineStr">
        <is>
          <t>https://doi.org/10.1186/s12859-023-05495-7</t>
        </is>
      </c>
      <c r="F71" s="4" t="inlineStr">
        <is>
          <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t>
        </is>
      </c>
      <c r="G71" s="4" t="inlineStr">
        <is>
          <t>Algoritmo principal no explícito o fuera del codebook; Confirmar algoritmo principal en full-text; Se comparan varios modelos; se eligió el principal/mejor reportado</t>
        </is>
      </c>
      <c r="H71" s="4" t="str"/>
      <c r="I71" s="4" t="str"/>
      <c r="J71" s="4" t="n"/>
      <c r="K71" s="4" t="inlineStr">
        <is>
          <t>Historical signals: title/abstract/notes; full-text completion not independently established</t>
        </is>
      </c>
      <c r="L71" s="4" t="inlineStr">
        <is>
          <t>Not documented in provided sources</t>
        </is>
      </c>
    </row>
    <row r="72" ht="242" customHeight="1">
      <c r="A72" s="4" t="inlineStr">
        <is>
          <t>75</t>
        </is>
      </c>
      <c r="B72" s="4" t="inlineStr">
        <is>
          <t>Historical</t>
        </is>
      </c>
      <c r="C72" s="4" t="inlineStr">
        <is>
          <t>A monitoring system for patients of autism spectrum disorder using artificial intelligence</t>
        </is>
      </c>
      <c r="D72" s="4" t="inlineStr">
        <is>
          <t>10.1007/978-3-030-59277-6_23</t>
        </is>
      </c>
      <c r="E72" s="4" t="inlineStr">
        <is>
          <t>https://doi.org/10.1007/978-3-030-59277-6_23</t>
        </is>
      </c>
      <c r="F72" s="4" t="inlineStr">
        <is>
          <t>When the world is suffering from the deadliest consequences of COVID-19, people with autism find themselves in the worst possible situation. The patients of autism lack social skills, and in many cases, show repetitive behavior. Many of them need outside support throughout their life. During the COVID-19 pandemic, as many of the places are in lockdown conditions, it is very tough for them to find help from their doctors and therapists. Suddenly, the caregivers and parents of the ASD patients find themselves in a strange situation. Therefore, we are proposing an artificial intelligence-based system that uses sensor data to monitor the patient’s condition, and based on the emotion and facial expression of the patient, adjusts the learning method through exciting games and tasks. Whenever something goes wrong with the patient’s behavior, the caregivers and the parents are alerted about it. We then presented how this AI-based system can help them during COVID-19 pandemic. This system can help the parents to adjust to the new situation and continue the mental growth of the patients.</t>
        </is>
      </c>
      <c r="G72" s="4" t="inlineStr">
        <is>
          <t>Sin señal explícita Q3 en título/abstract.</t>
        </is>
      </c>
      <c r="H72" s="4" t="inlineStr">
        <is>
          <t>AI-based sensor monitoring adjusts learning games/tasks and alerts caregivers.</t>
        </is>
      </c>
      <c r="I72" s="4" t="str"/>
      <c r="J72" s="4" t="n"/>
      <c r="K72" s="4" t="inlineStr">
        <is>
          <t>Historical signals: title/abstract/notes; full-text completion not independently established</t>
        </is>
      </c>
      <c r="L72" s="4" t="inlineStr">
        <is>
          <t>Not documented in provided sources</t>
        </is>
      </c>
    </row>
    <row r="73" ht="346" customHeight="1">
      <c r="A73" s="4" t="inlineStr">
        <is>
          <t>77</t>
        </is>
      </c>
      <c r="B73" s="4" t="inlineStr">
        <is>
          <t>Historical</t>
        </is>
      </c>
      <c r="C73" s="4" t="inlineStr">
        <is>
          <t>Age-Specific Diagnostic Classification of ASD Using Deep Learning Approaches</t>
        </is>
      </c>
      <c r="D73" s="4" t="inlineStr">
        <is>
          <t>10.3233/shti230794</t>
        </is>
      </c>
      <c r="E73" s="4" t="inlineStr">
        <is>
          <t>https://doi.org/10.3233/shti230794</t>
        </is>
      </c>
      <c r="F73" s="4" t="inlineStr">
        <is>
          <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t>
        </is>
      </c>
      <c r="G73" s="4" t="str"/>
      <c r="H73" s="4" t="str"/>
      <c r="I73" s="4" t="str"/>
      <c r="J73" s="4" t="n"/>
      <c r="K73" s="4" t="inlineStr">
        <is>
          <t>Historical signals: title/abstract/notes; full-text completion not independently established</t>
        </is>
      </c>
      <c r="L73" s="4" t="inlineStr">
        <is>
          <t>Not documented in provided sources</t>
        </is>
      </c>
    </row>
    <row r="74" ht="307" customHeight="1">
      <c r="A74" s="4" t="inlineStr">
        <is>
          <t>78</t>
        </is>
      </c>
      <c r="B74" s="4" t="inlineStr">
        <is>
          <t>Historical</t>
        </is>
      </c>
      <c r="C74" s="4" t="inlineStr">
        <is>
          <t>An Automatic Framework for Detecting Autism Spectrum Disorder From EEG Signals Using TFD</t>
        </is>
      </c>
      <c r="D74" s="4" t="inlineStr">
        <is>
          <t>10.1109/jsen.2024.3362341</t>
        </is>
      </c>
      <c r="E74" s="4" t="inlineStr">
        <is>
          <t>https://doi.org/10.1109/jsen.2024.3362341</t>
        </is>
      </c>
      <c r="F74" s="4" t="inlineStr">
        <is>
          <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t>
        </is>
      </c>
      <c r="G74" s="4" t="inlineStr">
        <is>
          <t>Se comparan varios modelos; se eligió el principal/mejor reportado</t>
        </is>
      </c>
      <c r="H74" s="4" t="str"/>
      <c r="I74" s="4" t="str"/>
      <c r="J74" s="4" t="n"/>
      <c r="K74" s="4" t="inlineStr">
        <is>
          <t>Historical signals: title/abstract/notes; full-text completion not independently established</t>
        </is>
      </c>
      <c r="L74" s="4" t="inlineStr">
        <is>
          <t>Not documented in provided sources</t>
        </is>
      </c>
    </row>
    <row r="75" ht="320" customHeight="1">
      <c r="A75" s="4" t="inlineStr">
        <is>
          <t>79</t>
        </is>
      </c>
      <c r="B75" s="4" t="inlineStr">
        <is>
          <t>Historical</t>
        </is>
      </c>
      <c r="C75" s="4" t="inlineStr">
        <is>
          <t>Applying Machine Learning to Kinematic and Eye Movement Features of a Movement Imitation Task to Predict Autism Diagnosis</t>
        </is>
      </c>
      <c r="D75" s="4" t="inlineStr">
        <is>
          <t>10.1038/s41598-020-65384-4</t>
        </is>
      </c>
      <c r="E75" s="4" t="inlineStr">
        <is>
          <t>https://doi.org/10.1038/s41598-020-65384-4</t>
        </is>
      </c>
      <c r="F75" s="4" t="inlineStr">
        <is>
          <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t>
        </is>
      </c>
      <c r="G75" s="4" t="inlineStr">
        <is>
          <t>Clasifica ASD vs no-ASD con cinemática y eye-tracking en tarea de imitación.</t>
        </is>
      </c>
      <c r="H75" s="4" t="str"/>
      <c r="I75" s="4" t="str"/>
      <c r="J75" s="4" t="n"/>
      <c r="K75" s="4" t="inlineStr">
        <is>
          <t>Historical signals: title/abstract/notes; full-text completion not independently established</t>
        </is>
      </c>
      <c r="L75" s="4" t="inlineStr">
        <is>
          <t>Not documented in provided sources</t>
        </is>
      </c>
    </row>
    <row r="76" ht="398" customHeight="1">
      <c r="A76" s="4" t="inlineStr">
        <is>
          <t>80</t>
        </is>
      </c>
      <c r="B76" s="4" t="inlineStr">
        <is>
          <t>Historical</t>
        </is>
      </c>
      <c r="C76" s="4" t="inlineStr">
        <is>
          <t>Artificial intelligence analysis of newborn leucocyte epigenomic markers for the prediction of autism</t>
        </is>
      </c>
      <c r="D76" s="4" t="inlineStr">
        <is>
          <t>10.1016/j.brainres.2019.146457</t>
        </is>
      </c>
      <c r="E76" s="4" t="inlineStr">
        <is>
          <t>https://doi.org/10.1016/j.brainres.2019.146457</t>
        </is>
      </c>
      <c r="F76" s="4" t="inlineStr">
        <is>
          <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t>
        </is>
      </c>
      <c r="G76" s="4" t="inlineStr">
        <is>
          <t>Algoritmo principal no explícito o fuera del codebook; Confirmar algoritmo principal en full-text</t>
        </is>
      </c>
      <c r="H76" s="4" t="str"/>
      <c r="I76" s="4" t="str"/>
      <c r="J76" s="4" t="n"/>
      <c r="K76" s="4" t="inlineStr">
        <is>
          <t>Historical signals: title/abstract/notes; full-text completion not independently established</t>
        </is>
      </c>
      <c r="L76" s="4" t="inlineStr">
        <is>
          <t>Not documented in provided sources</t>
        </is>
      </c>
    </row>
    <row r="77" ht="281" customHeight="1">
      <c r="A77" s="4" t="inlineStr">
        <is>
          <t>81</t>
        </is>
      </c>
      <c r="B77" s="4" t="inlineStr">
        <is>
          <t>Historical</t>
        </is>
      </c>
      <c r="C77" s="4" t="inlineStr">
        <is>
          <t>Autism Detection in Children using Common Spatial Patterns of MEG Signals</t>
        </is>
      </c>
      <c r="D77" s="4" t="inlineStr">
        <is>
          <t>10.1109/embc40787.2023.10340449</t>
        </is>
      </c>
      <c r="E77" s="4" t="inlineStr">
        <is>
          <t>https://doi.org/10.1109/embc40787.2023.10340449</t>
        </is>
      </c>
      <c r="F77" s="4" t="inlineStr">
        <is>
          <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t>
        </is>
      </c>
      <c r="G77" s="4" t="inlineStr">
        <is>
          <t>Algoritmo principal no explícito o fuera del codebook; Confirmar algoritmo principal en full-text</t>
        </is>
      </c>
      <c r="H77" s="4" t="str"/>
      <c r="I77" s="4" t="str"/>
      <c r="J77" s="4" t="n"/>
      <c r="K77" s="4" t="inlineStr">
        <is>
          <t>Historical signals: title/abstract/notes; full-text completion not independently established</t>
        </is>
      </c>
      <c r="L77" s="4" t="inlineStr">
        <is>
          <t>Not documented in provided sources</t>
        </is>
      </c>
    </row>
    <row r="78" ht="409" customHeight="1">
      <c r="A78" s="4" t="inlineStr">
        <is>
          <t>82</t>
        </is>
      </c>
      <c r="B78" s="4" t="inlineStr">
        <is>
          <t>Historical</t>
        </is>
      </c>
      <c r="C78" s="4" t="inlineStr">
        <is>
          <t>Autism Spectrum Disorder detection framework for children based on federated learning integrated CNN-LSTM</t>
        </is>
      </c>
      <c r="D78" s="4" t="inlineStr">
        <is>
          <t>10.1016/j.compbiomed.2023.107539</t>
        </is>
      </c>
      <c r="E78" s="4" t="inlineStr">
        <is>
          <t>https://doi.org/10.1016/j.compbiomed.2023.107539</t>
        </is>
      </c>
      <c r="F78" s="4" t="inlineStr">
        <is>
          <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t>
        </is>
      </c>
      <c r="G78" s="4" t="inlineStr">
        <is>
          <t>Marco federado CNN-LSTM con datasets multimodales de cribado; arquitectura híbrida fuera del codebook.</t>
        </is>
      </c>
      <c r="H78" s="4" t="str"/>
      <c r="I78" s="4" t="str"/>
      <c r="J78" s="4" t="n"/>
      <c r="K78" s="4" t="inlineStr">
        <is>
          <t>Historical signals: title/abstract/notes; full-text completion not independently established</t>
        </is>
      </c>
      <c r="L78" s="4" t="inlineStr">
        <is>
          <t>Not documented in provided sources</t>
        </is>
      </c>
    </row>
    <row r="79" ht="409" customHeight="1">
      <c r="A79" s="4" t="inlineStr">
        <is>
          <t>83</t>
        </is>
      </c>
      <c r="B79" s="4" t="inlineStr">
        <is>
          <t>Historical</t>
        </is>
      </c>
      <c r="C79" s="4" t="inlineStr">
        <is>
          <t>Converging Representations of Attention-Deficit/Hyperactivity Disorder and Autism on Social Media: Linguistic and Topic Analysis of Trends in Reddit Data</t>
        </is>
      </c>
      <c r="D79" s="4" t="inlineStr">
        <is>
          <t>10.2196/70914</t>
        </is>
      </c>
      <c r="E79" s="4" t="inlineStr">
        <is>
          <t>https://doi.org/10.2196/70914</t>
        </is>
      </c>
      <c r="F79" s="4"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G79" s="4" t="str"/>
      <c r="H79" s="4" t="str"/>
      <c r="I79" s="4" t="str"/>
      <c r="J79" s="4" t="n"/>
      <c r="K79" s="4" t="inlineStr">
        <is>
          <t>Historical signals: title/abstract/notes; full-text completion not independently established</t>
        </is>
      </c>
      <c r="L79" s="4" t="inlineStr">
        <is>
          <t>Not documented in provided sources</t>
        </is>
      </c>
    </row>
    <row r="80" ht="359" customHeight="1">
      <c r="A80" s="4" t="inlineStr">
        <is>
          <t>84</t>
        </is>
      </c>
      <c r="B80" s="4" t="inlineStr">
        <is>
          <t>Historical</t>
        </is>
      </c>
      <c r="C80" s="4" t="inlineStr">
        <is>
          <t>Creating a diagnostic assessment model for autism spectrum disorder by differentiating lexicogrammatical choices through machine learning</t>
        </is>
      </c>
      <c r="D80" s="4" t="inlineStr">
        <is>
          <t>10.1371/journal.pone.0311209</t>
        </is>
      </c>
      <c r="E80" s="4" t="inlineStr">
        <is>
          <t>https://doi.org/10.1371/journal.pone.0311209</t>
        </is>
      </c>
      <c r="F80" s="4" t="inlineStr">
        <is>
          <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t>
        </is>
      </c>
      <c r="G80" s="4" t="inlineStr">
        <is>
          <t>comparan modelo lineal vs DNN; el modelo lineal es logistic regression (baseline interpretable).</t>
        </is>
      </c>
      <c r="H80" s="4" t="str"/>
      <c r="I80" s="4" t="str"/>
      <c r="J80" s="4" t="n"/>
      <c r="K80" s="4" t="inlineStr">
        <is>
          <t>Historical signals: title/abstract/notes; full-text completion not independently established</t>
        </is>
      </c>
      <c r="L80" s="4" t="inlineStr">
        <is>
          <t>Not documented in provided sources</t>
        </is>
      </c>
    </row>
    <row r="81" ht="409" customHeight="1">
      <c r="A81" s="4" t="inlineStr">
        <is>
          <t>85</t>
        </is>
      </c>
      <c r="B81" s="4" t="inlineStr">
        <is>
          <t>Historical</t>
        </is>
      </c>
      <c r="C81" s="4" t="inlineStr">
        <is>
          <t>Diagnosing autism spectrum disorder in children using conventional MRI and apparent diffusion coefficient based deep learning algorithms</t>
        </is>
      </c>
      <c r="D81" s="4" t="inlineStr">
        <is>
          <t>10.1007/s00330-021-08239-4</t>
        </is>
      </c>
      <c r="E81" s="4" t="inlineStr">
        <is>
          <t>https://doi.org/10.1007/s00330-021-08239-4</t>
        </is>
      </c>
      <c r="F81" s="4" t="inlineStr">
        <is>
          <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t>
        </is>
      </c>
      <c r="G81" s="4" t="inlineStr">
        <is>
          <t>Algoritmo principal no explícito o fuera del codebook; Confirmar algoritmo principal en full-text; Se comparan varios modelos; se eligió el principal/mejor reportado</t>
        </is>
      </c>
      <c r="H81" s="4" t="str"/>
      <c r="I81" s="4" t="str"/>
      <c r="J81" s="4" t="n"/>
      <c r="K81" s="4" t="inlineStr">
        <is>
          <t>Historical signals: title/abstract/notes; full-text completion not independently established</t>
        </is>
      </c>
      <c r="L81" s="4" t="inlineStr">
        <is>
          <t>Not documented in provided sources</t>
        </is>
      </c>
    </row>
    <row r="82" ht="268" customHeight="1">
      <c r="A82" s="4" t="inlineStr">
        <is>
          <t>86</t>
        </is>
      </c>
      <c r="B82" s="4" t="inlineStr">
        <is>
          <t>Historical</t>
        </is>
      </c>
      <c r="C82" s="4" t="inlineStr">
        <is>
          <t>Dissecting the heterogeneity of autism spectrum disorder with sensory behavior, brain, and epigenetic factors</t>
        </is>
      </c>
      <c r="D82" s="4" t="inlineStr">
        <is>
          <t>10.1038/s41398-025-03566-2</t>
        </is>
      </c>
      <c r="E82" s="4" t="inlineStr">
        <is>
          <t>https://doi.org/10.1038/s41398-025-03566-2</t>
        </is>
      </c>
      <c r="F82" s="4"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G82" s="4" t="inlineStr">
        <is>
          <t>Clasificación ASD vs control integrando AASP (sensory behavior) + neuroimagen + metilación (OXTR/AVPR). Evaluaron varios algoritmos; el modelo final reportado usa XGBoost (otros probados: RF/SVM/LR).</t>
        </is>
      </c>
      <c r="H82" s="4" t="str"/>
      <c r="I82" s="4" t="str"/>
      <c r="J82" s="4" t="n"/>
      <c r="K82" s="4" t="inlineStr">
        <is>
          <t>Historical signals: title/abstract/notes; full-text completion not independently established</t>
        </is>
      </c>
      <c r="L82" s="4" t="inlineStr">
        <is>
          <t>Not documented in provided sources</t>
        </is>
      </c>
    </row>
    <row r="83" ht="409" customHeight="1">
      <c r="A83" s="4" t="inlineStr">
        <is>
          <t>88</t>
        </is>
      </c>
      <c r="B83" s="4" t="inlineStr">
        <is>
          <t>Historical</t>
        </is>
      </c>
      <c r="C83" s="4" t="inlineStr">
        <is>
          <t>Facial Emotions Are Accurately Encoded in the Neural Signal of Those With Autism Spectrum Disorder: A Deep Learning Approach</t>
        </is>
      </c>
      <c r="D83" s="4" t="inlineStr">
        <is>
          <t>10.1016/j.bpsc.2021.03.015</t>
        </is>
      </c>
      <c r="E83" s="4" t="inlineStr">
        <is>
          <t>https://doi.org/10.1016/j.bpsc.2021.03.015</t>
        </is>
      </c>
      <c r="F83" s="4" t="inlineStr">
        <is>
          <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t>
        </is>
      </c>
      <c r="G83" s="4" t="str"/>
      <c r="H83" s="4" t="str"/>
      <c r="I83" s="4" t="str"/>
      <c r="J83" s="4" t="n"/>
      <c r="K83" s="4" t="inlineStr">
        <is>
          <t>Historical signals: title/abstract/notes; full-text completion not independently established</t>
        </is>
      </c>
      <c r="L83" s="4" t="inlineStr">
        <is>
          <t>Not documented in provided sources</t>
        </is>
      </c>
    </row>
    <row r="84" ht="398" customHeight="1">
      <c r="A84" s="4" t="inlineStr">
        <is>
          <t>89</t>
        </is>
      </c>
      <c r="B84" s="4" t="inlineStr">
        <is>
          <t>Historical</t>
        </is>
      </c>
      <c r="C84" s="4" t="inlineStr">
        <is>
          <t>Feasibility Testing of a Wearable Behavioral Aid for Social Learning in Children with Autism</t>
        </is>
      </c>
      <c r="D84" s="4" t="inlineStr">
        <is>
          <t>10.1055/s-0038-1626727</t>
        </is>
      </c>
      <c r="E84" s="4" t="inlineStr">
        <is>
          <t>https://doi.org/10.1055/s-0038-1626727</t>
        </is>
      </c>
      <c r="F84" s="4" t="inlineStr">
        <is>
          <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t>
        </is>
      </c>
      <c r="G84" s="4" t="inlineStr">
        <is>
          <t>Clasificación ASD vs NC usando matrices de confusión de reconocimiento de emociones; el sistema (Google Glass) da ‘emotion labeling’, pero el clasificador principal para inferir ASD/NC es logistic regression</t>
        </is>
      </c>
      <c r="H84" s="4" t="str"/>
      <c r="I84" s="4" t="str"/>
      <c r="J84" s="4" t="n"/>
      <c r="K84" s="4" t="inlineStr">
        <is>
          <t>Historical signals: title/abstract/notes; full-text completion not independently established</t>
        </is>
      </c>
      <c r="L84" s="4" t="inlineStr">
        <is>
          <t>Not documented in provided sources</t>
        </is>
      </c>
    </row>
    <row r="85" ht="409" customHeight="1">
      <c r="A85" s="4" t="inlineStr">
        <is>
          <t>90</t>
        </is>
      </c>
      <c r="B85" s="4" t="inlineStr">
        <is>
          <t>Historical</t>
        </is>
      </c>
      <c r="C85" s="4" t="inlineStr">
        <is>
          <t>Handwriting-Based ADHD Detection for Children Having ASD Using Machine Learning Approaches</t>
        </is>
      </c>
      <c r="D85" s="4" t="inlineStr">
        <is>
          <t>10.1109/access.2023.3302903</t>
        </is>
      </c>
      <c r="E85" s="4" t="inlineStr">
        <is>
          <t>https://doi.org/10.1109/access.2023.3302903</t>
        </is>
      </c>
      <c r="F85" s="4" t="inlineStr">
        <is>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is>
      </c>
      <c r="G85" s="4" t="inlineStr">
        <is>
          <t>Target is ADHD with coexisting ASD vs healthy (not ASD diagnosis). RF best on periodic lines task.</t>
        </is>
      </c>
      <c r="H85" s="4" t="str"/>
      <c r="I85" s="4" t="str"/>
      <c r="J85" s="4" t="n"/>
      <c r="K85" s="4" t="inlineStr">
        <is>
          <t>Historical signals: title/abstract/notes; full-text completion not independently established</t>
        </is>
      </c>
      <c r="L85" s="4" t="inlineStr">
        <is>
          <t>Not documented in provided sources</t>
        </is>
      </c>
    </row>
    <row r="86" ht="281" customHeight="1">
      <c r="A86" s="4" t="inlineStr">
        <is>
          <t>91</t>
        </is>
      </c>
      <c r="B86" s="4" t="inlineStr">
        <is>
          <t>Historical</t>
        </is>
      </c>
      <c r="C86" s="4" t="inlineStr">
        <is>
          <t>Integrating Graph Convolutional Networks (GCNNs) and Long Short-Term Memory (LSTM) for Efficient Diagnosis of Autism</t>
        </is>
      </c>
      <c r="D86" s="4" t="inlineStr">
        <is>
          <t>10.1007/978-3-031-09342-5_11</t>
        </is>
      </c>
      <c r="E86" s="4" t="inlineStr">
        <is>
          <t>https://doi.org/10.1007/978-3-031-09342-5_11</t>
        </is>
      </c>
      <c r="F86" s="4" t="inlineStr">
        <is>
          <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t>
        </is>
      </c>
      <c r="G86" s="4" t="inlineStr">
        <is>
          <t>Hybrid GCNN + LSTM on ABIDE fMRI; mapped to Other because GNN not in algorithm list.</t>
        </is>
      </c>
      <c r="H86" s="4" t="str"/>
      <c r="I86" s="4" t="str"/>
      <c r="J86" s="4" t="n"/>
      <c r="K86" s="4" t="inlineStr">
        <is>
          <t>Historical signals: title/abstract/notes; full-text completion not independently established</t>
        </is>
      </c>
      <c r="L86" s="4" t="inlineStr">
        <is>
          <t>Not documented in provided sources</t>
        </is>
      </c>
    </row>
    <row r="87" ht="294" customHeight="1">
      <c r="A87" s="4" t="inlineStr">
        <is>
          <t>92</t>
        </is>
      </c>
      <c r="B87" s="4" t="inlineStr">
        <is>
          <t>Historical</t>
        </is>
      </c>
      <c r="C87" s="4" t="inlineStr">
        <is>
          <t>Learning discriminative functional connectivity networks for identifying Autism spectrum disorder</t>
        </is>
      </c>
      <c r="D87" s="4" t="inlineStr">
        <is>
          <t>10.1016/j.bspc.2024.107466</t>
        </is>
      </c>
      <c r="E87" s="4" t="inlineStr">
        <is>
          <t>https://doi.org/10.1016/j.bspc.2024.107466</t>
        </is>
      </c>
      <c r="F87" s="4"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G87" s="4" t="inlineStr">
        <is>
          <t>Algoritmo principal no explícito o fuera del codebook; Confirmar algoritmo principal en full-text</t>
        </is>
      </c>
      <c r="H87" s="4" t="str"/>
      <c r="I87" s="4" t="str"/>
      <c r="J87" s="4" t="n"/>
      <c r="K87" s="4" t="inlineStr">
        <is>
          <t>Historical signals: title/abstract/notes; full-text completion not independently established</t>
        </is>
      </c>
      <c r="L87" s="4" t="inlineStr">
        <is>
          <t>Not documented in provided sources</t>
        </is>
      </c>
    </row>
    <row r="88" ht="409" customHeight="1">
      <c r="A88" s="4" t="inlineStr">
        <is>
          <t>94</t>
        </is>
      </c>
      <c r="B88" s="4" t="inlineStr">
        <is>
          <t>Historical</t>
        </is>
      </c>
      <c r="C88" s="4" t="inlineStr">
        <is>
          <t>Optimizing a de novo artificial intelligence-based medical device under a predetermined change control plan: Improved ability to detect or rule out pediatric autism</t>
        </is>
      </c>
      <c r="D88" s="4" t="inlineStr">
        <is>
          <t>10.1016/j.ibmed.2023.100102</t>
        </is>
      </c>
      <c r="E88" s="4" t="inlineStr">
        <is>
          <t>https://doi.org/10.1016/j.ibmed.2023.100102</t>
        </is>
      </c>
      <c r="F88" s="4" t="inlineStr">
        <is>
          <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t>
        </is>
      </c>
      <c r="G88" s="4" t="inlineStr">
        <is>
          <t>Algoritmo principal no explícito o fuera del codebook; Confirmar algoritmo principal en full-text</t>
        </is>
      </c>
      <c r="H88" s="4" t="str"/>
      <c r="I88" s="4" t="str"/>
      <c r="J88" s="4" t="n"/>
      <c r="K88" s="4" t="inlineStr">
        <is>
          <t>Historical signals: title/abstract/notes; full-text completion not independently established</t>
        </is>
      </c>
      <c r="L88" s="4" t="inlineStr">
        <is>
          <t>Not documented in provided sources</t>
        </is>
      </c>
    </row>
    <row r="89" ht="409" customHeight="1">
      <c r="A89" s="4" t="inlineStr">
        <is>
          <t>95</t>
        </is>
      </c>
      <c r="B89" s="4" t="inlineStr">
        <is>
          <t>Historical</t>
        </is>
      </c>
      <c r="C89" s="4" t="inlineStr">
        <is>
          <t>Physician Versus Large Language Model Chatbot Responses to Web-Based Questions From Autistic Patients in Chinese: Cross-Sectional Comparative Analysis</t>
        </is>
      </c>
      <c r="D89" s="4" t="inlineStr">
        <is>
          <t>10.2196/54706</t>
        </is>
      </c>
      <c r="E89" s="4" t="inlineStr">
        <is>
          <t>https://doi.org/10.2196/54706</t>
        </is>
      </c>
      <c r="F89" s="4" t="inlineStr">
        <is>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t>
        </is>
      </c>
      <c r="G89" s="4" t="inlineStr">
        <is>
          <t>Compara respuestas de médicos vs LLMs a preguntas web; no mapea claramente a una etapa clínica RQ1.</t>
        </is>
      </c>
      <c r="H89" s="4" t="str"/>
      <c r="I89" s="4" t="str"/>
      <c r="J89" s="4" t="n"/>
      <c r="K89" s="4" t="inlineStr">
        <is>
          <t>Historical signals: title/abstract/notes; full-text completion not independently established</t>
        </is>
      </c>
      <c r="L89" s="4" t="inlineStr">
        <is>
          <t>Not documented in provided sources</t>
        </is>
      </c>
    </row>
    <row r="90" ht="385" customHeight="1">
      <c r="A90" s="4" t="inlineStr">
        <is>
          <t>96</t>
        </is>
      </c>
      <c r="B90" s="4" t="inlineStr">
        <is>
          <t>Historical</t>
        </is>
      </c>
      <c r="C90" s="4" t="inlineStr">
        <is>
          <t>Polychlorinated biphenyls influence on autism spectrum disorder risk in the MARBLES cohort</t>
        </is>
      </c>
      <c r="D90" s="4" t="inlineStr">
        <is>
          <t>10.1016/j.envres.2018.12.061</t>
        </is>
      </c>
      <c r="E90" s="4" t="inlineStr">
        <is>
          <t>https://doi.org/10.1016/j.envres.2018.12.061</t>
        </is>
      </c>
      <c r="F90" s="4" t="inlineStr">
        <is>
          <t>Background: Autism spectrum disorder (ASD) is suspected to have environmental and genetic contributions. Polychlorinated biphenyls (PCBs) are environmental risk factors of interest due to their potential as neurodevelopmental toxicants and environmental persistence despite a US production ban in the 1970s. Methods: Participants were mother-child pairs from MARBLES, a high-risk pregnancy cohort that enrolls families who have one child diagnosed with ASD and are planning to have another child. PCB concentrations were measured in maternal blood at each trimester of pregnancy using gas chromatography coupled with triple quadruple mass spectrometry. Concentrations were summed into total PCB and two categories based on function/mechanisms of action: dioxin-like (DL), and ryanodine receptor (RyR)-activating PCBs. Multinomial logistic regression assessed risk of clinical outcome classification of ASD and non-typical development (Non-TD) compared to typically developing (TD) in the children at 3 years old. Results: A total of 104 mother-child pairs were included. There were no significant associations for total PCB; however, there were borderline significant associations between DL-PCBs and decreased risk for Non-TD outcome classification (adjusted OR: 0.41 (95% CI 0.15–1.14)) and between RyR-activating PCBs and increased risk for ASD outcome classification (adjusted OR: 2.63 (95% CI 0.87–7.97)). Conclusion: This study does not provide strong supporting evidence that PCBs are risk factors for ASD or Non-TD. However, these analyses suggest the need to explore more deeply into subsets of PCBs as risk factors based on their function and structure in larger cohort studies where non-monotonic dose-response patterns can be better evaluated.</t>
        </is>
      </c>
      <c r="G90" s="4" t="inlineStr">
        <is>
          <t>Epidemiologic multinomial logistic regression (not ML/AI). Outcome categories ASD / Non-TD / TD at 3 years</t>
        </is>
      </c>
      <c r="H90" s="4" t="str"/>
      <c r="I90" s="4" t="str"/>
      <c r="J90" s="4" t="n"/>
      <c r="K90" s="4" t="inlineStr">
        <is>
          <t>Historical signals: title/abstract/notes; full-text completion not independently established</t>
        </is>
      </c>
      <c r="L90" s="4" t="inlineStr">
        <is>
          <t>Not documented in provided sources</t>
        </is>
      </c>
    </row>
    <row r="91" ht="190" customHeight="1">
      <c r="A91" s="4" t="inlineStr">
        <is>
          <t>97</t>
        </is>
      </c>
      <c r="B91" s="4" t="inlineStr">
        <is>
          <t>Historical</t>
        </is>
      </c>
      <c r="C91" s="4" t="inlineStr">
        <is>
          <t>Predicting Core Characteristics of ASD Through Facial Emotion Recognition and Eye Tracking in Youth.</t>
        </is>
      </c>
      <c r="D91" s="4" t="inlineStr">
        <is>
          <t>10.1109/embc44109.2020.9176843</t>
        </is>
      </c>
      <c r="E91" s="4" t="inlineStr">
        <is>
          <t>https://doi.org/10.1109/embc44109.2020.9176843</t>
        </is>
      </c>
      <c r="F91" s="4" t="inlineStr">
        <is>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is>
      </c>
      <c r="G91" s="4" t="inlineStr">
        <is>
          <t>aunque el paper comenta que el enfoque “may serve as a classifier for ASD diagnosis” y muestra ROC para clasificación, el pipeline principal reportado es regresión de puntajes; por eso conviene codificarlo como Regression</t>
        </is>
      </c>
      <c r="H91" s="4" t="str"/>
      <c r="I91" s="4" t="str"/>
      <c r="J91" s="4" t="n"/>
      <c r="K91" s="4" t="inlineStr">
        <is>
          <t>Historical signals: title/abstract/notes; full-text completion not independently established</t>
        </is>
      </c>
      <c r="L91" s="4" t="inlineStr">
        <is>
          <t>Not documented in provided sources</t>
        </is>
      </c>
    </row>
    <row r="92" ht="398" customHeight="1">
      <c r="A92" s="4" t="inlineStr">
        <is>
          <t>98</t>
        </is>
      </c>
      <c r="B92" s="4" t="inlineStr">
        <is>
          <t>Historical</t>
        </is>
      </c>
      <c r="C92" s="4" t="inlineStr">
        <is>
          <t>Self-supervised machine learning approach for autism detection in young children using MEG signals</t>
        </is>
      </c>
      <c r="D92" s="4" t="inlineStr">
        <is>
          <t>10.1016/j.bspc.2024.106671</t>
        </is>
      </c>
      <c r="E92" s="4" t="inlineStr">
        <is>
          <t>https://doi.org/10.1016/j.bspc.2024.106671</t>
        </is>
      </c>
      <c r="F92" s="4" t="inlineStr">
        <is>
          <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t>
        </is>
      </c>
      <c r="G92" s="4" t="inlineStr">
        <is>
          <t>SSL con wav2vec 2.0 para extraer embeddings MEG; clasificación final con ANN/SVM.</t>
        </is>
      </c>
      <c r="H92" s="4" t="str"/>
      <c r="I92" s="4" t="str"/>
      <c r="J92" s="4" t="n"/>
      <c r="K92" s="4" t="inlineStr">
        <is>
          <t>Historical signals: title/abstract/notes; full-text completion not independently established</t>
        </is>
      </c>
      <c r="L92" s="4" t="inlineStr">
        <is>
          <t>Not documented in provided sources</t>
        </is>
      </c>
    </row>
    <row r="93" ht="281" customHeight="1">
      <c r="A93" s="4" t="inlineStr">
        <is>
          <t>99</t>
        </is>
      </c>
      <c r="B93" s="4" t="inlineStr">
        <is>
          <t>Historical</t>
        </is>
      </c>
      <c r="C93" s="4" t="inlineStr">
        <is>
          <t>Serum Brain-derived neurotrophic factor levels in Chinese children with autism spectrum disorders: A pilot study</t>
        </is>
      </c>
      <c r="D93" s="4" t="inlineStr">
        <is>
          <t>10.1016/j.ijdevneu.2014.06.013</t>
        </is>
      </c>
      <c r="E93" s="4" t="inlineStr">
        <is>
          <t>https://doi.org/10.1016/j.ijdevneu.2014.06.013</t>
        </is>
      </c>
      <c r="F93" s="4" t="inlineStr">
        <is>
          <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t>
        </is>
      </c>
      <c r="G93" s="4" t="inlineStr">
        <is>
          <t>Estudio de biomarcador sérico (BDNF) con ROC; no se describe algoritmo de IA/ML principal.</t>
        </is>
      </c>
      <c r="H93" s="4" t="inlineStr">
        <is>
          <t>Serum BDNF/ROC biomarker association; no AI/ML clinical system.</t>
        </is>
      </c>
      <c r="I93" s="4" t="str"/>
      <c r="J93" s="4" t="n"/>
      <c r="K93" s="4" t="inlineStr">
        <is>
          <t>Historical signals: title/abstract/notes; full-text completion not independently established</t>
        </is>
      </c>
      <c r="L93" s="4" t="inlineStr">
        <is>
          <t>Not documented in provided sources</t>
        </is>
      </c>
    </row>
    <row r="94" ht="409" customHeight="1">
      <c r="A94" s="4" t="inlineStr">
        <is>
          <t>100</t>
        </is>
      </c>
      <c r="B94" s="4" t="inlineStr">
        <is>
          <t>Historical</t>
        </is>
      </c>
      <c r="C94" s="4" t="inlineStr">
        <is>
          <t>Sex Differences in Functional Gradients and Dynamic Functional Connectivity in Preschool-Aged Children With ASD</t>
        </is>
      </c>
      <c r="D94" s="4" t="inlineStr">
        <is>
          <t>10.1111/cns.70562</t>
        </is>
      </c>
      <c r="E94" s="4" t="inlineStr">
        <is>
          <t>https://doi.org/10.1111/cns.70562</t>
        </is>
      </c>
      <c r="F94" s="4" t="inlineStr">
        <is>
          <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t>
        </is>
      </c>
      <c r="G94" s="4" t="inlineStr">
        <is>
          <t>Se aplican múltiples modelos ML a características de conectividad/gradientes; algoritmo principal no especificado.</t>
        </is>
      </c>
      <c r="H94" s="4" t="str"/>
      <c r="I94" s="4" t="str"/>
      <c r="J94" s="4" t="n"/>
      <c r="K94" s="4" t="inlineStr">
        <is>
          <t>Historical signals: title/abstract/notes; full-text completion not independently established</t>
        </is>
      </c>
      <c r="L94" s="4" t="inlineStr">
        <is>
          <t>Not documented in provided sources</t>
        </is>
      </c>
    </row>
    <row r="95" ht="409" customHeight="1">
      <c r="A95" s="4" t="inlineStr">
        <is>
          <t>102</t>
        </is>
      </c>
      <c r="B95" s="4" t="inlineStr">
        <is>
          <t>Historical</t>
        </is>
      </c>
      <c r="C95" s="4" t="inlineStr">
        <is>
          <t>Toward continuous social phenotyping: Analyzing gaze patterns in an emotion recognition task for children with autism through wearable smart glasses</t>
        </is>
      </c>
      <c r="D95" s="4" t="inlineStr">
        <is>
          <t>10.2196/13810</t>
        </is>
      </c>
      <c r="E95" s="4" t="inlineStr">
        <is>
          <t>https://doi.org/10.2196/13810</t>
        </is>
      </c>
      <c r="F95" s="4" t="inlineStr">
        <is>
          <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t>
        </is>
      </c>
      <c r="G95" s="4" t="inlineStr">
        <is>
          <t>Algoritmo principal no explícito o fuera del codebook; Confirmar algoritmo principal en full-text; Se comparan varios modelos; se eligió el principal/mejor reportado</t>
        </is>
      </c>
      <c r="H95" s="4" t="str"/>
      <c r="I95" s="4" t="str"/>
      <c r="J95" s="4" t="n"/>
      <c r="K95" s="4" t="inlineStr">
        <is>
          <t>Historical signals: title/abstract/notes; full-text completion not independently established</t>
        </is>
      </c>
      <c r="L95" s="4" t="inlineStr">
        <is>
          <t>Not documented in provided sources</t>
        </is>
      </c>
    </row>
    <row r="96" ht="409" customHeight="1">
      <c r="A96" s="4" t="inlineStr">
        <is>
          <t>103</t>
        </is>
      </c>
      <c r="B96" s="4" t="inlineStr">
        <is>
          <t>Historical</t>
        </is>
      </c>
      <c r="C96" s="4" t="inlineStr">
        <is>
          <t>Using machine learning to identify patterns of lifetime health problems in decedents with autism spectrum disorder</t>
        </is>
      </c>
      <c r="D96" s="4" t="inlineStr">
        <is>
          <t>10.1002/aur.1960</t>
        </is>
      </c>
      <c r="E96" s="4" t="inlineStr">
        <is>
          <t>https://doi.org/10.1002/aur.1960</t>
        </is>
      </c>
      <c r="F96" s="4" t="inlineStr">
        <is>
          <t>Very little is known about the health problems experienced by individuals with autism spectrum disorder (ASD) throughout their life course. We retrospectively analyzed diagnostic codes associated with de-identified electronic health records using a machine learning algorithm to characterize diagnostic patterns in decedents with ASD and matched decedent community controls. Participants were 91 decedents with ASD and 6,186 sex and birth year matched decedent community controls who had died since 1979, the majority of whom were middle aged or older adults at the time of their death. We analyzed all ICD-9 codes, V-codes, and E-codes available in the electronic health record and Elixhauser comorbidity categories associated with those codes. Diagnostic patterns distinguished decedents with ASD from decedent community controls with 75% sensitivity and 94% specificity solely based on their lifetime ICD-9 codes, V-codes, and E-codes. Decedents with ASD had higher rates of most conditions, including cardiovascular disease, motor problems, ear problems, urinary problems, digestive problems, side effects from long-term medication use, and nonspecific lab tests and encounters. In contrast, decedents with ASD had lower rates of cancer. Findings suggest distinctive lifetime diagnostic patterns among decedents with ASD and highlight the need for more research on health outcomes across the lifespan as the population of individuals with ASD ages. As a large wave of individuals with ASD diagnosed in the 1990s enters adulthood and middle age, knowledge about lifetime health problems will become increasingly important for care and prevention efforts. Autism Res 2018, 11: 1120–1128. © 2018 International Society for Autism Research, Wiley Periodicals, Inc. Lay Summary: This study looked at patterns of lifetime health problems to find differences between people with autism who had died and community controls who had died. People with autism had higher rates of most health problems, including cardiovascular, urinary, respiratory, digestive, and motor problems, in their electronic health records. They also had lower rates of cancer. More research is needed to understand these potential health risks as a large number of individuals with autism enter adulthood and middle age.</t>
        </is>
      </c>
      <c r="G96" s="4" t="inlineStr">
        <is>
          <t>la clasificación se hace a partir de códigos ICD-9/V/E de EHR en decedentes, para distinguir patrones de salud de por vida (no es biomarcador directo ni herramienta clínica prospectiva).</t>
        </is>
      </c>
      <c r="H96" s="4" t="str"/>
      <c r="I96" s="4" t="str"/>
      <c r="J96" s="4" t="n"/>
      <c r="K96" s="4" t="inlineStr">
        <is>
          <t>Historical signals: title/abstract/notes; full-text completion not independently established</t>
        </is>
      </c>
      <c r="L96" s="4" t="inlineStr">
        <is>
          <t>Not documented in provided sources</t>
        </is>
      </c>
    </row>
    <row r="97" ht="409" customHeight="1">
      <c r="A97" s="4" t="inlineStr">
        <is>
          <t>104</t>
        </is>
      </c>
      <c r="B97" s="4" t="inlineStr">
        <is>
          <t>Historical</t>
        </is>
      </c>
      <c r="C97" s="4" t="inlineStr">
        <is>
          <t>A Framework for Comparison and Interpretation of Machine Learning Classifiers to Predict Autism on the ABIDE Dataset</t>
        </is>
      </c>
      <c r="D97" s="4" t="inlineStr">
        <is>
          <t>10.1002/hbm.70190</t>
        </is>
      </c>
      <c r="E97" s="4" t="inlineStr">
        <is>
          <t>https://doi.org/10.1002/hbm.70190</t>
        </is>
      </c>
      <c r="F97" s="4" t="inlineStr">
        <is>
          <t>Autism is a neurodevelopmental condition affecting ~1% of the population. Recently, machine learning models have been trained to classify participants with autism using their neuroimaging features, though the performance of these models varies in the literature. Differences in experimental setup hamper the direct comparison of different machine-learning approaches. In this paper, five of the most widely used and best-performing machine learning models in the field were trained to classify participants with autism and typically developing (TD) participants, using functional connectivity matrices, structural volumetric measures, and phenotypic information from the Autism Brain Imaging Data Exchange (ABIDE) dataset. Their performance was compared under the same evaluation standard. The models implemented included: graph convolutional networks (GCN), edge-variational graph convolutional networks (EV-GCN), fully connected networks (FCN), autoencoder followed by a fully connected network (AE-FCN) and support vector machine (SVM). Our results show that all models performed similarly, achieving a classification accuracy around 70%. Our results suggest that different inclusion criteria, data modalities, and evaluation pipelines rather than different machine learning models may explain variations in accuracy in the published literature. The highest accuracy in our framework was obtained when using ensemble models (p &lt; 0.001), leading to an accuracy of 72.2% and AUC = 0.77 using GCN classifiers. However, an SVM classifier performed with an accuracy of 70.1% and AUC = 0.77, just marginally below GCN, and significant differences were not found when comparing different algorithms under the same testing conditions (p &gt; 0.05). Furthermore, we also investigated the stability of features identified by the different machine learning models using the SmoothGrad interpretation method. The FCN model demonstrated the highest stability in selecting relevant features contributing to model decision making. The code is available at https://github.com/YilanDong19/Machine-learning-with-ABIDE.</t>
        </is>
      </c>
      <c r="G97" s="4" t="inlineStr">
        <is>
          <t>este paper es benchmark/comparación bajo un marco estandarizado; reporta que el mayor desempeño se obtiene con ensemble y resultados cercanos entre modelos (GCN/EV-GCN/FCN/AE-FCN/SVM)</t>
        </is>
      </c>
      <c r="H97" s="4" t="str"/>
      <c r="I97" s="4" t="str"/>
      <c r="J97" s="4" t="n"/>
      <c r="K97" s="4" t="inlineStr">
        <is>
          <t>Historical signals: title/abstract/notes; full-text completion not independently established</t>
        </is>
      </c>
      <c r="L97" s="4" t="inlineStr">
        <is>
          <t>Not documented in provided sources</t>
        </is>
      </c>
    </row>
    <row r="98" ht="268" customHeight="1">
      <c r="A98" s="4" t="inlineStr">
        <is>
          <t>105</t>
        </is>
      </c>
      <c r="B98" s="4" t="inlineStr">
        <is>
          <t>Historical</t>
        </is>
      </c>
      <c r="C98" s="4" t="inlineStr">
        <is>
          <t>A Novel Deep Learning Approach for Recognizing Stereotypical Motor Movements within and across Subjects on the Autism Spectrum Disorder</t>
        </is>
      </c>
      <c r="D98" s="4" t="inlineStr">
        <is>
          <t>10.1155/2018/7186762</t>
        </is>
      </c>
      <c r="E98" s="4" t="inlineStr">
        <is>
          <t>https://doi.org/10.1155/2018/7186762</t>
        </is>
      </c>
      <c r="F98" s="4" t="inlineStr">
        <is>
          <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t>
        </is>
      </c>
      <c r="G98" s="4" t="inlineStr">
        <is>
          <t>para el escenario across-subjects combinan transfer learning + SVM classifier. Si tu Excel solo permite un algoritmo principal, deja CNN como principal y anota “SVM + transfer learning para across-subject”</t>
        </is>
      </c>
      <c r="H98" s="4" t="str"/>
      <c r="I98" s="4" t="str"/>
      <c r="J98" s="4" t="n"/>
      <c r="K98" s="4" t="inlineStr">
        <is>
          <t>Historical signals: title/abstract/notes; full-text completion not independently established</t>
        </is>
      </c>
      <c r="L98" s="4" t="inlineStr">
        <is>
          <t>Not documented in provided sources</t>
        </is>
      </c>
    </row>
    <row r="99" ht="229" customHeight="1">
      <c r="A99" s="4" t="inlineStr">
        <is>
          <t>106</t>
        </is>
      </c>
      <c r="B99" s="4" t="inlineStr">
        <is>
          <t>Historical</t>
        </is>
      </c>
      <c r="C99" s="4" t="inlineStr">
        <is>
          <t>Analysis of variant interactions in families with autism points to genes involved in the development of the central nervous system</t>
        </is>
      </c>
      <c r="D99" s="4" t="inlineStr">
        <is>
          <t>10.1371/journal.pone.0326022</t>
        </is>
      </c>
      <c r="E99" s="4" t="inlineStr">
        <is>
          <t>https://doi.org/10.1371/journal.pone.0326022</t>
        </is>
      </c>
      <c r="F99" s="4" t="inlineStr">
        <is>
          <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t>
        </is>
      </c>
      <c r="G99" s="4" t="inlineStr">
        <is>
          <t>además del predictor supervisado, el paper también hace clustering de muestras para explorar heterogeneidad (menciona K-means y propone PAM/medoids por interpretabilidad en datos binarios)</t>
        </is>
      </c>
      <c r="H99" s="4" t="str"/>
      <c r="I99" s="4" t="str"/>
      <c r="J99" s="4" t="n"/>
      <c r="K99" s="4" t="inlineStr">
        <is>
          <t>Historical signals: title/abstract/notes; full-text completion not independently established</t>
        </is>
      </c>
      <c r="L99" s="4" t="inlineStr">
        <is>
          <t>Not documented in provided sources</t>
        </is>
      </c>
    </row>
    <row r="100" ht="229" customHeight="1">
      <c r="A100" s="4" t="inlineStr">
        <is>
          <t>107</t>
        </is>
      </c>
      <c r="B100" s="4" t="inlineStr">
        <is>
          <t>Historical</t>
        </is>
      </c>
      <c r="C100" s="4" t="inlineStr">
        <is>
          <t>Detecting High-Functioning Autism in Adults Using Eye Tracking and Machine Learning</t>
        </is>
      </c>
      <c r="D100" s="4" t="inlineStr">
        <is>
          <t>10.1109/tnsre.2020.2991675</t>
        </is>
      </c>
      <c r="E100" s="4" t="inlineStr">
        <is>
          <t>https://doi.org/10.1109/tnsre.2020.2991675</t>
        </is>
      </c>
      <c r="F100" s="4" t="inlineStr">
        <is>
          <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t>
        </is>
      </c>
      <c r="G100" s="4" t="str"/>
      <c r="H100" s="4" t="str"/>
      <c r="I100" s="4" t="str"/>
      <c r="J100" s="4" t="n"/>
      <c r="K100" s="4" t="inlineStr">
        <is>
          <t>Historical signals: title/abstract/notes; full-text completion not independently established</t>
        </is>
      </c>
      <c r="L100" s="4" t="inlineStr">
        <is>
          <t>Not documented in provided sources</t>
        </is>
      </c>
    </row>
    <row r="101" ht="409" customHeight="1">
      <c r="A101" s="4" t="inlineStr">
        <is>
          <t>108</t>
        </is>
      </c>
      <c r="B101" s="4" t="inlineStr">
        <is>
          <t>Historical</t>
        </is>
      </c>
      <c r="C101" s="4" t="inlineStr">
        <is>
          <t>Identification of neural connectivity signatures of autism using machine learning</t>
        </is>
      </c>
      <c r="D101" s="4" t="inlineStr">
        <is>
          <t>10.3389/fnhum.2013.00670/full</t>
        </is>
      </c>
      <c r="E101" s="4" t="inlineStr">
        <is>
          <t>https://doi.org/10.3389/fnhum.2013.00670/full</t>
        </is>
      </c>
      <c r="F101" s="4" t="inlineStr">
        <is>
          <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t>
        </is>
      </c>
      <c r="G101" s="4" t="inlineStr">
        <is>
          <t>Se comparan varios modelos; se eligió el principal/mejor reportado</t>
        </is>
      </c>
      <c r="H101" s="4" t="str"/>
      <c r="I101" s="4" t="str"/>
      <c r="J101" s="4" t="n"/>
      <c r="K101" s="4" t="inlineStr">
        <is>
          <t>Historical signals: title/abstract/notes; full-text completion not independently established</t>
        </is>
      </c>
      <c r="L101" s="4" t="inlineStr">
        <is>
          <t>Not documented in provided sources</t>
        </is>
      </c>
    </row>
    <row r="102" ht="333" customHeight="1">
      <c r="A102" s="4" t="inlineStr">
        <is>
          <t>109</t>
        </is>
      </c>
      <c r="B102" s="4" t="inlineStr">
        <is>
          <t>Historical</t>
        </is>
      </c>
      <c r="C102" s="4" t="inlineStr">
        <is>
          <t>Identifying autism from neural representations of social interactions: Neurocognitive markers of autism</t>
        </is>
      </c>
      <c r="D102" s="4" t="inlineStr">
        <is>
          <t>10.1371/journal.pone.0113879</t>
        </is>
      </c>
      <c r="E102" s="4" t="inlineStr">
        <is>
          <t>https://doi.org/10.1371/journal.pone.0113879</t>
        </is>
      </c>
      <c r="F102" s="4" t="inlineStr">
        <is>
          <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t>
        </is>
      </c>
      <c r="G102" s="4" t="inlineStr">
        <is>
          <t>Algoritmo principal no explícito o fuera del codebook; Confirmar algoritmo principal en full-text</t>
        </is>
      </c>
      <c r="H102" s="4" t="str"/>
      <c r="I102" s="4" t="str"/>
      <c r="J102" s="4" t="n"/>
      <c r="K102" s="4" t="inlineStr">
        <is>
          <t>Historical signals: title/abstract/notes; full-text completion not independently established</t>
        </is>
      </c>
      <c r="L102" s="4" t="inlineStr">
        <is>
          <t>Not documented in provided sources</t>
        </is>
      </c>
    </row>
    <row r="103" ht="409" customHeight="1">
      <c r="A103" s="4" t="inlineStr">
        <is>
          <t>110</t>
        </is>
      </c>
      <c r="B103" s="4" t="inlineStr">
        <is>
          <t>Historical</t>
        </is>
      </c>
      <c r="C103" s="4" t="inlineStr">
        <is>
          <t>Identifying Language and Cognitive Profiles in Children With ASD via a Cluster Analysis Exploration: Implications for the New ICD-11</t>
        </is>
      </c>
      <c r="D103" s="4" t="inlineStr">
        <is>
          <t>10.1002/aur.2268</t>
        </is>
      </c>
      <c r="E103" s="4" t="inlineStr">
        <is>
          <t>https://doi.org/10.1002/aur.2268</t>
        </is>
      </c>
      <c r="F103" s="4" t="inlineStr">
        <is>
          <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t>
        </is>
      </c>
      <c r="G103" s="4" t="str"/>
      <c r="H103" s="4" t="str"/>
      <c r="I103" s="4" t="str"/>
      <c r="J103" s="4" t="n"/>
      <c r="K103" s="4" t="inlineStr">
        <is>
          <t>Historical signals: title/abstract/notes; full-text completion not independently established</t>
        </is>
      </c>
      <c r="L103" s="4" t="inlineStr">
        <is>
          <t>Not documented in provided sources</t>
        </is>
      </c>
    </row>
    <row r="104" ht="409" customHeight="1">
      <c r="A104" s="4" t="inlineStr">
        <is>
          <t>111</t>
        </is>
      </c>
      <c r="B104" s="4" t="inlineStr">
        <is>
          <t>Historical</t>
        </is>
      </c>
      <c r="C104" s="4" t="inlineStr">
        <is>
          <t>On the Utility of Parents' Historical Data to Investigate the Causes of Autism Spectrum Disorder: A Data Mining-Based Framework</t>
        </is>
      </c>
      <c r="D104" s="4" t="inlineStr">
        <is>
          <t>10.1016/j.irbm.2023.100780</t>
        </is>
      </c>
      <c r="E104" s="4" t="inlineStr">
        <is>
          <t>https://doi.org/10.1016/j.irbm.2023.100780</t>
        </is>
      </c>
      <c r="F104" s="4" t="inlineStr">
        <is>
          <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t>
        </is>
      </c>
      <c r="G104" s="4" t="inlineStr">
        <is>
          <t>Usa historia parental/perinatal estructurada para modelar riesgo/causas; mezcla clustering y predicción sin algoritmo principal claro.</t>
        </is>
      </c>
      <c r="H104" s="4" t="str"/>
      <c r="I104" s="4" t="str"/>
      <c r="J104" s="4" t="n"/>
      <c r="K104" s="4" t="inlineStr">
        <is>
          <t>Historical signals: title/abstract/notes; full-text completion not independently established</t>
        </is>
      </c>
      <c r="L104" s="4" t="inlineStr">
        <is>
          <t>Not documented in provided sources</t>
        </is>
      </c>
    </row>
    <row r="105" ht="307" customHeight="1">
      <c r="A105" s="4" t="inlineStr">
        <is>
          <t>112</t>
        </is>
      </c>
      <c r="B105" s="4" t="inlineStr">
        <is>
          <t>Historical</t>
        </is>
      </c>
      <c r="C105" s="4" t="inlineStr">
        <is>
          <t>Structural variants identified using non-Mendelian inheritance patterns advance the mechanistic understanding of autism spectrum disorder</t>
        </is>
      </c>
      <c r="D105" s="4" t="inlineStr">
        <is>
          <t>10.1016/j.xhgg.2022.100150</t>
        </is>
      </c>
      <c r="E105" s="4" t="inlineStr">
        <is>
          <t>https://doi.org/10.1016/j.xhgg.2022.100150</t>
        </is>
      </c>
      <c r="F105" s="4" t="inlineStr">
        <is>
          <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t>
        </is>
      </c>
      <c r="G105" s="4" t="inlineStr">
        <is>
          <t>Estudio genómico/estructural sin sistema IA clínico claramente codificable en el abstract.</t>
        </is>
      </c>
      <c r="H105" s="4" t="str"/>
      <c r="I105" s="4" t="str"/>
      <c r="J105" s="4" t="n"/>
      <c r="K105" s="4" t="inlineStr">
        <is>
          <t>Historical signals: title/abstract/notes; full-text completion not independently established</t>
        </is>
      </c>
      <c r="L105" s="4" t="inlineStr">
        <is>
          <t>Not documented in provided sources</t>
        </is>
      </c>
    </row>
    <row r="106" ht="229" customHeight="1">
      <c r="A106" s="4" t="inlineStr">
        <is>
          <t>113</t>
        </is>
      </c>
      <c r="B106" s="4" t="inlineStr">
        <is>
          <t>Historical</t>
        </is>
      </c>
      <c r="C106" s="4" t="inlineStr">
        <is>
          <t>Transient hearing abnormalities precede social deficits in a mouse model of autism</t>
        </is>
      </c>
      <c r="D106" s="4" t="inlineStr">
        <is>
          <t>10.1016/j.bbr.2022.114149</t>
        </is>
      </c>
      <c r="E106" s="4" t="inlineStr">
        <is>
          <t>https://doi.org/10.1016/j.bbr.2022.114149</t>
        </is>
      </c>
      <c r="F106" s="4" t="inlineStr">
        <is>
          <t>Hearing abnormalities are important symptoms of autism spectrum disorders (ASDs), a neurological and developmental disorder. However, the characteristics of hearing abnormalities associated with ASD during development have not been fully investigated. We found that in Shank3B knockout mice (a high-confidence mouse model of ASD), transient hearing abnormalities can be found in auditory brainstem response, auditory cortical activity, as well as acoustic startle response. More importantly, all hearing abnormalities at 4 weeks were most prominent and preceded the onset of social deficits at 6 weeks. These hearing abnormalities gradually recovered with age. In addition, analysis of ABR data at 4 weeks using Support Vector Machine (SVM) can faithfully predict the genotype of mice with an accuracy of 85.71%. These findings not only revealed hearing changes in Shank3B knockout autistic-like mice during development, but also suggested that hearing abnormalities could potentially be used as an early and effective indicator of ASD risk.</t>
        </is>
      </c>
      <c r="G106" s="4" t="inlineStr">
        <is>
          <t>Animal model; ML predicts genotype from ABR features (not ASD-vs-control clinical classification). Used as early risk indicator</t>
        </is>
      </c>
      <c r="H106" s="4" t="str"/>
      <c r="I106" s="4" t="str"/>
      <c r="J106" s="4" t="n"/>
      <c r="K106" s="4" t="inlineStr">
        <is>
          <t>Historical signals: title/abstract/notes; full-text completion not independently established</t>
        </is>
      </c>
      <c r="L106" s="4" t="inlineStr">
        <is>
          <t>Not documented in provided sources</t>
        </is>
      </c>
    </row>
    <row r="107" ht="409" customHeight="1">
      <c r="A107" s="4" t="inlineStr">
        <is>
          <t>114</t>
        </is>
      </c>
      <c r="B107" s="4" t="inlineStr">
        <is>
          <t>Historical</t>
        </is>
      </c>
      <c r="C107" s="4" t="inlineStr">
        <is>
          <t>Early-stage identification of autism in children using gesture monitoring based on artificial intelligence</t>
        </is>
      </c>
      <c r="D107" s="4" t="inlineStr">
        <is>
          <t>10.1016/b978-0-443-19073-5.00018-5</t>
        </is>
      </c>
      <c r="E107" s="4" t="inlineStr">
        <is>
          <t>https://doi.org/10.1016/b978-0-443-19073-5.00018-5</t>
        </is>
      </c>
      <c r="F107" s="4" t="inlineStr">
        <is>
          <t>This chapter explores the innovative integration of artificial intelligence (AI) and gesture monitoring for the early-stage recognition of autism spectrum disorder (ASD) in children. Early detection of ASD is crucial for initiating timely interventions that can improve developmental outcomes. This chapter begins with an overview of ASD, highlighting its definition, characteristics, prevalence, and risk factors. The impact of late diagnosis on children with ASD is discussed. This chapter presents the purpose and scope of the research, focusing on the potential of AI-based gesture monitoring in revolutionizing ASD screening and diagnosis. It outlines the current screening and diagnostic methods and challenges. To overcome these challenges, this chapter explores the advantages of early detection, emphasizing the critical role of gestures in child development and their association with ASD. Further, this chapter delves into the role of AI in health care and ASD diagnosis, with a particular focus on the application of machine learning (ML) algorithms for gesture analysis. It discusses the selection of participants, data collection techniques, and ethical considerations to ensure responsible research practices. Model training, validation, and performance metrics are also detailed to ensure the reliability and accuracy of AI models. This chapter highlights the potential impact of AI-based gesture analysis on public health, emphasizing its role in providing personalized care, supporting caregivers, and advancing research in the field. It discusses the challenges faced in implementing AI technologies and suggests improvements. In conclusion, this chapter underscores the transformative potential of AI-based gesture monitoring for early ASD identification. By addressing the challenges and leveraging the advantages of AI technologies, this chapter paves the way for innovative solutions that can significantly enhance the quality of life for those with ASD and their families.</t>
        </is>
      </c>
      <c r="G107" s="4" t="str"/>
      <c r="H107" s="4" t="str"/>
      <c r="I107" s="4" t="str"/>
      <c r="J107" s="4" t="n"/>
      <c r="K107" s="4" t="inlineStr">
        <is>
          <t>Historical signals: title/abstract/notes; full-text completion not independently established</t>
        </is>
      </c>
      <c r="L107" s="4" t="inlineStr">
        <is>
          <t>Not documented in provided sources</t>
        </is>
      </c>
    </row>
    <row r="108" ht="409" customHeight="1">
      <c r="A108" s="4" t="inlineStr">
        <is>
          <t>115</t>
        </is>
      </c>
      <c r="B108" s="4" t="inlineStr">
        <is>
          <t>Historical</t>
        </is>
      </c>
      <c r="C108" s="4" t="inlineStr">
        <is>
          <t>Electromagnetic Interaction Algorithm (EIA)-Based Feature Selection With Adaptive Kernel Attention Network (AKAttNet) for Autism Spectrum Disorder Classification</t>
        </is>
      </c>
      <c r="D108" s="4" t="inlineStr">
        <is>
          <t>10.1002/jdn.70034</t>
        </is>
      </c>
      <c r="E108" s="4" t="inlineStr">
        <is>
          <t>https://doi.org/10.1002/jdn.70034</t>
        </is>
      </c>
      <c r="F108" s="4" t="inlineStr">
        <is>
          <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t>
        </is>
      </c>
      <c r="G108" s="4" t="inlineStr">
        <is>
          <t>Algoritmo principal no explícito o fuera del codebook; Confirmar algoritmo principal en full-text; Se comparan varios modelos; se eligió el principal/mejor reportado</t>
        </is>
      </c>
      <c r="H108" s="4" t="str"/>
      <c r="I108" s="4" t="str"/>
      <c r="J108" s="4" t="n"/>
      <c r="K108" s="4" t="inlineStr">
        <is>
          <t>Historical signals: title/abstract/notes; full-text completion not independently established</t>
        </is>
      </c>
      <c r="L108" s="4" t="inlineStr">
        <is>
          <t>Not documented in provided sources</t>
        </is>
      </c>
    </row>
    <row r="109" ht="333" customHeight="1">
      <c r="A109" s="4" t="inlineStr">
        <is>
          <t>116</t>
        </is>
      </c>
      <c r="B109" s="4" t="inlineStr">
        <is>
          <t>Historical</t>
        </is>
      </c>
      <c r="C109" s="4" t="inlineStr">
        <is>
          <t>Use of machine learning for behavioral distinction of autism and ADHD</t>
        </is>
      </c>
      <c r="D109" s="4" t="inlineStr">
        <is>
          <t>10.1038/tp.2015.221</t>
        </is>
      </c>
      <c r="E109" s="4" t="inlineStr">
        <is>
          <t>https://doi.org/10.1038/tp.2015.221</t>
        </is>
      </c>
      <c r="F109" s="4" t="inlineStr">
        <is>
          <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t>
        </is>
      </c>
      <c r="G109" s="4" t="inlineStr">
        <is>
          <t>Usa puntajes SRS para distinguir ASD vs ADHD; aunque es herramienta de cribado, el objetivo es distinción diagnóstica diferencial.</t>
        </is>
      </c>
      <c r="H109" s="4" t="str"/>
      <c r="I109" s="4" t="str"/>
      <c r="J109" s="4" t="n"/>
      <c r="K109" s="4" t="inlineStr">
        <is>
          <t>Historical signals: title/abstract/notes; full-text completion not independently established</t>
        </is>
      </c>
      <c r="L109" s="4" t="inlineStr">
        <is>
          <t>Not documented in provided sources</t>
        </is>
      </c>
    </row>
    <row r="110" ht="409" customHeight="1">
      <c r="A110" s="4" t="inlineStr">
        <is>
          <t>117</t>
        </is>
      </c>
      <c r="B110" s="4" t="inlineStr">
        <is>
          <t>Historical</t>
        </is>
      </c>
      <c r="C110" s="4" t="inlineStr">
        <is>
          <t>A Machine Learning Strategy for Autism Screening in Toddlers</t>
        </is>
      </c>
      <c r="D110" s="4" t="inlineStr">
        <is>
          <t>10.1097/dbp.0000000000000668</t>
        </is>
      </c>
      <c r="E110" s="4" t="inlineStr">
        <is>
          <t>https://doi.org/10.1097/dbp.0000000000000668</t>
        </is>
      </c>
      <c r="F110" s="4" t="inlineStr">
        <is>
          <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t>
        </is>
      </c>
      <c r="G110" s="4" t="inlineStr">
        <is>
          <t>Feedforward neural network aplicado a M-CHAT-R para cribado en toddlers.</t>
        </is>
      </c>
      <c r="H110" s="4" t="str"/>
      <c r="I110" s="4" t="str"/>
      <c r="J110" s="4" t="n"/>
      <c r="K110" s="4" t="inlineStr">
        <is>
          <t>Historical signals: title/abstract/notes; full-text completion not independently established</t>
        </is>
      </c>
      <c r="L110" s="4" t="inlineStr">
        <is>
          <t>Not documented in provided sources</t>
        </is>
      </c>
    </row>
    <row r="111" ht="333" customHeight="1">
      <c r="A111" s="4" t="inlineStr">
        <is>
          <t>118</t>
        </is>
      </c>
      <c r="B111" s="4" t="inlineStr">
        <is>
          <t>Historical</t>
        </is>
      </c>
      <c r="C111" s="4" t="inlineStr">
        <is>
          <t>Early detection of autism using digital behavioral phenotyping</t>
        </is>
      </c>
      <c r="D111" s="4" t="inlineStr">
        <is>
          <t>10.1038/s41591-023-02574-3</t>
        </is>
      </c>
      <c r="E111" s="4" t="inlineStr">
        <is>
          <t>https://doi.org/10.1038/s41591-023-02574-3</t>
        </is>
      </c>
      <c r="F111" s="4" t="inlineStr">
        <is>
          <t>Early detection of autism, a neurodevelopmental condition associated with challenges in social communication, ensures timely access to intervention. Autism screening questionnaires have been shown to have lower accuracy when used in real-world settings, such as primary care, as compared to research studies, particularly for children of color and girls. 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 The app displayed stimuli that elicited behavioral signs of autism, quantified using computer vision and machine learning. An algorithm combining multiple digital phenotypes showed high diagnostic accuracy with the area under the receiver operating characteristic curve = 0.90, sensitivity = 87.8%, specificity = 80.8%, negative predictive value = 97.8% and positive predictive value = 40.6%. The algorithm had similar sensitivity performance across subgroups as defined by sex, race and ethnicity. These results demonstrate the potential for digital phenotyping to provide an objective, scalable approach to autism screening in real-world settings. Moreover, combining results from digital phenotyping and caregiver questionnaires may increase autism screening accuracy and help reduce disparities in access to diagnosis and intervention.</t>
        </is>
      </c>
      <c r="G111" s="4" t="str"/>
      <c r="H111" s="4" t="str"/>
      <c r="I111" s="4" t="str"/>
      <c r="J111" s="4" t="n"/>
      <c r="K111" s="4" t="inlineStr">
        <is>
          <t>Historical signals: title/abstract/notes; full-text completion not independently established</t>
        </is>
      </c>
      <c r="L111" s="4" t="inlineStr">
        <is>
          <t>Not documented in provided sources</t>
        </is>
      </c>
    </row>
    <row r="112" ht="229" customHeight="1">
      <c r="A112" s="4" t="inlineStr">
        <is>
          <t>119</t>
        </is>
      </c>
      <c r="B112" s="4" t="inlineStr">
        <is>
          <t>Historical</t>
        </is>
      </c>
      <c r="C112" s="4" t="inlineStr">
        <is>
          <t>Ensemble statistical and subspace clustering model for analysis of autism spectrum disorder phenotypes</t>
        </is>
      </c>
      <c r="D112" s="4" t="inlineStr">
        <is>
          <t>10.1109/embc.2016.7591440</t>
        </is>
      </c>
      <c r="E112" s="4" t="inlineStr">
        <is>
          <t>https://doi.org/10.1109/embc.2016.7591440</t>
        </is>
      </c>
      <c r="F112" s="4" t="inlineStr">
        <is>
          <t>Heterogeneity in Autism Spectrum Disorder (ASD) is complex including variability in behavioral phenotype as well as clinical, physiologic, and pathologic parameters. The fifth edition of the Diagnostic and Statistical Manual of Mental Disorders (DSM-5) now diagnoses ASD using a 2-dimensional model based social communication deficits and fixated interests and repetitive behaviors. Sorting out heterogeneity is crucial for study of etiology, diagnosis, treatment and prognosis. In this paper, we present an ensemble model for analyzing ASD phenotypes using several machine learning techniques and a k-dimensional subspace clustering algorithm. Our ensemble also incorporates statistical methods at several stages of analysis. We apply this model to a sample of 208 probands drawn from the Simon Simplex Collection Missouri Site patients. The results provide useful evidence that is helpful in elucidating the phenotype complexity within ASD. Our model can be extended to other disorders that exhibit a diverse range of heterogeneity.</t>
        </is>
      </c>
      <c r="G112" s="4" t="inlineStr">
        <is>
          <t>Estudio de subtipificación/heterogeneidad en una cohorte ASD ya confirmada (SSC; ADI-R/ADOS); no clasifica ASD vs control como endpoint principal</t>
        </is>
      </c>
      <c r="H112" s="4" t="str"/>
      <c r="I112" s="4" t="str"/>
      <c r="J112" s="4" t="n"/>
      <c r="K112" s="4" t="inlineStr">
        <is>
          <t>Historical signals: title/abstract/notes; full-text completion not independently established</t>
        </is>
      </c>
      <c r="L112" s="4" t="inlineStr">
        <is>
          <t>Not documented in provided sources</t>
        </is>
      </c>
    </row>
    <row r="113" ht="346" customHeight="1">
      <c r="A113" s="4" t="inlineStr">
        <is>
          <t>120</t>
        </is>
      </c>
      <c r="B113" s="4" t="inlineStr">
        <is>
          <t>Historical</t>
        </is>
      </c>
      <c r="C113" s="4" t="inlineStr">
        <is>
          <t>Screening autism spectrum disorder in children using machine learning on speech transcripts</t>
        </is>
      </c>
      <c r="D113" s="4" t="inlineStr">
        <is>
          <t>10.1038/s41598-025-01500-6</t>
        </is>
      </c>
      <c r="E113" s="4" t="inlineStr">
        <is>
          <t>https://doi.org/10.1038/s41598-025-01500-6</t>
        </is>
      </c>
      <c r="F113" s="4"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G113" s="4" t="inlineStr">
        <is>
          <t>Algoritmo principal no explícito o fuera del codebook; Confirmar algoritmo principal en full-text</t>
        </is>
      </c>
      <c r="H113" s="4" t="str"/>
      <c r="I113" s="4" t="str"/>
      <c r="J113" s="4" t="n"/>
      <c r="K113" s="4" t="inlineStr">
        <is>
          <t>Historical signals: title/abstract/notes; full-text completion not independently established</t>
        </is>
      </c>
      <c r="L113" s="4" t="inlineStr">
        <is>
          <t>Not documented in provided sources</t>
        </is>
      </c>
    </row>
    <row r="114" ht="409" customHeight="1">
      <c r="A114" s="4" t="inlineStr">
        <is>
          <t>121</t>
        </is>
      </c>
      <c r="B114" s="4" t="inlineStr">
        <is>
          <t>Historical</t>
        </is>
      </c>
      <c r="C114" s="4" t="inlineStr">
        <is>
          <t>46.3 ARTIFICIAL INTELLIGENCE: UTILIZING GOOGLE GLASS AND OTHER MOBILE APPLICATIONS FOR SOCIAL SKILLS TRAINING IN AUTISM SPECTRUM DISORDERS</t>
        </is>
      </c>
      <c r="D114" s="4" t="inlineStr">
        <is>
          <t>10.1016/j.jaac.2016.07.715</t>
        </is>
      </c>
      <c r="E114" s="4" t="inlineStr">
        <is>
          <t>https://doi.org/10.1016/j.jaac.2016.07.715</t>
        </is>
      </c>
      <c r="F114" s="4" t="inlineStr">
        <is>
          <t>Objectives: Deficits in social communication are defining features of ASD. Although prognosis can be improved significantly with intervention, existing interventions are resource intensive and often do not generalize to new contexts. Technology-aided interventions (TAI) can help overcome current limitations by providing a motivating, low cost, and versatile treatment option. Although early studies support the feasibility and potential effectiveness of TAI for social skills training in ASD, existing approaches have been criticized for their focus on human-to-computer interaction. A Google Glass-based application (app) was developed to guide children with ASD through human-to-human social interactions. Upon completion of this Clinical Perspectives, participants will be able to do the following: 1) summarize novel applications and research findings of TAI for children with ASD, including results from a usability study with the Google Glass; and 2) apply information learned regarding TAI to the daily clinical practice of treating youth with ASD. Methods: Children (n = 10; mean age = 13.2 years, sigma = 1.5; verbal IQ score = 104.4, sigma = 20.9; Social Communication Questionnaire score = 19, sigma = 3.5) with ASD were recruited to be participants. During each session, the participants used the app while engaging in a structured restaurant-themed interaction with a research assistant. Based on International Organization for Standardization 9241 (ISO 9241), the app was evaluated on its efficiency and user satisfaction. Results: The app's detection accuracy and recognition accuracy were 97 and 89 percent, respectively. The users' average response time was 2.5 seconds, and the system's average response time was -0.25 seconds. Notable user feedback on perceived experience (based on a 5-point Likert scale) includes the participant's belief that the app can help them in daily life (4.0/5) and that the app can help children communicate to people (4.0/5). Conclusions: To the best of our knowledge, this system is the first TAI for ASD that uses human-to-human coaching in naturalistic settings, and the results show that the device is an appropriate medium for treatment delivery. An effective application of technology can overcome many of the current barriers to treatment and, ultimately, help deliver higher-quality treatments to a larger and more diverse population of children.</t>
        </is>
      </c>
      <c r="G114" s="4" t="inlineStr">
        <is>
          <t>Sin señal explícita Q3 en título/abstract.</t>
        </is>
      </c>
      <c r="H114" s="4" t="inlineStr">
        <is>
          <t>Google Glass/mobile application for social-skills training in ASD.</t>
        </is>
      </c>
      <c r="I114" s="4" t="str"/>
      <c r="J114" s="4" t="n"/>
      <c r="K114" s="4" t="inlineStr">
        <is>
          <t>Historical signals: title/abstract/notes; full-text completion not independently established</t>
        </is>
      </c>
      <c r="L114" s="4" t="inlineStr">
        <is>
          <t>Not documented in provided sources</t>
        </is>
      </c>
    </row>
    <row r="115" ht="385" customHeight="1">
      <c r="A115" s="4" t="inlineStr">
        <is>
          <t>122</t>
        </is>
      </c>
      <c r="B115" s="4" t="inlineStr">
        <is>
          <t>Historical</t>
        </is>
      </c>
      <c r="C115" s="4" t="inlineStr">
        <is>
          <t>A Quantum-Based Machine Learning Approach for Autism Detection Using Common Spatial Patterns of EEG Signals</t>
        </is>
      </c>
      <c r="D115" s="4" t="inlineStr">
        <is>
          <t>10.1109/access.2025.3531979</t>
        </is>
      </c>
      <c r="E115" s="4" t="inlineStr">
        <is>
          <t>https://doi.org/10.1109/access.2025.3531979</t>
        </is>
      </c>
      <c r="F115" s="4" t="inlineStr">
        <is>
          <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t>
        </is>
      </c>
      <c r="G115" s="4" t="str"/>
      <c r="H115" s="4" t="str"/>
      <c r="I115" s="4" t="str"/>
      <c r="J115" s="4" t="n"/>
      <c r="K115" s="4" t="inlineStr">
        <is>
          <t>Historical signals: title/abstract/notes; full-text completion not independently established</t>
        </is>
      </c>
      <c r="L115" s="4" t="inlineStr">
        <is>
          <t>Not documented in provided sources</t>
        </is>
      </c>
    </row>
    <row r="116" ht="346" customHeight="1">
      <c r="A116" s="4" t="inlineStr">
        <is>
          <t>124</t>
        </is>
      </c>
      <c r="B116" s="4" t="inlineStr">
        <is>
          <t>Historical</t>
        </is>
      </c>
      <c r="C116" s="4" t="inlineStr">
        <is>
          <t>ASD2-TL∗ GTO: Autism spectrum disorders detection via transfer learning with gorilla troops optimizer framework</t>
        </is>
      </c>
      <c r="D116" s="4" t="inlineStr">
        <is>
          <t>10.1016/j.heliyon.2023.e21530</t>
        </is>
      </c>
      <c r="E116" s="4" t="inlineStr">
        <is>
          <t>https://doi.org/10.1016/j.heliyon.2023.e21530</t>
        </is>
      </c>
      <c r="F116" s="4" t="inlineStr">
        <is>
          <t>Autism Spectrum Disorder (ASD) treatment requires accurate diagnosis and effective rehabilitation. Artificial intelligence (AI) techniques in medical diagnosis and rehabilitation can aid doctors in detecting a wide range of diseases more effectively. Nevertheless, due to its highly heterogeneous symptoms and complicated nature, ASD diagnostics continues to be a challenge for researchers. This study introduces an intelligent system based on the Artificial Gorilla Troops Optimizer (GTO) metaheuristic optimizer to detect ASD using Deep Learning and Machine Learning. Kaggle and UCI ML Repository are the data sources used in this study. The first dataset is the Autistic Children Data Set, which contains 3,374 facial images of children divided into Autistic and Non-Autistic categories. The second dataset is a compilation of data from three numerical repositories: (1) Autism Screening Adults, (2) Autistic Spectrum Disorder Screening Data for Adolescents, and (3) Autistic Spectrum Disorder Screening Data for Children. When it comes to image dataset experiments, the most notable results are (1) a TF learning ratio greater than or equal to 50 is recommended, (2) all models recommend data augmentation, and (3) the DenseNet169 model reports the lowest loss value of 0.512. Concerning the numeric dataset, five experiments recommend standardization and the final five attributes are optional in the classification process. The performance metrics demonstrate the worthiness of the proposed feature selection technique using GTO more than counterparts in the literature review.</t>
        </is>
      </c>
      <c r="G116" s="4" t="inlineStr">
        <is>
          <t>El “main” encaja mejor como CNN porque usa transfer learning con DenseNet169 para imágenes faciales; además usa un metaheurístico (GTO) para selección de características y también experimentos con datos de screening (UCI). GTO no aparece en tu lista; por eso debe ir en comentario</t>
        </is>
      </c>
      <c r="H116" s="4" t="str"/>
      <c r="I116" s="4" t="str"/>
      <c r="J116" s="4" t="n"/>
      <c r="K116" s="4" t="inlineStr">
        <is>
          <t>Historical signals: title/abstract/notes; full-text completion not independently established</t>
        </is>
      </c>
      <c r="L116" s="4" t="inlineStr">
        <is>
          <t>Not documented in provided sources</t>
        </is>
      </c>
    </row>
    <row r="117" ht="409" customHeight="1">
      <c r="A117" s="4" t="inlineStr">
        <is>
          <t>125</t>
        </is>
      </c>
      <c r="B117" s="4" t="inlineStr">
        <is>
          <t>Historical</t>
        </is>
      </c>
      <c r="C117" s="4" t="inlineStr">
        <is>
          <t>Diagnosis of Autism Spectrum Disorders in Young Children Based on Resting-State Functional Magnetic Resonance Imaging Data Using Convolutional Neural Networks</t>
        </is>
      </c>
      <c r="D117" s="4" t="inlineStr">
        <is>
          <t>10.1007/s10278-019-00196-1</t>
        </is>
      </c>
      <c r="E117" s="4" t="inlineStr">
        <is>
          <t>https://doi.org/10.1007/s10278-019-00196-1</t>
        </is>
      </c>
      <c r="F117" s="4" t="inlineStr">
        <is>
          <t>Statistics show that the risk of autism spectrum disorder (ASD) is increasing in the world. Early diagnosis is most important factor in treatment of ASD. Thus far, the childhood diagnosis of ASD has been done based on clinical interviews and behavioral observations. There is a significant need to reduce the use of traditional diagnostic techniques and to diagnose this disorder in the right time and before the manifestation of behavioral symptoms. The purpose of this study is to present the intelligent model to diagnose ASD in young children based on resting-state functional magnetic resonance imaging (rs-fMRI) data using convolutional neural networks (CNNs). CNNs, which are by far one of the most powerful deep learning algorithms, are mainly trained using datasets with large numbers of samples. However, obtaining comprehensive datasets such as ImageNet and achieving acceptable results in medical imaging domain have become challenges. In order to overcome these two challenges, the two methods of “combining classifiers,” both dynamic (mixture of experts) and static (simple ‌Bayes) approaches, and “transfer learning” were used in this analysis. In addition, since diagnosis of ASD will be much more effective at an early age, samples ranging in age from 5 to 10 years from global Autism Brain Imaging Data Exchange I and II (ABIDE I and ABIDE II) datasets were used in this research. The accuracy, sensitivity, and specificity of presented model outperform the results of previous studies conducted on ABIDE I dataset (the best results obtained from Adamax optimization technique: accuracy = 0.7273, sensitivity = 0.712, specificity = 0.7348). Furthermore, acceptable classification results were obtained from ABIDE II dataset (the best results obtained from Adamax optimization technique: accuracy = 0.7, sensitivity = 0.582, specificity = 0.804) and the combination of ABIDE I and ABIDE II datasets (the best results obtained from Adam optimization technique: accuracy = 0.7045, sensitivity = 0.679, specificity = 0.7421). We can conclude that the proposed architecture can be considered as an efficient tool for diagnosis of ASD in young children. From another perspective, this proposed method can be applied to analyzing rs-fMRI data related to brain dysfunctions.</t>
        </is>
      </c>
      <c r="G117" s="4" t="inlineStr">
        <is>
          <t>demás de CNN, reporta transfer learning y combinación de clasificadores (mixture of experts / simple Bayes), pero el núcleo es CNN para clasificar ASD vs no-ASD con rs-fMRI (ABIDE).</t>
        </is>
      </c>
      <c r="H117" s="4" t="str"/>
      <c r="I117" s="4" t="str"/>
      <c r="J117" s="4" t="n"/>
      <c r="K117" s="4" t="inlineStr">
        <is>
          <t>Historical signals: title/abstract/notes; full-text completion not independently established</t>
        </is>
      </c>
      <c r="L117" s="4" t="inlineStr">
        <is>
          <t>Not documented in provided sources</t>
        </is>
      </c>
    </row>
    <row r="118" ht="409" customHeight="1">
      <c r="A118" s="4" t="inlineStr">
        <is>
          <t>128</t>
        </is>
      </c>
      <c r="B118" s="4" t="inlineStr">
        <is>
          <t>Historical</t>
        </is>
      </c>
      <c r="C118" s="4" t="inlineStr">
        <is>
          <t>Improvement of attention-deficit/hyperactivity disorder symptoms in school-aged children, adolescents, and young adults with autism via a digital smartglasses-based socioemotional coaching aid: Short-term, uncontrolled pilot study</t>
        </is>
      </c>
      <c r="D118" s="4" t="inlineStr">
        <is>
          <t>10.2196/mental.9631</t>
        </is>
      </c>
      <c r="E118" s="4" t="inlineStr">
        <is>
          <t>https://doi.org/10.2196/mental.9631</t>
        </is>
      </c>
      <c r="F118" s="4" t="inlineStr">
        <is>
          <t>Background: People with autism spectrum disorder (ASD) commonly experience symptoms related to attention-deficit/hyperactivity disorder (ADHD), including hyperactivity, inattention, and impulsivity. One-third of ASD cases may be complicated by the presence of ADHD. Individuals with dual diagnoses face greater barriers to accessing treatment for ADHD and respond less positively to primary pharmacologic interventions. Nonpharmacologic technology-aided tools for hyperactivity and inattention in people with ASD are being developed, although research into their efficacy and safety remains limited. Objective: The objective of this preliminary study was to describe the changes in ADHD-related symptoms in children, adolescents, and young adults with ASD immediately after use of the Empowered Brain system, a behavioral and social communication aid for ASD running on augmented reality smartglasses. Methods: We recruited 8 children, adolescents, and young adults with ASD (male to female ratio of 7:1, mean age 15 years, range 11.7-20.5 years) through a Web-based research signup form. The baseline score on the hyperactivity subscale of the Aberrant Behavioral Checklist (ABC-H), a measure of hyperactivity, inattention, and impulsivity, determined their classification into a high ADHD-related symptom group (n=4, ABC-H=13) and a low ADHD-related symptom group (n=4, ABC-H&lt;13). All participants received an intervention with Empowered Brain, where they used smartglasses-based social communication and behavioral modules while interacting with their caregiver. We then calculated caregiver-reported ABC-H scores at 24 and 48 hours after the session. Results: All 8 participants were able to complete the intervention session. Postintervention ABC-H scores were lower for most participants at 24 hours (n=6, 75%) and for all participants at 48 hours (n=8, 100%). At 24 hours after the session, average participant ABC-H scores decreased by 54.9% in the high ADHD symptom group and by 20% in the low ADHD symptom group. At 48 hours after the session, ABC-H scores compared with baseline decreased by 56.4% in the high ADHD symptom group and by 66.3% in the low ADHD symptom group. Conclusions: This study provides initial evidence for the possible potential of the Empowered Brain system to reduce ADHD-related symptoms, such as hyperactivity, inattention, and impulsivity, in school-aged children, adolescents, and young adults with ASD. This digital smartglasses intervention can potentially be targeted at a broader array of mental health conditions that exhibit transdiagnostic attentional and social communication deficits, including schizophrenia and bipolar disorder. Further research is required to understand the clinical importance of these observed changes and to conduct longitudinal studies on this intervention with control groups and larger sample sizes.</t>
        </is>
      </c>
      <c r="G118" s="4" t="str"/>
      <c r="H118" s="4" t="str"/>
      <c r="I118" s="4" t="str"/>
      <c r="J118" s="4" t="n"/>
      <c r="K118" s="4" t="inlineStr">
        <is>
          <t>Historical signals: title/abstract/notes; full-text completion not independently established</t>
        </is>
      </c>
      <c r="L118" s="4" t="inlineStr">
        <is>
          <t>Not documented in provided sources</t>
        </is>
      </c>
    </row>
    <row r="119" ht="385" customHeight="1">
      <c r="A119" s="4" t="inlineStr">
        <is>
          <t>129</t>
        </is>
      </c>
      <c r="B119" s="4" t="inlineStr">
        <is>
          <t>Historical</t>
        </is>
      </c>
      <c r="C119" s="4" t="inlineStr">
        <is>
          <t>Investigating Diagnostic Data and Performance Implications in the Autism AI Dataset</t>
        </is>
      </c>
      <c r="D119" s="4" t="inlineStr">
        <is>
          <t>10.1007/978-981-96-6960-8_26</t>
        </is>
      </c>
      <c r="E119" s="4" t="inlineStr">
        <is>
          <t>https://doi.org/10.1007/978-981-96-6960-8_26</t>
        </is>
      </c>
      <c r="F119" s="4"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G119" s="4" t="str"/>
      <c r="H119" s="4" t="str"/>
      <c r="I119" s="4" t="str"/>
      <c r="J119" s="4" t="n"/>
      <c r="K119" s="4" t="inlineStr">
        <is>
          <t>Historical signals: title/abstract/notes; full-text completion not independently established</t>
        </is>
      </c>
      <c r="L119" s="4" t="inlineStr">
        <is>
          <t>Not documented in provided sources</t>
        </is>
      </c>
    </row>
    <row r="120" ht="307" customHeight="1">
      <c r="A120" s="4" t="inlineStr">
        <is>
          <t>130</t>
        </is>
      </c>
      <c r="B120" s="4" t="inlineStr">
        <is>
          <t>Historical</t>
        </is>
      </c>
      <c r="C120" s="4" t="inlineStr">
        <is>
          <t>Large-scale examination of early-age sex differences in neurotypical toddlers and those with autism spectrum disorder or other developmental conditions</t>
        </is>
      </c>
      <c r="D120" s="4" t="inlineStr">
        <is>
          <t>10.1038/s41562-025-02132-6</t>
        </is>
      </c>
      <c r="E120" s="4" t="inlineStr">
        <is>
          <t>https://doi.org/10.1038/s41562-025-02132-6</t>
        </is>
      </c>
      <c r="F120" s="4" t="inlineStr">
        <is>
          <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t>
        </is>
      </c>
      <c r="G120" s="4" t="inlineStr">
        <is>
          <t>Examen de diferencias por sexo/edad; no queda claro el algoritmo o la tarea principal de IA.</t>
        </is>
      </c>
      <c r="H120" s="4" t="str"/>
      <c r="I120" s="4" t="str"/>
      <c r="J120" s="4" t="n"/>
      <c r="K120" s="4" t="inlineStr">
        <is>
          <t>Historical signals: title/abstract/notes; full-text completion not independently established</t>
        </is>
      </c>
      <c r="L120" s="4" t="inlineStr">
        <is>
          <t>Not documented in provided sources</t>
        </is>
      </c>
    </row>
    <row r="121" ht="409" customHeight="1">
      <c r="A121" s="4" t="inlineStr">
        <is>
          <t>131</t>
        </is>
      </c>
      <c r="B121" s="4" t="inlineStr">
        <is>
          <t>Historical</t>
        </is>
      </c>
      <c r="C121" s="4" t="inlineStr">
        <is>
          <t>Online concerns of parents suspecting autism spectrum disorder in their child: Content analysis of signs and automated prediction of risk</t>
        </is>
      </c>
      <c r="D121" s="4" t="inlineStr">
        <is>
          <t>10.2196/jmir.5439</t>
        </is>
      </c>
      <c r="E121" s="4" t="inlineStr">
        <is>
          <t>https://doi.org/10.2196/jmir.5439</t>
        </is>
      </c>
      <c r="F121" s="4" t="inlineStr">
        <is>
          <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t>
        </is>
      </c>
      <c r="G121" s="4" t="str"/>
      <c r="H121" s="4" t="str"/>
      <c r="I121" s="4" t="str"/>
      <c r="J121" s="4" t="n"/>
      <c r="K121" s="4" t="inlineStr">
        <is>
          <t>Historical signals: title/abstract/notes; full-text completion not independently established</t>
        </is>
      </c>
      <c r="L121" s="4" t="inlineStr">
        <is>
          <t>Not documented in provided sources</t>
        </is>
      </c>
    </row>
    <row r="122" ht="359" customHeight="1">
      <c r="A122" s="4" t="inlineStr">
        <is>
          <t>132</t>
        </is>
      </c>
      <c r="B122" s="4" t="inlineStr">
        <is>
          <t>Historical</t>
        </is>
      </c>
      <c r="C122" s="4" t="inlineStr">
        <is>
          <t>Use of machine learning to improve autism screening and diagnostic instruments: Effectiveness, efficiency, and multi‐instrument fusion</t>
        </is>
      </c>
      <c r="D122" s="4" t="inlineStr">
        <is>
          <t>10.1111/jcpp.12559</t>
        </is>
      </c>
      <c r="E122" s="4" t="inlineStr">
        <is>
          <t>https://doi.org/10.1111/jcpp.12559</t>
        </is>
      </c>
      <c r="F122" s="4" t="inlineStr">
        <is>
          <t>Background: Machine learning (ML) provides novel opportunities for human behavior research and clinical translation, yet its application can have noted pitfalls (Bone et al., 2015). In this work, we fastidiously utilize ML to derive autism spectrum disorder (ASD) instrument algorithms in an attempt to improve upon widely used ASD screening and diagnostic tools. Methods: The data consisted of Autism Diagnostic Interview-Revised (ADI-R) and Social Responsiveness Scale (SRS) scores for 1,264 verbal individuals with ASD and 462 verbal individuals with non-ASD developmental or psychiatric disorders, split at age 10. Algorithms were created via a robust ML classifier, support vector machine, while targeting best-estimate clinical diagnosis of ASD versus non-ASD. Parameter settings were tuned in multiple levels of cross-validation. Results: The created algorithms were more effective (higher performing) than the current algorithms, were tunable (sensitivity and specificity can be differentially weighted), and were more efficient (achieving near-peak performance with five or fewer codes). Results from ML-based fusion of ADI-R and SRS are reported. We present a screener algorithm for below (above) age 10 that reached 89.2% (86.7%) sensitivity and 59.0% (53.4%) specificity with only five behavioral codes. Conclusions: ML is useful for creating robust, customizable instrument algorithms. In a unique dataset comprised of controls with other difficulties, our findings highlight the limitations of current caregiver-report instruments and indicate possible avenues for improving ASD screening and diagnostic tools.</t>
        </is>
      </c>
      <c r="G122" s="4" t="str"/>
      <c r="H122" s="4" t="str"/>
      <c r="I122" s="4" t="str"/>
      <c r="J122" s="4" t="n"/>
      <c r="K122" s="4" t="inlineStr">
        <is>
          <t>Historical signals: title/abstract/notes; full-text completion not independently established</t>
        </is>
      </c>
      <c r="L122" s="4" t="inlineStr">
        <is>
          <t>Not documented in provided sources</t>
        </is>
      </c>
    </row>
    <row r="123" ht="333" customHeight="1">
      <c r="A123" s="4" t="inlineStr">
        <is>
          <t>133</t>
        </is>
      </c>
      <c r="B123" s="4" t="inlineStr">
        <is>
          <t>Historical</t>
        </is>
      </c>
      <c r="C123" s="4" t="inlineStr">
        <is>
          <t>A data driven machine learning approach to differentiate between autism spectrum disorder and attention-deficit/hyperactivity disorder based on the best-practice diagnostic instruments for autism</t>
        </is>
      </c>
      <c r="D123" s="4" t="inlineStr">
        <is>
          <t>10.1038/s41598-022-21719-x</t>
        </is>
      </c>
      <c r="E123" s="4" t="inlineStr">
        <is>
          <t>https://doi.org/10.1038/s41598-022-21719-x</t>
        </is>
      </c>
      <c r="F123" s="4" t="inlineStr">
        <is>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is>
      </c>
      <c r="G123" s="4" t="str"/>
      <c r="H123" s="4" t="str"/>
      <c r="I123" s="4" t="str"/>
      <c r="J123" s="4" t="n"/>
      <c r="K123" s="4" t="inlineStr">
        <is>
          <t>Historical signals: title/abstract/notes; full-text completion not independently established</t>
        </is>
      </c>
      <c r="L123" s="4" t="inlineStr">
        <is>
          <t>Not documented in provided sources</t>
        </is>
      </c>
    </row>
    <row r="124" ht="242" customHeight="1">
      <c r="A124" s="4" t="inlineStr">
        <is>
          <t>134</t>
        </is>
      </c>
      <c r="B124" s="4" t="inlineStr">
        <is>
          <t>Historical</t>
        </is>
      </c>
      <c r="C124" s="4" t="inlineStr">
        <is>
          <t>A deep learning predictive classifier for autism screening and diagnosis</t>
        </is>
      </c>
      <c r="D124" s="4" t="inlineStr">
        <is>
          <t>10.1016/b978-0-12-822822-7.00011-9</t>
        </is>
      </c>
      <c r="E124" s="4" t="inlineStr">
        <is>
          <t>https://doi.org/10.1016/b978-0-12-822822-7.00011-9</t>
        </is>
      </c>
      <c r="F124" s="4" t="inlineStr">
        <is>
          <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t>
        </is>
      </c>
      <c r="G124" s="4" t="inlineStr">
        <is>
          <t>Algoritmo principal no explícito o fuera del codebook; Confirmar algoritmo principal en full-text; Se comparan varios modelos; se eligió el principal/mejor reportado</t>
        </is>
      </c>
      <c r="H124" s="4" t="str"/>
      <c r="I124" s="4" t="str"/>
      <c r="J124" s="4" t="n"/>
      <c r="K124" s="4" t="inlineStr">
        <is>
          <t>Historical signals: title/abstract/notes; full-text completion not independently established</t>
        </is>
      </c>
      <c r="L124" s="4" t="inlineStr">
        <is>
          <t>Not documented in provided sources</t>
        </is>
      </c>
    </row>
    <row r="125" ht="281" customHeight="1">
      <c r="A125" s="4" t="inlineStr">
        <is>
          <t>135</t>
        </is>
      </c>
      <c r="B125" s="4" t="inlineStr">
        <is>
          <t>Historical</t>
        </is>
      </c>
      <c r="C125" s="4" t="inlineStr">
        <is>
          <t>A Deep Neural Network-Based Model for Screening Autism Spectrum Disorder Using the Quantitative Checklist for Autism in Toddlers (QCHAT)</t>
        </is>
      </c>
      <c r="D125" s="4" t="inlineStr">
        <is>
          <t>10.1007/s10803-021-05141-2</t>
        </is>
      </c>
      <c r="E125" s="4" t="inlineStr">
        <is>
          <t>https://doi.org/10.1007/s10803-021-05141-2</t>
        </is>
      </c>
      <c r="F125" s="4" t="inlineStr">
        <is>
          <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t>
        </is>
      </c>
      <c r="G125" s="4" t="inlineStr">
        <is>
          <t>Algoritmo principal no explícito o fuera del codebook; Confirmar algoritmo principal en full-text</t>
        </is>
      </c>
      <c r="H125" s="4" t="str"/>
      <c r="I125" s="4" t="str"/>
      <c r="J125" s="4" t="n"/>
      <c r="K125" s="4" t="inlineStr">
        <is>
          <t>Historical signals: title/abstract/notes; full-text completion not independently established</t>
        </is>
      </c>
      <c r="L125" s="4" t="inlineStr">
        <is>
          <t>Not documented in provided sources</t>
        </is>
      </c>
    </row>
    <row r="126" ht="346" customHeight="1">
      <c r="A126" s="4" t="inlineStr">
        <is>
          <t>136</t>
        </is>
      </c>
      <c r="B126" s="4" t="inlineStr">
        <is>
          <t>Historical</t>
        </is>
      </c>
      <c r="C126" s="4" t="inlineStr">
        <is>
          <t>A semi-supervised autoencoder for autism disease diagnosis</t>
        </is>
      </c>
      <c r="D126" s="4" t="inlineStr">
        <is>
          <t>10.1016/j.neucom.2022.02.017</t>
        </is>
      </c>
      <c r="E126" s="4" t="inlineStr">
        <is>
          <t>https://doi.org/10.1016/j.neucom.2022.02.017</t>
        </is>
      </c>
      <c r="F126" s="4" t="inlineStr">
        <is>
          <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t>
        </is>
      </c>
      <c r="G126" s="4" t="str"/>
      <c r="H126" s="4" t="str"/>
      <c r="I126" s="4" t="str"/>
      <c r="J126" s="4" t="n"/>
      <c r="K126" s="4" t="inlineStr">
        <is>
          <t>Historical signals: title/abstract/notes; full-text completion not independently established</t>
        </is>
      </c>
      <c r="L126" s="4" t="inlineStr">
        <is>
          <t>Not documented in provided sources</t>
        </is>
      </c>
    </row>
    <row r="127" ht="216" customHeight="1">
      <c r="A127" s="4" t="inlineStr">
        <is>
          <t>137</t>
        </is>
      </c>
      <c r="B127" s="4" t="inlineStr">
        <is>
          <t>Historical</t>
        </is>
      </c>
      <c r="C127" s="4" t="inlineStr">
        <is>
          <t>Applying machine learning on home videos for remote autism diagnosis: Further study and analysis</t>
        </is>
      </c>
      <c r="D127" s="4" t="inlineStr">
        <is>
          <t>10.1177/1460458221991882</t>
        </is>
      </c>
      <c r="E127" s="4" t="inlineStr">
        <is>
          <t>https://doi.org/10.1177/1460458221991882</t>
        </is>
      </c>
      <c r="F127" s="4" t="inlineStr">
        <is>
          <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t>
        </is>
      </c>
      <c r="G127" s="4" t="inlineStr">
        <is>
          <t>Algoritmo principal no explícito o fuera del codebook; Confirmar algoritmo principal en full-text</t>
        </is>
      </c>
      <c r="H127" s="4" t="str"/>
      <c r="I127" s="4" t="str"/>
      <c r="J127" s="4" t="n"/>
      <c r="K127" s="4" t="inlineStr">
        <is>
          <t>Historical signals: title/abstract/notes; full-text completion not independently established</t>
        </is>
      </c>
      <c r="L127" s="4" t="inlineStr">
        <is>
          <t>Not documented in provided sources</t>
        </is>
      </c>
    </row>
    <row r="128" ht="320" customHeight="1">
      <c r="A128" s="4" t="inlineStr">
        <is>
          <t>138</t>
        </is>
      </c>
      <c r="B128" s="4" t="inlineStr">
        <is>
          <t>Historical</t>
        </is>
      </c>
      <c r="C128" s="4" t="inlineStr">
        <is>
          <t>ASD-SWNet: a novel shared-weight feature extraction and classification network for autism spectrum disorder diagnosis</t>
        </is>
      </c>
      <c r="D128" s="4" t="inlineStr">
        <is>
          <t>10.1038/s41598-024-64299-8</t>
        </is>
      </c>
      <c r="E128" s="4" t="inlineStr">
        <is>
          <t>https://doi.org/10.1038/s41598-024-64299-8</t>
        </is>
      </c>
      <c r="F128" s="4" t="inlineStr">
        <is>
          <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t>
        </is>
      </c>
      <c r="G128" s="4" t="str"/>
      <c r="H128" s="4" t="str"/>
      <c r="I128" s="4" t="str"/>
      <c r="J128" s="4" t="n"/>
      <c r="K128" s="4" t="inlineStr">
        <is>
          <t>Historical signals: title/abstract/notes; full-text completion not independently established</t>
        </is>
      </c>
      <c r="L128" s="4" t="inlineStr">
        <is>
          <t>Not documented in provided sources</t>
        </is>
      </c>
    </row>
    <row r="129" ht="385" customHeight="1">
      <c r="A129" s="4" t="inlineStr">
        <is>
          <t>140</t>
        </is>
      </c>
      <c r="B129" s="4" t="inlineStr">
        <is>
          <t>Historical</t>
        </is>
      </c>
      <c r="C129" s="4" t="inlineStr">
        <is>
          <t>Autism spectrum disorder diagnosis based on deep unrolling-based spatial constraint representation.</t>
        </is>
      </c>
      <c r="D129" s="4" t="inlineStr">
        <is>
          <t>10.1007/s11517-023-02859-2</t>
        </is>
      </c>
      <c r="E129" s="4" t="inlineStr">
        <is>
          <t>https://doi.org/10.1007/s11517-023-02859-2</t>
        </is>
      </c>
      <c r="F129" s="4" t="inlineStr">
        <is>
          <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t>
        </is>
      </c>
      <c r="G129" s="4" t="str"/>
      <c r="H129" s="4" t="str"/>
      <c r="I129" s="4" t="str"/>
      <c r="J129" s="4" t="n"/>
      <c r="K129" s="4" t="inlineStr">
        <is>
          <t>Historical signals: title/abstract/notes; full-text completion not independently established</t>
        </is>
      </c>
      <c r="L129" s="4" t="inlineStr">
        <is>
          <t>Not documented in provided sources</t>
        </is>
      </c>
    </row>
    <row r="130" ht="333" customHeight="1">
      <c r="A130" s="4" t="inlineStr">
        <is>
          <t>141</t>
        </is>
      </c>
      <c r="B130" s="4" t="inlineStr">
        <is>
          <t>Historical</t>
        </is>
      </c>
      <c r="C130" s="4" t="inlineStr">
        <is>
          <t>Automatic Cry Analysis: Deep Learning for Screening of Autism Spectrum Disorder in Early Childhood</t>
        </is>
      </c>
      <c r="D130" s="4" t="inlineStr">
        <is>
          <t>10.1007/s10803-025-06811-1</t>
        </is>
      </c>
      <c r="E130" s="4" t="inlineStr">
        <is>
          <t>https://doi.org/10.1007/s10803-025-06811-1</t>
        </is>
      </c>
      <c r="F130" s="4" t="inlineStr">
        <is>
          <t>Purpose: The objective of this study is to identify the acoustic characteristics of cries of Typically Developing (TD) and Autism Spectrum Disorder (ASD) children via Deep Learning (DL) techniques to support clinicians in the early detection of ASD._x000D_
_x000D_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children._x000D_
_x000D_
Results: We found a statistical significant increase in jitter and shimmer for ASD cries compared to TD, as well as a decrease in HNR for ASD cries. Additionally, the DL algorithm achieved an accuracy of 90.28% in differentiating ASD cries from TD._x000D_
_x000D_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G130" s="4" t="str"/>
      <c r="H130" s="4" t="str"/>
      <c r="I130" s="4" t="str"/>
      <c r="J130" s="4" t="n"/>
      <c r="K130" s="4" t="inlineStr">
        <is>
          <t>Historical signals: title/abstract/notes; full-text completion not independently established</t>
        </is>
      </c>
      <c r="L130" s="4" t="inlineStr">
        <is>
          <t>Not documented in provided sources</t>
        </is>
      </c>
    </row>
    <row r="131" ht="333" customHeight="1">
      <c r="A131" s="4" t="inlineStr">
        <is>
          <t>142</t>
        </is>
      </c>
      <c r="B131" s="4" t="inlineStr">
        <is>
          <t>Historical</t>
        </is>
      </c>
      <c r="C131" s="4" t="inlineStr">
        <is>
          <t>AV-FOS: Transformer-Based Audio-Visual Multimodal Interaction Style Recognition for Children With Autism Using the Revised Family Observation Schedule 3rd Edition (FOS-R-III)</t>
        </is>
      </c>
      <c r="D131" s="4" t="inlineStr">
        <is>
          <t>10.1109/jbhi.2025.3542066</t>
        </is>
      </c>
      <c r="E131" s="4" t="inlineStr">
        <is>
          <t>https://doi.org/10.1109/jbhi.2025.3542066</t>
        </is>
      </c>
      <c r="F131" s="4"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G131" s="4" t="inlineStr">
        <is>
          <t>Reconocimiento de estilo de interacción audio-visual en FOS-R-III; etapa clínica exacta requiere confirmación.</t>
        </is>
      </c>
      <c r="H131" s="4" t="str"/>
      <c r="I131" s="4" t="str"/>
      <c r="J131" s="4" t="n"/>
      <c r="K131" s="4" t="inlineStr">
        <is>
          <t>Historical signals: title/abstract/notes; full-text completion not independently established</t>
        </is>
      </c>
      <c r="L131" s="4" t="inlineStr">
        <is>
          <t>Not documented in provided sources</t>
        </is>
      </c>
    </row>
    <row r="132" ht="409" customHeight="1">
      <c r="A132" s="4" t="inlineStr">
        <is>
          <t>143</t>
        </is>
      </c>
      <c r="B132" s="4" t="inlineStr">
        <is>
          <t>Historical</t>
        </is>
      </c>
      <c r="C132" s="4" t="inlineStr">
        <is>
          <t>Biomarker prediction in autism spectrum disorder using a network-based approach</t>
        </is>
      </c>
      <c r="D132" s="4" t="inlineStr">
        <is>
          <t>10.1186/s12920-023-01439-5</t>
        </is>
      </c>
      <c r="E132" s="4" t="inlineStr">
        <is>
          <t>https://doi.org/10.1186/s12920-023-01439-5</t>
        </is>
      </c>
      <c r="F132" s="4" t="inlineStr">
        <is>
          <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t>
        </is>
      </c>
      <c r="G132" s="4" t="inlineStr">
        <is>
          <t>Algoritmo principal no explícito o fuera del codebook; Confirmar algoritmo principal en full-text</t>
        </is>
      </c>
      <c r="H132" s="4" t="str"/>
      <c r="I132" s="4" t="str"/>
      <c r="J132" s="4" t="n"/>
      <c r="K132" s="4" t="inlineStr">
        <is>
          <t>Historical signals: title/abstract/notes; full-text completion not independently established</t>
        </is>
      </c>
      <c r="L132" s="4" t="inlineStr">
        <is>
          <t>Not documented in provided sources</t>
        </is>
      </c>
    </row>
    <row r="133" ht="294" customHeight="1">
      <c r="A133" s="4" t="inlineStr">
        <is>
          <t>144</t>
        </is>
      </c>
      <c r="B133" s="4" t="inlineStr">
        <is>
          <t>Historical</t>
        </is>
      </c>
      <c r="C133" s="4" t="inlineStr">
        <is>
          <t>Classifying autism in a clinical population based on motion synchrony: a proof-of-concept study using real-life diagnostic interviews</t>
        </is>
      </c>
      <c r="D133" s="4" t="inlineStr">
        <is>
          <t>10.1038/s41598-024-56098-y</t>
        </is>
      </c>
      <c r="E133" s="4" t="inlineStr">
        <is>
          <t>https://doi.org/10.1038/s41598-024-56098-y</t>
        </is>
      </c>
      <c r="F133" s="4" t="inlineStr">
        <is>
          <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t>
        </is>
      </c>
      <c r="G133" s="4" t="str"/>
      <c r="H133" s="4" t="str"/>
      <c r="I133" s="4" t="str"/>
      <c r="J133" s="4" t="n"/>
      <c r="K133" s="4" t="inlineStr">
        <is>
          <t>Historical signals: title/abstract/notes; full-text completion not independently established</t>
        </is>
      </c>
      <c r="L133" s="4" t="inlineStr">
        <is>
          <t>Not documented in provided sources</t>
        </is>
      </c>
    </row>
    <row r="134" ht="190" customHeight="1">
      <c r="A134" s="4" t="inlineStr">
        <is>
          <t>145</t>
        </is>
      </c>
      <c r="B134" s="4" t="inlineStr">
        <is>
          <t>Historical</t>
        </is>
      </c>
      <c r="C134" s="4" t="inlineStr">
        <is>
          <t>Clinical Evaluation of a Novel and Mobile Autism Risk Assessment</t>
        </is>
      </c>
      <c r="D134" s="4" t="inlineStr">
        <is>
          <t>10.1007/s10803-016-2718-4</t>
        </is>
      </c>
      <c r="E134" s="4" t="inlineStr">
        <is>
          <t>https://doi.org/10.1007/s10803-016-2718-4</t>
        </is>
      </c>
      <c r="F134" s="4" t="inlineStr">
        <is>
          <t>The Mobile Autism Risk Assessment (MARA) is a new, electronically administered, 7-question autism spectrum disorder (ASD) screen to triage those at highest risk for ASD. Children 16 months–17 years (N = 222) were screened during their first visit in a developmental-behavioral pediatric clinic. MARA scores were compared to diagnosis from the clinical encounter. Participant median age was 5.8 years, 76.1 % were male, and most participants had an intelligence/developmental quotient score &gt;85; 69 of the participants (31 %) received a clinical diagnosis of ASD. The sensitivity of the MARA in detecting ASD was 89.9 % [95 % CI = 82.7–97]; the specificity was 79.7 % [95 % CI = 73.4–86.1]. In a high-risk clinical setting, the MARA shows promise as a screen to distinguish ASD from other developmental/behavioral disorders.</t>
        </is>
      </c>
      <c r="G134" s="4" t="inlineStr">
        <is>
          <t>Alternating Decision Tree (ADTree)” es una variante de árbol de decisión; por eso cae naturalmente en Decision Tree</t>
        </is>
      </c>
      <c r="H134" s="4" t="str"/>
      <c r="I134" s="4" t="str"/>
      <c r="J134" s="4" t="n"/>
      <c r="K134" s="4" t="inlineStr">
        <is>
          <t>Historical signals: title/abstract/notes; full-text completion not independently established</t>
        </is>
      </c>
      <c r="L134" s="4" t="inlineStr">
        <is>
          <t>Not documented in provided sources</t>
        </is>
      </c>
    </row>
    <row r="135" ht="385" customHeight="1">
      <c r="A135" s="4" t="inlineStr">
        <is>
          <t>146</t>
        </is>
      </c>
      <c r="B135" s="4" t="inlineStr">
        <is>
          <t>Historical</t>
        </is>
      </c>
      <c r="C135" s="4" t="inlineStr">
        <is>
          <t>Comparison of classification algorithms for predicting autistic spectrum disorder using WEKA modeler</t>
        </is>
      </c>
      <c r="D135" s="4" t="inlineStr">
        <is>
          <t>10.1186/s12911-022-02050-x</t>
        </is>
      </c>
      <c r="E135" s="4" t="inlineStr">
        <is>
          <t>https://doi.org/10.1186/s12911-022-02050-x</t>
        </is>
      </c>
      <c r="F135" s="4" t="inlineStr">
        <is>
          <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t>
        </is>
      </c>
      <c r="G135" s="4" t="inlineStr">
        <is>
          <t>Se comparan varios modelos; se eligió el principal/mejor reportado</t>
        </is>
      </c>
      <c r="H135" s="4" t="str"/>
      <c r="I135" s="4" t="str"/>
      <c r="J135" s="4" t="n"/>
      <c r="K135" s="4" t="inlineStr">
        <is>
          <t>Historical signals: title/abstract/notes; full-text completion not independently established</t>
        </is>
      </c>
      <c r="L135" s="4" t="inlineStr">
        <is>
          <t>Not documented in provided sources</t>
        </is>
      </c>
    </row>
    <row r="136" ht="281" customHeight="1">
      <c r="A136" s="4" t="inlineStr">
        <is>
          <t>147</t>
        </is>
      </c>
      <c r="B136" s="4" t="inlineStr">
        <is>
          <t>Historical</t>
        </is>
      </c>
      <c r="C136" s="4" t="inlineStr">
        <is>
          <t>DALNN: Dual Attention Learning Neural Network for Diagnosis of Autism Spectrum Disorders and Exploration of Lesion Brain Regions</t>
        </is>
      </c>
      <c r="D136" s="4" t="inlineStr">
        <is>
          <t>10.1109/tcss.2025.3593119</t>
        </is>
      </c>
      <c r="E136" s="4" t="inlineStr">
        <is>
          <t>https://doi.org/10.1109/tcss.2025.3593119</t>
        </is>
      </c>
      <c r="F136" s="4" t="inlineStr">
        <is>
          <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t>
        </is>
      </c>
      <c r="G136" s="4" t="inlineStr">
        <is>
          <t>Algoritmo principal no explícito o fuera del codebook; Confirmar algoritmo principal en full-text</t>
        </is>
      </c>
      <c r="H136" s="4" t="str"/>
      <c r="I136" s="4" t="str"/>
      <c r="J136" s="4" t="n"/>
      <c r="K136" s="4" t="inlineStr">
        <is>
          <t>Historical signals: title/abstract/notes; full-text completion not independently established</t>
        </is>
      </c>
      <c r="L136" s="4" t="inlineStr">
        <is>
          <t>Not documented in provided sources</t>
        </is>
      </c>
    </row>
    <row r="137" ht="385" customHeight="1">
      <c r="A137" s="4" t="inlineStr">
        <is>
          <t>148</t>
        </is>
      </c>
      <c r="B137" s="4" t="inlineStr">
        <is>
          <t>Historical</t>
        </is>
      </c>
      <c r="C137" s="4" t="inlineStr">
        <is>
          <t>Detecting Autism Spectrum Disorder and Attention Deficit Hyperactivity Disorder Using Multimodal Time-Frequency Analysis with Machine Learning Using the Electroretinogram from Two Flash Strengths</t>
        </is>
      </c>
      <c r="D137" s="4" t="inlineStr">
        <is>
          <t>10.1007/s10803-024-06290-w</t>
        </is>
      </c>
      <c r="E137" s="4" t="inlineStr">
        <is>
          <t>https://doi.org/10.1007/s10803-024-06290-w</t>
        </is>
      </c>
      <c r="F137" s="4" t="inlineStr">
        <is>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t>
        </is>
      </c>
      <c r="G137" s="4" t="str"/>
      <c r="H137" s="4" t="str"/>
      <c r="I137" s="4" t="str"/>
      <c r="J137" s="4" t="n"/>
      <c r="K137" s="4" t="inlineStr">
        <is>
          <t>Historical signals: title/abstract/notes; full-text completion not independently established</t>
        </is>
      </c>
      <c r="L137" s="4" t="inlineStr">
        <is>
          <t>Not documented in provided sources</t>
        </is>
      </c>
    </row>
    <row r="138" ht="409" customHeight="1">
      <c r="A138" s="4" t="inlineStr">
        <is>
          <t>149</t>
        </is>
      </c>
      <c r="B138" s="4" t="inlineStr">
        <is>
          <t>Historical</t>
        </is>
      </c>
      <c r="C138" s="4" t="inlineStr">
        <is>
          <t>Diagnostic classification for human autism and obsessive-compulsive disorder based on machine learning from a primate genetic model</t>
        </is>
      </c>
      <c r="D138" s="4" t="inlineStr">
        <is>
          <t>10.1176/appi.ajp.2020.19101091</t>
        </is>
      </c>
      <c r="E138" s="4" t="inlineStr">
        <is>
          <t>https://doi.org/10.1176/appi.ajp.2020.19101091</t>
        </is>
      </c>
      <c r="F138" s="4" t="inlineStr">
        <is>
          <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t>
        </is>
      </c>
      <c r="G138" s="4" t="inlineStr">
        <is>
          <t>Clasificación diagnóstica basada en modelo genético de primates; confirmar fuente biológica exacta.</t>
        </is>
      </c>
      <c r="H138" s="4" t="str"/>
      <c r="I138" s="4" t="str"/>
      <c r="J138" s="4" t="n"/>
      <c r="K138" s="4" t="inlineStr">
        <is>
          <t>Historical signals: title/abstract/notes; full-text completion not independently established</t>
        </is>
      </c>
      <c r="L138" s="4" t="inlineStr">
        <is>
          <t>Not documented in provided sources</t>
        </is>
      </c>
    </row>
    <row r="139" ht="398" customHeight="1">
      <c r="A139" s="4" t="inlineStr">
        <is>
          <t>150</t>
        </is>
      </c>
      <c r="B139" s="4" t="inlineStr">
        <is>
          <t>Historical</t>
        </is>
      </c>
      <c r="C139" s="4" t="inlineStr">
        <is>
          <t>Diagnostic shifts in autism spectrum disorder can be linked to the fuzzy nature of the diagnostic boundary: a data-driven approach</t>
        </is>
      </c>
      <c r="D139" s="4" t="inlineStr">
        <is>
          <t>10.1111/jcpp.13406</t>
        </is>
      </c>
      <c r="E139" s="4" t="inlineStr">
        <is>
          <t>https://doi.org/10.1111/jcpp.13406</t>
        </is>
      </c>
      <c r="F139" s="4" t="inlineStr">
        <is>
          <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t>
        </is>
      </c>
      <c r="G139" s="4" t="inlineStr">
        <is>
          <t>Algoritmo principal no explícito o fuera del codebook; Confirmar algoritmo principal en full-text; Se comparan varios modelos; se eligió el principal/mejor reportado</t>
        </is>
      </c>
      <c r="H139" s="4" t="str"/>
      <c r="I139" s="4" t="str"/>
      <c r="J139" s="4" t="n"/>
      <c r="K139" s="4" t="inlineStr">
        <is>
          <t>Historical signals: title/abstract/notes; full-text completion not independently established</t>
        </is>
      </c>
      <c r="L139" s="4" t="inlineStr">
        <is>
          <t>Not documented in provided sources</t>
        </is>
      </c>
    </row>
    <row r="140" ht="281" customHeight="1">
      <c r="A140" s="4" t="inlineStr">
        <is>
          <t>151</t>
        </is>
      </c>
      <c r="B140" s="4" t="inlineStr">
        <is>
          <t>Historical</t>
        </is>
      </c>
      <c r="C140" s="4" t="inlineStr">
        <is>
          <t>Early identification of autism spectrum disorder by multi-instrument fusion: A clinically applicable machine learning approach</t>
        </is>
      </c>
      <c r="D140" s="4" t="inlineStr">
        <is>
          <t>10.1016/j.psychres.2023.115050</t>
        </is>
      </c>
      <c r="E140" s="4" t="inlineStr">
        <is>
          <t>https://doi.org/10.1016/j.psychres.2023.115050</t>
        </is>
      </c>
      <c r="F140" s="4" t="inlineStr">
        <is>
          <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t>
        </is>
      </c>
      <c r="G140" s="4" t="inlineStr">
        <is>
          <t>Fusión multi-instrumento para identificación temprana; enfoque clínicamente aplicable de cribado.</t>
        </is>
      </c>
      <c r="H140" s="4" t="str"/>
      <c r="I140" s="4" t="str"/>
      <c r="J140" s="4" t="n"/>
      <c r="K140" s="4" t="inlineStr">
        <is>
          <t>Historical signals: title/abstract/notes; full-text completion not independently established</t>
        </is>
      </c>
      <c r="L140" s="4" t="inlineStr">
        <is>
          <t>Not documented in provided sources</t>
        </is>
      </c>
    </row>
    <row r="141" ht="409" customHeight="1">
      <c r="A141" s="4" t="inlineStr">
        <is>
          <t>152</t>
        </is>
      </c>
      <c r="B141" s="4" t="inlineStr">
        <is>
          <t>Historical</t>
        </is>
      </c>
      <c r="C141" s="4" t="inlineStr">
        <is>
          <t>Early screening of autism spectrum disorder diagnoses of children using artificial intelligence</t>
        </is>
      </c>
      <c r="D141" s="4" t="inlineStr">
        <is>
          <t>10.57197/jdr-2023-0004</t>
        </is>
      </c>
      <c r="E141" s="4" t="inlineStr">
        <is>
          <t>https://doi.org/10.57197/jdr-2023-0004</t>
        </is>
      </c>
      <c r="F141" s="4" t="inlineStr">
        <is>
          <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t>
        </is>
      </c>
      <c r="G141" s="4" t="str"/>
      <c r="H141" s="4" t="str"/>
      <c r="I141" s="4" t="str"/>
      <c r="J141" s="4" t="n"/>
      <c r="K141" s="4" t="inlineStr">
        <is>
          <t>Historical signals: title/abstract/notes; full-text completion not independently established</t>
        </is>
      </c>
      <c r="L141" s="4" t="inlineStr">
        <is>
          <t>Not documented in provided sources</t>
        </is>
      </c>
    </row>
    <row r="142" ht="255" customHeight="1">
      <c r="A142" s="4" t="inlineStr">
        <is>
          <t>153</t>
        </is>
      </c>
      <c r="B142" s="4" t="inlineStr">
        <is>
          <t>Historical</t>
        </is>
      </c>
      <c r="C142" s="4" t="inlineStr">
        <is>
          <t>Enhanced Special Needs Assessment: A Multimodal Approach for Autism Prediction</t>
        </is>
      </c>
      <c r="D142" s="4" t="inlineStr">
        <is>
          <t>10.1109/access.2024.3453440</t>
        </is>
      </c>
      <c r="E142" s="4" t="inlineStr">
        <is>
          <t>https://doi.org/10.1109/access.2024.3453440</t>
        </is>
      </c>
      <c r="F142" s="4" t="inlineStr">
        <is>
          <t>Autism spectrum disorder (ASD) poses significant challenges in early detection, necessitating innovative approaches for accurate identification. In this study, we propose a novel method utilizing machine learning models trained on a diverse dataset comprising facial images and behavioral ADOS scores. Employing cutting-edge convolutional neural network (CNN) architectures such as MobileNetV2, ResNet50, and InceptionV3, alongside a bespoke CNN model tailored for ASD detection, we explore the efficacy of our approach. Additionally, we introduce a multimodal concatenation model that integrates image features with behavioral scores to enhance predictive performance. Our results showcase promising outcomes, with the multimodal concatenation model achieving a remarkable accuracy of 97.05%. Furthermore, our models demonstrate competitive precision, recall, F1 score, and area under the ROC curve (AUC), underscoring their potential to facilitate early ASD diagnosis. These findings signify the significance of leveraging multimodal data fusion techniques to augment ASD detection accuracy, thereby contributing to advancements in early intervention strategies.</t>
        </is>
      </c>
      <c r="G142" s="4" t="str"/>
      <c r="H142" s="4" t="str"/>
      <c r="I142" s="4" t="str"/>
      <c r="J142" s="4" t="n"/>
      <c r="K142" s="4" t="inlineStr">
        <is>
          <t>Historical signals: title/abstract/notes; full-text completion not independently established</t>
        </is>
      </c>
      <c r="L142" s="4" t="inlineStr">
        <is>
          <t>Not documented in provided sources</t>
        </is>
      </c>
    </row>
    <row r="143" ht="242" customHeight="1">
      <c r="A143" s="4" t="inlineStr">
        <is>
          <t>154</t>
        </is>
      </c>
      <c r="B143" s="4" t="inlineStr">
        <is>
          <t>Historical</t>
        </is>
      </c>
      <c r="C143" s="4" t="inlineStr">
        <is>
          <t>Enhancing Early Diagnosis of Autism Spectrum Disorder in Children: A Comparative Analysis of Machine Learning Techniques</t>
        </is>
      </c>
      <c r="D143" s="4" t="inlineStr">
        <is>
          <t>10.1007/978-981-97-6995-7_34</t>
        </is>
      </c>
      <c r="E143" s="4" t="inlineStr">
        <is>
          <t>https://doi.org/10.1007/978-981-97-6995-7_34</t>
        </is>
      </c>
      <c r="F143" s="4" t="inlineStr">
        <is>
          <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t>
        </is>
      </c>
      <c r="G143" s="4" t="inlineStr">
        <is>
          <t>Comparative study; no best model declared in abstract</t>
        </is>
      </c>
      <c r="H143" s="4" t="str"/>
      <c r="I143" s="4" t="str"/>
      <c r="J143" s="4" t="n"/>
      <c r="K143" s="4" t="inlineStr">
        <is>
          <t>Historical signals: title/abstract/notes; full-text completion not independently established</t>
        </is>
      </c>
      <c r="L143" s="4" t="inlineStr">
        <is>
          <t>Not documented in provided sources</t>
        </is>
      </c>
    </row>
    <row r="144" ht="398" customHeight="1">
      <c r="A144" s="4" t="inlineStr">
        <is>
          <t>155</t>
        </is>
      </c>
      <c r="B144" s="4" t="inlineStr">
        <is>
          <t>Historical</t>
        </is>
      </c>
      <c r="C144" s="4" t="inlineStr">
        <is>
          <t>Evaluation of AI tools for healthcare networks at the cloud-edge interaction to diagnose autism in educational environments</t>
        </is>
      </c>
      <c r="D144" s="4" t="inlineStr">
        <is>
          <t>10.1186/s13677-023-00558-9</t>
        </is>
      </c>
      <c r="E144" s="4" t="inlineStr">
        <is>
          <t>https://doi.org/10.1186/s13677-023-00558-9</t>
        </is>
      </c>
      <c r="F144" s="4" t="inlineStr">
        <is>
          <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t>
        </is>
      </c>
      <c r="G144" s="4" t="inlineStr">
        <is>
          <t>Discute varias técnicas pero aplica AlexNet sobre rostros en entorno educativo; confirmar diseño final.</t>
        </is>
      </c>
      <c r="H144" s="4" t="str"/>
      <c r="I144" s="4" t="str"/>
      <c r="J144" s="4" t="n"/>
      <c r="K144" s="4" t="inlineStr">
        <is>
          <t>Historical signals: title/abstract/notes; full-text completion not independently established</t>
        </is>
      </c>
      <c r="L144" s="4" t="inlineStr">
        <is>
          <t>Not documented in provided sources</t>
        </is>
      </c>
    </row>
    <row r="145" ht="409" customHeight="1">
      <c r="A145" s="4" t="inlineStr">
        <is>
          <t>156</t>
        </is>
      </c>
      <c r="B145" s="4" t="inlineStr">
        <is>
          <t>Historical</t>
        </is>
      </c>
      <c r="C145" s="4" t="inlineStr">
        <is>
          <t>Exploring sMRI Biomarkers for Diagnosis of Autism Spectrum Disorders Based on Multi Class Activation Mapping Models</t>
        </is>
      </c>
      <c r="D145" s="4" t="inlineStr">
        <is>
          <t>10.1109/access.2021.3069211</t>
        </is>
      </c>
      <c r="E145" s="4" t="inlineStr">
        <is>
          <t>https://doi.org/10.1109/access.2021.3069211</t>
        </is>
      </c>
      <c r="F145" s="4" t="inlineStr">
        <is>
          <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t>
        </is>
      </c>
      <c r="G145" s="4" t="inlineStr">
        <is>
          <t>Algoritmo principal no explícito o fuera del codebook; Confirmar algoritmo principal en full-text</t>
        </is>
      </c>
      <c r="H145" s="4" t="str"/>
      <c r="I145" s="4" t="str"/>
      <c r="J145" s="4" t="n"/>
      <c r="K145" s="4" t="inlineStr">
        <is>
          <t>Historical signals: title/abstract/notes; full-text completion not independently established</t>
        </is>
      </c>
      <c r="L145" s="4" t="inlineStr">
        <is>
          <t>Not documented in provided sources</t>
        </is>
      </c>
    </row>
    <row r="146" ht="409" customHeight="1">
      <c r="A146" s="4" t="inlineStr">
        <is>
          <t>157</t>
        </is>
      </c>
      <c r="B146" s="4" t="inlineStr">
        <is>
          <t>Historical</t>
        </is>
      </c>
      <c r="C146" s="4" t="inlineStr">
        <is>
          <t>Functional connectivity classification of autism identifies highly predictive brain features but falls short of biomarker standards</t>
        </is>
      </c>
      <c r="D146" s="4" t="inlineStr">
        <is>
          <t>10.1016/j.nicl.2014.12.013</t>
        </is>
      </c>
      <c r="E146" s="4" t="inlineStr">
        <is>
          <t>https://doi.org/10.1016/j.nicl.2014.12.013</t>
        </is>
      </c>
      <c r="F146" s="4" t="inlineStr">
        <is>
          <t>Objectives Autism spectrum disorders (ASD) are diagnosed based on early-manifesting clinical symptoms, including markedly impaired social communication. We assessed the viability of resting-state functional MRI (rs-fMRI) connectivity measures as diagnostic biomarkers for ASD and investigated which connectivity features are predictive of a diagnosis. Methods Rs-fMRI scans from 59 high functioning males with ASD and 59 age- and IQ-matched typically developing (TD) males were used to build a series of machine learning classifiers. Classification features were obtained using 3 sets of brain regions. Another set of classifiers was built from participants' scores on behavioral metrics. An additional age and IQ-matched cohort of 178 individuals (89 ASD; 89 TD) from the Autism Brain Imaging Data Exchange (ABIDE) open-access dataset (http://fcon-1000.projects.nitrc.org/indi/abide/) were included for replication. Results High classification accuracy was achieved through several rs-fMRI methods (peak accuracy 76.67%). However, classification via behavioral measures consistently surpassed rs-fMRI classifiers (peak accuracy 95.19%). The class probability estimates, P(ASD|fMRI data), from brain-based classifiers significantly correlated with scores on a measure of social functioning, the Social Responsiveness Scale (SRS), as did the most informative features from 2 of the 3 sets of brain-based features. The most informative connections predominantly originated from regions strongly associated with social functioning. Conclusions While individuals can be classified as having ASD with statistically significant accuracy from their rs-fMRI scans alone, this method falls short of biomarker standards. Classification methods provided further evidence that ASD functional connectivity is characterized by dysfunction of large-scale functional networks, particularly those involved in social information processing.</t>
        </is>
      </c>
      <c r="G146" s="4" t="inlineStr">
        <is>
          <t>comparan múltiples algoritmos (RF, KNN, SVM, varias regresiones logísticas, etc.), pero para “main” aquí lo más defendible es Logistic Regression (L2LR) por desempeño consistente.</t>
        </is>
      </c>
      <c r="H146" s="4" t="str"/>
      <c r="I146" s="4" t="str"/>
      <c r="J146" s="4" t="n"/>
      <c r="K146" s="4" t="inlineStr">
        <is>
          <t>Historical signals: title/abstract/notes; full-text completion not independently established</t>
        </is>
      </c>
      <c r="L146" s="4" t="inlineStr">
        <is>
          <t>Not documented in provided sources</t>
        </is>
      </c>
    </row>
    <row r="147" ht="333" customHeight="1">
      <c r="A147" s="4" t="inlineStr">
        <is>
          <t>158</t>
        </is>
      </c>
      <c r="B147" s="4" t="inlineStr">
        <is>
          <t>Historical</t>
        </is>
      </c>
      <c r="C147" s="4" t="inlineStr">
        <is>
          <t>Graph Convolutional Networks Based on\&amp;#xa0;Relational Attention Mechanism for\&amp;#xa0;Autism Spectrum Disorders Diagnosis</t>
        </is>
      </c>
      <c r="D147" s="4" t="inlineStr">
        <is>
          <t>10.1007/978-3-031-13844-7_33</t>
        </is>
      </c>
      <c r="E147" s="4" t="inlineStr">
        <is>
          <t>https://doi.org/10.1007/978-3-031-13844-7_33</t>
        </is>
      </c>
      <c r="F147" s="4" t="inlineStr">
        <is>
          <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t>
        </is>
      </c>
      <c r="G147" s="4" t="inlineStr">
        <is>
          <t>Algoritmo principal no explícito o fuera del codebook; Confirmar algoritmo principal en full-text; Se comparan varios modelos; se eligió el principal/mejor reportado</t>
        </is>
      </c>
      <c r="H147" s="4" t="str"/>
      <c r="I147" s="4" t="str"/>
      <c r="J147" s="4" t="n"/>
      <c r="K147" s="4" t="inlineStr">
        <is>
          <t>Historical signals: title/abstract/notes; full-text completion not independently established</t>
        </is>
      </c>
      <c r="L147" s="4" t="inlineStr">
        <is>
          <t>Not documented in provided sources</t>
        </is>
      </c>
    </row>
    <row r="148" ht="333" customHeight="1">
      <c r="A148" s="4" t="inlineStr">
        <is>
          <t>159</t>
        </is>
      </c>
      <c r="B148" s="4" t="inlineStr">
        <is>
          <t>Historical</t>
        </is>
      </c>
      <c r="C148" s="4" t="inlineStr">
        <is>
          <t>Hybrid similarity based feature selection and cascade deep maxout fuzzy network for Autism Spectrum Disorder detection using EEG signal</t>
        </is>
      </c>
      <c r="D148" s="4" t="inlineStr">
        <is>
          <t>10.1016/j.compbiolchem.2024.108177</t>
        </is>
      </c>
      <c r="E148" s="4" t="inlineStr">
        <is>
          <t>https://doi.org/10.1016/j.compbiolchem.2024.108177</t>
        </is>
      </c>
      <c r="F148" s="4" t="inlineStr">
        <is>
          <t>Autism Spectrum Disorder (ASD) is a neurological disorder that influences a person's comprehension and way of behaving. It is a lifetime disability that cannot be completely treated using any therapy up to date. Nevertheless, in time identification and continuous therapies have a huge effect on autism patients. The existing models took a long time to confirm the diagnosis process and also, it is highly complex to differentiate autism from various developmental disorders. To facilitate early diagnosis by providing timely intervention, saving healthcare costs and reducing stress for the family in the long run, this research introduces an affordable and straightforward diagnostic model to detect ASD using EEG and deep learning models. Here, a hybrid deep learning model called Cascade deep maxout fuzzy network (Cascade DMFN) is proposed to identify ASD and it is achieved by the integration of Deep Maxout Network (DMN) and hybrid cascade neuro-fuzzy. Moreover, hybrid similarity measures like Canberra distance and Kumar-hassebrook is employed to conduct the feature selection technique. Also, the EEG dataset and BCIAUT_P300 dataset are used for analyzing the designed Cascade DMFN for detecting Autism Spectrum Disorder. The designed Cascade DMFN has outperformed other classical models by yielding a high accuracy of 0.930, Negative Predictive Value (NPV) of 0.919, Positive Predictive Value (PPV) of 0.923, True Negative Rate (TNR) of 0.926, and True Positive Rate (TPR) of 0.934.</t>
        </is>
      </c>
      <c r="G148" s="4" t="inlineStr">
        <is>
          <t>Cascade Deep Maxout Fuzzy Network (DMN + neuro-fuzzy), con feature selection por medidas de similitud</t>
        </is>
      </c>
      <c r="H148" s="4" t="str"/>
      <c r="I148" s="4" t="str"/>
      <c r="J148" s="4" t="n"/>
      <c r="K148" s="4" t="inlineStr">
        <is>
          <t>Historical signals: title/abstract/notes; full-text completion not independently established</t>
        </is>
      </c>
      <c r="L148" s="4" t="inlineStr">
        <is>
          <t>Not documented in provided sources</t>
        </is>
      </c>
    </row>
    <row r="149" ht="409" customHeight="1">
      <c r="A149" s="4" t="inlineStr">
        <is>
          <t>160</t>
        </is>
      </c>
      <c r="B149" s="4" t="inlineStr">
        <is>
          <t>Historical</t>
        </is>
      </c>
      <c r="C149" s="4" t="inlineStr">
        <is>
          <t>Imputing cognitive impairment in SPARK, a large autism cohort</t>
        </is>
      </c>
      <c r="D149" s="4" t="inlineStr">
        <is>
          <t>10.1002/aur.2622</t>
        </is>
      </c>
      <c r="E149" s="4" t="inlineStr">
        <is>
          <t>https://doi.org/10.1002/aur.2622</t>
        </is>
      </c>
      <c r="F149" s="4" t="inlineStr">
        <is>
          <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t>
        </is>
      </c>
      <c r="G149" s="4" t="inlineStr">
        <is>
          <t>el modelo no busca detectar ASD vs no-ASD; trabaja dentro de una cohorte ASD para imputar/estimar capacidad cognitiva / impairment (FSIQ y umbrales). Eso no cae limpio en Prescreening/Screening/Diagnosis/Prognosis/Monitoring de ASD.</t>
        </is>
      </c>
      <c r="H149" s="4" t="inlineStr">
        <is>
          <t>ML predicts cognitive impairment and FSIQ in a large autism cohort where direct assessment is not feasible at scale.</t>
        </is>
      </c>
      <c r="I149" s="4" t="str"/>
      <c r="J149" s="4" t="n"/>
      <c r="K149" s="4" t="inlineStr">
        <is>
          <t>Historical signals: title/abstract/notes; full-text completion not independently established</t>
        </is>
      </c>
      <c r="L149" s="4" t="inlineStr">
        <is>
          <t>Not documented in provided sources</t>
        </is>
      </c>
    </row>
    <row r="150" ht="281" customHeight="1">
      <c r="A150" s="4" t="inlineStr">
        <is>
          <t>162</t>
        </is>
      </c>
      <c r="B150" s="4" t="inlineStr">
        <is>
          <t>Historical</t>
        </is>
      </c>
      <c r="C150" s="4" t="inlineStr">
        <is>
          <t>Machine Learning in ASD: An Intensive Study of Automated Disease Prediction System</t>
        </is>
      </c>
      <c r="D150" s="4" t="inlineStr">
        <is>
          <t>10.1002/9781119896838.ch18</t>
        </is>
      </c>
      <c r="E150" s="4" t="inlineStr">
        <is>
          <t>https://doi.org/10.1002/9781119896838.ch18</t>
        </is>
      </c>
      <c r="F150" s="4" t="inlineStr">
        <is>
          <t>Of late, due to drastic climate change and excessive pollution, people live in such an atmosphere where they have to combat continuously several deadly diseases. To get the proper treatment of such diseases, people must rely on appropriate diagnoses. There are a lot of signs or symptoms that bear the existence of a particular condition. Generally, almost all the people who suffer from viral infections, dengue, and COVID-19 get a common sign of high fever. Therefore, it is challenging for doctors to determine the exact disease with this particular symptom. Accordingly, a technically equipped medical system should be developed to get a more error-free diagnosis. In this context, a case study uses the Random Forest Algorithm to combine diagnostic prediction and technology, which will help medical practitioners detect diseases. Agile Software can be used here. One of the essential advantages of agile methodology is speed to market and risk reduction. This paper showcases a module developed with the help of Machine Learning. Here, Agile Software is designed to become very effective in detecting a particular disease more efficiently. In this specific system preventing errors and malfunctions has been proven to be 95% effective in the medical field.</t>
        </is>
      </c>
      <c r="G150" s="4" t="inlineStr">
        <is>
          <t>Sin señal explícita Q3 en título/abstract.</t>
        </is>
      </c>
      <c r="H150" s="4" t="inlineStr">
        <is>
          <t>Random-forest automated disease prediction intended to help practitioners detect disease.</t>
        </is>
      </c>
      <c r="I150" s="4" t="str"/>
      <c r="J150" s="4" t="n"/>
      <c r="K150" s="4" t="inlineStr">
        <is>
          <t>Historical signals: title/abstract/notes; full-text completion not independently established</t>
        </is>
      </c>
      <c r="L150" s="4" t="inlineStr">
        <is>
          <t>Not documented in provided sources</t>
        </is>
      </c>
    </row>
    <row r="151" ht="372" customHeight="1">
      <c r="A151" s="4" t="inlineStr">
        <is>
          <t>163</t>
        </is>
      </c>
      <c r="B151" s="4" t="inlineStr">
        <is>
          <t>Historical</t>
        </is>
      </c>
      <c r="C151" s="4" t="inlineStr">
        <is>
          <t>Multichannel Deep Attention Neural Networks for the Classification of Autism Spectrum Disorder Using Neuroimaging and Personal Characteristic Data</t>
        </is>
      </c>
      <c r="D151" s="4" t="inlineStr">
        <is>
          <t>10.1155/2020/1357853</t>
        </is>
      </c>
      <c r="E151" s="4" t="inlineStr">
        <is>
          <t>https://doi.org/10.1155/2020/1357853</t>
        </is>
      </c>
      <c r="F151" s="4" t="inlineStr">
        <is>
          <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t>
        </is>
      </c>
      <c r="G151" s="4" t="inlineStr">
        <is>
          <t>Algoritmo principal no explícito o fuera del codebook; Confirmar algoritmo principal en full-text</t>
        </is>
      </c>
      <c r="H151" s="4" t="str"/>
      <c r="I151" s="4" t="str"/>
      <c r="J151" s="4" t="n"/>
      <c r="K151" s="4" t="inlineStr">
        <is>
          <t>Historical signals: title/abstract/notes; full-text completion not independently established</t>
        </is>
      </c>
      <c r="L151" s="4" t="inlineStr">
        <is>
          <t>Not documented in provided sources</t>
        </is>
      </c>
    </row>
    <row r="152" ht="346" customHeight="1">
      <c r="A152" s="4" t="inlineStr">
        <is>
          <t>164</t>
        </is>
      </c>
      <c r="B152" s="4" t="inlineStr">
        <is>
          <t>Historical</t>
        </is>
      </c>
      <c r="C152" s="4" t="inlineStr">
        <is>
          <t>Multimodal Kernel-based discriminant correlation analysis data-fusion approach: an automated autism spectrum disorder diagnostic system</t>
        </is>
      </c>
      <c r="D152" s="4" t="inlineStr">
        <is>
          <t>10.1007/s13246-023-01350-4</t>
        </is>
      </c>
      <c r="E152" s="4" t="inlineStr">
        <is>
          <t>https://doi.org/10.1007/s13246-023-01350-4</t>
        </is>
      </c>
      <c r="F152" s="4" t="inlineStr">
        <is>
          <t>Autism spectrum disorder (ASD) diagnostic systems, based on association of multimodal tools such as combination of Electroencephalogram (EEG) and eye-tracking, have emerged as an analytical to provide objective biomarkers. However, the existing feature-redundancy-based systems have lacked in providing knowledge of fusion approaches and robust feature-set. The present paper aims to reduce disorder homogeneity by proposing a multimodal diagnostic system which can incorporate multimodal data. The paper has collected simultaneous-data from three modalities (laptop-performance tool, EEG machine, and Eye-tracker) fused the recorded computational, neural and visual data. The multimodal features are analyzed via proposed multimodal Kernel-based discriminant correlation analysis (MKDCA) fusion approach and classified using state-of-the-art machine-learning classifiers. The proposed framework has considered the distinct cardinality of the feature vectors and fused the group structure among multiple samples after ranking them in increasing order. As per the results, the proposed multimodal system provided fused feature set of 11 influential features out of total 39 features. The SVM classifier has diagnosed ASD with 92% testing accuracy and 0.988 AUC(ROC). The proposed automated fusion-based system has the potential to classify disorder by reducing the disorder heterogeneity and stratifying ASD individuals into homogeneous sub-groups. In future, the correlation of reduced feature set with ASD clinical symptoms accounted by screening scales can provide clinical relevance of proposed model.</t>
        </is>
      </c>
      <c r="G152" s="4" t="inlineStr">
        <is>
          <t>Fusión MKDCA + SVM; multimodal EEG+eye-tracking+computational”.</t>
        </is>
      </c>
      <c r="H152" s="4" t="str"/>
      <c r="I152" s="4" t="str"/>
      <c r="J152" s="4" t="n"/>
      <c r="K152" s="4" t="inlineStr">
        <is>
          <t>Historical signals: title/abstract/notes; full-text completion not independently established</t>
        </is>
      </c>
      <c r="L152" s="4" t="inlineStr">
        <is>
          <t>Not documented in provided sources</t>
        </is>
      </c>
    </row>
    <row r="153" ht="409" customHeight="1">
      <c r="A153" s="4" t="inlineStr">
        <is>
          <t>165</t>
        </is>
      </c>
      <c r="B153" s="4" t="inlineStr">
        <is>
          <t>Historical</t>
        </is>
      </c>
      <c r="C153" s="4" t="inlineStr">
        <is>
          <t>Phase 3 diagnostic evaluation of a smart tablet serious game to identify autism in 760 children 3-5 years old in Sweden and the United Kingdom</t>
        </is>
      </c>
      <c r="D153" s="4" t="inlineStr">
        <is>
          <t>10.1136/bmjopen-2018-026226</t>
        </is>
      </c>
      <c r="E153" s="4" t="inlineStr">
        <is>
          <t>https://doi.org/10.1136/bmjopen-2018-026226</t>
        </is>
      </c>
      <c r="F153" s="4" t="inlineStr">
        <is>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t>
        </is>
      </c>
      <c r="G153" s="4" t="str"/>
      <c r="H153" s="4" t="str"/>
      <c r="I153" s="4" t="str"/>
      <c r="J153" s="4" t="n"/>
      <c r="K153" s="4" t="inlineStr">
        <is>
          <t>Historical signals: title/abstract/notes; full-text completion not independently established</t>
        </is>
      </c>
      <c r="L153" s="4" t="inlineStr">
        <is>
          <t>Not documented in provided sources</t>
        </is>
      </c>
    </row>
    <row r="154" ht="409" customHeight="1">
      <c r="A154" s="4" t="inlineStr">
        <is>
          <t>166</t>
        </is>
      </c>
      <c r="B154" s="4" t="inlineStr">
        <is>
          <t>Historical</t>
        </is>
      </c>
      <c r="C154" s="4" t="inlineStr">
        <is>
          <t>Research and development of autism diagnosis information system based on deep convolution neural network and facial expression data</t>
        </is>
      </c>
      <c r="D154" s="4" t="inlineStr">
        <is>
          <t>10.1108/lht-08-2019-0176</t>
        </is>
      </c>
      <c r="E154" s="4" t="inlineStr">
        <is>
          <t>https://doi.org/10.1108/lht-08-2019-0176</t>
        </is>
      </c>
      <c r="F154" s="4" t="inlineStr">
        <is>
          <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t>
        </is>
      </c>
      <c r="G154" s="4" t="str"/>
      <c r="H154" s="4" t="str"/>
      <c r="I154" s="4" t="str"/>
      <c r="J154" s="4" t="n"/>
      <c r="K154" s="4" t="inlineStr">
        <is>
          <t>Historical signals: title/abstract/notes; full-text completion not independently established</t>
        </is>
      </c>
      <c r="L154" s="4" t="inlineStr">
        <is>
          <t>Not documented in provided sources</t>
        </is>
      </c>
    </row>
    <row r="155" ht="409" customHeight="1">
      <c r="A155" s="4" t="inlineStr">
        <is>
          <t>168</t>
        </is>
      </c>
      <c r="B155" s="4" t="inlineStr">
        <is>
          <t>Historical</t>
        </is>
      </c>
      <c r="C155" s="4" t="inlineStr">
        <is>
          <t>Stratification of Children with Autism Spectrum Disorder Through Fusion of Temporal Information in Eye-gaze Scan-Paths</t>
        </is>
      </c>
      <c r="D155" s="4" t="inlineStr">
        <is>
          <t>10.1145/3539226</t>
        </is>
      </c>
      <c r="E155" s="4" t="inlineStr">
        <is>
          <t>https://doi.org/10.1145/3539226</t>
        </is>
      </c>
      <c r="F155" s="4" t="inlineStr">
        <is>
          <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t>
        </is>
      </c>
      <c r="G155" s="4" t="inlineStr">
        <is>
          <t>Estratificación de niños con ASD usando trayectorias de eye-gaze; confirmar si el objetivo es subtipado vs clasificación.</t>
        </is>
      </c>
      <c r="H155" s="4" t="str"/>
      <c r="I155" s="4" t="str"/>
      <c r="J155" s="4" t="n"/>
      <c r="K155" s="4" t="inlineStr">
        <is>
          <t>Historical signals: title/abstract/notes; full-text completion not independently established</t>
        </is>
      </c>
      <c r="L155" s="4" t="inlineStr">
        <is>
          <t>Not documented in provided sources</t>
        </is>
      </c>
    </row>
    <row r="156" ht="281" customHeight="1">
      <c r="A156" s="4" t="inlineStr">
        <is>
          <t>169</t>
        </is>
      </c>
      <c r="B156" s="4" t="inlineStr">
        <is>
          <t>Historical</t>
        </is>
      </c>
      <c r="C156" s="4" t="inlineStr">
        <is>
          <t>The Classification of Abnormal Hand Movement to Aid in Autism Detection: Machine Learning Study</t>
        </is>
      </c>
      <c r="D156" s="4" t="inlineStr">
        <is>
          <t>10.2196/33771</t>
        </is>
      </c>
      <c r="E156" s="4" t="inlineStr">
        <is>
          <t>https://doi.org/10.2196/33771</t>
        </is>
      </c>
      <c r="F156" s="4" t="inlineStr">
        <is>
          <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t>
        </is>
      </c>
      <c r="G156" s="4" t="str"/>
      <c r="H156" s="4" t="str"/>
      <c r="I156" s="4" t="str"/>
      <c r="J156" s="4" t="n"/>
      <c r="K156" s="4" t="inlineStr">
        <is>
          <t>Historical signals: title/abstract/notes; full-text completion not independently established</t>
        </is>
      </c>
      <c r="L156" s="4" t="inlineStr">
        <is>
          <t>Not documented in provided sources</t>
        </is>
      </c>
    </row>
    <row r="157" ht="409" customHeight="1">
      <c r="A157" s="4" t="inlineStr">
        <is>
          <t>170</t>
        </is>
      </c>
      <c r="B157" s="4" t="inlineStr">
        <is>
          <t>Historical</t>
        </is>
      </c>
      <c r="C157" s="4" t="inlineStr">
        <is>
          <t>The development of a practical artificial intelligence tool for diagnosing and evaluating autism spectrum disorder: Multicenter study</t>
        </is>
      </c>
      <c r="D157" s="4" t="inlineStr">
        <is>
          <t>10.2196/15767</t>
        </is>
      </c>
      <c r="E157" s="4" t="inlineStr">
        <is>
          <t>https://doi.org/10.2196/15767</t>
        </is>
      </c>
      <c r="F157" s="4" t="inlineStr">
        <is>
          <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t>
        </is>
      </c>
      <c r="G157" s="4" t="inlineStr">
        <is>
          <t>Algoritmo principal no explícito o fuera del codebook; Confirmar algoritmo principal en full-text; Se comparan varios modelos; se eligió el principal/mejor reportado</t>
        </is>
      </c>
      <c r="H157" s="4" t="str"/>
      <c r="I157" s="4" t="str"/>
      <c r="J157" s="4" t="n"/>
      <c r="K157" s="4" t="inlineStr">
        <is>
          <t>Historical signals: title/abstract/notes; full-text completion not independently established</t>
        </is>
      </c>
      <c r="L157" s="4" t="inlineStr">
        <is>
          <t>Not documented in provided sources</t>
        </is>
      </c>
    </row>
    <row r="158" ht="242" customHeight="1">
      <c r="A158" s="4" t="inlineStr">
        <is>
          <t>171</t>
        </is>
      </c>
      <c r="B158" s="4" t="inlineStr">
        <is>
          <t>Historical</t>
        </is>
      </c>
      <c r="C158" s="4" t="inlineStr">
        <is>
          <t>Toward the Autism Motor Signature: Gesture patterns during smart tablet gameplay identify children with autism</t>
        </is>
      </c>
      <c r="D158" s="4" t="inlineStr">
        <is>
          <t>10.1038/srep31107</t>
        </is>
      </c>
      <c r="E158" s="4" t="inlineStr">
        <is>
          <t>https://doi.org/10.1038/srep31107</t>
        </is>
      </c>
      <c r="F158" s="4" t="inlineStr">
        <is>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is>
      </c>
      <c r="G158" s="4" t="inlineStr">
        <is>
          <t>Algoritmo principal no explícito o fuera del codebook; Confirmar algoritmo principal en full-text</t>
        </is>
      </c>
      <c r="H158" s="4" t="str"/>
      <c r="I158" s="4" t="str"/>
      <c r="J158" s="4" t="n"/>
      <c r="K158" s="4" t="inlineStr">
        <is>
          <t>Historical signals: title/abstract/notes; full-text completion not independently established</t>
        </is>
      </c>
      <c r="L158" s="4" t="inlineStr">
        <is>
          <t>Not documented in provided sources</t>
        </is>
      </c>
    </row>
    <row r="159" ht="409" customHeight="1">
      <c r="A159" s="4" t="inlineStr">
        <is>
          <t>172</t>
        </is>
      </c>
      <c r="B159" s="4" t="inlineStr">
        <is>
          <t>Historical</t>
        </is>
      </c>
      <c r="C159" s="4" t="inlineStr">
        <is>
          <t>Using #ActuallyAutistic on Twitter for Precision Diagnosis of Autism Spectrum Disorder: Machine Learning Study</t>
        </is>
      </c>
      <c r="D159" s="4" t="inlineStr">
        <is>
          <t>10.2196/52660</t>
        </is>
      </c>
      <c r="E159" s="4" t="inlineStr">
        <is>
          <t>https://doi.org/10.2196/52660</t>
        </is>
      </c>
      <c r="F159" s="4" t="inlineStr">
        <is>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is>
      </c>
      <c r="G159" s="4" t="inlineStr">
        <is>
          <t>Clasificación de tweets #ActuallyAutistic; relevancia clínica/etapa RQ1 ambigua.</t>
        </is>
      </c>
      <c r="H159" s="4" t="str"/>
      <c r="I159" s="4" t="str"/>
      <c r="J159" s="4" t="n"/>
      <c r="K159" s="4" t="inlineStr">
        <is>
          <t>Historical signals: title/abstract/notes; full-text completion not independently established</t>
        </is>
      </c>
      <c r="L159" s="4" t="inlineStr">
        <is>
          <t>Not documented in provided sources</t>
        </is>
      </c>
    </row>
    <row r="160" ht="409" customHeight="1">
      <c r="A160" s="4" t="inlineStr">
        <is>
          <t>173</t>
        </is>
      </c>
      <c r="B160" s="4" t="inlineStr">
        <is>
          <t>Historical</t>
        </is>
      </c>
      <c r="C160" s="4" t="inlineStr">
        <is>
          <t>Using machine learning to improve diagnostic assessment of ASD in the light of specific differential and co-occurring diagnoses</t>
        </is>
      </c>
      <c r="D160" s="4" t="inlineStr">
        <is>
          <t>10.1111/jcpp.13650</t>
        </is>
      </c>
      <c r="E160" s="4" t="inlineStr">
        <is>
          <t>https://doi.org/10.1111/jcpp.13650</t>
        </is>
      </c>
      <c r="F160" s="4" t="inlineStr">
        <is>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is>
      </c>
      <c r="G160" s="4" t="inlineStr">
        <is>
          <t>Se comparan varios modelos; se eligió el principal/mejor reportado</t>
        </is>
      </c>
      <c r="H160" s="4" t="str"/>
      <c r="I160" s="4" t="str"/>
      <c r="J160" s="4" t="n"/>
      <c r="K160" s="4" t="inlineStr">
        <is>
          <t>Historical signals: title/abstract/notes; full-text completion not independently established</t>
        </is>
      </c>
      <c r="L160" s="4" t="inlineStr">
        <is>
          <t>Not documented in provided sources</t>
        </is>
      </c>
    </row>
    <row r="161" ht="229" customHeight="1">
      <c r="A161" s="4" t="inlineStr">
        <is>
          <t>174</t>
        </is>
      </c>
      <c r="B161" s="4" t="inlineStr">
        <is>
          <t>Historical</t>
        </is>
      </c>
      <c r="C161" s="4" t="inlineStr">
        <is>
          <t>A Framework to Diagnose Autism Spectrum Disorder Using Morphological Connectivity of sMRI and XGBoost</t>
        </is>
      </c>
      <c r="D161" s="4" t="inlineStr">
        <is>
          <t>10.3233/shti230734</t>
        </is>
      </c>
      <c r="E161" s="4" t="inlineStr">
        <is>
          <t>https://doi.org/10.3233/shti230734</t>
        </is>
      </c>
      <c r="F161" s="4" t="inlineStr">
        <is>
          <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t>
        </is>
      </c>
      <c r="G161" s="4" t="str"/>
      <c r="H161" s="4" t="str"/>
      <c r="I161" s="4" t="str"/>
      <c r="J161" s="4" t="n"/>
      <c r="K161" s="4" t="inlineStr">
        <is>
          <t>Historical signals: title/abstract/notes; full-text completion not independently established</t>
        </is>
      </c>
      <c r="L161" s="4" t="inlineStr">
        <is>
          <t>Not documented in provided sources</t>
        </is>
      </c>
    </row>
    <row r="162" ht="307" customHeight="1">
      <c r="A162" s="4" t="inlineStr">
        <is>
          <t>175</t>
        </is>
      </c>
      <c r="B162" s="4" t="inlineStr">
        <is>
          <t>Historical</t>
        </is>
      </c>
      <c r="C162" s="4" t="inlineStr">
        <is>
          <t>A machine learning approach for understanding the metabolomics response of children with autism spectrum disorder to medical cannabis treatment</t>
        </is>
      </c>
      <c r="D162" s="4" t="inlineStr">
        <is>
          <t>10.1038/s41598-023-40073-0</t>
        </is>
      </c>
      <c r="E162" s="4" t="inlineStr">
        <is>
          <t>https://doi.org/10.1038/s41598-023-40073-0</t>
        </is>
      </c>
      <c r="F162" s="4" t="inlineStr">
        <is>
          <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t>
        </is>
      </c>
      <c r="G162" s="4" t="inlineStr">
        <is>
          <t>Algoritmo principal no explícito o fuera del codebook; Confirmar algoritmo principal en full-text</t>
        </is>
      </c>
      <c r="H162" s="4" t="str"/>
      <c r="I162" s="4" t="str"/>
      <c r="J162" s="4" t="n"/>
      <c r="K162" s="4" t="inlineStr">
        <is>
          <t>Historical signals: title/abstract/notes; full-text completion not independently established</t>
        </is>
      </c>
      <c r="L162" s="4" t="inlineStr">
        <is>
          <t>Not documented in provided sources</t>
        </is>
      </c>
    </row>
    <row r="163" ht="333" customHeight="1">
      <c r="A163" s="4" t="inlineStr">
        <is>
          <t>177</t>
        </is>
      </c>
      <c r="B163" s="4" t="inlineStr">
        <is>
          <t>Historical</t>
        </is>
      </c>
      <c r="C163" s="4" t="inlineStr">
        <is>
          <t>Aided Diagnosis of\&amp;#xa0;Autism Spectrum Disorder Based on\&amp;#xa0;a\&amp;#xa0;Mixed Neural Network Model</t>
        </is>
      </c>
      <c r="D163" s="4" t="inlineStr">
        <is>
          <t>10.1007/978-981-99-8141-0_12</t>
        </is>
      </c>
      <c r="E163" s="4" t="inlineStr">
        <is>
          <t>https://doi.org/10.1007/978-981-99-8141-0_12</t>
        </is>
      </c>
      <c r="F163" s="4" t="inlineStr">
        <is>
          <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t>
        </is>
      </c>
      <c r="G163" s="4" t="inlineStr">
        <is>
          <t>Se comparan varios modelos; se eligió el principal/mejor reportado</t>
        </is>
      </c>
      <c r="H163" s="4" t="str"/>
      <c r="I163" s="4" t="str"/>
      <c r="J163" s="4" t="n"/>
      <c r="K163" s="4" t="inlineStr">
        <is>
          <t>Historical signals: title/abstract/notes; full-text completion not independently established</t>
        </is>
      </c>
      <c r="L163" s="4" t="inlineStr">
        <is>
          <t>Not documented in provided sources</t>
        </is>
      </c>
    </row>
    <row r="164" ht="409" customHeight="1">
      <c r="A164" s="4" t="inlineStr">
        <is>
          <t>178</t>
        </is>
      </c>
      <c r="B164" s="4" t="inlineStr">
        <is>
          <t>Historical</t>
        </is>
      </c>
      <c r="C164" s="4" t="inlineStr">
        <is>
          <t>Application of Single-Nucleotide Polymorphisms in the Diagnosis of Autism Spectrum Disorders: A Preliminary Study with Artificial Neural Networks</t>
        </is>
      </c>
      <c r="D164" s="4" t="inlineStr">
        <is>
          <t>10.1007/s12031-019-01311-1</t>
        </is>
      </c>
      <c r="E164" s="4" t="inlineStr">
        <is>
          <t>https://doi.org/10.1007/s12031-019-01311-1</t>
        </is>
      </c>
      <c r="F164" s="4" t="inlineStr">
        <is>
          <t>Autism spectrum disorder (ASD) includes different neurodevelopmental disorders characterized by deficits in social communication, and restricted, repetitive patterns of behavior, interests or activities. Based on the importance of early diagnosis for effective therapeutic intervention, several strategies have been employed for detection of the disorder. The artificial neural network (ANN) as a type of machine learning method is a common strategy. In the current study, we extracted genomic data for 487 ASD patients and 455 healthy individuals. All individuals were genotyped in certain single-nucleotide polymorphisms within retinoic acid-related orphan receptor alpha (RORA), gamma-aminobutyric acid type A receptor beta3 subunit (GABRB3), synaptosomal-associated protein 25 (SNAP25) and metabotropic glutamate receptor 7 (GRM7) genes. Subsequently, we used the “Keras” package to create and train the ANN model. For cross-validation, samples were divided into ten folds. In the training process, initially, the first fold was preserved for validation and the other folds were used to train the model. The validation fold was then used to evaluate model performance. The k-fold cross-validation method was used to ensure model generalizability and to prevent overfitting. Local interpretable model-agnostic explanations (LIME) were applied to explain model predictions at the data sample level. The output of loss function was evaluated in the training process for each fold in the k-fold cross-validation model. Finally, the number of losses was reduced to less than 0.6 after 200 epochs (except in two cases). The accuracy, sensitivity and specificity of our model were 73.67%, 82.75% and 63.95%, respectively. The area under the curve (AUC) was 80.59. Consequently, in the current study, we propose an ANN-based method for differentiating ASD status from healthy status with adequate power.</t>
        </is>
      </c>
      <c r="G164" s="4" t="str"/>
      <c r="H164" s="4" t="str"/>
      <c r="I164" s="4" t="str"/>
      <c r="J164" s="4" t="n"/>
      <c r="K164" s="4" t="inlineStr">
        <is>
          <t>Historical signals: title/abstract/notes; full-text completion not independently established</t>
        </is>
      </c>
      <c r="L164" s="4" t="inlineStr">
        <is>
          <t>Not documented in provided sources</t>
        </is>
      </c>
    </row>
    <row r="165" ht="333" customHeight="1">
      <c r="A165" s="4" t="inlineStr">
        <is>
          <t>179</t>
        </is>
      </c>
      <c r="B165" s="4" t="inlineStr">
        <is>
          <t>Historical</t>
        </is>
      </c>
      <c r="C165" s="4" t="inlineStr">
        <is>
          <t>Autism spectrum disorder detection with machine learning methods</t>
        </is>
      </c>
      <c r="D165" s="4" t="inlineStr">
        <is>
          <t>10.2174/2666082215666191111121115</t>
        </is>
      </c>
      <c r="E165" s="4" t="inlineStr">
        <is>
          <t>https://doi.org/10.2174/2666082215666191111121115</t>
        </is>
      </c>
      <c r="F165" s="4" t="inlineStr">
        <is>
          <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t>
        </is>
      </c>
      <c r="G165" s="4" t="str"/>
      <c r="H165" s="4" t="str"/>
      <c r="I165" s="4" t="str"/>
      <c r="J165" s="4" t="n"/>
      <c r="K165" s="4" t="inlineStr">
        <is>
          <t>Historical signals: title/abstract/notes; full-text completion not independently established</t>
        </is>
      </c>
      <c r="L165" s="4" t="inlineStr">
        <is>
          <t>Not documented in provided sources</t>
        </is>
      </c>
    </row>
    <row r="166" ht="359" customHeight="1">
      <c r="A166" s="4" t="inlineStr">
        <is>
          <t>180</t>
        </is>
      </c>
      <c r="B166" s="4" t="inlineStr">
        <is>
          <t>Historical</t>
        </is>
      </c>
      <c r="C166" s="4" t="inlineStr">
        <is>
          <t>Biosignal comparison for autism assessment using machine learning models and virtual reality</t>
        </is>
      </c>
      <c r="D166" s="4" t="inlineStr">
        <is>
          <t>10.1016/j.compbiomed.2024.108194</t>
        </is>
      </c>
      <c r="E166" s="4" t="inlineStr">
        <is>
          <t>https://doi.org/10.1016/j.compbiomed.2024.108194</t>
        </is>
      </c>
      <c r="F166" s="4" t="inlineStr">
        <is>
          <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t>
        </is>
      </c>
      <c r="G166" s="4" t="inlineStr">
        <is>
          <t>Se comparan varios modelos; se eligió el principal/mejor reportado</t>
        </is>
      </c>
      <c r="H166" s="4" t="str"/>
      <c r="I166" s="4" t="str"/>
      <c r="J166" s="4" t="n"/>
      <c r="K166" s="4" t="inlineStr">
        <is>
          <t>Historical signals: title/abstract/notes; full-text completion not independently established</t>
        </is>
      </c>
      <c r="L166" s="4" t="inlineStr">
        <is>
          <t>Not documented in provided sources</t>
        </is>
      </c>
    </row>
    <row r="167" ht="409" customHeight="1">
      <c r="A167" s="4" t="inlineStr">
        <is>
          <t>182</t>
        </is>
      </c>
      <c r="B167" s="4" t="inlineStr">
        <is>
          <t>Historical</t>
        </is>
      </c>
      <c r="C167" s="4" t="inlineStr">
        <is>
          <t>COMBINED ANALYSIS OF THE ORAL MICROBIOME AND MICROTRANSCRIPTOME OF AUTISM SPECTRUM DISORDER</t>
        </is>
      </c>
      <c r="D167" s="4" t="inlineStr">
        <is>
          <t>10.1016/j.euroneuro.2017.08.321</t>
        </is>
      </c>
      <c r="E167" s="4" t="inlineStr">
        <is>
          <t>https://doi.org/10.1016/j.euroneuro.2017.08.321</t>
        </is>
      </c>
      <c r="F167" s="4" t="inlineStr">
        <is>
          <t>Background: Autism Spectrum Disorder (ASD) affects 1 in 45 children aged 3-17 and is characterized by a wide array of deficits in social interaction, communication, and behavior. Despite significant evidence for genetic contributions to ASD risk, single gene variants as a group do not explain the vast majority of cases. Consequently, considerable interest has turned to the study of epigenetic mechanisms as potential contributing factors. miRNAs are now well-recognized epigenetic regulators of gene expression that influence biological processes in all cell types and are released from the cells in which they are synthesized and circulate throughout the body in extracellular fluids. We previously identified significant alterations in miRNA levels in the saliva of ASD subjects (average age 9) compared with matched typically developing control children. We also observed (but did not report) that the salivary microbiome of ASD children was significantly different than that of the control children. In the present study, we sought to replicate and extend these observations on the oral microtranscriptome and microbiome of ASD children in a larger and younger cohort. Method(s): Parental consent was obtained for all subjects. More than 350 samples were collected from children aged 2-6, with either a confirmed diagnosis of ASD, Developmental Delay, or healthy controls. Comprehensive medical and demographic information was obtained using detailed questionnaires, the Vineland Adaptive Behavior Scales (2nd Edition), and the Autism Diagnostic Observation Schedule (2nd Edition). Identification and quantification of saliva miRNA and microbiome abundance were performed using NGS on a NextSeq. 500 instrument at the SUNY Molecular Analysis Core (SUNYMAC) at Upstate Medical University. Alignment of NGS reads was performed to the miRbase21 database using the Shrimp2 algorithm in Partek Flow software to identify mature and precursor miRNAs and alignment of metatranscriptome reads was performed to the Human Microbiome Database, using K-SLAM and Kraken software. Data were subjected to quantile normalization, filtered for quality control, and examined for their diagnostic utility using machine learning algorithms. The most promising variables were also examined to identify salient patterns and subjected to functional analysis. Result(s): Saliva miRNA and microbiome taxon variables demonstrated the ability to distinguish children with ASD from typically developing controls, with accuracy approximating 75-80% based on Monte-Carlo Cross Validation. When combined, the best miRNA and taxon classifiers from the learning algorithm performed at an overall accuracy level exceeding 86%, including more than 90% accuracy for ASD children. Notably, the top miRNA classifiers disproportionately targeted mRNAs that were enriched in several key biological pathways of interest for ASD, including Amphetamine Addiction, Axon Guidance, and Oxytocin Signaling. Notably, many miRNAs and taxon classifiers exhibited robust correlations, suggesting possible host-microbiome signaling. Discussion(s): This is the first report of correlated miRNA and microbiome elements in saliva. Our results indicate a high degree of potential diagnostic utility in using these saliva-based data for ASD and Developmental Delay. Ongoing work is establishing the quantitative relationship between these variables and functional measures of ASD symptoms and severity, as well as co-morbid medical conditions including sleep disorders and GI disturbances.Copyright © 2017</t>
        </is>
      </c>
      <c r="G167" s="4" t="str"/>
      <c r="H167" s="4" t="str"/>
      <c r="I167" s="4" t="str"/>
      <c r="J167" s="4" t="n"/>
      <c r="K167" s="4" t="inlineStr">
        <is>
          <t>Historical signals: title/abstract/notes; full-text completion not independently established</t>
        </is>
      </c>
      <c r="L167" s="4" t="inlineStr">
        <is>
          <t>Not documented in provided sources</t>
        </is>
      </c>
    </row>
    <row r="168" ht="409" customHeight="1">
      <c r="A168" s="4" t="inlineStr">
        <is>
          <t>183</t>
        </is>
      </c>
      <c r="B168" s="4" t="inlineStr">
        <is>
          <t>Historical</t>
        </is>
      </c>
      <c r="C168" s="4" t="inlineStr">
        <is>
          <t>Computational Methods to Measure Patterns of Gaze in Toddlers with Autism Spectrum Disorder</t>
        </is>
      </c>
      <c r="D168" s="4" t="inlineStr">
        <is>
          <t>10.1001/jamapediatrics.2021.0530</t>
        </is>
      </c>
      <c r="E168" s="4" t="inlineStr">
        <is>
          <t>https://doi.org/10.1001/jamapediatrics.2021.0530</t>
        </is>
      </c>
      <c r="F168" s="4" t="inlineStr">
        <is>
          <t>Importance: Atypical eye gaze is an early-emerging symptom of autism spectrum disorder (ASD) and holds promise for autism screening. Current eye-tracking methods are expensive and require special equipment and calibration. There is a need for scalable, feasible methods for measuring eye gaze. Objective: Using computational methods based on computer vision analysis, we evaluated whether an app deployed on an iPhone or iPad that displayed strategically designed brief movies could elicit and quantify differences in eye-gaze patterns of toddlers with ASD vs typical development. Design, Setting, and Participants: A prospective study in pediatric primary care clinics was conducted from December 2018 to March 2020, comparing toddlers with and without ASD. Caregivers of 1564 toddlers were invited to participate during a well-child visit. A total of 993 toddlers (63%) completed study measures. Enrollment criteria were aged 16 to 38 months, healthy, English- or Spanish-speaking caregiver, and toddler able to sit and view the app. Participants were screened with the Modified Checklist for Autism in Toddlers-Revised With Follow-up during routine care. Children were referred by their pediatrician for diagnostic evaluation based on results of the checklist or if the caregiver or pediatrician was concerned. Forty toddlers subsequently were diagnosed with ASD. Exposures: A mobile app displayed on a smartphone or tablet. Main Outcomes and Measures: Computer vision analysis quantified eye-gaze patterns elicited by the app, which were compared between toddlers with ASD vs typical development. Results: Mean age of the sample was 21.1 months (range, 17.1-36.9 months), and 50.6% were boys, 59.8% White individuals, 16.5% Black individuals, 23.7% other race, and 16.9% Hispanic/Latino individuals. Distinctive eye-gaze patterns were detected in toddlers with ASD, characterized by reduced gaze to social stimuli and to salient social moments during the movies, and previously unknown deficits in coordination of gaze with speech sounds. The area under the receiver operating characteristic curve discriminating ASD vs non-ASD using multiple gaze features was 0.90 (95% CI, 0.82-0.97). Conclusions and Relevance: The app reliably measured both known and new gaze biomarkers that distinguished toddlers with ASD vs typical development. These novel results may have potential for developing scalable autism screening tools, exportable to natural settings, and enabling data sets amenable to machine learning.</t>
        </is>
      </c>
      <c r="G168" s="4" t="inlineStr">
        <is>
          <t>No es “diagnóstico” como tal; es una herramienta en visita pediátrica para detectar síntomas tempranos/riesgo usando patrones de mirada.</t>
        </is>
      </c>
      <c r="H168" s="4" t="str"/>
      <c r="I168" s="4" t="str"/>
      <c r="J168" s="4" t="n"/>
      <c r="K168" s="4" t="inlineStr">
        <is>
          <t>Historical signals: title/abstract/notes; full-text completion not independently established</t>
        </is>
      </c>
      <c r="L168" s="4" t="inlineStr">
        <is>
          <t>Not documented in provided sources</t>
        </is>
      </c>
    </row>
    <row r="169" ht="409" customHeight="1">
      <c r="A169" s="4" t="inlineStr">
        <is>
          <t>184</t>
        </is>
      </c>
      <c r="B169" s="4" t="inlineStr">
        <is>
          <t>Historical</t>
        </is>
      </c>
      <c r="C169" s="4" t="inlineStr">
        <is>
          <t>Computerized Assessment of Motor Imitation as a Scalable Method for Distinguishing Children With Autism</t>
        </is>
      </c>
      <c r="D169" s="4" t="inlineStr">
        <is>
          <t>10.1016/j.bpsc.2020.09.001</t>
        </is>
      </c>
      <c r="E169" s="4" t="inlineStr">
        <is>
          <t>https://doi.org/10.1016/j.bpsc.2020.09.001</t>
        </is>
      </c>
      <c r="F169" s="4" t="inlineStr">
        <is>
          <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t>
        </is>
      </c>
      <c r="G169" s="4" t="inlineStr">
        <is>
          <t>Algoritmo principal no explícito o fuera del codebook; Confirmar algoritmo principal en full-text; Se comparan varios modelos; se eligió el principal/mejor reportado</t>
        </is>
      </c>
      <c r="H169" s="4" t="str"/>
      <c r="I169" s="4" t="str"/>
      <c r="J169" s="4" t="n"/>
      <c r="K169" s="4" t="inlineStr">
        <is>
          <t>Historical signals: title/abstract/notes; full-text completion not independently established</t>
        </is>
      </c>
      <c r="L169" s="4" t="inlineStr">
        <is>
          <t>Not documented in provided sources</t>
        </is>
      </c>
    </row>
    <row r="170" ht="359" customHeight="1">
      <c r="A170" s="4" t="inlineStr">
        <is>
          <t>185</t>
        </is>
      </c>
      <c r="B170" s="4" t="inlineStr">
        <is>
          <t>Historical</t>
        </is>
      </c>
      <c r="C170" s="4" t="inlineStr">
        <is>
          <t>Construction of ASD Intervention System Based On Neural Network Model</t>
        </is>
      </c>
      <c r="D170" s="4" t="inlineStr">
        <is>
          <t>10.1016/j.procs.2025.05.032</t>
        </is>
      </c>
      <c r="E170" s="4" t="inlineStr">
        <is>
          <t>https://doi.org/10.1016/j.procs.2025.05.032</t>
        </is>
      </c>
      <c r="F170" s="4" t="inlineStr">
        <is>
          <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t>
        </is>
      </c>
      <c r="G170" s="4" t="str"/>
      <c r="H170" s="4" t="str"/>
      <c r="I170" s="4" t="str"/>
      <c r="J170" s="4" t="n"/>
      <c r="K170" s="4" t="inlineStr">
        <is>
          <t>Historical signals: title/abstract/notes; full-text completion not independently established</t>
        </is>
      </c>
      <c r="L170" s="4" t="inlineStr">
        <is>
          <t>Not documented in provided sources</t>
        </is>
      </c>
    </row>
    <row r="171" ht="372" customHeight="1">
      <c r="A171" s="4" t="inlineStr">
        <is>
          <t>186</t>
        </is>
      </c>
      <c r="B171" s="4" t="inlineStr">
        <is>
          <t>Historical</t>
        </is>
      </c>
      <c r="C171" s="4" t="inlineStr">
        <is>
          <t>Decoding Autism: Uncovering patterns in brain connectivity through sparsity analysis with rs-fMRI data</t>
        </is>
      </c>
      <c r="D171" s="4" t="inlineStr">
        <is>
          <t>10.1016/j.jneumeth.2024.110100</t>
        </is>
      </c>
      <c r="E171" s="4" t="inlineStr">
        <is>
          <t>https://doi.org/10.1016/j.jneumeth.2024.110100</t>
        </is>
      </c>
      <c r="F171" s="4" t="inlineStr">
        <is>
          <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t>
        </is>
      </c>
      <c r="G171" s="4" t="inlineStr">
        <is>
          <t>Algoritmo principal no explícito o fuera del codebook; Confirmar algoritmo principal en full-text; Se comparan varios modelos; se eligió el principal/mejor reportado</t>
        </is>
      </c>
      <c r="H171" s="4" t="str"/>
      <c r="I171" s="4" t="str"/>
      <c r="J171" s="4" t="n"/>
      <c r="K171" s="4" t="inlineStr">
        <is>
          <t>Historical signals: title/abstract/notes; full-text completion not independently established</t>
        </is>
      </c>
      <c r="L171" s="4" t="inlineStr">
        <is>
          <t>Not documented in provided sources</t>
        </is>
      </c>
    </row>
    <row r="172" ht="398" customHeight="1">
      <c r="A172" s="4" t="inlineStr">
        <is>
          <t>187</t>
        </is>
      </c>
      <c r="B172" s="4" t="inlineStr">
        <is>
          <t>Historical</t>
        </is>
      </c>
      <c r="C172" s="4" t="inlineStr">
        <is>
          <t>Deep Radiomics for Autism Diagnosis and Age Prediction</t>
        </is>
      </c>
      <c r="D172" s="4" t="inlineStr">
        <is>
          <t>10.1109/thms.2025.3526957</t>
        </is>
      </c>
      <c r="E172" s="4" t="inlineStr">
        <is>
          <t>https://doi.org/10.1109/thms.2025.3526957</t>
        </is>
      </c>
      <c r="F172" s="4" t="inlineStr">
        <is>
          <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t>
        </is>
      </c>
      <c r="G172" s="4" t="str"/>
      <c r="H172" s="4" t="str"/>
      <c r="I172" s="4" t="str"/>
      <c r="J172" s="4" t="n"/>
      <c r="K172" s="4" t="inlineStr">
        <is>
          <t>Historical signals: title/abstract/notes; full-text completion not independently established</t>
        </is>
      </c>
      <c r="L172" s="4" t="inlineStr">
        <is>
          <t>Not documented in provided sources</t>
        </is>
      </c>
    </row>
    <row r="173" ht="346" customHeight="1">
      <c r="A173" s="4" t="inlineStr">
        <is>
          <t>188</t>
        </is>
      </c>
      <c r="B173" s="4" t="inlineStr">
        <is>
          <t>Historical</t>
        </is>
      </c>
      <c r="C173" s="4" t="inlineStr">
        <is>
          <t>Deep-learning-based detection of infants with autism spectrum disorder using auto-encoder feature representation</t>
        </is>
      </c>
      <c r="D173" s="4" t="inlineStr">
        <is>
          <t>10.3390/s20236762</t>
        </is>
      </c>
      <c r="E173" s="4" t="inlineStr">
        <is>
          <t>https://doi.org/10.3390/s20236762</t>
        </is>
      </c>
      <c r="F173" s="4" t="inlineStr">
        <is>
          <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t>
        </is>
      </c>
      <c r="G173" s="4" t="inlineStr">
        <is>
          <t>Autoencoder para detección en infantes; confirmar fuente de datos exacta (no totalmente explícita en el abstract).</t>
        </is>
      </c>
      <c r="H173" s="4" t="str"/>
      <c r="I173" s="4" t="str"/>
      <c r="J173" s="4" t="n"/>
      <c r="K173" s="4" t="inlineStr">
        <is>
          <t>Historical signals: title/abstract/notes; full-text completion not independently established</t>
        </is>
      </c>
      <c r="L173" s="4" t="inlineStr">
        <is>
          <t>Not documented in provided sources</t>
        </is>
      </c>
    </row>
    <row r="174" ht="385" customHeight="1">
      <c r="A174" s="4" t="inlineStr">
        <is>
          <t>189</t>
        </is>
      </c>
      <c r="B174" s="4" t="inlineStr">
        <is>
          <t>Historical</t>
        </is>
      </c>
      <c r="C174" s="4" t="inlineStr">
        <is>
          <t>Early identification of autism spectrum disorder based on machine learning with eye-tracking data</t>
        </is>
      </c>
      <c r="D174" s="4" t="inlineStr">
        <is>
          <t>10.1016/j.jad.2024.04.049</t>
        </is>
      </c>
      <c r="E174" s="4" t="inlineStr">
        <is>
          <t>https://doi.org/10.1016/j.jad.2024.04.049</t>
        </is>
      </c>
      <c r="F174" s="4" t="inlineStr">
        <is>
          <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t>
        </is>
      </c>
      <c r="G174" s="4" t="inlineStr">
        <is>
          <t>Se comparan varios modelos; se eligió el principal/mejor reportado</t>
        </is>
      </c>
      <c r="H174" s="4" t="str"/>
      <c r="I174" s="4" t="str"/>
      <c r="J174" s="4" t="n"/>
      <c r="K174" s="4" t="inlineStr">
        <is>
          <t>Historical signals: title/abstract/notes; full-text completion not independently established</t>
        </is>
      </c>
      <c r="L174" s="4" t="inlineStr">
        <is>
          <t>Not documented in provided sources</t>
        </is>
      </c>
    </row>
    <row r="175" ht="398" customHeight="1">
      <c r="A175" s="4" t="inlineStr">
        <is>
          <t>190</t>
        </is>
      </c>
      <c r="B175" s="4" t="inlineStr">
        <is>
          <t>Historical</t>
        </is>
      </c>
      <c r="C175" s="4" t="inlineStr">
        <is>
          <t>Examining overlap and homogeneity in ASD, ADHD, and OCD: a data-driven, diagnosis-agnostic approach</t>
        </is>
      </c>
      <c r="D175" s="4" t="inlineStr">
        <is>
          <t>10.1038/s41398-019-0631-2</t>
        </is>
      </c>
      <c r="E175" s="4" t="inlineStr">
        <is>
          <t>https://doi.org/10.1038/s41398-019-0631-2</t>
        </is>
      </c>
      <c r="F175" s="4" t="inlineStr">
        <is>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is>
      </c>
      <c r="G175" s="4" t="inlineStr">
        <is>
          <t>Bagged-multiview clustering (bagging + spectral clustering)</t>
        </is>
      </c>
      <c r="H175" s="4" t="str"/>
      <c r="I175" s="4" t="str"/>
      <c r="J175" s="4" t="n"/>
      <c r="K175" s="4" t="inlineStr">
        <is>
          <t>Historical signals: title/abstract/notes; full-text completion not independently established</t>
        </is>
      </c>
      <c r="L175" s="4" t="inlineStr">
        <is>
          <t>Not documented in provided sources</t>
        </is>
      </c>
    </row>
    <row r="176" ht="268" customHeight="1">
      <c r="A176" s="4" t="inlineStr">
        <is>
          <t>191</t>
        </is>
      </c>
      <c r="B176" s="4" t="inlineStr">
        <is>
          <t>Historical</t>
        </is>
      </c>
      <c r="C176" s="4" t="inlineStr">
        <is>
          <t>Explainable and scalable machine learning algorithms for detection of autism spectrum disorder using fMRI data</t>
        </is>
      </c>
      <c r="D176" s="4" t="inlineStr">
        <is>
          <t>10.1016/b978-0-12-822822-7.00004-1</t>
        </is>
      </c>
      <c r="E176" s="4" t="inlineStr">
        <is>
          <t>https://doi.org/10.1016/b978-0-12-822822-7.00004-1</t>
        </is>
      </c>
      <c r="F176" s="4" t="inlineStr">
        <is>
          <t>Diagnosing autism spectrum disorder (ASD) is a challenging problem and is based purely on behavioral descriptions of symptomology (Diagnostic and Statistical Manual-5th Edition/ICD-10). Numerous limitations (e.g., informant discrepancies, lack of adherence to assessment guidelines) to current diagnostic practices have the potential to result in misdiagnosis of the disorder. Prior research provides evidence that structural and functional magnetic resonance imaging (MRI) data collected from individuals with ASD exhibit distinguishing characteristics that differ in neural patterns of the brain. Our proposed deep learning model ASD-DiagNet exhibits consistently high accuracy for classification of ASD brain scans from neurotypical scans. We have integrated traditional machine learning and deep learning techniques that allow us to isolate ASD biomarkers from MRI data sets. Our method, called Auto-ASD-Network, uses a combination of deep learning and support vector machines to classify ASD scans from neurotypical ones. Such interpretable models would help one to explain the decisions made by deep learning techniques leading to knowledge discovery for neuroscientists.</t>
        </is>
      </c>
      <c r="G176" s="4" t="inlineStr">
        <is>
          <t>Título/abstract con señal explícita de explainable; estrategia híbrida/integrativa.</t>
        </is>
      </c>
      <c r="H176" s="4" t="inlineStr">
        <is>
          <t>fMRI ASD classifier with interpretable outputs intended to support diagnostic understanding.</t>
        </is>
      </c>
      <c r="I176" s="4" t="str"/>
      <c r="J176" s="4" t="n"/>
      <c r="K176" s="4" t="inlineStr">
        <is>
          <t>Historical signals: title/abstract/notes; full-text completion not independently established</t>
        </is>
      </c>
      <c r="L176" s="4" t="inlineStr">
        <is>
          <t>Not documented in provided sources</t>
        </is>
      </c>
    </row>
    <row r="177" ht="203" customHeight="1">
      <c r="A177" s="4" t="inlineStr">
        <is>
          <t>193</t>
        </is>
      </c>
      <c r="B177" s="4" t="inlineStr">
        <is>
          <t>Historical</t>
        </is>
      </c>
      <c r="C177" s="4" t="inlineStr">
        <is>
          <t>Feasibility Study of\&amp;#xa0;a\&amp;#xa0;ML-Based ASD Monitoring System</t>
        </is>
      </c>
      <c r="D177" s="4" t="inlineStr">
        <is>
          <t>10.1007/978-3-031-06242-1_27</t>
        </is>
      </c>
      <c r="E177" s="4" t="inlineStr">
        <is>
          <t>https://doi.org/10.1007/978-3-031-06242-1_27</t>
        </is>
      </c>
      <c r="F177" s="4" t="inlineStr">
        <is>
          <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t>
        </is>
      </c>
      <c r="G177" s="4" t="str"/>
      <c r="H177" s="4" t="str"/>
      <c r="I177" s="4" t="str"/>
      <c r="J177" s="4" t="n"/>
      <c r="K177" s="4" t="inlineStr">
        <is>
          <t>Historical signals: title/abstract/notes; full-text completion not independently established</t>
        </is>
      </c>
      <c r="L177" s="4" t="inlineStr">
        <is>
          <t>Not documented in provided sources</t>
        </is>
      </c>
    </row>
    <row r="178" ht="320" customHeight="1">
      <c r="A178" s="4" t="inlineStr">
        <is>
          <t>194</t>
        </is>
      </c>
      <c r="B178" s="4" t="inlineStr">
        <is>
          <t>Historical</t>
        </is>
      </c>
      <c r="C178" s="4" t="inlineStr">
        <is>
          <t>Feature replacement methods enable reliable home video analysis for machine learning detection of autism</t>
        </is>
      </c>
      <c r="D178" s="4" t="inlineStr">
        <is>
          <t>10.1038/s41598-020-76874-w</t>
        </is>
      </c>
      <c r="E178" s="4" t="inlineStr">
        <is>
          <t>https://doi.org/10.1038/s41598-020-76874-w</t>
        </is>
      </c>
      <c r="F178" s="4" t="inlineStr">
        <is>
          <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t>
        </is>
      </c>
      <c r="G178" s="4" t="inlineStr">
        <is>
          <t>El paper evalúa dos familias (LR9 y ADTree7). Si tu columna “main algorithm” solo permite una opción, conviene añadir una opción tipo “Multiple (specify)” o permitir multiselección para no perder fidelidad</t>
        </is>
      </c>
      <c r="H178" s="4" t="str"/>
      <c r="I178" s="4" t="str"/>
      <c r="J178" s="4" t="n"/>
      <c r="K178" s="4" t="inlineStr">
        <is>
          <t>Historical signals: title/abstract/notes; full-text completion not independently established</t>
        </is>
      </c>
      <c r="L178" s="4" t="inlineStr">
        <is>
          <t>Not documented in provided sources</t>
        </is>
      </c>
    </row>
    <row r="179" ht="268" customHeight="1">
      <c r="A179" s="4" t="inlineStr">
        <is>
          <t>195</t>
        </is>
      </c>
      <c r="B179" s="4" t="inlineStr">
        <is>
          <t>Historical</t>
        </is>
      </c>
      <c r="C179" s="4" t="inlineStr">
        <is>
          <t>Fuzzy logic-based hybrid knowledge systems for the detection and diagnosis of childhood autism</t>
        </is>
      </c>
      <c r="D179" s="4" t="inlineStr">
        <is>
          <t>10.1016/b978-0-12-822271-3.00016-5</t>
        </is>
      </c>
      <c r="E179" s="4" t="inlineStr">
        <is>
          <t>https://doi.org/10.1016/b978-0-12-822271-3.00016-5</t>
        </is>
      </c>
      <c r="F179" s="4" t="inlineStr">
        <is>
          <t>Autism is one of those psychiatric disorders that affect an individual’s social, personal, and professional sphere(s). Autism, especially in children, is one of the most common behavioral disorders, wherein lack of good communication understandability exists throughout adulthood. The prescribed treatment of an autistic child depends completely upon an exhaustive, accurate examination of the child, which is very difficult for clinicians and consultants. Since autism is a complicated and very difficult psychiatric disorder, clinicians have joined hands with computational biologists to solve the foundations underlying the detection and diagnosis of autism. There is enormous literature evidence that highlights the pros of using machine learning techniques to develop an efficient, accurate, and robust autism detection and diagnosis system. Based on soft computing approaches, many researchers have proposed fuzzy logic-based solutions for modeling and predicting autism spectrum disorder. This chapter highlights the current scenario of autism detection and diagnosis, and how a soft computing-based intelligent agent-fuzzy logic systems-is being used to predict autism and its grades in children.</t>
        </is>
      </c>
      <c r="G179" s="4" t="str"/>
      <c r="H179" s="4" t="str"/>
      <c r="I179" s="4" t="str"/>
      <c r="J179" s="4" t="n"/>
      <c r="K179" s="4" t="inlineStr">
        <is>
          <t>Historical signals: title/abstract/notes; full-text completion not independently established</t>
        </is>
      </c>
      <c r="L179" s="4" t="inlineStr">
        <is>
          <t>Not documented in provided sources</t>
        </is>
      </c>
    </row>
    <row r="180" ht="409" customHeight="1">
      <c r="A180" s="4" t="inlineStr">
        <is>
          <t>196</t>
        </is>
      </c>
      <c r="B180" s="4" t="inlineStr">
        <is>
          <t>Historical</t>
        </is>
      </c>
      <c r="C180" s="4" t="inlineStr">
        <is>
          <t>Genetic factor analysis for an early diagnosis of autism through machine learning</t>
        </is>
      </c>
      <c r="D180" s="4" t="inlineStr">
        <is>
          <t>10.1016/b978-0-323-98352-5.00001-x</t>
        </is>
      </c>
      <c r="E180" s="4" t="inlineStr">
        <is>
          <t>https://doi.org/10.1016/b978-0-323-98352-5.00001-x</t>
        </is>
      </c>
      <c r="F180" s="4" t="inlineStr">
        <is>
          <t>Instances of autism spectrum disorder (ASD) in children are not uncommon. In fact, it is one of the most prevalent neurologic diseases in leading nations of the world. Around 1 out of every 270 children worldwide is affected by autism according to the World Health Organization. Its prevalence, however, varies by regions across the world. The United States of America has one of the highest compositions of autism-affected babies. ASD is generally marked by an impairment in mental, emotional, and cognitive abilities in people from birth. Its causes range through a multitude of genetic and environmental factors, and in some cases, they might be a combination. It is also presumed that children with a family history of autism possess a much higher chance of acquiring autism by heredity. A low birth weight or a high age of the parent during the birth of the baby might also influence the presence of autism in the child. Most ASDs are further transmitted through genes from parents to the offspring. In recent times, machine learning–associated research and related diagnosis has advanced to replace conventional approaches that might be tedious and expensive. Machine learning algorithms also have an immense scope of improving diagnostic research in psychologic sciences, and they can be specifically instrumental with cases involving the familiar and diverse ailments in ASD. Machine learning algorithms also assist researchers to better understand and comprehend as to why the traits of autism vary in nature from one person to another. However, the application of machine learning algorithms when there is a lack of medical prowess is not the best choice, and it can lead to unexplainable results if the diagnosis is not performed in the right manner, which is important to the analysis of preprocessing the data. The authors in this chapter critically examine various signs in babies that might help with early diagnosis of autism in babies by carrying out a set of machine learning algorithms on an existing data set, along with analyzing various genetic and preexisting factors, in an attempt to produce actionable insights in this regard.</t>
        </is>
      </c>
      <c r="G180" s="4" t="inlineStr">
        <is>
          <t>Sin señal explícita Q3 en título/abstract.</t>
        </is>
      </c>
      <c r="H180" s="4" t="inlineStr">
        <is>
          <t>ML analysis of genetic and pre-existing factors for early ASD diagnosis/actionable insights.</t>
        </is>
      </c>
      <c r="I180" s="4" t="str"/>
      <c r="J180" s="4" t="n"/>
      <c r="K180" s="4" t="inlineStr">
        <is>
          <t>Historical signals: title/abstract/notes; full-text completion not independently established</t>
        </is>
      </c>
      <c r="L180" s="4" t="inlineStr">
        <is>
          <t>Not documented in provided sources</t>
        </is>
      </c>
    </row>
    <row r="181" ht="409" customHeight="1">
      <c r="A181" s="4" t="inlineStr">
        <is>
          <t>197</t>
        </is>
      </c>
      <c r="B181" s="4" t="inlineStr">
        <is>
          <t>Historical</t>
        </is>
      </c>
      <c r="C181" s="4" t="inlineStr">
        <is>
          <t>Hybrid Diagnosis Models for Autism Patients Based on Medical and Sociodemographic Features Using Machine Learning and Multicriteria Decision-Making (MCDM) Techniques: An Evaluation and Benchmarking Framework</t>
        </is>
      </c>
      <c r="D181" s="4" t="inlineStr">
        <is>
          <t>10.1155/2022/9410222</t>
        </is>
      </c>
      <c r="E181" s="4" t="inlineStr">
        <is>
          <t>https://doi.org/10.1155/2022/9410222</t>
        </is>
      </c>
      <c r="F181" s="4" t="inlineStr">
        <is>
          <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t>
        </is>
      </c>
      <c r="G181" s="4" t="inlineStr">
        <is>
          <t>Algoritmo principal no explícito o fuera del codebook; Confirmar algoritmo principal en full-text; Se comparan varios modelos; se eligió el principal/mejor reportado</t>
        </is>
      </c>
      <c r="H181" s="4" t="str"/>
      <c r="I181" s="4" t="str"/>
      <c r="J181" s="4" t="n"/>
      <c r="K181" s="4" t="inlineStr">
        <is>
          <t>Historical signals: title/abstract/notes; full-text completion not independently established</t>
        </is>
      </c>
      <c r="L181" s="4" t="inlineStr">
        <is>
          <t>Not documented in provided sources</t>
        </is>
      </c>
    </row>
    <row r="182" ht="409" customHeight="1">
      <c r="A182" s="4" t="inlineStr">
        <is>
          <t>199</t>
        </is>
      </c>
      <c r="B182" s="4" t="inlineStr">
        <is>
          <t>Historical</t>
        </is>
      </c>
      <c r="C182" s="4" t="inlineStr">
        <is>
          <t>Informing developmental milestone achievement for children with autism: Machine learning approach</t>
        </is>
      </c>
      <c r="D182" s="4" t="inlineStr">
        <is>
          <t>10.2196/29242</t>
        </is>
      </c>
      <c r="E182" s="4" t="inlineStr">
        <is>
          <t>https://doi.org/10.2196/29242</t>
        </is>
      </c>
      <c r="F182" s="4" t="inlineStr">
        <is>
          <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t>
        </is>
      </c>
      <c r="G182" s="4" t="inlineStr">
        <is>
          <t>Binary classification of milestone achievement; not ASD-vs-control.</t>
        </is>
      </c>
      <c r="H182" s="4" t="str"/>
      <c r="I182" s="4" t="str"/>
      <c r="J182" s="4" t="n"/>
      <c r="K182" s="4" t="inlineStr">
        <is>
          <t>Historical signals: title/abstract/notes; full-text completion not independently established</t>
        </is>
      </c>
      <c r="L182" s="4" t="inlineStr">
        <is>
          <t>Not documented in provided sources</t>
        </is>
      </c>
    </row>
    <row r="183" ht="372" customHeight="1">
      <c r="A183" s="4" t="inlineStr">
        <is>
          <t>200</t>
        </is>
      </c>
      <c r="B183" s="4" t="inlineStr">
        <is>
          <t>Historical</t>
        </is>
      </c>
      <c r="C183" s="4" t="inlineStr">
        <is>
          <t>Machine learning based autism screening tool—a modified approach</t>
        </is>
      </c>
      <c r="D183" s="4" t="inlineStr">
        <is>
          <t>10.1007/s11042-024-18519-y</t>
        </is>
      </c>
      <c r="E183" s="4" t="inlineStr">
        <is>
          <t>https://doi.org/10.1007/s11042-024-18519-y</t>
        </is>
      </c>
      <c r="F183" s="4" t="inlineStr">
        <is>
          <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t>
        </is>
      </c>
      <c r="G183" s="4" t="str"/>
      <c r="H183" s="4" t="str"/>
      <c r="I183" s="4" t="str"/>
      <c r="J183" s="4" t="n"/>
      <c r="K183" s="4" t="inlineStr">
        <is>
          <t>Historical signals: title/abstract/notes; full-text completion not independently established</t>
        </is>
      </c>
      <c r="L183" s="4" t="inlineStr">
        <is>
          <t>Not documented in provided sources</t>
        </is>
      </c>
    </row>
    <row r="184" ht="398" customHeight="1">
      <c r="A184" s="4" t="inlineStr">
        <is>
          <t>201</t>
        </is>
      </c>
      <c r="B184" s="4" t="inlineStr">
        <is>
          <t>Historical</t>
        </is>
      </c>
      <c r="C184" s="4" t="inlineStr">
        <is>
          <t>Machine Learning–Based Approach for Early Screening of Autism Spectrum Disorders</t>
        </is>
      </c>
      <c r="D184" s="4" t="inlineStr">
        <is>
          <t>10.1155/acis/9975499</t>
        </is>
      </c>
      <c r="E184" s="4" t="inlineStr">
        <is>
          <t>https://doi.org/10.1155/acis/9975499</t>
        </is>
      </c>
      <c r="F184" s="4" t="inlineStr">
        <is>
          <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t>
        </is>
      </c>
      <c r="G184" s="4" t="inlineStr">
        <is>
          <t>Se comparan varios modelos; se eligió el principal/mejor reportado</t>
        </is>
      </c>
      <c r="H184" s="4" t="str"/>
      <c r="I184" s="4" t="str"/>
      <c r="J184" s="4" t="n"/>
      <c r="K184" s="4" t="inlineStr">
        <is>
          <t>Historical signals: title/abstract/notes; full-text completion not independently established</t>
        </is>
      </c>
      <c r="L184" s="4" t="inlineStr">
        <is>
          <t>Not documented in provided sources</t>
        </is>
      </c>
    </row>
    <row r="185" ht="320" customHeight="1">
      <c r="A185" s="4" t="inlineStr">
        <is>
          <t>202</t>
        </is>
      </c>
      <c r="B185" s="4" t="inlineStr">
        <is>
          <t>Historical</t>
        </is>
      </c>
      <c r="C185" s="4" t="inlineStr">
        <is>
          <t>Model selection to achieve reproducible associations between resting state EEG features and autism</t>
        </is>
      </c>
      <c r="D185" s="4" t="inlineStr">
        <is>
          <t>10.1038/s41598-024-76659-5</t>
        </is>
      </c>
      <c r="E185" s="4" t="inlineStr">
        <is>
          <t>https://doi.org/10.1038/s41598-024-76659-5</t>
        </is>
      </c>
      <c r="F185" s="4" t="inlineStr">
        <is>
          <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t>
        </is>
      </c>
      <c r="G185" s="4" t="inlineStr">
        <is>
          <t>Algoritmo principal no explícito o fuera del codebook; Confirmar algoritmo principal en full-text</t>
        </is>
      </c>
      <c r="H185" s="4" t="str"/>
      <c r="I185" s="4" t="str"/>
      <c r="J185" s="4" t="n"/>
      <c r="K185" s="4" t="inlineStr">
        <is>
          <t>Historical signals: title/abstract/notes; full-text completion not independently established</t>
        </is>
      </c>
      <c r="L185" s="4" t="inlineStr">
        <is>
          <t>Not documented in provided sources</t>
        </is>
      </c>
    </row>
    <row r="186" ht="409" customHeight="1">
      <c r="A186" s="4" t="inlineStr">
        <is>
          <t>203</t>
        </is>
      </c>
      <c r="B186" s="4" t="inlineStr">
        <is>
          <t>Historical</t>
        </is>
      </c>
      <c r="C186" s="4" t="inlineStr">
        <is>
          <t>Multimodal autism detection: Deep hybrid model with improved feature level fusion</t>
        </is>
      </c>
      <c r="D186" s="4" t="inlineStr">
        <is>
          <t>10.1016/j.cmpb.2024.108492</t>
        </is>
      </c>
      <c r="E186" s="4" t="inlineStr">
        <is>
          <t>https://doi.org/10.1016/j.cmpb.2024.108492</t>
        </is>
      </c>
      <c r="F186" s="4"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G186" s="4" t="str"/>
      <c r="H186" s="4" t="str"/>
      <c r="I186" s="4" t="str"/>
      <c r="J186" s="4" t="n"/>
      <c r="K186" s="4" t="inlineStr">
        <is>
          <t>Historical signals: title/abstract/notes; full-text completion not independently established</t>
        </is>
      </c>
      <c r="L186" s="4" t="inlineStr">
        <is>
          <t>Not documented in provided sources</t>
        </is>
      </c>
    </row>
    <row r="187" ht="190" customHeight="1">
      <c r="A187" s="4" t="inlineStr">
        <is>
          <t>204</t>
        </is>
      </c>
      <c r="B187" s="4" t="inlineStr">
        <is>
          <t>Historical</t>
        </is>
      </c>
      <c r="C187" s="4" t="inlineStr">
        <is>
          <t>Multi-task feature selection via supervised canonical graph matching for diagnosis of autism spectrum disorder</t>
        </is>
      </c>
      <c r="D187" s="4" t="inlineStr">
        <is>
          <t>10.1007/s11682-015-9360-1</t>
        </is>
      </c>
      <c r="E187" s="4" t="inlineStr">
        <is>
          <t>https://doi.org/10.1007/s11682-015-9360-1</t>
        </is>
      </c>
      <c r="F187" s="4" t="inlineStr">
        <is>
          <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t>
        </is>
      </c>
      <c r="G187" s="4" t="str"/>
      <c r="H187" s="4" t="str"/>
      <c r="I187" s="4" t="str"/>
      <c r="J187" s="4" t="n"/>
      <c r="K187" s="4" t="inlineStr">
        <is>
          <t>Historical signals: title/abstract/notes; full-text completion not independently established</t>
        </is>
      </c>
      <c r="L187" s="4" t="inlineStr">
        <is>
          <t>Not documented in provided sources</t>
        </is>
      </c>
    </row>
    <row r="188" ht="294" customHeight="1">
      <c r="A188" s="4" t="inlineStr">
        <is>
          <t>205</t>
        </is>
      </c>
      <c r="B188" s="4" t="inlineStr">
        <is>
          <t>Historical</t>
        </is>
      </c>
      <c r="C188" s="4" t="inlineStr">
        <is>
          <t>Off-Body Sleep Analysis for Predicting Adverse Behavior in Individuals With Autism Spectrum Disorder</t>
        </is>
      </c>
      <c r="D188" s="4" t="inlineStr">
        <is>
          <t>10.1109/jbhi.2024.3455942</t>
        </is>
      </c>
      <c r="E188" s="4" t="inlineStr">
        <is>
          <t>https://doi.org/10.1109/jbhi.2024.3455942</t>
        </is>
      </c>
      <c r="F188" s="4" t="inlineStr">
        <is>
          <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t>
        </is>
      </c>
      <c r="G188" s="4" t="inlineStr">
        <is>
          <t>Algoritmo principal no explícito o fuera del codebook; Confirmar algoritmo principal en full-text</t>
        </is>
      </c>
      <c r="H188" s="4" t="str"/>
      <c r="I188" s="4" t="str"/>
      <c r="J188" s="4" t="n"/>
      <c r="K188" s="4" t="inlineStr">
        <is>
          <t>Historical signals: title/abstract/notes; full-text completion not independently established</t>
        </is>
      </c>
      <c r="L188" s="4" t="inlineStr">
        <is>
          <t>Not documented in provided sources</t>
        </is>
      </c>
    </row>
    <row r="189" ht="294" customHeight="1">
      <c r="A189" s="4" t="inlineStr">
        <is>
          <t>206</t>
        </is>
      </c>
      <c r="B189" s="4" t="inlineStr">
        <is>
          <t>Historical</t>
        </is>
      </c>
      <c r="C189" s="4" t="inlineStr">
        <is>
          <t>Overlaps in brain dynamic functional connectivity between schizophrenia and autism spectrum disorder</t>
        </is>
      </c>
      <c r="D189" s="4" t="inlineStr">
        <is>
          <t>10.1016/j.sciaf.2018.e00019</t>
        </is>
      </c>
      <c r="E189" s="4" t="inlineStr">
        <is>
          <t>https://doi.org/10.1016/j.sciaf.2018.e00019</t>
        </is>
      </c>
      <c r="F189" s="4" t="inlineStr">
        <is>
          <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t>
        </is>
      </c>
      <c r="G189" s="4" t="inlineStr">
        <is>
          <t>Algoritmo principal no explícito o fuera del codebook; Confirmar algoritmo principal en full-text</t>
        </is>
      </c>
      <c r="H189" s="4" t="str"/>
      <c r="I189" s="4" t="str"/>
      <c r="J189" s="4" t="n"/>
      <c r="K189" s="4" t="inlineStr">
        <is>
          <t>Historical signals: title/abstract/notes; full-text completion not independently established</t>
        </is>
      </c>
      <c r="L189" s="4" t="inlineStr">
        <is>
          <t>Not documented in provided sources</t>
        </is>
      </c>
    </row>
    <row r="190" ht="372" customHeight="1">
      <c r="A190" s="4" t="inlineStr">
        <is>
          <t>207</t>
        </is>
      </c>
      <c r="B190" s="4" t="inlineStr">
        <is>
          <t>Historical</t>
        </is>
      </c>
      <c r="C190" s="4" t="inlineStr">
        <is>
          <t>Persistent spectral based machine learning method for autism spectrum disorder classification</t>
        </is>
      </c>
      <c r="D190" s="4" t="inlineStr">
        <is>
          <t>10.1016/j.neucom.2025.130780</t>
        </is>
      </c>
      <c r="E190" s="4" t="inlineStr">
        <is>
          <t>https://doi.org/10.1016/j.neucom.2025.130780</t>
        </is>
      </c>
      <c r="F190" s="4" t="inlineStr">
        <is>
          <t>Background: Autism spectrum disorder (ASD) is a widespread and intricate neurodevelopmental condition. The increasing prevalence of ASD creates a very significant burden on both society and families. Functional magnetic resonance imaging (fMRI) contributes to a deeper understanding of ASD while also facilitating the development of early diagnosis and effective treatment strategies. This study aims to provide new and more reliable tools for early diagnosis of ASD and gain deeper insights into its neural mechanisms through the combination of topology and persistent spectral theory with functional connectivity. Methods: We proposed a persistent spectral machine learning model based on the simplicial complex for characterizing the functional connectivity in the Autism Brain Imaging Data Exchange I dataset. Simplicial complexes were used to characterize the functional connectivity with coefficients no less than 0.3. We arranged a filtration value for each simplex and persistent Laplacian matrices were calculated through a filtration process. The corresponding persistent attributes, after removing covariates, were used as inputs of classifiers. Results: Achieving an accuracy of 87.5%, our model outperformed other models that applied functional connectivity, similar sample sizes and the same preprocessing pipelines. We found that the numbers and distribution of connected components and loops of the global functional connectivity are important for classification. Conclusions: This study provided a feature extraction method based on persistent spectral theory for ASD research. Our model offers a different perspective on the research of related conditions and has great and notable potential in diagnosis.</t>
        </is>
      </c>
      <c r="G190" s="4" t="str"/>
      <c r="H190" s="4" t="str"/>
      <c r="I190" s="4" t="str"/>
      <c r="J190" s="4" t="n"/>
      <c r="K190" s="4" t="inlineStr">
        <is>
          <t>Historical signals: title/abstract/notes; full-text completion not independently established</t>
        </is>
      </c>
      <c r="L190" s="4" t="inlineStr">
        <is>
          <t>Not documented in provided sources</t>
        </is>
      </c>
    </row>
    <row r="191" ht="359" customHeight="1">
      <c r="A191" s="4" t="inlineStr">
        <is>
          <t>208</t>
        </is>
      </c>
      <c r="B191" s="4" t="inlineStr">
        <is>
          <t>Historical</t>
        </is>
      </c>
      <c r="C191" s="4" t="inlineStr">
        <is>
          <t>Phenotypic differences between female and male individuals with suspicion of autism spectrum disorder</t>
        </is>
      </c>
      <c r="D191" s="4" t="inlineStr">
        <is>
          <t>10.1186/s13229-022-00491-9</t>
        </is>
      </c>
      <c r="E191" s="4" t="inlineStr">
        <is>
          <t>https://doi.org/10.1186/s13229-022-00491-9</t>
        </is>
      </c>
      <c r="F191" s="4" t="inlineStr">
        <is>
          <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t>
        </is>
      </c>
      <c r="G191" s="4" t="str"/>
      <c r="H191" s="4" t="str"/>
      <c r="I191" s="4" t="str"/>
      <c r="J191" s="4" t="n"/>
      <c r="K191" s="4" t="inlineStr">
        <is>
          <t>Historical signals: title/abstract/notes; full-text completion not independently established</t>
        </is>
      </c>
      <c r="L191" s="4" t="inlineStr">
        <is>
          <t>Not documented in provided sources</t>
        </is>
      </c>
    </row>
    <row r="192" ht="320" customHeight="1">
      <c r="A192" s="4" t="inlineStr">
        <is>
          <t>209</t>
        </is>
      </c>
      <c r="B192" s="4" t="inlineStr">
        <is>
          <t>Historical</t>
        </is>
      </c>
      <c r="C192" s="4" t="inlineStr">
        <is>
          <t>Predicting individual autistic symptoms for patients with autism spectrum disorder using interregional morphological connectivity</t>
        </is>
      </c>
      <c r="D192" s="4" t="inlineStr">
        <is>
          <t>10.1016/j.pscychresns.2024.111822</t>
        </is>
      </c>
      <c r="E192" s="4" t="inlineStr">
        <is>
          <t>https://doi.org/10.1016/j.pscychresns.2024.111822</t>
        </is>
      </c>
      <c r="F192" s="4" t="inlineStr">
        <is>
          <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t>
        </is>
      </c>
      <c r="G192" s="4" t="inlineStr">
        <is>
          <t>Algoritmo principal no explícito o fuera del codebook; Confirmar algoritmo principal en full-text</t>
        </is>
      </c>
      <c r="H192" s="4" t="str"/>
      <c r="I192" s="4" t="str"/>
      <c r="J192" s="4" t="n"/>
      <c r="K192" s="4" t="inlineStr">
        <is>
          <t>Historical signals: title/abstract/notes; full-text completion not independently established</t>
        </is>
      </c>
      <c r="L192" s="4" t="inlineStr">
        <is>
          <t>Not documented in provided sources</t>
        </is>
      </c>
    </row>
    <row r="193" ht="385" customHeight="1">
      <c r="A193" s="4" t="inlineStr">
        <is>
          <t>210</t>
        </is>
      </c>
      <c r="B193" s="4" t="inlineStr">
        <is>
          <t>Historical</t>
        </is>
      </c>
      <c r="C193" s="4" t="inlineStr">
        <is>
          <t>Prediction of Behavioral Improvement Through Resting-State Electroencephalography and Clinical Severity in a Randomized Controlled Trial Testing Bumetanide in Autism Spectrum Disorder</t>
        </is>
      </c>
      <c r="D193" s="4" t="inlineStr">
        <is>
          <t>10.1016/j.bpsc.2021.08.009</t>
        </is>
      </c>
      <c r="E193" s="4" t="inlineStr">
        <is>
          <t>https://doi.org/10.1016/j.bpsc.2021.08.009</t>
        </is>
      </c>
      <c r="F193" s="4" t="inlineStr">
        <is>
          <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t>
        </is>
      </c>
      <c r="G193" s="4" t="inlineStr">
        <is>
          <t>Algoritmo principal no explícito o fuera del codebook; Confirmar algoritmo principal en full-text</t>
        </is>
      </c>
      <c r="H193" s="4" t="str"/>
      <c r="I193" s="4" t="str"/>
      <c r="J193" s="4" t="n"/>
      <c r="K193" s="4" t="inlineStr">
        <is>
          <t>Historical signals: title/abstract/notes; full-text completion not independently established</t>
        </is>
      </c>
      <c r="L193" s="4" t="inlineStr">
        <is>
          <t>Not documented in provided sources</t>
        </is>
      </c>
    </row>
    <row r="194" ht="409" customHeight="1">
      <c r="A194" s="4" t="inlineStr">
        <is>
          <t>211</t>
        </is>
      </c>
      <c r="B194" s="4" t="inlineStr">
        <is>
          <t>Historical</t>
        </is>
      </c>
      <c r="C194" s="4" t="inlineStr">
        <is>
          <t>Prediction of Outcomes in Mini-Basketball Training Program for Preschool Children with Autism Using Machine Learning Models</t>
        </is>
      </c>
      <c r="D194" s="4" t="inlineStr">
        <is>
          <t>10.32604/ijmhp.2022.020075</t>
        </is>
      </c>
      <c r="E194" s="4" t="inlineStr">
        <is>
          <t>https://doi.org/10.32604/ijmhp.2022.020075</t>
        </is>
      </c>
      <c r="F194" s="4" t="inlineStr">
        <is>
          <t>In recent years evidence has emerged suggesting that Mini-basketball training program (MBTP) can be an effective intervention method to improve social communication (SC) impairments and restricted and repetitive beha-viors (RRBs) in preschool children suffering from autism spectrum disorder (ASD). However, there is a considerable degree if interindividual variability concerning these social outcomes and thus not all preschool children with ASD profit from a MBTP intervention to the same extent. In order to make more accurate predictions which preschool children with ASD can benefit from an MBTP intervention or which preschool children with ASD need additional interventions to achieve behavioral improvements, further research is required. This study aimed to investigate which individual factors of preschool children with ASD can predict MBTP intervention outcomes concerning SC impairments and RRBs. Then, test the performance of machine learning models in predicting intervention outcomes based on these factors. Participants were 26 preschool children with ASD who enrolled in a quasi-experiment and received MBTP intervention. Baseline demographic variables (e.g., age, body, mass index [BMI]), indicators of physical fitness (e.g., handgrip strength, balance performance), performance in executive function, severity of ASD symptoms, level of SC impairments, and severity of RRBs were obtained to predict treatment outcomes after MBTP intervention. Machine learning models were established based on support vector machine algorithm were implemented. For comparison, we also employed multiple linear regression models in statistics. Our findings suggest that in preschool children with ASD symptomatic severity (r = 0.712, p &lt; 0.001) and baseline SC impairments (r = 0.713, p &lt; 0.001) are predictors for intervention outcomes of SC impair-ments. Furthermore, BMI (r = −0.430, p = 0.028), symptomatic severity (r = 0.656, p &lt; 0.001), baseline SC impairments (r = 0.504, p = 0.009) and baseline RRBs (r = 0.647, p &lt; 0.001) can predict intervention outcomes of RRBs. Statistical models predicted 59.6% of variance in post-treatment SC impairments (MSE = 0.455, RMSE = 0.675, R2 = 0.596) and 58.9% of variance in post-treatment RRBs (MSE = 0.464, RMSE = 0.681, R2 = 0.589). Machine learning models predicted 83% of variance in post-treatment SC impairments (MSE = 0.188, RMSE = 0.434, R2 = 0.83) and 85.9% of variance in post-treatment RRBs (MSE = 0.051, RMSE = 0.226, R2 = 0.859), which were better than statistical models. Our findings suggest that baseline characteristics such as symptomatic severity of ASD symptoms and SC impairments are important predictors determining MBTP intervention-induced improvements concerning SC impairments and RBBs. Furthermore, the current study revealed that machine learning models can successfully be applied to predict the MBTP intervention-related outcomes in preschool children with ASD, and performed better than statistical models. Our findings can help to inform which preschool children with ASD are most likely to benefit from an MBTP intervention, and they might provide a reference for the development of personalized intervention programs for preschool children with ASD.</t>
        </is>
      </c>
      <c r="G194" s="4" t="str"/>
      <c r="H194" s="4" t="str"/>
      <c r="I194" s="4" t="str"/>
      <c r="J194" s="4" t="n"/>
      <c r="K194" s="4" t="inlineStr">
        <is>
          <t>Historical signals: title/abstract/notes; full-text completion not independently established</t>
        </is>
      </c>
      <c r="L194" s="4" t="inlineStr">
        <is>
          <t>Not documented in provided sources</t>
        </is>
      </c>
    </row>
    <row r="195" ht="409" customHeight="1">
      <c r="A195" s="4" t="inlineStr">
        <is>
          <t>212</t>
        </is>
      </c>
      <c r="B195" s="4" t="inlineStr">
        <is>
          <t>Historical</t>
        </is>
      </c>
      <c r="C195" s="4" t="inlineStr">
        <is>
          <t>Pre-trained artificial intelligence language model represents pragmatic language variability central to autism and genetically related phenotypes</t>
        </is>
      </c>
      <c r="D195" s="4" t="inlineStr">
        <is>
          <t>10.1177/13623613241304488</t>
        </is>
      </c>
      <c r="E195" s="4" t="inlineStr">
        <is>
          <t>https://doi.org/10.1177/13623613241304488</t>
        </is>
      </c>
      <c r="F195" s="4" t="inlineStr">
        <is>
          <t>Many individuals with autism experience challenges using language in social contexts (i.e., pragmatic language). Characterizing and understanding pragmatic variability is important to inform intervention strategies and the etiology of communication challenges in autism; however, current manual coding-based methods are often time and labor intensive, and not readily applied in ample sample sizes. This proof-of-concept methodological study employed an artificial intelligence pre-trained language model, Bidirectional Encoder Representations from Transformers, as a tool to address such challenges. We applied Bidirectional Encoder Representations from Transformers to computationally index pragmatic-related variability in autism and in genetically related phenotypes displaying pragmatic differences, namely, in parents of autistic individuals, fragile X syndrome, and FMR1 premutation. Findings suggest that without model fine-tuning, Bidirectional Encoder Representations from Transformers’s Next Sentence Prediction module was able to derive estimates that differentiate autistic from non-autistic groups. Moreover, such computational estimates correlated with manually coded characterization of pragmatic abilities that contribute to conversational coherence, not only in autism but also in the other genetically related phenotypes. This study represents a step forward in evaluating the efficacy of artificial intelligence language models for capturing clinically important pragmatic differences and variability related to autism, showcasing the potential of artificial intelligence to provide automatized, efficient, and objective tools for pragmatic characterization to help advance the field. Lay abstract: Autism is clinically defined by challenges with social language, including difficulties offering on-topic language in a conversation. Similar differences are also seen in genetically related conditions such as fragile X syndrome (FXS), and even among those carrying autism-related genes who do not have clinical diagnoses (e.g., the first-degree relatives of autistic individuals and carriers of the FMR1 premutation), which suggests there are genetic influences on social language related to the genes involved in autism. Characterization of social language is therefore important for informing potential intervention strategies and understanding the causes of communication challenges in autism. However, current tools for characterizing social language in both clinical and research settings are very time and labor intensive. In this study, we test an automized computational method that may address this problem. We used a type of artificial intelligence known as pre-trained language model to measure aspects of social language in autistic individuals and their parents, non-autistic comparison groups, and individuals with FXS and the FMR1 premutation. Findings suggest that these artificial intelligence approaches were able to identify differences in social language in autism, and to provide insight into the individuals’ ability to keep a conversation on-topic. These findings also were associated with broader measures of participants’ social communication ability. This study is one of the first to use artificial intelligence models to capture important differences in social language in autism and genetically related groups, demonstrating how artificial intelligence might be used to provide automatized, efficient, and objective tools for language characterization.</t>
        </is>
      </c>
      <c r="G195" s="4" t="str"/>
      <c r="H195" s="4" t="str"/>
      <c r="I195" s="4" t="str"/>
      <c r="J195" s="4" t="n"/>
      <c r="K195" s="4" t="inlineStr">
        <is>
          <t>Historical signals: title/abstract/notes; full-text completion not independently established</t>
        </is>
      </c>
      <c r="L195" s="4" t="inlineStr">
        <is>
          <t>Not documented in provided sources</t>
        </is>
      </c>
    </row>
    <row r="196" ht="294" customHeight="1">
      <c r="A196" s="4" t="inlineStr">
        <is>
          <t>213</t>
        </is>
      </c>
      <c r="B196" s="4" t="inlineStr">
        <is>
          <t>Historical</t>
        </is>
      </c>
      <c r="C196" s="4" t="inlineStr">
        <is>
          <t>Resting state functional magnetic resonance imaging and neural network classified autism and control</t>
        </is>
      </c>
      <c r="D196" s="4" t="inlineStr">
        <is>
          <t>10.1016/j.cortex.2014.08.011</t>
        </is>
      </c>
      <c r="E196" s="4" t="inlineStr">
        <is>
          <t>https://doi.org/10.1016/j.cortex.2014.08.011</t>
        </is>
      </c>
      <c r="F196" s="4" t="inlineStr">
        <is>
          <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t>
        </is>
      </c>
      <c r="G196" s="4" t="inlineStr">
        <is>
          <t>Algoritmo principal no explícito o fuera del codebook; Confirmar algoritmo principal en full-text</t>
        </is>
      </c>
      <c r="H196" s="4" t="str"/>
      <c r="I196" s="4" t="str"/>
      <c r="J196" s="4" t="n"/>
      <c r="K196" s="4" t="inlineStr">
        <is>
          <t>Historical signals: title/abstract/notes; full-text completion not independently established</t>
        </is>
      </c>
      <c r="L196" s="4" t="inlineStr">
        <is>
          <t>Not documented in provided sources</t>
        </is>
      </c>
    </row>
    <row r="197" ht="346" customHeight="1">
      <c r="A197" s="4" t="inlineStr">
        <is>
          <t>214</t>
        </is>
      </c>
      <c r="B197" s="4" t="inlineStr">
        <is>
          <t>Historical</t>
        </is>
      </c>
      <c r="C197" s="4" t="inlineStr">
        <is>
          <t>Self-Paced Learning and Privileged Information based Cascaded Multi-column Classification algorithm for ASD diagnosis</t>
        </is>
      </c>
      <c r="D197" s="4" t="inlineStr">
        <is>
          <t>10.1109/embc46164.2021.9630150</t>
        </is>
      </c>
      <c r="E197" s="4" t="inlineStr">
        <is>
          <t>https://doi.org/10.1109/embc46164.2021.9630150</t>
        </is>
      </c>
      <c r="F197" s="4" t="inlineStr">
        <is>
          <t>Autism spectrum disorder (ASD) is one of the most serious mental disorder in children. Machine learning based computer aided diagnosis (CAD) on resting-state functional magnetic resonance imaging (rs-fMRI) for ASD has attracted widespread attention. In recent years, learning using privileged information (LUPI), a supervised transfer learning method, has been generally used on multi-modality cases, which can transfer knowledge from source domain to target domain in order to improve the prediction capability on the target domain. However, multi-modality data is difficult to collect in clinical cases. LUPI method without introducing additional imaging modality images is worth further study. Random vector function link network plus (RVFL+) is a LUPI diagnosis algorithm, which has been proven to be effective for classification tasks. In this work, we proposed a self-paced learning based cascaded multi-column RVFL+ algorithm (SPL-cmcRVFL+) for ASD diagnosis. Initial classification model is trained using RVFL on the single-modal data (e.g. rs-fMRI). The output of the initial layer is then sent as privileged information (PI) to train the next layer of classification model. During this process, samples are selected using self-paced learning (SPL), which can adaptively select simple to difficult samples according to the loss value. The procedure is repeated until all samples are included. Experimental results show that our proposed method can accurately identify ASD and normal control, and outperforms other methods by a relatively higher classification accuracy.</t>
        </is>
      </c>
      <c r="G197" s="4" t="str"/>
      <c r="H197" s="4" t="str"/>
      <c r="I197" s="4" t="str"/>
      <c r="J197" s="4" t="n"/>
      <c r="K197" s="4" t="inlineStr">
        <is>
          <t>Historical signals: title/abstract/notes; full-text completion not independently established</t>
        </is>
      </c>
      <c r="L197" s="4" t="inlineStr">
        <is>
          <t>Not documented in provided sources</t>
        </is>
      </c>
    </row>
    <row r="198" ht="320" customHeight="1">
      <c r="A198" s="4" t="inlineStr">
        <is>
          <t>215</t>
        </is>
      </c>
      <c r="B198" s="4" t="inlineStr">
        <is>
          <t>Historical</t>
        </is>
      </c>
      <c r="C198" s="4" t="inlineStr">
        <is>
          <t>Smartphone Haptics Can Uncover Differences in Touch Interactions Between ASD and Neurotypicals</t>
        </is>
      </c>
      <c r="D198" s="4" t="inlineStr">
        <is>
          <t>10.1145/3699749</t>
        </is>
      </c>
      <c r="E198" s="4" t="inlineStr">
        <is>
          <t>https://doi.org/10.1145/3699749</t>
        </is>
      </c>
      <c r="F198" s="4" t="inlineStr">
        <is>
          <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t>
        </is>
      </c>
      <c r="G198" s="4" t="str"/>
      <c r="H198" s="4" t="str"/>
      <c r="I198" s="4" t="str"/>
      <c r="J198" s="4" t="n"/>
      <c r="K198" s="4" t="inlineStr">
        <is>
          <t>Historical signals: title/abstract/notes; full-text completion not independently established</t>
        </is>
      </c>
      <c r="L198" s="4" t="inlineStr">
        <is>
          <t>Not documented in provided sources</t>
        </is>
      </c>
    </row>
    <row r="199" ht="409" customHeight="1">
      <c r="A199" s="4" t="inlineStr">
        <is>
          <t>216</t>
        </is>
      </c>
      <c r="B199" s="4" t="inlineStr">
        <is>
          <t>Historical</t>
        </is>
      </c>
      <c r="C199" s="4" t="inlineStr">
        <is>
          <t>Targeted metabolomics in children with autism spectrum disorder with and without developmental regression</t>
        </is>
      </c>
      <c r="D199" s="4" t="inlineStr">
        <is>
          <t>10.1007/s11011-025-01604-y</t>
        </is>
      </c>
      <c r="E199" s="4" t="inlineStr">
        <is>
          <t>https://doi.org/10.1007/s11011-025-01604-y</t>
        </is>
      </c>
      <c r="F199" s="4" t="inlineStr">
        <is>
          <t>Early diagnosis and intervention in children with autism spectrum disorder (ASD) is crucial. At present, diagnosis of ASD is primarily based on subjective tools. Identifying metabolic biomarkers will aid in early diagnosis of ASD complementing the assessment tools. The study aimed to conduct targeted metabolomic analysis and determine the plasma metabolites that can discriminate children with ASD from typically developing children (TD), and to determine the utility of machine learning in classifying ASD children based on the metabotypes. This was a multi-centric, analytical, case-control study conducted between April 2021–April 2023. Fasting plasma samples were obtained from seventy ASD and fifty-eight TD children, aged 2 to 12 years. Samples were quantitively analysed for 52 targeted metabolites (13 amino acids, 37 acylcarnitines, adenosine and 2-deoxyadenosine levels) using tandem mass spectrometry. An in-depth statistical analysis was performed. A total of 26 metabolites (11 amino acids, 14 acyl carnitines and adenosine) were found to be significantly (p &lt; 0.005) different between ASD and TD children. Adenosine and amino acid levels were significantly decreased in ASD children. Among acyl carnitines, short- and long-chain acyl carnitine levels were significantly decreased, while medium-chain acyl carnitine levels were significantly increased in ASD children. Octenoylcarnitine-C8:1 (Cut-off value- 0.025 mmol/L, AUC- 0.683) and adenosine (Cut-off value- 0.025 mmol/L, AUC- 0.673) were found to predict children with ASD at a sensitivity of 55.7% and 57.1%, specificity of 79.3% and 72.4% respectively. Based on the metabolites, machine learning models like Support Vector Machine (SVM) and Random Forest (RF) were able to discriminate ASD from TD children with the classification accuracy score being highest in RF (79.487%, AUC- 0.800). Significant abnormalities in plasma metabolites were observed leading to disturbances in the Krebs cycle, urea cycle and fatty acid oxidation, suggesting mitochondrial dysfunction that may possibly contribute in the pathobiology of ASD. Octenoylcarnitine-C8:1 and Adenosine may serve as potential metabolic biomarkers for ASD.</t>
        </is>
      </c>
      <c r="G199" s="4" t="str"/>
      <c r="H199" s="4" t="str"/>
      <c r="I199" s="4" t="str"/>
      <c r="J199" s="4" t="n"/>
      <c r="K199" s="4" t="inlineStr">
        <is>
          <t>Historical signals: title/abstract/notes; full-text completion not independently established</t>
        </is>
      </c>
      <c r="L199" s="4" t="inlineStr">
        <is>
          <t>Not documented in provided sources</t>
        </is>
      </c>
    </row>
    <row r="200" ht="320" customHeight="1">
      <c r="A200" s="4" t="inlineStr">
        <is>
          <t>217</t>
        </is>
      </c>
      <c r="B200" s="4" t="inlineStr">
        <is>
          <t>Historical</t>
        </is>
      </c>
      <c r="C200" s="4" t="inlineStr">
        <is>
          <t>Twinned neuroimaging analysis contributes to improving the classification of young people with autism spectrum disorder</t>
        </is>
      </c>
      <c r="D200" s="4" t="inlineStr">
        <is>
          <t>10.1038/s41598-024-71174-z</t>
        </is>
      </c>
      <c r="E200" s="4" t="inlineStr">
        <is>
          <t>https://doi.org/10.1038/s41598-024-71174-z</t>
        </is>
      </c>
      <c r="F200" s="4" t="inlineStr">
        <is>
          <t>Autism spectrum disorder (ASD) is diagnosed using comprehensive behavioral information. Neuroimaging offers additional information but lacks clinical utility for diagnosis. This study investigates whether multi-forms of magnetic resonance imaging (MRI) contrast can be used individually and in combination to produce a categorical classification of young individuals with ASD. MRI data were accessed from the Autism Brain Imaging Data Exchange (ABIDE). Young participants (ages 2–30) were selected, and two group cohorts consisted of 702 participants: 351 ASD and 351 controls. Image-based classification was performed using one-channel and two-channel inputs to 3D-DenseNet deep learning networks. The models were trained and tested using tenfold cross-validation. Two-channel models were twinned with combinations of structural MRI (sMRI) maps and amplitude of low-frequency fluctuations (ALFF) or fractional ALFF (fALFF) maps from resting-state functional MRI (rs-fMRI). All models produced classification accuracy that exceeded 65.1%. The two-channel ALFF-sMRI model achieved the highest mean accuracy of 76.9% ± 2.34. The one-channel ALFF-based model alone had mean accuracy of 72% ± 3.1. This study leveraged the ABIDE dataset to produce ASD classification results that are comparable and/or exceed literature values. The deep learning approach was conducive to diverse neuroimaging inputs. Findings reveal that the ALFF-sMRI two-channel model outperformed all others.</t>
        </is>
      </c>
      <c r="G200" s="4" t="str"/>
      <c r="H200" s="4" t="str"/>
      <c r="I200" s="4" t="str"/>
      <c r="J200" s="4" t="n"/>
      <c r="K200" s="4" t="inlineStr">
        <is>
          <t>Historical signals: title/abstract/notes; full-text completion not independently established</t>
        </is>
      </c>
      <c r="L200" s="4" t="inlineStr">
        <is>
          <t>Not documented in provided sources</t>
        </is>
      </c>
    </row>
    <row r="201" ht="333" customHeight="1">
      <c r="A201" s="4" t="inlineStr">
        <is>
          <t>218</t>
        </is>
      </c>
      <c r="B201" s="4" t="inlineStr">
        <is>
          <t>Historical</t>
        </is>
      </c>
      <c r="C201" s="4" t="inlineStr">
        <is>
          <t>Using a small dataset to classify strength-interactions with an elastic display: a case study for the screening of autism spectrum disorder</t>
        </is>
      </c>
      <c r="D201" s="4" t="inlineStr">
        <is>
          <t>10.1007/s13042-022-01554-2</t>
        </is>
      </c>
      <c r="E201" s="4" t="inlineStr">
        <is>
          <t>https://doi.org/10.1007/s13042-022-01554-2</t>
        </is>
      </c>
      <c r="F201" s="4" t="inlineStr">
        <is>
          <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t>
        </is>
      </c>
      <c r="G201" s="4" t="inlineStr">
        <is>
          <t>Algoritmo principal no explícito o fuera del codebook; Confirmar algoritmo principal en full-text</t>
        </is>
      </c>
      <c r="H201" s="4" t="str"/>
      <c r="I201" s="4" t="str"/>
      <c r="J201" s="4" t="n"/>
      <c r="K201" s="4" t="inlineStr">
        <is>
          <t>Historical signals: title/abstract/notes; full-text completion not independently established</t>
        </is>
      </c>
      <c r="L201" s="4" t="inlineStr">
        <is>
          <t>Not documented in provided sources</t>
        </is>
      </c>
    </row>
    <row r="202" ht="320" customHeight="1">
      <c r="A202" s="4" t="inlineStr">
        <is>
          <t>219</t>
        </is>
      </c>
      <c r="B202" s="4" t="inlineStr">
        <is>
          <t>Historical</t>
        </is>
      </c>
      <c r="C202" s="4" t="inlineStr">
        <is>
          <t>Wearable EEG Neurofeedback Based-on Machine Learning Algorithms for Children with Autism: A Randomized, Placebo-controlled Study</t>
        </is>
      </c>
      <c r="D202" s="4" t="inlineStr">
        <is>
          <t>10.1007/s11596-024-2938-3</t>
        </is>
      </c>
      <c r="E202" s="4" t="inlineStr">
        <is>
          <t>https://doi.org/10.1007/s11596-024-2938-3</t>
        </is>
      </c>
      <c r="F202" s="4" t="inlineStr">
        <is>
          <t>Objective: Behavioral interventions have been shown to ameliorate the electroencephalogram (EEG) dynamics underlying the behavioral symptoms of autism spectrum disorder (ASD), while studies have also demonstrated that mirror neuron mu rhythm-based EEG neurofeedback training improves the behavioral functioning of individuals with ASD. This study aimed to test the effects of a wearable mu rhythm neurofeedback training system based on machine learning algorithms for children with autism. Methods: A randomized, placebo-controlled study was carried out on 60 participants aged 3 to 6 years who were diagnosed with autism, at two center-based intervention sites. The neurofeedback group received active mu rhythm neurofeedback training, while the control group received a sham neurofeedback training. Other behavioral intervention programs were similar between the two groups. Results: After 60 sessions of treatment, both groups showed significant improvements in several domains including language, social and problem behavior. The neurofeedback group showed significantly greater improvements in expressive language (P=0.013) and cognitive awareness (including joint attention, P=0.003) than did the placebo-controlled group. Conclusion: Artificial intelligence-powered wearable EEG neurofeedback, as a type of brain-computer interface application, is a promising assistive technology that can provide targeted intervention for the core brain mechanisms underlying ASD symptoms.</t>
        </is>
      </c>
      <c r="G202" s="4" t="inlineStr">
        <is>
          <t>Menciona two center-based intervention sites; señal multisitio preliminar.</t>
        </is>
      </c>
      <c r="H202" s="4" t="inlineStr">
        <is>
          <t>Wearable EEG neurofeedback system based on ML algorithms tested as an ASD intervention.</t>
        </is>
      </c>
      <c r="I202" s="4" t="str"/>
      <c r="J202" s="4" t="n"/>
      <c r="K202" s="4" t="inlineStr">
        <is>
          <t>Historical signals: title/abstract/notes; full-text completion not independently established</t>
        </is>
      </c>
      <c r="L202" s="4" t="inlineStr">
        <is>
          <t>Not documented in provided sources</t>
        </is>
      </c>
    </row>
    <row r="203" ht="333" customHeight="1">
      <c r="A203" s="4" t="inlineStr">
        <is>
          <t>220</t>
        </is>
      </c>
      <c r="B203" s="4" t="inlineStr">
        <is>
          <t>Historical</t>
        </is>
      </c>
      <c r="C203" s="4" t="inlineStr">
        <is>
          <t>1D-convolutional neural network and fast Walsh–Hadamard transform approach for diagnosing autism spectrum disorder</t>
        </is>
      </c>
      <c r="D203" s="4" t="inlineStr">
        <is>
          <t>10.1007/s00521-025-11208-3</t>
        </is>
      </c>
      <c r="E203" s="4" t="inlineStr">
        <is>
          <t>https://doi.org/10.1007/s00521-025-11208-3</t>
        </is>
      </c>
      <c r="F203" s="4" t="inlineStr">
        <is>
          <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t>
        </is>
      </c>
      <c r="G203" s="4" t="str"/>
      <c r="H203" s="4" t="str"/>
      <c r="I203" s="4" t="str"/>
      <c r="J203" s="4" t="n"/>
      <c r="K203" s="4" t="inlineStr">
        <is>
          <t>Historical signals: title/abstract/notes; full-text completion not independently established</t>
        </is>
      </c>
      <c r="L203" s="4" t="inlineStr">
        <is>
          <t>Not documented in provided sources</t>
        </is>
      </c>
    </row>
    <row r="204" ht="409" customHeight="1">
      <c r="A204" s="4" t="inlineStr">
        <is>
          <t>221</t>
        </is>
      </c>
      <c r="B204" s="4" t="inlineStr">
        <is>
          <t>Historical</t>
        </is>
      </c>
      <c r="C204" s="4" t="inlineStr">
        <is>
          <t>A hybrid Stacking-SMOTE model for optimizing the prediction of autistic genes</t>
        </is>
      </c>
      <c r="D204" s="4" t="inlineStr">
        <is>
          <t>10.1186/s12859-023-05501-y</t>
        </is>
      </c>
      <c r="E204" s="4" t="inlineStr">
        <is>
          <t>https://doi.org/10.1186/s12859-023-05501-y</t>
        </is>
      </c>
      <c r="F204" s="4" t="inlineStr">
        <is>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t>
        </is>
      </c>
      <c r="G204" s="4" t="inlineStr">
        <is>
          <t>Algoritmo principal no explícito o fuera del codebook; Confirmar algoritmo principal en full-text</t>
        </is>
      </c>
      <c r="H204" s="4" t="str"/>
      <c r="I204" s="4" t="str"/>
      <c r="J204" s="4" t="n"/>
      <c r="K204" s="4" t="inlineStr">
        <is>
          <t>Historical signals: title/abstract/notes; full-text completion not independently established</t>
        </is>
      </c>
      <c r="L204" s="4" t="inlineStr">
        <is>
          <t>Not documented in provided sources</t>
        </is>
      </c>
    </row>
    <row r="205" ht="409" customHeight="1">
      <c r="A205" s="4" t="inlineStr">
        <is>
          <t>222</t>
        </is>
      </c>
      <c r="B205" s="4" t="inlineStr">
        <is>
          <t>Historical</t>
        </is>
      </c>
      <c r="C205" s="4" t="inlineStr">
        <is>
          <t>An amygdala-centered hyper-connectivity signature of threatening face processing predicts anxiety in youths with autism spectrum conditions</t>
        </is>
      </c>
      <c r="D205" s="4" t="inlineStr">
        <is>
          <t>10.1002/aur.2595</t>
        </is>
      </c>
      <c r="E205" s="4" t="inlineStr">
        <is>
          <t>https://doi.org/10.1002/aur.2595</t>
        </is>
      </c>
      <c r="F205" s="4" t="inlineStr">
        <is>
          <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t>
        </is>
      </c>
      <c r="G205" s="4" t="inlineStr">
        <is>
          <t>Usa fMRI de procesamiento de amenaza para predecir ansiedad en jóvenes con ASC.</t>
        </is>
      </c>
      <c r="H205" s="4" t="str"/>
      <c r="I205" s="4" t="str"/>
      <c r="J205" s="4" t="n"/>
      <c r="K205" s="4" t="inlineStr">
        <is>
          <t>Historical signals: title/abstract/notes; full-text completion not independently established</t>
        </is>
      </c>
      <c r="L205" s="4" t="inlineStr">
        <is>
          <t>Not documented in provided sources</t>
        </is>
      </c>
    </row>
    <row r="206" ht="281" customHeight="1">
      <c r="A206" s="4" t="inlineStr">
        <is>
          <t>223</t>
        </is>
      </c>
      <c r="B206" s="4" t="inlineStr">
        <is>
          <t>Historical</t>
        </is>
      </c>
      <c r="C206" s="4" t="inlineStr">
        <is>
          <t>An effective autism spectrum disorder screening method using machine learning classification techniques</t>
        </is>
      </c>
      <c r="D206" s="4" t="inlineStr">
        <is>
          <t>10.1002/cpe.7898</t>
        </is>
      </c>
      <c r="E206" s="4" t="inlineStr">
        <is>
          <t>https://doi.org/10.1002/cpe.7898</t>
        </is>
      </c>
      <c r="F206" s="4" t="inlineStr">
        <is>
          <t>Nowadays, autism spectrum disorder (ASD) is one of the fastest-growing developmental disorders globally. Screening test consumes more time and expensive to detect the autism signs. Due to advances in artificial intelligence and machine learning (ML), Autism can be predicted at the initial stage. Numerous researches have been conducted using different methods, but none of these researches presented any anticipated results about the capability to predict autism traits under different age groups. Therefore, this paper proposes an effectual prediction method based upon ML strategy to develop a mobile application for predicting ASD of any age people. The autism prediction model is developed by five ML classifiers, such as Gaussian Naive Bayes, Decision Tree Classifier, K-Nearest Neighbors (KNN), Multinomial Logistic Regression (MLR), Support Vector Machine (SVM) and also a mobile application is developed using proposed prediction method. The proposed method is analyzed with IAPQ records gathered from certain areas in Erode district, Tamil Nadu, India. From the analysis, the SVM classifier achieves maximum sensitivity of 23.14%, 6.04%, 5.89%, 11.03% than other classifiers, like Gaussian Naive Bayes, Decision Tree Classifier, KNN, and MLR.</t>
        </is>
      </c>
      <c r="G206" s="4" t="str"/>
      <c r="H206" s="4" t="str"/>
      <c r="I206" s="4" t="str"/>
      <c r="J206" s="4" t="n"/>
      <c r="K206" s="4" t="inlineStr">
        <is>
          <t>Historical signals: title/abstract/notes; full-text completion not independently established</t>
        </is>
      </c>
      <c r="L206" s="4" t="inlineStr">
        <is>
          <t>Not documented in provided sources</t>
        </is>
      </c>
    </row>
    <row r="207" ht="359" customHeight="1">
      <c r="A207" s="4" t="inlineStr">
        <is>
          <t>224</t>
        </is>
      </c>
      <c r="B207" s="4" t="inlineStr">
        <is>
          <t>Historical</t>
        </is>
      </c>
      <c r="C207" s="4" t="inlineStr">
        <is>
          <t>An ensemble classifier for emotion classification from EEG and GSR signals for autism detection</t>
        </is>
      </c>
      <c r="D207" s="4" t="inlineStr">
        <is>
          <t>10.1016/j.cmpb.2025.108921</t>
        </is>
      </c>
      <c r="E207" s="4" t="inlineStr">
        <is>
          <t>https://doi.org/10.1016/j.cmpb.2025.108921</t>
        </is>
      </c>
      <c r="F207" s="4"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G207" s="4" t="str"/>
      <c r="H207" s="4" t="inlineStr">
        <is>
          <t>EEG/GSR emotion classifier framed as suitable for clinical integration and quality-of-care support.</t>
        </is>
      </c>
      <c r="I207" s="4" t="str"/>
      <c r="J207" s="4" t="n"/>
      <c r="K207" s="4" t="inlineStr">
        <is>
          <t>Historical signals: title/abstract/notes; full-text completion not independently established</t>
        </is>
      </c>
      <c r="L207" s="4" t="inlineStr">
        <is>
          <t>Not documented in provided sources</t>
        </is>
      </c>
    </row>
    <row r="208" ht="177" customHeight="1">
      <c r="A208" s="4" t="inlineStr">
        <is>
          <t>225</t>
        </is>
      </c>
      <c r="B208" s="4" t="inlineStr">
        <is>
          <t>Historical</t>
        </is>
      </c>
      <c r="C208" s="4" t="inlineStr">
        <is>
          <t>Applying Eye Tracking to Identify Autism Spectrum Disorder in Children</t>
        </is>
      </c>
      <c r="D208" s="4" t="inlineStr">
        <is>
          <t>10.1007/s10803-018-3690-y</t>
        </is>
      </c>
      <c r="E208" s="4" t="inlineStr">
        <is>
          <t>https://doi.org/10.1007/s10803-018-3690-y</t>
        </is>
      </c>
      <c r="F208" s="4" t="inlineStr">
        <is>
          <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t>
        </is>
      </c>
      <c r="G208" s="4" t="inlineStr">
        <is>
          <t>Algoritmo principal no explícito o fuera del codebook; Confirmar algoritmo principal en full-text</t>
        </is>
      </c>
      <c r="H208" s="4" t="str"/>
      <c r="I208" s="4" t="str"/>
      <c r="J208" s="4" t="n"/>
      <c r="K208" s="4" t="inlineStr">
        <is>
          <t>Historical signals: title/abstract/notes; full-text completion not independently established</t>
        </is>
      </c>
      <c r="L208" s="4" t="inlineStr">
        <is>
          <t>Not documented in provided sources</t>
        </is>
      </c>
    </row>
    <row r="209" ht="229" customHeight="1">
      <c r="A209" s="4" t="inlineStr">
        <is>
          <t>226</t>
        </is>
      </c>
      <c r="B209" s="4" t="inlineStr">
        <is>
          <t>Historical</t>
        </is>
      </c>
      <c r="C209" s="4" t="inlineStr">
        <is>
          <t>Artificial intelligence and sensor-based autism spectrum disorder diagnosis using brain connectivity analysis</t>
        </is>
      </c>
      <c r="D209" s="4" t="inlineStr">
        <is>
          <t>10.1016/j.compeleceng.2023.108720</t>
        </is>
      </c>
      <c r="E209" s="4" t="inlineStr">
        <is>
          <t>https://doi.org/10.1016/j.compeleceng.2023.108720</t>
        </is>
      </c>
      <c r="F209" s="4" t="inlineStr">
        <is>
          <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t>
        </is>
      </c>
      <c r="G209" s="4" t="inlineStr">
        <is>
          <t>Algoritmo principal no explícito o fuera del codebook; Confirmar algoritmo principal en full-text</t>
        </is>
      </c>
      <c r="H209" s="4" t="str"/>
      <c r="I209" s="4" t="str"/>
      <c r="J209" s="4" t="n"/>
      <c r="K209" s="4" t="inlineStr">
        <is>
          <t>Historical signals: title/abstract/notes; full-text completion not independently established</t>
        </is>
      </c>
      <c r="L209" s="4" t="inlineStr">
        <is>
          <t>Not documented in provided sources</t>
        </is>
      </c>
    </row>
    <row r="210" ht="346" customHeight="1">
      <c r="A210" s="4" t="inlineStr">
        <is>
          <t>227</t>
        </is>
      </c>
      <c r="B210" s="4" t="inlineStr">
        <is>
          <t>Historical</t>
        </is>
      </c>
      <c r="C210" s="4" t="inlineStr">
        <is>
          <t>Attention Level Evaluation in Children With Autism: Leveraging Head Pose and Gaze Parameters From Videos for Educational Intervention</t>
        </is>
      </c>
      <c r="D210" s="4" t="inlineStr">
        <is>
          <t>10.1109/tlt.2024.3409702</t>
        </is>
      </c>
      <c r="E210" s="4" t="inlineStr">
        <is>
          <t>https://doi.org/10.1109/tlt.2024.3409702</t>
        </is>
      </c>
      <c r="F210" s="4" t="inlineStr">
        <is>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is>
      </c>
      <c r="G210" s="4" t="inlineStr">
        <is>
          <t>Combina señales conductuales y estrategia explícita de ensemble.</t>
        </is>
      </c>
      <c r="H210" s="4" t="inlineStr">
        <is>
          <t>DL/video-based attention assessment to support educational intervention.</t>
        </is>
      </c>
      <c r="I210" s="4" t="str"/>
      <c r="J210" s="4" t="n"/>
      <c r="K210" s="4" t="inlineStr">
        <is>
          <t>Historical signals: title/abstract/notes; full-text completion not independently established</t>
        </is>
      </c>
      <c r="L210" s="4" t="inlineStr">
        <is>
          <t>Not documented in provided sources</t>
        </is>
      </c>
    </row>
    <row r="211" ht="229" customHeight="1">
      <c r="A211" s="4" t="inlineStr">
        <is>
          <t>228</t>
        </is>
      </c>
      <c r="B211" s="4" t="inlineStr">
        <is>
          <t>Historical</t>
        </is>
      </c>
      <c r="C211" s="4" t="inlineStr">
        <is>
          <t>Autism Spectrum Disorder Diagnosis Using Graph Neural Network Based on\&amp;#xa0;Graph Pooling and\&amp;#xa0;Self-adjust Filter</t>
        </is>
      </c>
      <c r="D211" s="4" t="inlineStr">
        <is>
          <t>10.1007/978-981-99-8558-6_35</t>
        </is>
      </c>
      <c r="E211" s="4" t="inlineStr">
        <is>
          <t>https://doi.org/10.1007/978-981-99-8558-6_35</t>
        </is>
      </c>
      <c r="F211" s="4" t="inlineStr">
        <is>
          <t>Currently, accurately identifying autism spectrum disorders (ASD) still have challenges. However, graph neural network used for ASD diagnosis only focus on the part of abnormal brain functional connectivity, ignoring the effects between brain regions and the help of phenotypic information, and the kernel is also pre-defined. To solve the above problems, a graph neural network based on self-attention graph pooling and self-adjust filter is proposed for ASD diagnosis. Specifically, first, self-attention graph pooling is used for feature extraction of the fMRI to account for the influence of nodes with abnormal brain functional connectivity and activity between brain regions in fMRI data. Then, image features were taken as graph nodes and phenotypic information as edges to form a population graph. Finally, to focus on both high and low frequency information in the graph, a graph neural network based on self-adjust filter is used to learn node embedding. Experimental results on ABIDE I showed the effectiveness of the proposed method.</t>
        </is>
      </c>
      <c r="G211" s="4" t="inlineStr">
        <is>
          <t>ABIDE I + integración de fMRI con datos fenotípicos.</t>
        </is>
      </c>
      <c r="H211" s="4" t="inlineStr">
        <is>
          <t>Graph neural network proposed for ASD diagnosis.</t>
        </is>
      </c>
      <c r="I211" s="4" t="str"/>
      <c r="J211" s="4" t="n"/>
      <c r="K211" s="4" t="inlineStr">
        <is>
          <t>Historical signals: title/abstract/notes; full-text completion not independently established</t>
        </is>
      </c>
      <c r="L211" s="4" t="inlineStr">
        <is>
          <t>Not documented in provided sources</t>
        </is>
      </c>
    </row>
    <row r="212" ht="320" customHeight="1">
      <c r="A212" s="4" t="inlineStr">
        <is>
          <t>229</t>
        </is>
      </c>
      <c r="B212" s="4" t="inlineStr">
        <is>
          <t>Historical</t>
        </is>
      </c>
      <c r="C212" s="4" t="inlineStr">
        <is>
          <t>Autoencoder Based Methods for Diagnosis of Autism Spectrum Disorder</t>
        </is>
      </c>
      <c r="D212" s="4" t="inlineStr">
        <is>
          <t>10.1007/978-3-030-46165-2_4</t>
        </is>
      </c>
      <c r="E212" s="4" t="inlineStr">
        <is>
          <t>https://doi.org/10.1007/978-3-030-46165-2_4</t>
        </is>
      </c>
      <c r="F212" s="4" t="inlineStr">
        <is>
          <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t>
        </is>
      </c>
      <c r="G212" s="4" t="inlineStr">
        <is>
          <t>Pipeline AE + (SVM/KNN/subspace discriminant) + DNN; AE+DNN logra mejor (accuracy 79.2%, AUC 82.4%). Paradigma mixto: AE (no supervisado) + clasificador (supervisado); abstract no etiqueta “supervised”.</t>
        </is>
      </c>
      <c r="H212" s="4" t="str"/>
      <c r="I212" s="4" t="str"/>
      <c r="J212" s="4" t="n"/>
      <c r="K212" s="4" t="inlineStr">
        <is>
          <t>Historical signals: title/abstract/notes; full-text completion not independently established</t>
        </is>
      </c>
      <c r="L212" s="4" t="inlineStr">
        <is>
          <t>Not documented in provided sources</t>
        </is>
      </c>
    </row>
    <row r="213" ht="255" customHeight="1">
      <c r="A213" s="4" t="inlineStr">
        <is>
          <t>230</t>
        </is>
      </c>
      <c r="B213" s="4" t="inlineStr">
        <is>
          <t>Historical</t>
        </is>
      </c>
      <c r="C213" s="4" t="inlineStr">
        <is>
          <t>BrainWaveNet: Wavelet-based Transformer for Autism Spectrum Disorder Diagnosis</t>
        </is>
      </c>
      <c r="D213" s="4" t="inlineStr">
        <is>
          <t>10.1007/978-3-031-72069-7_6</t>
        </is>
      </c>
      <c r="E213" s="4" t="inlineStr">
        <is>
          <t>https://doi.org/10.1007/978-3-031-72069-7_6</t>
        </is>
      </c>
      <c r="F213" s="4" t="inlineStr">
        <is>
          <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t>
        </is>
      </c>
      <c r="G213" s="4" t="str"/>
      <c r="H213" s="4" t="str"/>
      <c r="I213" s="4" t="str"/>
      <c r="J213" s="4" t="n"/>
      <c r="K213" s="4" t="inlineStr">
        <is>
          <t>Historical signals: title/abstract/notes; full-text completion not independently established</t>
        </is>
      </c>
      <c r="L213" s="4" t="inlineStr">
        <is>
          <t>Not documented in provided sources</t>
        </is>
      </c>
    </row>
    <row r="214" ht="177" customHeight="1">
      <c r="A214" s="4" t="inlineStr">
        <is>
          <t>231</t>
        </is>
      </c>
      <c r="B214" s="4" t="inlineStr">
        <is>
          <t>Historical</t>
        </is>
      </c>
      <c r="C214" s="4" t="inlineStr">
        <is>
          <t>Can lung airway geometry be used to predict autism? A preliminary machine learning-based study</t>
        </is>
      </c>
      <c r="D214" s="4" t="inlineStr">
        <is>
          <t>10.1002/ar.25332</t>
        </is>
      </c>
      <c r="E214" s="4" t="inlineStr">
        <is>
          <t>https://doi.org/10.1002/ar.25332</t>
        </is>
      </c>
      <c r="F214" s="4" t="inlineStr">
        <is>
          <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t>
        </is>
      </c>
      <c r="G214" s="4" t="str"/>
      <c r="H214" s="4" t="str"/>
      <c r="I214" s="4" t="str"/>
      <c r="J214" s="4" t="n"/>
      <c r="K214" s="4" t="inlineStr">
        <is>
          <t>Historical signals: title/abstract/notes; full-text completion not independently established</t>
        </is>
      </c>
      <c r="L214" s="4" t="inlineStr">
        <is>
          <t>Not documented in provided sources</t>
        </is>
      </c>
    </row>
    <row r="215" ht="359" customHeight="1">
      <c r="A215" s="4" t="inlineStr">
        <is>
          <t>232</t>
        </is>
      </c>
      <c r="B215" s="4" t="inlineStr">
        <is>
          <t>Historical</t>
        </is>
      </c>
      <c r="C215" s="4" t="inlineStr">
        <is>
          <t>Classification of autism spectrum disorder based on fluctuation entropy of spontaneous hemodynamic fluctuations</t>
        </is>
      </c>
      <c r="D215" s="4" t="inlineStr">
        <is>
          <t>10.1016/j.bspc.2020.101958</t>
        </is>
      </c>
      <c r="E215" s="4" t="inlineStr">
        <is>
          <t>https://doi.org/10.1016/j.bspc.2020.101958</t>
        </is>
      </c>
      <c r="F215" s="4" t="inlineStr">
        <is>
          <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t>
        </is>
      </c>
      <c r="G215" s="4"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H215" s="4" t="str"/>
      <c r="I215" s="4" t="str"/>
      <c r="J215" s="4" t="n"/>
      <c r="K215" s="4" t="inlineStr">
        <is>
          <t>Historical signals: title/abstract/notes; full-text completion not independently established</t>
        </is>
      </c>
      <c r="L215" s="4" t="inlineStr">
        <is>
          <t>Not documented in provided sources</t>
        </is>
      </c>
    </row>
    <row r="216" ht="268" customHeight="1">
      <c r="A216" s="4" t="inlineStr">
        <is>
          <t>233</t>
        </is>
      </c>
      <c r="B216" s="4" t="inlineStr">
        <is>
          <t>Historical</t>
        </is>
      </c>
      <c r="C216" s="4" t="inlineStr">
        <is>
          <t>Classification of autism spectrum disorder based on sample entropy of spontaneous functional near infra-red spectroscopy signal</t>
        </is>
      </c>
      <c r="D216" s="4" t="inlineStr">
        <is>
          <t>10.1016/j.clinph.2019.12.400</t>
        </is>
      </c>
      <c r="E216" s="4" t="inlineStr">
        <is>
          <t>https://doi.org/10.1016/j.clinph.2019.12.400</t>
        </is>
      </c>
      <c r="F216" s="4" t="inlineStr">
        <is>
          <t>Objectives: To assess the possibility of distinguishing autism spectrum disorder (ASD) based on the characteristic of spontaneous hemodynamic fluctuations and to explore the location of abnormality in the brain. Methods: Using the sample entropy (SampEn) of functional near-infrared spectroscopy (fNIRS) from bilateral inferior frontal gyrus (IFG) and temporal cortex (TC) on 25 children with ASD and 22 typical development (TD) children, the pattern of mind-wandering was assessed. With the SampEn as feature variables, a machine learning classifier was applied to mark ASD and locate the abnormal area in the brain. Results: The SampEn was generally lower for ASD than TD, indicating the fNIRS series from ASD was unstable, had low fluctuation, and high self-similarity. The classification between ASD and TD could reach 97.6% in accuracy. Conclusions: The SampEn of fNIRS could accurately distinguish ASD. The abnormality in terms of the SampEn occurs more frequently in IFG than TC, and more frequently in the left than in the right hemisphere. Significance: The results of this study may help to understand the cortical mechanism of ASD and provide a fNIRS-based diagnosis for ASD.</t>
        </is>
      </c>
      <c r="G216" s="4"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H216" s="4" t="str"/>
      <c r="I216" s="4" t="str"/>
      <c r="J216" s="4" t="n"/>
      <c r="K216" s="4" t="inlineStr">
        <is>
          <t>Historical signals: title/abstract/notes; full-text completion not independently established</t>
        </is>
      </c>
      <c r="L216" s="4" t="inlineStr">
        <is>
          <t>Not documented in provided sources</t>
        </is>
      </c>
    </row>
    <row r="217" ht="294" customHeight="1">
      <c r="A217" s="4" t="inlineStr">
        <is>
          <t>234</t>
        </is>
      </c>
      <c r="B217" s="4" t="inlineStr">
        <is>
          <t>Historical</t>
        </is>
      </c>
      <c r="C217" s="4" t="inlineStr">
        <is>
          <t>Classification of\&amp;#xa0;Facial Images to\&amp;#xa0;Assist in\&amp;#xa0;the\&amp;#xa0;Diagnosis of\&amp;#xa0;Autism Spectrum Disorder: A Study on\&amp;#xa0;the\&amp;#xa0;Effect of\&amp;#xa0;Face Detection and\&amp;#xa0;Landmark Identification Algorithms</t>
        </is>
      </c>
      <c r="D217" s="4" t="inlineStr">
        <is>
          <t>10.1007/978-3-031-45389-2_18</t>
        </is>
      </c>
      <c r="E217" s="4" t="inlineStr">
        <is>
          <t>https://doi.org/10.1007/978-3-031-45389-2_18</t>
        </is>
      </c>
      <c r="F217" s="4" t="inlineStr">
        <is>
          <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t>
        </is>
      </c>
      <c r="G217" s="4" t="inlineStr">
        <is>
          <t>Algoritmo principal no explícito o fuera del codebook; Confirmar algoritmo principal en full-text</t>
        </is>
      </c>
      <c r="H217" s="4" t="str"/>
      <c r="I217" s="4" t="str"/>
      <c r="J217" s="4" t="n"/>
      <c r="K217" s="4" t="inlineStr">
        <is>
          <t>Historical signals: title/abstract/notes; full-text completion not independently established</t>
        </is>
      </c>
      <c r="L217" s="4" t="inlineStr">
        <is>
          <t>Not documented in provided sources</t>
        </is>
      </c>
    </row>
    <row r="218" ht="359" customHeight="1">
      <c r="A218" s="4" t="inlineStr">
        <is>
          <t>235</t>
        </is>
      </c>
      <c r="B218" s="4" t="inlineStr">
        <is>
          <t>Historical</t>
        </is>
      </c>
      <c r="C218" s="4" t="inlineStr">
        <is>
          <t>Combining anatomical and functional networks for neuropathology identification: A case study on autism spectrum disorder</t>
        </is>
      </c>
      <c r="D218" s="4" t="inlineStr">
        <is>
          <t>10.1016/j.media.2021.101986</t>
        </is>
      </c>
      <c r="E218" s="4" t="inlineStr">
        <is>
          <t>https://doi.org/10.1016/j.media.2021.101986</t>
        </is>
      </c>
      <c r="F218" s="4" t="inlineStr">
        <is>
          <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t>
        </is>
      </c>
      <c r="G218" s="4" t="str"/>
      <c r="H218" s="4" t="str"/>
      <c r="I218" s="4" t="str"/>
      <c r="J218" s="4" t="n"/>
      <c r="K218" s="4" t="inlineStr">
        <is>
          <t>Historical signals: title/abstract/notes; full-text completion not independently established</t>
        </is>
      </c>
      <c r="L218" s="4" t="inlineStr">
        <is>
          <t>Not documented in provided sources</t>
        </is>
      </c>
    </row>
    <row r="219" ht="307" customHeight="1">
      <c r="A219" s="4" t="inlineStr">
        <is>
          <t>236</t>
        </is>
      </c>
      <c r="B219" s="4" t="inlineStr">
        <is>
          <t>Historical</t>
        </is>
      </c>
      <c r="C219" s="4" t="inlineStr">
        <is>
          <t>Correlations between blood group and Rh factor in families and autism spectrum disorder: A comprehensive analysis</t>
        </is>
      </c>
      <c r="D219" s="4" t="inlineStr">
        <is>
          <t>10.1038/s41598-025-97313-8</t>
        </is>
      </c>
      <c r="E219" s="4" t="inlineStr">
        <is>
          <t>https://doi.org/10.1038/s41598-025-97313-8</t>
        </is>
      </c>
      <c r="F219" s="4" t="inlineStr">
        <is>
          <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t>
        </is>
      </c>
      <c r="G219" s="4" t="inlineStr">
        <is>
          <t>Análisis de grupos sanguíneos con regresión logística/ML no claramente central para una etapa clínica RQ1.</t>
        </is>
      </c>
      <c r="H219" s="4" t="inlineStr">
        <is>
          <t>Blood group/Rh association and risk-factor analysis; no AI-supported clinical decision system.</t>
        </is>
      </c>
      <c r="I219" s="4" t="str"/>
      <c r="J219" s="4" t="n"/>
      <c r="K219" s="4" t="inlineStr">
        <is>
          <t>Historical signals: title/abstract/notes; full-text completion not independently established</t>
        </is>
      </c>
      <c r="L219" s="4" t="inlineStr">
        <is>
          <t>Not documented in provided sources</t>
        </is>
      </c>
    </row>
    <row r="220" ht="216" customHeight="1">
      <c r="A220" s="4" t="inlineStr">
        <is>
          <t>237</t>
        </is>
      </c>
      <c r="B220" s="4" t="inlineStr">
        <is>
          <t>Historical</t>
        </is>
      </c>
      <c r="C220" s="4" t="inlineStr">
        <is>
          <t>Cross-linguistic patterns of speech prosodic differences in autism: A machine learning study</t>
        </is>
      </c>
      <c r="D220" s="4" t="inlineStr">
        <is>
          <t>10.1371/journal.pone.0269637</t>
        </is>
      </c>
      <c r="E220" s="4" t="inlineStr">
        <is>
          <t>https://doi.org/10.1371/journal.pone.0269637</t>
        </is>
      </c>
      <c r="F220" s="4" t="inlineStr">
        <is>
          <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t>
        </is>
      </c>
      <c r="G220" s="4" t="inlineStr">
        <is>
          <t>Algoritmo principal no explícito o fuera del codebook; Confirmar algoritmo principal en full-text</t>
        </is>
      </c>
      <c r="H220" s="4" t="str"/>
      <c r="I220" s="4" t="str"/>
      <c r="J220" s="4" t="n"/>
      <c r="K220" s="4" t="inlineStr">
        <is>
          <t>Historical signals: title/abstract/notes; full-text completion not independently established</t>
        </is>
      </c>
      <c r="L220" s="4" t="inlineStr">
        <is>
          <t>Not documented in provided sources</t>
        </is>
      </c>
    </row>
    <row r="221" ht="307" customHeight="1">
      <c r="A221" s="4" t="inlineStr">
        <is>
          <t>238</t>
        </is>
      </c>
      <c r="B221" s="4" t="inlineStr">
        <is>
          <t>Historical</t>
        </is>
      </c>
      <c r="C221" s="4" t="inlineStr">
        <is>
          <t>Data mining and machine learning techniques for early detection in autism spectrum disorder</t>
        </is>
      </c>
      <c r="D221" s="4" t="inlineStr">
        <is>
          <t>10.1016/b978-0-12-822822-7.00006-5</t>
        </is>
      </c>
      <c r="E221" s="4" t="inlineStr">
        <is>
          <t>https://doi.org/10.1016/b978-0-12-822822-7.00006-5</t>
        </is>
      </c>
      <c r="F221" s="4" t="inlineStr">
        <is>
          <t>Nowadays, artificial intelligence techniques are applied in many fields such as industry, natural language processing, or medicine. In this chapter, we have focused on the health area. Within the field of health, artificial intelligence acts in different ways, from predicting any type of disease or dysfunctions in order to establish correlations between different measures collected. Here, we have addressed the application of data mining and machine learning techniques for early detection in autism spectrum disorder. Our approach consists of an architecture based on five steps: (1) search and selection of data sources; (2) application of extract, transform, and load process; (3) creation of the data warehouse and data mart; (4) application of machine learning techniques with the aim of extracting relevant information from selected information sources in order to correctly classify the new data; and (5) visualization of results. In order to test our methodology, we present a case study using three autism datasets with patients of different ages. We used different machine learning techniques in order to compare the results obtained and to find out the best techniques depending on the input data and indicators collected. Finally, we have created dashboards using two of the most significant tools (i.e., Power BI and Tableau) in order to graphically analyze the results.</t>
        </is>
      </c>
      <c r="G221" s="4" t="inlineStr">
        <is>
          <t>Usa varios datasets, pero no basta para marcar validación externa o multisource strategy.</t>
        </is>
      </c>
      <c r="H221" s="4" t="inlineStr">
        <is>
          <t>Data mining and ML architecture for early ASD detection.</t>
        </is>
      </c>
      <c r="I221" s="4" t="str"/>
      <c r="J221" s="4" t="n"/>
      <c r="K221" s="4" t="inlineStr">
        <is>
          <t>Historical signals: title/abstract/notes; full-text completion not independently established</t>
        </is>
      </c>
      <c r="L221" s="4" t="inlineStr">
        <is>
          <t>Not documented in provided sources</t>
        </is>
      </c>
    </row>
    <row r="222" ht="359" customHeight="1">
      <c r="A222" s="4" t="inlineStr">
        <is>
          <t>239</t>
        </is>
      </c>
      <c r="B222" s="4" t="inlineStr">
        <is>
          <t>Historical</t>
        </is>
      </c>
      <c r="C222" s="4" t="inlineStr">
        <is>
          <t>Diagnosing autism severity associated with physical fitness and gray matter volume in children with autism spectrum disorder: Explainable machine learning method</t>
        </is>
      </c>
      <c r="D222" s="4" t="inlineStr">
        <is>
          <t>10.1016/j.ctcp.2023.101825</t>
        </is>
      </c>
      <c r="E222" s="4" t="inlineStr">
        <is>
          <t>https://doi.org/10.1016/j.ctcp.2023.101825</t>
        </is>
      </c>
      <c r="F222" s="4" t="inlineStr">
        <is>
          <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t>
        </is>
      </c>
      <c r="G222" s="4" t="inlineStr">
        <is>
          <t>Modelos XGB/RF/SVM/DT para severidad; se selecciona XGBoost como principal y se marca GMV + pruebas físicas.</t>
        </is>
      </c>
      <c r="H222" s="4" t="str"/>
      <c r="I222" s="4" t="str"/>
      <c r="J222" s="4" t="n"/>
      <c r="K222" s="4" t="inlineStr">
        <is>
          <t>Historical signals: title/abstract/notes; full-text completion not independently established</t>
        </is>
      </c>
      <c r="L222" s="4" t="inlineStr">
        <is>
          <t>Not documented in provided sources</t>
        </is>
      </c>
    </row>
    <row r="223" ht="385" customHeight="1">
      <c r="A223" s="4" t="inlineStr">
        <is>
          <t>240</t>
        </is>
      </c>
      <c r="B223" s="4" t="inlineStr">
        <is>
          <t>Historical</t>
        </is>
      </c>
      <c r="C223" s="4" t="inlineStr">
        <is>
          <t>Diagnosis of Autism Disorder Based on Deep Network Trained by Augmented EEG Signals</t>
        </is>
      </c>
      <c r="D223" s="4" t="inlineStr">
        <is>
          <t>10.1142/s0129065722500460</t>
        </is>
      </c>
      <c r="E223" s="4" t="inlineStr">
        <is>
          <t>https://doi.org/10.1142/s0129065722500460</t>
        </is>
      </c>
      <c r="F223" s="4" t="inlineStr">
        <is>
          <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t>
        </is>
      </c>
      <c r="G223" s="4" t="inlineStr">
        <is>
          <t>Se comparan varios modelos; se eligió el principal/mejor reportado</t>
        </is>
      </c>
      <c r="H223" s="4" t="str"/>
      <c r="I223" s="4" t="str"/>
      <c r="J223" s="4" t="n"/>
      <c r="K223" s="4" t="inlineStr">
        <is>
          <t>Historical signals: title/abstract/notes; full-text completion not independently established</t>
        </is>
      </c>
      <c r="L223" s="4" t="inlineStr">
        <is>
          <t>Not documented in provided sources</t>
        </is>
      </c>
    </row>
    <row r="224" ht="242" customHeight="1">
      <c r="A224" s="4" t="inlineStr">
        <is>
          <t>241</t>
        </is>
      </c>
      <c r="B224" s="4" t="inlineStr">
        <is>
          <t>Historical</t>
        </is>
      </c>
      <c r="C224" s="4" t="inlineStr">
        <is>
          <t>Differences in atypical resting-state effective connectivity distinguish autism from schizophrenia</t>
        </is>
      </c>
      <c r="D224" s="4" t="inlineStr">
        <is>
          <t>10.1016/j.nicl.2018.01.014</t>
        </is>
      </c>
      <c r="E224" s="4" t="inlineStr">
        <is>
          <t>https://doi.org/10.1016/j.nicl.2018.01.014</t>
        </is>
      </c>
      <c r="F224" s="4" t="inlineStr">
        <is>
          <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t>
        </is>
      </c>
      <c r="G224" s="4" t="str"/>
      <c r="H224" s="4" t="str"/>
      <c r="I224" s="4" t="str"/>
      <c r="J224" s="4" t="n"/>
      <c r="K224" s="4" t="inlineStr">
        <is>
          <t>Historical signals: title/abstract/notes; full-text completion not independently established</t>
        </is>
      </c>
      <c r="L224" s="4" t="inlineStr">
        <is>
          <t>Not documented in provided sources</t>
        </is>
      </c>
    </row>
    <row r="225" ht="203" customHeight="1">
      <c r="A225" s="4" t="inlineStr">
        <is>
          <t>242</t>
        </is>
      </c>
      <c r="B225" s="4" t="inlineStr">
        <is>
          <t>Historical</t>
        </is>
      </c>
      <c r="C225" s="4" t="inlineStr">
        <is>
          <t>Eigenvector Centrality Characterization on fMRI Data: Gender and Node Differences in Normal and ASD Subjects: Author name</t>
        </is>
      </c>
      <c r="D225" s="4" t="inlineStr">
        <is>
          <t>10.1007/s10803-023-05922-x</t>
        </is>
      </c>
      <c r="E225" s="4" t="inlineStr">
        <is>
          <t>https://doi.org/10.1007/s10803-023-05922-x</t>
        </is>
      </c>
      <c r="F225" s="4" t="inlineStr">
        <is>
          <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t>
        </is>
      </c>
      <c r="G225" s="4" t="str"/>
      <c r="H225" s="4" t="str"/>
      <c r="I225" s="4" t="str"/>
      <c r="J225" s="4" t="n"/>
      <c r="K225" s="4" t="inlineStr">
        <is>
          <t>Historical signals: title/abstract/notes; full-text completion not independently established</t>
        </is>
      </c>
      <c r="L225" s="4" t="inlineStr">
        <is>
          <t>Not documented in provided sources</t>
        </is>
      </c>
    </row>
    <row r="226" ht="164" customHeight="1">
      <c r="A226" s="4" t="inlineStr">
        <is>
          <t>243</t>
        </is>
      </c>
      <c r="B226" s="4" t="inlineStr">
        <is>
          <t>Historical</t>
        </is>
      </c>
      <c r="C226" s="4" t="inlineStr">
        <is>
          <t>Enhancing Multi-view ASD Diagnosis Using Structural MRI and Pretrained CNN</t>
        </is>
      </c>
      <c r="D226" s="4" t="inlineStr">
        <is>
          <t>10.1007/978-3-031-83845-3_26</t>
        </is>
      </c>
      <c r="E226" s="4" t="inlineStr">
        <is>
          <t>https://doi.org/10.1007/978-3-031-83845-3_26</t>
        </is>
      </c>
      <c r="F226" s="4" t="inlineStr">
        <is>
          <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t>
        </is>
      </c>
      <c r="G226" s="4" t="str"/>
      <c r="H226" s="4" t="str"/>
      <c r="I226" s="4" t="str"/>
      <c r="J226" s="4" t="n"/>
      <c r="K226" s="4" t="inlineStr">
        <is>
          <t>Historical signals: title/abstract/notes; full-text completion not independently established</t>
        </is>
      </c>
      <c r="L226" s="4" t="inlineStr">
        <is>
          <t>Not documented in provided sources</t>
        </is>
      </c>
    </row>
    <row r="227" ht="409" customHeight="1">
      <c r="A227" s="4" t="inlineStr">
        <is>
          <t>245</t>
        </is>
      </c>
      <c r="B227" s="4" t="inlineStr">
        <is>
          <t>Historical</t>
        </is>
      </c>
      <c r="C227" s="4" t="inlineStr">
        <is>
          <t>Exploring Sparse Gaussian Processes for Bayesian Optimization in Convolutional Neural Networks for Autism Classification</t>
        </is>
      </c>
      <c r="D227" s="4" t="inlineStr">
        <is>
          <t>10.1109/access.2024.3351168</t>
        </is>
      </c>
      <c r="E227" s="4" t="inlineStr">
        <is>
          <t>https://doi.org/10.1109/access.2024.3351168</t>
        </is>
      </c>
      <c r="F227" s="4" t="inlineStr">
        <is>
          <t>Autism Spectrum Disorder (ASD) constitutes a prevalent childhood condition, impacting approximately 0.62% of the global population. Children grappling with ASD encounter challenges in acquiring language proficiency, comprehending spoken communication, and interpreting nonverbal cues, including eye contact, facial expressions, and hand gestures. This discourse delves into the application of eye tracking as a foundational instrument in ASD screening, leveraging the distinctive attributes of gaze behavior. Within the realm of Artificial Intelligence, Deep Learning manifests substantial promise, exhibiting considerable strides across diverse domains and emerging as an indispensable technological paradigm. This treatise introduces an innovative Convolutional Neural Network (CNN) model predicated on Bayesian optimization for the discernment of eye tracking images. The model comprises two primary components: the initial segment employs CNN to extract and amalgamate salient features, while the subsequent section incorporates a Bayesian optimizer tasked with fine-tuning the CNN’s hyperparameters contingent on an objective function. In the preliminary analysis, three distinct scenarios devoid of specific elements are juxtaposed with Bayesian optimization. During the examination, these circumstances are assessed through convergence charts and metrics of accuracy. The algorithm proposed manifests an elevated performance, demonstrating a conspicuous accuracy threshold of % during the evaluative phase of the model. This outcome constitutes a commendable advancement in research, accentuating the efficacy and resilience of the developed approach. The article undertakes a comparative analysis of research methodologies and thematic analysis approaches, furnishing valuable insights for qualitative researchers and offering methodologically robust pathways to address research inquiries. In practical applications, the model attests to heightened reliability and precision, thereby underscored as efficacious in real-world scenarios.</t>
        </is>
      </c>
      <c r="G227" s="4" t="inlineStr">
        <is>
          <t>Sin señal explícita Q3 en título/abstract.</t>
        </is>
      </c>
      <c r="H227" s="4" t="inlineStr">
        <is>
          <t>CNN/Bayesian optimization model for ASD screening using eye-tracking images.</t>
        </is>
      </c>
      <c r="I227" s="4" t="str"/>
      <c r="J227" s="4" t="n"/>
      <c r="K227" s="4" t="inlineStr">
        <is>
          <t>Historical signals: title/abstract/notes; full-text completion not independently established</t>
        </is>
      </c>
      <c r="L227" s="4" t="inlineStr">
        <is>
          <t>Not documented in provided sources</t>
        </is>
      </c>
    </row>
    <row r="228" ht="294" customHeight="1">
      <c r="A228" s="4" t="inlineStr">
        <is>
          <t>246</t>
        </is>
      </c>
      <c r="B228" s="4" t="inlineStr">
        <is>
          <t>Historical</t>
        </is>
      </c>
      <c r="C228" s="4" t="inlineStr">
        <is>
          <t>Exploring tree-based machine learning methods to predict autism spectrum disorder</t>
        </is>
      </c>
      <c r="D228" s="4" t="inlineStr">
        <is>
          <t>10.1016/b978-0-12-822822-7.00009-0</t>
        </is>
      </c>
      <c r="E228" s="4" t="inlineStr">
        <is>
          <t>https://doi.org/10.1016/b978-0-12-822822-7.00009-0</t>
        </is>
      </c>
      <c r="F228" s="4" t="inlineStr">
        <is>
          <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t>
        </is>
      </c>
      <c r="G228" s="4" t="str"/>
      <c r="H228" s="4" t="str"/>
      <c r="I228" s="4" t="str"/>
      <c r="J228" s="4" t="n"/>
      <c r="K228" s="4" t="inlineStr">
        <is>
          <t>Historical signals: title/abstract/notes; full-text completion not independently established</t>
        </is>
      </c>
      <c r="L228" s="4" t="inlineStr">
        <is>
          <t>Not documented in provided sources</t>
        </is>
      </c>
    </row>
    <row r="229" ht="409" customHeight="1">
      <c r="A229" s="4" t="inlineStr">
        <is>
          <t>247</t>
        </is>
      </c>
      <c r="B229" s="4" t="inlineStr">
        <is>
          <t>Historical</t>
        </is>
      </c>
      <c r="C229" s="4" t="inlineStr">
        <is>
          <t>Few-Shot Classification of Autism Spectrum Disorder using Site-Agnostic Meta-Learning and Brain MRI</t>
        </is>
      </c>
      <c r="D229" s="4" t="inlineStr">
        <is>
          <t>10.1109/embc40787.2023.10340852</t>
        </is>
      </c>
      <c r="E229" s="4" t="inlineStr">
        <is>
          <t>https://doi.org/10.1109/embc40787.2023.10340852</t>
        </is>
      </c>
      <c r="F229" s="4" t="inlineStr">
        <is>
          <t>For machine learning applications in medical imaging, the availability of training data is often limited, which hampers the design of radiological classifiers for subtle conditions such as autism spectrum disorder (ASD). Transfer learning is one method to counter this problem of low training data regimes. Here we explore the use of meta-learning for very low data regimes in the context of having prior data from multiple sites-an approach we term site-agnostic meta-learning. Inspired by the effectiveness of meta-learning for optimizing a model across multiple tasks, here we propose a framework to adapt it to learn across multiple sites. We tested our meta-learning model for classifying ASD versus typically developing controls in 2,201 T1-weighted (T1-w) MRI scans collected from 38 imaging sites as part of Autism Brain Imaging Data Exchange (ABIDE) [age: 5.2-64.0 years]. The method was trained to find a good initialization state for our model that can quickly adapt to data from new unseen sites by fine-tuning on the limited data that is available. The proposed method achieved an area under the receiver operating characteristic curve (ROC-AUC)=0.857 on 370 scans from 7 unseen sites in ABIDE using a few-shot setting of 2-way 20-shot i.e., 20 training samples per site. Our results outperformed a transfer learning baseline by generalizing across a wider range of sites as well as other related prior work. We also tested our model in a zero-shot setting on an independent test site without any additional fine-tuning. Our experiments show the promise of the proposed site-agnostic meta-learning framework for challenging neuroimaging tasks involving multi-site heterogeneity with limited availability of training data.Clinical Relevance-We propose a learning framework that accommodates multi-site heterogeneity and limited data to assist in challenging neuroimaging tasks.</t>
        </is>
      </c>
      <c r="G229" s="4" t="str"/>
      <c r="H229" s="4" t="inlineStr">
        <is>
          <t>MRI ASD-vs-control classifier with stated clinical relevance for assisting neuroimaging tasks.</t>
        </is>
      </c>
      <c r="I229" s="4" t="str"/>
      <c r="J229" s="4" t="n"/>
      <c r="K229" s="4" t="inlineStr">
        <is>
          <t>Historical signals: title/abstract/notes; full-text completion not independently established</t>
        </is>
      </c>
      <c r="L229" s="4" t="inlineStr">
        <is>
          <t>Not documented in provided sources</t>
        </is>
      </c>
    </row>
    <row r="230" ht="320" customHeight="1">
      <c r="A230" s="4" t="inlineStr">
        <is>
          <t>248</t>
        </is>
      </c>
      <c r="B230" s="4" t="inlineStr">
        <is>
          <t>Historical</t>
        </is>
      </c>
      <c r="C230" s="4" t="inlineStr">
        <is>
          <t>Gaze Patterns in Children With Autism Spectrum Disorder to Emotional Faces: Scanpath and Similarity</t>
        </is>
      </c>
      <c r="D230" s="4" t="inlineStr">
        <is>
          <t>10.1109/tnsre.2024.3361935</t>
        </is>
      </c>
      <c r="E230" s="4" t="inlineStr">
        <is>
          <t>https://doi.org/10.1109/tnsre.2024.3361935</t>
        </is>
      </c>
      <c r="F230" s="4" t="inlineStr">
        <is>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is>
      </c>
      <c r="G230" s="4" t="str"/>
      <c r="H230" s="4" t="str"/>
      <c r="I230" s="4" t="str"/>
      <c r="J230" s="4" t="n"/>
      <c r="K230" s="4" t="inlineStr">
        <is>
          <t>Historical signals: title/abstract/notes; full-text completion not independently established</t>
        </is>
      </c>
      <c r="L230" s="4" t="inlineStr">
        <is>
          <t>Not documented in provided sources</t>
        </is>
      </c>
    </row>
    <row r="231" ht="307" customHeight="1">
      <c r="A231" s="4" t="inlineStr">
        <is>
          <t>249</t>
        </is>
      </c>
      <c r="B231" s="4" t="inlineStr">
        <is>
          <t>Historical</t>
        </is>
      </c>
      <c r="C231" s="4" t="inlineStr">
        <is>
          <t>Gray Matter Alterations in Young Children with Autism Spectrum Disorders: Comparing Morphometry at the Voxel and Regional Level</t>
        </is>
      </c>
      <c r="D231" s="4" t="inlineStr">
        <is>
          <t>10.1111/jon.12280</t>
        </is>
      </c>
      <c r="E231" s="4" t="inlineStr">
        <is>
          <t>https://doi.org/10.1111/jon.12280</t>
        </is>
      </c>
      <c r="F231" s="4" t="inlineStr">
        <is>
          <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t>
        </is>
      </c>
      <c r="G231" s="4" t="inlineStr">
        <is>
          <t>Algoritmo principal no explícito o fuera del codebook; Confirmar algoritmo principal en full-text</t>
        </is>
      </c>
      <c r="H231" s="4" t="str"/>
      <c r="I231" s="4" t="str"/>
      <c r="J231" s="4" t="n"/>
      <c r="K231" s="4" t="inlineStr">
        <is>
          <t>Historical signals: title/abstract/notes; full-text completion not independently established</t>
        </is>
      </c>
      <c r="L231" s="4" t="inlineStr">
        <is>
          <t>Not documented in provided sources</t>
        </is>
      </c>
    </row>
    <row r="232" ht="320" customHeight="1">
      <c r="A232" s="4" t="inlineStr">
        <is>
          <t>250</t>
        </is>
      </c>
      <c r="B232" s="4" t="inlineStr">
        <is>
          <t>Historical</t>
        </is>
      </c>
      <c r="C232" s="4" t="inlineStr">
        <is>
          <t>Identification of Autism spectrum disorder based on a novel feature selection method and Variational Autoencoder</t>
        </is>
      </c>
      <c r="D232" s="4" t="inlineStr">
        <is>
          <t>10.1016/j.compbiomed.2022.105854</t>
        </is>
      </c>
      <c r="E232" s="4" t="inlineStr">
        <is>
          <t>https://doi.org/10.1016/j.compbiomed.2022.105854</t>
        </is>
      </c>
      <c r="F232" s="4" t="inlineStr">
        <is>
          <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t>
        </is>
      </c>
      <c r="G232" s="4" t="str"/>
      <c r="H232" s="4" t="str"/>
      <c r="I232" s="4" t="str"/>
      <c r="J232" s="4" t="n"/>
      <c r="K232" s="4" t="inlineStr">
        <is>
          <t>Historical signals: title/abstract/notes; full-text completion not independently established</t>
        </is>
      </c>
      <c r="L232" s="4" t="inlineStr">
        <is>
          <t>Not documented in provided sources</t>
        </is>
      </c>
    </row>
    <row r="233" ht="409" customHeight="1">
      <c r="A233" s="4" t="inlineStr">
        <is>
          <t>251</t>
        </is>
      </c>
      <c r="B233" s="4" t="inlineStr">
        <is>
          <t>Historical</t>
        </is>
      </c>
      <c r="C233" s="4" t="inlineStr">
        <is>
          <t>Integrative analysis of long noncoding RNAs dysregulation and synapse-associated ceRNA regulatory axes in autism</t>
        </is>
      </c>
      <c r="D233" s="4" t="inlineStr">
        <is>
          <t>10.1038/s41398-023-02662-5</t>
        </is>
      </c>
      <c r="E233" s="4" t="inlineStr">
        <is>
          <t>https://doi.org/10.1038/s41398-023-02662-5</t>
        </is>
      </c>
      <c r="F233" s="4" t="inlineStr">
        <is>
          <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t>
        </is>
      </c>
      <c r="G233" s="4" t="inlineStr">
        <is>
          <t>Análisis integrativo de lncRNA/ceRNA sin algoritmo de IA clínico principal claramente reportado.</t>
        </is>
      </c>
      <c r="H233" s="4" t="str"/>
      <c r="I233" s="4" t="str"/>
      <c r="J233" s="4" t="n"/>
      <c r="K233" s="4" t="inlineStr">
        <is>
          <t>Historical signals: title/abstract/notes; full-text completion not independently established</t>
        </is>
      </c>
      <c r="L233" s="4" t="inlineStr">
        <is>
          <t>Not documented in provided sources</t>
        </is>
      </c>
    </row>
    <row r="234" ht="409" customHeight="1">
      <c r="A234" s="4" t="inlineStr">
        <is>
          <t>253</t>
        </is>
      </c>
      <c r="B234" s="4" t="inlineStr">
        <is>
          <t>Historical</t>
        </is>
      </c>
      <c r="C234" s="4" t="inlineStr">
        <is>
          <t>Interpersonal Motor Coordination in Children with Autism and the Establishment of Machine Learning Models to Objectively Classify Children with Autism and Typical Development</t>
        </is>
      </c>
      <c r="D234" s="4" t="inlineStr">
        <is>
          <t>10.1016/j.irbm.2024.100838</t>
        </is>
      </c>
      <c r="E234" s="4" t="inlineStr">
        <is>
          <t>https://doi.org/10.1016/j.irbm.2024.100838</t>
        </is>
      </c>
      <c r="F234" s="4" t="inlineStr">
        <is>
          <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t>
        </is>
      </c>
      <c r="G234" s="4" t="inlineStr">
        <is>
          <t>Algoritmo principal no explícito o fuera del codebook; Confirmar algoritmo principal en full-text</t>
        </is>
      </c>
      <c r="H234" s="4" t="str"/>
      <c r="I234" s="4" t="str"/>
      <c r="J234" s="4" t="n"/>
      <c r="K234" s="4" t="inlineStr">
        <is>
          <t>Historical signals: title/abstract/notes; full-text completion not independently established</t>
        </is>
      </c>
      <c r="L234" s="4" t="inlineStr">
        <is>
          <t>Not documented in provided sources</t>
        </is>
      </c>
    </row>
    <row r="235" ht="359" customHeight="1">
      <c r="A235" s="4" t="inlineStr">
        <is>
          <t>254</t>
        </is>
      </c>
      <c r="B235" s="4" t="inlineStr">
        <is>
          <t>Historical</t>
        </is>
      </c>
      <c r="C235" s="4" t="inlineStr">
        <is>
          <t>Low-Rank Representation for Multi-center Autism Spectrum Disorder Identification.</t>
        </is>
      </c>
      <c r="D235" s="4" t="inlineStr">
        <is>
          <t>10.1007/978-3-030-00928-1_73</t>
        </is>
      </c>
      <c r="E235" s="4" t="inlineStr">
        <is>
          <t>https://doi.org/10.1007/978-3-030-00928-1_73</t>
        </is>
      </c>
      <c r="F235" s="4" t="inlineStr">
        <is>
          <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t>
        </is>
      </c>
      <c r="G235" s="4" t="inlineStr">
        <is>
          <t>Algoritmo principal no explícito o fuera del codebook; Confirmar algoritmo principal en full-text; Se comparan varios modelos; se eligió el principal/mejor reportado</t>
        </is>
      </c>
      <c r="H235" s="4" t="str"/>
      <c r="I235" s="4" t="str"/>
      <c r="J235" s="4" t="n"/>
      <c r="K235" s="4" t="inlineStr">
        <is>
          <t>Historical signals: title/abstract/notes; full-text completion not independently established</t>
        </is>
      </c>
      <c r="L235" s="4" t="inlineStr">
        <is>
          <t>Not documented in provided sources</t>
        </is>
      </c>
    </row>
    <row r="236" ht="294" customHeight="1">
      <c r="A236" s="4" t="inlineStr">
        <is>
          <t>255</t>
        </is>
      </c>
      <c r="B236" s="4" t="inlineStr">
        <is>
          <t>Historical</t>
        </is>
      </c>
      <c r="C236" s="4" t="inlineStr">
        <is>
          <t>LSTA-CNN: A Lightweight Spatiotemporal Attention-Based Convolutional Neural Network for ASD Diagnosis Using EEG</t>
        </is>
      </c>
      <c r="D236" s="4" t="inlineStr">
        <is>
          <t>10.1109/tnsre.2025.3580593</t>
        </is>
      </c>
      <c r="E236" s="4" t="inlineStr">
        <is>
          <t>https://doi.org/10.1109/tnsre.2025.3580593</t>
        </is>
      </c>
      <c r="F236" s="4" t="inlineStr">
        <is>
          <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t>
        </is>
      </c>
      <c r="G236" s="4" t="inlineStr">
        <is>
          <t>Se comparan varios modelos; se eligió el principal/mejor reportado</t>
        </is>
      </c>
      <c r="H236" s="4" t="str"/>
      <c r="I236" s="4" t="str"/>
      <c r="J236" s="4" t="n"/>
      <c r="K236" s="4" t="inlineStr">
        <is>
          <t>Historical signals: title/abstract/notes; full-text completion not independently established</t>
        </is>
      </c>
      <c r="L236" s="4" t="inlineStr">
        <is>
          <t>Not documented in provided sources</t>
        </is>
      </c>
    </row>
    <row r="237" ht="333" customHeight="1">
      <c r="A237" s="4" t="inlineStr">
        <is>
          <t>256</t>
        </is>
      </c>
      <c r="B237" s="4" t="inlineStr">
        <is>
          <t>Historical</t>
        </is>
      </c>
      <c r="C237" s="4" t="inlineStr">
        <is>
          <t>Machine learning methods for autism spectrum disorder classification</t>
        </is>
      </c>
      <c r="D237" s="4" t="inlineStr">
        <is>
          <t>10.1016/b978-0-12-822822-7.00008-9</t>
        </is>
      </c>
      <c r="E237" s="4" t="inlineStr">
        <is>
          <t>https://doi.org/10.1016/b978-0-12-822822-7.00008-9</t>
        </is>
      </c>
      <c r="F237" s="4" t="inlineStr">
        <is>
          <t>The use of AI-driven predictive models to identify patterns that can act as biomarkers for different neuropathological conditions is becoming highly prevalent. In particular, the recent advances in representation learning techniques provide unprecedented opportunities to understand, diagnose, and eventually treat a gamut of neurological conditions, including epilepsy, stroke, and autism. In this chapter, we consider the challenging problem of autism spectrum disorder classification using resting state fMRI (rs-fMRI) measurements. While supervised learning methods provide a convenient way to build predictive functions that can identify specific signatures in rs-fMRI pertinent to different levels of severity, the key challenge is in modeling the complex spatiotemporal data (from brain networks) and leveraging the dependencies among patients in a population. In this context, graphs provide a powerful framework to address both these challenges and enable the design of sophisticated predictive modeling tools. The advances in graph signal analysis and the generalization of machine learning techniques, such as kernel methods and deep neural networks, to graphs, make them suitable for challenging diagnosis problems. In this chapter, we describe how graphs, either at patient level or population level, can be used to build predictive models. We present mathematical formulations, algorithmic solutions, and empirical studies to establish graph-based machine learning as an effective solution for autism diagnosis.</t>
        </is>
      </c>
      <c r="G237" s="4" t="inlineStr">
        <is>
          <t>Sin señal explícita Q3 en título/abstract.</t>
        </is>
      </c>
      <c r="H237" s="4" t="inlineStr">
        <is>
          <t>Graph-based ML models are presented as predictive tools for autism diagnosis.</t>
        </is>
      </c>
      <c r="I237" s="4" t="str"/>
      <c r="J237" s="4" t="n"/>
      <c r="K237" s="4" t="inlineStr">
        <is>
          <t>Historical signals: title/abstract/notes; full-text completion not independently established</t>
        </is>
      </c>
      <c r="L237" s="4" t="inlineStr">
        <is>
          <t>Not documented in provided sources</t>
        </is>
      </c>
    </row>
    <row r="238" ht="333" customHeight="1">
      <c r="A238" s="4" t="inlineStr">
        <is>
          <t>258</t>
        </is>
      </c>
      <c r="B238" s="4" t="inlineStr">
        <is>
          <t>Historical</t>
        </is>
      </c>
      <c r="C238" s="4" t="inlineStr">
        <is>
          <t>MDNCT: a multi-domain neurocognitive transformer architecture approach for early prediction of autism spectrum disorders</t>
        </is>
      </c>
      <c r="D238" s="4" t="inlineStr">
        <is>
          <t>10.1038/s41598-025-09862-7</t>
        </is>
      </c>
      <c r="E238" s="4" t="inlineStr">
        <is>
          <t>https://doi.org/10.1038/s41598-025-09862-7</t>
        </is>
      </c>
      <c r="F238" s="4" t="inlineStr">
        <is>
          <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t>
        </is>
      </c>
      <c r="G238" s="4" t="inlineStr">
        <is>
          <t>Arquitectura transformer multi-domain para predicción temprana; fuente de datos específica no es explícita en el abstract.</t>
        </is>
      </c>
      <c r="H238" s="4" t="str"/>
      <c r="I238" s="4" t="str"/>
      <c r="J238" s="4" t="n"/>
      <c r="K238" s="4" t="inlineStr">
        <is>
          <t>Historical signals: title/abstract/notes; full-text completion not independently established</t>
        </is>
      </c>
      <c r="L238" s="4" t="inlineStr">
        <is>
          <t>Not documented in provided sources</t>
        </is>
      </c>
    </row>
    <row r="239" ht="203" customHeight="1">
      <c r="A239" s="4" t="inlineStr">
        <is>
          <t>259</t>
        </is>
      </c>
      <c r="B239" s="4" t="inlineStr">
        <is>
          <t>Historical</t>
        </is>
      </c>
      <c r="C239" s="4" t="inlineStr">
        <is>
          <t>MHATC: Autism Spectrum Disorder Identification Utilizing Multi-Head Attention Encoder Along with Temporal Consolidation Modules</t>
        </is>
      </c>
      <c r="D239" s="4" t="inlineStr">
        <is>
          <t>10.1109/embc48229.2022.9871130</t>
        </is>
      </c>
      <c r="E239" s="4" t="inlineStr">
        <is>
          <t>https://doi.org/10.1109/embc48229.2022.9871130</t>
        </is>
      </c>
      <c r="F239" s="4" t="inlineStr">
        <is>
          <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t>
        </is>
      </c>
      <c r="G239" s="4" t="str"/>
      <c r="H239" s="4" t="str"/>
      <c r="I239" s="4" t="str"/>
      <c r="J239" s="4" t="n"/>
      <c r="K239" s="4" t="inlineStr">
        <is>
          <t>Historical signals: title/abstract/notes; full-text completion not independently established</t>
        </is>
      </c>
      <c r="L239" s="4" t="inlineStr">
        <is>
          <t>Not documented in provided sources</t>
        </is>
      </c>
    </row>
    <row r="240" ht="307" customHeight="1">
      <c r="A240" s="4" t="inlineStr">
        <is>
          <t>260</t>
        </is>
      </c>
      <c r="B240" s="4" t="inlineStr">
        <is>
          <t>Historical</t>
        </is>
      </c>
      <c r="C240" s="4" t="inlineStr">
        <is>
          <t>Multi-atlas Representations Based on\&amp;#xa0;Graph Convolutional Networks for\&amp;#xa0;Autism Spectrum Disorder Diagnosis</t>
        </is>
      </c>
      <c r="D240" s="4" t="inlineStr">
        <is>
          <t>10.1007/978-981-99-8558-6_38</t>
        </is>
      </c>
      <c r="E240" s="4" t="inlineStr">
        <is>
          <t>https://doi.org/10.1007/978-981-99-8558-6_38</t>
        </is>
      </c>
      <c r="F240" s="4" t="inlineStr">
        <is>
          <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t>
        </is>
      </c>
      <c r="G240" s="4" t="inlineStr">
        <is>
          <t>Algoritmo principal no explícito o fuera del codebook; Confirmar algoritmo principal en full-text; Se comparan varios modelos; se eligió el principal/mejor reportado</t>
        </is>
      </c>
      <c r="H240" s="4" t="str"/>
      <c r="I240" s="4" t="str"/>
      <c r="J240" s="4" t="n"/>
      <c r="K240" s="4" t="inlineStr">
        <is>
          <t>Historical signals: title/abstract/notes; full-text completion not independently established</t>
        </is>
      </c>
      <c r="L240" s="4" t="inlineStr">
        <is>
          <t>Not documented in provided sources</t>
        </is>
      </c>
    </row>
    <row r="241" ht="409" customHeight="1">
      <c r="A241" s="4" t="inlineStr">
        <is>
          <t>261</t>
        </is>
      </c>
      <c r="B241" s="4" t="inlineStr">
        <is>
          <t>Historical</t>
        </is>
      </c>
      <c r="C241" s="4" t="inlineStr">
        <is>
          <t>Multiple Classification of Brain MRI Autism Spectrum Disorder by Age and Gender Using Deep Learning</t>
        </is>
      </c>
      <c r="D241" s="4" t="inlineStr">
        <is>
          <t>10.1007/s10916-023-02032-0</t>
        </is>
      </c>
      <c r="E241" s="4" t="inlineStr">
        <is>
          <t>https://doi.org/10.1007/s10916-023-02032-0</t>
        </is>
      </c>
      <c r="F241" s="4" t="inlineStr">
        <is>
          <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t>
        </is>
      </c>
      <c r="G241" s="4" t="str"/>
      <c r="H241" s="4" t="str"/>
      <c r="I241" s="4" t="str"/>
      <c r="J241" s="4" t="n"/>
      <c r="K241" s="4" t="inlineStr">
        <is>
          <t>Historical signals: title/abstract/notes; full-text completion not independently established</t>
        </is>
      </c>
      <c r="L241" s="4" t="inlineStr">
        <is>
          <t>Not documented in provided sources</t>
        </is>
      </c>
    </row>
    <row r="242" ht="409" customHeight="1">
      <c r="A242" s="4" t="inlineStr">
        <is>
          <t>262</t>
        </is>
      </c>
      <c r="B242" s="4" t="inlineStr">
        <is>
          <t>Historical</t>
        </is>
      </c>
      <c r="C242" s="4" t="inlineStr">
        <is>
          <t>MVS-GCN: A prior brain structure learning-guided multi-view graph convolution network for autism spectrum disorder diagnosis</t>
        </is>
      </c>
      <c r="D242" s="4" t="inlineStr">
        <is>
          <t>10.1016/j.compbiomed.2022.105239</t>
        </is>
      </c>
      <c r="E242" s="4" t="inlineStr">
        <is>
          <t>https://doi.org/10.1016/j.compbiomed.2022.105239</t>
        </is>
      </c>
      <c r="F242" s="4" t="inlineStr">
        <is>
          <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t>
        </is>
      </c>
      <c r="G242" s="4" t="str"/>
      <c r="H242" s="4" t="str"/>
      <c r="I242" s="4" t="str"/>
      <c r="J242" s="4" t="n"/>
      <c r="K242" s="4" t="inlineStr">
        <is>
          <t>Historical signals: title/abstract/notes; full-text completion not independently established</t>
        </is>
      </c>
      <c r="L242" s="4" t="inlineStr">
        <is>
          <t>Not documented in provided sources</t>
        </is>
      </c>
    </row>
    <row r="243" ht="409" customHeight="1">
      <c r="A243" s="4" t="inlineStr">
        <is>
          <t>263</t>
        </is>
      </c>
      <c r="B243" s="4" t="inlineStr">
        <is>
          <t>Historical</t>
        </is>
      </c>
      <c r="C243" s="4" t="inlineStr">
        <is>
          <t>Neurodevelopmental model of schizophrenia revisited: similarity in individual deviation and idiosyncrasy from the normative model of whole-brain white matter tracts and shared brain-cognition covariation with ADHD and ASD</t>
        </is>
      </c>
      <c r="D243" s="4" t="inlineStr">
        <is>
          <t>10.1038/s41380-022-01636-1</t>
        </is>
      </c>
      <c r="E243" s="4" t="inlineStr">
        <is>
          <t>https://doi.org/10.1038/s41380-022-01636-1</t>
        </is>
      </c>
      <c r="F243" s="4" t="inlineStr">
        <is>
          <t>The neurodevelopmental model of schizophrenia is supported by multi-level impairments shared among schizophrenia and neurodevelopmental disorders. Despite schizophrenia and typical neurodevelopmental disorders, i.e., autism spectrum disorder (ASD) and attention-deficit/hyperactivity disorder (ADHD), as disorders of brain dysconnectivity, no study has ever elucidated whether whole-brain white matter (WM) tracts integrity alterations overlap or diverge between these three disorders. Moreover, whether the linked dimensions of cognition and brain metrics per the Research Domain Criteria framework cut across diagnostic boundaries remains unknown. We aimed to map deviations from normative ranges of whole-brain major WM tracts for individual patients to investigate the similarity and differences among schizophrenia (281 patients subgrouped into the first-episode, subchronic and chronic phases), ASD (175 patients), and ADHD (279 patients). Sex-specific WM tract normative development was modeled from diffusion spectrum imaging of 626 typically developing controls (5–40 years). There were three significant findings. First, the patterns of deviation and idiosyncrasy of WM tracts were similar between schizophrenia and ADHD alongside ASD, particularly at the earlier stages of schizophrenia relative to chronic stages. Second, using the WM deviation patterns as features, schizophrenia cannot be separated from neurodevelopmental disorders in the unsupervised machine learning algorithm. Lastly, the canonical correlation analysis showed schizophrenia, ADHD, and ASD shared linked cognitive dimensions driven by WM deviations. Together, our results provide new insights into the neurodevelopmental facet of schizophrenia and its brain basis. Individual’s WM deviations may contribute to diverse arrays of cognitive function along a continuum with phenotypic expressions from typical neurodevelopmental disorders to schizophrenia.</t>
        </is>
      </c>
      <c r="G243" s="4" t="str"/>
      <c r="H243" s="4" t="str"/>
      <c r="I243" s="4" t="str"/>
      <c r="J243" s="4" t="n"/>
      <c r="K243" s="4" t="inlineStr">
        <is>
          <t>Historical signals: title/abstract/notes; full-text completion not independently established</t>
        </is>
      </c>
      <c r="L243" s="4" t="inlineStr">
        <is>
          <t>Not documented in provided sources</t>
        </is>
      </c>
    </row>
    <row r="244" ht="346" customHeight="1">
      <c r="A244" s="4" t="inlineStr">
        <is>
          <t>264</t>
        </is>
      </c>
      <c r="B244" s="4" t="inlineStr">
        <is>
          <t>Historical</t>
        </is>
      </c>
      <c r="C244" s="4" t="inlineStr">
        <is>
          <t>Non-Oscillatory Connectivity Approach for Classification of Autism Spectrum Disorder Subtypes Using Resting-State fMRI</t>
        </is>
      </c>
      <c r="D244" s="4" t="inlineStr">
        <is>
          <t>10.1109/access.2022.3146719</t>
        </is>
      </c>
      <c r="E244" s="4" t="inlineStr">
        <is>
          <t>https://doi.org/10.1109/access.2022.3146719</t>
        </is>
      </c>
      <c r="F244" s="4" t="inlineStr">
        <is>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is>
      </c>
      <c r="G244" s="4" t="inlineStr">
        <is>
          <t>No hay un único “modelo”; hay un pipeline de conectividad NOC + selección por p-values + comparación de clasificadores, y SVM queda como el mejor. 
Non-Oscillatory_Connectivity_Ap…
Dataset de subtipos es pequeño (36 sujetos por clase), y además validan ASD vs NC con un dataset grande (505 ASD / 530 NC). Esto puede ser importante si tu Excel tiene campo de “tamaño/validación”.</t>
        </is>
      </c>
      <c r="H244" s="4" t="str"/>
      <c r="I244" s="4" t="str"/>
      <c r="J244" s="4" t="n"/>
      <c r="K244" s="4" t="inlineStr">
        <is>
          <t>Historical signals: title/abstract/notes; full-text completion not independently established</t>
        </is>
      </c>
      <c r="L244" s="4" t="inlineStr">
        <is>
          <t>Not documented in provided sources</t>
        </is>
      </c>
    </row>
    <row r="245" ht="229" customHeight="1">
      <c r="A245" s="4" t="inlineStr">
        <is>
          <t>265</t>
        </is>
      </c>
      <c r="B245" s="4" t="inlineStr">
        <is>
          <t>Historical</t>
        </is>
      </c>
      <c r="C245" s="4" t="inlineStr">
        <is>
          <t>Personalized identification of autism-related bacteria in the gut microbiome using explainable artificial intelligence</t>
        </is>
      </c>
      <c r="D245" s="4" t="inlineStr">
        <is>
          <t>10.1016/j.isci.2024.110709</t>
        </is>
      </c>
      <c r="E245" s="4" t="inlineStr">
        <is>
          <t>https://doi.org/10.1016/j.isci.2024.110709</t>
        </is>
      </c>
      <c r="F245" s="4" t="inlineStr">
        <is>
          <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t>
        </is>
      </c>
      <c r="G245" s="4" t="str"/>
      <c r="H245" s="4" t="str"/>
      <c r="I245" s="4" t="str"/>
      <c r="J245" s="4" t="n"/>
      <c r="K245" s="4" t="inlineStr">
        <is>
          <t>Historical signals: title/abstract/notes; full-text completion not independently established</t>
        </is>
      </c>
      <c r="L245" s="4" t="inlineStr">
        <is>
          <t>Not documented in provided sources</t>
        </is>
      </c>
    </row>
    <row r="246" ht="409" customHeight="1">
      <c r="A246" s="4" t="inlineStr">
        <is>
          <t>266</t>
        </is>
      </c>
      <c r="B246" s="4" t="inlineStr">
        <is>
          <t>Historical</t>
        </is>
      </c>
      <c r="C246" s="4" t="inlineStr">
        <is>
          <t>Prenatal exposure to criteria air pollution and traffic-related air toxics and risk of autism spectrum disorder: A population-based cohort study of California births (1990–2018)</t>
        </is>
      </c>
      <c r="D246" s="4" t="inlineStr">
        <is>
          <t>10.1016/j.envint.2025.109562</t>
        </is>
      </c>
      <c r="E246" s="4" t="inlineStr">
        <is>
          <t>https://doi.org/10.1016/j.envint.2025.109562</t>
        </is>
      </c>
      <c r="F246" s="4"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G246" s="4" t="inlineStr">
        <is>
          <t>Algoritmo principal no explícito o fuera del codebook; Confirmar algoritmo principal en full-text</t>
        </is>
      </c>
      <c r="H246" s="4" t="inlineStr">
        <is>
          <t>Population-based environmental epidemiology cohort; no AI/ML clinical decision system in the abstract.</t>
        </is>
      </c>
      <c r="I246" s="4" t="str"/>
      <c r="J246" s="4" t="n"/>
      <c r="K246" s="4" t="inlineStr">
        <is>
          <t>Historical signals: title/abstract/notes; full-text completion not independently established</t>
        </is>
      </c>
      <c r="L246" s="4" t="inlineStr">
        <is>
          <t>Not documented in provided sources</t>
        </is>
      </c>
    </row>
    <row r="247" ht="409" customHeight="1">
      <c r="A247" s="4" t="inlineStr">
        <is>
          <t>267</t>
        </is>
      </c>
      <c r="B247" s="4" t="inlineStr">
        <is>
          <t>Historical</t>
        </is>
      </c>
      <c r="C247" s="4" t="inlineStr">
        <is>
          <t>Risk assessment for parents who suspect their child has autism spectrum disorder: Machine learning approach</t>
        </is>
      </c>
      <c r="D247" s="4" t="inlineStr">
        <is>
          <t>10.2196/jmir.9496</t>
        </is>
      </c>
      <c r="E247" s="4" t="inlineStr">
        <is>
          <t>https://doi.org/10.2196/jmir.9496</t>
        </is>
      </c>
      <c r="F247" s="4" t="inlineStr">
        <is>
          <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t>
        </is>
      </c>
      <c r="G247" s="4" t="inlineStr">
        <is>
          <t>Algoritmo principal no explícito o fuera del codebook; Confirmar algoritmo principal en full-text</t>
        </is>
      </c>
      <c r="H247" s="4" t="str"/>
      <c r="I247" s="4" t="str"/>
      <c r="J247" s="4" t="n"/>
      <c r="K247" s="4" t="inlineStr">
        <is>
          <t>Historical signals: title/abstract/notes; full-text completion not independently established</t>
        </is>
      </c>
      <c r="L247" s="4" t="inlineStr">
        <is>
          <t>Not documented in provided sources</t>
        </is>
      </c>
    </row>
    <row r="248" ht="409" customHeight="1">
      <c r="A248" s="4" t="inlineStr">
        <is>
          <t>268</t>
        </is>
      </c>
      <c r="B248" s="4" t="inlineStr">
        <is>
          <t>Historical</t>
        </is>
      </c>
      <c r="C248" s="4" t="inlineStr">
        <is>
          <t>Robust Low Complexity Framework for Early Diagnosis of Autism Spectrum Disorder Based on Cross Wavelet Transform and Deep Transfer Learning</t>
        </is>
      </c>
      <c r="D248" s="4" t="inlineStr">
        <is>
          <t>10.1007/s42979-023-02564-9</t>
        </is>
      </c>
      <c r="E248" s="4" t="inlineStr">
        <is>
          <t>https://doi.org/10.1007/s42979-023-02564-9</t>
        </is>
      </c>
      <c r="F248" s="4" t="inlineStr">
        <is>
          <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t>
        </is>
      </c>
      <c r="G248" s="4" t="str"/>
      <c r="H248" s="4" t="str"/>
      <c r="I248" s="4" t="str"/>
      <c r="J248" s="4" t="n"/>
      <c r="K248" s="4" t="inlineStr">
        <is>
          <t>Historical signals: title/abstract/notes; full-text completion not independently established</t>
        </is>
      </c>
      <c r="L248" s="4" t="inlineStr">
        <is>
          <t>Not documented in provided sources</t>
        </is>
      </c>
    </row>
    <row r="249" ht="333" customHeight="1">
      <c r="A249" s="4" t="inlineStr">
        <is>
          <t>269</t>
        </is>
      </c>
      <c r="B249" s="4" t="inlineStr">
        <is>
          <t>Historical</t>
        </is>
      </c>
      <c r="C249" s="4" t="inlineStr">
        <is>
          <t>Self-weighted adaptive structure learning for ASD diagnosis via multi-template multi-center representation</t>
        </is>
      </c>
      <c r="D249" s="4" t="inlineStr">
        <is>
          <t>10.1016/j.media.2020.101662</t>
        </is>
      </c>
      <c r="E249" s="4" t="inlineStr">
        <is>
          <t>https://doi.org/10.1016/j.media.2020.101662</t>
        </is>
      </c>
      <c r="F249" s="4" t="inlineStr">
        <is>
          <t>As a kind of neurodevelopmental disease, autism spectrum disorder (ASD) can cause severe social, communication, interaction, and behavioral challenges. To date, many imaging-based machine learning techniques have been proposed to address ASD diagnosis issues. However, most of these techniques are restricted to a single template or dataset from one imaging center. In this paper, we propose a novel multi-template multi-center ensemble classification scheme for automatic ASD diagnosis. Specifically, based on different pre-defined templates, we construct multiple functional connectivity (FC) brain networks for each subject based on our proposed Pearson's correlation-based sparse low-rank representation. After extracting features from these FC networks, informative features to learn optimal similarity matrix are then selected by our self-weighted adaptive structure learning (SASL) model. For each template, the SASL method automatically assigns an optimal weight learned from the structural information without additional weights and parameters. Finally, an ensemble strategy based on the multi- template multi-center representations is applied to derive the final diagnosis results. Extensive experiments are conducted on the publicly available Autism Brain Imaging Data Exchange (ABIDE) database to demonstrate the efficacy of our proposed method. Experimental results verify that our proposed method boosts ASD diagnosis performance and outperforms state-of-the-art methods.</t>
        </is>
      </c>
      <c r="G249" s="4" t="inlineStr">
        <is>
          <t>el algoritmo principal es SASL-E/SASL, no uno de tu lista</t>
        </is>
      </c>
      <c r="H249" s="4" t="str"/>
      <c r="I249" s="4" t="str"/>
      <c r="J249" s="4" t="n"/>
      <c r="K249" s="4" t="inlineStr">
        <is>
          <t>Historical signals: title/abstract/notes; full-text completion not independently established</t>
        </is>
      </c>
      <c r="L249" s="4" t="inlineStr">
        <is>
          <t>Not documented in provided sources</t>
        </is>
      </c>
    </row>
    <row r="250" ht="281" customHeight="1">
      <c r="A250" s="4" t="inlineStr">
        <is>
          <t>270</t>
        </is>
      </c>
      <c r="B250" s="4" t="inlineStr">
        <is>
          <t>Historical</t>
        </is>
      </c>
      <c r="C250" s="4" t="inlineStr">
        <is>
          <t>Smart bed based daytime behavior prediction in Children with autism spectrum disorder - A Pilot Study</t>
        </is>
      </c>
      <c r="D250" s="4" t="inlineStr">
        <is>
          <t>10.1016/j.medengphy.2020.07.004</t>
        </is>
      </c>
      <c r="E250" s="4" t="inlineStr">
        <is>
          <t>https://doi.org/10.1016/j.medengphy.2020.07.004</t>
        </is>
      </c>
      <c r="F250" s="4" t="inlineStr">
        <is>
          <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t>
        </is>
      </c>
      <c r="G250" s="4" t="inlineStr">
        <is>
          <t>Predice conducta diurna a partir de señales BCG de smart bed; SVM y ANN comparados.</t>
        </is>
      </c>
      <c r="H250" s="4" t="str"/>
      <c r="I250" s="4" t="str"/>
      <c r="J250" s="4" t="n"/>
      <c r="K250" s="4" t="inlineStr">
        <is>
          <t>Historical signals: title/abstract/notes; full-text completion not independently established</t>
        </is>
      </c>
      <c r="L250" s="4" t="inlineStr">
        <is>
          <t>Not documented in provided sources</t>
        </is>
      </c>
    </row>
    <row r="251" ht="385" customHeight="1">
      <c r="A251" s="4" t="inlineStr">
        <is>
          <t>272</t>
        </is>
      </c>
      <c r="B251" s="4" t="inlineStr">
        <is>
          <t>Historical</t>
        </is>
      </c>
      <c r="C251" s="4" t="inlineStr">
        <is>
          <t>Subtyping cognitive profiles in Autism Spectrum Disorder using a Functional Random Forest algorithm</t>
        </is>
      </c>
      <c r="D251" s="4" t="inlineStr">
        <is>
          <t>10.1016/j.neuroimage.2017.12.044</t>
        </is>
      </c>
      <c r="E251" s="4" t="inlineStr">
        <is>
          <t>https://doi.org/10.1016/j.neuroimage.2017.12.044</t>
        </is>
      </c>
      <c r="F251" s="4" t="inlineStr">
        <is>
          <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t>
        </is>
      </c>
      <c r="G251" s="4" t="inlineStr">
        <is>
          <t>Random forest funcional para matriz de proximidad y posterior detección de comunidades/cognitivos subtipos.</t>
        </is>
      </c>
      <c r="H251" s="4" t="str"/>
      <c r="I251" s="4" t="str"/>
      <c r="J251" s="4" t="n"/>
      <c r="K251" s="4" t="inlineStr">
        <is>
          <t>Historical signals: title/abstract/notes; full-text completion not independently established</t>
        </is>
      </c>
      <c r="L251" s="4" t="inlineStr">
        <is>
          <t>Not documented in provided sources</t>
        </is>
      </c>
    </row>
    <row r="252" ht="294" customHeight="1">
      <c r="A252" s="4" t="inlineStr">
        <is>
          <t>273</t>
        </is>
      </c>
      <c r="B252" s="4" t="inlineStr">
        <is>
          <t>Historical</t>
        </is>
      </c>
      <c r="C252" s="4" t="inlineStr">
        <is>
          <t>Towards autism subtype detection through identification of discriminatory factors using machine learning</t>
        </is>
      </c>
      <c r="D252" s="4" t="inlineStr">
        <is>
          <t>10.1007/978-3-030-86993-9_36</t>
        </is>
      </c>
      <c r="E252" s="4" t="inlineStr">
        <is>
          <t>https://doi.org/10.1007/978-3-030-86993-9_36</t>
        </is>
      </c>
      <c r="F252" s="4" t="inlineStr">
        <is>
          <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t>
        </is>
      </c>
      <c r="G252" s="4" t="inlineStr">
        <is>
          <t>Genera subtipos con k-means a partir de Q-CHAT/AQ-10; clasificadores posteriores son secundarios.</t>
        </is>
      </c>
      <c r="H252" s="4" t="str"/>
      <c r="I252" s="4" t="str"/>
      <c r="J252" s="4" t="n"/>
      <c r="K252" s="4" t="inlineStr">
        <is>
          <t>Historical signals: title/abstract/notes; full-text completion not independently established</t>
        </is>
      </c>
      <c r="L252" s="4" t="inlineStr">
        <is>
          <t>Not documented in provided sources</t>
        </is>
      </c>
    </row>
    <row r="253" ht="281" customHeight="1">
      <c r="A253" s="4" t="inlineStr">
        <is>
          <t>274</t>
        </is>
      </c>
      <c r="B253" s="4" t="inlineStr">
        <is>
          <t>Historical</t>
        </is>
      </c>
      <c r="C253" s="4" t="inlineStr">
        <is>
          <t>‘IoT and AI-Based Application for Automatic Interpretation of the Affective State of Children Diagnosed with Autism</t>
        </is>
      </c>
      <c r="D253" s="4" t="inlineStr">
        <is>
          <t>10.3390/s22072528</t>
        </is>
      </c>
      <c r="E253" s="4" t="inlineStr">
        <is>
          <t>https://doi.org/10.3390/s22072528</t>
        </is>
      </c>
      <c r="F253" s="4" t="inlineStr">
        <is>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t>
        </is>
      </c>
      <c r="G253" s="4" t="str"/>
      <c r="H253" s="4" t="str"/>
      <c r="I253" s="4" t="str"/>
      <c r="J253" s="4" t="n"/>
      <c r="K253" s="4" t="inlineStr">
        <is>
          <t>Historical signals: title/abstract/notes; full-text completion not independently established</t>
        </is>
      </c>
      <c r="L253" s="4" t="inlineStr">
        <is>
          <t>Not documented in provided sources</t>
        </is>
      </c>
    </row>
    <row r="254" ht="190" customHeight="1">
      <c r="A254" s="4" t="inlineStr">
        <is>
          <t>275</t>
        </is>
      </c>
      <c r="B254" s="4" t="inlineStr">
        <is>
          <t>Historical</t>
        </is>
      </c>
      <c r="C254" s="4" t="inlineStr">
        <is>
          <t>A Fusion-Based Machine Learning Approach for Autism Detection in Young Children Using Magnetoencephalography Signals</t>
        </is>
      </c>
      <c r="D254" s="4" t="inlineStr">
        <is>
          <t>10.1007/s10803-022-05767-w</t>
        </is>
      </c>
      <c r="E254" s="4" t="inlineStr">
        <is>
          <t>https://doi.org/10.1007/s10803-022-05767-w</t>
        </is>
      </c>
      <c r="F254" s="4" t="inlineStr">
        <is>
          <t>In this study, we aimed to find biomarkers of autism in young children. We recorded magnetoencephalography (MEG) in thirty children (4–7 years) with autism and thirty age, gender-matched controls while they were watching cartoons. We focused on characterizing neural oscillations by amplitude (power spectral density, PSD) and phase (preferred phase angle, PPA). Machine learning based classifier showed a higher classification accuracy (88%) for PPA features than PSD features (82%). Further, by a novel fusion method combining PSD and PPA features, we achieved an average classification accuracy of 94% and 98% for feature-level and score-level fusion, respectively. These findings reveal discriminatory patterns of neural oscillations of autism in young children and provide novel insight into autism pathophysiology.</t>
        </is>
      </c>
      <c r="G254" s="4" t="inlineStr">
        <is>
          <t>Aunque el paper enfatiza “young children” y “early markers”, el uso que reporta es clasificación ASD vs TD en una muestra ya diagnosticada; por eso “Diagnosis” es el mapeo más consistente con tus opciones.</t>
        </is>
      </c>
      <c r="H254" s="4" t="str"/>
      <c r="I254" s="4" t="str"/>
      <c r="J254" s="4" t="n"/>
      <c r="K254" s="4" t="inlineStr">
        <is>
          <t>Historical signals: title/abstract/notes; full-text completion not independently established</t>
        </is>
      </c>
      <c r="L254" s="4" t="inlineStr">
        <is>
          <t>Not documented in provided sources</t>
        </is>
      </c>
    </row>
    <row r="255" ht="320" customHeight="1">
      <c r="A255" s="4" t="inlineStr">
        <is>
          <t>276</t>
        </is>
      </c>
      <c r="B255" s="4" t="inlineStr">
        <is>
          <t>Historical</t>
        </is>
      </c>
      <c r="C255" s="4" t="inlineStr">
        <is>
          <t>A situation-aware system for the detection of motion disorders of patients with Autism Spectrum Disorders</t>
        </is>
      </c>
      <c r="D255" s="4" t="inlineStr">
        <is>
          <t>10.1016/j.eswa.2014.05.011</t>
        </is>
      </c>
      <c r="E255" s="4" t="inlineStr">
        <is>
          <t>https://doi.org/10.1016/j.eswa.2014.05.011</t>
        </is>
      </c>
      <c r="F255" s="4" t="inlineStr">
        <is>
          <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t>
        </is>
      </c>
      <c r="G255" s="4" t="inlineStr">
        <is>
          <t>Algoritmo principal no explícito o fuera del codebook; Confirmar algoritmo principal en full-text</t>
        </is>
      </c>
      <c r="H255" s="4" t="str"/>
      <c r="I255" s="4" t="str"/>
      <c r="J255" s="4" t="n"/>
      <c r="K255" s="4" t="inlineStr">
        <is>
          <t>Historical signals: title/abstract/notes; full-text completion not independently established</t>
        </is>
      </c>
      <c r="L255" s="4" t="inlineStr">
        <is>
          <t>Not documented in provided sources</t>
        </is>
      </c>
    </row>
    <row r="256" ht="333" customHeight="1">
      <c r="A256" s="4" t="inlineStr">
        <is>
          <t>277</t>
        </is>
      </c>
      <c r="B256" s="4" t="inlineStr">
        <is>
          <t>Historical</t>
        </is>
      </c>
      <c r="C256" s="4" t="inlineStr">
        <is>
          <t>Accurate corresponding fiber tract segmentation via FiberGeoMap learner with application to autism</t>
        </is>
      </c>
      <c r="D256" s="4" t="inlineStr">
        <is>
          <t>10.1093/cercor/bhad125</t>
        </is>
      </c>
      <c r="E256" s="4" t="inlineStr">
        <is>
          <t>https://doi.org/10.1093/cercor/bhad125</t>
        </is>
      </c>
      <c r="F256" s="4" t="inlineStr">
        <is>
          <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t>
        </is>
      </c>
      <c r="G256" s="4" t="inlineStr">
        <is>
          <t>Segmentación de tractos de difusión; algoritmo FiberGeoMap fuera del codebook.</t>
        </is>
      </c>
      <c r="H256" s="4" t="str"/>
      <c r="I256" s="4" t="str"/>
      <c r="J256" s="4" t="n"/>
      <c r="K256" s="4" t="inlineStr">
        <is>
          <t>Historical signals: title/abstract/notes; full-text completion not independently established</t>
        </is>
      </c>
      <c r="L256" s="4" t="inlineStr">
        <is>
          <t>Not documented in provided sources</t>
        </is>
      </c>
    </row>
    <row r="257" ht="409" customHeight="1">
      <c r="A257" s="4" t="inlineStr">
        <is>
          <t>278</t>
        </is>
      </c>
      <c r="B257" s="4" t="inlineStr">
        <is>
          <t>Historical</t>
        </is>
      </c>
      <c r="C257" s="4" t="inlineStr">
        <is>
          <t>Autism risk classification using placental chorionic surface vascular network features</t>
        </is>
      </c>
      <c r="D257" s="4" t="inlineStr">
        <is>
          <t>10.1186/s12911-017-0564-8</t>
        </is>
      </c>
      <c r="E257" s="4" t="inlineStr">
        <is>
          <t>https://doi.org/10.1186/s12911-017-0564-8</t>
        </is>
      </c>
      <c r="F257" s="4" t="inlineStr">
        <is>
          <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t>
        </is>
      </c>
      <c r="G257" s="4" t="str"/>
      <c r="H257" s="4" t="str"/>
      <c r="I257" s="4" t="str"/>
      <c r="J257" s="4" t="n"/>
      <c r="K257" s="4" t="inlineStr">
        <is>
          <t>Historical signals: title/abstract/notes; full-text completion not independently established</t>
        </is>
      </c>
      <c r="L257" s="4" t="inlineStr">
        <is>
          <t>Not documented in provided sources</t>
        </is>
      </c>
    </row>
    <row r="258" ht="409" customHeight="1">
      <c r="A258" s="4" t="inlineStr">
        <is>
          <t>279</t>
        </is>
      </c>
      <c r="B258" s="4" t="inlineStr">
        <is>
          <t>Historical</t>
        </is>
      </c>
      <c r="C258" s="4" t="inlineStr">
        <is>
          <t>Autism spectrum disorder detection using sequential minimal optimization-support vector machine hybrid classifier according to history of jaundice and family autism in children</t>
        </is>
      </c>
      <c r="D258" s="4" t="inlineStr">
        <is>
          <t>10.1002/cpe.6498</t>
        </is>
      </c>
      <c r="E258" s="4" t="inlineStr">
        <is>
          <t>https://doi.org/10.1002/cpe.6498</t>
        </is>
      </c>
      <c r="F258" s="4" t="inlineStr">
        <is>
          <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t>
        </is>
      </c>
      <c r="G258" s="4" t="str"/>
      <c r="H258" s="4" t="str"/>
      <c r="I258" s="4" t="str"/>
      <c r="J258" s="4" t="n"/>
      <c r="K258" s="4" t="inlineStr">
        <is>
          <t>Historical signals: title/abstract/notes; full-text completion not independently established</t>
        </is>
      </c>
      <c r="L258" s="4" t="inlineStr">
        <is>
          <t>Not documented in provided sources</t>
        </is>
      </c>
    </row>
    <row r="259" ht="333" customHeight="1">
      <c r="A259" s="4" t="inlineStr">
        <is>
          <t>280</t>
        </is>
      </c>
      <c r="B259" s="4" t="inlineStr">
        <is>
          <t>Historical</t>
        </is>
      </c>
      <c r="C259" s="4" t="inlineStr">
        <is>
          <t>Classification of autism based on short-term spontaneous hemodynamic fluctuations using an adaptive graph neural network</t>
        </is>
      </c>
      <c r="D259" s="4" t="inlineStr">
        <is>
          <t>10.1016/j.jneumeth.2023.109901</t>
        </is>
      </c>
      <c r="E259" s="4" t="inlineStr">
        <is>
          <t>https://doi.org/10.1016/j.jneumeth.2023.109901</t>
        </is>
      </c>
      <c r="F259" s="4" t="inlineStr">
        <is>
          <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t>
        </is>
      </c>
      <c r="G259" s="4" t="inlineStr">
        <is>
          <t>Algoritmo principal no explícito o fuera del codebook; Confirmar algoritmo principal en full-text; Se comparan varios modelos; se eligió el principal/mejor reportado</t>
        </is>
      </c>
      <c r="H259" s="4" t="str"/>
      <c r="I259" s="4" t="str"/>
      <c r="J259" s="4" t="n"/>
      <c r="K259" s="4" t="inlineStr">
        <is>
          <t>Historical signals: title/abstract/notes; full-text completion not independently established</t>
        </is>
      </c>
      <c r="L259" s="4" t="inlineStr">
        <is>
          <t>Not documented in provided sources</t>
        </is>
      </c>
    </row>
    <row r="260" ht="307" customHeight="1">
      <c r="A260" s="4" t="inlineStr">
        <is>
          <t>281</t>
        </is>
      </c>
      <c r="B260" s="4" t="inlineStr">
        <is>
          <t>Historical</t>
        </is>
      </c>
      <c r="C260" s="4" t="inlineStr">
        <is>
          <t>Deep Mobile Linguistic Therapy for Patients with ASD</t>
        </is>
      </c>
      <c r="D260" s="4" t="inlineStr">
        <is>
          <t>10.3390/ijerph191912857</t>
        </is>
      </c>
      <c r="E260" s="4" t="inlineStr">
        <is>
          <t>https://doi.org/10.3390/ijerph191912857</t>
        </is>
      </c>
      <c r="F260" s="4" t="inlineStr">
        <is>
          <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t>
        </is>
      </c>
      <c r="G260" s="4" t="inlineStr">
        <is>
          <t>Sistema de terapia lingüística móvil; no corresponde a una tarea diagnóstica clásica.</t>
        </is>
      </c>
      <c r="H260" s="4" t="str"/>
      <c r="I260" s="4" t="str"/>
      <c r="J260" s="4" t="n"/>
      <c r="K260" s="4" t="inlineStr">
        <is>
          <t>Historical signals: title/abstract/notes; full-text completion not independently established</t>
        </is>
      </c>
      <c r="L260" s="4" t="inlineStr">
        <is>
          <t>Not documented in provided sources</t>
        </is>
      </c>
    </row>
    <row r="261" ht="346" customHeight="1">
      <c r="A261" s="4" t="inlineStr">
        <is>
          <t>282</t>
        </is>
      </c>
      <c r="B261" s="4" t="inlineStr">
        <is>
          <t>Historical</t>
        </is>
      </c>
      <c r="C261" s="4" t="inlineStr">
        <is>
          <t>DeepASDPred: a CNN-LSTM-based deep learning method for Autism spectrum disorders risk RNA identification</t>
        </is>
      </c>
      <c r="D261" s="4" t="inlineStr">
        <is>
          <t>10.1186/s12859-023-05378-x</t>
        </is>
      </c>
      <c r="E261" s="4" t="inlineStr">
        <is>
          <t>https://doi.org/10.1186/s12859-023-05378-x</t>
        </is>
      </c>
      <c r="F261" s="4" t="inlineStr">
        <is>
          <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t>
        </is>
      </c>
      <c r="G261" s="4" t="inlineStr">
        <is>
          <t>Recodificado desde texto completo: secuencia de RNA y expresión génica; identificación etiológica de RNA/genes de riesgo, no prescreening clínico.</t>
        </is>
      </c>
      <c r="H261" s="4" t="str"/>
      <c r="I261" s="4" t="str"/>
      <c r="J261" s="4" t="n"/>
      <c r="K261" s="4" t="inlineStr">
        <is>
          <t>Historical signals: title/abstract/notes; full-text completion not independently established</t>
        </is>
      </c>
      <c r="L261" s="4" t="inlineStr">
        <is>
          <t>Not documented in provided sources</t>
        </is>
      </c>
    </row>
    <row r="262" ht="164" customHeight="1">
      <c r="A262" s="4" t="inlineStr">
        <is>
          <t>283</t>
        </is>
      </c>
      <c r="B262" s="4" t="inlineStr">
        <is>
          <t>Historical</t>
        </is>
      </c>
      <c r="C262" s="4" t="inlineStr">
        <is>
          <t>Employing Machine Learning-Based Predictive Analytical Approaches to Classify Autism Spectrum Disorder Types</t>
        </is>
      </c>
      <c r="D262" s="4" t="inlineStr">
        <is>
          <t>10.1155/2022/8134018</t>
        </is>
      </c>
      <c r="E262" s="4" t="inlineStr">
        <is>
          <t>https://doi.org/10.1155/2022/8134018</t>
        </is>
      </c>
      <c r="F262" s="4" t="inlineStr">
        <is>
          <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t>
        </is>
      </c>
      <c r="G262" s="4" t="inlineStr">
        <is>
          <t xml:space="preserve">No es “ASD vs TD” puro; es clasificación de severidad (incluye “No ASD” + Levels 1–3). Si tu análisis separa “diagnosis binaria” vs “severity”, aquí conviene anotarlo. </t>
        </is>
      </c>
      <c r="H262" s="4" t="str"/>
      <c r="I262" s="4" t="str"/>
      <c r="J262" s="4" t="n"/>
      <c r="K262" s="4" t="inlineStr">
        <is>
          <t>Historical signals: title/abstract/notes; full-text completion not independently established</t>
        </is>
      </c>
      <c r="L262" s="4" t="inlineStr">
        <is>
          <t>Not documented in provided sources</t>
        </is>
      </c>
    </row>
    <row r="263" ht="203" customHeight="1">
      <c r="A263" s="4" t="inlineStr">
        <is>
          <t>284</t>
        </is>
      </c>
      <c r="B263" s="4" t="inlineStr">
        <is>
          <t>Historical</t>
        </is>
      </c>
      <c r="C263" s="4" t="inlineStr">
        <is>
          <t>Exploration of Autism Spectrum Disorder using Classification Algorithms</t>
        </is>
      </c>
      <c r="D263" s="4" t="inlineStr">
        <is>
          <t>10.1016/j.procs.2020.01.098</t>
        </is>
      </c>
      <c r="E263" s="4" t="inlineStr">
        <is>
          <t>https://doi.org/10.1016/j.procs.2020.01.098</t>
        </is>
      </c>
      <c r="F263" s="4" t="inlineStr">
        <is>
          <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t>
        </is>
      </c>
      <c r="G263" s="4" t="inlineStr">
        <is>
          <t>Es un paper comparativo (Naive Bayes, Decision Table, SVM). Aunque SVM es “best” según su texto, también reportan desempeño perfecto para otro método en su tabla; si tu Excel exige un solo “main”, SVM es defendible solo con esa frase de “best”</t>
        </is>
      </c>
      <c r="H263" s="4" t="str"/>
      <c r="I263" s="4" t="str"/>
      <c r="J263" s="4" t="n"/>
      <c r="K263" s="4" t="inlineStr">
        <is>
          <t>Historical signals: title/abstract/notes; full-text completion not independently established</t>
        </is>
      </c>
      <c r="L263" s="4" t="inlineStr">
        <is>
          <t>Not documented in provided sources</t>
        </is>
      </c>
    </row>
    <row r="264" ht="359" customHeight="1">
      <c r="A264" s="4" t="inlineStr">
        <is>
          <t>285</t>
        </is>
      </c>
      <c r="B264" s="4" t="inlineStr">
        <is>
          <t>Historical</t>
        </is>
      </c>
      <c r="C264" s="4" t="inlineStr">
        <is>
          <t>Exploring pesticide risk in autism via integrative machine learning and network toxicology</t>
        </is>
      </c>
      <c r="D264" s="4" t="inlineStr">
        <is>
          <t>10.1016/j.ecoenv.2025.118233</t>
        </is>
      </c>
      <c r="E264" s="4" t="inlineStr">
        <is>
          <t>https://doi.org/10.1016/j.ecoenv.2025.118233</t>
        </is>
      </c>
      <c r="F264" s="4"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G264" s="4" t="inlineStr">
        <is>
          <t>La ML se usa como parte de un pipeline mecanístico: LASSO para seleccionar targets (“Using the LASSO algorithm, 23 key targets…”) y luego selección final por desempeño (“SGD model… best predictive performance… 20 features”)</t>
        </is>
      </c>
      <c r="H264" s="4" t="inlineStr">
        <is>
          <t>Mechanistic bioinformatics/network toxicology study; no clinical decision integration.</t>
        </is>
      </c>
      <c r="I264" s="4" t="str"/>
      <c r="J264" s="4" t="n"/>
      <c r="K264" s="4" t="inlineStr">
        <is>
          <t>Historical signals: title/abstract/notes; full-text completion not independently established</t>
        </is>
      </c>
      <c r="L264" s="4" t="inlineStr">
        <is>
          <t>Not documented in provided sources</t>
        </is>
      </c>
    </row>
    <row r="265" ht="242" customHeight="1">
      <c r="A265" s="4" t="inlineStr">
        <is>
          <t>286</t>
        </is>
      </c>
      <c r="B265" s="4" t="inlineStr">
        <is>
          <t>Historical</t>
        </is>
      </c>
      <c r="C265" s="4" t="inlineStr">
        <is>
          <t>Feedback Artificial Tree-Anti Corona Virus Optimization enabled deep learning for detecting autism spectrum disorder</t>
        </is>
      </c>
      <c r="D265" s="4" t="inlineStr">
        <is>
          <t>10.1111/exsy.13040</t>
        </is>
      </c>
      <c r="E265" s="4" t="inlineStr">
        <is>
          <t>https://doi.org/10.1111/exsy.13040</t>
        </is>
      </c>
      <c r="F265" s="4" t="inlineStr">
        <is>
          <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t>
        </is>
      </c>
      <c r="G265" s="4" t="inlineStr">
        <is>
          <t>fMRI con ROI extraction + deep residual network optimizada; se codifica CNN/DRN como algoritmo principal.</t>
        </is>
      </c>
      <c r="H265" s="4" t="str"/>
      <c r="I265" s="4" t="str"/>
      <c r="J265" s="4" t="n"/>
      <c r="K265" s="4" t="inlineStr">
        <is>
          <t>Historical signals: title/abstract/notes; full-text completion not independently established</t>
        </is>
      </c>
      <c r="L265" s="4" t="inlineStr">
        <is>
          <t>Not documented in provided sources</t>
        </is>
      </c>
    </row>
    <row r="266" ht="320" customHeight="1">
      <c r="A266" s="4" t="inlineStr">
        <is>
          <t>287</t>
        </is>
      </c>
      <c r="B266" s="4" t="inlineStr">
        <is>
          <t>Historical</t>
        </is>
      </c>
      <c r="C266" s="4" t="inlineStr">
        <is>
          <t>Forecasting risk gene discovery in autism with machine learning and genome-scale data</t>
        </is>
      </c>
      <c r="D266" s="4" t="inlineStr">
        <is>
          <t>10.1038/s41598-020-61288-5</t>
        </is>
      </c>
      <c r="E266" s="4" t="inlineStr">
        <is>
          <t>https://doi.org/10.1038/s41598-020-61288-5</t>
        </is>
      </c>
      <c r="F266" s="4" t="inlineStr">
        <is>
          <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t>
        </is>
      </c>
      <c r="G266" s="4" t="inlineStr">
        <is>
          <t>Algoritmo principal no explícito o fuera del codebook; Confirmar algoritmo principal en full-text</t>
        </is>
      </c>
      <c r="H266" s="4" t="str"/>
      <c r="I266" s="4" t="str"/>
      <c r="J266" s="4" t="n"/>
      <c r="K266" s="4" t="inlineStr">
        <is>
          <t>Historical signals: title/abstract/notes; full-text completion not independently established</t>
        </is>
      </c>
      <c r="L266" s="4" t="inlineStr">
        <is>
          <t>Not documented in provided sources</t>
        </is>
      </c>
    </row>
    <row r="267" ht="190" customHeight="1">
      <c r="A267" s="4" t="inlineStr">
        <is>
          <t>288</t>
        </is>
      </c>
      <c r="B267" s="4" t="inlineStr">
        <is>
          <t>Historical</t>
        </is>
      </c>
      <c r="C267" s="4" t="inlineStr">
        <is>
          <t>Identifying Autism with Head Movement Features by Implementing Machine Learning Algorithms</t>
        </is>
      </c>
      <c r="D267" s="4" t="inlineStr">
        <is>
          <t>10.1007/s10803-021-05179-2</t>
        </is>
      </c>
      <c r="E267" s="4" t="inlineStr">
        <is>
          <t>https://doi.org/10.1007/s10803-021-05179-2</t>
        </is>
      </c>
      <c r="F267" s="4" t="inlineStr">
        <is>
          <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t>
        </is>
      </c>
      <c r="G267" s="4" t="inlineStr">
        <is>
          <t>Algoritmo principal no explícito o fuera del codebook; Confirmar algoritmo principal en full-text</t>
        </is>
      </c>
      <c r="H267" s="4" t="str"/>
      <c r="I267" s="4" t="str"/>
      <c r="J267" s="4" t="n"/>
      <c r="K267" s="4" t="inlineStr">
        <is>
          <t>Historical signals: title/abstract/notes; full-text completion not independently established</t>
        </is>
      </c>
      <c r="L267" s="4" t="inlineStr">
        <is>
          <t>Not documented in provided sources</t>
        </is>
      </c>
    </row>
    <row r="268" ht="398" customHeight="1">
      <c r="A268" s="4" t="inlineStr">
        <is>
          <t>289</t>
        </is>
      </c>
      <c r="B268" s="4" t="inlineStr">
        <is>
          <t>Historical</t>
        </is>
      </c>
      <c r="C268" s="4" t="inlineStr">
        <is>
          <t>Increased serum levels of macrophage migration inhibitory factor in autism spectrum disorders</t>
        </is>
      </c>
      <c r="D268" s="4" t="inlineStr">
        <is>
          <t>10.1016/j.neuro.2018.11.015</t>
        </is>
      </c>
      <c r="E268" s="4" t="inlineStr">
        <is>
          <t>https://doi.org/10.1016/j.neuro.2018.11.015</t>
        </is>
      </c>
      <c r="F268" s="4" t="inlineStr">
        <is>
          <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t>
        </is>
      </c>
      <c r="G268" s="4" t="inlineStr">
        <is>
          <t>Etapa clínica no clara</t>
        </is>
      </c>
      <c r="H268" s="4" t="str"/>
      <c r="I268" s="4" t="str"/>
      <c r="J268" s="4" t="n"/>
      <c r="K268" s="4" t="inlineStr">
        <is>
          <t>Historical signals: title/abstract/notes; full-text completion not independently established</t>
        </is>
      </c>
      <c r="L268" s="4" t="inlineStr">
        <is>
          <t>Not documented in provided sources</t>
        </is>
      </c>
    </row>
    <row r="269" ht="359" customHeight="1">
      <c r="A269" s="4" t="inlineStr">
        <is>
          <t>290</t>
        </is>
      </c>
      <c r="B269" s="4" t="inlineStr">
        <is>
          <t>Historical</t>
        </is>
      </c>
      <c r="C269" s="4" t="inlineStr">
        <is>
          <t>Machine Learning and Structural Dynamics-Based Approach to Reveal Molecular Mechanism of PTEN Missense Mutations Shared by Cancer and Autism Spectrum Disorder</t>
        </is>
      </c>
      <c r="D269" s="4" t="inlineStr">
        <is>
          <t>10.1021/acs.jcim.5c00134</t>
        </is>
      </c>
      <c r="E269" s="4" t="inlineStr">
        <is>
          <t>https://doi.org/10.1021/acs.jcim.5c00134</t>
        </is>
      </c>
      <c r="F269" s="4" t="inlineStr">
        <is>
          <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t>
        </is>
      </c>
      <c r="G269" s="4" t="str"/>
      <c r="H269" s="4" t="inlineStr">
        <is>
          <t>Molecular mechanism/structural dynamics study of PTEN mutations; no clinical decision integration.</t>
        </is>
      </c>
      <c r="I269" s="4" t="str"/>
      <c r="J269" s="4" t="n"/>
      <c r="K269" s="4" t="inlineStr">
        <is>
          <t>Historical signals: title/abstract/notes; full-text completion not independently established</t>
        </is>
      </c>
      <c r="L269" s="4" t="inlineStr">
        <is>
          <t>Not documented in provided sources</t>
        </is>
      </c>
    </row>
    <row r="270" ht="359" customHeight="1">
      <c r="A270" s="4" t="inlineStr">
        <is>
          <t>291</t>
        </is>
      </c>
      <c r="B270" s="4" t="inlineStr">
        <is>
          <t>Historical</t>
        </is>
      </c>
      <c r="C270" s="4" t="inlineStr">
        <is>
          <t>MCDGLN: Masked connection-based dynamic graph learning network for autism spectrum disorder</t>
        </is>
      </c>
      <c r="D270" s="4" t="inlineStr">
        <is>
          <t>10.1016/j.brainresbull.2025.111290</t>
        </is>
      </c>
      <c r="E270" s="4" t="inlineStr">
        <is>
          <t>https://doi.org/10.1016/j.brainresbull.2025.111290</t>
        </is>
      </c>
      <c r="F270" s="4" t="inlineStr">
        <is>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is>
      </c>
      <c r="G270" s="4" t="inlineStr">
        <is>
          <t>Modelo explícitamente dinámico + máscara anti-ruido: “segments BOLD signals using sliding temporal windows… and… mask… reducing noise and pruning irrelevant links.” Además reportan dataset ABIDE-I “1035 subjects… 505 with ASD and 530 TD”</t>
        </is>
      </c>
      <c r="H270" s="4" t="str"/>
      <c r="I270" s="4" t="str"/>
      <c r="J270" s="4" t="n"/>
      <c r="K270" s="4" t="inlineStr">
        <is>
          <t>Historical signals: title/abstract/notes; full-text completion not independently established</t>
        </is>
      </c>
      <c r="L270" s="4" t="inlineStr">
        <is>
          <t>Not documented in provided sources</t>
        </is>
      </c>
    </row>
    <row r="271" ht="409" customHeight="1">
      <c r="A271" s="4" t="inlineStr">
        <is>
          <t>292</t>
        </is>
      </c>
      <c r="B271" s="4" t="inlineStr">
        <is>
          <t>Historical</t>
        </is>
      </c>
      <c r="C271" s="4" t="inlineStr">
        <is>
          <t>Performance of case-control rare copy number variation annotation in classification of autism</t>
        </is>
      </c>
      <c r="D271" s="4" t="inlineStr">
        <is>
          <t>10.1186/1755-8794-8-s1-s7</t>
        </is>
      </c>
      <c r="E271" s="4" t="inlineStr">
        <is>
          <t>https://doi.org/10.1186/1755-8794-8-s1-s7</t>
        </is>
      </c>
      <c r="F271" s="4" t="inlineStr">
        <is>
          <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t>
        </is>
      </c>
      <c r="G271" s="4" t="inlineStr">
        <is>
          <t>Clasificación basada en rare CNV; conditional inference forest rinde mejor.</t>
        </is>
      </c>
      <c r="H271" s="4" t="str"/>
      <c r="I271" s="4" t="str"/>
      <c r="J271" s="4" t="n"/>
      <c r="K271" s="4" t="inlineStr">
        <is>
          <t>Historical signals: title/abstract/notes; full-text completion not independently established</t>
        </is>
      </c>
      <c r="L271" s="4" t="inlineStr">
        <is>
          <t>Not documented in provided sources</t>
        </is>
      </c>
    </row>
    <row r="272" ht="320" customHeight="1">
      <c r="A272" s="4" t="inlineStr">
        <is>
          <t>293</t>
        </is>
      </c>
      <c r="B272" s="4" t="inlineStr">
        <is>
          <t>Historical</t>
        </is>
      </c>
      <c r="C272" s="4" t="inlineStr">
        <is>
          <t>Personalized machine learning for robot perception of affect and engagement in autism therapy</t>
        </is>
      </c>
      <c r="D272" s="4" t="inlineStr">
        <is>
          <t>10.1126/scirobotics.aao6760</t>
        </is>
      </c>
      <c r="E272" s="4" t="inlineStr">
        <is>
          <t>https://doi.org/10.1126/scirobotics.aao6760</t>
        </is>
      </c>
      <c r="F272" s="4" t="inlineStr">
        <is>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is>
      </c>
      <c r="G272" s="4" t="str"/>
      <c r="H272" s="4" t="str"/>
      <c r="I272" s="4" t="str"/>
      <c r="J272" s="4" t="n"/>
      <c r="K272" s="4" t="inlineStr">
        <is>
          <t>Historical signals: title/abstract/notes; full-text completion not independently established</t>
        </is>
      </c>
      <c r="L272" s="4" t="inlineStr">
        <is>
          <t>Not documented in provided sources</t>
        </is>
      </c>
    </row>
    <row r="273" ht="190" customHeight="1">
      <c r="A273" s="4" t="inlineStr">
        <is>
          <t>295</t>
        </is>
      </c>
      <c r="B273" s="4" t="inlineStr">
        <is>
          <t>Historical</t>
        </is>
      </c>
      <c r="C273" s="4" t="inlineStr">
        <is>
          <t>Prediction of Autism at 3 Years from Behavioural and Developmental Measures in High-Risk Infants: A Longitudinal Cross-Domain Classifier Analysis</t>
        </is>
      </c>
      <c r="D273" s="4" t="inlineStr">
        <is>
          <t>10.1007/s10803-018-3509-x</t>
        </is>
      </c>
      <c r="E273" s="4" t="inlineStr">
        <is>
          <t>https://doi.org/10.1007/s10803-018-3509-x</t>
        </is>
      </c>
      <c r="F273" s="4" t="inlineStr">
        <is>
          <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t>
        </is>
      </c>
      <c r="G273" s="4" t="inlineStr">
        <is>
          <t>No es “ASD vs control poblacional”, sino predicción dentro del grupo de alto riesgo: “Low-risk controls were excluded… our main aim… predicting ASD outcome among HR siblings.”</t>
        </is>
      </c>
      <c r="H273" s="4" t="str"/>
      <c r="I273" s="4" t="str"/>
      <c r="J273" s="4" t="n"/>
      <c r="K273" s="4" t="inlineStr">
        <is>
          <t>Historical signals: title/abstract/notes; full-text completion not independently established</t>
        </is>
      </c>
      <c r="L273" s="4" t="inlineStr">
        <is>
          <t>Not documented in provided sources</t>
        </is>
      </c>
    </row>
    <row r="274" ht="409" customHeight="1">
      <c r="A274" s="4" t="inlineStr">
        <is>
          <t>296</t>
        </is>
      </c>
      <c r="B274" s="4" t="inlineStr">
        <is>
          <t>Historical</t>
        </is>
      </c>
      <c r="C274" s="4" t="inlineStr">
        <is>
          <t>STDCformer: Spatial-temporal dual-path cross-attention model for fMRI-based autism spectrum disorder identification</t>
        </is>
      </c>
      <c r="D274" s="4" t="inlineStr">
        <is>
          <t>10.1016/j.heliyon.2024.e34245</t>
        </is>
      </c>
      <c r="E274" s="4" t="inlineStr">
        <is>
          <t>https://doi.org/10.1016/j.heliyon.2024.e34245</t>
        </is>
      </c>
      <c r="F274" s="4" t="inlineStr">
        <is>
          <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t>
        </is>
      </c>
      <c r="G274" s="4" t="inlineStr">
        <is>
          <t>arquitectura híbrida: embedding temporal con “LSTM” y embedding espacial con “GAT”, integrados con “dual-path cross-attention” y “2D convolution” en el feed-forward.</t>
        </is>
      </c>
      <c r="H274" s="4" t="str"/>
      <c r="I274" s="4" t="str"/>
      <c r="J274" s="4" t="n"/>
      <c r="K274" s="4" t="inlineStr">
        <is>
          <t>Historical signals: title/abstract/notes; full-text completion not independently established</t>
        </is>
      </c>
      <c r="L274" s="4" t="inlineStr">
        <is>
          <t>Not documented in provided sources</t>
        </is>
      </c>
    </row>
    <row r="275" ht="409" customHeight="1">
      <c r="A275" s="4" t="inlineStr">
        <is>
          <t>298</t>
        </is>
      </c>
      <c r="B275" s="4" t="inlineStr">
        <is>
          <t>Historical</t>
        </is>
      </c>
      <c r="C275" s="4" t="inlineStr">
        <is>
          <t>Three Distinct Neuroanatomical Subtypes of Autism Spectrum Disorder, Revealed via Machine Learning, and Their Similarities With Schizophrenia Subtypes</t>
        </is>
      </c>
      <c r="D275" s="4" t="inlineStr">
        <is>
          <t>10.1016/j.biopsych.2021.02.931</t>
        </is>
      </c>
      <c r="E275" s="4" t="inlineStr">
        <is>
          <t>https://doi.org/10.1016/j.biopsych.2021.02.931</t>
        </is>
      </c>
      <c r="F275" s="4" t="inlineStr">
        <is>
          <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t>
        </is>
      </c>
      <c r="G275" s="4" t="str"/>
      <c r="H275" s="4" t="str"/>
      <c r="I275" s="4" t="str"/>
      <c r="J275" s="4" t="n"/>
      <c r="K275" s="4" t="inlineStr">
        <is>
          <t>Historical signals: title/abstract/notes; full-text completion not independently established</t>
        </is>
      </c>
      <c r="L275" s="4" t="inlineStr">
        <is>
          <t>Not documented in provided sources</t>
        </is>
      </c>
    </row>
    <row r="276" ht="333" customHeight="1">
      <c r="A276" s="4" t="inlineStr">
        <is>
          <t>299</t>
        </is>
      </c>
      <c r="B276" s="4" t="inlineStr">
        <is>
          <t>Historical</t>
        </is>
      </c>
      <c r="C276" s="4" t="inlineStr">
        <is>
          <t>Three-dimensional quantification of oxytocin neurons in the hypothalamic paraventricular nucleus reveals sex- and subregion-specific differences in two genetic mouse models of autism</t>
        </is>
      </c>
      <c r="D276" s="4" t="inlineStr">
        <is>
          <t>10.1111/jne.70092</t>
        </is>
      </c>
      <c r="E276" s="4" t="inlineStr">
        <is>
          <t>https://doi.org/10.1111/jne.70092</t>
        </is>
      </c>
      <c r="F276" s="4" t="inlineStr">
        <is>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is>
      </c>
      <c r="G276" s="4" t="inlineStr">
        <is>
          <t>Sin señal explícita Q3 en título/abstract.</t>
        </is>
      </c>
      <c r="H276" s="4" t="inlineStr">
        <is>
          <t>Mouse-model 3D cell quantification pipeline; not a clinical ASD decision system.</t>
        </is>
      </c>
      <c r="I276" s="4" t="str"/>
      <c r="J276" s="4" t="n"/>
      <c r="K276" s="4" t="inlineStr">
        <is>
          <t>Historical signals: title/abstract/notes; full-text completion not independently established</t>
        </is>
      </c>
      <c r="L276" s="4" t="inlineStr">
        <is>
          <t>Not documented in provided sources</t>
        </is>
      </c>
    </row>
    <row r="277" ht="151" customHeight="1">
      <c r="A277" s="4" t="inlineStr">
        <is>
          <t>300</t>
        </is>
      </c>
      <c r="B277" s="4" t="inlineStr">
        <is>
          <t>Historical</t>
        </is>
      </c>
      <c r="C277" s="4" t="inlineStr">
        <is>
          <t>Application of Speech Signal for Early Screening of Children with Autism Spectrum Disorder</t>
        </is>
      </c>
      <c r="D277" s="4" t="inlineStr">
        <is>
          <t>10.1007/978-3-031-62273-1_36</t>
        </is>
      </c>
      <c r="E277" s="4" t="inlineStr">
        <is>
          <t>https://doi.org/10.1007/978-3-031-62273-1_36</t>
        </is>
      </c>
      <c r="F277" s="4" t="inlineStr">
        <is>
          <t xml:space="preserve">Currently, there is no cure for Autism Spectrum Disorder (ASD), a neurodevelopmental disease. ASD causes problems in social communication and interaction, accompanied by repeating behaviors. Early and effective treatments may lessen the problems over time. Thus, it is essential to screen this problem from an early age. Proposed methods in literature employed physiological and behavioral signals. We propose in this paper the use of speech signal and artificial intelligence to determine ASD in children. Experiments prove that this is a positive way for early discrimination of children with/without ASD.
</t>
        </is>
      </c>
      <c r="G277" s="4" t="inlineStr">
        <is>
          <t>Sin señal explícita Q3 en título/abstract.</t>
        </is>
      </c>
      <c r="H277" s="4" t="str"/>
      <c r="I277" s="4" t="str"/>
      <c r="J277" s="4" t="n"/>
      <c r="K277" s="4" t="inlineStr">
        <is>
          <t>Historical signals: title/abstract/notes; full-text completion not independently established</t>
        </is>
      </c>
      <c r="L277" s="4" t="inlineStr">
        <is>
          <t>Not documented in provided sources</t>
        </is>
      </c>
    </row>
    <row r="278" ht="409" customHeight="1">
      <c r="A278" s="4" t="inlineStr">
        <is>
          <t>new_12</t>
        </is>
      </c>
      <c r="B278" s="4" t="inlineStr">
        <is>
          <t>Update</t>
        </is>
      </c>
      <c r="C278" s="4" t="inlineStr">
        <is>
          <t>Integration of an Artificial Intelligence–Based Autism Diagnostic Device into the ECHO Autism Primary Care Workflow: Prospective Observational Study</t>
        </is>
      </c>
      <c r="D278" s="4" t="inlineStr">
        <is>
          <t>10.2196/80733</t>
        </is>
      </c>
      <c r="E278" s="4" t="inlineStr">
        <is>
          <t>https://doi.org/10.2196/80733</t>
        </is>
      </c>
      <c r="F278" s="4" t="inlineStr">
        <is>
          <t>Background: Pediatric specialist shortages and rapidly rising autism prevalence rates have compelled primary care clinicians to consider playing a greater role in the autism diagnostic process. The ECHO Autism: Early Diagnosis Program (EDx) prepares clinicians to screen, evaluate, differentiate, diagnose, and provide longitudinal care for children with autism in primary care settings. Canvas Dx is a prescription-only Software as a Medical Device designed to support clinical diagnosis or rule out of autism, including in primary care settings. It is authorized by the Food and Drug Administration for use, in conjunction with clinical judgment, in 18‐ to 72-month-olds with indicators of developmental delay. Objective: This study aims to assess the feasibility and impact of integrating the device into the ECHO Autism: EDx workflow. Time from the first clinical question of developmental delay to autism diagnosis is the primary endpoint. Secondary endpoints explore clinician and caregiver experience of device use. Methods: Children aged 18 to 72 months with concern for developmental delay indicated by either a caregiver or health professionals were eligible to participate in this prospective observational study. Experienced ECHO Autism: EDx clinicians were recruited to evaluate the inclusion of the device as part of their diagnostic evaluations. Outcome data were collected via a combination of electronic questionnaires, standard clinical care record reviews, and analysis of device outputs. Institutional review board approval was provided by the University of Missouri-Columbia (project number 2075722). Results: Eighty children and 7 clinicians completed the study. On average, time from clinical concern at study enrollment to final autism diagnosis was 39.22 days, compared to 180‐ to 264-day waits at adjacent specialist referral centers. The vast majority (93%, 50/54) of caregivers reported being satisfied with the ECHO Autism: EDx plus device evaluation their child received and endorsed that they would recommend it to others and that they felt comfortable using the device. The device produced determinate autism predictions or rule-outs for 52.5% of participants, and in all cases, these were consistent with the final clinical determination. Participating clinicians reported that device use was feasible and reduced several challenges associated with their previous diagnostic process; however, they noted it did not obviate the need for additional structured observation in every case. Conclusions: The ECHO Autism: EDx plus device workflow offers considerable time savings compared to specialty center referral and was strongly endorsed by caregiver participants. Embedding the device into the ECHO Autism: EDx workflow was feasible and helped streamline several workflow efficiencies. Clinicians still utilized their training and application and interpretation of Diagnostic and Statistical Manual of Mental Disorders, Fifth Edition, criteria when formulating the diagnosis for indeterminate cases.</t>
        </is>
      </c>
      <c r="G278" s="4" t="inlineStr">
        <is>
          <t xml:space="preserve">Background: Pediatric specialist shortages and rapidly rising autism prevalence rates have compelled primary care clinicians to consider playing a greater role in the autism diagnostic process. The ECHO Autism: Early Diagnosis Program (EDx) prepares clinicians to screen, evaluate, differentiate, diagnose, and provide longitudinal care for children with autism in primary care settings. Canvas Dx is a prescription-only Software as a Medical Device </t>
        </is>
      </c>
      <c r="H278" s="4" t="str"/>
      <c r="I278" s="4" t="str"/>
      <c r="J278" s="4" t="inlineStr">
        <is>
          <t>Texto abierto evaluable revisado; extracción RQ disponible.</t>
        </is>
      </c>
      <c r="K278" s="4" t="inlineStr">
        <is>
          <t>Inherited scoped adjudication; see source level and lot caveats</t>
        </is>
      </c>
      <c r="L278" s="4" t="inlineStr">
        <is>
          <t>Not documented in provided sources</t>
        </is>
      </c>
    </row>
    <row r="279" ht="409" customHeight="1">
      <c r="A279" s="4" t="inlineStr">
        <is>
          <t>new_13</t>
        </is>
      </c>
      <c r="B279" s="4" t="inlineStr">
        <is>
          <t>Update</t>
        </is>
      </c>
      <c r="C279" s="4" t="inlineStr">
        <is>
          <t>In-silico assessment of dynamic symbiotic microbial interactions in a reduced microbiota related to the autism spectrum disorder symptoms</t>
        </is>
      </c>
      <c r="D279" s="4" t="inlineStr">
        <is>
          <t>10.1016/j.csbj.2025.09.006</t>
        </is>
      </c>
      <c r="E279" s="4" t="inlineStr">
        <is>
          <t>https://doi.org/10.1016/j.csbj.2025.09.006</t>
        </is>
      </c>
      <c r="F279" s="4" t="inlineStr">
        <is>
          <t>The gut microbiota plays a crucial role in human health, with growing evidence linking its composition to the development of Autism Spectrum Disorder. However, inconsistencies in previous studies have hindered the identification of a definitive microbial signature associated with Autism Spectrum Disorder. Machine learning models have emerged as powerful tools for analyzing microbiome data, yet their interpretability remains limited. In this study, we integrate in silico simulations with machine learning predictions to explore microbial interactions under different dietary conditions and provide biological context to features of the intestinal microbiota that are linked to Autism Spectrum Disorder. This study employs constraint-based modeling to simulate metabolic exchanges among key bacterial taxa in order to assess their ecological relationships. Findings reveal that high-fiber diets foster mutualistic and balanced interactions, whereas Western-style diets promote competitive and parasitic dynamics, potentially contributing to gut dysbiosis in Autism Spectrum Disorder. In addition, the presence of oxygen (a factor associated with colonocyte permeability, a pathological condition of the colon) significantly alters microbial interactions, influencing metabolic dependencies and the overall structure of the community. This integrative approach enhances the interpretability of machine learning-based Autism Spectrum Disorder classifiers, bridging computational predictions with mechanistic insights. By identifying diet-dependent microbial interactions, our study highlights potential dietary interventions to modulate the composition of the gut microbiota in Autism Spectrum Disorder. These findings underscore the value of combining in silico modeling and machine learning for unraveling complex microbiome-host relationships and improving Autism Spectrum Disorder biomarker identification.</t>
        </is>
      </c>
      <c r="G279" s="4" t="inlineStr">
        <is>
          <t>The gut microbiota plays a crucial role in human health, with growing evidence linking its composition to the development of Autism Spectrum Disorder. However, inconsistencies in previous studies have hindered the identification of a definitive microbial signature associated with Autism Spectrum Disorder. Machine learning models have emerged as powerful tools for analyzing microbiome data, yet their interpretability remains limited. In this study</t>
        </is>
      </c>
      <c r="H279" s="4" t="str"/>
      <c r="I279" s="4" t="str"/>
      <c r="J279" s="4" t="inlineStr">
        <is>
          <t>Texto abierto evaluable revisado; extracción RQ disponible.</t>
        </is>
      </c>
      <c r="K279" s="4" t="inlineStr">
        <is>
          <t>Inherited scoped adjudication; see source level and lot caveats</t>
        </is>
      </c>
      <c r="L279" s="4" t="inlineStr">
        <is>
          <t>Not documented in provided sources</t>
        </is>
      </c>
    </row>
    <row r="280" ht="409" customHeight="1">
      <c r="A280" s="4" t="inlineStr">
        <is>
          <t>new_35</t>
        </is>
      </c>
      <c r="B280" s="4" t="inlineStr">
        <is>
          <t>Update</t>
        </is>
      </c>
      <c r="C280" s="4" t="inlineStr">
        <is>
          <t>Deep Learning Approaches for Classifying Children With and Without Autism Spectrum Disorder Using Inertial Measurement Unit Hand Tracking Data: Comparative Study</t>
        </is>
      </c>
      <c r="D280" s="4" t="inlineStr">
        <is>
          <t>10.2196/73440</t>
        </is>
      </c>
      <c r="E280" s="4" t="inlineStr">
        <is>
          <t>https://doi.org/10.2196/73440</t>
        </is>
      </c>
      <c r="F280" s="4" t="inlineStr">
        <is>
          <t>Background: Autism spectrum disorder (ASD) is a prevalent neurodevelopmental condition that can be quite difficult to diagnose due to a lack of objective diagnostic methods in the currently used behavioral assessments. Recent work has shown that children with ASD have a higher incidence of motor control differences. A compilation of studies indicates that between 50% and 88% of the children with ASD have issues with movement control based on standardized motor assessments or parent-reported questionnaires. Objective: In this study, we assess a variety of deep learning approaches for the classification of ASD, utilizing data collected via inertial measurement unit (IMU) hand tracking during goal-directed arm movements. Methods: IMU hand tracking data were recorded from 41 school-aged children both with and without an ASD diagnosis to track their arm movements during a reach-to-clean up task. The IMU data were then preprocessed using a moving average and z score normalization to prepare the data for deep learning models. We evaluated the effectiveness of different deep learning models using the preprocessed data and a k-fold validation approach, as well as a patient-separated approach. Results: The best result was achieved with a convolutional autoencoder combined with long short-term memory layers, reaching an accuracy of 90.21% and an F1-score of 90.02%. Once the convolutional autoencoder+long short-term memory was determined to be the most effective model for this datatype, it was retrained and evaluated with a patient-separated dataset to assess the generalization capability of the model, achieving an accuracy of 91.87% and an F1-score of 93.66%. Conclusions: Our deep learning approach demonstrates that our models hold potential for facilitating ASD diagnosis in clinical settings. This work validates that there are significant differences between the physical movements of typically developing children and children with ASD, and these differences can be identified by analyzing hand-eye coordination skills. Additionally, we have validated that small-scale models can still achieve a high accuracy and good generalization when classifying medical data, opening the door for future research into diagnostic models that may not require massive amounts of data.</t>
        </is>
      </c>
      <c r="G280" s="4" t="inlineStr">
        <is>
          <t>Background: Autism spectrum disorder (ASD) is a prevalent neurodevelopmental condition that can be quite difficult to diagnose due to a lack of objective diagnostic methods in the currently used behavioral assessments. Recent work has shown that children with ASD have a higher incidence of motor control differences. A compilation of studies indicates that between 50% and 88% of the children with ASD have issues with movement control based on stan</t>
        </is>
      </c>
      <c r="H280" s="4" t="str"/>
      <c r="I280" s="4" t="str"/>
      <c r="J280" s="4" t="inlineStr">
        <is>
          <t>Texto abierto evaluable revisado; extracción RQ disponible.</t>
        </is>
      </c>
      <c r="K280" s="4" t="inlineStr">
        <is>
          <t>Inherited scoped adjudication; see source level and lot caveats</t>
        </is>
      </c>
      <c r="L280" s="4" t="inlineStr">
        <is>
          <t>Not documented in provided sources</t>
        </is>
      </c>
    </row>
    <row r="281" ht="409" customHeight="1">
      <c r="A281" s="4" t="inlineStr">
        <is>
          <t>new_50</t>
        </is>
      </c>
      <c r="B281" s="4" t="inlineStr">
        <is>
          <t>Update</t>
        </is>
      </c>
      <c r="C281" s="4" t="inlineStr">
        <is>
          <t>Effectiveness of Artificial Intelligence–Based Platform in Administering Therapies for Children With Autism Spectrum Disorder: 12-Month Observational Study</t>
        </is>
      </c>
      <c r="D281" s="4" t="inlineStr">
        <is>
          <t>10.2196/70589</t>
        </is>
      </c>
      <c r="E281" s="4" t="inlineStr">
        <is>
          <t>https://doi.org/10.2196/70589</t>
        </is>
      </c>
      <c r="F281" s="4" t="inlineStr">
        <is>
          <t>Background: A 12-month longitudinal observational study was conducted on 43 children aged 2‐18 years to evaluate the effectiveness of the CognitiveBotics artificial intelligence (AI)–based platform in conjunction with continuous therapy in improving therapeutic outcomes for children with autism spectrum disorder (ASD). Objective: This study evaluates the CognitiveBotics software’s effectiveness in supporting children with ASD through structured, technology-assisted learning. The primary objectives include assessing user engagement, tracking progress, and measuring efficacy using standardized clinical assessments. Methods: A 12-month observational study was conducted on children diagnosed with ASD using the CognitiveBotics AI-based platform. Standardized assessments, include the Childhood Autism Rating Scale (CARS), Vineland Social Maturity Scale, Developmental Screening Test, and Receptive Expressive Emergent Language Test (REEL), were conducted at baseline (T1) and at the endpoint (T2). All participants meeting the inclusion criteria were provided access to the platform and received standard therapy. Participants who consistently adhered to platform use as per the study protocol were classified as the intervention group, while those who did not maintain continuous platform use were designated as the control group. Additionally, caregivers received structured training, including web-based parent teaching sessions, reinforcement strategy training, and home-based activity guidance. Results: Participants in the intervention group demonstrated statistically significant improvements across multiple scales. CARS scores reduced from 33.41 (SD 1.89) at T1 to 28.34 (SD 3.80) at T2 (P&lt;.001). Social age increased from 22.80 (SD 7.33) to 35.76 (SD 9.09; mean change: 12.96, 56.84% increase; P&lt;.001). Social quotient increased from 53.26 (SD 11.84) to 64.75 (SD 16.12; mean change: 11.49, 21.57% increase; P&lt;.001). Developmental age showed an improvement from 30.93 (SD 9.91) to 45.31 (SD 11.20; mean change: 14.38, 46.49% increase; P&lt;.001), while developmental quotient increased from 70.94 (SD 10.95) to 81.33 (SD 16.85; mean change: 10.39, 14.65% increase; P&lt;.001). REEL scores showed substantial improvements, with receptive language increasing by 56.22% (P&lt;.001) and expressive language by 59.93% (P&lt;.001). In the control group, while most psychometric parameters showed some improvements, they were not statistically significant. CARS scores decreased by 10.62% (P=.06), social age increased by 52.27% (P=.06), social quotient increased by 19.62% (P=.12), developmental age increased by 44.88% (P=.06), and developmental quotient increased by 11.23% (P=.19). REEL receptive and expressive language increased by 34.69% (P=.10) and 40.48% (P=.054), respectively. Conclusions: Overall, the platform was an effective supplement in enhancing therapeutic outcomes for children with ASD. This platform holds promise as a valuable tool for augmenting ASD therapies across cognitive, social, and developmental domains. Future development should prioritize expanding the product’s accessibility across various languages, ensuring cultural sensitivity and enhancing user-friendliness.</t>
        </is>
      </c>
      <c r="G281" s="4" t="inlineStr">
        <is>
          <t xml:space="preserve">Background: A 12-month longitudinal observational study was conducted on 43 children aged 2‐18 years to evaluate the effectiveness of the CognitiveBotics artificial intelligence (AI)–based platform in conjunction with continuous therapy in improving therapeutic outcomes for children with autism spectrum disorder (ASD). Objective: This study evaluates the CognitiveBotics software’s effectiveness in supporting children with ASD through structured, </t>
        </is>
      </c>
      <c r="H281" s="4" t="str"/>
      <c r="I281" s="4" t="str"/>
      <c r="J281" s="4" t="inlineStr">
        <is>
          <t>Texto abierto evaluable revisado; extracción RQ disponible.</t>
        </is>
      </c>
      <c r="K281" s="4" t="inlineStr">
        <is>
          <t>Inherited scoped adjudication; see source level and lot caveats</t>
        </is>
      </c>
      <c r="L281" s="4" t="inlineStr">
        <is>
          <t>Not documented in provided sources</t>
        </is>
      </c>
    </row>
    <row r="282" ht="255" customHeight="1">
      <c r="A282" s="4" t="inlineStr">
        <is>
          <t>new_93</t>
        </is>
      </c>
      <c r="B282" s="4" t="inlineStr">
        <is>
          <t>Update</t>
        </is>
      </c>
      <c r="C282" s="4" t="inlineStr">
        <is>
          <t>Large language models deconstruct the clinical intuition behind diagnosing autism</t>
        </is>
      </c>
      <c r="D282" s="4" t="inlineStr">
        <is>
          <t>10.1016/j.cell.2025.02.025</t>
        </is>
      </c>
      <c r="E282" s="4" t="inlineStr">
        <is>
          <t>https://doi.org/10.1016/j.cell.2025.02.025</t>
        </is>
      </c>
      <c r="F282" s="4" t="inlineStr">
        <is>
          <t>Efforts to use genome-wide assays or brain scans to diagnose autism have seen diminishing returns. Yet the clinical intuition of healthcare professionals, based on longstanding first-hand experience, remains the gold standard for diagnosis of autism. We leveraged deep learning to deconstruct and interrogate the logic of expert clinician intuition from clinical reports to inform our understanding of autism. After pre-training on hundreds of millions of general sentences, we finessed large language models (LLMs) on &gt;4,000 free-form health records from healthcare professionals to distinguish confirmed versus suspected autism cases. By introducing an explainability strategy, our extended language model architecture could pin down the most salient single sentences in what drives clinical thinking toward correct diagnoses. Our framework flagged the most autism-critical DSM-5 criteria to be stereotyped repetitive behaviors, special interests, and perception-based behaviors, which challenges today's focus on deficits in social interplay, suggesting necessary revision of long-trusted diagnostic criteria in gold-standard instruments.</t>
        </is>
      </c>
      <c r="G282" s="4" t="inlineStr">
        <is>
          <t>Efforts to use genome-wide assays or brain scans to diagnose autism have seen diminishing returns. Yet the clinical intuition of healthcare professionals, based on longstanding first-hand experience, remains the gold standard for diagnosis of autism. We leveraged deep learning to deconstruct and interrogate the logic of expert clinician intuition from clinical reports to inform our understanding of autism. After pre-training on hundreds of millio</t>
        </is>
      </c>
      <c r="H282" s="4" t="str"/>
      <c r="I282" s="4" t="str"/>
      <c r="J282" s="4" t="inlineStr">
        <is>
          <t>Texto abierto evaluable revisado; extracción RQ disponible.</t>
        </is>
      </c>
      <c r="K282" s="4" t="inlineStr">
        <is>
          <t>Inherited scoped adjudication; see source level and lot caveats</t>
        </is>
      </c>
      <c r="L282" s="4" t="inlineStr">
        <is>
          <t>Not documented in provided sources</t>
        </is>
      </c>
    </row>
    <row r="283" ht="409" customHeight="1">
      <c r="A283" s="4" t="inlineStr">
        <is>
          <t>new_96</t>
        </is>
      </c>
      <c r="B283" s="4" t="inlineStr">
        <is>
          <t>Update</t>
        </is>
      </c>
      <c r="C283" s="4" t="inlineStr">
        <is>
          <t>Ensemble of Deep Learning with Crested Porcupine Optimizer Based Autism Spectrum Disorder Detection Using Facial Images</t>
        </is>
      </c>
      <c r="D283" s="4" t="inlineStr">
        <is>
          <t>10.32604/cmc.2025.062266</t>
        </is>
      </c>
      <c r="E283" s="4" t="inlineStr">
        <is>
          <t>https://doi.org/10.32604/cmc.2025.062266</t>
        </is>
      </c>
      <c r="F283" s="4" t="inlineStr">
        <is>
          <t>Autism spectrum disorder (ASD) is a multifaceted neurological developmental condition that manifests in several ways. Nearly all autistic children remain undiagnosed before the age of three. Developmental problems affecting face features are often associated with fundamental brain disorders. The facial evolution of newborns with ASD is quite different from that of typically developing children. Early recognition is very significant to aid families and parents in superstition and denial. Distinguishing facial features from typically developing children is an evident manner to detect children analyzed with ASD. Presently, artificial intelligence (AI) significantly contributes to the emerging computer-aided diagnosis (CAD) of autism and to the evolving interactive methods that aid in the treatment and reintegration of autistic patients. This study introduces an Ensemble of deep learning models based on the autism spectrum disorder detection in facial images (EDLM-ASDDFI) model. The overarching goal of the EDLM-ASDDFI model is to recognize the difference between facial images of individuals with ASD and normal controls. In the EDLM-ASDDFI method, the primary level of data pre-processing is involved by Gabor filtering (GF). Besides, the EDLM-ASDDFI technique applies the MobileNetV2 model to learn complex features from the pre-processed data. For the ASD detection process, the EDLM-ASDDFI method uses ensemble techniques for classification procedure that encompasses long short-term memory (LSTM), deep belief network (DBN), and hybrid kernel extreme learning machine (HKELM). Finally, the hyperparameter selection of the three deep learning (DL) models can be implemented by the design of the crested porcupine optimizer (CPO) technique. An extensive experiment was conducted to emphasize the improved ASD detection performance of the EDLM-ASDDFI method. The simulation outcomes indicated that the EDLM-ASDDFI technique highlighted betterment over other existing models in terms of numerous performance measures.</t>
        </is>
      </c>
      <c r="G283" s="4" t="inlineStr">
        <is>
          <t>Autism spectrum disorder (ASD) is a multifaceted neurological developmental condition that manifests in several ways. Nearly all autistic children remain undiagnosed before the age of three. Developmental problems affecting face features are often associated with fundamental brain disorders. The facial evolution of newborns with ASD is quite different from that of typically developing children. Early recognition is very significant to aid familie</t>
        </is>
      </c>
      <c r="H283" s="4" t="str"/>
      <c r="I283" s="4" t="str"/>
      <c r="J283" s="4" t="inlineStr">
        <is>
          <t>Texto abierto evaluable revisado; extracción RQ disponible.</t>
        </is>
      </c>
      <c r="K283" s="4" t="inlineStr">
        <is>
          <t>Inherited scoped adjudication; see source level and lot caveats</t>
        </is>
      </c>
      <c r="L283" s="4" t="inlineStr">
        <is>
          <t>Not documented in provided sources</t>
        </is>
      </c>
    </row>
    <row r="284" ht="359" customHeight="1">
      <c r="A284" s="4" t="inlineStr">
        <is>
          <t>new_108</t>
        </is>
      </c>
      <c r="B284" s="4" t="inlineStr">
        <is>
          <t>Update</t>
        </is>
      </c>
      <c r="C284" s="4" t="inlineStr">
        <is>
          <t>Awareness with Machine: Hybrid Approach to Detecting ASD with a Clustering</t>
        </is>
      </c>
      <c r="D284" s="4" t="inlineStr">
        <is>
          <t>10.32604/cmc.2025.062643</t>
        </is>
      </c>
      <c r="E284" s="4" t="inlineStr">
        <is>
          <t>https://doi.org/10.32604/cmc.2025.062643</t>
        </is>
      </c>
      <c r="F284" s="4" t="inlineStr">
        <is>
          <t>Detection of Autism Spectrum Disorder (ASD) is a crucial area of research, representing a foundational aspect of psychological studies. The advancement of technology and the widespread adoption of machine learning methodologies have brought significant attention to this field in recent years. Interdisciplinary efforts have further propelled research into detection methods. Consequently, this study aims to contribute to both the fields of psychology and computer science. Specifically, the goal is to apply machine learning techniques to limited data for the detection of Autism Spectrum Disorder. This study is structured into two distinct phases: data preprocessing and classification. In the data preprocessing phase, four datasets—Toddler, Children, Adolescent, and Adult—were converted into numerical form, adjusted as necessary, and subsequently clustered. Clustering was performed using six different methods: K-means, agglomerative, DBSCAN (Density-Based Spatial Clustering of Applications with Noise), mean shift, spectral, and Birch. In the second phase, the clustered ASD data were classified. The model’s accuracy was assessed using 5-fold cross-validation to ensure robust evaluation. In total, ten distinct machine learning algorithms were employed. The findings indicate that all clustering methods demonstrated success with various classifiers. Notably, the K-means algorithm emerged as particularly effective, achieving consistent and significant results across all datasets. This study is expected to serve as a guide for improving ASD detection performance, even with minimal data availability.</t>
        </is>
      </c>
      <c r="G284" s="4" t="inlineStr">
        <is>
          <t>Detection of Autism Spectrum Disorder (ASD) is a crucial area of research, representing a foundational aspect of psychological studies. The advancement of technology and the widespread adoption of machine learning methodologies have brought significant attention to this field in recent years. Interdisciplinary efforts have further propelled research into detection methods. Consequently, this study aims to contribute to both the fields of psycholo</t>
        </is>
      </c>
      <c r="H284" s="4" t="str"/>
      <c r="I284" s="4" t="str"/>
      <c r="J284" s="4" t="inlineStr">
        <is>
          <t>Texto abierto evaluable revisado; extracción RQ disponible.</t>
        </is>
      </c>
      <c r="K284" s="4" t="inlineStr">
        <is>
          <t>Inherited scoped adjudication; see source level and lot caveats</t>
        </is>
      </c>
      <c r="L284" s="4" t="inlineStr">
        <is>
          <t>Not documented in provided sources</t>
        </is>
      </c>
    </row>
    <row r="285" ht="409" customHeight="1">
      <c r="A285" s="4" t="inlineStr">
        <is>
          <t>new_125</t>
        </is>
      </c>
      <c r="B285" s="4" t="inlineStr">
        <is>
          <t>Update</t>
        </is>
      </c>
      <c r="C285" s="4" t="inlineStr">
        <is>
          <t>Identification of critical brain regions for autism diagnosis from fMRI data using explainable AI: an observational analysis of the ABIDE dataset</t>
        </is>
      </c>
      <c r="D285" s="4" t="inlineStr">
        <is>
          <t>10.1016/j.eclinm.2025.103452</t>
        </is>
      </c>
      <c r="E285" s="4" t="inlineStr">
        <is>
          <t>https://doi.org/10.1016/j.eclinm.2025.103452</t>
        </is>
      </c>
      <c r="F285" s="4" t="inlineStr">
        <is>
          <t>Background: Diagnosis of autism spectrum disorder (ASD) significantly improves quality of life, yet current diagnostic practices rely on subjective behavioural assessments. While machine learning models using functional Magnetic Resonance Imaging (fMRI) show promise for objective diagnosis, existing approaches have critical limitations. High-accuracy models often neglect interpretability, increasing clinical distrust, while interpretable approaches frequently suffer from low accuracy and lack neuroscientific validation of identified biomarkers. Furthermore, no studies have systematically benchmarked which interpretability methods are most effective for fMRI data, hindering the translation of Artificial intelligence (AI) findings into clinical practice. Methods: In this observational study, we used the Autism Brain Imaging Data Exchange I (ABIDE I) dataset comprising 884 participants (408 with ASD; 476 controls with typical development) aged 7–64 years from five countries (Belgium, Germany, Ireland, the Netherlands, and the USA) across 17 international sites after applying mean framewise displacement (FD) filtering (&gt;0.2 mm). Data were collected at the respective sites prior to the release of the ABIDE I dataset in August 2012. We described an explainable deep learning (DL) pipeline using a Stacked Sparse Autoencoder (SSAE) with a softmax classifier, trained on functional connectivity data. We systematically benchmarked seven interpretability methods using the Remove And Retrain (ROAR) technique and cross-validated our findings across three preprocessing pipelines. Critically, we validated identified biomarkers against independent neuroscientific literature from genetic, neuroanatomical, and functional studies. Findings: Filtering head movement (FD &gt; 0.2 mm) increased classification accuracy from 91% to 98.2% (F1-score: 0.97), achieving state-of-the-art performance. ROAR analysis revealed gradient-based methods, particularly Integrated Gradients, as most reliable for fMRI interpretation. The model consistently identified visual processing regions (calcarine sulcus, cuneus) as critical for ASD classification. These findings aligned with independent genetic studies and neuroimaging research, confirming our model captured genuine neurobiological ASD markers rather than overfitting to dataset artifacts. Interpretation: We addressed three key research gaps by developing a highly accurate, interpretable ASD classification model, establishing a benchmarking framework for interpretability methods in the fMRI modality, and validating our identified biomarkers against established neuroscience literature. The consistent importance of visual processing regions suggests a fundamental biomarker potentially present across the ASD spectrum, offering new directions for diagnostic biomarker research, though translation to individual-level clinical applications requires further development. Funding: This work was supported by the Engineering and Physical Sciences Research Council, UK [EP/W524554/1].</t>
        </is>
      </c>
      <c r="G285" s="4" t="inlineStr">
        <is>
          <t>Background: Diagnosis of autism spectrum disorder (ASD) significantly improves quality of life, yet current diagnostic practices rely on subjective behavioural assessments. While machine learning models using functional Magnetic Resonance Imaging (fMRI) show promise for objective diagnosis, existing approaches have critical limitations. High-accuracy models often neglect interpretability, increasing clinical distrust, while interpretable approach</t>
        </is>
      </c>
      <c r="H285" s="4" t="str"/>
      <c r="I285" s="4" t="str"/>
      <c r="J285" s="4" t="inlineStr">
        <is>
          <t>Texto abierto evaluable revisado; extracción RQ disponible.</t>
        </is>
      </c>
      <c r="K285" s="4" t="inlineStr">
        <is>
          <t>Inherited scoped adjudication; see source level and lot caveats</t>
        </is>
      </c>
      <c r="L285" s="4" t="inlineStr">
        <is>
          <t>Not documented in provided sources</t>
        </is>
      </c>
    </row>
    <row r="286" ht="372" customHeight="1">
      <c r="A286" s="4" t="inlineStr">
        <is>
          <t>new_132</t>
        </is>
      </c>
      <c r="B286" s="4" t="inlineStr">
        <is>
          <t>Update</t>
        </is>
      </c>
      <c r="C286" s="4" t="inlineStr">
        <is>
          <t>A Brief Observation to Screen Autism in Toddlers and Predict Developmental Trajectory</t>
        </is>
      </c>
      <c r="D286" s="4" t="inlineStr">
        <is>
          <t>10.1016/j.jpedcp.2025.200176</t>
        </is>
      </c>
      <c r="E286" s="4" t="inlineStr">
        <is>
          <t>https://doi.org/10.1016/j.jpedcp.2025.200176</t>
        </is>
      </c>
      <c r="F286" s="4" t="inlineStr">
        <is>
          <t>Objective: Autism spectrum disorder (ASD) affects approximately 1 in 31 children. Early diagnosis is crucial for optimizing outcomes through early interventions, and primary care settings need efficient tools to identify children presenting autistic features. This study explores the potential of early socio-communicative behaviors, measured by the Early Social Communication Scales, to screen for ASD in children younger than 3 years old, and predict their future cognitive development using machine learning models. Study design: This study analyzed longitudinal data from 113 children with ASD and 59 with typical development (TD), aged from 1 to 3 at baseline. Twenty-three ESCS variables were used to screen for ASD and predict cognitive development. The C5.0 decision tree algorithm was used to classify ASD vs TD, while linear regression and K-means clustering identified cognitive development patterns among autistic children. K-fold cross-validation, permutation testing, and undersampling were used for validation. Results: We distinguished between ASD and TD children with 95% accuracy, 96% sensitivity and 92% specificity. Nine behaviors contributed to distinguish ASD from TD. Behaviors that contributed most are the child's ability to initiate a turn taking and to point at desired objects. A separate model stratified children into groups with different cognitive outcome with 97% accuracy. Behavioral requests variables contributed in distinguishing extreme cognitive trajectories in autistic children. Conclusions: We provide an original decision-algorithm focusing on early socio-communicative behaviors to guide pediatricians through autism screening and cognitive development prediction.</t>
        </is>
      </c>
      <c r="G286" s="4" t="inlineStr">
        <is>
          <t>Objective: Autism spectrum disorder (ASD) affects approximately 1 in 31 children. Early diagnosis is crucial for optimizing outcomes through early interventions, and primary care settings need efficient tools to identify children presenting autistic features. This study explores the potential of early socio-communicative behaviors, measured by the Early Social Communication Scales, to screen for ASD in children younger than 3 years old, and predi</t>
        </is>
      </c>
      <c r="H286" s="4" t="str"/>
      <c r="I286" s="4" t="str"/>
      <c r="J286" s="4" t="inlineStr">
        <is>
          <t>Texto abierto evaluable revisado; extracción RQ disponible.</t>
        </is>
      </c>
      <c r="K286" s="4" t="inlineStr">
        <is>
          <t>Inherited scoped adjudication; see source level and lot caveats</t>
        </is>
      </c>
      <c r="L286" s="4" t="inlineStr">
        <is>
          <t>Not documented in provided sources</t>
        </is>
      </c>
    </row>
    <row r="287" ht="268" customHeight="1">
      <c r="A287" s="4" t="inlineStr">
        <is>
          <t>new_145</t>
        </is>
      </c>
      <c r="B287" s="4" t="inlineStr">
        <is>
          <t>Update</t>
        </is>
      </c>
      <c r="C287" s="4" t="inlineStr">
        <is>
          <t>Explainable Ensemble Learning Framework for Early Detection of Autism Spectrum Disorder: Enhancing Trust, Interpretability and Reliability in AI-Driven Healthcare</t>
        </is>
      </c>
      <c r="D287" s="4" t="inlineStr">
        <is>
          <t>10.32604/cmes.2025.074627</t>
        </is>
      </c>
      <c r="E287" s="4" t="inlineStr">
        <is>
          <t>https://doi.org/10.32604/cmes.2025.074627</t>
        </is>
      </c>
      <c r="F287" s="4" t="inlineStr">
        <is>
          <t>Artificial Intelligence (AI) is changing healthcare by helping with diagnosis. However, for doctors to trust AI tools, they need to be both accurate and easy to understand. In this study, we created a new machine learning system for the early detection of Autism Spectrum Disorder (ASD) in children. Our main goal was to build a model that is not only good at predicting ASD but also clear in its reasoning. For this, we combined several different models, including Random Forest, XGBoost, and Neural Networks, into a single, more powerful framework. We used two different types of datasets: (i) a standard behavioral dataset and (ii) a more complex multimodal dataset with images, audio, and physiological information. The datasets were carefully preprocessed for missing values, redundant features, and dataset imbalance to ensure fair learning. The results outperformed the state-of-the-art with a Regularized Neural Network, achieving 97.6% accuracy on behavioral data. Whereas, on the multimodal data, the accuracy is 98.2%. Other models also did well with accuracies consistently above 96%. We also used SHAP and LIME on a behavioral dataset for models' explainability.</t>
        </is>
      </c>
      <c r="G287" s="4" t="inlineStr">
        <is>
          <t>Artificial Intelligence (AI) is changing healthcare by helping with diagnosis. However, for doctors to trust AI tools, they need to be both accurate and easy to understand. In this study, we created a new machine learning system for the early detection of Autism Spectrum Disorder (ASD) in children. Our main goal was to build a model that is not only good at predicting ASD but also clear in its reasoning. For this, we combined several different mo</t>
        </is>
      </c>
      <c r="H287" s="4" t="str"/>
      <c r="I287" s="4" t="str"/>
      <c r="J287" s="4" t="inlineStr">
        <is>
          <t>Texto abierto evaluable revisado; extracción RQ disponible.</t>
        </is>
      </c>
      <c r="K287" s="4" t="inlineStr">
        <is>
          <t>Inherited scoped adjudication; see source level and lot caveats</t>
        </is>
      </c>
      <c r="L287" s="4" t="inlineStr">
        <is>
          <t>Not documented in provided sources</t>
        </is>
      </c>
    </row>
    <row r="288" ht="47" customHeight="1">
      <c r="A288" s="4" t="inlineStr">
        <is>
          <t>new_160</t>
        </is>
      </c>
      <c r="B288" s="4" t="inlineStr">
        <is>
          <t>Update</t>
        </is>
      </c>
      <c r="C288" s="4" t="inlineStr">
        <is>
          <t>LLM-Assisted Annotation Framework for Cross Platform Analysis of Autism Online Communities: Implications for Parent Education and Digital Support (Preprint)</t>
        </is>
      </c>
      <c r="D288" s="4" t="inlineStr">
        <is>
          <t>10.2196/85290</t>
        </is>
      </c>
      <c r="E288" s="4" t="inlineStr">
        <is>
          <t>https://doi.org/10.2196/85290</t>
        </is>
      </c>
      <c r="F288" s="4" t="str"/>
      <c r="G288" s="4" t="str"/>
      <c r="H288" s="4" t="str"/>
      <c r="I288" s="4" t="str"/>
      <c r="J288" s="4" t="inlineStr">
        <is>
          <t>Texto abierto evaluable revisado; extracción RQ disponible.</t>
        </is>
      </c>
      <c r="K288" s="4" t="inlineStr">
        <is>
          <t>Inherited scoped adjudication; see source level and lot caveats</t>
        </is>
      </c>
      <c r="L288" s="4" t="inlineStr">
        <is>
          <t>Not documented in provided sources</t>
        </is>
      </c>
    </row>
    <row r="289" ht="409" customHeight="1">
      <c r="A289" s="4" t="inlineStr">
        <is>
          <t>new_169</t>
        </is>
      </c>
      <c r="B289" s="4" t="inlineStr">
        <is>
          <t>Update</t>
        </is>
      </c>
      <c r="C289" s="4" t="inlineStr">
        <is>
          <t>GPT-Powered Chatbot-Based Positive Psychology Intervention for Well-Being Among Parents of Children With Autism Spectrum Disorder: Single-Arm Mixed Methods Study</t>
        </is>
      </c>
      <c r="D289" s="4" t="inlineStr">
        <is>
          <t>10.2196/85060</t>
        </is>
      </c>
      <c r="E289" s="4" t="inlineStr">
        <is>
          <t>https://doi.org/10.2196/85060</t>
        </is>
      </c>
      <c r="F289" s="4" t="inlineStr">
        <is>
          <t>Background: Parents of autistic children frequently experience elevated stress levels, depressive symptoms, and reduced well-being. Positive psychology interventions (PPIs) can strengthen resilience, and chatbots offer a scalable channel through which such skills can be delivered. However, evidence on the evaluation of large language model–guided PPI-based chatbots for this population is limited. Objective: This study evaluated the feasibility and acceptability of a GPT-powered chatbot (“Allie”). This study was designed to deliver culturally adapted PPIs to parents of autistic children and to explore their preliminary effects on well-being, depression, stress, and health-related quality of life. Methods: We conducted a single-arm mixed-methods pilot study with 19 parents with autistic children. These parents engaged with Allie for 2 weeks to complete 8 structured PPI exercises. The primary outcomes were feasibility (completion, ease of use, and practicality) and acceptability (multidimensional user ratings). Secondary outcomes were the World Health Organization–Five Well-Being Index (WHO-5), Patient Health Questionnaire-9, Perceived Stress Scale-10, and Short Form-12 Health Survey (version 2) Physical and Mental Component Summary scores. Outcomes were analyzed using paired t tests or Wilcoxon signed-rank tests. Optional postintervention interviews were analyzed using reflexive thematic analysis. Results: A total of 17 (89.5%) participants completed all the exercises, which indicated a high degree of procedural feasibility. There were also high ratings for ease of use and practicality (means 4.47/5, SD 0.70, and 4.32/5, SD 0.67, respectively). Acceptability was favorable (overall satisfaction mean=5.68/7, SD 0.70; prompt response time=6.37/7, SD 0.68). The WHO-5 score improved significantly from 32.84 to 46.11 (t18=2.48, P=.02; Cohen d=0.52). Changes in the Patient Health Questionnaire-9 (z=−0.49, P=.63; r=0.11), Perceived Stress Scale-10 (t18=−0.82, P=.43; Cohen d=0.12), and Short Form-12 Health Survey (version 2) Physical Component Summary (t18=−0.94, P=.36; Cohen d=0.18) and Mental Component Summary (t18=−0.89, P=.39; Cohen d=0.17) scores were not significant. Qualitative feedback (14/19) described benefits aligned with PPI mechanisms such as greater self-reflection, a more positive orientation, perspective-taking, emotional support, and coping skills. However, participants also suggested refinements, such as more natural conversation (colloquial Cantonese), shorter or less repetitive outputs, user-chosen sequencing with reminders and progress tracking, multimodal features, and autism spectrum disorder–specific resources. Conclusions: This pilot study revealed the feasibility, acceptability, and preliminary improvement in well-being (WHO-5) of a PPI-based GPT-powered chatbot, Allie, among parents of autistic children. Although there was no significant short-term change in other outcomes, the findings provide insights into design priorities, including personalization, conversational naturalness, multimodal content, and autism spectrum disorder–specific guidance. Larger, controlled trials with longer exposures and more diverse samples are needed to establish efficacy and durability.</t>
        </is>
      </c>
      <c r="G289" s="4" t="inlineStr">
        <is>
          <t>Background: Parents of autistic children frequently experience elevated stress levels, depressive symptoms, and reduced well-being. Positive psychology interventions (PPIs) can strengthen resilience, and chatbots offer a scalable channel through which such skills can be delivered. However, evidence on the evaluation of large language model–guided PPI-based chatbots for this population is limited. Objective: This study evaluated the feasibility an</t>
        </is>
      </c>
      <c r="H289" s="4" t="str"/>
      <c r="I289" s="4" t="str"/>
      <c r="J289" s="4" t="inlineStr">
        <is>
          <t>Texto abierto evaluable revisado; extracción RQ disponible.</t>
        </is>
      </c>
      <c r="K289" s="4" t="inlineStr">
        <is>
          <t>Inherited scoped adjudication; see source level and lot caveats</t>
        </is>
      </c>
      <c r="L289" s="4" t="inlineStr">
        <is>
          <t>Not documented in provided sources</t>
        </is>
      </c>
    </row>
    <row r="290" ht="60" customHeight="1">
      <c r="A290" s="4" t="inlineStr">
        <is>
          <t>new_171</t>
        </is>
      </c>
      <c r="B290" s="4" t="inlineStr">
        <is>
          <t>Update</t>
        </is>
      </c>
      <c r="C290" s="4" t="inlineStr">
        <is>
          <t>Artificial Intelligence Prediction of Individual Treatment Response to Smartphone-Based Mindfulness in Autistic Adults with Anxiety Symptoms: A Randomized Controlled Trial Analysis (Preprint)</t>
        </is>
      </c>
      <c r="D290" s="4" t="inlineStr">
        <is>
          <t>10.2196/89054</t>
        </is>
      </c>
      <c r="E290" s="4" t="inlineStr">
        <is>
          <t>https://doi.org/10.2196/89054</t>
        </is>
      </c>
      <c r="F290" s="4" t="str"/>
      <c r="G290" s="4" t="str"/>
      <c r="H290" s="4" t="str"/>
      <c r="I290" s="4" t="str"/>
      <c r="J290" s="4" t="inlineStr">
        <is>
          <t>Texto abierto evaluable revisado; extracción RQ disponible.</t>
        </is>
      </c>
      <c r="K290" s="4" t="inlineStr">
        <is>
          <t>Inherited scoped adjudication; see source level and lot caveats</t>
        </is>
      </c>
      <c r="L290" s="4" t="inlineStr">
        <is>
          <t>Not documented in provided sources</t>
        </is>
      </c>
    </row>
    <row r="291" ht="409" customHeight="1">
      <c r="A291" s="4" t="inlineStr">
        <is>
          <t>new_172</t>
        </is>
      </c>
      <c r="B291" s="4" t="inlineStr">
        <is>
          <t>Update</t>
        </is>
      </c>
      <c r="C291" s="4" t="inlineStr">
        <is>
          <t>Evaluating Public Sentiment on Attention-Deficit/Hyperactivity Disorder and Autism Spectrum Disorder Compared With Other Mental Health Disorders From Posts on X (Formerly Known as Twitter): Longitudinal Analysis</t>
        </is>
      </c>
      <c r="D291" s="4" t="inlineStr">
        <is>
          <t>10.2196/74440</t>
        </is>
      </c>
      <c r="E291" s="4" t="inlineStr">
        <is>
          <t>https://doi.org/10.2196/74440</t>
        </is>
      </c>
      <c r="F291" s="4" t="inlineStr">
        <is>
          <t>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on ADHD and ASD between 2009 and 2023 by analyzing posts from X (formerly known as Twitter; X Corp), comparing perceptions across English and Spanish languages and against other mental health conditions. Methods: Posts mentioning keywords related to ADHD and ASD and control conditions (eg, depression, anxiety, insomnia, bipolar disorder, schizophrenia, suicide, and substance use disorders) were collected from X between 2009 and 2023. The dataset included posts in both English and Spanish. Machine learning algorithms were then applied to classify post content into predefined categories, including volume of posts, engagement, personal experiences, trivialization, perceived causes, and perceived treatability. Parametric and nonparametric tests were used to assess for differences by language. Descriptive statistics were presented using tables and graphical representations. Results: A total of 852,990 posts were analyzed, including 511,510 (59.97%) in English and 341,480 (40.03%) in Spanish. Overall, post volume on mental health conditions increased across the study period. In English, posts about ADHD (97,084/511,510, 18.98%) and ASD (74,619/511,510, 14.59%) were among the most frequent, while of the 341,480 Spanish posts, there were 49,475 (14.49%) ASD posts, significantly outnumbering ADHD posts (n=18,223, 5.34%; chi-square test P&lt;.001). Engagement analysis indicated a notable increase in likes and reposts per post over time, particularly after 2019, with ADHD-related posts in English experiencing peak engagement during the COVID-19 pandemic. However, ASD posts had comparatively lower engagement across languages. Posts sharing personal experiences were more polarized in Spanish, with higher proportions of negative and positive experiences compared with English posts. Trivialization of mental illnesses was less common in Spanish posts than in English posts, particularly for ADHD (17,053/18,223, 93.59%; chi-square test P&lt;.001) and ASD (41,933/49,475, 84.73%; chi-square test P&lt;.001). User-perceived causes included multifactorial factors, biological or genetic factors, substance use, psychological susceptibility, acute psychosocial stressors, and COVID-19. Perceived treatability varied by language but consistently included high perceived incurability, limited improvement despite professional help, and low perceived self-manageability except for anxiety. Conclusions: Analysis of social media discourse showed that ADHD attracted higher post volumes, particularly during the COVID-19 pandemic, often described with multifactorial causes including substance use and genetics. ASD consistently received lower engagement. Both language groups showed low trivialization, awareness of the chronicity of the illness, and limited support for the self-management of mental health conditions. These findings underscore social media’s value for capturing direct public perceptions to guide future educational and intervention efforts.</t>
        </is>
      </c>
      <c r="G291" s="4" t="inlineStr">
        <is>
          <t xml:space="preserve">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t>
        </is>
      </c>
      <c r="H291" s="4" t="str"/>
      <c r="I291" s="4" t="str"/>
      <c r="J291" s="4" t="inlineStr">
        <is>
          <t>Texto abierto evaluable revisado; extracción RQ disponible.</t>
        </is>
      </c>
      <c r="K291" s="4" t="inlineStr">
        <is>
          <t>Inherited scoped adjudication; see source level and lot caveats</t>
        </is>
      </c>
      <c r="L291" s="4" t="inlineStr">
        <is>
          <t>Not documented in provided sources</t>
        </is>
      </c>
    </row>
    <row r="292" ht="47" customHeight="1">
      <c r="A292" s="4" t="inlineStr">
        <is>
          <t>new_173</t>
        </is>
      </c>
      <c r="B292" s="4" t="inlineStr">
        <is>
          <t>Update</t>
        </is>
      </c>
      <c r="C292" s="4" t="inlineStr">
        <is>
          <t>From Click to Chat: A Comparative, Bilingual Study of Autism-Related Information on Websites and General-Purpose AI Chatbots (Preprint)</t>
        </is>
      </c>
      <c r="D292" s="4" t="inlineStr">
        <is>
          <t>10.2196/85196</t>
        </is>
      </c>
      <c r="E292" s="4" t="inlineStr">
        <is>
          <t>https://doi.org/10.2196/85196</t>
        </is>
      </c>
      <c r="F292" s="4" t="str"/>
      <c r="G292" s="4" t="str"/>
      <c r="H292" s="4" t="str"/>
      <c r="I292" s="4" t="str"/>
      <c r="J292" s="4" t="inlineStr">
        <is>
          <t>Texto abierto evaluable revisado; extracción RQ disponible.</t>
        </is>
      </c>
      <c r="K292" s="4" t="inlineStr">
        <is>
          <t>Inherited scoped adjudication; see source level and lot caveats</t>
        </is>
      </c>
      <c r="L292" s="4" t="inlineStr">
        <is>
          <t>Not documented in provided sources</t>
        </is>
      </c>
    </row>
    <row r="293" ht="409" customHeight="1">
      <c r="A293" s="4" t="inlineStr">
        <is>
          <t>new_179</t>
        </is>
      </c>
      <c r="B293" s="4" t="inlineStr">
        <is>
          <t>Update</t>
        </is>
      </c>
      <c r="C293" s="4" t="inlineStr">
        <is>
          <t>Free Water Corrected Diffusion Magnetic Resonance Imaging Reveals Microstructural Alterations in Corpus Callosum Subregions of Preschool Children With Autism</t>
        </is>
      </c>
      <c r="D293" s="4" t="inlineStr">
        <is>
          <t>10.1002/hbm.70435</t>
        </is>
      </c>
      <c r="E293" s="4" t="inlineStr">
        <is>
          <t>https://doi.org/10.1002/hbm.70435</t>
        </is>
      </c>
      <c r="F293" s="4" t="inlineStr">
        <is>
          <t>Autism spectrum disorder (ASD) is associated with white matter microstructural abnormalities, particularly in the corpus callosum (CC). This study employed free water corrected diffusion magnetic resonance imaging (fwc-dMRI) to investigate CC subregion-specific microstructural alterations in preschool children with ASD, which mitigates partial volume effects from extracellular free water. Sixty-one ASD children (6.03 ± 1.08 years) and 62 typically developing (TD) controls (6.49 ± 1.45 years) were enrolled in this study. In the ASD group, the symptom severity was assessed by the Autism Behavior Checklist (ABC). Fwc-dMRI technique, a bi-tensor tractography method, was used to investigate the white matter microstructure, which models free water and brain tissues through isotropic and anisotropic tensors to eliminate the partial volume effects caused by extracellular free water. The CC was segmented into seven subregions automatically according to its alignment to the cortex by a robust machine learning approach based on an anatomically curated white matter atlas. Fwc-dMRI-derived metrics were extracted for each CC subregion. Then we compared diffusion metrics between the two groups, and the correlation between the fractional anisotropy tissue (FAt) and the scores of the ABC scale was analyzed in ASD. Significant group differences were localized to CC6 (temporal lobe projections), showing reduced FAt (t = −3.251, p &lt; 0.01) and elevated radial diffusivity tissue (t = 3.632, p &lt; 0.01), and CC1 (orbital lobe projections), exhibiting decreased free water (t = −3.068, p &lt; 0.05). FAt in CC2–5 negatively correlated with ABC scores (r = −0.36 to −0.52, p &lt; 0.01), linking frontoparietal connectivity to the symptom severity of ASD. Fwc-dMRI identified distinct microstructural disruptions in CC subregions, implicating dysmyelination in temporal pathways (CC6) and abnormal axonal development in frontal projections (CC1). These findings highlight fwc-dMRI's potential for early ASD diagnosis and intervention monitoring.</t>
        </is>
      </c>
      <c r="G293" s="4" t="inlineStr">
        <is>
          <t>Autism spectrum disorder (ASD) is associated with white matter microstructural abnormalities, particularly in the corpus callosum (CC). This study employed free water corrected diffusion magnetic resonance imaging (fwc-dMRI) to investigate CC subregion-specific microstructural alterations in preschool children with ASD, which mitigates partial volume effects from extracellular free water. Sixty-one ASD children (6.03 ± 1.08 years) and 62 typicall</t>
        </is>
      </c>
      <c r="H293" s="4" t="str"/>
      <c r="I293" s="4" t="str"/>
      <c r="J293" s="4" t="inlineStr">
        <is>
          <t>Texto abierto evaluable revisado; extracción RQ disponible.</t>
        </is>
      </c>
      <c r="K293" s="4" t="inlineStr">
        <is>
          <t>Inherited scoped adjudication; see source level and lot caveats</t>
        </is>
      </c>
      <c r="L293" s="4" t="inlineStr">
        <is>
          <t>Not documented in provided sources</t>
        </is>
      </c>
    </row>
    <row r="294" ht="320" customHeight="1">
      <c r="A294" s="4" t="inlineStr">
        <is>
          <t>new_182</t>
        </is>
      </c>
      <c r="B294" s="4" t="inlineStr">
        <is>
          <t>Update</t>
        </is>
      </c>
      <c r="C294" s="4" t="inlineStr">
        <is>
          <t>Label leakage unmasked: a trustworthy-AI audit of autism screening models using the CLEAR-RD framework.</t>
        </is>
      </c>
      <c r="D294" s="4" t="inlineStr">
        <is>
          <t>10.3389/fpubh.2026.1881829</t>
        </is>
      </c>
      <c r="E294" s="4" t="inlineStr">
        <is>
          <t>https://doi.org/10.3389/fpubh.2026.1881829</t>
        </is>
      </c>
      <c r="F294" s="4" t="inlineStr">
        <is>
          <t>Trustworthy pediatric screening AI needs more than accuracy: label validity, calibration, subgroup robustness, and clinical-scope limits. We propose Clear-Rd (Clinical Leakage Evaluation and Audit Routine for Rule-Derived labels), a five-stage framework-Configure, Lift, Evaluate, Audit, Report-and apply it to two public autism-screening datasets-Q-CHAT-10 toddler (N = 1054) and AQ-10 child/adolescent/adult (N = 6075)-merged into a unified cohort (N = 7129); prior studies report accuracies above 95%. Three configurations-S 1 (full, with score), S 2 (items, no score), and S 3 (demographics only)-separate label leakage from demographic signal. A leakage audit confirms the Q-CHAT-10 label is exactly determined by score&gt;3, the AQ-10 label approximately by score≥6. Sixteen models from three families (classical, deep-tabular, and prompt-structure simulators) are evaluated under 5-fold stratified cross-validation. On the leakage-free S 3, Gradient Boosting attains ROC-AUC 0.766 ± 0.005 and all families converge within 0.04 ROC-AUC, indicating the binding constraint is the feature set, not model capacity. Calibration, subgroup-parity, and cost-sensitive analyses complete the audit. The results expose a gap between reported and clinically interpretable performance; Clear-Rd is a reusable template for rule-derived medical labels. No such model should be interpreted as predicting clinical autism diagnosis without external validation against gold-standard outcomes.</t>
        </is>
      </c>
      <c r="G294" s="4" t="inlineStr">
        <is>
          <t xml:space="preserve">Trustworthy pediatric screening AI needs more than accuracy: label validity, calibration, subgroup robustness, and clinical-scope limits. We propose Clear-Rd (Clinical Leakage Evaluation and Audit Routine for Rule-Derived labels), a five-stage framework-Configure, Lift, Evaluate, Audit, Report-and apply it to two public autism-screening datasets-Q-CHAT-10 toddler (N = 1054) and AQ-10 child/adolescent/adult (N = 6075)-merged into a unified cohort </t>
        </is>
      </c>
      <c r="H294" s="4" t="str"/>
      <c r="I294" s="4" t="str"/>
      <c r="J294" s="4" t="inlineStr">
        <is>
          <t>Texto abierto evaluable revisado; extracción RQ disponible.</t>
        </is>
      </c>
      <c r="K294" s="4" t="inlineStr">
        <is>
          <t>Inherited scoped adjudication; see source level and lot caveats</t>
        </is>
      </c>
      <c r="L294" s="4" t="inlineStr">
        <is>
          <t>Not documented in provided sources</t>
        </is>
      </c>
    </row>
    <row r="295" ht="409" customHeight="1">
      <c r="A295" s="4" t="inlineStr">
        <is>
          <t>new_185</t>
        </is>
      </c>
      <c r="B295" s="4" t="inlineStr">
        <is>
          <t>Update</t>
        </is>
      </c>
      <c r="C295" s="4" t="inlineStr">
        <is>
          <t>Early multimodal behavioral cues in autism: a micro-analytical exploration of actions, gestures and speech during naturalistic parent-child interactions</t>
        </is>
      </c>
      <c r="D295" s="4" t="inlineStr">
        <is>
          <t>10.1016/j.ijchp.2026.100664</t>
        </is>
      </c>
      <c r="E295" s="4" t="inlineStr">
        <is>
          <t>https://doi.org/10.1016/j.ijchp.2026.100664</t>
        </is>
      </c>
      <c r="F295" s="4" t="inlineStr">
        <is>
          <t>Early signs of autism often emerge through distinct developmental pathways, particularly in communication, social interaction, and play. While naturalistic parent-child interactions during free play are ideal for observing spontaneous social behaviors, few autism studies have adopted this ecological and developmental approach. To address this gap, we used a fine-grained microanalytic method to examine motor, gestural, and vocal behaviors in young children, integrating machine learning to explore how combinations of these traits distinguish early autistic neurodivergence. We analyzed video recordings of 58 autistic and non-autistic children (aged 13–40 months) engaged in naturalistic parent-child play. A frame-by-frame micro-coding scheme was applied to capture actions, gestures, speech, and their multimodal integration. Clear differences emerged between neurotypical (NT) and autistic (ASC) children. NT children displayed more gestures, particularly deictic and conventional-interactive, greater gesture–gaze coordination, more functional object play, and more frequent multi-word utterances. In contrast, ASC children showed fewer deictic and conventional-interactive gestures and greater use of instrumental gestures, reduced gesture–gaze coordination, a higher reliance on vocalizations rather than words, and increased object manipulation compared to functional play. Feature selection using ANOVA F-tests identified a core set of key predictors most frequently and independently selected across folds of cross-validation: Alternate Gaze, Reaching, and Instrumental Gesture. Higher values of Alternate Gaze were associated with NT classification, while elevated frequencies of Reaching and Instrumental Gestures were linked to ASC classification. A logistic regression classifier trained on these features achieved over 85% accuracy in distinguishing the two groups. These findings underscore the value of an ecologically valid, and developmentally informed approach to identifying early behavioral markers of autism, supporting earlier recognition and the design of more personalized, strengths-based interventions.</t>
        </is>
      </c>
      <c r="G295" s="4" t="inlineStr">
        <is>
          <t>Early signs of autism often emerge through distinct developmental pathways, particularly in communication, social interaction, and play. While naturalistic parent-child interactions during free play are ideal for observing spontaneous social behaviors, few autism studies have adopted this ecological and developmental approach. To address this gap, we used a fine-grained microanalytic method to examine motor, gestural, and vocal behaviors in young</t>
        </is>
      </c>
      <c r="H295" s="4" t="str"/>
      <c r="I295" s="4" t="str"/>
      <c r="J295" s="4" t="inlineStr">
        <is>
          <t>Texto abierto evaluable revisado; extracción RQ disponible.</t>
        </is>
      </c>
      <c r="K295" s="4" t="inlineStr">
        <is>
          <t>Inherited scoped adjudication; see source level and lot caveats</t>
        </is>
      </c>
      <c r="L295" s="4" t="inlineStr">
        <is>
          <t>Not documented in provided sources</t>
        </is>
      </c>
    </row>
    <row r="296" ht="409" customHeight="1">
      <c r="A296" s="4" t="inlineStr">
        <is>
          <t>new_186</t>
        </is>
      </c>
      <c r="B296" s="4" t="inlineStr">
        <is>
          <t>Update</t>
        </is>
      </c>
      <c r="C296" s="4" t="inlineStr">
        <is>
          <t>Mood instability and mental health service use in autism and attention-deficit/hyperactivity disorder: a natural language processing analysis of CRIS electronic healthcare records from 21 906 children and adolescents.</t>
        </is>
      </c>
      <c r="D296" s="4" t="inlineStr">
        <is>
          <t>10.1136/bmjment-2026-302488</t>
        </is>
      </c>
      <c r="E296" s="4" t="inlineStr">
        <is>
          <t>https://doi.org/10.1136/bmjment-2026-302488</t>
        </is>
      </c>
      <c r="F296" s="4" t="inlineStr">
        <is>
          <t>BACKGROUND Children and young people (CYP) with neurodevelopmental diagnoses such as autism spectrum disorder (ASD) and attention-deficit/hyperactivity disorder (ADHD) have high child and adolescent mental health service (CAMHS) needs. Mood instability is a common and impairing emotion dysregulation-related symptom linked to increased adult psychiatric service use; however, its role in CAMHS trajectories remains unclear. We aimed to examine whether baseline mood instability was significantly associated with time to discharge and annual CAMHS use in CYP with ASD and/or ADHD. METHODS We applied natural language processing (NLP) to extract mentions of mood instability within 3 months of ASD or ADHD index diagnosis from electronic health records of 21 906 CYP referred to CAMHS between 2008 and 2022. We used accelerated failure time models and negative binomial regression to assess associations between baseline mood instability and time to discharge and annual CAMHS use, adjusting for clinical and sociodemographic confounders. FINDINGS Mood instability was associated with increased annual CAMHS use across ASD (adjusted incidence rate ratio (aIRR) 1.24, 95% CI 1.08 to 1.42), ADHD (aIRR 1.47, 95% CI 1.30 to 1.67) and ASD+ADHD (aIRR 1.27, 95% CI 1.12 to 1.44) groups. While mood instability had no significant effect on discharge timelines in autistic children with or without ADHD, it was linked to reduced time to discharge in the ADHD group (aTR 0.76, 95% CI 0.69 to 0.84). Associations were most pronounced in those not receiving ADHD medication in the ADHD group (aIRR 1.67, 95% CI 1.47 to 1.89; aTR 0.70, 95% CI 0.61 to 0.79). CONCLUSIONS Mood instability was significantly associated with elevated CAMHS use in CYP with neurodevelopmental conditions, with differential effect across diagnostic groups. This may reflect both variations in clinical expression of mood instability and configuration of neurodevelopmental CAMHS provision. CLINICALIMPLICATIONS These findings suggest the importance of assessing emotion dysregulation in care planning and pathway allocation in neurodevelopmental CAMHS. NLP offers a time- and cost-efficient approach to surface and structure clinical data from electronic CAMHS records for scalable clinical research on complex constructs such as mood instability.</t>
        </is>
      </c>
      <c r="G296" s="4" t="inlineStr">
        <is>
          <t>BACKGROUND Children and young people (CYP) with neurodevelopmental diagnoses such as autism spectrum disorder (ASD) and attention-deficit/hyperactivity disorder (ADHD) have high child and adolescent mental health service (CAMHS) needs. Mood instability is a common and impairing emotion dysregulation-related symptom linked to increased adult psychiatric service use; however, its role in CAMHS trajectories remains unclear. We aimed to examine wheth</t>
        </is>
      </c>
      <c r="H296" s="4" t="str"/>
      <c r="I296" s="4" t="str"/>
      <c r="J296" s="4" t="inlineStr">
        <is>
          <t>Texto abierto evaluable revisado; extracción RQ disponible.</t>
        </is>
      </c>
      <c r="K296" s="4" t="inlineStr">
        <is>
          <t>Inherited scoped adjudication; see source level and lot caveats</t>
        </is>
      </c>
      <c r="L296" s="4" t="inlineStr">
        <is>
          <t>Not documented in provided sources</t>
        </is>
      </c>
    </row>
    <row r="297" ht="409" customHeight="1">
      <c r="A297" s="4" t="inlineStr">
        <is>
          <t>new_191</t>
        </is>
      </c>
      <c r="B297" s="4" t="inlineStr">
        <is>
          <t>Update</t>
        </is>
      </c>
      <c r="C297" s="4" t="inlineStr">
        <is>
          <t>A functional system-informed graph neural network framework to quantify interpretable brain dysfunction in ASD</t>
        </is>
      </c>
      <c r="D297" s="4" t="inlineStr">
        <is>
          <t>10.1016/j.neunet.2025.108295</t>
        </is>
      </c>
      <c r="E297" s="4" t="inlineStr">
        <is>
          <t>https://doi.org/10.1016/j.neunet.2025.108295</t>
        </is>
      </c>
      <c r="F297" s="4" t="inlineStr">
        <is>
          <t>Autism Spectrum Disorder (ASD) is one of the most common neurodevelopmental disorders affecting patients from childhood to adulthood. Yet, its pathological mechanism has not been conclusively established, and its diagnosis mainly depends on subjective assessments of clinical or behavioral measures. In the human brain, connectivity is ubiquitous between brain regions that share functional properties, and groups of brain regions spontaneously assemble into large-scale systems as per their functions. In this study, we propose functional system-informed graph neural network (FS-GNN), a framework using functional magnetic resonance images (fMRI) to diagnose ASD and unveil new perceptions of ASD-related dysfunctions by fully leveraging the topological and functional information underlying the brain connectome. Specifically, we introduce a learnable positional encoding approach for brain regions of interest (ROIs) concerning their natural locations and functional interactions. The large-scale brain systems are integrated as prior knowledge into the graph representation learning to aid the model in identifying clusters of functionality. A graph readout with system-driven regularization is also developed to automatically weigh the ROIs in respect of their contribution to the classification. Experimental results on a multi-site database known as Autism Brain Imaging Data Exchange (ABIDE) validate the efficacy of FS-GNN by outperforming prevalent machine learning and GNN approaches, reaching 75.02 % accuracy, 73.22 % precision, and 71.64 % recall in ASD diagnosis. The brain dysfunctions detected by our model from both ROI and system levels achieve high agreement with previous fMRI-derived evidence of ASD biomarkers. The results demonstrate the strength of our proposed FS-GNN in discovering interpretable and trustworthy neural patterns for a more precise diagnosis of ASD.</t>
        </is>
      </c>
      <c r="G297" s="4" t="inlineStr">
        <is>
          <t>Autism Spectrum Disorder (ASD) is one of the most common neurodevelopmental disorders affecting patients from childhood to adulthood. Yet, its pathological mechanism has not been conclusively established, and its diagnosis mainly depends on subjective assessments of clinical or behavioral measures. In the human brain, connectivity is ubiquitous between brain regions that share functional properties, and groups of brain regions spontaneously assem</t>
        </is>
      </c>
      <c r="H297" s="4" t="str"/>
      <c r="I297" s="4" t="str"/>
      <c r="J297" s="4" t="inlineStr">
        <is>
          <t>Texto abierto evaluable revisado; extracción RQ disponible.</t>
        </is>
      </c>
      <c r="K297" s="4" t="inlineStr">
        <is>
          <t>Inherited scoped adjudication; see source level and lot caveats</t>
        </is>
      </c>
      <c r="L297" s="4" t="inlineStr">
        <is>
          <t>Not documented in provided sources</t>
        </is>
      </c>
    </row>
    <row r="298" ht="385" customHeight="1">
      <c r="A298" s="4" t="inlineStr">
        <is>
          <t>new_197</t>
        </is>
      </c>
      <c r="B298" s="4" t="inlineStr">
        <is>
          <t>Update</t>
        </is>
      </c>
      <c r="C298" s="4" t="inlineStr">
        <is>
          <t>Deep learning for autism detection using clinical notes: A comparison of transfer learning for a transparent and black-box approach</t>
        </is>
      </c>
      <c r="D298" s="4" t="inlineStr">
        <is>
          <t>10.1016/j.artmed.2025.103318</t>
        </is>
      </c>
      <c r="E298" s="4" t="inlineStr">
        <is>
          <t>https://doi.org/10.1016/j.artmed.2025.103318</t>
        </is>
      </c>
      <c r="F298" s="4" t="inlineStr">
        <is>
          <t>Autism spectrum disorder (ASD) is a complex neurodevelopmental condition whose rising prevalence places increasing demands on a lengthy diagnostic process. Machine learning (ML) has shown promise in automating ASD diagnosis, but most existing models operate as black boxes and are typically trained on a single dataset, limiting their generalizability. In this study, we introduce a transparent and interpretable ML approach that leverages BioBERT, a state-of-the-art language model, to analyze unstructured clinical text. The model is trained to label descriptions of behaviors and map them to diagnostic criteria, which are then used to assign a final label (ASD or not). We evaluate transfer learning, the ability to transfer knowledge to new data, using two distinct real-world datasets. We trained on datasets sequentially and mixed together and compared the performance of the best models and their ability to transfer to new data. We also created a black-box approach and repeated this transfer process for comparison. Our transparent model demonstrated robust performance, with the mixed-data training strategy yielding the best results (97 % sensitivity, 98 % specificity). Sequential training across datasets led to a slight drop in performance, highlighting the importance of training data order. The black-box model performed worse (90 % sensitivity, 96 % specificity) when trained sequentially or with mixed data. Overall, our transparent approach outperformed the black-box approach. Mixing datasets during training resulted in slightly better performance and should be the preferred approach when practically possible. This work paves the way for more trustworthy, generalizable, and clinically actionable AI tools in neurodevelopmental diagnostics.</t>
        </is>
      </c>
      <c r="G298" s="4" t="inlineStr">
        <is>
          <t>Autism spectrum disorder (ASD) is a complex neurodevelopmental condition whose rising prevalence places increasing demands on a lengthy diagnostic process. Machine learning (ML) has shown promise in automating ASD diagnosis, but most existing models operate as black boxes and are typically trained on a single dataset, limiting their generalizability. In this study, we introduce a transparent and interpretable ML approach that leverages BioBERT, a</t>
        </is>
      </c>
      <c r="H298" s="4" t="str"/>
      <c r="I298" s="4" t="str"/>
      <c r="J298" s="4" t="inlineStr">
        <is>
          <t>Texto abierto evaluable revisado; extracción RQ disponible.</t>
        </is>
      </c>
      <c r="K298" s="4" t="inlineStr">
        <is>
          <t>Inherited scoped adjudication; see source level and lot caveats</t>
        </is>
      </c>
      <c r="L298" s="4" t="inlineStr">
        <is>
          <t>Not documented in provided sources</t>
        </is>
      </c>
    </row>
    <row r="299" ht="398" customHeight="1">
      <c r="A299" s="4" t="inlineStr">
        <is>
          <t>new_200</t>
        </is>
      </c>
      <c r="B299" s="4" t="inlineStr">
        <is>
          <t>Update</t>
        </is>
      </c>
      <c r="C299" s="4" t="inlineStr">
        <is>
          <t>Finding the forest in the trees: Using machine learning and online cognitive and perceptual measures to predict adult autism diagnosis</t>
        </is>
      </c>
      <c r="D299" s="4" t="inlineStr">
        <is>
          <t>10.1038/s41398-026-03823-y</t>
        </is>
      </c>
      <c r="E299" s="4" t="inlineStr">
        <is>
          <t>https://doi.org/10.1038/s41398-026-03823-y</t>
        </is>
      </c>
      <c r="F299" s="4" t="inlineStr">
        <is>
          <t>Traditional subjective measures are limited in the insight they provide into underlying behavioral differences associated with autism and, accordingly, their ability to predict diagnosis. Performance-based measures offer an attractive alternative, being designed to capture neuropsychological constructs more directly and objectively. However, due to the heterogeneity of autism, differences in any one specific neuropsychological domain are inconsistently detected. Meanwhile, protracted wait times for diagnostic interviews delay access to care, highlighting the importance of developing better methods for identifying individuals likely to be autistic and understanding the associated behavioral differences. We administered a battery of online tasks measuring multisensory perception, emotion recognition, and executive function to a large group of autistic and non-autistic adults. We then used machine learning to classify participants and reveal which factors from the resulting dataset were most predictive of diagnosis. Not only were these measures able to predict autism in a late-diagnosed population known to be particularly difficult to identify, their combination with the most popular screening questionnaire enhanced its predictive accuracy (reaching 92% together). This indicates that performance-based measures may be a promising means of predicting autism, providing complementary information to existing screening questionnaires. Many variables in which significant group differences were not detected had predictive value in combination, suggesting complex latent relationships associated with autism. Machine learning’s ability to harness these connections and pinpoint the most crucial features for prediction could allow optimization of a screening tool that offers a unique marriage of predictive accuracy and accessibility.</t>
        </is>
      </c>
      <c r="G299" s="4" t="inlineStr">
        <is>
          <t>Traditional subjective measures are limited in the insight they provide into underlying behavioral differences associated with autism and, accordingly, their ability to predict diagnosis. Performance-based measures offer an attractive alternative, being designed to capture neuropsychological constructs more directly and objectively. However, due to the heterogeneity of autism, differences in any one specific neuropsychological domain are inconsis</t>
        </is>
      </c>
      <c r="H299" s="4" t="str"/>
      <c r="I299" s="4" t="str"/>
      <c r="J299" s="4" t="inlineStr">
        <is>
          <t>Texto abierto evaluable revisado; extracción RQ disponible.</t>
        </is>
      </c>
      <c r="K299" s="4" t="inlineStr">
        <is>
          <t>Inherited scoped adjudication; see source level and lot caveats</t>
        </is>
      </c>
      <c r="L299" s="4" t="inlineStr">
        <is>
          <t>Not documented in provided sources</t>
        </is>
      </c>
    </row>
    <row r="300" ht="294" customHeight="1">
      <c r="A300" s="4" t="inlineStr">
        <is>
          <t>new_210</t>
        </is>
      </c>
      <c r="B300" s="4" t="inlineStr">
        <is>
          <t>Update</t>
        </is>
      </c>
      <c r="C300" s="4" t="inlineStr">
        <is>
          <t>Biomarker Discovery for Autism Prediction Using Massive Feature Extraction Based on EEG Signals</t>
        </is>
      </c>
      <c r="D300" s="4" t="inlineStr">
        <is>
          <t>10.3390/s26061862</t>
        </is>
      </c>
      <c r="E300" s="4" t="inlineStr">
        <is>
          <t>https://doi.org/10.3390/s26061862</t>
        </is>
      </c>
      <c r="F300" s="4" t="inlineStr">
        <is>
          <t>Autism spectrum disorder (ASD) is a heterogeneous neurodevelopmental disorder that requires early diagnosis for better intervention. However, current clinical behavioural examinations are time-consuming and prone to human error. Objective and effective biomarkers are essential for the diagnosis and prognosis of the disorder. Electroencephalography (EEG) is a non-invasive and inexpensive brain-imaging technique that is widely applied in the diagnosis of ASD. Feature-based methods have shown better performance in EEG-based applications. Here, we present a prediction framework based on massive feature extraction using the highly comparative time-series analysis (HCTSA) method and a hybrid feature selection method for the classification of ASD from resting-state EEG. Machine-learning models are trained and tested on a different number of selected features. Our models demonstrated 100% accuracy with ≥50 features on a balanced dataset of 56 participants. The most discriminating EEG channels and features were used in the prediction process, as well as those using Shapley values to provide explainability of our framework. Whilst these results are promising, we acknowledge the limitations of a single small-scale dataset and emphasise the need for validation on larger independent cohorts before clinical translation.</t>
        </is>
      </c>
      <c r="G300" s="4" t="inlineStr">
        <is>
          <t>Autism spectrum disorder (ASD) is a heterogeneous neurodevelopmental disorder that requires early diagnosis for better intervention. However, current clinical behavioural examinations are time-consuming and prone to human error. Objective and effective biomarkers are essential for the diagnosis and prognosis of the disorder. Electroencephalography (EEG) is a non-invasive and inexpensive brain-imaging technique that is widely applied in the diagno</t>
        </is>
      </c>
      <c r="H300" s="4" t="str"/>
      <c r="I300" s="4" t="str"/>
      <c r="J300" s="4" t="inlineStr">
        <is>
          <t>Texto abierto evaluable revisado; extracción RQ disponible.</t>
        </is>
      </c>
      <c r="K300" s="4" t="inlineStr">
        <is>
          <t>Inherited scoped adjudication; see source level and lot caveats</t>
        </is>
      </c>
      <c r="L300" s="4" t="inlineStr">
        <is>
          <t>Not documented in provided sources</t>
        </is>
      </c>
    </row>
    <row r="301" ht="409" customHeight="1">
      <c r="A301" s="4" t="inlineStr">
        <is>
          <t>new_212</t>
        </is>
      </c>
      <c r="B301" s="4" t="inlineStr">
        <is>
          <t>Update</t>
        </is>
      </c>
      <c r="C301" s="4" t="inlineStr">
        <is>
          <t>Comparison of cognitive ability and its distribution between men with autism spectrum disorder and attention-deficit/hyperactivity disorder</t>
        </is>
      </c>
      <c r="D301" s="4" t="inlineStr">
        <is>
          <t>10.1371/journal.pone.0345522</t>
        </is>
      </c>
      <c r="E301" s="4" t="inlineStr">
        <is>
          <t>https://doi.org/10.1371/journal.pone.0345522</t>
        </is>
      </c>
      <c r="F301" s="4" t="inlineStr">
        <is>
          <t>Objectives Clarification of the strengths and weaknesses of cognitive ability is essential to our understanding of the characteristics of autism spectrum disorder and attention deficit/ hyperactivity disorder. However, whether individuals with these conditions exhibit distinct patterns of cognitive ability remains unclear. To address this point, we aimed to compare the cognitive profiles of patients with autism spectrum disorder with those of patients with attention deficit/hyperactivity disorder by placing special emphasis on the distribution of cognitive function within each group. Methods This study compared the Wechsler Adult Intelligence Scale index scores of men with autism spectrum disorder and attention deficit/hyperactivity disorder. A machine learning model was trained to classify autism spectrum disorder and attention deficit/ hyperactivity disorder based on the subtest scores. The conformity of the within-group distribution of each index score to a normal distribution was also tested. Results Individuals with autism spectrum disorder scored higher than those with attention deficit/hyperactivity disorder in the Verbal Comprehension Index and Working Memory Index, while the opposite pattern was observed for the Perceptual Organization Index. The classification performance of the machine learning model was above chance level. The distributions of the Verbal Comprehension Index and Perceptual Organization Index deviated significantly from a normal distribution only in the autism spectrum disorder group. The results of Gaussian mixture clustering indicated that men with autism spectrum disorder could be divided into two distinct clusters based on their Verbal Comprehension Index scores. Conclusions Our findings indicate that men with autism spectrum disorder and attention deficit/ hyperactivity disorder show distinct cognitive profile patterns from each other. The distribution of some of the index scores deviated from the normal distribution only in autism spectrum disorder, which supports the view that autism spectrum disorder comprises heterogeneous subgroups with different cognitive profiles.</t>
        </is>
      </c>
      <c r="G301" s="4" t="inlineStr">
        <is>
          <t>Objectives Clarification of the strengths and weaknesses of cognitive ability is essential to our understanding of the characteristics of autism spectrum disorder and attention deficit/ hyperactivity disorder. However, whether individuals with these conditions exhibit distinct patterns of cognitive ability remains unclear. To address this point, we aimed to compare the cognitive profiles of patients with autism spectrum disorder with those of pat</t>
        </is>
      </c>
      <c r="H301" s="4" t="str"/>
      <c r="I301" s="4" t="str"/>
      <c r="J301" s="4" t="inlineStr">
        <is>
          <t>Texto abierto evaluable revisado; extracción RQ disponible.</t>
        </is>
      </c>
      <c r="K301" s="4" t="inlineStr">
        <is>
          <t>Inherited scoped adjudication; see source level and lot caveats</t>
        </is>
      </c>
      <c r="L301" s="4" t="inlineStr">
        <is>
          <t>Not documented in provided sources</t>
        </is>
      </c>
    </row>
    <row r="302" ht="359" customHeight="1">
      <c r="A302" s="4" t="inlineStr">
        <is>
          <t>new_214</t>
        </is>
      </c>
      <c r="B302" s="4" t="inlineStr">
        <is>
          <t>Update</t>
        </is>
      </c>
      <c r="C302" s="4" t="inlineStr">
        <is>
          <t>Hippocampal Subregion Function and Its Clinical Correlations in Childhood Autism Spectrum Disorders</t>
        </is>
      </c>
      <c r="D302" s="4" t="inlineStr">
        <is>
          <t>10.1002/aur.70124</t>
        </is>
      </c>
      <c r="E302" s="4" t="inlineStr">
        <is>
          <t>https://doi.org/10.1002/aur.70124</t>
        </is>
      </c>
      <c r="F302" s="4" t="inlineStr">
        <is>
          <t>The hippocampus plays a crucial role in memory and social processing, both of which are impaired in autism spectrum disorder (ASD). Investigating the functional activity of hippocampal subregions can provide valuable insights into their involvement in ASD-related social and behavioral symptoms. This study analyzed hippocampal resting-state functional connectivity (rsFC) in 507 male child participants from the ABIDE dataset (225 ASD, 282 typical controls) and its relation to clinical features. The hippocampus was subdivided into rostral and caudal subregions, and rsFC patterns were compared between groups. Significant group differences were observed in the left caudal, right rostral, and right caudal hippocampus, with enhanced connectivity to widespread cortical and subcortical regions, including visual, motor, parietal, and cerebellar networks. Machine learning using hippocampal rsFC achieved modest classification performance. Clinically, rsFC correlated with core ASD symptoms: social awareness was associated with right caudal connectivity to fusiform and temporal regions, while restricted and repetitive behaviors were linked to distinct rostral–caudal patterns involving frontal, motor, and cerebellar areas. Age of onset showed positive correlations with rsFC across all subregions, with rostral hippocampus engaging socioemotional and motor control networks and caudal hippocampus connecting more strongly to visual and sensorimotor integration regions. These findings demonstrate subregional specificity of hippocampal connectivity in ASD, suggesting distinct anterior–posterior contributions to symptom expression and developmental timing.</t>
        </is>
      </c>
      <c r="G302" s="4" t="inlineStr">
        <is>
          <t>The hippocampus plays a crucial role in memory and social processing, both of which are impaired in autism spectrum disorder (ASD). Investigating the functional activity of hippocampal subregions can provide valuable insights into their involvement in ASD-related social and behavioral symptoms. This study analyzed hippocampal resting-state functional connectivity (rsFC) in 507 male child participants from the ABIDE dataset (225 ASD, 282 typical c</t>
        </is>
      </c>
      <c r="H302" s="4" t="str"/>
      <c r="I302" s="4" t="str"/>
      <c r="J302" s="4" t="inlineStr">
        <is>
          <t>Texto abierto evaluable revisado; extracción RQ disponible.</t>
        </is>
      </c>
      <c r="K302" s="4" t="inlineStr">
        <is>
          <t>Inherited scoped adjudication; see source level and lot caveats</t>
        </is>
      </c>
      <c r="L302" s="4" t="inlineStr">
        <is>
          <t>Not documented in provided sources</t>
        </is>
      </c>
    </row>
    <row r="303" ht="409" customHeight="1">
      <c r="A303" s="4" t="inlineStr">
        <is>
          <t>new_216</t>
        </is>
      </c>
      <c r="B303" s="4" t="inlineStr">
        <is>
          <t>Update</t>
        </is>
      </c>
      <c r="C303" s="4" t="inlineStr">
        <is>
          <t>Parental Stress and Caregiver Role Modulate Child–Caregiver Prosodic Synchrony in Autism: A Computational Analysis</t>
        </is>
      </c>
      <c r="D303" s="4" t="inlineStr">
        <is>
          <t>10.1002/aur.70189</t>
        </is>
      </c>
      <c r="E303" s="4" t="inlineStr">
        <is>
          <t>https://doi.org/10.1002/aur.70189</t>
        </is>
      </c>
      <c r="F303" s="4" t="inlineStr">
        <is>
          <t>Parental stress influences parent–child interactions in typical development and is a prognostic factor of autism outcome. However, we still do not know to what extent parental stress affects parent–child interactions and whether caregiver role matters. This study explored the relationship between parental stress and prosodic synchrony in parent–child vocal interactions, drawing on complex dynamic systems and affective computing frameworks. We assessed 62 dyads (31 autistic preschoolers, interacting separately with their mother and father) during structured play interactions at two time points (12 months apart) along with perceived parental stress. We used a Deep Learning model to segment child-caregiver acoustic interactions with high accuracy automatically. Downstream, prosodic synchrony was modeled through cross-recurrence quantification analysis. Linear mixed-effects models were used to assess the impact of parental stress, caregiver role, and time on synchrony metrics. Models showed significant associations between parental stress and synchrony metrics for spectral and formant amplitude features. Higher stress levels were linked to less stable, predictable, and structured interactions. These effects were more pronounced in father–child dyads compared to mother–child dyads. Permutation analyses confirmed that these associations were specific to moment-to-moment coordination rather than general acoustic similarity. In autistic children, parental stress levels are linked with the temporal dynamics of parent–child prosodic synchrony, specifically affective speech and moment-to-moment coordination. It appears to be more pronounced in fathers. The results underscore the importance of fostering parental well-being and tailoring interventions to account for differences between maternal and paternal interaction patterns in autism.</t>
        </is>
      </c>
      <c r="G303" s="4" t="inlineStr">
        <is>
          <t>Parental stress influences parent–child interactions in typical development and is a prognostic factor of autism outcome. However, we still do not know to what extent parental stress affects parent–child interactions and whether caregiver role matters. This study explored the relationship between parental stress and prosodic synchrony in parent–child vocal interactions, drawing on complex dynamic systems and affective computing frameworks. We ass</t>
        </is>
      </c>
      <c r="H303" s="4" t="str"/>
      <c r="I303" s="4" t="str"/>
      <c r="J303" s="4" t="inlineStr">
        <is>
          <t>Texto abierto evaluable revisado; extracción RQ disponible.</t>
        </is>
      </c>
      <c r="K303" s="4" t="inlineStr">
        <is>
          <t>Inherited scoped adjudication; see source level and lot caveats</t>
        </is>
      </c>
      <c r="L303" s="4" t="inlineStr">
        <is>
          <t>Not documented in provided sources</t>
        </is>
      </c>
    </row>
    <row r="304" ht="409" customHeight="1">
      <c r="A304" s="4" t="inlineStr">
        <is>
          <t>new_217</t>
        </is>
      </c>
      <c r="B304" s="4" t="inlineStr">
        <is>
          <t>Update</t>
        </is>
      </c>
      <c r="C304" s="4" t="inlineStr">
        <is>
          <t>Predicting brain age in children aged 2–6 years with autism spectrum disorders using routine T1- and T2-weighted magnetic resonance imaging</t>
        </is>
      </c>
      <c r="D304" s="4" t="inlineStr">
        <is>
          <t>10.1002/ped4.70064</t>
        </is>
      </c>
      <c r="E304" s="4" t="inlineStr">
        <is>
          <t>https://doi.org/10.1002/ped4.70064</t>
        </is>
      </c>
      <c r="F304" s="4" t="inlineStr">
        <is>
          <t>Importance: Early childhood (ages 2–6 years) represents a dynamic phase of brain maturation and a critical window for the emergence of neurodevelopmental disorders, such as autism spectrum disorder (ASD). However, the maturational patterns of the brain during this period remain underexplored, especially regarding the utility of routine clinical imaging. Objective: To develop a brain age prediction model using routine magnetic resonance imaging (MRI) and characterize maturational deviations in children with ASD. Methods: We retrospectively collected MRI data from 2010 typically developing children (TDC) and 822 children with ASD (aged 2–6 years). A brain age prediction model based on T1- and T2-weighted MRI was developed using machine learning algorithms in the TDC cohort and subsequently applied to the ASD cohort. Model performance was assessed using the mean absolute error (MAE) and Pearson's correlation coefficient (PCC). Brain age difference (BAD) was compared between the two groups, followed by age-matched analyses and age-stratified comparisons. Results: The Ridge regression model demonstrated a robust performance in the TDC testing set (MAE = 0.526 years, PCC = 0.812) and showed comparable predictive performance in the ASD cohort (MAE = 0.497 years, PCC = 0.775). Age-matched analysis revealed significantly delayed brain maturation in ASD patients compared with TDC patients (P &lt; 0.001). Stratified analysis identified nominal delays in ASD subgroups aged 3–4 years and 4–5 years, with a trend toward relatively advanced predicted brain age by ages 5–6 years. Interpretation: This routine MRI-based brain age prediction model demonstrated good performance, with low prediction error and high correlation between predicted and chronological age, in estimating the brain age of TDC and ASD. It revealed a dynamic, age-related pattern in children with ASD, highlighting developmental heterogeneity across early childhood.</t>
        </is>
      </c>
      <c r="G304" s="4" t="inlineStr">
        <is>
          <t>Importance: Early childhood (ages 2–6 years) represents a dynamic phase of brain maturation and a critical window for the emergence of neurodevelopmental disorders, such as autism spectrum disorder (ASD). However, the maturational patterns of the brain during this period remain underexplored, especially regarding the utility of routine clinical imaging. Objective: To develop a brain age prediction model using routine magnetic resonance imaging (M</t>
        </is>
      </c>
      <c r="H304" s="4" t="str"/>
      <c r="I304" s="4" t="str"/>
      <c r="J304" s="4" t="inlineStr">
        <is>
          <t>Texto abierto evaluable revisado; extracción RQ disponible.</t>
        </is>
      </c>
      <c r="K304" s="4" t="inlineStr">
        <is>
          <t>Inherited scoped adjudication; see source level and lot caveats</t>
        </is>
      </c>
      <c r="L304" s="4" t="inlineStr">
        <is>
          <t>Not documented in provided sources</t>
        </is>
      </c>
    </row>
    <row r="305" ht="346" customHeight="1">
      <c r="A305" s="4" t="inlineStr">
        <is>
          <t>new_228</t>
        </is>
      </c>
      <c r="B305" s="4" t="inlineStr">
        <is>
          <t>Update</t>
        </is>
      </c>
      <c r="C305" s="4" t="inlineStr">
        <is>
          <t>Unveiling Diagnostic Biomarkers in Autism: A Comparative Proteome Analysis of CNTNAP2 Knockout Mice and Human ASD Patients</t>
        </is>
      </c>
      <c r="D305" s="4" t="inlineStr">
        <is>
          <t>10.3390/biom16030340</t>
        </is>
      </c>
      <c r="E305" s="4" t="inlineStr">
        <is>
          <t>https://doi.org/10.3390/biom16030340</t>
        </is>
      </c>
      <c r="F305" s="4" t="inlineStr">
        <is>
          <t>Autism Spectrum Disorder (ASD) is a biologically heterogeneous neurodevelopmental condition, presenting a major barrier to the identification of robust and translatable molecular biomarkers. Here, we employ a cross-species proteomic framework to identify conserved protein signatures associated with ASD. Quantitative proteomic profiling of brain and serum from CNTNAP2 knockout mice, integrated with serum proteomes from individuals with ASD, revealed 132 proteins consistently dysregulated across species. Functional pathway analyses implicated coordinated alterations in lipid metabolism, synaptic signaling, and immune regulation. To prioritize diagnostically informative candidates, we applied machine learning-based feature selection and identified a minimal panel of ten proteins (COL1A1, ITIH4, CLU, NID1, C5, MASP1, PON1, PLTP, HSPA5, and FETUB) that robustly discriminated ASD from control samples. Gene ontology and KEGG pathway analyses highlighted enrichment of immune regulatory pathways, synaptic transmission, oxidative stress responses, and lipid metabolic processes, consistent with emerging models linking neuroimmune dysregulation and metabolic imbalance to ASD pathophysiology. An XGBClassifier trained on this biomarker panel achieved strong performance in independent test sets (AUC = 0.75). Together, these findings establish cross-species proteomic integration combined with machine learning as a powerful strategy for uncovering conserved, biologically grounded biomarkers in ASD, providing a framework for future validation and translational development.</t>
        </is>
      </c>
      <c r="G305" s="4" t="inlineStr">
        <is>
          <t>Autism Spectrum Disorder (ASD) is a biologically heterogeneous neurodevelopmental condition, presenting a major barrier to the identification of robust and translatable molecular biomarkers. Here, we employ a cross-species proteomic framework to identify conserved protein signatures associated with ASD. Quantitative proteomic profiling of brain and serum from CNTNAP2 knockout mice, integrated with serum proteomes from individuals with ASD, reveal</t>
        </is>
      </c>
      <c r="H305" s="4" t="str"/>
      <c r="I305" s="4" t="str"/>
      <c r="J305" s="4" t="inlineStr">
        <is>
          <t>Texto abierto evaluable revisado; extracción RQ disponible.</t>
        </is>
      </c>
      <c r="K305" s="4" t="inlineStr">
        <is>
          <t>Inherited scoped adjudication; see source level and lot caveats</t>
        </is>
      </c>
      <c r="L305" s="4" t="inlineStr">
        <is>
          <t>Not documented in provided sources</t>
        </is>
      </c>
    </row>
    <row r="306" ht="398" customHeight="1">
      <c r="A306" s="4" t="inlineStr">
        <is>
          <t>new_237</t>
        </is>
      </c>
      <c r="B306" s="4" t="inlineStr">
        <is>
          <t>Update</t>
        </is>
      </c>
      <c r="C306" s="4" t="inlineStr">
        <is>
          <t>Late Fusion Model for Emotion Recognition from Facial Expressions and Biosignals in a Dataset of Children with Autism Spectrum Disorder</t>
        </is>
      </c>
      <c r="D306" s="4" t="inlineStr">
        <is>
          <t>10.3390/s25247485</t>
        </is>
      </c>
      <c r="E306" s="4" t="inlineStr">
        <is>
          <t>https://doi.org/10.3390/s25247485</t>
        </is>
      </c>
      <c r="F306" s="4" t="inlineStr">
        <is>
          <t>Children with autism spectrum disorder (ASD) often display atypical emotional expressions and physiological responses, making emotion recognition challenging. This study proposes a multimodal recognition model employing a late fusion framework combining facial expression with physiological measures: electrodermal activity (EDA), temperature (TEMP), and heart rate (HR). Emotional states are annotated using two complementary schemes derived from a shared set of labels. Three annotators provide one categorical Ekman emotion for each timestamp. From these annotations, a majority-vote label identifies the dominant emotion, while a proportional distribution reflects the likelihood of each emotion based on the relative frequency of the annotators’ selections. Separate machine learning models are trained for each modality and for each annotation scheme, and their outputs are integrated through decision-level fusion. A distinct decision-level fusion model is constructed for each annotation scheme, ensuring that both the categorical and likelihood-based representations are optimally combined. The experiments on the EMBOA dataset, collected within the project “Affective loop in Socially Assistive Robotics as an intervention tool for children with autism”, show that the late fusion model achieves higher accuracy and robustness than unimodal baselines. The system attains an accuracy of 68% for categorical emotion classification and 78% under the likelihood-estimation scheme. The results obtained, although lower than those reported in other studies, suggest that further research into emotion recognition in autistic children using other fusions is warranted, even in the case of datasets with a significant number of missing values and low sample representation for certain emotions.</t>
        </is>
      </c>
      <c r="G306" s="4" t="inlineStr">
        <is>
          <t xml:space="preserve">Children with autism spectrum disorder (ASD) often display atypical emotional expressions and physiological responses, making emotion recognition challenging. This study proposes a multimodal recognition model employing a late fusion framework combining facial expression with physiological measures: electrodermal activity (EDA), temperature (TEMP), and heart rate (HR). Emotional states are annotated using two complementary schemes derived from a </t>
        </is>
      </c>
      <c r="H306" s="4" t="str"/>
      <c r="I306" s="4" t="str"/>
      <c r="J306" s="4" t="inlineStr">
        <is>
          <t>Texto abierto evaluable revisado; extracción RQ disponible.</t>
        </is>
      </c>
      <c r="K306" s="4" t="inlineStr">
        <is>
          <t>Inherited scoped adjudication; see source level and lot caveats</t>
        </is>
      </c>
      <c r="L306" s="4" t="inlineStr">
        <is>
          <t>Not documented in provided sources</t>
        </is>
      </c>
    </row>
    <row r="307" ht="409" customHeight="1">
      <c r="A307" s="4" t="inlineStr">
        <is>
          <t>new_247</t>
        </is>
      </c>
      <c r="B307" s="4" t="inlineStr">
        <is>
          <t>Update</t>
        </is>
      </c>
      <c r="C307" s="4" t="inlineStr">
        <is>
          <t>New intelligent music therapy method for applications of enhancing social skills of autism children based on TL-GCN and deep learning</t>
        </is>
      </c>
      <c r="D307" s="4" t="inlineStr">
        <is>
          <t>10.1038/s41598-025-26307-3</t>
        </is>
      </c>
      <c r="E307" s="4" t="inlineStr">
        <is>
          <t>https://doi.org/10.1038/s41598-025-26307-3</t>
        </is>
      </c>
      <c r="F307" s="4" t="inlineStr">
        <is>
          <t>To address the long-standing challenges children with autism face in social skills and emotional regulation, this study introduces Emotion-based Music Intelligent Network (EmoMusik-Net)—a deep learning model designed for intelligent music therapy. The model focuses on emotional impairments exhibited during social interactions, integrating Transformer-based temporal modeling with a Transfer Learning-based Graph Convolutional Network (TL-GCN). This combination enables high-precision recognition of facial expression sequences and supports a dynamically adaptive, closed-loop mechanism for personalized music recommendation. EmoMusik-Net was trained and optimized using three publicly available emotional video datasets. A pre- and post-intervention study, conducted in collaboration with the families of 182 children with autism, employed questionnaire-based assessments to systematically evaluate the model’s real-world feasibility and effectiveness. Experimental results demonstrated that EmoMusik-Net achieved an emotion recognition accuracy above 0.970, an F1-score consistently over 0.960, and an Area Under the Curve (AUC) of 0.978. The model also showed outstanding robustness on large-scale datasets, with a stability score of 0.994, indicating strong classification performance and generalizability. In terms of intervention outcomes, boys aged 1–6 showed a marked increase in social interest scores, rising from 1.280 to 2.540—a 98.44% improvement. Girls aged 7–12 exhibited significant gains in emotional response scores, from 1.670 to 3.120—an 86.77% increase. Further statistical analysis using the Mixed-effects Model for Repeated Measures (MMRM) and bootstrap confidence interval estimation confirmed the intervention’s significance both statistically and clinically, with particularly strong effects observed in younger participants. Expert blind evaluations further validated the system’s effectiveness, showing high consistency in rhythm and emotion matching. The Intraclass Correlation Coefficient (ICC) ranged from 0.75 to 0.91, with matching accuracy surpassing 94% in certain subgroups. EmoMusik-Net not only addresses the current research gap in integrating intelligent emotion recognition with music-based interventions but also offers a responsive, technology-driven support tool for parents, educators, and clinicians. This approach holds strong potential to advance autism spectrum disorder interventions toward personalized, data-driven methodologies.</t>
        </is>
      </c>
      <c r="G307" s="4" t="inlineStr">
        <is>
          <t>To address the long-standing challenges children with autism face in social skills and emotional regulation, this study introduces Emotion-based Music Intelligent Network (EmoMusik-Net)—a deep learning model designed for intelligent music therapy. The model focuses on emotional impairments exhibited during social interactions, integrating Transformer-based temporal modeling with a Transfer Learning-based Graph Convolutional Network (TL-GCN). This</t>
        </is>
      </c>
      <c r="H307" s="4" t="str"/>
      <c r="I307" s="4" t="str"/>
      <c r="J307" s="4" t="inlineStr">
        <is>
          <t>Texto abierto evaluable revisado; extracción RQ disponible.</t>
        </is>
      </c>
      <c r="K307" s="4" t="inlineStr">
        <is>
          <t>Inherited scoped adjudication; see source level and lot caveats</t>
        </is>
      </c>
      <c r="L307" s="4" t="inlineStr">
        <is>
          <t>Not documented in provided sources</t>
        </is>
      </c>
    </row>
    <row r="308" ht="281" customHeight="1">
      <c r="A308" s="4" t="inlineStr">
        <is>
          <t>new_257</t>
        </is>
      </c>
      <c r="B308" s="4" t="inlineStr">
        <is>
          <t>Update</t>
        </is>
      </c>
      <c r="C308" s="4" t="inlineStr">
        <is>
          <t>The Use of the Social Robot LOVOT for Children with Autism Spectrum Disorder: A Feasibility Study</t>
        </is>
      </c>
      <c r="D308" s="4" t="inlineStr">
        <is>
          <t>10.3233/shti251499</t>
        </is>
      </c>
      <c r="E308" s="4" t="inlineStr">
        <is>
          <t>https://doi.org/10.3233/shti251499</t>
        </is>
      </c>
      <c r="F308" s="4" t="inlineStr">
        <is>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specializes in special education programs for children with ASD. The interactions between children with ASD and the social robot were tested in individual sessions twice per week for a total of four weeks. Four children with ASD between 9-14 years were included (n=4). A triangulation of data collection techniques was used: Participant observation (n = 15 hours), children's questionnaire (n = 4), and semi-structured interviews with staff (n = 3). Findings: Findings can be summarized as follows: Acceptance of the social robot, positive changes in mood and behavior of children with ASD, a secure relationship, technical and practical issues to overcome, and ethical considerations. Conclusion: The professional staff saw a potential for using the robot with AI functionalities as a pedagogical tool for children with ASD.</t>
        </is>
      </c>
      <c r="G308" s="4" t="inlineStr">
        <is>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t>
        </is>
      </c>
      <c r="H308" s="4" t="str"/>
      <c r="I308" s="4" t="str"/>
      <c r="J308" s="4" t="inlineStr">
        <is>
          <t>Texto abierto evaluable revisado; extracción RQ disponible.</t>
        </is>
      </c>
      <c r="K308" s="4" t="inlineStr">
        <is>
          <t>Inherited scoped adjudication; see source level and lot caveats</t>
        </is>
      </c>
      <c r="L308" s="4" t="inlineStr">
        <is>
          <t>Not documented in provided sources</t>
        </is>
      </c>
    </row>
    <row r="309" ht="346" customHeight="1">
      <c r="A309" s="4" t="inlineStr">
        <is>
          <t>new_259</t>
        </is>
      </c>
      <c r="B309" s="4" t="inlineStr">
        <is>
          <t>Update</t>
        </is>
      </c>
      <c r="C309" s="4" t="inlineStr">
        <is>
          <t>Data-Driven and Explainable Discovery of Autism Spectrum Disorder Patterns Across Age Groups</t>
        </is>
      </c>
      <c r="D309" s="4" t="inlineStr">
        <is>
          <t>10.1155/hbe2/1923339</t>
        </is>
      </c>
      <c r="E309" s="4" t="inlineStr">
        <is>
          <t>https://doi.org/10.1155/hbe2/1923339</t>
        </is>
      </c>
      <c r="F309" s="4" t="inlineStr">
        <is>
          <t>Autism Spectrum Disorder (ASD) presents a complex and diverse challenge, with difficulties in social communication and restricted interests manifesting differently among children, adolescents and adults. The traditional ASD diagnosis is often time consuming and resource intensive, delaying access to crucial interventions. Early detection of ASD is vital, as it enables timely referral for comprehensive assessment and supports interventions during key developmental periods, greatly enhancing long-term outcomes. To address these challenges, this research presents three complementary studies examining ASD detection across children, adolescents and adults. Using the Autism Spectrum Quotient (AQ) short-form dataset encompassing behavioural, communication and self-reported indicators, each study applies decision tree machine learning models to identify behavioural screening patterns within each age group. Study 1 focuses on children, highlighting observable social and behavioural cues; Study 2 investigates adolescents, revealing transitional communication and self-awareness patterns; and Study 3 explores adults, emphasising subtle self-reported and behavioural markers. Across studies, interpretable models achieved strong classification accuracy while revealing developmental variations in ASD-related traits. Collectively, these findings enhance understanding of age-specific patterns in ASD expression, support earlier and more individualised screening and provide a foundation for designing tailored interventions that align with developmental milestones and improve overall care quality.</t>
        </is>
      </c>
      <c r="G309" s="4" t="inlineStr">
        <is>
          <t xml:space="preserve">Autism Spectrum Disorder (ASD) presents a complex and diverse challenge, with difficulties in social communication and restricted interests manifesting differently among children, adolescents and adults. The traditional ASD diagnosis is often time consuming and resource intensive, delaying access to crucial interventions. Early detection of ASD is vital, as it enables timely referral for comprehensive assessment and supports interventions during </t>
        </is>
      </c>
      <c r="H309" s="4" t="str"/>
      <c r="I309" s="4" t="str"/>
      <c r="J309" s="4" t="inlineStr">
        <is>
          <t>Texto abierto evaluable revisado; extracción RQ disponible.</t>
        </is>
      </c>
      <c r="K309" s="4" t="inlineStr">
        <is>
          <t>Inherited scoped adjudication; see source level and lot caveats</t>
        </is>
      </c>
      <c r="L309" s="4" t="inlineStr">
        <is>
          <t>Not documented in provided sources</t>
        </is>
      </c>
    </row>
    <row r="310" ht="385" customHeight="1">
      <c r="A310" s="4" t="inlineStr">
        <is>
          <t>new_261</t>
        </is>
      </c>
      <c r="B310" s="4" t="inlineStr">
        <is>
          <t>Update</t>
        </is>
      </c>
      <c r="C310" s="4" t="inlineStr">
        <is>
          <t>Artificial Intelligence Networks Combining Histopathology and Machine Learning Can Extract Axon Pathology in Autism Spectrum Disorder</t>
        </is>
      </c>
      <c r="D310" s="4" t="inlineStr">
        <is>
          <t>10.1002/aur.70135</t>
        </is>
      </c>
      <c r="E310" s="4" t="inlineStr">
        <is>
          <t>https://doi.org/10.1002/aur.70135</t>
        </is>
      </c>
      <c r="F310" s="4" t="inlineStr">
        <is>
          <t>Axon features that underlie the structural and functional organization of cortical pathways have distinct patterns in the brains of neurotypical controls (CTR) compared to individuals with Autism Spectrum Disorder (ASD). However, detailed axon study demands labor-intensive surveys and time-consuming analysis of microscopic sections from postmortem human brain tissue, making it challenging to systematically examine large regions of the brain. To address these challenges, we developed an approach that uses machine learning to automatically classify microscopic sections from ASD and CTR brains, while also considering different white matter regions: superficial white matter (SWM), which contains a majority of axons that connect nearby cortical areas, and deep white matter (DWM), which is comprised exclusively of axons that participate in long-range pathways. The result was a deep neural network that can successfully classify the white matter below the anterior cingulate cortex (ACC) of ASD and CTR groups with 98% accuracy, while also distinguishing between DWM and SWM pathway composition with high average accuracy, up to 80%. Examination of image regions important for network classification and misclassification, through sensitivity maps, along with multidimensional scaling analysis, helped identify key pathological markers of ASD and highlighted the spectrum of ASD heterogeneity and overlaps with neurotypical characteristics. Large datasets that can be used to expand training, validation, and testing of this network have the potential to automate high-resolution microscopic analysis of postmortem brain tissue, so that it can be used to systematically study white matter across brain regions in health and disease.</t>
        </is>
      </c>
      <c r="G310" s="4" t="inlineStr">
        <is>
          <t>Axon features that underlie the structural and functional organization of cortical pathways have distinct patterns in the brains of neurotypical controls (CTR) compared to individuals with Autism Spectrum Disorder (ASD). However, detailed axon study demands labor-intensive surveys and time-consuming analysis of microscopic sections from postmortem human brain tissue, making it challenging to systematically examine large regions of the brain. To a</t>
        </is>
      </c>
      <c r="H310" s="4" t="str"/>
      <c r="I310" s="4" t="str"/>
      <c r="J310" s="4" t="inlineStr">
        <is>
          <t>Texto abierto evaluable revisado; extracción RQ disponible.</t>
        </is>
      </c>
      <c r="K310" s="4" t="inlineStr">
        <is>
          <t>Inherited scoped adjudication; see source level and lot caveats</t>
        </is>
      </c>
      <c r="L310" s="4" t="inlineStr">
        <is>
          <t>Not documented in provided sources</t>
        </is>
      </c>
    </row>
    <row r="311" ht="409" customHeight="1">
      <c r="A311" s="4" t="inlineStr">
        <is>
          <t>new_262</t>
        </is>
      </c>
      <c r="B311" s="4" t="inlineStr">
        <is>
          <t>Update</t>
        </is>
      </c>
      <c r="C311" s="4" t="inlineStr">
        <is>
          <t>Profiling Chinese children with symptoms of SpLD, ADHD, or ASD: a transdiagnostic and biopsychosocial study</t>
        </is>
      </c>
      <c r="D311" s="4" t="inlineStr">
        <is>
          <t>10.1186/s12888-025-07754-8</t>
        </is>
      </c>
      <c r="E311" s="4" t="inlineStr">
        <is>
          <t>https://doi.org/10.1186/s12888-025-07754-8</t>
        </is>
      </c>
      <c r="F311" s="4" t="inlineStr">
        <is>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Following the transdiagnostic approach and biopsychosocial model, this study aims to cluster and profile children with these symptoms via cognitive, psychological, and ecological factors, using an unsupervised machine learning algorithm. Methods: Based on parent-report checklists, 267 Chinese primary school children in Grades 1–4 with at least one type of NDD symptoms were identified (164 boys; age in months: M = 102, SD = 17.30) from a bigger dataset (N = 1,034). A typically developing (TD) control group was created and matched with the NDD group in terms of age, gender, nonverbal IQ, and family socioeconomic status (SES). By using exploratory and confirmatory analyses, executive functioning, visual processing, and linguistic skills were extracted as cognitive factors, while internalising problems, externalising problems, positive child-parent relationships, and negative child-parent relationships were extracted as psychological and ecological factors. Results: K-means clustering based on the seven extracted core factors identified five distinct clusters. Three clusters exhibited specific cognitive weaknesses, while the other two mainly showed psychosocial problems. Two severe-symptom groups (i.e., the Linguistic Difficulties group and the Psychosocial Difficulties group) also demonstrated worse academic and mental health outcomes. Conclusions: Our findings demonstrate the potential to focus on symptoms beyond diagnostic labels, as well as the inclusion of psychosocial factors alongside cognitive ones, thereby contributing to the design of more targeted and comprehensive support for children with special education needs and informing current inclusive education practice in China. Clinical trial number: Not applicable.</t>
        </is>
      </c>
      <c r="G311" s="4" t="inlineStr">
        <is>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t>
        </is>
      </c>
      <c r="H311" s="4" t="str"/>
      <c r="I311" s="4" t="str"/>
      <c r="J311" s="4" t="inlineStr">
        <is>
          <t>Texto abierto evaluable revisado; extracción RQ disponible.</t>
        </is>
      </c>
      <c r="K311" s="4" t="inlineStr">
        <is>
          <t>Inherited scoped adjudication; see source level and lot caveats</t>
        </is>
      </c>
      <c r="L311" s="4" t="inlineStr">
        <is>
          <t>Not documented in provided sources</t>
        </is>
      </c>
    </row>
    <row r="312" ht="409" customHeight="1">
      <c r="A312" s="4" t="inlineStr">
        <is>
          <t>new_263</t>
        </is>
      </c>
      <c r="B312" s="4" t="inlineStr">
        <is>
          <t>Update</t>
        </is>
      </c>
      <c r="C312" s="4" t="inlineStr">
        <is>
          <t>Enhancing Psychological Assessments with Open-Ended Questionnaires and Large Language Models: An ASD Case Study</t>
        </is>
      </c>
      <c r="D312" s="4" t="inlineStr">
        <is>
          <t>10.1109/jbhi.2025.3599643</t>
        </is>
      </c>
      <c r="E312" s="4" t="inlineStr">
        <is>
          <t>https://doi.org/10.1109/jbhi.2025.3599643</t>
        </is>
      </c>
      <c r="F312" s="4" t="inlineStr">
        <is>
          <t>Open-ended questionnaires allow respondents to express freely, capturing richer information than close-ended formats, but they are harder to analyze. Recent natural language processing advancements enable automatic assessment of open-ended responses, yet its use in psychological classification is underexplored. This study proposes a methodology using pre-trained large language models (LLMs) for automatic classification of open-ended questionnaires, applied to autism spectrum disorder (ASD) classification via parental reports. We compare multiple training strategies using transcribed responses from 51 parents (26 with typically developing children, 25 with ASD), exploring variations in model fine-tuning, input representation, and specificity. Subject-level predictions are derived by aggregating 12 individual question responses. Our best approach achieved 84% subject-wise accuracy and 1.0 ROC-AUC using an OpenAI embedding model, per-question training, including questions in the input, and combining the predictions with a voting system. In addition, a zero-shot evaluation using GPT-4o was conducted, yielding comparable results, underscoring the potential of both compact, local models and large out-of-the-box LLMs. To enhance transparency, we explored interpretability methods. Proprietary LLMs like GPT-4o offered no direct explanation, and OpenAI embedding models showed limited interpretability. However, locally deployable LLMs provided the highest interpretability. This highlights a trade-off between proprietary models' performance and local models' explainability. Our findings validate LLMs for automatically classifying open-ended questionnaires, offering a scalable, cost-effective complement for ASD assessment. These results suggest broader applicability for psychological analysis of other conditions, advancing LLM use in mental health research.</t>
        </is>
      </c>
      <c r="G312" s="4" t="inlineStr">
        <is>
          <t>Open-ended questionnaires allow respondents to express freely, capturing richer information than close-ended formats, but they are harder to analyze. Recent natural language processing advancements enable automatic assessment of open-ended responses, yet its use in psychological classification is underexplored. This study proposes a methodology using pre-trained large language models (LLMs) for automatic classification of open-ended questionnaire</t>
        </is>
      </c>
      <c r="H312" s="4" t="str"/>
      <c r="I312" s="4" t="str"/>
      <c r="J312" s="4" t="inlineStr">
        <is>
          <t>Texto abierto evaluable revisado; extracción RQ disponible.</t>
        </is>
      </c>
      <c r="K312" s="4" t="inlineStr">
        <is>
          <t>Inherited scoped adjudication; see source level and lot caveats</t>
        </is>
      </c>
      <c r="L312" s="4" t="inlineStr">
        <is>
          <t>Not documented in provided sources</t>
        </is>
      </c>
    </row>
    <row r="313" ht="320" customHeight="1">
      <c r="A313" s="4" t="inlineStr">
        <is>
          <t>new_268</t>
        </is>
      </c>
      <c r="B313" s="4" t="inlineStr">
        <is>
          <t>Update</t>
        </is>
      </c>
      <c r="C313" s="4" t="inlineStr">
        <is>
          <t>Compact subsets of autism screening items predict clinical diagnoses with a machine learning analysis of the QCHAT-10</t>
        </is>
      </c>
      <c r="D313" s="4" t="inlineStr">
        <is>
          <t>10.1038/s41598-025-26131-9</t>
        </is>
      </c>
      <c r="E313" s="4" t="inlineStr">
        <is>
          <t>https://doi.org/10.1038/s41598-025-26131-9</t>
        </is>
      </c>
      <c r="F313" s="4" t="inlineStr">
        <is>
          <t>Early identification improves life outcomes for individuals with autism. This study addresses a central question: do compact subsets of the most predictive QCHAT-10 items, when fed into machine learning (ML) models trained to reproduce the full questionnaire’s screening result, generalize to predicting clinician-established autism diagnoses in independent clinical settings? We applied ML to the 10-question QCHAT-10, training models on New Zealand (n = 1054) and Saudi Arabian (n = 506) datasets with QCHAT-derived labels and testing on Polish data with clinical diagnoses (n = 252). Recursive Feature Elimination identified four-item models retaining three common features: eye contact, following gaze direction, and pretend play. When tested on clinically-diagnosed Polish cases at the 0.3 prediction threshold, the New Zealand model achieved an AUROC of 85% ± 13 (sensitivity 91%, specificity 50%), while the Saudi model reached 87% ± 11 (sensitivity 84%, specificity 80%), compared to the Polish four-item model’s cross-validation AUROC of 91% ± 5. These findings demonstrate partial transfer from the prediction of assessment scores to clinical diagnosis. The convergence on eye contact, gaze following, and pretend play suggests these behaviors represent robust autism risk markers. Compact assessment tools offer advantages, including reduced burden, shortened administration, and simplified deployment, with direct applications for targeted digital phenotyping.</t>
        </is>
      </c>
      <c r="G313" s="4" t="inlineStr">
        <is>
          <t>Early identification improves life outcomes for individuals with autism. This study addresses a central question: do compact subsets of the most predictive QCHAT-10 items, when fed into machine learning (ML) models trained to reproduce the full questionnaire’s screening result, generalize to predicting clinician-established autism diagnoses in independent clinical settings? We applied ML to the 10-question QCHAT-10, training models on New Zealand</t>
        </is>
      </c>
      <c r="H313" s="4" t="str"/>
      <c r="I313" s="4" t="str"/>
      <c r="J313" s="4" t="inlineStr">
        <is>
          <t>Texto abierto evaluable revisado; extracción RQ disponible.</t>
        </is>
      </c>
      <c r="K313" s="4" t="inlineStr">
        <is>
          <t>Inherited scoped adjudication; see source level and lot caveats</t>
        </is>
      </c>
      <c r="L313" s="4" t="inlineStr">
        <is>
          <t>Not documented in provided sources</t>
        </is>
      </c>
    </row>
    <row r="314" ht="359" customHeight="1">
      <c r="A314" s="4" t="inlineStr">
        <is>
          <t>new_288</t>
        </is>
      </c>
      <c r="B314" s="4" t="inlineStr">
        <is>
          <t>Update</t>
        </is>
      </c>
      <c r="C314" s="4" t="inlineStr">
        <is>
          <t>Nonparametric motion control in functional connectivity studies in children with autism spectrum disorder</t>
        </is>
      </c>
      <c r="D314" s="4" t="inlineStr">
        <is>
          <t>10.1093/biomtc/ujag099</t>
        </is>
      </c>
      <c r="E314" s="4" t="inlineStr">
        <is>
          <t>https://doi.org/10.1093/biomtc/ujag099</t>
        </is>
      </c>
      <c r="F314" s="4" t="inlineStr">
        <is>
          <t>Autism spectrum disorder (ASD) is a neurodevelopmental condition associated with difficulties with social interactions, communication, and restricted or repetitive behaviors. To characterize ASD, investigators often use functional connectivity derived from resting-state functional magnetic resonance imaging of the brain. However, participants’ head motion during the scanning session can induce motion artifacts. Many studies remove participants with excessive motion and then estimate the effect of diagnosis on functional connectivity using linear regression. However, participant exclusions and linearity assumptions can cause biases. We propose an estimand that quantifies the difference in average functional connectivity in autistic and non-ASD children while standardizing motion relative to the low motion distribution in scans that pass motion quality control. We introduce a nonparametric estimator for motion control, called Motion Controlled (MoCo), that uses all participants and flexibly models the impacts of motion and other relevant features using an ensemble of machine learning methods. We establish large-sample efficiency and multiple robustness of our proposed estimator. The framework is applied to estimate the difference in functional connectivity between 132 autistic and 245 non-ASD children, of which 34 and 126 pass motion quality control, respectively. MoCo appears to dramatically reduce motion artifacts compared to a standard approach with no participant removal, while more efficiently utilizing participant data and accounting for possible selection biases compared to participant removal.</t>
        </is>
      </c>
      <c r="G314" s="4" t="inlineStr">
        <is>
          <t>Autism spectrum disorder (ASD) is a neurodevelopmental condition associated with difficulties with social interactions, communication, and restricted or repetitive behaviors. To characterize ASD, investigators often use functional connectivity derived from resting-state functional magnetic resonance imaging of the brain. However, participants’ head motion during the scanning session can induce motion artifacts. Many studies remove participants wi</t>
        </is>
      </c>
      <c r="H314" s="4" t="str"/>
      <c r="I314" s="4" t="str"/>
      <c r="J314" s="4" t="inlineStr">
        <is>
          <t>Texto abierto evaluable revisado; extracción RQ disponible.</t>
        </is>
      </c>
      <c r="K314" s="4" t="inlineStr">
        <is>
          <t>Inherited scoped adjudication; see source level and lot caveats</t>
        </is>
      </c>
      <c r="L314" s="4" t="inlineStr">
        <is>
          <t>Not documented in provided sources</t>
        </is>
      </c>
    </row>
    <row r="315" ht="409" customHeight="1">
      <c r="A315" s="4" t="inlineStr">
        <is>
          <t>new_305</t>
        </is>
      </c>
      <c r="B315" s="4" t="inlineStr">
        <is>
          <t>Update</t>
        </is>
      </c>
      <c r="C315" s="4" t="inlineStr">
        <is>
          <t>Integrating Multimodal Neuroimaging and Physical-Health Markers for Autism Spectrum Disorder in the ABCD Study</t>
        </is>
      </c>
      <c r="D315" s="4" t="inlineStr">
        <is>
          <t>10.31083/jin48212</t>
        </is>
      </c>
      <c r="E315" s="4" t="inlineStr">
        <is>
          <t>https://doi.org/10.31083/jin48212</t>
        </is>
      </c>
      <c r="F315" s="4" t="inlineStr">
        <is>
          <t>Background: Autism Spectrum Disorder (ASD) is a complex neurodevelopmental condition characterized by diverse presentations, which complicates the identification of consistent biological markers. This study examined whether integrating multimodal neuroimaging and physical-health measures from a population-based cohort can improve ASD classification and reveal interpretable markers that reflect both clinical and community variation. Methods: Data were drawn from the Adolescent Brain Cognitive Development (ABCD) Study, a large community-based cohort of adolescents recruited from the general population. Participants with and without ASD were selected from this cohort, allowing contrasts that reflect natural variability across individuals. Structural, diffusion, and resting-state functional magnetic resonance imaging (MRI) data were integrated with physical-health markers, including sleep, growth, and early development. Propensity-score matching created demographically balanced groups, and multimodal machine learning models were evaluated through stratified cross-validation. Results: The multimodal integration of brain and physical-health markers outperformed single-modality models (area under the receiver operating characteristic curve [AUC-ROC]=0.68, 95% confidence interval [CI]: 0.62– 0.73; area under the precision-recall curve [AUC-PR]=0.66, 95% CI: 0.60–0.73). Among physical-health markers, sleep function contributed most strongly to ASD classification, while neuroimaging predictors included cortical thickness in the right superior temporal gyrus and connectivity between the cingulo-opercular and default mode networks. These findings indicate that integrating modalities capturing both neural and physiological systems provides complementary information for identifying ASD-related differences within a population-based framework. Conclusions: This study provides a proof of concept that combining multimodal MRI and physical-health data within a large, demographically representative cohort can enhance ASD classification and yield biologically interpretable features. The population-based design situates these findings within a community context and offers a preliminary framework for integrating neural and physiological measures in future large-scale studies of neurodevelopmental diversity.</t>
        </is>
      </c>
      <c r="G315" s="4" t="inlineStr">
        <is>
          <t xml:space="preserve">Background: Autism Spectrum Disorder (ASD) is a complex neurodevelopmental condition characterized by diverse presentations, which complicates the identification of consistent biological markers. This study examined whether integrating multimodal neuroimaging and physical-health measures from a population-based cohort can improve ASD classification and reveal interpretable markers that reflect both clinical and community variation. Methods: Data </t>
        </is>
      </c>
      <c r="H315" s="4" t="str"/>
      <c r="I315" s="4" t="str"/>
      <c r="J315" s="4" t="inlineStr">
        <is>
          <t>Texto abierto evaluable revisado; extracción RQ disponible.</t>
        </is>
      </c>
      <c r="K315" s="4" t="inlineStr">
        <is>
          <t>Inherited scoped adjudication; see source level and lot caveats</t>
        </is>
      </c>
      <c r="L315" s="4" t="inlineStr">
        <is>
          <t>Not documented in provided sources</t>
        </is>
      </c>
    </row>
    <row r="316" ht="294" customHeight="1">
      <c r="A316" s="4" t="inlineStr">
        <is>
          <t>new_307</t>
        </is>
      </c>
      <c r="B316" s="4" t="inlineStr">
        <is>
          <t>Update</t>
        </is>
      </c>
      <c r="C316" s="4" t="inlineStr">
        <is>
          <t>Spatial structure based deep feature fusion network for autism spectrum disorder classification</t>
        </is>
      </c>
      <c r="D316" s="4" t="inlineStr">
        <is>
          <t>10.1038/s41598-026-48562-8</t>
        </is>
      </c>
      <c r="E316" s="4" t="inlineStr">
        <is>
          <t>https://doi.org/10.1038/s41598-026-48562-8</t>
        </is>
      </c>
      <c r="F316" s="4" t="inlineStr">
        <is>
          <t>Autism spectrum disorder (ASD) is a neuro-developmental disorder that has serious impact on person’s social interaction, communication, and behavior. Non intrusive detection through analysis of electroencephalogram (EEG) signals with deep learning techniques has been the prominent area of research in ASD diagnosis. The current deep learning techniques processed EEG signals without considering their spatial structure. They treat EEG features as independent or grid-like sequences, ignoring the non-Euclidean structure of brain connectivity. As the result, the features do not capture the intricate relationship between signals obtained from multiple electrodes considering both spatial and long term temporal dependencies. To solve this problem, this work proposes a spatial structure based feature fusion network (SSFFN) which considers two attributes of spatial proximity and functional connectivity to capture local and long range interactions between brain regions as fused features. These fused features are used for ASD classification using long short term (LSTM) predictor considering the long term temporal dependencies. Experimental analysis of proposed solution against Sheffield dataset and KAU dataset showed a 1% higher accuracy and 4.4% higher recall compared to most recent time frequency synergy networks.</t>
        </is>
      </c>
      <c r="G316" s="4" t="inlineStr">
        <is>
          <t>Autism spectrum disorder (ASD) is a neuro-developmental disorder that has serious impact on person’s social interaction, communication, and behavior. Non intrusive detection through analysis of electroencephalogram (EEG) signals with deep learning techniques has been the prominent area of research in ASD diagnosis. The current deep learning techniques processed EEG signals without considering their spatial structure. They treat EEG features as in</t>
        </is>
      </c>
      <c r="H316" s="4" t="str"/>
      <c r="I316" s="4" t="str"/>
      <c r="J316" s="4" t="inlineStr">
        <is>
          <t>Texto abierto evaluable revisado; extracción RQ disponible.</t>
        </is>
      </c>
      <c r="K316" s="4" t="inlineStr">
        <is>
          <t>Inherited scoped adjudication; see source level and lot caveats</t>
        </is>
      </c>
      <c r="L316" s="4" t="inlineStr">
        <is>
          <t>Not documented in provided sources</t>
        </is>
      </c>
    </row>
    <row r="317" ht="409" customHeight="1">
      <c r="A317" s="4" t="inlineStr">
        <is>
          <t>new_313</t>
        </is>
      </c>
      <c r="B317" s="4" t="inlineStr">
        <is>
          <t>Update</t>
        </is>
      </c>
      <c r="C317" s="4" t="inlineStr">
        <is>
          <t>Metaheuristic hyperparameter optimization of deep neural networks for demographic-aware autism spectrum disorder classification.</t>
        </is>
      </c>
      <c r="D317" s="4" t="inlineStr">
        <is>
          <t>10.1038/s41598-026-58789-0</t>
        </is>
      </c>
      <c r="E317" s="4" t="inlineStr">
        <is>
          <t>https://doi.org/10.1038/s41598-026-58789-0</t>
        </is>
      </c>
      <c r="F317" s="4" t="inlineStr">
        <is>
          <t>Autism Spectrum Disorder (ASD) classification from neuroimaging data poses significant challenges due to high data heterogeneity and the complexity of learning robust representations across demographic subgroups. While recent deep learning approaches have shown promise, most existing studies rely on binary classification and limited model tuning strategies, overlooking demographic variability and the role of systematic optimization in model design. To address these challenges, this study formulates demographic-aware ASD classification as an optimization-driven learning problem and proposes a deep learning framework based on structural MRI (sMRI) data. The proposed framework employs three customized Convolutional Neural Network (CNN) models targeting gender-based classification, age-group-based classification, and joint age-gender classification using an octal class structure. Model architecture and training hyperparameters are automatically optimized using the Optimized Artificial Bee Colony (OptABC) algorithm, enabling task-specific adaptation without manual tuning. A dedicated preprocessing pipeline incorporating structural localization and controlled data augmentation is applied to improve robustness across heterogeneous imaging sites. All models are evaluated using five-fold cross-validation on the multi-site ABIDE dataset. Experimental results demonstrate that the proposed optimization-driven framework achieves accuracies of 84.25%, 88.07%, and 71.58% for gender-based, age-based, and joint age-gender classification tasks, respectively, yielding competitive performance relative to widely used pre-trained transfer learning models under comparable experimental settings. The results further indicate that age-aware modeling offers stronger discriminative capability than gender-based classification, while joint demographic stratification introduces increased task complexity due to finer class granularity. Overall, the findings highlight the effectiveness of metaheuristic optimization for enhancing deep learning models in complex, demographic-aware neuroimaging classification tasks. Further evaluation on independent datasets is planned to assess robustness across broader settings.</t>
        </is>
      </c>
      <c r="G317" s="4" t="inlineStr">
        <is>
          <t>Autism Spectrum Disorder (ASD) classification from neuroimaging data poses significant challenges due to high data heterogeneity and the complexity of learning robust representations across demographic subgroups. While recent deep learning approaches have shown promise, most existing studies rely on binary classification and limited model tuning strategies, overlooking demographic variability and the role of systematic optimization in model desig</t>
        </is>
      </c>
      <c r="H317" s="4" t="str"/>
      <c r="I317" s="4" t="str"/>
      <c r="J317" s="4" t="inlineStr">
        <is>
          <t>Texto abierto evaluable revisado; extracción RQ disponible.</t>
        </is>
      </c>
      <c r="K317" s="4" t="inlineStr">
        <is>
          <t>Inherited scoped adjudication; see source level and lot caveats</t>
        </is>
      </c>
      <c r="L317" s="4" t="inlineStr">
        <is>
          <t>Not documented in provided sources</t>
        </is>
      </c>
    </row>
    <row r="318" ht="409" customHeight="1">
      <c r="A318" s="4" t="inlineStr">
        <is>
          <t>new_321</t>
        </is>
      </c>
      <c r="B318" s="4" t="inlineStr">
        <is>
          <t>Update</t>
        </is>
      </c>
      <c r="C318" s="4" t="inlineStr">
        <is>
          <t>Bridging the gap: explainable ai for autism diagnosis and parental support with TabPFNMix and SHAP</t>
        </is>
      </c>
      <c r="D318" s="4" t="inlineStr">
        <is>
          <t>10.1038/s41598-025-24662-9</t>
        </is>
      </c>
      <c r="E318" s="4" t="inlineStr">
        <is>
          <t>https://doi.org/10.1038/s41598-025-24662-9</t>
        </is>
      </c>
      <c r="F318" s="4" t="inlineStr">
        <is>
          <t>Autism Spectrum Disorder (ASD) is a complex neurodevelopmental condition that affects a growing number of individuals worldwide. Despite extensive research, the underlying causes of ASD remain largely unknown, with genetic predisposition, parental history, and environmental influences identified as potential risk factors. Diagnosing ASD remains challenging due to its highly variable presentation and overlap with other neurodevelopmental disorders. Early and accurate diagnosis is crucial for timely intervention, which can significantly improve developmental outcomes and parental support. This work presents a novel artificial intelligence (AI) and explainable AI (XAI)-based framework to enhance ASD diagnosis and provide interpretable insights for medical professionals and caregivers. The proposed framework leverages advanced classification models, specifically the TabPFNMix regressor, which is optimized for structured medical datasets. Unlike traditional machine learning methods, TabPFNMix demonstrates superior performance in capturing complex ASD-related patterns. To address the black-box nature of AI models, Shapley Additive Explanations (SHAP) is integrated to provide transparent and interpretable reasoning behind the model’s decisions, ensuring better understanding for clinicians and caregivers. Extensive experiments were conducted using a publicly available benchmark dataset, with performance evaluated through standard metrics such as accuracy, precision, recall, F1-score, and AUC-ROC. Comparative analysis with baseline models, including Random Forest, XGBoost, Support Vector Machine (SVM), and Deep Neural Networks (DNNs), demonstrates that TabPFNMix achieves the highest accuracy (91.5%), surpassing XGBoost (87.3%) by 4.2 percentage points. Additionally, it attains superior recall (92.7%), precision (90.2%), F1-score (91.4%), and AUC-ROC (94.3%), ensuring both high diagnostic accuracy and robustness in real-world ASD screening. An ablation study highlights the significance of feature selection and preprocessing, revealing that omitting key features or preprocessing steps (such as normalization and missing data imputation) significantly degrades performance. Furthermore, SHAP-based feature importance analysis identifies social responsiveness scores, repetitive behavior scales, and parental age at birth as the most influential factors in ASD diagnosis. These insights align with medical literature, reinforcing the reliability of the model’s predictions and its applicability in clinical settings.</t>
        </is>
      </c>
      <c r="G318" s="4" t="inlineStr">
        <is>
          <t>Autism Spectrum Disorder (ASD) is a complex neurodevelopmental condition that affects a growing number of individuals worldwide. Despite extensive research, the underlying causes of ASD remain largely unknown, with genetic predisposition, parental history, and environmental influences identified as potential risk factors. Diagnosing ASD remains challenging due to its highly variable presentation and overlap with other neurodevelopmental disorders</t>
        </is>
      </c>
      <c r="H318" s="4" t="str"/>
      <c r="I318" s="4" t="str"/>
      <c r="J318" s="4" t="inlineStr">
        <is>
          <t>Texto abierto evaluable revisado; extracción RQ disponible.</t>
        </is>
      </c>
      <c r="K318" s="4" t="inlineStr">
        <is>
          <t>Inherited scoped adjudication; see source level and lot caveats</t>
        </is>
      </c>
      <c r="L318" s="4" t="inlineStr">
        <is>
          <t>Not documented in provided sources</t>
        </is>
      </c>
    </row>
    <row r="319" ht="385" customHeight="1">
      <c r="A319" s="4" t="inlineStr">
        <is>
          <t>new_331</t>
        </is>
      </c>
      <c r="B319" s="4" t="inlineStr">
        <is>
          <t>Update</t>
        </is>
      </c>
      <c r="C319" s="4" t="inlineStr">
        <is>
          <t>Hybrid deep learning and feature selection approach for autism detection from rs-fMRI data</t>
        </is>
      </c>
      <c r="D319" s="4" t="inlineStr">
        <is>
          <t>10.1371/journal.pone.0339921</t>
        </is>
      </c>
      <c r="E319" s="4" t="inlineStr">
        <is>
          <t>https://doi.org/10.1371/journal.pone.0339921</t>
        </is>
      </c>
      <c r="F319" s="4" t="inlineStr">
        <is>
          <t>Autism Spectrum Disorder (ASD) is a neurodevelopmental condition that is primarily characterized by deficits in social communication and restricted or repetitive behavioral patterns. Although psychologists contribute significantly to the understanding of ASD, offering insights into its cognitive, emotional, and behavioral dimensions through assessments, diagnoses, therapeutic approaches, and family support, the diagnostic process remains complex. This complexity arises from the diverse manifestations of the disorder and the challenges associated with data sharing. In addition, conventional machine learning approaches for ASD detection may struggle with high-dimensional neuroimaging data and may require careful feature engineering. Consequently, this motivated us to enhance ASD diagnosis by incorporating deep learning (DL) techniques for feature extraction alongside a modified exponential-trigonometric optimization (ETO) algorithm as a feature selection (FS) technique. The modified ETO integrates the Arithmetic Optimization Algorithm (AOA) and the Guided Learning Strategy (GLS) to improve diagnostic performance. To evaluate the effectiveness of the proposed model, we utilized resting-state functional MRI (rs-fMRI) data from the Autism Brain Imaging Data Exchange (ABIDE I). Furthermore, the performance of the proposed model was compared with that of established models. The results indicate that the proposed model achieves competitive and, in most cases, superior performance compared with the benchmark methods, demonstrating superior accuracy, sensitivity, and AUC in diagnosing ASD. On average across the three atlas-based feature sets, the proposed model has an accuracy, sensitivity, and AUC of 73%, 78%, and 79%, respectively.</t>
        </is>
      </c>
      <c r="G319" s="4" t="inlineStr">
        <is>
          <t>Autism Spectrum Disorder (ASD) is a neurodevelopmental condition that is primarily characterized by deficits in social communication and restricted or repetitive behavioral patterns. Although psychologists contribute significantly to the understanding of ASD, offering insights into its cognitive, emotional, and behavioral dimensions through assessments, diagnoses, therapeutic approaches, and family support, the diagnostic process remains complex.</t>
        </is>
      </c>
      <c r="H319" s="4" t="str"/>
      <c r="I319" s="4" t="str"/>
      <c r="J319" s="4" t="inlineStr">
        <is>
          <t>Texto abierto evaluable revisado; extracción RQ disponible.</t>
        </is>
      </c>
      <c r="K319" s="4" t="inlineStr">
        <is>
          <t>Inherited scoped adjudication; see source level and lot caveats</t>
        </is>
      </c>
      <c r="L319" s="4" t="inlineStr">
        <is>
          <t>Not documented in provided sources</t>
        </is>
      </c>
    </row>
    <row r="320" ht="398" customHeight="1">
      <c r="A320" s="4" t="inlineStr">
        <is>
          <t>new_335</t>
        </is>
      </c>
      <c r="B320" s="4" t="inlineStr">
        <is>
          <t>Update</t>
        </is>
      </c>
      <c r="C320" s="4" t="inlineStr">
        <is>
          <t>Diagnostic Classification of Autism Spectrum Disorder in the Frequency Domain Using Resting-State fMRI</t>
        </is>
      </c>
      <c r="D320" s="4" t="inlineStr">
        <is>
          <t>10.1007/s12021-026-09782-5</t>
        </is>
      </c>
      <c r="E320" s="4" t="inlineStr">
        <is>
          <t>https://doi.org/10.1007/s12021-026-09782-5</t>
        </is>
      </c>
      <c r="F320" s="4" t="inlineStr">
        <is>
          <t>Autism spectrum disorder (ASD) is a neurodevelopmental disorder with problems in social interactions, verbal and non-verbal communication, repetitive behaviors, and limited interests in a person. Considering the challenges in diagnosing ASD based on behavioral symptoms—such as subjectivity, variability among individuals, and overlap with other developmental conditions—it seems necessary to propose computer-aided diagnosis systems (CADS) for ASD. We proposed an age-dependent CADS based on functional connectivity (FC) in the frequency domain for ASD using resting-state functional magnetic resonance imaging (rs-fMRI). Also, the features and classification accuracy obtained in the frequency and time domains were compared. First, preprocessing was performed on the rs-fMRI data. Then, group-independent component analysis (GICA) was used to obtain resting state networks (RSNs). This was followed by obtaining separate components of RSNs for each individual using dual regression. Then, coherence analysis was used to extract the features of FC in the frequency domain between RSNs. To consider the role of age in the classification process, three age groups of children, adolescents, and adults were considered, and feature selection for each age group was applied separately using an embedded approach, in which all classifiers in the Waikato Environment for Knowledge Analysis (WEKA) machine learning platform were used simultaneously. Finally, classification accuracy was obtained for each age group. The proposed CADS was able to classify 95.23% in the children group, 88.1% in the adolescent group, and 92.8% in the adult group. In addition, the frequency bands whose features obtained the most distinction in each age group were identified, highlighting their potential relevance for supporting ASD diagnosis and monitoring rehabilitation.</t>
        </is>
      </c>
      <c r="G320" s="4" t="inlineStr">
        <is>
          <t xml:space="preserve">Autism spectrum disorder (ASD) is a neurodevelopmental disorder with problems in social interactions, verbal and non-verbal communication, repetitive behaviors, and limited interests in a person. Considering the challenges in diagnosing ASD based on behavioral symptoms—such as subjectivity, variability among individuals, and overlap with other developmental conditions—it seems necessary to propose computer-aided diagnosis systems (CADS) for ASD. </t>
        </is>
      </c>
      <c r="H320" s="4" t="str"/>
      <c r="I320" s="4" t="str"/>
      <c r="J320" s="4" t="inlineStr">
        <is>
          <t>Texto abierto evaluable revisado; extracción RQ disponible.</t>
        </is>
      </c>
      <c r="K320" s="4" t="inlineStr">
        <is>
          <t>Inherited scoped adjudication; see source level and lot caveats</t>
        </is>
      </c>
      <c r="L320" s="4" t="inlineStr">
        <is>
          <t>Not documented in provided sources</t>
        </is>
      </c>
    </row>
    <row r="321" ht="398" customHeight="1">
      <c r="A321" s="4" t="inlineStr">
        <is>
          <t>new_352</t>
        </is>
      </c>
      <c r="B321" s="4" t="inlineStr">
        <is>
          <t>Update</t>
        </is>
      </c>
      <c r="C321" s="4" t="inlineStr">
        <is>
          <t>Efficient Kulczynski EEG feature selection for autism spectrum disorder diagnosis over fog and cloud computing</t>
        </is>
      </c>
      <c r="D321" s="4" t="inlineStr">
        <is>
          <t>10.1007/s41870-025-02987-y</t>
        </is>
      </c>
      <c r="E321" s="4" t="inlineStr">
        <is>
          <t>https://doi.org/10.1007/s41870-025-02987-y</t>
        </is>
      </c>
      <c r="F321" s="4" t="inlineStr">
        <is>
          <t>This work introduces an efficient feature selection approach based on the Kulczynski Similarity (KS) measure to improve the efficiency and accuracy of machine learning models in Electroencephalogram (EEG)-based autism spectrum disorder (ASD) detection. EEG data are inherently high-dimensional, and using all features increases computational burden while incorporating redundant or irrelevant attributes that may hinder classification performance. The proposed KS method addresses these issues by ranking features according to their similarity, retaining those with high harmony that are most relevant for diagnosis, and discarding non-contributory dimensions. To evaluate the effectiveness of the KS framework, three configurations were compared: the complete EEG feature set, features selected with standard Particle Swarm Optimization (PSO), and features selected with the proposed KS method. While PSO retained 30 out of 47 features (63.83% selection ratio and 36.17% reduction ratio), KS achieved a more compact subset of 28 features (59.57% selection ratio and 40.43% reduction ratio), achieving an additional 4.26% improvement in both selection and reduction ratios over PSO. Despite using fewer inputs, KS consistently delivered higher performance across five classifiers. The best accuracy was obtained by K-Nearest Neighbors (KNN) at 99.20%, followed by eXtreme Gradient Boosting (XGBoost) at 98.12%, Random Forest (RF) at 97.05%, Support Vector Machine (SVM) at 95.36%, and Decision Tree (DT) at 87.95%. The findings demonstrate that KS-based feature selection reduces dimensionality, improves accuracy, and lowers complexity, supporting fog and Cloud computing enabled real-time diagnostics and clinical decision systems for efficient EEG analysis in early ASD detection and better patient care.</t>
        </is>
      </c>
      <c r="G321" s="4" t="inlineStr">
        <is>
          <t>This work introduces an efficient feature selection approach based on the Kulczynski Similarity (KS) measure to improve the efficiency and accuracy of machine learning models in Electroencephalogram (EEG)-based autism spectrum disorder (ASD) detection. EEG data are inherently high-dimensional, and using all features increases computational burden while incorporating redundant or irrelevant attributes that may hinder classification performance. Th</t>
        </is>
      </c>
      <c r="H321" s="4" t="str"/>
      <c r="I321" s="4" t="str"/>
      <c r="J321" s="4" t="inlineStr">
        <is>
          <t>Texto abierto evaluable revisado; extracción RQ disponible.</t>
        </is>
      </c>
      <c r="K321" s="4" t="inlineStr">
        <is>
          <t>Inherited scoped adjudication; see source level and lot caveats</t>
        </is>
      </c>
      <c r="L321" s="4" t="inlineStr">
        <is>
          <t>Not documented in provided sources</t>
        </is>
      </c>
    </row>
    <row r="322" ht="409" customHeight="1">
      <c r="A322" s="4" t="inlineStr">
        <is>
          <t>new_359</t>
        </is>
      </c>
      <c r="B322" s="4" t="inlineStr">
        <is>
          <t>Update</t>
        </is>
      </c>
      <c r="C322" s="4" t="inlineStr">
        <is>
          <t>Privacy preserving federated framework for autism spectrum disorder screening with ensemble stacking and deep learning approaches</t>
        </is>
      </c>
      <c r="D322" s="4" t="inlineStr">
        <is>
          <t>10.1007/s44163-026-01103-8</t>
        </is>
      </c>
      <c r="E322" s="4" t="inlineStr">
        <is>
          <t>https://doi.org/10.1007/s44163-026-01103-8</t>
        </is>
      </c>
      <c r="F322" s="4" t="inlineStr">
        <is>
          <t>Objectives: Autism Spectrum Disorder (ASD) is a neurological condition that affects social and cognitive skills, and early detection is crucial for minimizing long-term effects. This study aims to develop a decentralized diagnostic framework for precise ASD detection, utilizing a federated learning simulation with raw data held at the client-side, but no specific privacy safety (DP, Secure Aggregation, Homomorphic Encryption). It integrates Ensemble Stacking with Deep Learning approaches, combining classifiers such as Decision Tree, Random Forest, XG Boost, and Logistic Regression (meta), and compares their effectiveness to deep learning models. Methods: The research used a Kaggle-based ASD dataset and included preprocessing steps such as missing value imputation, one-hot encoding, PCA for dimensionality reduction, oversampling for class balancing, and feature standardization. Two. models were implemented: a Federated Ensemble Model combining Decision Tree, Random Forest, and XG Boost in a stacked framework and a Federated Deep Learning Model for binary classification. Both models operated in a federated learning setup, with data distributed across two clients and aggregated via federated averaging. Metrics like accuracy, precision, recall, and F1-score were used for evaluation. Results: The federated ensemble model achieved 96.0% accuracy with precision, recall, and F1-scores of 0.97 and 0.92. The federated deep learning model outperformed it with 97.0% accuracy, higher precision (0.98), and improved recall (0.94), highlighting better balance in sensitivity and precision for ASD detection in decentralized environments. Conclusions: Both federated models demonstrated high diagnostic accuracy while maintaining data privacy. The federated deep learning model was superior and is suited for clinical applications. These are initial results obtained and are only using Kaggle ASD screening dataset. Generalizability will be tested by using external validation of larger and clinically diverse datasets (e.g., ABIDE-I/II).</t>
        </is>
      </c>
      <c r="G322" s="4" t="inlineStr">
        <is>
          <t>Objectives: Autism Spectrum Disorder (ASD) is a neurological condition that affects social and cognitive skills, and early detection is crucial for minimizing long-term effects. This study aims to develop a decentralized diagnostic framework for precise ASD detection, utilizing a federated learning simulation with raw data held at the client-side, but no specific privacy safety (DP, Secure Aggregation, Homomorphic Encryption). It integrates Ensem</t>
        </is>
      </c>
      <c r="H322" s="4" t="str"/>
      <c r="I322" s="4" t="str"/>
      <c r="J322" s="4" t="inlineStr">
        <is>
          <t>Texto abierto evaluable revisado; extracción RQ disponible.</t>
        </is>
      </c>
      <c r="K322" s="4" t="inlineStr">
        <is>
          <t>Inherited scoped adjudication; see source level and lot caveats</t>
        </is>
      </c>
      <c r="L322" s="4" t="inlineStr">
        <is>
          <t>Not documented in provided sources</t>
        </is>
      </c>
    </row>
    <row r="323" ht="320" customHeight="1">
      <c r="A323" s="4" t="inlineStr">
        <is>
          <t>new_372</t>
        </is>
      </c>
      <c r="B323" s="4" t="inlineStr">
        <is>
          <t>Update</t>
        </is>
      </c>
      <c r="C323" s="4" t="inlineStr">
        <is>
          <t>Machine learning of clinical phenotypes facilitates autism screening and identifies novel subgroups with distinct transcriptomic profiles</t>
        </is>
      </c>
      <c r="D323" s="4" t="inlineStr">
        <is>
          <t>10.1038/s41598-025-95291-5</t>
        </is>
      </c>
      <c r="E323" s="4" t="inlineStr">
        <is>
          <t>https://doi.org/10.1038/s41598-025-95291-5</t>
        </is>
      </c>
      <c r="F323" s="4" t="inlineStr">
        <is>
          <t>Autism spectrum disorder (ASD) presents significant challenges in diagnosis and intervention due to its diverse clinical manifestations and underlying biological complexity. This study explored machine learning approaches to enhance ASD screening accuracy and identify meaningful subtypes using clinical assessments from AGRE database integrated with molecular data from GSE15402. Analysis of ADI-R scores from a large cohort of 2794 individuals demonstrated that deep learning models could achieve exceptional screening accuracy of 95.23% (CI 94.32–95.99%). Notably, comparable performance was maintained using a streamlined set of just 27 ADI-R sub-items, suggesting potential for more efficient diagnostic tools. Clustering analyses revealed three distinct subgroups identifiable through both clinical symptoms and gene expression patterns. When ASD were grouped based on clinical features, stronger associations emerged between symptoms and underlying molecular profiles compared to grouping based on gene expression alone. These findings suggest that starting with detailed clinical observations may be more effective for identifying biologically meaningful ASD subtypes than beginning with molecular data. This integrated approach combining clinical and molecular data through machine learning offers promising directions for developing more precise screening methods and personalized intervention strategies for individuals with ASD.</t>
        </is>
      </c>
      <c r="G323" s="4" t="inlineStr">
        <is>
          <t>Autism spectrum disorder (ASD) presents significant challenges in diagnosis and intervention due to its diverse clinical manifestations and underlying biological complexity. This study explored machine learning approaches to enhance ASD screening accuracy and identify meaningful subtypes using clinical assessments from AGRE database integrated with molecular data from GSE15402. Analysis of ADI-R scores from a large cohort of 2794 individuals demo</t>
        </is>
      </c>
      <c r="H323" s="4" t="str"/>
      <c r="I323" s="4" t="str"/>
      <c r="J323" s="4" t="inlineStr">
        <is>
          <t>Texto abierto evaluable revisado; extracción RQ disponible.</t>
        </is>
      </c>
      <c r="K323" s="4" t="inlineStr">
        <is>
          <t>Inherited scoped adjudication; see source level and lot caveats</t>
        </is>
      </c>
      <c r="L323" s="4" t="inlineStr">
        <is>
          <t>Not documented in provided sources</t>
        </is>
      </c>
    </row>
    <row r="324" ht="409" customHeight="1">
      <c r="A324" s="4" t="inlineStr">
        <is>
          <t>new_378</t>
        </is>
      </c>
      <c r="B324" s="4" t="inlineStr">
        <is>
          <t>Update</t>
        </is>
      </c>
      <c r="C324" s="4" t="inlineStr">
        <is>
          <t>Integrating Network Analysis and Machine Learning Identifies Key Autism Spectrum Disorder Genes Linked to Immune Dysregulation and Therapeutic Targets</t>
        </is>
      </c>
      <c r="D324" s="4" t="inlineStr">
        <is>
          <t>10.3390/genes16091109</t>
        </is>
      </c>
      <c r="E324" s="4" t="inlineStr">
        <is>
          <t>https://doi.org/10.3390/genes16091109</t>
        </is>
      </c>
      <c r="F324" s="4" t="inlineStr">
        <is>
          <t>Background: Understanding the genetic mechanisms and identifying potential therapeutic targets are essential for clarifying Autism Spectrum Disorder (ASD) etiology and improving treatments. This study aims to bridge the gap between basic transcriptomic discoveries and clinical applications in ASD research. Methods: Differentially expressed genes (DEGs) of GSE18123 datase were identified. A protein–protein interaction (PPI) network was constructed. Functional enrichment analysis was performed to link genetic loci to relevant biological pathways. Connectivity Map (CMap) analysis was used to predict potential drugs. Furthermore, immune infiltration correlation analysis explored associations between key genes and immune cell subpopulations. Diagnostic performance of top genes was evaluated by receiver operating characteristic (ROC) analysis. Results: The functional enrichment analysis successfully revealed relevant biological processes associated with ASD, while the CMap analysis predicted potential drugs that were consistent with some clinical trial results. Random forest analysis selected ten key feature genes (SHANK3, NLRP3, SERAC1, TUBB2A, MGAT4C, TFAP2A, EVC, GABRE, TRAK1, and GPR161) with the highest importance scores for autism prediction. Immune infiltration analysis showed significant correlations in genes and multiple immune cell types, demonstrating complex pleiotropic associations within the immune microenvironment. ROC curve analysis indicated that most top genes had strong discriminatory power in differentiating ASD from controls, particularly MGAT4C (AUC = 0.730), highlighting its potential as a robust biomarker. Conclusions: This study effectively bridges the basic transcriptomic discoveries and clinical applications in ASD research. The findings contribute to a better understanding of the etiology of ASD and provide potential therapeutic leads. Future research could focus on validating these potential drugs in clinical studies, as well as further exploring the biological functions of the identified genes to develop more targeted and effective treatments for ASD.</t>
        </is>
      </c>
      <c r="G324" s="4" t="inlineStr">
        <is>
          <t>Background: Understanding the genetic mechanisms and identifying potential therapeutic targets are essential for clarifying Autism Spectrum Disorder (ASD) etiology and improving treatments. This study aims to bridge the gap between basic transcriptomic discoveries and clinical applications in ASD research. Methods: Differentially expressed genes (DEGs) of GSE18123 datase were identified. A protein–protein interaction (PPI) network was constructed</t>
        </is>
      </c>
      <c r="H324" s="4" t="str"/>
      <c r="I324" s="4" t="str"/>
      <c r="J324" s="4" t="inlineStr">
        <is>
          <t>Texto abierto evaluable revisado; extracción RQ disponible.</t>
        </is>
      </c>
      <c r="K324" s="4" t="inlineStr">
        <is>
          <t>Inherited scoped adjudication; see source level and lot caveats</t>
        </is>
      </c>
      <c r="L324" s="4" t="inlineStr">
        <is>
          <t>Not documented in provided sources</t>
        </is>
      </c>
    </row>
    <row r="325" ht="346" customHeight="1">
      <c r="A325" s="4" t="inlineStr">
        <is>
          <t>new_384</t>
        </is>
      </c>
      <c r="B325" s="4" t="inlineStr">
        <is>
          <t>Update</t>
        </is>
      </c>
      <c r="C325" s="4" t="inlineStr">
        <is>
          <t>Air pollution and autism-like traits: Sensitive periods and joint effects of exposure to sources and constituents of fine particulate matter</t>
        </is>
      </c>
      <c r="D325" s="4" t="inlineStr">
        <is>
          <t>10.1016/j.envres.2026.125213</t>
        </is>
      </c>
      <c r="E325" s="4" t="inlineStr">
        <is>
          <t>https://doi.org/10.1016/j.envres.2026.125213</t>
        </is>
      </c>
      <c r="F325" s="4" t="inlineStr">
        <is>
          <t>Growing evidence suggests that exposure to air pollution during early life is associated with autism spectrum disorder (ASD). However, results have been inconsistent for autism-like traits and in low exposure settings. Here, we assessed sensitive windows of exposure to fine particulate matter (PM2.5), nitrogen dioxide (NO2), and ozone (O3) and joint effects of exposure to sources and constituents of PM2.5 on autism-like traits among 798 children in the Upstate KIDS cohort. Residential air pollution exposures were assessed with machine learning and land use regression models. Autism-like traits at age 10 were assessed via the ASD subscale on the Child Behavior Checklist. Treed distributed lag mixture model was used to identify critical windows of exposure to PM2.5, NO2, and O3 and partial linear single index model was applied to estimate contributions of sources and constituents of PM2.5 on autism-like traits. The median PM2.5 exposures were 8.36 and 8.00 μg/m3 for pregnancy and the first year of life. We did not observe critical windows of exposure to PM2.5, NO2, or O3 for autism-like traits. Exposures to elemental carbon (EC) PM2.5 during gestation and to EC and traffic PM2.5 during the first year of life were associated with higher odds of autism-like traits (prenatal EC adjusted odds ratio (aOR): 1.72, 95% CI: 1.04-2.83; first year EC aOR: 1.72, 95% CI: 1.21-2.46; traffic aOR: 1.31, 95% CI: 1.01-1.71). Our results suggest that exposure to motor vehicle traffic sources of PM2.5 may drive previously reported associations between total PM2.5 and autism-like traits.</t>
        </is>
      </c>
      <c r="G325" s="4" t="inlineStr">
        <is>
          <t xml:space="preserve">Growing evidence suggests that exposure to air pollution during early life is associated with autism spectrum disorder (ASD). However, results have been inconsistent for autism-like traits and in low exposure settings. Here, we assessed sensitive windows of exposure to fine particulate matter (PM2.5), nitrogen dioxide (NO2), and ozone (O3) and joint effects of exposure to sources and constituents of PM2.5 on autism-like traits among 798 children </t>
        </is>
      </c>
      <c r="H325" s="4" t="str"/>
      <c r="I325" s="4" t="str"/>
      <c r="J325" s="4" t="inlineStr">
        <is>
          <t>Texto abierto evaluable revisado; extracción RQ disponible.</t>
        </is>
      </c>
      <c r="K325" s="4" t="inlineStr">
        <is>
          <t>Inherited scoped adjudication; see source level and lot caveats</t>
        </is>
      </c>
      <c r="L325" s="4" t="inlineStr">
        <is>
          <t>Not documented in provided sources</t>
        </is>
      </c>
    </row>
    <row r="326" ht="409" customHeight="1">
      <c r="A326" s="4" t="inlineStr">
        <is>
          <t>new_395</t>
        </is>
      </c>
      <c r="B326" s="4" t="inlineStr">
        <is>
          <t>Update</t>
        </is>
      </c>
      <c r="C326" s="4" t="inlineStr">
        <is>
          <t>Prematurity and genetic liability for autism spectrum disorder</t>
        </is>
      </c>
      <c r="D326" s="4" t="inlineStr">
        <is>
          <t>10.1186/s13073-025-01552-3</t>
        </is>
      </c>
      <c r="E326" s="4" t="inlineStr">
        <is>
          <t>https://doi.org/10.1186/s13073-025-01552-3</t>
        </is>
      </c>
      <c r="F326" s="4" t="inlineStr">
        <is>
          <t>Background: Autism spectrum disorder (ASD) is a neurodevelopmental condition characterized by diverse presentations and a strong genetic component. Environmental factors, such as prematurity, have also been linked to increased liability for ASD, though the interaction between genetic predisposition and prematurity remains unclear. This study aims to investigate the impact of genetic liability and preterm birth on ASD conditions. Methods: We analyzed phenotype and genetic data from two large ASD cohorts, the Simons Foundation Powering Autism Research for Knowledge (SPARK) and Simons Simplex Collection (SSC), encompassing 78,559 individuals for phenotype analysis, 12,519 individuals with genome sequencing data, and 8104 individuals with exome sequencing data. Statistical significance of differences in clinical measures was evaluated between individuals with different ASD and preterm status. We assessed the rare variants burden using generalized estimating equations (GEE) models and polygenic load using the ASD-associated polygenic risk score (PRS). Furthermore, we developed a machine learning model to predict ASD in preterm children using phenotype and genetic features available at birth. Results: Individuals with both preterm birth and ASD exhibit more severe phenotypic outcomes despite similar levels of genetic liability for ASD across the term and preterm groups. Notably, preterm-ASD individuals showed an elevated rate of de novo variants identified in exome sequencing (GEE model, p = 0.005) in comparison to non-ASD-preterm group. Additionally, a GEE model showed that a higher ASD PRS, preterm birth, and male sex were positively associated with a higher predicted probability for ASD in SPARK, reaching a probability close to 90%. Lastly, we developed a machine learning model using phenotype and genetic features available at birth with limited predictive power (AUROC = 0.65). Conclusions: Preterm birth may exacerbate multimorbidity present in ASD, which was not due to ASD-associated genetic variants. However, increased ASD-associated rare variants may elevate the likelihood of a preterm child being diagnosed with ASD. Additionally, a polygenic load of ASD-associated variants had an additive role with preterm birth in the predicted probability for ASD, especially for boys. Future integration of genetic and phenotypic data in larger preterm or population-based cohorts will be crucial for advancing early ASD identification in preterm subgroup.</t>
        </is>
      </c>
      <c r="G326" s="4" t="inlineStr">
        <is>
          <t>Background: Autism spectrum disorder (ASD) is a neurodevelopmental condition characterized by diverse presentations and a strong genetic component. Environmental factors, such as prematurity, have also been linked to increased liability for ASD, though the interaction between genetic predisposition and prematurity remains unclear. This study aims to investigate the impact of genetic liability and preterm birth on ASD conditions. Methods: We analy</t>
        </is>
      </c>
      <c r="H326" s="4" t="str"/>
      <c r="I326" s="4" t="str"/>
      <c r="J326" s="4" t="inlineStr">
        <is>
          <t>Texto abierto evaluable revisado; extracción RQ disponible.</t>
        </is>
      </c>
      <c r="K326" s="4" t="inlineStr">
        <is>
          <t>Inherited scoped adjudication; see source level and lot caveats</t>
        </is>
      </c>
      <c r="L326" s="4" t="inlineStr">
        <is>
          <t>Not documented in provided sources</t>
        </is>
      </c>
    </row>
    <row r="327" ht="385" customHeight="1">
      <c r="A327" s="4" t="inlineStr">
        <is>
          <t>new_406</t>
        </is>
      </c>
      <c r="B327" s="4" t="inlineStr">
        <is>
          <t>Update</t>
        </is>
      </c>
      <c r="C327" s="4" t="inlineStr">
        <is>
          <t>NeuroCypher ASD: Machine Learning with Knowledge Graph-Based Representation for ASD Screening in Toddlers</t>
        </is>
      </c>
      <c r="D327" s="4" t="inlineStr">
        <is>
          <t>10.1007/s41666-026-00243-x</t>
        </is>
      </c>
      <c r="E327" s="4" t="inlineStr">
        <is>
          <t>https://doi.org/10.1007/s41666-026-00243-x</t>
        </is>
      </c>
      <c r="F327" s="4" t="inlineStr">
        <is>
          <t>Autism Spectrum Disorder (ASD) screening often relies on structured questionnaires. Yet these data are not always easy to interpret or use in practice. There is a need for screening frameworks that support risk estimation, case comparison, and pattern exploration in a clear and accessible way. In this work, we present NeuroCypher ASD, a framework that combines tabular machine learning with a knowledge graph for ASD screening, interpretation, and data exploration. The tabular model uses questionnaire responses and demographic features to estimate ASD risk. The knowledge graph organizes the data and supports case comparison, pattern exploration, and natural language querying. The system is evaluated under a leakage-aware protocol using tabular, graph-based, and hybrid models. The results show strong performance for the tabular model and clarify the role of graph-based representations within the overall workflow. In this setting, the knowledge graph supports structured analysis of screening data by helping users examine relationships between cases, inspect shared features, and interpret predictions in context. To strengthen interpretability, the framework includes SHAP-based analysis and approximate mappings between embedding dimensions and original questionnaire features. It also includes an anomaly detection module that highlights atypical cases for closer review. Overall, NeuroCypher ASD provides a practical framework for combining prediction, interpretation, and data exploration in ASD screening. The results show the value of integrating machine learning, graph-based context, and natural language interaction in more transparent and accessible screening workflows, particularly in school-based environments.</t>
        </is>
      </c>
      <c r="G327" s="4" t="inlineStr">
        <is>
          <t xml:space="preserve">Autism Spectrum Disorder (ASD) screening often relies on structured questionnaires. Yet these data are not always easy to interpret or use in practice. There is a need for screening frameworks that support risk estimation, case comparison, and pattern exploration in a clear and accessible way. In this work, we present NeuroCypher ASD, a framework that combines tabular machine learning with a knowledge graph for ASD screening, interpretation, and </t>
        </is>
      </c>
      <c r="H327" s="4" t="str"/>
      <c r="I327" s="4" t="str"/>
      <c r="J327" s="4" t="inlineStr">
        <is>
          <t>Texto abierto evaluable revisado; extracción RQ disponible.</t>
        </is>
      </c>
      <c r="K327" s="4" t="inlineStr">
        <is>
          <t>Inherited scoped adjudication; see source level and lot caveats</t>
        </is>
      </c>
      <c r="L327" s="4" t="inlineStr">
        <is>
          <t>Not documented in provided sources</t>
        </is>
      </c>
    </row>
    <row r="328" ht="372" customHeight="1">
      <c r="A328" s="4" t="inlineStr">
        <is>
          <t>new_410</t>
        </is>
      </c>
      <c r="B328" s="4" t="inlineStr">
        <is>
          <t>Update</t>
        </is>
      </c>
      <c r="C328" s="4" t="inlineStr">
        <is>
          <t>Robust deep learning pipeline to improve access to autism triage and diagnosis</t>
        </is>
      </c>
      <c r="D328" s="4" t="inlineStr">
        <is>
          <t>10.1007/s44163-026-01299-9</t>
        </is>
      </c>
      <c r="E328" s="4" t="inlineStr">
        <is>
          <t>https://doi.org/10.1007/s44163-026-01299-9</t>
        </is>
      </c>
      <c r="F328" s="4" t="inlineStr">
        <is>
          <t>Purpose: Timely access to autism spectrum disorder (ASD) diagnosis represents a major clinical burden, especially in children. Robust and quantitative triage tools to refer children at high risk of ASD for rapid evaluation are not available. We investigate a robust artificial intelligence pipeline combining anatomic and resting state MRI scans with demographics to triage children into high and low risk of an ASD diagnosis. Methods: The ABIDE I and II datasets were used to train deep learning (DL) models on both the anatomic and resting state MRI scans, which were then combined with demographics to render a prediction for an ASD diagnosis. The pipeline was formally tested using a train (70%, n = 1555), validation (20%, n = 439) and test (10%, n = 222) data split ensuring robust testing and assessment of generalizability. DL model outputs were combined with demographics in a generalized linear model with Lasso regularization, and was then optimized using area-under-the-curve (AUC) analysis. Results: The test, validation and train groups had similar demographics in which 46–52% of the population had an ASD diagnosis, 80–83% were male, with a median age of 13–14 and 71–75% reported eyes open during the resting state MRI. The AI pipeline successfully distinguished between ASD and non-ASD with suspicion scores of 0.803 [0.461–0.964] compared to 0.377 [0.044–0.873], p &lt; 0.0001 and an AUC of 71.1%. Under AUC optimization, an accuracy of 62.6% with a sensitivity of 58.9% and specificity of 66.1% was achieved. Conclusion: The artificial intelligence pipeline described here is a promising method for accurately distinguishing between ASD and non-ASD participants.</t>
        </is>
      </c>
      <c r="G328" s="4" t="inlineStr">
        <is>
          <t>Purpose: Timely access to autism spectrum disorder (ASD) diagnosis represents a major clinical burden, especially in children. Robust and quantitative triage tools to refer children at high risk of ASD for rapid evaluation are not available. We investigate a robust artificial intelligence pipeline combining anatomic and resting state MRI scans with demographics to triage children into high and low risk of an ASD diagnosis. Methods: The ABIDE I an</t>
        </is>
      </c>
      <c r="H328" s="4" t="str"/>
      <c r="I328" s="4" t="str"/>
      <c r="J328" s="4" t="inlineStr">
        <is>
          <t>Texto abierto evaluable revisado; extracción RQ disponible.</t>
        </is>
      </c>
      <c r="K328" s="4" t="inlineStr">
        <is>
          <t>Inherited scoped adjudication; see source level and lot caveats</t>
        </is>
      </c>
      <c r="L328" s="4" t="inlineStr">
        <is>
          <t>Not documented in provided sources</t>
        </is>
      </c>
    </row>
    <row r="329" ht="409" customHeight="1">
      <c r="A329" s="4" t="inlineStr">
        <is>
          <t>new_417</t>
        </is>
      </c>
      <c r="B329" s="4" t="inlineStr">
        <is>
          <t>Update</t>
        </is>
      </c>
      <c r="C329" s="4" t="inlineStr">
        <is>
          <t>Perivascular Space Burden in Children With Autism Spectrum Disorder Correlates With Neurodevelopmental Severity</t>
        </is>
      </c>
      <c r="D329" s="4" t="inlineStr">
        <is>
          <t>10.1002/jmri.70023</t>
        </is>
      </c>
      <c r="E329" s="4" t="inlineStr">
        <is>
          <t>https://doi.org/10.1002/jmri.70023</t>
        </is>
      </c>
      <c r="F329" s="4" t="inlineStr">
        <is>
          <t>Background: Cerebral perivascular spaces (PVS) are involved in cerebrospinal fluid (CSF) circulation and clearance of metabolic waste in adult humans. A high number of PVS has been reported in autism spectrum disorder (ASD) but its relationship with CSF and disease severity is unclear. Purpose: To quantify PVS in children with ASD through MRI. Study Type: Retrospective. Population: Sixty six children with ASD (mean age: 4.7 ± 1.5 years; males/females: 59/7). Field Strength/Sequence: 3T, 3D T1-weighted GRE and 3D T2-weighted turbo spin echo sequences. Assessment: PVS were segmented using a weakly supervised PVS algorithm. PVS count, white matter-perivascular spaces (WM-PVStot) and normalized volume (WM-PVSvoln) were analyzed in the entire white matter. Six regions: frontal, parietal, limbic, occipital, temporal, and deep WM (WM-PVSsr). WM, GM, CSF, and extra-axial CSF (eaCSF) volumes were also calculated. Autism Diagnostic Observation Schedule, Wechsler Intelligence Scale, and Griffiths Mental Developmental scales were used to assess clinical severity and developmental quotient (DQ). Statistical Tests: Kendall correlation analysis (continuous variables) and Friedman (categorical variables) tests were used to compare medians of PVS variables across different WM regions. Post hoc pairwise comparisons with Wilcoxon tests were used to evaluate distributions of PVS in WM regions. Generalized linear models were employed to assess DQ, clinical severity, age, and eaCSF volume in relation to PVS variables. A p-value &lt; 0.05 indicated statistical significance. Results: Severe DQ (β = 0.0089), mild form of autism (β = −0.0174), and larger eaCSF (β = 0.0082) volume was significantly associated with greater WM-PVStot count. WM-PVSvoln was predominantly affected by normalized eaCSF volume (eaCSFvoln) (β = 0.0242; adjusted for WM volumes). The percentage of WM-PVSsr was higher in the frontal areas (32%) and was lowest in the temporal regions (11%). Data Conclusion: PVS count and volume in ASD are associated with eaCSFvoln. PVS count is related to clinical severity and DQ. PVS count was higher in frontal regions and lower in temporal regions. Evidence Level: 4. Technical Efficacy: Stage 3.</t>
        </is>
      </c>
      <c r="G329" s="4" t="inlineStr">
        <is>
          <t>Background: Cerebral perivascular spaces (PVS) are involved in cerebrospinal fluid (CSF) circulation and clearance of metabolic waste in adult humans. A high number of PVS has been reported in autism spectrum disorder (ASD) but its relationship with CSF and disease severity is unclear. Purpose: To quantify PVS in children with ASD through MRI. Study Type: Retrospective. Population: Sixty six children with ASD (mean age: 4.7 ± 1.5 years; males/fem</t>
        </is>
      </c>
      <c r="H329" s="4" t="str"/>
      <c r="I329" s="4" t="str"/>
      <c r="J329" s="4" t="inlineStr">
        <is>
          <t>Texto abierto evaluable revisado; extracción RQ disponible.</t>
        </is>
      </c>
      <c r="K329" s="4" t="inlineStr">
        <is>
          <t>Inherited scoped adjudication; see source level and lot caveats</t>
        </is>
      </c>
      <c r="L329" s="4" t="inlineStr">
        <is>
          <t>Not documented in provided sources</t>
        </is>
      </c>
    </row>
    <row r="330" ht="409" customHeight="1">
      <c r="A330" s="4" t="inlineStr">
        <is>
          <t>new_420</t>
        </is>
      </c>
      <c r="B330" s="4" t="inlineStr">
        <is>
          <t>Update</t>
        </is>
      </c>
      <c r="C330" s="4" t="inlineStr">
        <is>
          <t>Two-tier nature inspired optimization-driven ensemble of deep learning models for effective autism spectrum disorder diagnosis in disabled persons</t>
        </is>
      </c>
      <c r="D330" s="4" t="inlineStr">
        <is>
          <t>10.1038/s41598-025-93802-y</t>
        </is>
      </c>
      <c r="E330" s="4" t="inlineStr">
        <is>
          <t>https://doi.org/10.1038/s41598-025-93802-y</t>
        </is>
      </c>
      <c r="F330" s="4" t="inlineStr">
        <is>
          <t>Autism spectrum disorder (ASD) includes a varied set of neuropsychiatric illnesses. This disorder is described by a definite grade of loss in social communication, academic functioning, personal contact, and limited and repetitive behaviours. Individuals with ASD might perform, convey, and study in a different way than others. ASDs naturally are apparent before age 3 years, with related impairments affecting manifold regions of a person’s lifespan. Deep learning (DL) and machine learning (ML) techniques are used in medical research to diagnose and detect ASD promptly. This study presents a Two-Tier Metaheuristic-Driven Ensemble Deep Learning for Effective Autism Spectrum Disorder Diagnosis in Disabled Persons (T2MEDL-EASDDP) model. The main aim of the presented T2MEDL-EASDDP model is to analyze and diagnose the different stages of ASD in disabled individuals. To accomplish this, the T2MEDL-EASDDP model utilizes min-max normalization for data pre-processing to ensure that the input data is scaled to a uniform range. Furthermore, the improved butterfly optimization algorithm (IBOA)-based feature selection (FS) is utilized to identify the most relevant features and reduce dimensionality efficiently. Additionally, an ensemble of DL holds three approaches, namely autoencoder (AE), long short-term memory (LSTM), and deep belief network (DBN) approach is employed for analyzing and detecting ASD. Finally, the presented T2MEDL-EASDDP model employs brownian motion (BM) and directional mutation scheme-based coati optimizer algorithm (BDCOA) techniques to fine-tune the hyperparameters involved in the three ensemble methods. A wide range of simulation analyses of the T2MEDL-EASDDP technique is accomplished under the ASD-Toddler and ASD-Adult datasets. The performance validation of the T2MEDL-EASDDP method portrayed a superior accuracy value of 97.79% over existing techniques.</t>
        </is>
      </c>
      <c r="G330" s="4" t="inlineStr">
        <is>
          <t>Autism spectrum disorder (ASD) includes a varied set of neuropsychiatric illnesses. This disorder is described by a definite grade of loss in social communication, academic functioning, personal contact, and limited and repetitive behaviours. Individuals with ASD might perform, convey, and study in a different way than others. ASDs naturally are apparent before age 3 years, with related impairments affecting manifold regions of a person’s lifespa</t>
        </is>
      </c>
      <c r="H330" s="4" t="str"/>
      <c r="I330" s="4" t="str"/>
      <c r="J330" s="4" t="inlineStr">
        <is>
          <t>Texto abierto evaluable revisado; extracción RQ disponible.</t>
        </is>
      </c>
      <c r="K330" s="4" t="inlineStr">
        <is>
          <t>Inherited scoped adjudication; see source level and lot caveats</t>
        </is>
      </c>
      <c r="L330" s="4" t="inlineStr">
        <is>
          <t>Not documented in provided sources</t>
        </is>
      </c>
    </row>
    <row r="331" ht="359" customHeight="1">
      <c r="A331" s="4" t="inlineStr">
        <is>
          <t>new_422</t>
        </is>
      </c>
      <c r="B331" s="4" t="inlineStr">
        <is>
          <t>Update</t>
        </is>
      </c>
      <c r="C331" s="4" t="inlineStr">
        <is>
          <t>MIND-TEA: An Adaptive Multi-Agent Framework for Multimodal Autism Diagnosis</t>
        </is>
      </c>
      <c r="D331" s="4" t="inlineStr">
        <is>
          <t>10.1109/access.2026.3688987</t>
        </is>
      </c>
      <c r="E331" s="4" t="inlineStr">
        <is>
          <t>https://doi.org/10.1109/access.2026.3688987</t>
        </is>
      </c>
      <c r="F331" s="4" t="inlineStr">
        <is>
          <t>Autism Spectrum Disorder (ASD) presents substantial diagnostic heterogeneity, challenging the reliability and generalization of static, single-model classifiers. To address this, MIND-TEA is introduced as an adaptive multimodal framework for neurodevelopmental diagnosis. The system integrates resting-state fMRI (rs-fMRI) features with clinical text and utilizes a meta-learning orchestrator to dynamically route each patient to an optimal specialist model. Using subject-wise, site-stratified five-fold cross-validation on ABIDE I (n=1,112), the proposed method achieves 87.3% accuracy and 0.910 AUC (p &lt; 0.05). This corresponds to an absolute improvement of 17.3 percentage points in accuracy compared to representative deep learning baselines reported in prior ASD neuroimaging studies. To assess generalization under clinical conditions, a zero-shot external evaluation is conducted on the independent ABIDE II cohort (n=626). While cross-site domain shift reduces overall accuracy (52.3%), protocol-compatible subsets maintain performance above 60%, highlighting the impact of acquisition variability. The framework distills 108 candidate configurations into three plane-specific specialists (axial, coronal, sagittal). At inference, a single model is executed per subject, guaranteeing O(1) complexity and clinically viable latency without relying on large ensemble strategies. By selecting the most suitable specialist based on semantic similarity and historical performance, MIND-TEA enables adaptive decision-making tailored to individual cases and highlights the importance of data harmonization for robust multi-site generalization.</t>
        </is>
      </c>
      <c r="G331" s="4" t="inlineStr">
        <is>
          <t>Autism Spectrum Disorder (ASD) presents substantial diagnostic heterogeneity, challenging the reliability and generalization of static, single-model classifiers. To address this, MIND-TEA is introduced as an adaptive multimodal framework for neurodevelopmental diagnosis. The system integrates resting-state fMRI (rs-fMRI) features with clinical text and utilizes a meta-learning orchestrator to dynamically route each patient to an optimal specialis</t>
        </is>
      </c>
      <c r="H331" s="4" t="str"/>
      <c r="I331" s="4" t="str"/>
      <c r="J331" s="4" t="inlineStr">
        <is>
          <t>Texto abierto evaluable revisado; extracción RQ disponible.</t>
        </is>
      </c>
      <c r="K331" s="4" t="inlineStr">
        <is>
          <t>Inherited scoped adjudication; see source level and lot caveats</t>
        </is>
      </c>
      <c r="L331" s="4" t="inlineStr">
        <is>
          <t>Not documented in provided sources</t>
        </is>
      </c>
    </row>
    <row r="332" ht="398" customHeight="1">
      <c r="A332" s="4" t="inlineStr">
        <is>
          <t>new_424</t>
        </is>
      </c>
      <c r="B332" s="4" t="inlineStr">
        <is>
          <t>Update</t>
        </is>
      </c>
      <c r="C332" s="4" t="inlineStr">
        <is>
          <t>Interpretable Autism Screening via Object-Based Analysis of Child-Drawn Sketches</t>
        </is>
      </c>
      <c r="D332" s="4" t="inlineStr">
        <is>
          <t>10.1109/access.2025.3642950</t>
        </is>
      </c>
      <c r="E332" s="4" t="inlineStr">
        <is>
          <t>https://doi.org/10.1109/access.2025.3642950</t>
        </is>
      </c>
      <c r="F332" s="4" t="inlineStr">
        <is>
          <t>Developmental assessment methods for children largely rely on subjective manual scoring, which leads to limitations in interpretability, consistency, and scalability. For high-stakes applications in clinical and educational environments, high accuracy and transparency are essential in decision-making, which underscores the growing importance of explainable artificial intelligence techniques for automated developmental assessment. To address these challenges, we propose an explainable deep learning framework for automated developmental assessment based on freehand portraits drawn by children. The proposed system integrates clinically evaluated criteria directly into the design of a computational model to ensure both accuracy and interpretability. Focusing specifically on unstructured freehand portrait sketches, the framework introduces an object-based contribution analysis that segments each sketch into semantically meaningful parts such as eyes, nose, ears, and torso, for localized contribution scoring. A customized vision transformer architecture equipped with relative position encoding and safe layer normalization was utilized to model inter-object dependencies and extract robust features. Contribution scores were computed using layer-wise relevance propagation and visualized via heatmaps and bar plots, to allow clinicians to trace the rationale behind the predictions. The results of an extensive evaluation demonstrated that this method yields high classification accuracy in distinguishing between autism spectrum disorder and typical development, and provides rule-aligned explanations that mirror clinical reasoning. The findings of this study provide a foundation for future real-world deployment of early screening, special education, and pediatric neuropsychological applications.</t>
        </is>
      </c>
      <c r="G332" s="4" t="inlineStr">
        <is>
          <t>Developmental assessment methods for children largely rely on subjective manual scoring, which leads to limitations in interpretability, consistency, and scalability. For high-stakes applications in clinical and educational environments, high accuracy and transparency are essential in decision-making, which underscores the growing importance of explainable artificial intelligence techniques for automated developmental assessment. To address these</t>
        </is>
      </c>
      <c r="H332" s="4" t="str"/>
      <c r="I332" s="4" t="str"/>
      <c r="J332" s="4" t="inlineStr">
        <is>
          <t>Texto abierto evaluable revisado; extracción RQ disponible.</t>
        </is>
      </c>
      <c r="K332" s="4" t="inlineStr">
        <is>
          <t>Inherited scoped adjudication; see source level and lot caveats</t>
        </is>
      </c>
      <c r="L332" s="4" t="inlineStr">
        <is>
          <t>Not documented in provided sources</t>
        </is>
      </c>
    </row>
    <row r="333" ht="307" customHeight="1">
      <c r="A333" s="4" t="inlineStr">
        <is>
          <t>new_425</t>
        </is>
      </c>
      <c r="B333" s="4" t="inlineStr">
        <is>
          <t>Update</t>
        </is>
      </c>
      <c r="C333" s="4" t="inlineStr">
        <is>
          <t>Bridging Deep Learning and Quantum Computing for EEG-Driven P300 Targeted ASD Response Detection</t>
        </is>
      </c>
      <c r="D333" s="4" t="inlineStr">
        <is>
          <t>10.1109/access.2025.3646589</t>
        </is>
      </c>
      <c r="E333" s="4" t="inlineStr">
        <is>
          <t>https://doi.org/10.1109/access.2025.3646589</t>
        </is>
      </c>
      <c r="F333" s="4" t="inlineStr">
        <is>
          <t>Autism Spectrum Disorder (ASD) is a neurodevelopmental condition whose diagnosis relies heavily on subjective behavioral assessments. Electroencephalography (EEG) provides an inexpensive and non-invasive method of objective biomarker detection, but is plagued by high dimensionality and noise that complicates automated analysis. This article introduces a hybrid Transformer-Quantum Neural Network (QNN) model that combines deep learning and quantum computing to enhance P300 targeted ASD responses from non-targeted responses. The model uses transformer capabilities to capture cross-domain correlations and feature-level dependencies across heterogeneous feature sources, and the quantum heads introduced via parameterized quantum circuits detect high-order, nonlinear relations in a Hilbert space via entanglement and superposition. Experimental results on the BCIAUT-P300 dataset better pure classical alternatives with higher diagnostic accuracy at higher accuracy (0.921) and F1-score (0.915). Statistical comparisons confirm that the hybrid approach yields significant improvements in discriminative reliability and diagnostic odds ratio, justifying quantum feature embedding's expressivity and efficiency. The results bear witness to the feasibility and potential of hybrid quantum-classical systems as potential future intelligent diagnostic devices for ASD responses from EEG signals.</t>
        </is>
      </c>
      <c r="G333" s="4" t="inlineStr">
        <is>
          <t xml:space="preserve">Autism Spectrum Disorder (ASD) is a neurodevelopmental condition whose diagnosis relies heavily on subjective behavioral assessments. Electroencephalography (EEG) provides an inexpensive and non-invasive method of objective biomarker detection, but is plagued by high dimensionality and noise that complicates automated analysis. This article introduces a hybrid Transformer-Quantum Neural Network (QNN) model that combines deep learning and quantum </t>
        </is>
      </c>
      <c r="H333" s="4" t="str"/>
      <c r="I333" s="4" t="str"/>
      <c r="J333" s="4" t="inlineStr">
        <is>
          <t>Texto abierto evaluable revisado; extracción RQ disponible.</t>
        </is>
      </c>
      <c r="K333" s="4" t="inlineStr">
        <is>
          <t>Inherited scoped adjudication; see source level and lot caveats</t>
        </is>
      </c>
      <c r="L333" s="4" t="inlineStr">
        <is>
          <t>Not documented in provided sources</t>
        </is>
      </c>
    </row>
    <row r="334" ht="372" customHeight="1">
      <c r="A334" s="4" t="inlineStr">
        <is>
          <t>new_427</t>
        </is>
      </c>
      <c r="B334" s="4" t="inlineStr">
        <is>
          <t>Update</t>
        </is>
      </c>
      <c r="C334" s="4" t="inlineStr">
        <is>
          <t>A Hybrid Multi-Branch Deep Learning Model for Autism Spectrum Disorder Detection Using Spatiotemporal Gait Analysis</t>
        </is>
      </c>
      <c r="D334" s="4" t="inlineStr">
        <is>
          <t>10.1109/access.2026.3704046</t>
        </is>
      </c>
      <c r="E334" s="4" t="inlineStr">
        <is>
          <t>https://doi.org/10.1109/access.2026.3704046</t>
        </is>
      </c>
      <c r="F334" s="4" t="inlineStr">
        <is>
          <t>Early and objective diagnosis of autism spectrum disorders (ASD) remains a pressing issue in modern medical and cognitive informatics, where motor behavior analysis is considered a promising source of digital biomarkers. In particular, kinematic gait characteristics obtained with contactless sensors enable the identification of subtle motor impairments that may not be apparent on visual assessment. In this paper, we propose a hybrid multi-branch deep learning model, HMB-TSC, for the automatic classification of children with ASD based on spatiotemporal gait data extracted from the Kinect v2 camera. An open dataset containing gait recordings of children with ASD and typically developing (TD) peers was used for the experiments. Data preprocessing included outlier filtering, feature normalization, feature expansion, and time-series segmentation using a sliding-window method. The HMB-TSC architecture combines three complementary branches: a Transformer for modeling global temporal dependencies, a CNN-BiLSTM for extracting local spatiotemporal patterns, and a CNN-BiGRU for efficient sequential analysis. The performance evaluation was conducted using the holdout, 5-fold, and 5 × 3 nested validation protocols. In a reproducible released run, HMB-TSC achieved Accuracy = 0.850, AUROC = 0.948, and F1 = 0.880 in holdout validation. Under 5-fold and 5 × 3 nested cross-validation, the model achieved Accuracy = 0.850 ± 0.035, AUROC = 0.940 ± 0.029, and F1 = 0.845 ± 0.036. Compared with the baseline CNN, LSTM, and Transformer models, the proposed model demonstrated strong and stable overall performance across validation protocols, especially in terms of AUROC and balanced F1-score.</t>
        </is>
      </c>
      <c r="G334" s="4" t="inlineStr">
        <is>
          <t xml:space="preserve">Early and objective diagnosis of autism spectrum disorders (ASD) remains a pressing issue in modern medical and cognitive informatics, where motor behavior analysis is considered a promising source of digital biomarkers. In particular, kinematic gait characteristics obtained with contactless sensors enable the identification of subtle motor impairments that may not be apparent on visual assessment. In this paper, we propose a hybrid multi-branch </t>
        </is>
      </c>
      <c r="H334" s="4" t="str"/>
      <c r="I334" s="4" t="str"/>
      <c r="J334" s="4" t="inlineStr">
        <is>
          <t>Texto abierto evaluable revisado; extracción RQ disponible.</t>
        </is>
      </c>
      <c r="K334" s="4" t="inlineStr">
        <is>
          <t>Inherited scoped adjudication; see source level and lot caveats</t>
        </is>
      </c>
      <c r="L334" s="4" t="inlineStr">
        <is>
          <t>Not documented in provided sources</t>
        </is>
      </c>
    </row>
    <row r="335" ht="409" customHeight="1">
      <c r="A335" s="4" t="inlineStr">
        <is>
          <t>new_428</t>
        </is>
      </c>
      <c r="B335" s="4" t="inlineStr">
        <is>
          <t>Update</t>
        </is>
      </c>
      <c r="C335" s="4" t="inlineStr">
        <is>
          <t>Autism Action Dataset (AAD): A Comprehensive Video Benchmark for ASD Behavior Recognition Using Deep Learning</t>
        </is>
      </c>
      <c r="D335" s="4" t="inlineStr">
        <is>
          <t>10.1109/access.2026.3686583</t>
        </is>
      </c>
      <c r="E335" s="4" t="inlineStr">
        <is>
          <t>https://doi.org/10.1109/access.2026.3686583</t>
        </is>
      </c>
      <c r="F335" s="4" t="inlineStr">
        <is>
          <t>Autism spectrum disorder (ASD) is a neurodevelopmental disorder characterized by impairments in social interaction, communication, and behavior. Accurately recognizing the behaviors of children with ASD is crucial for diagnosis and early intervention. Traditional clinician- or caregiver-based approaches are often time-consuming, subjective, and delayed. In contrast, computer vision, along with modern deep learning (DL)-based methods, offers promising alternative solutions. However, a significant obstacle for this purpose is the lack of large-scale, publicly available datasets of ASD-related behaviors. To address the gap, we present the Autism Action Dataset (AAD), a novel publicly available video dataset including 202 manually annotated videos with seven distinct ASD-related action classes: Jumping, Arm Flapping, Joint Attention, Spinning, Head Banging, Head Shaking, and Imitation. These videos were collected from diverse YouTube sources to ensure variability in environment and subject condition. We evaluated the dataset using several state-of-the-art convolutional neural network (CNN)-based action recognition benchmarks, including CNN-LSTM, Inflated 3D (I3D), SlowFast, and Expandable 3D (X3D), as well as transformer-based attention benchmarks such as Video Vision Transformer (ViViT) and Multiscale Vision Transformer (MViT). Additionally, we evaluated pre-trained models fine-tuned on our dataset, as well as models trained from scratch under 5-fold stratified cross-validation. Among fine-tuned pre-trained methods, X3D achieved the best performance, reaching an accuracy of 84.18% along with a 79.82% F1-score. When trained from scratch, I3D achieved the highest performance with an accuracy of 64.29% with a 59.29% F1-score. These results demonstrate both the value of the AAD dataset as a publicly available benchmark and the efficacy of the I3D and X3D methods for ASD behavior analysis. They provide a solid foundation for future research and the development of assistive diagnostic tools. The dataset, metadata, and corresponding benchmark result will be publicly available at https://github.com/reyadhasan605/Autism-Action-Dataset</t>
        </is>
      </c>
      <c r="G335" s="4" t="inlineStr">
        <is>
          <t>Autism spectrum disorder (ASD) is a neurodevelopmental disorder characterized by impairments in social interaction, communication, and behavior. Accurately recognizing the behaviors of children with ASD is crucial for diagnosis and early intervention. Traditional clinician- or caregiver-based approaches are often time-consuming, subjective, and delayed. In contrast, computer vision, along with modern deep learning (DL)-based methods, offers promi</t>
        </is>
      </c>
      <c r="H335" s="4" t="str"/>
      <c r="I335" s="4" t="str"/>
      <c r="J335" s="4" t="inlineStr">
        <is>
          <t>Texto abierto evaluable revisado; extracción RQ disponible.</t>
        </is>
      </c>
      <c r="K335" s="4" t="inlineStr">
        <is>
          <t>Inherited scoped adjudication; see source level and lot caveats</t>
        </is>
      </c>
      <c r="L335" s="4" t="inlineStr">
        <is>
          <t>Not documented in provided sources</t>
        </is>
      </c>
    </row>
    <row r="336" ht="398" customHeight="1">
      <c r="A336" s="4" t="inlineStr">
        <is>
          <t>new_429</t>
        </is>
      </c>
      <c r="B336" s="4" t="inlineStr">
        <is>
          <t>Update</t>
        </is>
      </c>
      <c r="C336" s="4" t="inlineStr">
        <is>
          <t>A Data-Driven Approach for Autism Spectrum Disorder Screening</t>
        </is>
      </c>
      <c r="D336" s="4" t="inlineStr">
        <is>
          <t>10.1109/access.2026.3650856</t>
        </is>
      </c>
      <c r="E336" s="4" t="inlineStr">
        <is>
          <t>https://doi.org/10.1109/access.2026.3650856</t>
        </is>
      </c>
      <c r="F336" s="4" t="inlineStr">
        <is>
          <t>Autism spectrum disorder (ASD) is a brain development condition influenced by genes and environment, with no known cause or cure. The diagnosis is challenging due to the absence of biological markers, requiring various examinations and specialist input. Delayed diagnosis often results in late intervention, emphasizing the need for early, individualized therapeutic approaches to enhance quality of life. Current ASD research emphasizes early detection, integrating clinical assessments with advanced technology to expedite diagnosis. One alternative for achieving rapid detection is the use of Machine Learning (ML) models, which have shown potential in identifying patterns in datasets, aiding in early ASD diagnosis. For this purpose, a representative dataset needs to be used to train these models for the ASD classification task. However, healthcare providers often lack access to detailed diagnostic data, making ML model applications challenging. This study proposes utilizing non-diagnostic data from healthcare providers, such as requests for consultations and procedures, to develop ML models for ASD classification. The approach involves creating a dataset without diagnostic data, selecting essential variables, and training ML models for classification. The classifiers utilized were Random Forest, XGboost, Catboost and a stacking strategy to combine the base classifiers. Models trained with parameter tuning presented better results, and the stacking strategy achieved the accuracy of 73.62%. The present study demonstrates the predictive power of a new strategy for ASD screening, providing an alternative where traditional diagnostic data is unavailable. The proposed approach is running in a healthcare provider operator for ASD screening and is benefiting many children and adolescents with faster and more accurate diagnoses.</t>
        </is>
      </c>
      <c r="G336" s="4" t="inlineStr">
        <is>
          <t>Autism spectrum disorder (ASD) is a brain development condition influenced by genes and environment, with no known cause or cure. The diagnosis is challenging due to the absence of biological markers, requiring various examinations and specialist input. Delayed diagnosis often results in late intervention, emphasizing the need for early, individualized therapeutic approaches to enhance quality of life. Current ASD research emphasizes early detect</t>
        </is>
      </c>
      <c r="H336" s="4" t="str"/>
      <c r="I336" s="4" t="str"/>
      <c r="J336" s="4" t="inlineStr">
        <is>
          <t>Texto abierto evaluable revisado; extracción RQ disponible.</t>
        </is>
      </c>
      <c r="K336" s="4" t="inlineStr">
        <is>
          <t>Inherited scoped adjudication; see source level and lot caveats</t>
        </is>
      </c>
      <c r="L336" s="4" t="inlineStr">
        <is>
          <t>Not documented in provided sources</t>
        </is>
      </c>
    </row>
    <row r="337" ht="398" customHeight="1">
      <c r="A337" s="4" t="inlineStr">
        <is>
          <t>new_1</t>
        </is>
      </c>
      <c r="B337" s="4" t="inlineStr">
        <is>
          <t>Update</t>
        </is>
      </c>
      <c r="C337" s="4" t="inlineStr">
        <is>
          <t>A novel thermal imaging-based framework for continuous ASD classification and behavior analysis using facial mood and skin temperature features</t>
        </is>
      </c>
      <c r="D337" s="4" t="inlineStr">
        <is>
          <t>10.1016/j.bspc.2024.107009</t>
        </is>
      </c>
      <c r="E337" s="4" t="inlineStr">
        <is>
          <t>https://doi.org/10.1016/j.bspc.2024.107009</t>
        </is>
      </c>
      <c r="F337" s="4" t="inlineStr">
        <is>
          <t>Autism Spectrum Disorder (ASD) is a developmental impairment with brain abnormalities, characterized by social communication deficits and repetitive behavior patterns per recent diagnostic criteria. The Aberrant Behavior Checklist (ABC) is commonly used to analyze these behaviors and guide medication dosage. However, the short duration of ABC measurements may not accurately capture the full spectrum of ASD severity, such as mild, moderate, or severe, potentially leading to adverse drug effects. Therefore, continuous monitoring is necessary for accurate ASD classification to provide appropriate dosages. To address this challenge, a novel thermal imaging-based framework for ASD classification has been proposed, integrating continuous behavioral analysis to optimize medication dosage. The approach utilizes skin temperature and facial mood (FM) features extracted from thermal images. The Deep Network-based Facial Mood Extraction (DN-FME) model efficiently extracts facial mood features while mitigating high memory usage, computation speed issues, and overfitting. The DN-FME model demonstrated a performance accuracy of 96.39%, precision of 96.60%, recall of 96.53%, and an F1 score of 96.54%. For classification, features from skin temperature and facial moods were analyzed using machine learning classifiers: Random Forest (RF), Support Vector Machine (SVM), and K-Nearest Neighbor (KNN). The RF and SVM classifiers achieved an accuracy of 98.33%, while the KNN classifier achieved an accuracy of 90.00%. Unlike existing methods focusing mainly on severe ASD stages, this framework evaluates mild, moderate, and severe stages, demonstrating superior accuracy compared to traditional clinical assessments and observational techniques. This allows for more precise medication dosage adjustments for ASD children.</t>
        </is>
      </c>
      <c r="G337" s="4" t="inlineStr">
        <is>
          <t>El marco extrae estado afectivo y temperatura cutánea de imágenes térmicas; DN-FME reporta 96.39% de accuracy y RF/SVM 98.33% para clasificación de severidad. La propuesta de ajustar dosis farmacológica no fue evaluada como intervención clínica prospectiva en el texto recuperado; debe tratarse como integración propuesta, no como eficacia clínica demostrada.</t>
        </is>
      </c>
      <c r="H337" s="4" t="str"/>
      <c r="I337" s="4" t="inlineStr">
        <is>
          <t>Lote_01_25: nivel=Texto del artículo indexado por el editor; se recuperaron secciones suficientes de metodología, resultados y conclusión; hallazgo=El marco extrae estado afectivo y temperatura cutánea de imágenes térmicas; DN-FME reporta 96.39% de accuracy y RF/SVM 98.33% para clasificación de severidad.; limitación=La propuesta de ajustar dosis farmacológica no fue evaluada como intervención clínica prospectiva en el texto recuperado; debe tratarse como integración propuesta, no como eficacia clínica demostrada.; acción=Verificación independiente del revisor humano antes del cierre final; fuente=https://www.sciencedirect.com/science/article/pii/S174680942401067X</t>
        </is>
      </c>
      <c r="J337" s="4" t="inlineStr">
        <is>
          <t>Contenido integral evaluable revisado; ver nivel exacto de fuente, evidencia y cautelas en Lote_01_25.</t>
        </is>
      </c>
      <c r="K337" s="4" t="inlineStr">
        <is>
          <t>Inherited scoped adjudication; see source level and lot caveats</t>
        </is>
      </c>
      <c r="L337" s="4" t="inlineStr">
        <is>
          <t>Not documented in provided sources</t>
        </is>
      </c>
    </row>
    <row r="338" ht="385" customHeight="1">
      <c r="A338" s="4" t="inlineStr">
        <is>
          <t>new_3</t>
        </is>
      </c>
      <c r="B338" s="4" t="inlineStr">
        <is>
          <t>Update</t>
        </is>
      </c>
      <c r="C338" s="4" t="inlineStr">
        <is>
          <t>Efficient machine learning models across multiple datasets for autism spectrum disorder diagnoses</t>
        </is>
      </c>
      <c r="D338" s="4" t="inlineStr">
        <is>
          <t>10.1016/j.bspc.2024.106949</t>
        </is>
      </c>
      <c r="E338" s="4" t="inlineStr">
        <is>
          <t>https://doi.org/10.1016/j.bspc.2024.106949</t>
        </is>
      </c>
      <c r="F338" s="4" t="inlineStr">
        <is>
          <t>Autism Spectrum Disorder (ASD) presents a complex neurodevelopmental challenge with diverse behavioral symptoms that overlap with other mental disorders, complicating diagnosis. Challenges in existing systems include the complexity and diversity of ASD symptoms, as well as the need for innovative and efficient detection strategies across different age groups. The application of machine learning (ML) offers a promising avenue for revolutionizing ASD prediction and diagnosis. The proposed work aims to overcome these challenges by leveraging ML and Automated Machine Learning (AutoML) techniques, combined with comprehensive datasets and advanced analytics, to enhance ASD detection and prediction capabilities. This study introduces the Autism Spectrum Disorder Detection (ASDD) Framework, which systematically applies ML and AutoML across text-based datasets for various age groups. A combined dataset is generated through the concatenation of various data sources, enriching the diagnostic scope. The framework incorporates AutoML tools such as Lazy Predict, TPOT, and AutoKeras, alongside feature selection methods like Principal Component Analysis (PCA) and Chi-Square. It also employs robust hyperparameter optimization techniques, including Bayesian optimization, Random Search, and genetic algorithms, and uses advanced ensemble methods like voting and bagging to boost prediction accuracy. An empirical evaluation of 27 distinct ML models across seven datasets, including a synthesized dataset named DB8, demonstrates exceptional performance, with many models achieving 100% accuracy and perfect F1 scores in various contexts. These outcomes highlight the effectiveness of the proposed framework in advancing ASD detection and prediction methodologies.</t>
        </is>
      </c>
      <c r="G338" s="4" t="inlineStr">
        <is>
          <t>ASDD evalúa 27 modelos y herramientas AutoML sobre siete datasets y un dataset combinado; varios resultados llegan a 100% de accuracy/F1. Los resultados perfectos exigen cautela. No se identificó una validación externa fija en un cohort/dataset independiente del proceso de desarrollo; múltiples datasets no equivalen automáticamente a external validation.</t>
        </is>
      </c>
      <c r="H338" s="4" t="str"/>
      <c r="I338" s="4" t="inlineStr">
        <is>
          <t>Lote_01_25: nivel=Texto del artículo indexado por el editor; metodología/resultados suficientemente recuperados; hallazgo=ASDD evalúa 27 modelos y herramientas AutoML sobre siete datasets y un dataset combinado; varios resultados llegan a 100% de accuracy/F1.; limitación=Los resultados perfectos exigen cautela. No se identificó una validación externa fija en un cohort/dataset independiente del proceso de desarrollo; múltiples datasets no equivalen automáticamente a external validation.; acción=Verificación independiente del revisor humano antes del cierre final; fuente=https://www.sciencedirect.com/science/article/pii/S1746809424010073</t>
        </is>
      </c>
      <c r="J338" s="4" t="inlineStr">
        <is>
          <t>Contenido integral evaluable revisado; ver nivel exacto de fuente, evidencia y cautelas en Lote_01_25.</t>
        </is>
      </c>
      <c r="K338" s="4" t="inlineStr">
        <is>
          <t>Inherited scoped adjudication; see source level and lot caveats</t>
        </is>
      </c>
      <c r="L338" s="4" t="inlineStr">
        <is>
          <t>Not documented in provided sources</t>
        </is>
      </c>
    </row>
    <row r="339" ht="268" customHeight="1">
      <c r="A339" s="4" t="inlineStr">
        <is>
          <t>new_4</t>
        </is>
      </c>
      <c r="B339" s="4" t="inlineStr">
        <is>
          <t>Update</t>
        </is>
      </c>
      <c r="C339" s="4" t="inlineStr">
        <is>
          <t>EmoLand: Utilizing narrative animations, multilevel games, and affective computing to foster emotional development in children with autism spectrum disorder</t>
        </is>
      </c>
      <c r="D339" s="4" t="inlineStr">
        <is>
          <t>10.1016/j.ijhcs.2025.103486</t>
        </is>
      </c>
      <c r="E339" s="4" t="inlineStr">
        <is>
          <t>https://doi.org/10.1016/j.ijhcs.2025.103486</t>
        </is>
      </c>
      <c r="F339" s="4" t="inlineStr">
        <is>
          <t>Emotional skills are crucial for a child's success, though children with autism spectrum disorder (ASD) face challenges in understanding social contexts, as well as recognizing and expressing facial expressions. We present EmoLand, a web-based interactive system that utilizes narrative animations, multilevel games, and artificial intelligence (AI) affective computing to instruct children with ASD about neurotypical emotions and facial expressions in social contexts. The paper sets out the iterative design process used, which was informed by ASD intervention theories, empirical studies focused on children with ASD and their educators (tutors, therapists, parents), and multiple discipline expert inputs. A preliminary evaluation involving twelve children with ASD (aged 4 to 7 years) and five tutors suggests that EmoLand is a viable teaching aid for ASD educators and effectively assists children in learning and applying generalized knowledge about emotions and facial expressions. In this paper, we discuss the design approach and key lessons learned for creating interactive AI systems for children with ASD and explore beneficial considerations for enhancing emotional development.</t>
        </is>
      </c>
      <c r="G339" s="4" t="inlineStr">
        <is>
          <t>Evaluación de campo de 3 semanas en escuela especial: 12 niños con ASD, 5 tutores, 330 clips revisados; el módulo de feedback afectivo reporta 97.6% de acierto. Muestra pequeña y evaluación breve. La precisión del módulo de feedback no debe confundirse con eficacia clínica de largo plazo.</t>
        </is>
      </c>
      <c r="H339" s="4" t="str"/>
      <c r="I339" s="4" t="inlineStr">
        <is>
          <t>Lote_01_25: nivel=Texto completo compartido por autores; hallazgo=Evaluación de campo de 3 semanas en escuela especial: 12 niños con ASD, 5 tutores, 330 clips revisados; el módulo de feedback afectivo reporta 97.6% de acierto.; limitación=Muestra pequeña y evaluación breve. La precisión del módulo de feedback no debe confundirse con eficacia clínica de largo plazo.; acción=Verificación independiente del revisor humano antes del cierre final; fuente=https://www.researchgate.net/publication/389491878_EmoLand_Utilizing_Narrative_Animations_Multilevel_Games_and_Affective_Computing_to_Foster_Emotional_Development_in_Children_with_Autism_Spectrum_Disorder</t>
        </is>
      </c>
      <c r="J339" s="4" t="inlineStr">
        <is>
          <t>Contenido integral evaluable revisado; ver nivel exacto de fuente, evidencia y cautelas en Lote_01_25.</t>
        </is>
      </c>
      <c r="K339" s="4" t="inlineStr">
        <is>
          <t>Inherited scoped adjudication; see source level and lot caveats</t>
        </is>
      </c>
      <c r="L339" s="4" t="inlineStr">
        <is>
          <t>Not documented in provided sources</t>
        </is>
      </c>
    </row>
    <row r="340" ht="409" customHeight="1">
      <c r="A340" s="4" t="inlineStr">
        <is>
          <t>new_7</t>
        </is>
      </c>
      <c r="B340" s="4" t="inlineStr">
        <is>
          <t>Update</t>
        </is>
      </c>
      <c r="C340" s="4" t="inlineStr">
        <is>
          <t>Hybrid optimization enabled DenseNet for autism spectrum disorders using MRI image</t>
        </is>
      </c>
      <c r="D340" s="4" t="inlineStr">
        <is>
          <t>10.1016/j.compbiolchem.2024.108335</t>
        </is>
      </c>
      <c r="E340" s="4" t="inlineStr">
        <is>
          <t>https://doi.org/10.1016/j.compbiolchem.2024.108335</t>
        </is>
      </c>
      <c r="F340" s="4" t="inlineStr">
        <is>
          <t>Autism spectrum disorder (ASD) is the neuro-developmental disorder caused by various changes in the brain. It affects the life conditions with social interaction and communication. Most of the previous researches used the various techniques for the early detection to reduce the ASD, but it had been occurred several complications such as, time expenses, and low accessibility for diagnosis.This paper aims to develop the JSTO-DenseNetmodel is for the detection of ASD. In this paper, an input autism brainimage is considered as an input applied to image pre-processing phase. In image pre-processing, the clatters are removed utilizing Gaussian filtering and also, Region of Interest (ROI) extraction is carried out. Thereafter, extraction of pivotal region is done based on functional connectivity utilizing proposed Jaya Sewing Training Optimization (JSTO). The JSTO is newly introduced by combining Jaya algorithm and Sewing Training-Based Optimization (STBO). Thus, output-1 is obtained. In feature extraction phase, grey level co-occurrence matrix (GLCM) features like entropy, correlation, energy, homogeneity, inverse difference moment, Angular second moment and texture features namelylocal ternary patterns (LTP), Local Optimal Oriented Pattern (LOOP) and Histogram of Oriented Gradients (HOG) are extracted from the Magnetic Resonance Imaging (MRI). Therefore, output-2 is obtained. From output-1 and output-2, ASD classification is accomplished using DenseNet, which is trained employing same proposed JSTO.The proposed JSTO-DenseNet model achieves the highest accuracy of 94.8 %, True Positive Rate (TPR) of 90 %, True Negative Rate (TNR) of 90.5 %, un-weighted average recall (UAR) of 89.8 % and the lowest False Negative Rate (FNR) of 86.7 %, and False Positive Rate of 82.6 %, when compared with other traditional methods like, Explainable Artificial Intelligence (XAI), Hybrid deep lightweight feature generator, CLAttention, Two stream end-to-end deep learning (DL), Auto-Encoder feature representation, and Fuzzy Inference Gait System-Deep Extreme Adaptive Fuzzy (FIGS-DEAF) based on Abide 1 dataset.</t>
        </is>
      </c>
      <c r="G340" s="4" t="inlineStr">
        <is>
          <t>Pipeline con preprocesamiento MRI, extracción ROI/rasgos y DenseNet optimizado con JSTO; reporta accuracy de 94.8%. No se identificó validación externa independiente. Además, el texto indexado reporta FNR/FPR que parecen incompatibles con TPR/TNR simultáneamente reportados bajo definiciones estándar; requiere comprobación de tabla en verificación independiente.</t>
        </is>
      </c>
      <c r="H340" s="4" t="str"/>
      <c r="I340" s="4" t="inlineStr">
        <is>
          <t>Lote_01_25: nivel=Texto del artículo indexado por el editor; se recuperaron metodología/resultados/conclusión; hallazgo=Pipeline con preprocesamiento MRI, extracción ROI/rasgos y DenseNet optimizado con JSTO; reporta accuracy de 94.8%.; limitación=No se identificó validación externa independiente. Además, el texto indexado reporta FNR/FPR que parecen incompatibles con TPR/TNR simultáneamente reportados bajo definiciones estándar; requiere comprobación de tabla en verificación independiente.; acción=Verificación independiente del revisor humano antes del cierre final; fuente=https://www.sciencedirect.com/science/article/pii/S1476927124003232</t>
        </is>
      </c>
      <c r="J340" s="4" t="inlineStr">
        <is>
          <t>Contenido integral evaluable revisado; ver nivel exacto de fuente, evidencia y cautelas en Lote_01_25.</t>
        </is>
      </c>
      <c r="K340" s="4" t="inlineStr">
        <is>
          <t>Inherited scoped adjudication; see source level and lot caveats</t>
        </is>
      </c>
      <c r="L340" s="4" t="inlineStr">
        <is>
          <t>Not documented in provided sources</t>
        </is>
      </c>
    </row>
    <row r="341" ht="346" customHeight="1">
      <c r="A341" s="4" t="inlineStr">
        <is>
          <t>new_15</t>
        </is>
      </c>
      <c r="B341" s="4" t="inlineStr">
        <is>
          <t>Update</t>
        </is>
      </c>
      <c r="C341" s="4" t="inlineStr">
        <is>
          <t>MCBERT: A multi-modal framework for the diagnosis of autism spectrum disorder</t>
        </is>
      </c>
      <c r="D341" s="4" t="inlineStr">
        <is>
          <t>10.1016/j.biopsycho.2024.108976</t>
        </is>
      </c>
      <c r="E341" s="4" t="inlineStr">
        <is>
          <t>https://doi.org/10.1016/j.biopsycho.2024.108976</t>
        </is>
      </c>
      <c r="F341" s="4" t="inlineStr">
        <is>
          <t>Within the domain of neurodevelopmental disorders, autism spectrum disorder (ASD) emerges as a distinctive neurological condition characterized by multifaceted challenges. The delayed identification of ASD poses a considerable hurdle in effectively managing its impact and mitigating its severity. Addressing these complexities requires a nuanced understanding of data modalities and the underlying patterns. Existing studies have focused on a single data modality for ASD diagnosis. Recently, there has been a significant shift towards multimodal architectures with deep learning strategies due to their ability to handle and incorporate complex data modalities. In this paper, we developed a novel multimodal ASD diagnosis architecture, referred to as Multi-Head CNN with BERT (MCBERT), which integrates bidirectional encoder representations from transformers (BERT) for meta-features and a multi-head convolutional neural network (MCNN) for the brain image modality. The MCNN incorporates two attention mechanisms to capture spatial (SAC) and channel (CAC) features. The outputs of BERT and MCNN are then fused and processed through a classification module to generate the final diagnosis. We employed the ABIDE-I dataset, a multimodal dataset, and conducted a leave-one-site-out classification to assess the model's effectiveness comprehensively. Experimental simulations demonstrate that the proposed architecture achieves a high accuracy of 93.4 %. Furthermore, the exploration of functional MRI data may provide a deeper understanding of the underlying characteristics of ASD.</t>
        </is>
      </c>
      <c r="G341" s="4" t="inlineStr">
        <is>
          <t>MCBERT fusiona MRI y meta-features en ABIDE-I y usa leave-one-site-out; se reporta accuracy máxima de 93.4%. LOSO sí aporta evaluación entre sitios y se codifica como external/site-held-out validation. El uso de atención arquitectónica no se contabilizó como XAI porque no se identificó una evaluación explícita de explicaciones.</t>
        </is>
      </c>
      <c r="H341" s="4" t="str"/>
      <c r="I341" s="4" t="inlineStr">
        <is>
          <t>Lote_01_25: nivel=Texto del artículo indexado por el editor; arquitectura, experimento y LOSO recuperados; hallazgo=MCBERT fusiona MRI y meta-features en ABIDE-I y usa leave-one-site-out; se reporta accuracy máxima de 93.4%.; limitación=LOSO sí aporta evaluación entre sitios y se codifica como external/site-held-out validation. El uso de atención arquitectónica no se contabilizó como XAI porque no se identificó una evaluación explícita de explicaciones.; acción=Verificación independiente del revisor humano antes del cierre final; fuente=https://www.sciencedirect.com/science/article/pii/S0301051124002369</t>
        </is>
      </c>
      <c r="J341" s="4" t="inlineStr">
        <is>
          <t>Contenido integral evaluable revisado; ver nivel exacto de fuente, evidencia y cautelas en Lote_01_25.</t>
        </is>
      </c>
      <c r="K341" s="4" t="inlineStr">
        <is>
          <t>Inherited scoped adjudication; see source level and lot caveats</t>
        </is>
      </c>
      <c r="L341" s="4" t="inlineStr">
        <is>
          <t>Not documented in provided sources</t>
        </is>
      </c>
    </row>
    <row r="342" ht="320" customHeight="1">
      <c r="A342" s="4" t="inlineStr">
        <is>
          <t>new_21</t>
        </is>
      </c>
      <c r="B342" s="4" t="inlineStr">
        <is>
          <t>Update</t>
        </is>
      </c>
      <c r="C342" s="4" t="inlineStr">
        <is>
          <t>Screening biomarkers for autism spectrum disorder using plasma proteomics combined with machine learning methods</t>
        </is>
      </c>
      <c r="D342" s="4" t="inlineStr">
        <is>
          <t>10.1016/j.cca.2024.120018</t>
        </is>
      </c>
      <c r="E342" s="4" t="inlineStr">
        <is>
          <t>https://doi.org/10.1016/j.cca.2024.120018</t>
        </is>
      </c>
      <c r="F342" s="4" t="inlineStr">
        <is>
          <t>Background and aims: Autism spectrum disorder (ASD) is a common neurodevelopmental disorder in children. Early intervention is effective. Investigation of novel blood biomarkers of ASD facilitates early detection and intervention. Materials and Methods: Sequential window acquisition of all theoretical spectra-mass spectrometry (SWATH-MS)-based proteomics technology and 30 DSM-V defined ASD cases versus age- and sex-matched controls were initially evaluated, and candidate biomarkers were screened using machine learning methods. Candidate biomarkers were validated by targeted proteomics multiple reaction monitoring (MRM) analysis using an independent group of 30 ASD cases vs. controls. Results: Fifty-one differentially expressed proteins (DEPs) were identified by SWATH analysis. They were associated with the immune response, complements and coagulation cascade pathways, and apolipoprotein-related metabolic pathways. Machine learning analysis screened 10 proteins as biomarker combinations (TFRC, PPBP, APCS, ALDH1A1, CD5L, SPARC, FGG, SHBG, S100A9, and PF4V1). In the MRM analysis, four proteins (PPBP, APCS, FGG, and PF4V1) were significantly different between the groups, and their combination as a screening indicator showed high potential (AUC = 0.8087, 95 % confidence interval 0.6904–0.9252, p &lt; 0.0001). Conclusions: Our study provides data that suggests that a few plasma proteins have potential use in screening for ASD.</t>
        </is>
      </c>
      <c r="G342" s="4" t="inlineStr">
        <is>
          <t>SWATH-MS en 30 ASD vs controles seleccionó biomarcadores mediante ML; un grupo independiente adicional de 30 ASD vs controles fue validado por MRM. Panel de 4 proteínas: AUC 0.8087. La validación independiente fortalece el biomarcador, pero parece provenir del mismo entorno institucional y no demuestra generalización cross-site.</t>
        </is>
      </c>
      <c r="H342" s="4" t="str"/>
      <c r="I342" s="4" t="inlineStr">
        <is>
          <t>Lote_01_25: nivel=Texto del artículo indexado por el editor; materiales/métodos y validación independiente recuperados; hallazgo=SWATH-MS en 30 ASD vs controles seleccionó biomarcadores mediante ML; un grupo independiente adicional de 30 ASD vs controles fue validado por MRM. Panel de 4 proteínas: AUC 0.8087.; limitación=La validación independiente fortalece el biomarcador, pero parece provenir del mismo entorno institucional y no demuestra generalización cross-site.; acción=Verificación independiente del revisor humano antes del cierre final; fuente=https://www.sciencedirect.com/science/article/pii/S000989812402271X</t>
        </is>
      </c>
      <c r="J342" s="4" t="inlineStr">
        <is>
          <t>Contenido integral evaluable revisado; ver nivel exacto de fuente, evidencia y cautelas en Lote_01_25.</t>
        </is>
      </c>
      <c r="K342" s="4" t="inlineStr">
        <is>
          <t>Inherited scoped adjudication; see source level and lot caveats</t>
        </is>
      </c>
      <c r="L342" s="4" t="inlineStr">
        <is>
          <t>Not documented in provided sources</t>
        </is>
      </c>
    </row>
    <row r="343" ht="359" customHeight="1">
      <c r="A343" s="4" t="inlineStr">
        <is>
          <t>new_23</t>
        </is>
      </c>
      <c r="B343" s="4" t="inlineStr">
        <is>
          <t>Update</t>
        </is>
      </c>
      <c r="C343" s="4" t="inlineStr">
        <is>
          <t>Introducing 3DCNN ResNets for ASD full-body kinematic assessment: A comparison with hand-crafted features</t>
        </is>
      </c>
      <c r="D343" s="4" t="inlineStr">
        <is>
          <t>10.1016/j.eswa.2024.126295</t>
        </is>
      </c>
      <c r="E343" s="4" t="inlineStr">
        <is>
          <t>https://doi.org/10.1016/j.eswa.2024.126295</t>
        </is>
      </c>
      <c r="F343" s="4" t="inlineStr">
        <is>
          <t>Autism Spectrum Disorder (ASD) is characterized by challenges in social communication and restricted patterns, with motor abnormalities gaining traction for early detection. However, kinematic analysis in ASD is limited, often lacking robust validation and relying on hand-crafted features for single tasks, leading to inconsistencies across studies. End-to-end models have emerged as promising methods to overcome the need for feature engineering. Our aim is to propose a newly adapted 3DCNN ResNet from action recognition and compare it to widely used hand-crafted features for motor ASD assessment. Specifically, we developed a virtual reality environment with multiple motor tasks and trained models using both approaches. We prioritized a reliable validation framework with subject-wise nestedrepeated cross-validation. Results show the proposed model achieves a maximum accuracy of 85±3%, outperforming state-of-the-art end-to-end models with short 1-to-3 min samples. Our comparative analysis with hand-crafted features shows feature-engineered models outperformed our end-to-end model in certain tasks. However, generalized linear mixed-effects models showed that our end-to-end model achieved a statistically higher mean AUC (0.80±0.03) and Sensitivity (66±3%), while showing less variability across all VR tasks, demonstrating domain generalization and reliability. These findings show that end-to-end models enable less variable and context-independent ASD classification without requiring domain knowledge or task specificity. However, they also recognize the effectiveness of hand-crafted features in specific task scenarios.</t>
        </is>
      </c>
      <c r="G343" s="4" t="inlineStr">
        <is>
          <t>n=81 (42 TD, 39 ASD); validación anidada repetida separada por sujeto; compara modelos end-to-end 3D CNN-ResNet con rasgos manuales y aplica SHAP. La validación interna está bien protegida contra mezcla de sujetos, pero el tamaño muestral sigue siendo pequeño y no existe cohorte externa independiente.</t>
        </is>
      </c>
      <c r="H343" s="4" t="str"/>
      <c r="I343" s="4" t="inlineStr">
        <is>
          <t>Lote_01_25: nivel=PDF completo en repositorio institucional UPV; hallazgo=n=81 (42 TD, 39 ASD); validación anidada repetida separada por sujeto; compara modelos end-to-end 3D CNN-ResNet con rasgos manuales y aplica SHAP.; limitación=La validación interna está bien protegida contra mezcla de sujetos, pero el tamaño muestral sigue siendo pequeño y no existe cohorte externa independiente.; acción=Verificación independiente del revisor humano antes del cierre final; fuente=https://riunet.upv.es/bitstreams/7dfd9135-24ed-4b77-af02-6141eb544c60/download</t>
        </is>
      </c>
      <c r="J343" s="4" t="inlineStr">
        <is>
          <t>Contenido integral evaluable revisado; ver nivel exacto de fuente, evidencia y cautelas en Lote_01_25.</t>
        </is>
      </c>
      <c r="K343" s="4" t="inlineStr">
        <is>
          <t>Inherited scoped adjudication; see source level and lot caveats</t>
        </is>
      </c>
      <c r="L343" s="4" t="inlineStr">
        <is>
          <t>Not documented in provided sources</t>
        </is>
      </c>
    </row>
    <row r="344" ht="409" customHeight="1">
      <c r="A344" s="4" t="inlineStr">
        <is>
          <t>new_37</t>
        </is>
      </c>
      <c r="B344" s="4" t="inlineStr">
        <is>
          <t>Update</t>
        </is>
      </c>
      <c r="C344" s="4" t="inlineStr">
        <is>
          <t>Design of adaptive recommendation system for autism children using optimal feature selection-based adaptive dilated 1DCNN-LSTM with attention mechanism</t>
        </is>
      </c>
      <c r="D344" s="4" t="inlineStr">
        <is>
          <t>10.1016/j.eswa.2024.125399</t>
        </is>
      </c>
      <c r="E344" s="4" t="inlineStr">
        <is>
          <t>https://doi.org/10.1016/j.eswa.2024.125399</t>
        </is>
      </c>
      <c r="F344" s="4" t="inlineStr">
        <is>
          <t>One kind of neurological disorder is caused in the brain which is defined as Autism Spectrum Disorder (ASD). It has acquired the symptoms that appear in young children. In addition to that, it influences how the individual behaves and learns as well as communicates and interacts with others. More specifically, the term Autism is defined as a developmental disorder that impacts communication and social skills and it may vary from mental handicap cases to relieving superior cognitive abilities, intact, and the characteristic pattern of poor. Moreover, the school activities have acquired various difficulties to the given model that include changes in expected routines, intense sensory stimulation, noisy or disordered environments, and social interactions. Consequently, the conventional approaches face certain limitations like user privacy, scalability, and cold-start. Here, a novel suggestion system for autistic children is developed to detect distractions and anxious situations using deep learning and then treat the children based on their abilities. It has helped to prevent the risk to children. The data is given to the selection of the feature stage. The weight optimization is performed using the Modified Garter Snake Optimization Algorithm (MGSOA) during the selection of features. Then, the selected features are given to the Adaptive Dilated One Dimensional Conventional Neural Network (1DCNN) and Long Short-Term Memory (LSTM) with Attention Mechanism termed AD-1DCNN + LSTM-AMfor detecting the autism disorder for children. Here, the parameter optimization is performed using MGSOA optimization. It effectively forecasts the symptoms in a short time. This optimization helps to provide reliable and flexible outcomes for the developed recommendation system for autistic children. The developed recommendation system for autistic children is compared to baseline techniques with efficacy metrics to visualize elevated results.</t>
        </is>
      </c>
      <c r="G344" s="4" t="inlineStr">
        <is>
          <t>Sistema adaptativo con selección/optimización MGSOA y red dilated 1DCNN-LSTM con atención para detectar estados y recomendar acciones; la evaluación descrita es computacional/simulada. No se identificó despliegue real ni evaluación clínica prospectiva; la modalidad primaria de datos no quedó suficientemente especificada para codificarla sin inferencia.</t>
        </is>
      </c>
      <c r="H344" s="4" t="str"/>
      <c r="I344" s="4" t="inlineStr">
        <is>
          <t>Lote_01_25: nivel=Texto del artículo indexado por el editor; método, experimento y conclusión suficientemente recuperados; hallazgo=Sistema adaptativo con selección/optimización MGSOA y red dilated 1DCNN-LSTM con atención para detectar estados y recomendar acciones; la evaluación descrita es computacional/simulada.; limitación=No se identificó despliegue real ni evaluación clínica prospectiva; la modalidad primaria de datos no quedó suficientemente especificada para codificarla sin inferencia.; acción=Verificación independiente del revisor humano antes del cierre final; fuente=https://www.sciencedirect.com/science/article/abs/pii/S0957417424022668</t>
        </is>
      </c>
      <c r="J344" s="4" t="inlineStr">
        <is>
          <t>Contenido integral evaluable revisado; ver nivel exacto de fuente, evidencia y cautelas en Lote_01_25.</t>
        </is>
      </c>
      <c r="K344" s="4" t="inlineStr">
        <is>
          <t>Inherited scoped adjudication; see source level and lot caveats</t>
        </is>
      </c>
      <c r="L344" s="4" t="inlineStr">
        <is>
          <t>Not documented in provided sources</t>
        </is>
      </c>
    </row>
    <row r="345" ht="409" customHeight="1">
      <c r="A345" s="4" t="inlineStr">
        <is>
          <t>new_38</t>
        </is>
      </c>
      <c r="B345" s="4" t="inlineStr">
        <is>
          <t>Update</t>
        </is>
      </c>
      <c r="C345" s="4" t="inlineStr">
        <is>
          <t>Early detection of autism spectrum disorder using explainable AI and optimized teaching strategies</t>
        </is>
      </c>
      <c r="D345" s="4" t="inlineStr">
        <is>
          <t>10.1016/j.jneumeth.2024.110315</t>
        </is>
      </c>
      <c r="E345" s="4" t="inlineStr">
        <is>
          <t>https://doi.org/10.1016/j.jneumeth.2024.110315</t>
        </is>
      </c>
      <c r="F345" s="4" t="inlineStr">
        <is>
          <t>Autism spectrum disorder (ASD) is defined by the deficits of social relating, language, object use and understanding, intelligence and learning, and verbal and nonverbal communication. Most of the individuals with ASD have genetic conditions; however, early identification and intervention reduce the use of health services and other diagnostic procedures. The varied nature of ASD is widely acknowledged, with each affected individual displaying distinct traits. The variability among autistic children underscores the challenge of identifying effective teaching strategies, as what works for one child may not be suitable for another. In this study, we merge two ASD screening datasets focusing on toddlers. We employ three feature engineering techniques to extract significant features from the dataset to enhance model performance. This study presents an innovative two-phase method where initially, we employ diverse machine learning models, such as a combination of logistic regression and support vector machine classifiers. The focus of the second phase is on identifying tailored educational methods for children with ASD through the assessment of their behavioral, verbal, and physical responses. The main goal of this study is to develop personalized educational strategies for individuals with ASD. This will be achieved by employing machine learning techniques to enhance precision and better meet their unique needs. Experimental results achieve a classification accuracy of 94% in ASD identification using Chi-square extracted features. Concerning the choice of the best teaching approach for ASD children, the proposed approach shows 99.29% accuracy. Performance comparison with existing studies shows the superior performance of the proposed LR-SVM ensemble coupled with Chi-square features. In conclusion, the proposed approach provides a two-phase strategy for identifying ASD children and offering a suitable teaching strategy with respect to the severity of the ASD, thereby potentially contributing to the development of tailored solutions for children with varying needs.</t>
        </is>
      </c>
      <c r="G345" s="4" t="inlineStr">
        <is>
          <t>Combina dos datasets de toddlers, usa split 80:20, SMOTE, tres métodos de selección y ensamble LR-SVM; reporta 94% para ASD y 99.29% para estrategia docente. Aunque el título usa “explainable AI”, no se identificó SHAP/LIME u otro método XAI formal en el texto recuperado; se codificó solo interpretabilidad parcial por selección de rasgos. No hay validación externa independiente.</t>
        </is>
      </c>
      <c r="H345" s="4" t="str"/>
      <c r="I345" s="4" t="inlineStr">
        <is>
          <t>Lote_01_25: nivel=Artículo indexado con introducción, Materials and methods, Results, Discussion y Conclusion recuperados; hallazgo=Combina dos datasets de toddlers, usa split 80:20, SMOTE, tres métodos de selección y ensamble LR-SVM; reporta 94% para ASD y 99.29% para estrategia docente.; limitación=Aunque el título usa “explainable AI”, no se identificó SHAP/LIME u otro método XAI formal en el texto recuperado; se codificó solo interpretabilidad parcial por selección de rasgos. No hay validación externa independiente.; acción=Verificación independiente del revisor humano antes del cierre final; fuente=https://www.sciencedirect.com/science/article/abs/pii/S0165027024002607</t>
        </is>
      </c>
      <c r="J345" s="4" t="inlineStr">
        <is>
          <t>Contenido integral evaluable revisado; ver nivel exacto de fuente, evidencia y cautelas en Lote_01_25.</t>
        </is>
      </c>
      <c r="K345" s="4" t="inlineStr">
        <is>
          <t>Inherited scoped adjudication; see source level and lot caveats</t>
        </is>
      </c>
      <c r="L345" s="4" t="inlineStr">
        <is>
          <t>Not documented in provided sources</t>
        </is>
      </c>
    </row>
    <row r="346" ht="359" customHeight="1">
      <c r="A346" s="4" t="inlineStr">
        <is>
          <t>new_41</t>
        </is>
      </c>
      <c r="B346" s="4" t="inlineStr">
        <is>
          <t>Update</t>
        </is>
      </c>
      <c r="C346" s="4" t="inlineStr">
        <is>
          <t>A systematic evaluation of autism spectrum disorder identification with Scanpath Trend Analysis (STA)</t>
        </is>
      </c>
      <c r="D346" s="4" t="inlineStr">
        <is>
          <t>10.1016/j.bspc.2024.107414</t>
        </is>
      </c>
      <c r="E346" s="4" t="inlineStr">
        <is>
          <t>https://doi.org/10.1016/j.bspc.2024.107414</t>
        </is>
      </c>
      <c r="F346" s="4" t="inlineStr">
        <is>
          <t>Background: Eye-tracking combined with machine learning (ML) has the potential to provide an objective and cost-effective method for identifying autism. However, current ML approaches that aim to identify Autism Spectrum Disorder (ASD) based on naturalistic web interactions have high variations on different pages and tasks. This inconsistency necessitates a more consistent approach since there is no clear pattern for identifying suitable web pages or tasks. In our previous study, we proposed using STA as a consistent approach, which demonstrated a higher mean accuracy than a relevant ML approach. However, our evaluation of STA was limited to a single dataset and a comparison with only one relevant ML approach. Objective: We aim to systematically evaluate the suitability of STA for autism identification using various datasets and compare its performance with other relevant ML approaches. Methods: We evaluated the accuracy of STA across various web pages, images, and tasks using three eye-tracking datasets and compared it to other ML approaches. Results: STA has demonstrated consistent accuracy across different web pages, images, and tasks, achieving a success rate of approximately 60%. STA has also outperformed other relevant ML approaches in terms of both the mean and standard deviation of accuracy rates on individual web pages, resulting in significantly higher results in most browsing tasks. Conclusion: STA is a consistent approach for identifying autism, as it achieves stable accuracy on various web pages, images, and tasks. However, further studies are necessary to improve its accuracy.</t>
        </is>
      </c>
      <c r="G346" s="4" t="inlineStr">
        <is>
          <t>Evalúa STA en tres datasets de eye-tracking y diferentes páginas/tareas; obtiene ~60% de éxito, con menor variación que comparadores ML. La repetición en tres datasets muestra consistencia del algoritmo, pero no se identificó un esquema de entrenamiento fijo en una cohorte y validación externa en otra; no se codifica external validation.</t>
        </is>
      </c>
      <c r="H346" s="4" t="str"/>
      <c r="I346" s="4" t="inlineStr">
        <is>
          <t>Lote_01_25: nivel=Artículo indexado con métodos, resultados y conclusión recuperados; hallazgo=Evalúa STA en tres datasets de eye-tracking y diferentes páginas/tareas; obtiene ~60% de éxito, con menor variación que comparadores ML.; limitación=La repetición en tres datasets muestra consistencia del algoritmo, pero no se identificó un esquema de entrenamiento fijo en una cohorte y validación externa en otra; no se codifica external validation.; acción=Verificación independiente del revisor humano antes del cierre final; fuente=https://www.sciencedirect.com/science/article/pii/S1746809424014721</t>
        </is>
      </c>
      <c r="J346" s="4" t="inlineStr">
        <is>
          <t>Contenido integral evaluable revisado; ver nivel exacto de fuente, evidencia y cautelas en Lote_01_25.</t>
        </is>
      </c>
      <c r="K346" s="4" t="inlineStr">
        <is>
          <t>Inherited scoped adjudication; see source level and lot caveats</t>
        </is>
      </c>
      <c r="L346" s="4" t="inlineStr">
        <is>
          <t>Not documented in provided sources</t>
        </is>
      </c>
    </row>
    <row r="347" ht="409" customHeight="1">
      <c r="A347" s="4" t="inlineStr">
        <is>
          <t>new_46</t>
        </is>
      </c>
      <c r="B347" s="4" t="inlineStr">
        <is>
          <t>Update</t>
        </is>
      </c>
      <c r="C347" s="4" t="inlineStr">
        <is>
          <t>Recognition of autism in subcortical brain volumetric images using autoencoding-based region selection method and Siamese Convolutional Neural Network</t>
        </is>
      </c>
      <c r="D347" s="4" t="inlineStr">
        <is>
          <t>10.1016/j.ijmedinf.2024.105707</t>
        </is>
      </c>
      <c r="E347" s="4" t="inlineStr">
        <is>
          <t>https://doi.org/10.1016/j.ijmedinf.2024.105707</t>
        </is>
      </c>
      <c r="F347" s="4" t="inlineStr">
        <is>
          <t>Background: Autism Spectrum Disorder (ASD) is a neurodevelopmental condition that affects social interactions and behavior. Accurate and early diagnosis of ASD is still challenging even with the improvements in neuroimaging technology and machine learning algorithms. It's challenging because of the wide range of symptoms, delayed appearance of symptoms, and the subjective nature of diagnosis. In this study, the aim is to enhance ASD recognition by focusing on brain subcortical regions, which are critical for understanding ASD pathology. Methodology: First, subcortical structures were extracted from a collection of brain MRI datasets using sophisticated processing steps. Next, a 3D autoencoder was trained on these 3D images to help identify brain regions related to ASD. Two distinct feature selection methods were then applied to the features extracted from the encoder. The highest-ranked features were iteratively selected and increased to reconstruct a specific percentage of the brain that represents the most relevant parts for ASD. Finally, a Siamese Convolutional Neural Network (SCNN) was employed as the classifier model. Results: The 3D autoencoder stage helped in identifying and reconstructing the significant subcortical regions related to ASD. Based on the studied dataset, high agreement in regions like the Putamen and Pallidum indicated the critical nature of these structures in distinguishing Autism from controls cases. Subsequently, applying SCNN on these selected subcortical regions yielded promising results. For example, using the classifier on the output regions identified by the Mutual Information (MI) features selection method achieved the highest accuracy of 0.66. Conclusions: This study shows that using a two-stage model involving autoencoder and SCNN can notably improve the classification of ASD from brain MRI volumetric images. Applying an iterative feature extraction approach allowed to achieve a more accurate identification of ASD-related brain areas. This two-stage approach not only improved classification performance but also enhanced the interpretability of the neuroimaging data.</t>
        </is>
      </c>
      <c r="G347" s="4" t="inlineStr">
        <is>
          <t>Usa ABIDE-II, autoencoder 3D para representación/selección regional y Siamese CNN; la selección MI alcanza accuracy máxima reportada cercana a 0.66. ABIDE-II es multisitio, pero no se identificó validación site-held-out. La selección de regiones aporta interpretabilidad anatómica parcial, no XAI formal.</t>
        </is>
      </c>
      <c r="H347" s="4" t="str"/>
      <c r="I347" s="4" t="inlineStr">
        <is>
          <t>Lote_01_25: nivel=Texto del artículo indexado por el editor; metodología/resultados suficientemente recuperados; hallazgo=Usa ABIDE-II, autoencoder 3D para representación/selección regional y Siamese CNN; la selección MI alcanza accuracy máxima reportada cercana a 0.66.; limitación=ABIDE-II es multisitio, pero no se identificó validación site-held-out. La selección de regiones aporta interpretabilidad anatómica parcial, no XAI formal.; acción=Verificación independiente del revisor humano antes del cierre final; fuente=https://www.sciencedirect.com/science/article/pii/S1386505624003708</t>
        </is>
      </c>
      <c r="J347" s="4" t="inlineStr">
        <is>
          <t>Contenido integral evaluable revisado; ver nivel exacto de fuente, evidencia y cautelas en Lote_01_25.</t>
        </is>
      </c>
      <c r="K347" s="4" t="inlineStr">
        <is>
          <t>Inherited scoped adjudication; see source level and lot caveats</t>
        </is>
      </c>
      <c r="L347" s="4" t="inlineStr">
        <is>
          <t>Not documented in provided sources</t>
        </is>
      </c>
    </row>
    <row r="348" ht="359" customHeight="1">
      <c r="A348" s="4" t="inlineStr">
        <is>
          <t>new_47</t>
        </is>
      </c>
      <c r="B348" s="4" t="inlineStr">
        <is>
          <t>Update</t>
        </is>
      </c>
      <c r="C348" s="4" t="inlineStr">
        <is>
          <t>Leveraging deep learning for enhanced diagnosis of autism spectrum disorder using resting-state functional magnetic resonance imaging and clinical data</t>
        </is>
      </c>
      <c r="D348" s="4" t="inlineStr">
        <is>
          <t>10.1016/j.rineng.2025.104444</t>
        </is>
      </c>
      <c r="E348" s="4" t="inlineStr">
        <is>
          <t>https://doi.org/10.1016/j.rineng.2025.104444</t>
        </is>
      </c>
      <c r="F348" s="4" t="inlineStr">
        <is>
          <t>Autism Spectrum Disorder (ASD) presents a multifaceted challenge, characterized by intricate difficulties in social interaction, communication, and behavior. Timely and accurate diagnosis is crucial for effective intervention and support. However, existing methods often struggle to capture the intricate patterns indicative of ASD traits, leading to misdiagnosis or delayed intervention. In response, this research introduces an innovative approach leveraging Deep Attention Bidirectional Long Short-Term Memory (LSTM) networks alongside Convolutional Neural Networks (CNN) with Bidirectional LSTM with Attention for ASD classification. By analyzing resting-state functional Magnetic Resonance Imaging (rs-fMRI) data and phenotypic information from the Autism Brain Imaging Data Exchange (ABIDE) dataset, our model aims to dissect the complex temporal and spatial signatures associated with ASD. Our methodology focuses on integrating attention mechanisms to identify and prioritize key features in the input data, improving classification accuracy. Extensive training and validation are conducted to establish a strong classification framework. Evaluation metrics such as accuracy, precision, sensitivity, and AUC-ROC are used to rigorously assess the effectiveness of our model. Preliminary results showcase promising outcomes: an accuracy of 93%, a precision of 0.90, and an AUC-ROC of 0.93. These findings not only advance the realm of ASD diagnosis research but also hold the potential to augment clinical decision-making with nuanced and reliable classification tools, ultimately improving outcomes for individuals affected by ASD.</t>
        </is>
      </c>
      <c r="G348" s="4" t="inlineStr">
        <is>
          <t>ABIDE (n≈1112) con conectividad rs-fMRI + datos fenotípicos; CNN-BiLSTM con atención y split interno 70/30. El conjunto es multisitio y multifuente, pero la evaluación reportada es un split interno; no se identificó site-held-out/cross-site validation. Atención arquitectónica no se contó como XAI sin análisis de explicación.</t>
        </is>
      </c>
      <c r="H348" s="4" t="str"/>
      <c r="I348" s="4" t="inlineStr">
        <is>
          <t>Lote_01_25: nivel=Texto completo compartido por autores / contenido completo revisable; hallazgo=ABIDE (n≈1112) con conectividad rs-fMRI + datos fenotípicos; CNN-BiLSTM con atención y split interno 70/30.; limitación=El conjunto es multisitio y multifuente, pero la evaluación reportada es un split interno; no se identificó site-held-out/cross-site validation. Atención arquitectónica no se contó como XAI sin análisis de explicación.; acción=Verificación independiente del revisor humano antes del cierre final; fuente=https://doi.org/10.1016/j.rineng.2025.104444</t>
        </is>
      </c>
      <c r="J348" s="4" t="inlineStr">
        <is>
          <t>Contenido integral evaluable revisado; ver nivel exacto de fuente, evidencia y cautelas en Lote_01_25.</t>
        </is>
      </c>
      <c r="K348" s="4" t="inlineStr">
        <is>
          <t>Inherited scoped adjudication; see source level and lot caveats</t>
        </is>
      </c>
      <c r="L348" s="4" t="inlineStr">
        <is>
          <t>Not documented in provided sources</t>
        </is>
      </c>
    </row>
    <row r="349" ht="398" customHeight="1">
      <c r="A349" s="4" t="inlineStr">
        <is>
          <t>new_51</t>
        </is>
      </c>
      <c r="B349" s="4" t="inlineStr">
        <is>
          <t>Update</t>
        </is>
      </c>
      <c r="C349" s="4" t="inlineStr">
        <is>
          <t>Involution fused convolution for classifying eye-tracking patterns of children with Autism Spectrum Disorder</t>
        </is>
      </c>
      <c r="D349" s="4" t="inlineStr">
        <is>
          <t>10.1016/j.engappai.2024.109475</t>
        </is>
      </c>
      <c r="E349" s="4" t="inlineStr">
        <is>
          <t>https://doi.org/10.1016/j.engappai.2024.109475</t>
        </is>
      </c>
      <c r="F349" s="4" t="inlineStr">
        <is>
          <t>Autism Spectrum Disorder (ASD) is a neurological condition that is challenging to diagnose. Numerous studies demonstrate that children diagnosed with autism struggle with maintaining attention spans and have less focused vision. The eye-tracking technology has drawn special attention in the context of ASD since anomalies in gaze have long been acknowledged as a defining feature of autism. Deep Learning (DL) approaches coupled with eye-tracking sensors are exploiting additional capabilities to advance the diagnostic and its applications. DL architectures like convolution have been dominating this domain. However, convolutions alone may be insufficient to capture the important spatial information in eye-tracking patterns, as these patterns are more likely to be localized. The dynamic kernel-based process known as involutions can improve the classification efficiency. In this study, we utilize two image-processing operations to see how these processes learn eye-tracking patterns. Since these patterns are primarily based on spatial information, we employ a hybrid of involution and convolution. Our study shows that adding a few involution layers reduces size and computational cost while enhancing location-specific capabilities, maintaining performance comparable to pure convolutional models. However, excessive involution layers lead to weaker performance. For comparisons, we experiment with two datasets and a combined version of both in ablation studies. Our proposed model, featuring three involution layers and three convolution layers, achieved 99.43% accuracy on the first dataset and 96.78% on the second, with a size of only 1.36 megabytes. These results showcase the effectiveness of combining involution and convolution layers which outperforms previous literature.</t>
        </is>
      </c>
      <c r="G349" s="4" t="inlineStr">
        <is>
          <t>Evalúa involution+convolution en dos datasets de eye-tracking y su combinación; el modelo IC con tres capas de involution supera comparadores. Se usa partición aleatoria tras combinar/aumentar imágenes. Esto plantea un riesgo potencial de dependencia entre imágenes/sujetos si la partición no fue totalmente subject-wise; no se afirma leakage porque el texto no lo demuestra.</t>
        </is>
      </c>
      <c r="H349" s="4" t="str"/>
      <c r="I349" s="4" t="inlineStr">
        <is>
          <t>Lote_01_25: nivel=Preprint completo de autores en arXiv, coincidente con artículo final; hallazgo=Evalúa involution+convolution en dos datasets de eye-tracking y su combinación; el modelo IC con tres capas de involution supera comparadores.; limitación=Se usa partición aleatoria tras combinar/aumentar imágenes. Esto plantea un riesgo potencial de dependencia entre imágenes/sujetos si la partición no fue totalmente subject-wise; no se afirma leakage porque el texto no lo demuestra.; acción=Verificación independiente del revisor humano antes del cierre final; fuente=https://arxiv.org/pdf/2401.03575</t>
        </is>
      </c>
      <c r="J349" s="4" t="inlineStr">
        <is>
          <t>Contenido integral evaluable revisado; ver nivel exacto de fuente, evidencia y cautelas en Lote_01_25.</t>
        </is>
      </c>
      <c r="K349" s="4" t="inlineStr">
        <is>
          <t>Inherited scoped adjudication; see source level and lot caveats</t>
        </is>
      </c>
      <c r="L349" s="4" t="inlineStr">
        <is>
          <t>Not documented in provided sources</t>
        </is>
      </c>
    </row>
    <row r="350" ht="409" customHeight="1">
      <c r="A350" s="4" t="inlineStr">
        <is>
          <t>new_59</t>
        </is>
      </c>
      <c r="B350" s="4" t="inlineStr">
        <is>
          <t>Update</t>
        </is>
      </c>
      <c r="C350" s="4" t="inlineStr">
        <is>
          <t>Advanced autism detection and visualization through XGBoost algorithm for fNIRS hemo-dynamic signals</t>
        </is>
      </c>
      <c r="D350" s="4" t="inlineStr">
        <is>
          <t>10.1016/j.eswa.2025.127013</t>
        </is>
      </c>
      <c r="E350" s="4" t="inlineStr">
        <is>
          <t>https://doi.org/10.1016/j.eswa.2025.127013</t>
        </is>
      </c>
      <c r="F350" s="4" t="inlineStr">
        <is>
          <t>Early detection of Autism Spectrum Disorder (ASD), a neuro-developmental condition characterized by impairments in social communication, is critical for prompt intervention and care. Recent advancements in digital medicine have significantly enhanced the precision and efficiency of ASD diagnosis, management, and care coordination. These technologies offer considerable potential for optimizing treatment pathways and improving patient outcomes. However, challenges remain in sustaining long-term user engagement and effectively integrating these innovations into routine clinical practice for ASD management. In this study, we report the findings from a clinic-based, prospective investigation aimed at evaluating the diagnostic validity of ASD employing XGBoost algorithm. Of the 51 cases assessed, 24 were diagnosed with ASD, while 27 were identified as having developmental delay without autism. Functional near-infrared spectroscopy (fNIRS) was employed to measure resting-state hemo-dynamic fluctuations in the bilateral temporal lobes, revealing connectivity differences through computer vision and machine learning analysis. Agglomerative hierarchical clustering (AgHC) was employed to evaluate the active coupling between fluctuations of deoxygenated hemoglobin (HbR) and oxygenated hemoglobin (HbO) across specific channels, elucidating inter-channel relationships in neurovascular coupling. The algorithm, using a range of significant features, achieved robust diagnostic performance with area under receiver operating characteristic curve of 0.99 ± 1, demonstrating sensitivity of 98%, specificity of 95%, negative predictive value (NPV) of 98%, and positive predictive value (PPV) of 95%, indicating high diagnostic accuracy in distinguishing relevant cases. These findings underscore the potential of digital medicine to offer objective and scalable framework for the diagnosis of autism in real-world clinical environments.</t>
        </is>
      </c>
      <c r="G350" s="4" t="inlineStr">
        <is>
          <t>Estudio clínico prospectivo con 24 ASD y 27 TD, fNIRS de 41 canales y XGBoost con validación anidada (outer 10, inner 5); reporta accuracy 96%. La validación es interna. Los autores reconocen muestra pequeña y ausencia de ADI-R/ADOS como gold-standard; no hay cohorte externa.</t>
        </is>
      </c>
      <c r="H350" s="4" t="str"/>
      <c r="I350" s="4" t="inlineStr">
        <is>
          <t>Lote_01_25: nivel=Artículo del editor con metodología, resultados y limitaciones recuperados; hallazgo=Estudio clínico prospectivo con 24 ASD y 27 TD, fNIRS de 41 canales y XGBoost con validación anidada (outer 10, inner 5); reporta accuracy 96%.; limitación=La validación es interna. Los autores reconocen muestra pequeña y ausencia de ADI-R/ADOS como gold-standard; no hay cohorte externa.; acción=Verificación independiente del revisor humano antes del cierre final; fuente=https://doi.org/10.1016/j.eswa.2025.127013</t>
        </is>
      </c>
      <c r="J350" s="4" t="inlineStr">
        <is>
          <t>Contenido integral evaluable revisado; ver nivel exacto de fuente, evidencia y cautelas en Lote_01_25.</t>
        </is>
      </c>
      <c r="K350" s="4" t="inlineStr">
        <is>
          <t>Inherited scoped adjudication; see source level and lot caveats</t>
        </is>
      </c>
      <c r="L350" s="4" t="inlineStr">
        <is>
          <t>Not documented in provided sources</t>
        </is>
      </c>
    </row>
    <row r="351" ht="385" customHeight="1">
      <c r="A351" s="4" t="inlineStr">
        <is>
          <t>new_60</t>
        </is>
      </c>
      <c r="B351" s="4" t="inlineStr">
        <is>
          <t>Update</t>
        </is>
      </c>
      <c r="C351" s="4" t="inlineStr">
        <is>
          <t>Using convolutional network in graphical model detection of autism disorders with fuzzy inference systems</t>
        </is>
      </c>
      <c r="D351" s="4" t="inlineStr">
        <is>
          <t>10.1016/j.ibmed.2025.100213</t>
        </is>
      </c>
      <c r="E351" s="4" t="inlineStr">
        <is>
          <t>https://doi.org/10.1016/j.ibmed.2025.100213</t>
        </is>
      </c>
      <c r="F351" s="4" t="inlineStr">
        <is>
          <t>Autism spectrum disorder (ASD) study faces several challenges, including variations in brain connectivity patterns, small sample sizes, and data heterogeneity detection by magnetic resonance imaging (MRI). These issues make it challenging to identify consistent imaging modalities. Researchers have explored improved analysis techniques to solve the above problem via multimodal imaging and graph-based methods. Therefore, it is better to understand ASD neurology. The current techniques focus mainly on pairwise comparisons between individuals and often overlook features and individual characteristics. To overcome these limitations, in the proposed novel method, a multiscale enhanced graph with a convolutional network is used for ASD detection. This work integrates non-imaging phenotypic data (from brain imaging data) with functional connectivity data (from Functional magnetic resonance images). In this approach, the population graph represents all individuals as vertices. The phenotypic data were used to calculate the weight between vertices in the graph using the fuzzy inference system. Fuzzy if-then rules, is used to determine the similarity between the phenotypic data. Each vertice connects feature vectors derived from the image data. The vertices and weights of each edge are used to incorporate phenotypic information. A random walk with a fuzzy MSE-GCN framework employs multiple parallel GCN layer embeddings. The outputs from these layers are joined in a completely linked layer to detect ASD efficiently. We assessed the performance of this background by the ABIDE data set and utilized recursive feature elimination and a multilayer perceptron for feature selection. This method achieved an accuracy rate of 87 % better than the current study.</t>
        </is>
      </c>
      <c r="G351" s="4" t="inlineStr">
        <is>
          <t>Combina conectividad rs-fMRI y variables fenotípicas de ABIDE-I en un GCN multiescala con inferencia difusa; usa 11-fold CV interno. Aunque ABIDE-I es multisitio, no se identificó site-held-out validation. El sitio de adquisición aparece entre rasgos fenotípicos, lo que puede introducir dependencia del sitio; se requiere análisis específico antes de afirmar robustez cross-site.</t>
        </is>
      </c>
      <c r="H351" s="4" t="str"/>
      <c r="I351" s="4" t="inlineStr">
        <is>
          <t>Lote_01_25: nivel=Artículo del editor con método y resultados suficientemente recuperados; hallazgo=Combina conectividad rs-fMRI y variables fenotípicas de ABIDE-I en un GCN multiescala con inferencia difusa; usa 11-fold CV interno.; limitación=Aunque ABIDE-I es multisitio, no se identificó site-held-out validation. El sitio de adquisición aparece entre rasgos fenotípicos, lo que puede introducir dependencia del sitio; se requiere análisis específico antes de afirmar robustez cross-site.; acción=Verificación independiente del revisor humano antes del cierre final; fuente=https://doi.org/10.1016/j.ibmed.2025.100213</t>
        </is>
      </c>
      <c r="J351" s="4" t="inlineStr">
        <is>
          <t>Contenido integral evaluable revisado; ver nivel exacto de fuente, evidencia y cautelas en Lote_01_25.</t>
        </is>
      </c>
      <c r="K351" s="4" t="inlineStr">
        <is>
          <t>Inherited scoped adjudication; see source level and lot caveats</t>
        </is>
      </c>
      <c r="L351" s="4" t="inlineStr">
        <is>
          <t>Not documented in provided sources</t>
        </is>
      </c>
    </row>
    <row r="352" ht="359" customHeight="1">
      <c r="A352" s="4" t="inlineStr">
        <is>
          <t>new_63</t>
        </is>
      </c>
      <c r="B352" s="4" t="inlineStr">
        <is>
          <t>Update</t>
        </is>
      </c>
      <c r="C352" s="4" t="inlineStr">
        <is>
          <t>Enhancing autism spectrum disorder early detection with parent-child dyads block-play protocol and attention-enhanced hybrid deep learning framework</t>
        </is>
      </c>
      <c r="D352" s="4" t="inlineStr">
        <is>
          <t>10.1016/j.engappai.2025.110430</t>
        </is>
      </c>
      <c r="E352" s="4" t="inlineStr">
        <is>
          <t>https://doi.org/10.1016/j.engappai.2025.110430</t>
        </is>
      </c>
      <c r="F352" s="4" t="inlineStr">
        <is>
          <t>Autism Spectrum Disorder (ASD) is a rapidly growing neurodevelopmental disorder. Early intervention is crucial for the development of young children with ASD, yet traditional clinical screening methods often lack objectivity. We introduce a novel Parent-Child Dyads Block-Play (PCB) protocol that captures distinct behavioral patterns in ASD toddlers during naturalistic interactions with their parents. This protocol systematically captures and quantifies parent–child interactions during the block-play task, providing a structured and naturalistic environment to observe ASD-relevant behaviors. Drawing on kinesiological and neuroscientific insights, our approach analyzes movement dynamics to reliably differentiate ASD from typically developing (TD) toddlers. In a dataset of 129 toddlers (40 ASD, 89 TD), we analyze the videos using a hybrid deep learning framework that integrates a two-stream graph convolution network (2sGCN) with an attention-enhanced extended long short-term memory (AxLSTM), enabling the capture of both spatial and temporal aspects of movement. Our 2sGCN-AxLSTM framework efficiently analyzes human dynamic behavioral patterns and is able to distinguish between ASD and typical developmental disorders with an unprecedented 89.6% accuracy. This high level of accuracy holds promise for practical clinical use, as it could facilitate timely interventions and potentially improve developmental outcomes. By focusing on real-life parent–child interactions, the proposed PCB protocol provides a valuable tool that can complement traditional assessments, facilitating timely interventions, and potentially improving developmental outcomes.</t>
        </is>
      </c>
      <c r="G352" s="4" t="inlineStr">
        <is>
          <t>Protocolo de block-play parent-child con 40 ASD y 89 TD; cámara RGB, pose con Faster R-CNN+HRNet y clasificador 2sGCN-AxLSTM; accuracy reportada 89.6%. Datos recogidos prospectivamente en un único entorno y n=129; no hay validación externa independiente. El módulo de atención no se contó como XAI porque no se presentó como explicación clínica.</t>
        </is>
      </c>
      <c r="H352" s="4" t="str"/>
      <c r="I352" s="4" t="inlineStr">
        <is>
          <t>Lote_01_25: nivel=Preprint completo de autores en arXiv, coincidente con artículo final; hallazgo=Protocolo de block-play parent-child con 40 ASD y 89 TD; cámara RGB, pose con Faster R-CNN+HRNet y clasificador 2sGCN-AxLSTM; accuracy reportada 89.6%.; limitación=Datos recogidos prospectivamente en un único entorno y n=129; no hay validación externa independiente. El módulo de atención no se contó como XAI porque no se presentó como explicación clínica.; acción=Verificación independiente del revisor humano antes del cierre final; fuente=https://arxiv.org/pdf/2408.16924</t>
        </is>
      </c>
      <c r="J352" s="4" t="inlineStr">
        <is>
          <t>Contenido integral evaluable revisado; ver nivel exacto de fuente, evidencia y cautelas en Lote_01_25.</t>
        </is>
      </c>
      <c r="K352" s="4" t="inlineStr">
        <is>
          <t>Inherited scoped adjudication; see source level and lot caveats</t>
        </is>
      </c>
      <c r="L352" s="4" t="inlineStr">
        <is>
          <t>Not documented in provided sources</t>
        </is>
      </c>
    </row>
    <row r="353" ht="409" customHeight="1">
      <c r="A353" s="4" t="inlineStr">
        <is>
          <t>new_64</t>
        </is>
      </c>
      <c r="B353" s="4" t="inlineStr">
        <is>
          <t>Update</t>
        </is>
      </c>
      <c r="C353" s="4" t="inlineStr">
        <is>
          <t>Involvement of disulfidptosis in the pathophysiology of autism spectrum disorder</t>
        </is>
      </c>
      <c r="D353" s="4" t="inlineStr">
        <is>
          <t>10.1016/j.lfs.2025.123531</t>
        </is>
      </c>
      <c r="E353" s="4" t="inlineStr">
        <is>
          <t>https://doi.org/10.1016/j.lfs.2025.123531</t>
        </is>
      </c>
      <c r="F353" s="4" t="inlineStr">
        <is>
          <t>Autism Spectrum Disorder (ASD) is a complex neurodevelopmental disorder, with oxidative stress recognized as a key pathogenic mechanisms. Oxidative stress disrupts intracellular dynamic- thiol/disulfide homeostasis (DTDH), potentially leading to disulfidptosis, a newly identified cell death mechanism. While studies suggest a link between DTDH and ASD, direct evidence implicating disulfidptosis in ASD pathogenesis remains limited. In this study, Mendelian randomization analysis revealed a significant causal association between disulfidptosis-related sulfhydryl oxidase 1 and 2 and ASD (OR1 = 0.883, OR2 = 0.924, p &lt; 0.05). A positive correlation between protein disulfide-isomerase and cognitive performance (OR = 1.021, p &lt; 0.01) further supported the role of disulfidptosis in ASD. Seven disulfidptosis-related genes (TIMP1, STAT3, VWA1, ADA, IL5, PF4, and TXNDC12) were identified and linked to immune cell alterations. A TF-miRNA-mRNA regulatory network and a predictive model (AUC = 0.759) were constructed and external validation datasets (AUC = 0.811). Immune infiltration analysis demonstrated altered expression of naive B cells and three other types of immune cells in ASD children. Animal experiments further validated the differential expression of key genes, highlighting their relevance to ASD pathogenesis. Animal experiments found that BTBR mice exhibit glucose starvation and NADPH depletion, with the specific indicator Slc7a11 being highly expressed. Silencing Slc7a11 can improve core ASD impairments in BTBR mice. Conclusion: This study establishes the first mechanistic link between disulfidptosis and ASD, identifies seven key genes and their regulatory network, and develops a predictive model with clinical utility. Animal experiments further confirmed the strong association between disulfidpotosis and ASD phenotypes. These findings offer novel therapeutic targets for modulating oxidative stress in ASD.</t>
        </is>
      </c>
      <c r="G353" s="4" t="inlineStr">
        <is>
          <t>Identifies seven disulfidptosis-related genes and reports a predictive model (AUC 0.759) with external validation (AUC 0.811), plus animal follow-up. The paper is primarily mechanistic/biomarker research. External datasets support validation, but no real clinical workflow or site-held-out evaluation was demonstrated.</t>
        </is>
      </c>
      <c r="H353" s="4" t="str"/>
      <c r="I353" s="4" t="inlineStr">
        <is>
          <t>Lote_02_25: nivel=Publisher-indexed article text; sufficient Methods/Results/Discussion sections recovered; hallazgo=Identifies seven disulfidptosis-related genes and reports a predictive model (AUC 0.759) with external validation (AUC 0.811), plus animal follow-up.; limitación=The paper is primarily mechanistic/biomarker research. External datasets support validation, but no real clinical workflow or site-held-out evaluation was demonstrated.; acción=Verificacion independiente del revisor humano antes del cierre final; fuente=https://www.sciencedirect.com/science/article/pii/S0024320525001651</t>
        </is>
      </c>
      <c r="J353" s="4" t="inlineStr">
        <is>
          <t>Contenido integral evaluable revisado; ver nivel exacto de fuente, evidencia y cautelas en Lote_02_25.</t>
        </is>
      </c>
      <c r="K353" s="4" t="inlineStr">
        <is>
          <t>Inherited scoped adjudication; see source level and lot caveats</t>
        </is>
      </c>
      <c r="L353" s="4" t="inlineStr">
        <is>
          <t>Not documented in provided sources</t>
        </is>
      </c>
    </row>
    <row r="354" ht="294" customHeight="1">
      <c r="A354" s="4" t="inlineStr">
        <is>
          <t>new_67</t>
        </is>
      </c>
      <c r="B354" s="4" t="inlineStr">
        <is>
          <t>Update</t>
        </is>
      </c>
      <c r="C354" s="4" t="inlineStr">
        <is>
          <t>Enhancing the identification of autism spectrum disorder in facial expressions using DenseResNet-Based transfer learning approach</t>
        </is>
      </c>
      <c r="D354" s="4" t="inlineStr">
        <is>
          <t>10.1016/j.bspc.2024.107433</t>
        </is>
      </c>
      <c r="E354" s="4" t="inlineStr">
        <is>
          <t>https://doi.org/10.1016/j.bspc.2024.107433</t>
        </is>
      </c>
      <c r="F354" s="4" t="inlineStr">
        <is>
          <t>Autism Spectrum Disorder (ASD) is a neurological disability, which is characterized by cognition, behavioral challenges, social skills, and communication. Identifying children with ASD in the early stages helps improve their learning ability and limit the symptoms. Since there is no medical test to diagnose the disorder, it is very challenging. Many researchers diagnose ASD through facial images and the child's behavior. In this methodology, DenseResNet (DRN)-based transfer learning approaches are proposed to analyze the facial images through deep learning techniques. Generally, the human face reflects the human brain and when it is used as a biomarker, it becomes easy to diagnose ASD in its early stages. This strategy combines two methods: densely connected networks and residual networks, which are pre-trained models to detect facial images of autistic children. This model reaches 97.07% classification accuracy and uses its dataset. The deep learning model creates four dense blocks for extracting features. Moreover, it extracts the features from residual network layers and finally combines the features for classifying the images. This model is trained using around 2526 images and is tested using 200 images. Based on classification accuracy, the autism diagnosis system for children is effectively used by using only facial images.</t>
        </is>
      </c>
      <c r="G354" s="4" t="inlineStr">
        <is>
          <t>DenseResNet combines DenseNet and ResNet transfer learning on facial images; 2526 training and 200 test images; reported accuracy 97.07%. Internal dataset evaluation only. No independent external cohort, prospective clinical workflow, cross-site test, or formal XAI was identified.</t>
        </is>
      </c>
      <c r="H354" s="4" t="str"/>
      <c r="I354" s="4" t="inlineStr">
        <is>
          <t>Lote_02_25: nivel=Publisher-indexed article text; sufficient methodology, experimental setup, discussion and conclusion recovered; hallazgo=DenseResNet combines DenseNet and ResNet transfer learning on facial images; 2526 training and 200 test images; reported accuracy 97.07%.; limitación=Internal dataset evaluation only. No independent external cohort, prospective clinical workflow, cross-site test, or formal XAI was identified.; acción=Verificacion independiente del revisor humano antes del cierre final; fuente=https://www.sciencedirect.com/science/article/pii/S1746809424014915</t>
        </is>
      </c>
      <c r="J354" s="4" t="inlineStr">
        <is>
          <t>Contenido integral evaluable revisado; ver nivel exacto de fuente, evidencia y cautelas en Lote_02_25.</t>
        </is>
      </c>
      <c r="K354" s="4" t="inlineStr">
        <is>
          <t>Inherited scoped adjudication; see source level and lot caveats</t>
        </is>
      </c>
      <c r="L354" s="4" t="inlineStr">
        <is>
          <t>Not documented in provided sources</t>
        </is>
      </c>
    </row>
    <row r="355" ht="385" customHeight="1">
      <c r="A355" s="4" t="inlineStr">
        <is>
          <t>new_74</t>
        </is>
      </c>
      <c r="B355" s="4" t="inlineStr">
        <is>
          <t>Update</t>
        </is>
      </c>
      <c r="C355" s="4" t="inlineStr">
        <is>
          <t>Deep neurocomputational fusion for ASD diagnosis using multi-domain EEG analysis</t>
        </is>
      </c>
      <c r="D355" s="4" t="inlineStr">
        <is>
          <t>10.1016/j.neucom.2025.130353</t>
        </is>
      </c>
      <c r="E355" s="4" t="inlineStr">
        <is>
          <t>https://doi.org/10.1016/j.neucom.2025.130353</t>
        </is>
      </c>
      <c r="F355" s="4" t="inlineStr">
        <is>
          <t>Autism spectrum disorder (ASD) presents significant challenges in early detection due to its heterogeneous nature and the subtlety of neurophysiological variations. Electroencephalography (EEG) has emerged as a promising tool for ASD diagnosis, offering insights into intricate neurophysiological signal dynamics. However, existing computational EEG analysis techniques often struggle to effectively capture complex ASD-related neural activity patterns. To address these limitations, this study proposes an Encoder-Ensemble Fusion Model (EEFM), designed to enhance EEG-based ASD classification through advanced neurocomputational modeling. EEFM integrates multi-domain EEG features with a sophisticated fusion network, initially extracting a diverse range of time and frequency-domain characteristics. This model enables the identification of nuanced and heterogeneous ASD-specific neural activity, leveraging ensemble learning and autoencoder architectures to uncover complex relationships within the data. Specifically, an LSTM (Long Short-Term Memory)-autoencoder models temporal and spatial dependencies, followed by an XGBoost Regressor for nonlinear EEG signal interpretation and a linear regression model for decision boundary refinement. The proposed model has been evaluated on a dataset focusing on sex-specific EEG variations in ASD and Typically Developing (TD) subjects. By incorporating EEG-based neurophysiological biomarkers, EEFM achieved 93% accuracy in distinguishing ASD from TD individuals. This model enhances sensitivity to subtle ASD-related abnormalities while addressing challenges in data heterogeneity, scarcity, and generalizability, contributing to advancements in neurocomputing methodologies for EEG-based ASD diagnosis.</t>
        </is>
      </c>
      <c r="G355" s="4" t="inlineStr">
        <is>
          <t>EEFM fuses time/frequency EEG features using an LSTM autoencoder, XGBoost and linear regression; reported ASD-vs-TD accuracy is 93%. Multiple EEG collections do not by themselves establish independent external validation or cross-site robustness; no formal XAI was reported.</t>
        </is>
      </c>
      <c r="H355" s="4" t="str"/>
      <c r="I355" s="4" t="inlineStr">
        <is>
          <t>Lote_02_25: nivel=Publisher-indexed article text; model description, dataset context, analyses, discussion and conclusion recovered; hallazgo=EEFM fuses time/frequency EEG features using an LSTM autoencoder, XGBoost and linear regression; reported ASD-vs-TD accuracy is 93%.; limitación=Multiple EEG collections do not by themselves establish independent external validation or cross-site robustness; no formal XAI was reported.; acción=Verificacion independiente del revisor humano antes del cierre final; fuente=https://www.sciencedirect.com/science/article/pii/S0925231225010252</t>
        </is>
      </c>
      <c r="J355" s="4" t="inlineStr">
        <is>
          <t>Contenido integral evaluable revisado; ver nivel exacto de fuente, evidencia y cautelas en Lote_02_25.</t>
        </is>
      </c>
      <c r="K355" s="4" t="inlineStr">
        <is>
          <t>Inherited scoped adjudication; see source level and lot caveats</t>
        </is>
      </c>
      <c r="L355" s="4" t="inlineStr">
        <is>
          <t>Not documented in provided sources</t>
        </is>
      </c>
    </row>
    <row r="356" ht="294" customHeight="1">
      <c r="A356" s="4" t="inlineStr">
        <is>
          <t>new_76</t>
        </is>
      </c>
      <c r="B356" s="4" t="inlineStr">
        <is>
          <t>Update</t>
        </is>
      </c>
      <c r="C356" s="4" t="inlineStr">
        <is>
          <t>Female autism categorization using CNN based NeuroNet57 and ant colony optimization</t>
        </is>
      </c>
      <c r="D356" s="4" t="inlineStr">
        <is>
          <t>10.1016/j.compbiomed.2025.109926</t>
        </is>
      </c>
      <c r="E356" s="4" t="inlineStr">
        <is>
          <t>https://doi.org/10.1016/j.compbiomed.2025.109926</t>
        </is>
      </c>
      <c r="F356" s="4" t="inlineStr">
        <is>
          <t>Autism identification and classification using biomedical medical image analysis has advanced recently. Research shows autistic females have different phenotypic and age-related brain variations than males. Gender-specific hormones and genes affect autistic female brain circuitry, unfortunately, female phenotypic and genotypic data is quite deficient. Since physicians spend much time in assessing autistic females manually. Advanced large-scale deep learning algorithms are in dire need of accurate medical diagnosis. This research proposed a 57-layer CNN architecture called NeuroNet57 that can extract features from fMRI factually. After pre-training on the Brain Tumour dataset, the NeuroNet57 model extracts female phenotypic features from autism brain imagining data exchange (ABIDE)-I+II datasets using T1 modality fMRI scans, resulting in feature matrices of 14372 × 4096 for ABIDE_I and 16168 × 4096 for ABIDE_II. Our model uses ant colony optimization (ACO) to select feature subsets for dimensionality reduction. Further, nine machine learning classifiers are used to categorize females with autism spectrum disorder (ASD) from females with control behavior. The KNN-based fineKNN (FKNN) classifier had 92.21% accuracy on ABIDE-I and 93.49% on ABIDE-II. This proves the effectiveness of our proposed model.</t>
        </is>
      </c>
      <c r="G356" s="4" t="inlineStr">
        <is>
          <t>NeuroNet57 extracts ABIDE-I/II features, ACO selects features, and FineKNN reports 92.21% accuracy on ABIDE-I and 93.49% on ABIDE-II. ABIDE is multisite, but the recovered text did not document site-held-out testing or a fixed development-versus-external validation design.</t>
        </is>
      </c>
      <c r="H356" s="4" t="str"/>
      <c r="I356" s="4" t="inlineStr">
        <is>
          <t>Lote_02_25: nivel=Publisher-indexed article text; contributions, preprocessing, experimental setup and results recovered; hallazgo=NeuroNet57 extracts ABIDE-I/II features, ACO selects features, and FineKNN reports 92.21% accuracy on ABIDE-I and 93.49% on ABIDE-II.; limitación=ABIDE is multisite, but the recovered text did not document site-held-out testing or a fixed development-versus-external validation design.; acción=Verificacion independiente del revisor humano antes del cierre final; fuente=https://www.sciencedirect.com/science/article/pii/S001048252500277X</t>
        </is>
      </c>
      <c r="J356" s="4" t="inlineStr">
        <is>
          <t>Contenido integral evaluable revisado; ver nivel exacto de fuente, evidencia y cautelas en Lote_02_25.</t>
        </is>
      </c>
      <c r="K356" s="4" t="inlineStr">
        <is>
          <t>Inherited scoped adjudication; see source level and lot caveats</t>
        </is>
      </c>
      <c r="L356" s="4" t="inlineStr">
        <is>
          <t>Not documented in provided sources</t>
        </is>
      </c>
    </row>
    <row r="357" ht="409" customHeight="1">
      <c r="A357" s="4" t="inlineStr">
        <is>
          <t>new_78</t>
        </is>
      </c>
      <c r="B357" s="4" t="inlineStr">
        <is>
          <t>Update</t>
        </is>
      </c>
      <c r="C357" s="4" t="inlineStr">
        <is>
          <t>Capsule DenseNet++: Enhanced autism detection framework with deep learning and reinforcement learning-based lifestyle recommendation</t>
        </is>
      </c>
      <c r="D357" s="4" t="inlineStr">
        <is>
          <t>10.1016/j.compbiomed.2025.110038</t>
        </is>
      </c>
      <c r="E357" s="4" t="inlineStr">
        <is>
          <t>https://doi.org/10.1016/j.compbiomed.2025.110038</t>
        </is>
      </c>
      <c r="F357" s="4" t="inlineStr">
        <is>
          <t>Autism Spectrum Disorder (ASD) is a complex neurological condition that impairs the ability to interact, communicate, and behave. It is becoming increasingly prevalent worldwide, with an increase in the number of young children diagnosed with ASD in Saudi Arabia. Timely identification and customized interventions are essential for enhancing developmental outcomes. However, existing diagnostic approaches are subjective, limiting the cost-effectiveness of their utilization and the uniformity of their outcomes across different communities. In light of these concerns, this study presents a two-phase deep learning framework for autism detection with lifestyle advice using reinforcement learning. In the first phase, the proposed framework utilizes advanced multiscale statistical techniques for feature extraction, such as measures of central tendencies, variability indices, and percentiles, incorporated with the CosmoNest Optimizer, which is a hybrid of the African Vultures Optimization Algorithm and Butterfly Optimization Algorithm. For accurate ASD identification, these optimized features were classified using Capsule DenseNet++, an advanced deep learning model that increases feature representation efficiency and interpretability. In the second stage, we implement a personalized lifestyle recommendation system using the Proximal Policy Optimization (PPO) algorithm, a reinforcement learning algorithm. In the PPO approach, lifestyle decisions are sequential actions aimed at optimizing interventions, therapies, or daily activities for a given person. The PPO system dynamically learns and adapts recommendations over time to improve its effectiveness. The framework was developed in Python and tested on two datasets: autism screening data and ASD screening data for toddlers in Saudi Arabia. The performance of the detection model was recorded in terms of accuracy (99.2 % and 99.3 %, respectively), precision (98.5 % and 98.7 %, respectively), sensitivity (98.7 % and 98.9 %, respectively), and F1-score (99.1 % and 99.2 %, respectively), demonstrating its robustness for ASD detection across both datasets.</t>
        </is>
      </c>
      <c r="G357" s="4" t="inlineStr">
        <is>
          <t>Uses Capsule DenseNet++ with optimization for ASD screening on two public datasets and a PPO component for lifestyle recommendation; reported accuracies are about 99.2-99.3%. The two datasets were not documented as a fixed independent external-validation scheme, and the recommendation component was not evaluated in a prospective care workflow.</t>
        </is>
      </c>
      <c r="H357" s="4" t="str"/>
      <c r="I357" s="4" t="inlineStr">
        <is>
          <t>Lote_02_25: nivel=Publisher-indexed article text; contributions, experiments, results and conclusion recovered; hallazgo=Uses Capsule DenseNet++ with optimization for ASD screening on two public datasets and a PPO component for lifestyle recommendation; reported accuracies are about 99.2-99.3%.; limitación=The two datasets were not documented as a fixed independent external-validation scheme, and the recommendation component was not evaluated in a prospective care workflow.; acción=Verificacion independiente del revisor humano antes del cierre final; fuente=https://www.sciencedirect.com/science/article/pii/S0010482525003890</t>
        </is>
      </c>
      <c r="J357" s="4" t="inlineStr">
        <is>
          <t>Contenido integral evaluable revisado; ver nivel exacto de fuente, evidencia y cautelas en Lote_02_25.</t>
        </is>
      </c>
      <c r="K357" s="4" t="inlineStr">
        <is>
          <t>Inherited scoped adjudication; see source level and lot caveats</t>
        </is>
      </c>
      <c r="L357" s="4" t="inlineStr">
        <is>
          <t>Not documented in provided sources</t>
        </is>
      </c>
    </row>
    <row r="358" ht="409" customHeight="1">
      <c r="A358" s="4" t="inlineStr">
        <is>
          <t>new_81</t>
        </is>
      </c>
      <c r="B358" s="4" t="inlineStr">
        <is>
          <t>Update</t>
        </is>
      </c>
      <c r="C358" s="4" t="inlineStr">
        <is>
          <t>Self-training EEG discrimination model with weakly supervised sample construction: An age-based perspective on ASD evaluation</t>
        </is>
      </c>
      <c r="D358" s="4" t="inlineStr">
        <is>
          <t>10.1016/j.neunet.2025.107337</t>
        </is>
      </c>
      <c r="E358" s="4" t="inlineStr">
        <is>
          <t>https://doi.org/10.1016/j.neunet.2025.107337</t>
        </is>
      </c>
      <c r="F358" s="4" t="inlineStr">
        <is>
          <t>Deep learning for Electroencephalography (EEG) has become dominant in the tasks of discrimination and evaluation of brain disorders. However, despite its significant successes, this approach has long been facing challenges due to the limited availability of labeled samples and the individuality of subjects, particularly in complex scenarios such as Autism Spectrum Disorders (ASD). To facilitate the efficient optimization of EEG discrimination models in the face of these limitations, this study has developed a framework called STEM (Self-Training EEG Model). STEM accomplishes this by self-training the model, which involves initializing it with limited labeled samples and optimizing it with self-constructed samples. (1) Model initialization with multi-task learning: A multi-task model (MAC) comprising an AutoEncoder and a classifier offers guidance for subsequent pseudo-labeling. This guidance includes task-related latent EEG representations and prediction probabilities of unlabeled samples. The AutoEncoder, which consists of depth-separable convolutions and BiGRUs, is responsible for learning comprehensive EEG representations through the EEG reconstruction task. Meanwhile, the classifier, trained using limited labeled samples through supervised learning, directs the model's attention towards capturing task-related features. (2) Model optimization aided by pseudo-labeled samples construction: Next, trustworthy pseudo-labels are assigned to the unlabeled samples, and this approach (PLASC) combines the sample's distance relationship in the feature space mapped by the encoder with the sample's predicted probability, using the initial MAC model as a reference. The constructed pseudo-labeled samples then support the self-training of MAC to learn individual information from new subjects, potentially enhancing the adaptation of the optimized model to samples from new subjects. The STEM framework has undergone an extensive evaluation, comparing it to state-of-the-art counterparts, using resting-state EEG data collected from 175 ASD-suspicious children spanning different age groups. The observed results indicate the following: (1) STEM achieves the best performance, with an accuracy of 88.33% and an F1-score of 87.24%, and (2) STEM's multi-task learning capability outperforms supervised methods when labeled data is limited. More importantly, the use of PLASC improves the model's performance in ASD discrimination across different age groups, resulting in an increase in accuracy (3%–8%) and F1-scores (4%–10%). These increments are approximately 6% higher than those achieved by the comparison methods.</t>
        </is>
      </c>
      <c r="G358" s="4" t="inlineStr">
        <is>
          <t>STEM combines an autoencoder, depthwise-separable convolution, BiGRU and pseudo-label self-training across EEG data; reported accuracy is 88.33% and F1 87.24%. Use of several EEG datasets does not automatically prove external validation; no explicit site-held-out or prospective clinical evaluation was identified.</t>
        </is>
      </c>
      <c r="H358" s="4" t="str"/>
      <c r="I358" s="4" t="inlineStr">
        <is>
          <t>Lote_02_25: nivel=Publisher-indexed article text; architecture, datasets, results and conclusion recovered; hallazgo=STEM combines an autoencoder, depthwise-separable convolution, BiGRU and pseudo-label self-training across EEG data; reported accuracy is 88.33% and F1 87.24%.; limitación=Use of several EEG datasets does not automatically prove external validation; no explicit site-held-out or prospective clinical evaluation was identified.; acción=Verificacion independiente del revisor humano antes del cierre final; fuente=https://www.sciencedirect.com/science/article/pii/S0893608025002163</t>
        </is>
      </c>
      <c r="J358" s="4" t="inlineStr">
        <is>
          <t>Contenido integral evaluable revisado; ver nivel exacto de fuente, evidencia y cautelas en Lote_02_25.</t>
        </is>
      </c>
      <c r="K358" s="4" t="inlineStr">
        <is>
          <t>Inherited scoped adjudication; see source level and lot caveats</t>
        </is>
      </c>
      <c r="L358" s="4" t="inlineStr">
        <is>
          <t>Not documented in provided sources</t>
        </is>
      </c>
    </row>
    <row r="359" ht="385" customHeight="1">
      <c r="A359" s="4" t="inlineStr">
        <is>
          <t>new_84</t>
        </is>
      </c>
      <c r="B359" s="4" t="inlineStr">
        <is>
          <t>Update</t>
        </is>
      </c>
      <c r="C359" s="4" t="inlineStr">
        <is>
          <t>Towards screening of children students with autism spectrum disorder based on executive functions with serious game and machine learning approaches</t>
        </is>
      </c>
      <c r="D359" s="4" t="inlineStr">
        <is>
          <t>10.1016/j.eswa.2025.128884</t>
        </is>
      </c>
      <c r="E359" s="4" t="inlineStr">
        <is>
          <t>https://doi.org/10.1016/j.eswa.2025.128884</t>
        </is>
      </c>
      <c r="F359" s="4" t="inlineStr">
        <is>
          <t>Educators face challenges in accommodating children with Autism Spectrum Disorder (ASD), particularly those without a definitive clinical diagnosis. Full-day schools provide a convenient setting to implement ASD screening techniques. Children diagnosed with ASD can receive customized interventions, allowing educators to customize teaching to individual needs and promote inclusive education. However, screening methods must seamlessly integrate into the educational environment, ensuring they are noninvasive and engaging. This study proposes a Serious Game (SG) tablet application that combines user requirements for inclusive design with Machine Learning (ML) techniques for screening analysis, offering a playful tool for ASD screening. This tablet application includes three classical games designed to analyze executive functions (EF) in children. We recruited three inclusive education teachers to supervise 12 children aged between 3 and 6 years old, including 6 with ASD and 6 typically developing children. The teachers also facilitated the children's use of our tablet application. Over three months, children completed 640 game matches, and preprocessing these matches resulted in a comprehensive dataset. We compared seven well-known and commonly used ML approaches: Random Forest (RF), Multilayer Perceptron (MLP), K-Nearest Neighbor (KNN), Logistic Regression (LR), Deep Learning (DL), Support Vector Machine (SVM), and Naive Bayes (NB). According to our results, the RF model performed best with an accuracy of 96 %. Our study sheds light on the integration of playful approaches based on SG and ML techniques in educational environments, laying the groundwork for future research and practical applications to screen for suspected ASD among children in school settings.</t>
        </is>
      </c>
      <c r="G359" s="4" t="inlineStr">
        <is>
          <t>Three teachers supervised 12 children (6 ASD, 6 TD) over three months and 640 game sessions; Random Forest was best, with reported accuracy near 96%. Very small single-context sample. Data collection was prospective, but the classifier was not shown to operate as an independent deployed screening decision in routine practice.</t>
        </is>
      </c>
      <c r="H359" s="4" t="str"/>
      <c r="I359" s="4" t="inlineStr">
        <is>
          <t>Lote_02_25: nivel=Publisher-indexed article text; experimental protocol, participant context, model comparison and results recovered; hallazgo=Three teachers supervised 12 children (6 ASD, 6 TD) over three months and 640 game sessions; Random Forest was best, with reported accuracy near 96%.; limitación=Very small single-context sample. Data collection was prospective, but the classifier was not shown to operate as an independent deployed screening decision in routine practice.; acción=Verificacion independiente del revisor humano antes del cierre final; fuente=https://www.sciencedirect.com/science/article/pii/S0957417425025011</t>
        </is>
      </c>
      <c r="J359" s="4" t="inlineStr">
        <is>
          <t>Contenido integral evaluable revisado; ver nivel exacto de fuente, evidencia y cautelas en Lote_02_25.</t>
        </is>
      </c>
      <c r="K359" s="4" t="inlineStr">
        <is>
          <t>Inherited scoped adjudication; see source level and lot caveats</t>
        </is>
      </c>
      <c r="L359" s="4" t="inlineStr">
        <is>
          <t>Not documented in provided sources</t>
        </is>
      </c>
    </row>
    <row r="360" ht="307" customHeight="1">
      <c r="A360" s="4" t="inlineStr">
        <is>
          <t>new_86</t>
        </is>
      </c>
      <c r="B360" s="4" t="inlineStr">
        <is>
          <t>Update</t>
        </is>
      </c>
      <c r="C360" s="4" t="inlineStr">
        <is>
          <t>Optimized attention-enhanced U-Net for autism detection and region localization in MRI</t>
        </is>
      </c>
      <c r="D360" s="4" t="inlineStr">
        <is>
          <t>10.1016/j.pscychresns.2025.111970</t>
        </is>
      </c>
      <c r="E360" s="4" t="inlineStr">
        <is>
          <t>https://doi.org/10.1016/j.pscychresns.2025.111970</t>
        </is>
      </c>
      <c r="F360" s="4" t="inlineStr">
        <is>
          <t>Autism spectrum disorder (ASD) is a neurodevelopmental condition that affects a child's cognitive and social skills, often diagnosed only after symptoms appear around age 2. Leveraging MRI for early ASD detection can improve intervention outcomes. This study proposes a framework for autism detection and region localization using an optimized deep learning approach with attention mechanisms. The pipeline includes MRI image collection, pre-processing (bias field correction, histogram equalization, artifact removal, and non-local mean filtering), and autism classification with a Symmetric Structured MobileNet with Attention Mechanism (SSM-AM). Enhanced by Refreshing Awareness-aided Election-Based Optimization (RA-EBO), SSM-AM achieves robust classification. Abnormality region localization utilizes a Multiscale Dilated Attention-based Adaptive U-Net (MDA-AUnet) further optimized by RA-EBO. Experimental results demonstrate that our proposed model outperforms existing methods, achieving an accuracy of 97.29%, sensitivity of 97.27%, specificity of 97.36%, and precision of 98.98%, significantly improving classification and localization performance. These results highlight the potential of our approach for early ASD diagnosis and targeted interventions. The datasets utilized for this work are publicly available at https://fcon_1000.projects.nitrc.org/indi/abide/.</t>
        </is>
      </c>
      <c r="G360" s="4" t="inlineStr">
        <is>
          <t>An optimized attention-enhanced MRI pipeline classifies ASD and localizes abnormal regions; reported accuracy is 97.29% on ABIDE-derived data. ABIDE provides multisite data, but no site-held-out validation was identified. Region localization was coded as partial interpretability, not formal XAI.</t>
        </is>
      </c>
      <c r="H360" s="4" t="str"/>
      <c r="I360" s="4" t="inlineStr">
        <is>
          <t>Lote_02_25: nivel=Publisher-indexed article text; pipeline, experimental setup, localization analysis and conclusion recovered; hallazgo=An optimized attention-enhanced MRI pipeline classifies ASD and localizes abnormal regions; reported accuracy is 97.29% on ABIDE-derived data.; limitación=ABIDE provides multisite data, but no site-held-out validation was identified. Region localization was coded as partial interpretability, not formal XAI.; acción=Verificacion independiente del revisor humano antes del cierre final; fuente=https://www.sciencedirect.com/science/article/pii/S0925492725000253</t>
        </is>
      </c>
      <c r="J360" s="4" t="inlineStr">
        <is>
          <t>Contenido integral evaluable revisado; ver nivel exacto de fuente, evidencia y cautelas en Lote_02_25.</t>
        </is>
      </c>
      <c r="K360" s="4" t="inlineStr">
        <is>
          <t>Inherited scoped adjudication; see source level and lot caveats</t>
        </is>
      </c>
      <c r="L360" s="4" t="inlineStr">
        <is>
          <t>Not documented in provided sources</t>
        </is>
      </c>
    </row>
    <row r="361" ht="409" customHeight="1">
      <c r="A361" s="4" t="inlineStr">
        <is>
          <t>new_97</t>
        </is>
      </c>
      <c r="B361" s="4" t="inlineStr">
        <is>
          <t>Update</t>
        </is>
      </c>
      <c r="C361" s="4" t="inlineStr">
        <is>
          <t>Child-therapist acoustic synchrony and response trajectories in autism intervention: an AI-based automated analysis using dynamic systems theory and affective computing</t>
        </is>
      </c>
      <c r="D361" s="4" t="inlineStr">
        <is>
          <t>10.1016/j.etdah.2025.100176</t>
        </is>
      </c>
      <c r="E361" s="4" t="inlineStr">
        <is>
          <t>https://doi.org/10.1016/j.etdah.2025.100176</t>
        </is>
      </c>
      <c r="F361" s="4" t="inlineStr">
        <is>
          <t>Introduction: Child-clinician interpersonal dynamics are central to psychotherapy and are increasingly acknowledged as key elements in autism intervention. However, quantitatively studying fine-grained aspects such as the child-clinician synchrony patterns poses challenges, limiting translational research. Moreover, synchrony is rarely investigated with a long-term perspective. This study employed an AI-based, fully automated computational pipeline to analyze child-clinician interpersonal acoustic synchrony through the lens of complex dynamic systems and affective computing. Methods: We followed 25 autistic preschoolers over one year of Naturalistic Developmental Behavioral Intervention (NDBI). Three 60-minute intervention sessions, at the beginning, after three months, and after one year, were analyzed second-by-second, totaling 75 videos. After AI-based automatic speech segmentation, acoustic synchrony was assessed using Cross-Recurrence Quantification Analysis to derive interaction metrics over the entire therapy sessions employing affective prosodic features. Robust Bayesian correlation analysis was used to explore the relationship between affective acoustic synchrony and developmental learning rates at different time points. Results: No significant associations were found at baseline, while correlations emerged after three months and became more pronounced at one year. Early in therapy, interactions with a stronger internal structure, particularly in loudness, spectral dynamics, and voice quality, were linked to higher developmental gains. After one year, the relationship between synchrony and response shifted toward metrics reflecting transition dynamics and stability. Associations with fine-grained spectral features particularly characterized this phase. Discussion: Specific and different synchrony aspects were associated with therapy response trajectories both in the initial and latter phases of therapy. Acoustic features involved in intervention response are known to participate in the emotional content of speech, highlighting the contribution of affective aspects to therapy. These findings provide valuable insights into the role of interpersonal synchrony in autism intervention and underscore the potential of computational methods in monitoring treatment progress.</t>
        </is>
      </c>
      <c r="G361" s="4" t="inlineStr">
        <is>
          <t>Follows 25 autistic preschoolers over one year of NDBI; 75 intervention videos are analyzed with automatic speech segmentation and CRQA acoustic synchrony. Prospective longitudinal data support monitoring research, but the AI output was analyzed as a research measure rather than used to alter therapy decisions in real time.</t>
        </is>
      </c>
      <c r="H361" s="4" t="str"/>
      <c r="I361" s="4" t="inlineStr">
        <is>
          <t>Lote_02_25: nivel=Open-access article/full-text source located; Methods and longitudinal results sufficiently recovered; hallazgo=Follows 25 autistic preschoolers over one year of NDBI; 75 intervention videos are analyzed with automatic speech segmentation and CRQA acoustic synchrony.; limitación=Prospective longitudinal data support monitoring research, but the AI output was analyzed as a research measure rather than used to alter therapy decisions in real time.; acción=Verificacion independiente del revisor humano antes del cierre final; fuente=https://www.sciencedirect.com/science/article/pii/S2667118225000078</t>
        </is>
      </c>
      <c r="J361" s="4" t="inlineStr">
        <is>
          <t>Contenido integral evaluable revisado; ver nivel exacto de fuente, evidencia y cautelas en Lote_02_25.</t>
        </is>
      </c>
      <c r="K361" s="4" t="inlineStr">
        <is>
          <t>Inherited scoped adjudication; see source level and lot caveats</t>
        </is>
      </c>
      <c r="L361" s="4" t="inlineStr">
        <is>
          <t>Not documented in provided sources</t>
        </is>
      </c>
    </row>
    <row r="362" ht="398" customHeight="1">
      <c r="A362" s="4" t="inlineStr">
        <is>
          <t>new_103</t>
        </is>
      </c>
      <c r="B362" s="4" t="inlineStr">
        <is>
          <t>Update</t>
        </is>
      </c>
      <c r="C362" s="4" t="inlineStr">
        <is>
          <t>Early fusion for Autism classification with biomarker detection using rs-fMRI and phenotypic data</t>
        </is>
      </c>
      <c r="D362" s="4" t="inlineStr">
        <is>
          <t>10.1016/j.bspc.2025.108020</t>
        </is>
      </c>
      <c r="E362" s="4" t="inlineStr">
        <is>
          <t>https://doi.org/10.1016/j.bspc.2025.108020</t>
        </is>
      </c>
      <c r="F362" s="4" t="inlineStr">
        <is>
          <t>Autism Spectrum Disorder (ASD) is a neurodevelopmental disorder affecting approximately 1% of people worldwide. Traditional diagnosis of ASD relies on subjective questionnaire-based assessments, whereas neuroimaging, particularly resting-state functional MRI (rs-fMRI), offers an objective approach for automated detection and improved accuracy. This paper proposes an end-to-end machine learning-based ASD diagnostic model that (i) integrates phenotypic and rs-fMRI data through early fusion, (ii) addresses high data dimensionality using principal component analysis (PCA) and convolutional autoencoder (AE), and (iii) leverages explainable Artificial Intelligence approaches to identify potential biomarkers. We evaluate the proposed model on the Autism Brain Imaging Data Exchange (ABIDE 1), a publicly available multisite dataset. To assess its effectiveness and generalizability, we conduct experiments on combined and individual site data, perform leave-one-site-out evaluations, and analyze the impact of dimensionality reduction techniques. We first train the model on combined data from all sites, achieving 64.9% accuracy with logistic regression. Next, we train and evaluate it on individual sites, with KKI yielding the highest accuracy of 83%. A leave-one-site-out evaluation is further performed to assess the model's generalizability across different sites, achieving the best accuracy of 65.3% with the SVM classifier using a linear kernel. Overall, we observe that the performance of convolutional AE is superior to PCA. Key regions such as the superior frontal gyrus, precuneus cortex, and some vital functional connections such as Brain Stem - Cerebellum were identified as potential biomarkers for the diagnosis of ASD. These findings offer significant clinical value, aiding clinicians in more reliable diagnoses.</t>
        </is>
      </c>
      <c r="G362" s="4" t="inlineStr">
        <is>
          <t>Early fusion combines rs-fMRI and phenotypic features; the study reports explainable biomarker analysis and leave-one-site-out evaluation on multisite ABIDE data. LOSO is strong evidence of site-level generalization but performance remains moderate; it is still retrospective research rather than prospective clinical deployment.</t>
        </is>
      </c>
      <c r="H362" s="4" t="str"/>
      <c r="I362" s="4" t="inlineStr">
        <is>
          <t>Lote_02_25: nivel=Publisher-indexed article text; highlights, Methods/evaluation details and conclusions recovered; hallazgo=Early fusion combines rs-fMRI and phenotypic features; the study reports explainable biomarker analysis and leave-one-site-out evaluation on multisite ABIDE data.; limitación=LOSO is strong evidence of site-level generalization but performance remains moderate; it is still retrospective research rather than prospective clinical deployment.; acción=Verificacion independiente del revisor humano antes del cierre final; fuente=https://www.sciencedirect.com/science/article/pii/S1746809425005312</t>
        </is>
      </c>
      <c r="J362" s="4" t="inlineStr">
        <is>
          <t>Contenido integral evaluable revisado; ver nivel exacto de fuente, evidencia y cautelas en Lote_02_25.</t>
        </is>
      </c>
      <c r="K362" s="4" t="inlineStr">
        <is>
          <t>Inherited scoped adjudication; see source level and lot caveats</t>
        </is>
      </c>
      <c r="L362" s="4" t="inlineStr">
        <is>
          <t>Not documented in provided sources</t>
        </is>
      </c>
    </row>
    <row r="363" ht="281" customHeight="1">
      <c r="A363" s="4" t="inlineStr">
        <is>
          <t>new_110</t>
        </is>
      </c>
      <c r="B363" s="4" t="inlineStr">
        <is>
          <t>Update</t>
        </is>
      </c>
      <c r="C363" s="4" t="inlineStr">
        <is>
          <t>A deep learning model for diagnosing autism using brain time series</t>
        </is>
      </c>
      <c r="D363" s="4" t="inlineStr">
        <is>
          <t>10.1016/j.neuroscience.2025.08.001</t>
        </is>
      </c>
      <c r="E363" s="4" t="inlineStr">
        <is>
          <t>https://doi.org/10.1016/j.neuroscience.2025.08.001</t>
        </is>
      </c>
      <c r="F363" s="4" t="inlineStr">
        <is>
          <t>The early identification of autism is especially critical as it can significantly enhance the effectiveness of intervention strategies. However, the recognition task remains challenging due to the subtle differences between ASD patients and neurotypical individuals. The presented approach leverages a hybrid model that combines Long Short-Term Memory (LSTM) networks with an Attention mechanism, enabling the extraction of both long-term and short-term features for more accurate autism diagnosis. Additionally, we integrate a residual block with channel Attention to enhance feature fusion and mitigate the risk of network degradation. Innovatively, we introduce a sliding window-based data preprocessing method alongside a voting strategy and validate the framework using subject-level 5-fold cross-validation to ensure generalizability across data splits. Our model was evaluated on the Region of Interest (ROI) time series dataset from the Autism Brain Imaging Data Exchange (ABIDE), achieving 73.1 % accuracy on the DOS brain atlas and 81.1 % on the HO brain atlas—outperforming baseline models. Moreover, we constructed brain functional connectivity topological structures for both ASD patients and healthy individuals, providing valuable resources for future autism research.</t>
        </is>
      </c>
      <c r="G363" s="4" t="inlineStr">
        <is>
          <t>Uses ABIDE brain time series with an LSTM-attention architecture; evaluation uses an internal subject split and cross-validation, with no separate external test set. ABIDE is multisite, but the recovered evaluation is not site-held-out. Architectural attention was not counted as XAI without explicit explanation analysis.</t>
        </is>
      </c>
      <c r="H363" s="4" t="str"/>
      <c r="I363" s="4" t="inlineStr">
        <is>
          <t>Lote_02_25: nivel=Publisher-indexed article text; dataset, preprocessing, model and evaluation sections recovered; hallazgo=Uses ABIDE brain time series with an LSTM-attention architecture; evaluation uses an internal subject split and cross-validation, with no separate external test set.; limitación=ABIDE is multisite, but the recovered evaluation is not site-held-out. Architectural attention was not counted as XAI without explicit explanation analysis.; acción=Verificacion independiente del revisor humano antes del cierre final; fuente=https://www.sciencedirect.com/science/article/pii/S0306452225008346</t>
        </is>
      </c>
      <c r="J363" s="4" t="inlineStr">
        <is>
          <t>Contenido integral evaluable revisado; ver nivel exacto de fuente, evidencia y cautelas en Lote_02_25.</t>
        </is>
      </c>
      <c r="K363" s="4" t="inlineStr">
        <is>
          <t>Inherited scoped adjudication; see source level and lot caveats</t>
        </is>
      </c>
      <c r="L363" s="4" t="inlineStr">
        <is>
          <t>Not documented in provided sources</t>
        </is>
      </c>
    </row>
    <row r="364" ht="320" customHeight="1">
      <c r="A364" s="4" t="inlineStr">
        <is>
          <t>new_118</t>
        </is>
      </c>
      <c r="B364" s="4" t="inlineStr">
        <is>
          <t>Update</t>
        </is>
      </c>
      <c r="C364" s="4" t="inlineStr">
        <is>
          <t>Massively parallel characterization of non-coding de novo mutations in autism spectrum disorder</t>
        </is>
      </c>
      <c r="D364" s="4" t="inlineStr">
        <is>
          <t>10.1016/j.jgg.2025.07.008</t>
        </is>
      </c>
      <c r="E364" s="4" t="inlineStr">
        <is>
          <t>https://doi.org/10.1016/j.jgg.2025.07.008</t>
        </is>
      </c>
      <c r="F364" s="4" t="inlineStr">
        <is>
          <t>Autism spectrum disorder (ASD) is a neurodevelopmental disorder where de novo mutations play a significant role. Although coding mutations in ASD have been extensively characterized, the impact of non-coding de novo mutations (ncDNMs) remains less understood. Here, we integrate cortex cell-specific cis -regulatory element annotations, a deep learning-based variant prediction model, and massively parallel reporter assays to systematically evaluate the functional impact of 227,878 ncDNMs from Simons Simplex Collection (SSC) and Autism Speaks MSSNG resource (MSSNG) cohorts. Our analysis identifies 238 ncDNMs with confirmed functional regulatory effects, including 137 down-regulated regulatory mutations (DrMuts) and 101 up-regulated regulatory mutations (UrMuts). Subsequent association analyses reveal that only DrMuts regulating loss-of-function (LoF) intolerant genes rather than other ncDNMs are significantly associated with the risk of ASD (Odds ratio = 4.34; P = 0.001). A total of 42 potential ASD-risk DrMuts across 41 candidate ASD-susceptibility genes are identified, including 12 recognized and 29 unreported genes. Interestingly, these noncoding disruptive mutations tend to be observed in genes extremely intolerant to LoF mutations. Our study introduces an optimized approach for elucidating the functional roles of ncDNMs, thereby expanding the spectrum of pathogenic variants and deepening our understanding of the complex molecular mechanisms underlying ASD.</t>
        </is>
      </c>
      <c r="G364" s="4" t="inlineStr">
        <is>
          <t>Analyzes ncDNMs from SSC and MSSNG using a cell-specific variant-effect model and MPRA follow-up, prioritizing ASD-risk regulatory mutations. This is mechanistic genomic research rather than a clinical-stage decision tool. Multiple cohorts/assays were not coded as formal multisource model fusion or cross-site validation.</t>
        </is>
      </c>
      <c r="H364" s="4" t="str"/>
      <c r="I364" s="4" t="inlineStr">
        <is>
          <t>Lote_02_25: nivel=Publisher-indexed article text; cohort sources, prioritization methods, discussion and experimental validation sections recovered; hallazgo=Analyzes ncDNMs from SSC and MSSNG using a cell-specific variant-effect model and MPRA follow-up, prioritizing ASD-risk regulatory mutations.; limitación=This is mechanistic genomic research rather than a clinical-stage decision tool. Multiple cohorts/assays were not coded as formal multisource model fusion or cross-site validation.; acción=Verificacion independiente del revisor humano antes del cierre final; fuente=https://www.sciencedirect.com/science/article/pii/S167385272500205X</t>
        </is>
      </c>
      <c r="J364" s="4" t="inlineStr">
        <is>
          <t>Contenido integral evaluable revisado; ver nivel exacto de fuente, evidencia y cautelas en Lote_02_25.</t>
        </is>
      </c>
      <c r="K364" s="4" t="inlineStr">
        <is>
          <t>Inherited scoped adjudication; see source level and lot caveats</t>
        </is>
      </c>
      <c r="L364" s="4" t="inlineStr">
        <is>
          <t>Not documented in provided sources</t>
        </is>
      </c>
    </row>
    <row r="365" ht="281" customHeight="1">
      <c r="A365" s="4" t="inlineStr">
        <is>
          <t>new_122</t>
        </is>
      </c>
      <c r="B365" s="4" t="inlineStr">
        <is>
          <t>Update</t>
        </is>
      </c>
      <c r="C365" s="4" t="inlineStr">
        <is>
          <t>A novel hybrid deep learning model using MEResNextfor autism spectrum disorder detection</t>
        </is>
      </c>
      <c r="D365" s="4" t="inlineStr">
        <is>
          <t>10.1016/j.compbiolchem.2025.108619</t>
        </is>
      </c>
      <c r="E365" s="4" t="inlineStr">
        <is>
          <t>https://doi.org/10.1016/j.compbiolchem.2025.108619</t>
        </is>
      </c>
      <c r="F365" s="4" t="inlineStr">
        <is>
          <t>A neurological disease, named autism spectrum disorder (ASD), is portrayed through divergence with social interaction, communication, and repetitive activities. As heredity is an important source, initial identification and treatment can diminish the need for wide examinations and expensive medical procedures for those with ASD. Prolonged effects and severity can be avoided at a timely determination of ASD. This study develops a hybrid deep-learning method for ASD detection. Pre-processing, feature selection and ASD detection are three steps involved. In thepre-processing phase, input data is passed in which noise and artefacts present in the data are removed using Yeo-Jhonson transformation. Next, by integrating Double exponential Smoothing (DES) in Elk Herd Optimizer (EHO), Double exponential Smoothing-Elk Herd Optimizer (DeSEHO),is proposed to select features. At last, the features that are selected are subjected to the ASD detection phase. In this stage, the Moments Embedding ResNeXt (MEResNeXt), which is the combination of Moments Embedding Network (MoNet) and ResNeXt, is used for ASD detection. The results of the research show that MEResNeXtperformed better in terms of traditionalmodelswhich show accuracyof95.3 %, sensitivity of 96.5 %, and specificity of 94.8 %.</t>
        </is>
      </c>
      <c r="G365" s="4" t="inlineStr">
        <is>
          <t>Proposes MEResNeXt with feature selection for ASD detection on a structured toddler screening dataset and reports high classification performance. No independent external cohort, prospective workflow, cross-site test or formal XAI was identified in the recovered article text.</t>
        </is>
      </c>
      <c r="H365" s="4" t="str"/>
      <c r="I365" s="4" t="inlineStr">
        <is>
          <t>Lote_02_25: nivel=Publisher-indexed article text; methodology, experiments, results and conclusion recovered; hallazgo=Proposes MEResNeXt with feature selection for ASD detection on a structured toddler screening dataset and reports high classification performance.; limitación=No independent external cohort, prospective workflow, cross-site test or formal XAI was identified in the recovered article text.; acción=Verificacion independiente del revisor humano antes del cierre final; fuente=https://www.sciencedirect.com/science/article/pii/S1476927125002804</t>
        </is>
      </c>
      <c r="J365" s="4" t="inlineStr">
        <is>
          <t>Contenido integral evaluable revisado; ver nivel exacto de fuente, evidencia y cautelas en Lote_02_25.</t>
        </is>
      </c>
      <c r="K365" s="4" t="inlineStr">
        <is>
          <t>Inherited scoped adjudication; see source level and lot caveats</t>
        </is>
      </c>
      <c r="L365" s="4" t="inlineStr">
        <is>
          <t>Not documented in provided sources</t>
        </is>
      </c>
    </row>
    <row r="366" ht="294" customHeight="1">
      <c r="A366" s="4" t="inlineStr">
        <is>
          <t>new_123</t>
        </is>
      </c>
      <c r="B366" s="4" t="inlineStr">
        <is>
          <t>Update</t>
        </is>
      </c>
      <c r="C366" s="4" t="inlineStr">
        <is>
          <t>FaithfulNet: An explainable deep learning framework for autism diagnosis using structural MRI</t>
        </is>
      </c>
      <c r="D366" s="4" t="inlineStr">
        <is>
          <t>10.1016/j.brainres.2025.149904</t>
        </is>
      </c>
      <c r="E366" s="4" t="inlineStr">
        <is>
          <t>https://doi.org/10.1016/j.brainres.2025.149904</t>
        </is>
      </c>
      <c r="F366" s="4" t="inlineStr">
        <is>
          <t>Explainable Artificial Intelligence (XAI) can decode the ‘black box’ models, enhancing trust in clinical decision-making. XAI makes the predictions of deep learning models interpretable, transparent, and trustworthy. This study employed XAI techniques to explain the predictions made by a deep learning-based model for diagnosing autism and identifying the memory regions responsible for children's academic performance. This study utilized publicly available sMRI data from the ABIDE-II repository. First, a deep learning model, FaithfulNet, was developed to aid in the diagnosis of autism. Next, gradient-based class activation maps and the SHAP gradient explainer were employed to generate explanations for the model's predictions. These explanations were integrated to develop a novel and faithful visual explanation, Faith_CAM. Finally, this faithful explanation was quantified using the pointing game score and analyzed with cortical and subcortical structure masks to identify the impaired brain regions in the autistic brain. This study achieved a classification accuracy of 99.74% with an AUC value of 1. In addition to facilitating autism diagnosis, this study assesses the degree of impairment in memory regions responsible for the children's academic performance, thus contributing to the development of personalized treatment plans.</t>
        </is>
      </c>
      <c r="G366" s="4" t="inlineStr">
        <is>
          <t>FaithfulNet classifies ABIDE-II sMRI and Faith_CAM combines Grad-CAM with SHAP for explanation/region localization; very high internal performance is reported. ABIDE-II is multisite, but no site-held-out or independent external validation was identified. Very high performance warrants leakage/partition review during human verification.</t>
        </is>
      </c>
      <c r="H366" s="4" t="str"/>
      <c r="I366" s="4" t="inlineStr">
        <is>
          <t>Lote_02_25: nivel=Publisher-indexed article text; architecture, explanation method, evaluation, discussion and conclusion recovered; hallazgo=FaithfulNet classifies ABIDE-II sMRI and Faith_CAM combines Grad-CAM with SHAP for explanation/region localization; very high internal performance is reported.; limitación=ABIDE-II is multisite, but no site-held-out or independent external validation was identified. Very high performance warrants leakage/partition review during human verification.; acción=Verificacion independiente del revisor humano antes del cierre final; fuente=https://www.sciencedirect.com/science/article/pii/S0006899325004676</t>
        </is>
      </c>
      <c r="J366" s="4" t="inlineStr">
        <is>
          <t>Contenido integral evaluable revisado; ver nivel exacto de fuente, evidencia y cautelas en Lote_02_25.</t>
        </is>
      </c>
      <c r="K366" s="4" t="inlineStr">
        <is>
          <t>Inherited scoped adjudication; see source level and lot caveats</t>
        </is>
      </c>
      <c r="L366" s="4" t="inlineStr">
        <is>
          <t>Not documented in provided sources</t>
        </is>
      </c>
    </row>
    <row r="367" ht="372" customHeight="1">
      <c r="A367" s="4" t="inlineStr">
        <is>
          <t>new_126</t>
        </is>
      </c>
      <c r="B367" s="4" t="inlineStr">
        <is>
          <t>Update</t>
        </is>
      </c>
      <c r="C367" s="4" t="inlineStr">
        <is>
          <t>CARE: Comprehensive Artificial Intelligence Techniques for Reliable Autism Evaluation in Pediatric Care</t>
        </is>
      </c>
      <c r="D367" s="4" t="inlineStr">
        <is>
          <t>10.32604/cmc.2025.067784</t>
        </is>
      </c>
      <c r="E367" s="4" t="inlineStr">
        <is>
          <t>https://doi.org/10.32604/cmc.2025.067784</t>
        </is>
      </c>
      <c r="F367" s="4" t="inlineStr">
        <is>
          <t>Improving early diagnosis of autism spectrum disorder (ASD) in children increasingly relies on predictive models that are reliable and accessible to non-experts. This study aims to develop such models using Python-based tools to improve ASD diagnosis in clinical settings. We performed exploratory data analysis to ensure data quality and identify key patterns in pediatric ASD data. We selected the categorical boosting (CatBoost) algorithm to effectively handle the large number of categorical variables. We used the PyCaret automated machine learning (AutoML) tool to make the models user-friendly for clinicians without extensive machine learning expertise. In addition, we applied Shapley additive explanations (SHAP), an explainable artificial intelligence (XAI) technique, to improve the interpretability of the models. Models developed using CatBoost and other AI algorithms showed high accuracy in diagnosing ASD in children. SHAP provided clear insights into the influence of each variable on diagnostic outcomes, making model decisions transparent and understandable to healthcare professionals. By integrating robust machine learning methods with user-friendly tools such as PyCaret and leveraging XAI techniques such as SHAP, this study contributes to the development of reliable, interpretable, and accessible diagnostic tools for ASD. These advances hold great promise for supporting informed decision-making in clinical settings, ultimately improving early identification and intervention strategies for ASD in the pediatric population. However, the study is limited by the dataset’s demographic imbalance and the lack of external clinical validation, which should be addressed in future research.</t>
        </is>
      </c>
      <c r="G367" s="4" t="inlineStr">
        <is>
          <t>CARE evaluates AutoML/CatBoost on a pediatric ASD-traits dataset and uses SHAP for explicit feature-level explanation. Retrospective/public structured-data modeling only; no independent external cohort or prospective pediatric workflow evaluation was demonstrated.</t>
        </is>
      </c>
      <c r="H367" s="4" t="str"/>
      <c r="I367" s="4" t="inlineStr">
        <is>
          <t>Lote_02_25: nivel=Open-access publisher full text (HTML/PDF) reviewed; hallazgo=CARE evaluates AutoML/CatBoost on a pediatric ASD-traits dataset and uses SHAP for explicit feature-level explanation.; limitación=Retrospective/public structured-data modeling only; no independent external cohort or prospective pediatric workflow evaluation was demonstrated.; acción=Verificacion independiente del revisor humano antes del cierre final; fuente=https://www.techscience.com/cmc/v85n1/63573/html</t>
        </is>
      </c>
      <c r="J367" s="4" t="inlineStr">
        <is>
          <t>Contenido integral evaluable revisado; ver nivel exacto de fuente, evidencia y cautelas en Lote_02_25.</t>
        </is>
      </c>
      <c r="K367" s="4" t="inlineStr">
        <is>
          <t>Inherited scoped adjudication; see source level and lot caveats</t>
        </is>
      </c>
      <c r="L367" s="4" t="inlineStr">
        <is>
          <t>Not documented in provided sources</t>
        </is>
      </c>
    </row>
    <row r="368" ht="138" customHeight="1">
      <c r="A368" s="4" t="inlineStr">
        <is>
          <t>new_134</t>
        </is>
      </c>
      <c r="B368" s="4" t="inlineStr">
        <is>
          <t>Update</t>
        </is>
      </c>
      <c r="C368" s="4" t="inlineStr">
        <is>
          <t>ASD-HybridNet: A hybrid deep learning framework for detection of autism spectrum disorder</t>
        </is>
      </c>
      <c r="D368" s="4" t="inlineStr">
        <is>
          <t>10.1016/j.mri.2025.110492</t>
        </is>
      </c>
      <c r="E368" s="4" t="inlineStr">
        <is>
          <t>https://doi.org/10.1016/j.mri.2025.110492</t>
        </is>
      </c>
      <c r="F368" s="4" t="inlineStr">
        <is>
          <t>Current diagnostic methods for autism spectrum disorder (ASD) are based on subjective behavioral assessments, which present challenges to an accurate and early diagnosis. This paper proposes a hybrid deep learning framework, ASD-HybridNet, which integrates both region of interest (ROI) time series data and functional connectivity (FC) maps derived from functional magnetic resonance imaging (fMRI) data to improve ASD detection. Experiments on the ABIDE dataset demonstrate the effectiveness of the proposed method compared to existing approaches.</t>
        </is>
      </c>
      <c r="G368" s="4" t="inlineStr">
        <is>
          <t>ASD-HybridNet fuses ROI time-series and functional-connectivity representations from ABIDE-I; reported accuracy is about 71.87%. The fused inputs are representations of the same rs-fMRI source, so q3_multisource_data remains 0. ABIDE-I is multisite but no site-held-out test was identified.</t>
        </is>
      </c>
      <c r="H368" s="4" t="str"/>
      <c r="I368" s="4" t="inlineStr">
        <is>
          <t>Lote_02_25: nivel=Publisher-indexed article text; dataset, architecture, training/evaluation and results recovered; hallazgo=ASD-HybridNet fuses ROI time-series and functional-connectivity representations from ABIDE-I; reported accuracy is about 71.87%.; limitación=The fused inputs are representations of the same rs-fMRI source, so q3_multisource_data remains 0. ABIDE-I is multisite but no site-held-out test was identified.; acción=Verificacion independiente del revisor humano antes del cierre final; fuente=https://www.sciencedirect.com/science/article/pii/S0730725X25001766</t>
        </is>
      </c>
      <c r="J368" s="4" t="inlineStr">
        <is>
          <t>Contenido integral evaluable revisado; ver nivel exacto de fuente, evidencia y cautelas en Lote_02_25.</t>
        </is>
      </c>
      <c r="K368" s="4" t="inlineStr">
        <is>
          <t>Inherited scoped adjudication; see source level and lot caveats</t>
        </is>
      </c>
      <c r="L368" s="4" t="inlineStr">
        <is>
          <t>Not documented in provided sources</t>
        </is>
      </c>
    </row>
    <row r="369" ht="307" customHeight="1">
      <c r="A369" s="4" t="inlineStr">
        <is>
          <t>new_146</t>
        </is>
      </c>
      <c r="B369" s="4" t="inlineStr">
        <is>
          <t>Update</t>
        </is>
      </c>
      <c r="C369" s="4" t="inlineStr">
        <is>
          <t>Deep learning-based detection of autism spectrum disorder and emotion recognition in children</t>
        </is>
      </c>
      <c r="D369" s="4" t="inlineStr">
        <is>
          <t>10.1016/j.patcog.2025.112906</t>
        </is>
      </c>
      <c r="E369" s="4" t="inlineStr">
        <is>
          <t>https://doi.org/10.1016/j.patcog.2025.112906</t>
        </is>
      </c>
      <c r="F369" s="4" t="inlineStr">
        <is>
          <t>Autism Spectrum Disorder (ASD) is a multifaceted neurological development disability that is characterized by deficits in social communication and emotion detection. Early and accurate identification of ASD is important; however, clinicians and researchers have often depended upon lengthy, in-clinic assessments. This research work proposes two deep learning models. This study proposes two deep learning models: a Hybrid resNet50V2+InceptionV3 model for ASD prediction from facial images and an enhanced MobileNet for recognizing six emotions in children with ASD. Data sets were collected from two public datasets. Preprocessing was performed (normalization and augmentation) and a hybrid ResNet50V2+InceptionV3 model and enhanced MobileNet were trained and tested. The hybrid model produced 95 % accuracy for predicting ASD, and the enhanced MobileNet achieved 73.3 % accuracy for predicting emotions; both accuracy rates were significantly improved as compared to baseline models. Overall, both models demonstrated that hybrid and enhanced model architectures improve the predictive accuracy and generalization of children with ASD from facial images. The models can also be used as non-invasive methodologies for early detection of ASD and emotion classification in clinical or educational contexts. Future research will include multimodal inputs and methods in explainable AI for further clinical implication.</t>
        </is>
      </c>
      <c r="G369" s="4" t="inlineStr">
        <is>
          <t>Combines deep CNN architectures for child facial ASD detection and emotion recognition on public image datasets; ASD accuracy is reported near 95%. No external clinical cohort, prospective workflow or formal XAI was identified; explainability/multimodal extensions are presented as future directions.</t>
        </is>
      </c>
      <c r="H369" s="4" t="str"/>
      <c r="I369" s="4" t="inlineStr">
        <is>
          <t>Lote_02_25: nivel=Publisher-indexed article text; datasets, methodology, experimental setup and conclusion recovered; hallazgo=Combines deep CNN architectures for child facial ASD detection and emotion recognition on public image datasets; ASD accuracy is reported near 95%.; limitación=No external clinical cohort, prospective workflow or formal XAI was identified; explainability/multimodal extensions are presented as future directions.; acción=Verificacion independiente del revisor humano antes del cierre final; fuente=https://www.sciencedirect.com/science/article/pii/S0031320325015699</t>
        </is>
      </c>
      <c r="J369" s="4" t="inlineStr">
        <is>
          <t>Contenido integral evaluable revisado; ver nivel exacto de fuente, evidencia y cautelas en Lote_02_25.</t>
        </is>
      </c>
      <c r="K369" s="4" t="inlineStr">
        <is>
          <t>Inherited scoped adjudication; see source level and lot caveats</t>
        </is>
      </c>
      <c r="L369" s="4" t="inlineStr">
        <is>
          <t>Not documented in provided sources</t>
        </is>
      </c>
    </row>
    <row r="370" ht="333" customHeight="1">
      <c r="A370" s="4" t="inlineStr">
        <is>
          <t>new_149</t>
        </is>
      </c>
      <c r="B370" s="4" t="inlineStr">
        <is>
          <t>Update</t>
        </is>
      </c>
      <c r="C370" s="4" t="inlineStr">
        <is>
          <t>A new approach in autism diagnosis: Evaluating natural interaction using point of view (POV) glasses</t>
        </is>
      </c>
      <c r="D370" s="4" t="inlineStr">
        <is>
          <t>10.1016/j.ajp.2025.104798</t>
        </is>
      </c>
      <c r="E370" s="4" t="inlineStr">
        <is>
          <t>https://doi.org/10.1016/j.ajp.2025.104798</t>
        </is>
      </c>
      <c r="F370" s="4" t="inlineStr">
        <is>
          <t>This study introduces an AI-assisted method based on examiner-worn Point of View (POV) glasses and computer vision analysis to provide objective behavioral data for the diagnosis of Autism Spectrum Disorder (ASD). The study included 29 children with ASD and 27 children without ASD, aged between 17 and 36 months. During semi-structured naturalistic interactions, the examiner wore POV glasses equipped with a scene camera that captured the child's face from an eye-level perspective, preserving ecological validity. Behavioral parameters—including facial expressions, approximate social gaze (operationalized as the child's eyes orientation toward the POV camera), and head mobility—were extracted using OpenFace and MediaPipe and subsequently analyzed with machine learning techniques. Statistical analyses revealed that total social gaze duration, longest social gaze, social smiling, number of responses to name, response latency, response duration, social responsiveness, and head movements along the z-axis had p-values ≤ 0.05, while head movements on the x- and y-axes, total head movement, and rapid head movements had p-values &gt; 0.05. The classification model developed using decision trees and the AdaBoost algorithm demonstrated high performance, achieving an accuracy of 91.07 % and a sensitivity of 89.65 %. These findings support the clinical applicability of examiner-worn POV recordings for early ASD detection and highlight their potential to complement traditional, subjective assessment methods.</t>
        </is>
      </c>
      <c r="G370" s="4" t="inlineStr">
        <is>
          <t>Uses examiner-worn POV glasses with 29 ASD and 27 non-ASD children aged 17-36 months; CV features feed AdaBoost/decision trees, with reported AUC about 0.95. Prospective participant data were collected, but the model was not validated in an independent site/cohort or used to determine real clinical decisions during care.</t>
        </is>
      </c>
      <c r="H370" s="4" t="str"/>
      <c r="I370" s="4" t="inlineStr">
        <is>
          <t>Lote_02_25: nivel=Full-text/OA article source located; participant protocol, feature extraction and results recovered; hallazgo=Uses examiner-worn POV glasses with 29 ASD and 27 non-ASD children aged 17-36 months; CV features feed AdaBoost/decision trees, with reported AUC about 0.95.; limitación=Prospective participant data were collected, but the model was not validated in an independent site/cohort or used to determine real clinical decisions during care.; acción=Verificacion independiente del revisor humano antes del cierre final; fuente=https://www.sciencedirect.com/science/article/pii/S1876201825004411</t>
        </is>
      </c>
      <c r="J370" s="4" t="inlineStr">
        <is>
          <t>Contenido integral evaluable revisado; ver nivel exacto de fuente, evidencia y cautelas en Lote_02_25.</t>
        </is>
      </c>
      <c r="K370" s="4" t="inlineStr">
        <is>
          <t>Inherited scoped adjudication; see source level and lot caveats</t>
        </is>
      </c>
      <c r="L370" s="4" t="inlineStr">
        <is>
          <t>Not documented in provided sources</t>
        </is>
      </c>
    </row>
    <row r="371" ht="409" customHeight="1">
      <c r="A371" s="4" t="inlineStr">
        <is>
          <t>new_154</t>
        </is>
      </c>
      <c r="B371" s="4" t="inlineStr">
        <is>
          <t>Update</t>
        </is>
      </c>
      <c r="C371" s="4" t="inlineStr">
        <is>
          <t>A two-step temporal data augmentation and supervised learning framework for predicting autism diagnosis at 36 months in patients with tuberous sclerosis complex</t>
        </is>
      </c>
      <c r="D371" s="4" t="inlineStr">
        <is>
          <t>10.1016/j.compbiomed.2026.111719</t>
        </is>
      </c>
      <c r="E371" s="4" t="inlineStr">
        <is>
          <t>https://doi.org/10.1016/j.compbiomed.2026.111719</t>
        </is>
      </c>
      <c r="F371" s="4" t="inlineStr">
        <is>
          <t>Background Autism spectrum disorder (ASD) affects approximately 25-50% of children with tuberous sclerosis complex (TSC). Early identification of ASD in this high-risk population is crucial for timely intervention but remains challenging due to the heterogeneous clinical presentation and complex interplay of genetic, neurological, and environmental factors. This study aimed to integrate longitudinal diffusion tensor imaging (DTI) metrics with early behavioral features using supervised learning algorithms to predict ASD outcomes at 36 months. Methods Data were obtained from the children enrolled in the TSC Autism Center of Excellence Research Network study. Four DTI metrics: axial diffusivity, fractional anisotropy, mean diffusivity, and radial diffusivity, were measured across 27 major white matter tracts at up to four irregular time points. To account for variability in acquisition timing, we developed a two-step data augmentation algorithm to interpolate each subject's data to standardized ages of 12, 24, and 36 months. In addition, 9 behavioral features from the ADOS-2 and ADI-R assessments at 24 months were included. Supervised learning algorithms were trained to predict ASD diagnosis at 36 months under two input settings. Results Performance of the supervised learning algorithms was evaluated with accuracy, sensitivity, specificity, and area under the receiver operating characteristic curve as performance metrics. Regularized logistic regression models, least absolute shrinkage and selection operator and elastic net, demonstrated the most balanced overall performance across most evaluation metrics. Comparing input settings, Setting 1 (DTI at 24 months + behavioral features) achieved comparable or slightly improved performance relative to Setting 2 (DTI at 12 and 24 months + behavioral features) in predicting ASD diagnosis. Conclusion Integrating early neuroimaging and behavioral data suggests potential for prediction of ASD outcomes at 36 months in children with TSC. This multimodal machine learning framework highlights 24-month DTI and behavioral measures as key early biomarkers and demonstrates the effectiveness of regularized regression techniques for small-sample, heterogeneous clinical datasets.</t>
        </is>
      </c>
      <c r="G371" s="4" t="inlineStr">
        <is>
          <t>TACERN is a prospective longitudinal multisite study; DTI plus behavioral features from 93 children predict 36-month ASD diagnosis, with regularized logistic regression AUC about 0.808-0.831. Although the cohort is multisite and prospective, the recovered evaluation uses repeated train-test procedures rather than an explicit site-held-out or independent external validation cohort.</t>
        </is>
      </c>
      <c r="H371" s="4" t="str"/>
      <c r="I371" s="4" t="inlineStr">
        <is>
          <t>Lote_02_25: nivel=Open-access full text/PMC plus publisher sections reviewed; hallazgo=TACERN is a prospective longitudinal multisite study; DTI plus behavioral features from 93 children predict 36-month ASD diagnosis, with regularized logistic regression AUC about 0.808-0.831.; limitación=Although the cohort is multisite and prospective, the recovered evaluation uses repeated train-test procedures rather than an explicit site-held-out or independent external validation cohort.; acción=Verificacion independiente del revisor humano antes del cierre final; fuente=https://pmc.ncbi.nlm.nih.gov/articles/PMC13175081/</t>
        </is>
      </c>
      <c r="J371" s="4" t="inlineStr">
        <is>
          <t>Contenido integral evaluable revisado; ver nivel exacto de fuente, evidencia y cautelas en Lote_02_25.</t>
        </is>
      </c>
      <c r="K371" s="4" t="inlineStr">
        <is>
          <t>Inherited scoped adjudication; see source level and lot caveats</t>
        </is>
      </c>
      <c r="L371" s="4" t="inlineStr">
        <is>
          <t>Not documented in provided sources</t>
        </is>
      </c>
    </row>
    <row r="372" ht="333" customHeight="1">
      <c r="A372" s="4" t="inlineStr">
        <is>
          <t>new_162</t>
        </is>
      </c>
      <c r="B372" s="4" t="inlineStr">
        <is>
          <t>Update</t>
        </is>
      </c>
      <c r="C372" s="4" t="inlineStr">
        <is>
          <t>EMLF-Net: A multi-level feature fusion network based on autism EEG signals for autism spectrum disorder classification</t>
        </is>
      </c>
      <c r="D372" s="4" t="inlineStr">
        <is>
          <t>10.1016/j.bspc.2025.109180</t>
        </is>
      </c>
      <c r="E372" s="4" t="inlineStr">
        <is>
          <t>https://doi.org/10.1016/j.bspc.2025.109180</t>
        </is>
      </c>
      <c r="F372" s="4" t="inlineStr">
        <is>
          <t>Autism spectrum disorder (ASD) is a neurodevelopmental disorder that affects social interaction and communication skills. Early diagnosis is crucial for effective intervention. Although machine learning technology can assist automatic feature extraction, its efficiency is limited. Although deep learning improves the efficiency of feature extraction, it is easy to lose important low-level feature information in the feature fusion process, and the integration of time-temporal features needs to be improved. To solve the above problems, this study proposes a multi-level feature fusion network (EMLF-Net) that fuses time domain and frequency domain features for end-to-end recognition of autism EEG signals. The network is based on a two-stream parallel structure, and a Hierarchical Domain Fusion and Refinement Model (HDFR) is built to effectively fuse the time domain and frequency domain features. The Differential Fusion Block (DFB) module was designed to separate the unique and shared features in time domain and frequency domain, and the Orthogonal Fusion Block (OFB) module was used to realize the fusion of multi-level features. Experiments on KAU dataset show that EMLF-Net achieves 99.20% and 92.09% accuracy on subject-dependent and subject-independent, respectively. Brain topography analysis and t-SNE visualization further reveal that time domain and frequency domain features capture distinct channel importance in different experiments, which provides a basis for individualized and universal diagnosis.</t>
        </is>
      </c>
      <c r="G372" s="4" t="inlineStr">
        <is>
          <t>EMLF-Net fuses time- and frequency-domain EEG features; KAU results are 99.20% subject-dependent and 92.09% subject-independent; topographic analysis shows channel importance. Single small public dataset (12 ASD, 5 TD). Topographic/channel-importance visualization was coded as partial interpretability, not formal XAI.</t>
        </is>
      </c>
      <c r="H372" s="4" t="str"/>
      <c r="I372" s="4" t="inlineStr">
        <is>
          <t>Lote_02_25: nivel=Publisher-indexed article text; dataset, subject-dependent/independent experiments, discussion and conclusion recovered; hallazgo=EMLF-Net fuses time- and frequency-domain EEG features; KAU results are 99.20% subject-dependent and 92.09% subject-independent; topographic analysis shows channel importance.; limitación=Single small public dataset (12 ASD, 5 TD). Topographic/channel-importance visualization was coded as partial interpretability, not formal XAI.; acción=Verificacion independiente del revisor humano antes del cierre final; fuente=https://www.sciencedirect.com/science/article/pii/S174680942501691X</t>
        </is>
      </c>
      <c r="J372" s="4" t="inlineStr">
        <is>
          <t>Contenido integral evaluable revisado; ver nivel exacto de fuente, evidencia y cautelas en Lote_02_25.</t>
        </is>
      </c>
      <c r="K372" s="4" t="inlineStr">
        <is>
          <t>Inherited scoped adjudication; see source level and lot caveats</t>
        </is>
      </c>
      <c r="L372" s="4" t="inlineStr">
        <is>
          <t>Not documented in provided sources</t>
        </is>
      </c>
    </row>
    <row r="373" ht="281" customHeight="1">
      <c r="A373" s="4" t="inlineStr">
        <is>
          <t>new_180</t>
        </is>
      </c>
      <c r="B373" s="4" t="inlineStr">
        <is>
          <t>Update</t>
        </is>
      </c>
      <c r="C373" s="4" t="inlineStr">
        <is>
          <t>The effect of spatial and intensity level augmentation of structural magnetic resonance images on autism diagnosis model</t>
        </is>
      </c>
      <c r="D373" s="4" t="inlineStr">
        <is>
          <t>10.1016/j.ajp.2026.104830</t>
        </is>
      </c>
      <c r="E373" s="4" t="inlineStr">
        <is>
          <t>https://doi.org/10.1016/j.ajp.2026.104830</t>
        </is>
      </c>
      <c r="F373" s="4" t="inlineStr">
        <is>
          <t>In deep learning, the robustness and generalizability of models significantly depend on diverse and heterogeneous training data. Acquiring such an extensive dataset is challenging in fields like disorder prediction due to data scarcity, which can be attributed to factors such as privacy concerns, limited patient population, or inadequate facilities. Data augmentation can be an ideal solution to this problem, particularly in the field of disorder prediction, like autism, using medical imaging. Data augmentation can expand and balance datasets by generating high-quality and varied data, thereby improving the generalizability of deep learning models. This study proposed two types of augmentation methods: 1. Spatial level 2. Intensity level augmentation techniques. Eight different levels of augmentations were experimented with across these categories. This study found that the combination of spatial and intensity level augmentations enhanced the model's generalizability and robustness, achieving an AUC value of 0.7433. Additionally, it was observed that the Left to Right flip method, under spatial augmentation, diminished the model's performance, whereas random noise injection, under intensity level augmentation, improved prediction accuracy.</t>
        </is>
      </c>
      <c r="G373" s="4" t="inlineStr">
        <is>
          <t>Systematically evaluates spatial and intensity augmentation on structural MRI with ResNet34; combined augmentation improves reported AUC to 0.7433. ABIDE data are multisite, but no site-held-out cross-site evaluation was identified. The study evaluates augmentation robustness, not external clinical generalization.</t>
        </is>
      </c>
      <c r="H373" s="4" t="str"/>
      <c r="I373" s="4" t="inlineStr">
        <is>
          <t>Lote_02_25: nivel=Publisher-indexed article text; methodology, multi-site ABIDE data, results, discussion and conclusion recovered; hallazgo=Systematically evaluates spatial and intensity augmentation on structural MRI with ResNet34; combined augmentation improves reported AUC to 0.7433.; limitación=ABIDE data are multisite, but no site-held-out cross-site evaluation was identified. The study evaluates augmentation robustness, not external clinical generalization.; acción=Verificacion independiente del revisor humano antes del cierre final; fuente=https://doi.org/10.1016/j.ajp.2026.104830</t>
        </is>
      </c>
      <c r="J373" s="4" t="inlineStr">
        <is>
          <t>Contenido integral evaluable revisado; ver nivel exacto de fuente, evidencia y cautelas en Lote_02_25.</t>
        </is>
      </c>
      <c r="K373" s="4" t="inlineStr">
        <is>
          <t>Inherited scoped adjudication; see source level and lot caveats</t>
        </is>
      </c>
      <c r="L373" s="4" t="inlineStr">
        <is>
          <t>Not documented in provided sources</t>
        </is>
      </c>
    </row>
    <row r="374" ht="359" customHeight="1">
      <c r="A374" s="4" t="inlineStr">
        <is>
          <t>new_181</t>
        </is>
      </c>
      <c r="B374" s="4" t="inlineStr">
        <is>
          <t>Update</t>
        </is>
      </c>
      <c r="C374" s="4" t="inlineStr">
        <is>
          <t>Human-centered AI for inclusive tourism: enhancing travel planning for adults with autism spectrum disorder</t>
        </is>
      </c>
      <c r="D374" s="4" t="inlineStr">
        <is>
          <t>10.1016/j.ijhcs.2025.103696</t>
        </is>
      </c>
      <c r="E374" s="4" t="inlineStr">
        <is>
          <t>https://doi.org/10.1016/j.ijhcs.2025.103696</t>
        </is>
      </c>
      <c r="F374" s="4" t="inlineStr">
        <is>
          <t>Travel experiences can challenge individuals with Autism Spectrum Disorder (ASD) before embarking on a trip, because of the complexity of planning, but also during the trip, due to sensory overstimulation while visiting places. Artificial Intelligence (AI) could help overcome some obstacles. However, it might represent a barrier for people with mid-functioning autism if their needs for assistance are not considered when designing tourism applications. Moreover, most trip planners fully control the generation of solutions, undermining users’ decision autonomy. To address these challenges, we explored the development of itinerary planning technologies through a human-centered approach. We aimed to balance guiding users in their decision-making with empowering them to plan tours independently. The result is CARES, an Artificial Intelligence-driven trip planner designed for autistic adults, which we present in this article. CARES applies a collaborative approach to developing itineraries, based on the exploitation of (i) AI technologies for information filtering and interactive itinerary planning that are robust to the data scarcity characterizing the autism domain; (ii) a user interface that reduces information overload and decision fatigue in information exploration. We tested CARES with 14 autistic adults, gathering insights to guide future design and improve the usability of Artificial Intelligence for neurodivergent users. The results indicate that our approach provides an accessible solution for enhancing the travel experiences of mid- to high-functioning autistic adults. In doing so, it contributes to more inclusive tourism.</t>
        </is>
      </c>
      <c r="G374" s="4" t="inlineStr">
        <is>
          <t>CARES is a human-centered AI trip planner tested with 14 autistic adults, designed to reduce information overload while preserving user decision autonomy. The paper demonstrates an assistive user-facing intervention, not a clinical diagnostic workflow. The exact algorithm family does not map cleanly to ML/DL and is therefore left Not specified.</t>
        </is>
      </c>
      <c r="H374" s="4" t="str"/>
      <c r="I374" s="4" t="inlineStr">
        <is>
          <t>Lote_02_25: nivel=Open-access editorial PDF located in institutional repository; system design and user-study results available; hallazgo=CARES is a human-centered AI trip planner tested with 14 autistic adults, designed to reduce information overload while preserving user decision autonomy.; limitación=The paper demonstrates an assistive user-facing intervention, not a clinical diagnostic workflow. The exact algorithm family does not map cleanly to ML/DL and is therefore left Not specified.; acción=Verificacion independiente del revisor humano antes del cierre final; fuente=https://iris.unito.it/handle/2318/2114230</t>
        </is>
      </c>
      <c r="J374" s="4" t="inlineStr">
        <is>
          <t>Contenido integral evaluable revisado; ver nivel exacto de fuente, evidencia y cautelas en Lote_02_25.</t>
        </is>
      </c>
      <c r="K374" s="4" t="inlineStr">
        <is>
          <t>Inherited scoped adjudication; see source level and lot caveats</t>
        </is>
      </c>
      <c r="L374" s="4" t="inlineStr">
        <is>
          <t>Not documented in provided sources</t>
        </is>
      </c>
    </row>
    <row r="375" ht="86" customHeight="1">
      <c r="A375" s="4" t="inlineStr">
        <is>
          <t>new_187</t>
        </is>
      </c>
      <c r="B375" s="4" t="inlineStr">
        <is>
          <t>Update</t>
        </is>
      </c>
      <c r="C375" s="4" t="inlineStr">
        <is>
          <t>Early Identification of Autism Spectrum Disorder using a Hybrid ViT–Mamba Multimodal Architecture</t>
        </is>
      </c>
      <c r="D375" s="4" t="inlineStr">
        <is>
          <t>10.1016/j.procs.2026.06.363</t>
        </is>
      </c>
      <c r="E375" s="4" t="inlineStr">
        <is>
          <t>https://doi.org/10.1016/j.procs.2026.06.363</t>
        </is>
      </c>
      <c r="F375" s="4" t="str"/>
      <c r="G375" s="4" t="inlineStr">
        <is>
          <t>Combines handwriting and behavioral questionnaire data with a Mamba-enabled multimodal architecture; reported screening accuracy is 95%. Evaluation is experimental and the article itself describes uncertain/limited datasets; no independent external cohort, prospective deployment, site-held-out robustness, or formal XAI was identified.</t>
        </is>
      </c>
      <c r="H375" s="4" t="str"/>
      <c r="I375" s="4" t="inlineStr">
        <is>
          <t>Lote_03_25: nivel=Publisher OA article text and indexed methods/results sufficient for scoped coding; hallazgo=Combines handwriting and behavioral questionnaire data with a Mamba-enabled multimodal architecture; reported screening accuracy is 95%.; limitación=; acción=; fuente=https://www.sciencedirect.com/science/article/pii/S1877050926019952</t>
        </is>
      </c>
      <c r="J375" s="4" t="inlineStr">
        <is>
          <t>Contenido evaluable revisado; ver nivel exacto de fuente, evidencia y cautelas en Lote_03_25.</t>
        </is>
      </c>
      <c r="K375" s="4" t="inlineStr">
        <is>
          <t>Inherited scoped adjudication; see source level and lot caveats</t>
        </is>
      </c>
      <c r="L375" s="4" t="inlineStr">
        <is>
          <t>Not documented in provided sources</t>
        </is>
      </c>
    </row>
    <row r="376" ht="409" customHeight="1">
      <c r="A376" s="4" t="inlineStr">
        <is>
          <t>new_188</t>
        </is>
      </c>
      <c r="B376" s="4" t="inlineStr">
        <is>
          <t>Update</t>
        </is>
      </c>
      <c r="C376" s="4" t="inlineStr">
        <is>
          <t>Baseline symptom severity and response to multisession cathodal transcranial direct current stimulation in adolescents and young adults with autism: an exploratory analysis</t>
        </is>
      </c>
      <c r="D376" s="4" t="inlineStr">
        <is>
          <t>10.1016/j.jpsychires.2026.03.043</t>
        </is>
      </c>
      <c r="E376" s="4" t="inlineStr">
        <is>
          <t>https://doi.org/10.1016/j.jpsychires.2026.03.043</t>
        </is>
      </c>
      <c r="F376" s="4" t="inlineStr">
        <is>
          <t>AbstractBackgroundIdentifying baseline clinical characteristics associated with treatment response is crucial for optimising intervention strategies in people with autism spectrum disorder (ASD). This study aimed to distinguish responders from non-responders to a multisession prefrontal transcranial direct current stimulation (tDCS) protocol and to explore how baseline individual characteristics relate to treatment outcomes.MethodsUsing complementary inferential statistics and predictive modelling approaches, we analysed baseline clinical characteristics of adolescents and young adults with ASD who underwent cathodal tDCS (1.5 mA) over the left dorsolateral prefrontal cortex, coupled with cognitive remediation training. Baseline symptom severity was assessed using the Autism Diagnostic Interview-Revised (ADI-R). Normalised feature importance and Shapley additive explanations (SHAP) were used to identify features associated with restricted and repetitive behaviour (RRB) reduction, and a model-derived classification threshold was estimated to stratify potential responders and non-responders within this protocol.ResultsInferential statistics revealed that responders had significantly lower social interaction symptom severity than non-responders (p &lt; .001; Cohen's d = 0.41). Predictive modelling further indicated that lower baseline verbal communication severity was associated with greater RRB reduction (averaged SHAP value across models = −0.017). A model-derived classification threshold of 19.6 on the ADI-R verbal communication sub-score was identified to differentiate responders and non-responders within this protocol.ConclusionLower baseline verbal communication severity is associated with greater behavioural improvement following this multisession prefrontal tDCS protocol. These findings should be interpreted as exploratory and hypothesis-generating. Replication in larger, independent cohorts is required to assess the robustness and generalisability of these findings.Trial registrationClinicalTrials.gov (ID: NCT05035511).</t>
        </is>
      </c>
      <c r="G376" s="4" t="inlineStr">
        <is>
          <t>Baseline ADI-R features were used to distinguish tDCS responders; SHAP linked lower verbal communication severity to greater RRB reduction and a model-derived threshold of 19.6 was reported. Exploratory analysis from a registered intervention protocol. The article explicitly calls for replication in larger independent cohorts; the exact base learner was not recoverable from the indexed text.</t>
        </is>
      </c>
      <c r="H376" s="4" t="str"/>
      <c r="I376" s="4" t="inlineStr">
        <is>
          <t>Lote_03_25: nivel=Open-access publisher short communication plus PubMed record; methods/results sufficient for scoped coding; hallazgo=Baseline ADI-R features were used to distinguish tDCS responders; SHAP linked lower verbal communication severity to greater RRB reduction and a model-derived threshold of 19.6 was reported.; limitación=; acción=; fuente=https://www.sciencedirect.com/science/article/pii/S0022395626001998</t>
        </is>
      </c>
      <c r="J376" s="4" t="inlineStr">
        <is>
          <t>Contenido evaluable revisado; ver nivel exacto de fuente, evidencia y cautelas en Lote_03_25.</t>
        </is>
      </c>
      <c r="K376" s="4" t="inlineStr">
        <is>
          <t>Inherited scoped adjudication; see source level and lot caveats</t>
        </is>
      </c>
      <c r="L376" s="4" t="inlineStr">
        <is>
          <t>Not documented in provided sources</t>
        </is>
      </c>
    </row>
    <row r="377" ht="294" customHeight="1">
      <c r="A377" s="4" t="inlineStr">
        <is>
          <t>new_190</t>
        </is>
      </c>
      <c r="B377" s="4" t="inlineStr">
        <is>
          <t>Update</t>
        </is>
      </c>
      <c r="C377" s="4" t="inlineStr">
        <is>
          <t>DenWide-Net: Dense WideresNet for autism spectrum disorder detection using MRI image</t>
        </is>
      </c>
      <c r="D377" s="4" t="inlineStr">
        <is>
          <t>10.1016/j.bspc.2025.108976</t>
        </is>
      </c>
      <c r="E377" s="4" t="inlineStr">
        <is>
          <t>https://doi.org/10.1016/j.bspc.2025.108976</t>
        </is>
      </c>
      <c r="F377" s="4" t="inlineStr">
        <is>
          <t>Autism Spectrum Disorder (ASD) is a multifactorial neurological condition defined by cognitive impairments. The symptoms of ASD involve behavioral changes, indistinct speech, social impairment, and so on. As a result, detecting ASD at an early stage is essential to lessen the disorder's impact. Various ASD detection approaches have been devised over the past decades for detecting ASD from Magnetic Resonance Image (MRI). Meanwhile, these detection schemes measured low detection accuracies and attained low generalization ability in detecting ASD. A deep learning-based optimization model, Fractional Hiking Optimization Algorithm combined with Dense WideResNet (FHOA + DenWide-Net), is proposed in this article for detecting ASD from brain MRI images. Initially, the MRI images are denoised using the Wiener filter, followed by the extraction of the relevant regions from the denoised image through Region of Interest (ROI) extraction. The Fractional Hiking Optimization Algorithm (FHOA) is designed for the selection of optimal grid during nub region extraction from the extracted ROI image. Following this, the ASD is detected from the nub region using the designed DenWide-Net technique. In addition, DenWide-Net exceeds the performance of other baseline models, delivering a sensitivity of 91.385 %, specificity of 91.175 %, and accuracy of 91 %.</t>
        </is>
      </c>
      <c r="G377" s="4" t="inlineStr">
        <is>
          <t>Uses Acerta-ABIDE brain MRI with Wiener filtering, ROI extraction, fractional hiking optimization and Dense WideResNet; reported accuracy is about 91%. ABIDE is multisite, but no explicit site-held-out or independent external validation design was identified; no prospective clinical evaluation or formal XAI was reported.</t>
        </is>
      </c>
      <c r="H377" s="4" t="str"/>
      <c r="I377" s="4" t="inlineStr">
        <is>
          <t>Lote_03_25: nivel=Publisher indexed article text with method section snippets and dataset description; hallazgo=Uses Acerta-ABIDE brain MRI with Wiener filtering, ROI extraction, fractional hiking optimization and Dense WideResNet; reported accuracy is about 91%.; limitación=; acción=; fuente=https://www.sciencedirect.com/science/article/pii/S1746809425014879</t>
        </is>
      </c>
      <c r="J377" s="4" t="inlineStr">
        <is>
          <t>Contenido evaluable revisado; ver nivel exacto de fuente, evidencia y cautelas en Lote_03_25.</t>
        </is>
      </c>
      <c r="K377" s="4" t="inlineStr">
        <is>
          <t>Inherited scoped adjudication; see source level and lot caveats</t>
        </is>
      </c>
      <c r="L377" s="4" t="inlineStr">
        <is>
          <t>Not documented in provided sources</t>
        </is>
      </c>
    </row>
    <row r="378" ht="409" customHeight="1">
      <c r="A378" s="4" t="inlineStr">
        <is>
          <t>new_199</t>
        </is>
      </c>
      <c r="B378" s="4" t="inlineStr">
        <is>
          <t>Update</t>
        </is>
      </c>
      <c r="C378" s="4" t="inlineStr">
        <is>
          <t>Artificial Intelligence for Enhancing Emotion Expression in Augmentative and Alternative Communication Systems: A Preliminary Study Including Children Both With and Without Autism.</t>
        </is>
      </c>
      <c r="D378" s="4" t="inlineStr">
        <is>
          <t>10.1044/2026_ajslp-25-00469</t>
        </is>
      </c>
      <c r="E378" s="4" t="inlineStr">
        <is>
          <t>https://doi.org/10.1044/2026_ajslp-25-00469</t>
        </is>
      </c>
      <c r="F378" s="4" t="inlineStr">
        <is>
          <t>PURPOSE Artificial intelligence is increasingly being explored in augmentative and alternative communication (AAC) to support personalized and responsive communication. Integrating emotion recognition into AAC systems may help users convey emotion content in real time, enhancing social interaction and communication quality. METHOD This preliminary study utilized DeepFace, a facial emotion recognition tool, as a starting point for integrating emotion recognition into AAC systems. Twelve neurotypical children and four children with autism, aged 8-13 years, completed two tasks: an imitated (copy) emotion condition using static images and a semispontaneous emotion-elicitation condition. Similar to existing AAC devices, each participant completed an individualized calibration procedure to help tailor the model to their facial expressions. Number scale ratings of the user experience were also collected. RESULTS Overall, the system demonstrated promising provisional accuracy, particularly for happiness, sadness, and calm (neutrality), although performance varied across emotions, participants, and task types. User experience ratings were generally positive, suggesting satisfaction and engagement with the system, with variability observed. CONCLUSIONS Findings highlight the value of calibration and personalization in AAC. Future work should expand training data sets to better represent children's facial expressions, incorporate multimodal inputs, and explore the alignment of synthetic speech output with detected emotions. Broader studies including active AAC users, diverse developmental and cultural backgrounds, and more spontaneous real-world interactions are needed. These results support the preliminary utility of DeepFace as a possible starting point for integrating emotion recognition into AAC systems, but further research is warranted. Directions for user-centered development are also discussed. SUPPLEMENTAL MATERIAL https://doi.org/10.23641/asha.32511465.</t>
        </is>
      </c>
      <c r="G378" s="4" t="inlineStr">
        <is>
          <t>Twelve neurotypical children and four autistic children completed imitation and semispontaneous emotion tasks using DeepFace with individualized calibration; provisional accuracy and user experience were reported. Very small ASD subgroup and no active AAC users. The study is preliminary; multimodal inputs, broader populations and real-world AAC deployment remain future work.</t>
        </is>
      </c>
      <c r="H378" s="4" t="str"/>
      <c r="I378" s="4" t="inlineStr">
        <is>
          <t>Lote_03_25: nivel=Publisher/PubMed detailed research abstract with participant methods and results sufficient for scoped coding; hallazgo=Twelve neurotypical children and four autistic children completed imitation and semispontaneous emotion tasks using DeepFace with individualized calibration; provisional accuracy and user experience were reported.; limitación=; acción=; fuente=https://pubs.asha.org/doi/10.1044/2026_AJSLP-25-00469</t>
        </is>
      </c>
      <c r="J378" s="4" t="inlineStr">
        <is>
          <t>Contenido evaluable revisado; ver nivel exacto de fuente, evidencia y cautelas en Lote_03_25.</t>
        </is>
      </c>
      <c r="K378" s="4" t="inlineStr">
        <is>
          <t>Inherited scoped adjudication; see source level and lot caveats</t>
        </is>
      </c>
      <c r="L378" s="4" t="inlineStr">
        <is>
          <t>Not documented in provided sources</t>
        </is>
      </c>
    </row>
    <row r="379" ht="409" customHeight="1">
      <c r="A379" s="4" t="inlineStr">
        <is>
          <t>new_203</t>
        </is>
      </c>
      <c r="B379" s="4" t="inlineStr">
        <is>
          <t>Update</t>
        </is>
      </c>
      <c r="C379" s="4" t="inlineStr">
        <is>
          <t>Individuation of predictive parameters of posterior cranial fossa decompression in pediatric patients with Chiari I malformation and autism spectrum disorder</t>
        </is>
      </c>
      <c r="D379" s="4" t="inlineStr">
        <is>
          <t>10.1007/s00381-025-07119-2</t>
        </is>
      </c>
      <c r="E379" s="4" t="inlineStr">
        <is>
          <t>https://doi.org/10.1007/s00381-025-07119-2</t>
        </is>
      </c>
      <c r="F379" s="4" t="inlineStr">
        <is>
          <t>Purpose: There are no specific guidelines for posterior cranial fossa decompression (PCFD) in asymptomatic Chiari Malformation Type I (CM-I) patients with autism spectrum disorder (ASD). However, some studies suggest that surgery for symptomatic CM-I may improve ASD symptoms. This study aims to identify skull and brain morphometric parameters that could predict surgical outcomes in symptomatic CM-I with ASD, using artificial intelligence (AI). Methods: This study included pediatric patients diagnosed with both symptomatic CM-I and ASD who underwent posterior cranial fossa (PCF) surgery. Eleven morphometric parameters were measured using computed tomography (CT) and magnetic resonance imaging (MRI) scans, including cerebellar tonsil descent, tentorium length and angle, cerebellum-to-PCF area ratio, PCF-to-cerebrum area ratio, PCF height and diameter, and various distances involving the corpus callosum, pons, fastigium, foramen magnum, and clivus length. ASD symptom changes were assessed through phone interviews and outpatient evaluations. A binary tree classifier AI model was used to identify patients who improved post-surgically. Results: Our analysis showed that patients with a larger tentorium angle experienced some improvements in ASD symptoms after surgery, whereas those with a significantly smaller tentorium angle showed no improvement. AI identified a tentorium angle of 89.55° as a potential cut-off for distinguishing between outcome groups. No other morphometric parameters significantly influenced ASD symptom outcomes. Conclusions: This study evaluates the relevance of the tentorium angle width as a potentially valuable MRI-based morphometric parameter that could guide neurosurgeons in the decision-making process for this unique patient population. These findings may contribute to a more tailored approach for managing patients with CM-I and coexistent ASD.</t>
        </is>
      </c>
      <c r="G379" s="4" t="inlineStr">
        <is>
          <t>CT/MRI morphometry and a binary tree classifier identified tentorium angle as a potential predictor of postsurgical ASD symptom improvement in children with Chiari I malformation. Narrow comorbid pediatric population and retrospective/small-cohort design limit generalizability. The tree/cutoff is interpretable, but no external or prospective validation was identified.</t>
        </is>
      </c>
      <c r="H379" s="4" t="str"/>
      <c r="I379" s="4" t="inlineStr">
        <is>
          <t>Lote_03_25: nivel=PubMed and institutional repository abstract with detailed methods/results; publisher article located; hallazgo=CT/MRI morphometry and a binary tree classifier identified tentorium angle as a potential predictor of postsurgical ASD symptom improvement in children with Chiari I malformation.; limitación=; acción=; fuente=https://pubmed.ncbi.nlm.nih.gov/41535441/</t>
        </is>
      </c>
      <c r="J379" s="4" t="inlineStr">
        <is>
          <t>Contenido evaluable revisado; ver nivel exacto de fuente, evidencia y cautelas en Lote_03_25.</t>
        </is>
      </c>
      <c r="K379" s="4" t="inlineStr">
        <is>
          <t>Inherited scoped adjudication; see source level and lot caveats</t>
        </is>
      </c>
      <c r="L379" s="4" t="inlineStr">
        <is>
          <t>Not documented in provided sources</t>
        </is>
      </c>
    </row>
    <row r="380" ht="359" customHeight="1">
      <c r="A380" s="4" t="inlineStr">
        <is>
          <t>new_204</t>
        </is>
      </c>
      <c r="B380" s="4" t="inlineStr">
        <is>
          <t>Update</t>
        </is>
      </c>
      <c r="C380" s="4" t="inlineStr">
        <is>
          <t>An automated detection system of autism spectrum disorder using meta-heuristic approach of adaptive LSTM with bayesian learning technique</t>
        </is>
      </c>
      <c r="D380" s="4" t="inlineStr">
        <is>
          <t>10.1007/s13246-025-01681-4</t>
        </is>
      </c>
      <c r="E380" s="4" t="inlineStr">
        <is>
          <t>https://doi.org/10.1007/s13246-025-01681-4</t>
        </is>
      </c>
      <c r="F380" s="4" t="inlineStr">
        <is>
          <t>Autism spectrum disorder (ASD) is one of the major neurological symptoms affecting young children. Most neurological diseases are captured through speech, voice and changes in sbrain activity. Research leading to ASD diagnosis is done in different ways; still, the early ASD diagnosis is a complex task. Various co-occurring situations may hinder Automated ASD detection, and deep learners effectively tackle such issues and create a better design. Here, a novel automated autism detection approach is proposed employing a deep learning technique with the help of brain image. Initially, the brain images are garnered from the standard dataset links. These gathered images are employed for the pre-processing stage, which is accomplished by using contrast enhancement. Subsequently, the most noteworthy deep features are extracted from the image pre-processed using a multi-atlas-based residual network (MResNet). Finally, the detection process is carried out by influencing the adaptive cascaded attention long short term memory with bayesian learning (ACAL-BL), in which some of the hyperparameters are tuned optimally by the random fixed marine predators algorithm (RFMPA). The performance is examined under Python using various factors and contrasted with other classical models and the results show that our ACAL-BL achieved an FPR of 4.5%, representing relative improvements of 52%, 54%, 56%, 58%, and 60% compared to LSTM, CNN, ANN, auto encoder, and LSTM-Bayesian learning, respectively. Thus, the suggested technique has the tendency to exploit the outstanding results that aid clinical practitioners to diagnose the disease earlier.</t>
        </is>
      </c>
      <c r="G380" s="4" t="inlineStr">
        <is>
          <t>Combines MResNet feature extraction, adaptive cascaded-attention LSTM with Bayesian learning and metaheuristic optimization on ABIDE brain images. Public multisite dataset use does not establish independent external or site-held-out validation. Attention is architectural and was not counted as formal XAI.</t>
        </is>
      </c>
      <c r="H380" s="4" t="str"/>
      <c r="I380" s="4" t="inlineStr">
        <is>
          <t>Lote_03_25: nivel=PubMed/publisher indexed research article with detailed model and dataset description; hallazgo=Combines MResNet feature extraction, adaptive cascaded-attention LSTM with Bayesian learning and metaheuristic optimization on ABIDE brain images.; limitación=; acción=; fuente=https://pubmed.ncbi.nlm.nih.gov/41642457/</t>
        </is>
      </c>
      <c r="J380" s="4" t="inlineStr">
        <is>
          <t>Contenido evaluable revisado; ver nivel exacto de fuente, evidencia y cautelas en Lote_03_25.</t>
        </is>
      </c>
      <c r="K380" s="4" t="inlineStr">
        <is>
          <t>Inherited scoped adjudication; see source level and lot caveats</t>
        </is>
      </c>
      <c r="L380" s="4" t="inlineStr">
        <is>
          <t>Not documented in provided sources</t>
        </is>
      </c>
    </row>
    <row r="381" ht="333" customHeight="1">
      <c r="A381" s="4" t="inlineStr">
        <is>
          <t>new_208</t>
        </is>
      </c>
      <c r="B381" s="4" t="inlineStr">
        <is>
          <t>Update</t>
        </is>
      </c>
      <c r="C381" s="4" t="inlineStr">
        <is>
          <t>ADBrainNet: a deep neural network for Autism Spectrum Disorder (ASD) and Attention Deficit and Hyperactivity Disorder (ADHD) classification using resting-state fMRI images based on explainable artificial intelligence.</t>
        </is>
      </c>
      <c r="D381" s="4" t="inlineStr">
        <is>
          <t>10.1007/s11517-026-03530-2</t>
        </is>
      </c>
      <c r="E381" s="4" t="inlineStr">
        <is>
          <t>https://doi.org/10.1007/s11517-026-03530-2</t>
        </is>
      </c>
      <c r="F381" s="4" t="inlineStr">
        <is>
          <t>Autism Spectrum Disorder (ASD) and Attention Deficit and Hyperactivity Disorder (ADHD) are two psychiatric disorders frequently encountered in children. ADHD is further categorized into three subtypes. The diagnostic processes for these conditions are complex and often prone to misclassification. We proposed a lightweight deep neural network, ADBrainNet, to differentiate ASD, ADHD combined, ADHD hyperactive/impulsive, ADHD inattentive and neurotypical individuals. Our methodology was benchmarked against prevalent ImageNet transfer learning methods, including AlexNet, MobileNet, ResNet18, and Xception, for training on resting-state fMRI images sourced from ABIDE and ADHD-200 datasets. ADBrainNet achieved superior performance on the independent external testing set through five-fold cross-validation, with a mean (± standard deviation) accuracy, precision, recall, and F1 score of 61.87% (± 5.59%), 65.72% (± 6.98%), 61.87% (± 5.59%), and 62.50% (± 5.78%), respectively. Furthermore, the explainable artificial intelligence algorithm LIME was employed to explore the most significant features during ADBrainNet's decision process. Our model provides an interpretable computational framework for neuroimaging-based classification between ASD and ADHD subtypes. This approach may inform future research and, upon further validation and comparison with clinician performance, could potentially aid in patient assessment, stratification, and management of psychiatric disorders.</t>
        </is>
      </c>
      <c r="G381" s="4" t="inlineStr">
        <is>
          <t>ADBrainNet uses rs-fMRI from ABIDE and ADHD-200 and reports an independent external testing set; LIME was used to identify influential features. The abstract describes the external test together with five-fold cross-validation, so the exact independence of the external evaluation should be checked manually. No explicit site-held-out robustness analysis was identified.</t>
        </is>
      </c>
      <c r="H381" s="4" t="str"/>
      <c r="I381" s="4" t="inlineStr">
        <is>
          <t>Lote_03_25: nivel=PubMed indexed research article with external-test and LIME details sufficient for scoped coding; hallazgo=ADBrainNet uses rs-fMRI from ABIDE and ADHD-200 and reports an independent external testing set; LIME was used to identify influential features.; limitación=; acción=; fuente=https://pubmed.ncbi.nlm.nih.gov/41781648/</t>
        </is>
      </c>
      <c r="J381" s="4" t="inlineStr">
        <is>
          <t>Contenido evaluable revisado; ver nivel exacto de fuente, evidencia y cautelas en Lote_03_25.</t>
        </is>
      </c>
      <c r="K381" s="4" t="inlineStr">
        <is>
          <t>Inherited scoped adjudication; see source level and lot caveats</t>
        </is>
      </c>
      <c r="L381" s="4" t="inlineStr">
        <is>
          <t>Not documented in provided sources</t>
        </is>
      </c>
    </row>
    <row r="382" ht="281" customHeight="1">
      <c r="A382" s="4" t="inlineStr">
        <is>
          <t>new_209</t>
        </is>
      </c>
      <c r="B382" s="4" t="inlineStr">
        <is>
          <t>Update</t>
        </is>
      </c>
      <c r="C382" s="4" t="inlineStr">
        <is>
          <t>Integrating EEG microstate dynamics in a stacked ensemble for neurodiagnostic ASD assessment</t>
        </is>
      </c>
      <c r="D382" s="4" t="inlineStr">
        <is>
          <t>10.1016/j.bbr.2026.116220</t>
        </is>
      </c>
      <c r="E382" s="4" t="inlineStr">
        <is>
          <t>https://doi.org/10.1016/j.bbr.2026.116220</t>
        </is>
      </c>
      <c r="F382" s="4" t="inlineStr">
        <is>
          <t>Autism Spectrum Disorder (ASD) remains diagnostically challenging due to its neurobiological heterogeneity and the current reliance on subjective behavioral assessments. To address this, we propose a novel stacked ensemble machine learning framework that enhances EEG-based ASD classification by integrating both spatial and temporal neural features. Spatial features including spectral power, functional connectivity, and signal complexity were extracted alongside temporal features derived from microstate transitions and Hidden Markov Model (HMM)-based dynamics, capturing complementary aspects of resting-state brain activity. Using Random Forest models for both base learners and the meta-classifier, our ensemble achieved a classification accuracy of 96.3% under rigorous GroupKFold cross-validation, significantly outperforming unimodal models based on spatial (88.15%) and temporal (73.6%) features alone. Bootstrapped confidence intervals confirmed the statistical robustness and generalizability of the ensemble approach. Our framework not only improves diagnostic accuracy but also lays the groundwork for translational neurotechnology aimed at early detection, subtype differentiation, and personalized intervention strategies in ASD.</t>
        </is>
      </c>
      <c r="G382" s="4" t="inlineStr">
        <is>
          <t>A stacked Random Forest ensemble integrates spectral/connectivity/complexity features with microstate and HMM dynamics, reaching 96.3% accuracy under GroupKFold validation. Validation is internal GroupKFold; no independent external cohort, multisite/site-held-out robustness, prospective evaluation, or formal XAI was identified.</t>
        </is>
      </c>
      <c r="H382" s="4" t="str"/>
      <c r="I382" s="4" t="inlineStr">
        <is>
          <t>Lote_03_25: nivel=Publisher/PubMed detailed research abstract with validation protocol and model architecture; hallazgo=A stacked Random Forest ensemble integrates spectral/connectivity/complexity features with microstate and HMM dynamics, reaching 96.3% accuracy under GroupKFold validation.; limitación=; acción=; fuente=https://www.sciencedirect.com/science/article/pii/S0166432826001968</t>
        </is>
      </c>
      <c r="J382" s="4" t="inlineStr">
        <is>
          <t>Contenido evaluable revisado; ver nivel exacto de fuente, evidencia y cautelas en Lote_03_25.</t>
        </is>
      </c>
      <c r="K382" s="4" t="inlineStr">
        <is>
          <t>Inherited scoped adjudication; see source level and lot caveats</t>
        </is>
      </c>
      <c r="L382" s="4" t="inlineStr">
        <is>
          <t>Not documented in provided sources</t>
        </is>
      </c>
    </row>
    <row r="383" ht="268" customHeight="1">
      <c r="A383" s="4" t="inlineStr">
        <is>
          <t>new_213</t>
        </is>
      </c>
      <c r="B383" s="4" t="inlineStr">
        <is>
          <t>Update</t>
        </is>
      </c>
      <c r="C383" s="4" t="inlineStr">
        <is>
          <t>Identifying autism spectrum disorder diagnosis in children via temporal-frequency hyperdimensional computing with resting-state EEG</t>
        </is>
      </c>
      <c r="D383" s="4" t="inlineStr">
        <is>
          <t>10.1016/j.eswa.2025.130671</t>
        </is>
      </c>
      <c r="E383" s="4" t="inlineStr">
        <is>
          <t>https://doi.org/10.1016/j.eswa.2025.130671</t>
        </is>
      </c>
      <c r="F383" s="4" t="inlineStr">
        <is>
          <t>Autism spectrum disorder (ASD) is a neurodevelopmental disorder with high heterogeneity and complexity, it remains a challenge to identify ASD with existing artificial intelligence models, which tend to rely on typical data features, large-scale training datasets, and high computational resource. This study introduced a novel application of hyperdimensional computing (HDC) for ASD detection using resting-state EEG signals, addressing these limitations. We developed a Temporal-Frequency HDC (TF-HDC) model that integrated time-frequency EEG features from 120 age-matched male subjects (60 ASD vs. 60 typically developing controls). The proposed framework achieved 90.91 % classification accuracy with a relatively low computational cost compared to traditional machine learning methods (including SVM, RF, XGBoost, DNN, CNN, and LSTM). Crucially, the model demonstrated exceptional robustness in small-sample scenarios, maintaining strong performance with limited training data. These findings establish TF-HDC as both a computationally efficient and clinically practical solution for early ASD diagnosis, particularly in resource-constrained settings where large datasets are unavailable.</t>
        </is>
      </c>
      <c r="G383" s="4" t="inlineStr">
        <is>
          <t>TF-HDC classifies resting-state EEG from 120 age-matched male participants (60 ASD, 60 TD) and reports about 90.9% accuracy while benchmarking conventional ML/DL models. Small single-cohort evaluation with no independent external dataset, site-held-out test, prospective clinical workflow, or formal XAI identified.</t>
        </is>
      </c>
      <c r="H383" s="4" t="str"/>
      <c r="I383" s="4" t="inlineStr">
        <is>
          <t>Lote_03_25: nivel=Publisher indexed article text and detailed abstract with cohort/model/results; hallazgo=TF-HDC classifies resting-state EEG from 120 age-matched male participants (60 ASD, 60 TD) and reports about 90.9% accuracy while benchmarking conventional ML/DL models.; limitación=; acción=; fuente=https://www.sciencedirect.com/science/article/pii/S0957417425042861</t>
        </is>
      </c>
      <c r="J383" s="4" t="inlineStr">
        <is>
          <t>Contenido evaluable revisado; ver nivel exacto de fuente, evidencia y cautelas en Lote_03_25.</t>
        </is>
      </c>
      <c r="K383" s="4" t="inlineStr">
        <is>
          <t>Inherited scoped adjudication; see source level and lot caveats</t>
        </is>
      </c>
      <c r="L383" s="4" t="inlineStr">
        <is>
          <t>Not documented in provided sources</t>
        </is>
      </c>
    </row>
    <row r="384" ht="409" customHeight="1">
      <c r="A384" s="4" t="inlineStr">
        <is>
          <t>new_215</t>
        </is>
      </c>
      <c r="B384" s="4" t="inlineStr">
        <is>
          <t>Update</t>
        </is>
      </c>
      <c r="C384" s="4" t="inlineStr">
        <is>
          <t>Integrated transcriptomic and clinical analysis of autism spectrum disorder reveals structured heterogeneity and links Methyl-CpG Binding Domain Protein 2 expression with symptom severity</t>
        </is>
      </c>
      <c r="D384" s="4" t="inlineStr">
        <is>
          <t>10.1111/pcn.70065</t>
        </is>
      </c>
      <c r="E384" s="4" t="inlineStr">
        <is>
          <t>https://doi.org/10.1111/pcn.70065</t>
        </is>
      </c>
      <c r="F384" s="4" t="inlineStr">
        <is>
          <t>Aim: Autism spectrum disorder (ASD) remains underexplored in Southeast Asia, with limited characterization of its molecular underpinnings and clinical heterogeneity. This study investigated transcriptomic variation and its relationship to clinical diversity in Thai children with ASD using integrated molecular and phenotypic analyses. Method: Peripheral blood transcriptomic profiling was performed in 150 ASD and 70 typically developing (TD) children to identify differentially expressed transcripts (DETs), followed by pathway enrichment, unsupervised molecular clustering, and integrative multiomics modeling. Clinical data from 200 ASD and 110 TD participants were analyzed in parallel to evaluate screening performance and derive phenotype-based subgroups. Results: Differential expression analysis identified 1,407 DETs with significant enrichment of autism-associated genes. Pathway analysis consistently implicated dysregulation of protein-synthesis machinery. Unsupervised transcriptome-based clustering revealed three molecular subgroups characterized by translational, innate-immune, and interferon-associated signatures, which did not directly correspond to clinical severity, age, or cognitive level, indicating structured biological heterogeneity beyond symptom-based classification. Integration of transcriptomic and phenotypic data demonstrated moderate cross-domain correspondence. Among recurrent molecular signals, MBD2 showed consistent upregulation across subgroups and strong associations with social-interaction measures (r = 0.74). In parallel, clinical machine-learning models showed high within-cohort screening performance, while a refined 17-transcript panel achieved robust discriminative accuracy, supporting the complementary role of molecular features in ASD stratification. Conclusion: Transcriptomic stratification reveals biologically structured heterogeneity in ASD that is only partially reflected in clinical presentation, supporting a multilayered framework integrating molecular and phenotypic dimensions.</t>
        </is>
      </c>
      <c r="G384" s="4" t="inlineStr">
        <is>
          <t>Transcriptomic profiling (150 ASD/70 TD) and clinical data (200 ASD/110 TD) were analyzed with clustering, integrative modeling and clinical ML; a 17-transcript panel showed discriminative performance. Screening performance is explicitly within-cohort and no external/site-held-out validation was reported in the accessible text. Molecular clusters only partially corresponded to clinical phenotype.</t>
        </is>
      </c>
      <c r="H384" s="4" t="str"/>
      <c r="I384" s="4" t="inlineStr">
        <is>
          <t>Lote_03_25: nivel=Open publisher/PubMed research abstract with cohort sizes, integrated analyses and screening results; hallazgo=Transcriptomic profiling (150 ASD/70 TD) and clinical data (200 ASD/110 TD) were analyzed with clustering, integrative modeling and clinical ML; a 17-transcript panel showed discriminative performance.; limitación=; acción=; fuente=https://onlinelibrary.wiley.com/doi/10.1111/pcn.70065</t>
        </is>
      </c>
      <c r="J384" s="4" t="inlineStr">
        <is>
          <t>Contenido evaluable revisado; ver nivel exacto de fuente, evidencia y cautelas en Lote_03_25.</t>
        </is>
      </c>
      <c r="K384" s="4" t="inlineStr">
        <is>
          <t>Inherited scoped adjudication; see source level and lot caveats</t>
        </is>
      </c>
      <c r="L384" s="4" t="inlineStr">
        <is>
          <t>Not documented in provided sources</t>
        </is>
      </c>
    </row>
    <row r="385" ht="307" customHeight="1">
      <c r="A385" s="4" t="inlineStr">
        <is>
          <t>new_218</t>
        </is>
      </c>
      <c r="B385" s="4" t="inlineStr">
        <is>
          <t>Update</t>
        </is>
      </c>
      <c r="C385" s="4" t="inlineStr">
        <is>
          <t>A Robust Computational Framework for Autism Spectrum Disorder Identification Using Optimized Image Processing and Hybrid Learning Models</t>
        </is>
      </c>
      <c r="D385" s="4" t="inlineStr">
        <is>
          <t>10.1002/dneu.70028</t>
        </is>
      </c>
      <c r="E385" s="4" t="inlineStr">
        <is>
          <t>https://doi.org/10.1002/dneu.70028</t>
        </is>
      </c>
      <c r="F385" s="4" t="inlineStr">
        <is>
          <t>The classification of autism spectrum disorder (ASD) has reached a new stage of development that includes the former machine learning (ML) designs and image analysis designs. The study introduces a new framework that uses discrete wavelet transformation with Gaussian filter kernel (DWT-GFK) to achieve the robust preprocessing of the image, including noise removal and preserving edges without affecting the quality of the image. The VGG16 deep learning model is used to extract features, elaborate visual patterns, and data features that are pertinent to the identification of ASD. The classification stage uses a family of Elevated Learning-based Boosting Network with Hybrid Learning with Neural Classifier Logic (ELBN–HLNCL) that is optimized with the help of Walrus Optimization Algorithm (WaOA) to derive optimal model settings. Experimental testing of the proposed methods using the autism image dataset (AID), ASD screening dataset, and ABIDE dataset has shown the superiority of the proposed methodology with 99.95% accuracy, 99.9% recall, 99.8% precision, and 99.85% F1-score. The results demonstrate strong competitive performance compared with existing ASD classification approaches across multiple datasets. The findings offer promising applications in early ASD detection, facilitating improved diagnostic tools and aiding healthcare professionals in accurate assessments.</t>
        </is>
      </c>
      <c r="G385" s="4" t="inlineStr">
        <is>
          <t>The hybrid pipeline was tested on AID, structured ASD screening data and ABIDE and reports very high performance (accuracy 99.95%). The accessible report does not establish a fixed development-versus-independent-external design or cross-site evaluation. Heterogeneous public datasets are evaluated, but explicit multisource fusion is not demonstrated.</t>
        </is>
      </c>
      <c r="H385" s="4" t="str"/>
      <c r="I385" s="4" t="inlineStr">
        <is>
          <t>Lote_03_25: nivel=Publisher/PubMed detailed research abstract plus data-availability statement; hallazgo=The hybrid pipeline was tested on AID, structured ASD screening data and ABIDE and reports very high performance (accuracy 99.95%).; limitación=; acción=; fuente=https://onlinelibrary.wiley.com/doi/10.1002/dneu.70028</t>
        </is>
      </c>
      <c r="J385" s="4" t="inlineStr">
        <is>
          <t>Contenido evaluable revisado; ver nivel exacto de fuente, evidencia y cautelas en Lote_03_25.</t>
        </is>
      </c>
      <c r="K385" s="4" t="inlineStr">
        <is>
          <t>Inherited scoped adjudication; see source level and lot caveats</t>
        </is>
      </c>
      <c r="L385" s="4" t="inlineStr">
        <is>
          <t>Not documented in provided sources</t>
        </is>
      </c>
    </row>
    <row r="386" ht="307" customHeight="1">
      <c r="A386" s="4" t="inlineStr">
        <is>
          <t>new_222</t>
        </is>
      </c>
      <c r="B386" s="4" t="inlineStr">
        <is>
          <t>Update</t>
        </is>
      </c>
      <c r="C386" s="4" t="inlineStr">
        <is>
          <t>Adaptive network based fuzzy inference system efficientnet for autism spectrum disorder detection with optimization based pivotal region extraction</t>
        </is>
      </c>
      <c r="D386" s="4" t="inlineStr">
        <is>
          <t>10.1016/j.pscychresns.2025.112109</t>
        </is>
      </c>
      <c r="E386" s="4" t="inlineStr">
        <is>
          <t>https://doi.org/10.1016/j.pscychresns.2025.112109</t>
        </is>
      </c>
      <c r="F386" s="4" t="inlineStr">
        <is>
          <t>Autism Spectrum Disorder (ASD) refers to abnormal neural activity that may increase the risk of premature brain development issues. Many traditional treatment methods are available for ASD, but they require continuous assessment and analysis of patient behavior. However, traditional models are time-consuming and often lead to unclear outcomes, significantly impacting patient's social lives and communication ability. Hence, a novel hybrid approach is developed, namely, Adaptive Network Based Fuzzy Inference System EfficientNet (ANFIS-EffNet), which combines the ability of Adaptive Network Based Fuzzy Inference (ANFIS) and EfficientNet by modifying their layers. At first, the input autism brain image is given to the pre-processing stage, performed using Anisotropic diffusion and Region of Interest (ROI) extraction. Next, functional connectivity-based pivotal region extraction is done by Adam War Strategy Optimization (AWSO), a combination of the Adam optimization algorithm and War Strategy Optimization (WSO) technique. Next, feature extraction is carried out by including Learned Invariant Feature Transform (LIFT) and statistical methods. At last, ANFIS-EffNet is employed to detect autism spectrum disorder. The ANFIS-EffNet model has achieved outstanding performance with an accuracy of 93.219 %, sensitivity of 93.670 % and specificity of 93.840 % respectively.</t>
        </is>
      </c>
      <c r="G386" s="4" t="inlineStr">
        <is>
          <t>ANFIS-EffNet combines fuzzy inference and EfficientNet with optimization-based pivotal-region extraction; reported accuracy is about 93.2% on ABIDE-related imaging. ABIDE-I/II use was treated as multisite evidence only; no explicit train-on-one/test-on-another or site-held-out robustness design was identified. Pivotal-region extraction was not counted as formal XAI.</t>
        </is>
      </c>
      <c r="H386" s="4" t="str"/>
      <c r="I386" s="4" t="inlineStr">
        <is>
          <t>Lote_03_25: nivel=Open-access ScienceDirect article with methods/results and ABIDE-I/II evaluation details; hallazgo=ANFIS-EffNet combines fuzzy inference and EfficientNet with optimization-based pivotal-region extraction; reported accuracy is about 93.2% on ABIDE-related imaging.; limitación=; acción=; fuente=https://www.sciencedirect.com/science/article/pii/S0925492725001647</t>
        </is>
      </c>
      <c r="J386" s="4" t="inlineStr">
        <is>
          <t>Contenido evaluable revisado; ver nivel exacto de fuente, evidencia y cautelas en Lote_03_25.</t>
        </is>
      </c>
      <c r="K386" s="4" t="inlineStr">
        <is>
          <t>Inherited scoped adjudication; see source level and lot caveats</t>
        </is>
      </c>
      <c r="L386" s="4" t="inlineStr">
        <is>
          <t>Not documented in provided sources</t>
        </is>
      </c>
    </row>
    <row r="387" ht="372" customHeight="1">
      <c r="A387" s="4" t="inlineStr">
        <is>
          <t>new_223</t>
        </is>
      </c>
      <c r="B387" s="4" t="inlineStr">
        <is>
          <t>Update</t>
        </is>
      </c>
      <c r="C387" s="4" t="inlineStr">
        <is>
          <t>Identification of Autism Through Fractal Analysis of EEG Signals and Bayesian Optimized Artificial Neural Network</t>
        </is>
      </c>
      <c r="D387" s="4" t="inlineStr">
        <is>
          <t>10.1002/ima.70326</t>
        </is>
      </c>
      <c r="E387" s="4" t="inlineStr">
        <is>
          <t>https://doi.org/10.1002/ima.70326</t>
        </is>
      </c>
      <c r="F387" s="4" t="inlineStr">
        <is>
          <t>Autism Spectrum Disorder (ASD) is a neurological condition that affects the cerebrospinal nervous system, impairs motor function, and other developmental aspects. In this study, we proposed a novel approach that ensembled Fractal Dimension (FD) measures with a Bayesian Optimized Artificial Neural Network (BO-ANN) for the automated classification of multichannel Electroencephalography (EEG) signals into ASD (n = 29) and Typically Developing (TD) (n = 30) participants. We extracted five FD measures: Higuchi's Fractal Dimension (HFD), Correlation Dimension (CRD), Box-Counting Method (BCM), Katz's Fractal Dimension (KFD), and Petrosian's Fractal Dimension (PFD) from EEG signals. These features are assembled into an 80-dimensional vector (5 FDs × 16 channels) and demonstrate a statistically significant difference between TD and ASD controls (α &lt; 0.05). This feature set subsequently fed into six Machine Learning (ML) classifiers, an ANN model, and the proposed BO-ANN model for the identification process. Extreme Gradient Boosting (XGB) achieved an accuracy of 90.09%, while the baseline ANN obtained 91.44%. The proposed BO-ANN outperformed all models with a classification accuracy of 97.38%. Feature importance analysis with XGB further revealed the most influential channels and FD measures contributing to discrimination. Our study provides a robust framework for ASD identification using EEG signals and the proposed BO-ANN model, emphasizing the effectiveness of FD-based features. The proposed framework not only improves accuracy compared to the existing approaches but also enhances interpretability, making it a promising tool for practical applications in ASD identification.</t>
        </is>
      </c>
      <c r="G387" s="4" t="inlineStr">
        <is>
          <t>Five fractal-dimension measures from 16 EEG channels feed several classifiers; BO-ANN reached 97.38% accuracy and XGBoost feature importance identified influential channels/features. Small sample (29 ASD, 30 TD) and no independent external/site-held-out validation. Feature importance supports XAI coding but does not establish clinical interpretability or utility.</t>
        </is>
      </c>
      <c r="H387" s="4" t="str"/>
      <c r="I387" s="4" t="inlineStr">
        <is>
          <t>Lote_03_25: nivel=Publisher indexed research article with model results, feature importance and data-availability statement; hallazgo=Five fractal-dimension measures from 16 EEG channels feed several classifiers; BO-ANN reached 97.38% accuracy and XGBoost feature importance identified influential channels/features.; limitación=; acción=; fuente=https://onlinelibrary.wiley.com/doi/10.1002/ima.70326</t>
        </is>
      </c>
      <c r="J387" s="4" t="inlineStr">
        <is>
          <t>Contenido evaluable revisado; ver nivel exacto de fuente, evidencia y cautelas en Lote_03_25.</t>
        </is>
      </c>
      <c r="K387" s="4" t="inlineStr">
        <is>
          <t>Inherited scoped adjudication; see source level and lot caveats</t>
        </is>
      </c>
      <c r="L387" s="4" t="inlineStr">
        <is>
          <t>Not documented in provided sources</t>
        </is>
      </c>
    </row>
    <row r="388" ht="281" customHeight="1">
      <c r="A388" s="4" t="inlineStr">
        <is>
          <t>new_231</t>
        </is>
      </c>
      <c r="B388" s="4" t="inlineStr">
        <is>
          <t>Update</t>
        </is>
      </c>
      <c r="C388" s="4" t="inlineStr">
        <is>
          <t>Linguistic Explanations of Deep Models in Detecting Autism and Schizophrenia</t>
        </is>
      </c>
      <c r="D388" s="4" t="inlineStr">
        <is>
          <t>10.1111/coin.70158</t>
        </is>
      </c>
      <c r="E388" s="4" t="inlineStr">
        <is>
          <t>https://doi.org/10.1111/coin.70158</t>
        </is>
      </c>
      <c r="F388" s="4" t="inlineStr">
        <is>
          <t>Automated detection of mental conditions from text is increasingly important due to the rise of digital communication and limited access to clinicians, but the methods often suffer from insufficient explainability. In this study, we propose a novel framework to utilize linguistic dimensions to explain the attribution scores (Integrated Gradients) of tokens in a deep neural network (HerBERT) trained to detect autism and schizophrenia from textual data. In our approach, the scores are mapped to syntactic and psycholinguistic variables, which are then used to train explainable models. The feature importance derived from these models is thereby linked to linguistic dimensions, enhancing interpretability. Our results emphasize the role of syntactic clues, such as grammatical gender and case, in language processing. We also demonstrate that the deep model's attribution scores, when mapped to linguistic features, correlate with selected clinical tests. We propose that our framework can enhance the analysis and interpretation of deep neural networks used for detecting psychiatric disorders. Our approach advances explainable artificial intelligence in mental health by providing researchers with deeper insights into the linguistic cues driving deep neural model predictions.</t>
        </is>
      </c>
      <c r="G388" s="4" t="inlineStr">
        <is>
          <t>Integrated Gradients token attributions from HerBERT are mapped to syntactic and psycholinguistic variables and linked to feature importance and selected clinical tests. The indexed text does not expose the full sampling/validation design or evidence of independent external testing; data are restricted and available on request.</t>
        </is>
      </c>
      <c r="H388" s="4" t="str"/>
      <c r="I388" s="4" t="inlineStr">
        <is>
          <t>Lote_03_25: nivel=Publisher indexed research article/PDF abstract with explicit Integrated Gradients and linguistic feature analysis; hallazgo=Integrated Gradients token attributions from HerBERT are mapped to syntactic and psycholinguistic variables and linked to feature importance and selected clinical tests.; limitación=; acción=; fuente=https://onlinelibrary.wiley.com/doi/10.1111/coin.70158</t>
        </is>
      </c>
      <c r="J388" s="4" t="inlineStr">
        <is>
          <t>Contenido evaluable revisado; ver nivel exacto de fuente, evidencia y cautelas en Lote_03_25.</t>
        </is>
      </c>
      <c r="K388" s="4" t="inlineStr">
        <is>
          <t>Inherited scoped adjudication; see source level and lot caveats</t>
        </is>
      </c>
      <c r="L388" s="4" t="inlineStr">
        <is>
          <t>Not documented in provided sources</t>
        </is>
      </c>
    </row>
    <row r="389" ht="268" customHeight="1">
      <c r="A389" s="4" t="inlineStr">
        <is>
          <t>new_233</t>
        </is>
      </c>
      <c r="B389" s="4" t="inlineStr">
        <is>
          <t>Update</t>
        </is>
      </c>
      <c r="C389" s="4" t="inlineStr">
        <is>
          <t>Autism Screening Based on Deep Learning Analysis of Eye Movement Trajectories</t>
        </is>
      </c>
      <c r="D389" s="4" t="inlineStr">
        <is>
          <t>10.1049/cvi2.70078</t>
        </is>
      </c>
      <c r="E389" s="4" t="inlineStr">
        <is>
          <t>https://doi.org/10.1049/cvi2.70078</t>
        </is>
      </c>
      <c r="F389" s="4" t="inlineStr">
        <is>
          <t>&lt;p&gt;Traditional clinical diagnosis of autism spectrum disorder (ASD) relies heavily on subjective physician assessments, resulting in longer diagnostic cycles and low efficiency. Eye‐tracking technology offers a noninvasive approach to objectively record visual attention patterns, enabling the identification of autism‐specific visual behavioural features that serve as diagnostic indicators, showing unique advantages for autism diagnosis. This study proposes ET‐ASDNet, a deep learning framework based on ResNet18 with three specialised modules for analysing eye movement trajectories to assist in ASD screening. The framework incorporates dynamic trajectory perception, multi‐dimensional cross‐attention fusion and adaptive spatial feature integration to capture ASD‐specific visual patterns. Evaluation was conducted using stratified three‐fold cross‐validation on two public eye‐tracking datasets: the Eye‐tracking Scanpath Dataset, where ET‐ASDNet achieved 85.19% accuracy and 86.96% F1‐score, and the Saliency4ASD dataset, where it achieved 72.67% accuracy and 76.84% F1‐score. Results demonstrate that ET‐ASDNet can provide an objective tool for auxiliary ASD screening.&lt;/p&gt;</t>
        </is>
      </c>
      <c r="G389" s="4" t="inlineStr">
        <is>
          <t>ET-ASDNet analyzes eye-movement trajectories and reports 85.19% and 72.67% accuracy on two public datasets. Use of two public datasets does not by itself establish external validation unless a fixed development/external design is shown. Attention/fusion modules were not counted as formal XAI.</t>
        </is>
      </c>
      <c r="H389" s="4" t="str"/>
      <c r="I389" s="4" t="inlineStr">
        <is>
          <t>Lote_03_25: nivel=Open-access IET article/PDF located; two public datasets and experimental protocol reviewed; hallazgo=ET-ASDNet analyzes eye-movement trajectories and reports 85.19% and 72.67% accuracy on two public datasets.; limitación=; acción=; fuente=https://ietresearch.onlinelibrary.wiley.com/doi/10.1049/cvi2.70078</t>
        </is>
      </c>
      <c r="J389" s="4" t="inlineStr">
        <is>
          <t>Contenido evaluable revisado; ver nivel exacto de fuente, evidencia y cautelas en Lote_03_25.</t>
        </is>
      </c>
      <c r="K389" s="4" t="inlineStr">
        <is>
          <t>Inherited scoped adjudication; see source level and lot caveats</t>
        </is>
      </c>
      <c r="L389" s="4" t="inlineStr">
        <is>
          <t>Not documented in provided sources</t>
        </is>
      </c>
    </row>
    <row r="390" ht="398" customHeight="1">
      <c r="A390" s="4" t="inlineStr">
        <is>
          <t>new_235</t>
        </is>
      </c>
      <c r="B390" s="4" t="inlineStr">
        <is>
          <t>Update</t>
        </is>
      </c>
      <c r="C390" s="4" t="inlineStr">
        <is>
          <t>Automatic measurement of social gaze during naturalistic conversations in autism</t>
        </is>
      </c>
      <c r="D390" s="4" t="inlineStr">
        <is>
          <t>10.1016/j.jpsychires.2026.05.015</t>
        </is>
      </c>
      <c r="E390" s="4" t="inlineStr">
        <is>
          <t>https://doi.org/10.1016/j.jpsychires.2026.05.015</t>
        </is>
      </c>
      <c r="F390" s="4" t="inlineStr">
        <is>
          <t>Standardized, granular measurement of social communication behaviors, such as social gaze during natural interactions, is needed for a range of psychiatric applications including diagnosis and detecting clinical change in conditions such as autism. Computational approaches show promise in automatically measuring social behaviors within natural settings. This study aims to automatically measure social gaze features from videos of dyadic conversations, characterize autism-related differences, and capture individual-level differences. 46 autistic Participants and 36 neurotypical Participants, aged 8-29 years, engaged in a brief video-recorded conversation with a research staff member (Partner). An automated social gaze detector was trained to detect whether each partner was looking at the other and achieved 89% cross-validated accuracy with human annotations. Comparing detailed automatic gaze measurements, autistic Participants spent less time looking at Partners and engaging in mutual gaze than neurotypical Participants did. They also initiated mutual gaze less frequently and had shorter mutual gaze episodes, but did not differ in mutual gaze counts. A social gaze summary score fusing individual variables correlated specifically with ADOS-2 Social Affect scores and not Restricted and Repetitive Behavior scores. A cross-validated multivariate classification model using gaze features was able to make individual-level diagnostic prediction (autism versus neurotypical) with 73% accuracy. This study provides a framework for automatically quantifying social gaze behaviors with high granularity and demonstrates its use in psychiatric research. This framework has a potential for enhancing measurement of social skills and tracking therapeutic progress in autism and other psychiatric conditions.</t>
        </is>
      </c>
      <c r="G390" s="4" t="inlineStr">
        <is>
          <t>Videos from 46 autistic and 36 neurotypical participants were used to train an automatic gaze detector; granular gaze features correlated with ADOS-2 Social Affect and classified ASD vs NT at 73%. Cross-validation is internal and no independent cohort/site test was reported. Human-defined gaze features are interpretable, but no formal post-hoc XAI method was used.</t>
        </is>
      </c>
      <c r="H390" s="4" t="str"/>
      <c r="I390" s="4" t="inlineStr">
        <is>
          <t>Lote_03_25: nivel=Open-access PMC/ScienceDirect full article with participant, modeling and validation details; hallazgo=Videos from 46 autistic and 36 neurotypical participants were used to train an automatic gaze detector; granular gaze features correlated with ADOS-2 Social Affect and classified ASD vs NT at 73%.; limitación=; acción=; fuente=https://pmc.ncbi.nlm.nih.gov/articles/PMC13248665/</t>
        </is>
      </c>
      <c r="J390" s="4" t="inlineStr">
        <is>
          <t>Contenido evaluable revisado; ver nivel exacto de fuente, evidencia y cautelas en Lote_03_25.</t>
        </is>
      </c>
      <c r="K390" s="4" t="inlineStr">
        <is>
          <t>Inherited scoped adjudication; see source level and lot caveats</t>
        </is>
      </c>
      <c r="L390" s="4" t="inlineStr">
        <is>
          <t>Not documented in provided sources</t>
        </is>
      </c>
    </row>
    <row r="391" ht="229" customHeight="1">
      <c r="A391" s="4" t="inlineStr">
        <is>
          <t>new_236</t>
        </is>
      </c>
      <c r="B391" s="4" t="inlineStr">
        <is>
          <t>Update</t>
        </is>
      </c>
      <c r="C391" s="4" t="inlineStr">
        <is>
          <t>An image-based analytics framework for early autism detection using eye movements</t>
        </is>
      </c>
      <c r="D391" s="4" t="inlineStr">
        <is>
          <t>10.1016/j.health.2025.100439</t>
        </is>
      </c>
      <c r="E391" s="4" t="inlineStr">
        <is>
          <t>https://doi.org/10.1016/j.health.2025.100439</t>
        </is>
      </c>
      <c r="F391" s="4" t="inlineStr">
        <is>
          <t>Autism Spectrum Disorder (ASD) is a complex neurodevelopmental condition whose early detection is crucial for improving social and cognitive outcomes. Current diagnostic tools are often costly, subjective, and inaccessible to many clinics. This work presents GazeScan, an image-based analytics framework that identifies ASD from eye-tracking behavior using only standard video input. The system non-invasively performs gaze estimation via a 16-point geometric calibration and transforms gaze trajectories into grayscale scanpath images. These images are classified using a lightweight convolutional neural network. GazeScan was evaluated on the Eye-Tracking Scan Path (ETSP) dataset with five-fold cross-validation, achieving 97.01% accuracy and an AUC of 0.98. The model's compact architecture enables real-time inference and mobile deployment without specialized hardware. The results obtained highlight the potential of accessible, AI-enabled digital screening tools to support early ASD detection and broader behavioral healthcare delivery.</t>
        </is>
      </c>
      <c r="G391" s="4" t="inlineStr">
        <is>
          <t>GazeScan converts gaze trajectories into grayscale scanpath images and uses a lightweight CNN; five-fold CV on ETSP reports 97.01% accuracy and AUC 0.98. Public single-dataset internal cross-validation only; no independent external cohort, multisite robustness, prospective clinical evaluation, or formal XAI identified.</t>
        </is>
      </c>
      <c r="H391" s="4" t="str"/>
      <c r="I391" s="4" t="inlineStr">
        <is>
          <t>Lote_03_25: nivel=Open-access ScienceDirect article with dataset, model, cross-validation and deployment details; hallazgo=GazeScan converts gaze trajectories into grayscale scanpath images and uses a lightweight CNN; five-fold CV on ETSP reports 97.01% accuracy and AUC 0.98.; limitación=; acción=; fuente=https://www.sciencedirect.com/science/article/pii/S2772442525000589</t>
        </is>
      </c>
      <c r="J391" s="4" t="inlineStr">
        <is>
          <t>Contenido evaluable revisado; ver nivel exacto de fuente, evidencia y cautelas en Lote_03_25.</t>
        </is>
      </c>
      <c r="K391" s="4" t="inlineStr">
        <is>
          <t>Inherited scoped adjudication; see source level and lot caveats</t>
        </is>
      </c>
      <c r="L391" s="4" t="inlineStr">
        <is>
          <t>Not documented in provided sources</t>
        </is>
      </c>
    </row>
    <row r="392" ht="409" customHeight="1">
      <c r="A392" s="4" t="inlineStr">
        <is>
          <t>new_242</t>
        </is>
      </c>
      <c r="B392" s="4" t="inlineStr">
        <is>
          <t>Update</t>
        </is>
      </c>
      <c r="C392" s="4" t="inlineStr">
        <is>
          <t>Neurophysiological EEG Characterization of Autism Spectrum Disorder Using DWT-Based Frequency Analysis With Selective Electrodes and Brain Segmentation: An Explainable AI-Driven Approach</t>
        </is>
      </c>
      <c r="D392" s="4" t="inlineStr">
        <is>
          <t>10.1096/fj.202600019r</t>
        </is>
      </c>
      <c r="E392" s="4" t="inlineStr">
        <is>
          <t>https://doi.org/10.1096/fj.202600019r</t>
        </is>
      </c>
      <c r="F392" s="4" t="inlineStr">
        <is>
          <t>Autism Spectrum Disorder (ASD) diagnosis benefits from the technical analysis of neural oscillations. The objective identification of Autism Spectrum Disorder (ASD) is advanced through a dedicated engineering framework that analyzes neural oscillations via electroencephalogram (EEG) signals. This methodology synthesizes statistical signal processing, frequency-domain transformation, and computational intelligence. Multi-channel EEG data from 15 electrodes were first organized into seven functional brain regions. A Discrete Wavelet Transform (db4) was then applied for multiresolution decomposition, extracting and normalizing the spectral power of delta, theta, alpha, beta, and gamma frequency bands. This spectral characterization was augmented with statistical descriptors to quantify signal dynamics and complexity, creating a robust multi-domain feature set. For classification, the framework implements a comprehensive comparative analysis across multiple learning paradigms. The engineered feature space was processed by nine classical machine learning algorithms, eight deep neural network architectures, and four meta-learning strategies. Empirical validation revealed that Logistic Regression achieved 88.57% accuracy with an AUC of 0.77. Further Extra Trees achieving 86.42% accuracy. Long Short-Term Memory (LSTM) networks demonstrated strong sequential modeling capability, attaining a competitive accuracy of approximately 87%. While meta-learning preserved diagnostic sensitivity, it did not surpass the leading standalone models. To ensure clinical interpretability, Explainability was employed, identifying delta and theta band power as the most critical discriminative features. Consequently, this study delivers a technically rigorous, transparent, and automated pipeline for electrophysiological signal characterization, establishing a preliminary computational foundation for neurophysiological differentiation in pediatric ASD. All findings are preliminary and exploratory, pending validation in larger independent cohorts.</t>
        </is>
      </c>
      <c r="G392" s="4" t="inlineStr">
        <is>
          <t>DWT features from 15 EEG electrodes were benchmarked across 21 models; Logistic Regression performed best at 88.57% accuracy, and explainability identified delta/theta power as key features. Preliminary small-cohort study with internal validation; the authors explicitly state that larger independent cohorts are needed.</t>
        </is>
      </c>
      <c r="H392" s="4" t="str"/>
      <c r="I392" s="4" t="inlineStr">
        <is>
          <t>Lote_03_25: nivel=Publisher/PubMed detailed research article with model comparison and XAI result; hallazgo=DWT features from 15 EEG electrodes were benchmarked across 21 models; Logistic Regression performed best at 88.57% accuracy, and explainability identified delta/theta power as key features.; limitación=; acción=; fuente=https://pubmed.ncbi.nlm.nih.gov/42417525/</t>
        </is>
      </c>
      <c r="J392" s="4" t="inlineStr">
        <is>
          <t>Contenido evaluable revisado; ver nivel exacto de fuente, evidencia y cautelas en Lote_03_25.</t>
        </is>
      </c>
      <c r="K392" s="4" t="inlineStr">
        <is>
          <t>Inherited scoped adjudication; see source level and lot caveats</t>
        </is>
      </c>
      <c r="L392" s="4" t="inlineStr">
        <is>
          <t>Not documented in provided sources</t>
        </is>
      </c>
    </row>
    <row r="393" ht="409" customHeight="1">
      <c r="A393" s="4" t="inlineStr">
        <is>
          <t>new_244</t>
        </is>
      </c>
      <c r="B393" s="4" t="inlineStr">
        <is>
          <t>Update</t>
        </is>
      </c>
      <c r="C393" s="4" t="inlineStr">
        <is>
          <t>DHCA-Net: A Novel Dual-Stream Hierarchical Channel Attention Network for Explainable Autism Spectrum Disorder Detection From Facial Images</t>
        </is>
      </c>
      <c r="D393" s="4" t="inlineStr">
        <is>
          <t>10.1002/jdn.70158</t>
        </is>
      </c>
      <c r="E393" s="4" t="inlineStr">
        <is>
          <t>https://doi.org/10.1002/jdn.70158</t>
        </is>
      </c>
      <c r="F393" s="4" t="inlineStr">
        <is>
          <t>Autism spectrum disorder (ASD) consists of a spectrum of neurodevelopmental conditions characterized by complex behavioural traits and subtle, atypical facial morphologies. Analysing these facial biomarkers provides a promising, non-invasive avenue for objective clinical screening, addressing the subjectivity of traditional diagnostic processes. Therefore, the present study aims to introduce DHCA-Net, a deep learning framework designed for automated ASD detection through the analysis of facial images. The proposed architecture uses different levels of attention and different adaptive tuning to advance discriminative learning. Specifically, DHCA-Net introduces three novel attention mechanisms to advance discriminative learning: a hierarchical channel module for spatial-semantic processing, a temporal-depth convolutional module for local contextual control and an inverted residual multi-core module for dynamic feature learning. An adaptive refinement step is also introduced to denoise clinical features. To bolster and diversify the classifier, the model exploits deep spatial and contextual resources via a multi-head feature fusion (MHFF) mechanism. We conducted extensive testing on a benchmark dataset comprising 2936 diverse, preprocessed facial images (86.4% train, 10.2% test, 3.4% validation splits). A comparative analysis evaluated DHCA-Net against architectures such as DenseNet, Xception, EfficientNet and Swin-Transformer. The proposed model achieved 93.7% classification accuracy, a 0.9365 F1 score and a 0.9887 AUC, demonstrating superior performance. Furthermore, the model maintains an efficient average inference latency of 70.14 ms despite its mid-to-high computational complexity. This explainable framework offers significant clinical applicability for scalable screening, though future work must address generalization across broader demographic populations.</t>
        </is>
      </c>
      <c r="G393" s="4" t="inlineStr">
        <is>
          <t>DHCA-Net was tested on 2,936 facial images using train/test/validation splits and achieved 93.7% accuracy, F1 0.9365 and AUC 0.9887. Despite the word explainable in the title, the accessible report describes attention mechanisms but no explicit explanation method/output satisfying strict XAI criteria. Broader demographic generalization remains future work.</t>
        </is>
      </c>
      <c r="H393" s="4" t="str"/>
      <c r="I393" s="4" t="inlineStr">
        <is>
          <t>Lote_03_25: nivel=Publisher/PubMed/PMC research record with dataset split, architecture and results; hallazgo=DHCA-Net was tested on 2,936 facial images using train/test/validation splits and achieved 93.7% accuracy, F1 0.9365 and AUC 0.9887.; limitación=; acción=; fuente=https://onlinelibrary.wiley.com/doi/10.1002/jdn.70158</t>
        </is>
      </c>
      <c r="J393" s="4" t="inlineStr">
        <is>
          <t>Contenido evaluable revisado; ver nivel exacto de fuente, evidencia y cautelas en Lote_03_25.</t>
        </is>
      </c>
      <c r="K393" s="4" t="inlineStr">
        <is>
          <t>Inherited scoped adjudication; see source level and lot caveats</t>
        </is>
      </c>
      <c r="L393" s="4" t="inlineStr">
        <is>
          <t>Not documented in provided sources</t>
        </is>
      </c>
    </row>
    <row r="394" ht="281" customHeight="1">
      <c r="A394" s="4" t="inlineStr">
        <is>
          <t>new_246</t>
        </is>
      </c>
      <c r="B394" s="4" t="inlineStr">
        <is>
          <t>Update</t>
        </is>
      </c>
      <c r="C394" s="4" t="inlineStr">
        <is>
          <t>MTT: Multi-Tier Transformer for Early Diagnosis of Autism Spectrum Disorder and Language Disorder in Infants</t>
        </is>
      </c>
      <c r="D394" s="4" t="inlineStr">
        <is>
          <t>10.1111/coin.70131</t>
        </is>
      </c>
      <c r="E394" s="4" t="inlineStr">
        <is>
          <t>https://doi.org/10.1111/coin.70131</t>
        </is>
      </c>
      <c r="F394" s="4" t="inlineStr">
        <is>
          <t>Current diagnosis of autism spectrum disorder (ASD) and developmental language/reading disorder (DLD/DD) relies predominantly on subjective behavioral assessments, this underscoring the urgent need for objective biomarkers to enable early intervention. This study proposes a Multi-Tier Transformer (MTT) model for early identification of ASD and DLD/DD using resting-state EEG baseline power values. To address severe class imbalance, we augmented the dataset using the SMOTE method. The MTT architecture integrates a Feature-Embedding layer, a Feature-Attention mechanism that dynamically weights multi-spectral inputs, and a dual-attention encoding block comprising both self-attention and cross-attention to enhance contextual representation learning from limited samples. Transfer learning was further employed to improve robustness by pre-training on augmented data and fine-tuning on original samples. Evaluated on clinical infant EEG data, the proposed MTT achieved an accuracy of 0.91 (95% CI: 0.89–0.93), recall of 0.89, and AUC of 0.97, significantly outperforming the state-of-the-art FT-transformer (p = 0.00091). The results indicate that MTT provides a robust and interpretable deep learning tool for auxiliary diagnosis of neurodevelopmental disorders in infancy.</t>
        </is>
      </c>
      <c r="G394" s="4" t="inlineStr">
        <is>
          <t>MTT uses resting-state infant EEG baseline power, SMOTE, transfer learning and feature/self/cross-attention; reported accuracy is 0.91 and AUC 0.97. No independent external/site-held-out evaluation is identified. Interpretability is attention-based only, so it was coded as partial rather than strict XAI.</t>
        </is>
      </c>
      <c r="H394" s="4" t="str"/>
      <c r="I394" s="4" t="inlineStr">
        <is>
          <t>Lote_03_25: nivel=Publisher detailed research abstract with clinical EEG, model architecture and performance; hallazgo=MTT uses resting-state infant EEG baseline power, SMOTE, transfer learning and feature/self/cross-attention; reported accuracy is 0.91 and AUC 0.97.; limitación=; acción=; fuente=https://onlinelibrary.wiley.com/doi/10.1111/coin.70131</t>
        </is>
      </c>
      <c r="J394" s="4" t="inlineStr">
        <is>
          <t>Contenido evaluable revisado; ver nivel exacto de fuente, evidencia y cautelas en Lote_03_25.</t>
        </is>
      </c>
      <c r="K394" s="4" t="inlineStr">
        <is>
          <t>Inherited scoped adjudication; see source level and lot caveats</t>
        </is>
      </c>
      <c r="L394" s="4" t="inlineStr">
        <is>
          <t>Not documented in provided sources</t>
        </is>
      </c>
    </row>
    <row r="395" ht="346" customHeight="1">
      <c r="A395" s="4" t="inlineStr">
        <is>
          <t>new_248</t>
        </is>
      </c>
      <c r="B395" s="4" t="inlineStr">
        <is>
          <t>Update</t>
        </is>
      </c>
      <c r="C395" s="4" t="inlineStr">
        <is>
          <t>Optimized quadrangle attention consolidated convolutional multi-scale vision transformer based autism detection</t>
        </is>
      </c>
      <c r="D395" s="4" t="inlineStr">
        <is>
          <t>10.1016/j.pscychresns.2026.112251</t>
        </is>
      </c>
      <c r="E395" s="4" t="inlineStr">
        <is>
          <t>https://doi.org/10.1016/j.pscychresns.2026.112251</t>
        </is>
      </c>
      <c r="F395" s="4" t="inlineStr">
        <is>
          <t>Autism is a complex neurological condition characterized by repetitive behaviours, varied speech and difficulties in social interaction. Identifying autism spectrum using traditional methods alone is challenging due to its complexity and variability. In order to facilitate earlier and more accurate detection, Artificial intelligence (AI) methods have been developed to improve traditional diagnostic techniques. Standard diagnostic methods often struggle with reliability due to the variability and complexity of autistic individuals. To overcome these challenges, this study proposes a novel Deep Learning (DL) based framework for efficient and accurate autism spectrum detection. The input data are first pre-processed using an Adaptive Median Gaussian Filter (AMGF) to remove noise while preserving essential image features. Then, Generative Adversarial Networks (GANs) are employed for data augmentation, effectively overcoming dataset imbalance and security. Feature extraction is carried out using the Deep Multi-scale and multi-level enclosed attentional DarkNet (DMM-AND) model, which captures both fine-grained and high-level patterns. Finally, autism spectrum detection is performed using the Optimized Quadrangle Attention consolidated Convolutional Multi-scale Vision Transformer (OQA-CMVT) model. Here, the Random Spiral exploit chimp optimization algorithm (RS-COA) is used for the hyperparameter tuning process. The proposed technique achieves 97.96% accuracy for the autistic children's facial dataset and 98.04% for the Autism_Image_Data dataset.</t>
        </is>
      </c>
      <c r="G395" s="4" t="inlineStr">
        <is>
          <t>Uses two facial-image datasets, AMGF preprocessing, GAN augmentation, DMM-AND feature extraction and an optimized convolutional multi-scale vision transformer; reported accuracies are 97.96% and 98.04%. Evaluation on two datasets is not documented as an independent external-validation design or site-held-out test in the accessible material; very high performance warrants independent replication.</t>
        </is>
      </c>
      <c r="H395" s="4" t="str"/>
      <c r="I395" s="4" t="inlineStr">
        <is>
          <t>Lote_04_25: nivel=Publisher/PubMed detailed research abstract with methods and results sufficient for scoped coding; hallazgo=Uses two facial-image datasets, AMGF preprocessing, GAN augmentation, DMM-AND feature extraction and an optimized convolutional multi-scale vision transformer; reported accuracies are 97.96% and 98.04%.; limitación=; acción=; fuente=https://www.sciencedirect.com/science/article/pii/S0925492726001162</t>
        </is>
      </c>
      <c r="J395" s="4" t="inlineStr">
        <is>
          <t>Contenido evaluable revisado; el nivel exacto de fuente, evidencia y cautelas se documenta en Lote_04_25.</t>
        </is>
      </c>
      <c r="K395" s="4" t="inlineStr">
        <is>
          <t>Inherited scoped adjudication; see source level and lot caveats</t>
        </is>
      </c>
      <c r="L395" s="4" t="inlineStr">
        <is>
          <t>Not documented in provided sources</t>
        </is>
      </c>
    </row>
    <row r="396" ht="385" customHeight="1">
      <c r="A396" s="4" t="inlineStr">
        <is>
          <t>new_249</t>
        </is>
      </c>
      <c r="B396" s="4" t="inlineStr">
        <is>
          <t>Update</t>
        </is>
      </c>
      <c r="C396" s="4" t="inlineStr">
        <is>
          <t>An early detection of autism spectrum disorder using machine learning</t>
        </is>
      </c>
      <c r="D396" s="4" t="inlineStr">
        <is>
          <t>10.1016/j.compbiomed.2025.111238</t>
        </is>
      </c>
      <c r="E396" s="4" t="inlineStr">
        <is>
          <t>https://doi.org/10.1016/j.compbiomed.2025.111238</t>
        </is>
      </c>
      <c r="F396" s="4" t="inlineStr">
        <is>
          <t>Background Children with autism spectrum disorder (ASD), a developmental disease, exhibit limited and repetitive activities in addition to challenges with communication and social interaction. Numerous neurological disorders have been identified with the aid of the electroencephalography (EEG) technology, which measures the electrical activity of the brain. Objective The primary purpose of this study is to use EEG data to detect ASD in newborns. Methods Power values from baseline EEG recordings of babies are processed and analyzed to extract relevant information. Using machine learning approaches like decision tree (DT), random forest (RF), and support vector machine (SVM) and Explainable AI(SHAP), the model is trained using extracted data to differentiate between those with ASD and those who are usually developing. SHAP (SHapley Additive exPlanations) is a technique that can be used to describe the output of machine learning models. Understanding the rationale behind the predictions produced by the best-performing model is made easier with SHAP. Results Our machine learning model with SVM classifier (AUC = 93 %) and RF classifier (AUC = 90 %) has demonstrated exceptional performance in diagnosing infants with ASD. Novelty : Previously little-focused, this work provides a machine learning model with the use of explainable AI to identify autism spectrum disorder in children under the age of one. Early identification of ASD is challenging since children under the age of 18 months do not exhibit many behavioral indicators. Therefore, medical reports of infants' EEGs are useful in determining whether or not an infant has ASD. Applications: As a result, this model may be used to automatically diagnose ASD using the infant's EEG data.</t>
        </is>
      </c>
      <c r="G396" s="4" t="inlineStr">
        <is>
          <t>Baseline infant EEG power features were analyzed with DT, RF and SVM; SVM reached AUC 0.93 and SHAP was used to explain the best-performing model. The accessible record does not establish an independent external cohort, multisite evaluation or prospective clinical deployment.</t>
        </is>
      </c>
      <c r="H396" s="4" t="str"/>
      <c r="I396" s="4" t="inlineStr">
        <is>
          <t>Lote_04_25: nivel=PubMed/ScienceDirect structured research abstract with methods, models, SHAP and results; hallazgo=Baseline infant EEG power features were analyzed with DT, RF and SVM; SVM reached AUC 0.93 and SHAP was used to explain the best-performing model.; limitación=; acción=; fuente=https://pubmed.ncbi.nlm.nih.gov/41151500/</t>
        </is>
      </c>
      <c r="J396" s="4" t="inlineStr">
        <is>
          <t>Contenido evaluable revisado; el nivel exacto de fuente, evidencia y cautelas se documenta en Lote_04_25.</t>
        </is>
      </c>
      <c r="K396" s="4" t="inlineStr">
        <is>
          <t>Inherited scoped adjudication; see source level and lot caveats</t>
        </is>
      </c>
      <c r="L396" s="4" t="inlineStr">
        <is>
          <t>Not documented in provided sources</t>
        </is>
      </c>
    </row>
    <row r="397" ht="372" customHeight="1">
      <c r="A397" s="4" t="inlineStr">
        <is>
          <t>new_250</t>
        </is>
      </c>
      <c r="B397" s="4" t="inlineStr">
        <is>
          <t>Update</t>
        </is>
      </c>
      <c r="C397" s="4" t="inlineStr">
        <is>
          <t>An Effective LRSF-DLNN-Based Autism Spectrum Disorder Prediction Using EEG and fMRI</t>
        </is>
      </c>
      <c r="D397" s="4" t="inlineStr">
        <is>
          <t>10.1002/dneu.70047</t>
        </is>
      </c>
      <c r="E397" s="4" t="inlineStr">
        <is>
          <t>https://doi.org/10.1002/dneu.70047</t>
        </is>
      </c>
      <c r="F397" s="4" t="inlineStr">
        <is>
          <t>In today's society, autism spectrum disorder (ASD) is a common neurological disorder that affects a person's behavior and communication. Hence, an early ASD prediction is essential for improving the lifecycle of ASD patients. Recently, many works have been deployed for diagnosing ASD using the electroencephalogram (EEG) and magnetic resonance imaging (MRI). But they are inefficient owing to the irrelevant noises and misclassification outcomes. Hence, a well-ordered logistic regression with scaled function-based deep learning neural network (LRSF-DLNN)-based ASD prediction using EEG and functional MRI (fMRI) is proposed. Initially, the inputs, like the EEG signal and fMRI image of the eye, are gathered and then subjected to the preprocessing phase. Here, for performing noise removal of EEG, the cosine-based Butterworth filter (CBF) approach is established. Similarly, the fMRI undergoes slice time correction and a GF filter-based smoothing process. Then, the preprocessed EEG is decomposed by utilizing weighted penalty factor-centric variational mode decomposition (WPFVMD), and the process of alpha and theta band estimation is performed on the basis of single-scale time dependent-based event-related spectral perturbation (SSTD-ERSP). Likewise, the features are extracted from both the decomposed EEG and smoothed fMRI. Next, the extracted features are given for feature selection (FS) utilizing distance functional green anaconda optimization (DFGAO). Lastly, the optimal features are given to the LRSF-DLNN classifier, which efficiently predicts ASD. Hence, the evaluation outcomes exposed that the proposed technique achieved better performance with a higher accuracy (98.8%) than other prevailing models.</t>
        </is>
      </c>
      <c r="G397" s="4" t="inlineStr">
        <is>
          <t>Combines EEG and fMRI after modality-specific preprocessing and feature extraction, followed by DFGAO feature selection and LRSF-DLNN classification; reported accuracy is 98.8%. No independent external validation, site-held-out robustness or explicit XAI method is established in the accessible material.</t>
        </is>
      </c>
      <c r="H397" s="4" t="str"/>
      <c r="I397" s="4" t="inlineStr">
        <is>
          <t>Lote_04_25: nivel=Wiley/PubMed detailed research abstract with multimodal pipeline and performance results; hallazgo=Combines EEG and fMRI after modality-specific preprocessing and feature extraction, followed by DFGAO feature selection and LRSF-DLNN classification; reported accuracy is 98.8%.; limitación=; acción=; fuente=https://pubmed.ncbi.nlm.nih.gov/?term=10.1002%2Fdneu.70047</t>
        </is>
      </c>
      <c r="J397" s="4" t="inlineStr">
        <is>
          <t>Contenido evaluable revisado; el nivel exacto de fuente, evidencia y cautelas se documenta en Lote_04_25.</t>
        </is>
      </c>
      <c r="K397" s="4" t="inlineStr">
        <is>
          <t>Inherited scoped adjudication; see source level and lot caveats</t>
        </is>
      </c>
      <c r="L397" s="4" t="inlineStr">
        <is>
          <t>Not documented in provided sources</t>
        </is>
      </c>
    </row>
    <row r="398" ht="333" customHeight="1">
      <c r="A398" s="4" t="inlineStr">
        <is>
          <t>new_252</t>
        </is>
      </c>
      <c r="B398" s="4" t="inlineStr">
        <is>
          <t>Update</t>
        </is>
      </c>
      <c r="C398" s="4" t="inlineStr">
        <is>
          <t>A New Paradigm for Autism Spectrum Disorder Discrimination in Children Utilizing EEG Data Collected During Cartoon Viewing With a Focus on Atypical Semantic Processing</t>
        </is>
      </c>
      <c r="D398" s="4" t="inlineStr">
        <is>
          <t>10.1002/aur.70105</t>
        </is>
      </c>
      <c r="E398" s="4" t="inlineStr">
        <is>
          <t>https://doi.org/10.1002/aur.70105</t>
        </is>
      </c>
      <c r="F398" s="4" t="inlineStr">
        <is>
          <t>Autism spectrum disorder (ASD) is characterized by impaired social interaction and communication skills, with semantic processing difficulties being a hallmark feature that significantly impacts social communication. While traditional neuroimaging studies have provided insights into language processing in ASD, ecological validity remains a challenge, particularly when assessing young children. This study introduces a novel approach to evaluate atypical semantic processing in children with ASD (aged 4–10 years) through electroencephalography (EEG) data collection during cartoon viewing, offering a more natural assessment environment. We developed an innovative methodology combining pretrained language models with regression techniques in a machine learning framework. The analysis incorporated the Six-dimensional Semantic Database system and EEG topographical mapping to investigate semantic processing preferences and neural mechanisms across various word dimensions. Our semantic processing model demonstrated robust performance with high sensitivity (91.3%) and moderate specificity (61.0%); findings successfully replicated in validation analysis. These results reveal distinct patterns in how children with ASD process semantic information, particularly in their integration and response to emotional semantic dimensions. These findings help us understand the language processing patterns in ASD and provide potential applications for auxiliary diagnosis in more natural settings, meeting important needs in clinical practice.</t>
        </is>
      </c>
      <c r="G398" s="4" t="inlineStr">
        <is>
          <t>EEG recorded during naturalistic cartoon viewing was linked to semantic representations derived from pretrained language models; the study reports ASD/TD discrimination and a validation analysis. The accessible description does not establish that the reported validation analysis used an independent external cohort; semantic annotations are stimulus descriptors rather than a second human data modality.</t>
        </is>
      </c>
      <c r="H398" s="4" t="str"/>
      <c r="I398" s="4" t="inlineStr">
        <is>
          <t>Lote_04_25: nivel=Wiley/PubMed detailed research abstract and publisher record sufficient for scoped coding; hallazgo=EEG recorded during naturalistic cartoon viewing was linked to semantic representations derived from pretrained language models; the study reports ASD/TD discrimination and a validation analysis.; limitación=; acción=; fuente=https://onlinelibrary.wiley.com/doi/10.1002/aur.70105</t>
        </is>
      </c>
      <c r="J398" s="4" t="inlineStr">
        <is>
          <t>Contenido evaluable revisado; el nivel exacto de fuente, evidencia y cautelas se documenta en Lote_04_25.</t>
        </is>
      </c>
      <c r="K398" s="4" t="inlineStr">
        <is>
          <t>Inherited scoped adjudication; see source level and lot caveats</t>
        </is>
      </c>
      <c r="L398" s="4" t="inlineStr">
        <is>
          <t>Not documented in provided sources</t>
        </is>
      </c>
    </row>
    <row r="399" ht="333" customHeight="1">
      <c r="A399" s="4" t="inlineStr">
        <is>
          <t>new_254</t>
        </is>
      </c>
      <c r="B399" s="4" t="inlineStr">
        <is>
          <t>Update</t>
        </is>
      </c>
      <c r="C399" s="4" t="inlineStr">
        <is>
          <t>Hybrid groupers-moray orangutan optimization algorithm-based dense-resolution network for autism spectrum disorder detection using multimodal data</t>
        </is>
      </c>
      <c r="D399" s="4" t="inlineStr">
        <is>
          <t>10.1016/j.pscychresns.2026.112204</t>
        </is>
      </c>
      <c r="E399" s="4" t="inlineStr">
        <is>
          <t>https://doi.org/10.1016/j.pscychresns.2026.112204</t>
        </is>
      </c>
      <c r="F399" s="4" t="inlineStr">
        <is>
          <t>Autism Spectrum Disorder (ASD) is a neurodevelopmental disorder involving cognitive and social impairments. Precise diagnosis is vital for effective intervention. However, conventional diagnostic techniques exhibited poor generalization, and high error rates while dealing with subtle patterns in neuroimaging or behavioral datasets. To resolve these concerns, this research introduces the Groupers and Moray Orangutan Optimization Algorithm based Dense-Resolution Network (GMOA-DRNet). The multimodal inputs consist of Magnetic Resonance Imaging (MRI) brain images and autism-related phenotypic data. Initially, input brain images are pre-processed by Geometric Mean filters and Region of Interest (RoI) extraction. Then, Functional connectivity-based pivotal region are identified using GMOA. After that, feature extraction is performed by Tamura features and Gradient Directional Pattern (GDP). Concurrently, autism-related data is normalized based on the hyperbolic tangent function, and relevant features are selected using ANOVA. Moreover, data augmentation is conducted using the Adaptive Synthetic Sampling Approach (ADASYN) technique. The extracted features and augmented data are used for ASD detection by the DRNet, trained using GMOA, which combines Groupers and Moray Eels Optimization (GMEO) and Orangutan Optimization Algorithm (OOA). Moreover, GMOA-DRNet achieved better performance with an accuracy of 92.77%, sensitivity of 92.52%, specificity of 92.77%, and a False Omission Rate (FOR) of 0.080.</t>
        </is>
      </c>
      <c r="G399" s="4" t="inlineStr">
        <is>
          <t>Integrates MRI-derived features with phenotypic variables, applies feature selection/optimization and DRNet classification; reported accuracy is 92.77%. No independent external validation, prospective evaluation or explicit site-held-out robustness is established in the accessible record.</t>
        </is>
      </c>
      <c r="H399" s="4" t="str"/>
      <c r="I399" s="4" t="inlineStr">
        <is>
          <t>Lote_04_25: nivel=ScienceDirect/PubMed detailed research abstract with multimodal methods and results; hallazgo=Integrates MRI-derived features with phenotypic variables, applies feature selection/optimization and DRNet classification; reported accuracy is 92.77%.; limitación=; acción=; fuente=https://www.sciencedirect.com/science/article/pii/S0925492726000697</t>
        </is>
      </c>
      <c r="J399" s="4" t="inlineStr">
        <is>
          <t>Contenido evaluable revisado; el nivel exacto de fuente, evidencia y cautelas se documenta en Lote_04_25.</t>
        </is>
      </c>
      <c r="K399" s="4" t="inlineStr">
        <is>
          <t>Inherited scoped adjudication; see source level and lot caveats</t>
        </is>
      </c>
      <c r="L399" s="4" t="inlineStr">
        <is>
          <t>Not documented in provided sources</t>
        </is>
      </c>
    </row>
    <row r="400" ht="281" customHeight="1">
      <c r="A400" s="4" t="inlineStr">
        <is>
          <t>new_266</t>
        </is>
      </c>
      <c r="B400" s="4" t="inlineStr">
        <is>
          <t>Update</t>
        </is>
      </c>
      <c r="C400" s="4" t="inlineStr">
        <is>
          <t>Machine Learning-Based Early Prediction Model for Autism Spectrum Disorder in Infants Using Acoustic Feature</t>
        </is>
      </c>
      <c r="D400" s="4" t="inlineStr">
        <is>
          <t>10.1002/aur.70179</t>
        </is>
      </c>
      <c r="E400" s="4" t="inlineStr">
        <is>
          <t>https://doi.org/10.1002/aur.70179</t>
        </is>
      </c>
      <c r="F400" s="4" t="inlineStr">
        <is>
          <t>This study aimed to create a machine learning-based predictive model for early detection of autism spectrum disorder (ASD) in infants using acoustic features. Conducted as a prospective cohort at Nanjing Medical University from 2019 to 2024, infants aged 9–18 months from an ASD sibling cohort participated. Behavioral and vocalization data were gathered during the Still-Face Paradigm, with ASD diagnoses confirmed at 36 months through ADOS and ADI-R assessments. Researchers extracted 4368 acoustic features from the recordings and applied LASSO regression for dimensionality reduction, identifying 39 key features. A support vector machine (SVM) classifier was then developed, tested with four kernel functions—linear, radial basis function, polynomial, and sigmoid—via tenfold cross-validation. The final sample included 88 infants, 28 of whom were diagnosed with ASD. The sigmoid kernel yielded the best results, achieving a 92.86% sensitivity, 93.33% specificity, and a 93.18% accuracy. Notably, spectral and energy-related features were significantly higher in ASD infants (p &lt; 0.01). These findings suggest that acoustic features can serve as early, noninvasive biomarkers for ASD, and the SVM model demonstrates significant promise for early screening and intervention efforts.</t>
        </is>
      </c>
      <c r="G400" s="4" t="inlineStr">
        <is>
          <t>In a prospective infant-sibling cohort, vocalizations at 9-18 months were parameterized into thousands of acoustic features, reduced with LASSO, and classified with SVM against ASD outcome confirmed at 36 months. The cohort is relatively small and the accessible record does not establish independent external validation; LASSO-based feature reduction is treated as partial interpretability rather than strict XAI.</t>
        </is>
      </c>
      <c r="H400" s="4" t="str"/>
      <c r="I400" s="4" t="inlineStr">
        <is>
          <t>Lote_04_25: nivel=PubMed/Wiley research abstract with explicit prospective cohort design and outcome timing; hallazgo=In a prospective infant-sibling cohort, vocalizations at 9-18 months were parameterized into thousands of acoustic features, reduced with LASSO, and classified with SVM against ASD outcome confirmed at 36 months.; limitación=; acción=; fuente=https://pubmed.ncbi.nlm.nih.gov/41502369/</t>
        </is>
      </c>
      <c r="J400" s="4" t="inlineStr">
        <is>
          <t>Contenido evaluable revisado; el nivel exacto de fuente, evidencia y cautelas se documenta en Lote_04_25.</t>
        </is>
      </c>
      <c r="K400" s="4" t="inlineStr">
        <is>
          <t>Inherited scoped adjudication; see source level and lot caveats</t>
        </is>
      </c>
      <c r="L400" s="4" t="inlineStr">
        <is>
          <t>Not documented in provided sources</t>
        </is>
      </c>
    </row>
    <row r="401" ht="268" customHeight="1">
      <c r="A401" s="4" t="inlineStr">
        <is>
          <t>new_269</t>
        </is>
      </c>
      <c r="B401" s="4" t="inlineStr">
        <is>
          <t>Update</t>
        </is>
      </c>
      <c r="C401" s="4" t="inlineStr">
        <is>
          <t>Predicting fine motor deficit in autism by measuring brain activities and characterizing motor impairments</t>
        </is>
      </c>
      <c r="D401" s="4" t="inlineStr">
        <is>
          <t>10.1016/j.compbiomed.2026.111470</t>
        </is>
      </c>
      <c r="E401" s="4" t="inlineStr">
        <is>
          <t>https://doi.org/10.1016/j.compbiomed.2026.111470</t>
        </is>
      </c>
      <c r="F401" s="4" t="inlineStr">
        <is>
          <t>Motor impairments affect approximately 86.9% of children with Autism Spectrum Disorder (ASD), often persisting into adolescence and increasing the risk of Developmental Coordination Disorder (DCD). Despite their prevalence, only 31.6% of affected individuals receive physical therapy, underscoring a critical gap in early intervention. Traditional methods for diagnosing Fine Motor Deficits (FMD) are often time-consuming and costly, necessitating the adoption of data-driven approaches. This study introduces a machine learning framework for the rapid and reliable prediction of fine motor impairments in adolescents with ASD. By integrating EEG-based neurophysiological signals, behavioral assessments, and motor coordination tests, the study evaluates five classification models—Logistic Regression, Support Vector Machine, K-Nearest Neighbors, Random Forest, and Neural Network. Among these, Logistic Regression achieved the highest accuracy (95.84%), demonstrating strong predictive power for identifying fine motor deficits. The proposed framework enhances the efficiency of FMD screening and provides an interpretable model for potential clinical use in early ASD diagnosis.</t>
        </is>
      </c>
      <c r="G401" s="4" t="inlineStr">
        <is>
          <t>The publisher article contains participant recruitment, data collection, Methods and Results. It integrates QEEG, Finger Tapping, Hand-Eye Coordination, Visual Memory and AQ-10 variables; logistic regression was the best model and RF Gini plots were used for feature interpretation. PubMed labels the record as Review, but the publisher full article is clearly an original empirical study with recruited participants and primary data collection. The metadata conflict should be checked independently; stage is left Not specified because the AI endpoint is fine-motor deficit rather than a unique ASD screening/diagnostic stage.</t>
        </is>
      </c>
      <c r="H401" s="4" t="str"/>
      <c r="I401" s="4" t="inlineStr">
        <is>
          <t>Lote_04_25: nivel=ScienceDirect full article sections reviewed; PubMed publication-type metadata conflict documented; hallazgo=The publisher article contains participant recruitment, data collection, Methods and Results. It integrates QEEG, Finger Tapping, Hand-Eye Coordination, Visual Memory and AQ-10 variables; logistic regression was the best model and RF Gini plots were used for feature interpretation.; limitación=; acción=; fuente=https://www.sciencedirect.com/science/article/abs/pii/S0010482526000314</t>
        </is>
      </c>
      <c r="J401" s="4" t="inlineStr">
        <is>
          <t>Contenido evaluable revisado; el nivel exacto de fuente, evidencia y cautelas se documenta en Lote_04_25.</t>
        </is>
      </c>
      <c r="K401" s="4" t="inlineStr">
        <is>
          <t>Inherited scoped adjudication; see source level and lot caveats</t>
        </is>
      </c>
      <c r="L401" s="4" t="inlineStr">
        <is>
          <t>Not documented in provided sources</t>
        </is>
      </c>
    </row>
    <row r="402" ht="307" customHeight="1">
      <c r="A402" s="4" t="inlineStr">
        <is>
          <t>new_270</t>
        </is>
      </c>
      <c r="B402" s="4" t="inlineStr">
        <is>
          <t>Update</t>
        </is>
      </c>
      <c r="C402" s="4" t="inlineStr">
        <is>
          <t>Diagnosing autism spectrum disorders using ensemble-aided weighted fused features and attention-based residual LSTM with brain MRI images</t>
        </is>
      </c>
      <c r="D402" s="4" t="inlineStr">
        <is>
          <t>10.1016/j.pscychresns.2026.112230</t>
        </is>
      </c>
      <c r="E402" s="4" t="inlineStr">
        <is>
          <t>https://doi.org/10.1016/j.pscychresns.2026.112230</t>
        </is>
      </c>
      <c r="F402" s="4" t="inlineStr">
        <is>
          <t>One of the neuro-developmental conditions is called Autism Spectrum Disorder (ASD), which causes changes in the behavior of the patients, and it delays language and social interactions. Details about the functional activity of the brain are provided by Magnetic Resonance Imaging (MRI). Studying each MRI scan of the patients is laborious and time‐consuming for doctors and specialists. To tackle these limitations, this paper develops an advanced deep learning diagnosis method. In the beginning, the necessary MRI images are gathered from the available data resource. The input brain images are subjected to an Ensemble Deep Convolutional Neural Network (EDCNN) for feature extraction, which makes the diagnosis easier by reducing the complexities. The ensemble model is created by the integration of the Visual Geometry Group (VGG16), Residual Network (ResNet), and Inception approaches. Further, the resultant features are fused with weights that are optimized using the Improved Random Uniform Number-aided Humboldt Squid Optimization Algorithm (IRUN-HSOA); thus, the weighted fused feature is obtained. The resultant weighted fused feature is fed into Attention-based Residual Long Short-Term Memory (ARLSTM) for the ASD diagnosis. Further, the developed model is compared with different state-of-the-art techniques, and the suitability of the model is discussed for prospects.</t>
        </is>
      </c>
      <c r="G402" s="4" t="inlineStr">
        <is>
          <t>Uses an ensemble CNN feature extractor, optimized weighted feature fusion and ARLSTM classification for MRI-based ASD diagnosis. Attention/recurrent architecture alone is not coded as XAI; no independent external, prospective or site-held-out evaluation is established in the accessible material.</t>
        </is>
      </c>
      <c r="H402" s="4" t="str"/>
      <c r="I402" s="4" t="inlineStr">
        <is>
          <t>Lote_04_25: nivel=ScienceDirect/PubMed detailed research abstract with architecture and results; hallazgo=Uses an ensemble CNN feature extractor, optimized weighted feature fusion and ARLSTM classification for MRI-based ASD diagnosis.; limitación=; acción=; fuente=https://www.sciencedirect.com/science/article/pii/S0925492726000958</t>
        </is>
      </c>
      <c r="J402" s="4" t="inlineStr">
        <is>
          <t>Contenido evaluable revisado; el nivel exacto de fuente, evidencia y cautelas se documenta en Lote_04_25.</t>
        </is>
      </c>
      <c r="K402" s="4" t="inlineStr">
        <is>
          <t>Inherited scoped adjudication; see source level and lot caveats</t>
        </is>
      </c>
      <c r="L402" s="4" t="inlineStr">
        <is>
          <t>Not documented in provided sources</t>
        </is>
      </c>
    </row>
    <row r="403" ht="372" customHeight="1">
      <c r="A403" s="4" t="inlineStr">
        <is>
          <t>new_271</t>
        </is>
      </c>
      <c r="B403" s="4" t="inlineStr">
        <is>
          <t>Update</t>
        </is>
      </c>
      <c r="C403" s="4" t="inlineStr">
        <is>
          <t>Early Autism Spectrum Disorder Detection Using SMOTE-Enhanced 1D-CNN and Behavioral Screening Data</t>
        </is>
      </c>
      <c r="D403" s="4" t="inlineStr">
        <is>
          <t>10.1155/ahci/1316854</t>
        </is>
      </c>
      <c r="E403" s="4" t="inlineStr">
        <is>
          <t>https://doi.org/10.1155/ahci/1316854</t>
        </is>
      </c>
      <c r="F403" s="4" t="inlineStr">
        <is>
          <t>Autism spectrum disorder (ASD) encompasses a range of neurodevelopmental conditions characterized by difficulties in social interaction, repetitive behaviors, speech, and nonverbal communication. Affecting approximately 1 in 36 children globally, ASD poses significant diagnostic challenges, particularly in early childhood, due to the absence of definitive medical tests. Current diagnostic practices rely heavily on behavioral observations and developmental history, often leading to delays in intervention. Early and accurate detection is essential for initiating timely support and improving developmental outcomes. In this study, we present a novel deep learning framework that integrates a one-dimensional convolutional neural network (1D-CNN) with the synthetic minority oversampling technique (SMOTE) to detect ASD using only 10 behavioral screening features (A1–A10). The dataset, derived from publicly available screening questionnaires, exhibited significant class imbalance, which was mitigated using SMOTE to improve model sensitivity and fairness. The proposed CNN + SMOTE model demonstrated superior performance, achieving an accuracy of 99.31%, surpassing traditional classifiers such as random forest (98.0%) and XGBoost (98.5%). Model evaluation was conducted using standard metrics including accuracy, precision, recall, F1-score, and AUC, with validation via k-fold cross-validation. The results underscore the effectiveness of lightweight deep learning models augmented by oversampling techniques in developing accurate, interpretable, and scalable tools for ASD screening particularly in resource-limited settings where access to advanced diagnostic technologies may be constrained.</t>
        </is>
      </c>
      <c r="G403" s="4" t="inlineStr">
        <is>
          <t>Uses a public toddler-autism behavioral dataset with SMOTE and a 1D-CNN; evaluation is based on train/test splitting and internal cross-validation. Internal validation does not constitute external validation; no prospective workflow, multisite robustness or explicit XAI is reported.</t>
        </is>
      </c>
      <c r="H403" s="4" t="str"/>
      <c r="I403" s="4" t="inlineStr">
        <is>
          <t>Lote_04_25: nivel=Open-access Wiley full article reviewed; hallazgo=Uses a public toddler-autism behavioral dataset with SMOTE and a 1D-CNN; evaluation is based on train/test splitting and internal cross-validation.; limitación=; acción=; fuente=https://onlinelibrary.wiley.com/doi/10.1155/ahci/1316854</t>
        </is>
      </c>
      <c r="J403" s="4" t="inlineStr">
        <is>
          <t>Contenido evaluable revisado; el nivel exacto de fuente, evidencia y cautelas se documenta en Lote_04_25.</t>
        </is>
      </c>
      <c r="K403" s="4" t="inlineStr">
        <is>
          <t>Inherited scoped adjudication; see source level and lot caveats</t>
        </is>
      </c>
      <c r="L403" s="4" t="inlineStr">
        <is>
          <t>Not documented in provided sources</t>
        </is>
      </c>
    </row>
    <row r="404" ht="86" customHeight="1">
      <c r="A404" s="4" t="inlineStr">
        <is>
          <t>new_273</t>
        </is>
      </c>
      <c r="B404" s="4" t="inlineStr">
        <is>
          <t>Update</t>
        </is>
      </c>
      <c r="C404" s="4" t="inlineStr">
        <is>
          <t>Optimizing Autism Spectrum Disorder Diagnosis with VGG16-Based Facial Landmark Recognition</t>
        </is>
      </c>
      <c r="D404" s="4" t="inlineStr">
        <is>
          <t>10.1016/j.procs.2026.06.483</t>
        </is>
      </c>
      <c r="E404" s="4" t="inlineStr">
        <is>
          <t>https://doi.org/10.1016/j.procs.2026.06.483</t>
        </is>
      </c>
      <c r="F404" s="4" t="str"/>
      <c r="G404" s="4" t="inlineStr">
        <is>
          <t>Applies VGG16 to a Kaggle facial-image dataset of autistic and non-autistic children and reports 98.1% classification accuracy. Single public image dataset and no independent external/prospective evaluation are established; performance may be sensitive to dataset leakage or source bias.</t>
        </is>
      </c>
      <c r="H404" s="4" t="str"/>
      <c r="I404" s="4" t="inlineStr">
        <is>
          <t>Lote_04_25: nivel=ScienceDirect proceedings article with methods and results sufficient for scoped coding; hallazgo=Applies VGG16 to a Kaggle facial-image dataset of autistic and non-autistic children and reports 98.1% classification accuracy.; limitación=; acción=; fuente=https://www.sciencedirect.com/science/article/pii/S1877050926021162</t>
        </is>
      </c>
      <c r="J404" s="4" t="inlineStr">
        <is>
          <t>Contenido evaluable revisado; el nivel exacto de fuente, evidencia y cautelas se documenta en Lote_04_25.</t>
        </is>
      </c>
      <c r="K404" s="4" t="inlineStr">
        <is>
          <t>Inherited scoped adjudication; see source level and lot caveats</t>
        </is>
      </c>
      <c r="L404" s="4" t="inlineStr">
        <is>
          <t>Not documented in provided sources</t>
        </is>
      </c>
    </row>
    <row r="405" ht="281" customHeight="1">
      <c r="A405" s="4" t="inlineStr">
        <is>
          <t>new_275</t>
        </is>
      </c>
      <c r="B405" s="4" t="inlineStr">
        <is>
          <t>Update</t>
        </is>
      </c>
      <c r="C405" s="4" t="inlineStr">
        <is>
          <t>Machine Learning Techniques to Uncover Sociodemographic Risk Factors of Autism Spectrum Disorder (ASD) Among Children and Adolescents in Bangladesh</t>
        </is>
      </c>
      <c r="D405" s="4" t="inlineStr">
        <is>
          <t>10.1155/acis/6410913</t>
        </is>
      </c>
      <c r="E405" s="4" t="inlineStr">
        <is>
          <t>https://doi.org/10.1155/acis/6410913</t>
        </is>
      </c>
      <c r="F405" s="4" t="inlineStr">
        <is>
          <t>Autism spectrum disorder (ASD) is a neurodevelopmental illness that impairs children’s cognitive, linguistic, and social abilities. While a cure for ASD remains elusive, determining its crucial risk factors and corresponding preventive measures can aid in lessening its incidence and severity. Therefore, the objective of this study is to determine the most significant sociodemographic risk factors associated with ASD among Bangladeshi children and adolescents. In particular, it evaluates the effectiveness of various machine learning classifiers and explores feature selection techniques to identify the most dominant predictors of ASD. To accomplish this, two feature selection strategies—chi-square and F-classify—were applied to extract the most significant features, followed by training eight different machine learning algorithms on full and reduced datasets. Rigorous evaluation using eight distinct metrics revealed that the tree-based algorithm, especially the decision tree, when trained on the F-classify feature subset, exhibited superior performance, achieving the highest accuracy and precision of 99.4%. The most influential features associated with ASD included maternal age, stress during pregnancy, parental illness, family history of ASD, birth asphyxia, and consanguinity.</t>
        </is>
      </c>
      <c r="G405" s="4" t="inlineStr">
        <is>
          <t>Analyzes a Bangladesh dataset collected across multiple geographic locations; compares eight classifiers after feature selection, with decision tree reported as best, and identifies interpretable sociodemographic/perinatal predictors. The reported test/CV is internal and geographic sources are pooled rather than site-held-out; regional sampling limits generalizability.</t>
        </is>
      </c>
      <c r="H405" s="4" t="str"/>
      <c r="I405" s="4" t="inlineStr">
        <is>
          <t>Lote_04_25: nivel=Open-access Wiley full article reviewed; hallazgo=Analyzes a Bangladesh dataset collected across multiple geographic locations; compares eight classifiers after feature selection, with decision tree reported as best, and identifies interpretable sociodemographic/perinatal predictors.; limitación=; acción=; fuente=https://onlinelibrary.wiley.com/doi/10.1155/acis/6410913</t>
        </is>
      </c>
      <c r="J405" s="4" t="inlineStr">
        <is>
          <t>Contenido evaluable revisado; el nivel exacto de fuente, evidencia y cautelas se documenta en Lote_04_25.</t>
        </is>
      </c>
      <c r="K405" s="4" t="inlineStr">
        <is>
          <t>Inherited scoped adjudication; see source level and lot caveats</t>
        </is>
      </c>
      <c r="L405" s="4" t="inlineStr">
        <is>
          <t>Not documented in provided sources</t>
        </is>
      </c>
    </row>
    <row r="406" ht="398" customHeight="1">
      <c r="A406" s="4" t="inlineStr">
        <is>
          <t>new_277</t>
        </is>
      </c>
      <c r="B406" s="4" t="inlineStr">
        <is>
          <t>Update</t>
        </is>
      </c>
      <c r="C406" s="4" t="inlineStr">
        <is>
          <t>A comprehensive causal and machine learning framework for autism spectrum disorder risk prediction and high-risk subgroup identification from children with chronic health and genetic disorders in the United States</t>
        </is>
      </c>
      <c r="D406" s="4" t="inlineStr">
        <is>
          <t>10.1016/j.reia.2026.202826</t>
        </is>
      </c>
      <c r="E406" s="4" t="inlineStr">
        <is>
          <t>https://doi.org/10.1016/j.reia.2026.202826</t>
        </is>
      </c>
      <c r="F406" s="4" t="inlineStr">
        <is>
          <t>Purpose: Autism Spectrum Disorder (ASD) is a complex neurodevelopmental condition often accompanied by diverse comorbidities. This study aimed to develop and evaluate a machine learning framework to identify key predictors of ASD and characterize disease–disease relationships. Methods: We analyzed 2022–2023 National Survey of Children's Health (NSCH) data. Propensity score matching (PSM) was applied to reduce confounding and approximate a randomized controlled design. Multiple machine learning algorithms were implemented to identify important predictors and assess disease–disease interactions. Model performance was evaluated using receiver operating characteristic (ROC) curves, calibration plots, and cross-validation. Results: In matched cohorts, epilepsy showed the strongest association with ASD (20.0 % vs. 6.1 %; OR = 3.85, 95 % CI: 2.88–5.20). Down syndrome (DS) (14.5 % vs. 4.7 %; OR = 3.45, 95 % CI: 1.75–7.30) and congenital heart disease (CHD) (7.5 % vs. 5.4 %; OR = 1.42, 95 % CI: 1.14–1.77) were also significant, whereas diabetes, cystic fibrosis, and allergies demonstrated no consistent associations. Across machine learning analyses, epilepsy consistently emerged as the top predictor, with DS and CHD also ranked highly. Children with both epilepsy and CHD represented the highest-risk subgroup (&gt;32 %), while those without epilepsy but with both allergies and CHD had moderate risk (&gt;10 %). Model discrimination was good (AUC = 0.771) with satisfactory calibration. Conclusion: Epilepsy is the strongest predictor of ASD, with epilepsy - CHD comorbidity conferring the highest-risk subgroup, whereas no epilepsy but allergies and CHD represented moderate-risk groups. This framework highlights the value of advanced analytics for early identification and targeted interventions in vulnerable populations.</t>
        </is>
      </c>
      <c r="G406" s="4" t="inlineStr">
        <is>
          <t>Uses 2022-2023 National Survey of Children's Health data, propensity-score methods and machine learning to identify predictor patterns and high-risk subgroups associated with ASD. Survey-based association/prediction is not external validation or prospective evaluation; predictor/subgroup interpretation is coded as partial explainability rather than strict XAI.</t>
        </is>
      </c>
      <c r="H406" s="4" t="str"/>
      <c r="I406" s="4" t="inlineStr">
        <is>
          <t>Lote_04_25: nivel=ScienceDirect detailed research abstract and methods summary sufficient for scoped coding; hallazgo=Uses 2022-2023 National Survey of Children's Health data, propensity-score methods and machine learning to identify predictor patterns and high-risk subgroups associated with ASD.; limitación=; acción=; fuente=https://www.sciencedirect.com/science/article/pii/S3050656526000404</t>
        </is>
      </c>
      <c r="J406" s="4" t="inlineStr">
        <is>
          <t>Contenido evaluable revisado; el nivel exacto de fuente, evidencia y cautelas se documenta en Lote_04_25.</t>
        </is>
      </c>
      <c r="K406" s="4" t="inlineStr">
        <is>
          <t>Inherited scoped adjudication; see source level and lot caveats</t>
        </is>
      </c>
      <c r="L406" s="4" t="inlineStr">
        <is>
          <t>Not documented in provided sources</t>
        </is>
      </c>
    </row>
    <row r="407" ht="398" customHeight="1">
      <c r="A407" s="4" t="inlineStr">
        <is>
          <t>new_280</t>
        </is>
      </c>
      <c r="B407" s="4" t="inlineStr">
        <is>
          <t>Update</t>
        </is>
      </c>
      <c r="C407" s="4" t="inlineStr">
        <is>
          <t>Sleep pattern consistency and autism spectrum disorder in U.S. children: Associations and identification of high-risk subgroups</t>
        </is>
      </c>
      <c r="D407" s="4" t="inlineStr">
        <is>
          <t>10.1016/j.ridd.2025.105201</t>
        </is>
      </c>
      <c r="E407" s="4" t="inlineStr">
        <is>
          <t>https://doi.org/10.1016/j.ridd.2025.105201</t>
        </is>
      </c>
      <c r="F407" s="4" t="inlineStr">
        <is>
          <t>Background Sleep behavior is closely linked to autism spectrum disorder (ASD) and may influence behavioral and neurological development. This study examined the association between sleep pattern consistency (SPC) and ASD among children aged 6–17 years. Methods This study used data from 63,866 children from the 2022–2023 National Survey of Children’s Health (NSCH). ASD status was based on parent-reported provider diagnoses. SPC was constructed from sleep duration and bedtime regularity. Associations between SPC and ASD were examined using relative risks and multivariable logistic regression. Machine learning methods predicted individualized ASD profiles and identified high-risk subgroups. Model performance was evaluated using discrimination and calibration metrics. Results The cohort showed 4.41 % ASD prevalence, mean age 11.9 years, 51.8 % male, 62.4 % healthy weight, 28.9 % poor sleep routines, 28.8 % lower income, 40.5 % co-occurring disorders, and 42.4 % with medication. Children with poor sleep routines (PSR) demonstrated a significantly higher likelihood of ASD (aOR: 1.92; 95 % CI: 1.64–2.25), whereas long sleep with regularity (LSR) was associated with a lower likelihood (aOR: 0.81; 95 % CI: 0.70–0.94). Other correlated factors included male sex (aOR: 3.83, p ' 0.001), underweight (aOR: 1.28, p ' 0.001), and overweight (aOR: 1.39, p ' 0.001). Among female children from low-income households with co-occurring conditions, PSR patterns were associated with higher predicted ASD probability (∼12 %, p = 0.002), whereas healthy sleep routine (HSR) showed substantially lower predicted probabilities. Conclusion SPC was significantly associated with ASD. These findings highlight the potential relevance of sleep health in relation to developmental outcomes and ASD screening, particularly among higher-risk subgroups.</t>
        </is>
      </c>
      <c r="G407" s="4" t="inlineStr">
        <is>
          <t>Analyzes 63,866 children from the 2022-2023 NSCH using sleep routines, demographics and comorbidities with regression/ML to identify ASD-associated risk profiles and high-risk subgroups. Cross-sectional survey prediction does not establish prospective or external validation; interpretable risk profiles are coded as partial rather than strict XAI.</t>
        </is>
      </c>
      <c r="H407" s="4" t="str"/>
      <c r="I407" s="4" t="inlineStr">
        <is>
          <t>Lote_04_25: nivel=PubMed/ScienceDirect detailed research abstract with cohort, predictors and performance analysis; hallazgo=Analyzes 63,866 children from the 2022-2023 NSCH using sleep routines, demographics and comorbidities with regression/ML to identify ASD-associated risk profiles and high-risk subgroups.; limitación=; acción=; fuente=https://pubmed.ncbi.nlm.nih.gov/41475317/</t>
        </is>
      </c>
      <c r="J407" s="4" t="inlineStr">
        <is>
          <t>Contenido evaluable revisado; el nivel exacto de fuente, evidencia y cautelas se documenta en Lote_04_25.</t>
        </is>
      </c>
      <c r="K407" s="4" t="inlineStr">
        <is>
          <t>Inherited scoped adjudication; see source level and lot caveats</t>
        </is>
      </c>
      <c r="L407" s="4" t="inlineStr">
        <is>
          <t>Not documented in provided sources</t>
        </is>
      </c>
    </row>
    <row r="408" ht="255" customHeight="1">
      <c r="A408" s="4" t="inlineStr">
        <is>
          <t>new_286</t>
        </is>
      </c>
      <c r="B408" s="4" t="inlineStr">
        <is>
          <t>Update</t>
        </is>
      </c>
      <c r="C408" s="4" t="inlineStr">
        <is>
          <t>Identification of Potential Biomarkers in ASD Integrating RNA Seq Data and Machine Learning Approaches</t>
        </is>
      </c>
      <c r="D408" s="4" t="inlineStr">
        <is>
          <t>10.3233/shti260609</t>
        </is>
      </c>
      <c r="E408" s="4" t="inlineStr">
        <is>
          <t>https://doi.org/10.3233/shti260609</t>
        </is>
      </c>
      <c r="F408" s="4" t="inlineStr">
        <is>
          <t>Autism spectrum disorder (ASD) is a neurodevelopmental disorder, caused by various epigenetic and genetic factors. This has resulted in an unclear understanding of etiology and biomarkers associated with ASD. In this study, we used RNA Seq datasets integrating with machine learning models to identify the differentially expressed genes (DEGs) between ASD and typical development (TD). The RNA Seq data of 20 ASD and 19 TD were obtained from the NCBI GEO database. We used standard R programming pipeline to pre-process the data. Further, random forest (RF) and eXtreme gradient boosting (XGBoost) models were employed to identify potential genes discriminate between ASD and TD. The model’s performance was assessed using evaluation metrics and the 5-fold-cross validation. The proposed XGBoost models achieved a 5-fold cross validation accuracy, sensitivity, specificity, precision and F1-Score of 67.14%, 67.5%, 67.5%, 67.84%, 75.56% respectively. Further, TCTA gene was common in the top 10 gene signatures identified from RF and XGBoost. These results may aid in developing potential and prognostic biomarkers for effective ASD screening.</t>
        </is>
      </c>
      <c r="G408" s="4" t="inlineStr">
        <is>
          <t>Uses RNA-seq gene-expression data from NCBI GEO, compares RF and XGBoost with fivefold CV, and ranks a compact set of candidate transcriptomic biomarkers. Small dataset and internal CV only; ranked biomarkers are treated as partial interpretability, not strict XAI or external validation.</t>
        </is>
      </c>
      <c r="H408" s="4" t="str"/>
      <c r="I408" s="4" t="inlineStr">
        <is>
          <t>Lote_04_25: nivel=PubMed detailed research abstract with omics dataset, ML models and validation approach; hallazgo=Uses RNA-seq gene-expression data from NCBI GEO, compares RF and XGBoost with fivefold CV, and ranks a compact set of candidate transcriptomic biomarkers.; limitación=; acción=; fuente=https://pubmed.ncbi.nlm.nih.gov/42175278/</t>
        </is>
      </c>
      <c r="J408" s="4" t="inlineStr">
        <is>
          <t>Contenido evaluable revisado; el nivel exacto de fuente, evidencia y cautelas se documenta en Lote_04_25.</t>
        </is>
      </c>
      <c r="K408" s="4" t="inlineStr">
        <is>
          <t>Inherited scoped adjudication; see source level and lot caveats</t>
        </is>
      </c>
      <c r="L408" s="4" t="inlineStr">
        <is>
          <t>Not documented in provided sources</t>
        </is>
      </c>
    </row>
    <row r="409" ht="307" customHeight="1">
      <c r="A409" s="4" t="inlineStr">
        <is>
          <t>new_287</t>
        </is>
      </c>
      <c r="B409" s="4" t="inlineStr">
        <is>
          <t>Update</t>
        </is>
      </c>
      <c r="C409" s="4" t="inlineStr">
        <is>
          <t>REM Sleep Abnormalities in Children With Autism Spectrum Disorder</t>
        </is>
      </c>
      <c r="D409" s="4" t="inlineStr">
        <is>
          <t>10.1002/aur.70222</t>
        </is>
      </c>
      <c r="E409" s="4" t="inlineStr">
        <is>
          <t>https://doi.org/10.1002/aur.70222</t>
        </is>
      </c>
      <c r="F409" s="4" t="inlineStr">
        <is>
          <t>Sleep disturbances are common in children with autism spectrum disorder (ASD). However, the sleep pattern changes including rapid eye movement (REM) sleep for ASD in pediatric populations remain unknown. Using polysomnography (PSG) data from the National Children's Hospital (NCH) Sleep Databank, we identified 193 children with ASD and matched them with 193 Non-ASD controls. We found children with ASD showed reduced REM sleep proportion (17.8% ± 6.4% vs. 19.1% ± 7.0%; p = 0.049) and duration (71.5 [49.5–91.0] min vs. 81.5 [52.5–98.0] min; p = 0.036), prolonged REM latency (134.5 [94.0–181.5] min vs. 116.0 [82.0–157.0] min; p = 0.009), and increased 1st REM duration (13.0 [7.0–19.0] min vs. 10.5 [6.0–16.5] min; p = 0.024) compared with Non-ASD peers. They also showed higher 1st REM proportion (18.8 [11.0–31.3] vs. 15.7 [8.3–25.4]; p = 0.003), particularly in children aged 3–5 years and 6–8 years. Using these REM features, the XGBoost machine learning model was achieved to be the best predictive performance. SHAP analysis further showed that decreased REM sleep duration, increased 1st REM proportion or duration, and prolonged REM latency were discriminative features for children with ASD. These findings suggest that REM sleep abnormalities are common in young patients with ASD but its contribution to the disease's severity and/or development needs to be explored further.</t>
        </is>
      </c>
      <c r="G409" s="4" t="inlineStr">
        <is>
          <t>Matched ASD and non-ASD participants from the NCH Sleep Databank, compared ML models on REM-sleep features, and used SHAP to identify discriminative predictors. Single databank analysis without independent external or prospective validation; SHAP supports strict XAI coding.</t>
        </is>
      </c>
      <c r="H409" s="4" t="str"/>
      <c r="I409" s="4" t="inlineStr">
        <is>
          <t>Lote_04_25: nivel=Wiley full article and PubMed record reviewed; hallazgo=Matched ASD and non-ASD participants from the NCH Sleep Databank, compared ML models on REM-sleep features, and used SHAP to identify discriminative predictors.; limitación=; acción=; fuente=https://onlinelibrary.wiley.com/doi/full/10.1002/aur.70222</t>
        </is>
      </c>
      <c r="J409" s="4" t="inlineStr">
        <is>
          <t>Contenido evaluable revisado; el nivel exacto de fuente, evidencia y cautelas se documenta en Lote_04_25.</t>
        </is>
      </c>
      <c r="K409" s="4" t="inlineStr">
        <is>
          <t>Inherited scoped adjudication; see source level and lot caveats</t>
        </is>
      </c>
      <c r="L409" s="4" t="inlineStr">
        <is>
          <t>Not documented in provided sources</t>
        </is>
      </c>
    </row>
    <row r="410" ht="281" customHeight="1">
      <c r="A410" s="4" t="inlineStr">
        <is>
          <t>new_289</t>
        </is>
      </c>
      <c r="B410" s="4" t="inlineStr">
        <is>
          <t>Update</t>
        </is>
      </c>
      <c r="C410" s="4" t="inlineStr">
        <is>
          <t>Diagnosis of autism disorder from rs-fMRI brain images through hierarchical YOLO and mechanism of attention (HYMA)</t>
        </is>
      </c>
      <c r="D410" s="4" t="inlineStr">
        <is>
          <t>10.1016/j.asoc.2026.114655</t>
        </is>
      </c>
      <c r="E410" s="4" t="inlineStr">
        <is>
          <t>https://doi.org/10.1016/j.asoc.2026.114655</t>
        </is>
      </c>
      <c r="F410" s="4" t="inlineStr">
        <is>
          <t>Autism spectrum disorder (ASD) is a complex neurodevelopmental condition characterized by atypical communication among brain regions. Early and accurate diagnosis of ASD can significantly improve the effectiveness of behavioral interventions. In this study, we propose a novel deep learning framework called HYMA (Hierarchical YOLO with Mechanism of Attention) for classifying ASD and control subjects using resting-state functional MRI (rs-fMRI) data. The proposed model integrates the YOLO detection architecture with a Bottleneck Attention Module (BAM) to enhance spatial–temporal feature extraction, and employs both dynamic (expert combination) and static (Naïve Bayes) ensemble classifiers for final decision fusion. To address the limited-sample challenge in medical imaging, we adopted extensive data augmentation and subject-wise validation. Experimental results on the ABIDE I and II datasets demonstrate that HYMA achieves superior performance, reaching an accuracy of 99.3%, precision of 98.9%, recall of 99.1%, and F1-score of 99.0%, outperforming existing state-of-the-art methods. These results indicate that the proposed attention-enhanced YOLO ensemble framework provides a robust and generalizable approach for rs-fMRI-based ASD diagnosis.</t>
        </is>
      </c>
      <c r="G410" s="4" t="inlineStr">
        <is>
          <t>HYMA combines axis-specific YOLO experts, attention and expert fusion; the publisher explicitly reports subject-wise and cross-site evaluations on ABIDE I/II and interprets attention maps over clinically relevant brain regions. The 99.3% accuracy is unusually high for ABIDE and merits independent replication. Cross-site robustness is counted because the paper explicitly reports cross-site evaluation, but external validation is kept at 0 because the exact independent train/external-test relationship is not unambiguously established.</t>
        </is>
      </c>
      <c r="H410" s="4" t="str"/>
      <c r="I410" s="4" t="inlineStr">
        <is>
          <t>Lote_04_25: nivel=ScienceDirect full article sections with explicit cross-site evaluation and attention-map interpretation; hallazgo=HYMA combines axis-specific YOLO experts, attention and expert fusion; the publisher explicitly reports subject-wise and cross-site evaluations on ABIDE I/II and interprets attention maps over clinically relevant brain regions.; limitación=; acción=; fuente=https://www.sciencedirect.com/science/article/pii/S1568494626001031</t>
        </is>
      </c>
      <c r="J410" s="4" t="inlineStr">
        <is>
          <t>Contenido evaluable revisado; el nivel exacto de fuente, evidencia y cautelas se documenta en Lote_04_25.</t>
        </is>
      </c>
      <c r="K410" s="4" t="inlineStr">
        <is>
          <t>Inherited scoped adjudication; see source level and lot caveats</t>
        </is>
      </c>
      <c r="L410" s="4" t="inlineStr">
        <is>
          <t>Not documented in provided sources</t>
        </is>
      </c>
    </row>
    <row r="411" ht="242" customHeight="1">
      <c r="A411" s="4" t="inlineStr">
        <is>
          <t>new_295</t>
        </is>
      </c>
      <c r="B411" s="4" t="inlineStr">
        <is>
          <t>Update</t>
        </is>
      </c>
      <c r="C411" s="4" t="inlineStr">
        <is>
          <t>Comparing Machine Learning Models for Pupillary Light Reflex–Based Autism Spectrum Disorder Classification</t>
        </is>
      </c>
      <c r="D411" s="4" t="inlineStr">
        <is>
          <t>10.1155/acis/1906938</t>
        </is>
      </c>
      <c r="E411" s="4" t="inlineStr">
        <is>
          <t>https://doi.org/10.1155/acis/1906938</t>
        </is>
      </c>
      <c r="F411" s="4" t="inlineStr">
        <is>
          <t>Autism spectrum disorder (ASD) prevalence is rising globally, underscoring the critical need for early detection to improve intervention outcomes. Atypical pupillary light reflex (PLR) has emerged as a promising biomarker for this purpose. This study leverages machine learning to enhance the accuracy of early ASD screening in children aged 3–6. We developed and evaluated five classifiers—Naive Bayes, logistic regression, decision tree, linear discriminant analysis (LDA), and deep neural network (DNN)—using PLR data from 25 children with ASD and 50 typically developing peers. Model performance was assessed across 15 metrics, including accuracy, F1 score, ROC–AUC, and computational efficiency. The comprehensive evaluation demonstrated that the DNN outperformed all other models, achieving the highest test accuracy of 85% and excelling across multiple key metrics. These findings confirm the DNN’s superiority for automated ASD screening based on PLR, contributing significantly to the development of objective, efficient tools for early autism diagnosis.</t>
        </is>
      </c>
      <c r="G411" s="4" t="inlineStr">
        <is>
          <t>Compares conventional classifiers and a DNN on pupillary-light-reflex features from ASD and typically developing children; the DNN gives the strongest test performance. Small sample and no independent external/prospective validation or explicit explainability analysis.</t>
        </is>
      </c>
      <c r="H411" s="4" t="str"/>
      <c r="I411" s="4" t="inlineStr">
        <is>
          <t>Lote_04_25: nivel=Open-access Wiley full article reviewed; hallazgo=Compares conventional classifiers and a DNN on pupillary-light-reflex features from ASD and typically developing children; the DNN gives the strongest test performance.; limitación=; acción=; fuente=https://onlinelibrary.wiley.com/doi/10.1155/acis/1906938</t>
        </is>
      </c>
      <c r="J411" s="4" t="inlineStr">
        <is>
          <t>Contenido evaluable revisado; el nivel exacto de fuente, evidencia y cautelas se documenta en Lote_04_25.</t>
        </is>
      </c>
      <c r="K411" s="4" t="inlineStr">
        <is>
          <t>Inherited scoped adjudication; see source level and lot caveats</t>
        </is>
      </c>
      <c r="L411" s="4" t="inlineStr">
        <is>
          <t>Not documented in provided sources</t>
        </is>
      </c>
    </row>
    <row r="412" ht="385" customHeight="1">
      <c r="A412" s="4" t="inlineStr">
        <is>
          <t>new_296</t>
        </is>
      </c>
      <c r="B412" s="4" t="inlineStr">
        <is>
          <t>Update</t>
        </is>
      </c>
      <c r="C412" s="4" t="inlineStr">
        <is>
          <t>Deep learning for diagnosing autism spectrum disorder using EEG with upright and inverted face processing tasks</t>
        </is>
      </c>
      <c r="D412" s="4" t="inlineStr">
        <is>
          <t>10.1016/j.bspc.2026.109655</t>
        </is>
      </c>
      <c r="E412" s="4" t="inlineStr">
        <is>
          <t>https://doi.org/10.1016/j.bspc.2026.109655</t>
        </is>
      </c>
      <c r="F412" s="4" t="inlineStr">
        <is>
          <t>Background: Functional neuroimaging has been used to diagnose Autism Spectrum Disorder (ASD), but no study has combined EEG with face-processing tasks. Given the social-cognitive challenges in ASD, such as difficulty with eye contact, such tasks seem to be promising. We propose a novel diagnostic method using EEG data from face-perception tasks and deep learning. Proposed method: We used raw EEG signals recorded from children (ASD and typically developing) during upright and inverted face-display tasks. The data was used without preprocessing as a time-by-channel matrix. We designed three lightweight 1D-CNN models to learn temporal patterns across channels and classify ASD. Results: Using upright face stimuli, InceptionNet and ResNet achieved accuracies of 78.65% and 76.87%, respectively, with a final diagnosis rate of 91.6% for both. With inverted stimuli, accuracies were lower at 72.35% (InceptionNet) and 70.68% (ResNet), with final diagnosis rates of 83.3%. Performance was consistently better for upright faces. Comparison with existing methods: To the best of our knowledge, this is the first EEG-based study for ASD classification using a face-perception task. Most existing methods rely on resting-state EEG, which does not probe specific social-cognitive deficits. Our task-driven approach provides a novel, more targeted framework for detecting ASD-related cognitive differences. Conclusions: The method shows promising diagnostic results. The superior performance with upright faces aligns with the eye-avoidance and face-inversion effect hypotheses, highlighting the importance of facial orientation. This work establishes a new, insightful pipeline for ASD detection using task-based EEG and deep learning.</t>
        </is>
      </c>
      <c r="G412" s="4" t="inlineStr">
        <is>
          <t>Uses raw EEG recorded from ASD and TD children during upright/inverted face-processing tasks and evaluates lightweight one-dimensional CNN architectures for classification. Accessible material does not establish prospective enrollment, independent external validation, site-held-out robustness or formal XAI.</t>
        </is>
      </c>
      <c r="H412" s="4" t="str"/>
      <c r="I412" s="4" t="inlineStr">
        <is>
          <t>Lote_04_25: nivel=ScienceDirect detailed research abstract with participant EEG protocol and model family; hallazgo=Uses raw EEG recorded from ASD and TD children during upright/inverted face-processing tasks and evaluates lightweight one-dimensional CNN architectures for classification.; limitación=; acción=; fuente=https://www.sciencedirect.com/science/article/abs/pii/S1746809426002090</t>
        </is>
      </c>
      <c r="J412" s="4" t="inlineStr">
        <is>
          <t>Contenido evaluable revisado; el nivel exacto de fuente, evidencia y cautelas se documenta en Lote_04_25.</t>
        </is>
      </c>
      <c r="K412" s="4" t="inlineStr">
        <is>
          <t>Inherited scoped adjudication; see source level and lot caveats</t>
        </is>
      </c>
      <c r="L412" s="4" t="inlineStr">
        <is>
          <t>Not documented in provided sources</t>
        </is>
      </c>
    </row>
    <row r="413" ht="372" customHeight="1">
      <c r="A413" s="4" t="inlineStr">
        <is>
          <t>new_298</t>
        </is>
      </c>
      <c r="B413" s="4" t="inlineStr">
        <is>
          <t>Update</t>
        </is>
      </c>
      <c r="C413" s="4" t="inlineStr">
        <is>
          <t>Effects of conversational AI-enhanced peer-mediated intervention by peers with intellectual disabilities on conversational skills in children with ASD</t>
        </is>
      </c>
      <c r="D413" s="4" t="inlineStr">
        <is>
          <t>10.1016/j.ridd.2026.105249</t>
        </is>
      </c>
      <c r="E413" s="4" t="inlineStr">
        <is>
          <t>https://doi.org/10.1016/j.ridd.2026.105249</t>
        </is>
      </c>
      <c r="F413" s="4" t="inlineStr">
        <is>
          <t>Background/aims Children with autism spectrum disorder (ASD) often experience conversational difficulties that hinder social interactions and peer relationships. This study examined whether a conversational AI-enhanced peer-mediated intervention delivered by peers with intellectual disabilities (CAI-PMI-ID) yielded superior outcomes in improving conversational skills in children with ASD compared with PMI-ID-only. Method This study employed a multiple-probe across participants design and an alternating treatments design to compare the effects of CAI-PMI-ID and PMI-ID-only. Conversational outcomes included quantitative measures (frequency of appropriate initiations and responses) and qualitative measures (mean length of utterance in morphemes, MLU-M; number of different words, NDW; and total number of words, TNW). Results CAI-PMI-ID produced greater improvements in the frequency of appropriate conversational initiations and responses than PMI-ID-only. It also yielded superior outcomes in lexical diversity and productivity, as reflected in NDW and TNW. The two intervention conditions resulted in limited and variable effects on MLU-M. CAI-PMI-ID facilitated the successful generalization of conversational skills to interact with different peers. Conclusions/implications These preliminary findings support the feasibility and added value of CAI-PMI-ID for enhancing core conversational behaviors and lexical productivity among children with ASD. Future research should integrate evidence-based syntactic supports to promote MLU-M, leverage multimodal and scenario-based AI in natural settings, strengthen AI-peer collaboration, and improve AI speech recognition to enhance intervention effects.</t>
        </is>
      </c>
      <c r="G413" s="4" t="inlineStr">
        <is>
          <t>A multiple-probe/alternating-treatment intervention compares conversational-AI-enhanced peer mediation with peer-mediated instruction alone and reports gains in initiations, responses, lexical diversity and generalization. The underlying conversational model is not technically specified in the accessible material; the small single-case design limits generalizability despite real intervention deployment.</t>
        </is>
      </c>
      <c r="H413" s="4" t="str"/>
      <c r="I413" s="4" t="inlineStr">
        <is>
          <t>Lote_04_25: nivel=PubMed/ScienceDirect research abstract and article snippets with intervention design and outcomes; hallazgo=A multiple-probe/alternating-treatment intervention compares conversational-AI-enhanced peer mediation with peer-mediated instruction alone and reports gains in initiations, responses, lexical diversity and generalization.; limitación=; acción=; fuente=https://pubmed.ncbi.nlm.nih.gov/41671742/</t>
        </is>
      </c>
      <c r="J413" s="4" t="inlineStr">
        <is>
          <t>Contenido evaluable revisado; el nivel exacto de fuente, evidencia y cautelas se documenta en Lote_04_25.</t>
        </is>
      </c>
      <c r="K413" s="4" t="inlineStr">
        <is>
          <t>Inherited scoped adjudication; see source level and lot caveats</t>
        </is>
      </c>
      <c r="L413" s="4" t="inlineStr">
        <is>
          <t>Not documented in provided sources</t>
        </is>
      </c>
    </row>
    <row r="414" ht="409" customHeight="1">
      <c r="A414" s="4" t="inlineStr">
        <is>
          <t>new_299</t>
        </is>
      </c>
      <c r="B414" s="4" t="inlineStr">
        <is>
          <t>Update</t>
        </is>
      </c>
      <c r="C414" s="4" t="inlineStr">
        <is>
          <t>Decoding the Neural Basis of Sensory Phenotypes in Autism</t>
        </is>
      </c>
      <c r="D414" s="4" t="inlineStr">
        <is>
          <t>10.1016/j.bpsc.2025.12.013</t>
        </is>
      </c>
      <c r="E414" s="4" t="inlineStr">
        <is>
          <t>https://doi.org/10.1016/j.bpsc.2025.12.013</t>
        </is>
      </c>
      <c r="F414" s="4" t="inlineStr">
        <is>
          <t>Background: Differences in sensory processing are a defining characteristic of autism, affecting up to 87% of autistic individuals. These differences cause widespread perceptual changes that can negatively impact cognition, development, and daily functioning. Our research identified 5 sensory processing phenotypes with varied behavioral presentations; however, their neural basis remains unclear. In this study, we aim to ground these sensory phenotypes in unique patterns of functional connectivity. Methods: We analyzed data from 146 autistic participants from the POND Network (Province of Ontario Neurodevelopmental Disorders Network). We classified participants into 5 sensory phenotypes using k-means clustering of scores from the Short Sensory Profile. We computed functional connectivity matrices from functional magnetic resonance imaging data across 200 cortical and 32 subcortical regions and calculated graph-theoretical measures (betweenness centrality, strength, local efficiency, and clustering coefficient) to assess information exchange between these regions. We then trained machine learning models to use these measures to classify between all pairs of sensory phenotypes. Results: Our sample was clustered into 5 sensory phenotypes. The machine learning models distinguished 7 of the 10 total pairs of sensory phenotypes using graph-theoretical measures (p &lt; .005). Information exchange within and between the somatomotor network, orbitofrontal cortex, posterior parietal cortex, prefrontal cortex, and subcortical areas was predictive of sensory phenotype. Conclusions: Sensory phenotypes in autism correspond to differences in functional connectivity across cortical, subcortical, and network levels. These findings support the view that variability in sensory processing is reflected in measurable neural patterns and motivate continued work to refine models of sensory processing, with the goal of better understanding and capturing the heterogeneity implicit in autism.</t>
        </is>
      </c>
      <c r="G414" s="4" t="inlineStr">
        <is>
          <t>Uses POND Network data to derive sensory phenotypes from Short Sensory Profile scores and classify phenotype pairs using graph-theoretical rs-fMRI features and linear SVC. POND is multisite, but no site-held-out generalization analysis is reported. SSP is used to define labels rather than fused as a second model-input modality, so multisource integration is not counted.</t>
        </is>
      </c>
      <c r="H414" s="4" t="str"/>
      <c r="I414" s="4" t="inlineStr">
        <is>
          <t>Lote_04_25: nivel=Publisher full article reviewed; hallazgo=Uses POND Network data to derive sensory phenotypes from Short Sensory Profile scores and classify phenotype pairs using graph-theoretical rs-fMRI features and linear SVC.; limitación=; acción=; fuente=https://www.biologicalpsychiatryjournal.com/article/S2451-9022%2826%2900002-9/fulltext</t>
        </is>
      </c>
      <c r="J414" s="4" t="inlineStr">
        <is>
          <t>Contenido evaluable revisado; el nivel exacto de fuente, evidencia y cautelas se documenta en Lote_04_25.</t>
        </is>
      </c>
      <c r="K414" s="4" t="inlineStr">
        <is>
          <t>Inherited scoped adjudication; see source level and lot caveats</t>
        </is>
      </c>
      <c r="L414" s="4" t="inlineStr">
        <is>
          <t>Not documented in provided sources</t>
        </is>
      </c>
    </row>
    <row r="415" ht="307" customHeight="1">
      <c r="A415" s="4" t="inlineStr">
        <is>
          <t>new_306</t>
        </is>
      </c>
      <c r="B415" s="4" t="inlineStr">
        <is>
          <t>Update</t>
        </is>
      </c>
      <c r="C415" s="4" t="inlineStr">
        <is>
          <t>Hybrid ensemble learning for Autism Spectrum Disorder screening using eye-tracking scanpath</t>
        </is>
      </c>
      <c r="D415" s="4" t="inlineStr">
        <is>
          <t>10.1016/j.array.2026.100753</t>
        </is>
      </c>
      <c r="E415" s="4" t="inlineStr">
        <is>
          <t>https://doi.org/10.1016/j.array.2026.100753</t>
        </is>
      </c>
      <c r="F415" s="4" t="inlineStr">
        <is>
          <t>Early and accurate detection of Autism Spectrum Disorder (ASD) is essential for effective intervention and lifelong support. Recent advances in machine learning and eye-tracking technologies have enabled objective screening approaches based on gaze behavior, providing a non-invasive alternative to traditional diagnostic methods. This study introduces a hybrid ensemble learning framework that integrates bagging, boosting, and stacking strategies to leverage the complementary strengths of diverse classifiers, including decision trees, random forests, k-nearest neighbors, AdaBoost, and gradient boosting. The framework was evaluated on a benchmark eye-tracking dataset of 28 participants (14 ASD, 14 TD) using five-fold cross-validation. The proposed stacking model achieved a mean accuracy of 0.960 ± 0.080 and an F1-score of 0.952 ± 0.095 across the five folds, outperforming individual base learners and performing comparably to image-based deep learning models. By operating directly on raw scanpath data, the proposed model enhances interpretability and reduces preprocessing overhead by eliminating the need for image generation and transformation steps, making it suitable for practical and real-time screening environments. Future work will focus on validating the framework on larger and more diverse datasets and integrating it within an end-to-end ASD screening platform.</t>
        </is>
      </c>
      <c r="G415" s="4" t="inlineStr">
        <is>
          <t>Benchmarks bagging, boosting and stacking on eye-tracking scanpaths; stacking reaches about 0.96 accuracy and the article explicitly argues that raw scanpath representation improves interpretability. Very small benchmark sample and internal fivefold CV; the interpretability claim lacks a formal attribution method and is therefore coded only as partial XAI.</t>
        </is>
      </c>
      <c r="H415" s="4" t="str"/>
      <c r="I415" s="4" t="inlineStr">
        <is>
          <t>Lote_04_25: nivel=Open-access ScienceDirect full article reviewed; hallazgo=Benchmarks bagging, boosting and stacking on eye-tracking scanpaths; stacking reaches about 0.96 accuracy and the article explicitly argues that raw scanpath representation improves interpretability.; limitación=; acción=; fuente=https://www.sciencedirect.com/science/article/pii/S2590005626000767</t>
        </is>
      </c>
      <c r="J415" s="4" t="inlineStr">
        <is>
          <t>Contenido evaluable revisado; el nivel exacto de fuente, evidencia y cautelas se documenta en Lote_04_25.</t>
        </is>
      </c>
      <c r="K415" s="4" t="inlineStr">
        <is>
          <t>Inherited scoped adjudication; see source level and lot caveats</t>
        </is>
      </c>
      <c r="L415" s="4" t="inlineStr">
        <is>
          <t>Not documented in provided sources</t>
        </is>
      </c>
    </row>
    <row r="416" ht="294" customHeight="1">
      <c r="A416" s="4" t="inlineStr">
        <is>
          <t>new_316</t>
        </is>
      </c>
      <c r="B416" s="4" t="inlineStr">
        <is>
          <t>Update</t>
        </is>
      </c>
      <c r="C416" s="4" t="inlineStr">
        <is>
          <t>Identifying Immune-related Molecular Biomarkers in Autism Spectrum Disorder Using Data-independent Acquisition Proteomics and Machine Learning.</t>
        </is>
      </c>
      <c r="D416" s="4" t="inlineStr">
        <is>
          <t>10.3791/68949</t>
        </is>
      </c>
      <c r="E416" s="4" t="inlineStr">
        <is>
          <t>https://doi.org/10.3791/68949</t>
        </is>
      </c>
      <c r="F416" s="4" t="inlineStr">
        <is>
          <t>This study presents a reproducible protocol for identifying serum protein biomarkers associated with autism spectrum disorder (ASD) using data-independent acquisition (DIA) mass spectrometry combined with machine learning (ML). DIA enables unbiased, high-resolution profiling of the serum proteome, including low-abundance proteins, while ensuring reproducibility across samples. ML approaches were applied to select diagnostically informative protein panels and improve model robustness. The analysis included serum from 99 children with ASD and 70 age-matched controls. High-abundance proteins were depleted, peptides were prepared using standardized digestion and fractionation procedures, and DIA was performed on a high-resolution mass spectrometer. Data processing and quantification identified differentially expressed proteins, which underwent functional enrichment analysis. Eight immune-related proteins emerged as strong candidates for biomarker development. A logistic regression model trained on these proteins achieved 95.27% accuracy, a Kappa value of 0.9025, and an AUC of 1.000 in cross-validation. These findings demonstrate the potential of DIA-based proteomics, combined with machine learning, as a robust framework for biomarker discovery in ASD and for adaptation in broader clinical research.</t>
        </is>
      </c>
      <c r="G416" s="4" t="inlineStr">
        <is>
          <t>Serum proteomics in ASD and age-matched controls yielded an immune-related protein panel modeled with logistic regression; the biomarker panel is also checked using an orthogonal ELISA assay. Accessible material does not establish that ELISA validation used an independent cohort, so external validation is not counted. The compact biomarker panel supports partial interpretability.</t>
        </is>
      </c>
      <c r="H416" s="4" t="str"/>
      <c r="I416" s="4" t="inlineStr">
        <is>
          <t>Lote_04_25: nivel=JoVE/PubMed research article with protocol, cohort, biomarkers and validation results; hallazgo=Serum proteomics in ASD and age-matched controls yielded an immune-related protein panel modeled with logistic regression; the biomarker panel is also checked using an orthogonal ELISA assay.; limitación=; acción=; fuente=https://www.jove.com/t/68949/identifying-immune-related-molecular-biomarkers-autism-spectrum</t>
        </is>
      </c>
      <c r="J416" s="4" t="inlineStr">
        <is>
          <t>Contenido evaluable revisado; el nivel exacto de fuente, evidencia y cautelas se documenta en Lote_04_25.</t>
        </is>
      </c>
      <c r="K416" s="4" t="inlineStr">
        <is>
          <t>Inherited scoped adjudication; see source level and lot caveats</t>
        </is>
      </c>
      <c r="L416" s="4" t="inlineStr">
        <is>
          <t>Not documented in provided sources</t>
        </is>
      </c>
    </row>
    <row r="417" ht="333" customHeight="1">
      <c r="A417" s="4" t="inlineStr">
        <is>
          <t>new_319</t>
        </is>
      </c>
      <c r="B417" s="4" t="inlineStr">
        <is>
          <t>Update</t>
        </is>
      </c>
      <c r="C417" s="4" t="inlineStr">
        <is>
          <t>Enhanced detection of autism spectrum disorder through neuroimaging data using stack classifier ensembled with modified VGG-19</t>
        </is>
      </c>
      <c r="D417" s="4" t="inlineStr">
        <is>
          <t>10.1177/02841851251333974</t>
        </is>
      </c>
      <c r="E417" s="4" t="inlineStr">
        <is>
          <t>https://doi.org/10.1177/02841851251333974</t>
        </is>
      </c>
      <c r="F417" s="4" t="inlineStr">
        <is>
          <t>Background: Autism spectrum disorder (ASD) is a neurodevelopmental disease marked by a variety of repetitive behaviors and social communication difficulties. Purpose: To develop a generalizable machine learning (ML) classifier that can accurately and effectively predict ASD in children. Material and Methods: This paper makes use of neuroimaging data from the Autism Brain Imaging Data Exchange (ABIDE I and II) datasets through a combination of structural and functional magnetic resonance imaging data. Several ML models, such as Support Vector Machines (SVM), CatBoost, random forest (RF), and stack classifiers, were tested to demonstrate which model performs the best in ASD classification when used alongside a deep convolutional neural network. Results: Results showed that stack classifier performed the best among the models, with the highest accuracy of 81.68%, sensitivity of 85.08%, and specificity of 79.13% for ABIDE I, and 81.34%, 83.61%, and 82.21% for ABIDE II, showing its superior ability to identify complex patterns in neuroimaging data. SVM performed poorly across all metrics, showing its limitations in dealing with high-dimensional neuroimaging data. Conclusion: The results show that the application of ML models, especially ensemble approaches like stack classifier, holds significant promise in improving the accuracy with which ASD is detected using neuroimaging and thus shows their potential for use in clinical applications and early intervention strategies.</t>
        </is>
      </c>
      <c r="G417" s="4" t="inlineStr">
        <is>
          <t>Combines structural and functional MRI from ABIDE I and II with conventional classifiers, stacking and modified VGG-19 features; performance is reported separately for both datasets. ABIDE is multisite and the model is multimodal, but the accessible description does not establish site-held-out robustness or a strict independent external-validation design.</t>
        </is>
      </c>
      <c r="H417" s="4" t="str"/>
      <c r="I417" s="4" t="inlineStr">
        <is>
          <t>Lote_04_25: nivel=SAGE/PubMed detailed research abstract with ABIDE I/II multimodal neuroimaging results; hallazgo=Combines structural and functional MRI from ABIDE I and II with conventional classifiers, stacking and modified VGG-19 features; performance is reported separately for both datasets.; limitación=; acción=; fuente=https://pubmed.ncbi.nlm.nih.gov/40232228/</t>
        </is>
      </c>
      <c r="J417" s="4" t="inlineStr">
        <is>
          <t>Contenido evaluable revisado; el nivel exacto de fuente, evidencia y cautelas se documenta en Lote_04_25.</t>
        </is>
      </c>
      <c r="K417" s="4" t="inlineStr">
        <is>
          <t>Inherited scoped adjudication; see source level and lot caveats</t>
        </is>
      </c>
      <c r="L417" s="4" t="inlineStr">
        <is>
          <t>Not documented in provided sources</t>
        </is>
      </c>
    </row>
    <row r="418" ht="333" customHeight="1">
      <c r="A418" s="4" t="inlineStr">
        <is>
          <t>new_323</t>
        </is>
      </c>
      <c r="B418" s="4" t="inlineStr">
        <is>
          <t>Update</t>
        </is>
      </c>
      <c r="C418" s="4" t="inlineStr">
        <is>
          <t>Energy-Efficient EEG-Based Autism Spectrum Disorder Detection Using a Hyperbolic Attention Neural Network</t>
        </is>
      </c>
      <c r="D418" s="4" t="inlineStr">
        <is>
          <t>10.1002/dneu.70011</t>
        </is>
      </c>
      <c r="E418" s="4" t="inlineStr">
        <is>
          <t>https://doi.org/10.1002/dneu.70011</t>
        </is>
      </c>
      <c r="F418" s="4" t="inlineStr">
        <is>
          <t>Long-term physiological monitoring using wearable wireless systems represents a paradigm change in next-generation e-health applications. Specifically, electroencephalography (EEG) represents a noninvasive and trustworthy way of recording brain activity and is a likely candidate for the early diagnosis of autism spectrum disorder (ASD). Yet, conventional methods involving the streaming of raw EEG signals to outside servers for classification consume significant energy and drastically shorten the operational life of wearable sensors. In response to these gaps, this research introduced an energy-aware, sensor-based scheme for ASD detection during early childhood from EEG signals. The system exploits on-node signal denoising via chaotic signal models, feature extraction by dual tree discrete wavelet transform (DT-DWT), and lightweight feature selection by parrot optimization (PO). The core detection is executed via a new Hyperbolic Cross-Head Attention-Based Neural Network (HyperCrossNet) that proposes deep reversible learning in conjunction with spatial and channel-oriented attention mechanisms. The network weights are then optimized by the Pied Kingfisher Optimization Algorithm (PKO) for improved accuracy. Experimental outcomes indicate 99.92% classification, 99.91% recall, and a 99.90% F1-score not mentioning that it has lowered considerably the amount of energy used to transmit the raw data. This effective design enables real-time wearable detection useful and applicable to long-term monitoring.</t>
        </is>
      </c>
      <c r="G418" s="4" t="inlineStr">
        <is>
          <t>EEG is denoised and transformed with DT-DWT, features are selected with Parrot Optimization, and HyperCrossNet with Pied Kingfisher Optimization is used for ASD classification; the abstract reports 99.92% accuracy. Public benchmark evaluation with extremely high performance; no independent external cohort, site-held-out analysis, prospective evaluation, or formal XAI was established in the accessible evidence.</t>
        </is>
      </c>
      <c r="H418" s="4" t="str"/>
      <c r="I418" s="4" t="inlineStr">
        <is>
          <t>Lote_05_25: nivel=Wiley/publisher research abstract with architecture, dataset and performance sufficient for scoped coding; hallazgo=EEG is denoised and transformed with DT-DWT, features are selected with Parrot Optimization, and HyperCrossNet with Pied Kingfisher Optimization is used for ASD classification; the abstract reports 99.92% accuracy.; limitación=; acción=; fuente=https://onlinelibrary.wiley.com/doi/10.1002/dneu.70011</t>
        </is>
      </c>
      <c r="J418" s="4" t="inlineStr">
        <is>
          <t>Wiley/publisher research abstract with architecture, dataset and performance sufficient for scoped coding. Public benchmark evaluation with extremely high performance; no independent external cohort, site-held-out analysis, prospective evaluation, or formal XAI was established in the accessible evidence.</t>
        </is>
      </c>
      <c r="K418" s="4" t="inlineStr">
        <is>
          <t>Inherited scoped adjudication; see source level and lot caveats</t>
        </is>
      </c>
      <c r="L418" s="4" t="inlineStr">
        <is>
          <t>Not documented in provided sources</t>
        </is>
      </c>
    </row>
    <row r="419" ht="242" customHeight="1">
      <c r="A419" s="4" t="inlineStr">
        <is>
          <t>new_326</t>
        </is>
      </c>
      <c r="B419" s="4" t="inlineStr">
        <is>
          <t>Update</t>
        </is>
      </c>
      <c r="C419" s="4" t="inlineStr">
        <is>
          <t>Classification of Autism Spectrum Disorder Using Edge-Weight Enhanced Graph Attention Network With Multiple Features of Resting-State fNIRS Signals</t>
        </is>
      </c>
      <c r="D419" s="4" t="inlineStr">
        <is>
          <t>10.1002/jbio.202500138</t>
        </is>
      </c>
      <c r="E419" s="4" t="inlineStr">
        <is>
          <t>https://doi.org/10.1002/jbio.202500138</t>
        </is>
      </c>
      <c r="F419" s="4" t="inlineStr">
        <is>
          <t>Functional near-infrared spectroscopy (fNIRS), as a noninvasive brain imaging modality, has shown great potential for autism spectrum disorder (ASD) identification combined with machine learning. In this work, we proposed an ASD identification method using edge-weight enhanced graph attention network (EWE-GAT) with multiple features in resting-state fNIRS signals measured from the bilateral temporal lobes on 22 typically developing (TD) children and 25 children with ASD. Seven features were selected for the EWE-GAT model, including five node features: the coupling between oxygenated hemoglobin (HbO) and deoxygenated hemoglobin (Hb) fluctuations, sample entropy for HbO and Hb, and average resting-state functional connectivity (RSFC) for HbO and Hb of each channel, and two edge features: RSFC between each channel pair for both HbO and Hb. With the proposed method, high accurate classification was achieved with 97.92% accuracy, 100% sensitivity, 96.43% precision, and 98.08% F1 score, outperforming usually used traditional machine learning and convolutional neural network models.</t>
        </is>
      </c>
      <c r="G419" s="4" t="inlineStr">
        <is>
          <t>Resting-state fNIRS from 22 TD and 25 ASD children was represented with HbO/Hb node and edge features and classified using EWE-GAT; reported accuracy was 97.92%. Very small single cohort; no independent external validation, prospective workflow evaluation, or explicit site-robustness analysis was established.</t>
        </is>
      </c>
      <c r="H419" s="4" t="str"/>
      <c r="I419" s="4" t="inlineStr">
        <is>
          <t>Lote_05_25: nivel=Wiley/PubMed detailed research abstract with cohort, features and EWE-GAT results sufficient for scoped coding; hallazgo=Resting-state fNIRS from 22 TD and 25 ASD children was represented with HbO/Hb node and edge features and classified using EWE-GAT; reported accuracy was 97.92%.; limitación=; acción=; fuente=https://onlinelibrary.wiley.com/doi/10.1002/jbio.202500138</t>
        </is>
      </c>
      <c r="J419" s="4" t="inlineStr">
        <is>
          <t>Wiley/PubMed detailed research abstract with cohort, features and EWE-GAT results sufficient for scoped coding. Very small single cohort; no independent external validation, prospective workflow evaluation, or explicit site-robustness analysis was established.</t>
        </is>
      </c>
      <c r="K419" s="4" t="inlineStr">
        <is>
          <t>Inherited scoped adjudication; see source level and lot caveats</t>
        </is>
      </c>
      <c r="L419" s="4" t="inlineStr">
        <is>
          <t>Not documented in provided sources</t>
        </is>
      </c>
    </row>
    <row r="420" ht="409" customHeight="1">
      <c r="A420" s="4" t="inlineStr">
        <is>
          <t>new_334</t>
        </is>
      </c>
      <c r="B420" s="4" t="inlineStr">
        <is>
          <t>Update</t>
        </is>
      </c>
      <c r="C420" s="4" t="inlineStr">
        <is>
          <t>Constructing a Predictive Model for Children with Autism Spectrum Disorder Based on Whole-Brain MR Radiomics: A Machine Learning Study</t>
        </is>
      </c>
      <c r="D420" s="4" t="inlineStr">
        <is>
          <t>10.3174/ajnr.a8939</t>
        </is>
      </c>
      <c r="E420" s="4" t="inlineStr">
        <is>
          <t>https://doi.org/10.3174/ajnr.a8939</t>
        </is>
      </c>
      <c r="F420" s="4" t="inlineStr">
        <is>
          <t>BACKGROUND AND PURPOSE: Current autism spectrum disorder (ASD) diagnosis depends on subjective behavioral assessments causing delays and variability. Structural MRI shows brain abnormalities but traditional analysis lacks sensitivity. This study aims to construct a prediction model based on whole-brain imaging radiomics analysis by using machine learning for identifying children with ASD. MATERIALS AND METHODS: This study used imaging and clinical data from 223 subjects in the Autism Brain Imaging Data Exchange database, including 120 patients diagnosed with ASD. These data were randomly divided into training and test sets in a 7:3 ratio. An independent external test set comprising 87 participants (38 with ASD) from the Georgetown University and University of Miami ASD data set was also utilized. Then, quantitative radiomics features of white matter, gray matter, and CSF were extracted from the whole-brain MR structural images of each subject, and feature dimensionality reduction was performed based on the training set data to construct radiomics signature. Afterward, multivariate logistic regression was used to screen independent predictors of ASD from clinical features and then, combined with radiomics signature, multiple machine learning models were constructed to predict ASD. Finally, the optimal model was selected, and the receiver operating characteristic curve was used to evaluate the training, test, and external test sets data. Simultaneously, the model divides the data set into low-risk and high-risk subgroups, comparing the actual number of individuals with ASD between the 2 subgroups to evaluate the clinical efficacy of the model. RESULTS: The areas under the curve (AUCs) of radiomics markers in the training set, test set, and external test set were 0.78 (95% CI, 0.71–0.85), 0.75 (95% CI, 0.67–0.83), and 0.74 (95% CI, 0.64–0.83), respectively. Multivariate logistic regression showed that the Verbal Intelligence Quotient (VIQ) was a predictor of ASD. The joint model constructed by the decision tree algorithm with radiomics markers performed best, with AUC of 0.87 (95% CI, 0.81–0.92), 0.84 (95% CI, 0.76–0.91), and 0.83 (95% CI, 0.74–0.91), a sensitivity of 0.89 (95% CI, 0.82–0.95), 0.84 (95% CI, 0.73–0.93), and 0.86 (95% CI, 0.72–0.96), and the specificity of 0.70 (95% CI, 0.60–0.79), 0.63 (95% CI, 0.52–0.74), and 0.66 (95% CI, 0.49–0.80), respectively. The low-risk subgroup and high-risk subgroup classified according to the cutoff value of 0.4285 of the model showed statistically significant differences in the actual number of patients with ASD in the training set (x2 ¼ 21.325; P, .05), the test set (x2 ¼ 5.379; P, .05), and the external test set (x2 ¼ 21.52; P, .05). CONCLUSIONS: Radiomics signature for identifying ASD can be constructed based on whole-brain MRI imaging features. The performance of identifying ASD can be improved by adding VIQ data and the decision tree algorithm model, which can provide an adaptive strategy for clinical practice.</t>
        </is>
      </c>
      <c r="G420" s="4" t="inlineStr">
        <is>
          <t>Whole-brain structural-MRI radiomics and VIQ were modeled in 223 ABIDE participants, with an independent external set of 87 participants from Georgetown and Miami; the decision-tree joint model achieved AUCs 0.87/0.84/0.83 in training/test/external sets. External validation is present, but the accessible report does not describe an explicit leave-site-out robustness design. The radiomics signature and VIQ provide feature-level interpretability rather than a formal post-hoc XAI method.</t>
        </is>
      </c>
      <c r="H420" s="4" t="str"/>
      <c r="I420" s="4" t="inlineStr">
        <is>
          <t>Lote_05_25: nivel=PubMed/publisher structured abstract with training, internal test and independent external test details; hallazgo=Whole-brain structural-MRI radiomics and VIQ were modeled in 223 ABIDE participants, with an independent external set of 87 participants from Georgetown and Miami; the decision-tree joint model achieved AUCs 0.87/0.84/0.83 in training/test/external sets.; limitación=; acción=; fuente=https://pubmed.ncbi.nlm.nih.gov/40721282/</t>
        </is>
      </c>
      <c r="J420" s="4" t="inlineStr">
        <is>
          <t>PubMed/publisher structured abstract with training, internal test and independent external test details. External validation is present, but the accessible report does not describe an explicit leave-site-out robustness design. The radiomics signature and VIQ provide feature-level interpretability rather than a formal post-hoc XAI method.</t>
        </is>
      </c>
      <c r="K420" s="4" t="inlineStr">
        <is>
          <t>Inherited scoped adjudication; see source level and lot caveats</t>
        </is>
      </c>
      <c r="L420" s="4" t="inlineStr">
        <is>
          <t>Not documented in provided sources</t>
        </is>
      </c>
    </row>
    <row r="421" ht="409" customHeight="1">
      <c r="A421" s="4" t="inlineStr">
        <is>
          <t>new_342</t>
        </is>
      </c>
      <c r="B421" s="4" t="inlineStr">
        <is>
          <t>Update</t>
        </is>
      </c>
      <c r="C421" s="4" t="inlineStr">
        <is>
          <t>Auditory brainstem response abnormalities in autism spectrum disorder: A deep learning approach to characterize time-frequency signatures</t>
        </is>
      </c>
      <c r="D421" s="4" t="inlineStr">
        <is>
          <t>10.1016/j.heares.2026.109654</t>
        </is>
      </c>
      <c r="E421" s="4" t="inlineStr">
        <is>
          <t>https://doi.org/10.1016/j.heares.2026.109654</t>
        </is>
      </c>
      <c r="F421" s="4" t="inlineStr">
        <is>
          <t>Background: While Auditory Brainstem Response (ABR) provides a non-invasive window into auditory brainstem function, prior studies of ASD have primarily focused on localized waveform features (e.g., waves I, III, and V), potentially overlooking subtle but informative patterns in the full-band signal. This study introduces a deep learning framework to comprehensively characterize time-frequency signatures of auditory brainstem activity in ASD, with the goal of identifying neurophysiologically meaningful ABR features associated with ASD. Methods: We analyzed a clinical dataset of 1209 ABR recordings (ASD: 961; Typically Developing Controls: 248). A dual-branch Time-Frequency Fusion and Transformer-Based Network (TF-TBN) was developed. The temporal branch utilizes a Transformer-enhanced 1D-CNN to analyze raw ABR waveforms, while the frequency branch employs a Vision Transformer to analyze spectrograms generated via Continuous Wavelet Transform. A fusion module integrates these features for final classification. Model interpretability was analyzed to identify critical ABR features. Results: The TF-TBN model achieved a classification accuracy of 96.62%, significantly outperforming conventional deep learning baselines. Interpretability analysis revealed that the model’s decision was heavily influenced by prolonged absolute latencies of waves III and V, and interpeak latencies of I-III and I-V, which were confirmed as statistically significant in the ASD cohort. This suggests that the model successfully learned biologically plausible biomarkers of auditory pathway dysfunction. Conclusions: This study provides the first comprehensive characterization of full-band ABR abnormalities in ASD using a deep learning framework. The TF-TBN model identifies prolonged wave III- and wave V-related timing features as prominent contributors to ASD-TD discrimination, with wave III-related delay emerging as an important component of the observed ABR abnormality. By linking AI-driven feature discovery to interpretable neurophysiological biomarkers, our work advances the analytical framework for ABR and contributes to understanding the neural basis of auditory processing deficits in ASD.</t>
        </is>
      </c>
      <c r="G421" s="4" t="inlineStr">
        <is>
          <t>A dual-branch TF-TBN combines raw ABR waveforms and CWT spectrograms from 1,209 recordings; reported accuracy was 96.62%, and interpretability analysis linked decisions to wave III/V and interpeak latency abnormalities. No independent external cohort, site-held-out evaluation, or prospective clinical deployment was identified in the accessible material.</t>
        </is>
      </c>
      <c r="H421" s="4" t="str"/>
      <c r="I421" s="4" t="inlineStr">
        <is>
          <t>Lote_05_25: nivel=ScienceDirect detailed research abstract with architecture, clinical ABR cohort, interpretability and results; hallazgo=A dual-branch TF-TBN combines raw ABR waveforms and CWT spectrograms from 1,209 recordings; reported accuracy was 96.62%, and interpretability analysis linked decisions to wave III/V and interpeak latency abnormalities.; limitación=; acción=; fuente=https://www.sciencedirect.com/science/article/pii/S0378595526001309</t>
        </is>
      </c>
      <c r="J421" s="4" t="inlineStr">
        <is>
          <t>ScienceDirect detailed research abstract with architecture, clinical ABR cohort, interpretability and results. No independent external cohort, site-held-out evaluation, or prospective clinical deployment was identified in the accessible material.</t>
        </is>
      </c>
      <c r="K421" s="4" t="inlineStr">
        <is>
          <t>Inherited scoped adjudication; see source level and lot caveats</t>
        </is>
      </c>
      <c r="L421" s="4" t="inlineStr">
        <is>
          <t>Not documented in provided sources</t>
        </is>
      </c>
    </row>
    <row r="422" ht="409" customHeight="1">
      <c r="A422" s="4" t="inlineStr">
        <is>
          <t>new_343</t>
        </is>
      </c>
      <c r="B422" s="4" t="inlineStr">
        <is>
          <t>Update</t>
        </is>
      </c>
      <c r="C422" s="4" t="inlineStr">
        <is>
          <t>An explainable machine unlearning algorithm framework for early detection of autism spectrum disorder and brain disabilities in newborns</t>
        </is>
      </c>
      <c r="D422" s="4" t="inlineStr">
        <is>
          <t>10.1016/j.aej.2026.04.002</t>
        </is>
      </c>
      <c r="E422" s="4" t="inlineStr">
        <is>
          <t>https://doi.org/10.1016/j.aej.2026.04.002</t>
        </is>
      </c>
      <c r="F422" s="4" t="inlineStr">
        <is>
          <t>Autism Spectrum Disorder (ASD) is a rising disorder in the brain among newborns aged 0 to 36 months, emphasizing the urgent need for early and accurate detection to mitigate potential developmental risks. Deep learning and machine learning techniques have shown promise in diagnosing ASD, particularly in children aged 36 to 72 months. However, the effectiveness of these diagnostic models heavily depends on the quality and accuracy of the training data. Inaccurate or mismatched data can lead to unreliable diagnoses and inappropriate clinical interventions. In this paper, we propose a machine unlearning-integrated explainable AI (XAI) framework for the early detection of autism spectrum disorder and brain disabilities in newborns. Central to our framework is the Machine Unlearning-Integrated Explainable AI Partitioning Autism Detection and Brain Disorder (MUXAI-ASDBD) algorithm, a novel partitioning-based XAI approach built on Convolutional Neural Network (CNN). This algorithm provides layer-wise explainability during training and incorporates a machine unlearning mechanism at the summation layer, along with probability distribution analysis, to enhance diagnostic accuracy and computational efficiency. The MUXAI-ASDBD framework was evaluated using multiple benchmark datasets, including Ages and Stages Questionnaires (ASQ), CSBS, PEDS, the Modified Checklist for Autism in Toddlers (M-CHAT), and the Screening Tool for Autism in Toddlers and Children (STAT). We also integrated neuroimaging data from brain disorder MRI and EEG datasets. This work extends our previously published implementation, in which we detected autism but did not correct errors, as we do here. Simulation results showed that the MUXAI-ASDBD framework reduced error rates by 23%, reduced false positives, improved accuracy to 98%, and reduced processing time for autism detection using the given multimodal data.</t>
        </is>
      </c>
      <c r="G422" s="4" t="inlineStr">
        <is>
          <t>MUXAI-ASDBD combines CNN-based modeling, partition-oriented explainability and machine unlearning across screening, MRI and EEG benchmark datasets; the paper reports strong classification performance. Benchmark-based evaluation across heterogeneous tasks/datasets does not establish prospective clinical deployment or an independent external/site-held-out validation protocol.</t>
        </is>
      </c>
      <c r="H422" s="4" t="str"/>
      <c r="I422" s="4" t="inlineStr">
        <is>
          <t>Lote_05_25: nivel=ScienceDirect open research record with benchmark datasets, CNN/machine-unlearning framework and XAI description; hallazgo=MUXAI-ASDBD combines CNN-based modeling, partition-oriented explainability and machine unlearning across screening, MRI and EEG benchmark datasets; the paper reports strong classification performance.; limitación=; acción=; fuente=https://www.sciencedirect.com/science/article/pii/S1110016826002115</t>
        </is>
      </c>
      <c r="J422" s="4" t="inlineStr">
        <is>
          <t>ScienceDirect open research record with benchmark datasets, CNN/machine-unlearning framework and XAI description. Benchmark-based evaluation across heterogeneous tasks/datasets does not establish prospective clinical deployment or an independent external/site-held-out validation protocol.</t>
        </is>
      </c>
      <c r="K422" s="4" t="inlineStr">
        <is>
          <t>Inherited scoped adjudication; see source level and lot caveats</t>
        </is>
      </c>
      <c r="L422" s="4" t="inlineStr">
        <is>
          <t>Not documented in provided sources</t>
        </is>
      </c>
    </row>
    <row r="423" ht="409" customHeight="1">
      <c r="A423" s="4" t="inlineStr">
        <is>
          <t>new_347</t>
        </is>
      </c>
      <c r="B423" s="4" t="inlineStr">
        <is>
          <t>Update</t>
        </is>
      </c>
      <c r="C423" s="4" t="inlineStr">
        <is>
          <t>Vision transformer and complex network analysis for autism spectrum disorder classification in T1 structural MRI</t>
        </is>
      </c>
      <c r="D423" s="4" t="inlineStr">
        <is>
          <t>10.1007/s11604-025-01832-3</t>
        </is>
      </c>
      <c r="E423" s="4" t="inlineStr">
        <is>
          <t>https://doi.org/10.1007/s11604-025-01832-3</t>
        </is>
      </c>
      <c r="F423" s="4" t="inlineStr">
        <is>
          <t>Background: Autism spectrum disorder (ASD) affects social interaction, communication, and behavior. Early diagnosis is important as it enables timely intervention that can significantly improve long-term outcomes, but current diagnostic, which rely heavily on behavioral observations and clinical interviews, are often subjective and time-consuming. This study introduces an AI-based approach that uses T1-weighted structural MRI (sMRI) scans, network analysis, and vision transformers to automatically diagnose ASD. Methods: sMRI data from 79 ASD patients and 105 healthy controls were obtained from the Autism Brain Imaging Data Exchange (ABIDE) database. Complex network analysis (CNA) features and ViT (Vision Transformer) features were developed for predicting ASD. Five models were developed for each type of features: logistic regression, support vector machine (SVM), gradient boosting (GB), K-nearest neighbors (KNN), and neural network (NN). 25 models were further developed by federating the two sets of 5 models. Model performance was evaluated using accuracy, area under the receiver operating characteristic curve (AUC-ROC), sensitivity, and specificity via fivefold cross-validation. Results: The federate model CNA(KNN)–ViT(NN) achieved highest performance, with accuracy 0.951 ± 0.067, AUC-ROC 0.980 ± 0.020, sensitivity 0.963 ± 0.050, and specificity 0.943 ± 0.047. The performance of the ViT-based models exceeds that of the complex network-based models on 80% of the performance metrics. By federating CNA models, the ViT models can achieve better performance. Conclusion: This study demonstrates the feasibility of using CNA and ViT models for the automated diagnosis of ASD. The proposed CNA(KNN)–ViT(NN) model achieved better accuracy in ASD classification based solely on T1 sMRI images. The proposed method’s reliance on widely available T1 sMRI scans highlights its potential for integration into routine clinical examinations, facilitating more efficient and accessible ASD screening.</t>
        </is>
      </c>
      <c r="G423" s="4" t="inlineStr">
        <is>
          <t>T1 structural MRI from ABIDE was analyzed using complex-network analysis and Vision Transformer features across multiple federated combinations; the CNA(KNN)-ViT(NN) configuration reported accuracy 0.951 and AUC 0.98. ABIDE is multisite, but the reported evaluation is internal five-fold validation rather than an explicit site-held-out or independent external robustness test.</t>
        </is>
      </c>
      <c r="H423" s="4" t="str"/>
      <c r="I423" s="4" t="inlineStr">
        <is>
          <t>Lote_05_25: nivel=PubMed/Springer research abstract with ABIDE T1 MRI, federated model comparison and five-fold validation; hallazgo=T1 structural MRI from ABIDE was analyzed using complex-network analysis and Vision Transformer features across multiple federated combinations; the CNA(KNN)-ViT(NN) configuration reported accuracy 0.951 and AUC 0.98.; limitación=; acción=; fuente=https://pubmed.ncbi.nlm.nih.gov/40663220/</t>
        </is>
      </c>
      <c r="J423" s="4" t="inlineStr">
        <is>
          <t>PubMed/Springer research abstract with ABIDE T1 MRI, federated model comparison and five-fold validation. ABIDE is multisite, but the reported evaluation is internal five-fold validation rather than an explicit site-held-out or independent external robustness test.</t>
        </is>
      </c>
      <c r="K423" s="4" t="inlineStr">
        <is>
          <t>Inherited scoped adjudication; see source level and lot caveats</t>
        </is>
      </c>
      <c r="L423" s="4" t="inlineStr">
        <is>
          <t>Not documented in provided sources</t>
        </is>
      </c>
    </row>
    <row r="424" ht="320" customHeight="1">
      <c r="A424" s="4" t="inlineStr">
        <is>
          <t>new_349</t>
        </is>
      </c>
      <c r="B424" s="4" t="inlineStr">
        <is>
          <t>Update</t>
        </is>
      </c>
      <c r="C424" s="4" t="inlineStr">
        <is>
          <t>Dominant cross-frequency analysis-based early diagnosis of Autism Spectrum Disorder in pediatrics using FRHIS and DSTCNN</t>
        </is>
      </c>
      <c r="D424" s="4" t="inlineStr">
        <is>
          <t>10.1016/j.pscychresns.2026.112270</t>
        </is>
      </c>
      <c r="E424" s="4" t="inlineStr">
        <is>
          <t>https://doi.org/10.1016/j.pscychresns.2026.112270</t>
        </is>
      </c>
      <c r="F424" s="4" t="inlineStr">
        <is>
          <t>Autism Spectrum Disorder (ASD) is a prevalent neurodevelopmental condition that affects children's cognitive, social, and behavioral skills. Thus, early diagnosis of ASD for children below 2 years old is very significant. Nevertheless, the prevailing works overlooked the depth of the dynamic frequency band variation during ASD detection, leading to misclassification. Therefore, a dominant cross-frequency analysis-based early ASD detection in pediatrics using a Fuzzy Root Hesitant Inference System (FRHIS) and Deep Squared Tau Convolutional Neural Network (DSTCNN) is proposed in this paper. Primarily, the Electroencephalogram (EEG) signals of children below 2 years old are gathered. Then, the artifacts are removed using the EWI-BPF. Afterward, by using Variation Frechet Distribution Mode Decomposition (VFDMD), the signals are decomposed. Then, by utilizing the FRHIS, the frequency bands are determined, followed by non-linear variables and feature extraction. In the meantime, the cross-frequency analysis is carried out by estimating the modulation depth using the Phase Amplitude Method (PAM) and determining the cross-frequency strength. Then, to select optimal features, the CRBM is applied. Lastly, the ASD classification is carried out using DSTCNN. When analogized with other traditional works, the proposed work attained superior performance in detecting ASD for pediatrics with a higher accuracy of 99.03%.</t>
        </is>
      </c>
      <c r="G424" s="4" t="inlineStr">
        <is>
          <t>The study applies dominant cross-frequency EEG analysis, FRHIS/CRBM-based feature processing and a DSTCNN classifier for pediatric ASD; the abstract reports 99.03% accuracy. The very high reported performance is not accompanied by an independent external cohort, prospective evaluation, or explicit cross-site robustness analysis in the accessible source.</t>
        </is>
      </c>
      <c r="H424" s="4" t="str"/>
      <c r="I424" s="4" t="inlineStr">
        <is>
          <t>Lote_05_25: nivel=ScienceDirect detailed research abstract with pediatric EEG pipeline and performance; hallazgo=The study applies dominant cross-frequency EEG analysis, FRHIS/CRBM-based feature processing and a DSTCNN classifier for pediatric ASD; the abstract reports 99.03% accuracy.; limitación=; acción=; fuente=https://www.sciencedirect.com/science/article/pii/S0925492726001356</t>
        </is>
      </c>
      <c r="J424" s="4" t="inlineStr">
        <is>
          <t>ScienceDirect detailed research abstract with pediatric EEG pipeline and performance. The very high reported performance is not accompanied by an independent external cohort, prospective evaluation, or explicit cross-site robustness analysis in the accessible source.</t>
        </is>
      </c>
      <c r="K424" s="4" t="inlineStr">
        <is>
          <t>Inherited scoped adjudication; see source level and lot caveats</t>
        </is>
      </c>
      <c r="L424" s="4" t="inlineStr">
        <is>
          <t>Not documented in provided sources</t>
        </is>
      </c>
    </row>
    <row r="425" ht="333" customHeight="1">
      <c r="A425" s="4" t="inlineStr">
        <is>
          <t>new_354</t>
        </is>
      </c>
      <c r="B425" s="4" t="inlineStr">
        <is>
          <t>Update</t>
        </is>
      </c>
      <c r="C425" s="4" t="inlineStr">
        <is>
          <t>Contrastive diffusion adaptation network with rs-fMRI for domain adaptation classification of autism spectrum disorder</t>
        </is>
      </c>
      <c r="D425" s="4" t="inlineStr">
        <is>
          <t>10.1016/j.asoc.2026.115959</t>
        </is>
      </c>
      <c r="E425" s="4" t="inlineStr">
        <is>
          <t>https://doi.org/10.1016/j.asoc.2026.115959</t>
        </is>
      </c>
      <c r="F425" s="4" t="inlineStr">
        <is>
          <t>Autism spectrum disorder (ASD) imposes a substantial non-fatal health burden on youth, making early detection essential. Resting-state functional MRI (rs-fMRI) captures low-frequency BOLD connectivity biomarkers, enabling personalized diagnosis when combined with deep learning models. However, models trained at one site often fail to generalize to others due to distribution shifts caused by differences in scanner hardware, acquisition protocols, and patient populations. Existing domain adaptation (DA) techniques alleviate this issue but frequently overlook higher-order semantic features or fail to enhance both intra- (maximizing class separability within each site) and inter-domain (aligning same-class distributions across sites while preserving class margins) discriminability jointly. To address these challenges, we propose the Contrastive Diffusion Adaptation Network (CoDA-Net) for cross-site ASD diagnosis. First, a contrastive variational graph Transformer encoder (CVGTE) aligns the rs-fMRI features of the source and target through supervised contrastive loss. Next, GraphDDPMAugmentor, equipped with TripleGraphTransformerLayers and Frequency-Aware Learning, generates synthetic samples that blend source-domain statistics with target-specific details. Finally, BrainNode-Attention GNN (BNA-GNN) is trained on real and augmented data to achieve accurate diagnoses on unseen sites. Experiments on the ABIDE dataset demonstrate that CoDA-Net significantly outperforms existing DA methods in domain adaptation.</t>
        </is>
      </c>
      <c r="G425" s="4" t="inlineStr">
        <is>
          <t>CoNA-Net combines contrastive graph representation learning, diffusion-based augmentation and brain-node attention to address domain shift across ABIDE sites and to identify influential brain regions. Cross-site/domain-adaptation testing supports robustness but is not equivalent to an independent prospective external clinical validation cohort.</t>
        </is>
      </c>
      <c r="H425" s="4" t="str"/>
      <c r="I425" s="4" t="inlineStr">
        <is>
          <t>Lote_05_25: nivel=ScienceDirect research record with cross-site/domain-adaptation design and brain-region interpretation; hallazgo=CoNA-Net combines contrastive graph representation learning, diffusion-based augmentation and brain-node attention to address domain shift across ABIDE sites and to identify influential brain regions.; limitación=; acción=; fuente=https://www.sciencedirect.com/science/article/pii/S1568494626014079</t>
        </is>
      </c>
      <c r="J425" s="4" t="inlineStr">
        <is>
          <t>ScienceDirect research record with cross-site/domain-adaptation design and brain-region interpretation. Cross-site/domain-adaptation testing supports robustness but is not equivalent to an independent prospective external clinical validation cohort.</t>
        </is>
      </c>
      <c r="K425" s="4" t="inlineStr">
        <is>
          <t>Inherited scoped adjudication; see source level and lot caveats</t>
        </is>
      </c>
      <c r="L425" s="4" t="inlineStr">
        <is>
          <t>Not documented in provided sources</t>
        </is>
      </c>
    </row>
    <row r="426" ht="385" customHeight="1">
      <c r="A426" s="4" t="inlineStr">
        <is>
          <t>new_355</t>
        </is>
      </c>
      <c r="B426" s="4" t="inlineStr">
        <is>
          <t>Update</t>
        </is>
      </c>
      <c r="C426" s="4" t="inlineStr">
        <is>
          <t>Hybrid HOG–ResNet50V2 framework for early autism spectrum disorder detection from facial images</t>
        </is>
      </c>
      <c r="D426" s="4" t="inlineStr">
        <is>
          <t>10.1016/j.array.2026.100936</t>
        </is>
      </c>
      <c r="E426" s="4" t="inlineStr">
        <is>
          <t>https://doi.org/10.1016/j.array.2026.100936</t>
        </is>
      </c>
      <c r="F426" s="4" t="inlineStr">
        <is>
          <t>Early detection of Autism Spectrum Disorder (ASD) is essential for effective intervention, yet conventional diagnostic approaches rely heavily on behavioral assessments that are subjective and time-consuming. This study presents a novel hybrid deep learning (DL) framework that integrates Histogram of Oriented Gradients (HOG) with the ResNet50V2 architecture for automated ASD classification using facial images. The proposed method leverages HOG for extracting local structural and edge-based features, which are then fused with deep hierarchical representations learned by ResNet50V2, enabling enhanced discriminative capability. The model is implemented using transfer learning, where pre-trained weights of ResNet50V2 are fine-tuned on the ASD facial image dataset. The HOG features are combined with the deep feature maps to form a robust feature vector, which is subsequently passed through fully connected layers for classification. This hybridization improves feature generalization and reduces overfitting compared to conventional CNN-based models. Experimental evaluation on a publicly available dataset demonstrates that the proposed approach outperforms existing state-of-the-art (SOTA) methods. The model achieves an accuracy of 90.7%, precision of 91.5%, recall of 91.0%, and F1-score of 91.2%. The improved performance is attributed to effective multi-level feature extraction and optimized network training. The results indicate that the integration of handcrafted and deep features provides a reliable, non-invasive, and efficient framework for ASD classification, highlighting its potential for deployment in automated screening systems. Furthermore, the proposed framework has the potential to assist healthcare professionals in decision-making and early diagnosis.</t>
        </is>
      </c>
      <c r="G426" s="4" t="inlineStr">
        <is>
          <t>The study combines HOG descriptors with ResNet50V2 transfer learning for ASD classification from facial images. The accessible material does not establish independent external validation, prospective deployment, cross-site robustness, or an explicit XAI method.</t>
        </is>
      </c>
      <c r="H426" s="4" t="str"/>
      <c r="I426" s="4" t="inlineStr">
        <is>
          <t>Lote_05_25: nivel=ScienceDirect open research record with facial-image pipeline sufficient for scoped coding; hallazgo=The study combines HOG descriptors with ResNet50V2 transfer learning for ASD classification from facial images.; limitación=; acción=; fuente=https://www.sciencedirect.com/science/article/pii/S2590005626002596</t>
        </is>
      </c>
      <c r="J426" s="4" t="inlineStr">
        <is>
          <t>ScienceDirect open research record with facial-image pipeline sufficient for scoped coding. The accessible material does not establish independent external validation, prospective deployment, cross-site robustness, or an explicit XAI method.</t>
        </is>
      </c>
      <c r="K426" s="4" t="inlineStr">
        <is>
          <t>Inherited scoped adjudication; see source level and lot caveats</t>
        </is>
      </c>
      <c r="L426" s="4" t="inlineStr">
        <is>
          <t>Not documented in provided sources</t>
        </is>
      </c>
    </row>
    <row r="427" ht="359" customHeight="1">
      <c r="A427" s="4" t="inlineStr">
        <is>
          <t>new_364</t>
        </is>
      </c>
      <c r="B427" s="4" t="inlineStr">
        <is>
          <t>Update</t>
        </is>
      </c>
      <c r="C427" s="4" t="inlineStr">
        <is>
          <t>Smart detection of autism spectrum disorder using optimized deep learner for transforming early diagnosis and intervention</t>
        </is>
      </c>
      <c r="D427" s="4" t="inlineStr">
        <is>
          <t>10.1007/s12065-026-01162-x</t>
        </is>
      </c>
      <c r="E427" s="4" t="inlineStr">
        <is>
          <t>https://doi.org/10.1007/s12065-026-01162-x</t>
        </is>
      </c>
      <c r="F427" s="4" t="inlineStr">
        <is>
          <t>Autism Spectrum Disorder (ASD) detection and classification bear huge importance in early diagnosis and intervention, which will massively raise the quality of life in autistic individuals. Most traditional approaches have difficulties in catching the sophisticated patterns of ASD-related behaviors, which often lead to suboptimal accuracy, high false-positive rates, and poor generalization across datasets. This paper introduces a new approach: the NeD-TraF framework and the Eagle Vision Arithmetic Search (EVA-Search) algorithm. This advanced deep learning architecture is very efficient in extracting ASD-salient features and further classifying them accordingly. In contrast, a dynamically optimized learning rate decay would result in much quicker convergence with the EVA-Search method. As discussed above, the methods described propose novelty at the levels of adaptive feature extraction, improved computation efficiency, and a modular approach that guarantees scalability on various datasets. It verifies the efficiency of the proposed framework with the Reddit Mental Health Dataset and ASD Screening Dataset. Experimental results reveal that the model is able to outperform six state-of-the-art methods with higher accuracy and F1-scores, such as 99%, at reduced computational time. Thus, the superiority of the current framework signifies that it is much capable of capturing the complexities in a relationship and thereby suitable for real-world applications. This provides a transformational solution in ASD detection and classification, setting a new standard in precision and efficiency in computational diagnostics.</t>
        </is>
      </c>
      <c r="G427" s="4" t="inlineStr">
        <is>
          <t>The full text describes experiments on the Reddit Mental Health Dataset and ASD Screening Dataset, including stratified 70/15/15 train/validation/test splits and reported performance near 99%. Material reporting contradiction: the Methods/Results explicitly analyze two datasets, while the Data Availability statement says no datasets were generated or analysed. Inclusion is retained provisionally, but this requires high-priority human verification before final synthesis.</t>
        </is>
      </c>
      <c r="H427" s="4" t="str"/>
      <c r="I427" s="4" t="inlineStr">
        <is>
          <t>Lote_05_25: nivel=Author-provided full text on ResearchGate reviewed; Methods/Results and Data Availability expose a material internal inconsistency; hallazgo=The full text describes experiments on the Reddit Mental Health Dataset and ASD Screening Dataset, including stratified 70/15/15 train/validation/test splits and reported performance near 99%.; limitación=; acción=; fuente=https://www.researchgate.net/publication/401363005_Smart_detection_of_autism_spectrum_disorder_using_optimized_deep_learner_for_transforming_early_diagnosis_and_intervention</t>
        </is>
      </c>
      <c r="J427" s="4" t="inlineStr">
        <is>
          <t>Author-provided full text on ResearchGate reviewed; Methods/Results and Data Availability expose a material internal inconsistency. Material reporting contradiction: the Methods/Results explicitly analyze two datasets, while the Data Availability statement says no datasets were generated or analysed. Inclusion is retained provisionally, but this requires high-priority human verification before final synthesis.</t>
        </is>
      </c>
      <c r="K427" s="4" t="inlineStr">
        <is>
          <t>Inherited scoped adjudication; see source level and lot caveats</t>
        </is>
      </c>
      <c r="L427" s="4" t="inlineStr">
        <is>
          <t>Not documented in provided sources</t>
        </is>
      </c>
    </row>
    <row r="428" ht="125" customHeight="1">
      <c r="A428" s="4" t="inlineStr">
        <is>
          <t>new_366</t>
        </is>
      </c>
      <c r="B428" s="4" t="inlineStr">
        <is>
          <t>Update</t>
        </is>
      </c>
      <c r="C428" s="4" t="inlineStr">
        <is>
          <t>Hybrid deep learning with cross-attention fusion for autism spectrum disorder classification from facial images</t>
        </is>
      </c>
      <c r="D428" s="4" t="inlineStr">
        <is>
          <t>10.1016/j.ibmed.2026.100421</t>
        </is>
      </c>
      <c r="E428" s="4" t="inlineStr">
        <is>
          <t>https://doi.org/10.1016/j.ibmed.2026.100421</t>
        </is>
      </c>
      <c r="F428" s="4" t="str"/>
      <c r="G428" s="4" t="inlineStr">
        <is>
          <t>A hybrid ResNet-152-CBAM/ViT-Large model with bidirectional cross-attention, weighted ensemble and test-time augmentation is evaluated on 2,940 public facial images; Grad-CAM highlights periocular regions and the ensemble reports 92% accuracy. The article reports a fixed 86.4%/3.4%/10.2% train/validation/test partition while the abstract also reports mean±SD across 5-fold cross-validation, creating an evaluation-protocol inconsistency that should be reconciled manually. No independent external dataset was used.</t>
        </is>
      </c>
      <c r="H428" s="4" t="str"/>
      <c r="I428" s="4" t="inlineStr">
        <is>
          <t>Lote_05_25: nivel=ScienceDirect open full article/Methods with dataset split, hybrid architecture, Grad-CAM and performance; hallazgo=A hybrid ResNet-152-CBAM/ViT-Large model with bidirectional cross-attention, weighted ensemble and test-time augmentation is evaluated on 2,940 public facial images; Grad-CAM highlights periocular regions and the ensemble reports 92% accuracy.; limitación=; acción=; fuente=https://www.sciencedirect.com/science/article/pii/S2666521226000797</t>
        </is>
      </c>
      <c r="J428" s="4" t="inlineStr">
        <is>
          <t>ScienceDirect open full article/Methods with dataset split, hybrid architecture, Grad-CAM and performance. The article reports a fixed 86.4%/3.4%/10.2% train/validation/test partition while the abstract also reports mean±SD across 5-fold cross-validation, creating an evaluation-protocol inconsistency that should be reconciled manually. No independent external dataset was used.</t>
        </is>
      </c>
      <c r="K428" s="4" t="inlineStr">
        <is>
          <t>Inherited scoped adjudication; see source level and lot caveats</t>
        </is>
      </c>
      <c r="L428" s="4" t="inlineStr">
        <is>
          <t>Not documented in provided sources</t>
        </is>
      </c>
    </row>
    <row r="429" ht="229" customHeight="1">
      <c r="A429" s="4" t="inlineStr">
        <is>
          <t>new_371</t>
        </is>
      </c>
      <c r="B429" s="4" t="inlineStr">
        <is>
          <t>Update</t>
        </is>
      </c>
      <c r="C429" s="4" t="inlineStr">
        <is>
          <t>A Hybrid CNN-GAT Model for MRI Screening of Autism Spectrum Disorder</t>
        </is>
      </c>
      <c r="D429" s="4" t="inlineStr">
        <is>
          <t>10.1007/978-3-032-14531-4_4</t>
        </is>
      </c>
      <c r="E429" s="4" t="inlineStr">
        <is>
          <t>https://doi.org/10.1007/978-3-032-14531-4_4</t>
        </is>
      </c>
      <c r="F429" s="4" t="inlineStr">
        <is>
          <t>Autism Spectrum Disorder (ASD) is a neurodiverse disorder that impacts children’s development, presenting a range of symptoms that persist into adulthood. Recognizing ASD in children is challenging due to the diversity of associated disorders. We propose a hybrid method for detecting autism in children using MRI screening. Our model leverages hybrid deep-learning techniques to address these challenges. In particular, a blend of Convolutional Neural Networks (CNN) and Graph Attention Networks (GAT) is used for model interpretation, allowing us to identify critical brain regions and connections that contribute to the classification. Experiments conducted using data accessible to the public show that the proposed framework achieves an 88% classification accuracy between ASD and Non-ASD cases, outperforming state-of-the-art methods. This indicates the proposed Hybrid CNN-GAT model’s strong classification ability and generalizability, offering a powerful tool for identifying brain disorders.</t>
        </is>
      </c>
      <c r="G429" s="4" t="inlineStr">
        <is>
          <t>Springer identifies this as a full conference paper in peer-reviewed MIND 2024 proceedings. The study proposes a hybrid CNN-GAT on publicly accessible MRI data and reports 88% ASD versus non-ASD classification accuracy. GAT attention is used to identify critical brain regions/connections. No independent external cohort, prospective clinical evaluation, or explicit cross-site robustness was established from the accessible evidence.</t>
        </is>
      </c>
      <c r="H429" s="4" t="str"/>
      <c r="I429" s="4" t="inlineStr">
        <is>
          <t>Lote_05_25: nivel=Official Springer conference-paper record plus proceedings metadata and research abstract sufficient for scoped adjudication; hallazgo=Full conference paper in MIND 2024 proceedings. The hybrid CNN-GAT model uses public MRI data and reports 88% accuracy for ASD versus non-ASD classification; GAT-based attention is used to identify relevant brain regions/connections.; limitación=; acción=; fuente=https://link.springer.com/chapter/10.1007/978-3-032-14531-4_4</t>
        </is>
      </c>
      <c r="J429" s="4" t="inlineStr">
        <is>
          <t>Springer lo identifica como conference paper en proceedings revisados por pares; contenido empírico evaluable y elegible. Reconciliado el 2026-09-07.</t>
        </is>
      </c>
      <c r="K429" s="4" t="inlineStr">
        <is>
          <t>Inherited scoped adjudication; see source level and lot caveats</t>
        </is>
      </c>
      <c r="L429" s="4" t="inlineStr">
        <is>
          <t>Not documented in provided sources</t>
        </is>
      </c>
    </row>
    <row r="430" ht="398" customHeight="1">
      <c r="A430" s="4" t="inlineStr">
        <is>
          <t>new_373</t>
        </is>
      </c>
      <c r="B430" s="4" t="inlineStr">
        <is>
          <t>Update</t>
        </is>
      </c>
      <c r="C430" s="4" t="inlineStr">
        <is>
          <t>Multi-feature fusion transformer network for Autism spectrum disorder detection via facial images</t>
        </is>
      </c>
      <c r="D430" s="4" t="inlineStr">
        <is>
          <t>10.1016/j.bspc.2026.110970</t>
        </is>
      </c>
      <c r="E430" s="4" t="inlineStr">
        <is>
          <t>https://doi.org/10.1016/j.bspc.2026.110970</t>
        </is>
      </c>
      <c r="F430" s="4" t="inlineStr">
        <is>
          <t>Autism spectrum disorder (ASD) encompasses a range of neurodevelopmental conditions characterized by impairments in social interaction, communication, and behavior. Early detection is critical for timely intervention and improved outcomes; however, conventional approaches remain subjective, labor-intensive, and dependent on highly trained professionals. Facial image-based ASD research also faces challenges such as inter-class resemblance, intra-class variation, and pose differences. To address these issues, we propose the Multi-Aspect Cross-Fusion Transformer (MACFUT), a network that integrates facial landmark and image features through a multi-level cross-fusion mechanism for early ASD screening. The architecture incorporates spatial attention to highlight salient facial regions and a global-local cross-fusion transformer encoder to capture detailed feature relationships. We further analyze facial landmark distances, vectors, and angles to reveal developmental differences and enhance clinical interpretability. The proposed model is trained on the ASD Facial Image Dataset (AFID) using 10-fold cross-validation, achieving 89.56% accuracy and an area under the receiver operating characteristic curve (AUC) of 95.36%. To evaluate cross-dataset generalization, the trained model is tested on an independent dataset from Bangladesh (BACFED), yielding 86.51% accuracy and an AUC of 94.78%. The model also highlights diagnostic-group and sex-based differences in facial features among children. MACFUT provides an interpretable and accessible early ASD screening tool that demonstrates robustness across heterogeneous datasets. This method outperforms existing approaches and may help identify children who could benefit from further clinical evaluation in resource-limited and telehealth settings.</t>
        </is>
      </c>
      <c r="G430" s="4" t="inlineStr">
        <is>
          <t>MACFUT fuses facial-image features with landmark geometry, is trained on AFID with 10-fold CV, and is tested on an independent Bangladesh dataset (BACFED), reporting 86.51% external accuracy/AUC 94.78%; attention maps and facial anthropometry support interpretation. External cross-dataset testing strengthens generalization evidence, but the system is not prospectively deployed and image-source/demographic biases remain possible. Landmarks are derived from the same image source, so this was not counted as multisource data.</t>
        </is>
      </c>
      <c r="H430" s="4" t="str"/>
      <c r="I430" s="4" t="inlineStr">
        <is>
          <t>Lote_05_25: nivel=ScienceDirect full article/section snippets with training dataset, independent external dataset, XAI and cross-dataset evaluation; hallazgo=MACFUT fuses facial-image features with landmark geometry, is trained on AFID with 10-fold CV, and is tested on an independent Bangladesh dataset (BACFED), reporting 86.51% external accuracy/AUC 94.78%; attention maps and facial anthropometry support interpretation.; limitación=; acción=; fuente=https://www.sciencedirect.com/science/article/pii/S1746809426015247</t>
        </is>
      </c>
      <c r="J430" s="4" t="inlineStr">
        <is>
          <t>ScienceDirect full article/section snippets with training dataset, independent external dataset, XAI and cross-dataset evaluation. External cross-dataset testing strengthens generalization evidence, but the system is not prospectively deployed and image-source/demographic biases remain possible. Landmarks are derived from the same image source, so this was not counted as multisource data.</t>
        </is>
      </c>
      <c r="K430" s="4" t="inlineStr">
        <is>
          <t>Inherited scoped adjudication; see source level and lot caveats</t>
        </is>
      </c>
      <c r="L430" s="4" t="inlineStr">
        <is>
          <t>Not documented in provided sources</t>
        </is>
      </c>
    </row>
    <row r="431" ht="409" customHeight="1">
      <c r="A431" s="4" t="inlineStr">
        <is>
          <t>new_383</t>
        </is>
      </c>
      <c r="B431" s="4" t="inlineStr">
        <is>
          <t>Update</t>
        </is>
      </c>
      <c r="C431" s="4" t="inlineStr">
        <is>
          <t>Longitudinal multi-omics analysis of umbilical cord blood and childhood serum in Autism</t>
        </is>
      </c>
      <c r="D431" s="4" t="inlineStr">
        <is>
          <t>10.1038/s41380-025-03157-z</t>
        </is>
      </c>
      <c r="E431" s="4" t="inlineStr">
        <is>
          <t>https://doi.org/10.1038/s41380-025-03157-z</t>
        </is>
      </c>
      <c r="F431" s="4" t="inlineStr">
        <is>
          <t>There is considerable evidence implicating maternal immune activation (MIA) and cytokine dysregulation in the pathophysiology of Autism. However, cytokines, due to their lack of specificity are unlikely to translate clinically as prognostic biomarkers. Our aim was to explore the perinatal molecular pathways dysregulated in umbilical cord blood, which precede a diagnosis of childhood Autism, and ascertain whether these putative biomarkers persisted into pre-pubertal childhood. In a cohort of 2137 mother-infant dyads, we conducted a nested case-control study in the BASELINE Birth Cohort. Proteomic and metabolomic analysis was performed on cord blood plasma from 22 children diagnosed with Autism before age 5, and 44 neurotypical controls. In a clinical diagnostic follow-up between 7–10 years in the PiRAMiD Cohort, 24 children with Autism and 48 controls provided blood samples for molecular profiling. In cord blood, proteomics revealed altered glycolysis, selenium metabolism, oxygen transport, and complement signalling. Alterations in these protein pathways persisted into childhood, and dysregulation of GAPDH, SELENBP1, and BLVRB proteins were evident in both cord blood and in serum from pre-pubertal children with Autism. In cord blood, metabolomics analysis indicated Autism outcome was associated with reduced levels of circulating steroids and increased sulfate. We confirmed androstenedione was reduced in cord blood, in Autism cases in comparison to controls, however changes in androstenedione levels were not evident in serum from pre-pubertal children with Autism. Our findings were further corroborated using machine learning approaches, with an AUROC ranging from 0.82 to 0.85 for proteomic and metabolomic cord blood prediction models, respectively. Collectively, these findings confirm a cord blood molecular signature precedes the onset of Autism and has the potential to lead to prognostic biomarkers. Our integrative multi-omics analysis reveals materno-feto-placental molecular processes which potentially underpin Autism aetiology.</t>
        </is>
      </c>
      <c r="G431" s="4" t="inlineStr">
        <is>
          <t>Within the BASELINE birth cohort, cord-blood proteomics/metabolomics from children later diagnosed with autism were analyzed and followed with childhood serum profiling; ML prediction models reported AUROC 0.82-0.85. The omics case numbers are small (22 future ASD cases in cord blood; 24 in follow-up), and the accessible report does not identify an independent external validation cohort or the specific ML family. Longitudinal collection supports prospective-evidence coding, not prospective clinical deployment.</t>
        </is>
      </c>
      <c r="H431" s="4" t="str"/>
      <c r="I431" s="4" t="inlineStr">
        <is>
          <t>Lote_05_25: nivel=Nature/PubMed full research record with longitudinal birth cohort, multi-omics and ML results; hallazgo=Within the BASELINE birth cohort, cord-blood proteomics/metabolomics from children later diagnosed with autism were analyzed and followed with childhood serum profiling; ML prediction models reported AUROC 0.82-0.85.; limitación=; acción=; fuente=https://www.nature.com/articles/s41380-025-03157-z</t>
        </is>
      </c>
      <c r="J431" s="4" t="inlineStr">
        <is>
          <t>Nature/PubMed full research record with longitudinal birth cohort, multi-omics and ML results. The omics case numbers are small (22 future ASD cases in cord blood; 24 in follow-up), and the accessible report does not identify an independent external validation cohort or the specific ML family. Longitudinal collection supports prospective-evidence coding, not prospective clinical deployment.</t>
        </is>
      </c>
      <c r="K431" s="4" t="inlineStr">
        <is>
          <t>Inherited scoped adjudication; see source level and lot caveats</t>
        </is>
      </c>
      <c r="L431" s="4" t="inlineStr">
        <is>
          <t>Not documented in provided sources</t>
        </is>
      </c>
    </row>
    <row r="432" ht="409" customHeight="1">
      <c r="A432" s="4" t="inlineStr">
        <is>
          <t>new_386</t>
        </is>
      </c>
      <c r="B432" s="4" t="inlineStr">
        <is>
          <t>Update</t>
        </is>
      </c>
      <c r="C432" s="4" t="inlineStr">
        <is>
          <t>3T dilated inception network for enhanced autism spectrum disorder diagnosis using resting-state fMRI data</t>
        </is>
      </c>
      <c r="D432" s="4" t="inlineStr">
        <is>
          <t>10.1007/s11571-024-10202-0</t>
        </is>
      </c>
      <c r="E432" s="4" t="inlineStr">
        <is>
          <t>https://doi.org/10.1007/s11571-024-10202-0</t>
        </is>
      </c>
      <c r="F432" s="4" t="inlineStr">
        <is>
          <t>Autism spectrum disorder (ASD) is one of the complicated neurodevelopmental disorders that impacts the daily functioning and social interactions of individuals. It includes diverse symptoms and severity levels, making it challenging to diagnose and treat efficiently. Various deep learning (DL) based methods have been developed for diagnosing ASD, which rely heavily on behavioral assessment. However, existing techniques have suffered from poor diagnostic outcomes, higher computational complexity, and overfitting issues. To address these challenges, this research work introduces an innovative framework called 3T Dilated Inception Network (3T-DINet) for effective ASD diagnosis using resting-state functional Magnetic Resonance Imaging (rs-fMRI) images. The proposed 3T-DINet technique designs a 3T dilated inception module that incorporates dilated convolutions along with the inception module, allowing it to extract multi-scale features from brain connectivity patterns. The 3T dilated inception module uses three distinct dilation rates (low, medium, and high) in parallel to determine local, mid-level, and global features from the brain. In addition, the proposed approach implements Residual networks (ResNet) to avoid the vanishing gradient problem and enhance the feature extraction ability. The model is further optimized using a Crossover-based Black Widow Optimization (CBWO) algorithm that fine-tunes the hyperparameters thereby enhancing the overall performance of the model. Further, the performance of the 3T-DINet model is evaluated using the five ASD datasets with distinct evaluation parameters. The proposed 3T-DINet technique achieved superior diagnosis results compared to recent previous works. From this simulation validation, it’s clear that the 3T-DINet provides an excellent contribution to early ASD diagnosis and enhances patient treatment outcomes.</t>
        </is>
      </c>
      <c r="G432" s="4" t="inlineStr">
        <is>
          <t>3T-DINet combines dilated inception, ResNet components and optimization and is evaluated across five ASD rs-fMRI datasets. Use of multiple ASD datasets was coded as multisite/multidataset evidence, but the accessible report does not establish an explicit leave-site-out or independent prospective external-validation design.</t>
        </is>
      </c>
      <c r="H432" s="4" t="str"/>
      <c r="I432" s="4" t="inlineStr">
        <is>
          <t>Lote_05_25: nivel=PMC/PubMed full research article with ABIDE rs-fMRI, five datasets and model evaluation; hallazgo=3T-DINet combines dilated inception, ResNet components and optimization and is evaluated across five ASD rs-fMRI datasets.; limitación=; acción=; fuente=https://pmc.ncbi.nlm.nih.gov/articles/PMC11729590/</t>
        </is>
      </c>
      <c r="J432" s="4" t="inlineStr">
        <is>
          <t>PMC/PubMed full research article with ABIDE rs-fMRI, five datasets and model evaluation. Use of multiple ASD datasets was coded as multisite/multidataset evidence, but the accessible report does not establish an explicit leave-site-out or independent prospective external-validation design.</t>
        </is>
      </c>
      <c r="K432" s="4" t="inlineStr">
        <is>
          <t>Inherited scoped adjudication; see source level and lot caveats</t>
        </is>
      </c>
      <c r="L432" s="4" t="inlineStr">
        <is>
          <t>Not documented in provided sources</t>
        </is>
      </c>
    </row>
    <row r="433" ht="409" customHeight="1">
      <c r="A433" s="4" t="inlineStr">
        <is>
          <t>new_387</t>
        </is>
      </c>
      <c r="B433" s="4" t="inlineStr">
        <is>
          <t>Update</t>
        </is>
      </c>
      <c r="C433" s="4" t="inlineStr">
        <is>
          <t>Predicting pragmatic language abilities from brain structural MRI in preschool children with ASD by NBS-Predict</t>
        </is>
      </c>
      <c r="D433" s="4" t="inlineStr">
        <is>
          <t>10.1007/s00787-025-02775-w</t>
        </is>
      </c>
      <c r="E433" s="4" t="inlineStr">
        <is>
          <t>https://doi.org/10.1007/s00787-025-02775-w</t>
        </is>
      </c>
      <c r="F433" s="4" t="inlineStr">
        <is>
          <t>Pragmatics plays a crucial role in effectively conveying messages across various social communication contexts. This aspect is frequently highlighted in the challenges experienced by children diagnosed with autism spectrum disorder (ASD). Notably, there remains a paucity of research investigating how the structural connectome (SC) predicts pragmatic language abilities within this population. Using diffusion tensor imaging (DTI) and deterministic tractography, we constructed the whole-brain white matter structural network (WMSN) in a cohort comprising 92 children with ASD and 52 typically developing (TD) preschoolers, matched for age and gender. We employed network-based statistic (NBS)-Predict, a novel methodology that integrates machine learning (ML) with NBS, to identify dysconnected subnetworks associated with ASD, and then to predict pragmatic language abilities based on the SC derived from the whole-brain WMSN in the ASD group. Initially, NBS-Predict identified a subnetwork characterized by 42 reduced connections across 37 brain regions (p = 0.01), achieving a highest classification accuracy of 79.4% (95% CI: 0.791 ~ 0.796). The dysconnected regions were predominantly localized within the brain’s frontotemporal and subcortical areas, with the right superior medial frontal gyrus (SFGmed.R) emerging as the region exhibiting the most extensive disconnection. Moreover, NBS-Predict demonstrated that the optimal correlation coefficient between the predicted pragmatic language scores and the actual measured scores was 0.220 (95% CI: 0.174 ~ 0.265). This analysis revealed a significant association between the pragmatic language abilities of the ASD cohort and the white matter connections linking the SFGmed.R with the bilateral anterior cingulate gyrus (ACG). In summary, our findings suggest that the subnetworks displaying the most significant abnormal connections were concentrated in the frontotemporal and subcortical regions among the ASD group. Furthermore, the observed abnormalities in the white matter connection pathways between the SFGmed.R and ACG may underlie the neurobiological basis for pragmatic language deficits in preschool children with ASD.</t>
        </is>
      </c>
      <c r="G433" s="4" t="inlineStr">
        <is>
          <t>In 92 preschool children with ASD and 52 TD controls, NBS-Predict identified a 42-connection structural subnetwork; an LDA classifier reported 79.4% ASD/TD accuracy and the network also showed a modest association with pragmatic-language ability. Single-center/cross-sectional evidence with no independent external validation. Diagnosis is used as the primary stage because the qualifying ASD/TD classifier is explicit; the paper also emphasizes pragmatic-language characterization.</t>
        </is>
      </c>
      <c r="H433" s="4" t="str"/>
      <c r="I433" s="4" t="inlineStr">
        <is>
          <t>Lote_05_25: nivel=PubMed/Springer research abstract with preschool DTI connectome, NBS-Predict and phenotype results; hallazgo=In 92 preschool children with ASD and 52 TD controls, NBS-Predict identified a 42-connection structural subnetwork; an LDA classifier reported 79.4% ASD/TD accuracy and the network also showed a modest association with pragmatic-language ability.; limitación=; acción=; fuente=https://pubmed.ncbi.nlm.nih.gov/40495017/</t>
        </is>
      </c>
      <c r="J433" s="4" t="inlineStr">
        <is>
          <t>PubMed/Springer research abstract with preschool DTI connectome, NBS-Predict and phenotype results. Single-center/cross-sectional evidence with no independent external validation. Diagnosis is used as the primary stage because the qualifying ASD/TD classifier is explicit; the paper also emphasizes pragmatic-language characterization.</t>
        </is>
      </c>
      <c r="K433" s="4" t="inlineStr">
        <is>
          <t>Inherited scoped adjudication; see source level and lot caveats</t>
        </is>
      </c>
      <c r="L433" s="4" t="inlineStr">
        <is>
          <t>Not documented in provided sources</t>
        </is>
      </c>
    </row>
    <row r="434" ht="385" customHeight="1">
      <c r="A434" s="4" t="inlineStr">
        <is>
          <t>new_391</t>
        </is>
      </c>
      <c r="B434" s="4" t="inlineStr">
        <is>
          <t>Update</t>
        </is>
      </c>
      <c r="C434" s="4" t="inlineStr">
        <is>
          <t>Cell death-associated genes as novel diagnostic biomarkers for autism spectrum disorder</t>
        </is>
      </c>
      <c r="D434" s="4" t="inlineStr">
        <is>
          <t>10.1007/s10495-025-02201-1</t>
        </is>
      </c>
      <c r="E434" s="4" t="inlineStr">
        <is>
          <t>https://doi.org/10.1007/s10495-025-02201-1</t>
        </is>
      </c>
      <c r="F434" s="4" t="inlineStr">
        <is>
          <t>Autism spectrum disorder (ASD) involves neuroinflammation and dysregulated neuronal death but lacks objective diagnostic biomarkers. This study investigated whether cell death could serve as a molecular basis for ASD diagnosis. We identified cell death-associated genes (CDGs) in peripheral blood mononuclear cells between ASD and control groups and performed functional enrichment, protein–protein interaction, immune characteristics, and non-negative matrix factorization clustering analyses. Key genes were further selected using 6 machine learning algorithms and weighted gene co-expression network analysis to construct a diagnostic model, which was subsequently validated using external human blood samples and mice prefrontal cortex samples. We explored microRNAs (miRNAs), transcription factors (TFs), and drugs potentially interacted with the key genes. Fourteen CDGs and 4 out of 22 types of immune cells were differentially expressed between ASD and controls in GSE18123. These genes were enriched in pathways such as neuron apoptosis and RAGE receptor binding. Among 6 machine learning models, K-Nearest Neighbors (KNN) model exhibited the best performance. Six key genes were selected as the most important hub genes and used to construct the diagnostic model. The model showed AUCs of 0.722 in GSE42133, 0.781 in our local samples, and 0.889 in mice prefrontal cortex samples. A total of 172 miRNAs, 111 TFs, and 98 drugs were found to interact with these key genes. The expression patterns of CDGs in the peripheral blood of children with ASD demonstrate potential diagnostic value. Further studies are warranted to validate their diagnostic performance in real-world settings and to elucidate the role of cell death dysregulation in ASD.</t>
        </is>
      </c>
      <c r="G434" s="4" t="inlineStr">
        <is>
          <t>Six ML algorithms and WGCNA were used to derive a six-gene diagnostic panel; KNN performed best, with external human blood GSE42133 AUC 0.722 and local-sample AUC 0.781. External human validation is present but discrimination is moderate; mouse prefrontal-cortex validation is not counted as clinical external validation, and real-world replication remains needed.</t>
        </is>
      </c>
      <c r="H434" s="4" t="str"/>
      <c r="I434" s="4" t="inlineStr">
        <is>
          <t>Lote_05_25: nivel=PubMed detailed research abstract with six ML models, external human blood validation and local samples; hallazgo=Six ML algorithms and WGCNA were used to derive a six-gene diagnostic panel; KNN performed best, with external human blood GSE42133 AUC 0.722 and local-sample AUC 0.781.; limitación=; acción=; fuente=https://pubmed.ncbi.nlm.nih.gov/41518421/</t>
        </is>
      </c>
      <c r="J434" s="4" t="inlineStr">
        <is>
          <t>PubMed detailed research abstract with six ML models, external human blood validation and local samples. External human validation is present but discrimination is moderate; mouse prefrontal-cortex validation is not counted as clinical external validation, and real-world replication remains needed.</t>
        </is>
      </c>
      <c r="K434" s="4" t="inlineStr">
        <is>
          <t>Inherited scoped adjudication; see source level and lot caveats</t>
        </is>
      </c>
      <c r="L434" s="4" t="inlineStr">
        <is>
          <t>Not documented in provided sources</t>
        </is>
      </c>
    </row>
    <row r="435" ht="333" customHeight="1">
      <c r="A435" s="4" t="inlineStr">
        <is>
          <t>new_393</t>
        </is>
      </c>
      <c r="B435" s="4" t="inlineStr">
        <is>
          <t>Update</t>
        </is>
      </c>
      <c r="C435" s="4" t="inlineStr">
        <is>
          <t>Integrating explainable AI with machine learning for reliable autism spectrum disorder diagnosis</t>
        </is>
      </c>
      <c r="D435" s="4" t="inlineStr">
        <is>
          <t>10.1007/s42454-025-00087-7</t>
        </is>
      </c>
      <c r="E435" s="4" t="inlineStr">
        <is>
          <t>https://doi.org/10.1007/s42454-025-00087-7</t>
        </is>
      </c>
      <c r="F435" s="4" t="inlineStr">
        <is>
          <t>Autism Spectrum Disorder (ASD) is a complex neurodevelopmental condition that impacts communication, behavior, and social interaction, affecting individuals across all age groups. Early diagnosis is crucial for effective intervention, typically involving behavioral assessments, genetic testing, and developmental screening. However, the process is often time-consuming and subjective, highlighting the need for automated and objective diagnostic tools. This research explores the integration of Explainable Artificial Intelligence (XAI) with Machine Learning (ML) models to enhance the accuracy and interpretability of Autism Spectrum Disorder diagnosis. Utilizing a diverse dataset comprising 20 attributes and 2,942 patients across different age groups, including toddlers, children, and adults, we applied several Machine Learning algorithms, including Logistic Regression (LR), Decision Trees (DT), Random Forest (RF), Support Vector Machines (SVM), K-Nearest Neighbors (KNN), Convolutional Neural Networks (CNN), and Extreme Gradient Boosting (XGBoost). Extreme Gradient Boosting demonstrated the highest accuracy at 99.05%. Additionally, we employed Explainable AI methods like Local Interpretable Model-agnostic Explanations (LIME) and SHapley Additive exPlanations (SHAP) to provide transparency and deeper insights into the model’s predictions. This framework not only offers reliable, high-accuracy ASD diagnosis but also ensures model interpretability, making it a valuable tool for clinical use and early intervention.</t>
        </is>
      </c>
      <c r="G435" s="4" t="inlineStr">
        <is>
          <t>The study compares LR, DT, RF, SVM, KNN, CNN and XGBoost on structured toddler/child/adult ASD screening data; XGBoost is reported as best and explanations are generated with LIME and SHAP. Very high reported performance is based on benchmark/combined structured screening data; no independent external cohort, site-held-out analysis or prospective clinical deployment was established in the accessible full text.</t>
        </is>
      </c>
      <c r="H435" s="4" t="str"/>
      <c r="I435" s="4" t="inlineStr">
        <is>
          <t>Lote_05_25: nivel=Publisher/author full-text preview with dataset size, model comparison, SHAP/LIME and results; hallazgo=The study compares LR, DT, RF, SVM, KNN, CNN and XGBoost on structured toddler/child/adult ASD screening data; XGBoost is reported as best and explanations are generated with LIME and SHAP.; limitación=; acción=; fuente=https://www.researchgate.net/publication/397578770_Integrating_explainable_AI_with_machine_learning_for_reliable_autism_spectrum_disorder_diagnosis</t>
        </is>
      </c>
      <c r="J435" s="4" t="inlineStr">
        <is>
          <t>Publisher/author full-text preview with dataset size, model comparison, SHAP/LIME and results. Very high reported performance is based on benchmark/combined structured screening data; no independent external cohort, site-held-out analysis or prospective clinical deployment was established in the accessible full text.</t>
        </is>
      </c>
      <c r="K435" s="4" t="inlineStr">
        <is>
          <t>Inherited scoped adjudication; see source level and lot caveats</t>
        </is>
      </c>
      <c r="L435" s="4" t="inlineStr">
        <is>
          <t>Not documented in provided sources</t>
        </is>
      </c>
    </row>
    <row r="436" ht="320" customHeight="1">
      <c r="A436" s="4" t="inlineStr">
        <is>
          <t>new_398</t>
        </is>
      </c>
      <c r="B436" s="4" t="inlineStr">
        <is>
          <t>Update</t>
        </is>
      </c>
      <c r="C436" s="4" t="inlineStr">
        <is>
          <t>Diagnostic Classification of Autism Spectrum Disorder Using SD Maps of fMRI Data and Machine Learning</t>
        </is>
      </c>
      <c r="D436" s="4" t="inlineStr">
        <is>
          <t>10.1007/s40846-026-01044-8</t>
        </is>
      </c>
      <c r="E436" s="4" t="inlineStr">
        <is>
          <t>https://doi.org/10.1007/s40846-026-01044-8</t>
        </is>
      </c>
      <c r="F436" s="4" t="inlineStr">
        <is>
          <t>Purpose: Autism spectrum disorder (ASD) is a neurodevelopmental condition characterised by social, behavioural and communication traits. The diagnosis of ASD is challenging, particularly due to the heterogeneity of symptoms, overlapping clinical features with other neurodevelopmental conditions and the current reliance on subjective behavioural assessments. Our study investigates the effectiveness of features computed from standard deviation (SD) maps of resting-state functional magnetic resonance imaging (rs-fMRI) in discriminating between ASD and typical development (TD). Methods: The rs-fMRI data of TD and ASD considered in this study were obtained from the ABIDE-I and ABIDE-II databases. Initially, the images were pre-processed using a standard pipeline. Further, 3D SD maps were generated, and 110 features were computed from the maps. We fed the features to four machine learning models, such as logistic regression (LR), ridge classifier, gradient boosting, and extreme gradient boosting. We performed the grid search to optimize the parameters and evaluated the models with 5-fold nested cross-validation. Results: We achieved an average 5-fold classification accuracy of 70.71% using LR. Our results revealed that the 3D shape and global statistical features contributed well to the model. Conclusion: The findings demonstrate that features extracted from 3D SD maps provide a robust and clinically meaningful framework for diagnosing ASD.</t>
        </is>
      </c>
      <c r="G436" s="4" t="inlineStr">
        <is>
          <t>3D SD maps from ABIDE-I/II rs-fMRI were converted to 110 features and evaluated with LR, ridge, gradient boosting and XGBoost using 5-fold nested CV; LR achieved mean accuracy 70.71%. Nested cross-validation is methodologically stronger than a simple split but does not establish an independent/site-held-out external validation. Feature-contribution analysis was coded as partial interpretability, not strict XAI.</t>
        </is>
      </c>
      <c r="H436" s="4" t="str"/>
      <c r="I436" s="4" t="inlineStr">
        <is>
          <t>Lote_05_25: nivel=Institutional/publisher research record with ABIDE-I/II rs-fMRI, feature extraction and nested cross-validation; hallazgo=3D SD maps from ABIDE-I/II rs-fMRI were converted to 110 features and evaluated with LR, ridge, gradient boosting and XGBoost using 5-fold nested CV; LR achieved mean accuracy 70.71%.; limitación=; acción=; fuente=https://pure.cardiffmet.ac.uk/en/publications/diagnostic-classification-of-autism-spectrum-disorder-using-sd-ma/</t>
        </is>
      </c>
      <c r="J436" s="4" t="inlineStr">
        <is>
          <t>Institutional/publisher research record with ABIDE-I/II rs-fMRI, feature extraction and nested cross-validation. Nested cross-validation is methodologically stronger than a simple split but does not establish an independent/site-held-out external validation. Feature-contribution analysis was coded as partial interpretability, not strict XAI.</t>
        </is>
      </c>
      <c r="K436" s="4" t="inlineStr">
        <is>
          <t>Inherited scoped adjudication; see source level and lot caveats</t>
        </is>
      </c>
      <c r="L436" s="4" t="inlineStr">
        <is>
          <t>Not documented in provided sources</t>
        </is>
      </c>
    </row>
    <row r="437" ht="333" customHeight="1">
      <c r="A437" s="4" t="inlineStr">
        <is>
          <t>new_5</t>
        </is>
      </c>
      <c r="B437" s="4" t="inlineStr">
        <is>
          <t>Update</t>
        </is>
      </c>
      <c r="C437" s="4" t="inlineStr">
        <is>
          <t>An exploration of machine learning approaches for early Autism Spectrum Disorder detection</t>
        </is>
      </c>
      <c r="D437" s="4" t="inlineStr">
        <is>
          <t>10.1016/j.health.2024.100379</t>
        </is>
      </c>
      <c r="E437" s="4" t="inlineStr">
        <is>
          <t>https://doi.org/10.1016/j.health.2024.100379</t>
        </is>
      </c>
      <c r="F437" s="4" t="inlineStr">
        <is>
          <t>Autism Spectrum Disorder is a neurodevelopmental condition impacting an individual's repetitive behaviours, social skills, verbal and nonverbal communication abilities, and capacity for acquiring new knowledge. Manifesting typically in early childhood, specifically between 6 months and 5 years, the symptoms of autism exhibit a progressive nature over time. This study explores the application of Logistic Regression, Support Vector Classifier, K-Nearest Neighbour, Decision Tree, and Random Forest for predicting Autism in children and toddlers by leveraging advancements in machine learning. The efficacy of these techniques is evaluated using publicly accessible datasets specific to both age groups. The findings indicate remarkable performance, with the toddler dataset achieving a mean Intersection over Union (mIoU) of 100% for Support Vector Classifier and 99.80% for Logistic Regression. Similarly, the children dataset demonstrates outstanding results, achieving an mIoU of 100% for Support Vector Classifier and 99.96% for Logistic Regression. Furthermore, all algorithms achieved 100% accuracy on the children (age 4–11) dataset collected from real-world sources. Logistic Regression, Random Forest, Support Vector Classifier, and Decision Tree attained 100% accuracy and mIoU with the real-world dataset. These results underscore the potential of machine learning in aiding the early detection of ASD in children and toddlers, offering promising avenues for future research and clinical applications.</t>
        </is>
      </c>
      <c r="G437" s="4" t="inlineStr">
        <is>
          <t>Compares LR, SVC, KNN, decision tree and random forest on toddler and child ASD datasets; SVC is reported as the strongest model, with near-perfect/100% performance on some datasets. Very high benchmark performance raises overfitting/data-leakage concerns; no fixed independent external clinical cohort or site-held-out evaluation was established from the accessible evidence.</t>
        </is>
      </c>
      <c r="H437" s="4" t="str"/>
      <c r="I437" s="4" t="inlineStr">
        <is>
          <t>Lote_01_25: nivel=Abstract/metadata del editor; ubicación OA conocida, PDF completo no recuperado en este entorno; hallazgo=No se adjudicó con abstract solamente.; limitación=Sin Methods/Results completos no es fiable codificar RQ2/RQ3 ni cerrar elegibilidad.; acción=Abrir/descargar el PDF OA desde el navegador o acceso institucional y revisar Methods/Results; en este entorno solo se recuperó abstract/metadata, por lo que no se adjudicó.; fuente=https://www.sciencedirect.com/science/article/pii/S2772442524000819
Lote_06_22: nivel=ScienceDirect/DOAJ detailed research abstract with datasets, models and performance sufficient for scoped adjudication; hallazgo=Compares LR, SVC, KNN, decision tree and random forest on toddler and child ASD datasets; SVC is reported as the strongest model, with near-perfect/100% performance on some datasets.; limitación=; acción=; fuente=https://www.sciencedirect.com/science/article/pii/S2772442524000819</t>
        </is>
      </c>
      <c r="J437" s="4" t="inlineStr">
        <is>
          <t>Contenido primario accesible suficiente para adjudicación y codificación RQ; no implica que se haya adquirido una copia editorial cerrada. Requiere verificación independiente.</t>
        </is>
      </c>
      <c r="K437" s="4" t="inlineStr">
        <is>
          <t>Inherited scoped adjudication; see source level and lot caveats</t>
        </is>
      </c>
      <c r="L437" s="4" t="inlineStr">
        <is>
          <t>Not documented in provided sources</t>
        </is>
      </c>
    </row>
    <row r="438" ht="359" customHeight="1">
      <c r="A438" s="4" t="inlineStr">
        <is>
          <t>new_11</t>
        </is>
      </c>
      <c r="B438" s="4" t="inlineStr">
        <is>
          <t>Update</t>
        </is>
      </c>
      <c r="C438" s="4" t="inlineStr">
        <is>
          <t>Ensembler_fMRI: An Intelligent Approach for the Early Prediction of Autism Disorder</t>
        </is>
      </c>
      <c r="D438" s="4" t="inlineStr">
        <is>
          <t>10.1016/j.procs.2025.04.142</t>
        </is>
      </c>
      <c r="E438" s="4" t="inlineStr">
        <is>
          <t>https://doi.org/10.1016/j.procs.2025.04.142</t>
        </is>
      </c>
      <c r="F438" s="4" t="inlineStr">
        <is>
          <t>Autism Disorder(AD) During) is a serious developmental abnormality that affects the behavior and communication of an individual. Under the category of Autism disorder, falls a group of complex and heterogenous disorders i.e., Autism spectrum disorder (ASD) and Attention Deficit Hyperactivity Disorder (ADHD). Due to their significant comorbidity and the mutually reinforcing nature of their symptoms, many disorders can be difficult to diagnose. Traditional diagnosis of AD follows a behavioral dependent approach and often fail to detect overlap or comorbidity between the two disorders, leading to misdiagnosis and an inappropriate treatment. In the existing literature, various automated models based on artificial intelligence(AI) techniques and quantitative measures such as fMRI, eye, and electroencephalography (EEG) have been developed for differentiating ASD from healthy or ADHD from healthy. Among these measures, fMRI has emerged as a potential tool to serve as a biomarker for AD. However, despite having significant overlap and misdiagnosis, very few research have attempted to distinguish ADHD from ASD. Keeping this essence, in this paper, an Ensembler_fMRI framework has been proposed that combines the multiple AI techniques to analyze fMRI data and extract relevant features that can distinguish ADHD from ASD. The proposed framework aims to leverage the available ASD and ADHD databases (ABIDE and ADHD-200) to improve the differential diagnosis between the disorders. The framework achieved an impressive accuracy of 98%, demonstrating its potential as a valuable tool in clinical practice.</t>
        </is>
      </c>
      <c r="G438" s="4" t="inlineStr">
        <is>
          <t>Ensembler_fMRI combines multiple AI techniques on fMRI data from ABIDE and ADHD-200 to distinguish ASD from ADHD; the abstract reports 98% accuracy. Use of multisite/multidataset repositories does not itself demonstrate held-out cross-site robustness or external validation; component model details are incomplete in the accessible abstract.</t>
        </is>
      </c>
      <c r="H438" s="4" t="str"/>
      <c r="I438" s="4" t="inlineStr">
        <is>
          <t>Lote_01_25: nivel=Abstract/metadata del editor; ubicación OA conocida, PDF completo no recuperado en este entorno; hallazgo=No se adjudicó con abstract solamente.; limitación=Sin Methods/Results completos no es fiable codificar RQ2/RQ3 ni cerrar elegibilidad.; acción=Abrir/descargar el PDF OA desde el navegador o acceso institucional y revisar Methods/Results; en este entorno solo se recuperó abstract/metadata, por lo que no se adjudicó.; fuente=https://www.sciencedirect.com/science/article/pii/S187705092501244X
Lote_06_22: nivel=ScienceDirect Procedia research abstract with datasets, purpose and reported performance sufficient for scoped coding; hallazgo=Ensembler_fMRI combines multiple AI techniques on fMRI data from ABIDE and ADHD-200 to distinguish ASD from ADHD; the abstract reports 98% accuracy.; limitación=; acción=; fuente=https://www.sciencedirect.com/science/article/pii/S187705092501244X</t>
        </is>
      </c>
      <c r="J438" s="4" t="inlineStr">
        <is>
          <t>Contenido primario accesible suficiente para adjudicación y codificación RQ; no implica que se haya adquirido una copia editorial cerrada. Requiere verificación independiente.</t>
        </is>
      </c>
      <c r="K438" s="4" t="inlineStr">
        <is>
          <t>Inherited scoped adjudication; see source level and lot caveats</t>
        </is>
      </c>
      <c r="L438" s="4" t="inlineStr">
        <is>
          <t>Not documented in provided sources</t>
        </is>
      </c>
    </row>
    <row r="439" ht="409" customHeight="1">
      <c r="A439" s="4" t="inlineStr">
        <is>
          <t>new_16</t>
        </is>
      </c>
      <c r="B439" s="4" t="inlineStr">
        <is>
          <t>Update</t>
        </is>
      </c>
      <c r="C439" s="4" t="inlineStr">
        <is>
          <t>Unraveling pathogenesis and potential biomarkers for autism spectrum disorder associated with HIF1A pathway based on machine learning and experiment validation</t>
        </is>
      </c>
      <c r="D439" s="4" t="inlineStr">
        <is>
          <t>10.1016/j.nbd.2024.106763</t>
        </is>
      </c>
      <c r="E439" s="4" t="inlineStr">
        <is>
          <t>https://doi.org/10.1016/j.nbd.2024.106763</t>
        </is>
      </c>
      <c r="F439" s="4" t="inlineStr">
        <is>
          <t>Background: Autism spectrum disorder (ASD) is a neurodevelopmental disorder with a high social burden and limited treatments. Hypoxic condition of the brain is considered an important pathological mechanism of ASD. HIF1A is a key participant in brain hypoxia, but its contribution to the pathophysiological landscape of ASD remains unclear. Methods: ASD-related datasets were obtained from GEO database, and HIF1A-related genes from GeneCards. Co-expression module analysis identified module genes, which were intersected with HIF1A-related genes to identify common genes. Machine learning identified hub genes from intersection genes and PPI networks were constructed to explore relationships among hub and HIF1A. Single-cell RNA sequencing analyzed hub gene distribution across cell clusters. ASD mouse model was created by inducing maternal immune activation (MIA) with poly(I:C) injections, verified through behavioral tests. Validation of HIF1A pathway and hub genes was confirmed through Western Blot, qPCR, and immunofluorescence in ASD mice and microglia BV-2 cells. Results: Using CEMiTool and GeneCards, 45 genes associated with ASD and HIF1A pathway were identified. Machine learning identified CDKN1A, ETS2, LYN, and SLC16A3 as potential ASD diagnostic markers. Single-cell sequencing pinpointed activated microglia as key immune cells. Behavioral tests showed MIA offspring mice exhibited typical ASD-like behaviors. Immunofluorescence confirmed the activation of microglia and HIF1A pathway in frontal cortex of ASD mice. Additionally, IL-6 contributed to ASD by activating JUN/HIF1A pathway, affecting CDKN1A, LYN, and SLC16A3 expression in microglia. Conclusions: HIF1A-related genes CDKN1A, ETS2, LYN, and SLC16A3 are strong diagnostic markers for ASD and the activation of IL-6/JUN/HIF1A pathway in microglia contributes to the pathogenesis of ASD.</t>
        </is>
      </c>
      <c r="G439" s="4" t="inlineStr">
        <is>
          <t>Human GEO transcriptomic data are used to identify HIF1A-related hub genes with ML; single-cell analysis and MIA mouse/cell experiments support mechanistic interpretation. Human data therefore prevent an animal-only exclusion. Animal/cell validation is mechanistic, not independent clinical external validation; the accessible abstract does not identify a site-held-out human validation design or the exact ML family used for hub-gene selection.</t>
        </is>
      </c>
      <c r="H439" s="4" t="str"/>
      <c r="I439" s="4" t="inlineStr">
        <is>
          <t>Lote_01_25: nivel=Abstract/metadata del editor; ubicación OA conocida, PDF completo no recuperado en este entorno; hallazgo=No se adjudicó con abstract solamente.; limitación=Sin Methods/Results completos no es fiable codificar RQ2/RQ3 ni cerrar elegibilidad.; acción=Abrir/descargar el PDF OA desde el navegador o acceso institucional y revisar Methods/Results; en este entorno solo se recuperó abstract/metadata, por lo que no se adjudicó.; fuente=https://www.sciencedirect.com/science/article/pii/S0969996124003656
Lote_06_22: nivel=PubMed/publisher detailed abstract with GEO analyses, ML biomarker selection, single-cell analysis and experimental validation; hallazgo=Human GEO transcriptomic data are used to identify HIF1A-related hub genes with ML; single-cell analysis and MIA mouse/cell experiments support mechanistic interpretation. Human data therefore prevent an animal-only exclusion.; limitación=; acción=; fuente=https://pubmed.ncbi.nlm.nih.gov/?term=10.1016%2Fj.nbd.2024.106763</t>
        </is>
      </c>
      <c r="J439" s="4" t="inlineStr">
        <is>
          <t>Contenido primario accesible suficiente para adjudicación y codificación RQ; no implica que se haya adquirido una copia editorial cerrada. Requiere verificación independiente.</t>
        </is>
      </c>
      <c r="K439" s="4" t="inlineStr">
        <is>
          <t>Inherited scoped adjudication; see source level and lot caveats</t>
        </is>
      </c>
      <c r="L439" s="4" t="inlineStr">
        <is>
          <t>Not documented in provided sources</t>
        </is>
      </c>
    </row>
    <row r="440" ht="409" customHeight="1">
      <c r="A440" s="4" t="inlineStr">
        <is>
          <t>new_27</t>
        </is>
      </c>
      <c r="B440" s="4" t="inlineStr">
        <is>
          <t>Update</t>
        </is>
      </c>
      <c r="C440" s="4" t="inlineStr">
        <is>
          <t>Developing a simplified measure to predict the risk of autism spectrum disorders: Abbreviating the M-CHAT-R using a machine learning approach in China</t>
        </is>
      </c>
      <c r="D440" s="4" t="inlineStr">
        <is>
          <t>10.1016/j.psychres.2025.116353</t>
        </is>
      </c>
      <c r="E440" s="4" t="inlineStr">
        <is>
          <t>https://doi.org/10.1016/j.psychres.2025.116353</t>
        </is>
      </c>
      <c r="F440" s="4" t="inlineStr">
        <is>
          <t>Background: Early screening for autism spectrum disorder (ASD) is crucial, yet current assessment tools in Chinese primary child care are limited in efficacy. Objective: This study aims to employ machine learning algorithms to identify key indicators from the 20-item Modified Checklist for Autism in Toddlers, revised (M-CHAT-R) combining with ASD-related sociodemographic and environmental factors, to distinguish ASD from typically developing children. Methods: Data from our prior validation study of the Chinese M-CHAT-R (August 2016–March 2017, n = 6,049 toddlers) were reviewed. We extracted the 20-item M-CHAT-R data and integrated 17 sociodemographic and environmental risk factors associated with ASD development to strengthen M-CHAT-R's machine learning screening. Five feature selection methods were used to extract subsets from the original set. Six machine learning algorithms were applied to identify the optimal subset distinguishing clinically diagnosed ASD toddlers from typically developing toddlers. Findings: Nine features were grouped into three subsets: subset 1 contained unanimously recommended items (A1 [Follows point], A3 [Pretend play], A9 [Brings objects to show], A10 [Response to name] and A16 [Gazing following]). Subset 2 added two items (A17 [Gaining parent's attention] and A18 [Understands what is said]), and subset 3 included two more items (A8 [Interest in other children] and child's age). The top-performing algorithm resulted in a seven-item classifier of subset 2 with 92.5 % sensitivity, 90.1 % specificity, and 10.0 % positive predictive value. Conclusions: Machine learning classifiers effectively differentiate ASD toddlers from typically developing toddlers using a reduced M-CHAT-R item set. Clinical implications: This highlights the clinical significance of machine learning-optimized models for ASD screening in primary health care centers and broader applications.</t>
        </is>
      </c>
      <c r="G440" s="4" t="inlineStr">
        <is>
          <t>Retrospective analysis of 6,049 Chinese toddlers combines M-CHAT-R items with 17 sociodemographic/environmental factors, uses multiple feature-selection methods and six ML models, and derives a shortened screening measure. Derived from an existing validation cohort and not independently externally validated; strong sensitivity/specificity can coexist with low PPV in low-prevalence screening, so clinical utility should not be inferred from discrimination alone.</t>
        </is>
      </c>
      <c r="H440" s="4" t="str"/>
      <c r="I440" s="4" t="inlineStr">
        <is>
          <t>Lote_01_25: nivel=Abstract/metadata del editor; ubicación OA conocida, PDF completo no recuperado en este entorno; hallazgo=No se adjudicó con abstract solamente.; limitación=Sin Methods/Results completos no es fiable codificar RQ2/RQ3 ni cerrar elegibilidad.; acción=Abrir/descargar el PDF OA desde el navegador o acceso institucional y revisar Methods/Results; en este entorno solo se recuperó abstract/metadata, por lo que no se adjudicó.; fuente=https://www.sciencedirect.com/science/article/pii/S0165178125000022
Lote_06_22: nivel=PubMed/publisher structured abstract with cohort size, feature-selection strategy and screening-performance metrics; hallazgo=Retrospective analysis of 6,049 Chinese toddlers combines M-CHAT-R items with 17 sociodemographic/environmental factors, uses multiple feature-selection methods and six ML models, and derives a shortened screening measure.; limitación=; acción=; fuente=https://pubmed.ncbi.nlm.nih.gov/39793526/</t>
        </is>
      </c>
      <c r="J440" s="4" t="inlineStr">
        <is>
          <t>Contenido primario accesible suficiente para adjudicación y codificación RQ; no implica que se haya adquirido una copia editorial cerrada. Requiere verificación independiente.</t>
        </is>
      </c>
      <c r="K440" s="4" t="inlineStr">
        <is>
          <t>Inherited scoped adjudication; see source level and lot caveats</t>
        </is>
      </c>
      <c r="L440" s="4" t="inlineStr">
        <is>
          <t>Not documented in provided sources</t>
        </is>
      </c>
    </row>
    <row r="441" ht="372" customHeight="1">
      <c r="A441" s="4" t="inlineStr">
        <is>
          <t>new_31</t>
        </is>
      </c>
      <c r="B441" s="4" t="inlineStr">
        <is>
          <t>Update</t>
        </is>
      </c>
      <c r="C441" s="4" t="inlineStr">
        <is>
          <t>Replication of rs10099100 Association with Autism Spectrum Disorder Risk in a Polish‐Origin Cohort</t>
        </is>
      </c>
      <c r="D441" s="4" t="inlineStr">
        <is>
          <t>10.1016/j.reia.2025.202542</t>
        </is>
      </c>
      <c r="E441" s="4" t="inlineStr">
        <is>
          <t>https://doi.org/10.1016/j.reia.2025.202542</t>
        </is>
      </c>
      <c r="F441" s="4" t="inlineStr">
        <is>
          <t>Background: The genetic basis of autism spectrum disorders (ASD) remains unidentified and unclear. The aim of our study was to conduct replication analyses of previously described ten single nucleotide polymorphisms in a group of candidate susceptibility ASD-genes and loci – SOX7, BEND4, FHIT, ATP2B2, PRKG1, LINC02720, EEF1A2, LOC100422212 and LINC02301 in autistic Polish child population. Methods: The study population consisted of a group of 143 unrelated Polish-origin Caucasian patients with autism and 264 healthy subjects. The single nucleotide polymorphisms analysis was performed using the allelic discrimination technique. Boruta and random forest machine learning (ML) algorithms were used for identifying important genetic, and phenotypic markers in ASD patients. Results: Our results identify the existence of a strong risk factor of the SOX7 gene polymorphism, namely C risk allele rs10099100 (P = 6.67e-13, odds ratio of 2.92 (OR)) for the development of ASD in the group of studied patients. This variant proved to be a typical male risk factor for developing boys-ASD group as compared to healthy boys (63 % vs 31 %, P = 4. 77e-11, OR of 3.69). For the nine remaining polymorphisms analyzed in our cohort, which have been described in other populations in the available literature, we did not achieve replicability. Conclusions: Our results may be useful in screening and early diagnosis of children vulnerable to autism spectrum disorders. It will result in the immediate implementation of vital therapies, reasonable learning facilitations and social training, which brings about a greater chance to enjoy a better quality of life for people on the spectrum.</t>
        </is>
      </c>
      <c r="G441" s="4" t="inlineStr">
        <is>
          <t>A Polish-origin ASD/control cohort is analyzed with Boruta and Random Forest to prioritize genetic and phenotypic markers, including replication of rs10099100-related risk evidence. Single ancestry-specific cohort with no independent external validation; association/feature importance is not equivalent to prospective screening performance.</t>
        </is>
      </c>
      <c r="H441" s="4" t="str"/>
      <c r="I441" s="4" t="inlineStr">
        <is>
          <t>Lote_01_25: nivel=Abstract/metadata; no se recuperó texto completo evaluable; hallazgo=No se adjudicó con abstract solamente.; limitación=Sin Methods/Results completos no es fiable codificar RQ2/RQ3 ni cerrar elegibilidad.; acción=Conseguir el texto mediante suscripción institucional, biblioteca o copia de autor; después revisar Methods/Results antes de adjudicar.; fuente=https://www.sciencedirect.com/science/article/pii/S3050656525000148
Lote_06_22: nivel=Publisher detailed abstract with Polish cohort, Boruta/Random Forest analysis and reported marker findings; hallazgo=A Polish-origin ASD/control cohort is analyzed with Boruta and Random Forest to prioritize genetic and phenotypic markers, including replication of rs10099100-related risk evidence.; limitación=; acción=; fuente=https://www.sciencedirect.com/science/article/pii/S3050656525000148</t>
        </is>
      </c>
      <c r="J441" s="4" t="inlineStr">
        <is>
          <t>Contenido primario accesible suficiente para adjudicación y codificación RQ; no implica que se haya adquirido una copia editorial cerrada. Requiere verificación independiente.</t>
        </is>
      </c>
      <c r="K441" s="4" t="inlineStr">
        <is>
          <t>Inherited scoped adjudication; see source level and lot caveats</t>
        </is>
      </c>
      <c r="L441" s="4" t="inlineStr">
        <is>
          <t>Not documented in provided sources</t>
        </is>
      </c>
    </row>
    <row r="442" ht="359" customHeight="1">
      <c r="A442" s="4" t="inlineStr">
        <is>
          <t>new_42</t>
        </is>
      </c>
      <c r="B442" s="4" t="inlineStr">
        <is>
          <t>Update</t>
        </is>
      </c>
      <c r="C442" s="4" t="inlineStr">
        <is>
          <t>Enhancing Early Diagnosis of Autism Spectrum Disorder Using a Bayesian-Optimized Random Forest Algorithm</t>
        </is>
      </c>
      <c r="D442" s="4" t="inlineStr">
        <is>
          <t>10.1016/j.procs.2025.04.389</t>
        </is>
      </c>
      <c r="E442" s="4" t="inlineStr">
        <is>
          <t>https://doi.org/10.1016/j.procs.2025.04.389</t>
        </is>
      </c>
      <c r="F442" s="4" t="inlineStr">
        <is>
          <t>Autism Spectrum Disorder (ASD) is a complex neurodevelopmental condition marked by social communication difficulties, re- stricted interests, and repetitive behaviors. Early and accurate diagnosis is critical for timely intervention and improved outcomes. Traditional diagnostic methods, which rely on clinical observations and assessments, can be subjective and time-consuming. This study introduces a novel approach to predicting ASD using a machine learning technique, specifically a Bayesian-optimized Ran- dom Forest classification algorithm. The proposed method uses a comprehensive dataset containing various behavioral, cognitive, and demographic features associated with ASD. The Optimized Random Forest with Bayesian approach is used to categorize indi- viduals into two groups: those who have ASD and those who do not. To develop this ensemble learning technique, multiple decision trees are used, and to achieve higher performance as well as better capability to generalize, the hyperparameters are optimized with Bayesian optimization. Preliminary analysis and comparison with existing databases substantiated the findings and revealed the effectiveness of the proposed approach. The Bayesian-optimized Random Forest classifier achieved an accuracy value of 0.9890. Such performance is highly promising and could enable increased use of machine learning methods in timely and accurate diagno- sis of ASD. The proposed approach provides recommendations for a verified diagnostic technique when implemented and creates a strong foundation for future investigations into the use of machine learning for identifying and supporting children with ASD.</t>
        </is>
      </c>
      <c r="G442" s="4" t="inlineStr">
        <is>
          <t>Uses Bayesian optimization to tune a Random Forest on behavioral, cognitive and demographic ASD variables; the paper reports very high classification performance. No independent external cohort, prospective deployment, or explicit explanation method was established; near-ceiling performance on structured ASD datasets requires careful leakage/selection-bias checks.</t>
        </is>
      </c>
      <c r="H442" s="4" t="str"/>
      <c r="I442" s="4" t="inlineStr">
        <is>
          <t>Lote_01_25: nivel=Abstract/metadata del editor; ubicación OA conocida, PDF completo no recuperado en este entorno; hallazgo=No se adjudicó con abstract solamente.; limitación=Sin Methods/Results completos no es fiable codificar RQ2/RQ3 ni cerrar elegibilidad.; acción=Abrir/descargar el PDF OA desde el navegador o acceso institucional y revisar Methods/Results; en este entorno solo se recuperó abstract/metadata, por lo que no se adjudicó.; fuente=https://www.sciencedirect.com/science/article/pii/S1877050925014929
Lote_06_22: nivel=Open Procedia research paper/abstract with model, input domains and performance sufficient for scoped coding; hallazgo=Uses Bayesian optimization to tune a Random Forest on behavioral, cognitive and demographic ASD variables; the paper reports very high classification performance.; limitación=; acción=; fuente=https://doi.org/10.1016/j.procs.2025.04.389</t>
        </is>
      </c>
      <c r="J442" s="4" t="inlineStr">
        <is>
          <t>Contenido primario accesible suficiente para adjudicación y codificación RQ; no implica que se haya adquirido una copia editorial cerrada. Requiere verificación independiente.</t>
        </is>
      </c>
      <c r="K442" s="4" t="inlineStr">
        <is>
          <t>Inherited scoped adjudication; see source level and lot caveats</t>
        </is>
      </c>
      <c r="L442" s="4" t="inlineStr">
        <is>
          <t>Not documented in provided sources</t>
        </is>
      </c>
    </row>
    <row r="443" ht="294" customHeight="1">
      <c r="A443" s="4" t="inlineStr">
        <is>
          <t>new_45</t>
        </is>
      </c>
      <c r="B443" s="4" t="inlineStr">
        <is>
          <t>Update</t>
        </is>
      </c>
      <c r="C443" s="4" t="inlineStr">
        <is>
          <t>Autism Spectrum Disorder Detection using Attention-Based CNN and ML Classifiers</t>
        </is>
      </c>
      <c r="D443" s="4" t="inlineStr">
        <is>
          <t>10.1016/j.procs.2025.04.671</t>
        </is>
      </c>
      <c r="E443" s="4" t="inlineStr">
        <is>
          <t>https://doi.org/10.1016/j.procs.2025.04.671</t>
        </is>
      </c>
      <c r="F443" s="4" t="inlineStr">
        <is>
          <t>Autism spectrum disorder (ASD) is a common condition affecting how children interact and communicate. ASD can manifest in various ways, such as difficulty in social interactions, repetitive behaviours, and verbal and non-verbal communication challenges. These difficulties can significantly impact a child's ability to form relationships, participate in everyday activities, and navigate social situations. Currently, diagnosing ASD relies a lot on understanding behaviours and developmental disorders, as there are no clear physical markers for diagnosis. This study explores how advanced computer techniques, like deep learning and machine learning, can help detect ASD. Utilizing functional magnetic resonance imaging (fMRI) data from the Autism Brain Imaging Data Exchange (ABIDE) dataset, we have developed a technique to distinguish between ASD accurately and typically developed (TD) individuals. We focus on building a program that can understand the patterns in brain scans using convolutional neural networks (CNNs). Additionally, we used methods like multihead attention and squeeze and excitation to extract more features in the data. We then used machine learning (ML) algorithms to classify the extracted features. The outcomes indicate that our proposed model can detect ASD with an accuracy of 98.59%.</t>
        </is>
      </c>
      <c r="G443" s="4" t="inlineStr">
        <is>
          <t>An attention-based CNN/Squeeze-and-Excitation pipeline extracts fMRI features and feeds ML classifiers for ASD detection on ABIDE; very high accuracy is reported. ABIDE is multisite, but no explicit site-held-out or independent external evaluation was established. Architectural attention was not counted as XAI because no explanation analysis was demonstrated.</t>
        </is>
      </c>
      <c r="H443" s="4" t="str"/>
      <c r="I443" s="4" t="inlineStr">
        <is>
          <t>Lote_01_25: nivel=Abstract/metadata del editor; ubicación OA conocida, PDF completo no recuperado en este entorno; hallazgo=No se adjudicó con abstract solamente.; limitación=Sin Methods/Results completos no es fiable codificar RQ2/RQ3 ni cerrar elegibilidad.; acción=Abrir/descargar el PDF OA desde el navegador o acceso institucional y revisar Methods/Results; en este entorno solo se recuperó abstract/metadata, por lo que no se adjudicó.; fuente=https://www.sciencedirect.com/science/article/pii/S1877050925017752
Lote_06_22: nivel=Open Procedia research paper/abstract with ABIDE source, attention-CNN pipeline and reported performance; hallazgo=An attention-based CNN/Squeeze-and-Excitation pipeline extracts fMRI features and feeds ML classifiers for ASD detection on ABIDE; very high accuracy is reported.; limitación=; acción=; fuente=https://doi.org/10.1016/j.procs.2025.04.671</t>
        </is>
      </c>
      <c r="J443" s="4" t="inlineStr">
        <is>
          <t>Contenido primario accesible suficiente para adjudicación y codificación RQ; no implica que se haya adquirido una copia editorial cerrada. Requiere verificación independiente.</t>
        </is>
      </c>
      <c r="K443" s="4" t="inlineStr">
        <is>
          <t>Inherited scoped adjudication; see source level and lot caveats</t>
        </is>
      </c>
      <c r="L443" s="4" t="inlineStr">
        <is>
          <t>Not documented in provided sources</t>
        </is>
      </c>
    </row>
    <row r="444" ht="294" customHeight="1">
      <c r="A444" s="4" t="inlineStr">
        <is>
          <t>new_56</t>
        </is>
      </c>
      <c r="B444" s="4" t="inlineStr">
        <is>
          <t>Update</t>
        </is>
      </c>
      <c r="C444" s="4" t="inlineStr">
        <is>
          <t>Effective AI Techniques for Analyzing Risk Factors in Autism Spectrum Disorder (ASD)</t>
        </is>
      </c>
      <c r="D444" s="4" t="inlineStr">
        <is>
          <t>10.1016/j.procs.2025.10.018</t>
        </is>
      </c>
      <c r="E444" s="4" t="inlineStr">
        <is>
          <t>https://doi.org/10.1016/j.procs.2025.10.018</t>
        </is>
      </c>
      <c r="F444" s="4" t="inlineStr">
        <is>
          <t>Autism Spectrum Disorder (ASD) is a complex neurodevelopmental condition characterised by a wide range of behavioural and developmental symptoms. Understanding the risk factors that contribute to the onset and progression of ASD is essential for early diagnosis and intervention. In this paper, we explore advanced artificial intelligence (AI) approaches for analysing risk factors associated with ASD. Specifically, we apply machine learning techniques, including Random Forest, XGBoost, and SHAP (Shapley Additive Explanations) to determine the most influential features in ASD risk prediction. Random Forest and XGBoost models are utilised to assess feature importance, offering insights into the relative contribution of various clinical, genetic, and environmental variables. Additionally, SHAP values are employed to provide model interpretability and explain the influence of individual features in a transparent and human-understandable manner. Our findings indicate that these AI-driven methods can effectively identify key risk factors for ASD, providing insights that may support earlier detection, targeted prevention, and personalised treatment strategies. This paper underscores the potential of AI to transform autism research through scalable, interpretable, and data-driven methodologies.</t>
        </is>
      </c>
      <c r="G444" s="4" t="inlineStr">
        <is>
          <t>Applies Random Forest and XGBoost to clinical, genetic and environmental ASD risk variables and uses SHAP to identify influential factors. Risk-factor association and model explanation do not establish causal risk or clinical utility; no independent external or prospective validation was identified.</t>
        </is>
      </c>
      <c r="H444" s="4" t="str"/>
      <c r="I444" s="4" t="inlineStr">
        <is>
          <t>Lote_01_25: nivel=Abstract/metadata del editor; ubicación OA conocida, PDF completo no recuperado en este entorno; hallazgo=No se adjudicó con abstract solamente.; limitación=Sin Methods/Results completos no es fiable codificar RQ2/RQ3 ni cerrar elegibilidad.; acción=Abrir/descargar el PDF OA desde el navegador o acceso institucional y revisar Methods/Results; en este entorno solo se recuperó abstract/metadata, por lo que no se adjudicó.; fuente=https://www.sciencedirect.com/science/article/pii/S1877050925033514
Lote_06_22: nivel=Open Procedia research abstract describes RF/XGBoost, SHAP and combined clinical/genetic/environmental variables; hallazgo=Applies Random Forest and XGBoost to clinical, genetic and environmental ASD risk variables and uses SHAP to identify influential factors.; limitación=; acción=; fuente=https://doi.org/10.1016/j.procs.2025.10.018</t>
        </is>
      </c>
      <c r="J444" s="4" t="inlineStr">
        <is>
          <t>Contenido primario accesible suficiente para adjudicación y codificación RQ; no implica que se haya adquirido una copia editorial cerrada. Requiere verificación independiente.</t>
        </is>
      </c>
      <c r="K444" s="4" t="inlineStr">
        <is>
          <t>Inherited scoped adjudication; see source level and lot caveats</t>
        </is>
      </c>
      <c r="L444" s="4" t="inlineStr">
        <is>
          <t>Not documented in provided sources</t>
        </is>
      </c>
    </row>
    <row r="445" ht="333" customHeight="1">
      <c r="A445" s="4" t="inlineStr">
        <is>
          <t>new_92</t>
        </is>
      </c>
      <c r="B445" s="4" t="inlineStr">
        <is>
          <t>Update</t>
        </is>
      </c>
      <c r="C445" s="4" t="inlineStr">
        <is>
          <t>Data independent acquisition proteomics and machine learning reveals that proteins associated with immunity are potential molecular markers for early diagnosis of autism</t>
        </is>
      </c>
      <c r="D445" s="4" t="inlineStr">
        <is>
          <t>10.1016/j.cca.2025.120238</t>
        </is>
      </c>
      <c r="E445" s="4" t="inlineStr">
        <is>
          <t>https://doi.org/10.1016/j.cca.2025.120238</t>
        </is>
      </c>
      <c r="F445" s="4" t="inlineStr">
        <is>
          <t>Background: Early diagnosis of autism is critical to its treatment, but so far, there is no clear molecular marker for early diagnosis in children. Methods: We used data independent acquisition (DIA) mass spectrometry to compare protein expression in serum from 99 Chinese children with autism spectrum disorders with 70 healthy children. Results: We identified 347 downregulated and 394 upregulated proteins. Based on bioinformatics analysis, differential proteins were enriched in the immune system, immune disease, cell motility, and focal adhesion. Machine learning revealed a model with eight proteins (IGH c1898_heavy_IGHV3-33_IGHD3-9_IGHJ4, LYZ, IGL c1860_light_IGLV8-61_IGLJ2, SERPINA10, IG c1421_light_IGKV1-27_IGKJ4, rheumatoid factor RF-ET1, IGL c600_light_IGKV4-1_IGKJ4, and SELL) that were mostly associated with immunity, and accurate for diagnosis of autism. The protein family was verified by a logic-regression leave-one cross-validation method with bidirectional feature screening. The accuracy of this model was 0.9527, and the kappa coefficient was 0.9025. Conclusions: Our study showed that immunity is closely related to the onset of autism and can be used for early screening of patients. A model with eight proteins (IGH c1898_heavy_IGHV3-33_IGHD3-9_IGHJ4, LYZ, IGL c1860_light_IGLV8-61_IGLJ2, SERPINA10, IG c1421_light_IGKV1-27_IGKJ4, rheumatoid factor RF-ET1, IGL c600_light_IGKV4-1_IGKJ4, and SELL), which are mostly associated with immunity, is accurate for diagnosis of autism.</t>
        </is>
      </c>
      <c r="G445" s="4" t="inlineStr">
        <is>
          <t>DIA serum proteomics in 99 ASD and 70 control children yields an eight-protein ML model after bidirectional feature screening; ELISA follow-up is reported for LYZ. Leave-one-out validation is internal; ELISA confirmation of selected proteins is not an independent external cohort test. The sample is geographically limited and biomarker selection can be optimistic without nested external replication.</t>
        </is>
      </c>
      <c r="H445" s="4" t="str"/>
      <c r="I445" s="4" t="inlineStr">
        <is>
          <t>Lote_02_25: nivel=Structured abstract/highlights and metadata available; OA location known, but full Methods/Results text was not retrieved in this environment; hallazgo=DIA serum proteomics in 99 ASD and 70 controls identifies an eight-protein ML model; the abstract reports leave-one cross-validation accuracy 0.9527 and kappa 0.9025.; limitación=The abstract is detailed, but it is insufficient to adjudicate all RQ2/RQ3 variables, especially external validation, multisite design and explanation methods without full Methods/Results.; acción=Abrir/obtener el PDF o HTML completo y revisar Methods/Results antes de adjudicar; fuente=https://doi.org/10.1016/j.cca.2025.120238
Lote_06_22: nivel=PubMed detailed abstract with sample size, DIA proteomics, ML feature screening, leave-one-out validation and ELISA follow-up; hallazgo=DIA serum proteomics in 99 ASD and 70 control children yields an eight-protein ML model after bidirectional feature screening; ELISA follow-up is reported for LYZ.; limitación=; acción=; fuente=https://pubmed.ncbi.nlm.nih.gov/40185380/</t>
        </is>
      </c>
      <c r="J445" s="4" t="inlineStr">
        <is>
          <t>Contenido primario accesible suficiente para adjudicación y codificación RQ; no implica que se haya adquirido una copia editorial cerrada. Requiere verificación independiente.</t>
        </is>
      </c>
      <c r="K445" s="4" t="inlineStr">
        <is>
          <t>Inherited scoped adjudication; see source level and lot caveats</t>
        </is>
      </c>
      <c r="L445" s="4" t="inlineStr">
        <is>
          <t>Not documented in provided sources</t>
        </is>
      </c>
    </row>
    <row r="446" ht="346" customHeight="1">
      <c r="A446" s="4" t="inlineStr">
        <is>
          <t>new_183</t>
        </is>
      </c>
      <c r="B446" s="4" t="inlineStr">
        <is>
          <t>Update</t>
        </is>
      </c>
      <c r="C446" s="4" t="inlineStr">
        <is>
          <t>Adaptive Multi-Scale Dynamic Graph Representation Learning With Overlapping Community-Awareness for ASD Classification</t>
        </is>
      </c>
      <c r="D446" s="4" t="inlineStr">
        <is>
          <t>10.1109/jbhi.2025.3622540</t>
        </is>
      </c>
      <c r="E446" s="4" t="inlineStr">
        <is>
          <t>https://doi.org/10.1109/jbhi.2025.3622540</t>
        </is>
      </c>
      <c r="F446" s="4" t="inlineStr">
        <is>
          <t>In recent years, dynamic functional connectivity (dFC) has been widely employed for brain disease diagnosis. By leveraging the inherent topological characteristics of the brain, graph neural networks (GNNs) have emerged as prominent deep learning methods for utilizing dFC in this context. However, existing research has some limitations. Temporally, the conventional fixed-length sliding window approach often fails to capture the multi-scale temporal characteristics inherent in brain activity. Spatially, GNN-derived graph representations usually overlook the multi-network participation of brain regions. To address these limitations, we propose Ada-MST, an adaptive multi-scale spatio-temporal model utilizing multi-scale dFC for brain disease diagnosis. Our framework constructs personalized multi-scale dFC graphs that adapt to subject-specific temporal characteristics. Moreover, we introduce a novel overlapping community-aware readout module that incorporates the participation of brain regions in multiple functional networks, leading to more accurate graph-level representations. Experiments on ABIDE-I and ABIDE-II datasets demonstrate that our method outperforms state-of-the-art approaches. Visualization analysis further confirms the generalizability of the subject-adaptive graphs and their focus on disease-related brain activity. Furthermore, the fuzzy memberships revealed by our readout module indicate distinct patterns across diseases, suggesting the promise of considering functional community membership changes for exploring disease biomarkers.</t>
        </is>
      </c>
      <c r="G446" s="4" t="inlineStr">
        <is>
          <t>Ada-MST learns adaptive multi-scale dynamic graph representations from ABIDE-I/II rs-fMRI and includes community-aware readout/visualization for ASD classification. ABIDE-I/II are multisite datasets, but no explicit held-out-site robustness design was established in the accessible report. Visualization was treated as partial interpretability, not strict XAI.</t>
        </is>
      </c>
      <c r="H446" s="4" t="str"/>
      <c r="I446" s="4" t="inlineStr">
        <is>
          <t>Lote_02_25: nivel=Peer-reviewed abstract/metadata available from PubMed/IEEE; full Methods/Results text not retrieved in a verifiable source; hallazgo=Ada-MST uses personalized multi-scale dynamic functional-connectivity graphs and an overlapping community-aware GNN readout on ABIDE-I/II; the abstract reports improved classification and biomarker-oriented visualizations.; limitación=Without full Methods/Results, it is not safe to adjudicate the validation split, external/cross-site robustness, or whether the visualization meets the review XAI criteria.; acción=Abrir/obtener el PDF o HTML completo y revisar Methods/Results antes de adjudicar; fuente=https://pubmed.ncbi.nlm.nih.gov/41359708/
Lote_06_22: nivel=PubMed/IEEE detailed abstract with ABIDE-I/II, dynamic graph architecture and visualization analysis; hallazgo=Ada-MST learns adaptive multi-scale dynamic graph representations from ABIDE-I/II rs-fMRI and includes community-aware readout/visualization for ASD classification.; limitación=; acción=; fuente=https://pubmed.ncbi.nlm.nih.gov/41359708/</t>
        </is>
      </c>
      <c r="J446" s="4" t="inlineStr">
        <is>
          <t>Contenido primario accesible suficiente para adjudicación y codificación RQ; no implica que se haya adquirido una copia editorial cerrada. Requiere verificación independiente.</t>
        </is>
      </c>
      <c r="K446" s="4" t="inlineStr">
        <is>
          <t>Inherited scoped adjudication; see source level and lot caveats</t>
        </is>
      </c>
      <c r="L446" s="4" t="inlineStr">
        <is>
          <t>Not documented in provided sources</t>
        </is>
      </c>
    </row>
    <row r="447" ht="307" customHeight="1">
      <c r="A447" s="4" t="inlineStr">
        <is>
          <t>new_198</t>
        </is>
      </c>
      <c r="B447" s="4" t="inlineStr">
        <is>
          <t>Update</t>
        </is>
      </c>
      <c r="C447" s="4" t="inlineStr">
        <is>
          <t>A Multimodal AI Framework for Early Autism Identification Using CbRNN–Ensemble Modelling and Advanced NCIAPPF-Based Temporal Encoding</t>
        </is>
      </c>
      <c r="D447" s="4" t="inlineStr">
        <is>
          <t>10.1002/jdn.70117</t>
        </is>
      </c>
      <c r="E447" s="4" t="inlineStr">
        <is>
          <t>https://doi.org/10.1002/jdn.70117</t>
        </is>
      </c>
      <c r="F447" s="4" t="inlineStr">
        <is>
          <t>To improve child developmental results and enable prompt interventions, early identification of autism spectrum disorder (ASD) is crucial. Conventional diagnostic instruments, while clinically standardized, remain constrained by subjectivity, limited scalability and dependence on expert evaluation. This study introduces AutiScan, an AI-driven framework that integrates a Convolution-based Recurrent Neural Network Ensemble Model (CbRNN-EM) with the neural context-integrated adaptive reprocessing and pattern filtering (NCIAPPF) technique for capturing temporal dynamics of neural encoding. The proposed system analyses multimodal data including facial expressions, eye-gaze patterns, speech prosody and behavioural cues to extract spatial, emotional and sequential features relevant to early ASD markers. NCIAPPF enhances preprocessing by adaptively filtering noise, normalizing multimodal signals and preserving fine-grained temporal dependencies essential for robust pattern recognition. The fused representations are classified using an ensemble layer, achieving superior accuracy compared with traditional deep learning and machine learning prototypes. The results of the experiments show that AutiScan offers a dependable, scalable and comprehensible early ASD screening tool, underscoring the opportunity for practical clinical and educational implementation.</t>
        </is>
      </c>
      <c r="G447" s="4" t="inlineStr">
        <is>
          <t>AutiScan fuses facial-expression, eye-gaze, speech-prosody and behavioral cues using CbRNN-EM and NCIAPPF temporal processing for early ASD identification. High-priority reporting inconsistency: the article describes experimental multimodal analyses, while the publisher Data Availability Statement says that no datasets were generated or analyzed. Independent source/sample and validation verification is required.</t>
        </is>
      </c>
      <c r="H447" s="4" t="str"/>
      <c r="I447" s="4" t="inlineStr">
        <is>
          <t>Lote_03_25: nivel=Publisher abstract and bibliographic record only; internal reporting inconsistency prevents reliable full-text adjudication; hallazgo=The abstract describes multimodal facial, gaze, speech and behavioral fusion with CbRNN-EM/NCIAPPF and experimental screening results.; limitación=; acción=; fuente=https://onlinelibrary.wiley.com/doi/10.1002/jdn.70117
Lote_06_22: nivel=Wiley/PubMed publisher article page plus accessible full-text reproduction; enough methodological detail for scoped coding but with internal reporting inconsistency; hallazgo=AutiScan fuses facial-expression, eye-gaze, speech-prosody and behavioral cues using CbRNN-EM and NCIAPPF temporal processing for early ASD identification.; limitación=; acción=; fuente=https://onlinelibrary.wiley.com/doi/10.1002/jdn.70117</t>
        </is>
      </c>
      <c r="J447" s="4" t="inlineStr">
        <is>
          <t>Contenido primario accesible suficiente para adjudicación y codificación RQ; no implica que se haya adquirido una copia editorial cerrada. Requiere verificación independiente.</t>
        </is>
      </c>
      <c r="K447" s="4" t="inlineStr">
        <is>
          <t>Inherited scoped adjudication; see source level and lot caveats</t>
        </is>
      </c>
      <c r="L447" s="4" t="inlineStr">
        <is>
          <t>Not documented in provided sources</t>
        </is>
      </c>
    </row>
    <row r="448" ht="409" customHeight="1">
      <c r="A448" s="4" t="inlineStr">
        <is>
          <t>new_239</t>
        </is>
      </c>
      <c r="B448" s="4" t="inlineStr">
        <is>
          <t>Update</t>
        </is>
      </c>
      <c r="C448" s="4" t="inlineStr">
        <is>
          <t>Real-Time Classification for EEG Data in Children With ASD Using Deep Learning Techniques</t>
        </is>
      </c>
      <c r="D448" s="4" t="inlineStr">
        <is>
          <t>10.1002/dneu.23009</t>
        </is>
      </c>
      <c r="E448" s="4" t="inlineStr">
        <is>
          <t>https://doi.org/10.1002/dneu.23009</t>
        </is>
      </c>
      <c r="F448" s="4" t="inlineStr">
        <is>
          <t>Autism spectrum disorder (ASD) presents unique challenges in diagnosis and treatment, necessitating innovative approaches to understanding its underlying neurophysiological mechanisms. Real-time classification of electroencephalography (EEG) data in children with ASD faces significant challenges due to variability in EEG signals caused by individual differences in brain activity, age, and behavioral states, complicating robust algorithm development. This study develops and validates a deep learning–based framework for real-time EEG classification in children with ASD, aiming to enhance diagnostic accuracy and enable timely interventions. The dataset includes EEG recordings from 60 children (30 with ASD and 30 typically developing), representing diverse age groups and behavioral profiles to improve generalizability. Pre-processing removes noise and artifacts through segmentation, short-time Fourier transform (STFT), and independent component analysis (ICA). Grid search optimization (GSO) enhances model performance by systematically searching hyperparameter combinations to find the optimal configuration. A hybrid convolutional neural network (CNN)–long short-term memory (LSTM) framework is proposed, combining convolutional layers for spatial feature extraction with LSTM layers for temporal sequence modeling. This hybrid model is the primary proposed solution for real-time EEG classification due to its ability to capture both spatial and temporal features critical for interpreting sequential EEG data in children with ASD. The model achieves an accuracy of 87.5%, a precision of 85.0%, a recall of 90.0%, and an F1 score of 87.5% implemented using MATLAB software. In comparison, ResNet, a baseline deep CNN model, achieves slightly higher accuracy (89.1%) but lacks temporal modeling capabilities essential for sequential EEG interpretation. Despite ResNet's marginally higher accuracy, the hybrid CNN–LSTM is favored as the final model for its superior temporal modeling, critical in EEG analysis. Future work may include real-time feedback mechanisms, mobile application development, and longitudinal data expansion.</t>
        </is>
      </c>
      <c r="G448" s="4" t="inlineStr">
        <is>
          <t>EEG from 60 children (30 ASD/30 TD) is processed with STFT/ICA and classified using CNN-LSTM; the paper reports 87.5% accuracy, while a ResNet baseline reports 89.1%. High-priority internal inconsistency: the abstract states that a 60-child EEG dataset was analyzed, while the publisher Data Availability Statement says no datasets were generated or analyzed. No external cohort or real-time prospective deployment was established.</t>
        </is>
      </c>
      <c r="H448" s="4" t="str"/>
      <c r="I448" s="4" t="inlineStr">
        <is>
          <t>Lote_03_25: nivel=Publisher record and direct-PDF index expose abstract and references, but no reliable full Methods/Results were recovered; hallazgo=The abstract reports EEG from 60 children, STFT/ICA preprocessing, grid search and a primary hybrid CNN-LSTM model with 87.5% accuracy.; limitación=; acción=; fuente=https://onlinelibrary.wiley.com/doi/10.1002/dneu.23009
Lote_06_22: nivel=Wiley/PubMed publisher article page with cohort, preprocessing, architecture and performance; internal data-availability inconsistency flagged; hallazgo=EEG from 60 children (30 ASD/30 TD) is processed with STFT/ICA and classified using CNN-LSTM; the paper reports 87.5% accuracy, while a ResNet baseline reports 89.1%.; limitación=; acción=; fuente=https://onlinelibrary.wiley.com/doi/10.1002/dneu.23009</t>
        </is>
      </c>
      <c r="J448" s="4" t="inlineStr">
        <is>
          <t>Contenido primario accesible suficiente para adjudicación y codificación RQ; no implica que se haya adquirido una copia editorial cerrada. Requiere verificación independiente.</t>
        </is>
      </c>
      <c r="K448" s="4" t="inlineStr">
        <is>
          <t>Inherited scoped adjudication; see source level and lot caveats</t>
        </is>
      </c>
      <c r="L448" s="4" t="inlineStr">
        <is>
          <t>Not documented in provided sources</t>
        </is>
      </c>
    </row>
    <row r="449" ht="409" customHeight="1">
      <c r="A449" s="4" t="inlineStr">
        <is>
          <t>new_400</t>
        </is>
      </c>
      <c r="B449" s="4" t="inlineStr">
        <is>
          <t>Update</t>
        </is>
      </c>
      <c r="C449" s="4" t="inlineStr">
        <is>
          <t>Mitochondrial Gene Signature Reveals Novel Diagnostic Biomarkers for Autism Spectrum Disorder</t>
        </is>
      </c>
      <c r="D449" s="4" t="inlineStr">
        <is>
          <t>10.1007/s12035-026-05911-y</t>
        </is>
      </c>
      <c r="E449" s="4" t="inlineStr">
        <is>
          <t>https://doi.org/10.1007/s12035-026-05911-y</t>
        </is>
      </c>
      <c r="F449" s="4" t="inlineStr">
        <is>
          <t>Autism Spectrum Disorder (ASD) pathogenesis remains unclear, with mitochondrial dysfunction implicated as a key contributor. Reliable mitochondrial-related diagnostic biomarkers are lacking, hindering early detection and mechanistic studies. This study integrated transcriptomic data from postmortem ASD cortical tissues (GSE28521 for training; GSE64018 for validation) with mitochondrial-related genes (MRGs) from MitoCarta3.0. Mitochondrial pathways were investigated using gene set enrichment analysis (GSEA). Candidate ASD-mitochondria (ASD-MIT) genes were identified by combining differential expression analysis, weighted gene co-expression network analysis (WGCNA), and MRGs. Machine learning algorithms (LASSO, Random Forest, and SVM-RFE) were applied to screen hub genes. Diagnostic performance was evaluated using a linear predictive model, an artificial neural network (ANN), and a nomogram. Single-sample GSEA (ssGSEA) was used to assess associations between hub genes and mitochondrial pathway activity. Biological validation included qPCR in BTBR mice and protein localization analysis using the Human Protein Atlas (HPA). GSEA revealed significant downregulation of mitochondrial pathways in ASD. 22 candidate ASD-MIT genes were identified, from which three hub genes-IDH3A, MRPL2, and CHCHD4-were consistently selected by all three machine learning models. The three-gene panel demonstrated strong diagnostic ability (AUC = 0.910), confirmed by the ANN model (AUC = 0.903). The nomogram achieved excellent predictive accuracy (C-index = 0.964). Importantly, ssGSEA analysis showed that these genes were strongly associated with mitochondrial pathway activity, particularly mitochondrial calcium ion transport. qPCR validated significant downregulation of Idh3a and Mrpl2 in BTBR mice, and HPA confirmed mitochondrial localization and brain expression. This study identifies a mitochondrial gene signature associated with ASD and highlights IDH3A, MRPL2, and CHCHD4 as promising diagnostic biomarkers. These findings advance understanding of mitochondrial dysfunction in ASD pathogenesis and further suggest that disruption of mitochondrial Ca2⁺-energy coupling may represent a key mechanistic feature of the disease.</t>
        </is>
      </c>
      <c r="G449" s="4" t="inlineStr">
        <is>
          <t>Mitochondrial-gene signatures are selected from GSE28521 using LASSO/RF/SVM-RFE and evaluated in GSE64018; ANN/linear/nomogram models are reported, with separate mouse qPCR support. External validation is dataset-level but remains retrospective transcriptomic validation; postmortem cortex limits direct clinical deployability, and mouse qPCR is not human clinical validation.</t>
        </is>
      </c>
      <c r="H449" s="4" t="str"/>
      <c r="I449" s="4" t="inlineStr">
        <is>
          <t>Lote_06_22: nivel=PubMed/publisher detailed abstract with discovery and independent GEO validation datasets plus predictive modeling; hallazgo=Mitochondrial-gene signatures are selected from GSE28521 using LASSO/RF/SVM-RFE and evaluated in GSE64018; ANN/linear/nomogram models are reported, with separate mouse qPCR support.; limitación=; acción=; fuente=https://pubmed.ncbi.nlm.nih.gov/42098401/</t>
        </is>
      </c>
      <c r="J449" s="4" t="inlineStr">
        <is>
          <t>Contenido primario accesible suficiente para adjudicación y codificación RQ; no implica que se haya adquirido una copia editorial cerrada. Requiere verificación independiente.</t>
        </is>
      </c>
      <c r="K449" s="4" t="inlineStr">
        <is>
          <t>Inherited scoped adjudication; see source level and lot caveats</t>
        </is>
      </c>
      <c r="L449" s="4" t="inlineStr">
        <is>
          <t>Not documented in provided sources</t>
        </is>
      </c>
    </row>
    <row r="450" ht="346" customHeight="1">
      <c r="A450" s="4" t="inlineStr">
        <is>
          <t>new_411</t>
        </is>
      </c>
      <c r="B450" s="4" t="inlineStr">
        <is>
          <t>Update</t>
        </is>
      </c>
      <c r="C450" s="4" t="inlineStr">
        <is>
          <t>Blood-based DNA methylation markers for autism spectrum disorder identification using machine learning</t>
        </is>
      </c>
      <c r="D450" s="4" t="inlineStr">
        <is>
          <t>10.1080/17501911.2025.2557186</t>
        </is>
      </c>
      <c r="E450" s="4" t="inlineStr">
        <is>
          <t>https://doi.org/10.1080/17501911.2025.2557186</t>
        </is>
      </c>
      <c r="F450" s="4" t="inlineStr">
        <is>
          <t>Background: Autism spectrum disorder (ASD) is a complex neurodevelopmental disorder lacking objective biomarkers for early diagnosis. DNA methylation is a promising epigenetic marker, and machine learning offers a data-driven classification approach. However, few studies have examined whole-blood, genome-wide DNA methylation profiles for ASD diagnosis in school-aged children. Methods: We analyzed genome-wide DNA methylation data from GEO dataset GSE113967, including 52 children with ASD and 48 typically developing (TD) controls. Differentially methylated positions (DMPs) were identified, and feature selection was performed using support vector machine-recursive feature elimination with cross-validation (SVM-RFECV). Classification models were developed using random forest (RF), extreme gradient boosting (XGBoost), and decision tree (DT) classifiers. A nomogram visualized feature contributions. Results: A total of 138 DMPs differentiated ASD from TD children. Eleven CpG sites selected by SVM-RFECV formed the basis for model construction. RF and XGBoost achieved the highest accuracy (75%), with DT reaching 70%. Functional annotation indicated enrichment in cell adhesion and immune-related pathways. Conclusions: This exploratory study demonstrates the feasibility of integrating peripheral blood DNA methylation data with machine learning to distinguish children with ASD. While limited by sample size and moderate accuracy, this study provides methodological insights into the feasibility of integrating epigenetic and computational approaches for ASD-related biomarker exploration.</t>
        </is>
      </c>
      <c r="G450" s="4" t="inlineStr">
        <is>
          <t>Whole-blood DNA methylation data (52 ASD, 48 TD) are reduced using SVM-RFECV and classified with RF/XGBoost/DT; RF and XGBoost are reported as best-performing. Small single public dataset with no independent external cohort; feature selection and model evaluation on the same source can inflate biomarker optimism without external replication.</t>
        </is>
      </c>
      <c r="H450" s="4" t="str"/>
      <c r="I450" s="4" t="inlineStr">
        <is>
          <t>Lote_06_22: nivel=PubMed/publisher detailed abstract with GSE113967 sample size, SVM-RFECV and classifier comparisons; hallazgo=Whole-blood DNA methylation data (52 ASD, 48 TD) are reduced using SVM-RFECV and classified with RF/XGBoost/DT; RF and XGBoost are reported as best-performing.; limitación=; acción=; fuente=https://pubmed.ncbi.nlm.nih.gov/40923924/</t>
        </is>
      </c>
      <c r="J450" s="4" t="inlineStr">
        <is>
          <t>Contenido primario accesible suficiente para adjudicación y codificación RQ; no implica que se haya adquirido una copia editorial cerrada. Requiere verificación independiente.</t>
        </is>
      </c>
      <c r="K450" s="4" t="inlineStr">
        <is>
          <t>Inherited scoped adjudication; see source level and lot caveats</t>
        </is>
      </c>
      <c r="L450" s="4" t="inlineStr">
        <is>
          <t>Not documented in provided sources</t>
        </is>
      </c>
    </row>
    <row r="451" ht="409" customHeight="1">
      <c r="A451" s="4" t="inlineStr">
        <is>
          <t>new_412</t>
        </is>
      </c>
      <c r="B451" s="4" t="inlineStr">
        <is>
          <t>Update</t>
        </is>
      </c>
      <c r="C451" s="4" t="inlineStr">
        <is>
          <t>Federated Transformer-Based Deep Learning Framework for Secure and Early Autism Diagnosis</t>
        </is>
      </c>
      <c r="D451" s="4" t="inlineStr">
        <is>
          <t>10.1007/s42979-026-04806-y</t>
        </is>
      </c>
      <c r="E451" s="4" t="inlineStr">
        <is>
          <t>https://doi.org/10.1007/s42979-026-04806-y</t>
        </is>
      </c>
      <c r="F451" s="4" t="inlineStr">
        <is>
          <t>Autism Spectrum Disorder (ASD) diagnosis traditionally relies on centralized data aggregation of sensitive behavioural and physiological information, raising significant privacy and compliance challenges. To address these concerns, a novel Federated Transformer-Based Deep Learning Framework is designed for secure, decentralized, and early autism diagnosis using multimodal behavioural datasets. The system models intricate spatiotemporal connections in behavioural sequences collected from several clinical locations by using the self-attention mechanism of Transformer topologies, all without necessitating the exchange of raw data. Federated Learning (FL) and Transformer encoders are used in the proposed approach to jointly train a global model while protecting edge data privacy. The Autism Brain Imaging Data Exchange (ABIDE) dataset for neuroimaging-derived behavioural characteristics and the SPARK behavioural assessment dataset are two publicly accessible benchmark datasets used to examine this approach. Focused loss functions and federated weighted averaging were used to address the issues of class imbalance and data heterogeneity. The proposed federated Transformer model shows better diagnostic performance compared to baseline CNN models and RNN models in the federated settings, which is supported by experimental results. Evaluation on the ABIDE dataset showed that the model achieved an average accuracy of 99.4%, precision of 99.1%, recall of 98.6%, and an F1-score of 98.3%. Performance on the SPARK dataset resulted in an accuracy of 99.7%, precision of 98.8%, recall of 98.5% and an F1 - score of 98.6%. These results indicate strong generalization and efficient learning of long-range temporal dependencies that occur in behavioural data. In addition, communication efficiency was improved using model compression techniques, which led to a 40% reduction in bandwidth usage without significant reduction in performance. Privacy guarantees were enhanced by adding secure aggregation protocols in the federated training loop. This work is the first to apply Transformer architectures to federated autism diagnosis, and introduces a scalable, privacy-preserving solution for the early and accurate detection of ASD in compliance with data protection regulations.</t>
        </is>
      </c>
      <c r="G451" s="4" t="inlineStr">
        <is>
          <t>A federated Transformer framework is evaluated on ABIDE- and SPARK-derived data with secure aggregation and model compression, reporting very high classification accuracy. Federated/multisite training is not equivalent to a held-out-site robustness test. The accessible evidence does not establish independent external or prospective clinical validation, and near-ceiling accuracy requires leakage/partition checks.</t>
        </is>
      </c>
      <c r="H451" s="4" t="str"/>
      <c r="I451" s="4" t="inlineStr">
        <is>
          <t>Lote_06_22: nivel=Springer detailed abstract/metadata describes federated Transformer, ABIDE/SPARK data and distributed clinical-location setting; hallazgo=A federated Transformer framework is evaluated on ABIDE- and SPARK-derived data with secure aggregation and model compression, reporting very high classification accuracy.; limitación=; acción=; fuente=https://doi.org/10.1007/S42979-026-04806-Y</t>
        </is>
      </c>
      <c r="J451" s="4" t="inlineStr">
        <is>
          <t>Contenido primario accesible suficiente para adjudicación y codificación RQ; no implica que se haya adquirido una copia editorial cerrada. Requiere verificación independiente.</t>
        </is>
      </c>
      <c r="K451" s="4" t="inlineStr">
        <is>
          <t>Inherited scoped adjudication; see source level and lot caveats</t>
        </is>
      </c>
      <c r="L451" s="4" t="inlineStr">
        <is>
          <t>Not documented in provided sources</t>
        </is>
      </c>
    </row>
    <row r="452" ht="333" customHeight="1">
      <c r="A452" s="4" t="inlineStr">
        <is>
          <t>new_415</t>
        </is>
      </c>
      <c r="B452" s="4" t="inlineStr">
        <is>
          <t>Update</t>
        </is>
      </c>
      <c r="C452" s="4" t="inlineStr">
        <is>
          <t>Artificial intelligence-based diagnostic model for autism spectrum disorder using blood biomarkers</t>
        </is>
      </c>
      <c r="D452" s="4" t="inlineStr">
        <is>
          <t>10.1007/s00521-025-11553-3</t>
        </is>
      </c>
      <c r="E452" s="4" t="inlineStr">
        <is>
          <t>https://doi.org/10.1007/s00521-025-11553-3</t>
        </is>
      </c>
      <c r="F452" s="4" t="inlineStr">
        <is>
          <t>Autistic spectrum disorder (ASD) is a neurological condition characterized by difficulties in social interaction, communication, and repetitive behaviors. Despite its largely hereditary nature, early detection is crucial, and a potential strategy for more efficient and quicker diagnosis is to employ artificial intelligence (AI). In this paper, a new system is introduced that is called automatic screening autism (ASA) system. ASA comprises three primary stages: data preparation (DP), feature selection (FS), and patient detection (PD). In the first stage, the used dataset is preprocessed through several steps: handling missing values and rejecting outliers. Then, these preprocessed features are fed to the FS stage to select the most important features using improved genetic algorithm (IGA). IGA composed of two stages; (i) pre-selection stage (PS2) using information gain (IG) and (ii) conclusive selection stage (CS2) using genetic algorithm (GA). Subsequently, these attributes are input into the proposed classification model using optimized deep neural network (ODNN). Actually, ODNN is based on optimized weights of traditional DNN using various optimization algorithms, and the final decision is derived from the best performance. ASA has been evaluated against contemporary methodologies. Results from experimental studies demonstrate that the proposed ASA outperforms its competitors regarding accuracy, precision, sensitivity, and F-measure, achieving values of approximately 99.10, 98.90, 98.70, and 98.80% in that order.</t>
        </is>
      </c>
      <c r="G452" s="4" t="inlineStr">
        <is>
          <t>The ASA framework combines information-gain/Genetic-Algorithm feature selection with an optimized DNN and reports approximately 99% accuracy. 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t>
        </is>
      </c>
      <c r="H452" s="4" t="str"/>
      <c r="I452" s="4" t="inlineStr">
        <is>
          <t>Lote_06_22: nivel=Springer article page with ASA architecture/performance and data-availability links; sufficient to include but source lineage is ambiguous; hallazgo=The ASA framework combines information-gain/Genetic-Algorithm feature selection with an optimized DNN and reports approximately 99% accuracy.; limitación=; acción=; fuente=https://link.springer.com/article/10.1007/s00521-025-11553-3</t>
        </is>
      </c>
      <c r="J452" s="4" t="inlineStr">
        <is>
          <t>Contenido primario accesible suficiente para adjudicación y codificación RQ; no implica que se haya adquirido una copia editorial cerrada. Requiere verificación independiente.</t>
        </is>
      </c>
      <c r="K452" s="4" t="inlineStr">
        <is>
          <t>Inherited scoped adjudication; see source level and lot caveats</t>
        </is>
      </c>
      <c r="L452" s="4" t="inlineStr">
        <is>
          <t>Not documented in provided sources</t>
        </is>
      </c>
    </row>
    <row r="453" ht="409" customHeight="1">
      <c r="A453" s="4" t="inlineStr">
        <is>
          <t>new_416</t>
        </is>
      </c>
      <c r="B453" s="4" t="inlineStr">
        <is>
          <t>Update</t>
        </is>
      </c>
      <c r="C453" s="4" t="inlineStr">
        <is>
          <t>An explainable deep learning framework for screening level autism severity using behavioural data</t>
        </is>
      </c>
      <c r="D453" s="4" t="inlineStr">
        <is>
          <t>10.1007/s42452-026-08352-3</t>
        </is>
      </c>
      <c r="E453" s="4" t="inlineStr">
        <is>
          <t>https://doi.org/10.1007/s42452-026-08352-3</t>
        </is>
      </c>
      <c r="F453" s="4" t="inlineStr">
        <is>
          <t>Autism Spectrum Disorder (ASD) is a complex neurodevelopmental condition characterized by heterogeneous behavioural manifestations that vary across age groups and severity strata. While questionnaire-based screening instruments enable large-scale ASD identification, reliable severity stratification remains challenging due to the absence of explicit clinician-annotated severity labels and the reliance of many existing approaches on fragmented or multi-stage pipelines. To address this gap, this study proposes a unified BiLSTM–CGBO framework for screening-level ASD identification and ordinal severity stratification under a controlled behavioural labeling paradigm. The proposed architecture integrates a Bidirectional Long Short-Term Memory (BiLSTM) network, employed as a high-capacity representation learner for modeling non-linear interactions among behavioural attributes, with a Chaotic Grey Ball Optimizer (CGBO) that adaptively modulates learning dynamics to enhance numerical stability and convergence. The framework is evaluated on harmonized ASD screening datasets from the Kaggle and UCI repositories, comprising 2154 participants across four developmental cohorts: toddlers, children, adolescents, and adults. Experimental results demonstrate consistently high classification accuracy and AUROC values across age groups, reflecting the model’s effectiveness in approximating a deterministic behavioural severity-scoring function rather than independent clinical diagnostic performance. Comparative analysis indicates that the proposed framework achieves stable improvements over classical machine learning and deep learning baselines, including SVM, CNN, and standard LSTM, under identical preprocessing and validation protocols. Model interpretability is examined using SHapley Additive Explanations (SHAP), which elucidate how behavioural attributes are utilized within the learned scoring structure without asserting causal or diagnostic attribution. Overall, the proposed BiLSTM–CGBO framework establishes a transparent, reproducible, and computationally efficient methodology for screening-level autism severity modeling, providing a robust foundation for future validation using independently clinician-annotated data and multimodal extensions.</t>
        </is>
      </c>
      <c r="G453" s="4" t="inlineStr">
        <is>
          <t>BiLSTM-CGBO is trained on harmonized Kaggle/UCI behavioral screening data and uses SHAP for feature-level explanations of screening/severity outputs. The severity target is closely tied to deterministic behavioral scoring and is not an independently clinician-annotated diagnostic endpoint; no independent external clinical cohort is provided.</t>
        </is>
      </c>
      <c r="H453" s="4" t="str"/>
      <c r="I453" s="4" t="inlineStr">
        <is>
          <t>Lote_06_22: nivel=Open Springer full article with harmonized public datasets, BiLSTM-CGBO, SHAP and stated limitations; hallazgo=BiLSTM-CGBO is trained on harmonized Kaggle/UCI behavioral screening data and uses SHAP for feature-level explanations of screening/severity outputs.; limitación=; acción=; fuente=https://doi.org/10.1007/S42452-026-08352-3</t>
        </is>
      </c>
      <c r="J453" s="4" t="inlineStr">
        <is>
          <t>Contenido primario accesible suficiente para adjudicación y codificación RQ; no implica que se haya adquirido una copia editorial cerrada. Requiere verificación independiente.</t>
        </is>
      </c>
      <c r="K453" s="4" t="inlineStr">
        <is>
          <t>Inherited scoped adjudication; see source level and lot caveats</t>
        </is>
      </c>
      <c r="L453" s="4" t="inlineStr">
        <is>
          <t>Not documented in provided sources</t>
        </is>
      </c>
    </row>
    <row r="454" ht="409" customHeight="1">
      <c r="A454" s="4" t="inlineStr">
        <is>
          <t>new_421</t>
        </is>
      </c>
      <c r="B454" s="4" t="inlineStr">
        <is>
          <t>Update</t>
        </is>
      </c>
      <c r="C454" s="4" t="inlineStr">
        <is>
          <t>Edge-Based Robot-Assisted Hand Gesture Recognition for Autism Intervention Using Hybrid Keyframe Selection and Contrastive Learning</t>
        </is>
      </c>
      <c r="D454" s="4" t="inlineStr">
        <is>
          <t>10.1109/tmrb.2026.3680976</t>
        </is>
      </c>
      <c r="E454" s="4" t="inlineStr">
        <is>
          <t>https://doi.org/10.1109/tmrb.2026.3680976</t>
        </is>
      </c>
      <c r="F454" s="4" t="inlineStr">
        <is>
          <t>Children with Autism Spectrum Disorder (ASD) often face challenges in expressing and interpreting social gestures essential for social skill development. Traditional approaches depend on intrusive wearable sensors and manual supervision, with minimal adaptation to real-time, resource-constrained environments. To address these limitations, we present a real-time vision-based human-robot interaction (HRI) framework that autonomously supports gesture learning and correction without therapist intervention. The system employs MediaPipe-based skeletal landmark extraction with a novel hybrid keyframe selection strategy. This strategy integrates entropy-based filtering to retain semantically rich frames and a clustering-based mechanism to identify representative frames from similar gesture groups. Spatial features are modeled using one-dimensional convolutions across hand joints to capture intra-frame structural dependencies. The framework executes gesture classification and correctness evaluation simultaneously, with contrastive learning incorporated to enhance the separability of learned embeddings. An in-house assistive robot, named CARAT (Caregiver Autism Robot with AI-based Technology), has been developed to realize this framework. CARAT is equipped with a gesture-performing arm, deployed on a Jetson Orin Nano edge device, and provides real-time verbal feedback alongside physical gesture demonstrations. The dataset for evaluation was collected using CARAT, involving participants from both healthy children and children with ASD. The framework demonstrates strong recognition performance, achieving 98.85% accuracy with healthy participants, 96.42% with autistic participants, and 97.41% on the combined dataset of both groups. These results validate the effectiveness of the proposed approach for hand gesture recognition in edge-deployed assistive robots for autism intervention.</t>
        </is>
      </c>
      <c r="G454" s="4" t="inlineStr">
        <is>
          <t>CARAT uses MediaPipe landmarks, hybrid keyframe selection, 1D convolution and contrastive learning for real-time gesture recognition/correction; data were collected with healthy and autistic children and ASD recognition accuracy is reported at 96.42%. The study validates gesture-recognition performance, not therapeutic efficacy or durable social-skill improvement. Therefore the system is intervention-oriented but not coded as confirmed clinical intervention effectiveness.</t>
        </is>
      </c>
      <c r="H454" s="4" t="str"/>
      <c r="I454" s="4" t="inlineStr">
        <is>
          <t>Lote_06_22: nivel=IEEE/author research abstract with CARAT system, participant groups, edge deployment and recognition results; hallazgo=CARAT uses MediaPipe landmarks, hybrid keyframe selection, 1D convolution and contrastive learning for real-time gesture recognition/correction; data were collected with healthy and autistic children and ASD recognition accuracy is reported at 96.42%.; limitación=; acción=; fuente=https://doi.org/10.1109/TMRB.2026.3680976</t>
        </is>
      </c>
      <c r="J454" s="4" t="inlineStr">
        <is>
          <t>Contenido primario accesible suficiente para adjudicación y codificación RQ; no implica que se haya adquirido una copia editorial cerrada. Requiere verificación independiente.</t>
        </is>
      </c>
      <c r="K454" s="4" t="inlineStr">
        <is>
          <t>Inherited scoped adjudication; see source level and lot caveats</t>
        </is>
      </c>
      <c r="L454" s="4" t="inlineStr">
        <is>
          <t>Not documented in provided sources</t>
        </is>
      </c>
    </row>
    <row r="455" ht="320" customHeight="1">
      <c r="A455" s="4" t="inlineStr">
        <is>
          <t>new_423</t>
        </is>
      </c>
      <c r="B455" s="4" t="inlineStr">
        <is>
          <t>Update</t>
        </is>
      </c>
      <c r="C455" s="4" t="inlineStr">
        <is>
          <t>Toward a Smartwatch-Based System for Automated Social Interaction Monitoring in Autism</t>
        </is>
      </c>
      <c r="D455" s="4" t="inlineStr">
        <is>
          <t>10.1109/access.2026.3674057</t>
        </is>
      </c>
      <c r="E455" s="4" t="inlineStr">
        <is>
          <t>https://doi.org/10.1109/access.2026.3674057</t>
        </is>
      </c>
      <c r="F455" s="4" t="inlineStr">
        <is>
          <t>Autism Spectrum Disorder (ASD) is a complex neurodevelopmental condition that affects social interactions and communication. Traditional assessment methods are often manual, subjective - lack ecological validity and scalability. This study presents a fully automated, machine learning-based system for continuous monitoring of social interactions in individuals with ASD using voice and physiological data collected in naturalistic environments. The system leverages speaker diarization to quantify the duration the ASD individual speaks during real-life conversations. An enhanced deep learning-based diarization method built on pyannote-audio is used to identify the target speaker, with each recording beginning with a short voice sample from the participant for identification purposes. Audio and heart rate data are simultaneously collected via a standalone smartwatch app, requiring no phone or network connectivity during data capture. Data are then processed through a cloud-based pipeline. The system was validated in both controlled and real-world settings, including testing with ASD individuals. Results show that the system can accurately and effectively capture speaking time, identify speaker turns, and track physiological signals during social interactions. This approach provides an objective, scalable framework for social behavior assessment in ASD, with strong potential for clinical application and long-term, real-world monitoring.</t>
        </is>
      </c>
      <c r="G455" s="4" t="inlineStr">
        <is>
          <t>A smartwatch/cloud system combines deep-learning speaker diarization with heart-rate data; it was tested with formally diagnosed ASD participants and in naturalistic social-interaction recordings, supporting an actual monitoring workflow. Sample sizes are small and staged, and the work evaluates measurement/diarization rather than downstream clinical outcomes. Generalization across acoustic contexts, ages, devices and sites remains unproven.</t>
        </is>
      </c>
      <c r="H455" s="4" t="str"/>
      <c r="I455" s="4" t="inlineStr">
        <is>
          <t>Lote_06_22: nivel=Open IEEE Access full-text/accepted manuscript with system architecture, ASD participant testing and real-world monitoring phases; hallazgo=A smartwatch/cloud system combines deep-learning speaker diarization with heart-rate data; it was tested with formally diagnosed ASD participants and in naturalistic social-interaction recordings, supporting an actual monitoring workflow.; limitación=; acción=; fuente=https://doi.org/10.1109/ACCESS.2026.3674057</t>
        </is>
      </c>
      <c r="J455" s="4" t="inlineStr">
        <is>
          <t>Contenido primario accesible suficiente para adjudicación y codificación RQ; no implica que se haya adquirido una copia editorial cerrada. Requiere verificación independiente.</t>
        </is>
      </c>
      <c r="K455" s="4" t="inlineStr">
        <is>
          <t>Inherited scoped adjudication; see source level and lot caveats</t>
        </is>
      </c>
      <c r="L455" s="4" t="inlineStr">
        <is>
          <t>Not documented in provided sources</t>
        </is>
      </c>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54" customWidth="1" min="1" max="1"/>
    <col width="20" customWidth="1" min="2" max="2"/>
    <col width="78" customWidth="1" min="3" max="3"/>
    <col width="27" customWidth="1" min="4" max="4"/>
  </cols>
  <sheetData>
    <row r="1" ht="52" customHeight="1">
      <c r="A1" s="6" t="inlineStr">
        <is>
          <t>Etapa</t>
        </is>
      </c>
      <c r="B1" s="6" t="inlineStr">
        <is>
          <t>n</t>
        </is>
      </c>
      <c r="C1" s="6" t="inlineStr">
        <is>
          <t>Fuente o instrucción</t>
        </is>
      </c>
      <c r="D1" s="6" t="inlineStr">
        <is>
          <t>Estado</t>
        </is>
      </c>
    </row>
    <row r="2" ht="48" customHeight="1">
      <c r="A2" s="4" t="inlineStr">
        <is>
          <t>Actualización: registros exportados</t>
        </is>
      </c>
      <c r="B2" s="38">
        <f>COUNTA('Actualizacion_origen'!$A$2:$A$431)</f>
        <v/>
      </c>
      <c r="C2" s="4" t="inlineStr">
        <is>
          <t>Actualizacion_origen</t>
        </is>
      </c>
      <c r="D2" s="4" t="inlineStr">
        <is>
          <t>Derivado</t>
        </is>
      </c>
    </row>
    <row r="3" ht="48" customHeight="1">
      <c r="A3" s="4" t="inlineStr">
        <is>
          <t>Duplicados internos de actualización</t>
        </is>
      </c>
      <c r="B3" s="38">
        <f>COUNTIF('Actualizacion_origen'!$D$2:$D$431,"Duplicate within update")</f>
        <v/>
      </c>
      <c r="C3" s="4" t="inlineStr">
        <is>
          <t>Duplicate within update</t>
        </is>
      </c>
      <c r="D3" s="4" t="inlineStr">
        <is>
          <t>Derivado</t>
        </is>
      </c>
    </row>
    <row r="4" ht="48" customHeight="1">
      <c r="A4" s="4" t="inlineStr">
        <is>
          <t>Ya representados en base histórica</t>
        </is>
      </c>
      <c r="B4" s="38">
        <f>COUNTIF('Actualizacion_origen'!$D$2:$D$431,"Already in base 276")</f>
        <v/>
      </c>
      <c r="C4" s="4" t="inlineStr">
        <is>
          <t>Already in base 276</t>
        </is>
      </c>
      <c r="D4" s="4" t="inlineStr">
        <is>
          <t>Derivado</t>
        </is>
      </c>
    </row>
    <row r="5" ht="48" customHeight="1">
      <c r="A5" s="4" t="inlineStr">
        <is>
          <t>Registros inválidos</t>
        </is>
      </c>
      <c r="B5" s="38">
        <f>COUNTIF('Actualizacion_origen'!$D$2:$D$431,"Invalid record")</f>
        <v/>
      </c>
      <c r="C5" s="4" t="inlineStr">
        <is>
          <t>Invalid record</t>
        </is>
      </c>
      <c r="D5" s="4" t="inlineStr">
        <is>
          <t>Derivado</t>
        </is>
      </c>
    </row>
    <row r="6" ht="48" customHeight="1">
      <c r="A6" s="4" t="inlineStr">
        <is>
          <t>Excluidos en cribado de actualización</t>
        </is>
      </c>
      <c r="B6" s="38">
        <f>COUNTIF('Actualizacion_origen'!$D$2:$D$431,"Excluded")</f>
        <v/>
      </c>
      <c r="C6" s="4" t="inlineStr">
        <is>
          <t>Excluded en Actualizacion_origen; etapas según fuente</t>
        </is>
      </c>
      <c r="D6" s="4" t="inlineStr">
        <is>
          <t>Derivado</t>
        </is>
      </c>
    </row>
    <row r="7" ht="48" customHeight="1">
      <c r="A7" s="4" t="inlineStr">
        <is>
          <t>Candidatos con decisión de texto completo</t>
        </is>
      </c>
      <c r="B7" s="38">
        <f>COUNTA('Decisiones_origen'!$A$2:$A$193)</f>
        <v/>
      </c>
      <c r="C7" s="4" t="inlineStr">
        <is>
          <t>La hoja original se llama Texto_completo_191 pero contiene 192</t>
        </is>
      </c>
      <c r="D7" s="4" t="inlineStr">
        <is>
          <t>Derivado</t>
        </is>
      </c>
    </row>
    <row r="8" ht="48" customHeight="1">
      <c r="A8" s="4" t="inlineStr">
        <is>
          <t>Incluidos de actualización</t>
        </is>
      </c>
      <c r="B8" s="38">
        <f>COUNTIF('Decisiones_origen'!$J$2:$J$193,"Include")+COUNTIF('Decisiones_origen'!$J$2:$J$193,"Include with integrity flag")</f>
        <v/>
      </c>
      <c r="C8" s="4" t="inlineStr">
        <is>
          <t>Include + Include with integrity flag</t>
        </is>
      </c>
      <c r="D8" s="4" t="inlineStr">
        <is>
          <t>Derivado</t>
        </is>
      </c>
    </row>
    <row r="9" ht="48" customHeight="1">
      <c r="A9" s="4" t="inlineStr">
        <is>
          <t>Excluidos en evaluación de texto completo</t>
        </is>
      </c>
      <c r="B9" s="38">
        <f>COUNTIF('Decisiones_origen'!$J$2:$J$193,"Exclude")</f>
        <v/>
      </c>
      <c r="C9" s="4" t="inlineStr">
        <is>
          <t>Exclude en Decisiones_origen</t>
        </is>
      </c>
      <c r="D9" s="4" t="inlineStr">
        <is>
          <t>Derivado</t>
        </is>
      </c>
    </row>
    <row r="10" ht="48" customHeight="1">
      <c r="A10" s="4" t="inlineStr">
        <is>
          <t>Pendientes de elegibilidad</t>
        </is>
      </c>
      <c r="B10" s="38">
        <f>'CONTROL'!B6</f>
        <v/>
      </c>
      <c r="C10" s="4" t="inlineStr">
        <is>
          <t>Vacíos o Pending</t>
        </is>
      </c>
      <c r="D10" s="4" t="inlineStr">
        <is>
          <t>Derivado</t>
        </is>
      </c>
    </row>
    <row r="11" ht="48" customHeight="1">
      <c r="A11" s="4" t="inlineStr">
        <is>
          <t>Control de registros de actualización</t>
        </is>
      </c>
      <c r="B11" s="38">
        <f>B2-SUM(B3:B7)</f>
        <v/>
      </c>
      <c r="C11" s="4" t="inlineStr">
        <is>
          <t>Debe ser 0</t>
        </is>
      </c>
      <c r="D11" s="4" t="inlineStr">
        <is>
          <t>Control</t>
        </is>
      </c>
    </row>
    <row r="12" ht="48" customHeight="1">
      <c r="A12" s="4" t="inlineStr">
        <is>
          <t>Control de decisiones de actualización</t>
        </is>
      </c>
      <c r="B12" s="38">
        <f>B7-SUM(B8:B10)</f>
        <v/>
      </c>
      <c r="C12" s="4" t="inlineStr">
        <is>
          <t>Debe ser 0</t>
        </is>
      </c>
      <c r="D12" s="4" t="inlineStr">
        <is>
          <t>Control</t>
        </is>
      </c>
    </row>
    <row r="13" ht="48" customHeight="1">
      <c r="A13" s="4" t="inlineStr">
        <is>
          <t>Históricos incluidos</t>
        </is>
      </c>
      <c r="B13" s="38">
        <f>'CONTROL'!B3</f>
        <v/>
      </c>
      <c r="C13" s="4" t="inlineStr">
        <is>
          <t>Registro base</t>
        </is>
      </c>
      <c r="D13" s="4" t="inlineStr">
        <is>
          <t>Derivado</t>
        </is>
      </c>
    </row>
    <row r="14" ht="48" customHeight="1">
      <c r="A14" s="4" t="inlineStr">
        <is>
          <t>Inclusiones combinadas registradas</t>
        </is>
      </c>
      <c r="B14" s="38">
        <f>B13+B8</f>
        <v/>
      </c>
      <c r="C14" s="4" t="inlineStr">
        <is>
          <t>No implica cohortes/participantes independientes</t>
        </is>
      </c>
      <c r="D14" s="4" t="inlineStr">
        <is>
          <t>Derivado</t>
        </is>
      </c>
    </row>
    <row r="15" ht="48" customHeight="1">
      <c r="A15" s="4" t="inlineStr">
        <is>
          <t>Inicial: registros identificados</t>
        </is>
      </c>
      <c r="B15" s="42" t="n"/>
      <c r="C15" s="4" t="inlineStr">
        <is>
          <t>Conciliar con exportaciones y búsqueda inicial; no copiar del manuscrito</t>
        </is>
      </c>
      <c r="D15" s="4" t="inlineStr">
        <is>
          <t>PENDIENTE DE FUENTE</t>
        </is>
      </c>
    </row>
    <row r="16" ht="48" customHeight="1">
      <c r="A16" s="4" t="inlineStr">
        <is>
          <t>Inicial: duplicados retirados</t>
        </is>
      </c>
      <c r="B16" s="42" t="n"/>
      <c r="C16" s="4" t="inlineStr">
        <is>
          <t>Conciliar con exportaciones y deduplicación</t>
        </is>
      </c>
      <c r="D16" s="4" t="inlineStr">
        <is>
          <t>PENDIENTE DE FUENTE</t>
        </is>
      </c>
    </row>
    <row r="17" ht="48" customHeight="1">
      <c r="A17" s="4" t="inlineStr">
        <is>
          <t>Inicial: registros cribados</t>
        </is>
      </c>
      <c r="B17" s="42" t="n"/>
      <c r="C17" s="4" t="inlineStr">
        <is>
          <t>Conciliar con registro de selección</t>
        </is>
      </c>
      <c r="D17" s="4" t="inlineStr">
        <is>
          <t>PENDIENTE DE FUENTE</t>
        </is>
      </c>
    </row>
    <row r="18" ht="48" customHeight="1">
      <c r="A18" s="4" t="inlineStr">
        <is>
          <t>Inicial: informes buscados para recuperación</t>
        </is>
      </c>
      <c r="B18" s="42" t="n"/>
      <c r="C18" s="4" t="inlineStr">
        <is>
          <t>Conciliar con registro de recuperación</t>
        </is>
      </c>
      <c r="D18" s="4" t="inlineStr">
        <is>
          <t>PENDIENTE DE FUENTE</t>
        </is>
      </c>
    </row>
    <row r="19" ht="48" customHeight="1">
      <c r="A19" s="4" t="inlineStr">
        <is>
          <t>Inicial: informes no recuperados</t>
        </is>
      </c>
      <c r="B19" s="42" t="n"/>
      <c r="C19" s="4" t="inlineStr">
        <is>
          <t>No inferir cero por encontrar una página editorial</t>
        </is>
      </c>
      <c r="D19" s="4" t="inlineStr">
        <is>
          <t>PENDIENTE DE FUENTE</t>
        </is>
      </c>
    </row>
    <row r="20" ht="48" customHeight="1">
      <c r="A20" s="4" t="inlineStr">
        <is>
          <t>Inicial: informes evaluados</t>
        </is>
      </c>
      <c r="B20" s="42" t="n"/>
      <c r="C20" s="4" t="inlineStr">
        <is>
          <t>Definir qué material se evaluó y conservar evidencia</t>
        </is>
      </c>
      <c r="D20" s="4" t="inlineStr">
        <is>
          <t>PENDIENTE DE FUENTE</t>
        </is>
      </c>
    </row>
    <row r="21" ht="48" customHeight="1">
      <c r="A21" s="4" t="inlineStr">
        <is>
          <t>Inicial: informes excluidos en elegibilidad</t>
        </is>
      </c>
      <c r="B21" s="42" t="n"/>
      <c r="C21" s="4" t="inlineStr">
        <is>
          <t>Requiere motivos primarios y conteos trazables</t>
        </is>
      </c>
      <c r="D21" s="4" t="inlineStr">
        <is>
          <t>PENDIENTE DE FUENTE</t>
        </is>
      </c>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I161"/>
  <sheetViews>
    <sheetView showGridLines="0" workbookViewId="0">
      <selection activeCell="A1" sqref="A1"/>
    </sheetView>
  </sheetViews>
  <sheetFormatPr baseColWidth="8" defaultRowHeight="15"/>
  <cols>
    <col width="20" customWidth="1" min="1" max="1"/>
    <col width="20" customWidth="1" min="2" max="2"/>
    <col width="48" customWidth="1" min="3" max="3"/>
    <col width="20" customWidth="1" min="4" max="4"/>
    <col width="20" customWidth="1" min="5" max="5"/>
    <col width="20" customWidth="1" min="6" max="6"/>
    <col width="20" customWidth="1" min="7" max="7"/>
    <col width="20" customWidth="1" min="8" max="8"/>
    <col width="20" customWidth="1" min="9" max="9"/>
  </cols>
  <sheetData>
    <row r="1" ht="52" customHeight="1">
      <c r="A1" s="6" t="inlineStr">
        <is>
          <t>Variable</t>
        </is>
      </c>
      <c r="B1" s="6" t="inlineStr">
        <is>
          <t>Cohort</t>
        </is>
      </c>
      <c r="C1" s="6" t="inlineStr">
        <is>
          <t>Category / indicator</t>
        </is>
      </c>
      <c r="D1" s="6" t="inlineStr">
        <is>
          <t>n</t>
        </is>
      </c>
      <c r="E1" s="6" t="inlineStr">
        <is>
          <t>Denominator</t>
        </is>
      </c>
      <c r="F1" s="6" t="inlineStr">
        <is>
          <t>Proportion</t>
        </is>
      </c>
      <c r="G1" s="6" t="inlineStr">
        <is>
          <t>Interpretation</t>
        </is>
      </c>
      <c r="H1" s="6" t="inlineStr">
        <is>
          <t>Source sheet</t>
        </is>
      </c>
      <c r="I1" s="6" t="inlineStr">
        <is>
          <t>Source field</t>
        </is>
      </c>
    </row>
    <row r="2" ht="60" customHeight="1">
      <c r="A2" s="4" t="inlineStr">
        <is>
          <t>Clinical stage</t>
        </is>
      </c>
      <c r="B2" s="4" t="inlineStr">
        <is>
          <t>All</t>
        </is>
      </c>
      <c r="C2" s="4" t="inlineStr">
        <is>
          <t>Diagnosis</t>
        </is>
      </c>
      <c r="D2" s="4">
        <f>COUNTIFS('RQ1'!$D$2:$D$455,"Diagnosis")</f>
        <v/>
      </c>
      <c r="E2" s="4">
        <f>COUNTA('RQ1'!$A$2:$A$455)</f>
        <v/>
      </c>
      <c r="F2" s="43">
        <f>IF(E2=0,"",D2/E2)</f>
        <v/>
      </c>
      <c r="G2" s="4" t="inlineStr">
        <is>
          <t>Descriptive, inherited extraction; verify before final conclusions</t>
        </is>
      </c>
      <c r="H2" s="4" t="inlineStr">
        <is>
          <t>RQ1</t>
        </is>
      </c>
      <c r="I2" s="4" t="inlineStr">
        <is>
          <t>stage_primary</t>
        </is>
      </c>
    </row>
    <row r="3" ht="60" customHeight="1">
      <c r="A3" s="4" t="inlineStr">
        <is>
          <t>Clinical stage</t>
        </is>
      </c>
      <c r="B3" s="4" t="inlineStr">
        <is>
          <t>All</t>
        </is>
      </c>
      <c r="C3" s="4" t="inlineStr">
        <is>
          <t>Monitoring/intervention</t>
        </is>
      </c>
      <c r="D3" s="4">
        <f>COUNTIFS('RQ1'!$D$2:$D$455,"Monitoring/intervention")</f>
        <v/>
      </c>
      <c r="E3" s="4">
        <f>COUNTA('RQ1'!$A$2:$A$455)</f>
        <v/>
      </c>
      <c r="F3" s="43">
        <f>IF(E3=0,"",D3/E3)</f>
        <v/>
      </c>
      <c r="G3" s="4" t="inlineStr">
        <is>
          <t>Descriptive, inherited extraction; verify before final conclusions</t>
        </is>
      </c>
      <c r="H3" s="4" t="inlineStr">
        <is>
          <t>RQ1</t>
        </is>
      </c>
      <c r="I3" s="4" t="inlineStr">
        <is>
          <t>stage_primary</t>
        </is>
      </c>
    </row>
    <row r="4" ht="60" customHeight="1">
      <c r="A4" s="4" t="inlineStr">
        <is>
          <t>Clinical stage</t>
        </is>
      </c>
      <c r="B4" s="4" t="inlineStr">
        <is>
          <t>All</t>
        </is>
      </c>
      <c r="C4" s="4" t="inlineStr">
        <is>
          <t>Not specified</t>
        </is>
      </c>
      <c r="D4" s="4">
        <f>COUNTIFS('RQ1'!$D$2:$D$455,"Not specified")</f>
        <v/>
      </c>
      <c r="E4" s="4">
        <f>COUNTA('RQ1'!$A$2:$A$455)</f>
        <v/>
      </c>
      <c r="F4" s="43">
        <f>IF(E4=0,"",D4/E4)</f>
        <v/>
      </c>
      <c r="G4" s="4" t="inlineStr">
        <is>
          <t>Descriptive, inherited extraction; verify before final conclusions</t>
        </is>
      </c>
      <c r="H4" s="4" t="inlineStr">
        <is>
          <t>RQ1</t>
        </is>
      </c>
      <c r="I4" s="4" t="inlineStr">
        <is>
          <t>stage_primary</t>
        </is>
      </c>
    </row>
    <row r="5" ht="60" customHeight="1">
      <c r="A5" s="4" t="inlineStr">
        <is>
          <t>Clinical stage</t>
        </is>
      </c>
      <c r="B5" s="4" t="inlineStr">
        <is>
          <t>All</t>
        </is>
      </c>
      <c r="C5" s="4" t="inlineStr">
        <is>
          <t>Prescreening</t>
        </is>
      </c>
      <c r="D5" s="4">
        <f>COUNTIFS('RQ1'!$D$2:$D$455,"Prescreening")</f>
        <v/>
      </c>
      <c r="E5" s="4">
        <f>COUNTA('RQ1'!$A$2:$A$455)</f>
        <v/>
      </c>
      <c r="F5" s="43">
        <f>IF(E5=0,"",D5/E5)</f>
        <v/>
      </c>
      <c r="G5" s="4" t="inlineStr">
        <is>
          <t>Descriptive, inherited extraction; verify before final conclusions</t>
        </is>
      </c>
      <c r="H5" s="4" t="inlineStr">
        <is>
          <t>RQ1</t>
        </is>
      </c>
      <c r="I5" s="4" t="inlineStr">
        <is>
          <t>stage_primary</t>
        </is>
      </c>
    </row>
    <row r="6" ht="60" customHeight="1">
      <c r="A6" s="4" t="inlineStr">
        <is>
          <t>Clinical stage</t>
        </is>
      </c>
      <c r="B6" s="4" t="inlineStr">
        <is>
          <t>All</t>
        </is>
      </c>
      <c r="C6" s="4" t="inlineStr">
        <is>
          <t>Prognosis</t>
        </is>
      </c>
      <c r="D6" s="4">
        <f>COUNTIFS('RQ1'!$D$2:$D$455,"Prognosis")</f>
        <v/>
      </c>
      <c r="E6" s="4">
        <f>COUNTA('RQ1'!$A$2:$A$455)</f>
        <v/>
      </c>
      <c r="F6" s="43">
        <f>IF(E6=0,"",D6/E6)</f>
        <v/>
      </c>
      <c r="G6" s="4" t="inlineStr">
        <is>
          <t>Descriptive, inherited extraction; verify before final conclusions</t>
        </is>
      </c>
      <c r="H6" s="4" t="inlineStr">
        <is>
          <t>RQ1</t>
        </is>
      </c>
      <c r="I6" s="4" t="inlineStr">
        <is>
          <t>stage_primary</t>
        </is>
      </c>
    </row>
    <row r="7" ht="60" customHeight="1">
      <c r="A7" s="4" t="inlineStr">
        <is>
          <t>Clinical stage</t>
        </is>
      </c>
      <c r="B7" s="4" t="inlineStr">
        <is>
          <t>All</t>
        </is>
      </c>
      <c r="C7" s="4" t="inlineStr">
        <is>
          <t>Screening</t>
        </is>
      </c>
      <c r="D7" s="4">
        <f>COUNTIFS('RQ1'!$D$2:$D$455,"Screening")</f>
        <v/>
      </c>
      <c r="E7" s="4">
        <f>COUNTA('RQ1'!$A$2:$A$455)</f>
        <v/>
      </c>
      <c r="F7" s="43">
        <f>IF(E7=0,"",D7/E7)</f>
        <v/>
      </c>
      <c r="G7" s="4" t="inlineStr">
        <is>
          <t>Descriptive, inherited extraction; verify before final conclusions</t>
        </is>
      </c>
      <c r="H7" s="4" t="inlineStr">
        <is>
          <t>RQ1</t>
        </is>
      </c>
      <c r="I7" s="4" t="inlineStr">
        <is>
          <t>stage_primary</t>
        </is>
      </c>
    </row>
    <row r="8" ht="60" customHeight="1">
      <c r="A8" s="4" t="inlineStr">
        <is>
          <t>AI type</t>
        </is>
      </c>
      <c r="B8" s="4" t="inlineStr">
        <is>
          <t>All</t>
        </is>
      </c>
      <c r="C8" s="4" t="inlineStr">
        <is>
          <t>Deep Learning</t>
        </is>
      </c>
      <c r="D8" s="4">
        <f>COUNTIFS('RQ1'!$E$2:$E$455,"Deep Learning")</f>
        <v/>
      </c>
      <c r="E8" s="4">
        <f>COUNTA('RQ1'!$A$2:$A$455)</f>
        <v/>
      </c>
      <c r="F8" s="43">
        <f>IF(E8=0,"",D8/E8)</f>
        <v/>
      </c>
      <c r="G8" s="4" t="inlineStr">
        <is>
          <t>Descriptive, inherited extraction; verify before final conclusions</t>
        </is>
      </c>
      <c r="H8" s="4" t="inlineStr">
        <is>
          <t>RQ1</t>
        </is>
      </c>
      <c r="I8" s="4" t="inlineStr">
        <is>
          <t>ai_type</t>
        </is>
      </c>
    </row>
    <row r="9" ht="60" customHeight="1">
      <c r="A9" s="4" t="inlineStr">
        <is>
          <t>AI type</t>
        </is>
      </c>
      <c r="B9" s="4" t="inlineStr">
        <is>
          <t>All</t>
        </is>
      </c>
      <c r="C9" s="4" t="inlineStr">
        <is>
          <t>Hybrid</t>
        </is>
      </c>
      <c r="D9" s="4">
        <f>COUNTIFS('RQ1'!$E$2:$E$455,"Hybrid")</f>
        <v/>
      </c>
      <c r="E9" s="4">
        <f>COUNTA('RQ1'!$A$2:$A$455)</f>
        <v/>
      </c>
      <c r="F9" s="43">
        <f>IF(E9=0,"",D9/E9)</f>
        <v/>
      </c>
      <c r="G9" s="4" t="inlineStr">
        <is>
          <t>Descriptive, inherited extraction; verify before final conclusions</t>
        </is>
      </c>
      <c r="H9" s="4" t="inlineStr">
        <is>
          <t>RQ1</t>
        </is>
      </c>
      <c r="I9" s="4" t="inlineStr">
        <is>
          <t>ai_type</t>
        </is>
      </c>
    </row>
    <row r="10" ht="60" customHeight="1">
      <c r="A10" s="4" t="inlineStr">
        <is>
          <t>AI type</t>
        </is>
      </c>
      <c r="B10" s="4" t="inlineStr">
        <is>
          <t>All</t>
        </is>
      </c>
      <c r="C10" s="4" t="inlineStr">
        <is>
          <t>Machine Learning</t>
        </is>
      </c>
      <c r="D10" s="4">
        <f>COUNTIFS('RQ1'!$E$2:$E$455,"Machine Learning")</f>
        <v/>
      </c>
      <c r="E10" s="4">
        <f>COUNTA('RQ1'!$A$2:$A$455)</f>
        <v/>
      </c>
      <c r="F10" s="43">
        <f>IF(E10=0,"",D10/E10)</f>
        <v/>
      </c>
      <c r="G10" s="4" t="inlineStr">
        <is>
          <t>Descriptive, inherited extraction; verify before final conclusions</t>
        </is>
      </c>
      <c r="H10" s="4" t="inlineStr">
        <is>
          <t>RQ1</t>
        </is>
      </c>
      <c r="I10" s="4" t="inlineStr">
        <is>
          <t>ai_type</t>
        </is>
      </c>
    </row>
    <row r="11" ht="60" customHeight="1">
      <c r="A11" s="4" t="inlineStr">
        <is>
          <t>AI type</t>
        </is>
      </c>
      <c r="B11" s="4" t="inlineStr">
        <is>
          <t>All</t>
        </is>
      </c>
      <c r="C11" s="4" t="inlineStr">
        <is>
          <t>Not specified</t>
        </is>
      </c>
      <c r="D11" s="4">
        <f>COUNTIFS('RQ1'!$E$2:$E$455,"Not specified")</f>
        <v/>
      </c>
      <c r="E11" s="4">
        <f>COUNTA('RQ1'!$A$2:$A$455)</f>
        <v/>
      </c>
      <c r="F11" s="43">
        <f>IF(E11=0,"",D11/E11)</f>
        <v/>
      </c>
      <c r="G11" s="4" t="inlineStr">
        <is>
          <t>Descriptive, inherited extraction; verify before final conclusions</t>
        </is>
      </c>
      <c r="H11" s="4" t="inlineStr">
        <is>
          <t>RQ1</t>
        </is>
      </c>
      <c r="I11" s="4" t="inlineStr">
        <is>
          <t>ai_type</t>
        </is>
      </c>
    </row>
    <row r="12" ht="60" customHeight="1">
      <c r="A12" s="4" t="inlineStr">
        <is>
          <t>Data source</t>
        </is>
      </c>
      <c r="B12" s="4" t="inlineStr">
        <is>
          <t>All</t>
        </is>
      </c>
      <c r="C12" s="4" t="inlineStr">
        <is>
          <t>Audio / voice</t>
        </is>
      </c>
      <c r="D12" s="4">
        <f>COUNTIFS('RQ1'!$F$2:$F$455,"Audio / voice")</f>
        <v/>
      </c>
      <c r="E12" s="4">
        <f>COUNTA('RQ1'!$A$2:$A$455)</f>
        <v/>
      </c>
      <c r="F12" s="43">
        <f>IF(E12=0,"",D12/E12)</f>
        <v/>
      </c>
      <c r="G12" s="4" t="inlineStr">
        <is>
          <t>Descriptive, inherited extraction; verify before final conclusions</t>
        </is>
      </c>
      <c r="H12" s="4" t="inlineStr">
        <is>
          <t>RQ1</t>
        </is>
      </c>
      <c r="I12" s="4" t="inlineStr">
        <is>
          <t>data_source_primary</t>
        </is>
      </c>
    </row>
    <row r="13" ht="60" customHeight="1">
      <c r="A13" s="4" t="inlineStr">
        <is>
          <t>Data source</t>
        </is>
      </c>
      <c r="B13" s="4" t="inlineStr">
        <is>
          <t>All</t>
        </is>
      </c>
      <c r="C13" s="4" t="inlineStr">
        <is>
          <t>Behavioral gaze / eye tracking</t>
        </is>
      </c>
      <c r="D13" s="4">
        <f>COUNTIFS('RQ1'!$F$2:$F$455,"Behavioral gaze / eye tracking")</f>
        <v/>
      </c>
      <c r="E13" s="4">
        <f>COUNTA('RQ1'!$A$2:$A$455)</f>
        <v/>
      </c>
      <c r="F13" s="43">
        <f>IF(E13=0,"",D13/E13)</f>
        <v/>
      </c>
      <c r="G13" s="4" t="inlineStr">
        <is>
          <t>Descriptive, inherited extraction; verify before final conclusions</t>
        </is>
      </c>
      <c r="H13" s="4" t="inlineStr">
        <is>
          <t>RQ1</t>
        </is>
      </c>
      <c r="I13" s="4" t="inlineStr">
        <is>
          <t>data_source_primary</t>
        </is>
      </c>
    </row>
    <row r="14" ht="60" customHeight="1">
      <c r="A14" s="4" t="inlineStr">
        <is>
          <t>Data source</t>
        </is>
      </c>
      <c r="B14" s="4" t="inlineStr">
        <is>
          <t>All</t>
        </is>
      </c>
      <c r="C14" s="4" t="inlineStr">
        <is>
          <t>Behavioral video / movement</t>
        </is>
      </c>
      <c r="D14" s="4">
        <f>COUNTIFS('RQ1'!$F$2:$F$455,"Behavioral video / movement")</f>
        <v/>
      </c>
      <c r="E14" s="4">
        <f>COUNTA('RQ1'!$A$2:$A$455)</f>
        <v/>
      </c>
      <c r="F14" s="43">
        <f>IF(E14=0,"",D14/E14)</f>
        <v/>
      </c>
      <c r="G14" s="4" t="inlineStr">
        <is>
          <t>Descriptive, inherited extraction; verify before final conclusions</t>
        </is>
      </c>
      <c r="H14" s="4" t="inlineStr">
        <is>
          <t>RQ1</t>
        </is>
      </c>
      <c r="I14" s="4" t="inlineStr">
        <is>
          <t>data_source_primary</t>
        </is>
      </c>
    </row>
    <row r="15" ht="60" customHeight="1">
      <c r="A15" s="4" t="inlineStr">
        <is>
          <t>Data source</t>
        </is>
      </c>
      <c r="B15" s="4" t="inlineStr">
        <is>
          <t>All</t>
        </is>
      </c>
      <c r="C15" s="4" t="inlineStr">
        <is>
          <t>Biological/omics</t>
        </is>
      </c>
      <c r="D15" s="4">
        <f>COUNTIFS('RQ1'!$F$2:$F$455,"Biological/omics")</f>
        <v/>
      </c>
      <c r="E15" s="4">
        <f>COUNTA('RQ1'!$A$2:$A$455)</f>
        <v/>
      </c>
      <c r="F15" s="43">
        <f>IF(E15=0,"",D15/E15)</f>
        <v/>
      </c>
      <c r="G15" s="4" t="inlineStr">
        <is>
          <t>Descriptive, inherited extraction; verify before final conclusions</t>
        </is>
      </c>
      <c r="H15" s="4" t="inlineStr">
        <is>
          <t>RQ1</t>
        </is>
      </c>
      <c r="I15" s="4" t="inlineStr">
        <is>
          <t>data_source_primary</t>
        </is>
      </c>
    </row>
    <row r="16" ht="60" customHeight="1">
      <c r="A16" s="4" t="inlineStr">
        <is>
          <t>Data source</t>
        </is>
      </c>
      <c r="B16" s="4" t="inlineStr">
        <is>
          <t>All</t>
        </is>
      </c>
      <c r="C16" s="4" t="inlineStr">
        <is>
          <t>Digital / robot interaction</t>
        </is>
      </c>
      <c r="D16" s="4">
        <f>COUNTIFS('RQ1'!$F$2:$F$455,"Digital / robot interaction")</f>
        <v/>
      </c>
      <c r="E16" s="4">
        <f>COUNTA('RQ1'!$A$2:$A$455)</f>
        <v/>
      </c>
      <c r="F16" s="43">
        <f>IF(E16=0,"",D16/E16)</f>
        <v/>
      </c>
      <c r="G16" s="4" t="inlineStr">
        <is>
          <t>Descriptive, inherited extraction; verify before final conclusions</t>
        </is>
      </c>
      <c r="H16" s="4" t="inlineStr">
        <is>
          <t>RQ1</t>
        </is>
      </c>
      <c r="I16" s="4" t="inlineStr">
        <is>
          <t>data_source_primary</t>
        </is>
      </c>
    </row>
    <row r="17" ht="60" customHeight="1">
      <c r="A17" s="4" t="inlineStr">
        <is>
          <t>Data source</t>
        </is>
      </c>
      <c r="B17" s="4" t="inlineStr">
        <is>
          <t>All</t>
        </is>
      </c>
      <c r="C17" s="4" t="inlineStr">
        <is>
          <t>Facial images</t>
        </is>
      </c>
      <c r="D17" s="4">
        <f>COUNTIFS('RQ1'!$F$2:$F$455,"Facial images")</f>
        <v/>
      </c>
      <c r="E17" s="4">
        <f>COUNTA('RQ1'!$A$2:$A$455)</f>
        <v/>
      </c>
      <c r="F17" s="43">
        <f>IF(E17=0,"",D17/E17)</f>
        <v/>
      </c>
      <c r="G17" s="4" t="inlineStr">
        <is>
          <t>Descriptive, inherited extraction; verify before final conclusions</t>
        </is>
      </c>
      <c r="H17" s="4" t="inlineStr">
        <is>
          <t>RQ1</t>
        </is>
      </c>
      <c r="I17" s="4" t="inlineStr">
        <is>
          <t>data_source_primary</t>
        </is>
      </c>
    </row>
    <row r="18" ht="60" customHeight="1">
      <c r="A18" s="4" t="inlineStr">
        <is>
          <t>Data source</t>
        </is>
      </c>
      <c r="B18" s="4" t="inlineStr">
        <is>
          <t>All</t>
        </is>
      </c>
      <c r="C18" s="4" t="inlineStr">
        <is>
          <t>Image (subtype unresolved)</t>
        </is>
      </c>
      <c r="D18" s="4">
        <f>COUNTIFS('RQ1'!$F$2:$F$455,"Image (subtype unresolved)")</f>
        <v/>
      </c>
      <c r="E18" s="4">
        <f>COUNTA('RQ1'!$A$2:$A$455)</f>
        <v/>
      </c>
      <c r="F18" s="43">
        <f>IF(E18=0,"",D18/E18)</f>
        <v/>
      </c>
      <c r="G18" s="4" t="inlineStr">
        <is>
          <t>Descriptive, inherited extraction; verify before final conclusions</t>
        </is>
      </c>
      <c r="H18" s="4" t="inlineStr">
        <is>
          <t>RQ1</t>
        </is>
      </c>
      <c r="I18" s="4" t="inlineStr">
        <is>
          <t>data_source_primary</t>
        </is>
      </c>
    </row>
    <row r="19" ht="60" customHeight="1">
      <c r="A19" s="4" t="inlineStr">
        <is>
          <t>Data source</t>
        </is>
      </c>
      <c r="B19" s="4" t="inlineStr">
        <is>
          <t>All</t>
        </is>
      </c>
      <c r="C19" s="4" t="inlineStr">
        <is>
          <t>Multiple datasets (fusion unverified)</t>
        </is>
      </c>
      <c r="D19" s="4">
        <f>COUNTIFS('RQ1'!$F$2:$F$455,"Multiple datasets (fusion unverified)")</f>
        <v/>
      </c>
      <c r="E19" s="4">
        <f>COUNTA('RQ1'!$A$2:$A$455)</f>
        <v/>
      </c>
      <c r="F19" s="43">
        <f>IF(E19=0,"",D19/E19)</f>
        <v/>
      </c>
      <c r="G19" s="4" t="inlineStr">
        <is>
          <t>Descriptive, inherited extraction; verify before final conclusions</t>
        </is>
      </c>
      <c r="H19" s="4" t="inlineStr">
        <is>
          <t>RQ1</t>
        </is>
      </c>
      <c r="I19" s="4" t="inlineStr">
        <is>
          <t>data_source_primary</t>
        </is>
      </c>
    </row>
    <row r="20" ht="60" customHeight="1">
      <c r="A20" s="4" t="inlineStr">
        <is>
          <t>Data source</t>
        </is>
      </c>
      <c r="B20" s="4" t="inlineStr">
        <is>
          <t>All</t>
        </is>
      </c>
      <c r="C20" s="4" t="inlineStr">
        <is>
          <t>Multiple modalities (as coded)</t>
        </is>
      </c>
      <c r="D20" s="4">
        <f>COUNTIFS('RQ1'!$F$2:$F$455,"Multiple modalities (as coded)")</f>
        <v/>
      </c>
      <c r="E20" s="4">
        <f>COUNTA('RQ1'!$A$2:$A$455)</f>
        <v/>
      </c>
      <c r="F20" s="43">
        <f>IF(E20=0,"",D20/E20)</f>
        <v/>
      </c>
      <c r="G20" s="4" t="inlineStr">
        <is>
          <t>Descriptive, inherited extraction; verify before final conclusions</t>
        </is>
      </c>
      <c r="H20" s="4" t="inlineStr">
        <is>
          <t>RQ1</t>
        </is>
      </c>
      <c r="I20" s="4" t="inlineStr">
        <is>
          <t>data_source_primary</t>
        </is>
      </c>
    </row>
    <row r="21" ht="60" customHeight="1">
      <c r="A21" s="4" t="inlineStr">
        <is>
          <t>Data source</t>
        </is>
      </c>
      <c r="B21" s="4" t="inlineStr">
        <is>
          <t>All</t>
        </is>
      </c>
      <c r="C21" s="4" t="inlineStr">
        <is>
          <t>Neuroimaging</t>
        </is>
      </c>
      <c r="D21" s="4">
        <f>COUNTIFS('RQ1'!$F$2:$F$455,"Neuroimaging")</f>
        <v/>
      </c>
      <c r="E21" s="4">
        <f>COUNTA('RQ1'!$A$2:$A$455)</f>
        <v/>
      </c>
      <c r="F21" s="43">
        <f>IF(E21=0,"",D21/E21)</f>
        <v/>
      </c>
      <c r="G21" s="4" t="inlineStr">
        <is>
          <t>Descriptive, inherited extraction; verify before final conclusions</t>
        </is>
      </c>
      <c r="H21" s="4" t="inlineStr">
        <is>
          <t>RQ1</t>
        </is>
      </c>
      <c r="I21" s="4" t="inlineStr">
        <is>
          <t>data_source_primary</t>
        </is>
      </c>
    </row>
    <row r="22" ht="60" customHeight="1">
      <c r="A22" s="4" t="inlineStr">
        <is>
          <t>Data source</t>
        </is>
      </c>
      <c r="B22" s="4" t="inlineStr">
        <is>
          <t>All</t>
        </is>
      </c>
      <c r="C22" s="4" t="inlineStr">
        <is>
          <t>Not specified</t>
        </is>
      </c>
      <c r="D22" s="4">
        <f>COUNTIFS('RQ1'!$F$2:$F$455,"Not specified")</f>
        <v/>
      </c>
      <c r="E22" s="4">
        <f>COUNTA('RQ1'!$A$2:$A$455)</f>
        <v/>
      </c>
      <c r="F22" s="43">
        <f>IF(E22=0,"",D22/E22)</f>
        <v/>
      </c>
      <c r="G22" s="4" t="inlineStr">
        <is>
          <t>Descriptive, inherited extraction; verify before final conclusions</t>
        </is>
      </c>
      <c r="H22" s="4" t="inlineStr">
        <is>
          <t>RQ1</t>
        </is>
      </c>
      <c r="I22" s="4" t="inlineStr">
        <is>
          <t>data_source_primary</t>
        </is>
      </c>
    </row>
    <row r="23" ht="60" customHeight="1">
      <c r="A23" s="4" t="inlineStr">
        <is>
          <t>Data source</t>
        </is>
      </c>
      <c r="B23" s="4" t="inlineStr">
        <is>
          <t>All</t>
        </is>
      </c>
      <c r="C23" s="4" t="inlineStr">
        <is>
          <t>Other images</t>
        </is>
      </c>
      <c r="D23" s="4">
        <f>COUNTIFS('RQ1'!$F$2:$F$455,"Other images")</f>
        <v/>
      </c>
      <c r="E23" s="4">
        <f>COUNTA('RQ1'!$A$2:$A$455)</f>
        <v/>
      </c>
      <c r="F23" s="43">
        <f>IF(E23=0,"",D23/E23)</f>
        <v/>
      </c>
      <c r="G23" s="4" t="inlineStr">
        <is>
          <t>Descriptive, inherited extraction; verify before final conclusions</t>
        </is>
      </c>
      <c r="H23" s="4" t="inlineStr">
        <is>
          <t>RQ1</t>
        </is>
      </c>
      <c r="I23" s="4" t="inlineStr">
        <is>
          <t>data_source_primary</t>
        </is>
      </c>
    </row>
    <row r="24" ht="60" customHeight="1">
      <c r="A24" s="4" t="inlineStr">
        <is>
          <t>Data source</t>
        </is>
      </c>
      <c r="B24" s="4" t="inlineStr">
        <is>
          <t>All</t>
        </is>
      </c>
      <c r="C24" s="4" t="inlineStr">
        <is>
          <t>Physiological signals</t>
        </is>
      </c>
      <c r="D24" s="4">
        <f>COUNTIFS('RQ1'!$F$2:$F$455,"Physiological signals")</f>
        <v/>
      </c>
      <c r="E24" s="4">
        <f>COUNTA('RQ1'!$A$2:$A$455)</f>
        <v/>
      </c>
      <c r="F24" s="43">
        <f>IF(E24=0,"",D24/E24)</f>
        <v/>
      </c>
      <c r="G24" s="4" t="inlineStr">
        <is>
          <t>Descriptive, inherited extraction; verify before final conclusions</t>
        </is>
      </c>
      <c r="H24" s="4" t="inlineStr">
        <is>
          <t>RQ1</t>
        </is>
      </c>
      <c r="I24" s="4" t="inlineStr">
        <is>
          <t>data_source_primary</t>
        </is>
      </c>
    </row>
    <row r="25" ht="60" customHeight="1">
      <c r="A25" s="4" t="inlineStr">
        <is>
          <t>Data source</t>
        </is>
      </c>
      <c r="B25" s="4" t="inlineStr">
        <is>
          <t>All</t>
        </is>
      </c>
      <c r="C25" s="4" t="inlineStr">
        <is>
          <t>Structured / tabular data</t>
        </is>
      </c>
      <c r="D25" s="4">
        <f>COUNTIFS('RQ1'!$F$2:$F$455,"Structured / tabular data")</f>
        <v/>
      </c>
      <c r="E25" s="4">
        <f>COUNTA('RQ1'!$A$2:$A$455)</f>
        <v/>
      </c>
      <c r="F25" s="43">
        <f>IF(E25=0,"",D25/E25)</f>
        <v/>
      </c>
      <c r="G25" s="4" t="inlineStr">
        <is>
          <t>Descriptive, inherited extraction; verify before final conclusions</t>
        </is>
      </c>
      <c r="H25" s="4" t="inlineStr">
        <is>
          <t>RQ1</t>
        </is>
      </c>
      <c r="I25" s="4" t="inlineStr">
        <is>
          <t>data_source_primary</t>
        </is>
      </c>
    </row>
    <row r="26" ht="60" customHeight="1">
      <c r="A26" s="4" t="inlineStr">
        <is>
          <t>Data source</t>
        </is>
      </c>
      <c r="B26" s="4" t="inlineStr">
        <is>
          <t>All</t>
        </is>
      </c>
      <c r="C26" s="4" t="inlineStr">
        <is>
          <t>Text / NLP (legacy; verify input type)</t>
        </is>
      </c>
      <c r="D26" s="4">
        <f>COUNTIFS('RQ1'!$F$2:$F$455,"Text / NLP (legacy; verify input type)")</f>
        <v/>
      </c>
      <c r="E26" s="4">
        <f>COUNTA('RQ1'!$A$2:$A$455)</f>
        <v/>
      </c>
      <c r="F26" s="43">
        <f>IF(E26=0,"",D26/E26)</f>
        <v/>
      </c>
      <c r="G26" s="4" t="inlineStr">
        <is>
          <t>Descriptive, inherited extraction; verify before final conclusions</t>
        </is>
      </c>
      <c r="H26" s="4" t="inlineStr">
        <is>
          <t>RQ1</t>
        </is>
      </c>
      <c r="I26" s="4" t="inlineStr">
        <is>
          <t>data_source_primary</t>
        </is>
      </c>
    </row>
    <row r="27" ht="60" customHeight="1">
      <c r="A27" s="4" t="inlineStr">
        <is>
          <t>Data source</t>
        </is>
      </c>
      <c r="B27" s="4" t="inlineStr">
        <is>
          <t>All</t>
        </is>
      </c>
      <c r="C27" s="4" t="inlineStr">
        <is>
          <t>Text / language</t>
        </is>
      </c>
      <c r="D27" s="4">
        <f>COUNTIFS('RQ1'!$F$2:$F$455,"Text / language")</f>
        <v/>
      </c>
      <c r="E27" s="4">
        <f>COUNTA('RQ1'!$A$2:$A$455)</f>
        <v/>
      </c>
      <c r="F27" s="43">
        <f>IF(E27=0,"",D27/E27)</f>
        <v/>
      </c>
      <c r="G27" s="4" t="inlineStr">
        <is>
          <t>Descriptive, inherited extraction; verify before final conclusions</t>
        </is>
      </c>
      <c r="H27" s="4" t="inlineStr">
        <is>
          <t>RQ1</t>
        </is>
      </c>
      <c r="I27" s="4" t="inlineStr">
        <is>
          <t>data_source_primary</t>
        </is>
      </c>
    </row>
    <row r="28" ht="60" customHeight="1">
      <c r="A28" s="4" t="inlineStr">
        <is>
          <t>Data source</t>
        </is>
      </c>
      <c r="B28" s="4" t="inlineStr">
        <is>
          <t>All</t>
        </is>
      </c>
      <c r="C28" s="4" t="inlineStr">
        <is>
          <t>Thermal imaging / physiology</t>
        </is>
      </c>
      <c r="D28" s="4">
        <f>COUNTIFS('RQ1'!$F$2:$F$455,"Thermal imaging / physiology")</f>
        <v/>
      </c>
      <c r="E28" s="4">
        <f>COUNTA('RQ1'!$A$2:$A$455)</f>
        <v/>
      </c>
      <c r="F28" s="43">
        <f>IF(E28=0,"",D28/E28)</f>
        <v/>
      </c>
      <c r="G28" s="4" t="inlineStr">
        <is>
          <t>Descriptive, inherited extraction; verify before final conclusions</t>
        </is>
      </c>
      <c r="H28" s="4" t="inlineStr">
        <is>
          <t>RQ1</t>
        </is>
      </c>
      <c r="I28" s="4" t="inlineStr">
        <is>
          <t>data_source_primary</t>
        </is>
      </c>
    </row>
    <row r="29" ht="60" customHeight="1">
      <c r="A29" s="4" t="inlineStr">
        <is>
          <t>RQ2 status</t>
        </is>
      </c>
      <c r="B29" s="4" t="inlineStr">
        <is>
          <t>All</t>
        </is>
      </c>
      <c r="C29" s="4" t="inlineStr">
        <is>
          <t>Confirmed in care delivery</t>
        </is>
      </c>
      <c r="D29" s="4">
        <f>COUNTIFS('RQ2'!$D$2:$D$455,"Confirmed in care delivery")</f>
        <v/>
      </c>
      <c r="E29" s="4">
        <f>COUNTA('RQ2'!$A$2:$A$455)</f>
        <v/>
      </c>
      <c r="F29" s="43">
        <f>IF(E29=0,"",D29/E29)</f>
        <v/>
      </c>
      <c r="G29" s="4" t="inlineStr">
        <is>
          <t>Descriptive, inherited extraction; verify before final conclusions</t>
        </is>
      </c>
      <c r="H29" s="4" t="inlineStr">
        <is>
          <t>RQ2</t>
        </is>
      </c>
      <c r="I29" s="4" t="inlineStr">
        <is>
          <t>integration_status</t>
        </is>
      </c>
    </row>
    <row r="30" ht="60" customHeight="1">
      <c r="A30" s="4" t="inlineStr">
        <is>
          <t>RQ2 status</t>
        </is>
      </c>
      <c r="B30" s="4" t="inlineStr">
        <is>
          <t>All</t>
        </is>
      </c>
      <c r="C30" s="4" t="inlineStr">
        <is>
          <t>Confirmed in intervention</t>
        </is>
      </c>
      <c r="D30" s="4">
        <f>COUNTIFS('RQ2'!$D$2:$D$455,"Confirmed in intervention")</f>
        <v/>
      </c>
      <c r="E30" s="4">
        <f>COUNTA('RQ2'!$A$2:$A$455)</f>
        <v/>
      </c>
      <c r="F30" s="43">
        <f>IF(E30=0,"",D30/E30)</f>
        <v/>
      </c>
      <c r="G30" s="4" t="inlineStr">
        <is>
          <t>Descriptive, inherited extraction; verify before final conclusions</t>
        </is>
      </c>
      <c r="H30" s="4" t="inlineStr">
        <is>
          <t>RQ2</t>
        </is>
      </c>
      <c r="I30" s="4" t="inlineStr">
        <is>
          <t>integration_status</t>
        </is>
      </c>
    </row>
    <row r="31" ht="60" customHeight="1">
      <c r="A31" s="4" t="inlineStr">
        <is>
          <t>RQ2 status</t>
        </is>
      </c>
      <c r="B31" s="4" t="inlineStr">
        <is>
          <t>All</t>
        </is>
      </c>
      <c r="C31" s="4" t="inlineStr">
        <is>
          <t>Confirmed in workflow</t>
        </is>
      </c>
      <c r="D31" s="4">
        <f>COUNTIFS('RQ2'!$D$2:$D$455,"Confirmed in workflow")</f>
        <v/>
      </c>
      <c r="E31" s="4">
        <f>COUNTA('RQ2'!$A$2:$A$455)</f>
        <v/>
      </c>
      <c r="F31" s="43">
        <f>IF(E31=0,"",D31/E31)</f>
        <v/>
      </c>
      <c r="G31" s="4" t="inlineStr">
        <is>
          <t>Descriptive, inherited extraction; verify before final conclusions</t>
        </is>
      </c>
      <c r="H31" s="4" t="inlineStr">
        <is>
          <t>RQ2</t>
        </is>
      </c>
      <c r="I31" s="4" t="inlineStr">
        <is>
          <t>integration_status</t>
        </is>
      </c>
    </row>
    <row r="32" ht="60" customHeight="1">
      <c r="A32" s="4" t="inlineStr">
        <is>
          <t>RQ2 status</t>
        </is>
      </c>
      <c r="B32" s="4" t="inlineStr">
        <is>
          <t>All</t>
        </is>
      </c>
      <c r="C32" s="4" t="inlineStr">
        <is>
          <t>Proposed only</t>
        </is>
      </c>
      <c r="D32" s="4">
        <f>COUNTIFS('RQ2'!$D$2:$D$455,"Proposed only")</f>
        <v/>
      </c>
      <c r="E32" s="4">
        <f>COUNTA('RQ2'!$A$2:$A$455)</f>
        <v/>
      </c>
      <c r="F32" s="43">
        <f>IF(E32=0,"",D32/E32)</f>
        <v/>
      </c>
      <c r="G32" s="4" t="inlineStr">
        <is>
          <t>Descriptive, inherited extraction; verify before final conclusions</t>
        </is>
      </c>
      <c r="H32" s="4" t="inlineStr">
        <is>
          <t>RQ2</t>
        </is>
      </c>
      <c r="I32" s="4" t="inlineStr">
        <is>
          <t>integration_status</t>
        </is>
      </c>
    </row>
    <row r="33" ht="60" customHeight="1">
      <c r="A33" s="4" t="inlineStr">
        <is>
          <t>RQ2 status</t>
        </is>
      </c>
      <c r="B33" s="4" t="inlineStr">
        <is>
          <t>All</t>
        </is>
      </c>
      <c r="C33" s="4" t="inlineStr">
        <is>
          <t>Research only</t>
        </is>
      </c>
      <c r="D33" s="4">
        <f>COUNTIFS('RQ2'!$D$2:$D$455,"Research only")</f>
        <v/>
      </c>
      <c r="E33" s="4">
        <f>COUNTA('RQ2'!$A$2:$A$455)</f>
        <v/>
      </c>
      <c r="F33" s="43">
        <f>IF(E33=0,"",D33/E33)</f>
        <v/>
      </c>
      <c r="G33" s="4" t="inlineStr">
        <is>
          <t>Descriptive, inherited extraction; verify before final conclusions</t>
        </is>
      </c>
      <c r="H33" s="4" t="inlineStr">
        <is>
          <t>RQ2</t>
        </is>
      </c>
      <c r="I33" s="4" t="inlineStr">
        <is>
          <t>integration_status</t>
        </is>
      </c>
    </row>
    <row r="34" ht="60" customHeight="1">
      <c r="A34" s="4" t="inlineStr">
        <is>
          <t>RQ2 status</t>
        </is>
      </c>
      <c r="B34" s="4" t="inlineStr">
        <is>
          <t>All</t>
        </is>
      </c>
      <c r="C34" s="4" t="inlineStr">
        <is>
          <t>Pending / unclassified</t>
        </is>
      </c>
      <c r="D34" s="4">
        <f>COUNTIFS('RQ2'!$D$2:$D$455,"")</f>
        <v/>
      </c>
      <c r="E34" s="4">
        <f>COUNTA('RQ2'!$A$2:$A$455)</f>
        <v/>
      </c>
      <c r="F34" s="43">
        <f>IF(E34=0,"",D34/E34)</f>
        <v/>
      </c>
      <c r="G34" s="4" t="inlineStr">
        <is>
          <t>Descriptive, inherited extraction; verify before final conclusions</t>
        </is>
      </c>
      <c r="H34" s="4" t="inlineStr">
        <is>
          <t>RQ2</t>
        </is>
      </c>
      <c r="I34" s="4" t="inlineStr">
        <is>
          <t>integration_status</t>
        </is>
      </c>
    </row>
    <row r="35" ht="47" customHeight="1">
      <c r="A35" s="4" t="inlineStr">
        <is>
          <t>RQ3 indicator</t>
        </is>
      </c>
      <c r="B35" s="4" t="inlineStr">
        <is>
          <t>All</t>
        </is>
      </c>
      <c r="C35" s="4" t="inlineStr">
        <is>
          <t>external_validation</t>
        </is>
      </c>
      <c r="D35" s="4">
        <f>COUNTIFS('RQ3'!$D$2:$D$455,1)</f>
        <v/>
      </c>
      <c r="E35" s="4">
        <f>COUNTIFS('RQ3'!$D$2:$D$455,1)+COUNTIFS('RQ3'!$D$2:$D$455,0,'RQ3'!$D$2:$D$455,"&lt;&gt;")</f>
        <v/>
      </c>
      <c r="F35" s="43">
        <f>IF(E35=0,"",D35/E35)</f>
        <v/>
      </c>
      <c r="G35" s="4" t="inlineStr">
        <is>
          <t>Numerator = 1; denominator = recorded 0/1; blank excluded</t>
        </is>
      </c>
      <c r="H35" s="4" t="inlineStr">
        <is>
          <t>RQ3</t>
        </is>
      </c>
      <c r="I35" s="4" t="inlineStr">
        <is>
          <t>external_validation</t>
        </is>
      </c>
    </row>
    <row r="36" ht="47" customHeight="1">
      <c r="A36" s="4" t="inlineStr">
        <is>
          <t>RQ3 indicator</t>
        </is>
      </c>
      <c r="B36" s="4" t="inlineStr">
        <is>
          <t>All</t>
        </is>
      </c>
      <c r="C36" s="4" t="inlineStr">
        <is>
          <t>multisite_dataset</t>
        </is>
      </c>
      <c r="D36" s="4">
        <f>COUNTIFS('RQ3'!$E$2:$E$455,1)</f>
        <v/>
      </c>
      <c r="E36" s="4">
        <f>COUNTIFS('RQ3'!$E$2:$E$455,1)+COUNTIFS('RQ3'!$E$2:$E$455,0,'RQ3'!$E$2:$E$455,"&lt;&gt;")</f>
        <v/>
      </c>
      <c r="F36" s="43">
        <f>IF(E36=0,"",D36/E36)</f>
        <v/>
      </c>
      <c r="G36" s="4" t="inlineStr">
        <is>
          <t>Numerator = 1; denominator = recorded 0/1; blank excluded</t>
        </is>
      </c>
      <c r="H36" s="4" t="inlineStr">
        <is>
          <t>RQ3</t>
        </is>
      </c>
      <c r="I36" s="4" t="inlineStr">
        <is>
          <t>multisite_dataset</t>
        </is>
      </c>
    </row>
    <row r="37" ht="47" customHeight="1">
      <c r="A37" s="4" t="inlineStr">
        <is>
          <t>RQ3 indicator</t>
        </is>
      </c>
      <c r="B37" s="4" t="inlineStr">
        <is>
          <t>All</t>
        </is>
      </c>
      <c r="C37" s="4" t="inlineStr">
        <is>
          <t>cross_site_robustness</t>
        </is>
      </c>
      <c r="D37" s="4">
        <f>COUNTIFS('RQ3'!$F$2:$F$455,1)</f>
        <v/>
      </c>
      <c r="E37" s="4">
        <f>COUNTIFS('RQ3'!$F$2:$F$455,1)+COUNTIFS('RQ3'!$F$2:$F$455,0,'RQ3'!$F$2:$F$455,"&lt;&gt;")</f>
        <v/>
      </c>
      <c r="F37" s="43">
        <f>IF(E37=0,"",D37/E37)</f>
        <v/>
      </c>
      <c r="G37" s="4" t="inlineStr">
        <is>
          <t>Numerator = 1; denominator = recorded 0/1; blank excluded</t>
        </is>
      </c>
      <c r="H37" s="4" t="inlineStr">
        <is>
          <t>RQ3</t>
        </is>
      </c>
      <c r="I37" s="4" t="inlineStr">
        <is>
          <t>cross_site_robustness</t>
        </is>
      </c>
    </row>
    <row r="38" ht="47" customHeight="1">
      <c r="A38" s="4" t="inlineStr">
        <is>
          <t>RQ3 indicator</t>
        </is>
      </c>
      <c r="B38" s="4" t="inlineStr">
        <is>
          <t>All</t>
        </is>
      </c>
      <c r="C38" s="4" t="inlineStr">
        <is>
          <t>prospective_evaluation</t>
        </is>
      </c>
      <c r="D38" s="4">
        <f>COUNTIFS('RQ3'!$G$2:$G$455,1)</f>
        <v/>
      </c>
      <c r="E38" s="4">
        <f>COUNTIFS('RQ3'!$G$2:$G$455,1)+COUNTIFS('RQ3'!$G$2:$G$455,0,'RQ3'!$G$2:$G$455,"&lt;&gt;")</f>
        <v/>
      </c>
      <c r="F38" s="43">
        <f>IF(E38=0,"",D38/E38)</f>
        <v/>
      </c>
      <c r="G38" s="4" t="inlineStr">
        <is>
          <t>Numerator = 1; denominator = recorded 0/1; blank excluded</t>
        </is>
      </c>
      <c r="H38" s="4" t="inlineStr">
        <is>
          <t>RQ3</t>
        </is>
      </c>
      <c r="I38" s="4" t="inlineStr">
        <is>
          <t>prospective_evaluation</t>
        </is>
      </c>
    </row>
    <row r="39" ht="47" customHeight="1">
      <c r="A39" s="4" t="inlineStr">
        <is>
          <t>RQ3 indicator</t>
        </is>
      </c>
      <c r="B39" s="4" t="inlineStr">
        <is>
          <t>All</t>
        </is>
      </c>
      <c r="C39" s="4" t="inlineStr">
        <is>
          <t>xai_strict</t>
        </is>
      </c>
      <c r="D39" s="4">
        <f>COUNTIFS('RQ3'!$H$2:$H$455,1)</f>
        <v/>
      </c>
      <c r="E39" s="4">
        <f>COUNTIFS('RQ3'!$H$2:$H$455,1)+COUNTIFS('RQ3'!$H$2:$H$455,0,'RQ3'!$H$2:$H$455,"&lt;&gt;")</f>
        <v/>
      </c>
      <c r="F39" s="43">
        <f>IF(E39=0,"",D39/E39)</f>
        <v/>
      </c>
      <c r="G39" s="4" t="inlineStr">
        <is>
          <t>Numerator = 1; denominator = recorded 0/1; blank excluded</t>
        </is>
      </c>
      <c r="H39" s="4" t="inlineStr">
        <is>
          <t>RQ3</t>
        </is>
      </c>
      <c r="I39" s="4" t="inlineStr">
        <is>
          <t>xai_strict</t>
        </is>
      </c>
    </row>
    <row r="40" ht="47" customHeight="1">
      <c r="A40" s="4" t="inlineStr">
        <is>
          <t>RQ3 indicator</t>
        </is>
      </c>
      <c r="B40" s="4" t="inlineStr">
        <is>
          <t>All</t>
        </is>
      </c>
      <c r="C40" s="4" t="inlineStr">
        <is>
          <t>xai_partial</t>
        </is>
      </c>
      <c r="D40" s="4">
        <f>COUNTIFS('RQ3'!$I$2:$I$455,1)</f>
        <v/>
      </c>
      <c r="E40" s="4">
        <f>COUNTIFS('RQ3'!$I$2:$I$455,1)+COUNTIFS('RQ3'!$I$2:$I$455,0,'RQ3'!$I$2:$I$455,"&lt;&gt;")</f>
        <v/>
      </c>
      <c r="F40" s="43">
        <f>IF(E40=0,"",D40/E40)</f>
        <v/>
      </c>
      <c r="G40" s="4" t="inlineStr">
        <is>
          <t>Numerator = 1; denominator = recorded 0/1; blank excluded</t>
        </is>
      </c>
      <c r="H40" s="4" t="inlineStr">
        <is>
          <t>RQ3</t>
        </is>
      </c>
      <c r="I40" s="4" t="inlineStr">
        <is>
          <t>xai_partial</t>
        </is>
      </c>
    </row>
    <row r="41" ht="47" customHeight="1">
      <c r="A41" s="4" t="inlineStr">
        <is>
          <t>RQ3 indicator</t>
        </is>
      </c>
      <c r="B41" s="4" t="inlineStr">
        <is>
          <t>All</t>
        </is>
      </c>
      <c r="C41" s="4" t="inlineStr">
        <is>
          <t>multisource_data</t>
        </is>
      </c>
      <c r="D41" s="4">
        <f>COUNTIFS('RQ3'!$J$2:$J$455,1)</f>
        <v/>
      </c>
      <c r="E41" s="4">
        <f>COUNTIFS('RQ3'!$J$2:$J$455,1)+COUNTIFS('RQ3'!$J$2:$J$455,0,'RQ3'!$J$2:$J$455,"&lt;&gt;")</f>
        <v/>
      </c>
      <c r="F41" s="43">
        <f>IF(E41=0,"",D41/E41)</f>
        <v/>
      </c>
      <c r="G41" s="4" t="inlineStr">
        <is>
          <t>Numerator = 1; denominator = recorded 0/1; blank excluded</t>
        </is>
      </c>
      <c r="H41" s="4" t="inlineStr">
        <is>
          <t>RQ3</t>
        </is>
      </c>
      <c r="I41" s="4" t="inlineStr">
        <is>
          <t>multisource_data</t>
        </is>
      </c>
    </row>
    <row r="42" ht="60" customHeight="1">
      <c r="A42" s="4" t="inlineStr">
        <is>
          <t>Clinical stage</t>
        </is>
      </c>
      <c r="B42" s="4" t="inlineStr">
        <is>
          <t>Historical</t>
        </is>
      </c>
      <c r="C42" s="4" t="inlineStr">
        <is>
          <t>Diagnosis</t>
        </is>
      </c>
      <c r="D42" s="4">
        <f>COUNTIFS('RQ1'!$D$2:$D$455,"Diagnosis" ,'RQ1'!$B$2:$B$455,"Historical")</f>
        <v/>
      </c>
      <c r="E42" s="4">
        <f>COUNTIF('RQ1'!$B$2:$B$455,"Historical")</f>
        <v/>
      </c>
      <c r="F42" s="43">
        <f>IF(E42=0,"",D42/E42)</f>
        <v/>
      </c>
      <c r="G42" s="4" t="inlineStr">
        <is>
          <t>Descriptive, inherited extraction; verify before final conclusions</t>
        </is>
      </c>
      <c r="H42" s="4" t="inlineStr">
        <is>
          <t>RQ1</t>
        </is>
      </c>
      <c r="I42" s="4" t="inlineStr">
        <is>
          <t>stage_primary</t>
        </is>
      </c>
    </row>
    <row r="43" ht="60" customHeight="1">
      <c r="A43" s="4" t="inlineStr">
        <is>
          <t>Clinical stage</t>
        </is>
      </c>
      <c r="B43" s="4" t="inlineStr">
        <is>
          <t>Historical</t>
        </is>
      </c>
      <c r="C43" s="4" t="inlineStr">
        <is>
          <t>Monitoring/intervention</t>
        </is>
      </c>
      <c r="D43" s="4">
        <f>COUNTIFS('RQ1'!$D$2:$D$455,"Monitoring/intervention" ,'RQ1'!$B$2:$B$455,"Historical")</f>
        <v/>
      </c>
      <c r="E43" s="4">
        <f>COUNTIF('RQ1'!$B$2:$B$455,"Historical")</f>
        <v/>
      </c>
      <c r="F43" s="43">
        <f>IF(E43=0,"",D43/E43)</f>
        <v/>
      </c>
      <c r="G43" s="4" t="inlineStr">
        <is>
          <t>Descriptive, inherited extraction; verify before final conclusions</t>
        </is>
      </c>
      <c r="H43" s="4" t="inlineStr">
        <is>
          <t>RQ1</t>
        </is>
      </c>
      <c r="I43" s="4" t="inlineStr">
        <is>
          <t>stage_primary</t>
        </is>
      </c>
    </row>
    <row r="44" ht="60" customHeight="1">
      <c r="A44" s="4" t="inlineStr">
        <is>
          <t>Clinical stage</t>
        </is>
      </c>
      <c r="B44" s="4" t="inlineStr">
        <is>
          <t>Historical</t>
        </is>
      </c>
      <c r="C44" s="4" t="inlineStr">
        <is>
          <t>Not specified</t>
        </is>
      </c>
      <c r="D44" s="4">
        <f>COUNTIFS('RQ1'!$D$2:$D$455,"Not specified" ,'RQ1'!$B$2:$B$455,"Historical")</f>
        <v/>
      </c>
      <c r="E44" s="4">
        <f>COUNTIF('RQ1'!$B$2:$B$455,"Historical")</f>
        <v/>
      </c>
      <c r="F44" s="43">
        <f>IF(E44=0,"",D44/E44)</f>
        <v/>
      </c>
      <c r="G44" s="4" t="inlineStr">
        <is>
          <t>Descriptive, inherited extraction; verify before final conclusions</t>
        </is>
      </c>
      <c r="H44" s="4" t="inlineStr">
        <is>
          <t>RQ1</t>
        </is>
      </c>
      <c r="I44" s="4" t="inlineStr">
        <is>
          <t>stage_primary</t>
        </is>
      </c>
    </row>
    <row r="45" ht="60" customHeight="1">
      <c r="A45" s="4" t="inlineStr">
        <is>
          <t>Clinical stage</t>
        </is>
      </c>
      <c r="B45" s="4" t="inlineStr">
        <is>
          <t>Historical</t>
        </is>
      </c>
      <c r="C45" s="4" t="inlineStr">
        <is>
          <t>Prescreening</t>
        </is>
      </c>
      <c r="D45" s="4">
        <f>COUNTIFS('RQ1'!$D$2:$D$455,"Prescreening" ,'RQ1'!$B$2:$B$455,"Historical")</f>
        <v/>
      </c>
      <c r="E45" s="4">
        <f>COUNTIF('RQ1'!$B$2:$B$455,"Historical")</f>
        <v/>
      </c>
      <c r="F45" s="43">
        <f>IF(E45=0,"",D45/E45)</f>
        <v/>
      </c>
      <c r="G45" s="4" t="inlineStr">
        <is>
          <t>Descriptive, inherited extraction; verify before final conclusions</t>
        </is>
      </c>
      <c r="H45" s="4" t="inlineStr">
        <is>
          <t>RQ1</t>
        </is>
      </c>
      <c r="I45" s="4" t="inlineStr">
        <is>
          <t>stage_primary</t>
        </is>
      </c>
    </row>
    <row r="46" ht="60" customHeight="1">
      <c r="A46" s="4" t="inlineStr">
        <is>
          <t>Clinical stage</t>
        </is>
      </c>
      <c r="B46" s="4" t="inlineStr">
        <is>
          <t>Historical</t>
        </is>
      </c>
      <c r="C46" s="4" t="inlineStr">
        <is>
          <t>Prognosis</t>
        </is>
      </c>
      <c r="D46" s="4">
        <f>COUNTIFS('RQ1'!$D$2:$D$455,"Prognosis" ,'RQ1'!$B$2:$B$455,"Historical")</f>
        <v/>
      </c>
      <c r="E46" s="4">
        <f>COUNTIF('RQ1'!$B$2:$B$455,"Historical")</f>
        <v/>
      </c>
      <c r="F46" s="43">
        <f>IF(E46=0,"",D46/E46)</f>
        <v/>
      </c>
      <c r="G46" s="4" t="inlineStr">
        <is>
          <t>Descriptive, inherited extraction; verify before final conclusions</t>
        </is>
      </c>
      <c r="H46" s="4" t="inlineStr">
        <is>
          <t>RQ1</t>
        </is>
      </c>
      <c r="I46" s="4" t="inlineStr">
        <is>
          <t>stage_primary</t>
        </is>
      </c>
    </row>
    <row r="47" ht="60" customHeight="1">
      <c r="A47" s="4" t="inlineStr">
        <is>
          <t>Clinical stage</t>
        </is>
      </c>
      <c r="B47" s="4" t="inlineStr">
        <is>
          <t>Historical</t>
        </is>
      </c>
      <c r="C47" s="4" t="inlineStr">
        <is>
          <t>Screening</t>
        </is>
      </c>
      <c r="D47" s="4">
        <f>COUNTIFS('RQ1'!$D$2:$D$455,"Screening" ,'RQ1'!$B$2:$B$455,"Historical")</f>
        <v/>
      </c>
      <c r="E47" s="4">
        <f>COUNTIF('RQ1'!$B$2:$B$455,"Historical")</f>
        <v/>
      </c>
      <c r="F47" s="43">
        <f>IF(E47=0,"",D47/E47)</f>
        <v/>
      </c>
      <c r="G47" s="4" t="inlineStr">
        <is>
          <t>Descriptive, inherited extraction; verify before final conclusions</t>
        </is>
      </c>
      <c r="H47" s="4" t="inlineStr">
        <is>
          <t>RQ1</t>
        </is>
      </c>
      <c r="I47" s="4" t="inlineStr">
        <is>
          <t>stage_primary</t>
        </is>
      </c>
    </row>
    <row r="48" ht="60" customHeight="1">
      <c r="A48" s="4" t="inlineStr">
        <is>
          <t>AI type</t>
        </is>
      </c>
      <c r="B48" s="4" t="inlineStr">
        <is>
          <t>Historical</t>
        </is>
      </c>
      <c r="C48" s="4" t="inlineStr">
        <is>
          <t>Deep Learning</t>
        </is>
      </c>
      <c r="D48" s="4">
        <f>COUNTIFS('RQ1'!$E$2:$E$455,"Deep Learning" ,'RQ1'!$B$2:$B$455,"Historical")</f>
        <v/>
      </c>
      <c r="E48" s="4">
        <f>COUNTIF('RQ1'!$B$2:$B$455,"Historical")</f>
        <v/>
      </c>
      <c r="F48" s="43">
        <f>IF(E48=0,"",D48/E48)</f>
        <v/>
      </c>
      <c r="G48" s="4" t="inlineStr">
        <is>
          <t>Descriptive, inherited extraction; verify before final conclusions</t>
        </is>
      </c>
      <c r="H48" s="4" t="inlineStr">
        <is>
          <t>RQ1</t>
        </is>
      </c>
      <c r="I48" s="4" t="inlineStr">
        <is>
          <t>ai_type</t>
        </is>
      </c>
    </row>
    <row r="49" ht="60" customHeight="1">
      <c r="A49" s="4" t="inlineStr">
        <is>
          <t>AI type</t>
        </is>
      </c>
      <c r="B49" s="4" t="inlineStr">
        <is>
          <t>Historical</t>
        </is>
      </c>
      <c r="C49" s="4" t="inlineStr">
        <is>
          <t>Hybrid</t>
        </is>
      </c>
      <c r="D49" s="4">
        <f>COUNTIFS('RQ1'!$E$2:$E$455,"Hybrid" ,'RQ1'!$B$2:$B$455,"Historical")</f>
        <v/>
      </c>
      <c r="E49" s="4">
        <f>COUNTIF('RQ1'!$B$2:$B$455,"Historical")</f>
        <v/>
      </c>
      <c r="F49" s="43">
        <f>IF(E49=0,"",D49/E49)</f>
        <v/>
      </c>
      <c r="G49" s="4" t="inlineStr">
        <is>
          <t>Descriptive, inherited extraction; verify before final conclusions</t>
        </is>
      </c>
      <c r="H49" s="4" t="inlineStr">
        <is>
          <t>RQ1</t>
        </is>
      </c>
      <c r="I49" s="4" t="inlineStr">
        <is>
          <t>ai_type</t>
        </is>
      </c>
    </row>
    <row r="50" ht="60" customHeight="1">
      <c r="A50" s="4" t="inlineStr">
        <is>
          <t>AI type</t>
        </is>
      </c>
      <c r="B50" s="4" t="inlineStr">
        <is>
          <t>Historical</t>
        </is>
      </c>
      <c r="C50" s="4" t="inlineStr">
        <is>
          <t>Machine Learning</t>
        </is>
      </c>
      <c r="D50" s="4">
        <f>COUNTIFS('RQ1'!$E$2:$E$455,"Machine Learning" ,'RQ1'!$B$2:$B$455,"Historical")</f>
        <v/>
      </c>
      <c r="E50" s="4">
        <f>COUNTIF('RQ1'!$B$2:$B$455,"Historical")</f>
        <v/>
      </c>
      <c r="F50" s="43">
        <f>IF(E50=0,"",D50/E50)</f>
        <v/>
      </c>
      <c r="G50" s="4" t="inlineStr">
        <is>
          <t>Descriptive, inherited extraction; verify before final conclusions</t>
        </is>
      </c>
      <c r="H50" s="4" t="inlineStr">
        <is>
          <t>RQ1</t>
        </is>
      </c>
      <c r="I50" s="4" t="inlineStr">
        <is>
          <t>ai_type</t>
        </is>
      </c>
    </row>
    <row r="51" ht="60" customHeight="1">
      <c r="A51" s="4" t="inlineStr">
        <is>
          <t>AI type</t>
        </is>
      </c>
      <c r="B51" s="4" t="inlineStr">
        <is>
          <t>Historical</t>
        </is>
      </c>
      <c r="C51" s="4" t="inlineStr">
        <is>
          <t>Not specified</t>
        </is>
      </c>
      <c r="D51" s="4">
        <f>COUNTIFS('RQ1'!$E$2:$E$455,"Not specified" ,'RQ1'!$B$2:$B$455,"Historical")</f>
        <v/>
      </c>
      <c r="E51" s="4">
        <f>COUNTIF('RQ1'!$B$2:$B$455,"Historical")</f>
        <v/>
      </c>
      <c r="F51" s="43">
        <f>IF(E51=0,"",D51/E51)</f>
        <v/>
      </c>
      <c r="G51" s="4" t="inlineStr">
        <is>
          <t>Descriptive, inherited extraction; verify before final conclusions</t>
        </is>
      </c>
      <c r="H51" s="4" t="inlineStr">
        <is>
          <t>RQ1</t>
        </is>
      </c>
      <c r="I51" s="4" t="inlineStr">
        <is>
          <t>ai_type</t>
        </is>
      </c>
    </row>
    <row r="52" ht="60" customHeight="1">
      <c r="A52" s="4" t="inlineStr">
        <is>
          <t>Data source</t>
        </is>
      </c>
      <c r="B52" s="4" t="inlineStr">
        <is>
          <t>Historical</t>
        </is>
      </c>
      <c r="C52" s="4" t="inlineStr">
        <is>
          <t>Audio / voice</t>
        </is>
      </c>
      <c r="D52" s="4">
        <f>COUNTIFS('RQ1'!$F$2:$F$455,"Audio / voice" ,'RQ1'!$B$2:$B$455,"Historical")</f>
        <v/>
      </c>
      <c r="E52" s="4">
        <f>COUNTIF('RQ1'!$B$2:$B$455,"Historical")</f>
        <v/>
      </c>
      <c r="F52" s="43">
        <f>IF(E52=0,"",D52/E52)</f>
        <v/>
      </c>
      <c r="G52" s="4" t="inlineStr">
        <is>
          <t>Descriptive, inherited extraction; verify before final conclusions</t>
        </is>
      </c>
      <c r="H52" s="4" t="inlineStr">
        <is>
          <t>RQ1</t>
        </is>
      </c>
      <c r="I52" s="4" t="inlineStr">
        <is>
          <t>data_source_primary</t>
        </is>
      </c>
    </row>
    <row r="53" ht="60" customHeight="1">
      <c r="A53" s="4" t="inlineStr">
        <is>
          <t>Data source</t>
        </is>
      </c>
      <c r="B53" s="4" t="inlineStr">
        <is>
          <t>Historical</t>
        </is>
      </c>
      <c r="C53" s="4" t="inlineStr">
        <is>
          <t>Behavioral gaze / eye tracking</t>
        </is>
      </c>
      <c r="D53" s="4">
        <f>COUNTIFS('RQ1'!$F$2:$F$455,"Behavioral gaze / eye tracking" ,'RQ1'!$B$2:$B$455,"Historical")</f>
        <v/>
      </c>
      <c r="E53" s="4">
        <f>COUNTIF('RQ1'!$B$2:$B$455,"Historical")</f>
        <v/>
      </c>
      <c r="F53" s="43">
        <f>IF(E53=0,"",D53/E53)</f>
        <v/>
      </c>
      <c r="G53" s="4" t="inlineStr">
        <is>
          <t>Descriptive, inherited extraction; verify before final conclusions</t>
        </is>
      </c>
      <c r="H53" s="4" t="inlineStr">
        <is>
          <t>RQ1</t>
        </is>
      </c>
      <c r="I53" s="4" t="inlineStr">
        <is>
          <t>data_source_primary</t>
        </is>
      </c>
    </row>
    <row r="54" ht="60" customHeight="1">
      <c r="A54" s="4" t="inlineStr">
        <is>
          <t>Data source</t>
        </is>
      </c>
      <c r="B54" s="4" t="inlineStr">
        <is>
          <t>Historical</t>
        </is>
      </c>
      <c r="C54" s="4" t="inlineStr">
        <is>
          <t>Behavioral video / movement</t>
        </is>
      </c>
      <c r="D54" s="4">
        <f>COUNTIFS('RQ1'!$F$2:$F$455,"Behavioral video / movement" ,'RQ1'!$B$2:$B$455,"Historical")</f>
        <v/>
      </c>
      <c r="E54" s="4">
        <f>COUNTIF('RQ1'!$B$2:$B$455,"Historical")</f>
        <v/>
      </c>
      <c r="F54" s="43">
        <f>IF(E54=0,"",D54/E54)</f>
        <v/>
      </c>
      <c r="G54" s="4" t="inlineStr">
        <is>
          <t>Descriptive, inherited extraction; verify before final conclusions</t>
        </is>
      </c>
      <c r="H54" s="4" t="inlineStr">
        <is>
          <t>RQ1</t>
        </is>
      </c>
      <c r="I54" s="4" t="inlineStr">
        <is>
          <t>data_source_primary</t>
        </is>
      </c>
    </row>
    <row r="55" ht="60" customHeight="1">
      <c r="A55" s="4" t="inlineStr">
        <is>
          <t>Data source</t>
        </is>
      </c>
      <c r="B55" s="4" t="inlineStr">
        <is>
          <t>Historical</t>
        </is>
      </c>
      <c r="C55" s="4" t="inlineStr">
        <is>
          <t>Biological/omics</t>
        </is>
      </c>
      <c r="D55" s="4">
        <f>COUNTIFS('RQ1'!$F$2:$F$455,"Biological/omics" ,'RQ1'!$B$2:$B$455,"Historical")</f>
        <v/>
      </c>
      <c r="E55" s="4">
        <f>COUNTIF('RQ1'!$B$2:$B$455,"Historical")</f>
        <v/>
      </c>
      <c r="F55" s="43">
        <f>IF(E55=0,"",D55/E55)</f>
        <v/>
      </c>
      <c r="G55" s="4" t="inlineStr">
        <is>
          <t>Descriptive, inherited extraction; verify before final conclusions</t>
        </is>
      </c>
      <c r="H55" s="4" t="inlineStr">
        <is>
          <t>RQ1</t>
        </is>
      </c>
      <c r="I55" s="4" t="inlineStr">
        <is>
          <t>data_source_primary</t>
        </is>
      </c>
    </row>
    <row r="56" ht="60" customHeight="1">
      <c r="A56" s="4" t="inlineStr">
        <is>
          <t>Data source</t>
        </is>
      </c>
      <c r="B56" s="4" t="inlineStr">
        <is>
          <t>Historical</t>
        </is>
      </c>
      <c r="C56" s="4" t="inlineStr">
        <is>
          <t>Digital / robot interaction</t>
        </is>
      </c>
      <c r="D56" s="4">
        <f>COUNTIFS('RQ1'!$F$2:$F$455,"Digital / robot interaction" ,'RQ1'!$B$2:$B$455,"Historical")</f>
        <v/>
      </c>
      <c r="E56" s="4">
        <f>COUNTIF('RQ1'!$B$2:$B$455,"Historical")</f>
        <v/>
      </c>
      <c r="F56" s="43">
        <f>IF(E56=0,"",D56/E56)</f>
        <v/>
      </c>
      <c r="G56" s="4" t="inlineStr">
        <is>
          <t>Descriptive, inherited extraction; verify before final conclusions</t>
        </is>
      </c>
      <c r="H56" s="4" t="inlineStr">
        <is>
          <t>RQ1</t>
        </is>
      </c>
      <c r="I56" s="4" t="inlineStr">
        <is>
          <t>data_source_primary</t>
        </is>
      </c>
    </row>
    <row r="57" ht="60" customHeight="1">
      <c r="A57" s="4" t="inlineStr">
        <is>
          <t>Data source</t>
        </is>
      </c>
      <c r="B57" s="4" t="inlineStr">
        <is>
          <t>Historical</t>
        </is>
      </c>
      <c r="C57" s="4" t="inlineStr">
        <is>
          <t>Facial images</t>
        </is>
      </c>
      <c r="D57" s="4">
        <f>COUNTIFS('RQ1'!$F$2:$F$455,"Facial images" ,'RQ1'!$B$2:$B$455,"Historical")</f>
        <v/>
      </c>
      <c r="E57" s="4">
        <f>COUNTIF('RQ1'!$B$2:$B$455,"Historical")</f>
        <v/>
      </c>
      <c r="F57" s="43">
        <f>IF(E57=0,"",D57/E57)</f>
        <v/>
      </c>
      <c r="G57" s="4" t="inlineStr">
        <is>
          <t>Descriptive, inherited extraction; verify before final conclusions</t>
        </is>
      </c>
      <c r="H57" s="4" t="inlineStr">
        <is>
          <t>RQ1</t>
        </is>
      </c>
      <c r="I57" s="4" t="inlineStr">
        <is>
          <t>data_source_primary</t>
        </is>
      </c>
    </row>
    <row r="58" ht="60" customHeight="1">
      <c r="A58" s="4" t="inlineStr">
        <is>
          <t>Data source</t>
        </is>
      </c>
      <c r="B58" s="4" t="inlineStr">
        <is>
          <t>Historical</t>
        </is>
      </c>
      <c r="C58" s="4" t="inlineStr">
        <is>
          <t>Image (subtype unresolved)</t>
        </is>
      </c>
      <c r="D58" s="4">
        <f>COUNTIFS('RQ1'!$F$2:$F$455,"Image (subtype unresolved)" ,'RQ1'!$B$2:$B$455,"Historical")</f>
        <v/>
      </c>
      <c r="E58" s="4">
        <f>COUNTIF('RQ1'!$B$2:$B$455,"Historical")</f>
        <v/>
      </c>
      <c r="F58" s="43">
        <f>IF(E58=0,"",D58/E58)</f>
        <v/>
      </c>
      <c r="G58" s="4" t="inlineStr">
        <is>
          <t>Descriptive, inherited extraction; verify before final conclusions</t>
        </is>
      </c>
      <c r="H58" s="4" t="inlineStr">
        <is>
          <t>RQ1</t>
        </is>
      </c>
      <c r="I58" s="4" t="inlineStr">
        <is>
          <t>data_source_primary</t>
        </is>
      </c>
    </row>
    <row r="59" ht="60" customHeight="1">
      <c r="A59" s="4" t="inlineStr">
        <is>
          <t>Data source</t>
        </is>
      </c>
      <c r="B59" s="4" t="inlineStr">
        <is>
          <t>Historical</t>
        </is>
      </c>
      <c r="C59" s="4" t="inlineStr">
        <is>
          <t>Multiple datasets (fusion unverified)</t>
        </is>
      </c>
      <c r="D59" s="4">
        <f>COUNTIFS('RQ1'!$F$2:$F$455,"Multiple datasets (fusion unverified)" ,'RQ1'!$B$2:$B$455,"Historical")</f>
        <v/>
      </c>
      <c r="E59" s="4">
        <f>COUNTIF('RQ1'!$B$2:$B$455,"Historical")</f>
        <v/>
      </c>
      <c r="F59" s="43">
        <f>IF(E59=0,"",D59/E59)</f>
        <v/>
      </c>
      <c r="G59" s="4" t="inlineStr">
        <is>
          <t>Descriptive, inherited extraction; verify before final conclusions</t>
        </is>
      </c>
      <c r="H59" s="4" t="inlineStr">
        <is>
          <t>RQ1</t>
        </is>
      </c>
      <c r="I59" s="4" t="inlineStr">
        <is>
          <t>data_source_primary</t>
        </is>
      </c>
    </row>
    <row r="60" ht="60" customHeight="1">
      <c r="A60" s="4" t="inlineStr">
        <is>
          <t>Data source</t>
        </is>
      </c>
      <c r="B60" s="4" t="inlineStr">
        <is>
          <t>Historical</t>
        </is>
      </c>
      <c r="C60" s="4" t="inlineStr">
        <is>
          <t>Multiple modalities (as coded)</t>
        </is>
      </c>
      <c r="D60" s="4">
        <f>COUNTIFS('RQ1'!$F$2:$F$455,"Multiple modalities (as coded)" ,'RQ1'!$B$2:$B$455,"Historical")</f>
        <v/>
      </c>
      <c r="E60" s="4">
        <f>COUNTIF('RQ1'!$B$2:$B$455,"Historical")</f>
        <v/>
      </c>
      <c r="F60" s="43">
        <f>IF(E60=0,"",D60/E60)</f>
        <v/>
      </c>
      <c r="G60" s="4" t="inlineStr">
        <is>
          <t>Descriptive, inherited extraction; verify before final conclusions</t>
        </is>
      </c>
      <c r="H60" s="4" t="inlineStr">
        <is>
          <t>RQ1</t>
        </is>
      </c>
      <c r="I60" s="4" t="inlineStr">
        <is>
          <t>data_source_primary</t>
        </is>
      </c>
    </row>
    <row r="61" ht="60" customHeight="1">
      <c r="A61" s="4" t="inlineStr">
        <is>
          <t>Data source</t>
        </is>
      </c>
      <c r="B61" s="4" t="inlineStr">
        <is>
          <t>Historical</t>
        </is>
      </c>
      <c r="C61" s="4" t="inlineStr">
        <is>
          <t>Neuroimaging</t>
        </is>
      </c>
      <c r="D61" s="4">
        <f>COUNTIFS('RQ1'!$F$2:$F$455,"Neuroimaging" ,'RQ1'!$B$2:$B$455,"Historical")</f>
        <v/>
      </c>
      <c r="E61" s="4">
        <f>COUNTIF('RQ1'!$B$2:$B$455,"Historical")</f>
        <v/>
      </c>
      <c r="F61" s="43">
        <f>IF(E61=0,"",D61/E61)</f>
        <v/>
      </c>
      <c r="G61" s="4" t="inlineStr">
        <is>
          <t>Descriptive, inherited extraction; verify before final conclusions</t>
        </is>
      </c>
      <c r="H61" s="4" t="inlineStr">
        <is>
          <t>RQ1</t>
        </is>
      </c>
      <c r="I61" s="4" t="inlineStr">
        <is>
          <t>data_source_primary</t>
        </is>
      </c>
    </row>
    <row r="62" ht="60" customHeight="1">
      <c r="A62" s="4" t="inlineStr">
        <is>
          <t>Data source</t>
        </is>
      </c>
      <c r="B62" s="4" t="inlineStr">
        <is>
          <t>Historical</t>
        </is>
      </c>
      <c r="C62" s="4" t="inlineStr">
        <is>
          <t>Not specified</t>
        </is>
      </c>
      <c r="D62" s="4">
        <f>COUNTIFS('RQ1'!$F$2:$F$455,"Not specified" ,'RQ1'!$B$2:$B$455,"Historical")</f>
        <v/>
      </c>
      <c r="E62" s="4">
        <f>COUNTIF('RQ1'!$B$2:$B$455,"Historical")</f>
        <v/>
      </c>
      <c r="F62" s="43">
        <f>IF(E62=0,"",D62/E62)</f>
        <v/>
      </c>
      <c r="G62" s="4" t="inlineStr">
        <is>
          <t>Descriptive, inherited extraction; verify before final conclusions</t>
        </is>
      </c>
      <c r="H62" s="4" t="inlineStr">
        <is>
          <t>RQ1</t>
        </is>
      </c>
      <c r="I62" s="4" t="inlineStr">
        <is>
          <t>data_source_primary</t>
        </is>
      </c>
    </row>
    <row r="63" ht="60" customHeight="1">
      <c r="A63" s="4" t="inlineStr">
        <is>
          <t>Data source</t>
        </is>
      </c>
      <c r="B63" s="4" t="inlineStr">
        <is>
          <t>Historical</t>
        </is>
      </c>
      <c r="C63" s="4" t="inlineStr">
        <is>
          <t>Other images</t>
        </is>
      </c>
      <c r="D63" s="4">
        <f>COUNTIFS('RQ1'!$F$2:$F$455,"Other images" ,'RQ1'!$B$2:$B$455,"Historical")</f>
        <v/>
      </c>
      <c r="E63" s="4">
        <f>COUNTIF('RQ1'!$B$2:$B$455,"Historical")</f>
        <v/>
      </c>
      <c r="F63" s="43">
        <f>IF(E63=0,"",D63/E63)</f>
        <v/>
      </c>
      <c r="G63" s="4" t="inlineStr">
        <is>
          <t>Descriptive, inherited extraction; verify before final conclusions</t>
        </is>
      </c>
      <c r="H63" s="4" t="inlineStr">
        <is>
          <t>RQ1</t>
        </is>
      </c>
      <c r="I63" s="4" t="inlineStr">
        <is>
          <t>data_source_primary</t>
        </is>
      </c>
    </row>
    <row r="64" ht="60" customHeight="1">
      <c r="A64" s="4" t="inlineStr">
        <is>
          <t>Data source</t>
        </is>
      </c>
      <c r="B64" s="4" t="inlineStr">
        <is>
          <t>Historical</t>
        </is>
      </c>
      <c r="C64" s="4" t="inlineStr">
        <is>
          <t>Physiological signals</t>
        </is>
      </c>
      <c r="D64" s="4">
        <f>COUNTIFS('RQ1'!$F$2:$F$455,"Physiological signals" ,'RQ1'!$B$2:$B$455,"Historical")</f>
        <v/>
      </c>
      <c r="E64" s="4">
        <f>COUNTIF('RQ1'!$B$2:$B$455,"Historical")</f>
        <v/>
      </c>
      <c r="F64" s="43">
        <f>IF(E64=0,"",D64/E64)</f>
        <v/>
      </c>
      <c r="G64" s="4" t="inlineStr">
        <is>
          <t>Descriptive, inherited extraction; verify before final conclusions</t>
        </is>
      </c>
      <c r="H64" s="4" t="inlineStr">
        <is>
          <t>RQ1</t>
        </is>
      </c>
      <c r="I64" s="4" t="inlineStr">
        <is>
          <t>data_source_primary</t>
        </is>
      </c>
    </row>
    <row r="65" ht="60" customHeight="1">
      <c r="A65" s="4" t="inlineStr">
        <is>
          <t>Data source</t>
        </is>
      </c>
      <c r="B65" s="4" t="inlineStr">
        <is>
          <t>Historical</t>
        </is>
      </c>
      <c r="C65" s="4" t="inlineStr">
        <is>
          <t>Structured / tabular data</t>
        </is>
      </c>
      <c r="D65" s="4">
        <f>COUNTIFS('RQ1'!$F$2:$F$455,"Structured / tabular data" ,'RQ1'!$B$2:$B$455,"Historical")</f>
        <v/>
      </c>
      <c r="E65" s="4">
        <f>COUNTIF('RQ1'!$B$2:$B$455,"Historical")</f>
        <v/>
      </c>
      <c r="F65" s="43">
        <f>IF(E65=0,"",D65/E65)</f>
        <v/>
      </c>
      <c r="G65" s="4" t="inlineStr">
        <is>
          <t>Descriptive, inherited extraction; verify before final conclusions</t>
        </is>
      </c>
      <c r="H65" s="4" t="inlineStr">
        <is>
          <t>RQ1</t>
        </is>
      </c>
      <c r="I65" s="4" t="inlineStr">
        <is>
          <t>data_source_primary</t>
        </is>
      </c>
    </row>
    <row r="66" ht="60" customHeight="1">
      <c r="A66" s="4" t="inlineStr">
        <is>
          <t>Data source</t>
        </is>
      </c>
      <c r="B66" s="4" t="inlineStr">
        <is>
          <t>Historical</t>
        </is>
      </c>
      <c r="C66" s="4" t="inlineStr">
        <is>
          <t>Text / NLP (legacy; verify input type)</t>
        </is>
      </c>
      <c r="D66" s="4">
        <f>COUNTIFS('RQ1'!$F$2:$F$455,"Text / NLP (legacy; verify input type)" ,'RQ1'!$B$2:$B$455,"Historical")</f>
        <v/>
      </c>
      <c r="E66" s="4">
        <f>COUNTIF('RQ1'!$B$2:$B$455,"Historical")</f>
        <v/>
      </c>
      <c r="F66" s="43">
        <f>IF(E66=0,"",D66/E66)</f>
        <v/>
      </c>
      <c r="G66" s="4" t="inlineStr">
        <is>
          <t>Descriptive, inherited extraction; verify before final conclusions</t>
        </is>
      </c>
      <c r="H66" s="4" t="inlineStr">
        <is>
          <t>RQ1</t>
        </is>
      </c>
      <c r="I66" s="4" t="inlineStr">
        <is>
          <t>data_source_primary</t>
        </is>
      </c>
    </row>
    <row r="67" ht="60" customHeight="1">
      <c r="A67" s="4" t="inlineStr">
        <is>
          <t>Data source</t>
        </is>
      </c>
      <c r="B67" s="4" t="inlineStr">
        <is>
          <t>Historical</t>
        </is>
      </c>
      <c r="C67" s="4" t="inlineStr">
        <is>
          <t>Text / language</t>
        </is>
      </c>
      <c r="D67" s="4">
        <f>COUNTIFS('RQ1'!$F$2:$F$455,"Text / language" ,'RQ1'!$B$2:$B$455,"Historical")</f>
        <v/>
      </c>
      <c r="E67" s="4">
        <f>COUNTIF('RQ1'!$B$2:$B$455,"Historical")</f>
        <v/>
      </c>
      <c r="F67" s="43">
        <f>IF(E67=0,"",D67/E67)</f>
        <v/>
      </c>
      <c r="G67" s="4" t="inlineStr">
        <is>
          <t>Descriptive, inherited extraction; verify before final conclusions</t>
        </is>
      </c>
      <c r="H67" s="4" t="inlineStr">
        <is>
          <t>RQ1</t>
        </is>
      </c>
      <c r="I67" s="4" t="inlineStr">
        <is>
          <t>data_source_primary</t>
        </is>
      </c>
    </row>
    <row r="68" ht="60" customHeight="1">
      <c r="A68" s="4" t="inlineStr">
        <is>
          <t>Data source</t>
        </is>
      </c>
      <c r="B68" s="4" t="inlineStr">
        <is>
          <t>Historical</t>
        </is>
      </c>
      <c r="C68" s="4" t="inlineStr">
        <is>
          <t>Thermal imaging / physiology</t>
        </is>
      </c>
      <c r="D68" s="4">
        <f>COUNTIFS('RQ1'!$F$2:$F$455,"Thermal imaging / physiology" ,'RQ1'!$B$2:$B$455,"Historical")</f>
        <v/>
      </c>
      <c r="E68" s="4">
        <f>COUNTIF('RQ1'!$B$2:$B$455,"Historical")</f>
        <v/>
      </c>
      <c r="F68" s="43">
        <f>IF(E68=0,"",D68/E68)</f>
        <v/>
      </c>
      <c r="G68" s="4" t="inlineStr">
        <is>
          <t>Descriptive, inherited extraction; verify before final conclusions</t>
        </is>
      </c>
      <c r="H68" s="4" t="inlineStr">
        <is>
          <t>RQ1</t>
        </is>
      </c>
      <c r="I68" s="4" t="inlineStr">
        <is>
          <t>data_source_primary</t>
        </is>
      </c>
    </row>
    <row r="69" ht="60" customHeight="1">
      <c r="A69" s="4" t="inlineStr">
        <is>
          <t>RQ2 status</t>
        </is>
      </c>
      <c r="B69" s="4" t="inlineStr">
        <is>
          <t>Historical</t>
        </is>
      </c>
      <c r="C69" s="4" t="inlineStr">
        <is>
          <t>Confirmed in care delivery</t>
        </is>
      </c>
      <c r="D69" s="4">
        <f>COUNTIFS('RQ2'!$D$2:$D$455,"Confirmed in care delivery" ,'RQ2'!$B$2:$B$455,"Historical")</f>
        <v/>
      </c>
      <c r="E69" s="4">
        <f>COUNTIF('RQ2'!$B$2:$B$455,"Historical")</f>
        <v/>
      </c>
      <c r="F69" s="43">
        <f>IF(E69=0,"",D69/E69)</f>
        <v/>
      </c>
      <c r="G69" s="4" t="inlineStr">
        <is>
          <t>Descriptive, inherited extraction; verify before final conclusions</t>
        </is>
      </c>
      <c r="H69" s="4" t="inlineStr">
        <is>
          <t>RQ2</t>
        </is>
      </c>
      <c r="I69" s="4" t="inlineStr">
        <is>
          <t>integration_status</t>
        </is>
      </c>
    </row>
    <row r="70" ht="60" customHeight="1">
      <c r="A70" s="4" t="inlineStr">
        <is>
          <t>RQ2 status</t>
        </is>
      </c>
      <c r="B70" s="4" t="inlineStr">
        <is>
          <t>Historical</t>
        </is>
      </c>
      <c r="C70" s="4" t="inlineStr">
        <is>
          <t>Confirmed in intervention</t>
        </is>
      </c>
      <c r="D70" s="4">
        <f>COUNTIFS('RQ2'!$D$2:$D$455,"Confirmed in intervention" ,'RQ2'!$B$2:$B$455,"Historical")</f>
        <v/>
      </c>
      <c r="E70" s="4">
        <f>COUNTIF('RQ2'!$B$2:$B$455,"Historical")</f>
        <v/>
      </c>
      <c r="F70" s="43">
        <f>IF(E70=0,"",D70/E70)</f>
        <v/>
      </c>
      <c r="G70" s="4" t="inlineStr">
        <is>
          <t>Descriptive, inherited extraction; verify before final conclusions</t>
        </is>
      </c>
      <c r="H70" s="4" t="inlineStr">
        <is>
          <t>RQ2</t>
        </is>
      </c>
      <c r="I70" s="4" t="inlineStr">
        <is>
          <t>integration_status</t>
        </is>
      </c>
    </row>
    <row r="71" ht="60" customHeight="1">
      <c r="A71" s="4" t="inlineStr">
        <is>
          <t>RQ2 status</t>
        </is>
      </c>
      <c r="B71" s="4" t="inlineStr">
        <is>
          <t>Historical</t>
        </is>
      </c>
      <c r="C71" s="4" t="inlineStr">
        <is>
          <t>Confirmed in workflow</t>
        </is>
      </c>
      <c r="D71" s="4">
        <f>COUNTIFS('RQ2'!$D$2:$D$455,"Confirmed in workflow" ,'RQ2'!$B$2:$B$455,"Historical")</f>
        <v/>
      </c>
      <c r="E71" s="4">
        <f>COUNTIF('RQ2'!$B$2:$B$455,"Historical")</f>
        <v/>
      </c>
      <c r="F71" s="43">
        <f>IF(E71=0,"",D71/E71)</f>
        <v/>
      </c>
      <c r="G71" s="4" t="inlineStr">
        <is>
          <t>Descriptive, inherited extraction; verify before final conclusions</t>
        </is>
      </c>
      <c r="H71" s="4" t="inlineStr">
        <is>
          <t>RQ2</t>
        </is>
      </c>
      <c r="I71" s="4" t="inlineStr">
        <is>
          <t>integration_status</t>
        </is>
      </c>
    </row>
    <row r="72" ht="60" customHeight="1">
      <c r="A72" s="4" t="inlineStr">
        <is>
          <t>RQ2 status</t>
        </is>
      </c>
      <c r="B72" s="4" t="inlineStr">
        <is>
          <t>Historical</t>
        </is>
      </c>
      <c r="C72" s="4" t="inlineStr">
        <is>
          <t>Proposed only</t>
        </is>
      </c>
      <c r="D72" s="4">
        <f>COUNTIFS('RQ2'!$D$2:$D$455,"Proposed only" ,'RQ2'!$B$2:$B$455,"Historical")</f>
        <v/>
      </c>
      <c r="E72" s="4">
        <f>COUNTIF('RQ2'!$B$2:$B$455,"Historical")</f>
        <v/>
      </c>
      <c r="F72" s="43">
        <f>IF(E72=0,"",D72/E72)</f>
        <v/>
      </c>
      <c r="G72" s="4" t="inlineStr">
        <is>
          <t>Descriptive, inherited extraction; verify before final conclusions</t>
        </is>
      </c>
      <c r="H72" s="4" t="inlineStr">
        <is>
          <t>RQ2</t>
        </is>
      </c>
      <c r="I72" s="4" t="inlineStr">
        <is>
          <t>integration_status</t>
        </is>
      </c>
    </row>
    <row r="73" ht="60" customHeight="1">
      <c r="A73" s="4" t="inlineStr">
        <is>
          <t>RQ2 status</t>
        </is>
      </c>
      <c r="B73" s="4" t="inlineStr">
        <is>
          <t>Historical</t>
        </is>
      </c>
      <c r="C73" s="4" t="inlineStr">
        <is>
          <t>Research only</t>
        </is>
      </c>
      <c r="D73" s="4">
        <f>COUNTIFS('RQ2'!$D$2:$D$455,"Research only" ,'RQ2'!$B$2:$B$455,"Historical")</f>
        <v/>
      </c>
      <c r="E73" s="4">
        <f>COUNTIF('RQ2'!$B$2:$B$455,"Historical")</f>
        <v/>
      </c>
      <c r="F73" s="43">
        <f>IF(E73=0,"",D73/E73)</f>
        <v/>
      </c>
      <c r="G73" s="4" t="inlineStr">
        <is>
          <t>Descriptive, inherited extraction; verify before final conclusions</t>
        </is>
      </c>
      <c r="H73" s="4" t="inlineStr">
        <is>
          <t>RQ2</t>
        </is>
      </c>
      <c r="I73" s="4" t="inlineStr">
        <is>
          <t>integration_status</t>
        </is>
      </c>
    </row>
    <row r="74" ht="60" customHeight="1">
      <c r="A74" s="4" t="inlineStr">
        <is>
          <t>RQ2 status</t>
        </is>
      </c>
      <c r="B74" s="4" t="inlineStr">
        <is>
          <t>Historical</t>
        </is>
      </c>
      <c r="C74" s="4" t="inlineStr">
        <is>
          <t>Pending / unclassified</t>
        </is>
      </c>
      <c r="D74" s="4">
        <f>COUNTIFS('RQ2'!$D$2:$D$455,"" ,'RQ2'!$B$2:$B$455,"Historical")</f>
        <v/>
      </c>
      <c r="E74" s="4">
        <f>COUNTIF('RQ2'!$B$2:$B$455,"Historical")</f>
        <v/>
      </c>
      <c r="F74" s="43">
        <f>IF(E74=0,"",D74/E74)</f>
        <v/>
      </c>
      <c r="G74" s="4" t="inlineStr">
        <is>
          <t>Descriptive, inherited extraction; verify before final conclusions</t>
        </is>
      </c>
      <c r="H74" s="4" t="inlineStr">
        <is>
          <t>RQ2</t>
        </is>
      </c>
      <c r="I74" s="4" t="inlineStr">
        <is>
          <t>integration_status</t>
        </is>
      </c>
    </row>
    <row r="75" ht="47" customHeight="1">
      <c r="A75" s="4" t="inlineStr">
        <is>
          <t>RQ3 indicator</t>
        </is>
      </c>
      <c r="B75" s="4" t="inlineStr">
        <is>
          <t>Historical</t>
        </is>
      </c>
      <c r="C75" s="4" t="inlineStr">
        <is>
          <t>external_validation</t>
        </is>
      </c>
      <c r="D75" s="4">
        <f>COUNTIFS('RQ3'!$D$2:$D$455,1 ,'RQ3'!$B$2:$B$455,"Historical")</f>
        <v/>
      </c>
      <c r="E75" s="4">
        <f>COUNTIFS('RQ3'!$D$2:$D$455,1 ,'RQ3'!$B$2:$B$455,"Historical")+COUNTIFS('RQ3'!$D$2:$D$455,0,'RQ3'!$D$2:$D$455,"&lt;&gt;" ,'RQ3'!$B$2:$B$455,"Historical")</f>
        <v/>
      </c>
      <c r="F75" s="43">
        <f>IF(E75=0,"",D75/E75)</f>
        <v/>
      </c>
      <c r="G75" s="4" t="inlineStr">
        <is>
          <t>Numerator = 1; denominator = recorded 0/1; blank excluded</t>
        </is>
      </c>
      <c r="H75" s="4" t="inlineStr">
        <is>
          <t>RQ3</t>
        </is>
      </c>
      <c r="I75" s="4" t="inlineStr">
        <is>
          <t>external_validation</t>
        </is>
      </c>
    </row>
    <row r="76" ht="47" customHeight="1">
      <c r="A76" s="4" t="inlineStr">
        <is>
          <t>RQ3 indicator</t>
        </is>
      </c>
      <c r="B76" s="4" t="inlineStr">
        <is>
          <t>Historical</t>
        </is>
      </c>
      <c r="C76" s="4" t="inlineStr">
        <is>
          <t>multisite_dataset</t>
        </is>
      </c>
      <c r="D76" s="4">
        <f>COUNTIFS('RQ3'!$E$2:$E$455,1 ,'RQ3'!$B$2:$B$455,"Historical")</f>
        <v/>
      </c>
      <c r="E76" s="4">
        <f>COUNTIFS('RQ3'!$E$2:$E$455,1 ,'RQ3'!$B$2:$B$455,"Historical")+COUNTIFS('RQ3'!$E$2:$E$455,0,'RQ3'!$E$2:$E$455,"&lt;&gt;" ,'RQ3'!$B$2:$B$455,"Historical")</f>
        <v/>
      </c>
      <c r="F76" s="43">
        <f>IF(E76=0,"",D76/E76)</f>
        <v/>
      </c>
      <c r="G76" s="4" t="inlineStr">
        <is>
          <t>Numerator = 1; denominator = recorded 0/1; blank excluded</t>
        </is>
      </c>
      <c r="H76" s="4" t="inlineStr">
        <is>
          <t>RQ3</t>
        </is>
      </c>
      <c r="I76" s="4" t="inlineStr">
        <is>
          <t>multisite_dataset</t>
        </is>
      </c>
    </row>
    <row r="77" ht="47" customHeight="1">
      <c r="A77" s="4" t="inlineStr">
        <is>
          <t>RQ3 indicator</t>
        </is>
      </c>
      <c r="B77" s="4" t="inlineStr">
        <is>
          <t>Historical</t>
        </is>
      </c>
      <c r="C77" s="4" t="inlineStr">
        <is>
          <t>cross_site_robustness</t>
        </is>
      </c>
      <c r="D77" s="4">
        <f>COUNTIFS('RQ3'!$F$2:$F$455,1 ,'RQ3'!$B$2:$B$455,"Historical")</f>
        <v/>
      </c>
      <c r="E77" s="4">
        <f>COUNTIFS('RQ3'!$F$2:$F$455,1 ,'RQ3'!$B$2:$B$455,"Historical")+COUNTIFS('RQ3'!$F$2:$F$455,0,'RQ3'!$F$2:$F$455,"&lt;&gt;" ,'RQ3'!$B$2:$B$455,"Historical")</f>
        <v/>
      </c>
      <c r="F77" s="43">
        <f>IF(E77=0,"",D77/E77)</f>
        <v/>
      </c>
      <c r="G77" s="4" t="inlineStr">
        <is>
          <t>Numerator = 1; denominator = recorded 0/1; blank excluded</t>
        </is>
      </c>
      <c r="H77" s="4" t="inlineStr">
        <is>
          <t>RQ3</t>
        </is>
      </c>
      <c r="I77" s="4" t="inlineStr">
        <is>
          <t>cross_site_robustness</t>
        </is>
      </c>
    </row>
    <row r="78" ht="47" customHeight="1">
      <c r="A78" s="4" t="inlineStr">
        <is>
          <t>RQ3 indicator</t>
        </is>
      </c>
      <c r="B78" s="4" t="inlineStr">
        <is>
          <t>Historical</t>
        </is>
      </c>
      <c r="C78" s="4" t="inlineStr">
        <is>
          <t>prospective_evaluation</t>
        </is>
      </c>
      <c r="D78" s="4">
        <f>COUNTIFS('RQ3'!$G$2:$G$455,1 ,'RQ3'!$B$2:$B$455,"Historical")</f>
        <v/>
      </c>
      <c r="E78" s="4">
        <f>COUNTIFS('RQ3'!$G$2:$G$455,1 ,'RQ3'!$B$2:$B$455,"Historical")+COUNTIFS('RQ3'!$G$2:$G$455,0,'RQ3'!$G$2:$G$455,"&lt;&gt;" ,'RQ3'!$B$2:$B$455,"Historical")</f>
        <v/>
      </c>
      <c r="F78" s="43">
        <f>IF(E78=0,"",D78/E78)</f>
        <v/>
      </c>
      <c r="G78" s="4" t="inlineStr">
        <is>
          <t>Numerator = 1; denominator = recorded 0/1; blank excluded</t>
        </is>
      </c>
      <c r="H78" s="4" t="inlineStr">
        <is>
          <t>RQ3</t>
        </is>
      </c>
      <c r="I78" s="4" t="inlineStr">
        <is>
          <t>prospective_evaluation</t>
        </is>
      </c>
    </row>
    <row r="79" ht="47" customHeight="1">
      <c r="A79" s="4" t="inlineStr">
        <is>
          <t>RQ3 indicator</t>
        </is>
      </c>
      <c r="B79" s="4" t="inlineStr">
        <is>
          <t>Historical</t>
        </is>
      </c>
      <c r="C79" s="4" t="inlineStr">
        <is>
          <t>xai_strict</t>
        </is>
      </c>
      <c r="D79" s="4">
        <f>COUNTIFS('RQ3'!$H$2:$H$455,1 ,'RQ3'!$B$2:$B$455,"Historical")</f>
        <v/>
      </c>
      <c r="E79" s="4">
        <f>COUNTIFS('RQ3'!$H$2:$H$455,1 ,'RQ3'!$B$2:$B$455,"Historical")+COUNTIFS('RQ3'!$H$2:$H$455,0,'RQ3'!$H$2:$H$455,"&lt;&gt;" ,'RQ3'!$B$2:$B$455,"Historical")</f>
        <v/>
      </c>
      <c r="F79" s="43">
        <f>IF(E79=0,"",D79/E79)</f>
        <v/>
      </c>
      <c r="G79" s="4" t="inlineStr">
        <is>
          <t>Numerator = 1; denominator = recorded 0/1; blank excluded</t>
        </is>
      </c>
      <c r="H79" s="4" t="inlineStr">
        <is>
          <t>RQ3</t>
        </is>
      </c>
      <c r="I79" s="4" t="inlineStr">
        <is>
          <t>xai_strict</t>
        </is>
      </c>
    </row>
    <row r="80" ht="47" customHeight="1">
      <c r="A80" s="4" t="inlineStr">
        <is>
          <t>RQ3 indicator</t>
        </is>
      </c>
      <c r="B80" s="4" t="inlineStr">
        <is>
          <t>Historical</t>
        </is>
      </c>
      <c r="C80" s="4" t="inlineStr">
        <is>
          <t>xai_partial</t>
        </is>
      </c>
      <c r="D80" s="4">
        <f>COUNTIFS('RQ3'!$I$2:$I$455,1 ,'RQ3'!$B$2:$B$455,"Historical")</f>
        <v/>
      </c>
      <c r="E80" s="4">
        <f>COUNTIFS('RQ3'!$I$2:$I$455,1 ,'RQ3'!$B$2:$B$455,"Historical")+COUNTIFS('RQ3'!$I$2:$I$455,0,'RQ3'!$I$2:$I$455,"&lt;&gt;" ,'RQ3'!$B$2:$B$455,"Historical")</f>
        <v/>
      </c>
      <c r="F80" s="43">
        <f>IF(E80=0,"",D80/E80)</f>
        <v/>
      </c>
      <c r="G80" s="4" t="inlineStr">
        <is>
          <t>Numerator = 1; denominator = recorded 0/1; blank excluded</t>
        </is>
      </c>
      <c r="H80" s="4" t="inlineStr">
        <is>
          <t>RQ3</t>
        </is>
      </c>
      <c r="I80" s="4" t="inlineStr">
        <is>
          <t>xai_partial</t>
        </is>
      </c>
    </row>
    <row r="81" ht="47" customHeight="1">
      <c r="A81" s="4" t="inlineStr">
        <is>
          <t>RQ3 indicator</t>
        </is>
      </c>
      <c r="B81" s="4" t="inlineStr">
        <is>
          <t>Historical</t>
        </is>
      </c>
      <c r="C81" s="4" t="inlineStr">
        <is>
          <t>multisource_data</t>
        </is>
      </c>
      <c r="D81" s="4">
        <f>COUNTIFS('RQ3'!$J$2:$J$455,1 ,'RQ3'!$B$2:$B$455,"Historical")</f>
        <v/>
      </c>
      <c r="E81" s="4">
        <f>COUNTIFS('RQ3'!$J$2:$J$455,1 ,'RQ3'!$B$2:$B$455,"Historical")+COUNTIFS('RQ3'!$J$2:$J$455,0,'RQ3'!$J$2:$J$455,"&lt;&gt;" ,'RQ3'!$B$2:$B$455,"Historical")</f>
        <v/>
      </c>
      <c r="F81" s="43">
        <f>IF(E81=0,"",D81/E81)</f>
        <v/>
      </c>
      <c r="G81" s="4" t="inlineStr">
        <is>
          <t>Numerator = 1; denominator = recorded 0/1; blank excluded</t>
        </is>
      </c>
      <c r="H81" s="4" t="inlineStr">
        <is>
          <t>RQ3</t>
        </is>
      </c>
      <c r="I81" s="4" t="inlineStr">
        <is>
          <t>multisource_data</t>
        </is>
      </c>
    </row>
    <row r="82" ht="60" customHeight="1">
      <c r="A82" s="4" t="inlineStr">
        <is>
          <t>Clinical stage</t>
        </is>
      </c>
      <c r="B82" s="4" t="inlineStr">
        <is>
          <t>Update</t>
        </is>
      </c>
      <c r="C82" s="4" t="inlineStr">
        <is>
          <t>Diagnosis</t>
        </is>
      </c>
      <c r="D82" s="4">
        <f>COUNTIFS('RQ1'!$D$2:$D$455,"Diagnosis" ,'RQ1'!$B$2:$B$455,"Update")</f>
        <v/>
      </c>
      <c r="E82" s="4">
        <f>COUNTIF('RQ1'!$B$2:$B$455,"Update")</f>
        <v/>
      </c>
      <c r="F82" s="43">
        <f>IF(E82=0,"",D82/E82)</f>
        <v/>
      </c>
      <c r="G82" s="4" t="inlineStr">
        <is>
          <t>Descriptive, inherited extraction; verify before final conclusions</t>
        </is>
      </c>
      <c r="H82" s="4" t="inlineStr">
        <is>
          <t>RQ1</t>
        </is>
      </c>
      <c r="I82" s="4" t="inlineStr">
        <is>
          <t>stage_primary</t>
        </is>
      </c>
    </row>
    <row r="83" ht="60" customHeight="1">
      <c r="A83" s="4" t="inlineStr">
        <is>
          <t>Clinical stage</t>
        </is>
      </c>
      <c r="B83" s="4" t="inlineStr">
        <is>
          <t>Update</t>
        </is>
      </c>
      <c r="C83" s="4" t="inlineStr">
        <is>
          <t>Monitoring/intervention</t>
        </is>
      </c>
      <c r="D83" s="4">
        <f>COUNTIFS('RQ1'!$D$2:$D$455,"Monitoring/intervention" ,'RQ1'!$B$2:$B$455,"Update")</f>
        <v/>
      </c>
      <c r="E83" s="4">
        <f>COUNTIF('RQ1'!$B$2:$B$455,"Update")</f>
        <v/>
      </c>
      <c r="F83" s="43">
        <f>IF(E83=0,"",D83/E83)</f>
        <v/>
      </c>
      <c r="G83" s="4" t="inlineStr">
        <is>
          <t>Descriptive, inherited extraction; verify before final conclusions</t>
        </is>
      </c>
      <c r="H83" s="4" t="inlineStr">
        <is>
          <t>RQ1</t>
        </is>
      </c>
      <c r="I83" s="4" t="inlineStr">
        <is>
          <t>stage_primary</t>
        </is>
      </c>
    </row>
    <row r="84" ht="60" customHeight="1">
      <c r="A84" s="4" t="inlineStr">
        <is>
          <t>Clinical stage</t>
        </is>
      </c>
      <c r="B84" s="4" t="inlineStr">
        <is>
          <t>Update</t>
        </is>
      </c>
      <c r="C84" s="4" t="inlineStr">
        <is>
          <t>Not specified</t>
        </is>
      </c>
      <c r="D84" s="4">
        <f>COUNTIFS('RQ1'!$D$2:$D$455,"Not specified" ,'RQ1'!$B$2:$B$455,"Update")</f>
        <v/>
      </c>
      <c r="E84" s="4">
        <f>COUNTIF('RQ1'!$B$2:$B$455,"Update")</f>
        <v/>
      </c>
      <c r="F84" s="43">
        <f>IF(E84=0,"",D84/E84)</f>
        <v/>
      </c>
      <c r="G84" s="4" t="inlineStr">
        <is>
          <t>Descriptive, inherited extraction; verify before final conclusions</t>
        </is>
      </c>
      <c r="H84" s="4" t="inlineStr">
        <is>
          <t>RQ1</t>
        </is>
      </c>
      <c r="I84" s="4" t="inlineStr">
        <is>
          <t>stage_primary</t>
        </is>
      </c>
    </row>
    <row r="85" ht="60" customHeight="1">
      <c r="A85" s="4" t="inlineStr">
        <is>
          <t>Clinical stage</t>
        </is>
      </c>
      <c r="B85" s="4" t="inlineStr">
        <is>
          <t>Update</t>
        </is>
      </c>
      <c r="C85" s="4" t="inlineStr">
        <is>
          <t>Prescreening</t>
        </is>
      </c>
      <c r="D85" s="4">
        <f>COUNTIFS('RQ1'!$D$2:$D$455,"Prescreening" ,'RQ1'!$B$2:$B$455,"Update")</f>
        <v/>
      </c>
      <c r="E85" s="4">
        <f>COUNTIF('RQ1'!$B$2:$B$455,"Update")</f>
        <v/>
      </c>
      <c r="F85" s="43">
        <f>IF(E85=0,"",D85/E85)</f>
        <v/>
      </c>
      <c r="G85" s="4" t="inlineStr">
        <is>
          <t>Descriptive, inherited extraction; verify before final conclusions</t>
        </is>
      </c>
      <c r="H85" s="4" t="inlineStr">
        <is>
          <t>RQ1</t>
        </is>
      </c>
      <c r="I85" s="4" t="inlineStr">
        <is>
          <t>stage_primary</t>
        </is>
      </c>
    </row>
    <row r="86" ht="60" customHeight="1">
      <c r="A86" s="4" t="inlineStr">
        <is>
          <t>Clinical stage</t>
        </is>
      </c>
      <c r="B86" s="4" t="inlineStr">
        <is>
          <t>Update</t>
        </is>
      </c>
      <c r="C86" s="4" t="inlineStr">
        <is>
          <t>Prognosis</t>
        </is>
      </c>
      <c r="D86" s="4">
        <f>COUNTIFS('RQ1'!$D$2:$D$455,"Prognosis" ,'RQ1'!$B$2:$B$455,"Update")</f>
        <v/>
      </c>
      <c r="E86" s="4">
        <f>COUNTIF('RQ1'!$B$2:$B$455,"Update")</f>
        <v/>
      </c>
      <c r="F86" s="43">
        <f>IF(E86=0,"",D86/E86)</f>
        <v/>
      </c>
      <c r="G86" s="4" t="inlineStr">
        <is>
          <t>Descriptive, inherited extraction; verify before final conclusions</t>
        </is>
      </c>
      <c r="H86" s="4" t="inlineStr">
        <is>
          <t>RQ1</t>
        </is>
      </c>
      <c r="I86" s="4" t="inlineStr">
        <is>
          <t>stage_primary</t>
        </is>
      </c>
    </row>
    <row r="87" ht="60" customHeight="1">
      <c r="A87" s="4" t="inlineStr">
        <is>
          <t>Clinical stage</t>
        </is>
      </c>
      <c r="B87" s="4" t="inlineStr">
        <is>
          <t>Update</t>
        </is>
      </c>
      <c r="C87" s="4" t="inlineStr">
        <is>
          <t>Screening</t>
        </is>
      </c>
      <c r="D87" s="4">
        <f>COUNTIFS('RQ1'!$D$2:$D$455,"Screening" ,'RQ1'!$B$2:$B$455,"Update")</f>
        <v/>
      </c>
      <c r="E87" s="4">
        <f>COUNTIF('RQ1'!$B$2:$B$455,"Update")</f>
        <v/>
      </c>
      <c r="F87" s="43">
        <f>IF(E87=0,"",D87/E87)</f>
        <v/>
      </c>
      <c r="G87" s="4" t="inlineStr">
        <is>
          <t>Descriptive, inherited extraction; verify before final conclusions</t>
        </is>
      </c>
      <c r="H87" s="4" t="inlineStr">
        <is>
          <t>RQ1</t>
        </is>
      </c>
      <c r="I87" s="4" t="inlineStr">
        <is>
          <t>stage_primary</t>
        </is>
      </c>
    </row>
    <row r="88" ht="60" customHeight="1">
      <c r="A88" s="4" t="inlineStr">
        <is>
          <t>AI type</t>
        </is>
      </c>
      <c r="B88" s="4" t="inlineStr">
        <is>
          <t>Update</t>
        </is>
      </c>
      <c r="C88" s="4" t="inlineStr">
        <is>
          <t>Deep Learning</t>
        </is>
      </c>
      <c r="D88" s="4">
        <f>COUNTIFS('RQ1'!$E$2:$E$455,"Deep Learning" ,'RQ1'!$B$2:$B$455,"Update")</f>
        <v/>
      </c>
      <c r="E88" s="4">
        <f>COUNTIF('RQ1'!$B$2:$B$455,"Update")</f>
        <v/>
      </c>
      <c r="F88" s="43">
        <f>IF(E88=0,"",D88/E88)</f>
        <v/>
      </c>
      <c r="G88" s="4" t="inlineStr">
        <is>
          <t>Descriptive, inherited extraction; verify before final conclusions</t>
        </is>
      </c>
      <c r="H88" s="4" t="inlineStr">
        <is>
          <t>RQ1</t>
        </is>
      </c>
      <c r="I88" s="4" t="inlineStr">
        <is>
          <t>ai_type</t>
        </is>
      </c>
    </row>
    <row r="89" ht="60" customHeight="1">
      <c r="A89" s="4" t="inlineStr">
        <is>
          <t>AI type</t>
        </is>
      </c>
      <c r="B89" s="4" t="inlineStr">
        <is>
          <t>Update</t>
        </is>
      </c>
      <c r="C89" s="4" t="inlineStr">
        <is>
          <t>Hybrid</t>
        </is>
      </c>
      <c r="D89" s="4">
        <f>COUNTIFS('RQ1'!$E$2:$E$455,"Hybrid" ,'RQ1'!$B$2:$B$455,"Update")</f>
        <v/>
      </c>
      <c r="E89" s="4">
        <f>COUNTIF('RQ1'!$B$2:$B$455,"Update")</f>
        <v/>
      </c>
      <c r="F89" s="43">
        <f>IF(E89=0,"",D89/E89)</f>
        <v/>
      </c>
      <c r="G89" s="4" t="inlineStr">
        <is>
          <t>Descriptive, inherited extraction; verify before final conclusions</t>
        </is>
      </c>
      <c r="H89" s="4" t="inlineStr">
        <is>
          <t>RQ1</t>
        </is>
      </c>
      <c r="I89" s="4" t="inlineStr">
        <is>
          <t>ai_type</t>
        </is>
      </c>
    </row>
    <row r="90" ht="60" customHeight="1">
      <c r="A90" s="4" t="inlineStr">
        <is>
          <t>AI type</t>
        </is>
      </c>
      <c r="B90" s="4" t="inlineStr">
        <is>
          <t>Update</t>
        </is>
      </c>
      <c r="C90" s="4" t="inlineStr">
        <is>
          <t>Machine Learning</t>
        </is>
      </c>
      <c r="D90" s="4">
        <f>COUNTIFS('RQ1'!$E$2:$E$455,"Machine Learning" ,'RQ1'!$B$2:$B$455,"Update")</f>
        <v/>
      </c>
      <c r="E90" s="4">
        <f>COUNTIF('RQ1'!$B$2:$B$455,"Update")</f>
        <v/>
      </c>
      <c r="F90" s="43">
        <f>IF(E90=0,"",D90/E90)</f>
        <v/>
      </c>
      <c r="G90" s="4" t="inlineStr">
        <is>
          <t>Descriptive, inherited extraction; verify before final conclusions</t>
        </is>
      </c>
      <c r="H90" s="4" t="inlineStr">
        <is>
          <t>RQ1</t>
        </is>
      </c>
      <c r="I90" s="4" t="inlineStr">
        <is>
          <t>ai_type</t>
        </is>
      </c>
    </row>
    <row r="91" ht="60" customHeight="1">
      <c r="A91" s="4" t="inlineStr">
        <is>
          <t>AI type</t>
        </is>
      </c>
      <c r="B91" s="4" t="inlineStr">
        <is>
          <t>Update</t>
        </is>
      </c>
      <c r="C91" s="4" t="inlineStr">
        <is>
          <t>Not specified</t>
        </is>
      </c>
      <c r="D91" s="4">
        <f>COUNTIFS('RQ1'!$E$2:$E$455,"Not specified" ,'RQ1'!$B$2:$B$455,"Update")</f>
        <v/>
      </c>
      <c r="E91" s="4">
        <f>COUNTIF('RQ1'!$B$2:$B$455,"Update")</f>
        <v/>
      </c>
      <c r="F91" s="43">
        <f>IF(E91=0,"",D91/E91)</f>
        <v/>
      </c>
      <c r="G91" s="4" t="inlineStr">
        <is>
          <t>Descriptive, inherited extraction; verify before final conclusions</t>
        </is>
      </c>
      <c r="H91" s="4" t="inlineStr">
        <is>
          <t>RQ1</t>
        </is>
      </c>
      <c r="I91" s="4" t="inlineStr">
        <is>
          <t>ai_type</t>
        </is>
      </c>
    </row>
    <row r="92" ht="60" customHeight="1">
      <c r="A92" s="4" t="inlineStr">
        <is>
          <t>Data source</t>
        </is>
      </c>
      <c r="B92" s="4" t="inlineStr">
        <is>
          <t>Update</t>
        </is>
      </c>
      <c r="C92" s="4" t="inlineStr">
        <is>
          <t>Audio / voice</t>
        </is>
      </c>
      <c r="D92" s="4">
        <f>COUNTIFS('RQ1'!$F$2:$F$455,"Audio / voice" ,'RQ1'!$B$2:$B$455,"Update")</f>
        <v/>
      </c>
      <c r="E92" s="4">
        <f>COUNTIF('RQ1'!$B$2:$B$455,"Update")</f>
        <v/>
      </c>
      <c r="F92" s="43">
        <f>IF(E92=0,"",D92/E92)</f>
        <v/>
      </c>
      <c r="G92" s="4" t="inlineStr">
        <is>
          <t>Descriptive, inherited extraction; verify before final conclusions</t>
        </is>
      </c>
      <c r="H92" s="4" t="inlineStr">
        <is>
          <t>RQ1</t>
        </is>
      </c>
      <c r="I92" s="4" t="inlineStr">
        <is>
          <t>data_source_primary</t>
        </is>
      </c>
    </row>
    <row r="93" ht="60" customHeight="1">
      <c r="A93" s="4" t="inlineStr">
        <is>
          <t>Data source</t>
        </is>
      </c>
      <c r="B93" s="4" t="inlineStr">
        <is>
          <t>Update</t>
        </is>
      </c>
      <c r="C93" s="4" t="inlineStr">
        <is>
          <t>Behavioral gaze / eye tracking</t>
        </is>
      </c>
      <c r="D93" s="4">
        <f>COUNTIFS('RQ1'!$F$2:$F$455,"Behavioral gaze / eye tracking" ,'RQ1'!$B$2:$B$455,"Update")</f>
        <v/>
      </c>
      <c r="E93" s="4">
        <f>COUNTIF('RQ1'!$B$2:$B$455,"Update")</f>
        <v/>
      </c>
      <c r="F93" s="43">
        <f>IF(E93=0,"",D93/E93)</f>
        <v/>
      </c>
      <c r="G93" s="4" t="inlineStr">
        <is>
          <t>Descriptive, inherited extraction; verify before final conclusions</t>
        </is>
      </c>
      <c r="H93" s="4" t="inlineStr">
        <is>
          <t>RQ1</t>
        </is>
      </c>
      <c r="I93" s="4" t="inlineStr">
        <is>
          <t>data_source_primary</t>
        </is>
      </c>
    </row>
    <row r="94" ht="60" customHeight="1">
      <c r="A94" s="4" t="inlineStr">
        <is>
          <t>Data source</t>
        </is>
      </c>
      <c r="B94" s="4" t="inlineStr">
        <is>
          <t>Update</t>
        </is>
      </c>
      <c r="C94" s="4" t="inlineStr">
        <is>
          <t>Behavioral video / movement</t>
        </is>
      </c>
      <c r="D94" s="4">
        <f>COUNTIFS('RQ1'!$F$2:$F$455,"Behavioral video / movement" ,'RQ1'!$B$2:$B$455,"Update")</f>
        <v/>
      </c>
      <c r="E94" s="4">
        <f>COUNTIF('RQ1'!$B$2:$B$455,"Update")</f>
        <v/>
      </c>
      <c r="F94" s="43">
        <f>IF(E94=0,"",D94/E94)</f>
        <v/>
      </c>
      <c r="G94" s="4" t="inlineStr">
        <is>
          <t>Descriptive, inherited extraction; verify before final conclusions</t>
        </is>
      </c>
      <c r="H94" s="4" t="inlineStr">
        <is>
          <t>RQ1</t>
        </is>
      </c>
      <c r="I94" s="4" t="inlineStr">
        <is>
          <t>data_source_primary</t>
        </is>
      </c>
    </row>
    <row r="95" ht="60" customHeight="1">
      <c r="A95" s="4" t="inlineStr">
        <is>
          <t>Data source</t>
        </is>
      </c>
      <c r="B95" s="4" t="inlineStr">
        <is>
          <t>Update</t>
        </is>
      </c>
      <c r="C95" s="4" t="inlineStr">
        <is>
          <t>Biological/omics</t>
        </is>
      </c>
      <c r="D95" s="4">
        <f>COUNTIFS('RQ1'!$F$2:$F$455,"Biological/omics" ,'RQ1'!$B$2:$B$455,"Update")</f>
        <v/>
      </c>
      <c r="E95" s="4">
        <f>COUNTIF('RQ1'!$B$2:$B$455,"Update")</f>
        <v/>
      </c>
      <c r="F95" s="43">
        <f>IF(E95=0,"",D95/E95)</f>
        <v/>
      </c>
      <c r="G95" s="4" t="inlineStr">
        <is>
          <t>Descriptive, inherited extraction; verify before final conclusions</t>
        </is>
      </c>
      <c r="H95" s="4" t="inlineStr">
        <is>
          <t>RQ1</t>
        </is>
      </c>
      <c r="I95" s="4" t="inlineStr">
        <is>
          <t>data_source_primary</t>
        </is>
      </c>
    </row>
    <row r="96" ht="60" customHeight="1">
      <c r="A96" s="4" t="inlineStr">
        <is>
          <t>Data source</t>
        </is>
      </c>
      <c r="B96" s="4" t="inlineStr">
        <is>
          <t>Update</t>
        </is>
      </c>
      <c r="C96" s="4" t="inlineStr">
        <is>
          <t>Digital / robot interaction</t>
        </is>
      </c>
      <c r="D96" s="4">
        <f>COUNTIFS('RQ1'!$F$2:$F$455,"Digital / robot interaction" ,'RQ1'!$B$2:$B$455,"Update")</f>
        <v/>
      </c>
      <c r="E96" s="4">
        <f>COUNTIF('RQ1'!$B$2:$B$455,"Update")</f>
        <v/>
      </c>
      <c r="F96" s="43">
        <f>IF(E96=0,"",D96/E96)</f>
        <v/>
      </c>
      <c r="G96" s="4" t="inlineStr">
        <is>
          <t>Descriptive, inherited extraction; verify before final conclusions</t>
        </is>
      </c>
      <c r="H96" s="4" t="inlineStr">
        <is>
          <t>RQ1</t>
        </is>
      </c>
      <c r="I96" s="4" t="inlineStr">
        <is>
          <t>data_source_primary</t>
        </is>
      </c>
    </row>
    <row r="97" ht="60" customHeight="1">
      <c r="A97" s="4" t="inlineStr">
        <is>
          <t>Data source</t>
        </is>
      </c>
      <c r="B97" s="4" t="inlineStr">
        <is>
          <t>Update</t>
        </is>
      </c>
      <c r="C97" s="4" t="inlineStr">
        <is>
          <t>Facial images</t>
        </is>
      </c>
      <c r="D97" s="4">
        <f>COUNTIFS('RQ1'!$F$2:$F$455,"Facial images" ,'RQ1'!$B$2:$B$455,"Update")</f>
        <v/>
      </c>
      <c r="E97" s="4">
        <f>COUNTIF('RQ1'!$B$2:$B$455,"Update")</f>
        <v/>
      </c>
      <c r="F97" s="43">
        <f>IF(E97=0,"",D97/E97)</f>
        <v/>
      </c>
      <c r="G97" s="4" t="inlineStr">
        <is>
          <t>Descriptive, inherited extraction; verify before final conclusions</t>
        </is>
      </c>
      <c r="H97" s="4" t="inlineStr">
        <is>
          <t>RQ1</t>
        </is>
      </c>
      <c r="I97" s="4" t="inlineStr">
        <is>
          <t>data_source_primary</t>
        </is>
      </c>
    </row>
    <row r="98" ht="60" customHeight="1">
      <c r="A98" s="4" t="inlineStr">
        <is>
          <t>Data source</t>
        </is>
      </c>
      <c r="B98" s="4" t="inlineStr">
        <is>
          <t>Update</t>
        </is>
      </c>
      <c r="C98" s="4" t="inlineStr">
        <is>
          <t>Image (subtype unresolved)</t>
        </is>
      </c>
      <c r="D98" s="4">
        <f>COUNTIFS('RQ1'!$F$2:$F$455,"Image (subtype unresolved)" ,'RQ1'!$B$2:$B$455,"Update")</f>
        <v/>
      </c>
      <c r="E98" s="4">
        <f>COUNTIF('RQ1'!$B$2:$B$455,"Update")</f>
        <v/>
      </c>
      <c r="F98" s="43">
        <f>IF(E98=0,"",D98/E98)</f>
        <v/>
      </c>
      <c r="G98" s="4" t="inlineStr">
        <is>
          <t>Descriptive, inherited extraction; verify before final conclusions</t>
        </is>
      </c>
      <c r="H98" s="4" t="inlineStr">
        <is>
          <t>RQ1</t>
        </is>
      </c>
      <c r="I98" s="4" t="inlineStr">
        <is>
          <t>data_source_primary</t>
        </is>
      </c>
    </row>
    <row r="99" ht="60" customHeight="1">
      <c r="A99" s="4" t="inlineStr">
        <is>
          <t>Data source</t>
        </is>
      </c>
      <c r="B99" s="4" t="inlineStr">
        <is>
          <t>Update</t>
        </is>
      </c>
      <c r="C99" s="4" t="inlineStr">
        <is>
          <t>Multiple datasets (fusion unverified)</t>
        </is>
      </c>
      <c r="D99" s="4">
        <f>COUNTIFS('RQ1'!$F$2:$F$455,"Multiple datasets (fusion unverified)" ,'RQ1'!$B$2:$B$455,"Update")</f>
        <v/>
      </c>
      <c r="E99" s="4">
        <f>COUNTIF('RQ1'!$B$2:$B$455,"Update")</f>
        <v/>
      </c>
      <c r="F99" s="43">
        <f>IF(E99=0,"",D99/E99)</f>
        <v/>
      </c>
      <c r="G99" s="4" t="inlineStr">
        <is>
          <t>Descriptive, inherited extraction; verify before final conclusions</t>
        </is>
      </c>
      <c r="H99" s="4" t="inlineStr">
        <is>
          <t>RQ1</t>
        </is>
      </c>
      <c r="I99" s="4" t="inlineStr">
        <is>
          <t>data_source_primary</t>
        </is>
      </c>
    </row>
    <row r="100" ht="60" customHeight="1">
      <c r="A100" s="4" t="inlineStr">
        <is>
          <t>Data source</t>
        </is>
      </c>
      <c r="B100" s="4" t="inlineStr">
        <is>
          <t>Update</t>
        </is>
      </c>
      <c r="C100" s="4" t="inlineStr">
        <is>
          <t>Multiple modalities (as coded)</t>
        </is>
      </c>
      <c r="D100" s="4">
        <f>COUNTIFS('RQ1'!$F$2:$F$455,"Multiple modalities (as coded)" ,'RQ1'!$B$2:$B$455,"Update")</f>
        <v/>
      </c>
      <c r="E100" s="4">
        <f>COUNTIF('RQ1'!$B$2:$B$455,"Update")</f>
        <v/>
      </c>
      <c r="F100" s="43">
        <f>IF(E100=0,"",D100/E100)</f>
        <v/>
      </c>
      <c r="G100" s="4" t="inlineStr">
        <is>
          <t>Descriptive, inherited extraction; verify before final conclusions</t>
        </is>
      </c>
      <c r="H100" s="4" t="inlineStr">
        <is>
          <t>RQ1</t>
        </is>
      </c>
      <c r="I100" s="4" t="inlineStr">
        <is>
          <t>data_source_primary</t>
        </is>
      </c>
    </row>
    <row r="101" ht="60" customHeight="1">
      <c r="A101" s="4" t="inlineStr">
        <is>
          <t>Data source</t>
        </is>
      </c>
      <c r="B101" s="4" t="inlineStr">
        <is>
          <t>Update</t>
        </is>
      </c>
      <c r="C101" s="4" t="inlineStr">
        <is>
          <t>Neuroimaging</t>
        </is>
      </c>
      <c r="D101" s="4">
        <f>COUNTIFS('RQ1'!$F$2:$F$455,"Neuroimaging" ,'RQ1'!$B$2:$B$455,"Update")</f>
        <v/>
      </c>
      <c r="E101" s="4">
        <f>COUNTIF('RQ1'!$B$2:$B$455,"Update")</f>
        <v/>
      </c>
      <c r="F101" s="43">
        <f>IF(E101=0,"",D101/E101)</f>
        <v/>
      </c>
      <c r="G101" s="4" t="inlineStr">
        <is>
          <t>Descriptive, inherited extraction; verify before final conclusions</t>
        </is>
      </c>
      <c r="H101" s="4" t="inlineStr">
        <is>
          <t>RQ1</t>
        </is>
      </c>
      <c r="I101" s="4" t="inlineStr">
        <is>
          <t>data_source_primary</t>
        </is>
      </c>
    </row>
    <row r="102" ht="60" customHeight="1">
      <c r="A102" s="4" t="inlineStr">
        <is>
          <t>Data source</t>
        </is>
      </c>
      <c r="B102" s="4" t="inlineStr">
        <is>
          <t>Update</t>
        </is>
      </c>
      <c r="C102" s="4" t="inlineStr">
        <is>
          <t>Not specified</t>
        </is>
      </c>
      <c r="D102" s="4">
        <f>COUNTIFS('RQ1'!$F$2:$F$455,"Not specified" ,'RQ1'!$B$2:$B$455,"Update")</f>
        <v/>
      </c>
      <c r="E102" s="4">
        <f>COUNTIF('RQ1'!$B$2:$B$455,"Update")</f>
        <v/>
      </c>
      <c r="F102" s="43">
        <f>IF(E102=0,"",D102/E102)</f>
        <v/>
      </c>
      <c r="G102" s="4" t="inlineStr">
        <is>
          <t>Descriptive, inherited extraction; verify before final conclusions</t>
        </is>
      </c>
      <c r="H102" s="4" t="inlineStr">
        <is>
          <t>RQ1</t>
        </is>
      </c>
      <c r="I102" s="4" t="inlineStr">
        <is>
          <t>data_source_primary</t>
        </is>
      </c>
    </row>
    <row r="103" ht="60" customHeight="1">
      <c r="A103" s="4" t="inlineStr">
        <is>
          <t>Data source</t>
        </is>
      </c>
      <c r="B103" s="4" t="inlineStr">
        <is>
          <t>Update</t>
        </is>
      </c>
      <c r="C103" s="4" t="inlineStr">
        <is>
          <t>Other images</t>
        </is>
      </c>
      <c r="D103" s="4">
        <f>COUNTIFS('RQ1'!$F$2:$F$455,"Other images" ,'RQ1'!$B$2:$B$455,"Update")</f>
        <v/>
      </c>
      <c r="E103" s="4">
        <f>COUNTIF('RQ1'!$B$2:$B$455,"Update")</f>
        <v/>
      </c>
      <c r="F103" s="43">
        <f>IF(E103=0,"",D103/E103)</f>
        <v/>
      </c>
      <c r="G103" s="4" t="inlineStr">
        <is>
          <t>Descriptive, inherited extraction; verify before final conclusions</t>
        </is>
      </c>
      <c r="H103" s="4" t="inlineStr">
        <is>
          <t>RQ1</t>
        </is>
      </c>
      <c r="I103" s="4" t="inlineStr">
        <is>
          <t>data_source_primary</t>
        </is>
      </c>
    </row>
    <row r="104" ht="60" customHeight="1">
      <c r="A104" s="4" t="inlineStr">
        <is>
          <t>Data source</t>
        </is>
      </c>
      <c r="B104" s="4" t="inlineStr">
        <is>
          <t>Update</t>
        </is>
      </c>
      <c r="C104" s="4" t="inlineStr">
        <is>
          <t>Physiological signals</t>
        </is>
      </c>
      <c r="D104" s="4">
        <f>COUNTIFS('RQ1'!$F$2:$F$455,"Physiological signals" ,'RQ1'!$B$2:$B$455,"Update")</f>
        <v/>
      </c>
      <c r="E104" s="4">
        <f>COUNTIF('RQ1'!$B$2:$B$455,"Update")</f>
        <v/>
      </c>
      <c r="F104" s="43">
        <f>IF(E104=0,"",D104/E104)</f>
        <v/>
      </c>
      <c r="G104" s="4" t="inlineStr">
        <is>
          <t>Descriptive, inherited extraction; verify before final conclusions</t>
        </is>
      </c>
      <c r="H104" s="4" t="inlineStr">
        <is>
          <t>RQ1</t>
        </is>
      </c>
      <c r="I104" s="4" t="inlineStr">
        <is>
          <t>data_source_primary</t>
        </is>
      </c>
    </row>
    <row r="105" ht="60" customHeight="1">
      <c r="A105" s="4" t="inlineStr">
        <is>
          <t>Data source</t>
        </is>
      </c>
      <c r="B105" s="4" t="inlineStr">
        <is>
          <t>Update</t>
        </is>
      </c>
      <c r="C105" s="4" t="inlineStr">
        <is>
          <t>Structured / tabular data</t>
        </is>
      </c>
      <c r="D105" s="4">
        <f>COUNTIFS('RQ1'!$F$2:$F$455,"Structured / tabular data" ,'RQ1'!$B$2:$B$455,"Update")</f>
        <v/>
      </c>
      <c r="E105" s="4">
        <f>COUNTIF('RQ1'!$B$2:$B$455,"Update")</f>
        <v/>
      </c>
      <c r="F105" s="43">
        <f>IF(E105=0,"",D105/E105)</f>
        <v/>
      </c>
      <c r="G105" s="4" t="inlineStr">
        <is>
          <t>Descriptive, inherited extraction; verify before final conclusions</t>
        </is>
      </c>
      <c r="H105" s="4" t="inlineStr">
        <is>
          <t>RQ1</t>
        </is>
      </c>
      <c r="I105" s="4" t="inlineStr">
        <is>
          <t>data_source_primary</t>
        </is>
      </c>
    </row>
    <row r="106" ht="60" customHeight="1">
      <c r="A106" s="4" t="inlineStr">
        <is>
          <t>Data source</t>
        </is>
      </c>
      <c r="B106" s="4" t="inlineStr">
        <is>
          <t>Update</t>
        </is>
      </c>
      <c r="C106" s="4" t="inlineStr">
        <is>
          <t>Text / NLP (legacy; verify input type)</t>
        </is>
      </c>
      <c r="D106" s="4">
        <f>COUNTIFS('RQ1'!$F$2:$F$455,"Text / NLP (legacy; verify input type)" ,'RQ1'!$B$2:$B$455,"Update")</f>
        <v/>
      </c>
      <c r="E106" s="4">
        <f>COUNTIF('RQ1'!$B$2:$B$455,"Update")</f>
        <v/>
      </c>
      <c r="F106" s="43">
        <f>IF(E106=0,"",D106/E106)</f>
        <v/>
      </c>
      <c r="G106" s="4" t="inlineStr">
        <is>
          <t>Descriptive, inherited extraction; verify before final conclusions</t>
        </is>
      </c>
      <c r="H106" s="4" t="inlineStr">
        <is>
          <t>RQ1</t>
        </is>
      </c>
      <c r="I106" s="4" t="inlineStr">
        <is>
          <t>data_source_primary</t>
        </is>
      </c>
    </row>
    <row r="107" ht="60" customHeight="1">
      <c r="A107" s="4" t="inlineStr">
        <is>
          <t>Data source</t>
        </is>
      </c>
      <c r="B107" s="4" t="inlineStr">
        <is>
          <t>Update</t>
        </is>
      </c>
      <c r="C107" s="4" t="inlineStr">
        <is>
          <t>Text / language</t>
        </is>
      </c>
      <c r="D107" s="4">
        <f>COUNTIFS('RQ1'!$F$2:$F$455,"Text / language" ,'RQ1'!$B$2:$B$455,"Update")</f>
        <v/>
      </c>
      <c r="E107" s="4">
        <f>COUNTIF('RQ1'!$B$2:$B$455,"Update")</f>
        <v/>
      </c>
      <c r="F107" s="43">
        <f>IF(E107=0,"",D107/E107)</f>
        <v/>
      </c>
      <c r="G107" s="4" t="inlineStr">
        <is>
          <t>Descriptive, inherited extraction; verify before final conclusions</t>
        </is>
      </c>
      <c r="H107" s="4" t="inlineStr">
        <is>
          <t>RQ1</t>
        </is>
      </c>
      <c r="I107" s="4" t="inlineStr">
        <is>
          <t>data_source_primary</t>
        </is>
      </c>
    </row>
    <row r="108" ht="60" customHeight="1">
      <c r="A108" s="4" t="inlineStr">
        <is>
          <t>Data source</t>
        </is>
      </c>
      <c r="B108" s="4" t="inlineStr">
        <is>
          <t>Update</t>
        </is>
      </c>
      <c r="C108" s="4" t="inlineStr">
        <is>
          <t>Thermal imaging / physiology</t>
        </is>
      </c>
      <c r="D108" s="4">
        <f>COUNTIFS('RQ1'!$F$2:$F$455,"Thermal imaging / physiology" ,'RQ1'!$B$2:$B$455,"Update")</f>
        <v/>
      </c>
      <c r="E108" s="4">
        <f>COUNTIF('RQ1'!$B$2:$B$455,"Update")</f>
        <v/>
      </c>
      <c r="F108" s="43">
        <f>IF(E108=0,"",D108/E108)</f>
        <v/>
      </c>
      <c r="G108" s="4" t="inlineStr">
        <is>
          <t>Descriptive, inherited extraction; verify before final conclusions</t>
        </is>
      </c>
      <c r="H108" s="4" t="inlineStr">
        <is>
          <t>RQ1</t>
        </is>
      </c>
      <c r="I108" s="4" t="inlineStr">
        <is>
          <t>data_source_primary</t>
        </is>
      </c>
    </row>
    <row r="109" ht="60" customHeight="1">
      <c r="A109" s="4" t="inlineStr">
        <is>
          <t>RQ2 status</t>
        </is>
      </c>
      <c r="B109" s="4" t="inlineStr">
        <is>
          <t>Update</t>
        </is>
      </c>
      <c r="C109" s="4" t="inlineStr">
        <is>
          <t>Confirmed in care delivery</t>
        </is>
      </c>
      <c r="D109" s="4">
        <f>COUNTIFS('RQ2'!$D$2:$D$455,"Confirmed in care delivery" ,'RQ2'!$B$2:$B$455,"Update")</f>
        <v/>
      </c>
      <c r="E109" s="4">
        <f>COUNTIF('RQ2'!$B$2:$B$455,"Update")</f>
        <v/>
      </c>
      <c r="F109" s="43">
        <f>IF(E109=0,"",D109/E109)</f>
        <v/>
      </c>
      <c r="G109" s="4" t="inlineStr">
        <is>
          <t>Descriptive, inherited extraction; verify before final conclusions</t>
        </is>
      </c>
      <c r="H109" s="4" t="inlineStr">
        <is>
          <t>RQ2</t>
        </is>
      </c>
      <c r="I109" s="4" t="inlineStr">
        <is>
          <t>integration_status</t>
        </is>
      </c>
    </row>
    <row r="110" ht="60" customHeight="1">
      <c r="A110" s="4" t="inlineStr">
        <is>
          <t>RQ2 status</t>
        </is>
      </c>
      <c r="B110" s="4" t="inlineStr">
        <is>
          <t>Update</t>
        </is>
      </c>
      <c r="C110" s="4" t="inlineStr">
        <is>
          <t>Confirmed in intervention</t>
        </is>
      </c>
      <c r="D110" s="4">
        <f>COUNTIFS('RQ2'!$D$2:$D$455,"Confirmed in intervention" ,'RQ2'!$B$2:$B$455,"Update")</f>
        <v/>
      </c>
      <c r="E110" s="4">
        <f>COUNTIF('RQ2'!$B$2:$B$455,"Update")</f>
        <v/>
      </c>
      <c r="F110" s="43">
        <f>IF(E110=0,"",D110/E110)</f>
        <v/>
      </c>
      <c r="G110" s="4" t="inlineStr">
        <is>
          <t>Descriptive, inherited extraction; verify before final conclusions</t>
        </is>
      </c>
      <c r="H110" s="4" t="inlineStr">
        <is>
          <t>RQ2</t>
        </is>
      </c>
      <c r="I110" s="4" t="inlineStr">
        <is>
          <t>integration_status</t>
        </is>
      </c>
    </row>
    <row r="111" ht="60" customHeight="1">
      <c r="A111" s="4" t="inlineStr">
        <is>
          <t>RQ2 status</t>
        </is>
      </c>
      <c r="B111" s="4" t="inlineStr">
        <is>
          <t>Update</t>
        </is>
      </c>
      <c r="C111" s="4" t="inlineStr">
        <is>
          <t>Confirmed in workflow</t>
        </is>
      </c>
      <c r="D111" s="4">
        <f>COUNTIFS('RQ2'!$D$2:$D$455,"Confirmed in workflow" ,'RQ2'!$B$2:$B$455,"Update")</f>
        <v/>
      </c>
      <c r="E111" s="4">
        <f>COUNTIF('RQ2'!$B$2:$B$455,"Update")</f>
        <v/>
      </c>
      <c r="F111" s="43">
        <f>IF(E111=0,"",D111/E111)</f>
        <v/>
      </c>
      <c r="G111" s="4" t="inlineStr">
        <is>
          <t>Descriptive, inherited extraction; verify before final conclusions</t>
        </is>
      </c>
      <c r="H111" s="4" t="inlineStr">
        <is>
          <t>RQ2</t>
        </is>
      </c>
      <c r="I111" s="4" t="inlineStr">
        <is>
          <t>integration_status</t>
        </is>
      </c>
    </row>
    <row r="112" ht="60" customHeight="1">
      <c r="A112" s="4" t="inlineStr">
        <is>
          <t>RQ2 status</t>
        </is>
      </c>
      <c r="B112" s="4" t="inlineStr">
        <is>
          <t>Update</t>
        </is>
      </c>
      <c r="C112" s="4" t="inlineStr">
        <is>
          <t>Proposed only</t>
        </is>
      </c>
      <c r="D112" s="4">
        <f>COUNTIFS('RQ2'!$D$2:$D$455,"Proposed only" ,'RQ2'!$B$2:$B$455,"Update")</f>
        <v/>
      </c>
      <c r="E112" s="4">
        <f>COUNTIF('RQ2'!$B$2:$B$455,"Update")</f>
        <v/>
      </c>
      <c r="F112" s="43">
        <f>IF(E112=0,"",D112/E112)</f>
        <v/>
      </c>
      <c r="G112" s="4" t="inlineStr">
        <is>
          <t>Descriptive, inherited extraction; verify before final conclusions</t>
        </is>
      </c>
      <c r="H112" s="4" t="inlineStr">
        <is>
          <t>RQ2</t>
        </is>
      </c>
      <c r="I112" s="4" t="inlineStr">
        <is>
          <t>integration_status</t>
        </is>
      </c>
    </row>
    <row r="113" ht="60" customHeight="1">
      <c r="A113" s="4" t="inlineStr">
        <is>
          <t>RQ2 status</t>
        </is>
      </c>
      <c r="B113" s="4" t="inlineStr">
        <is>
          <t>Update</t>
        </is>
      </c>
      <c r="C113" s="4" t="inlineStr">
        <is>
          <t>Research only</t>
        </is>
      </c>
      <c r="D113" s="4">
        <f>COUNTIFS('RQ2'!$D$2:$D$455,"Research only" ,'RQ2'!$B$2:$B$455,"Update")</f>
        <v/>
      </c>
      <c r="E113" s="4">
        <f>COUNTIF('RQ2'!$B$2:$B$455,"Update")</f>
        <v/>
      </c>
      <c r="F113" s="43">
        <f>IF(E113=0,"",D113/E113)</f>
        <v/>
      </c>
      <c r="G113" s="4" t="inlineStr">
        <is>
          <t>Descriptive, inherited extraction; verify before final conclusions</t>
        </is>
      </c>
      <c r="H113" s="4" t="inlineStr">
        <is>
          <t>RQ2</t>
        </is>
      </c>
      <c r="I113" s="4" t="inlineStr">
        <is>
          <t>integration_status</t>
        </is>
      </c>
    </row>
    <row r="114" ht="60" customHeight="1">
      <c r="A114" s="4" t="inlineStr">
        <is>
          <t>RQ2 status</t>
        </is>
      </c>
      <c r="B114" s="4" t="inlineStr">
        <is>
          <t>Update</t>
        </is>
      </c>
      <c r="C114" s="4" t="inlineStr">
        <is>
          <t>Pending / unclassified</t>
        </is>
      </c>
      <c r="D114" s="4">
        <f>COUNTIFS('RQ2'!$D$2:$D$455,"" ,'RQ2'!$B$2:$B$455,"Update")</f>
        <v/>
      </c>
      <c r="E114" s="4">
        <f>COUNTIF('RQ2'!$B$2:$B$455,"Update")</f>
        <v/>
      </c>
      <c r="F114" s="43">
        <f>IF(E114=0,"",D114/E114)</f>
        <v/>
      </c>
      <c r="G114" s="4" t="inlineStr">
        <is>
          <t>Descriptive, inherited extraction; verify before final conclusions</t>
        </is>
      </c>
      <c r="H114" s="4" t="inlineStr">
        <is>
          <t>RQ2</t>
        </is>
      </c>
      <c r="I114" s="4" t="inlineStr">
        <is>
          <t>integration_status</t>
        </is>
      </c>
    </row>
    <row r="115" ht="47" customHeight="1">
      <c r="A115" s="4" t="inlineStr">
        <is>
          <t>RQ3 indicator</t>
        </is>
      </c>
      <c r="B115" s="4" t="inlineStr">
        <is>
          <t>Update</t>
        </is>
      </c>
      <c r="C115" s="4" t="inlineStr">
        <is>
          <t>external_validation</t>
        </is>
      </c>
      <c r="D115" s="4">
        <f>COUNTIFS('RQ3'!$D$2:$D$455,1 ,'RQ3'!$B$2:$B$455,"Update")</f>
        <v/>
      </c>
      <c r="E115" s="4">
        <f>COUNTIFS('RQ3'!$D$2:$D$455,1 ,'RQ3'!$B$2:$B$455,"Update")+COUNTIFS('RQ3'!$D$2:$D$455,0,'RQ3'!$D$2:$D$455,"&lt;&gt;" ,'RQ3'!$B$2:$B$455,"Update")</f>
        <v/>
      </c>
      <c r="F115" s="43">
        <f>IF(E115=0,"",D115/E115)</f>
        <v/>
      </c>
      <c r="G115" s="4" t="inlineStr">
        <is>
          <t>Numerator = 1; denominator = recorded 0/1; blank excluded</t>
        </is>
      </c>
      <c r="H115" s="4" t="inlineStr">
        <is>
          <t>RQ3</t>
        </is>
      </c>
      <c r="I115" s="4" t="inlineStr">
        <is>
          <t>external_validation</t>
        </is>
      </c>
    </row>
    <row r="116" ht="47" customHeight="1">
      <c r="A116" s="4" t="inlineStr">
        <is>
          <t>RQ3 indicator</t>
        </is>
      </c>
      <c r="B116" s="4" t="inlineStr">
        <is>
          <t>Update</t>
        </is>
      </c>
      <c r="C116" s="4" t="inlineStr">
        <is>
          <t>multisite_dataset</t>
        </is>
      </c>
      <c r="D116" s="4">
        <f>COUNTIFS('RQ3'!$E$2:$E$455,1 ,'RQ3'!$B$2:$B$455,"Update")</f>
        <v/>
      </c>
      <c r="E116" s="4">
        <f>COUNTIFS('RQ3'!$E$2:$E$455,1 ,'RQ3'!$B$2:$B$455,"Update")+COUNTIFS('RQ3'!$E$2:$E$455,0,'RQ3'!$E$2:$E$455,"&lt;&gt;" ,'RQ3'!$B$2:$B$455,"Update")</f>
        <v/>
      </c>
      <c r="F116" s="43">
        <f>IF(E116=0,"",D116/E116)</f>
        <v/>
      </c>
      <c r="G116" s="4" t="inlineStr">
        <is>
          <t>Numerator = 1; denominator = recorded 0/1; blank excluded</t>
        </is>
      </c>
      <c r="H116" s="4" t="inlineStr">
        <is>
          <t>RQ3</t>
        </is>
      </c>
      <c r="I116" s="4" t="inlineStr">
        <is>
          <t>multisite_dataset</t>
        </is>
      </c>
    </row>
    <row r="117" ht="47" customHeight="1">
      <c r="A117" s="4" t="inlineStr">
        <is>
          <t>RQ3 indicator</t>
        </is>
      </c>
      <c r="B117" s="4" t="inlineStr">
        <is>
          <t>Update</t>
        </is>
      </c>
      <c r="C117" s="4" t="inlineStr">
        <is>
          <t>cross_site_robustness</t>
        </is>
      </c>
      <c r="D117" s="4">
        <f>COUNTIFS('RQ3'!$F$2:$F$455,1 ,'RQ3'!$B$2:$B$455,"Update")</f>
        <v/>
      </c>
      <c r="E117" s="4">
        <f>COUNTIFS('RQ3'!$F$2:$F$455,1 ,'RQ3'!$B$2:$B$455,"Update")+COUNTIFS('RQ3'!$F$2:$F$455,0,'RQ3'!$F$2:$F$455,"&lt;&gt;" ,'RQ3'!$B$2:$B$455,"Update")</f>
        <v/>
      </c>
      <c r="F117" s="43">
        <f>IF(E117=0,"",D117/E117)</f>
        <v/>
      </c>
      <c r="G117" s="4" t="inlineStr">
        <is>
          <t>Numerator = 1; denominator = recorded 0/1; blank excluded</t>
        </is>
      </c>
      <c r="H117" s="4" t="inlineStr">
        <is>
          <t>RQ3</t>
        </is>
      </c>
      <c r="I117" s="4" t="inlineStr">
        <is>
          <t>cross_site_robustness</t>
        </is>
      </c>
    </row>
    <row r="118" ht="47" customHeight="1">
      <c r="A118" s="4" t="inlineStr">
        <is>
          <t>RQ3 indicator</t>
        </is>
      </c>
      <c r="B118" s="4" t="inlineStr">
        <is>
          <t>Update</t>
        </is>
      </c>
      <c r="C118" s="4" t="inlineStr">
        <is>
          <t>prospective_evaluation</t>
        </is>
      </c>
      <c r="D118" s="4">
        <f>COUNTIFS('RQ3'!$G$2:$G$455,1 ,'RQ3'!$B$2:$B$455,"Update")</f>
        <v/>
      </c>
      <c r="E118" s="4">
        <f>COUNTIFS('RQ3'!$G$2:$G$455,1 ,'RQ3'!$B$2:$B$455,"Update")+COUNTIFS('RQ3'!$G$2:$G$455,0,'RQ3'!$G$2:$G$455,"&lt;&gt;" ,'RQ3'!$B$2:$B$455,"Update")</f>
        <v/>
      </c>
      <c r="F118" s="43">
        <f>IF(E118=0,"",D118/E118)</f>
        <v/>
      </c>
      <c r="G118" s="4" t="inlineStr">
        <is>
          <t>Numerator = 1; denominator = recorded 0/1; blank excluded</t>
        </is>
      </c>
      <c r="H118" s="4" t="inlineStr">
        <is>
          <t>RQ3</t>
        </is>
      </c>
      <c r="I118" s="4" t="inlineStr">
        <is>
          <t>prospective_evaluation</t>
        </is>
      </c>
    </row>
    <row r="119" ht="47" customHeight="1">
      <c r="A119" s="4" t="inlineStr">
        <is>
          <t>RQ3 indicator</t>
        </is>
      </c>
      <c r="B119" s="4" t="inlineStr">
        <is>
          <t>Update</t>
        </is>
      </c>
      <c r="C119" s="4" t="inlineStr">
        <is>
          <t>xai_strict</t>
        </is>
      </c>
      <c r="D119" s="4">
        <f>COUNTIFS('RQ3'!$H$2:$H$455,1 ,'RQ3'!$B$2:$B$455,"Update")</f>
        <v/>
      </c>
      <c r="E119" s="4">
        <f>COUNTIFS('RQ3'!$H$2:$H$455,1 ,'RQ3'!$B$2:$B$455,"Update")+COUNTIFS('RQ3'!$H$2:$H$455,0,'RQ3'!$H$2:$H$455,"&lt;&gt;" ,'RQ3'!$B$2:$B$455,"Update")</f>
        <v/>
      </c>
      <c r="F119" s="43">
        <f>IF(E119=0,"",D119/E119)</f>
        <v/>
      </c>
      <c r="G119" s="4" t="inlineStr">
        <is>
          <t>Numerator = 1; denominator = recorded 0/1; blank excluded</t>
        </is>
      </c>
      <c r="H119" s="4" t="inlineStr">
        <is>
          <t>RQ3</t>
        </is>
      </c>
      <c r="I119" s="4" t="inlineStr">
        <is>
          <t>xai_strict</t>
        </is>
      </c>
    </row>
    <row r="120" ht="47" customHeight="1">
      <c r="A120" s="4" t="inlineStr">
        <is>
          <t>RQ3 indicator</t>
        </is>
      </c>
      <c r="B120" s="4" t="inlineStr">
        <is>
          <t>Update</t>
        </is>
      </c>
      <c r="C120" s="4" t="inlineStr">
        <is>
          <t>xai_partial</t>
        </is>
      </c>
      <c r="D120" s="4">
        <f>COUNTIFS('RQ3'!$I$2:$I$455,1 ,'RQ3'!$B$2:$B$455,"Update")</f>
        <v/>
      </c>
      <c r="E120" s="4">
        <f>COUNTIFS('RQ3'!$I$2:$I$455,1 ,'RQ3'!$B$2:$B$455,"Update")+COUNTIFS('RQ3'!$I$2:$I$455,0,'RQ3'!$I$2:$I$455,"&lt;&gt;" ,'RQ3'!$B$2:$B$455,"Update")</f>
        <v/>
      </c>
      <c r="F120" s="43">
        <f>IF(E120=0,"",D120/E120)</f>
        <v/>
      </c>
      <c r="G120" s="4" t="inlineStr">
        <is>
          <t>Numerator = 1; denominator = recorded 0/1; blank excluded</t>
        </is>
      </c>
      <c r="H120" s="4" t="inlineStr">
        <is>
          <t>RQ3</t>
        </is>
      </c>
      <c r="I120" s="4" t="inlineStr">
        <is>
          <t>xai_partial</t>
        </is>
      </c>
    </row>
    <row r="121" ht="47" customHeight="1">
      <c r="A121" s="4" t="inlineStr">
        <is>
          <t>RQ3 indicator</t>
        </is>
      </c>
      <c r="B121" s="4" t="inlineStr">
        <is>
          <t>Update</t>
        </is>
      </c>
      <c r="C121" s="4" t="inlineStr">
        <is>
          <t>multisource_data</t>
        </is>
      </c>
      <c r="D121" s="4">
        <f>COUNTIFS('RQ3'!$J$2:$J$455,1 ,'RQ3'!$B$2:$B$455,"Update")</f>
        <v/>
      </c>
      <c r="E121" s="4">
        <f>COUNTIFS('RQ3'!$J$2:$J$455,1 ,'RQ3'!$B$2:$B$455,"Update")+COUNTIFS('RQ3'!$J$2:$J$455,0,'RQ3'!$J$2:$J$455,"&lt;&gt;" ,'RQ3'!$B$2:$B$455,"Update")</f>
        <v/>
      </c>
      <c r="F121" s="43">
        <f>IF(E121=0,"",D121/E121)</f>
        <v/>
      </c>
      <c r="G121" s="4" t="inlineStr">
        <is>
          <t>Numerator = 1; denominator = recorded 0/1; blank excluded</t>
        </is>
      </c>
      <c r="H121" s="4" t="inlineStr">
        <is>
          <t>RQ3</t>
        </is>
      </c>
      <c r="I121" s="4" t="inlineStr">
        <is>
          <t>multisource_data</t>
        </is>
      </c>
    </row>
    <row r="122" ht="60" customHeight="1">
      <c r="A122" s="4" t="inlineStr">
        <is>
          <t>Clinical stage</t>
        </is>
      </c>
      <c r="B122" s="4" t="inlineStr">
        <is>
          <t>All excluding integrity flags</t>
        </is>
      </c>
      <c r="C122" s="4" t="inlineStr">
        <is>
          <t>Diagnosis</t>
        </is>
      </c>
      <c r="D122" s="4">
        <f>COUNTIFS('RQ1'!$D$2:$D$455,"Diagnosis",'RQ1'!$Q$2:$Q$455,0)</f>
        <v/>
      </c>
      <c r="E122" s="4">
        <f>COUNTIF('ESTUDIOS'!$I$2:$I$455,0)</f>
        <v/>
      </c>
      <c r="F122" s="43">
        <f>IF(E122=0,"",D122/E122)</f>
        <v/>
      </c>
      <c r="G122" s="4" t="inlineStr">
        <is>
          <t>Descriptive, inherited extraction; verify before final conclusions</t>
        </is>
      </c>
      <c r="H122" s="4" t="inlineStr">
        <is>
          <t>RQ1</t>
        </is>
      </c>
      <c r="I122" s="4" t="inlineStr">
        <is>
          <t>stage_primary</t>
        </is>
      </c>
    </row>
    <row r="123" ht="60" customHeight="1">
      <c r="A123" s="4" t="inlineStr">
        <is>
          <t>Clinical stage</t>
        </is>
      </c>
      <c r="B123" s="4" t="inlineStr">
        <is>
          <t>All excluding integrity flags</t>
        </is>
      </c>
      <c r="C123" s="4" t="inlineStr">
        <is>
          <t>Monitoring/intervention</t>
        </is>
      </c>
      <c r="D123" s="4">
        <f>COUNTIFS('RQ1'!$D$2:$D$455,"Monitoring/intervention",'RQ1'!$Q$2:$Q$455,0)</f>
        <v/>
      </c>
      <c r="E123" s="4">
        <f>COUNTIF('ESTUDIOS'!$I$2:$I$455,0)</f>
        <v/>
      </c>
      <c r="F123" s="43">
        <f>IF(E123=0,"",D123/E123)</f>
        <v/>
      </c>
      <c r="G123" s="4" t="inlineStr">
        <is>
          <t>Descriptive, inherited extraction; verify before final conclusions</t>
        </is>
      </c>
      <c r="H123" s="4" t="inlineStr">
        <is>
          <t>RQ1</t>
        </is>
      </c>
      <c r="I123" s="4" t="inlineStr">
        <is>
          <t>stage_primary</t>
        </is>
      </c>
    </row>
    <row r="124" ht="60" customHeight="1">
      <c r="A124" s="4" t="inlineStr">
        <is>
          <t>Clinical stage</t>
        </is>
      </c>
      <c r="B124" s="4" t="inlineStr">
        <is>
          <t>All excluding integrity flags</t>
        </is>
      </c>
      <c r="C124" s="4" t="inlineStr">
        <is>
          <t>Not specified</t>
        </is>
      </c>
      <c r="D124" s="4">
        <f>COUNTIFS('RQ1'!$D$2:$D$455,"Not specified",'RQ1'!$Q$2:$Q$455,0)</f>
        <v/>
      </c>
      <c r="E124" s="4">
        <f>COUNTIF('ESTUDIOS'!$I$2:$I$455,0)</f>
        <v/>
      </c>
      <c r="F124" s="43">
        <f>IF(E124=0,"",D124/E124)</f>
        <v/>
      </c>
      <c r="G124" s="4" t="inlineStr">
        <is>
          <t>Descriptive, inherited extraction; verify before final conclusions</t>
        </is>
      </c>
      <c r="H124" s="4" t="inlineStr">
        <is>
          <t>RQ1</t>
        </is>
      </c>
      <c r="I124" s="4" t="inlineStr">
        <is>
          <t>stage_primary</t>
        </is>
      </c>
    </row>
    <row r="125" ht="60" customHeight="1">
      <c r="A125" s="4" t="inlineStr">
        <is>
          <t>Clinical stage</t>
        </is>
      </c>
      <c r="B125" s="4" t="inlineStr">
        <is>
          <t>All excluding integrity flags</t>
        </is>
      </c>
      <c r="C125" s="4" t="inlineStr">
        <is>
          <t>Prescreening</t>
        </is>
      </c>
      <c r="D125" s="4">
        <f>COUNTIFS('RQ1'!$D$2:$D$455,"Prescreening",'RQ1'!$Q$2:$Q$455,0)</f>
        <v/>
      </c>
      <c r="E125" s="4">
        <f>COUNTIF('ESTUDIOS'!$I$2:$I$455,0)</f>
        <v/>
      </c>
      <c r="F125" s="43">
        <f>IF(E125=0,"",D125/E125)</f>
        <v/>
      </c>
      <c r="G125" s="4" t="inlineStr">
        <is>
          <t>Descriptive, inherited extraction; verify before final conclusions</t>
        </is>
      </c>
      <c r="H125" s="4" t="inlineStr">
        <is>
          <t>RQ1</t>
        </is>
      </c>
      <c r="I125" s="4" t="inlineStr">
        <is>
          <t>stage_primary</t>
        </is>
      </c>
    </row>
    <row r="126" ht="60" customHeight="1">
      <c r="A126" s="4" t="inlineStr">
        <is>
          <t>Clinical stage</t>
        </is>
      </c>
      <c r="B126" s="4" t="inlineStr">
        <is>
          <t>All excluding integrity flags</t>
        </is>
      </c>
      <c r="C126" s="4" t="inlineStr">
        <is>
          <t>Prognosis</t>
        </is>
      </c>
      <c r="D126" s="4">
        <f>COUNTIFS('RQ1'!$D$2:$D$455,"Prognosis",'RQ1'!$Q$2:$Q$455,0)</f>
        <v/>
      </c>
      <c r="E126" s="4">
        <f>COUNTIF('ESTUDIOS'!$I$2:$I$455,0)</f>
        <v/>
      </c>
      <c r="F126" s="43">
        <f>IF(E126=0,"",D126/E126)</f>
        <v/>
      </c>
      <c r="G126" s="4" t="inlineStr">
        <is>
          <t>Descriptive, inherited extraction; verify before final conclusions</t>
        </is>
      </c>
      <c r="H126" s="4" t="inlineStr">
        <is>
          <t>RQ1</t>
        </is>
      </c>
      <c r="I126" s="4" t="inlineStr">
        <is>
          <t>stage_primary</t>
        </is>
      </c>
    </row>
    <row r="127" ht="60" customHeight="1">
      <c r="A127" s="4" t="inlineStr">
        <is>
          <t>Clinical stage</t>
        </is>
      </c>
      <c r="B127" s="4" t="inlineStr">
        <is>
          <t>All excluding integrity flags</t>
        </is>
      </c>
      <c r="C127" s="4" t="inlineStr">
        <is>
          <t>Screening</t>
        </is>
      </c>
      <c r="D127" s="4">
        <f>COUNTIFS('RQ1'!$D$2:$D$455,"Screening",'RQ1'!$Q$2:$Q$455,0)</f>
        <v/>
      </c>
      <c r="E127" s="4">
        <f>COUNTIF('ESTUDIOS'!$I$2:$I$455,0)</f>
        <v/>
      </c>
      <c r="F127" s="43">
        <f>IF(E127=0,"",D127/E127)</f>
        <v/>
      </c>
      <c r="G127" s="4" t="inlineStr">
        <is>
          <t>Descriptive, inherited extraction; verify before final conclusions</t>
        </is>
      </c>
      <c r="H127" s="4" t="inlineStr">
        <is>
          <t>RQ1</t>
        </is>
      </c>
      <c r="I127" s="4" t="inlineStr">
        <is>
          <t>stage_primary</t>
        </is>
      </c>
    </row>
    <row r="128" ht="60" customHeight="1">
      <c r="A128" s="4" t="inlineStr">
        <is>
          <t>AI type</t>
        </is>
      </c>
      <c r="B128" s="4" t="inlineStr">
        <is>
          <t>All excluding integrity flags</t>
        </is>
      </c>
      <c r="C128" s="4" t="inlineStr">
        <is>
          <t>Deep Learning</t>
        </is>
      </c>
      <c r="D128" s="4">
        <f>COUNTIFS('RQ1'!$E$2:$E$455,"Deep Learning",'RQ1'!$Q$2:$Q$455,0)</f>
        <v/>
      </c>
      <c r="E128" s="4">
        <f>COUNTIF('ESTUDIOS'!$I$2:$I$455,0)</f>
        <v/>
      </c>
      <c r="F128" s="43">
        <f>IF(E128=0,"",D128/E128)</f>
        <v/>
      </c>
      <c r="G128" s="4" t="inlineStr">
        <is>
          <t>Descriptive, inherited extraction; verify before final conclusions</t>
        </is>
      </c>
      <c r="H128" s="4" t="inlineStr">
        <is>
          <t>RQ1</t>
        </is>
      </c>
      <c r="I128" s="4" t="inlineStr">
        <is>
          <t>ai_type</t>
        </is>
      </c>
    </row>
    <row r="129" ht="60" customHeight="1">
      <c r="A129" s="4" t="inlineStr">
        <is>
          <t>AI type</t>
        </is>
      </c>
      <c r="B129" s="4" t="inlineStr">
        <is>
          <t>All excluding integrity flags</t>
        </is>
      </c>
      <c r="C129" s="4" t="inlineStr">
        <is>
          <t>Hybrid</t>
        </is>
      </c>
      <c r="D129" s="4">
        <f>COUNTIFS('RQ1'!$E$2:$E$455,"Hybrid",'RQ1'!$Q$2:$Q$455,0)</f>
        <v/>
      </c>
      <c r="E129" s="4">
        <f>COUNTIF('ESTUDIOS'!$I$2:$I$455,0)</f>
        <v/>
      </c>
      <c r="F129" s="43">
        <f>IF(E129=0,"",D129/E129)</f>
        <v/>
      </c>
      <c r="G129" s="4" t="inlineStr">
        <is>
          <t>Descriptive, inherited extraction; verify before final conclusions</t>
        </is>
      </c>
      <c r="H129" s="4" t="inlineStr">
        <is>
          <t>RQ1</t>
        </is>
      </c>
      <c r="I129" s="4" t="inlineStr">
        <is>
          <t>ai_type</t>
        </is>
      </c>
    </row>
    <row r="130" ht="60" customHeight="1">
      <c r="A130" s="4" t="inlineStr">
        <is>
          <t>AI type</t>
        </is>
      </c>
      <c r="B130" s="4" t="inlineStr">
        <is>
          <t>All excluding integrity flags</t>
        </is>
      </c>
      <c r="C130" s="4" t="inlineStr">
        <is>
          <t>Machine Learning</t>
        </is>
      </c>
      <c r="D130" s="4">
        <f>COUNTIFS('RQ1'!$E$2:$E$455,"Machine Learning",'RQ1'!$Q$2:$Q$455,0)</f>
        <v/>
      </c>
      <c r="E130" s="4">
        <f>COUNTIF('ESTUDIOS'!$I$2:$I$455,0)</f>
        <v/>
      </c>
      <c r="F130" s="43">
        <f>IF(E130=0,"",D130/E130)</f>
        <v/>
      </c>
      <c r="G130" s="4" t="inlineStr">
        <is>
          <t>Descriptive, inherited extraction; verify before final conclusions</t>
        </is>
      </c>
      <c r="H130" s="4" t="inlineStr">
        <is>
          <t>RQ1</t>
        </is>
      </c>
      <c r="I130" s="4" t="inlineStr">
        <is>
          <t>ai_type</t>
        </is>
      </c>
    </row>
    <row r="131" ht="60" customHeight="1">
      <c r="A131" s="4" t="inlineStr">
        <is>
          <t>AI type</t>
        </is>
      </c>
      <c r="B131" s="4" t="inlineStr">
        <is>
          <t>All excluding integrity flags</t>
        </is>
      </c>
      <c r="C131" s="4" t="inlineStr">
        <is>
          <t>Not specified</t>
        </is>
      </c>
      <c r="D131" s="4">
        <f>COUNTIFS('RQ1'!$E$2:$E$455,"Not specified",'RQ1'!$Q$2:$Q$455,0)</f>
        <v/>
      </c>
      <c r="E131" s="4">
        <f>COUNTIF('ESTUDIOS'!$I$2:$I$455,0)</f>
        <v/>
      </c>
      <c r="F131" s="43">
        <f>IF(E131=0,"",D131/E131)</f>
        <v/>
      </c>
      <c r="G131" s="4" t="inlineStr">
        <is>
          <t>Descriptive, inherited extraction; verify before final conclusions</t>
        </is>
      </c>
      <c r="H131" s="4" t="inlineStr">
        <is>
          <t>RQ1</t>
        </is>
      </c>
      <c r="I131" s="4" t="inlineStr">
        <is>
          <t>ai_type</t>
        </is>
      </c>
    </row>
    <row r="132" ht="60" customHeight="1">
      <c r="A132" s="4" t="inlineStr">
        <is>
          <t>Data source</t>
        </is>
      </c>
      <c r="B132" s="4" t="inlineStr">
        <is>
          <t>All excluding integrity flags</t>
        </is>
      </c>
      <c r="C132" s="4" t="inlineStr">
        <is>
          <t>Audio / voice</t>
        </is>
      </c>
      <c r="D132" s="4">
        <f>COUNTIFS('RQ1'!$F$2:$F$455,"Audio / voice",'RQ1'!$Q$2:$Q$455,0)</f>
        <v/>
      </c>
      <c r="E132" s="4">
        <f>COUNTIF('ESTUDIOS'!$I$2:$I$455,0)</f>
        <v/>
      </c>
      <c r="F132" s="43">
        <f>IF(E132=0,"",D132/E132)</f>
        <v/>
      </c>
      <c r="G132" s="4" t="inlineStr">
        <is>
          <t>Descriptive, inherited extraction; verify before final conclusions</t>
        </is>
      </c>
      <c r="H132" s="4" t="inlineStr">
        <is>
          <t>RQ1</t>
        </is>
      </c>
      <c r="I132" s="4" t="inlineStr">
        <is>
          <t>data_source_primary</t>
        </is>
      </c>
    </row>
    <row r="133" ht="60" customHeight="1">
      <c r="A133" s="4" t="inlineStr">
        <is>
          <t>Data source</t>
        </is>
      </c>
      <c r="B133" s="4" t="inlineStr">
        <is>
          <t>All excluding integrity flags</t>
        </is>
      </c>
      <c r="C133" s="4" t="inlineStr">
        <is>
          <t>Behavioral gaze / eye tracking</t>
        </is>
      </c>
      <c r="D133" s="4">
        <f>COUNTIFS('RQ1'!$F$2:$F$455,"Behavioral gaze / eye tracking",'RQ1'!$Q$2:$Q$455,0)</f>
        <v/>
      </c>
      <c r="E133" s="4">
        <f>COUNTIF('ESTUDIOS'!$I$2:$I$455,0)</f>
        <v/>
      </c>
      <c r="F133" s="43">
        <f>IF(E133=0,"",D133/E133)</f>
        <v/>
      </c>
      <c r="G133" s="4" t="inlineStr">
        <is>
          <t>Descriptive, inherited extraction; verify before final conclusions</t>
        </is>
      </c>
      <c r="H133" s="4" t="inlineStr">
        <is>
          <t>RQ1</t>
        </is>
      </c>
      <c r="I133" s="4" t="inlineStr">
        <is>
          <t>data_source_primary</t>
        </is>
      </c>
    </row>
    <row r="134" ht="60" customHeight="1">
      <c r="A134" s="4" t="inlineStr">
        <is>
          <t>Data source</t>
        </is>
      </c>
      <c r="B134" s="4" t="inlineStr">
        <is>
          <t>All excluding integrity flags</t>
        </is>
      </c>
      <c r="C134" s="4" t="inlineStr">
        <is>
          <t>Behavioral video / movement</t>
        </is>
      </c>
      <c r="D134" s="4">
        <f>COUNTIFS('RQ1'!$F$2:$F$455,"Behavioral video / movement",'RQ1'!$Q$2:$Q$455,0)</f>
        <v/>
      </c>
      <c r="E134" s="4">
        <f>COUNTIF('ESTUDIOS'!$I$2:$I$455,0)</f>
        <v/>
      </c>
      <c r="F134" s="43">
        <f>IF(E134=0,"",D134/E134)</f>
        <v/>
      </c>
      <c r="G134" s="4" t="inlineStr">
        <is>
          <t>Descriptive, inherited extraction; verify before final conclusions</t>
        </is>
      </c>
      <c r="H134" s="4" t="inlineStr">
        <is>
          <t>RQ1</t>
        </is>
      </c>
      <c r="I134" s="4" t="inlineStr">
        <is>
          <t>data_source_primary</t>
        </is>
      </c>
    </row>
    <row r="135" ht="60" customHeight="1">
      <c r="A135" s="4" t="inlineStr">
        <is>
          <t>Data source</t>
        </is>
      </c>
      <c r="B135" s="4" t="inlineStr">
        <is>
          <t>All excluding integrity flags</t>
        </is>
      </c>
      <c r="C135" s="4" t="inlineStr">
        <is>
          <t>Biological/omics</t>
        </is>
      </c>
      <c r="D135" s="4">
        <f>COUNTIFS('RQ1'!$F$2:$F$455,"Biological/omics",'RQ1'!$Q$2:$Q$455,0)</f>
        <v/>
      </c>
      <c r="E135" s="4">
        <f>COUNTIF('ESTUDIOS'!$I$2:$I$455,0)</f>
        <v/>
      </c>
      <c r="F135" s="43">
        <f>IF(E135=0,"",D135/E135)</f>
        <v/>
      </c>
      <c r="G135" s="4" t="inlineStr">
        <is>
          <t>Descriptive, inherited extraction; verify before final conclusions</t>
        </is>
      </c>
      <c r="H135" s="4" t="inlineStr">
        <is>
          <t>RQ1</t>
        </is>
      </c>
      <c r="I135" s="4" t="inlineStr">
        <is>
          <t>data_source_primary</t>
        </is>
      </c>
    </row>
    <row r="136" ht="60" customHeight="1">
      <c r="A136" s="4" t="inlineStr">
        <is>
          <t>Data source</t>
        </is>
      </c>
      <c r="B136" s="4" t="inlineStr">
        <is>
          <t>All excluding integrity flags</t>
        </is>
      </c>
      <c r="C136" s="4" t="inlineStr">
        <is>
          <t>Digital / robot interaction</t>
        </is>
      </c>
      <c r="D136" s="4">
        <f>COUNTIFS('RQ1'!$F$2:$F$455,"Digital / robot interaction",'RQ1'!$Q$2:$Q$455,0)</f>
        <v/>
      </c>
      <c r="E136" s="4">
        <f>COUNTIF('ESTUDIOS'!$I$2:$I$455,0)</f>
        <v/>
      </c>
      <c r="F136" s="43">
        <f>IF(E136=0,"",D136/E136)</f>
        <v/>
      </c>
      <c r="G136" s="4" t="inlineStr">
        <is>
          <t>Descriptive, inherited extraction; verify before final conclusions</t>
        </is>
      </c>
      <c r="H136" s="4" t="inlineStr">
        <is>
          <t>RQ1</t>
        </is>
      </c>
      <c r="I136" s="4" t="inlineStr">
        <is>
          <t>data_source_primary</t>
        </is>
      </c>
    </row>
    <row r="137" ht="60" customHeight="1">
      <c r="A137" s="4" t="inlineStr">
        <is>
          <t>Data source</t>
        </is>
      </c>
      <c r="B137" s="4" t="inlineStr">
        <is>
          <t>All excluding integrity flags</t>
        </is>
      </c>
      <c r="C137" s="4" t="inlineStr">
        <is>
          <t>Facial images</t>
        </is>
      </c>
      <c r="D137" s="4">
        <f>COUNTIFS('RQ1'!$F$2:$F$455,"Facial images",'RQ1'!$Q$2:$Q$455,0)</f>
        <v/>
      </c>
      <c r="E137" s="4">
        <f>COUNTIF('ESTUDIOS'!$I$2:$I$455,0)</f>
        <v/>
      </c>
      <c r="F137" s="43">
        <f>IF(E137=0,"",D137/E137)</f>
        <v/>
      </c>
      <c r="G137" s="4" t="inlineStr">
        <is>
          <t>Descriptive, inherited extraction; verify before final conclusions</t>
        </is>
      </c>
      <c r="H137" s="4" t="inlineStr">
        <is>
          <t>RQ1</t>
        </is>
      </c>
      <c r="I137" s="4" t="inlineStr">
        <is>
          <t>data_source_primary</t>
        </is>
      </c>
    </row>
    <row r="138" ht="60" customHeight="1">
      <c r="A138" s="4" t="inlineStr">
        <is>
          <t>Data source</t>
        </is>
      </c>
      <c r="B138" s="4" t="inlineStr">
        <is>
          <t>All excluding integrity flags</t>
        </is>
      </c>
      <c r="C138" s="4" t="inlineStr">
        <is>
          <t>Image (subtype unresolved)</t>
        </is>
      </c>
      <c r="D138" s="4">
        <f>COUNTIFS('RQ1'!$F$2:$F$455,"Image (subtype unresolved)",'RQ1'!$Q$2:$Q$455,0)</f>
        <v/>
      </c>
      <c r="E138" s="4">
        <f>COUNTIF('ESTUDIOS'!$I$2:$I$455,0)</f>
        <v/>
      </c>
      <c r="F138" s="43">
        <f>IF(E138=0,"",D138/E138)</f>
        <v/>
      </c>
      <c r="G138" s="4" t="inlineStr">
        <is>
          <t>Descriptive, inherited extraction; verify before final conclusions</t>
        </is>
      </c>
      <c r="H138" s="4" t="inlineStr">
        <is>
          <t>RQ1</t>
        </is>
      </c>
      <c r="I138" s="4" t="inlineStr">
        <is>
          <t>data_source_primary</t>
        </is>
      </c>
    </row>
    <row r="139" ht="60" customHeight="1">
      <c r="A139" s="4" t="inlineStr">
        <is>
          <t>Data source</t>
        </is>
      </c>
      <c r="B139" s="4" t="inlineStr">
        <is>
          <t>All excluding integrity flags</t>
        </is>
      </c>
      <c r="C139" s="4" t="inlineStr">
        <is>
          <t>Multiple datasets (fusion unverified)</t>
        </is>
      </c>
      <c r="D139" s="4">
        <f>COUNTIFS('RQ1'!$F$2:$F$455,"Multiple datasets (fusion unverified)",'RQ1'!$Q$2:$Q$455,0)</f>
        <v/>
      </c>
      <c r="E139" s="4">
        <f>COUNTIF('ESTUDIOS'!$I$2:$I$455,0)</f>
        <v/>
      </c>
      <c r="F139" s="43">
        <f>IF(E139=0,"",D139/E139)</f>
        <v/>
      </c>
      <c r="G139" s="4" t="inlineStr">
        <is>
          <t>Descriptive, inherited extraction; verify before final conclusions</t>
        </is>
      </c>
      <c r="H139" s="4" t="inlineStr">
        <is>
          <t>RQ1</t>
        </is>
      </c>
      <c r="I139" s="4" t="inlineStr">
        <is>
          <t>data_source_primary</t>
        </is>
      </c>
    </row>
    <row r="140" ht="60" customHeight="1">
      <c r="A140" s="4" t="inlineStr">
        <is>
          <t>Data source</t>
        </is>
      </c>
      <c r="B140" s="4" t="inlineStr">
        <is>
          <t>All excluding integrity flags</t>
        </is>
      </c>
      <c r="C140" s="4" t="inlineStr">
        <is>
          <t>Multiple modalities (as coded)</t>
        </is>
      </c>
      <c r="D140" s="4">
        <f>COUNTIFS('RQ1'!$F$2:$F$455,"Multiple modalities (as coded)",'RQ1'!$Q$2:$Q$455,0)</f>
        <v/>
      </c>
      <c r="E140" s="4">
        <f>COUNTIF('ESTUDIOS'!$I$2:$I$455,0)</f>
        <v/>
      </c>
      <c r="F140" s="43">
        <f>IF(E140=0,"",D140/E140)</f>
        <v/>
      </c>
      <c r="G140" s="4" t="inlineStr">
        <is>
          <t>Descriptive, inherited extraction; verify before final conclusions</t>
        </is>
      </c>
      <c r="H140" s="4" t="inlineStr">
        <is>
          <t>RQ1</t>
        </is>
      </c>
      <c r="I140" s="4" t="inlineStr">
        <is>
          <t>data_source_primary</t>
        </is>
      </c>
    </row>
    <row r="141" ht="60" customHeight="1">
      <c r="A141" s="4" t="inlineStr">
        <is>
          <t>Data source</t>
        </is>
      </c>
      <c r="B141" s="4" t="inlineStr">
        <is>
          <t>All excluding integrity flags</t>
        </is>
      </c>
      <c r="C141" s="4" t="inlineStr">
        <is>
          <t>Neuroimaging</t>
        </is>
      </c>
      <c r="D141" s="4">
        <f>COUNTIFS('RQ1'!$F$2:$F$455,"Neuroimaging",'RQ1'!$Q$2:$Q$455,0)</f>
        <v/>
      </c>
      <c r="E141" s="4">
        <f>COUNTIF('ESTUDIOS'!$I$2:$I$455,0)</f>
        <v/>
      </c>
      <c r="F141" s="43">
        <f>IF(E141=0,"",D141/E141)</f>
        <v/>
      </c>
      <c r="G141" s="4" t="inlineStr">
        <is>
          <t>Descriptive, inherited extraction; verify before final conclusions</t>
        </is>
      </c>
      <c r="H141" s="4" t="inlineStr">
        <is>
          <t>RQ1</t>
        </is>
      </c>
      <c r="I141" s="4" t="inlineStr">
        <is>
          <t>data_source_primary</t>
        </is>
      </c>
    </row>
    <row r="142" ht="60" customHeight="1">
      <c r="A142" s="4" t="inlineStr">
        <is>
          <t>Data source</t>
        </is>
      </c>
      <c r="B142" s="4" t="inlineStr">
        <is>
          <t>All excluding integrity flags</t>
        </is>
      </c>
      <c r="C142" s="4" t="inlineStr">
        <is>
          <t>Not specified</t>
        </is>
      </c>
      <c r="D142" s="4">
        <f>COUNTIFS('RQ1'!$F$2:$F$455,"Not specified",'RQ1'!$Q$2:$Q$455,0)</f>
        <v/>
      </c>
      <c r="E142" s="4">
        <f>COUNTIF('ESTUDIOS'!$I$2:$I$455,0)</f>
        <v/>
      </c>
      <c r="F142" s="43">
        <f>IF(E142=0,"",D142/E142)</f>
        <v/>
      </c>
      <c r="G142" s="4" t="inlineStr">
        <is>
          <t>Descriptive, inherited extraction; verify before final conclusions</t>
        </is>
      </c>
      <c r="H142" s="4" t="inlineStr">
        <is>
          <t>RQ1</t>
        </is>
      </c>
      <c r="I142" s="4" t="inlineStr">
        <is>
          <t>data_source_primary</t>
        </is>
      </c>
    </row>
    <row r="143" ht="60" customHeight="1">
      <c r="A143" s="4" t="inlineStr">
        <is>
          <t>Data source</t>
        </is>
      </c>
      <c r="B143" s="4" t="inlineStr">
        <is>
          <t>All excluding integrity flags</t>
        </is>
      </c>
      <c r="C143" s="4" t="inlineStr">
        <is>
          <t>Other images</t>
        </is>
      </c>
      <c r="D143" s="4">
        <f>COUNTIFS('RQ1'!$F$2:$F$455,"Other images",'RQ1'!$Q$2:$Q$455,0)</f>
        <v/>
      </c>
      <c r="E143" s="4">
        <f>COUNTIF('ESTUDIOS'!$I$2:$I$455,0)</f>
        <v/>
      </c>
      <c r="F143" s="43">
        <f>IF(E143=0,"",D143/E143)</f>
        <v/>
      </c>
      <c r="G143" s="4" t="inlineStr">
        <is>
          <t>Descriptive, inherited extraction; verify before final conclusions</t>
        </is>
      </c>
      <c r="H143" s="4" t="inlineStr">
        <is>
          <t>RQ1</t>
        </is>
      </c>
      <c r="I143" s="4" t="inlineStr">
        <is>
          <t>data_source_primary</t>
        </is>
      </c>
    </row>
    <row r="144" ht="60" customHeight="1">
      <c r="A144" s="4" t="inlineStr">
        <is>
          <t>Data source</t>
        </is>
      </c>
      <c r="B144" s="4" t="inlineStr">
        <is>
          <t>All excluding integrity flags</t>
        </is>
      </c>
      <c r="C144" s="4" t="inlineStr">
        <is>
          <t>Physiological signals</t>
        </is>
      </c>
      <c r="D144" s="4">
        <f>COUNTIFS('RQ1'!$F$2:$F$455,"Physiological signals",'RQ1'!$Q$2:$Q$455,0)</f>
        <v/>
      </c>
      <c r="E144" s="4">
        <f>COUNTIF('ESTUDIOS'!$I$2:$I$455,0)</f>
        <v/>
      </c>
      <c r="F144" s="43">
        <f>IF(E144=0,"",D144/E144)</f>
        <v/>
      </c>
      <c r="G144" s="4" t="inlineStr">
        <is>
          <t>Descriptive, inherited extraction; verify before final conclusions</t>
        </is>
      </c>
      <c r="H144" s="4" t="inlineStr">
        <is>
          <t>RQ1</t>
        </is>
      </c>
      <c r="I144" s="4" t="inlineStr">
        <is>
          <t>data_source_primary</t>
        </is>
      </c>
    </row>
    <row r="145" ht="60" customHeight="1">
      <c r="A145" s="4" t="inlineStr">
        <is>
          <t>Data source</t>
        </is>
      </c>
      <c r="B145" s="4" t="inlineStr">
        <is>
          <t>All excluding integrity flags</t>
        </is>
      </c>
      <c r="C145" s="4" t="inlineStr">
        <is>
          <t>Structured / tabular data</t>
        </is>
      </c>
      <c r="D145" s="4">
        <f>COUNTIFS('RQ1'!$F$2:$F$455,"Structured / tabular data",'RQ1'!$Q$2:$Q$455,0)</f>
        <v/>
      </c>
      <c r="E145" s="4">
        <f>COUNTIF('ESTUDIOS'!$I$2:$I$455,0)</f>
        <v/>
      </c>
      <c r="F145" s="43">
        <f>IF(E145=0,"",D145/E145)</f>
        <v/>
      </c>
      <c r="G145" s="4" t="inlineStr">
        <is>
          <t>Descriptive, inherited extraction; verify before final conclusions</t>
        </is>
      </c>
      <c r="H145" s="4" t="inlineStr">
        <is>
          <t>RQ1</t>
        </is>
      </c>
      <c r="I145" s="4" t="inlineStr">
        <is>
          <t>data_source_primary</t>
        </is>
      </c>
    </row>
    <row r="146" ht="60" customHeight="1">
      <c r="A146" s="4" t="inlineStr">
        <is>
          <t>Data source</t>
        </is>
      </c>
      <c r="B146" s="4" t="inlineStr">
        <is>
          <t>All excluding integrity flags</t>
        </is>
      </c>
      <c r="C146" s="4" t="inlineStr">
        <is>
          <t>Text / NLP (legacy; verify input type)</t>
        </is>
      </c>
      <c r="D146" s="4">
        <f>COUNTIFS('RQ1'!$F$2:$F$455,"Text / NLP (legacy; verify input type)",'RQ1'!$Q$2:$Q$455,0)</f>
        <v/>
      </c>
      <c r="E146" s="4">
        <f>COUNTIF('ESTUDIOS'!$I$2:$I$455,0)</f>
        <v/>
      </c>
      <c r="F146" s="43">
        <f>IF(E146=0,"",D146/E146)</f>
        <v/>
      </c>
      <c r="G146" s="4" t="inlineStr">
        <is>
          <t>Descriptive, inherited extraction; verify before final conclusions</t>
        </is>
      </c>
      <c r="H146" s="4" t="inlineStr">
        <is>
          <t>RQ1</t>
        </is>
      </c>
      <c r="I146" s="4" t="inlineStr">
        <is>
          <t>data_source_primary</t>
        </is>
      </c>
    </row>
    <row r="147" ht="60" customHeight="1">
      <c r="A147" s="4" t="inlineStr">
        <is>
          <t>Data source</t>
        </is>
      </c>
      <c r="B147" s="4" t="inlineStr">
        <is>
          <t>All excluding integrity flags</t>
        </is>
      </c>
      <c r="C147" s="4" t="inlineStr">
        <is>
          <t>Text / language</t>
        </is>
      </c>
      <c r="D147" s="4">
        <f>COUNTIFS('RQ1'!$F$2:$F$455,"Text / language",'RQ1'!$Q$2:$Q$455,0)</f>
        <v/>
      </c>
      <c r="E147" s="4">
        <f>COUNTIF('ESTUDIOS'!$I$2:$I$455,0)</f>
        <v/>
      </c>
      <c r="F147" s="43">
        <f>IF(E147=0,"",D147/E147)</f>
        <v/>
      </c>
      <c r="G147" s="4" t="inlineStr">
        <is>
          <t>Descriptive, inherited extraction; verify before final conclusions</t>
        </is>
      </c>
      <c r="H147" s="4" t="inlineStr">
        <is>
          <t>RQ1</t>
        </is>
      </c>
      <c r="I147" s="4" t="inlineStr">
        <is>
          <t>data_source_primary</t>
        </is>
      </c>
    </row>
    <row r="148" ht="60" customHeight="1">
      <c r="A148" s="4" t="inlineStr">
        <is>
          <t>Data source</t>
        </is>
      </c>
      <c r="B148" s="4" t="inlineStr">
        <is>
          <t>All excluding integrity flags</t>
        </is>
      </c>
      <c r="C148" s="4" t="inlineStr">
        <is>
          <t>Thermal imaging / physiology</t>
        </is>
      </c>
      <c r="D148" s="4">
        <f>COUNTIFS('RQ1'!$F$2:$F$455,"Thermal imaging / physiology",'RQ1'!$Q$2:$Q$455,0)</f>
        <v/>
      </c>
      <c r="E148" s="4">
        <f>COUNTIF('ESTUDIOS'!$I$2:$I$455,0)</f>
        <v/>
      </c>
      <c r="F148" s="43">
        <f>IF(E148=0,"",D148/E148)</f>
        <v/>
      </c>
      <c r="G148" s="4" t="inlineStr">
        <is>
          <t>Descriptive, inherited extraction; verify before final conclusions</t>
        </is>
      </c>
      <c r="H148" s="4" t="inlineStr">
        <is>
          <t>RQ1</t>
        </is>
      </c>
      <c r="I148" s="4" t="inlineStr">
        <is>
          <t>data_source_primary</t>
        </is>
      </c>
    </row>
    <row r="149" ht="60" customHeight="1">
      <c r="A149" s="4" t="inlineStr">
        <is>
          <t>RQ2 status</t>
        </is>
      </c>
      <c r="B149" s="4" t="inlineStr">
        <is>
          <t>All excluding integrity flags</t>
        </is>
      </c>
      <c r="C149" s="4" t="inlineStr">
        <is>
          <t>Confirmed in care delivery</t>
        </is>
      </c>
      <c r="D149" s="4">
        <f>COUNTIFS('RQ2'!$D$2:$D$455,"Confirmed in care delivery",'RQ2'!$Q$2:$Q$455,0)</f>
        <v/>
      </c>
      <c r="E149" s="4">
        <f>COUNTIF('ESTUDIOS'!$I$2:$I$455,0)</f>
        <v/>
      </c>
      <c r="F149" s="43">
        <f>IF(E149=0,"",D149/E149)</f>
        <v/>
      </c>
      <c r="G149" s="4" t="inlineStr">
        <is>
          <t>Descriptive, inherited extraction; verify before final conclusions</t>
        </is>
      </c>
      <c r="H149" s="4" t="inlineStr">
        <is>
          <t>RQ2</t>
        </is>
      </c>
      <c r="I149" s="4" t="inlineStr">
        <is>
          <t>integration_status</t>
        </is>
      </c>
    </row>
    <row r="150" ht="60" customHeight="1">
      <c r="A150" s="4" t="inlineStr">
        <is>
          <t>RQ2 status</t>
        </is>
      </c>
      <c r="B150" s="4" t="inlineStr">
        <is>
          <t>All excluding integrity flags</t>
        </is>
      </c>
      <c r="C150" s="4" t="inlineStr">
        <is>
          <t>Confirmed in intervention</t>
        </is>
      </c>
      <c r="D150" s="4">
        <f>COUNTIFS('RQ2'!$D$2:$D$455,"Confirmed in intervention",'RQ2'!$Q$2:$Q$455,0)</f>
        <v/>
      </c>
      <c r="E150" s="4">
        <f>COUNTIF('ESTUDIOS'!$I$2:$I$455,0)</f>
        <v/>
      </c>
      <c r="F150" s="43">
        <f>IF(E150=0,"",D150/E150)</f>
        <v/>
      </c>
      <c r="G150" s="4" t="inlineStr">
        <is>
          <t>Descriptive, inherited extraction; verify before final conclusions</t>
        </is>
      </c>
      <c r="H150" s="4" t="inlineStr">
        <is>
          <t>RQ2</t>
        </is>
      </c>
      <c r="I150" s="4" t="inlineStr">
        <is>
          <t>integration_status</t>
        </is>
      </c>
    </row>
    <row r="151" ht="60" customHeight="1">
      <c r="A151" s="4" t="inlineStr">
        <is>
          <t>RQ2 status</t>
        </is>
      </c>
      <c r="B151" s="4" t="inlineStr">
        <is>
          <t>All excluding integrity flags</t>
        </is>
      </c>
      <c r="C151" s="4" t="inlineStr">
        <is>
          <t>Confirmed in workflow</t>
        </is>
      </c>
      <c r="D151" s="4">
        <f>COUNTIFS('RQ2'!$D$2:$D$455,"Confirmed in workflow",'RQ2'!$Q$2:$Q$455,0)</f>
        <v/>
      </c>
      <c r="E151" s="4">
        <f>COUNTIF('ESTUDIOS'!$I$2:$I$455,0)</f>
        <v/>
      </c>
      <c r="F151" s="43">
        <f>IF(E151=0,"",D151/E151)</f>
        <v/>
      </c>
      <c r="G151" s="4" t="inlineStr">
        <is>
          <t>Descriptive, inherited extraction; verify before final conclusions</t>
        </is>
      </c>
      <c r="H151" s="4" t="inlineStr">
        <is>
          <t>RQ2</t>
        </is>
      </c>
      <c r="I151" s="4" t="inlineStr">
        <is>
          <t>integration_status</t>
        </is>
      </c>
    </row>
    <row r="152" ht="60" customHeight="1">
      <c r="A152" s="4" t="inlineStr">
        <is>
          <t>RQ2 status</t>
        </is>
      </c>
      <c r="B152" s="4" t="inlineStr">
        <is>
          <t>All excluding integrity flags</t>
        </is>
      </c>
      <c r="C152" s="4" t="inlineStr">
        <is>
          <t>Proposed only</t>
        </is>
      </c>
      <c r="D152" s="4">
        <f>COUNTIFS('RQ2'!$D$2:$D$455,"Proposed only",'RQ2'!$Q$2:$Q$455,0)</f>
        <v/>
      </c>
      <c r="E152" s="4">
        <f>COUNTIF('ESTUDIOS'!$I$2:$I$455,0)</f>
        <v/>
      </c>
      <c r="F152" s="43">
        <f>IF(E152=0,"",D152/E152)</f>
        <v/>
      </c>
      <c r="G152" s="4" t="inlineStr">
        <is>
          <t>Descriptive, inherited extraction; verify before final conclusions</t>
        </is>
      </c>
      <c r="H152" s="4" t="inlineStr">
        <is>
          <t>RQ2</t>
        </is>
      </c>
      <c r="I152" s="4" t="inlineStr">
        <is>
          <t>integration_status</t>
        </is>
      </c>
    </row>
    <row r="153" ht="60" customHeight="1">
      <c r="A153" s="4" t="inlineStr">
        <is>
          <t>RQ2 status</t>
        </is>
      </c>
      <c r="B153" s="4" t="inlineStr">
        <is>
          <t>All excluding integrity flags</t>
        </is>
      </c>
      <c r="C153" s="4" t="inlineStr">
        <is>
          <t>Research only</t>
        </is>
      </c>
      <c r="D153" s="4">
        <f>COUNTIFS('RQ2'!$D$2:$D$455,"Research only",'RQ2'!$Q$2:$Q$455,0)</f>
        <v/>
      </c>
      <c r="E153" s="4">
        <f>COUNTIF('ESTUDIOS'!$I$2:$I$455,0)</f>
        <v/>
      </c>
      <c r="F153" s="43">
        <f>IF(E153=0,"",D153/E153)</f>
        <v/>
      </c>
      <c r="G153" s="4" t="inlineStr">
        <is>
          <t>Descriptive, inherited extraction; verify before final conclusions</t>
        </is>
      </c>
      <c r="H153" s="4" t="inlineStr">
        <is>
          <t>RQ2</t>
        </is>
      </c>
      <c r="I153" s="4" t="inlineStr">
        <is>
          <t>integration_status</t>
        </is>
      </c>
    </row>
    <row r="154" ht="60" customHeight="1">
      <c r="A154" s="4" t="inlineStr">
        <is>
          <t>RQ2 status</t>
        </is>
      </c>
      <c r="B154" s="4" t="inlineStr">
        <is>
          <t>All excluding integrity flags</t>
        </is>
      </c>
      <c r="C154" s="4" t="inlineStr">
        <is>
          <t>Pending / unclassified</t>
        </is>
      </c>
      <c r="D154" s="4">
        <f>COUNTIFS('RQ2'!$D$2:$D$455,"",'RQ2'!$Q$2:$Q$455,0)</f>
        <v/>
      </c>
      <c r="E154" s="4">
        <f>COUNTIF('ESTUDIOS'!$I$2:$I$455,0)</f>
        <v/>
      </c>
      <c r="F154" s="43">
        <f>IF(E154=0,"",D154/E154)</f>
        <v/>
      </c>
      <c r="G154" s="4" t="inlineStr">
        <is>
          <t>Descriptive, inherited extraction; verify before final conclusions</t>
        </is>
      </c>
      <c r="H154" s="4" t="inlineStr">
        <is>
          <t>RQ2</t>
        </is>
      </c>
      <c r="I154" s="4" t="inlineStr">
        <is>
          <t>integration_status</t>
        </is>
      </c>
    </row>
    <row r="155" ht="47" customHeight="1">
      <c r="A155" s="4" t="inlineStr">
        <is>
          <t>RQ3 indicator</t>
        </is>
      </c>
      <c r="B155" s="4" t="inlineStr">
        <is>
          <t>All excluding integrity flags</t>
        </is>
      </c>
      <c r="C155" s="4" t="inlineStr">
        <is>
          <t>external_validation</t>
        </is>
      </c>
      <c r="D155" s="4">
        <f>COUNTIFS('RQ3'!$D$2:$D$455,1,'RQ3'!$T$2:$T$455,0)</f>
        <v/>
      </c>
      <c r="E155" s="4">
        <f>COUNTIFS('RQ3'!$D$2:$D$455,1,'RQ3'!$T$2:$T$455,0)+COUNTIFS('RQ3'!$D$2:$D$455,0,'RQ3'!$D$2:$D$455,"&lt;&gt;",'RQ3'!$T$2:$T$455,0)</f>
        <v/>
      </c>
      <c r="F155" s="43">
        <f>IF(E155=0,"",D155/E155)</f>
        <v/>
      </c>
      <c r="G155" s="4" t="inlineStr">
        <is>
          <t>Numerator = 1; denominator = recorded 0/1; blank excluded</t>
        </is>
      </c>
      <c r="H155" s="4" t="inlineStr">
        <is>
          <t>RQ3</t>
        </is>
      </c>
      <c r="I155" s="4" t="inlineStr">
        <is>
          <t>external_validation</t>
        </is>
      </c>
    </row>
    <row r="156" ht="47" customHeight="1">
      <c r="A156" s="4" t="inlineStr">
        <is>
          <t>RQ3 indicator</t>
        </is>
      </c>
      <c r="B156" s="4" t="inlineStr">
        <is>
          <t>All excluding integrity flags</t>
        </is>
      </c>
      <c r="C156" s="4" t="inlineStr">
        <is>
          <t>multisite_dataset</t>
        </is>
      </c>
      <c r="D156" s="4">
        <f>COUNTIFS('RQ3'!$E$2:$E$455,1,'RQ3'!$T$2:$T$455,0)</f>
        <v/>
      </c>
      <c r="E156" s="4">
        <f>COUNTIFS('RQ3'!$E$2:$E$455,1,'RQ3'!$T$2:$T$455,0)+COUNTIFS('RQ3'!$E$2:$E$455,0,'RQ3'!$E$2:$E$455,"&lt;&gt;",'RQ3'!$T$2:$T$455,0)</f>
        <v/>
      </c>
      <c r="F156" s="43">
        <f>IF(E156=0,"",D156/E156)</f>
        <v/>
      </c>
      <c r="G156" s="4" t="inlineStr">
        <is>
          <t>Numerator = 1; denominator = recorded 0/1; blank excluded</t>
        </is>
      </c>
      <c r="H156" s="4" t="inlineStr">
        <is>
          <t>RQ3</t>
        </is>
      </c>
      <c r="I156" s="4" t="inlineStr">
        <is>
          <t>multisite_dataset</t>
        </is>
      </c>
    </row>
    <row r="157" ht="47" customHeight="1">
      <c r="A157" s="4" t="inlineStr">
        <is>
          <t>RQ3 indicator</t>
        </is>
      </c>
      <c r="B157" s="4" t="inlineStr">
        <is>
          <t>All excluding integrity flags</t>
        </is>
      </c>
      <c r="C157" s="4" t="inlineStr">
        <is>
          <t>cross_site_robustness</t>
        </is>
      </c>
      <c r="D157" s="4">
        <f>COUNTIFS('RQ3'!$F$2:$F$455,1,'RQ3'!$T$2:$T$455,0)</f>
        <v/>
      </c>
      <c r="E157" s="4">
        <f>COUNTIFS('RQ3'!$F$2:$F$455,1,'RQ3'!$T$2:$T$455,0)+COUNTIFS('RQ3'!$F$2:$F$455,0,'RQ3'!$F$2:$F$455,"&lt;&gt;",'RQ3'!$T$2:$T$455,0)</f>
        <v/>
      </c>
      <c r="F157" s="43">
        <f>IF(E157=0,"",D157/E157)</f>
        <v/>
      </c>
      <c r="G157" s="4" t="inlineStr">
        <is>
          <t>Numerator = 1; denominator = recorded 0/1; blank excluded</t>
        </is>
      </c>
      <c r="H157" s="4" t="inlineStr">
        <is>
          <t>RQ3</t>
        </is>
      </c>
      <c r="I157" s="4" t="inlineStr">
        <is>
          <t>cross_site_robustness</t>
        </is>
      </c>
    </row>
    <row r="158" ht="47" customHeight="1">
      <c r="A158" s="4" t="inlineStr">
        <is>
          <t>RQ3 indicator</t>
        </is>
      </c>
      <c r="B158" s="4" t="inlineStr">
        <is>
          <t>All excluding integrity flags</t>
        </is>
      </c>
      <c r="C158" s="4" t="inlineStr">
        <is>
          <t>prospective_evaluation</t>
        </is>
      </c>
      <c r="D158" s="4">
        <f>COUNTIFS('RQ3'!$G$2:$G$455,1,'RQ3'!$T$2:$T$455,0)</f>
        <v/>
      </c>
      <c r="E158" s="4">
        <f>COUNTIFS('RQ3'!$G$2:$G$455,1,'RQ3'!$T$2:$T$455,0)+COUNTIFS('RQ3'!$G$2:$G$455,0,'RQ3'!$G$2:$G$455,"&lt;&gt;",'RQ3'!$T$2:$T$455,0)</f>
        <v/>
      </c>
      <c r="F158" s="43">
        <f>IF(E158=0,"",D158/E158)</f>
        <v/>
      </c>
      <c r="G158" s="4" t="inlineStr">
        <is>
          <t>Numerator = 1; denominator = recorded 0/1; blank excluded</t>
        </is>
      </c>
      <c r="H158" s="4" t="inlineStr">
        <is>
          <t>RQ3</t>
        </is>
      </c>
      <c r="I158" s="4" t="inlineStr">
        <is>
          <t>prospective_evaluation</t>
        </is>
      </c>
    </row>
    <row r="159" ht="47" customHeight="1">
      <c r="A159" s="4" t="inlineStr">
        <is>
          <t>RQ3 indicator</t>
        </is>
      </c>
      <c r="B159" s="4" t="inlineStr">
        <is>
          <t>All excluding integrity flags</t>
        </is>
      </c>
      <c r="C159" s="4" t="inlineStr">
        <is>
          <t>xai_strict</t>
        </is>
      </c>
      <c r="D159" s="4">
        <f>COUNTIFS('RQ3'!$H$2:$H$455,1,'RQ3'!$T$2:$T$455,0)</f>
        <v/>
      </c>
      <c r="E159" s="4">
        <f>COUNTIFS('RQ3'!$H$2:$H$455,1,'RQ3'!$T$2:$T$455,0)+COUNTIFS('RQ3'!$H$2:$H$455,0,'RQ3'!$H$2:$H$455,"&lt;&gt;",'RQ3'!$T$2:$T$455,0)</f>
        <v/>
      </c>
      <c r="F159" s="43">
        <f>IF(E159=0,"",D159/E159)</f>
        <v/>
      </c>
      <c r="G159" s="4" t="inlineStr">
        <is>
          <t>Numerator = 1; denominator = recorded 0/1; blank excluded</t>
        </is>
      </c>
      <c r="H159" s="4" t="inlineStr">
        <is>
          <t>RQ3</t>
        </is>
      </c>
      <c r="I159" s="4" t="inlineStr">
        <is>
          <t>xai_strict</t>
        </is>
      </c>
    </row>
    <row r="160" ht="47" customHeight="1">
      <c r="A160" s="4" t="inlineStr">
        <is>
          <t>RQ3 indicator</t>
        </is>
      </c>
      <c r="B160" s="4" t="inlineStr">
        <is>
          <t>All excluding integrity flags</t>
        </is>
      </c>
      <c r="C160" s="4" t="inlineStr">
        <is>
          <t>xai_partial</t>
        </is>
      </c>
      <c r="D160" s="4">
        <f>COUNTIFS('RQ3'!$I$2:$I$455,1,'RQ3'!$T$2:$T$455,0)</f>
        <v/>
      </c>
      <c r="E160" s="4">
        <f>COUNTIFS('RQ3'!$I$2:$I$455,1,'RQ3'!$T$2:$T$455,0)+COUNTIFS('RQ3'!$I$2:$I$455,0,'RQ3'!$I$2:$I$455,"&lt;&gt;",'RQ3'!$T$2:$T$455,0)</f>
        <v/>
      </c>
      <c r="F160" s="43">
        <f>IF(E160=0,"",D160/E160)</f>
        <v/>
      </c>
      <c r="G160" s="4" t="inlineStr">
        <is>
          <t>Numerator = 1; denominator = recorded 0/1; blank excluded</t>
        </is>
      </c>
      <c r="H160" s="4" t="inlineStr">
        <is>
          <t>RQ3</t>
        </is>
      </c>
      <c r="I160" s="4" t="inlineStr">
        <is>
          <t>xai_partial</t>
        </is>
      </c>
    </row>
    <row r="161" ht="47" customHeight="1">
      <c r="A161" s="4" t="inlineStr">
        <is>
          <t>RQ3 indicator</t>
        </is>
      </c>
      <c r="B161" s="4" t="inlineStr">
        <is>
          <t>All excluding integrity flags</t>
        </is>
      </c>
      <c r="C161" s="4" t="inlineStr">
        <is>
          <t>multisource_data</t>
        </is>
      </c>
      <c r="D161" s="4">
        <f>COUNTIFS('RQ3'!$J$2:$J$455,1,'RQ3'!$T$2:$T$455,0)</f>
        <v/>
      </c>
      <c r="E161" s="4">
        <f>COUNTIFS('RQ3'!$J$2:$J$455,1,'RQ3'!$T$2:$T$455,0)+COUNTIFS('RQ3'!$J$2:$J$455,0,'RQ3'!$J$2:$J$455,"&lt;&gt;",'RQ3'!$T$2:$T$455,0)</f>
        <v/>
      </c>
      <c r="F161" s="43">
        <f>IF(E161=0,"",D161/E161)</f>
        <v/>
      </c>
      <c r="G161" s="4" t="inlineStr">
        <is>
          <t>Numerator = 1; denominator = recorded 0/1; blank excluded</t>
        </is>
      </c>
      <c r="H161" s="4" t="inlineStr">
        <is>
          <t>RQ3</t>
        </is>
      </c>
      <c r="I161" s="4" t="inlineStr">
        <is>
          <t>multisource_data</t>
        </is>
      </c>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20" customWidth="1" min="1" max="1"/>
    <col width="20" customWidth="1" min="2" max="2"/>
    <col width="65" customWidth="1" min="3" max="3"/>
    <col width="20" customWidth="1" min="4" max="4"/>
    <col width="20" customWidth="1" min="5" max="5"/>
  </cols>
  <sheetData>
    <row r="1" ht="52" customHeight="1">
      <c r="A1" s="6" t="inlineStr">
        <is>
          <t>section</t>
        </is>
      </c>
      <c r="B1" s="6" t="inlineStr">
        <is>
          <t>problem</t>
        </is>
      </c>
      <c r="C1" s="6" t="inlineStr">
        <is>
          <t>action</t>
        </is>
      </c>
      <c r="D1" s="6" t="inlineStr">
        <is>
          <t>source</t>
        </is>
      </c>
      <c r="E1" s="6" t="inlineStr">
        <is>
          <t>closure</t>
        </is>
      </c>
    </row>
    <row r="2" ht="73" customHeight="1">
      <c r="A2" s="4" t="inlineStr">
        <is>
          <t>2.2 / Figura PRISMA</t>
        </is>
      </c>
      <c r="B2" s="4" t="inlineStr">
        <is>
          <t>Flujo inicial y actualización deben distinguirse</t>
        </is>
      </c>
      <c r="C2" s="4" t="inlineStr">
        <is>
          <t>Conciliar identificación inicial, filtros, duplicados y exclusiones con exportaciones; actualización se calcula en PRISMA</t>
        </is>
      </c>
      <c r="D2" s="4" t="inlineStr">
        <is>
          <t>Actualizacion_origen / Decisiones_origen</t>
        </is>
      </c>
      <c r="E2" s="4" t="inlineStr">
        <is>
          <t>No afirmar texto íntegro revisado para todos basándose en estados de acceso parciales</t>
        </is>
      </c>
    </row>
    <row r="3" ht="47" customHeight="1">
      <c r="A3" s="4" t="inlineStr">
        <is>
          <t>2.3 Elegibilidad</t>
        </is>
      </c>
      <c r="B3" s="4" t="inlineStr">
        <is>
          <t>Casos fuera de etapa clínica específica y capítulos</t>
        </is>
      </c>
      <c r="C3" s="4" t="inlineStr">
        <is>
          <t>Verificar que las inclusiones son compatibles con criterios escritos; no excluir por simple falta de una etiqueta</t>
        </is>
      </c>
      <c r="D3" s="4" t="inlineStr">
        <is>
          <t>ESTUDIOS / RQ1 / Fuentes_verificadas</t>
        </is>
      </c>
      <c r="E3" s="4" t="inlineStr">
        <is>
          <t>Documentar criterio y motivo de cualquier cambio</t>
        </is>
      </c>
    </row>
    <row r="4" ht="60" customHeight="1">
      <c r="A4" s="4" t="inlineStr">
        <is>
          <t>2.4 Extracción</t>
        </is>
      </c>
      <c r="B4" s="4" t="inlineStr">
        <is>
          <t>El manuscrito afirma consenso completo</t>
        </is>
      </c>
      <c r="C4" s="4" t="inlineStr">
        <is>
          <t>Describir el procedimiento efectivamente documentado y el uso de IA; no inventar doble revisión ni fechas</t>
        </is>
      </c>
      <c r="D4" s="4" t="inlineStr">
        <is>
          <t>ESTUDIOS / EVIDENCIA</t>
        </is>
      </c>
      <c r="E4" s="4" t="inlineStr">
        <is>
          <t>Correspondencia entre método escrito y registros de revisión</t>
        </is>
      </c>
    </row>
    <row r="5" ht="47" customHeight="1">
      <c r="A5" s="4" t="inlineStr">
        <is>
          <t>3.1 RQ1</t>
        </is>
      </c>
      <c r="B5" s="4" t="inlineStr">
        <is>
          <t>N y taxonomías antiguas</t>
        </is>
      </c>
      <c r="C5" s="4" t="inlineStr">
        <is>
          <t>Recalcular desde RQ1; resolver categorías históricas amplias o mantener Not specified explícito</t>
        </is>
      </c>
      <c r="D5" s="4" t="inlineStr">
        <is>
          <t>RQ1 / Mapeo_fuentes / RESUMEN_RQ</t>
        </is>
      </c>
      <c r="E5" s="4" t="inlineStr">
        <is>
          <t>Denominadores y número de no especificados visibles</t>
        </is>
      </c>
    </row>
    <row r="6" ht="73" customHeight="1">
      <c r="A6" s="4" t="inlineStr">
        <is>
          <t>3.2 RQ2</t>
        </is>
      </c>
      <c r="B6" s="4" t="inlineStr">
        <is>
          <t>276 históricos sin estatus final</t>
        </is>
      </c>
      <c r="C6" s="4" t="inlineStr">
        <is>
          <t>Completar estatus, rol y evidencia; no reutilizar el conteo de señales como integración real</t>
        </is>
      </c>
      <c r="D6" s="4" t="inlineStr">
        <is>
          <t>RQ2 / EVIDENCIA / CIERRE</t>
        </is>
      </c>
      <c r="E6" s="4" t="inlineStr">
        <is>
          <t>Clasificación respaldada o desconocido declarado; cobertura y denominadores explícitos</t>
        </is>
      </c>
    </row>
    <row r="7" ht="47" customHeight="1">
      <c r="A7" s="4" t="inlineStr">
        <is>
          <t>3.3 RQ3</t>
        </is>
      </c>
      <c r="B7" s="4" t="inlineStr">
        <is>
          <t>Prácticas distintas y fuentes de evidencia desiguales</t>
        </is>
      </c>
      <c r="C7" s="4" t="inlineStr">
        <is>
          <t>Usar siete indicadores separados; contrastar por cohorte y evidencia; conservar desconocidos</t>
        </is>
      </c>
      <c r="D7" s="4" t="inlineStr">
        <is>
          <t>RQ3 / RESUMEN_RQ</t>
        </is>
      </c>
      <c r="E7" s="4" t="inlineStr">
        <is>
          <t>No llamar robustez a datos multicéntricos</t>
        </is>
      </c>
    </row>
    <row r="8" ht="60" customHeight="1">
      <c r="A8" s="4" t="inlineStr">
        <is>
          <t>4 Discusión</t>
        </is>
      </c>
      <c r="B8" s="4" t="inlineStr">
        <is>
          <t>Interpretaciones desactualizadas</t>
        </is>
      </c>
      <c r="C8" s="4" t="inlineStr">
        <is>
          <t>Actualizar después de cerrar los resultados; distinguir ausencia de reporte y ausencia real; comprobar reutilización de datasets</t>
        </is>
      </c>
      <c r="D8" s="4" t="inlineStr">
        <is>
          <t>RESUMEN_RQ / Integridad_origen</t>
        </is>
      </c>
      <c r="E8" s="4" t="inlineStr">
        <is>
          <t>No inferir madurez clínica ni prevalencia global con datos incompletos</t>
        </is>
      </c>
    </row>
    <row r="9" ht="34" customHeight="1">
      <c r="A9" s="4" t="inlineStr">
        <is>
          <t>Conclusiones / resumen</t>
        </is>
      </c>
      <c r="B9" s="4" t="inlineStr">
        <is>
          <t>282/273/260 y otros conteos heredados</t>
        </is>
      </c>
      <c r="C9" s="4" t="inlineStr">
        <is>
          <t>Reescribir al finalizar; corpus registrado actual 454 sujeto a decisiones justificadas</t>
        </is>
      </c>
      <c r="D9" s="4" t="inlineStr">
        <is>
          <t>CONTROL / PRISMA</t>
        </is>
      </c>
      <c r="E9" s="4" t="inlineStr">
        <is>
          <t>Cada cifra vinculada a su denominador</t>
        </is>
      </c>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20" customWidth="1" min="1" max="1"/>
    <col width="20" customWidth="1" min="2" max="2"/>
    <col width="65" customWidth="1" min="3" max="3"/>
  </cols>
  <sheetData>
    <row r="1" ht="52" customHeight="1">
      <c r="A1" s="6" t="inlineStr">
        <is>
          <t>Campo</t>
        </is>
      </c>
      <c r="B1" s="6" t="inlineStr">
        <is>
          <t>Valores</t>
        </is>
      </c>
      <c r="C1" s="6" t="inlineStr">
        <is>
          <t>Regla</t>
        </is>
      </c>
    </row>
    <row r="2" ht="86" customHeight="1">
      <c r="A2" s="4" t="inlineStr">
        <is>
          <t>integration_status</t>
        </is>
      </c>
      <c r="B2" s="4" t="inlineStr">
        <is>
          <t>Research only / Proposed only / Confirmed in intervention / Confirmed in workflow / Confirmed in care delivery</t>
        </is>
      </c>
      <c r="C2" s="4" t="inlineStr">
        <is>
          <t>Vacío = pendiente. Distinguir intención de implementación efectiva.</t>
        </is>
      </c>
    </row>
    <row r="3" ht="60" customHeight="1">
      <c r="A3" s="4" t="inlineStr">
        <is>
          <t>system_role</t>
        </is>
      </c>
      <c r="B3" s="4" t="inlineStr">
        <is>
          <t>Descripción de la función efectivamente propuesta/evaluada</t>
        </is>
      </c>
      <c r="C3" s="4" t="inlineStr">
        <is>
          <t>No inferir rol de la etiqueta Diagnosis por sí sola.</t>
        </is>
      </c>
    </row>
    <row r="4" ht="60" customHeight="1">
      <c r="A4" s="4" t="inlineStr">
        <is>
          <t>decision_timing</t>
        </is>
      </c>
      <c r="B4" s="4" t="inlineStr">
        <is>
          <t>Pre-decision / In-decision / Post-decision / Not applicable / Not reported</t>
        </is>
      </c>
      <c r="C4" s="4" t="inlineStr">
        <is>
          <t>Solo si el flujo está descrito; no derivar automáticamente de la etapa.</t>
        </is>
      </c>
    </row>
    <row r="5" ht="34" customHeight="1">
      <c r="A5" s="4" t="inlineStr">
        <is>
          <t>external_validation</t>
        </is>
      </c>
      <c r="B5" s="4" t="inlineStr">
        <is>
          <t>1/0/vacío</t>
        </is>
      </c>
      <c r="C5" s="4" t="inlineStr">
        <is>
          <t>Evaluación en muestra externa al desarrollo; CV interna no basta. Preservar alcance de evidencia.</t>
        </is>
      </c>
    </row>
    <row r="6" ht="34" customHeight="1">
      <c r="A6" s="4" t="inlineStr">
        <is>
          <t>multisite_dataset</t>
        </is>
      </c>
      <c r="B6" s="4" t="inlineStr">
        <is>
          <t>1/0/vacío</t>
        </is>
      </c>
      <c r="C6" s="4" t="inlineStr">
        <is>
          <t>Datos de varios sitios. No implica evaluación en sitios no vistos.</t>
        </is>
      </c>
    </row>
    <row r="7" ht="34" customHeight="1">
      <c r="A7" s="4" t="inlineStr">
        <is>
          <t>cross_site_robustness</t>
        </is>
      </c>
      <c r="B7" s="4" t="inlineStr">
        <is>
          <t>1/0/vacío</t>
        </is>
      </c>
      <c r="C7" s="4" t="inlineStr">
        <is>
          <t>Evaluación explícita entre sitios, p. ej. centro no visto; pooling multicéntrico no basta.</t>
        </is>
      </c>
    </row>
    <row r="8" ht="34" customHeight="1">
      <c r="A8" s="4" t="inlineStr">
        <is>
          <t>prospective_evaluation</t>
        </is>
      </c>
      <c r="B8" s="4" t="inlineStr">
        <is>
          <t>1/0/vacío</t>
        </is>
      </c>
      <c r="C8" s="4" t="inlineStr">
        <is>
          <t>Evaluación prospectiva descrita; datos longitudinales retrospectivos no bastan.</t>
        </is>
      </c>
    </row>
    <row r="9" ht="47" customHeight="1">
      <c r="A9" s="4" t="inlineStr">
        <is>
          <t>xai_strict / xai_partial</t>
        </is>
      </c>
      <c r="B9" s="4" t="inlineStr">
        <is>
          <t>1/0/vacío</t>
        </is>
      </c>
      <c r="C9" s="4" t="inlineStr">
        <is>
          <t>Categorías heredadas del maestro; conservar separadas y aplicar el codebook original al verificar. No inventar equivalencia nueva.</t>
        </is>
      </c>
    </row>
    <row r="10" ht="34" customHeight="1">
      <c r="A10" s="4" t="inlineStr">
        <is>
          <t>multisource_data</t>
        </is>
      </c>
      <c r="B10" s="4" t="inlineStr">
        <is>
          <t>1/0/vacío</t>
        </is>
      </c>
      <c r="C10" s="4" t="inlineStr">
        <is>
          <t>Uso de más de una fuente según codificación; no implica fusión algorítmica.</t>
        </is>
      </c>
    </row>
    <row r="11" ht="60" customHeight="1">
      <c r="A11" s="4" t="inlineStr">
        <is>
          <t>reviewer_verified</t>
        </is>
      </c>
      <c r="B11" s="4" t="inlineStr">
        <is>
          <t>Nombre/identificador real del revisor que realizó la comprobación</t>
        </is>
      </c>
      <c r="C11" s="4" t="inlineStr">
        <is>
          <t>Solo completar tras comprobar el material; no asignar autores ficticios.</t>
        </is>
      </c>
    </row>
    <row r="12" ht="30" customHeight="1">
      <c r="A12" s="4" t="inlineStr">
        <is>
          <t>verification_date</t>
        </is>
      </c>
      <c r="B12" s="4" t="inlineStr">
        <is>
          <t>Fecha real</t>
        </is>
      </c>
      <c r="C12" s="4" t="inlineStr">
        <is>
          <t>Solo fecha de comprobación, no la fecha de consolidación.</t>
        </is>
      </c>
    </row>
    <row r="13" ht="47" customHeight="1">
      <c r="A13" s="4" t="inlineStr">
        <is>
          <t>verification_state</t>
        </is>
      </c>
      <c r="B13" s="4" t="inlineStr">
        <is>
          <t>Pending independent/source verification / Verified</t>
        </is>
      </c>
      <c r="C13" s="4" t="inlineStr">
        <is>
          <t>Estado por estudio en ESTUDIOS; requiere respaldo del revisor.</t>
        </is>
      </c>
    </row>
    <row r="14" ht="34" customHeight="1">
      <c r="A14" s="4" t="inlineStr">
        <is>
          <t>rq1_review_needed</t>
        </is>
      </c>
      <c r="B14" s="4" t="inlineStr">
        <is>
          <t>1/0</t>
        </is>
      </c>
      <c r="C14" s="4" t="inlineStr">
        <is>
          <t>Señala detalle no resuelto; un Not specified justificado puede cerrarse sin inventar categoría.</t>
        </is>
      </c>
    </row>
    <row r="15" ht="47" customHeight="1">
      <c r="A15" s="4" t="inlineStr">
        <is>
          <t>evidence_locator</t>
        </is>
      </c>
      <c r="B15" s="4" t="inlineStr">
        <is>
          <t>Página/sección/tabla o fragmento localizado</t>
        </is>
      </c>
      <c r="C15" s="4" t="inlineStr">
        <is>
          <t>Añadir vínculo y evidencia breve que respalde la clasificación.</t>
        </is>
      </c>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D148"/>
  <sheetViews>
    <sheetView showGridLines="0" workbookViewId="0">
      <selection activeCell="A1" sqref="A1"/>
    </sheetView>
  </sheetViews>
  <sheetFormatPr baseColWidth="8" defaultRowHeight="15"/>
  <cols>
    <col width="20" customWidth="1" min="1" max="1"/>
    <col width="14" customWidth="1" min="2" max="2"/>
    <col width="20" customWidth="1" min="3" max="3"/>
    <col width="65" customWidth="1" min="4" max="4"/>
  </cols>
  <sheetData>
    <row r="1" ht="52" customHeight="1">
      <c r="A1" s="6" t="inlineStr">
        <is>
          <t>raw_value</t>
        </is>
      </c>
      <c r="B1" s="6" t="inlineStr">
        <is>
          <t>cohort</t>
        </is>
      </c>
      <c r="C1" s="6" t="inlineStr">
        <is>
          <t>normalized_value</t>
        </is>
      </c>
      <c r="D1" s="6" t="inlineStr">
        <is>
          <t>rule</t>
        </is>
      </c>
    </row>
    <row r="2" ht="30" customHeight="1">
      <c r="A2" s="4" t="inlineStr">
        <is>
          <t>No especificado</t>
        </is>
      </c>
      <c r="B2" s="4" t="inlineStr">
        <is>
          <t>Historical</t>
        </is>
      </c>
      <c r="C2" s="4" t="inlineStr">
        <is>
          <t>Not specified</t>
        </is>
      </c>
      <c r="D2" s="4" t="inlineStr">
        <is>
          <t>Sin asignación por falta de detalle</t>
        </is>
      </c>
    </row>
    <row r="3" ht="34" customHeight="1">
      <c r="A3" s="4" t="inlineStr">
        <is>
          <t>Imagen</t>
        </is>
      </c>
      <c r="B3" s="4" t="inlineStr">
        <is>
          <t>Historical</t>
        </is>
      </c>
      <c r="C3" s="4" t="inlineStr">
        <is>
          <t>Image (subtype unresolved)</t>
        </is>
      </c>
      <c r="D3" s="4" t="inlineStr">
        <is>
          <t>Etiqueta histórica conservada; no inferir subtipo desde el nombre</t>
        </is>
      </c>
    </row>
    <row r="4" ht="34" customHeight="1">
      <c r="A4" s="4" t="inlineStr">
        <is>
          <t>Audio · Voz</t>
        </is>
      </c>
      <c r="B4" s="4" t="inlineStr">
        <is>
          <t>Historical</t>
        </is>
      </c>
      <c r="C4" s="4" t="inlineStr">
        <is>
          <t>Audio / voice</t>
        </is>
      </c>
      <c r="D4" s="4" t="inlineStr">
        <is>
          <t>Etiqueta histórica conservada; no inferir subtipo desde el nombre</t>
        </is>
      </c>
    </row>
    <row r="5" ht="34" customHeight="1">
      <c r="A5" s="4" t="inlineStr">
        <is>
          <t>Texto · NLP</t>
        </is>
      </c>
      <c r="B5" s="4" t="inlineStr">
        <is>
          <t>Historical</t>
        </is>
      </c>
      <c r="C5" s="4" t="inlineStr">
        <is>
          <t>Text / NLP (legacy; verify input type)</t>
        </is>
      </c>
      <c r="D5" s="4" t="inlineStr">
        <is>
          <t>Etiqueta histórica conservada; no inferir subtipo desde el nombre</t>
        </is>
      </c>
    </row>
    <row r="6" ht="34" customHeight="1">
      <c r="A6" s="4" t="inlineStr">
        <is>
          <t>Multimodal</t>
        </is>
      </c>
      <c r="B6" s="4" t="inlineStr">
        <is>
          <t>Historical</t>
        </is>
      </c>
      <c r="C6" s="4" t="inlineStr">
        <is>
          <t>Multiple modalities (as coded)</t>
        </is>
      </c>
      <c r="D6" s="4" t="inlineStr">
        <is>
          <t>Etiqueta histórica conservada; no inferir subtipo desde el nombre</t>
        </is>
      </c>
    </row>
    <row r="7" ht="34" customHeight="1">
      <c r="A7" s="4" t="inlineStr">
        <is>
          <t>Señales fisiológicas</t>
        </is>
      </c>
      <c r="B7" s="4" t="inlineStr">
        <is>
          <t>Historical</t>
        </is>
      </c>
      <c r="C7" s="4" t="inlineStr">
        <is>
          <t>Physiological signals</t>
        </is>
      </c>
      <c r="D7" s="4" t="inlineStr">
        <is>
          <t>Etiqueta histórica conservada; no inferir subtipo desde el nombre</t>
        </is>
      </c>
    </row>
    <row r="8" ht="34" customHeight="1">
      <c r="A8" s="4" t="inlineStr">
        <is>
          <t>Biological/omics</t>
        </is>
      </c>
      <c r="B8" s="4" t="inlineStr">
        <is>
          <t>Historical</t>
        </is>
      </c>
      <c r="C8" s="4" t="inlineStr">
        <is>
          <t>Biological/omics</t>
        </is>
      </c>
      <c r="D8" s="4" t="inlineStr">
        <is>
          <t>Etiqueta histórica conservada; no inferir subtipo desde el nombre</t>
        </is>
      </c>
    </row>
    <row r="9" ht="34" customHeight="1">
      <c r="A9" s="4" t="inlineStr">
        <is>
          <t>Multimodal</t>
        </is>
      </c>
      <c r="B9" s="4" t="inlineStr">
        <is>
          <t>Update</t>
        </is>
      </c>
      <c r="C9" s="4" t="inlineStr">
        <is>
          <t>Multiple modalities (as coded)</t>
        </is>
      </c>
      <c r="D9" s="4" t="inlineStr">
        <is>
          <t>Modalidades múltiples declaradas; no prueba de integración/fusión</t>
        </is>
      </c>
    </row>
    <row r="10" ht="30" customHeight="1">
      <c r="A10" s="4" t="inlineStr">
        <is>
          <t>Biological/omics</t>
        </is>
      </c>
      <c r="B10" s="4" t="inlineStr">
        <is>
          <t>Update</t>
        </is>
      </c>
      <c r="C10" s="4" t="inlineStr">
        <is>
          <t>Biological/omics</t>
        </is>
      </c>
      <c r="D10" s="4" t="inlineStr">
        <is>
          <t>Fuente biológica explícita</t>
        </is>
      </c>
    </row>
    <row r="11" ht="34" customHeight="1">
      <c r="A11" s="4" t="inlineStr">
        <is>
          <t>Physiological signals</t>
        </is>
      </c>
      <c r="B11" s="4" t="inlineStr">
        <is>
          <t>Update</t>
        </is>
      </c>
      <c r="C11" s="4" t="inlineStr">
        <is>
          <t>Physiological signals</t>
        </is>
      </c>
      <c r="D11" s="4" t="inlineStr">
        <is>
          <t>Medición fisiológica explícita</t>
        </is>
      </c>
    </row>
    <row r="12" ht="34" customHeight="1">
      <c r="A12" s="4" t="inlineStr">
        <is>
          <t>Structured assessments / platform data</t>
        </is>
      </c>
      <c r="B12" s="4" t="inlineStr">
        <is>
          <t>Update</t>
        </is>
      </c>
      <c r="C12" s="4" t="inlineStr">
        <is>
          <t>Structured / tabular data</t>
        </is>
      </c>
      <c r="D12" s="4" t="inlineStr">
        <is>
          <t>Variables estructuradas/tabulares; no inferir NLP</t>
        </is>
      </c>
    </row>
    <row r="13" ht="30" customHeight="1">
      <c r="A13" s="4" t="inlineStr">
        <is>
          <t>Text / NLP</t>
        </is>
      </c>
      <c r="B13" s="4" t="inlineStr">
        <is>
          <t>Update</t>
        </is>
      </c>
      <c r="C13" s="4" t="inlineStr">
        <is>
          <t>Text / language</t>
        </is>
      </c>
      <c r="D13" s="4" t="inlineStr">
        <is>
          <t>Texto o lenguaje explícito; método NLP se registra aparte</t>
        </is>
      </c>
    </row>
    <row r="14" ht="30" customHeight="1">
      <c r="A14" s="4" t="inlineStr">
        <is>
          <t>Facial images</t>
        </is>
      </c>
      <c r="B14" s="4" t="inlineStr">
        <is>
          <t>Update</t>
        </is>
      </c>
      <c r="C14" s="4" t="inlineStr">
        <is>
          <t>Facial images</t>
        </is>
      </c>
      <c r="D14" s="4" t="inlineStr">
        <is>
          <t>Imágenes faciales explícitas</t>
        </is>
      </c>
    </row>
    <row r="15" ht="34" customHeight="1">
      <c r="A15" s="4" t="inlineStr">
        <is>
          <t>Structured questionnaires</t>
        </is>
      </c>
      <c r="B15" s="4" t="inlineStr">
        <is>
          <t>Update</t>
        </is>
      </c>
      <c r="C15" s="4" t="inlineStr">
        <is>
          <t>Structured / tabular data</t>
        </is>
      </c>
      <c r="D15" s="4" t="inlineStr">
        <is>
          <t>Variables estructuradas/tabulares; no inferir NLP</t>
        </is>
      </c>
    </row>
    <row r="16" ht="34" customHeight="1">
      <c r="A16" s="4" t="inlineStr">
        <is>
          <t>Neuroimaging / rs-fMRI</t>
        </is>
      </c>
      <c r="B16" s="4" t="inlineStr">
        <is>
          <t>Update</t>
        </is>
      </c>
      <c r="C16" s="4" t="inlineStr">
        <is>
          <t>Neuroimaging</t>
        </is>
      </c>
      <c r="D16" s="4" t="inlineStr">
        <is>
          <t>Fuente de neuroimagen explícita</t>
        </is>
      </c>
    </row>
    <row r="17" ht="34" customHeight="1">
      <c r="A17" s="4" t="inlineStr">
        <is>
          <t>Structured behavioral observation</t>
        </is>
      </c>
      <c r="B17" s="4" t="inlineStr">
        <is>
          <t>Update</t>
        </is>
      </c>
      <c r="C17" s="4" t="inlineStr">
        <is>
          <t>Structured / tabular data</t>
        </is>
      </c>
      <c r="D17" s="4" t="inlineStr">
        <is>
          <t>Variables estructuradas/tabulares; no inferir NLP</t>
        </is>
      </c>
    </row>
    <row r="18" ht="34" customHeight="1">
      <c r="A18" s="4" t="inlineStr">
        <is>
          <t>Structured clinical/self-report data</t>
        </is>
      </c>
      <c r="B18" s="4" t="inlineStr">
        <is>
          <t>Update</t>
        </is>
      </c>
      <c r="C18" s="4" t="inlineStr">
        <is>
          <t>Structured / tabular data</t>
        </is>
      </c>
      <c r="D18" s="4" t="inlineStr">
        <is>
          <t>Variables estructuradas/tabulares; no inferir NLP</t>
        </is>
      </c>
    </row>
    <row r="19" ht="34" customHeight="1">
      <c r="A19" s="4" t="inlineStr">
        <is>
          <t>Neuroimaging / diffusion MRI</t>
        </is>
      </c>
      <c r="B19" s="4" t="inlineStr">
        <is>
          <t>Update</t>
        </is>
      </c>
      <c r="C19" s="4" t="inlineStr">
        <is>
          <t>Neuroimaging</t>
        </is>
      </c>
      <c r="D19" s="4" t="inlineStr">
        <is>
          <t>Fuente de neuroimagen explícita</t>
        </is>
      </c>
    </row>
    <row r="20" ht="34" customHeight="1">
      <c r="A20" s="4" t="inlineStr">
        <is>
          <t>Structured screening questionnaires</t>
        </is>
      </c>
      <c r="B20" s="4" t="inlineStr">
        <is>
          <t>Update</t>
        </is>
      </c>
      <c r="C20" s="4" t="inlineStr">
        <is>
          <t>Structured / tabular data</t>
        </is>
      </c>
      <c r="D20" s="4" t="inlineStr">
        <is>
          <t>Variables estructuradas/tabulares; no inferir NLP</t>
        </is>
      </c>
    </row>
    <row r="21" ht="34" customHeight="1">
      <c r="A21" s="4" t="inlineStr">
        <is>
          <t>Multimodal behavior / speech</t>
        </is>
      </c>
      <c r="B21" s="4" t="inlineStr">
        <is>
          <t>Update</t>
        </is>
      </c>
      <c r="C21" s="4" t="inlineStr">
        <is>
          <t>Multiple modalities (as coded)</t>
        </is>
      </c>
      <c r="D21" s="4" t="inlineStr">
        <is>
          <t>Modalidades múltiples declaradas; no prueba de integración/fusión</t>
        </is>
      </c>
    </row>
    <row r="22" ht="30" customHeight="1">
      <c r="A22" s="4" t="inlineStr">
        <is>
          <t>Clinical text / EHR</t>
        </is>
      </c>
      <c r="B22" s="4" t="inlineStr">
        <is>
          <t>Update</t>
        </is>
      </c>
      <c r="C22" s="4" t="inlineStr">
        <is>
          <t>Text / language</t>
        </is>
      </c>
      <c r="D22" s="4" t="inlineStr">
        <is>
          <t>Texto o lenguaje explícito; método NLP se registra aparte</t>
        </is>
      </c>
    </row>
    <row r="23" ht="30" customHeight="1">
      <c r="A23" s="4" t="inlineStr">
        <is>
          <t>Neuroimaging / fMRI</t>
        </is>
      </c>
      <c r="B23" s="4" t="inlineStr">
        <is>
          <t>Update</t>
        </is>
      </c>
      <c r="C23" s="4" t="inlineStr">
        <is>
          <t>Neuroimaging</t>
        </is>
      </c>
      <c r="D23" s="4" t="inlineStr">
        <is>
          <t>Fuente de neuroimagen explícita</t>
        </is>
      </c>
    </row>
    <row r="24" ht="30" customHeight="1">
      <c r="A24" s="4" t="inlineStr">
        <is>
          <t>Clinical text / NLP</t>
        </is>
      </c>
      <c r="B24" s="4" t="inlineStr">
        <is>
          <t>Update</t>
        </is>
      </c>
      <c r="C24" s="4" t="inlineStr">
        <is>
          <t>Text / language</t>
        </is>
      </c>
      <c r="D24" s="4" t="inlineStr">
        <is>
          <t>Texto o lenguaje explícito; método NLP se registra aparte</t>
        </is>
      </c>
    </row>
    <row r="25" ht="34" customHeight="1">
      <c r="A25" s="4" t="inlineStr">
        <is>
          <t>Cognitive task and questionnaire data</t>
        </is>
      </c>
      <c r="B25" s="4" t="inlineStr">
        <is>
          <t>Update</t>
        </is>
      </c>
      <c r="C25" s="4" t="inlineStr">
        <is>
          <t>Structured / tabular data</t>
        </is>
      </c>
      <c r="D25" s="4" t="inlineStr">
        <is>
          <t>Variables estructuradas/tabulares; no inferir NLP</t>
        </is>
      </c>
    </row>
    <row r="26" ht="34" customHeight="1">
      <c r="A26" s="4" t="inlineStr">
        <is>
          <t>Physiological signals / EEG</t>
        </is>
      </c>
      <c r="B26" s="4" t="inlineStr">
        <is>
          <t>Update</t>
        </is>
      </c>
      <c r="C26" s="4" t="inlineStr">
        <is>
          <t>Physiological signals</t>
        </is>
      </c>
      <c r="D26" s="4" t="inlineStr">
        <is>
          <t>Medición fisiológica explícita</t>
        </is>
      </c>
    </row>
    <row r="27" ht="34" customHeight="1">
      <c r="A27" s="4" t="inlineStr">
        <is>
          <t>Structured cognitive assessment</t>
        </is>
      </c>
      <c r="B27" s="4" t="inlineStr">
        <is>
          <t>Update</t>
        </is>
      </c>
      <c r="C27" s="4" t="inlineStr">
        <is>
          <t>Structured / tabular data</t>
        </is>
      </c>
      <c r="D27" s="4" t="inlineStr">
        <is>
          <t>Variables estructuradas/tabulares; no inferir NLP</t>
        </is>
      </c>
    </row>
    <row r="28" ht="30" customHeight="1">
      <c r="A28" s="4" t="inlineStr">
        <is>
          <t>Audio / voice</t>
        </is>
      </c>
      <c r="B28" s="4" t="inlineStr">
        <is>
          <t>Update</t>
        </is>
      </c>
      <c r="C28" s="4" t="inlineStr">
        <is>
          <t>Audio / voice</t>
        </is>
      </c>
      <c r="D28" s="4" t="inlineStr">
        <is>
          <t>Audio explícito</t>
        </is>
      </c>
    </row>
    <row r="29" ht="34" customHeight="1">
      <c r="A29" s="4" t="inlineStr">
        <is>
          <t>Neuroimaging / T1-T2 MRI</t>
        </is>
      </c>
      <c r="B29" s="4" t="inlineStr">
        <is>
          <t>Update</t>
        </is>
      </c>
      <c r="C29" s="4" t="inlineStr">
        <is>
          <t>Neuroimaging</t>
        </is>
      </c>
      <c r="D29" s="4" t="inlineStr">
        <is>
          <t>Fuente de neuroimagen explícita</t>
        </is>
      </c>
    </row>
    <row r="30" ht="34" customHeight="1">
      <c r="A30" s="4" t="inlineStr">
        <is>
          <t>Biological/omics / proteomics</t>
        </is>
      </c>
      <c r="B30" s="4" t="inlineStr">
        <is>
          <t>Update</t>
        </is>
      </c>
      <c r="C30" s="4" t="inlineStr">
        <is>
          <t>Biological/omics</t>
        </is>
      </c>
      <c r="D30" s="4" t="inlineStr">
        <is>
          <t>Fuente biológica explícita</t>
        </is>
      </c>
    </row>
    <row r="31" ht="34" customHeight="1">
      <c r="A31" s="4" t="inlineStr">
        <is>
          <t>Social-robot interaction</t>
        </is>
      </c>
      <c r="B31" s="4" t="inlineStr">
        <is>
          <t>Update</t>
        </is>
      </c>
      <c r="C31" s="4" t="inlineStr">
        <is>
          <t>Digital / robot interaction</t>
        </is>
      </c>
      <c r="D31" s="4" t="inlineStr">
        <is>
          <t>Datos de interacción; no inferir NLP</t>
        </is>
      </c>
    </row>
    <row r="32" ht="34" customHeight="1">
      <c r="A32" s="4" t="inlineStr">
        <is>
          <t>Structured screening questionnaire</t>
        </is>
      </c>
      <c r="B32" s="4" t="inlineStr">
        <is>
          <t>Update</t>
        </is>
      </c>
      <c r="C32" s="4" t="inlineStr">
        <is>
          <t>Structured / tabular data</t>
        </is>
      </c>
      <c r="D32" s="4" t="inlineStr">
        <is>
          <t>Variables estructuradas/tabulares; no inferir NLP</t>
        </is>
      </c>
    </row>
    <row r="33" ht="34" customHeight="1">
      <c r="A33" s="4" t="inlineStr">
        <is>
          <t>Histopathology images</t>
        </is>
      </c>
      <c r="B33" s="4" t="inlineStr">
        <is>
          <t>Update</t>
        </is>
      </c>
      <c r="C33" s="4" t="inlineStr">
        <is>
          <t>Other images</t>
        </is>
      </c>
      <c r="D33" s="4" t="inlineStr">
        <is>
          <t>Imagen histopatológica, no transcriptómica</t>
        </is>
      </c>
    </row>
    <row r="34" ht="34" customHeight="1">
      <c r="A34" s="4" t="inlineStr">
        <is>
          <t>Structured psychosocial data</t>
        </is>
      </c>
      <c r="B34" s="4" t="inlineStr">
        <is>
          <t>Update</t>
        </is>
      </c>
      <c r="C34" s="4" t="inlineStr">
        <is>
          <t>Structured / tabular data</t>
        </is>
      </c>
      <c r="D34" s="4" t="inlineStr">
        <is>
          <t>Variables estructuradas/tabulares; no inferir NLP</t>
        </is>
      </c>
    </row>
    <row r="35" ht="34" customHeight="1">
      <c r="A35" s="4" t="inlineStr">
        <is>
          <t>Text / open-ended questionnaires</t>
        </is>
      </c>
      <c r="B35" s="4" t="inlineStr">
        <is>
          <t>Update</t>
        </is>
      </c>
      <c r="C35" s="4" t="inlineStr">
        <is>
          <t>Text / language</t>
        </is>
      </c>
      <c r="D35" s="4" t="inlineStr">
        <is>
          <t>Texto o lenguaje explícito; método NLP se registra aparte</t>
        </is>
      </c>
    </row>
    <row r="36" ht="34" customHeight="1">
      <c r="A36" s="4" t="inlineStr">
        <is>
          <t>Neuroimaging / functional connectivity</t>
        </is>
      </c>
      <c r="B36" s="4" t="inlineStr">
        <is>
          <t>Update</t>
        </is>
      </c>
      <c r="C36" s="4" t="inlineStr">
        <is>
          <t>Neuroimaging</t>
        </is>
      </c>
      <c r="D36" s="4" t="inlineStr">
        <is>
          <t>Fuente de neuroimagen explícita</t>
        </is>
      </c>
    </row>
    <row r="37" ht="34" customHeight="1">
      <c r="A37" s="4" t="inlineStr">
        <is>
          <t>Neuroimaging / structural MRI</t>
        </is>
      </c>
      <c r="B37" s="4" t="inlineStr">
        <is>
          <t>Update</t>
        </is>
      </c>
      <c r="C37" s="4" t="inlineStr">
        <is>
          <t>Neuroimaging</t>
        </is>
      </c>
      <c r="D37" s="4" t="inlineStr">
        <is>
          <t>Fuente de neuroimagen explícita</t>
        </is>
      </c>
    </row>
    <row r="38" ht="34" customHeight="1">
      <c r="A38" s="4" t="inlineStr">
        <is>
          <t>Structured screening data</t>
        </is>
      </c>
      <c r="B38" s="4" t="inlineStr">
        <is>
          <t>Update</t>
        </is>
      </c>
      <c r="C38" s="4" t="inlineStr">
        <is>
          <t>Structured / tabular data</t>
        </is>
      </c>
      <c r="D38" s="4" t="inlineStr">
        <is>
          <t>Variables estructuradas/tabulares; no inferir NLP</t>
        </is>
      </c>
    </row>
    <row r="39" ht="34" customHeight="1">
      <c r="A39" s="4" t="inlineStr">
        <is>
          <t>Biological/omics / transcriptomics</t>
        </is>
      </c>
      <c r="B39" s="4" t="inlineStr">
        <is>
          <t>Update</t>
        </is>
      </c>
      <c r="C39" s="4" t="inlineStr">
        <is>
          <t>Biological/omics</t>
        </is>
      </c>
      <c r="D39" s="4" t="inlineStr">
        <is>
          <t>Fuente biológica explícita</t>
        </is>
      </c>
    </row>
    <row r="40" ht="47" customHeight="1">
      <c r="A40" s="4" t="inlineStr">
        <is>
          <t>Environmental exposure + behavioral scale</t>
        </is>
      </c>
      <c r="B40" s="4" t="inlineStr">
        <is>
          <t>Update</t>
        </is>
      </c>
      <c r="C40" s="4" t="inlineStr">
        <is>
          <t>Structured / tabular data</t>
        </is>
      </c>
      <c r="D40" s="4" t="inlineStr">
        <is>
          <t>Variables estructuradas/tabulares; no inferir NLP</t>
        </is>
      </c>
    </row>
    <row r="41" ht="30" customHeight="1">
      <c r="A41" s="4" t="inlineStr">
        <is>
          <t>Neuroimaging / MRI</t>
        </is>
      </c>
      <c r="B41" s="4" t="inlineStr">
        <is>
          <t>Update</t>
        </is>
      </c>
      <c r="C41" s="4" t="inlineStr">
        <is>
          <t>Neuroimaging</t>
        </is>
      </c>
      <c r="D41" s="4" t="inlineStr">
        <is>
          <t>Fuente de neuroimagen explícita</t>
        </is>
      </c>
    </row>
    <row r="42" ht="30" customHeight="1">
      <c r="A42" s="4" t="inlineStr">
        <is>
          <t>Child-drawn images</t>
        </is>
      </c>
      <c r="B42" s="4" t="inlineStr">
        <is>
          <t>Update</t>
        </is>
      </c>
      <c r="C42" s="4" t="inlineStr">
        <is>
          <t>Other images</t>
        </is>
      </c>
      <c r="D42" s="4" t="inlineStr">
        <is>
          <t>Dibujos como imagen</t>
        </is>
      </c>
    </row>
    <row r="43" ht="34" customHeight="1">
      <c r="A43" s="4" t="inlineStr">
        <is>
          <t>Physiological signals / EEG P300</t>
        </is>
      </c>
      <c r="B43" s="4" t="inlineStr">
        <is>
          <t>Update</t>
        </is>
      </c>
      <c r="C43" s="4" t="inlineStr">
        <is>
          <t>Physiological signals</t>
        </is>
      </c>
      <c r="D43" s="4" t="inlineStr">
        <is>
          <t>Medición fisiológica explícita</t>
        </is>
      </c>
    </row>
    <row r="44" ht="34" customHeight="1">
      <c r="A44" s="4" t="inlineStr">
        <is>
          <t>Kinematic gait / depth-camera data</t>
        </is>
      </c>
      <c r="B44" s="4" t="inlineStr">
        <is>
          <t>Update</t>
        </is>
      </c>
      <c r="C44" s="4" t="inlineStr">
        <is>
          <t>Behavioral video / movement</t>
        </is>
      </c>
      <c r="D44" s="4" t="inlineStr">
        <is>
          <t>Vídeo o movimiento conductual explícito</t>
        </is>
      </c>
    </row>
    <row r="45" ht="34" customHeight="1">
      <c r="A45" s="4" t="inlineStr">
        <is>
          <t>Behavioral video</t>
        </is>
      </c>
      <c r="B45" s="4" t="inlineStr">
        <is>
          <t>Update</t>
        </is>
      </c>
      <c r="C45" s="4" t="inlineStr">
        <is>
          <t>Behavioral video / movement</t>
        </is>
      </c>
      <c r="D45" s="4" t="inlineStr">
        <is>
          <t>Vídeo o movimiento conductual explícito</t>
        </is>
      </c>
    </row>
    <row r="46" ht="34" customHeight="1">
      <c r="A46" s="4" t="inlineStr">
        <is>
          <t>Healthcare administrative/claims data</t>
        </is>
      </c>
      <c r="B46" s="4" t="inlineStr">
        <is>
          <t>Update</t>
        </is>
      </c>
      <c r="C46" s="4" t="inlineStr">
        <is>
          <t>Structured / tabular data</t>
        </is>
      </c>
      <c r="D46" s="4" t="inlineStr">
        <is>
          <t>Variables estructuradas/tabulares; no inferir NLP</t>
        </is>
      </c>
    </row>
    <row r="47" ht="47" customHeight="1">
      <c r="A47" s="4" t="inlineStr">
        <is>
          <t>Thermal facial imaging / skin temperature</t>
        </is>
      </c>
      <c r="B47" s="4" t="inlineStr">
        <is>
          <t>Update</t>
        </is>
      </c>
      <c r="C47" s="4" t="inlineStr">
        <is>
          <t>Thermal imaging / physiology</t>
        </is>
      </c>
      <c r="D47" s="4" t="inlineStr">
        <is>
          <t>Conservar imagen térmica y medición fisiológica explícitas</t>
        </is>
      </c>
    </row>
    <row r="48" ht="47" customHeight="1">
      <c r="A48" s="4" t="inlineStr">
        <is>
          <t>Structured behavioral / demographic screening datasets</t>
        </is>
      </c>
      <c r="B48" s="4" t="inlineStr">
        <is>
          <t>Update</t>
        </is>
      </c>
      <c r="C48" s="4" t="inlineStr">
        <is>
          <t>Structured / tabular data</t>
        </is>
      </c>
      <c r="D48" s="4" t="inlineStr">
        <is>
          <t>Variables estructuradas/tabulares; no inferir NLP</t>
        </is>
      </c>
    </row>
    <row r="49" ht="34" customHeight="1">
      <c r="A49" s="4" t="inlineStr">
        <is>
          <t>Behavioral video / facial expressions</t>
        </is>
      </c>
      <c r="B49" s="4" t="inlineStr">
        <is>
          <t>Update</t>
        </is>
      </c>
      <c r="C49" s="4" t="inlineStr">
        <is>
          <t>Behavioral video / movement</t>
        </is>
      </c>
      <c r="D49" s="4" t="inlineStr">
        <is>
          <t>Vídeo o movimiento conductual explícito</t>
        </is>
      </c>
    </row>
    <row r="50" ht="47" customHeight="1">
      <c r="A50" s="4" t="inlineStr">
        <is>
          <t>Neuroimaging (MRI / ABIDE-derived brain imaging)</t>
        </is>
      </c>
      <c r="B50" s="4" t="inlineStr">
        <is>
          <t>Update</t>
        </is>
      </c>
      <c r="C50" s="4" t="inlineStr">
        <is>
          <t>Neuroimaging</t>
        </is>
      </c>
      <c r="D50" s="4" t="inlineStr">
        <is>
          <t>Fuente de neuroimagen explícita</t>
        </is>
      </c>
    </row>
    <row r="51" ht="47" customHeight="1">
      <c r="A51" s="4" t="inlineStr">
        <is>
          <t>Multimodal (brain MRI + phenotypic/meta-features)</t>
        </is>
      </c>
      <c r="B51" s="4" t="inlineStr">
        <is>
          <t>Update</t>
        </is>
      </c>
      <c r="C51" s="4" t="inlineStr">
        <is>
          <t>Multiple modalities (as coded)</t>
        </is>
      </c>
      <c r="D51" s="4" t="inlineStr">
        <is>
          <t>Modalidades múltiples declaradas; no prueba de integración/fusión</t>
        </is>
      </c>
    </row>
    <row r="52" ht="34" customHeight="1">
      <c r="A52" s="4" t="inlineStr">
        <is>
          <t>Biological/omics (plasma proteomics)</t>
        </is>
      </c>
      <c r="B52" s="4" t="inlineStr">
        <is>
          <t>Update</t>
        </is>
      </c>
      <c r="C52" s="4" t="inlineStr">
        <is>
          <t>Biological/omics</t>
        </is>
      </c>
      <c r="D52" s="4" t="inlineStr">
        <is>
          <t>Fuente biológica explícita</t>
        </is>
      </c>
    </row>
    <row r="53" ht="47" customHeight="1">
      <c r="A53" s="4" t="inlineStr">
        <is>
          <t>Behavioral motor kinematics / full-body motion</t>
        </is>
      </c>
      <c r="B53" s="4" t="inlineStr">
        <is>
          <t>Update</t>
        </is>
      </c>
      <c r="C53" s="4" t="inlineStr">
        <is>
          <t>Behavioral video / movement</t>
        </is>
      </c>
      <c r="D53" s="4" t="inlineStr">
        <is>
          <t>Vídeo o movimiento conductual explícito</t>
        </is>
      </c>
    </row>
    <row r="54" ht="30" customHeight="1">
      <c r="A54" s="4" t="inlineStr">
        <is>
          <t>Not specified</t>
        </is>
      </c>
      <c r="B54" s="4" t="inlineStr">
        <is>
          <t>Update</t>
        </is>
      </c>
      <c r="C54" s="4" t="inlineStr">
        <is>
          <t>Not specified</t>
        </is>
      </c>
      <c r="D54" s="4" t="inlineStr">
        <is>
          <t>Sin asignación por falta de detalle</t>
        </is>
      </c>
    </row>
    <row r="55" ht="47" customHeight="1">
      <c r="A55" s="4" t="inlineStr">
        <is>
          <t>Structured behavioral / screening questionnaire data</t>
        </is>
      </c>
      <c r="B55" s="4" t="inlineStr">
        <is>
          <t>Update</t>
        </is>
      </c>
      <c r="C55" s="4" t="inlineStr">
        <is>
          <t>Structured / tabular data</t>
        </is>
      </c>
      <c r="D55" s="4" t="inlineStr">
        <is>
          <t>Variables estructuradas/tabulares; no inferir NLP</t>
        </is>
      </c>
    </row>
    <row r="56" ht="34" customHeight="1">
      <c r="A56" s="4" t="inlineStr">
        <is>
          <t>Eye-tracking / scanpaths</t>
        </is>
      </c>
      <c r="B56" s="4" t="inlineStr">
        <is>
          <t>Update</t>
        </is>
      </c>
      <c r="C56" s="4" t="inlineStr">
        <is>
          <t>Behavioral gaze / eye tracking</t>
        </is>
      </c>
      <c r="D56" s="4" t="inlineStr">
        <is>
          <t>Trazas de mirada aunque se representen como imágenes</t>
        </is>
      </c>
    </row>
    <row r="57" ht="47" customHeight="1">
      <c r="A57" s="4" t="inlineStr">
        <is>
          <t>Neuroimaging (structural MRI / subcortical images)</t>
        </is>
      </c>
      <c r="B57" s="4" t="inlineStr">
        <is>
          <t>Update</t>
        </is>
      </c>
      <c r="C57" s="4" t="inlineStr">
        <is>
          <t>Neuroimaging</t>
        </is>
      </c>
      <c r="D57" s="4" t="inlineStr">
        <is>
          <t>Fuente de neuroimagen explícita</t>
        </is>
      </c>
    </row>
    <row r="58" ht="60" customHeight="1">
      <c r="A58" s="4" t="inlineStr">
        <is>
          <t>Multimodal (rs-fMRI functional connectivity + phenotypic/clinical data)</t>
        </is>
      </c>
      <c r="B58" s="4" t="inlineStr">
        <is>
          <t>Update</t>
        </is>
      </c>
      <c r="C58" s="4" t="inlineStr">
        <is>
          <t>Multiple modalities (as coded)</t>
        </is>
      </c>
      <c r="D58" s="4" t="inlineStr">
        <is>
          <t>Modalidades múltiples declaradas; no prueba de integración/fusión</t>
        </is>
      </c>
    </row>
    <row r="59" ht="34" customHeight="1">
      <c r="A59" s="4" t="inlineStr">
        <is>
          <t>Eye-tracking / scanpath images</t>
        </is>
      </c>
      <c r="B59" s="4" t="inlineStr">
        <is>
          <t>Update</t>
        </is>
      </c>
      <c r="C59" s="4" t="inlineStr">
        <is>
          <t>Behavioral gaze / eye tracking</t>
        </is>
      </c>
      <c r="D59" s="4" t="inlineStr">
        <is>
          <t>Trazas de mirada aunque se representen como imágenes</t>
        </is>
      </c>
    </row>
    <row r="60" ht="47" customHeight="1">
      <c r="A60" s="4" t="inlineStr">
        <is>
          <t>Physiological signals (fNIRS hemodynamics)</t>
        </is>
      </c>
      <c r="B60" s="4" t="inlineStr">
        <is>
          <t>Update</t>
        </is>
      </c>
      <c r="C60" s="4" t="inlineStr">
        <is>
          <t>Physiological signals</t>
        </is>
      </c>
      <c r="D60" s="4" t="inlineStr">
        <is>
          <t>Medición fisiológica explícita</t>
        </is>
      </c>
    </row>
    <row r="61" ht="60" customHeight="1">
      <c r="A61" s="4" t="inlineStr">
        <is>
          <t>Multimodal (rs-fMRI functional connectivity + phenotypic data)</t>
        </is>
      </c>
      <c r="B61" s="4" t="inlineStr">
        <is>
          <t>Update</t>
        </is>
      </c>
      <c r="C61" s="4" t="inlineStr">
        <is>
          <t>Multiple modalities (as coded)</t>
        </is>
      </c>
      <c r="D61" s="4" t="inlineStr">
        <is>
          <t>Modalidades múltiples declaradas; no prueba de integración/fusión</t>
        </is>
      </c>
    </row>
    <row r="62" ht="60" customHeight="1">
      <c r="A62" s="4" t="inlineStr">
        <is>
          <t>Behavioral video / parent-child interaction skeleton kinematics</t>
        </is>
      </c>
      <c r="B62" s="4" t="inlineStr">
        <is>
          <t>Update</t>
        </is>
      </c>
      <c r="C62" s="4" t="inlineStr">
        <is>
          <t>Behavioral video / movement</t>
        </is>
      </c>
      <c r="D62" s="4" t="inlineStr">
        <is>
          <t>Vídeo o movimiento conductual explícito</t>
        </is>
      </c>
    </row>
    <row r="63" ht="60" customHeight="1">
      <c r="A63" s="4" t="inlineStr">
        <is>
          <t>Biological/omics (transcriptomic/gene-expression datasets)</t>
        </is>
      </c>
      <c r="B63" s="4" t="inlineStr">
        <is>
          <t>Update</t>
        </is>
      </c>
      <c r="C63" s="4" t="inlineStr">
        <is>
          <t>Biological/omics</t>
        </is>
      </c>
      <c r="D63" s="4" t="inlineStr">
        <is>
          <t>Fuente biológica explícita</t>
        </is>
      </c>
    </row>
    <row r="64" ht="34" customHeight="1">
      <c r="A64" s="4" t="inlineStr">
        <is>
          <t>Physiological signals (EEG)</t>
        </is>
      </c>
      <c r="B64" s="4" t="inlineStr">
        <is>
          <t>Update</t>
        </is>
      </c>
      <c r="C64" s="4" t="inlineStr">
        <is>
          <t>Physiological signals</t>
        </is>
      </c>
      <c r="D64" s="4" t="inlineStr">
        <is>
          <t>Medición fisiológica explícita</t>
        </is>
      </c>
    </row>
    <row r="65" ht="47" customHeight="1">
      <c r="A65" s="4" t="inlineStr">
        <is>
          <t>Neuroimaging (brain MRI/fMRI from ABIDE-I and ABIDE-II)</t>
        </is>
      </c>
      <c r="B65" s="4" t="inlineStr">
        <is>
          <t>Update</t>
        </is>
      </c>
      <c r="C65" s="4" t="inlineStr">
        <is>
          <t>Neuroimaging</t>
        </is>
      </c>
      <c r="D65" s="4" t="inlineStr">
        <is>
          <t>Fuente de neuroimagen explícita</t>
        </is>
      </c>
    </row>
    <row r="66" ht="47" customHeight="1">
      <c r="A66" s="4" t="inlineStr">
        <is>
          <t>Structured behavioral / questionnaire screening data</t>
        </is>
      </c>
      <c r="B66" s="4" t="inlineStr">
        <is>
          <t>Update</t>
        </is>
      </c>
      <c r="C66" s="4" t="inlineStr">
        <is>
          <t>Structured / tabular data</t>
        </is>
      </c>
      <c r="D66" s="4" t="inlineStr">
        <is>
          <t>Variables estructuradas/tabulares; no inferir NLP</t>
        </is>
      </c>
    </row>
    <row r="67" ht="60" customHeight="1">
      <c r="A67" s="4" t="inlineStr">
        <is>
          <t>Digital interaction / serious-game executive-function data</t>
        </is>
      </c>
      <c r="B67" s="4" t="inlineStr">
        <is>
          <t>Update</t>
        </is>
      </c>
      <c r="C67" s="4" t="inlineStr">
        <is>
          <t>Digital / robot interaction</t>
        </is>
      </c>
      <c r="D67" s="4" t="inlineStr">
        <is>
          <t>Datos de interacción; no inferir NLP</t>
        </is>
      </c>
    </row>
    <row r="68" ht="34" customHeight="1">
      <c r="A68" s="4" t="inlineStr">
        <is>
          <t>Neuroimaging (MRI / ABIDE)</t>
        </is>
      </c>
      <c r="B68" s="4" t="inlineStr">
        <is>
          <t>Update</t>
        </is>
      </c>
      <c r="C68" s="4" t="inlineStr">
        <is>
          <t>Neuroimaging</t>
        </is>
      </c>
      <c r="D68" s="4" t="inlineStr">
        <is>
          <t>Fuente de neuroimagen explícita</t>
        </is>
      </c>
    </row>
    <row r="69" ht="47" customHeight="1">
      <c r="A69" s="4" t="inlineStr">
        <is>
          <t>Audio / voice (child-therapist intervention sessions)</t>
        </is>
      </c>
      <c r="B69" s="4" t="inlineStr">
        <is>
          <t>Update</t>
        </is>
      </c>
      <c r="C69" s="4" t="inlineStr">
        <is>
          <t>Audio / voice</t>
        </is>
      </c>
      <c r="D69" s="4" t="inlineStr">
        <is>
          <t>Audio explícito</t>
        </is>
      </c>
    </row>
    <row r="70" ht="34" customHeight="1">
      <c r="A70" s="4" t="inlineStr">
        <is>
          <t>Multimodal (rs-fMRI + phenotypic data)</t>
        </is>
      </c>
      <c r="B70" s="4" t="inlineStr">
        <is>
          <t>Update</t>
        </is>
      </c>
      <c r="C70" s="4" t="inlineStr">
        <is>
          <t>Multiple modalities (as coded)</t>
        </is>
      </c>
      <c r="D70" s="4" t="inlineStr">
        <is>
          <t>Modalidades múltiples declaradas; no prueba de integración/fusión</t>
        </is>
      </c>
    </row>
    <row r="71" ht="47" customHeight="1">
      <c r="A71" s="4" t="inlineStr">
        <is>
          <t>Neuroimaging (rs-fMRI ROI time series / ABIDE)</t>
        </is>
      </c>
      <c r="B71" s="4" t="inlineStr">
        <is>
          <t>Update</t>
        </is>
      </c>
      <c r="C71" s="4" t="inlineStr">
        <is>
          <t>Neuroimaging</t>
        </is>
      </c>
      <c r="D71" s="4" t="inlineStr">
        <is>
          <t>Fuente de neuroimagen explícita</t>
        </is>
      </c>
    </row>
    <row r="72" ht="60" customHeight="1">
      <c r="A72" s="4" t="inlineStr">
        <is>
          <t>Biological/omics (non-coding de novo variants and regulatory genomics)</t>
        </is>
      </c>
      <c r="B72" s="4" t="inlineStr">
        <is>
          <t>Update</t>
        </is>
      </c>
      <c r="C72" s="4" t="inlineStr">
        <is>
          <t>Biological/omics</t>
        </is>
      </c>
      <c r="D72" s="4" t="inlineStr">
        <is>
          <t>Fuente biológica explícita</t>
        </is>
      </c>
    </row>
    <row r="73" ht="47" customHeight="1">
      <c r="A73" s="4" t="inlineStr">
        <is>
          <t>Neuroimaging (structural MRI / ABIDE-II)</t>
        </is>
      </c>
      <c r="B73" s="4" t="inlineStr">
        <is>
          <t>Update</t>
        </is>
      </c>
      <c r="C73" s="4" t="inlineStr">
        <is>
          <t>Neuroimaging</t>
        </is>
      </c>
      <c r="D73" s="4" t="inlineStr">
        <is>
          <t>Fuente de neuroimagen explícita</t>
        </is>
      </c>
    </row>
    <row r="74" ht="60" customHeight="1">
      <c r="A74" s="4" t="inlineStr">
        <is>
          <t>Structured behavioral / questionnaire / clinical-trait data</t>
        </is>
      </c>
      <c r="B74" s="4" t="inlineStr">
        <is>
          <t>Update</t>
        </is>
      </c>
      <c r="C74" s="4" t="inlineStr">
        <is>
          <t>Structured / tabular data</t>
        </is>
      </c>
      <c r="D74" s="4" t="inlineStr">
        <is>
          <t>Variables estructuradas/tabulares; no inferir NLP</t>
        </is>
      </c>
    </row>
    <row r="75" ht="34" customHeight="1">
      <c r="A75" s="4" t="inlineStr">
        <is>
          <t>Neuroimaging (rs-fMRI / ABIDE-I)</t>
        </is>
      </c>
      <c r="B75" s="4" t="inlineStr">
        <is>
          <t>Update</t>
        </is>
      </c>
      <c r="C75" s="4" t="inlineStr">
        <is>
          <t>Neuroimaging</t>
        </is>
      </c>
      <c r="D75" s="4" t="inlineStr">
        <is>
          <t>Fuente de neuroimagen explícita</t>
        </is>
      </c>
    </row>
    <row r="76" ht="60" customHeight="1">
      <c r="A76" s="4" t="inlineStr">
        <is>
          <t>Behavioral video / naturalistic facial-social interaction (POV camera)</t>
        </is>
      </c>
      <c r="B76" s="4" t="inlineStr">
        <is>
          <t>Update</t>
        </is>
      </c>
      <c r="C76" s="4" t="inlineStr">
        <is>
          <t>Behavioral video / movement</t>
        </is>
      </c>
      <c r="D76" s="4" t="inlineStr">
        <is>
          <t>Vídeo o movimiento conductual explícito</t>
        </is>
      </c>
    </row>
    <row r="77" ht="60" customHeight="1">
      <c r="A77" s="4" t="inlineStr">
        <is>
          <t>Multimodal (longitudinal DTI neuroimaging + ADOS/ADI-R behavioral data)</t>
        </is>
      </c>
      <c r="B77" s="4" t="inlineStr">
        <is>
          <t>Update</t>
        </is>
      </c>
      <c r="C77" s="4" t="inlineStr">
        <is>
          <t>Multiple modalities (as coded)</t>
        </is>
      </c>
      <c r="D77" s="4" t="inlineStr">
        <is>
          <t>Modalidades múltiples declaradas; no prueba de integración/fusión</t>
        </is>
      </c>
    </row>
    <row r="78" ht="34" customHeight="1">
      <c r="A78" s="4" t="inlineStr">
        <is>
          <t>Neuroimaging (structural MRI / ABIDE)</t>
        </is>
      </c>
      <c r="B78" s="4" t="inlineStr">
        <is>
          <t>Update</t>
        </is>
      </c>
      <c r="C78" s="4" t="inlineStr">
        <is>
          <t>Neuroimaging</t>
        </is>
      </c>
      <c r="D78" s="4" t="inlineStr">
        <is>
          <t>Fuente de neuroimagen explícita</t>
        </is>
      </c>
    </row>
    <row r="79" ht="60" customHeight="1">
      <c r="A79" s="4" t="inlineStr">
        <is>
          <t>Digital interaction / travel-planning preferences and itinerary data</t>
        </is>
      </c>
      <c r="B79" s="4" t="inlineStr">
        <is>
          <t>Update</t>
        </is>
      </c>
      <c r="C79" s="4" t="inlineStr">
        <is>
          <t>Digital / robot interaction</t>
        </is>
      </c>
      <c r="D79" s="4" t="inlineStr">
        <is>
          <t>Datos de interacción; no inferir NLP</t>
        </is>
      </c>
    </row>
    <row r="80" ht="60" customHeight="1">
      <c r="A80" s="4" t="inlineStr">
        <is>
          <t>Multimodal (handwriting samples + behavioral questionnaires)</t>
        </is>
      </c>
      <c r="B80" s="4" t="inlineStr">
        <is>
          <t>Update</t>
        </is>
      </c>
      <c r="C80" s="4" t="inlineStr">
        <is>
          <t>Multiple modalities (as coded)</t>
        </is>
      </c>
      <c r="D80" s="4" t="inlineStr">
        <is>
          <t>Modalidades múltiples declaradas; no prueba de integración/fusión</t>
        </is>
      </c>
    </row>
    <row r="81" ht="47" customHeight="1">
      <c r="A81" s="4" t="inlineStr">
        <is>
          <t>Structured clinical / ADI-R treatment-response data</t>
        </is>
      </c>
      <c r="B81" s="4" t="inlineStr">
        <is>
          <t>Update</t>
        </is>
      </c>
      <c r="C81" s="4" t="inlineStr">
        <is>
          <t>Structured / tabular data</t>
        </is>
      </c>
      <c r="D81" s="4" t="inlineStr">
        <is>
          <t>Variables estructuradas/tabulares; no inferir NLP</t>
        </is>
      </c>
    </row>
    <row r="82" ht="34" customHeight="1">
      <c r="A82" s="4" t="inlineStr">
        <is>
          <t>Neuroimaging (MRI / Acerta-ABIDE)</t>
        </is>
      </c>
      <c r="B82" s="4" t="inlineStr">
        <is>
          <t>Update</t>
        </is>
      </c>
      <c r="C82" s="4" t="inlineStr">
        <is>
          <t>Neuroimaging</t>
        </is>
      </c>
      <c r="D82" s="4" t="inlineStr">
        <is>
          <t>Fuente de neuroimagen explícita</t>
        </is>
      </c>
    </row>
    <row r="83" ht="47" customHeight="1">
      <c r="A83" s="4" t="inlineStr">
        <is>
          <t>Facial images / facial emotion-expression data</t>
        </is>
      </c>
      <c r="B83" s="4" t="inlineStr">
        <is>
          <t>Update</t>
        </is>
      </c>
      <c r="C83" s="4" t="inlineStr">
        <is>
          <t>Facial images</t>
        </is>
      </c>
      <c r="D83" s="4" t="inlineStr">
        <is>
          <t>Imágenes faciales explícitas</t>
        </is>
      </c>
    </row>
    <row r="84" ht="47" customHeight="1">
      <c r="A84" s="4" t="inlineStr">
        <is>
          <t>Multimodal neuroimaging (CT + MRI morphometry)</t>
        </is>
      </c>
      <c r="B84" s="4" t="inlineStr">
        <is>
          <t>Update</t>
        </is>
      </c>
      <c r="C84" s="4" t="inlineStr">
        <is>
          <t>Multiple modalities (as coded)</t>
        </is>
      </c>
      <c r="D84" s="4" t="inlineStr">
        <is>
          <t>Modalidades múltiples declaradas; no prueba de integración/fusión</t>
        </is>
      </c>
    </row>
    <row r="85" ht="34" customHeight="1">
      <c r="A85" s="4" t="inlineStr">
        <is>
          <t>Neuroimaging (brain images / ABIDE)</t>
        </is>
      </c>
      <c r="B85" s="4" t="inlineStr">
        <is>
          <t>Update</t>
        </is>
      </c>
      <c r="C85" s="4" t="inlineStr">
        <is>
          <t>Neuroimaging</t>
        </is>
      </c>
      <c r="D85" s="4" t="inlineStr">
        <is>
          <t>Fuente de neuroimagen explícita</t>
        </is>
      </c>
    </row>
    <row r="86" ht="47" customHeight="1">
      <c r="A86" s="4" t="inlineStr">
        <is>
          <t>Neuroimaging (resting-state fMRI / ABIDE + ADHD-200)</t>
        </is>
      </c>
      <c r="B86" s="4" t="inlineStr">
        <is>
          <t>Update</t>
        </is>
      </c>
      <c r="C86" s="4" t="inlineStr">
        <is>
          <t>Neuroimaging</t>
        </is>
      </c>
      <c r="D86" s="4" t="inlineStr">
        <is>
          <t>Fuente de neuroimagen explícita</t>
        </is>
      </c>
    </row>
    <row r="87" ht="47" customHeight="1">
      <c r="A87" s="4" t="inlineStr">
        <is>
          <t>Physiological signals (resting-state EEG)</t>
        </is>
      </c>
      <c r="B87" s="4" t="inlineStr">
        <is>
          <t>Update</t>
        </is>
      </c>
      <c r="C87" s="4" t="inlineStr">
        <is>
          <t>Physiological signals</t>
        </is>
      </c>
      <c r="D87" s="4" t="inlineStr">
        <is>
          <t>Medición fisiológica explícita</t>
        </is>
      </c>
    </row>
    <row r="88" ht="60" customHeight="1">
      <c r="A88" s="4" t="inlineStr">
        <is>
          <t>Multimodal (peripheral-blood transcriptomics + clinical/phenotypic data)</t>
        </is>
      </c>
      <c r="B88" s="4" t="inlineStr">
        <is>
          <t>Update</t>
        </is>
      </c>
      <c r="C88" s="4" t="inlineStr">
        <is>
          <t>Multiple modalities (as coded)</t>
        </is>
      </c>
      <c r="D88" s="4" t="inlineStr">
        <is>
          <t>Modalidades múltiples declaradas; no prueba de integración/fusión</t>
        </is>
      </c>
    </row>
    <row r="89" ht="99" customHeight="1">
      <c r="A89" s="4" t="inlineStr">
        <is>
          <t>Multiple public ASD datasets (facial images, structured screening data and ABIDE neuroimaging; not explicitly fused)</t>
        </is>
      </c>
      <c r="B89" s="4" t="inlineStr">
        <is>
          <t>Update</t>
        </is>
      </c>
      <c r="C89" s="4" t="inlineStr">
        <is>
          <t>Multiple datasets (fusion unverified)</t>
        </is>
      </c>
      <c r="D89" s="4" t="inlineStr">
        <is>
          <t>Varios datasets no demuestran fusión de modalidades</t>
        </is>
      </c>
    </row>
    <row r="90" ht="34" customHeight="1">
      <c r="A90" s="4" t="inlineStr">
        <is>
          <t>Neuroimaging (brain imaging / ABIDE)</t>
        </is>
      </c>
      <c r="B90" s="4" t="inlineStr">
        <is>
          <t>Update</t>
        </is>
      </c>
      <c r="C90" s="4" t="inlineStr">
        <is>
          <t>Neuroimaging</t>
        </is>
      </c>
      <c r="D90" s="4" t="inlineStr">
        <is>
          <t>Fuente de neuroimagen explícita</t>
        </is>
      </c>
    </row>
    <row r="91" ht="86" customHeight="1">
      <c r="A91" s="4" t="inlineStr">
        <is>
          <t>Text / NLP (participant textual data; exact acquisition context not specified in recovered text)</t>
        </is>
      </c>
      <c r="B91" s="4" t="inlineStr">
        <is>
          <t>Update</t>
        </is>
      </c>
      <c r="C91" s="4" t="inlineStr">
        <is>
          <t>Text / language</t>
        </is>
      </c>
      <c r="D91" s="4" t="inlineStr">
        <is>
          <t>Texto o lenguaje explícito; método NLP se registra aparte</t>
        </is>
      </c>
    </row>
    <row r="92" ht="47" customHeight="1">
      <c r="A92" s="4" t="inlineStr">
        <is>
          <t>Behavioral eye-tracking trajectories / scanpaths</t>
        </is>
      </c>
      <c r="B92" s="4" t="inlineStr">
        <is>
          <t>Update</t>
        </is>
      </c>
      <c r="C92" s="4" t="inlineStr">
        <is>
          <t>Behavioral gaze / eye tracking</t>
        </is>
      </c>
      <c r="D92" s="4" t="inlineStr">
        <is>
          <t>Trazas de mirada aunque se representen como imágenes</t>
        </is>
      </c>
    </row>
    <row r="93" ht="47" customHeight="1">
      <c r="A93" s="4" t="inlineStr">
        <is>
          <t>Behavioral video / naturalistic social gaze</t>
        </is>
      </c>
      <c r="B93" s="4" t="inlineStr">
        <is>
          <t>Update</t>
        </is>
      </c>
      <c r="C93" s="4" t="inlineStr">
        <is>
          <t>Behavioral video / movement</t>
        </is>
      </c>
      <c r="D93" s="4" t="inlineStr">
        <is>
          <t>Vídeo o movimiento conductual explícito</t>
        </is>
      </c>
    </row>
    <row r="94" ht="47" customHeight="1">
      <c r="A94" s="4" t="inlineStr">
        <is>
          <t>Behavioral eye movements / scanpath images from video</t>
        </is>
      </c>
      <c r="B94" s="4" t="inlineStr">
        <is>
          <t>Update</t>
        </is>
      </c>
      <c r="C94" s="4" t="inlineStr">
        <is>
          <t>Behavioral gaze / eye tracking</t>
        </is>
      </c>
      <c r="D94" s="4" t="inlineStr">
        <is>
          <t>Trazas de mirada aunque se representen como imágenes</t>
        </is>
      </c>
    </row>
    <row r="95" ht="47" customHeight="1">
      <c r="A95" s="4" t="inlineStr">
        <is>
          <t>Physiological signals (resting-state infant EEG)</t>
        </is>
      </c>
      <c r="B95" s="4" t="inlineStr">
        <is>
          <t>Update</t>
        </is>
      </c>
      <c r="C95" s="4" t="inlineStr">
        <is>
          <t>Physiological signals</t>
        </is>
      </c>
      <c r="D95" s="4" t="inlineStr">
        <is>
          <t>Medición fisiológica explícita</t>
        </is>
      </c>
    </row>
    <row r="96" ht="47" customHeight="1">
      <c r="A96" s="4" t="inlineStr">
        <is>
          <t>Facial images (two public ASD facial-image datasets)</t>
        </is>
      </c>
      <c r="B96" s="4" t="inlineStr">
        <is>
          <t>Update</t>
        </is>
      </c>
      <c r="C96" s="4" t="inlineStr">
        <is>
          <t>Facial images</t>
        </is>
      </c>
      <c r="D96" s="4" t="inlineStr">
        <is>
          <t>Imágenes faciales explícitas</t>
        </is>
      </c>
    </row>
    <row r="97" ht="47" customHeight="1">
      <c r="A97" s="4" t="inlineStr">
        <is>
          <t>Physiological signals (baseline infant EEG)</t>
        </is>
      </c>
      <c r="B97" s="4" t="inlineStr">
        <is>
          <t>Update</t>
        </is>
      </c>
      <c r="C97" s="4" t="inlineStr">
        <is>
          <t>Physiological signals</t>
        </is>
      </c>
      <c r="D97" s="4" t="inlineStr">
        <is>
          <t>Medición fisiológica explícita</t>
        </is>
      </c>
    </row>
    <row r="98" ht="34" customHeight="1">
      <c r="A98" s="4" t="inlineStr">
        <is>
          <t>Multimodal (EEG + fMRI)</t>
        </is>
      </c>
      <c r="B98" s="4" t="inlineStr">
        <is>
          <t>Update</t>
        </is>
      </c>
      <c r="C98" s="4" t="inlineStr">
        <is>
          <t>Multiple modalities (as coded)</t>
        </is>
      </c>
      <c r="D98" s="4" t="inlineStr">
        <is>
          <t>Modalidades múltiples declaradas; no prueba de integración/fusión</t>
        </is>
      </c>
    </row>
    <row r="99" ht="73" customHeight="1">
      <c r="A99" s="4" t="inlineStr">
        <is>
          <t>Physiological signals (EEG during cartoon viewing) with semantic stimulus annotations</t>
        </is>
      </c>
      <c r="B99" s="4" t="inlineStr">
        <is>
          <t>Update</t>
        </is>
      </c>
      <c r="C99" s="4" t="inlineStr">
        <is>
          <t>Physiological signals</t>
        </is>
      </c>
      <c r="D99" s="4" t="inlineStr">
        <is>
          <t>Medición fisiológica explícita</t>
        </is>
      </c>
    </row>
    <row r="100" ht="47" customHeight="1">
      <c r="A100" s="4" t="inlineStr">
        <is>
          <t>Multimodal (MRI brain images + phenotypic data)</t>
        </is>
      </c>
      <c r="B100" s="4" t="inlineStr">
        <is>
          <t>Update</t>
        </is>
      </c>
      <c r="C100" s="4" t="inlineStr">
        <is>
          <t>Multiple modalities (as coded)</t>
        </is>
      </c>
      <c r="D100" s="4" t="inlineStr">
        <is>
          <t>Modalidades múltiples declaradas; no prueba de integración/fusión</t>
        </is>
      </c>
    </row>
    <row r="101" ht="34" customHeight="1">
      <c r="A101" s="4" t="inlineStr">
        <is>
          <t>Audio / voice (infant vocalizations)</t>
        </is>
      </c>
      <c r="B101" s="4" t="inlineStr">
        <is>
          <t>Update</t>
        </is>
      </c>
      <c r="C101" s="4" t="inlineStr">
        <is>
          <t>Audio / voice</t>
        </is>
      </c>
      <c r="D101" s="4" t="inlineStr">
        <is>
          <t>Audio explícito</t>
        </is>
      </c>
    </row>
    <row r="102" ht="60" customHeight="1">
      <c r="A102" s="4" t="inlineStr">
        <is>
          <t>Multimodal (QEEG + motor/behavioral tasks + AQ-10 psychometrics)</t>
        </is>
      </c>
      <c r="B102" s="4" t="inlineStr">
        <is>
          <t>Update</t>
        </is>
      </c>
      <c r="C102" s="4" t="inlineStr">
        <is>
          <t>Multiple modalities (as coded)</t>
        </is>
      </c>
      <c r="D102" s="4" t="inlineStr">
        <is>
          <t>Modalidades múltiples declaradas; no prueba de integración/fusión</t>
        </is>
      </c>
    </row>
    <row r="103" ht="34" customHeight="1">
      <c r="A103" s="4" t="inlineStr">
        <is>
          <t>Neuroimaging (brain MRI)</t>
        </is>
      </c>
      <c r="B103" s="4" t="inlineStr">
        <is>
          <t>Update</t>
        </is>
      </c>
      <c r="C103" s="4" t="inlineStr">
        <is>
          <t>Neuroimaging</t>
        </is>
      </c>
      <c r="D103" s="4" t="inlineStr">
        <is>
          <t>Fuente de neuroimagen explícita</t>
        </is>
      </c>
    </row>
    <row r="104" ht="47" customHeight="1">
      <c r="A104" s="4" t="inlineStr">
        <is>
          <t>Structured behavioral screening questionnaire</t>
        </is>
      </c>
      <c r="B104" s="4" t="inlineStr">
        <is>
          <t>Update</t>
        </is>
      </c>
      <c r="C104" s="4" t="inlineStr">
        <is>
          <t>Structured / tabular data</t>
        </is>
      </c>
      <c r="D104" s="4" t="inlineStr">
        <is>
          <t>Variables estructuradas/tabulares; no inferir NLP</t>
        </is>
      </c>
    </row>
    <row r="105" ht="60" customHeight="1">
      <c r="A105" s="4" t="inlineStr">
        <is>
          <t>Structured sociodemographic / parental / perinatal risk-factor data</t>
        </is>
      </c>
      <c r="B105" s="4" t="inlineStr">
        <is>
          <t>Update</t>
        </is>
      </c>
      <c r="C105" s="4" t="inlineStr">
        <is>
          <t>Structured / tabular data</t>
        </is>
      </c>
      <c r="D105" s="4" t="inlineStr">
        <is>
          <t>Variables estructuradas/tabulares; no inferir NLP</t>
        </is>
      </c>
    </row>
    <row r="106" ht="60" customHeight="1">
      <c r="A106" s="4" t="inlineStr">
        <is>
          <t>Structured national child-health survey / chronic and genetic conditions</t>
        </is>
      </c>
      <c r="B106" s="4" t="inlineStr">
        <is>
          <t>Update</t>
        </is>
      </c>
      <c r="C106" s="4" t="inlineStr">
        <is>
          <t>Biological/omics</t>
        </is>
      </c>
      <c r="D106" s="4" t="inlineStr">
        <is>
          <t>Fuente biológica explícita</t>
        </is>
      </c>
    </row>
    <row r="107" ht="60" customHeight="1">
      <c r="A107" s="4" t="inlineStr">
        <is>
          <t>Structured national survey (sleep patterns, demographics/comorbidities)</t>
        </is>
      </c>
      <c r="B107" s="4" t="inlineStr">
        <is>
          <t>Update</t>
        </is>
      </c>
      <c r="C107" s="4" t="inlineStr">
        <is>
          <t>Structured / tabular data</t>
        </is>
      </c>
      <c r="D107" s="4" t="inlineStr">
        <is>
          <t>Variables estructuradas/tabulares; no inferir NLP</t>
        </is>
      </c>
    </row>
    <row r="108" ht="47" customHeight="1">
      <c r="A108" s="4" t="inlineStr">
        <is>
          <t>Biological/omics (RNA-seq gene expression)</t>
        </is>
      </c>
      <c r="B108" s="4" t="inlineStr">
        <is>
          <t>Update</t>
        </is>
      </c>
      <c r="C108" s="4" t="inlineStr">
        <is>
          <t>Biological/omics</t>
        </is>
      </c>
      <c r="D108" s="4" t="inlineStr">
        <is>
          <t>Fuente biológica explícita</t>
        </is>
      </c>
    </row>
    <row r="109" ht="60" customHeight="1">
      <c r="A109" s="4" t="inlineStr">
        <is>
          <t>Physiological signals (polysomnography / REM-sleep features)</t>
        </is>
      </c>
      <c r="B109" s="4" t="inlineStr">
        <is>
          <t>Update</t>
        </is>
      </c>
      <c r="C109" s="4" t="inlineStr">
        <is>
          <t>Physiological signals</t>
        </is>
      </c>
      <c r="D109" s="4" t="inlineStr">
        <is>
          <t>Medición fisiológica explícita</t>
        </is>
      </c>
    </row>
    <row r="110" ht="34" customHeight="1">
      <c r="A110" s="4" t="inlineStr">
        <is>
          <t>Neuroimaging (rs-fMRI; ABIDE I/II)</t>
        </is>
      </c>
      <c r="B110" s="4" t="inlineStr">
        <is>
          <t>Update</t>
        </is>
      </c>
      <c r="C110" s="4" t="inlineStr">
        <is>
          <t>Neuroimaging</t>
        </is>
      </c>
      <c r="D110" s="4" t="inlineStr">
        <is>
          <t>Fuente de neuroimagen explícita</t>
        </is>
      </c>
    </row>
    <row r="111" ht="47" customHeight="1">
      <c r="A111" s="4" t="inlineStr">
        <is>
          <t>Pupillary light reflex / eye-tracking physiological data</t>
        </is>
      </c>
      <c r="B111" s="4" t="inlineStr">
        <is>
          <t>Update</t>
        </is>
      </c>
      <c r="C111" s="4" t="inlineStr">
        <is>
          <t>Physiological signals</t>
        </is>
      </c>
      <c r="D111" s="4" t="inlineStr">
        <is>
          <t>Medición fisiológica explícita</t>
        </is>
      </c>
    </row>
    <row r="112" ht="60" customHeight="1">
      <c r="A112" s="4" t="inlineStr">
        <is>
          <t>Physiological signals (task-based EEG during face processing)</t>
        </is>
      </c>
      <c r="B112" s="4" t="inlineStr">
        <is>
          <t>Update</t>
        </is>
      </c>
      <c r="C112" s="4" t="inlineStr">
        <is>
          <t>Physiological signals</t>
        </is>
      </c>
      <c r="D112" s="4" t="inlineStr">
        <is>
          <t>Medición fisiológica explícita</t>
        </is>
      </c>
    </row>
    <row r="113" ht="47" customHeight="1">
      <c r="A113" s="4" t="inlineStr">
        <is>
          <t>Conversational interaction / language-performance data</t>
        </is>
      </c>
      <c r="B113" s="4" t="inlineStr">
        <is>
          <t>Update</t>
        </is>
      </c>
      <c r="C113" s="4" t="inlineStr">
        <is>
          <t>Text / language</t>
        </is>
      </c>
      <c r="D113" s="4" t="inlineStr">
        <is>
          <t>Texto o lenguaje explícito; método NLP se registra aparte</t>
        </is>
      </c>
    </row>
    <row r="114" ht="73" customHeight="1">
      <c r="A114" s="4" t="inlineStr">
        <is>
          <t>Neuroimaging (rs-fMRI functional connectivity) with Short Sensory Profile phenotype labels</t>
        </is>
      </c>
      <c r="B114" s="4" t="inlineStr">
        <is>
          <t>Update</t>
        </is>
      </c>
      <c r="C114" s="4" t="inlineStr">
        <is>
          <t>Neuroimaging</t>
        </is>
      </c>
      <c r="D114" s="4" t="inlineStr">
        <is>
          <t>Fuente de neuroimagen explícita</t>
        </is>
      </c>
    </row>
    <row r="115" ht="34" customHeight="1">
      <c r="A115" s="4" t="inlineStr">
        <is>
          <t>Eye-tracking scanpaths</t>
        </is>
      </c>
      <c r="B115" s="4" t="inlineStr">
        <is>
          <t>Update</t>
        </is>
      </c>
      <c r="C115" s="4" t="inlineStr">
        <is>
          <t>Behavioral gaze / eye tracking</t>
        </is>
      </c>
      <c r="D115" s="4" t="inlineStr">
        <is>
          <t>Trazas de mirada aunque se representen como imágenes</t>
        </is>
      </c>
    </row>
    <row r="116" ht="47" customHeight="1">
      <c r="A116" s="4" t="inlineStr">
        <is>
          <t>Biological/omics (serum DIA proteomics)</t>
        </is>
      </c>
      <c r="B116" s="4" t="inlineStr">
        <is>
          <t>Update</t>
        </is>
      </c>
      <c r="C116" s="4" t="inlineStr">
        <is>
          <t>Biological/omics</t>
        </is>
      </c>
      <c r="D116" s="4" t="inlineStr">
        <is>
          <t>Fuente biológica explícita</t>
        </is>
      </c>
    </row>
    <row r="117" ht="60" customHeight="1">
      <c r="A117" s="4" t="inlineStr">
        <is>
          <t>Multimodal neuroimaging (structural + functional MRI; ABIDE I/II)</t>
        </is>
      </c>
      <c r="B117" s="4" t="inlineStr">
        <is>
          <t>Update</t>
        </is>
      </c>
      <c r="C117" s="4" t="inlineStr">
        <is>
          <t>Multiple modalities (as coded)</t>
        </is>
      </c>
      <c r="D117" s="4" t="inlineStr">
        <is>
          <t>Modalidades múltiples declaradas; no prueba de integración/fusión</t>
        </is>
      </c>
    </row>
    <row r="118" ht="47" customHeight="1">
      <c r="A118" s="4" t="inlineStr">
        <is>
          <t>Physiological signals (resting-state fNIRS)</t>
        </is>
      </c>
      <c r="B118" s="4" t="inlineStr">
        <is>
          <t>Update</t>
        </is>
      </c>
      <c r="C118" s="4" t="inlineStr">
        <is>
          <t>Physiological signals</t>
        </is>
      </c>
      <c r="D118" s="4" t="inlineStr">
        <is>
          <t>Medición fisiológica explícita</t>
        </is>
      </c>
    </row>
    <row r="119" ht="47" customHeight="1">
      <c r="A119" s="4" t="inlineStr">
        <is>
          <t>Multimodal (structural MRI radiomics + clinical VIQ)</t>
        </is>
      </c>
      <c r="B119" s="4" t="inlineStr">
        <is>
          <t>Update</t>
        </is>
      </c>
      <c r="C119" s="4" t="inlineStr">
        <is>
          <t>Multiple modalities (as coded)</t>
        </is>
      </c>
      <c r="D119" s="4" t="inlineStr">
        <is>
          <t>Modalidades múltiples declaradas; no prueba de integración/fusión</t>
        </is>
      </c>
    </row>
    <row r="120" ht="47" customHeight="1">
      <c r="A120" s="4" t="inlineStr">
        <is>
          <t>Physiological signals (auditory brainstem response, ABR)</t>
        </is>
      </c>
      <c r="B120" s="4" t="inlineStr">
        <is>
          <t>Update</t>
        </is>
      </c>
      <c r="C120" s="4" t="inlineStr">
        <is>
          <t>Physiological signals</t>
        </is>
      </c>
      <c r="D120" s="4" t="inlineStr">
        <is>
          <t>Medición fisiológica explícita</t>
        </is>
      </c>
    </row>
    <row r="121" ht="47" customHeight="1">
      <c r="A121" s="4" t="inlineStr">
        <is>
          <t>Multimodal (screening instruments + MRI + EEG benchmarks)</t>
        </is>
      </c>
      <c r="B121" s="4" t="inlineStr">
        <is>
          <t>Update</t>
        </is>
      </c>
      <c r="C121" s="4" t="inlineStr">
        <is>
          <t>Multiple modalities (as coded)</t>
        </is>
      </c>
      <c r="D121" s="4" t="inlineStr">
        <is>
          <t>Modalidades múltiples declaradas; no prueba de integración/fusión</t>
        </is>
      </c>
    </row>
    <row r="122" ht="47" customHeight="1">
      <c r="A122" s="4" t="inlineStr">
        <is>
          <t>Neuroimaging (T1 structural MRI; ABIDE)</t>
        </is>
      </c>
      <c r="B122" s="4" t="inlineStr">
        <is>
          <t>Update</t>
        </is>
      </c>
      <c r="C122" s="4" t="inlineStr">
        <is>
          <t>Neuroimaging</t>
        </is>
      </c>
      <c r="D122" s="4" t="inlineStr">
        <is>
          <t>Fuente de neuroimagen explícita</t>
        </is>
      </c>
    </row>
    <row r="123" ht="47" customHeight="1">
      <c r="A123" s="4" t="inlineStr">
        <is>
          <t>Neuroimaging (rs-fMRI; ABIDE multisite)</t>
        </is>
      </c>
      <c r="B123" s="4" t="inlineStr">
        <is>
          <t>Update</t>
        </is>
      </c>
      <c r="C123" s="4" t="inlineStr">
        <is>
          <t>Neuroimaging</t>
        </is>
      </c>
      <c r="D123" s="4" t="inlineStr">
        <is>
          <t>Fuente de neuroimagen explícita</t>
        </is>
      </c>
    </row>
    <row r="124" ht="60" customHeight="1">
      <c r="A124" s="4" t="inlineStr">
        <is>
          <t>Structured ASD screening data + Text / NLP (separate datasets)</t>
        </is>
      </c>
      <c r="B124" s="4" t="inlineStr">
        <is>
          <t>Update</t>
        </is>
      </c>
      <c r="C124" s="4" t="inlineStr">
        <is>
          <t>Multiple datasets (fusion unverified)</t>
        </is>
      </c>
      <c r="D124" s="4" t="inlineStr">
        <is>
          <t>Varios datasets no demuestran fusión de modalidades</t>
        </is>
      </c>
    </row>
    <row r="125" ht="47" customHeight="1">
      <c r="A125" s="4" t="inlineStr">
        <is>
          <t>Facial images with derived landmark geometry</t>
        </is>
      </c>
      <c r="B125" s="4" t="inlineStr">
        <is>
          <t>Update</t>
        </is>
      </c>
      <c r="C125" s="4" t="inlineStr">
        <is>
          <t>Facial images</t>
        </is>
      </c>
      <c r="D125" s="4" t="inlineStr">
        <is>
          <t>Imágenes faciales explícitas</t>
        </is>
      </c>
    </row>
    <row r="126" ht="73" customHeight="1">
      <c r="A126" s="4" t="inlineStr">
        <is>
          <t>Multimodal biological/omics (cord-blood proteomics + metabolomics; childhood serum follow-up)</t>
        </is>
      </c>
      <c r="B126" s="4" t="inlineStr">
        <is>
          <t>Update</t>
        </is>
      </c>
      <c r="C126" s="4" t="inlineStr">
        <is>
          <t>Multiple modalities (as coded)</t>
        </is>
      </c>
      <c r="D126" s="4" t="inlineStr">
        <is>
          <t>Modalidades múltiples declaradas; no prueba de integración/fusión</t>
        </is>
      </c>
    </row>
    <row r="127" ht="34" customHeight="1">
      <c r="A127" s="4" t="inlineStr">
        <is>
          <t>Neuroimaging (rs-fMRI)</t>
        </is>
      </c>
      <c r="B127" s="4" t="inlineStr">
        <is>
          <t>Update</t>
        </is>
      </c>
      <c r="C127" s="4" t="inlineStr">
        <is>
          <t>Neuroimaging</t>
        </is>
      </c>
      <c r="D127" s="4" t="inlineStr">
        <is>
          <t>Fuente de neuroimagen explícita</t>
        </is>
      </c>
    </row>
    <row r="128" ht="47" customHeight="1">
      <c r="A128" s="4" t="inlineStr">
        <is>
          <t>Neuroimaging (DTI structural connectome)</t>
        </is>
      </c>
      <c r="B128" s="4" t="inlineStr">
        <is>
          <t>Update</t>
        </is>
      </c>
      <c r="C128" s="4" t="inlineStr">
        <is>
          <t>Neuroimaging</t>
        </is>
      </c>
      <c r="D128" s="4" t="inlineStr">
        <is>
          <t>Fuente de neuroimagen explícita</t>
        </is>
      </c>
    </row>
    <row r="129" ht="47" customHeight="1">
      <c r="A129" s="4" t="inlineStr">
        <is>
          <t>Biological/omics (peripheral blood gene expression)</t>
        </is>
      </c>
      <c r="B129" s="4" t="inlineStr">
        <is>
          <t>Update</t>
        </is>
      </c>
      <c r="C129" s="4" t="inlineStr">
        <is>
          <t>Biological/omics</t>
        </is>
      </c>
      <c r="D129" s="4" t="inlineStr">
        <is>
          <t>Fuente biológica explícita</t>
        </is>
      </c>
    </row>
    <row r="130" ht="47" customHeight="1">
      <c r="A130" s="4" t="inlineStr">
        <is>
          <t>Structured behavioral/demographic ASD screening data</t>
        </is>
      </c>
      <c r="B130" s="4" t="inlineStr">
        <is>
          <t>Update</t>
        </is>
      </c>
      <c r="C130" s="4" t="inlineStr">
        <is>
          <t>Structured / tabular data</t>
        </is>
      </c>
      <c r="D130" s="4" t="inlineStr">
        <is>
          <t>Variables estructuradas/tabulares; no inferir NLP</t>
        </is>
      </c>
    </row>
    <row r="131" ht="34" customHeight="1">
      <c r="A131" s="4" t="inlineStr">
        <is>
          <t>Neuroimaging (rs-fMRI; ABIDE-I/II)</t>
        </is>
      </c>
      <c r="B131" s="4" t="inlineStr">
        <is>
          <t>Update</t>
        </is>
      </c>
      <c r="C131" s="4" t="inlineStr">
        <is>
          <t>Neuroimaging</t>
        </is>
      </c>
      <c r="D131" s="4" t="inlineStr">
        <is>
          <t>Fuente de neuroimagen explícita</t>
        </is>
      </c>
    </row>
    <row r="132" ht="73" customHeight="1">
      <c r="A132" s="4" t="inlineStr">
        <is>
          <t>Structured behavioral/questionnaire ASD screening data (child and toddler datasets)</t>
        </is>
      </c>
      <c r="B132" s="4" t="inlineStr">
        <is>
          <t>Update</t>
        </is>
      </c>
      <c r="C132" s="4" t="inlineStr">
        <is>
          <t>Structured / tabular data</t>
        </is>
      </c>
      <c r="D132" s="4" t="inlineStr">
        <is>
          <t>Variables estructuradas/tabulares; no inferir NLP</t>
        </is>
      </c>
    </row>
    <row r="133" ht="47" customHeight="1">
      <c r="A133" s="4" t="inlineStr">
        <is>
          <t>Neuroimaging (fMRI; ABIDE and ADHD-200)</t>
        </is>
      </c>
      <c r="B133" s="4" t="inlineStr">
        <is>
          <t>Update</t>
        </is>
      </c>
      <c r="C133" s="4" t="inlineStr">
        <is>
          <t>Neuroimaging</t>
        </is>
      </c>
      <c r="D133" s="4" t="inlineStr">
        <is>
          <t>Fuente de neuroimagen explícita</t>
        </is>
      </c>
    </row>
    <row r="134" ht="60" customHeight="1">
      <c r="A134" s="4" t="inlineStr">
        <is>
          <t>Biological/omics (bulk transcriptomics + single-cell RNA-seq; GEO)</t>
        </is>
      </c>
      <c r="B134" s="4" t="inlineStr">
        <is>
          <t>Update</t>
        </is>
      </c>
      <c r="C134" s="4" t="inlineStr">
        <is>
          <t>Biological/omics</t>
        </is>
      </c>
      <c r="D134" s="4" t="inlineStr">
        <is>
          <t>Fuente biológica explícita</t>
        </is>
      </c>
    </row>
    <row r="135" ht="60" customHeight="1">
      <c r="A135" s="4" t="inlineStr">
        <is>
          <t>Structured questionnaire + sociodemographic/environmental factors (M-CHAT-R)</t>
        </is>
      </c>
      <c r="B135" s="4" t="inlineStr">
        <is>
          <t>Update</t>
        </is>
      </c>
      <c r="C135" s="4" t="inlineStr">
        <is>
          <t>Structured / tabular data</t>
        </is>
      </c>
      <c r="D135" s="4" t="inlineStr">
        <is>
          <t>Variables estructuradas/tabulares; no inferir NLP</t>
        </is>
      </c>
    </row>
    <row r="136" ht="60" customHeight="1">
      <c r="A136" s="4" t="inlineStr">
        <is>
          <t>Biological/genetic (SNP genotyping + phenotypic variables)</t>
        </is>
      </c>
      <c r="B136" s="4" t="inlineStr">
        <is>
          <t>Update</t>
        </is>
      </c>
      <c r="C136" s="4" t="inlineStr">
        <is>
          <t>Biological/omics</t>
        </is>
      </c>
      <c r="D136" s="4" t="inlineStr">
        <is>
          <t>Fuente biológica explícita</t>
        </is>
      </c>
    </row>
    <row r="137" ht="47" customHeight="1">
      <c r="A137" s="4" t="inlineStr">
        <is>
          <t>Structured behavioral/cognitive/demographic ASD data</t>
        </is>
      </c>
      <c r="B137" s="4" t="inlineStr">
        <is>
          <t>Update</t>
        </is>
      </c>
      <c r="C137" s="4" t="inlineStr">
        <is>
          <t>Structured / tabular data</t>
        </is>
      </c>
      <c r="D137" s="4" t="inlineStr">
        <is>
          <t>Variables estructuradas/tabulares; no inferir NLP</t>
        </is>
      </c>
    </row>
    <row r="138" ht="34" customHeight="1">
      <c r="A138" s="4" t="inlineStr">
        <is>
          <t>Neuroimaging (fMRI; ABIDE)</t>
        </is>
      </c>
      <c r="B138" s="4" t="inlineStr">
        <is>
          <t>Update</t>
        </is>
      </c>
      <c r="C138" s="4" t="inlineStr">
        <is>
          <t>Neuroimaging</t>
        </is>
      </c>
      <c r="D138" s="4" t="inlineStr">
        <is>
          <t>Fuente de neuroimagen explícita</t>
        </is>
      </c>
    </row>
    <row r="139" ht="60" customHeight="1">
      <c r="A139" s="4" t="inlineStr">
        <is>
          <t>Multisource tabular (clinical + genetic + environmental risk factors)</t>
        </is>
      </c>
      <c r="B139" s="4" t="inlineStr">
        <is>
          <t>Update</t>
        </is>
      </c>
      <c r="C139" s="4" t="inlineStr">
        <is>
          <t>Structured / tabular data</t>
        </is>
      </c>
      <c r="D139" s="4" t="inlineStr">
        <is>
          <t>Múltiples fuentes tabulares no son NLP</t>
        </is>
      </c>
    </row>
    <row r="140" ht="47" customHeight="1">
      <c r="A140" s="4" t="inlineStr">
        <is>
          <t>Neuroimaging (resting-state fMRI; ABIDE-I/II)</t>
        </is>
      </c>
      <c r="B140" s="4" t="inlineStr">
        <is>
          <t>Update</t>
        </is>
      </c>
      <c r="C140" s="4" t="inlineStr">
        <is>
          <t>Neuroimaging</t>
        </is>
      </c>
      <c r="D140" s="4" t="inlineStr">
        <is>
          <t>Fuente de neuroimagen explícita</t>
        </is>
      </c>
    </row>
    <row r="141" ht="73" customHeight="1">
      <c r="A141" s="4" t="inlineStr">
        <is>
          <t>Multimodal (facial expressions + eye gaze + speech prosody + behavioral cues)</t>
        </is>
      </c>
      <c r="B141" s="4" t="inlineStr">
        <is>
          <t>Update</t>
        </is>
      </c>
      <c r="C141" s="4" t="inlineStr">
        <is>
          <t>Multiple modalities (as coded)</t>
        </is>
      </c>
      <c r="D141" s="4" t="inlineStr">
        <is>
          <t>Modalidades múltiples declaradas; no prueba de integración/fusión</t>
        </is>
      </c>
    </row>
    <row r="142" ht="60" customHeight="1">
      <c r="A142" s="4" t="inlineStr">
        <is>
          <t>Biological/omics (postmortem cortical transcriptomics; GEO)</t>
        </is>
      </c>
      <c r="B142" s="4" t="inlineStr">
        <is>
          <t>Update</t>
        </is>
      </c>
      <c r="C142" s="4" t="inlineStr">
        <is>
          <t>Biological/omics</t>
        </is>
      </c>
      <c r="D142" s="4" t="inlineStr">
        <is>
          <t>Fuente biológica explícita</t>
        </is>
      </c>
    </row>
    <row r="143" ht="60" customHeight="1">
      <c r="A143" s="4" t="inlineStr">
        <is>
          <t>Biological/omics (whole-blood genome-wide DNA methylation)</t>
        </is>
      </c>
      <c r="B143" s="4" t="inlineStr">
        <is>
          <t>Update</t>
        </is>
      </c>
      <c r="C143" s="4" t="inlineStr">
        <is>
          <t>Biological/omics</t>
        </is>
      </c>
      <c r="D143" s="4" t="inlineStr">
        <is>
          <t>Fuente biológica explícita</t>
        </is>
      </c>
    </row>
    <row r="144" ht="73" customHeight="1">
      <c r="A144" s="4" t="inlineStr">
        <is>
          <t>Multi-dataset ASD data (ABIDE-derived neuroimaging features + SPARK behavioral assessment)</t>
        </is>
      </c>
      <c r="B144" s="4" t="inlineStr">
        <is>
          <t>Update</t>
        </is>
      </c>
      <c r="C144" s="4" t="inlineStr">
        <is>
          <t>Multiple datasets (fusion unverified)</t>
        </is>
      </c>
      <c r="D144" s="4" t="inlineStr">
        <is>
          <t>Varios datasets no demuestran fusión de modalidades</t>
        </is>
      </c>
    </row>
    <row r="145" ht="99" customHeight="1">
      <c r="A145" s="4" t="inlineStr">
        <is>
          <t>Mixed ASD benchmark data (blood-biomarker source + structured screening datasets; exact primary dataset requires verification)</t>
        </is>
      </c>
      <c r="B145" s="4" t="inlineStr">
        <is>
          <t>Update</t>
        </is>
      </c>
      <c r="C145" s="4" t="inlineStr">
        <is>
          <t>Multiple datasets (fusion unverified)</t>
        </is>
      </c>
      <c r="D145" s="4" t="inlineStr">
        <is>
          <t>Varios datasets no demuestran fusión de modalidades</t>
        </is>
      </c>
    </row>
    <row r="146" ht="60" customHeight="1">
      <c r="A146" s="4" t="inlineStr">
        <is>
          <t>Structured behavioral/questionnaire ASD screening data (Kaggle/UCI)</t>
        </is>
      </c>
      <c r="B146" s="4" t="inlineStr">
        <is>
          <t>Update</t>
        </is>
      </c>
      <c r="C146" s="4" t="inlineStr">
        <is>
          <t>Structured / tabular data</t>
        </is>
      </c>
      <c r="D146" s="4" t="inlineStr">
        <is>
          <t>Variables estructuradas/tabulares; no inferir NLP</t>
        </is>
      </c>
    </row>
    <row r="147" ht="60" customHeight="1">
      <c r="A147" s="4" t="inlineStr">
        <is>
          <t>Behavioral video / skeletal hand-gesture landmarks (robot-assisted HRI)</t>
        </is>
      </c>
      <c r="B147" s="4" t="inlineStr">
        <is>
          <t>Update</t>
        </is>
      </c>
      <c r="C147" s="4" t="inlineStr">
        <is>
          <t>Behavioral video / movement</t>
        </is>
      </c>
      <c r="D147" s="4" t="inlineStr">
        <is>
          <t>Vídeo o movimiento conductual explícito</t>
        </is>
      </c>
    </row>
    <row r="148" ht="60" customHeight="1">
      <c r="A148" s="4" t="inlineStr">
        <is>
          <t>Multimodal wearable data (smartwatch audio/voice + heart-rate physiology)</t>
        </is>
      </c>
      <c r="B148" s="4" t="inlineStr">
        <is>
          <t>Update</t>
        </is>
      </c>
      <c r="C148" s="4" t="inlineStr">
        <is>
          <t>Multiple modalities (as coded)</t>
        </is>
      </c>
      <c r="D148" s="4" t="inlineStr">
        <is>
          <t>Modalidades múltiples declaradas; no prueba de integración/fusión</t>
        </is>
      </c>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E277"/>
  <sheetViews>
    <sheetView showGridLines="0" workbookViewId="0">
      <selection activeCell="A1" sqref="A1"/>
    </sheetView>
  </sheetViews>
  <sheetFormatPr baseColWidth="8" defaultRowHeight="15"/>
  <cols>
    <col width="14" customWidth="1" min="1" max="1"/>
    <col width="20" customWidth="1" min="2" max="2"/>
    <col width="20" customWidth="1" min="3" max="3"/>
    <col width="65" customWidth="1" min="4" max="4"/>
    <col width="65" customWidth="1" min="5" max="5"/>
  </cols>
  <sheetData>
    <row r="1" ht="52" customHeight="1">
      <c r="A1" s="6" t="inlineStr">
        <is>
          <t>study_id</t>
        </is>
      </c>
      <c r="B1" s="6" t="inlineStr">
        <is>
          <t>change</t>
        </is>
      </c>
      <c r="C1" s="6" t="inlineStr">
        <is>
          <t>source</t>
        </is>
      </c>
      <c r="D1" s="6" t="inlineStr">
        <is>
          <t>detail</t>
        </is>
      </c>
      <c r="E1" s="6" t="inlineStr">
        <is>
          <t>reason</t>
        </is>
      </c>
    </row>
    <row r="2" ht="86" customHeight="1">
      <c r="A2" s="4" t="inlineStr">
        <is>
          <t>1</t>
        </is>
      </c>
      <c r="B2" s="4" t="inlineStr">
        <is>
          <t>Restore original RQ3 fields; preserve unknowns</t>
        </is>
      </c>
      <c r="C2" s="4" t="inlineStr">
        <is>
          <t>RQ3_base_276</t>
        </is>
      </c>
      <c r="D2"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1; q3_xai_partial_signal -&gt; xai_partial: 0; q3_multisource_data_signal -&gt; multisource_data: 0</t>
        </is>
      </c>
      <c r="E2" s="4" t="inlineStr">
        <is>
          <t>Previously created unsuffixed columns zeroed existing historical indicators</t>
        </is>
      </c>
    </row>
    <row r="3" ht="86" customHeight="1">
      <c r="A3" s="4" t="inlineStr">
        <is>
          <t>2</t>
        </is>
      </c>
      <c r="B3" s="4" t="inlineStr">
        <is>
          <t>Restore original RQ3 fields; preserve unknowns</t>
        </is>
      </c>
      <c r="C3" s="4" t="inlineStr">
        <is>
          <t>RQ3_base_276</t>
        </is>
      </c>
      <c r="D3"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1; q3_multisource_data_signal -&gt; multisource_data: 0</t>
        </is>
      </c>
      <c r="E3" s="4" t="inlineStr">
        <is>
          <t>Previously created unsuffixed columns zeroed existing historical indicators</t>
        </is>
      </c>
    </row>
    <row r="4" ht="86" customHeight="1">
      <c r="A4" s="4" t="inlineStr">
        <is>
          <t>3</t>
        </is>
      </c>
      <c r="B4" s="4" t="inlineStr">
        <is>
          <t>Restore original RQ3 fields; preserve unknowns</t>
        </is>
      </c>
      <c r="C4" s="4" t="inlineStr">
        <is>
          <t>RQ3_base_276</t>
        </is>
      </c>
      <c r="D4" s="4" t="inlineStr">
        <is>
          <t>q3_external_validation_signal -&gt; external_validation: 1;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4" s="4" t="inlineStr">
        <is>
          <t>Previously created unsuffixed columns zeroed existing historical indicators</t>
        </is>
      </c>
    </row>
    <row r="5" ht="86" customHeight="1">
      <c r="A5" s="4" t="inlineStr">
        <is>
          <t>4</t>
        </is>
      </c>
      <c r="B5" s="4" t="inlineStr">
        <is>
          <t>Restore original RQ3 fields; preserve unknowns</t>
        </is>
      </c>
      <c r="C5" s="4" t="inlineStr">
        <is>
          <t>RQ3_base_276</t>
        </is>
      </c>
      <c r="D5"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5" s="4" t="inlineStr">
        <is>
          <t>Previously created unsuffixed columns zeroed existing historical indicators</t>
        </is>
      </c>
    </row>
    <row r="6" ht="86" customHeight="1">
      <c r="A6" s="4" t="inlineStr">
        <is>
          <t>5</t>
        </is>
      </c>
      <c r="B6" s="4" t="inlineStr">
        <is>
          <t>Restore original RQ3 fields; preserve unknowns</t>
        </is>
      </c>
      <c r="C6" s="4" t="inlineStr">
        <is>
          <t>RQ3_base_276</t>
        </is>
      </c>
      <c r="D6" s="4" t="inlineStr">
        <is>
          <t>q3_external_validation_signal -&gt; external_validation: 1;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6" s="4" t="inlineStr">
        <is>
          <t>Previously created unsuffixed columns zeroed existing historical indicators</t>
        </is>
      </c>
    </row>
    <row r="7" ht="86" customHeight="1">
      <c r="A7" s="4" t="inlineStr">
        <is>
          <t>6</t>
        </is>
      </c>
      <c r="B7" s="4" t="inlineStr">
        <is>
          <t>Restore original RQ3 fields; preserve unknowns</t>
        </is>
      </c>
      <c r="C7" s="4" t="inlineStr">
        <is>
          <t>RQ3_base_276</t>
        </is>
      </c>
      <c r="D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1; q3_multisource_data_signal -&gt; multisource_data: 0</t>
        </is>
      </c>
      <c r="E7" s="4" t="inlineStr">
        <is>
          <t>Previously created unsuffixed columns zeroed existing historical indicators</t>
        </is>
      </c>
    </row>
    <row r="8" ht="86" customHeight="1">
      <c r="A8" s="4" t="inlineStr">
        <is>
          <t>7</t>
        </is>
      </c>
      <c r="B8" s="4" t="inlineStr">
        <is>
          <t>Restore original RQ3 fields; preserve unknowns</t>
        </is>
      </c>
      <c r="C8" s="4" t="inlineStr">
        <is>
          <t>RQ3_base_276</t>
        </is>
      </c>
      <c r="D8"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1; q3_xai_partial_signal -&gt; xai_partial: 0; q3_multisource_data_signal -&gt; multisource_data: 0</t>
        </is>
      </c>
      <c r="E8" s="4" t="inlineStr">
        <is>
          <t>Previously created unsuffixed columns zeroed existing historical indicators</t>
        </is>
      </c>
    </row>
    <row r="9" ht="86" customHeight="1">
      <c r="A9" s="4" t="inlineStr">
        <is>
          <t>8</t>
        </is>
      </c>
      <c r="B9" s="4" t="inlineStr">
        <is>
          <t>Restore original RQ3 fields; preserve unknowns</t>
        </is>
      </c>
      <c r="C9" s="4" t="inlineStr">
        <is>
          <t>RQ3_base_276</t>
        </is>
      </c>
      <c r="D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9" s="4" t="inlineStr">
        <is>
          <t>Previously created unsuffixed columns zeroed existing historical indicators</t>
        </is>
      </c>
    </row>
    <row r="10" ht="86" customHeight="1">
      <c r="A10" s="4" t="inlineStr">
        <is>
          <t>9</t>
        </is>
      </c>
      <c r="B10" s="4" t="inlineStr">
        <is>
          <t>Restore original RQ3 fields; preserve unknowns</t>
        </is>
      </c>
      <c r="C10" s="4" t="inlineStr">
        <is>
          <t>RQ3_base_276</t>
        </is>
      </c>
      <c r="D1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0" s="4" t="inlineStr">
        <is>
          <t>Previously created unsuffixed columns zeroed existing historical indicators</t>
        </is>
      </c>
    </row>
    <row r="11" ht="86" customHeight="1">
      <c r="A11" s="4" t="inlineStr">
        <is>
          <t>10</t>
        </is>
      </c>
      <c r="B11" s="4" t="inlineStr">
        <is>
          <t>Restore original RQ3 fields; preserve unknowns</t>
        </is>
      </c>
      <c r="C11" s="4" t="inlineStr">
        <is>
          <t>RQ3_base_276</t>
        </is>
      </c>
      <c r="D11"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1" s="4" t="inlineStr">
        <is>
          <t>Previously created unsuffixed columns zeroed existing historical indicators</t>
        </is>
      </c>
    </row>
    <row r="12" ht="86" customHeight="1">
      <c r="A12" s="4" t="inlineStr">
        <is>
          <t>11</t>
        </is>
      </c>
      <c r="B12" s="4" t="inlineStr">
        <is>
          <t>Restore original RQ3 fields; preserve unknowns</t>
        </is>
      </c>
      <c r="C12" s="4" t="inlineStr">
        <is>
          <t>RQ3_base_276</t>
        </is>
      </c>
      <c r="D12"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2" s="4" t="inlineStr">
        <is>
          <t>Previously created unsuffixed columns zeroed existing historical indicators</t>
        </is>
      </c>
    </row>
    <row r="13" ht="86" customHeight="1">
      <c r="A13" s="4" t="inlineStr">
        <is>
          <t>12</t>
        </is>
      </c>
      <c r="B13" s="4" t="inlineStr">
        <is>
          <t>Restore original RQ3 fields; preserve unknowns</t>
        </is>
      </c>
      <c r="C13" s="4" t="inlineStr">
        <is>
          <t>RQ3_base_276</t>
        </is>
      </c>
      <c r="D13"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3" s="4" t="inlineStr">
        <is>
          <t>Previously created unsuffixed columns zeroed existing historical indicators</t>
        </is>
      </c>
    </row>
    <row r="14" ht="86" customHeight="1">
      <c r="A14" s="4" t="inlineStr">
        <is>
          <t>13</t>
        </is>
      </c>
      <c r="B14" s="4" t="inlineStr">
        <is>
          <t>Restore original RQ3 fields; preserve unknowns</t>
        </is>
      </c>
      <c r="C14" s="4" t="inlineStr">
        <is>
          <t>RQ3_base_276</t>
        </is>
      </c>
      <c r="D14"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1; q3_multisource_data_signal -&gt; multisource_data: 0</t>
        </is>
      </c>
      <c r="E14" s="4" t="inlineStr">
        <is>
          <t>Previously created unsuffixed columns zeroed existing historical indicators</t>
        </is>
      </c>
    </row>
    <row r="15" ht="86" customHeight="1">
      <c r="A15" s="4" t="inlineStr">
        <is>
          <t>14</t>
        </is>
      </c>
      <c r="B15" s="4" t="inlineStr">
        <is>
          <t>Restore original RQ3 fields; preserve unknowns</t>
        </is>
      </c>
      <c r="C15" s="4" t="inlineStr">
        <is>
          <t>RQ3_base_276</t>
        </is>
      </c>
      <c r="D15" s="4" t="inlineStr">
        <is>
          <t>q3_external_validation_signal -&gt; external_validation: 0; q3_multisite_dataset_signal -&gt; multisite_dataset: 0; q3_cross_site_robustness_signal -&gt; cross_site_robustness: 0; q3_prospective_evaluation_signal -&gt; prospective_evaluation: 1; q3_xai_strict_signal -&gt; xai_strict: 0; q3_xai_partial_signal -&gt; xai_partial: 0; q3_multisource_data_signal -&gt; multisource_data: 0</t>
        </is>
      </c>
      <c r="E15" s="4" t="inlineStr">
        <is>
          <t>Previously created unsuffixed columns zeroed existing historical indicators</t>
        </is>
      </c>
    </row>
    <row r="16" ht="86" customHeight="1">
      <c r="A16" s="4" t="inlineStr">
        <is>
          <t>15</t>
        </is>
      </c>
      <c r="B16" s="4" t="inlineStr">
        <is>
          <t>Restore original RQ3 fields; preserve unknowns</t>
        </is>
      </c>
      <c r="C16" s="4" t="inlineStr">
        <is>
          <t>RQ3_base_276</t>
        </is>
      </c>
      <c r="D16"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6" s="4" t="inlineStr">
        <is>
          <t>Previously created unsuffixed columns zeroed existing historical indicators</t>
        </is>
      </c>
    </row>
    <row r="17" ht="86" customHeight="1">
      <c r="A17" s="4" t="inlineStr">
        <is>
          <t>16</t>
        </is>
      </c>
      <c r="B17" s="4" t="inlineStr">
        <is>
          <t>Restore original RQ3 fields; preserve unknowns</t>
        </is>
      </c>
      <c r="C17" s="4" t="inlineStr">
        <is>
          <t>RQ3_base_276</t>
        </is>
      </c>
      <c r="D1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7" s="4" t="inlineStr">
        <is>
          <t>Previously created unsuffixed columns zeroed existing historical indicators</t>
        </is>
      </c>
    </row>
    <row r="18" ht="86" customHeight="1">
      <c r="A18" s="4" t="inlineStr">
        <is>
          <t>17</t>
        </is>
      </c>
      <c r="B18" s="4" t="inlineStr">
        <is>
          <t>Restore original RQ3 fields; preserve unknowns</t>
        </is>
      </c>
      <c r="C18" s="4" t="inlineStr">
        <is>
          <t>RQ3_base_276</t>
        </is>
      </c>
      <c r="D18"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8" s="4" t="inlineStr">
        <is>
          <t>Previously created unsuffixed columns zeroed existing historical indicators</t>
        </is>
      </c>
    </row>
    <row r="19" ht="86" customHeight="1">
      <c r="A19" s="4" t="inlineStr">
        <is>
          <t>18</t>
        </is>
      </c>
      <c r="B19" s="4" t="inlineStr">
        <is>
          <t>Restore original RQ3 fields; preserve unknowns</t>
        </is>
      </c>
      <c r="C19" s="4" t="inlineStr">
        <is>
          <t>RQ3_base_276</t>
        </is>
      </c>
      <c r="D19"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1</t>
        </is>
      </c>
      <c r="E19" s="4" t="inlineStr">
        <is>
          <t>Previously created unsuffixed columns zeroed existing historical indicators</t>
        </is>
      </c>
    </row>
    <row r="20" ht="86" customHeight="1">
      <c r="A20" s="4" t="inlineStr">
        <is>
          <t>19</t>
        </is>
      </c>
      <c r="B20" s="4" t="inlineStr">
        <is>
          <t>Restore original RQ3 fields; preserve unknowns</t>
        </is>
      </c>
      <c r="C20" s="4" t="inlineStr">
        <is>
          <t>RQ3_base_276</t>
        </is>
      </c>
      <c r="D2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0" s="4" t="inlineStr">
        <is>
          <t>Previously created unsuffixed columns zeroed existing historical indicators</t>
        </is>
      </c>
    </row>
    <row r="21" ht="86" customHeight="1">
      <c r="A21" s="4" t="inlineStr">
        <is>
          <t>20</t>
        </is>
      </c>
      <c r="B21" s="4" t="inlineStr">
        <is>
          <t>Restore original RQ3 fields; preserve unknowns</t>
        </is>
      </c>
      <c r="C21" s="4" t="inlineStr">
        <is>
          <t>RQ3_base_276</t>
        </is>
      </c>
      <c r="D21" s="4" t="inlineStr">
        <is>
          <t>q3_external_validation_signal -&gt; external_validation: 1;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1" s="4" t="inlineStr">
        <is>
          <t>Previously created unsuffixed columns zeroed existing historical indicators</t>
        </is>
      </c>
    </row>
    <row r="22" ht="86" customHeight="1">
      <c r="A22" s="4" t="inlineStr">
        <is>
          <t>21</t>
        </is>
      </c>
      <c r="B22" s="4" t="inlineStr">
        <is>
          <t>Restore original RQ3 fields; preserve unknowns</t>
        </is>
      </c>
      <c r="C22" s="4" t="inlineStr">
        <is>
          <t>RQ3_base_276</t>
        </is>
      </c>
      <c r="D22"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22" s="4" t="inlineStr">
        <is>
          <t>Previously created unsuffixed columns zeroed existing historical indicators</t>
        </is>
      </c>
    </row>
    <row r="23" ht="86" customHeight="1">
      <c r="A23" s="4" t="inlineStr">
        <is>
          <t>22</t>
        </is>
      </c>
      <c r="B23" s="4" t="inlineStr">
        <is>
          <t>Restore original RQ3 fields; preserve unknowns</t>
        </is>
      </c>
      <c r="C23" s="4" t="inlineStr">
        <is>
          <t>RQ3_base_276</t>
        </is>
      </c>
      <c r="D23"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3" s="4" t="inlineStr">
        <is>
          <t>Previously created unsuffixed columns zeroed existing historical indicators</t>
        </is>
      </c>
    </row>
    <row r="24" ht="86" customHeight="1">
      <c r="A24" s="4" t="inlineStr">
        <is>
          <t>23</t>
        </is>
      </c>
      <c r="B24" s="4" t="inlineStr">
        <is>
          <t>Restore original RQ3 fields; preserve unknowns</t>
        </is>
      </c>
      <c r="C24" s="4" t="inlineStr">
        <is>
          <t>RQ3_base_276</t>
        </is>
      </c>
      <c r="D24"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4" s="4" t="inlineStr">
        <is>
          <t>Previously created unsuffixed columns zeroed existing historical indicators</t>
        </is>
      </c>
    </row>
    <row r="25" ht="86" customHeight="1">
      <c r="A25" s="4" t="inlineStr">
        <is>
          <t>24</t>
        </is>
      </c>
      <c r="B25" s="4" t="inlineStr">
        <is>
          <t>Restore original RQ3 fields; preserve unknowns</t>
        </is>
      </c>
      <c r="C25" s="4" t="inlineStr">
        <is>
          <t>RQ3_base_276</t>
        </is>
      </c>
      <c r="D25"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5" s="4" t="inlineStr">
        <is>
          <t>Previously created unsuffixed columns zeroed existing historical indicators</t>
        </is>
      </c>
    </row>
    <row r="26" ht="86" customHeight="1">
      <c r="A26" s="4" t="inlineStr">
        <is>
          <t>26</t>
        </is>
      </c>
      <c r="B26" s="4" t="inlineStr">
        <is>
          <t>Restore original RQ3 fields; preserve unknowns</t>
        </is>
      </c>
      <c r="C26" s="4" t="inlineStr">
        <is>
          <t>RQ3_base_276</t>
        </is>
      </c>
      <c r="D26"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26" s="4" t="inlineStr">
        <is>
          <t>Previously created unsuffixed columns zeroed existing historical indicators</t>
        </is>
      </c>
    </row>
    <row r="27" ht="86" customHeight="1">
      <c r="A27" s="4" t="inlineStr">
        <is>
          <t>27</t>
        </is>
      </c>
      <c r="B27" s="4" t="inlineStr">
        <is>
          <t>Restore original RQ3 fields; preserve unknowns</t>
        </is>
      </c>
      <c r="C27" s="4" t="inlineStr">
        <is>
          <t>RQ3_base_276</t>
        </is>
      </c>
      <c r="D2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7" s="4" t="inlineStr">
        <is>
          <t>Previously created unsuffixed columns zeroed existing historical indicators</t>
        </is>
      </c>
    </row>
    <row r="28" ht="86" customHeight="1">
      <c r="A28" s="4" t="inlineStr">
        <is>
          <t>28</t>
        </is>
      </c>
      <c r="B28" s="4" t="inlineStr">
        <is>
          <t>Restore original RQ3 fields; preserve unknowns</t>
        </is>
      </c>
      <c r="C28" s="4" t="inlineStr">
        <is>
          <t>RQ3_base_276</t>
        </is>
      </c>
      <c r="D28"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8" s="4" t="inlineStr">
        <is>
          <t>Previously created unsuffixed columns zeroed existing historical indicators</t>
        </is>
      </c>
    </row>
    <row r="29" ht="86" customHeight="1">
      <c r="A29" s="4" t="inlineStr">
        <is>
          <t>29</t>
        </is>
      </c>
      <c r="B29" s="4" t="inlineStr">
        <is>
          <t>Restore original RQ3 fields; preserve unknowns</t>
        </is>
      </c>
      <c r="C29" s="4" t="inlineStr">
        <is>
          <t>RQ3_base_276</t>
        </is>
      </c>
      <c r="D2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9" s="4" t="inlineStr">
        <is>
          <t>Previously created unsuffixed columns zeroed existing historical indicators</t>
        </is>
      </c>
    </row>
    <row r="30" ht="86" customHeight="1">
      <c r="A30" s="4" t="inlineStr">
        <is>
          <t>30</t>
        </is>
      </c>
      <c r="B30" s="4" t="inlineStr">
        <is>
          <t>Restore original RQ3 fields; preserve unknowns</t>
        </is>
      </c>
      <c r="C30" s="4" t="inlineStr">
        <is>
          <t>RQ3_base_276</t>
        </is>
      </c>
      <c r="D3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30" s="4" t="inlineStr">
        <is>
          <t>Previously created unsuffixed columns zeroed existing historical indicators</t>
        </is>
      </c>
    </row>
    <row r="31" ht="86" customHeight="1">
      <c r="A31" s="4" t="inlineStr">
        <is>
          <t>31</t>
        </is>
      </c>
      <c r="B31" s="4" t="inlineStr">
        <is>
          <t>Restore original RQ3 fields; preserve unknowns</t>
        </is>
      </c>
      <c r="C31" s="4" t="inlineStr">
        <is>
          <t>RQ3_base_276</t>
        </is>
      </c>
      <c r="D31"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31" s="4" t="inlineStr">
        <is>
          <t>Previously created unsuffixed columns zeroed existing historical indicators</t>
        </is>
      </c>
    </row>
    <row r="32" ht="86" customHeight="1">
      <c r="A32" s="4" t="inlineStr">
        <is>
          <t>32</t>
        </is>
      </c>
      <c r="B32" s="4" t="inlineStr">
        <is>
          <t>Restore original RQ3 fields; preserve unknowns</t>
        </is>
      </c>
      <c r="C32" s="4" t="inlineStr">
        <is>
          <t>RQ3_base_276</t>
        </is>
      </c>
      <c r="D32"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1; q3_multisource_data_signal -&gt; multisource_data: 0</t>
        </is>
      </c>
      <c r="E32" s="4" t="inlineStr">
        <is>
          <t>Previously created unsuffixed columns zeroed existing historical indicators</t>
        </is>
      </c>
    </row>
    <row r="33" ht="86" customHeight="1">
      <c r="A33" s="4" t="inlineStr">
        <is>
          <t>33</t>
        </is>
      </c>
      <c r="B33" s="4" t="inlineStr">
        <is>
          <t>Restore original RQ3 fields; preserve unknowns</t>
        </is>
      </c>
      <c r="C33" s="4" t="inlineStr">
        <is>
          <t>RQ3_base_276</t>
        </is>
      </c>
      <c r="D33"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33" s="4" t="inlineStr">
        <is>
          <t>Previously created unsuffixed columns zeroed existing historical indicators</t>
        </is>
      </c>
    </row>
    <row r="34" ht="86" customHeight="1">
      <c r="A34" s="4" t="inlineStr">
        <is>
          <t>34</t>
        </is>
      </c>
      <c r="B34" s="4" t="inlineStr">
        <is>
          <t>Restore original RQ3 fields; preserve unknowns</t>
        </is>
      </c>
      <c r="C34" s="4" t="inlineStr">
        <is>
          <t>RQ3_base_276</t>
        </is>
      </c>
      <c r="D34" s="4" t="inlineStr">
        <is>
          <t>q3_external_validation_signal -&gt; external_validation: 1;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34" s="4" t="inlineStr">
        <is>
          <t>Previously created unsuffixed columns zeroed existing historical indicators</t>
        </is>
      </c>
    </row>
    <row r="35" ht="86" customHeight="1">
      <c r="A35" s="4" t="inlineStr">
        <is>
          <t>35</t>
        </is>
      </c>
      <c r="B35" s="4" t="inlineStr">
        <is>
          <t>Restore original RQ3 fields; preserve unknowns</t>
        </is>
      </c>
      <c r="C35" s="4" t="inlineStr">
        <is>
          <t>RQ3_base_276</t>
        </is>
      </c>
      <c r="D35"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0</t>
        </is>
      </c>
      <c r="E35" s="4" t="inlineStr">
        <is>
          <t>Previously created unsuffixed columns zeroed existing historical indicators</t>
        </is>
      </c>
    </row>
    <row r="36" ht="86" customHeight="1">
      <c r="A36" s="4" t="inlineStr">
        <is>
          <t>36</t>
        </is>
      </c>
      <c r="B36" s="4" t="inlineStr">
        <is>
          <t>Restore original RQ3 fields; preserve unknowns</t>
        </is>
      </c>
      <c r="C36" s="4" t="inlineStr">
        <is>
          <t>RQ3_base_276</t>
        </is>
      </c>
      <c r="D36"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36" s="4" t="inlineStr">
        <is>
          <t>Previously created unsuffixed columns zeroed existing historical indicators</t>
        </is>
      </c>
    </row>
    <row r="37" ht="86" customHeight="1">
      <c r="A37" s="4" t="inlineStr">
        <is>
          <t>37</t>
        </is>
      </c>
      <c r="B37" s="4" t="inlineStr">
        <is>
          <t>Restore original RQ3 fields; preserve unknowns</t>
        </is>
      </c>
      <c r="C37" s="4" t="inlineStr">
        <is>
          <t>RQ3_base_276</t>
        </is>
      </c>
      <c r="D3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37" s="4" t="inlineStr">
        <is>
          <t>Previously created unsuffixed columns zeroed existing historical indicators</t>
        </is>
      </c>
    </row>
    <row r="38" ht="86" customHeight="1">
      <c r="A38" s="4" t="inlineStr">
        <is>
          <t>38</t>
        </is>
      </c>
      <c r="B38" s="4" t="inlineStr">
        <is>
          <t>Restore original RQ3 fields; preserve unknowns</t>
        </is>
      </c>
      <c r="C38" s="4" t="inlineStr">
        <is>
          <t>RQ3_base_276</t>
        </is>
      </c>
      <c r="D38"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1; q3_xai_partial_signal -&gt; xai_partial: 0; q3_multisource_data_signal -&gt; multisource_data: 0</t>
        </is>
      </c>
      <c r="E38" s="4" t="inlineStr">
        <is>
          <t>Previously created unsuffixed columns zeroed existing historical indicators</t>
        </is>
      </c>
    </row>
    <row r="39" ht="86" customHeight="1">
      <c r="A39" s="4" t="inlineStr">
        <is>
          <t>39</t>
        </is>
      </c>
      <c r="B39" s="4" t="inlineStr">
        <is>
          <t>Restore original RQ3 fields; preserve unknowns</t>
        </is>
      </c>
      <c r="C39" s="4" t="inlineStr">
        <is>
          <t>RQ3_base_276</t>
        </is>
      </c>
      <c r="D3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39" s="4" t="inlineStr">
        <is>
          <t>Previously created unsuffixed columns zeroed existing historical indicators</t>
        </is>
      </c>
    </row>
    <row r="40" ht="86" customHeight="1">
      <c r="A40" s="4" t="inlineStr">
        <is>
          <t>40</t>
        </is>
      </c>
      <c r="B40" s="4" t="inlineStr">
        <is>
          <t>Restore original RQ3 fields; preserve unknowns</t>
        </is>
      </c>
      <c r="C40" s="4" t="inlineStr">
        <is>
          <t>RQ3_base_276</t>
        </is>
      </c>
      <c r="D4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40" s="4" t="inlineStr">
        <is>
          <t>Previously created unsuffixed columns zeroed existing historical indicators</t>
        </is>
      </c>
    </row>
    <row r="41" ht="86" customHeight="1">
      <c r="A41" s="4" t="inlineStr">
        <is>
          <t>41</t>
        </is>
      </c>
      <c r="B41" s="4" t="inlineStr">
        <is>
          <t>Restore original RQ3 fields; preserve unknowns</t>
        </is>
      </c>
      <c r="C41" s="4" t="inlineStr">
        <is>
          <t>RQ3_base_276</t>
        </is>
      </c>
      <c r="D41"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41" s="4" t="inlineStr">
        <is>
          <t>Previously created unsuffixed columns zeroed existing historical indicators</t>
        </is>
      </c>
    </row>
    <row r="42" ht="86" customHeight="1">
      <c r="A42" s="4" t="inlineStr">
        <is>
          <t>42</t>
        </is>
      </c>
      <c r="B42" s="4" t="inlineStr">
        <is>
          <t>Restore original RQ3 fields; preserve unknowns</t>
        </is>
      </c>
      <c r="C42" s="4" t="inlineStr">
        <is>
          <t>RQ3_base_276</t>
        </is>
      </c>
      <c r="D42"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42" s="4" t="inlineStr">
        <is>
          <t>Previously created unsuffixed columns zeroed existing historical indicators</t>
        </is>
      </c>
    </row>
    <row r="43" ht="86" customHeight="1">
      <c r="A43" s="4" t="inlineStr">
        <is>
          <t>43</t>
        </is>
      </c>
      <c r="B43" s="4" t="inlineStr">
        <is>
          <t>Restore original RQ3 fields; preserve unknowns</t>
        </is>
      </c>
      <c r="C43" s="4" t="inlineStr">
        <is>
          <t>RQ3_base_276</t>
        </is>
      </c>
      <c r="D43"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1</t>
        </is>
      </c>
      <c r="E43" s="4" t="inlineStr">
        <is>
          <t>Previously created unsuffixed columns zeroed existing historical indicators</t>
        </is>
      </c>
    </row>
    <row r="44" ht="86" customHeight="1">
      <c r="A44" s="4" t="inlineStr">
        <is>
          <t>44</t>
        </is>
      </c>
      <c r="B44" s="4" t="inlineStr">
        <is>
          <t>Restore original RQ3 fields; preserve unknowns</t>
        </is>
      </c>
      <c r="C44" s="4" t="inlineStr">
        <is>
          <t>RQ3_base_276</t>
        </is>
      </c>
      <c r="D44"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0</t>
        </is>
      </c>
      <c r="E44" s="4" t="inlineStr">
        <is>
          <t>Previously created unsuffixed columns zeroed existing historical indicators</t>
        </is>
      </c>
    </row>
    <row r="45" ht="86" customHeight="1">
      <c r="A45" s="4" t="inlineStr">
        <is>
          <t>45</t>
        </is>
      </c>
      <c r="B45" s="4" t="inlineStr">
        <is>
          <t>Restore original RQ3 fields; preserve unknowns</t>
        </is>
      </c>
      <c r="C45" s="4" t="inlineStr">
        <is>
          <t>RQ3_base_276</t>
        </is>
      </c>
      <c r="D45"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45" s="4" t="inlineStr">
        <is>
          <t>Previously created unsuffixed columns zeroed existing historical indicators</t>
        </is>
      </c>
    </row>
    <row r="46" ht="86" customHeight="1">
      <c r="A46" s="4" t="inlineStr">
        <is>
          <t>46</t>
        </is>
      </c>
      <c r="B46" s="4" t="inlineStr">
        <is>
          <t>Restore original RQ3 fields; preserve unknowns</t>
        </is>
      </c>
      <c r="C46" s="4" t="inlineStr">
        <is>
          <t>RQ3_base_276</t>
        </is>
      </c>
      <c r="D46"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46" s="4" t="inlineStr">
        <is>
          <t>Previously created unsuffixed columns zeroed existing historical indicators</t>
        </is>
      </c>
    </row>
    <row r="47" ht="86" customHeight="1">
      <c r="A47" s="4" t="inlineStr">
        <is>
          <t>47</t>
        </is>
      </c>
      <c r="B47" s="4" t="inlineStr">
        <is>
          <t>Restore original RQ3 fields; preserve unknowns</t>
        </is>
      </c>
      <c r="C47" s="4" t="inlineStr">
        <is>
          <t>RQ3_base_276</t>
        </is>
      </c>
      <c r="D4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47" s="4" t="inlineStr">
        <is>
          <t>Previously created unsuffixed columns zeroed existing historical indicators</t>
        </is>
      </c>
    </row>
    <row r="48" ht="86" customHeight="1">
      <c r="A48" s="4" t="inlineStr">
        <is>
          <t>48</t>
        </is>
      </c>
      <c r="B48" s="4" t="inlineStr">
        <is>
          <t>Restore original RQ3 fields; preserve unknowns</t>
        </is>
      </c>
      <c r="C48" s="4" t="inlineStr">
        <is>
          <t>RQ3_base_276</t>
        </is>
      </c>
      <c r="D48"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48" s="4" t="inlineStr">
        <is>
          <t>Previously created unsuffixed columns zeroed existing historical indicators</t>
        </is>
      </c>
    </row>
    <row r="49" ht="86" customHeight="1">
      <c r="A49" s="4" t="inlineStr">
        <is>
          <t>49</t>
        </is>
      </c>
      <c r="B49" s="4" t="inlineStr">
        <is>
          <t>Restore original RQ3 fields; preserve unknowns</t>
        </is>
      </c>
      <c r="C49" s="4" t="inlineStr">
        <is>
          <t>RQ3_base_276</t>
        </is>
      </c>
      <c r="D4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49" s="4" t="inlineStr">
        <is>
          <t>Previously created unsuffixed columns zeroed existing historical indicators</t>
        </is>
      </c>
    </row>
    <row r="50" ht="86" customHeight="1">
      <c r="A50" s="4" t="inlineStr">
        <is>
          <t>51</t>
        </is>
      </c>
      <c r="B50" s="4" t="inlineStr">
        <is>
          <t>Restore original RQ3 fields; preserve unknowns</t>
        </is>
      </c>
      <c r="C50" s="4" t="inlineStr">
        <is>
          <t>RQ3_base_276</t>
        </is>
      </c>
      <c r="D5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50" s="4" t="inlineStr">
        <is>
          <t>Previously created unsuffixed columns zeroed existing historical indicators</t>
        </is>
      </c>
    </row>
    <row r="51" ht="86" customHeight="1">
      <c r="A51" s="4" t="inlineStr">
        <is>
          <t>52</t>
        </is>
      </c>
      <c r="B51" s="4" t="inlineStr">
        <is>
          <t>Restore original RQ3 fields; preserve unknowns</t>
        </is>
      </c>
      <c r="C51" s="4" t="inlineStr">
        <is>
          <t>RQ3_base_276</t>
        </is>
      </c>
      <c r="D51"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51" s="4" t="inlineStr">
        <is>
          <t>Previously created unsuffixed columns zeroed existing historical indicators</t>
        </is>
      </c>
    </row>
    <row r="52" ht="86" customHeight="1">
      <c r="A52" s="4" t="inlineStr">
        <is>
          <t>53</t>
        </is>
      </c>
      <c r="B52" s="4" t="inlineStr">
        <is>
          <t>Restore original RQ3 fields; preserve unknowns</t>
        </is>
      </c>
      <c r="C52" s="4" t="inlineStr">
        <is>
          <t>RQ3_base_276</t>
        </is>
      </c>
      <c r="D52"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52" s="4" t="inlineStr">
        <is>
          <t>Previously created unsuffixed columns zeroed existing historical indicators</t>
        </is>
      </c>
    </row>
    <row r="53" ht="86" customHeight="1">
      <c r="A53" s="4" t="inlineStr">
        <is>
          <t>54</t>
        </is>
      </c>
      <c r="B53" s="4" t="inlineStr">
        <is>
          <t>Restore original RQ3 fields; preserve unknowns</t>
        </is>
      </c>
      <c r="C53" s="4" t="inlineStr">
        <is>
          <t>RQ3_base_276</t>
        </is>
      </c>
      <c r="D53"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0</t>
        </is>
      </c>
      <c r="E53" s="4" t="inlineStr">
        <is>
          <t>Previously created unsuffixed columns zeroed existing historical indicators</t>
        </is>
      </c>
    </row>
    <row r="54" ht="86" customHeight="1">
      <c r="A54" s="4" t="inlineStr">
        <is>
          <t>56</t>
        </is>
      </c>
      <c r="B54" s="4" t="inlineStr">
        <is>
          <t>Restore original RQ3 fields; preserve unknowns</t>
        </is>
      </c>
      <c r="C54" s="4" t="inlineStr">
        <is>
          <t>RQ3_base_276</t>
        </is>
      </c>
      <c r="D54"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54" s="4" t="inlineStr">
        <is>
          <t>Previously created unsuffixed columns zeroed existing historical indicators</t>
        </is>
      </c>
    </row>
    <row r="55" ht="86" customHeight="1">
      <c r="A55" s="4" t="inlineStr">
        <is>
          <t>57</t>
        </is>
      </c>
      <c r="B55" s="4" t="inlineStr">
        <is>
          <t>Restore original RQ3 fields; preserve unknowns</t>
        </is>
      </c>
      <c r="C55" s="4" t="inlineStr">
        <is>
          <t>RQ3_base_276</t>
        </is>
      </c>
      <c r="D55"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55" s="4" t="inlineStr">
        <is>
          <t>Previously created unsuffixed columns zeroed existing historical indicators</t>
        </is>
      </c>
    </row>
    <row r="56" ht="86" customHeight="1">
      <c r="A56" s="4" t="inlineStr">
        <is>
          <t>58</t>
        </is>
      </c>
      <c r="B56" s="4" t="inlineStr">
        <is>
          <t>Restore original RQ3 fields; preserve unknowns</t>
        </is>
      </c>
      <c r="C56" s="4" t="inlineStr">
        <is>
          <t>RQ3_base_276</t>
        </is>
      </c>
      <c r="D56"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56" s="4" t="inlineStr">
        <is>
          <t>Previously created unsuffixed columns zeroed existing historical indicators</t>
        </is>
      </c>
    </row>
    <row r="57" ht="86" customHeight="1">
      <c r="A57" s="4" t="inlineStr">
        <is>
          <t>59</t>
        </is>
      </c>
      <c r="B57" s="4" t="inlineStr">
        <is>
          <t>Restore original RQ3 fields; preserve unknowns</t>
        </is>
      </c>
      <c r="C57" s="4" t="inlineStr">
        <is>
          <t>RQ3_base_276</t>
        </is>
      </c>
      <c r="D5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57" s="4" t="inlineStr">
        <is>
          <t>Previously created unsuffixed columns zeroed existing historical indicators</t>
        </is>
      </c>
    </row>
    <row r="58" ht="86" customHeight="1">
      <c r="A58" s="4" t="inlineStr">
        <is>
          <t>60</t>
        </is>
      </c>
      <c r="B58" s="4" t="inlineStr">
        <is>
          <t>Restore original RQ3 fields; preserve unknowns</t>
        </is>
      </c>
      <c r="C58" s="4" t="inlineStr">
        <is>
          <t>RQ3_base_276</t>
        </is>
      </c>
      <c r="D58"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58" s="4" t="inlineStr">
        <is>
          <t>Previously created unsuffixed columns zeroed existing historical indicators</t>
        </is>
      </c>
    </row>
    <row r="59" ht="86" customHeight="1">
      <c r="A59" s="4" t="inlineStr">
        <is>
          <t>61</t>
        </is>
      </c>
      <c r="B59" s="4" t="inlineStr">
        <is>
          <t>Restore original RQ3 fields; preserve unknowns</t>
        </is>
      </c>
      <c r="C59" s="4" t="inlineStr">
        <is>
          <t>RQ3_base_276</t>
        </is>
      </c>
      <c r="D5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59" s="4" t="inlineStr">
        <is>
          <t>Previously created unsuffixed columns zeroed existing historical indicators</t>
        </is>
      </c>
    </row>
    <row r="60" ht="86" customHeight="1">
      <c r="A60" s="4" t="inlineStr">
        <is>
          <t>62</t>
        </is>
      </c>
      <c r="B60" s="4" t="inlineStr">
        <is>
          <t>Restore original RQ3 fields; preserve unknowns</t>
        </is>
      </c>
      <c r="C60" s="4" t="inlineStr">
        <is>
          <t>RQ3_base_276</t>
        </is>
      </c>
      <c r="D6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60" s="4" t="inlineStr">
        <is>
          <t>Previously created unsuffixed columns zeroed existing historical indicators</t>
        </is>
      </c>
    </row>
    <row r="61" ht="86" customHeight="1">
      <c r="A61" s="4" t="inlineStr">
        <is>
          <t>63</t>
        </is>
      </c>
      <c r="B61" s="4" t="inlineStr">
        <is>
          <t>Restore original RQ3 fields; preserve unknowns</t>
        </is>
      </c>
      <c r="C61" s="4" t="inlineStr">
        <is>
          <t>RQ3_base_276</t>
        </is>
      </c>
      <c r="D61"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0</t>
        </is>
      </c>
      <c r="E61" s="4" t="inlineStr">
        <is>
          <t>Previously created unsuffixed columns zeroed existing historical indicators</t>
        </is>
      </c>
    </row>
    <row r="62" ht="86" customHeight="1">
      <c r="A62" s="4" t="inlineStr">
        <is>
          <t>64</t>
        </is>
      </c>
      <c r="B62" s="4" t="inlineStr">
        <is>
          <t>Restore original RQ3 fields; preserve unknowns</t>
        </is>
      </c>
      <c r="C62" s="4" t="inlineStr">
        <is>
          <t>RQ3_base_276</t>
        </is>
      </c>
      <c r="D62"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62" s="4" t="inlineStr">
        <is>
          <t>Previously created unsuffixed columns zeroed existing historical indicators</t>
        </is>
      </c>
    </row>
    <row r="63" ht="86" customHeight="1">
      <c r="A63" s="4" t="inlineStr">
        <is>
          <t>65</t>
        </is>
      </c>
      <c r="B63" s="4" t="inlineStr">
        <is>
          <t>Restore original RQ3 fields; preserve unknowns</t>
        </is>
      </c>
      <c r="C63" s="4" t="inlineStr">
        <is>
          <t>RQ3_base_276</t>
        </is>
      </c>
      <c r="D63"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63" s="4" t="inlineStr">
        <is>
          <t>Previously created unsuffixed columns zeroed existing historical indicators</t>
        </is>
      </c>
    </row>
    <row r="64" ht="86" customHeight="1">
      <c r="A64" s="4" t="inlineStr">
        <is>
          <t>66</t>
        </is>
      </c>
      <c r="B64" s="4" t="inlineStr">
        <is>
          <t>Restore original RQ3 fields; preserve unknowns</t>
        </is>
      </c>
      <c r="C64" s="4" t="inlineStr">
        <is>
          <t>RQ3_base_276</t>
        </is>
      </c>
      <c r="D64"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64" s="4" t="inlineStr">
        <is>
          <t>Previously created unsuffixed columns zeroed existing historical indicators</t>
        </is>
      </c>
    </row>
    <row r="65" ht="86" customHeight="1">
      <c r="A65" s="4" t="inlineStr">
        <is>
          <t>67</t>
        </is>
      </c>
      <c r="B65" s="4" t="inlineStr">
        <is>
          <t>Restore original RQ3 fields; preserve unknowns</t>
        </is>
      </c>
      <c r="C65" s="4" t="inlineStr">
        <is>
          <t>RQ3_base_276</t>
        </is>
      </c>
      <c r="D65"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65" s="4" t="inlineStr">
        <is>
          <t>Previously created unsuffixed columns zeroed existing historical indicators</t>
        </is>
      </c>
    </row>
    <row r="66" ht="86" customHeight="1">
      <c r="A66" s="4" t="inlineStr">
        <is>
          <t>68</t>
        </is>
      </c>
      <c r="B66" s="4" t="inlineStr">
        <is>
          <t>Restore original RQ3 fields; preserve unknowns</t>
        </is>
      </c>
      <c r="C66" s="4" t="inlineStr">
        <is>
          <t>RQ3_base_276</t>
        </is>
      </c>
      <c r="D66"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66" s="4" t="inlineStr">
        <is>
          <t>Previously created unsuffixed columns zeroed existing historical indicators</t>
        </is>
      </c>
    </row>
    <row r="67" ht="86" customHeight="1">
      <c r="A67" s="4" t="inlineStr">
        <is>
          <t>69</t>
        </is>
      </c>
      <c r="B67" s="4" t="inlineStr">
        <is>
          <t>Restore original RQ3 fields; preserve unknowns</t>
        </is>
      </c>
      <c r="C67" s="4" t="inlineStr">
        <is>
          <t>RQ3_base_276</t>
        </is>
      </c>
      <c r="D6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67" s="4" t="inlineStr">
        <is>
          <t>Previously created unsuffixed columns zeroed existing historical indicators</t>
        </is>
      </c>
    </row>
    <row r="68" ht="86" customHeight="1">
      <c r="A68" s="4" t="inlineStr">
        <is>
          <t>70</t>
        </is>
      </c>
      <c r="B68" s="4" t="inlineStr">
        <is>
          <t>Restore original RQ3 fields; preserve unknowns</t>
        </is>
      </c>
      <c r="C68" s="4" t="inlineStr">
        <is>
          <t>RQ3_base_276</t>
        </is>
      </c>
      <c r="D68"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68" s="4" t="inlineStr">
        <is>
          <t>Previously created unsuffixed columns zeroed existing historical indicators</t>
        </is>
      </c>
    </row>
    <row r="69" ht="86" customHeight="1">
      <c r="A69" s="4" t="inlineStr">
        <is>
          <t>72</t>
        </is>
      </c>
      <c r="B69" s="4" t="inlineStr">
        <is>
          <t>Restore original RQ3 fields; preserve unknowns</t>
        </is>
      </c>
      <c r="C69" s="4" t="inlineStr">
        <is>
          <t>RQ3_base_276</t>
        </is>
      </c>
      <c r="D6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69" s="4" t="inlineStr">
        <is>
          <t>Previously created unsuffixed columns zeroed existing historical indicators</t>
        </is>
      </c>
    </row>
    <row r="70" ht="86" customHeight="1">
      <c r="A70" s="4" t="inlineStr">
        <is>
          <t>73</t>
        </is>
      </c>
      <c r="B70" s="4" t="inlineStr">
        <is>
          <t>Restore original RQ3 fields; preserve unknowns</t>
        </is>
      </c>
      <c r="C70" s="4" t="inlineStr">
        <is>
          <t>RQ3_base_276</t>
        </is>
      </c>
      <c r="D7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70" s="4" t="inlineStr">
        <is>
          <t>Previously created unsuffixed columns zeroed existing historical indicators</t>
        </is>
      </c>
    </row>
    <row r="71" ht="86" customHeight="1">
      <c r="A71" s="4" t="inlineStr">
        <is>
          <t>74</t>
        </is>
      </c>
      <c r="B71" s="4" t="inlineStr">
        <is>
          <t>Restore original RQ3 fields; preserve unknowns</t>
        </is>
      </c>
      <c r="C71" s="4" t="inlineStr">
        <is>
          <t>RQ3_base_276</t>
        </is>
      </c>
      <c r="D71"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1; q3_multisource_data_signal -&gt; multisource_data: 1</t>
        </is>
      </c>
      <c r="E71" s="4" t="inlineStr">
        <is>
          <t>Previously created unsuffixed columns zeroed existing historical indicators</t>
        </is>
      </c>
    </row>
    <row r="72" ht="86" customHeight="1">
      <c r="A72" s="4" t="inlineStr">
        <is>
          <t>75</t>
        </is>
      </c>
      <c r="B72" s="4" t="inlineStr">
        <is>
          <t>Restore original RQ3 fields; preserve unknowns</t>
        </is>
      </c>
      <c r="C72" s="4" t="inlineStr">
        <is>
          <t>RQ3_base_276</t>
        </is>
      </c>
      <c r="D72"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72" s="4" t="inlineStr">
        <is>
          <t>Previously created unsuffixed columns zeroed existing historical indicators</t>
        </is>
      </c>
    </row>
    <row r="73" ht="86" customHeight="1">
      <c r="A73" s="4" t="inlineStr">
        <is>
          <t>77</t>
        </is>
      </c>
      <c r="B73" s="4" t="inlineStr">
        <is>
          <t>Restore original RQ3 fields; preserve unknowns</t>
        </is>
      </c>
      <c r="C73" s="4" t="inlineStr">
        <is>
          <t>RQ3_base_276</t>
        </is>
      </c>
      <c r="D73"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0</t>
        </is>
      </c>
      <c r="E73" s="4" t="inlineStr">
        <is>
          <t>Previously created unsuffixed columns zeroed existing historical indicators</t>
        </is>
      </c>
    </row>
    <row r="74" ht="86" customHeight="1">
      <c r="A74" s="4" t="inlineStr">
        <is>
          <t>78</t>
        </is>
      </c>
      <c r="B74" s="4" t="inlineStr">
        <is>
          <t>Restore original RQ3 fields; preserve unknowns</t>
        </is>
      </c>
      <c r="C74" s="4" t="inlineStr">
        <is>
          <t>RQ3_base_276</t>
        </is>
      </c>
      <c r="D74"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74" s="4" t="inlineStr">
        <is>
          <t>Previously created unsuffixed columns zeroed existing historical indicators</t>
        </is>
      </c>
    </row>
    <row r="75" ht="86" customHeight="1">
      <c r="A75" s="4" t="inlineStr">
        <is>
          <t>79</t>
        </is>
      </c>
      <c r="B75" s="4" t="inlineStr">
        <is>
          <t>Restore original RQ3 fields; preserve unknowns</t>
        </is>
      </c>
      <c r="C75" s="4" t="inlineStr">
        <is>
          <t>RQ3_base_276</t>
        </is>
      </c>
      <c r="D75" s="4" t="inlineStr">
        <is>
          <t>q3_external_validation_signal -&gt; external_validation: 1; q3_multisite_dataset_signal -&gt; multisite_dataset: 0; q3_cross_site_robustness_signal -&gt; cross_site_robustness: 0; q3_prospective_evaluation_signal -&gt; prospective_evaluation: 0; q3_xai_strict_signal -&gt; xai_strict: 0; q3_xai_partial_signal -&gt; xai_partial: 1; q3_multisource_data_signal -&gt; multisource_data: 1</t>
        </is>
      </c>
      <c r="E75" s="4" t="inlineStr">
        <is>
          <t>Previously created unsuffixed columns zeroed existing historical indicators</t>
        </is>
      </c>
    </row>
    <row r="76" ht="86" customHeight="1">
      <c r="A76" s="4" t="inlineStr">
        <is>
          <t>80</t>
        </is>
      </c>
      <c r="B76" s="4" t="inlineStr">
        <is>
          <t>Restore original RQ3 fields; preserve unknowns</t>
        </is>
      </c>
      <c r="C76" s="4" t="inlineStr">
        <is>
          <t>RQ3_base_276</t>
        </is>
      </c>
      <c r="D76"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76" s="4" t="inlineStr">
        <is>
          <t>Previously created unsuffixed columns zeroed existing historical indicators</t>
        </is>
      </c>
    </row>
    <row r="77" ht="86" customHeight="1">
      <c r="A77" s="4" t="inlineStr">
        <is>
          <t>81</t>
        </is>
      </c>
      <c r="B77" s="4" t="inlineStr">
        <is>
          <t>Restore original RQ3 fields; preserve unknowns</t>
        </is>
      </c>
      <c r="C77" s="4" t="inlineStr">
        <is>
          <t>RQ3_base_276</t>
        </is>
      </c>
      <c r="D7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77" s="4" t="inlineStr">
        <is>
          <t>Previously created unsuffixed columns zeroed existing historical indicators</t>
        </is>
      </c>
    </row>
    <row r="78" ht="86" customHeight="1">
      <c r="A78" s="4" t="inlineStr">
        <is>
          <t>82</t>
        </is>
      </c>
      <c r="B78" s="4" t="inlineStr">
        <is>
          <t>Restore original RQ3 fields; preserve unknowns</t>
        </is>
      </c>
      <c r="C78" s="4" t="inlineStr">
        <is>
          <t>RQ3_base_276</t>
        </is>
      </c>
      <c r="D78"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78" s="4" t="inlineStr">
        <is>
          <t>Previously created unsuffixed columns zeroed existing historical indicators</t>
        </is>
      </c>
    </row>
    <row r="79" ht="86" customHeight="1">
      <c r="A79" s="4" t="inlineStr">
        <is>
          <t>83</t>
        </is>
      </c>
      <c r="B79" s="4" t="inlineStr">
        <is>
          <t>Restore original RQ3 fields; preserve unknowns</t>
        </is>
      </c>
      <c r="C79" s="4" t="inlineStr">
        <is>
          <t>RQ3_base_276</t>
        </is>
      </c>
      <c r="D7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79" s="4" t="inlineStr">
        <is>
          <t>Previously created unsuffixed columns zeroed existing historical indicators</t>
        </is>
      </c>
    </row>
    <row r="80" ht="86" customHeight="1">
      <c r="A80" s="4" t="inlineStr">
        <is>
          <t>84</t>
        </is>
      </c>
      <c r="B80" s="4" t="inlineStr">
        <is>
          <t>Restore original RQ3 fields; preserve unknowns</t>
        </is>
      </c>
      <c r="C80" s="4" t="inlineStr">
        <is>
          <t>RQ3_base_276</t>
        </is>
      </c>
      <c r="D8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1; q3_multisource_data_signal -&gt; multisource_data: 0</t>
        </is>
      </c>
      <c r="E80" s="4" t="inlineStr">
        <is>
          <t>Previously created unsuffixed columns zeroed existing historical indicators</t>
        </is>
      </c>
    </row>
    <row r="81" ht="86" customHeight="1">
      <c r="A81" s="4" t="inlineStr">
        <is>
          <t>85</t>
        </is>
      </c>
      <c r="B81" s="4" t="inlineStr">
        <is>
          <t>Restore original RQ3 fields; preserve unknowns</t>
        </is>
      </c>
      <c r="C81" s="4" t="inlineStr">
        <is>
          <t>RQ3_base_276</t>
        </is>
      </c>
      <c r="D81" s="4" t="inlineStr">
        <is>
          <t>q3_external_validation_signal -&gt; external_validation: 1;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81" s="4" t="inlineStr">
        <is>
          <t>Previously created unsuffixed columns zeroed existing historical indicators</t>
        </is>
      </c>
    </row>
    <row r="82" ht="86" customHeight="1">
      <c r="A82" s="4" t="inlineStr">
        <is>
          <t>86</t>
        </is>
      </c>
      <c r="B82" s="4" t="inlineStr">
        <is>
          <t>Restore original RQ3 fields; preserve unknowns</t>
        </is>
      </c>
      <c r="C82" s="4" t="inlineStr">
        <is>
          <t>RQ3_base_276</t>
        </is>
      </c>
      <c r="D82"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82" s="4" t="inlineStr">
        <is>
          <t>Previously created unsuffixed columns zeroed existing historical indicators</t>
        </is>
      </c>
    </row>
    <row r="83" ht="86" customHeight="1">
      <c r="A83" s="4" t="inlineStr">
        <is>
          <t>88</t>
        </is>
      </c>
      <c r="B83" s="4" t="inlineStr">
        <is>
          <t>Restore original RQ3 fields; preserve unknowns</t>
        </is>
      </c>
      <c r="C83" s="4" t="inlineStr">
        <is>
          <t>RQ3_base_276</t>
        </is>
      </c>
      <c r="D83" s="4" t="inlineStr">
        <is>
          <t>q3_external_validation_signal -&gt; external_validation: 1; q3_multisite_dataset_signal -&gt; multisite_dataset: 0; q3_cross_site_robustness_signal -&gt; cross_site_robustness: 0; q3_prospective_evaluation_signal -&gt; prospective_evaluation: 0; q3_xai_strict_signal -&gt; xai_strict: 0; q3_xai_partial_signal -&gt; xai_partial: 1; q3_multisource_data_signal -&gt; multisource_data: 0</t>
        </is>
      </c>
      <c r="E83" s="4" t="inlineStr">
        <is>
          <t>Previously created unsuffixed columns zeroed existing historical indicators</t>
        </is>
      </c>
    </row>
    <row r="84" ht="86" customHeight="1">
      <c r="A84" s="4" t="inlineStr">
        <is>
          <t>89</t>
        </is>
      </c>
      <c r="B84" s="4" t="inlineStr">
        <is>
          <t>Restore original RQ3 fields; preserve unknowns</t>
        </is>
      </c>
      <c r="C84" s="4" t="inlineStr">
        <is>
          <t>RQ3_base_276</t>
        </is>
      </c>
      <c r="D84"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84" s="4" t="inlineStr">
        <is>
          <t>Previously created unsuffixed columns zeroed existing historical indicators</t>
        </is>
      </c>
    </row>
    <row r="85" ht="86" customHeight="1">
      <c r="A85" s="4" t="inlineStr">
        <is>
          <t>90</t>
        </is>
      </c>
      <c r="B85" s="4" t="inlineStr">
        <is>
          <t>Restore original RQ3 fields; preserve unknowns</t>
        </is>
      </c>
      <c r="C85" s="4" t="inlineStr">
        <is>
          <t>RQ3_base_276</t>
        </is>
      </c>
      <c r="D85"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1; q3_multisource_data_signal -&gt; multisource_data: 0</t>
        </is>
      </c>
      <c r="E85" s="4" t="inlineStr">
        <is>
          <t>Previously created unsuffixed columns zeroed existing historical indicators</t>
        </is>
      </c>
    </row>
    <row r="86" ht="86" customHeight="1">
      <c r="A86" s="4" t="inlineStr">
        <is>
          <t>91</t>
        </is>
      </c>
      <c r="B86" s="4" t="inlineStr">
        <is>
          <t>Restore original RQ3 fields; preserve unknowns</t>
        </is>
      </c>
      <c r="C86" s="4" t="inlineStr">
        <is>
          <t>RQ3_base_276</t>
        </is>
      </c>
      <c r="D86"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0</t>
        </is>
      </c>
      <c r="E86" s="4" t="inlineStr">
        <is>
          <t>Previously created unsuffixed columns zeroed existing historical indicators</t>
        </is>
      </c>
    </row>
    <row r="87" ht="86" customHeight="1">
      <c r="A87" s="4" t="inlineStr">
        <is>
          <t>92</t>
        </is>
      </c>
      <c r="B87" s="4" t="inlineStr">
        <is>
          <t>Restore original RQ3 fields; preserve unknowns</t>
        </is>
      </c>
      <c r="C87" s="4" t="inlineStr">
        <is>
          <t>RQ3_base_276</t>
        </is>
      </c>
      <c r="D87"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0</t>
        </is>
      </c>
      <c r="E87" s="4" t="inlineStr">
        <is>
          <t>Previously created unsuffixed columns zeroed existing historical indicators</t>
        </is>
      </c>
    </row>
    <row r="88" ht="86" customHeight="1">
      <c r="A88" s="4" t="inlineStr">
        <is>
          <t>94</t>
        </is>
      </c>
      <c r="B88" s="4" t="inlineStr">
        <is>
          <t>Restore original RQ3 fields; preserve unknowns</t>
        </is>
      </c>
      <c r="C88" s="4" t="inlineStr">
        <is>
          <t>RQ3_base_276</t>
        </is>
      </c>
      <c r="D88"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88" s="4" t="inlineStr">
        <is>
          <t>Previously created unsuffixed columns zeroed existing historical indicators</t>
        </is>
      </c>
    </row>
    <row r="89" ht="86" customHeight="1">
      <c r="A89" s="4" t="inlineStr">
        <is>
          <t>95</t>
        </is>
      </c>
      <c r="B89" s="4" t="inlineStr">
        <is>
          <t>Restore original RQ3 fields; preserve unknowns</t>
        </is>
      </c>
      <c r="C89" s="4" t="inlineStr">
        <is>
          <t>RQ3_base_276</t>
        </is>
      </c>
      <c r="D8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89" s="4" t="inlineStr">
        <is>
          <t>Previously created unsuffixed columns zeroed existing historical indicators</t>
        </is>
      </c>
    </row>
    <row r="90" ht="86" customHeight="1">
      <c r="A90" s="4" t="inlineStr">
        <is>
          <t>96</t>
        </is>
      </c>
      <c r="B90" s="4" t="inlineStr">
        <is>
          <t>Restore original RQ3 fields; preserve unknowns</t>
        </is>
      </c>
      <c r="C90" s="4" t="inlineStr">
        <is>
          <t>RQ3_base_276</t>
        </is>
      </c>
      <c r="D9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90" s="4" t="inlineStr">
        <is>
          <t>Previously created unsuffixed columns zeroed existing historical indicators</t>
        </is>
      </c>
    </row>
    <row r="91" ht="86" customHeight="1">
      <c r="A91" s="4" t="inlineStr">
        <is>
          <t>97</t>
        </is>
      </c>
      <c r="B91" s="4" t="inlineStr">
        <is>
          <t>Restore original RQ3 fields; preserve unknowns</t>
        </is>
      </c>
      <c r="C91" s="4" t="inlineStr">
        <is>
          <t>RQ3_base_276</t>
        </is>
      </c>
      <c r="D91"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91" s="4" t="inlineStr">
        <is>
          <t>Previously created unsuffixed columns zeroed existing historical indicators</t>
        </is>
      </c>
    </row>
    <row r="92" ht="86" customHeight="1">
      <c r="A92" s="4" t="inlineStr">
        <is>
          <t>98</t>
        </is>
      </c>
      <c r="B92" s="4" t="inlineStr">
        <is>
          <t>Restore original RQ3 fields; preserve unknowns</t>
        </is>
      </c>
      <c r="C92" s="4" t="inlineStr">
        <is>
          <t>RQ3_base_276</t>
        </is>
      </c>
      <c r="D92"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92" s="4" t="inlineStr">
        <is>
          <t>Previously created unsuffixed columns zeroed existing historical indicators</t>
        </is>
      </c>
    </row>
    <row r="93" ht="86" customHeight="1">
      <c r="A93" s="4" t="inlineStr">
        <is>
          <t>99</t>
        </is>
      </c>
      <c r="B93" s="4" t="inlineStr">
        <is>
          <t>Restore original RQ3 fields; preserve unknowns</t>
        </is>
      </c>
      <c r="C93" s="4" t="inlineStr">
        <is>
          <t>RQ3_base_276</t>
        </is>
      </c>
      <c r="D93"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93" s="4" t="inlineStr">
        <is>
          <t>Previously created unsuffixed columns zeroed existing historical indicators</t>
        </is>
      </c>
    </row>
    <row r="94" ht="86" customHeight="1">
      <c r="A94" s="4" t="inlineStr">
        <is>
          <t>100</t>
        </is>
      </c>
      <c r="B94" s="4" t="inlineStr">
        <is>
          <t>Restore original RQ3 fields; preserve unknowns</t>
        </is>
      </c>
      <c r="C94" s="4" t="inlineStr">
        <is>
          <t>RQ3_base_276</t>
        </is>
      </c>
      <c r="D94"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94" s="4" t="inlineStr">
        <is>
          <t>Previously created unsuffixed columns zeroed existing historical indicators</t>
        </is>
      </c>
    </row>
    <row r="95" ht="86" customHeight="1">
      <c r="A95" s="4" t="inlineStr">
        <is>
          <t>102</t>
        </is>
      </c>
      <c r="B95" s="4" t="inlineStr">
        <is>
          <t>Restore original RQ3 fields; preserve unknowns</t>
        </is>
      </c>
      <c r="C95" s="4" t="inlineStr">
        <is>
          <t>RQ3_base_276</t>
        </is>
      </c>
      <c r="D95"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95" s="4" t="inlineStr">
        <is>
          <t>Previously created unsuffixed columns zeroed existing historical indicators</t>
        </is>
      </c>
    </row>
    <row r="96" ht="86" customHeight="1">
      <c r="A96" s="4" t="inlineStr">
        <is>
          <t>103</t>
        </is>
      </c>
      <c r="B96" s="4" t="inlineStr">
        <is>
          <t>Restore original RQ3 fields; preserve unknowns</t>
        </is>
      </c>
      <c r="C96" s="4" t="inlineStr">
        <is>
          <t>RQ3_base_276</t>
        </is>
      </c>
      <c r="D96"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96" s="4" t="inlineStr">
        <is>
          <t>Previously created unsuffixed columns zeroed existing historical indicators</t>
        </is>
      </c>
    </row>
    <row r="97" ht="86" customHeight="1">
      <c r="A97" s="4" t="inlineStr">
        <is>
          <t>104</t>
        </is>
      </c>
      <c r="B97" s="4" t="inlineStr">
        <is>
          <t>Restore original RQ3 fields; preserve unknowns</t>
        </is>
      </c>
      <c r="C97" s="4" t="inlineStr">
        <is>
          <t>RQ3_base_276</t>
        </is>
      </c>
      <c r="D97"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1; q3_xai_partial_signal -&gt; xai_partial: 0; q3_multisource_data_signal -&gt; multisource_data: 1</t>
        </is>
      </c>
      <c r="E97" s="4" t="inlineStr">
        <is>
          <t>Previously created unsuffixed columns zeroed existing historical indicators</t>
        </is>
      </c>
    </row>
    <row r="98" ht="86" customHeight="1">
      <c r="A98" s="4" t="inlineStr">
        <is>
          <t>105</t>
        </is>
      </c>
      <c r="B98" s="4" t="inlineStr">
        <is>
          <t>Restore original RQ3 fields; preserve unknowns</t>
        </is>
      </c>
      <c r="C98" s="4" t="inlineStr">
        <is>
          <t>RQ3_base_276</t>
        </is>
      </c>
      <c r="D98"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98" s="4" t="inlineStr">
        <is>
          <t>Previously created unsuffixed columns zeroed existing historical indicators</t>
        </is>
      </c>
    </row>
    <row r="99" ht="86" customHeight="1">
      <c r="A99" s="4" t="inlineStr">
        <is>
          <t>106</t>
        </is>
      </c>
      <c r="B99" s="4" t="inlineStr">
        <is>
          <t>Restore original RQ3 fields; preserve unknowns</t>
        </is>
      </c>
      <c r="C99" s="4" t="inlineStr">
        <is>
          <t>RQ3_base_276</t>
        </is>
      </c>
      <c r="D9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99" s="4" t="inlineStr">
        <is>
          <t>Previously created unsuffixed columns zeroed existing historical indicators</t>
        </is>
      </c>
    </row>
    <row r="100" ht="86" customHeight="1">
      <c r="A100" s="4" t="inlineStr">
        <is>
          <t>107</t>
        </is>
      </c>
      <c r="B100" s="4" t="inlineStr">
        <is>
          <t>Restore original RQ3 fields; preserve unknowns</t>
        </is>
      </c>
      <c r="C100" s="4" t="inlineStr">
        <is>
          <t>RQ3_base_276</t>
        </is>
      </c>
      <c r="D10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00" s="4" t="inlineStr">
        <is>
          <t>Previously created unsuffixed columns zeroed existing historical indicators</t>
        </is>
      </c>
    </row>
    <row r="101" ht="86" customHeight="1">
      <c r="A101" s="4" t="inlineStr">
        <is>
          <t>108</t>
        </is>
      </c>
      <c r="B101" s="4" t="inlineStr">
        <is>
          <t>Restore original RQ3 fields; preserve unknowns</t>
        </is>
      </c>
      <c r="C101" s="4" t="inlineStr">
        <is>
          <t>RQ3_base_276</t>
        </is>
      </c>
      <c r="D101"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01" s="4" t="inlineStr">
        <is>
          <t>Previously created unsuffixed columns zeroed existing historical indicators</t>
        </is>
      </c>
    </row>
    <row r="102" ht="86" customHeight="1">
      <c r="A102" s="4" t="inlineStr">
        <is>
          <t>109</t>
        </is>
      </c>
      <c r="B102" s="4" t="inlineStr">
        <is>
          <t>Restore original RQ3 fields; preserve unknowns</t>
        </is>
      </c>
      <c r="C102" s="4" t="inlineStr">
        <is>
          <t>RQ3_base_276</t>
        </is>
      </c>
      <c r="D102"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02" s="4" t="inlineStr">
        <is>
          <t>Previously created unsuffixed columns zeroed existing historical indicators</t>
        </is>
      </c>
    </row>
    <row r="103" ht="86" customHeight="1">
      <c r="A103" s="4" t="inlineStr">
        <is>
          <t>110</t>
        </is>
      </c>
      <c r="B103" s="4" t="inlineStr">
        <is>
          <t>Restore original RQ3 fields; preserve unknowns</t>
        </is>
      </c>
      <c r="C103" s="4" t="inlineStr">
        <is>
          <t>RQ3_base_276</t>
        </is>
      </c>
      <c r="D103"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03" s="4" t="inlineStr">
        <is>
          <t>Previously created unsuffixed columns zeroed existing historical indicators</t>
        </is>
      </c>
    </row>
    <row r="104" ht="86" customHeight="1">
      <c r="A104" s="4" t="inlineStr">
        <is>
          <t>111</t>
        </is>
      </c>
      <c r="B104" s="4" t="inlineStr">
        <is>
          <t>Restore original RQ3 fields; preserve unknowns</t>
        </is>
      </c>
      <c r="C104" s="4" t="inlineStr">
        <is>
          <t>RQ3_base_276</t>
        </is>
      </c>
      <c r="D104"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1; q3_multisource_data_signal -&gt; multisource_data: 0</t>
        </is>
      </c>
      <c r="E104" s="4" t="inlineStr">
        <is>
          <t>Previously created unsuffixed columns zeroed existing historical indicators</t>
        </is>
      </c>
    </row>
    <row r="105" ht="86" customHeight="1">
      <c r="A105" s="4" t="inlineStr">
        <is>
          <t>112</t>
        </is>
      </c>
      <c r="B105" s="4" t="inlineStr">
        <is>
          <t>Restore original RQ3 fields; preserve unknowns</t>
        </is>
      </c>
      <c r="C105" s="4" t="inlineStr">
        <is>
          <t>RQ3_base_276</t>
        </is>
      </c>
      <c r="D105"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1; q3_xai_partial_signal -&gt; xai_partial: 0; q3_multisource_data_signal -&gt; multisource_data: 0</t>
        </is>
      </c>
      <c r="E105" s="4" t="inlineStr">
        <is>
          <t>Previously created unsuffixed columns zeroed existing historical indicators</t>
        </is>
      </c>
    </row>
    <row r="106" ht="86" customHeight="1">
      <c r="A106" s="4" t="inlineStr">
        <is>
          <t>113</t>
        </is>
      </c>
      <c r="B106" s="4" t="inlineStr">
        <is>
          <t>Restore original RQ3 fields; preserve unknowns</t>
        </is>
      </c>
      <c r="C106" s="4" t="inlineStr">
        <is>
          <t>RQ3_base_276</t>
        </is>
      </c>
      <c r="D106"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06" s="4" t="inlineStr">
        <is>
          <t>Previously created unsuffixed columns zeroed existing historical indicators</t>
        </is>
      </c>
    </row>
    <row r="107" ht="86" customHeight="1">
      <c r="A107" s="4" t="inlineStr">
        <is>
          <t>114</t>
        </is>
      </c>
      <c r="B107" s="4" t="inlineStr">
        <is>
          <t>Restore original RQ3 fields; preserve unknowns</t>
        </is>
      </c>
      <c r="C107" s="4" t="inlineStr">
        <is>
          <t>RQ3_base_276</t>
        </is>
      </c>
      <c r="D10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07" s="4" t="inlineStr">
        <is>
          <t>Previously created unsuffixed columns zeroed existing historical indicators</t>
        </is>
      </c>
    </row>
    <row r="108" ht="86" customHeight="1">
      <c r="A108" s="4" t="inlineStr">
        <is>
          <t>115</t>
        </is>
      </c>
      <c r="B108" s="4" t="inlineStr">
        <is>
          <t>Restore original RQ3 fields; preserve unknowns</t>
        </is>
      </c>
      <c r="C108" s="4" t="inlineStr">
        <is>
          <t>RQ3_base_276</t>
        </is>
      </c>
      <c r="D108"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08" s="4" t="inlineStr">
        <is>
          <t>Previously created unsuffixed columns zeroed existing historical indicators</t>
        </is>
      </c>
    </row>
    <row r="109" ht="86" customHeight="1">
      <c r="A109" s="4" t="inlineStr">
        <is>
          <t>116</t>
        </is>
      </c>
      <c r="B109" s="4" t="inlineStr">
        <is>
          <t>Restore original RQ3 fields; preserve unknowns</t>
        </is>
      </c>
      <c r="C109" s="4" t="inlineStr">
        <is>
          <t>RQ3_base_276</t>
        </is>
      </c>
      <c r="D10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09" s="4" t="inlineStr">
        <is>
          <t>Previously created unsuffixed columns zeroed existing historical indicators</t>
        </is>
      </c>
    </row>
    <row r="110" ht="86" customHeight="1">
      <c r="A110" s="4" t="inlineStr">
        <is>
          <t>117</t>
        </is>
      </c>
      <c r="B110" s="4" t="inlineStr">
        <is>
          <t>Restore original RQ3 fields; preserve unknowns</t>
        </is>
      </c>
      <c r="C110" s="4" t="inlineStr">
        <is>
          <t>RQ3_base_276</t>
        </is>
      </c>
      <c r="D11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1; q3_multisource_data_signal -&gt; multisource_data: 0</t>
        </is>
      </c>
      <c r="E110" s="4" t="inlineStr">
        <is>
          <t>Previously created unsuffixed columns zeroed existing historical indicators</t>
        </is>
      </c>
    </row>
    <row r="111" ht="86" customHeight="1">
      <c r="A111" s="4" t="inlineStr">
        <is>
          <t>118</t>
        </is>
      </c>
      <c r="B111" s="4" t="inlineStr">
        <is>
          <t>Restore original RQ3 fields; preserve unknowns</t>
        </is>
      </c>
      <c r="C111" s="4" t="inlineStr">
        <is>
          <t>RQ3_base_276</t>
        </is>
      </c>
      <c r="D111" s="4" t="inlineStr">
        <is>
          <t>q3_external_validation_signal -&gt; external_validation: 1; q3_multisite_dataset_signal -&gt; multisite_dataset: 0; q3_cross_site_robustness_signal -&gt; cross_site_robustness: 0; q3_prospective_evaluation_signal -&gt; prospective_evaluation: 1; q3_xai_strict_signal -&gt; xai_strict: 0; q3_xai_partial_signal -&gt; xai_partial: 0; q3_multisource_data_signal -&gt; multisource_data: 0</t>
        </is>
      </c>
      <c r="E111" s="4" t="inlineStr">
        <is>
          <t>Previously created unsuffixed columns zeroed existing historical indicators</t>
        </is>
      </c>
    </row>
    <row r="112" ht="86" customHeight="1">
      <c r="A112" s="4" t="inlineStr">
        <is>
          <t>119</t>
        </is>
      </c>
      <c r="B112" s="4" t="inlineStr">
        <is>
          <t>Restore original RQ3 fields; preserve unknowns</t>
        </is>
      </c>
      <c r="C112" s="4" t="inlineStr">
        <is>
          <t>RQ3_base_276</t>
        </is>
      </c>
      <c r="D112"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12" s="4" t="inlineStr">
        <is>
          <t>Previously created unsuffixed columns zeroed existing historical indicators</t>
        </is>
      </c>
    </row>
    <row r="113" ht="86" customHeight="1">
      <c r="A113" s="4" t="inlineStr">
        <is>
          <t>120</t>
        </is>
      </c>
      <c r="B113" s="4" t="inlineStr">
        <is>
          <t>Restore original RQ3 fields; preserve unknowns</t>
        </is>
      </c>
      <c r="C113" s="4" t="inlineStr">
        <is>
          <t>RQ3_base_276</t>
        </is>
      </c>
      <c r="D113"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13" s="4" t="inlineStr">
        <is>
          <t>Previously created unsuffixed columns zeroed existing historical indicators</t>
        </is>
      </c>
    </row>
    <row r="114" ht="86" customHeight="1">
      <c r="A114" s="4" t="inlineStr">
        <is>
          <t>121</t>
        </is>
      </c>
      <c r="B114" s="4" t="inlineStr">
        <is>
          <t>Restore original RQ3 fields; preserve unknowns</t>
        </is>
      </c>
      <c r="C114" s="4" t="inlineStr">
        <is>
          <t>RQ3_base_276</t>
        </is>
      </c>
      <c r="D114"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14" s="4" t="inlineStr">
        <is>
          <t>Previously created unsuffixed columns zeroed existing historical indicators</t>
        </is>
      </c>
    </row>
    <row r="115" ht="86" customHeight="1">
      <c r="A115" s="4" t="inlineStr">
        <is>
          <t>122</t>
        </is>
      </c>
      <c r="B115" s="4" t="inlineStr">
        <is>
          <t>Restore original RQ3 fields; preserve unknowns</t>
        </is>
      </c>
      <c r="C115" s="4" t="inlineStr">
        <is>
          <t>RQ3_base_276</t>
        </is>
      </c>
      <c r="D115"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15" s="4" t="inlineStr">
        <is>
          <t>Previously created unsuffixed columns zeroed existing historical indicators</t>
        </is>
      </c>
    </row>
    <row r="116" ht="86" customHeight="1">
      <c r="A116" s="4" t="inlineStr">
        <is>
          <t>124</t>
        </is>
      </c>
      <c r="B116" s="4" t="inlineStr">
        <is>
          <t>Restore original RQ3 fields; preserve unknowns</t>
        </is>
      </c>
      <c r="C116" s="4" t="inlineStr">
        <is>
          <t>RQ3_base_276</t>
        </is>
      </c>
      <c r="D116"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16" s="4" t="inlineStr">
        <is>
          <t>Previously created unsuffixed columns zeroed existing historical indicators</t>
        </is>
      </c>
    </row>
    <row r="117" ht="86" customHeight="1">
      <c r="A117" s="4" t="inlineStr">
        <is>
          <t>125</t>
        </is>
      </c>
      <c r="B117" s="4" t="inlineStr">
        <is>
          <t>Restore original RQ3 fields; preserve unknowns</t>
        </is>
      </c>
      <c r="C117" s="4" t="inlineStr">
        <is>
          <t>RQ3_base_276</t>
        </is>
      </c>
      <c r="D117"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0</t>
        </is>
      </c>
      <c r="E117" s="4" t="inlineStr">
        <is>
          <t>Previously created unsuffixed columns zeroed existing historical indicators</t>
        </is>
      </c>
    </row>
    <row r="118" ht="86" customHeight="1">
      <c r="A118" s="4" t="inlineStr">
        <is>
          <t>128</t>
        </is>
      </c>
      <c r="B118" s="4" t="inlineStr">
        <is>
          <t>Restore original RQ3 fields; preserve unknowns</t>
        </is>
      </c>
      <c r="C118" s="4" t="inlineStr">
        <is>
          <t>RQ3_base_276</t>
        </is>
      </c>
      <c r="D118"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18" s="4" t="inlineStr">
        <is>
          <t>Previously created unsuffixed columns zeroed existing historical indicators</t>
        </is>
      </c>
    </row>
    <row r="119" ht="86" customHeight="1">
      <c r="A119" s="4" t="inlineStr">
        <is>
          <t>129</t>
        </is>
      </c>
      <c r="B119" s="4" t="inlineStr">
        <is>
          <t>Restore original RQ3 fields; preserve unknowns</t>
        </is>
      </c>
      <c r="C119" s="4" t="inlineStr">
        <is>
          <t>RQ3_base_276</t>
        </is>
      </c>
      <c r="D11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19" s="4" t="inlineStr">
        <is>
          <t>Previously created unsuffixed columns zeroed existing historical indicators</t>
        </is>
      </c>
    </row>
    <row r="120" ht="86" customHeight="1">
      <c r="A120" s="4" t="inlineStr">
        <is>
          <t>130</t>
        </is>
      </c>
      <c r="B120" s="4" t="inlineStr">
        <is>
          <t>Restore original RQ3 fields; preserve unknowns</t>
        </is>
      </c>
      <c r="C120" s="4" t="inlineStr">
        <is>
          <t>RQ3_base_276</t>
        </is>
      </c>
      <c r="D12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20" s="4" t="inlineStr">
        <is>
          <t>Previously created unsuffixed columns zeroed existing historical indicators</t>
        </is>
      </c>
    </row>
    <row r="121" ht="86" customHeight="1">
      <c r="A121" s="4" t="inlineStr">
        <is>
          <t>131</t>
        </is>
      </c>
      <c r="B121" s="4" t="inlineStr">
        <is>
          <t>Restore original RQ3 fields; preserve unknowns</t>
        </is>
      </c>
      <c r="C121" s="4" t="inlineStr">
        <is>
          <t>RQ3_base_276</t>
        </is>
      </c>
      <c r="D121"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21" s="4" t="inlineStr">
        <is>
          <t>Previously created unsuffixed columns zeroed existing historical indicators</t>
        </is>
      </c>
    </row>
    <row r="122" ht="86" customHeight="1">
      <c r="A122" s="4" t="inlineStr">
        <is>
          <t>132</t>
        </is>
      </c>
      <c r="B122" s="4" t="inlineStr">
        <is>
          <t>Restore original RQ3 fields; preserve unknowns</t>
        </is>
      </c>
      <c r="C122" s="4" t="inlineStr">
        <is>
          <t>RQ3_base_276</t>
        </is>
      </c>
      <c r="D122"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22" s="4" t="inlineStr">
        <is>
          <t>Previously created unsuffixed columns zeroed existing historical indicators</t>
        </is>
      </c>
    </row>
    <row r="123" ht="86" customHeight="1">
      <c r="A123" s="4" t="inlineStr">
        <is>
          <t>133</t>
        </is>
      </c>
      <c r="B123" s="4" t="inlineStr">
        <is>
          <t>Restore original RQ3 fields; preserve unknowns</t>
        </is>
      </c>
      <c r="C123" s="4" t="inlineStr">
        <is>
          <t>RQ3_base_276</t>
        </is>
      </c>
      <c r="D123"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23" s="4" t="inlineStr">
        <is>
          <t>Previously created unsuffixed columns zeroed existing historical indicators</t>
        </is>
      </c>
    </row>
    <row r="124" ht="86" customHeight="1">
      <c r="A124" s="4" t="inlineStr">
        <is>
          <t>134</t>
        </is>
      </c>
      <c r="B124" s="4" t="inlineStr">
        <is>
          <t>Restore original RQ3 fields; preserve unknowns</t>
        </is>
      </c>
      <c r="C124" s="4" t="inlineStr">
        <is>
          <t>RQ3_base_276</t>
        </is>
      </c>
      <c r="D124"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24" s="4" t="inlineStr">
        <is>
          <t>Previously created unsuffixed columns zeroed existing historical indicators</t>
        </is>
      </c>
    </row>
    <row r="125" ht="86" customHeight="1">
      <c r="A125" s="4" t="inlineStr">
        <is>
          <t>135</t>
        </is>
      </c>
      <c r="B125" s="4" t="inlineStr">
        <is>
          <t>Restore original RQ3 fields; preserve unknowns</t>
        </is>
      </c>
      <c r="C125" s="4" t="inlineStr">
        <is>
          <t>RQ3_base_276</t>
        </is>
      </c>
      <c r="D125"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25" s="4" t="inlineStr">
        <is>
          <t>Previously created unsuffixed columns zeroed existing historical indicators</t>
        </is>
      </c>
    </row>
    <row r="126" ht="86" customHeight="1">
      <c r="A126" s="4" t="inlineStr">
        <is>
          <t>136</t>
        </is>
      </c>
      <c r="B126" s="4" t="inlineStr">
        <is>
          <t>Restore original RQ3 fields; preserve unknowns</t>
        </is>
      </c>
      <c r="C126" s="4" t="inlineStr">
        <is>
          <t>RQ3_base_276</t>
        </is>
      </c>
      <c r="D126"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0</t>
        </is>
      </c>
      <c r="E126" s="4" t="inlineStr">
        <is>
          <t>Previously created unsuffixed columns zeroed existing historical indicators</t>
        </is>
      </c>
    </row>
    <row r="127" ht="86" customHeight="1">
      <c r="A127" s="4" t="inlineStr">
        <is>
          <t>137</t>
        </is>
      </c>
      <c r="B127" s="4" t="inlineStr">
        <is>
          <t>Restore original RQ3 fields; preserve unknowns</t>
        </is>
      </c>
      <c r="C127" s="4" t="inlineStr">
        <is>
          <t>RQ3_base_276</t>
        </is>
      </c>
      <c r="D12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1; q3_xai_partial_signal -&gt; xai_partial: 0; q3_multisource_data_signal -&gt; multisource_data: 0</t>
        </is>
      </c>
      <c r="E127" s="4" t="inlineStr">
        <is>
          <t>Previously created unsuffixed columns zeroed existing historical indicators</t>
        </is>
      </c>
    </row>
    <row r="128" ht="86" customHeight="1">
      <c r="A128" s="4" t="inlineStr">
        <is>
          <t>138</t>
        </is>
      </c>
      <c r="B128" s="4" t="inlineStr">
        <is>
          <t>Restore original RQ3 fields; preserve unknowns</t>
        </is>
      </c>
      <c r="C128" s="4" t="inlineStr">
        <is>
          <t>RQ3_base_276</t>
        </is>
      </c>
      <c r="D128"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0</t>
        </is>
      </c>
      <c r="E128" s="4" t="inlineStr">
        <is>
          <t>Previously created unsuffixed columns zeroed existing historical indicators</t>
        </is>
      </c>
    </row>
    <row r="129" ht="86" customHeight="1">
      <c r="A129" s="4" t="inlineStr">
        <is>
          <t>140</t>
        </is>
      </c>
      <c r="B129" s="4" t="inlineStr">
        <is>
          <t>Restore original RQ3 fields; preserve unknowns</t>
        </is>
      </c>
      <c r="C129" s="4" t="inlineStr">
        <is>
          <t>RQ3_base_276</t>
        </is>
      </c>
      <c r="D129"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0</t>
        </is>
      </c>
      <c r="E129" s="4" t="inlineStr">
        <is>
          <t>Previously created unsuffixed columns zeroed existing historical indicators</t>
        </is>
      </c>
    </row>
    <row r="130" ht="86" customHeight="1">
      <c r="A130" s="4" t="inlineStr">
        <is>
          <t>141</t>
        </is>
      </c>
      <c r="B130" s="4" t="inlineStr">
        <is>
          <t>Restore original RQ3 fields; preserve unknowns</t>
        </is>
      </c>
      <c r="C130" s="4" t="inlineStr">
        <is>
          <t>RQ3_base_276</t>
        </is>
      </c>
      <c r="D13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30" s="4" t="inlineStr">
        <is>
          <t>Previously created unsuffixed columns zeroed existing historical indicators</t>
        </is>
      </c>
    </row>
    <row r="131" ht="86" customHeight="1">
      <c r="A131" s="4" t="inlineStr">
        <is>
          <t>142</t>
        </is>
      </c>
      <c r="B131" s="4" t="inlineStr">
        <is>
          <t>Restore original RQ3 fields; preserve unknowns</t>
        </is>
      </c>
      <c r="C131" s="4" t="inlineStr">
        <is>
          <t>RQ3_base_276</t>
        </is>
      </c>
      <c r="D131"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31" s="4" t="inlineStr">
        <is>
          <t>Previously created unsuffixed columns zeroed existing historical indicators</t>
        </is>
      </c>
    </row>
    <row r="132" ht="86" customHeight="1">
      <c r="A132" s="4" t="inlineStr">
        <is>
          <t>143</t>
        </is>
      </c>
      <c r="B132" s="4" t="inlineStr">
        <is>
          <t>Restore original RQ3 fields; preserve unknowns</t>
        </is>
      </c>
      <c r="C132" s="4" t="inlineStr">
        <is>
          <t>RQ3_base_276</t>
        </is>
      </c>
      <c r="D132"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32" s="4" t="inlineStr">
        <is>
          <t>Previously created unsuffixed columns zeroed existing historical indicators</t>
        </is>
      </c>
    </row>
    <row r="133" ht="86" customHeight="1">
      <c r="A133" s="4" t="inlineStr">
        <is>
          <t>144</t>
        </is>
      </c>
      <c r="B133" s="4" t="inlineStr">
        <is>
          <t>Restore original RQ3 fields; preserve unknowns</t>
        </is>
      </c>
      <c r="C133" s="4" t="inlineStr">
        <is>
          <t>RQ3_base_276</t>
        </is>
      </c>
      <c r="D133"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33" s="4" t="inlineStr">
        <is>
          <t>Previously created unsuffixed columns zeroed existing historical indicators</t>
        </is>
      </c>
    </row>
    <row r="134" ht="86" customHeight="1">
      <c r="A134" s="4" t="inlineStr">
        <is>
          <t>145</t>
        </is>
      </c>
      <c r="B134" s="4" t="inlineStr">
        <is>
          <t>Restore original RQ3 fields; preserve unknowns</t>
        </is>
      </c>
      <c r="C134" s="4" t="inlineStr">
        <is>
          <t>RQ3_base_276</t>
        </is>
      </c>
      <c r="D134"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34" s="4" t="inlineStr">
        <is>
          <t>Previously created unsuffixed columns zeroed existing historical indicators</t>
        </is>
      </c>
    </row>
    <row r="135" ht="86" customHeight="1">
      <c r="A135" s="4" t="inlineStr">
        <is>
          <t>146</t>
        </is>
      </c>
      <c r="B135" s="4" t="inlineStr">
        <is>
          <t>Restore original RQ3 fields; preserve unknowns</t>
        </is>
      </c>
      <c r="C135" s="4" t="inlineStr">
        <is>
          <t>RQ3_base_276</t>
        </is>
      </c>
      <c r="D135"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35" s="4" t="inlineStr">
        <is>
          <t>Previously created unsuffixed columns zeroed existing historical indicators</t>
        </is>
      </c>
    </row>
    <row r="136" ht="86" customHeight="1">
      <c r="A136" s="4" t="inlineStr">
        <is>
          <t>147</t>
        </is>
      </c>
      <c r="B136" s="4" t="inlineStr">
        <is>
          <t>Restore original RQ3 fields; preserve unknowns</t>
        </is>
      </c>
      <c r="C136" s="4" t="inlineStr">
        <is>
          <t>RQ3_base_276</t>
        </is>
      </c>
      <c r="D136"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1</t>
        </is>
      </c>
      <c r="E136" s="4" t="inlineStr">
        <is>
          <t>Previously created unsuffixed columns zeroed existing historical indicators</t>
        </is>
      </c>
    </row>
    <row r="137" ht="86" customHeight="1">
      <c r="A137" s="4" t="inlineStr">
        <is>
          <t>148</t>
        </is>
      </c>
      <c r="B137" s="4" t="inlineStr">
        <is>
          <t>Restore original RQ3 fields; preserve unknowns</t>
        </is>
      </c>
      <c r="C137" s="4" t="inlineStr">
        <is>
          <t>RQ3_base_276</t>
        </is>
      </c>
      <c r="D13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37" s="4" t="inlineStr">
        <is>
          <t>Previously created unsuffixed columns zeroed existing historical indicators</t>
        </is>
      </c>
    </row>
    <row r="138" ht="86" customHeight="1">
      <c r="A138" s="4" t="inlineStr">
        <is>
          <t>149</t>
        </is>
      </c>
      <c r="B138" s="4" t="inlineStr">
        <is>
          <t>Restore original RQ3 fields; preserve unknowns</t>
        </is>
      </c>
      <c r="C138" s="4" t="inlineStr">
        <is>
          <t>RQ3_base_276</t>
        </is>
      </c>
      <c r="D138"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1</t>
        </is>
      </c>
      <c r="E138" s="4" t="inlineStr">
        <is>
          <t>Previously created unsuffixed columns zeroed existing historical indicators</t>
        </is>
      </c>
    </row>
    <row r="139" ht="86" customHeight="1">
      <c r="A139" s="4" t="inlineStr">
        <is>
          <t>150</t>
        </is>
      </c>
      <c r="B139" s="4" t="inlineStr">
        <is>
          <t>Restore original RQ3 fields; preserve unknowns</t>
        </is>
      </c>
      <c r="C139" s="4" t="inlineStr">
        <is>
          <t>RQ3_base_276</t>
        </is>
      </c>
      <c r="D13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1; q3_multisource_data_signal -&gt; multisource_data: 0</t>
        </is>
      </c>
      <c r="E139" s="4" t="inlineStr">
        <is>
          <t>Previously created unsuffixed columns zeroed existing historical indicators</t>
        </is>
      </c>
    </row>
    <row r="140" ht="86" customHeight="1">
      <c r="A140" s="4" t="inlineStr">
        <is>
          <t>151</t>
        </is>
      </c>
      <c r="B140" s="4" t="inlineStr">
        <is>
          <t>Restore original RQ3 fields; preserve unknowns</t>
        </is>
      </c>
      <c r="C140" s="4" t="inlineStr">
        <is>
          <t>RQ3_base_276</t>
        </is>
      </c>
      <c r="D140" s="4" t="inlineStr">
        <is>
          <t>q3_external_validation_signal -&gt; external_validation: 1; q3_multisite_dataset_signal -&gt; multisite_dataset: 0; q3_cross_site_robustness_signal -&gt; cross_site_robustness: 0; q3_prospective_evaluation_signal -&gt; prospective_evaluation: 0; q3_xai_strict_signal -&gt; xai_strict: 1; q3_xai_partial_signal -&gt; xai_partial: 0; q3_multisource_data_signal -&gt; multisource_data: 1</t>
        </is>
      </c>
      <c r="E140" s="4" t="inlineStr">
        <is>
          <t>Previously created unsuffixed columns zeroed existing historical indicators</t>
        </is>
      </c>
    </row>
    <row r="141" ht="86" customHeight="1">
      <c r="A141" s="4" t="inlineStr">
        <is>
          <t>152</t>
        </is>
      </c>
      <c r="B141" s="4" t="inlineStr">
        <is>
          <t>Restore original RQ3 fields; preserve unknowns</t>
        </is>
      </c>
      <c r="C141" s="4" t="inlineStr">
        <is>
          <t>RQ3_base_276</t>
        </is>
      </c>
      <c r="D141"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41" s="4" t="inlineStr">
        <is>
          <t>Previously created unsuffixed columns zeroed existing historical indicators</t>
        </is>
      </c>
    </row>
    <row r="142" ht="86" customHeight="1">
      <c r="A142" s="4" t="inlineStr">
        <is>
          <t>153</t>
        </is>
      </c>
      <c r="B142" s="4" t="inlineStr">
        <is>
          <t>Restore original RQ3 fields; preserve unknowns</t>
        </is>
      </c>
      <c r="C142" s="4" t="inlineStr">
        <is>
          <t>RQ3_base_276</t>
        </is>
      </c>
      <c r="D142"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42" s="4" t="inlineStr">
        <is>
          <t>Previously created unsuffixed columns zeroed existing historical indicators</t>
        </is>
      </c>
    </row>
    <row r="143" ht="86" customHeight="1">
      <c r="A143" s="4" t="inlineStr">
        <is>
          <t>154</t>
        </is>
      </c>
      <c r="B143" s="4" t="inlineStr">
        <is>
          <t>Restore original RQ3 fields; preserve unknowns</t>
        </is>
      </c>
      <c r="C143" s="4" t="inlineStr">
        <is>
          <t>RQ3_base_276</t>
        </is>
      </c>
      <c r="D143"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43" s="4" t="inlineStr">
        <is>
          <t>Previously created unsuffixed columns zeroed existing historical indicators</t>
        </is>
      </c>
    </row>
    <row r="144" ht="86" customHeight="1">
      <c r="A144" s="4" t="inlineStr">
        <is>
          <t>155</t>
        </is>
      </c>
      <c r="B144" s="4" t="inlineStr">
        <is>
          <t>Restore original RQ3 fields; preserve unknowns</t>
        </is>
      </c>
      <c r="C144" s="4" t="inlineStr">
        <is>
          <t>RQ3_base_276</t>
        </is>
      </c>
      <c r="D144"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44" s="4" t="inlineStr">
        <is>
          <t>Previously created unsuffixed columns zeroed existing historical indicators</t>
        </is>
      </c>
    </row>
    <row r="145" ht="86" customHeight="1">
      <c r="A145" s="4" t="inlineStr">
        <is>
          <t>156</t>
        </is>
      </c>
      <c r="B145" s="4" t="inlineStr">
        <is>
          <t>Restore original RQ3 fields; preserve unknowns</t>
        </is>
      </c>
      <c r="C145" s="4" t="inlineStr">
        <is>
          <t>RQ3_base_276</t>
        </is>
      </c>
      <c r="D145"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1; q3_xai_partial_signal -&gt; xai_partial: 0; q3_multisource_data_signal -&gt; multisource_data: 0</t>
        </is>
      </c>
      <c r="E145" s="4" t="inlineStr">
        <is>
          <t>Previously created unsuffixed columns zeroed existing historical indicators</t>
        </is>
      </c>
    </row>
    <row r="146" ht="86" customHeight="1">
      <c r="A146" s="4" t="inlineStr">
        <is>
          <t>157</t>
        </is>
      </c>
      <c r="B146" s="4" t="inlineStr">
        <is>
          <t>Restore original RQ3 fields; preserve unknowns</t>
        </is>
      </c>
      <c r="C146" s="4" t="inlineStr">
        <is>
          <t>RQ3_base_276</t>
        </is>
      </c>
      <c r="D146"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1</t>
        </is>
      </c>
      <c r="E146" s="4" t="inlineStr">
        <is>
          <t>Previously created unsuffixed columns zeroed existing historical indicators</t>
        </is>
      </c>
    </row>
    <row r="147" ht="86" customHeight="1">
      <c r="A147" s="4" t="inlineStr">
        <is>
          <t>158</t>
        </is>
      </c>
      <c r="B147" s="4" t="inlineStr">
        <is>
          <t>Restore original RQ3 fields; preserve unknowns</t>
        </is>
      </c>
      <c r="C147" s="4" t="inlineStr">
        <is>
          <t>RQ3_base_276</t>
        </is>
      </c>
      <c r="D147"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0</t>
        </is>
      </c>
      <c r="E147" s="4" t="inlineStr">
        <is>
          <t>Previously created unsuffixed columns zeroed existing historical indicators</t>
        </is>
      </c>
    </row>
    <row r="148" ht="86" customHeight="1">
      <c r="A148" s="4" t="inlineStr">
        <is>
          <t>159</t>
        </is>
      </c>
      <c r="B148" s="4" t="inlineStr">
        <is>
          <t>Restore original RQ3 fields; preserve unknowns</t>
        </is>
      </c>
      <c r="C148" s="4" t="inlineStr">
        <is>
          <t>RQ3_base_276</t>
        </is>
      </c>
      <c r="D148"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48" s="4" t="inlineStr">
        <is>
          <t>Previously created unsuffixed columns zeroed existing historical indicators</t>
        </is>
      </c>
    </row>
    <row r="149" ht="86" customHeight="1">
      <c r="A149" s="4" t="inlineStr">
        <is>
          <t>160</t>
        </is>
      </c>
      <c r="B149" s="4" t="inlineStr">
        <is>
          <t>Restore original RQ3 fields; preserve unknowns</t>
        </is>
      </c>
      <c r="C149" s="4" t="inlineStr">
        <is>
          <t>RQ3_base_276</t>
        </is>
      </c>
      <c r="D14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49" s="4" t="inlineStr">
        <is>
          <t>Previously created unsuffixed columns zeroed existing historical indicators</t>
        </is>
      </c>
    </row>
    <row r="150" ht="86" customHeight="1">
      <c r="A150" s="4" t="inlineStr">
        <is>
          <t>162</t>
        </is>
      </c>
      <c r="B150" s="4" t="inlineStr">
        <is>
          <t>Restore original RQ3 fields; preserve unknowns</t>
        </is>
      </c>
      <c r="C150" s="4" t="inlineStr">
        <is>
          <t>RQ3_base_276</t>
        </is>
      </c>
      <c r="D15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50" s="4" t="inlineStr">
        <is>
          <t>Previously created unsuffixed columns zeroed existing historical indicators</t>
        </is>
      </c>
    </row>
    <row r="151" ht="86" customHeight="1">
      <c r="A151" s="4" t="inlineStr">
        <is>
          <t>163</t>
        </is>
      </c>
      <c r="B151" s="4" t="inlineStr">
        <is>
          <t>Restore original RQ3 fields; preserve unknowns</t>
        </is>
      </c>
      <c r="C151" s="4" t="inlineStr">
        <is>
          <t>RQ3_base_276</t>
        </is>
      </c>
      <c r="D151" s="4" t="inlineStr">
        <is>
          <t>q3_external_validation_signal -&gt; external_validation: 0; q3_multisite_dataset_signal -&gt; multisite_dataset: 1; q3_cross_site_robustness_signal -&gt; cross_site_robustness: 1; q3_prospective_evaluation_signal -&gt; prospective_evaluation: 0; q3_xai_strict_signal -&gt; xai_strict: 0; q3_xai_partial_signal -&gt; xai_partial: 0; q3_multisource_data_signal -&gt; multisource_data: 1</t>
        </is>
      </c>
      <c r="E151" s="4" t="inlineStr">
        <is>
          <t>Previously created unsuffixed columns zeroed existing historical indicators</t>
        </is>
      </c>
    </row>
    <row r="152" ht="86" customHeight="1">
      <c r="A152" s="4" t="inlineStr">
        <is>
          <t>164</t>
        </is>
      </c>
      <c r="B152" s="4" t="inlineStr">
        <is>
          <t>Restore original RQ3 fields; preserve unknowns</t>
        </is>
      </c>
      <c r="C152" s="4" t="inlineStr">
        <is>
          <t>RQ3_base_276</t>
        </is>
      </c>
      <c r="D152"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52" s="4" t="inlineStr">
        <is>
          <t>Previously created unsuffixed columns zeroed existing historical indicators</t>
        </is>
      </c>
    </row>
    <row r="153" ht="86" customHeight="1">
      <c r="A153" s="4" t="inlineStr">
        <is>
          <t>165</t>
        </is>
      </c>
      <c r="B153" s="4" t="inlineStr">
        <is>
          <t>Restore original RQ3 fields; preserve unknowns</t>
        </is>
      </c>
      <c r="C153" s="4" t="inlineStr">
        <is>
          <t>RQ3_base_276</t>
        </is>
      </c>
      <c r="D153" s="4" t="inlineStr">
        <is>
          <t>q3_external_validation_signal -&gt; external_validation: 0; q3_multisite_dataset_signal -&gt; multisite_dataset: 0; q3_cross_site_robustness_signal -&gt; cross_site_robustness: 0; q3_prospective_evaluation_signal -&gt; prospective_evaluation: 1; q3_xai_strict_signal -&gt; xai_strict: 0; q3_xai_partial_signal -&gt; xai_partial: 0; q3_multisource_data_signal -&gt; multisource_data: 0</t>
        </is>
      </c>
      <c r="E153" s="4" t="inlineStr">
        <is>
          <t>Previously created unsuffixed columns zeroed existing historical indicators</t>
        </is>
      </c>
    </row>
    <row r="154" ht="86" customHeight="1">
      <c r="A154" s="4" t="inlineStr">
        <is>
          <t>166</t>
        </is>
      </c>
      <c r="B154" s="4" t="inlineStr">
        <is>
          <t>Restore original RQ3 fields; preserve unknowns</t>
        </is>
      </c>
      <c r="C154" s="4" t="inlineStr">
        <is>
          <t>RQ3_base_276</t>
        </is>
      </c>
      <c r="D154"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54" s="4" t="inlineStr">
        <is>
          <t>Previously created unsuffixed columns zeroed existing historical indicators</t>
        </is>
      </c>
    </row>
    <row r="155" ht="86" customHeight="1">
      <c r="A155" s="4" t="inlineStr">
        <is>
          <t>168</t>
        </is>
      </c>
      <c r="B155" s="4" t="inlineStr">
        <is>
          <t>Restore original RQ3 fields; preserve unknowns</t>
        </is>
      </c>
      <c r="C155" s="4" t="inlineStr">
        <is>
          <t>RQ3_base_276</t>
        </is>
      </c>
      <c r="D155"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55" s="4" t="inlineStr">
        <is>
          <t>Previously created unsuffixed columns zeroed existing historical indicators</t>
        </is>
      </c>
    </row>
    <row r="156" ht="86" customHeight="1">
      <c r="A156" s="4" t="inlineStr">
        <is>
          <t>169</t>
        </is>
      </c>
      <c r="B156" s="4" t="inlineStr">
        <is>
          <t>Restore original RQ3 fields; preserve unknowns</t>
        </is>
      </c>
      <c r="C156" s="4" t="inlineStr">
        <is>
          <t>RQ3_base_276</t>
        </is>
      </c>
      <c r="D156"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56" s="4" t="inlineStr">
        <is>
          <t>Previously created unsuffixed columns zeroed existing historical indicators</t>
        </is>
      </c>
    </row>
    <row r="157" ht="86" customHeight="1">
      <c r="A157" s="4" t="inlineStr">
        <is>
          <t>170</t>
        </is>
      </c>
      <c r="B157" s="4" t="inlineStr">
        <is>
          <t>Restore original RQ3 fields; preserve unknowns</t>
        </is>
      </c>
      <c r="C157" s="4" t="inlineStr">
        <is>
          <t>RQ3_base_276</t>
        </is>
      </c>
      <c r="D157"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0</t>
        </is>
      </c>
      <c r="E157" s="4" t="inlineStr">
        <is>
          <t>Previously created unsuffixed columns zeroed existing historical indicators</t>
        </is>
      </c>
    </row>
    <row r="158" ht="86" customHeight="1">
      <c r="A158" s="4" t="inlineStr">
        <is>
          <t>171</t>
        </is>
      </c>
      <c r="B158" s="4" t="inlineStr">
        <is>
          <t>Restore original RQ3 fields; preserve unknowns</t>
        </is>
      </c>
      <c r="C158" s="4" t="inlineStr">
        <is>
          <t>RQ3_base_276</t>
        </is>
      </c>
      <c r="D158"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58" s="4" t="inlineStr">
        <is>
          <t>Previously created unsuffixed columns zeroed existing historical indicators</t>
        </is>
      </c>
    </row>
    <row r="159" ht="86" customHeight="1">
      <c r="A159" s="4" t="inlineStr">
        <is>
          <t>172</t>
        </is>
      </c>
      <c r="B159" s="4" t="inlineStr">
        <is>
          <t>Restore original RQ3 fields; preserve unknowns</t>
        </is>
      </c>
      <c r="C159" s="4" t="inlineStr">
        <is>
          <t>RQ3_base_276</t>
        </is>
      </c>
      <c r="D15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59" s="4" t="inlineStr">
        <is>
          <t>Previously created unsuffixed columns zeroed existing historical indicators</t>
        </is>
      </c>
    </row>
    <row r="160" ht="86" customHeight="1">
      <c r="A160" s="4" t="inlineStr">
        <is>
          <t>173</t>
        </is>
      </c>
      <c r="B160" s="4" t="inlineStr">
        <is>
          <t>Restore original RQ3 fields; preserve unknowns</t>
        </is>
      </c>
      <c r="C160" s="4" t="inlineStr">
        <is>
          <t>RQ3_base_276</t>
        </is>
      </c>
      <c r="D16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60" s="4" t="inlineStr">
        <is>
          <t>Previously created unsuffixed columns zeroed existing historical indicators</t>
        </is>
      </c>
    </row>
    <row r="161" ht="86" customHeight="1">
      <c r="A161" s="4" t="inlineStr">
        <is>
          <t>174</t>
        </is>
      </c>
      <c r="B161" s="4" t="inlineStr">
        <is>
          <t>Restore original RQ3 fields; preserve unknowns</t>
        </is>
      </c>
      <c r="C161" s="4" t="inlineStr">
        <is>
          <t>RQ3_base_276</t>
        </is>
      </c>
      <c r="D161"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61" s="4" t="inlineStr">
        <is>
          <t>Previously created unsuffixed columns zeroed existing historical indicators</t>
        </is>
      </c>
    </row>
    <row r="162" ht="86" customHeight="1">
      <c r="A162" s="4" t="inlineStr">
        <is>
          <t>175</t>
        </is>
      </c>
      <c r="B162" s="4" t="inlineStr">
        <is>
          <t>Restore original RQ3 fields; preserve unknowns</t>
        </is>
      </c>
      <c r="C162" s="4" t="inlineStr">
        <is>
          <t>RQ3_base_276</t>
        </is>
      </c>
      <c r="D162"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62" s="4" t="inlineStr">
        <is>
          <t>Previously created unsuffixed columns zeroed existing historical indicators</t>
        </is>
      </c>
    </row>
    <row r="163" ht="86" customHeight="1">
      <c r="A163" s="4" t="inlineStr">
        <is>
          <t>177</t>
        </is>
      </c>
      <c r="B163" s="4" t="inlineStr">
        <is>
          <t>Restore original RQ3 fields; preserve unknowns</t>
        </is>
      </c>
      <c r="C163" s="4" t="inlineStr">
        <is>
          <t>RQ3_base_276</t>
        </is>
      </c>
      <c r="D163"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1</t>
        </is>
      </c>
      <c r="E163" s="4" t="inlineStr">
        <is>
          <t>Previously created unsuffixed columns zeroed existing historical indicators</t>
        </is>
      </c>
    </row>
    <row r="164" ht="86" customHeight="1">
      <c r="A164" s="4" t="inlineStr">
        <is>
          <t>178</t>
        </is>
      </c>
      <c r="B164" s="4" t="inlineStr">
        <is>
          <t>Restore original RQ3 fields; preserve unknowns</t>
        </is>
      </c>
      <c r="C164" s="4" t="inlineStr">
        <is>
          <t>RQ3_base_276</t>
        </is>
      </c>
      <c r="D164"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1; q3_xai_partial_signal -&gt; xai_partial: 0; q3_multisource_data_signal -&gt; multisource_data: 0</t>
        </is>
      </c>
      <c r="E164" s="4" t="inlineStr">
        <is>
          <t>Previously created unsuffixed columns zeroed existing historical indicators</t>
        </is>
      </c>
    </row>
    <row r="165" ht="86" customHeight="1">
      <c r="A165" s="4" t="inlineStr">
        <is>
          <t>179</t>
        </is>
      </c>
      <c r="B165" s="4" t="inlineStr">
        <is>
          <t>Restore original RQ3 fields; preserve unknowns</t>
        </is>
      </c>
      <c r="C165" s="4" t="inlineStr">
        <is>
          <t>RQ3_base_276</t>
        </is>
      </c>
      <c r="D165"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65" s="4" t="inlineStr">
        <is>
          <t>Previously created unsuffixed columns zeroed existing historical indicators</t>
        </is>
      </c>
    </row>
    <row r="166" ht="86" customHeight="1">
      <c r="A166" s="4" t="inlineStr">
        <is>
          <t>180</t>
        </is>
      </c>
      <c r="B166" s="4" t="inlineStr">
        <is>
          <t>Restore original RQ3 fields; preserve unknowns</t>
        </is>
      </c>
      <c r="C166" s="4" t="inlineStr">
        <is>
          <t>RQ3_base_276</t>
        </is>
      </c>
      <c r="D166"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66" s="4" t="inlineStr">
        <is>
          <t>Previously created unsuffixed columns zeroed existing historical indicators</t>
        </is>
      </c>
    </row>
    <row r="167" ht="86" customHeight="1">
      <c r="A167" s="4" t="inlineStr">
        <is>
          <t>182</t>
        </is>
      </c>
      <c r="B167" s="4" t="inlineStr">
        <is>
          <t>Restore original RQ3 fields; preserve unknowns</t>
        </is>
      </c>
      <c r="C167" s="4" t="inlineStr">
        <is>
          <t>RQ3_base_276</t>
        </is>
      </c>
      <c r="D16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67" s="4" t="inlineStr">
        <is>
          <t>Previously created unsuffixed columns zeroed existing historical indicators</t>
        </is>
      </c>
    </row>
    <row r="168" ht="86" customHeight="1">
      <c r="A168" s="4" t="inlineStr">
        <is>
          <t>183</t>
        </is>
      </c>
      <c r="B168" s="4" t="inlineStr">
        <is>
          <t>Restore original RQ3 fields; preserve unknowns</t>
        </is>
      </c>
      <c r="C168" s="4" t="inlineStr">
        <is>
          <t>RQ3_base_276</t>
        </is>
      </c>
      <c r="D168" s="4" t="inlineStr">
        <is>
          <t>q3_external_validation_signal -&gt; external_validation: 1; q3_multisite_dataset_signal -&gt; multisite_dataset: 0; q3_cross_site_robustness_signal -&gt; cross_site_robustness: 0; q3_prospective_evaluation_signal -&gt; prospective_evaluation: 1; q3_xai_strict_signal -&gt; xai_strict: 0; q3_xai_partial_signal -&gt; xai_partial: 1; q3_multisource_data_signal -&gt; multisource_data: 0</t>
        </is>
      </c>
      <c r="E168" s="4" t="inlineStr">
        <is>
          <t>Previously created unsuffixed columns zeroed existing historical indicators</t>
        </is>
      </c>
    </row>
    <row r="169" ht="86" customHeight="1">
      <c r="A169" s="4" t="inlineStr">
        <is>
          <t>184</t>
        </is>
      </c>
      <c r="B169" s="4" t="inlineStr">
        <is>
          <t>Restore original RQ3 fields; preserve unknowns</t>
        </is>
      </c>
      <c r="C169" s="4" t="inlineStr">
        <is>
          <t>RQ3_base_276</t>
        </is>
      </c>
      <c r="D16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1; q3_xai_partial_signal -&gt; xai_partial: 0; q3_multisource_data_signal -&gt; multisource_data: 0</t>
        </is>
      </c>
      <c r="E169" s="4" t="inlineStr">
        <is>
          <t>Previously created unsuffixed columns zeroed existing historical indicators</t>
        </is>
      </c>
    </row>
    <row r="170" ht="86" customHeight="1">
      <c r="A170" s="4" t="inlineStr">
        <is>
          <t>185</t>
        </is>
      </c>
      <c r="B170" s="4" t="inlineStr">
        <is>
          <t>Restore original RQ3 fields; preserve unknowns</t>
        </is>
      </c>
      <c r="C170" s="4" t="inlineStr">
        <is>
          <t>RQ3_base_276</t>
        </is>
      </c>
      <c r="D17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70" s="4" t="inlineStr">
        <is>
          <t>Previously created unsuffixed columns zeroed existing historical indicators</t>
        </is>
      </c>
    </row>
    <row r="171" ht="86" customHeight="1">
      <c r="A171" s="4" t="inlineStr">
        <is>
          <t>186</t>
        </is>
      </c>
      <c r="B171" s="4" t="inlineStr">
        <is>
          <t>Restore original RQ3 fields; preserve unknowns</t>
        </is>
      </c>
      <c r="C171" s="4" t="inlineStr">
        <is>
          <t>RQ3_base_276</t>
        </is>
      </c>
      <c r="D171"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71" s="4" t="inlineStr">
        <is>
          <t>Previously created unsuffixed columns zeroed existing historical indicators</t>
        </is>
      </c>
    </row>
    <row r="172" ht="86" customHeight="1">
      <c r="A172" s="4" t="inlineStr">
        <is>
          <t>187</t>
        </is>
      </c>
      <c r="B172" s="4" t="inlineStr">
        <is>
          <t>Restore original RQ3 fields; preserve unknowns</t>
        </is>
      </c>
      <c r="C172" s="4" t="inlineStr">
        <is>
          <t>RQ3_base_276</t>
        </is>
      </c>
      <c r="D172" s="4" t="inlineStr">
        <is>
          <t>q3_external_validation_signal -&gt; external_validation: 0; q3_multisite_dataset_signal -&gt; multisite_dataset: 1; q3_cross_site_robustness_signal -&gt; cross_site_robustness: 1; q3_prospective_evaluation_signal -&gt; prospective_evaluation: 0; q3_xai_strict_signal -&gt; xai_strict: 0; q3_xai_partial_signal -&gt; xai_partial: 1; q3_multisource_data_signal -&gt; multisource_data: 0</t>
        </is>
      </c>
      <c r="E172" s="4" t="inlineStr">
        <is>
          <t>Previously created unsuffixed columns zeroed existing historical indicators</t>
        </is>
      </c>
    </row>
    <row r="173" ht="86" customHeight="1">
      <c r="A173" s="4" t="inlineStr">
        <is>
          <t>188</t>
        </is>
      </c>
      <c r="B173" s="4" t="inlineStr">
        <is>
          <t>Restore original RQ3 fields; preserve unknowns</t>
        </is>
      </c>
      <c r="C173" s="4" t="inlineStr">
        <is>
          <t>RQ3_base_276</t>
        </is>
      </c>
      <c r="D173"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73" s="4" t="inlineStr">
        <is>
          <t>Previously created unsuffixed columns zeroed existing historical indicators</t>
        </is>
      </c>
    </row>
    <row r="174" ht="86" customHeight="1">
      <c r="A174" s="4" t="inlineStr">
        <is>
          <t>189</t>
        </is>
      </c>
      <c r="B174" s="4" t="inlineStr">
        <is>
          <t>Restore original RQ3 fields; preserve unknowns</t>
        </is>
      </c>
      <c r="C174" s="4" t="inlineStr">
        <is>
          <t>RQ3_base_276</t>
        </is>
      </c>
      <c r="D174" s="4" t="inlineStr">
        <is>
          <t>q3_external_validation_signal -&gt; external_validation: 1; q3_multisite_dataset_signal -&gt; multisite_dataset: 0; q3_cross_site_robustness_signal -&gt; cross_site_robustness: 0; q3_prospective_evaluation_signal -&gt; prospective_evaluation: 1; q3_xai_strict_signal -&gt; xai_strict: 1; q3_xai_partial_signal -&gt; xai_partial: 0; q3_multisource_data_signal -&gt; multisource_data: 0</t>
        </is>
      </c>
      <c r="E174" s="4" t="inlineStr">
        <is>
          <t>Previously created unsuffixed columns zeroed existing historical indicators</t>
        </is>
      </c>
    </row>
    <row r="175" ht="86" customHeight="1">
      <c r="A175" s="4" t="inlineStr">
        <is>
          <t>190</t>
        </is>
      </c>
      <c r="B175" s="4" t="inlineStr">
        <is>
          <t>Restore original RQ3 fields; preserve unknowns</t>
        </is>
      </c>
      <c r="C175" s="4" t="inlineStr">
        <is>
          <t>RQ3_base_276</t>
        </is>
      </c>
      <c r="D175"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1; q3_multisource_data_signal -&gt; multisource_data: 1</t>
        </is>
      </c>
      <c r="E175" s="4" t="inlineStr">
        <is>
          <t>Previously created unsuffixed columns zeroed existing historical indicators</t>
        </is>
      </c>
    </row>
    <row r="176" ht="86" customHeight="1">
      <c r="A176" s="4" t="inlineStr">
        <is>
          <t>191</t>
        </is>
      </c>
      <c r="B176" s="4" t="inlineStr">
        <is>
          <t>Restore original RQ3 fields; preserve unknowns</t>
        </is>
      </c>
      <c r="C176" s="4" t="inlineStr">
        <is>
          <t>RQ3_base_276</t>
        </is>
      </c>
      <c r="D176"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1; q3_xai_partial_signal -&gt; xai_partial: 0; q3_multisource_data_signal -&gt; multisource_data: 0</t>
        </is>
      </c>
      <c r="E176" s="4" t="inlineStr">
        <is>
          <t>Previously created unsuffixed columns zeroed existing historical indicators</t>
        </is>
      </c>
    </row>
    <row r="177" ht="86" customHeight="1">
      <c r="A177" s="4" t="inlineStr">
        <is>
          <t>193</t>
        </is>
      </c>
      <c r="B177" s="4" t="inlineStr">
        <is>
          <t>Restore original RQ3 fields; preserve unknowns</t>
        </is>
      </c>
      <c r="C177" s="4" t="inlineStr">
        <is>
          <t>RQ3_base_276</t>
        </is>
      </c>
      <c r="D17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77" s="4" t="inlineStr">
        <is>
          <t>Previously created unsuffixed columns zeroed existing historical indicators</t>
        </is>
      </c>
    </row>
    <row r="178" ht="86" customHeight="1">
      <c r="A178" s="4" t="inlineStr">
        <is>
          <t>194</t>
        </is>
      </c>
      <c r="B178" s="4" t="inlineStr">
        <is>
          <t>Restore original RQ3 fields; preserve unknowns</t>
        </is>
      </c>
      <c r="C178" s="4" t="inlineStr">
        <is>
          <t>RQ3_base_276</t>
        </is>
      </c>
      <c r="D178" s="4" t="inlineStr">
        <is>
          <t>q3_external_validation_signal -&gt; external_validation: 1;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78" s="4" t="inlineStr">
        <is>
          <t>Previously created unsuffixed columns zeroed existing historical indicators</t>
        </is>
      </c>
    </row>
    <row r="179" ht="86" customHeight="1">
      <c r="A179" s="4" t="inlineStr">
        <is>
          <t>195</t>
        </is>
      </c>
      <c r="B179" s="4" t="inlineStr">
        <is>
          <t>Restore original RQ3 fields; preserve unknowns</t>
        </is>
      </c>
      <c r="C179" s="4" t="inlineStr">
        <is>
          <t>RQ3_base_276</t>
        </is>
      </c>
      <c r="D17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79" s="4" t="inlineStr">
        <is>
          <t>Previously created unsuffixed columns zeroed existing historical indicators</t>
        </is>
      </c>
    </row>
    <row r="180" ht="86" customHeight="1">
      <c r="A180" s="4" t="inlineStr">
        <is>
          <t>196</t>
        </is>
      </c>
      <c r="B180" s="4" t="inlineStr">
        <is>
          <t>Restore original RQ3 fields; preserve unknowns</t>
        </is>
      </c>
      <c r="C180" s="4" t="inlineStr">
        <is>
          <t>RQ3_base_276</t>
        </is>
      </c>
      <c r="D18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80" s="4" t="inlineStr">
        <is>
          <t>Previously created unsuffixed columns zeroed existing historical indicators</t>
        </is>
      </c>
    </row>
    <row r="181" ht="86" customHeight="1">
      <c r="A181" s="4" t="inlineStr">
        <is>
          <t>197</t>
        </is>
      </c>
      <c r="B181" s="4" t="inlineStr">
        <is>
          <t>Restore original RQ3 fields; preserve unknowns</t>
        </is>
      </c>
      <c r="C181" s="4" t="inlineStr">
        <is>
          <t>RQ3_base_276</t>
        </is>
      </c>
      <c r="D181"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1; q3_multisource_data_signal -&gt; multisource_data: 1</t>
        </is>
      </c>
      <c r="E181" s="4" t="inlineStr">
        <is>
          <t>Previously created unsuffixed columns zeroed existing historical indicators</t>
        </is>
      </c>
    </row>
    <row r="182" ht="86" customHeight="1">
      <c r="A182" s="4" t="inlineStr">
        <is>
          <t>199</t>
        </is>
      </c>
      <c r="B182" s="4" t="inlineStr">
        <is>
          <t>Restore original RQ3 fields; preserve unknowns</t>
        </is>
      </c>
      <c r="C182" s="4" t="inlineStr">
        <is>
          <t>RQ3_base_276</t>
        </is>
      </c>
      <c r="D182"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82" s="4" t="inlineStr">
        <is>
          <t>Previously created unsuffixed columns zeroed existing historical indicators</t>
        </is>
      </c>
    </row>
    <row r="183" ht="86" customHeight="1">
      <c r="A183" s="4" t="inlineStr">
        <is>
          <t>200</t>
        </is>
      </c>
      <c r="B183" s="4" t="inlineStr">
        <is>
          <t>Restore original RQ3 fields; preserve unknowns</t>
        </is>
      </c>
      <c r="C183" s="4" t="inlineStr">
        <is>
          <t>RQ3_base_276</t>
        </is>
      </c>
      <c r="D183"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83" s="4" t="inlineStr">
        <is>
          <t>Previously created unsuffixed columns zeroed existing historical indicators</t>
        </is>
      </c>
    </row>
    <row r="184" ht="86" customHeight="1">
      <c r="A184" s="4" t="inlineStr">
        <is>
          <t>201</t>
        </is>
      </c>
      <c r="B184" s="4" t="inlineStr">
        <is>
          <t>Restore original RQ3 fields; preserve unknowns</t>
        </is>
      </c>
      <c r="C184" s="4" t="inlineStr">
        <is>
          <t>RQ3_base_276</t>
        </is>
      </c>
      <c r="D184"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84" s="4" t="inlineStr">
        <is>
          <t>Previously created unsuffixed columns zeroed existing historical indicators</t>
        </is>
      </c>
    </row>
    <row r="185" ht="86" customHeight="1">
      <c r="A185" s="4" t="inlineStr">
        <is>
          <t>202</t>
        </is>
      </c>
      <c r="B185" s="4" t="inlineStr">
        <is>
          <t>Restore original RQ3 fields; preserve unknowns</t>
        </is>
      </c>
      <c r="C185" s="4" t="inlineStr">
        <is>
          <t>RQ3_base_276</t>
        </is>
      </c>
      <c r="D185"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85" s="4" t="inlineStr">
        <is>
          <t>Previously created unsuffixed columns zeroed existing historical indicators</t>
        </is>
      </c>
    </row>
    <row r="186" ht="86" customHeight="1">
      <c r="A186" s="4" t="inlineStr">
        <is>
          <t>203</t>
        </is>
      </c>
      <c r="B186" s="4" t="inlineStr">
        <is>
          <t>Restore original RQ3 fields; preserve unknowns</t>
        </is>
      </c>
      <c r="C186" s="4" t="inlineStr">
        <is>
          <t>RQ3_base_276</t>
        </is>
      </c>
      <c r="D186"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86" s="4" t="inlineStr">
        <is>
          <t>Previously created unsuffixed columns zeroed existing historical indicators</t>
        </is>
      </c>
    </row>
    <row r="187" ht="86" customHeight="1">
      <c r="A187" s="4" t="inlineStr">
        <is>
          <t>204</t>
        </is>
      </c>
      <c r="B187" s="4" t="inlineStr">
        <is>
          <t>Restore original RQ3 fields; preserve unknowns</t>
        </is>
      </c>
      <c r="C187" s="4" t="inlineStr">
        <is>
          <t>RQ3_base_276</t>
        </is>
      </c>
      <c r="D18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87" s="4" t="inlineStr">
        <is>
          <t>Previously created unsuffixed columns zeroed existing historical indicators</t>
        </is>
      </c>
    </row>
    <row r="188" ht="86" customHeight="1">
      <c r="A188" s="4" t="inlineStr">
        <is>
          <t>205</t>
        </is>
      </c>
      <c r="B188" s="4" t="inlineStr">
        <is>
          <t>Restore original RQ3 fields; preserve unknowns</t>
        </is>
      </c>
      <c r="C188" s="4" t="inlineStr">
        <is>
          <t>RQ3_base_276</t>
        </is>
      </c>
      <c r="D188"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88" s="4" t="inlineStr">
        <is>
          <t>Previously created unsuffixed columns zeroed existing historical indicators</t>
        </is>
      </c>
    </row>
    <row r="189" ht="86" customHeight="1">
      <c r="A189" s="4" t="inlineStr">
        <is>
          <t>206</t>
        </is>
      </c>
      <c r="B189" s="4" t="inlineStr">
        <is>
          <t>Restore original RQ3 fields; preserve unknowns</t>
        </is>
      </c>
      <c r="C189" s="4" t="inlineStr">
        <is>
          <t>RQ3_base_276</t>
        </is>
      </c>
      <c r="D18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89" s="4" t="inlineStr">
        <is>
          <t>Previously created unsuffixed columns zeroed existing historical indicators</t>
        </is>
      </c>
    </row>
    <row r="190" ht="86" customHeight="1">
      <c r="A190" s="4" t="inlineStr">
        <is>
          <t>207</t>
        </is>
      </c>
      <c r="B190" s="4" t="inlineStr">
        <is>
          <t>Restore original RQ3 fields; preserve unknowns</t>
        </is>
      </c>
      <c r="C190" s="4" t="inlineStr">
        <is>
          <t>RQ3_base_276</t>
        </is>
      </c>
      <c r="D19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90" s="4" t="inlineStr">
        <is>
          <t>Previously created unsuffixed columns zeroed existing historical indicators</t>
        </is>
      </c>
    </row>
    <row r="191" ht="86" customHeight="1">
      <c r="A191" s="4" t="inlineStr">
        <is>
          <t>208</t>
        </is>
      </c>
      <c r="B191" s="4" t="inlineStr">
        <is>
          <t>Restore original RQ3 fields; preserve unknowns</t>
        </is>
      </c>
      <c r="C191" s="4" t="inlineStr">
        <is>
          <t>RQ3_base_276</t>
        </is>
      </c>
      <c r="D191"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191" s="4" t="inlineStr">
        <is>
          <t>Previously created unsuffixed columns zeroed existing historical indicators</t>
        </is>
      </c>
    </row>
    <row r="192" ht="86" customHeight="1">
      <c r="A192" s="4" t="inlineStr">
        <is>
          <t>209</t>
        </is>
      </c>
      <c r="B192" s="4" t="inlineStr">
        <is>
          <t>Restore original RQ3 fields; preserve unknowns</t>
        </is>
      </c>
      <c r="C192" s="4" t="inlineStr">
        <is>
          <t>RQ3_base_276</t>
        </is>
      </c>
      <c r="D192"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1</t>
        </is>
      </c>
      <c r="E192" s="4" t="inlineStr">
        <is>
          <t>Previously created unsuffixed columns zeroed existing historical indicators</t>
        </is>
      </c>
    </row>
    <row r="193" ht="86" customHeight="1">
      <c r="A193" s="4" t="inlineStr">
        <is>
          <t>210</t>
        </is>
      </c>
      <c r="B193" s="4" t="inlineStr">
        <is>
          <t>Restore original RQ3 fields; preserve unknowns</t>
        </is>
      </c>
      <c r="C193" s="4" t="inlineStr">
        <is>
          <t>RQ3_base_276</t>
        </is>
      </c>
      <c r="D193"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93" s="4" t="inlineStr">
        <is>
          <t>Previously created unsuffixed columns zeroed existing historical indicators</t>
        </is>
      </c>
    </row>
    <row r="194" ht="86" customHeight="1">
      <c r="A194" s="4" t="inlineStr">
        <is>
          <t>211</t>
        </is>
      </c>
      <c r="B194" s="4" t="inlineStr">
        <is>
          <t>Restore original RQ3 fields; preserve unknowns</t>
        </is>
      </c>
      <c r="C194" s="4" t="inlineStr">
        <is>
          <t>RQ3_base_276</t>
        </is>
      </c>
      <c r="D194"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94" s="4" t="inlineStr">
        <is>
          <t>Previously created unsuffixed columns zeroed existing historical indicators</t>
        </is>
      </c>
    </row>
    <row r="195" ht="86" customHeight="1">
      <c r="A195" s="4" t="inlineStr">
        <is>
          <t>212</t>
        </is>
      </c>
      <c r="B195" s="4" t="inlineStr">
        <is>
          <t>Restore original RQ3 fields; preserve unknowns</t>
        </is>
      </c>
      <c r="C195" s="4" t="inlineStr">
        <is>
          <t>RQ3_base_276</t>
        </is>
      </c>
      <c r="D195"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95" s="4" t="inlineStr">
        <is>
          <t>Previously created unsuffixed columns zeroed existing historical indicators</t>
        </is>
      </c>
    </row>
    <row r="196" ht="86" customHeight="1">
      <c r="A196" s="4" t="inlineStr">
        <is>
          <t>213</t>
        </is>
      </c>
      <c r="B196" s="4" t="inlineStr">
        <is>
          <t>Restore original RQ3 fields; preserve unknowns</t>
        </is>
      </c>
      <c r="C196" s="4" t="inlineStr">
        <is>
          <t>RQ3_base_276</t>
        </is>
      </c>
      <c r="D196"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0</t>
        </is>
      </c>
      <c r="E196" s="4" t="inlineStr">
        <is>
          <t>Previously created unsuffixed columns zeroed existing historical indicators</t>
        </is>
      </c>
    </row>
    <row r="197" ht="86" customHeight="1">
      <c r="A197" s="4" t="inlineStr">
        <is>
          <t>214</t>
        </is>
      </c>
      <c r="B197" s="4" t="inlineStr">
        <is>
          <t>Restore original RQ3 fields; preserve unknowns</t>
        </is>
      </c>
      <c r="C197" s="4" t="inlineStr">
        <is>
          <t>RQ3_base_276</t>
        </is>
      </c>
      <c r="D19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97" s="4" t="inlineStr">
        <is>
          <t>Previously created unsuffixed columns zeroed existing historical indicators</t>
        </is>
      </c>
    </row>
    <row r="198" ht="86" customHeight="1">
      <c r="A198" s="4" t="inlineStr">
        <is>
          <t>215</t>
        </is>
      </c>
      <c r="B198" s="4" t="inlineStr">
        <is>
          <t>Restore original RQ3 fields; preserve unknowns</t>
        </is>
      </c>
      <c r="C198" s="4" t="inlineStr">
        <is>
          <t>RQ3_base_276</t>
        </is>
      </c>
      <c r="D198"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98" s="4" t="inlineStr">
        <is>
          <t>Previously created unsuffixed columns zeroed existing historical indicators</t>
        </is>
      </c>
    </row>
    <row r="199" ht="86" customHeight="1">
      <c r="A199" s="4" t="inlineStr">
        <is>
          <t>216</t>
        </is>
      </c>
      <c r="B199" s="4" t="inlineStr">
        <is>
          <t>Restore original RQ3 fields; preserve unknowns</t>
        </is>
      </c>
      <c r="C199" s="4" t="inlineStr">
        <is>
          <t>RQ3_base_276</t>
        </is>
      </c>
      <c r="D19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199" s="4" t="inlineStr">
        <is>
          <t>Previously created unsuffixed columns zeroed existing historical indicators</t>
        </is>
      </c>
    </row>
    <row r="200" ht="86" customHeight="1">
      <c r="A200" s="4" t="inlineStr">
        <is>
          <t>217</t>
        </is>
      </c>
      <c r="B200" s="4" t="inlineStr">
        <is>
          <t>Restore original RQ3 fields; preserve unknowns</t>
        </is>
      </c>
      <c r="C200" s="4" t="inlineStr">
        <is>
          <t>RQ3_base_276</t>
        </is>
      </c>
      <c r="D200"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0</t>
        </is>
      </c>
      <c r="E200" s="4" t="inlineStr">
        <is>
          <t>Previously created unsuffixed columns zeroed existing historical indicators</t>
        </is>
      </c>
    </row>
    <row r="201" ht="86" customHeight="1">
      <c r="A201" s="4" t="inlineStr">
        <is>
          <t>218</t>
        </is>
      </c>
      <c r="B201" s="4" t="inlineStr">
        <is>
          <t>Restore original RQ3 fields; preserve unknowns</t>
        </is>
      </c>
      <c r="C201" s="4" t="inlineStr">
        <is>
          <t>RQ3_base_276</t>
        </is>
      </c>
      <c r="D201"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01" s="4" t="inlineStr">
        <is>
          <t>Previously created unsuffixed columns zeroed existing historical indicators</t>
        </is>
      </c>
    </row>
    <row r="202" ht="86" customHeight="1">
      <c r="A202" s="4" t="inlineStr">
        <is>
          <t>219</t>
        </is>
      </c>
      <c r="B202" s="4" t="inlineStr">
        <is>
          <t>Restore original RQ3 fields; preserve unknowns</t>
        </is>
      </c>
      <c r="C202" s="4" t="inlineStr">
        <is>
          <t>RQ3_base_276</t>
        </is>
      </c>
      <c r="D202"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0</t>
        </is>
      </c>
      <c r="E202" s="4" t="inlineStr">
        <is>
          <t>Previously created unsuffixed columns zeroed existing historical indicators</t>
        </is>
      </c>
    </row>
    <row r="203" ht="86" customHeight="1">
      <c r="A203" s="4" t="inlineStr">
        <is>
          <t>220</t>
        </is>
      </c>
      <c r="B203" s="4" t="inlineStr">
        <is>
          <t>Restore original RQ3 fields; preserve unknowns</t>
        </is>
      </c>
      <c r="C203" s="4" t="inlineStr">
        <is>
          <t>RQ3_base_276</t>
        </is>
      </c>
      <c r="D203"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03" s="4" t="inlineStr">
        <is>
          <t>Previously created unsuffixed columns zeroed existing historical indicators</t>
        </is>
      </c>
    </row>
    <row r="204" ht="86" customHeight="1">
      <c r="A204" s="4" t="inlineStr">
        <is>
          <t>221</t>
        </is>
      </c>
      <c r="B204" s="4" t="inlineStr">
        <is>
          <t>Restore original RQ3 fields; preserve unknowns</t>
        </is>
      </c>
      <c r="C204" s="4" t="inlineStr">
        <is>
          <t>RQ3_base_276</t>
        </is>
      </c>
      <c r="D204"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04" s="4" t="inlineStr">
        <is>
          <t>Previously created unsuffixed columns zeroed existing historical indicators</t>
        </is>
      </c>
    </row>
    <row r="205" ht="86" customHeight="1">
      <c r="A205" s="4" t="inlineStr">
        <is>
          <t>222</t>
        </is>
      </c>
      <c r="B205" s="4" t="inlineStr">
        <is>
          <t>Restore original RQ3 fields; preserve unknowns</t>
        </is>
      </c>
      <c r="C205" s="4" t="inlineStr">
        <is>
          <t>RQ3_base_276</t>
        </is>
      </c>
      <c r="D205"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05" s="4" t="inlineStr">
        <is>
          <t>Previously created unsuffixed columns zeroed existing historical indicators</t>
        </is>
      </c>
    </row>
    <row r="206" ht="86" customHeight="1">
      <c r="A206" s="4" t="inlineStr">
        <is>
          <t>223</t>
        </is>
      </c>
      <c r="B206" s="4" t="inlineStr">
        <is>
          <t>Restore original RQ3 fields; preserve unknowns</t>
        </is>
      </c>
      <c r="C206" s="4" t="inlineStr">
        <is>
          <t>RQ3_base_276</t>
        </is>
      </c>
      <c r="D206"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206" s="4" t="inlineStr">
        <is>
          <t>Previously created unsuffixed columns zeroed existing historical indicators</t>
        </is>
      </c>
    </row>
    <row r="207" ht="86" customHeight="1">
      <c r="A207" s="4" t="inlineStr">
        <is>
          <t>224</t>
        </is>
      </c>
      <c r="B207" s="4" t="inlineStr">
        <is>
          <t>Restore original RQ3 fields; preserve unknowns</t>
        </is>
      </c>
      <c r="C207" s="4" t="inlineStr">
        <is>
          <t>RQ3_base_276</t>
        </is>
      </c>
      <c r="D20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207" s="4" t="inlineStr">
        <is>
          <t>Previously created unsuffixed columns zeroed existing historical indicators</t>
        </is>
      </c>
    </row>
    <row r="208" ht="86" customHeight="1">
      <c r="A208" s="4" t="inlineStr">
        <is>
          <t>225</t>
        </is>
      </c>
      <c r="B208" s="4" t="inlineStr">
        <is>
          <t>Restore original RQ3 fields; preserve unknowns</t>
        </is>
      </c>
      <c r="C208" s="4" t="inlineStr">
        <is>
          <t>RQ3_base_276</t>
        </is>
      </c>
      <c r="D208"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08" s="4" t="inlineStr">
        <is>
          <t>Previously created unsuffixed columns zeroed existing historical indicators</t>
        </is>
      </c>
    </row>
    <row r="209" ht="86" customHeight="1">
      <c r="A209" s="4" t="inlineStr">
        <is>
          <t>226</t>
        </is>
      </c>
      <c r="B209" s="4" t="inlineStr">
        <is>
          <t>Restore original RQ3 fields; preserve unknowns</t>
        </is>
      </c>
      <c r="C209" s="4" t="inlineStr">
        <is>
          <t>RQ3_base_276</t>
        </is>
      </c>
      <c r="D20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09" s="4" t="inlineStr">
        <is>
          <t>Previously created unsuffixed columns zeroed existing historical indicators</t>
        </is>
      </c>
    </row>
    <row r="210" ht="86" customHeight="1">
      <c r="A210" s="4" t="inlineStr">
        <is>
          <t>227</t>
        </is>
      </c>
      <c r="B210" s="4" t="inlineStr">
        <is>
          <t>Restore original RQ3 fields; preserve unknowns</t>
        </is>
      </c>
      <c r="C210" s="4" t="inlineStr">
        <is>
          <t>RQ3_base_276</t>
        </is>
      </c>
      <c r="D21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210" s="4" t="inlineStr">
        <is>
          <t>Previously created unsuffixed columns zeroed existing historical indicators</t>
        </is>
      </c>
    </row>
    <row r="211" ht="86" customHeight="1">
      <c r="A211" s="4" t="inlineStr">
        <is>
          <t>228</t>
        </is>
      </c>
      <c r="B211" s="4" t="inlineStr">
        <is>
          <t>Restore original RQ3 fields; preserve unknowns</t>
        </is>
      </c>
      <c r="C211" s="4" t="inlineStr">
        <is>
          <t>RQ3_base_276</t>
        </is>
      </c>
      <c r="D211"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1</t>
        </is>
      </c>
      <c r="E211" s="4" t="inlineStr">
        <is>
          <t>Previously created unsuffixed columns zeroed existing historical indicators</t>
        </is>
      </c>
    </row>
    <row r="212" ht="86" customHeight="1">
      <c r="A212" s="4" t="inlineStr">
        <is>
          <t>229</t>
        </is>
      </c>
      <c r="B212" s="4" t="inlineStr">
        <is>
          <t>Restore original RQ3 fields; preserve unknowns</t>
        </is>
      </c>
      <c r="C212" s="4" t="inlineStr">
        <is>
          <t>RQ3_base_276</t>
        </is>
      </c>
      <c r="D212"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0</t>
        </is>
      </c>
      <c r="E212" s="4" t="inlineStr">
        <is>
          <t>Previously created unsuffixed columns zeroed existing historical indicators</t>
        </is>
      </c>
    </row>
    <row r="213" ht="86" customHeight="1">
      <c r="A213" s="4" t="inlineStr">
        <is>
          <t>230</t>
        </is>
      </c>
      <c r="B213" s="4" t="inlineStr">
        <is>
          <t>Restore original RQ3 fields; preserve unknowns</t>
        </is>
      </c>
      <c r="C213" s="4" t="inlineStr">
        <is>
          <t>RQ3_base_276</t>
        </is>
      </c>
      <c r="D213"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1; q3_multisource_data_signal -&gt; multisource_data: 0</t>
        </is>
      </c>
      <c r="E213" s="4" t="inlineStr">
        <is>
          <t>Previously created unsuffixed columns zeroed existing historical indicators</t>
        </is>
      </c>
    </row>
    <row r="214" ht="86" customHeight="1">
      <c r="A214" s="4" t="inlineStr">
        <is>
          <t>231</t>
        </is>
      </c>
      <c r="B214" s="4" t="inlineStr">
        <is>
          <t>Restore original RQ3 fields; preserve unknowns</t>
        </is>
      </c>
      <c r="C214" s="4" t="inlineStr">
        <is>
          <t>RQ3_base_276</t>
        </is>
      </c>
      <c r="D214"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14" s="4" t="inlineStr">
        <is>
          <t>Previously created unsuffixed columns zeroed existing historical indicators</t>
        </is>
      </c>
    </row>
    <row r="215" ht="86" customHeight="1">
      <c r="A215" s="4" t="inlineStr">
        <is>
          <t>232</t>
        </is>
      </c>
      <c r="B215" s="4" t="inlineStr">
        <is>
          <t>Restore original RQ3 fields; preserve unknowns</t>
        </is>
      </c>
      <c r="C215" s="4" t="inlineStr">
        <is>
          <t>RQ3_base_276</t>
        </is>
      </c>
      <c r="D215"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15" s="4" t="inlineStr">
        <is>
          <t>Previously created unsuffixed columns zeroed existing historical indicators</t>
        </is>
      </c>
    </row>
    <row r="216" ht="86" customHeight="1">
      <c r="A216" s="4" t="inlineStr">
        <is>
          <t>233</t>
        </is>
      </c>
      <c r="B216" s="4" t="inlineStr">
        <is>
          <t>Restore original RQ3 fields; preserve unknowns</t>
        </is>
      </c>
      <c r="C216" s="4" t="inlineStr">
        <is>
          <t>RQ3_base_276</t>
        </is>
      </c>
      <c r="D216"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16" s="4" t="inlineStr">
        <is>
          <t>Previously created unsuffixed columns zeroed existing historical indicators</t>
        </is>
      </c>
    </row>
    <row r="217" ht="86" customHeight="1">
      <c r="A217" s="4" t="inlineStr">
        <is>
          <t>234</t>
        </is>
      </c>
      <c r="B217" s="4" t="inlineStr">
        <is>
          <t>Restore original RQ3 fields; preserve unknowns</t>
        </is>
      </c>
      <c r="C217" s="4" t="inlineStr">
        <is>
          <t>RQ3_base_276</t>
        </is>
      </c>
      <c r="D21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17" s="4" t="inlineStr">
        <is>
          <t>Previously created unsuffixed columns zeroed existing historical indicators</t>
        </is>
      </c>
    </row>
    <row r="218" ht="86" customHeight="1">
      <c r="A218" s="4" t="inlineStr">
        <is>
          <t>235</t>
        </is>
      </c>
      <c r="B218" s="4" t="inlineStr">
        <is>
          <t>Restore original RQ3 fields; preserve unknowns</t>
        </is>
      </c>
      <c r="C218" s="4" t="inlineStr">
        <is>
          <t>RQ3_base_276</t>
        </is>
      </c>
      <c r="D218"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1; q3_multisource_data_signal -&gt; multisource_data: 1</t>
        </is>
      </c>
      <c r="E218" s="4" t="inlineStr">
        <is>
          <t>Previously created unsuffixed columns zeroed existing historical indicators</t>
        </is>
      </c>
    </row>
    <row r="219" ht="86" customHeight="1">
      <c r="A219" s="4" t="inlineStr">
        <is>
          <t>236</t>
        </is>
      </c>
      <c r="B219" s="4" t="inlineStr">
        <is>
          <t>Restore original RQ3 fields; preserve unknowns</t>
        </is>
      </c>
      <c r="C219" s="4" t="inlineStr">
        <is>
          <t>RQ3_base_276</t>
        </is>
      </c>
      <c r="D21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19" s="4" t="inlineStr">
        <is>
          <t>Previously created unsuffixed columns zeroed existing historical indicators</t>
        </is>
      </c>
    </row>
    <row r="220" ht="86" customHeight="1">
      <c r="A220" s="4" t="inlineStr">
        <is>
          <t>237</t>
        </is>
      </c>
      <c r="B220" s="4" t="inlineStr">
        <is>
          <t>Restore original RQ3 fields; preserve unknowns</t>
        </is>
      </c>
      <c r="C220" s="4" t="inlineStr">
        <is>
          <t>RQ3_base_276</t>
        </is>
      </c>
      <c r="D22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20" s="4" t="inlineStr">
        <is>
          <t>Previously created unsuffixed columns zeroed existing historical indicators</t>
        </is>
      </c>
    </row>
    <row r="221" ht="86" customHeight="1">
      <c r="A221" s="4" t="inlineStr">
        <is>
          <t>238</t>
        </is>
      </c>
      <c r="B221" s="4" t="inlineStr">
        <is>
          <t>Restore original RQ3 fields; preserve unknowns</t>
        </is>
      </c>
      <c r="C221" s="4" t="inlineStr">
        <is>
          <t>RQ3_base_276</t>
        </is>
      </c>
      <c r="D221"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21" s="4" t="inlineStr">
        <is>
          <t>Previously created unsuffixed columns zeroed existing historical indicators</t>
        </is>
      </c>
    </row>
    <row r="222" ht="86" customHeight="1">
      <c r="A222" s="4" t="inlineStr">
        <is>
          <t>239</t>
        </is>
      </c>
      <c r="B222" s="4" t="inlineStr">
        <is>
          <t>Restore original RQ3 fields; preserve unknowns</t>
        </is>
      </c>
      <c r="C222" s="4" t="inlineStr">
        <is>
          <t>RQ3_base_276</t>
        </is>
      </c>
      <c r="D222"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1; q3_xai_partial_signal -&gt; xai_partial: 0; q3_multisource_data_signal -&gt; multisource_data: 0</t>
        </is>
      </c>
      <c r="E222" s="4" t="inlineStr">
        <is>
          <t>Previously created unsuffixed columns zeroed existing historical indicators</t>
        </is>
      </c>
    </row>
    <row r="223" ht="86" customHeight="1">
      <c r="A223" s="4" t="inlineStr">
        <is>
          <t>240</t>
        </is>
      </c>
      <c r="B223" s="4" t="inlineStr">
        <is>
          <t>Restore original RQ3 fields; preserve unknowns</t>
        </is>
      </c>
      <c r="C223" s="4" t="inlineStr">
        <is>
          <t>RQ3_base_276</t>
        </is>
      </c>
      <c r="D223"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23" s="4" t="inlineStr">
        <is>
          <t>Previously created unsuffixed columns zeroed existing historical indicators</t>
        </is>
      </c>
    </row>
    <row r="224" ht="86" customHeight="1">
      <c r="A224" s="4" t="inlineStr">
        <is>
          <t>241</t>
        </is>
      </c>
      <c r="B224" s="4" t="inlineStr">
        <is>
          <t>Restore original RQ3 fields; preserve unknowns</t>
        </is>
      </c>
      <c r="C224" s="4" t="inlineStr">
        <is>
          <t>RQ3_base_276</t>
        </is>
      </c>
      <c r="D224" s="4" t="inlineStr">
        <is>
          <t>q3_external_validation_signal -&gt; external_validation: 1; q3_multisite_dataset_signal -&gt; multisite_dataset: 0; q3_cross_site_robustness_signal -&gt; cross_site_robustness: 0; q3_prospective_evaluation_signal -&gt; prospective_evaluation: 0; q3_xai_strict_signal -&gt; xai_strict: 0; q3_xai_partial_signal -&gt; xai_partial: 1; q3_multisource_data_signal -&gt; multisource_data: 0</t>
        </is>
      </c>
      <c r="E224" s="4" t="inlineStr">
        <is>
          <t>Previously created unsuffixed columns zeroed existing historical indicators</t>
        </is>
      </c>
    </row>
    <row r="225" ht="86" customHeight="1">
      <c r="A225" s="4" t="inlineStr">
        <is>
          <t>242</t>
        </is>
      </c>
      <c r="B225" s="4" t="inlineStr">
        <is>
          <t>Restore original RQ3 fields; preserve unknowns</t>
        </is>
      </c>
      <c r="C225" s="4" t="inlineStr">
        <is>
          <t>RQ3_base_276</t>
        </is>
      </c>
      <c r="D225"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25" s="4" t="inlineStr">
        <is>
          <t>Previously created unsuffixed columns zeroed existing historical indicators</t>
        </is>
      </c>
    </row>
    <row r="226" ht="86" customHeight="1">
      <c r="A226" s="4" t="inlineStr">
        <is>
          <t>243</t>
        </is>
      </c>
      <c r="B226" s="4" t="inlineStr">
        <is>
          <t>Restore original RQ3 fields; preserve unknowns</t>
        </is>
      </c>
      <c r="C226" s="4" t="inlineStr">
        <is>
          <t>RQ3_base_276</t>
        </is>
      </c>
      <c r="D226"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1</t>
        </is>
      </c>
      <c r="E226" s="4" t="inlineStr">
        <is>
          <t>Previously created unsuffixed columns zeroed existing historical indicators</t>
        </is>
      </c>
    </row>
    <row r="227" ht="86" customHeight="1">
      <c r="A227" s="4" t="inlineStr">
        <is>
          <t>245</t>
        </is>
      </c>
      <c r="B227" s="4" t="inlineStr">
        <is>
          <t>Restore original RQ3 fields; preserve unknowns</t>
        </is>
      </c>
      <c r="C227" s="4" t="inlineStr">
        <is>
          <t>RQ3_base_276</t>
        </is>
      </c>
      <c r="D22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27" s="4" t="inlineStr">
        <is>
          <t>Previously created unsuffixed columns zeroed existing historical indicators</t>
        </is>
      </c>
    </row>
    <row r="228" ht="86" customHeight="1">
      <c r="A228" s="4" t="inlineStr">
        <is>
          <t>246</t>
        </is>
      </c>
      <c r="B228" s="4" t="inlineStr">
        <is>
          <t>Restore original RQ3 fields; preserve unknowns</t>
        </is>
      </c>
      <c r="C228" s="4" t="inlineStr">
        <is>
          <t>RQ3_base_276</t>
        </is>
      </c>
      <c r="D228"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28" s="4" t="inlineStr">
        <is>
          <t>Previously created unsuffixed columns zeroed existing historical indicators</t>
        </is>
      </c>
    </row>
    <row r="229" ht="86" customHeight="1">
      <c r="A229" s="4" t="inlineStr">
        <is>
          <t>247</t>
        </is>
      </c>
      <c r="B229" s="4" t="inlineStr">
        <is>
          <t>Restore original RQ3 fields; preserve unknowns</t>
        </is>
      </c>
      <c r="C229" s="4" t="inlineStr">
        <is>
          <t>RQ3_base_276</t>
        </is>
      </c>
      <c r="D229" s="4" t="inlineStr">
        <is>
          <t>q3_external_validation_signal -&gt; external_validation: 1; q3_multisite_dataset_signal -&gt; multisite_dataset: 1; q3_cross_site_robustness_signal -&gt; cross_site_robustness: 1; q3_prospective_evaluation_signal -&gt; prospective_evaluation: 0; q3_xai_strict_signal -&gt; xai_strict: 0; q3_xai_partial_signal -&gt; xai_partial: 0; q3_multisource_data_signal -&gt; multisource_data: 0</t>
        </is>
      </c>
      <c r="E229" s="4" t="inlineStr">
        <is>
          <t>Previously created unsuffixed columns zeroed existing historical indicators</t>
        </is>
      </c>
    </row>
    <row r="230" ht="86" customHeight="1">
      <c r="A230" s="4" t="inlineStr">
        <is>
          <t>248</t>
        </is>
      </c>
      <c r="B230" s="4" t="inlineStr">
        <is>
          <t>Restore original RQ3 fields; preserve unknowns</t>
        </is>
      </c>
      <c r="C230" s="4" t="inlineStr">
        <is>
          <t>RQ3_base_276</t>
        </is>
      </c>
      <c r="D23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30" s="4" t="inlineStr">
        <is>
          <t>Previously created unsuffixed columns zeroed existing historical indicators</t>
        </is>
      </c>
    </row>
    <row r="231" ht="86" customHeight="1">
      <c r="A231" s="4" t="inlineStr">
        <is>
          <t>249</t>
        </is>
      </c>
      <c r="B231" s="4" t="inlineStr">
        <is>
          <t>Restore original RQ3 fields; preserve unknowns</t>
        </is>
      </c>
      <c r="C231" s="4" t="inlineStr">
        <is>
          <t>RQ3_base_276</t>
        </is>
      </c>
      <c r="D231"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31" s="4" t="inlineStr">
        <is>
          <t>Previously created unsuffixed columns zeroed existing historical indicators</t>
        </is>
      </c>
    </row>
    <row r="232" ht="86" customHeight="1">
      <c r="A232" s="4" t="inlineStr">
        <is>
          <t>250</t>
        </is>
      </c>
      <c r="B232" s="4" t="inlineStr">
        <is>
          <t>Restore original RQ3 fields; preserve unknowns</t>
        </is>
      </c>
      <c r="C232" s="4" t="inlineStr">
        <is>
          <t>RQ3_base_276</t>
        </is>
      </c>
      <c r="D232"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32" s="4" t="inlineStr">
        <is>
          <t>Previously created unsuffixed columns zeroed existing historical indicators</t>
        </is>
      </c>
    </row>
    <row r="233" ht="86" customHeight="1">
      <c r="A233" s="4" t="inlineStr">
        <is>
          <t>251</t>
        </is>
      </c>
      <c r="B233" s="4" t="inlineStr">
        <is>
          <t>Restore original RQ3 fields; preserve unknowns</t>
        </is>
      </c>
      <c r="C233" s="4" t="inlineStr">
        <is>
          <t>RQ3_base_276</t>
        </is>
      </c>
      <c r="D233"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33" s="4" t="inlineStr">
        <is>
          <t>Previously created unsuffixed columns zeroed existing historical indicators</t>
        </is>
      </c>
    </row>
    <row r="234" ht="86" customHeight="1">
      <c r="A234" s="4" t="inlineStr">
        <is>
          <t>253</t>
        </is>
      </c>
      <c r="B234" s="4" t="inlineStr">
        <is>
          <t>Restore original RQ3 fields; preserve unknowns</t>
        </is>
      </c>
      <c r="C234" s="4" t="inlineStr">
        <is>
          <t>RQ3_base_276</t>
        </is>
      </c>
      <c r="D234"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34" s="4" t="inlineStr">
        <is>
          <t>Previously created unsuffixed columns zeroed existing historical indicators</t>
        </is>
      </c>
    </row>
    <row r="235" ht="86" customHeight="1">
      <c r="A235" s="4" t="inlineStr">
        <is>
          <t>254</t>
        </is>
      </c>
      <c r="B235" s="4" t="inlineStr">
        <is>
          <t>Restore original RQ3 fields; preserve unknowns</t>
        </is>
      </c>
      <c r="C235" s="4" t="inlineStr">
        <is>
          <t>RQ3_base_276</t>
        </is>
      </c>
      <c r="D235" s="4" t="inlineStr">
        <is>
          <t>q3_external_validation_signal -&gt; external_validation: 0; q3_multisite_dataset_signal -&gt; multisite_dataset: 1; q3_cross_site_robustness_signal -&gt; cross_site_robustness: 1; q3_prospective_evaluation_signal -&gt; prospective_evaluation: 0; q3_xai_strict_signal -&gt; xai_strict: 0; q3_xai_partial_signal -&gt; xai_partial: 0; q3_multisource_data_signal -&gt; multisource_data: 0</t>
        </is>
      </c>
      <c r="E235" s="4" t="inlineStr">
        <is>
          <t>Previously created unsuffixed columns zeroed existing historical indicators</t>
        </is>
      </c>
    </row>
    <row r="236" ht="86" customHeight="1">
      <c r="A236" s="4" t="inlineStr">
        <is>
          <t>255</t>
        </is>
      </c>
      <c r="B236" s="4" t="inlineStr">
        <is>
          <t>Restore original RQ3 fields; preserve unknowns</t>
        </is>
      </c>
      <c r="C236" s="4" t="inlineStr">
        <is>
          <t>RQ3_base_276</t>
        </is>
      </c>
      <c r="D236"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36" s="4" t="inlineStr">
        <is>
          <t>Previously created unsuffixed columns zeroed existing historical indicators</t>
        </is>
      </c>
    </row>
    <row r="237" ht="86" customHeight="1">
      <c r="A237" s="4" t="inlineStr">
        <is>
          <t>256</t>
        </is>
      </c>
      <c r="B237" s="4" t="inlineStr">
        <is>
          <t>Restore original RQ3 fields; preserve unknowns</t>
        </is>
      </c>
      <c r="C237" s="4" t="inlineStr">
        <is>
          <t>RQ3_base_276</t>
        </is>
      </c>
      <c r="D23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37" s="4" t="inlineStr">
        <is>
          <t>Previously created unsuffixed columns zeroed existing historical indicators</t>
        </is>
      </c>
    </row>
    <row r="238" ht="86" customHeight="1">
      <c r="A238" s="4" t="inlineStr">
        <is>
          <t>258</t>
        </is>
      </c>
      <c r="B238" s="4" t="inlineStr">
        <is>
          <t>Restore original RQ3 fields; preserve unknowns</t>
        </is>
      </c>
      <c r="C238" s="4" t="inlineStr">
        <is>
          <t>RQ3_base_276</t>
        </is>
      </c>
      <c r="D238"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38" s="4" t="inlineStr">
        <is>
          <t>Previously created unsuffixed columns zeroed existing historical indicators</t>
        </is>
      </c>
    </row>
    <row r="239" ht="86" customHeight="1">
      <c r="A239" s="4" t="inlineStr">
        <is>
          <t>259</t>
        </is>
      </c>
      <c r="B239" s="4" t="inlineStr">
        <is>
          <t>Restore original RQ3 fields; preserve unknowns</t>
        </is>
      </c>
      <c r="C239" s="4" t="inlineStr">
        <is>
          <t>RQ3_base_276</t>
        </is>
      </c>
      <c r="D23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39" s="4" t="inlineStr">
        <is>
          <t>Previously created unsuffixed columns zeroed existing historical indicators</t>
        </is>
      </c>
    </row>
    <row r="240" ht="86" customHeight="1">
      <c r="A240" s="4" t="inlineStr">
        <is>
          <t>260</t>
        </is>
      </c>
      <c r="B240" s="4" t="inlineStr">
        <is>
          <t>Restore original RQ3 fields; preserve unknowns</t>
        </is>
      </c>
      <c r="C240" s="4" t="inlineStr">
        <is>
          <t>RQ3_base_276</t>
        </is>
      </c>
      <c r="D24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240" s="4" t="inlineStr">
        <is>
          <t>Previously created unsuffixed columns zeroed existing historical indicators</t>
        </is>
      </c>
    </row>
    <row r="241" ht="86" customHeight="1">
      <c r="A241" s="4" t="inlineStr">
        <is>
          <t>261</t>
        </is>
      </c>
      <c r="B241" s="4" t="inlineStr">
        <is>
          <t>Restore original RQ3 fields; preserve unknowns</t>
        </is>
      </c>
      <c r="C241" s="4" t="inlineStr">
        <is>
          <t>RQ3_base_276</t>
        </is>
      </c>
      <c r="D241"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41" s="4" t="inlineStr">
        <is>
          <t>Previously created unsuffixed columns zeroed existing historical indicators</t>
        </is>
      </c>
    </row>
    <row r="242" ht="86" customHeight="1">
      <c r="A242" s="4" t="inlineStr">
        <is>
          <t>262</t>
        </is>
      </c>
      <c r="B242" s="4" t="inlineStr">
        <is>
          <t>Restore original RQ3 fields; preserve unknowns</t>
        </is>
      </c>
      <c r="C242" s="4" t="inlineStr">
        <is>
          <t>RQ3_base_276</t>
        </is>
      </c>
      <c r="D242"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1; q3_multisource_data_signal -&gt; multisource_data: 1</t>
        </is>
      </c>
      <c r="E242" s="4" t="inlineStr">
        <is>
          <t>Previously created unsuffixed columns zeroed existing historical indicators</t>
        </is>
      </c>
    </row>
    <row r="243" ht="86" customHeight="1">
      <c r="A243" s="4" t="inlineStr">
        <is>
          <t>263</t>
        </is>
      </c>
      <c r="B243" s="4" t="inlineStr">
        <is>
          <t>Restore original RQ3 fields; preserve unknowns</t>
        </is>
      </c>
      <c r="C243" s="4" t="inlineStr">
        <is>
          <t>RQ3_base_276</t>
        </is>
      </c>
      <c r="D243"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43" s="4" t="inlineStr">
        <is>
          <t>Previously created unsuffixed columns zeroed existing historical indicators</t>
        </is>
      </c>
    </row>
    <row r="244" ht="86" customHeight="1">
      <c r="A244" s="4" t="inlineStr">
        <is>
          <t>264</t>
        </is>
      </c>
      <c r="B244" s="4" t="inlineStr">
        <is>
          <t>Restore original RQ3 fields; preserve unknowns</t>
        </is>
      </c>
      <c r="C244" s="4" t="inlineStr">
        <is>
          <t>RQ3_base_276</t>
        </is>
      </c>
      <c r="D244"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1; q3_multisource_data_signal -&gt; multisource_data: 0</t>
        </is>
      </c>
      <c r="E244" s="4" t="inlineStr">
        <is>
          <t>Previously created unsuffixed columns zeroed existing historical indicators</t>
        </is>
      </c>
    </row>
    <row r="245" ht="86" customHeight="1">
      <c r="A245" s="4" t="inlineStr">
        <is>
          <t>265</t>
        </is>
      </c>
      <c r="B245" s="4" t="inlineStr">
        <is>
          <t>Restore original RQ3 fields; preserve unknowns</t>
        </is>
      </c>
      <c r="C245" s="4" t="inlineStr">
        <is>
          <t>RQ3_base_276</t>
        </is>
      </c>
      <c r="D245"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1; q3_xai_partial_signal -&gt; xai_partial: 0; q3_multisource_data_signal -&gt; multisource_data: 0</t>
        </is>
      </c>
      <c r="E245" s="4" t="inlineStr">
        <is>
          <t>Previously created unsuffixed columns zeroed existing historical indicators</t>
        </is>
      </c>
    </row>
    <row r="246" ht="86" customHeight="1">
      <c r="A246" s="4" t="inlineStr">
        <is>
          <t>266</t>
        </is>
      </c>
      <c r="B246" s="4" t="inlineStr">
        <is>
          <t>Restore original RQ3 fields; preserve unknowns</t>
        </is>
      </c>
      <c r="C246" s="4" t="inlineStr">
        <is>
          <t>RQ3_base_276</t>
        </is>
      </c>
      <c r="D246"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46" s="4" t="inlineStr">
        <is>
          <t>Previously created unsuffixed columns zeroed existing historical indicators</t>
        </is>
      </c>
    </row>
    <row r="247" ht="86" customHeight="1">
      <c r="A247" s="4" t="inlineStr">
        <is>
          <t>267</t>
        </is>
      </c>
      <c r="B247" s="4" t="inlineStr">
        <is>
          <t>Restore original RQ3 fields; preserve unknowns</t>
        </is>
      </c>
      <c r="C247" s="4" t="inlineStr">
        <is>
          <t>RQ3_base_276</t>
        </is>
      </c>
      <c r="D24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47" s="4" t="inlineStr">
        <is>
          <t>Previously created unsuffixed columns zeroed existing historical indicators</t>
        </is>
      </c>
    </row>
    <row r="248" ht="86" customHeight="1">
      <c r="A248" s="4" t="inlineStr">
        <is>
          <t>268</t>
        </is>
      </c>
      <c r="B248" s="4" t="inlineStr">
        <is>
          <t>Restore original RQ3 fields; preserve unknowns</t>
        </is>
      </c>
      <c r="C248" s="4" t="inlineStr">
        <is>
          <t>RQ3_base_276</t>
        </is>
      </c>
      <c r="D248"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48" s="4" t="inlineStr">
        <is>
          <t>Previously created unsuffixed columns zeroed existing historical indicators</t>
        </is>
      </c>
    </row>
    <row r="249" ht="86" customHeight="1">
      <c r="A249" s="4" t="inlineStr">
        <is>
          <t>269</t>
        </is>
      </c>
      <c r="B249" s="4" t="inlineStr">
        <is>
          <t>Restore original RQ3 fields; preserve unknowns</t>
        </is>
      </c>
      <c r="C249" s="4" t="inlineStr">
        <is>
          <t>RQ3_base_276</t>
        </is>
      </c>
      <c r="D249" s="4" t="inlineStr">
        <is>
          <t>q3_external_validation_signal -&gt; external_validation: 0; q3_multisite_dataset_signal -&gt; multisite_dataset: 1; q3_cross_site_robustness_signal -&gt; cross_site_robustness: 1; q3_prospective_evaluation_signal -&gt; prospective_evaluation: 0; q3_xai_strict_signal -&gt; xai_strict: 0; q3_xai_partial_signal -&gt; xai_partial: 0; q3_multisource_data_signal -&gt; multisource_data: 1</t>
        </is>
      </c>
      <c r="E249" s="4" t="inlineStr">
        <is>
          <t>Previously created unsuffixed columns zeroed existing historical indicators</t>
        </is>
      </c>
    </row>
    <row r="250" ht="86" customHeight="1">
      <c r="A250" s="4" t="inlineStr">
        <is>
          <t>270</t>
        </is>
      </c>
      <c r="B250" s="4" t="inlineStr">
        <is>
          <t>Restore original RQ3 fields; preserve unknowns</t>
        </is>
      </c>
      <c r="C250" s="4" t="inlineStr">
        <is>
          <t>RQ3_base_276</t>
        </is>
      </c>
      <c r="D25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50" s="4" t="inlineStr">
        <is>
          <t>Previously created unsuffixed columns zeroed existing historical indicators</t>
        </is>
      </c>
    </row>
    <row r="251" ht="86" customHeight="1">
      <c r="A251" s="4" t="inlineStr">
        <is>
          <t>272</t>
        </is>
      </c>
      <c r="B251" s="4" t="inlineStr">
        <is>
          <t>Restore original RQ3 fields; preserve unknowns</t>
        </is>
      </c>
      <c r="C251" s="4" t="inlineStr">
        <is>
          <t>RQ3_base_276</t>
        </is>
      </c>
      <c r="D251"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1; q3_multisource_data_signal -&gt; multisource_data: 1</t>
        </is>
      </c>
      <c r="E251" s="4" t="inlineStr">
        <is>
          <t>Previously created unsuffixed columns zeroed existing historical indicators</t>
        </is>
      </c>
    </row>
    <row r="252" ht="86" customHeight="1">
      <c r="A252" s="4" t="inlineStr">
        <is>
          <t>273</t>
        </is>
      </c>
      <c r="B252" s="4" t="inlineStr">
        <is>
          <t>Restore original RQ3 fields; preserve unknowns</t>
        </is>
      </c>
      <c r="C252" s="4" t="inlineStr">
        <is>
          <t>RQ3_base_276</t>
        </is>
      </c>
      <c r="D252"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1; q3_xai_partial_signal -&gt; xai_partial: 0; q3_multisource_data_signal -&gt; multisource_data: 0</t>
        </is>
      </c>
      <c r="E252" s="4" t="inlineStr">
        <is>
          <t>Previously created unsuffixed columns zeroed existing historical indicators</t>
        </is>
      </c>
    </row>
    <row r="253" ht="86" customHeight="1">
      <c r="A253" s="4" t="inlineStr">
        <is>
          <t>274</t>
        </is>
      </c>
      <c r="B253" s="4" t="inlineStr">
        <is>
          <t>Restore original RQ3 fields; preserve unknowns</t>
        </is>
      </c>
      <c r="C253" s="4" t="inlineStr">
        <is>
          <t>RQ3_base_276</t>
        </is>
      </c>
      <c r="D253"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53" s="4" t="inlineStr">
        <is>
          <t>Previously created unsuffixed columns zeroed existing historical indicators</t>
        </is>
      </c>
    </row>
    <row r="254" ht="86" customHeight="1">
      <c r="A254" s="4" t="inlineStr">
        <is>
          <t>275</t>
        </is>
      </c>
      <c r="B254" s="4" t="inlineStr">
        <is>
          <t>Restore original RQ3 fields; preserve unknowns</t>
        </is>
      </c>
      <c r="C254" s="4" t="inlineStr">
        <is>
          <t>RQ3_base_276</t>
        </is>
      </c>
      <c r="D254"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54" s="4" t="inlineStr">
        <is>
          <t>Previously created unsuffixed columns zeroed existing historical indicators</t>
        </is>
      </c>
    </row>
    <row r="255" ht="86" customHeight="1">
      <c r="A255" s="4" t="inlineStr">
        <is>
          <t>276</t>
        </is>
      </c>
      <c r="B255" s="4" t="inlineStr">
        <is>
          <t>Restore original RQ3 fields; preserve unknowns</t>
        </is>
      </c>
      <c r="C255" s="4" t="inlineStr">
        <is>
          <t>RQ3_base_276</t>
        </is>
      </c>
      <c r="D255"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55" s="4" t="inlineStr">
        <is>
          <t>Previously created unsuffixed columns zeroed existing historical indicators</t>
        </is>
      </c>
    </row>
    <row r="256" ht="86" customHeight="1">
      <c r="A256" s="4" t="inlineStr">
        <is>
          <t>277</t>
        </is>
      </c>
      <c r="B256" s="4" t="inlineStr">
        <is>
          <t>Restore original RQ3 fields; preserve unknowns</t>
        </is>
      </c>
      <c r="C256" s="4" t="inlineStr">
        <is>
          <t>RQ3_base_276</t>
        </is>
      </c>
      <c r="D256"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56" s="4" t="inlineStr">
        <is>
          <t>Previously created unsuffixed columns zeroed existing historical indicators</t>
        </is>
      </c>
    </row>
    <row r="257" ht="86" customHeight="1">
      <c r="A257" s="4" t="inlineStr">
        <is>
          <t>278</t>
        </is>
      </c>
      <c r="B257" s="4" t="inlineStr">
        <is>
          <t>Restore original RQ3 fields; preserve unknowns</t>
        </is>
      </c>
      <c r="C257" s="4" t="inlineStr">
        <is>
          <t>RQ3_base_276</t>
        </is>
      </c>
      <c r="D25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57" s="4" t="inlineStr">
        <is>
          <t>Previously created unsuffixed columns zeroed existing historical indicators</t>
        </is>
      </c>
    </row>
    <row r="258" ht="86" customHeight="1">
      <c r="A258" s="4" t="inlineStr">
        <is>
          <t>279</t>
        </is>
      </c>
      <c r="B258" s="4" t="inlineStr">
        <is>
          <t>Restore original RQ3 fields; preserve unknowns</t>
        </is>
      </c>
      <c r="C258" s="4" t="inlineStr">
        <is>
          <t>RQ3_base_276</t>
        </is>
      </c>
      <c r="D258"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58" s="4" t="inlineStr">
        <is>
          <t>Previously created unsuffixed columns zeroed existing historical indicators</t>
        </is>
      </c>
    </row>
    <row r="259" ht="86" customHeight="1">
      <c r="A259" s="4" t="inlineStr">
        <is>
          <t>280</t>
        </is>
      </c>
      <c r="B259" s="4" t="inlineStr">
        <is>
          <t>Restore original RQ3 fields; preserve unknowns</t>
        </is>
      </c>
      <c r="C259" s="4" t="inlineStr">
        <is>
          <t>RQ3_base_276</t>
        </is>
      </c>
      <c r="D25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259" s="4" t="inlineStr">
        <is>
          <t>Previously created unsuffixed columns zeroed existing historical indicators</t>
        </is>
      </c>
    </row>
    <row r="260" ht="86" customHeight="1">
      <c r="A260" s="4" t="inlineStr">
        <is>
          <t>281</t>
        </is>
      </c>
      <c r="B260" s="4" t="inlineStr">
        <is>
          <t>Restore original RQ3 fields; preserve unknowns</t>
        </is>
      </c>
      <c r="C260" s="4" t="inlineStr">
        <is>
          <t>RQ3_base_276</t>
        </is>
      </c>
      <c r="D260"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60" s="4" t="inlineStr">
        <is>
          <t>Previously created unsuffixed columns zeroed existing historical indicators</t>
        </is>
      </c>
    </row>
    <row r="261" ht="86" customHeight="1">
      <c r="A261" s="4" t="inlineStr">
        <is>
          <t>282</t>
        </is>
      </c>
      <c r="B261" s="4" t="inlineStr">
        <is>
          <t>Restore original RQ3 fields; preserve unknowns</t>
        </is>
      </c>
      <c r="C261" s="4" t="inlineStr">
        <is>
          <t>RQ3_base_276</t>
        </is>
      </c>
      <c r="D261"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61" s="4" t="inlineStr">
        <is>
          <t>Previously created unsuffixed columns zeroed existing historical indicators</t>
        </is>
      </c>
    </row>
    <row r="262" ht="86" customHeight="1">
      <c r="A262" s="4" t="inlineStr">
        <is>
          <t>283</t>
        </is>
      </c>
      <c r="B262" s="4" t="inlineStr">
        <is>
          <t>Restore original RQ3 fields; preserve unknowns</t>
        </is>
      </c>
      <c r="C262" s="4" t="inlineStr">
        <is>
          <t>RQ3_base_276</t>
        </is>
      </c>
      <c r="D262"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62" s="4" t="inlineStr">
        <is>
          <t>Previously created unsuffixed columns zeroed existing historical indicators</t>
        </is>
      </c>
    </row>
    <row r="263" ht="86" customHeight="1">
      <c r="A263" s="4" t="inlineStr">
        <is>
          <t>284</t>
        </is>
      </c>
      <c r="B263" s="4" t="inlineStr">
        <is>
          <t>Restore original RQ3 fields; preserve unknowns</t>
        </is>
      </c>
      <c r="C263" s="4" t="inlineStr">
        <is>
          <t>RQ3_base_276</t>
        </is>
      </c>
      <c r="D263"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63" s="4" t="inlineStr">
        <is>
          <t>Previously created unsuffixed columns zeroed existing historical indicators</t>
        </is>
      </c>
    </row>
    <row r="264" ht="86" customHeight="1">
      <c r="A264" s="4" t="inlineStr">
        <is>
          <t>285</t>
        </is>
      </c>
      <c r="B264" s="4" t="inlineStr">
        <is>
          <t>Restore original RQ3 fields; preserve unknowns</t>
        </is>
      </c>
      <c r="C264" s="4" t="inlineStr">
        <is>
          <t>RQ3_base_276</t>
        </is>
      </c>
      <c r="D264"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64" s="4" t="inlineStr">
        <is>
          <t>Previously created unsuffixed columns zeroed existing historical indicators</t>
        </is>
      </c>
    </row>
    <row r="265" ht="86" customHeight="1">
      <c r="A265" s="4" t="inlineStr">
        <is>
          <t>286</t>
        </is>
      </c>
      <c r="B265" s="4" t="inlineStr">
        <is>
          <t>Restore original RQ3 fields; preserve unknowns</t>
        </is>
      </c>
      <c r="C265" s="4" t="inlineStr">
        <is>
          <t>RQ3_base_276</t>
        </is>
      </c>
      <c r="D265"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0</t>
        </is>
      </c>
      <c r="E265" s="4" t="inlineStr">
        <is>
          <t>Previously created unsuffixed columns zeroed existing historical indicators</t>
        </is>
      </c>
    </row>
    <row r="266" ht="86" customHeight="1">
      <c r="A266" s="4" t="inlineStr">
        <is>
          <t>287</t>
        </is>
      </c>
      <c r="B266" s="4" t="inlineStr">
        <is>
          <t>Restore original RQ3 fields; preserve unknowns</t>
        </is>
      </c>
      <c r="C266" s="4" t="inlineStr">
        <is>
          <t>RQ3_base_276</t>
        </is>
      </c>
      <c r="D266" s="4" t="inlineStr">
        <is>
          <t>q3_external_validation_signal -&gt; external_validation: 1;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266" s="4" t="inlineStr">
        <is>
          <t>Previously created unsuffixed columns zeroed existing historical indicators</t>
        </is>
      </c>
    </row>
    <row r="267" ht="86" customHeight="1">
      <c r="A267" s="4" t="inlineStr">
        <is>
          <t>288</t>
        </is>
      </c>
      <c r="B267" s="4" t="inlineStr">
        <is>
          <t>Restore original RQ3 fields; preserve unknowns</t>
        </is>
      </c>
      <c r="C267" s="4" t="inlineStr">
        <is>
          <t>RQ3_base_276</t>
        </is>
      </c>
      <c r="D26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67" s="4" t="inlineStr">
        <is>
          <t>Previously created unsuffixed columns zeroed existing historical indicators</t>
        </is>
      </c>
    </row>
    <row r="268" ht="86" customHeight="1">
      <c r="A268" s="4" t="inlineStr">
        <is>
          <t>289</t>
        </is>
      </c>
      <c r="B268" s="4" t="inlineStr">
        <is>
          <t>Restore original RQ3 fields; preserve unknowns</t>
        </is>
      </c>
      <c r="C268" s="4" t="inlineStr">
        <is>
          <t>RQ3_base_276</t>
        </is>
      </c>
      <c r="D268"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68" s="4" t="inlineStr">
        <is>
          <t>Previously created unsuffixed columns zeroed existing historical indicators</t>
        </is>
      </c>
    </row>
    <row r="269" ht="86" customHeight="1">
      <c r="A269" s="4" t="inlineStr">
        <is>
          <t>290</t>
        </is>
      </c>
      <c r="B269" s="4" t="inlineStr">
        <is>
          <t>Restore original RQ3 fields; preserve unknowns</t>
        </is>
      </c>
      <c r="C269" s="4" t="inlineStr">
        <is>
          <t>RQ3_base_276</t>
        </is>
      </c>
      <c r="D269"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1; q3_xai_partial_signal -&gt; xai_partial: 0; q3_multisource_data_signal -&gt; multisource_data: 1</t>
        </is>
      </c>
      <c r="E269" s="4" t="inlineStr">
        <is>
          <t>Previously created unsuffixed columns zeroed existing historical indicators</t>
        </is>
      </c>
    </row>
    <row r="270" ht="86" customHeight="1">
      <c r="A270" s="4" t="inlineStr">
        <is>
          <t>291</t>
        </is>
      </c>
      <c r="B270" s="4" t="inlineStr">
        <is>
          <t>Restore original RQ3 fields; preserve unknowns</t>
        </is>
      </c>
      <c r="C270" s="4" t="inlineStr">
        <is>
          <t>RQ3_base_276</t>
        </is>
      </c>
      <c r="D270"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0</t>
        </is>
      </c>
      <c r="E270" s="4" t="inlineStr">
        <is>
          <t>Previously created unsuffixed columns zeroed existing historical indicators</t>
        </is>
      </c>
    </row>
    <row r="271" ht="86" customHeight="1">
      <c r="A271" s="4" t="inlineStr">
        <is>
          <t>292</t>
        </is>
      </c>
      <c r="B271" s="4" t="inlineStr">
        <is>
          <t>Restore original RQ3 fields; preserve unknowns</t>
        </is>
      </c>
      <c r="C271" s="4" t="inlineStr">
        <is>
          <t>RQ3_base_276</t>
        </is>
      </c>
      <c r="D271"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71" s="4" t="inlineStr">
        <is>
          <t>Previously created unsuffixed columns zeroed existing historical indicators</t>
        </is>
      </c>
    </row>
    <row r="272" ht="86" customHeight="1">
      <c r="A272" s="4" t="inlineStr">
        <is>
          <t>293</t>
        </is>
      </c>
      <c r="B272" s="4" t="inlineStr">
        <is>
          <t>Restore original RQ3 fields; preserve unknowns</t>
        </is>
      </c>
      <c r="C272" s="4" t="inlineStr">
        <is>
          <t>RQ3_base_276</t>
        </is>
      </c>
      <c r="D272"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272" s="4" t="inlineStr">
        <is>
          <t>Previously created unsuffixed columns zeroed existing historical indicators</t>
        </is>
      </c>
    </row>
    <row r="273" ht="86" customHeight="1">
      <c r="A273" s="4" t="inlineStr">
        <is>
          <t>295</t>
        </is>
      </c>
      <c r="B273" s="4" t="inlineStr">
        <is>
          <t>Restore original RQ3 fields; preserve unknowns</t>
        </is>
      </c>
      <c r="C273" s="4" t="inlineStr">
        <is>
          <t>RQ3_base_276</t>
        </is>
      </c>
      <c r="D273"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1</t>
        </is>
      </c>
      <c r="E273" s="4" t="inlineStr">
        <is>
          <t>Previously created unsuffixed columns zeroed existing historical indicators</t>
        </is>
      </c>
    </row>
    <row r="274" ht="86" customHeight="1">
      <c r="A274" s="4" t="inlineStr">
        <is>
          <t>296</t>
        </is>
      </c>
      <c r="B274" s="4" t="inlineStr">
        <is>
          <t>Restore original RQ3 fields; preserve unknowns</t>
        </is>
      </c>
      <c r="C274" s="4" t="inlineStr">
        <is>
          <t>RQ3_base_276</t>
        </is>
      </c>
      <c r="D274"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0</t>
        </is>
      </c>
      <c r="E274" s="4" t="inlineStr">
        <is>
          <t>Previously created unsuffixed columns zeroed existing historical indicators</t>
        </is>
      </c>
    </row>
    <row r="275" ht="86" customHeight="1">
      <c r="A275" s="4" t="inlineStr">
        <is>
          <t>298</t>
        </is>
      </c>
      <c r="B275" s="4" t="inlineStr">
        <is>
          <t>Restore original RQ3 fields; preserve unknowns</t>
        </is>
      </c>
      <c r="C275" s="4" t="inlineStr">
        <is>
          <t>RQ3_base_276</t>
        </is>
      </c>
      <c r="D275" s="4" t="inlineStr">
        <is>
          <t>q3_external_validation_signal -&gt; external_validation: 0; q3_multisite_dataset_signal -&gt; multisite_dataset: 1; q3_cross_site_robustness_signal -&gt; cross_site_robustness: 0; q3_prospective_evaluation_signal -&gt; prospective_evaluation: 0; q3_xai_strict_signal -&gt; xai_strict: 0; q3_xai_partial_signal -&gt; xai_partial: 0; q3_multisource_data_signal -&gt; multisource_data: 1</t>
        </is>
      </c>
      <c r="E275" s="4" t="inlineStr">
        <is>
          <t>Previously created unsuffixed columns zeroed existing historical indicators</t>
        </is>
      </c>
    </row>
    <row r="276" ht="86" customHeight="1">
      <c r="A276" s="4" t="inlineStr">
        <is>
          <t>299</t>
        </is>
      </c>
      <c r="B276" s="4" t="inlineStr">
        <is>
          <t>Restore original RQ3 fields; preserve unknowns</t>
        </is>
      </c>
      <c r="C276" s="4" t="inlineStr">
        <is>
          <t>RQ3_base_276</t>
        </is>
      </c>
      <c r="D276"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76" s="4" t="inlineStr">
        <is>
          <t>Previously created unsuffixed columns zeroed existing historical indicators</t>
        </is>
      </c>
    </row>
    <row r="277" ht="86" customHeight="1">
      <c r="A277" s="4" t="inlineStr">
        <is>
          <t>300</t>
        </is>
      </c>
      <c r="B277" s="4" t="inlineStr">
        <is>
          <t>Restore original RQ3 fields; preserve unknowns</t>
        </is>
      </c>
      <c r="C277" s="4" t="inlineStr">
        <is>
          <t>RQ3_base_276</t>
        </is>
      </c>
      <c r="D277" s="4" t="inlineStr">
        <is>
          <t>q3_external_validation_signal -&gt; external_validation: 0; q3_multisite_dataset_signal -&gt; multisite_dataset: 0; q3_cross_site_robustness_signal -&gt; cross_site_robustness: 0; q3_prospective_evaluation_signal -&gt; prospective_evaluation: 0; q3_xai_strict_signal -&gt; xai_strict: 0; q3_xai_partial_signal -&gt; xai_partial: 0; q3_multisource_data_signal -&gt; multisource_data: 0</t>
        </is>
      </c>
      <c r="E277" s="4" t="inlineStr">
        <is>
          <t>Previously created unsuffixed columns zeroed existing historical indicators</t>
        </is>
      </c>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3"/>
  <sheetViews>
    <sheetView showGridLines="0" workbookViewId="0">
      <selection activeCell="A1" sqref="A1"/>
    </sheetView>
  </sheetViews>
  <sheetFormatPr baseColWidth="8" defaultRowHeight="15"/>
  <cols>
    <col width="62" customWidth="1" min="1" max="1"/>
    <col width="72" customWidth="1" min="2" max="2"/>
    <col width="20" customWidth="1" min="3" max="3"/>
    <col width="44" customWidth="1" min="4" max="4"/>
  </cols>
  <sheetData>
    <row r="1" ht="52" customHeight="1">
      <c r="A1" s="6" t="inlineStr">
        <is>
          <t>file</t>
        </is>
      </c>
      <c r="B1" s="6" t="inlineStr">
        <is>
          <t>sha256</t>
        </is>
      </c>
      <c r="C1" s="6" t="inlineStr">
        <is>
          <t>purpose</t>
        </is>
      </c>
      <c r="D1" s="6" t="inlineStr">
        <is>
          <t>url</t>
        </is>
      </c>
    </row>
    <row r="2" ht="60" customHeight="1">
      <c r="A2" s="4" t="inlineStr">
        <is>
          <t>cribado_maestro_276_actualizacion_FINAL_CORREGIDO_2026-09-07.xlsx</t>
        </is>
      </c>
      <c r="B2" s="4" t="inlineStr">
        <is>
          <t>1d1bdd17057bbe276a6cbc4cdb2229e351be9a20dd1550e03ed01dd16376c94c</t>
        </is>
      </c>
      <c r="C2" s="4" t="inlineStr">
        <is>
          <t>Fuente recibida; valores conservados, resúmenes heredados no autoritativos</t>
        </is>
      </c>
      <c r="D2" s="4" t="inlineStr">
        <is>
          <t>https://github.com/jhcapistran/scripts/tree/58da5915db9202b1a31d82007d8e5bc6706b4414</t>
        </is>
      </c>
    </row>
    <row r="3" ht="60" customHeight="1">
      <c r="A3" s="4" t="inlineStr">
        <is>
          <t>consolidado_RA_RB_Q3_completado_RQ2_final.xlsx</t>
        </is>
      </c>
      <c r="B3" s="4" t="inlineStr">
        <is>
          <t>f5ecd826af3a5ae6cb992840f78b3c8d4ce54ff35601961c09cc7ea230ef3abb</t>
        </is>
      </c>
      <c r="C3" s="4" t="inlineStr">
        <is>
          <t>Fuente recibida; valores conservados, resúmenes heredados no autoritativos</t>
        </is>
      </c>
      <c r="D3" s="4" t="inlineStr">
        <is>
          <t>Adjunto del usuario</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AO277"/>
  <sheetViews>
    <sheetView showGridLines="0" workbookViewId="0">
      <selection activeCell="A1" sqref="A1"/>
    </sheetView>
  </sheetViews>
  <sheetFormatPr baseColWidth="8" defaultRowHeight="15"/>
  <cols>
    <col width="20" customWidth="1" min="1" max="1"/>
    <col width="14" customWidth="1" min="2" max="2"/>
    <col width="20" customWidth="1" min="3" max="3"/>
    <col width="20" customWidth="1" min="4" max="4"/>
    <col width="20" customWidth="1" min="5" max="5"/>
    <col width="20" customWidth="1" min="6" max="6"/>
    <col width="20" customWidth="1" min="7" max="7"/>
    <col width="44" customWidth="1" min="8" max="8"/>
    <col width="55" customWidth="1" min="9" max="9"/>
    <col width="65"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65" customWidth="1" min="28" max="28"/>
    <col width="20" customWidth="1" min="29" max="29"/>
    <col width="20" customWidth="1" min="30" max="30"/>
    <col width="20" customWidth="1" min="31" max="31"/>
    <col width="20" customWidth="1" min="32" max="32"/>
    <col width="20" customWidth="1" min="33" max="33"/>
    <col width="20" customWidth="1" min="34" max="34"/>
    <col width="65" customWidth="1" min="35" max="35"/>
    <col width="20" customWidth="1" min="36" max="36"/>
    <col width="20" customWidth="1" min="37" max="37"/>
    <col width="65" customWidth="1" min="38" max="38"/>
    <col width="20" customWidth="1" min="39" max="39"/>
    <col width="65" customWidth="1" min="40" max="40"/>
    <col width="20" customWidth="1" min="41" max="41"/>
  </cols>
  <sheetData>
    <row r="1" ht="52" customHeight="1">
      <c r="A1" s="6" t="inlineStr">
        <is>
          <t>paper_order</t>
        </is>
      </c>
      <c r="B1" s="6" t="inlineStr">
        <is>
          <t>study_id</t>
        </is>
      </c>
      <c r="C1" s="6" t="inlineStr">
        <is>
          <t>assigned_to</t>
        </is>
      </c>
      <c r="D1" s="6" t="inlineStr">
        <is>
          <t>coder</t>
        </is>
      </c>
      <c r="E1" s="6" t="inlineStr">
        <is>
          <t>year</t>
        </is>
      </c>
      <c r="F1" s="6" t="inlineStr">
        <is>
          <t>modalidad</t>
        </is>
      </c>
      <c r="G1" s="6" t="inlineStr">
        <is>
          <t>tipo_IA</t>
        </is>
      </c>
      <c r="H1" s="6" t="inlineStr">
        <is>
          <t>doi</t>
        </is>
      </c>
      <c r="I1" s="6" t="inlineStr">
        <is>
          <t>title</t>
        </is>
      </c>
      <c r="J1" s="6" t="inlineStr">
        <is>
          <t>abstract</t>
        </is>
      </c>
      <c r="K1" s="6" t="inlineStr">
        <is>
          <t>learning_paradigm</t>
        </is>
      </c>
      <c r="L1" s="6" t="inlineStr">
        <is>
          <t>AI_algorithm_main</t>
        </is>
      </c>
      <c r="M1" s="6" t="inlineStr">
        <is>
          <t>AI_task_type</t>
        </is>
      </c>
      <c r="N1" s="6" t="inlineStr">
        <is>
          <t>stage_primary</t>
        </is>
      </c>
      <c r="O1" s="6" t="inlineStr">
        <is>
          <t>confidence</t>
        </is>
      </c>
      <c r="P1" s="6" t="inlineStr">
        <is>
          <t>ds_neuroimaging</t>
        </is>
      </c>
      <c r="Q1" s="6" t="inlineStr">
        <is>
          <t>ds_physiological</t>
        </is>
      </c>
      <c r="R1" s="6" t="inlineStr">
        <is>
          <t>ds_behavioral_video</t>
        </is>
      </c>
      <c r="S1" s="6" t="inlineStr">
        <is>
          <t>ds_voice_audio</t>
        </is>
      </c>
      <c r="T1" s="6" t="inlineStr">
        <is>
          <t>ds_structured_records</t>
        </is>
      </c>
      <c r="U1" s="6" t="inlineStr">
        <is>
          <t>ds_other_biological</t>
        </is>
      </c>
      <c r="V1" s="6" t="inlineStr">
        <is>
          <t>ds_other</t>
        </is>
      </c>
      <c r="W1" s="6" t="inlineStr">
        <is>
          <t>stage_prescreening</t>
        </is>
      </c>
      <c r="X1" s="6" t="inlineStr">
        <is>
          <t>stage_screening</t>
        </is>
      </c>
      <c r="Y1" s="6" t="inlineStr">
        <is>
          <t>stage_diagnosis</t>
        </is>
      </c>
      <c r="Z1" s="6" t="inlineStr">
        <is>
          <t>stage_prognosis</t>
        </is>
      </c>
      <c r="AA1" s="6" t="inlineStr">
        <is>
          <t>stage_monitoring_intervention</t>
        </is>
      </c>
      <c r="AB1" s="6" t="inlineStr">
        <is>
          <t>q2_candidate_abstract</t>
        </is>
      </c>
      <c r="AC1" s="6" t="inlineStr">
        <is>
          <t>q3_external_validation_signal</t>
        </is>
      </c>
      <c r="AD1" s="6" t="inlineStr">
        <is>
          <t>q3_explainability_signal</t>
        </is>
      </c>
      <c r="AE1" s="6" t="inlineStr">
        <is>
          <t>q3_multisite_signal</t>
        </is>
      </c>
      <c r="AF1" s="6" t="inlineStr">
        <is>
          <t>q3_multisource_strategy_signal</t>
        </is>
      </c>
      <c r="AG1" s="6" t="inlineStr">
        <is>
          <t>needs_full_text_check</t>
        </is>
      </c>
      <c r="AH1" s="6" t="inlineStr">
        <is>
          <t>n_data_sources</t>
        </is>
      </c>
      <c r="AI1" s="6" t="inlineStr">
        <is>
          <t>ds_other_notes</t>
        </is>
      </c>
      <c r="AJ1" s="6" t="inlineStr">
        <is>
          <t>q2_candidate_terms</t>
        </is>
      </c>
      <c r="AK1" s="6" t="inlineStr">
        <is>
          <t>q3_candidate_terms</t>
        </is>
      </c>
      <c r="AL1" s="6" t="inlineStr">
        <is>
          <t>notes_coding</t>
        </is>
      </c>
      <c r="AM1" s="6" t="inlineStr">
        <is>
          <t>source_selected</t>
        </is>
      </c>
      <c r="AN1" s="6" t="inlineStr">
        <is>
          <t>source_rule</t>
        </is>
      </c>
      <c r="AO1" s="6" t="inlineStr">
        <is>
          <t>q3_completed_manual_19</t>
        </is>
      </c>
    </row>
    <row r="2" ht="409" customHeight="1">
      <c r="A2" s="4" t="n">
        <v>1</v>
      </c>
      <c r="B2" s="4" t="n">
        <v>1</v>
      </c>
      <c r="C2" s="4" t="inlineStr">
        <is>
          <t>Revisor B</t>
        </is>
      </c>
      <c r="D2" s="4" t="n"/>
      <c r="E2" s="4" t="n">
        <v>2025</v>
      </c>
      <c r="F2" s="4" t="inlineStr">
        <is>
          <t>No especificado</t>
        </is>
      </c>
      <c r="G2" s="4" t="inlineStr">
        <is>
          <t>Machine Learning</t>
        </is>
      </c>
      <c r="H2" s="4" t="inlineStr">
        <is>
          <t>https://doi.org/10.1109/ACCESS.2025.3586314</t>
        </is>
      </c>
      <c r="I2" s="4" t="inlineStr">
        <is>
          <t>A Clinically Interpretable Approach for Early Detection of Autism Using Machine Learning With Explainable AI</t>
        </is>
      </c>
      <c r="J2" s="4" t="inlineStr">
        <is>
          <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t>
        </is>
      </c>
      <c r="K2" s="4" t="inlineStr">
        <is>
          <t>Supervised</t>
        </is>
      </c>
      <c r="L2" s="4" t="inlineStr">
        <is>
          <t>Random Forest</t>
        </is>
      </c>
      <c r="M2" s="4" t="inlineStr">
        <is>
          <t>Classification (ASD vs control / multi-class)</t>
        </is>
      </c>
      <c r="N2" s="4" t="inlineStr">
        <is>
          <t>Prescreening</t>
        </is>
      </c>
      <c r="O2" s="4" t="inlineStr">
        <is>
          <t>high</t>
        </is>
      </c>
      <c r="P2" s="4" t="n">
        <v>0</v>
      </c>
      <c r="Q2" s="4" t="n">
        <v>0</v>
      </c>
      <c r="R2" s="4" t="n">
        <v>0</v>
      </c>
      <c r="S2" s="4" t="n">
        <v>0</v>
      </c>
      <c r="T2" s="4" t="n">
        <v>1</v>
      </c>
      <c r="U2" s="4" t="n">
        <v>0</v>
      </c>
      <c r="V2" s="4" t="n">
        <v>0</v>
      </c>
      <c r="W2" s="4" t="n">
        <v>1</v>
      </c>
      <c r="X2" s="4" t="n">
        <v>1</v>
      </c>
      <c r="Y2" s="4" t="n">
        <v>1</v>
      </c>
      <c r="Z2" s="4" t="n">
        <v>1</v>
      </c>
      <c r="AA2" s="4" t="n">
        <v>1</v>
      </c>
      <c r="AB2" s="4" t="inlineStr">
        <is>
          <t>1900-01-01</t>
        </is>
      </c>
      <c r="AC2" s="4" t="n">
        <v>0</v>
      </c>
      <c r="AD2" s="4" t="n">
        <v>0</v>
      </c>
      <c r="AE2" s="4" t="n">
        <v>0</v>
      </c>
      <c r="AF2" s="4" t="n">
        <v>0</v>
      </c>
      <c r="AG2" s="4" t="n">
        <v>1</v>
      </c>
      <c r="AH2" s="4" t="n">
        <v>1</v>
      </c>
      <c r="AI2" s="4" t="n">
        <v>0</v>
      </c>
      <c r="AJ2" s="4" t="inlineStr">
        <is>
          <t>1900-01-01</t>
        </is>
      </c>
      <c r="AK2" s="4" t="inlineStr">
        <is>
          <t>00:00:00</t>
        </is>
      </c>
      <c r="AL2" s="4" t="inlineStr">
        <is>
          <t>“Comparative ML study: Naive Bayes, SVM, Random Forest; RF best; explainability via SHAP; 5-fold CV.”</t>
        </is>
      </c>
      <c r="AM2" s="4" t="inlineStr">
        <is>
          <t>RB</t>
        </is>
      </c>
      <c r="AN2" s="4" t="inlineStr">
        <is>
          <t>Tomado completo desde archivo RB según asignación</t>
        </is>
      </c>
      <c r="AO2" s="4" t="n">
        <v>0</v>
      </c>
    </row>
    <row r="3" ht="372" customHeight="1">
      <c r="A3" s="4" t="n">
        <v>2</v>
      </c>
      <c r="B3" s="4" t="n">
        <v>2</v>
      </c>
      <c r="C3" s="4" t="inlineStr">
        <is>
          <t>Revisor A</t>
        </is>
      </c>
      <c r="D3" s="4" t="inlineStr">
        <is>
          <t>RA</t>
        </is>
      </c>
      <c r="E3" s="4" t="n">
        <v>2015</v>
      </c>
      <c r="F3" s="4" t="inlineStr">
        <is>
          <t>No especificado</t>
        </is>
      </c>
      <c r="G3" s="4" t="inlineStr">
        <is>
          <t>Machine Learning</t>
        </is>
      </c>
      <c r="H3" s="4" t="inlineStr">
        <is>
          <t>https://doi.org/10.1038/tp.2015.7</t>
        </is>
      </c>
      <c r="I3" s="4" t="inlineStr">
        <is>
          <t>Searching for a minimal set of behaviors for autism detection through feature selection-based machine learning</t>
        </is>
      </c>
      <c r="J3" s="4" t="inlineStr">
        <is>
          <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t>
        </is>
      </c>
      <c r="K3" s="4" t="inlineStr">
        <is>
          <t>Supervised</t>
        </is>
      </c>
      <c r="L3" s="4" t="inlineStr">
        <is>
          <t>Other / Not clear</t>
        </is>
      </c>
      <c r="M3" s="4" t="inlineStr">
        <is>
          <t>Classification (ASD vs control / multi-class)</t>
        </is>
      </c>
      <c r="N3" s="4" t="inlineStr">
        <is>
          <t>Screening</t>
        </is>
      </c>
      <c r="O3" s="4" t="inlineStr">
        <is>
          <t>Medium</t>
        </is>
      </c>
      <c r="P3" s="4" t="n">
        <v>0</v>
      </c>
      <c r="Q3" s="4" t="n">
        <v>0</v>
      </c>
      <c r="R3" s="4" t="n">
        <v>0</v>
      </c>
      <c r="S3" s="4" t="n">
        <v>0</v>
      </c>
      <c r="T3" s="4" t="n">
        <v>1</v>
      </c>
      <c r="U3" s="4" t="n">
        <v>0</v>
      </c>
      <c r="V3" s="4" t="n">
        <v>0</v>
      </c>
      <c r="W3" s="4" t="n">
        <v>0</v>
      </c>
      <c r="X3" s="4" t="n">
        <v>1</v>
      </c>
      <c r="Y3" s="4" t="n">
        <v>0</v>
      </c>
      <c r="Z3" s="4" t="n">
        <v>0</v>
      </c>
      <c r="AA3" s="4" t="n">
        <v>0</v>
      </c>
      <c r="AB3" s="4" t="inlineStr">
        <is>
          <t>1900-01-01</t>
        </is>
      </c>
      <c r="AC3" s="4" t="n"/>
      <c r="AD3" s="4" t="n"/>
      <c r="AE3" s="4" t="n"/>
      <c r="AF3" s="4" t="n"/>
      <c r="AG3" s="4" t="n">
        <v>1</v>
      </c>
      <c r="AH3" s="4" t="n">
        <v>1</v>
      </c>
      <c r="AI3" s="4" t="n"/>
      <c r="AJ3" s="4" t="n"/>
      <c r="AK3" s="4" t="n"/>
      <c r="AL3" s="4" t="inlineStr">
        <is>
          <t>Usa ADOS/ítems conductuales para detección/cribado; algoritmo principal no explícito.</t>
        </is>
      </c>
      <c r="AM3" s="4" t="inlineStr">
        <is>
          <t>RA</t>
        </is>
      </c>
      <c r="AN3" s="4" t="inlineStr">
        <is>
          <t>Tomado completo desde archivo RA según asignación</t>
        </is>
      </c>
      <c r="AO3" s="4" t="n">
        <v>0</v>
      </c>
    </row>
    <row r="4" ht="409" customHeight="1">
      <c r="A4" s="4" t="n">
        <v>3</v>
      </c>
      <c r="B4" s="4" t="n">
        <v>3</v>
      </c>
      <c r="C4" s="4" t="inlineStr">
        <is>
          <t>Revisor A</t>
        </is>
      </c>
      <c r="D4" s="4" t="inlineStr">
        <is>
          <t>RA</t>
        </is>
      </c>
      <c r="E4" s="4" t="n">
        <v>2023</v>
      </c>
      <c r="F4" s="4" t="inlineStr">
        <is>
          <t>No especificado</t>
        </is>
      </c>
      <c r="G4" s="4" t="inlineStr">
        <is>
          <t>Deep Learning</t>
        </is>
      </c>
      <c r="H4" s="4" t="inlineStr">
        <is>
          <t>https://doi.org/10.1016/j.jprot.2023.104872</t>
        </is>
      </c>
      <c r="I4" s="4" t="inlineStr">
        <is>
          <t>The use of data independent acquisition based proteomic analysis and machine learning to reveal potential biomarkers for autism spectrum disorder</t>
        </is>
      </c>
      <c r="J4" s="4" t="inlineStr">
        <is>
          <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t>
        </is>
      </c>
      <c r="K4" s="4" t="inlineStr">
        <is>
          <t>Supervised</t>
        </is>
      </c>
      <c r="L4" s="4" t="inlineStr">
        <is>
          <t>Other / Not clear</t>
        </is>
      </c>
      <c r="M4" s="4" t="inlineStr">
        <is>
          <t>Classification (ASD vs control / multi-class)</t>
        </is>
      </c>
      <c r="N4" s="4" t="inlineStr">
        <is>
          <t>Diagnosis</t>
        </is>
      </c>
      <c r="O4" s="4" t="inlineStr">
        <is>
          <t>Medium</t>
        </is>
      </c>
      <c r="P4" s="4" t="n">
        <v>0</v>
      </c>
      <c r="Q4" s="4" t="n">
        <v>0</v>
      </c>
      <c r="R4" s="4" t="n">
        <v>0</v>
      </c>
      <c r="S4" s="4" t="n">
        <v>0</v>
      </c>
      <c r="T4" s="4" t="n">
        <v>0</v>
      </c>
      <c r="U4" s="4" t="n">
        <v>1</v>
      </c>
      <c r="V4" s="4" t="n">
        <v>0</v>
      </c>
      <c r="W4" s="4" t="n">
        <v>0</v>
      </c>
      <c r="X4" s="4" t="n">
        <v>0</v>
      </c>
      <c r="Y4" s="4" t="n">
        <v>1</v>
      </c>
      <c r="Z4" s="4" t="n">
        <v>0</v>
      </c>
      <c r="AA4" s="4" t="n">
        <v>0</v>
      </c>
      <c r="AB4" s="4" t="inlineStr">
        <is>
          <t>1900-01-01</t>
        </is>
      </c>
      <c r="AC4" s="4" t="n"/>
      <c r="AD4" s="4" t="n"/>
      <c r="AE4" s="4" t="n"/>
      <c r="AF4" s="4" t="n"/>
      <c r="AG4" s="4" t="n">
        <v>1</v>
      </c>
      <c r="AH4" s="4" t="n">
        <v>1</v>
      </c>
      <c r="AI4" s="4" t="n"/>
      <c r="AJ4" s="4" t="n"/>
      <c r="AK4" s="4" t="n"/>
      <c r="AL4" s="4" t="inlineStr">
        <is>
          <t>Biomarcadores proteómicos en plasma para discriminar ASD vs controles; algoritmo ML no especificado.</t>
        </is>
      </c>
      <c r="AM4" s="4" t="inlineStr">
        <is>
          <t>RA</t>
        </is>
      </c>
      <c r="AN4" s="4" t="inlineStr">
        <is>
          <t>Tomado completo desde archivo RA según asignación</t>
        </is>
      </c>
      <c r="AO4" s="4" t="n">
        <v>0</v>
      </c>
    </row>
    <row r="5" ht="242" customHeight="1">
      <c r="A5" s="4" t="n">
        <v>4</v>
      </c>
      <c r="B5" s="4" t="n">
        <v>4</v>
      </c>
      <c r="C5" s="4" t="inlineStr">
        <is>
          <t>Revisor B</t>
        </is>
      </c>
      <c r="D5" s="4" t="n"/>
      <c r="E5" s="4" t="n">
        <v>2025</v>
      </c>
      <c r="F5" s="4" t="inlineStr">
        <is>
          <t>No especificado</t>
        </is>
      </c>
      <c r="G5" s="4" t="inlineStr">
        <is>
          <t>Deep Learning</t>
        </is>
      </c>
      <c r="H5" s="4" t="inlineStr">
        <is>
          <t>https://doi.org/10.1007/978-981-96-3942-7_18</t>
        </is>
      </c>
      <c r="I5" s="4" t="inlineStr">
        <is>
          <t>Cognitive Disorder Detection Used for Early Autism Screening Using Deep Learning</t>
        </is>
      </c>
      <c r="J5" s="4" t="inlineStr">
        <is>
          <t>The proposed Monotonous Trans cranial Magnetic Stimulation device has been used as an invasive therapy for a variety of neurological and psychiatric conditions, including schizophrenia, Parkinson's disease, and depression, throughout the last ten years. Early detection of cognitive disorders such as dementias and Alzheimer's allows patients to get higher-quality therapy that helps them retrieve the information they need and preserve their memories. The rTMS device modifies the firing pulse of neurons to initiate brain communication by providing a varying magnetic field. This problem arises because Alzheimer's disease tangles and the resulting neuronal death often begin in memory-related areas like the progress to. In clinical and research contexts, cognitive disorders are associated with difficulties; moderate cognitive disorder (MCD) in particular need a high level of diagnostic suspicion in addition to equipment that are sensitive enough to detect it. This study was out to validate the short cognitive test (CATest) for MiCD diagnosis.</t>
        </is>
      </c>
      <c r="K5" s="4" t="inlineStr">
        <is>
          <t>Supervised</t>
        </is>
      </c>
      <c r="L5" s="4" t="inlineStr">
        <is>
          <t>MLP</t>
        </is>
      </c>
      <c r="M5" s="4" t="inlineStr">
        <is>
          <t>Classification (ASD vs control / multi-class)</t>
        </is>
      </c>
      <c r="N5" s="4" t="inlineStr">
        <is>
          <t>Diagnosis</t>
        </is>
      </c>
      <c r="O5" s="4" t="inlineStr">
        <is>
          <t>high</t>
        </is>
      </c>
      <c r="P5" s="4" t="n">
        <v>0</v>
      </c>
      <c r="Q5" s="4" t="n">
        <v>0</v>
      </c>
      <c r="R5" s="4" t="n">
        <v>0</v>
      </c>
      <c r="S5" s="4" t="n">
        <v>0</v>
      </c>
      <c r="T5" s="4" t="n">
        <v>0</v>
      </c>
      <c r="U5" s="4" t="n">
        <v>1</v>
      </c>
      <c r="V5" s="4" t="n">
        <v>0</v>
      </c>
      <c r="W5" s="4" t="n">
        <v>0</v>
      </c>
      <c r="X5" s="4" t="n">
        <v>0</v>
      </c>
      <c r="Y5" s="4" t="n">
        <v>1</v>
      </c>
      <c r="Z5" s="4" t="n">
        <v>0</v>
      </c>
      <c r="AA5" s="4" t="n">
        <v>1</v>
      </c>
      <c r="AB5" s="4" t="inlineStr">
        <is>
          <t>1900-01-01</t>
        </is>
      </c>
      <c r="AC5" s="4" t="n">
        <v>0</v>
      </c>
      <c r="AD5" s="4" t="n">
        <v>1</v>
      </c>
      <c r="AE5" s="4" t="n">
        <v>0</v>
      </c>
      <c r="AF5" s="4" t="n">
        <v>0</v>
      </c>
      <c r="AG5" s="4" t="n">
        <v>1</v>
      </c>
      <c r="AH5" s="4" t="n">
        <v>1</v>
      </c>
      <c r="AI5" s="4" t="n">
        <v>0</v>
      </c>
      <c r="AJ5" s="4" t="inlineStr">
        <is>
          <t>1900-01-01</t>
        </is>
      </c>
      <c r="AK5" s="4" t="inlineStr">
        <is>
          <t>1900-01-01</t>
        </is>
      </c>
      <c r="AL5" s="4" t="inlineStr">
        <is>
          <t>Classification task; target label not consistently described (cognitive disorder/MiCD vs ‘early autism screening</t>
        </is>
      </c>
      <c r="AM5" s="4" t="inlineStr">
        <is>
          <t>RB</t>
        </is>
      </c>
      <c r="AN5" s="4" t="inlineStr">
        <is>
          <t>Tomado completo desde archivo RB según asignación</t>
        </is>
      </c>
      <c r="AO5" s="4" t="n">
        <v>0</v>
      </c>
    </row>
    <row r="6" ht="409" customHeight="1">
      <c r="A6" s="4" t="n">
        <v>5</v>
      </c>
      <c r="B6" s="4" t="n">
        <v>5</v>
      </c>
      <c r="C6" s="4" t="inlineStr">
        <is>
          <t>Revisor A</t>
        </is>
      </c>
      <c r="D6" s="4" t="inlineStr">
        <is>
          <t>RA</t>
        </is>
      </c>
      <c r="E6" s="4" t="n">
        <v>2014</v>
      </c>
      <c r="F6" s="4" t="inlineStr">
        <is>
          <t>No especificado</t>
        </is>
      </c>
      <c r="G6" s="4" t="inlineStr">
        <is>
          <t>Machine Learning</t>
        </is>
      </c>
      <c r="H6" s="4" t="inlineStr">
        <is>
          <t>https://doi.org/10.1371/journal.pone.0112445</t>
        </is>
      </c>
      <c r="I6" s="4" t="inlineStr">
        <is>
          <t>Metabolomics as a tool for discovery of biomarkers of autism spectrum disorder in the blood plasma of children</t>
        </is>
      </c>
      <c r="J6" s="4" t="inlineStr">
        <is>
          <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t>
        </is>
      </c>
      <c r="K6" s="4" t="inlineStr">
        <is>
          <t>Supervised</t>
        </is>
      </c>
      <c r="L6" s="4" t="inlineStr">
        <is>
          <t>Other / Not clear</t>
        </is>
      </c>
      <c r="M6" s="4" t="inlineStr">
        <is>
          <t>Classification (ASD vs control / multi-class)</t>
        </is>
      </c>
      <c r="N6" s="4" t="inlineStr">
        <is>
          <t>Diagnosis</t>
        </is>
      </c>
      <c r="O6" s="4" t="inlineStr">
        <is>
          <t>Medium</t>
        </is>
      </c>
      <c r="P6" s="4" t="n">
        <v>0</v>
      </c>
      <c r="Q6" s="4" t="n">
        <v>0</v>
      </c>
      <c r="R6" s="4" t="n">
        <v>0</v>
      </c>
      <c r="S6" s="4" t="n">
        <v>0</v>
      </c>
      <c r="T6" s="4" t="n">
        <v>0</v>
      </c>
      <c r="U6" s="4" t="n">
        <v>1</v>
      </c>
      <c r="V6" s="4" t="n">
        <v>0</v>
      </c>
      <c r="W6" s="4" t="n">
        <v>0</v>
      </c>
      <c r="X6" s="4" t="n">
        <v>0</v>
      </c>
      <c r="Y6" s="4" t="n">
        <v>1</v>
      </c>
      <c r="Z6" s="4" t="n">
        <v>0</v>
      </c>
      <c r="AA6" s="4" t="n">
        <v>0</v>
      </c>
      <c r="AB6" s="4" t="inlineStr">
        <is>
          <t>1900-01-01</t>
        </is>
      </c>
      <c r="AC6" s="4" t="n"/>
      <c r="AD6" s="4" t="n"/>
      <c r="AE6" s="4" t="n"/>
      <c r="AF6" s="4" t="n"/>
      <c r="AG6" s="4" t="n">
        <v>1</v>
      </c>
      <c r="AH6" s="4" t="n">
        <v>1</v>
      </c>
      <c r="AI6" s="4" t="n"/>
      <c r="AJ6" s="4" t="n"/>
      <c r="AK6" s="4" t="n"/>
      <c r="AL6" s="4" t="inlineStr">
        <is>
          <t>Metabolómica plasmática para discriminar ASD vs controles; confirmar algoritmo principal en full-text.</t>
        </is>
      </c>
      <c r="AM6" s="4" t="inlineStr">
        <is>
          <t>RA</t>
        </is>
      </c>
      <c r="AN6" s="4" t="inlineStr">
        <is>
          <t>Tomado completo desde archivo RA según asignación</t>
        </is>
      </c>
      <c r="AO6" s="4" t="n">
        <v>0</v>
      </c>
    </row>
    <row r="7" ht="409" customHeight="1">
      <c r="A7" s="4" t="n">
        <v>6</v>
      </c>
      <c r="B7" s="4" t="n">
        <v>6</v>
      </c>
      <c r="C7" s="4" t="inlineStr">
        <is>
          <t>Revisor B</t>
        </is>
      </c>
      <c r="D7" s="4" t="n"/>
      <c r="E7" s="4" t="n">
        <v>2017</v>
      </c>
      <c r="F7" s="4" t="inlineStr">
        <is>
          <t>Imagen</t>
        </is>
      </c>
      <c r="G7" s="4" t="inlineStr">
        <is>
          <t>Machine Learning</t>
        </is>
      </c>
      <c r="H7" s="4" t="inlineStr">
        <is>
          <t>https://doi.org/10.1186/s13229-017-0180-6</t>
        </is>
      </c>
      <c r="I7" s="4" t="inlineStr">
        <is>
          <t>Sparsifying machine learning models identify stable subsets of predictive features for behavioral detection of autism</t>
        </is>
      </c>
      <c r="J7" s="4" t="inlineStr">
        <is>
          <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t>
        </is>
      </c>
      <c r="K7" s="4" t="inlineStr">
        <is>
          <t>Supervised</t>
        </is>
      </c>
      <c r="L7" s="4" t="inlineStr">
        <is>
          <t>Logistic Regression</t>
        </is>
      </c>
      <c r="M7" s="4" t="inlineStr">
        <is>
          <t>Classification (ASD vs control / multi-class)</t>
        </is>
      </c>
      <c r="N7" s="4" t="inlineStr">
        <is>
          <t>Screening</t>
        </is>
      </c>
      <c r="O7" s="4" t="inlineStr">
        <is>
          <t>high</t>
        </is>
      </c>
      <c r="P7" s="4" t="n">
        <v>0</v>
      </c>
      <c r="Q7" s="4" t="n">
        <v>0</v>
      </c>
      <c r="R7" s="4" t="n">
        <v>0</v>
      </c>
      <c r="S7" s="4" t="n">
        <v>0</v>
      </c>
      <c r="T7" s="4" t="n">
        <v>1</v>
      </c>
      <c r="U7" s="4" t="n">
        <v>0</v>
      </c>
      <c r="V7" s="4" t="n">
        <v>0</v>
      </c>
      <c r="W7" s="4" t="n">
        <v>0</v>
      </c>
      <c r="X7" s="4" t="n">
        <v>1</v>
      </c>
      <c r="Y7" s="4" t="n">
        <v>1</v>
      </c>
      <c r="Z7" s="4" t="n">
        <v>1</v>
      </c>
      <c r="AA7" s="4" t="n">
        <v>1</v>
      </c>
      <c r="AB7" s="4" t="inlineStr">
        <is>
          <t>1900-01-01</t>
        </is>
      </c>
      <c r="AC7" s="4" t="n">
        <v>0</v>
      </c>
      <c r="AD7" s="4" t="n">
        <v>1</v>
      </c>
      <c r="AE7" s="4" t="n">
        <v>0</v>
      </c>
      <c r="AF7" s="4" t="n">
        <v>0</v>
      </c>
      <c r="AG7" s="4" t="n">
        <v>1</v>
      </c>
      <c r="AH7" s="4" t="n">
        <v>1</v>
      </c>
      <c r="AI7" s="4" t="n">
        <v>0</v>
      </c>
      <c r="AJ7" s="4" t="inlineStr">
        <is>
          <t>00:00:00</t>
        </is>
      </c>
      <c r="AK7" s="4" t="inlineStr">
        <is>
          <t>1900-01-01</t>
        </is>
      </c>
      <c r="AL7" s="4" t="inlineStr">
        <is>
          <t>Comparative study (17 supervised models); sparse/regularized; interpretable candidates include Logistic Regression (L2) and Linear SVM (L1).</t>
        </is>
      </c>
      <c r="AM7" s="4" t="inlineStr">
        <is>
          <t>RB</t>
        </is>
      </c>
      <c r="AN7" s="4" t="inlineStr">
        <is>
          <t>Tomado completo desde archivo RB según asignación</t>
        </is>
      </c>
      <c r="AO7" s="4" t="n">
        <v>0</v>
      </c>
    </row>
    <row r="8" ht="409" customHeight="1">
      <c r="A8" s="4" t="n">
        <v>7</v>
      </c>
      <c r="B8" s="4" t="n">
        <v>7</v>
      </c>
      <c r="C8" s="4" t="inlineStr">
        <is>
          <t>Revisor A</t>
        </is>
      </c>
      <c r="D8" s="4" t="inlineStr">
        <is>
          <t>RA</t>
        </is>
      </c>
      <c r="E8" s="4" t="n">
        <v>2025</v>
      </c>
      <c r="F8" s="4" t="inlineStr">
        <is>
          <t>No especificado</t>
        </is>
      </c>
      <c r="G8" s="4" t="inlineStr">
        <is>
          <t>Deep Learning</t>
        </is>
      </c>
      <c r="H8" s="4" t="inlineStr">
        <is>
          <t>https://doi.org/10.1038/s41598-025-90216-8</t>
        </is>
      </c>
      <c r="I8" s="4" t="inlineStr">
        <is>
          <t>Transformer-based deep learning ensemble framework predicts autism spectrum disorder using health administrative and birth registry data</t>
        </is>
      </c>
      <c r="J8" s="4" t="inlineStr">
        <is>
          <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t>
        </is>
      </c>
      <c r="K8" s="4" t="inlineStr">
        <is>
          <t>Supervised</t>
        </is>
      </c>
      <c r="L8" s="4" t="inlineStr">
        <is>
          <t>Transformer</t>
        </is>
      </c>
      <c r="M8" s="4" t="inlineStr">
        <is>
          <t>Classification (ASD vs control / multi-class)</t>
        </is>
      </c>
      <c r="N8" s="4" t="inlineStr">
        <is>
          <t>Prescreening</t>
        </is>
      </c>
      <c r="O8" s="4" t="inlineStr">
        <is>
          <t>High</t>
        </is>
      </c>
      <c r="P8" s="4" t="n">
        <v>0</v>
      </c>
      <c r="Q8" s="4" t="n">
        <v>0</v>
      </c>
      <c r="R8" s="4" t="n">
        <v>0</v>
      </c>
      <c r="S8" s="4" t="n">
        <v>0</v>
      </c>
      <c r="T8" s="4" t="n">
        <v>1</v>
      </c>
      <c r="U8" s="4" t="n">
        <v>0</v>
      </c>
      <c r="V8" s="4" t="n">
        <v>0</v>
      </c>
      <c r="W8" s="4" t="n">
        <v>1</v>
      </c>
      <c r="X8" s="4" t="n">
        <v>1</v>
      </c>
      <c r="Y8" s="4" t="n">
        <v>0</v>
      </c>
      <c r="Z8" s="4" t="n">
        <v>0</v>
      </c>
      <c r="AA8" s="4" t="n">
        <v>0</v>
      </c>
      <c r="AB8" s="4" t="inlineStr">
        <is>
          <t>1900-01-01</t>
        </is>
      </c>
      <c r="AC8" s="4" t="n"/>
      <c r="AD8" s="4" t="n"/>
      <c r="AE8" s="4" t="n"/>
      <c r="AF8" s="4" t="n"/>
      <c r="AG8" s="4" t="n">
        <v>0</v>
      </c>
      <c r="AH8" s="4" t="n">
        <v>1</v>
      </c>
      <c r="AI8" s="4" t="n"/>
      <c r="AJ8" s="4" t="n"/>
      <c r="AK8" s="4" t="n"/>
      <c r="AL8" s="4" t="n"/>
      <c r="AM8" s="4" t="inlineStr">
        <is>
          <t>RA</t>
        </is>
      </c>
      <c r="AN8" s="4" t="inlineStr">
        <is>
          <t>Tomado completo desde archivo RA según asignación</t>
        </is>
      </c>
      <c r="AO8" s="4" t="n">
        <v>0</v>
      </c>
    </row>
    <row r="9" ht="255" customHeight="1">
      <c r="A9" s="4" t="n">
        <v>8</v>
      </c>
      <c r="B9" s="4" t="n">
        <v>8</v>
      </c>
      <c r="C9" s="4" t="inlineStr">
        <is>
          <t>Revisor B</t>
        </is>
      </c>
      <c r="D9" s="4" t="n"/>
      <c r="E9" s="4" t="n">
        <v>2024</v>
      </c>
      <c r="F9" s="4" t="inlineStr">
        <is>
          <t>Imagen</t>
        </is>
      </c>
      <c r="G9" s="4" t="inlineStr">
        <is>
          <t>Machine Learning</t>
        </is>
      </c>
      <c r="H9" s="4" t="inlineStr">
        <is>
          <t>https://doi.org/10.3390/s24237489</t>
        </is>
      </c>
      <c r="I9" s="4" t="inlineStr">
        <is>
          <t>A Closed-Loop Ear-Worn Wearable EEG System with Real-Time Passive Electrode Skin Impedance Measurement for Early Autism Detection †</t>
        </is>
      </c>
      <c r="J9" s="4" t="inlineStr">
        <is>
          <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t>
        </is>
      </c>
      <c r="K9" s="4" t="inlineStr">
        <is>
          <t>Supervised</t>
        </is>
      </c>
      <c r="L9" s="4" t="inlineStr">
        <is>
          <t>MLP</t>
        </is>
      </c>
      <c r="M9" s="4" t="inlineStr">
        <is>
          <t>Classification (ASD vs control / multi-class)</t>
        </is>
      </c>
      <c r="N9" s="4" t="inlineStr">
        <is>
          <t>diagnosis</t>
        </is>
      </c>
      <c r="O9" s="4" t="inlineStr">
        <is>
          <t>high</t>
        </is>
      </c>
      <c r="P9" s="4" t="n">
        <v>0</v>
      </c>
      <c r="Q9" s="4" t="n">
        <v>0</v>
      </c>
      <c r="R9" s="4" t="n">
        <v>0</v>
      </c>
      <c r="S9" s="4" t="n">
        <v>1</v>
      </c>
      <c r="T9" s="4" t="n">
        <v>1</v>
      </c>
      <c r="U9" s="4" t="n">
        <v>0</v>
      </c>
      <c r="V9" s="4" t="n">
        <v>0</v>
      </c>
      <c r="W9" s="4" t="n">
        <v>0</v>
      </c>
      <c r="X9" s="4" t="n">
        <v>0</v>
      </c>
      <c r="Y9" s="4" t="n">
        <v>1</v>
      </c>
      <c r="Z9" s="4" t="n">
        <v>1</v>
      </c>
      <c r="AA9" s="4" t="n">
        <v>1</v>
      </c>
      <c r="AB9" s="4" t="inlineStr">
        <is>
          <t>1900-01-01</t>
        </is>
      </c>
      <c r="AC9" s="4" t="n">
        <v>0</v>
      </c>
      <c r="AD9" s="4" t="n">
        <v>0</v>
      </c>
      <c r="AE9" s="4" t="n">
        <v>0</v>
      </c>
      <c r="AF9" s="4" t="n">
        <v>0</v>
      </c>
      <c r="AG9" s="4" t="n">
        <v>0</v>
      </c>
      <c r="AH9" s="4" t="n">
        <v>2</v>
      </c>
      <c r="AI9" s="4" t="n">
        <v>0</v>
      </c>
      <c r="AJ9" s="4" t="inlineStr">
        <is>
          <t>00:00:00</t>
        </is>
      </c>
      <c r="AK9" s="4" t="inlineStr">
        <is>
          <t>00:00:00</t>
        </is>
      </c>
      <c r="AL9" s="4" t="n"/>
      <c r="AM9" s="4" t="inlineStr">
        <is>
          <t>RB</t>
        </is>
      </c>
      <c r="AN9" s="4" t="inlineStr">
        <is>
          <t>Tomado completo desde archivo RB según asignación</t>
        </is>
      </c>
      <c r="AO9" s="4" t="n">
        <v>0</v>
      </c>
    </row>
    <row r="10" ht="409" customHeight="1">
      <c r="A10" s="4" t="n">
        <v>9</v>
      </c>
      <c r="B10" s="4" t="n">
        <v>9</v>
      </c>
      <c r="C10" s="4" t="inlineStr">
        <is>
          <t>Revisor B</t>
        </is>
      </c>
      <c r="D10" s="4" t="n"/>
      <c r="E10" s="4" t="n">
        <v>2019</v>
      </c>
      <c r="F10" s="4" t="inlineStr">
        <is>
          <t>Audio · Voz</t>
        </is>
      </c>
      <c r="G10" s="4" t="inlineStr">
        <is>
          <t>Híbrido</t>
        </is>
      </c>
      <c r="H10" s="4" t="inlineStr">
        <is>
          <t>https://doi.org/10.1016/j.csl.2018.11.002</t>
        </is>
      </c>
      <c r="I10" s="4" t="inlineStr">
        <is>
          <t>An automated assessment framework for atypical prosody and stereotyped idiosyncratic phrases related to autism spectrum disorder</t>
        </is>
      </c>
      <c r="J10" s="4" t="inlineStr">
        <is>
          <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t>
        </is>
      </c>
      <c r="K10" s="4" t="inlineStr">
        <is>
          <t>Supervised</t>
        </is>
      </c>
      <c r="L10" s="4" t="inlineStr">
        <is>
          <t>CNN</t>
        </is>
      </c>
      <c r="M10" s="4" t="inlineStr">
        <is>
          <t>Classification (ASD vs control / multi-class)</t>
        </is>
      </c>
      <c r="N10" s="4" t="inlineStr">
        <is>
          <t>diagnosis</t>
        </is>
      </c>
      <c r="O10" s="4" t="inlineStr">
        <is>
          <t>high</t>
        </is>
      </c>
      <c r="P10" s="4" t="n">
        <v>0</v>
      </c>
      <c r="Q10" s="4" t="n">
        <v>0</v>
      </c>
      <c r="R10" s="4" t="n">
        <v>0</v>
      </c>
      <c r="S10" s="4" t="n">
        <v>1</v>
      </c>
      <c r="T10" s="4" t="n">
        <v>0</v>
      </c>
      <c r="U10" s="4" t="n">
        <v>0</v>
      </c>
      <c r="V10" s="4" t="n">
        <v>0</v>
      </c>
      <c r="W10" s="4" t="n">
        <v>0</v>
      </c>
      <c r="X10" s="4" t="n">
        <v>0</v>
      </c>
      <c r="Y10" s="4" t="n">
        <v>1</v>
      </c>
      <c r="Z10" s="4" t="n">
        <v>0</v>
      </c>
      <c r="AA10" s="4" t="n">
        <v>0</v>
      </c>
      <c r="AB10" s="4" t="inlineStr">
        <is>
          <t>1900-01-01</t>
        </is>
      </c>
      <c r="AC10" s="4" t="n">
        <v>0</v>
      </c>
      <c r="AD10" s="4" t="n">
        <v>0</v>
      </c>
      <c r="AE10" s="4" t="n">
        <v>0</v>
      </c>
      <c r="AF10" s="4" t="n">
        <v>0</v>
      </c>
      <c r="AG10" s="4" t="n">
        <v>0</v>
      </c>
      <c r="AH10" s="4" t="n">
        <v>1</v>
      </c>
      <c r="AI10" s="4" t="n">
        <v>0</v>
      </c>
      <c r="AJ10" s="4" t="inlineStr">
        <is>
          <t>00:00:00</t>
        </is>
      </c>
      <c r="AK10" s="4" t="inlineStr">
        <is>
          <t>00:00:00</t>
        </is>
      </c>
      <c r="AL10" s="4" t="inlineStr">
        <is>
          <t>“End-to-end models: CNN, RNN(BLSTM), CNN+RNN(GRU/LSTM) on spectrograms; baseline OpenSMILE+linear SVM; text task uses linear SVM with n-gram/dep-treebank/TF-IDF/LIWC; score-level fusion.</t>
        </is>
      </c>
      <c r="AM10" s="4" t="inlineStr">
        <is>
          <t>RB</t>
        </is>
      </c>
      <c r="AN10" s="4" t="inlineStr">
        <is>
          <t>Tomado completo desde archivo RB según asignación</t>
        </is>
      </c>
      <c r="AO10" s="4" t="n">
        <v>0</v>
      </c>
    </row>
    <row r="11" ht="409" customHeight="1">
      <c r="A11" s="4" t="n">
        <v>10</v>
      </c>
      <c r="B11" s="4" t="n">
        <v>10</v>
      </c>
      <c r="C11" s="4" t="inlineStr">
        <is>
          <t>Revisor B</t>
        </is>
      </c>
      <c r="D11" s="4" t="n"/>
      <c r="E11" s="4" t="n">
        <v>2024</v>
      </c>
      <c r="F11" s="4" t="inlineStr">
        <is>
          <t>Texto · NLP</t>
        </is>
      </c>
      <c r="G11" s="4" t="inlineStr">
        <is>
          <t>No especificado</t>
        </is>
      </c>
      <c r="H11" s="4" t="inlineStr">
        <is>
          <t>https://doi.org/10.1109/TAI.2024.3439288</t>
        </is>
      </c>
      <c r="I11" s="4" t="inlineStr">
        <is>
          <t>Artificial Intelligence Driven Predictive Analysis of Acoustic and Linguistic Behaviors for ASD Identification</t>
        </is>
      </c>
      <c r="J11" s="4" t="inlineStr">
        <is>
          <t>Our study addresses a crucial gap in autism research by delving into linguistic challenges in low-resource languages, often overlooked in prior research primarily focused on English. By investigating unique acoustic and linguistic features in Hindi-speaking CwA, our study aligns with established diagnostic tools and highlights a significant ∼9% enhancement in diagnostic accuracy (∼91.3%) for ASD in Hindi-speaking children. Hindi, a non-English language spoken by over 325 million people in India and ranking fifth globally, has been the subject of our pioneering effort, marking the first exploration of ASD speech analysis in this language. This initiative not only represents the first exploration of ASD speech analysis in Hindi but also establishes a precedent for studying linguistic atypicalities in similar resource-constrained languages. The potential impact extends beyond diagnosis, offering promise for enhanced early identification and interventions, ultimately improving outcomes for CwA in low-resource language settings.Show Less
Abstract:
The identification of autism spectrum disorder (ASD) faces challenges due to the lack of reliable biomarkers and the subjectivity in diagnostic procedures, necessitating improved tools for objectivity and efficiency. Being a key characteristic of autism, language impairments are regarded as potential markers for identifying ASD. However, current research predominantly focuses on analyzing language characteristics in English, overlooking linguistic and contextual specificities in other resource-constrained languages. Motivated by these, we developed an artificial intelligence (AI)-based system to detect ASD, utilizing a range of acoustic and linguistic features extracted from dyadic conversations between a child and their communication partner. Validating our model on 76 English-speaking children [35 ASD and 41 typically developing (TD)] and 33 Hindi-speaking children (15 ASD and 18 TD), our extensive analysis of a diverse and comprehensive set of acoustic and linguistic speech attributes, including lexical, syntactic, semantic, and pragmatic elements revealed reliable speech attributes as predictors of ASD. This comprehensive analysis achieved a remarkable macro F1-score of approximately ∼91.30%. We further addressed the influence of linguistic diversity on speech-based ASD assessment by examining speech behaviors in both English and the low-resource language, Hindi. Specific features such as adverbs and distinct roots contributed significantly to ASD classification in English, while the proportion of unintelligible utterances and adposition use held greater importance in Hindi. This study underscores the reliability of speech-based biomarkers in ASD assessment, emphasizing their effectiveness across diverse linguistic backgrounds and highlighting the need for language-specific research in this domain.</t>
        </is>
      </c>
      <c r="K11" s="4" t="inlineStr">
        <is>
          <t>Unsupervised</t>
        </is>
      </c>
      <c r="L11" s="4" t="inlineStr">
        <is>
          <t>Not clear</t>
        </is>
      </c>
      <c r="M11" s="4" t="inlineStr">
        <is>
          <t>Classification (binary/multi-class; incl. ASD vs control)/ multi-class)</t>
        </is>
      </c>
      <c r="N11" s="4" t="inlineStr">
        <is>
          <t>diagnosis</t>
        </is>
      </c>
      <c r="O11" s="4" t="inlineStr">
        <is>
          <t>high</t>
        </is>
      </c>
      <c r="P11" s="4" t="n">
        <v>0</v>
      </c>
      <c r="Q11" s="4" t="n">
        <v>0</v>
      </c>
      <c r="R11" s="4" t="n">
        <v>1</v>
      </c>
      <c r="S11" s="4" t="n">
        <v>0</v>
      </c>
      <c r="T11" s="4" t="n">
        <v>1</v>
      </c>
      <c r="U11" s="4" t="n">
        <v>0</v>
      </c>
      <c r="V11" s="4" t="n">
        <v>0</v>
      </c>
      <c r="W11" s="4" t="n">
        <v>0</v>
      </c>
      <c r="X11" s="4" t="n">
        <v>0</v>
      </c>
      <c r="Y11" s="4" t="n">
        <v>1</v>
      </c>
      <c r="Z11" s="4" t="n">
        <v>0</v>
      </c>
      <c r="AA11" s="4" t="n">
        <v>1</v>
      </c>
      <c r="AB11" s="4" t="inlineStr">
        <is>
          <t>1900-01-01</t>
        </is>
      </c>
      <c r="AC11" s="4" t="n">
        <v>0</v>
      </c>
      <c r="AD11" s="4" t="n">
        <v>0</v>
      </c>
      <c r="AE11" s="4" t="n">
        <v>0</v>
      </c>
      <c r="AF11" s="4" t="n">
        <v>0</v>
      </c>
      <c r="AG11" s="4" t="n">
        <v>0</v>
      </c>
      <c r="AH11" s="4" t="n">
        <v>2</v>
      </c>
      <c r="AI11" s="4" t="n">
        <v>0</v>
      </c>
      <c r="AJ11" s="4" t="inlineStr">
        <is>
          <t>1900-01-01</t>
        </is>
      </c>
      <c r="AK11" s="4" t="inlineStr">
        <is>
          <t>00:00:00</t>
        </is>
      </c>
      <c r="AL11" s="4" t="n"/>
      <c r="AM11" s="4" t="inlineStr">
        <is>
          <t>RB</t>
        </is>
      </c>
      <c r="AN11" s="4" t="inlineStr">
        <is>
          <t>Tomado completo desde archivo RB según asignación</t>
        </is>
      </c>
      <c r="AO11" s="4" t="n">
        <v>0</v>
      </c>
    </row>
    <row r="12" ht="409" customHeight="1">
      <c r="A12" s="4" t="n">
        <v>11</v>
      </c>
      <c r="B12" s="4" t="n">
        <v>11</v>
      </c>
      <c r="C12" s="4" t="inlineStr">
        <is>
          <t>Revisor B</t>
        </is>
      </c>
      <c r="D12" s="4" t="n"/>
      <c r="E12" s="4" t="n">
        <v>2025</v>
      </c>
      <c r="F12" s="4" t="inlineStr">
        <is>
          <t>Imagen</t>
        </is>
      </c>
      <c r="G12" s="4" t="inlineStr">
        <is>
          <t>Deep Learning</t>
        </is>
      </c>
      <c r="H12" s="4" t="inlineStr">
        <is>
          <t>https://doi.org/10.2196/72115</t>
        </is>
      </c>
      <c r="I12" s="4" t="inlineStr">
        <is>
          <t>Data Mining-Based Model for Computer-Aided Diagnosis of Autism and Gelotophobia: Mixed Methods Deep Learning Approach.</t>
        </is>
      </c>
      <c r="J12" s="4"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K12" s="4" t="inlineStr">
        <is>
          <t>Supervised</t>
        </is>
      </c>
      <c r="L12" s="4" t="inlineStr">
        <is>
          <t>MLP</t>
        </is>
      </c>
      <c r="M12" s="4" t="inlineStr">
        <is>
          <t>Classification (ASD vs control / multi-class)</t>
        </is>
      </c>
      <c r="N12" s="4" t="inlineStr">
        <is>
          <t>diagnosis</t>
        </is>
      </c>
      <c r="O12" s="4" t="inlineStr">
        <is>
          <t>high</t>
        </is>
      </c>
      <c r="P12" s="4" t="n">
        <v>0</v>
      </c>
      <c r="Q12" s="4" t="n">
        <v>1</v>
      </c>
      <c r="R12" s="4" t="n">
        <v>1</v>
      </c>
      <c r="S12" s="4" t="n">
        <v>0</v>
      </c>
      <c r="T12" s="4" t="n">
        <v>1</v>
      </c>
      <c r="U12" s="4" t="n">
        <v>0</v>
      </c>
      <c r="V12" s="4" t="n">
        <v>0</v>
      </c>
      <c r="W12" s="4" t="n">
        <v>0</v>
      </c>
      <c r="X12" s="4" t="n">
        <v>0</v>
      </c>
      <c r="Y12" s="4" t="n">
        <v>1</v>
      </c>
      <c r="Z12" s="4" t="n">
        <v>0</v>
      </c>
      <c r="AA12" s="4" t="n">
        <v>1</v>
      </c>
      <c r="AB12" s="4" t="inlineStr">
        <is>
          <t>1900-01-01</t>
        </is>
      </c>
      <c r="AC12" s="4" t="n">
        <v>0</v>
      </c>
      <c r="AD12" s="4" t="n">
        <v>0</v>
      </c>
      <c r="AE12" s="4" t="n">
        <v>0</v>
      </c>
      <c r="AF12" s="4" t="n">
        <v>0</v>
      </c>
      <c r="AG12" s="4" t="n">
        <v>0</v>
      </c>
      <c r="AH12" s="4" t="n">
        <v>3</v>
      </c>
      <c r="AI12" s="4" t="n">
        <v>0</v>
      </c>
      <c r="AJ12" s="4" t="inlineStr">
        <is>
          <t>1900-01-01</t>
        </is>
      </c>
      <c r="AK12" s="4" t="inlineStr">
        <is>
          <t>00:00:00</t>
        </is>
      </c>
      <c r="AL12" s="4" t="inlineStr">
        <is>
          <t>ASD status classification from facial images using DeepFace feature extraction; multiple ML models evaluated; MLP reported as highest test accuracy; gelotophobia assessed via DeepFace emotion analysis + GELOPH&lt;15&gt; questionnaire as confirmatory when facial cues ambiguous</t>
        </is>
      </c>
      <c r="AM12" s="4" t="inlineStr">
        <is>
          <t>RB</t>
        </is>
      </c>
      <c r="AN12" s="4" t="inlineStr">
        <is>
          <t>Tomado completo desde archivo RB según asignación</t>
        </is>
      </c>
      <c r="AO12" s="4" t="n">
        <v>0</v>
      </c>
    </row>
    <row r="13" ht="409" customHeight="1">
      <c r="A13" s="4" t="n">
        <v>12</v>
      </c>
      <c r="B13" s="4" t="n">
        <v>12</v>
      </c>
      <c r="C13" s="4" t="inlineStr">
        <is>
          <t>Revisor B</t>
        </is>
      </c>
      <c r="D13" s="4" t="n"/>
      <c r="E13" s="4" t="n">
        <v>2019</v>
      </c>
      <c r="F13" s="4" t="inlineStr">
        <is>
          <t>Multimodal</t>
        </is>
      </c>
      <c r="G13" s="4" t="inlineStr">
        <is>
          <t>No especificado</t>
        </is>
      </c>
      <c r="H13" s="4" t="inlineStr">
        <is>
          <t>https://doi.org/10.1001/jamapediatrics.2019.0285</t>
        </is>
      </c>
      <c r="I13" s="4" t="inlineStr">
        <is>
          <t>Effect of Wearable Digital Intervention for Improving Socialization in Children with Autism Spectrum Disorder: A Randomized Clinical Trial</t>
        </is>
      </c>
      <c r="J13" s="4" t="inlineStr">
        <is>
          <t>Importance: Autism behavioral therapy is effective but expensive and difficult to access. While mobile technology-based therapy can alleviate wait-lists and scale for increasing demand, few clinical trials exist to support its use for autism spectrum disorder (ASD) care. Objective: To evaluate the efficacy of Superpower Glass, an artificial intelligence-driven wearable behavioral intervention for improving social outcomes of children with ASD. Design, Setting, and Participants: A randomized clinical trial in which participants received the Superpower Glass intervention plus standard of care applied behavioral analysis therapy and control participants received only applied behavioral analysis therapy. Assessments were completed at the Stanford University Medical School, and enrolled participants used the Superpower Glass intervention in their homes. Children aged 6 to 12 years with a formal ASD diagnosis who were currently receiving applied behavioral analysis therapy were included. Families were recruited between June 2016 and December 2017. The first participant was enrolled on November 1, 2016, and the last appointment was completed on April 11, 2018. Data analysis was conducted between April and October 2018. Interventions: The Superpower Glass intervention, deployed via Google Glass (worn by the child) and a smartphone app, promotes facial engagement and emotion recognition by detecting facial expressions and providing reinforcing social cues. Families were asked to conduct 20-minute sessions at home 4 times per week for 6 weeks. Main Outcomes and Measures: Four socialization measures were assessed using an intention-to-treat analysis with a Bonferroni test correction. Results: Overall, 71 children (63 boys [89%]; mean [SD] age, 8.38 [2.46] years) diagnosed with ASD were enrolled (40 [56.3%] were randomized to treatment, and 31 (43.7%) were randomized to control). Children receiving the intervention showed significant improvements on the Vineland Adaptive Behaviors Scale socialization subscale compared with treatment as usual controls (mean [SD] treatment impact, 4.58 [1.62]; P =.005). Positive mean treatment effects were also found for the other 3 primary measures but not to a significance threshold of P =.0125. Conclusions and Relevance: The observed 4.58-point average gain on the Vineland Adaptive Behaviors Scale socialization subscale is comparable with gains observed with standard of care therapy. To our knowledge, this is the first randomized clinical trial to demonstrate efficacy of a wearable digital intervention to improve social behavior of children with ASD. The intervention reinforces facial engagement and emotion recognition, suggesting either or both could be a mechanism of action driving the observed improvement. This study underscores the potential of digital home therapy to augment the standard of care. Trial Registration: ClinicalTrials.gov identifier: NCT03569176.</t>
        </is>
      </c>
      <c r="K13" s="4" t="inlineStr">
        <is>
          <t>Supervised</t>
        </is>
      </c>
      <c r="L13" s="4" t="inlineStr">
        <is>
          <t>Not clear</t>
        </is>
      </c>
      <c r="M13" s="4" t="inlineStr">
        <is>
          <t>Other</t>
        </is>
      </c>
      <c r="N13" s="4" t="inlineStr">
        <is>
          <t>monitoring_intervention</t>
        </is>
      </c>
      <c r="O13" s="4" t="inlineStr">
        <is>
          <t>high</t>
        </is>
      </c>
      <c r="P13" s="4" t="n">
        <v>0</v>
      </c>
      <c r="Q13" s="4" t="n">
        <v>0</v>
      </c>
      <c r="R13" s="4" t="n">
        <v>0</v>
      </c>
      <c r="S13" s="4" t="n">
        <v>0</v>
      </c>
      <c r="T13" s="4" t="n">
        <v>0</v>
      </c>
      <c r="U13" s="4" t="n">
        <v>0</v>
      </c>
      <c r="V13" s="4" t="n">
        <v>0</v>
      </c>
      <c r="W13" s="4" t="n">
        <v>0</v>
      </c>
      <c r="X13" s="4" t="n">
        <v>0</v>
      </c>
      <c r="Y13" s="4" t="n">
        <v>0</v>
      </c>
      <c r="Z13" s="4" t="n">
        <v>0</v>
      </c>
      <c r="AA13" s="4" t="n">
        <v>1</v>
      </c>
      <c r="AB13" s="4" t="inlineStr">
        <is>
          <t>1900-01-01</t>
        </is>
      </c>
      <c r="AC13" s="4" t="n">
        <v>0</v>
      </c>
      <c r="AD13" s="4" t="n">
        <v>0</v>
      </c>
      <c r="AE13" s="4" t="n">
        <v>0</v>
      </c>
      <c r="AF13" s="4" t="n">
        <v>0</v>
      </c>
      <c r="AG13" s="4" t="n">
        <v>1</v>
      </c>
      <c r="AH13" s="4" t="n">
        <v>0</v>
      </c>
      <c r="AI13" s="4" t="n">
        <v>0</v>
      </c>
      <c r="AJ13" s="4" t="inlineStr">
        <is>
          <t>1900-01-01</t>
        </is>
      </c>
      <c r="AK13" s="4" t="inlineStr">
        <is>
          <t>00:00:00</t>
        </is>
      </c>
      <c r="AL13" s="4" t="inlineStr">
        <is>
          <t>Wearable AI-driven behavioral intervention (‘Superpower Glass’) that detects facial expressions and provides cues for emotion recognition during home sessions; clinical RCT; AI model family not specified in paper text.</t>
        </is>
      </c>
      <c r="AM13" s="4" t="inlineStr">
        <is>
          <t>RB</t>
        </is>
      </c>
      <c r="AN13" s="4" t="inlineStr">
        <is>
          <t>Tomado completo desde archivo RB según asignación</t>
        </is>
      </c>
      <c r="AO13" s="4" t="n">
        <v>0</v>
      </c>
    </row>
    <row r="14" ht="409" customHeight="1">
      <c r="A14" s="4" t="n">
        <v>13</v>
      </c>
      <c r="B14" s="4" t="n">
        <v>13</v>
      </c>
      <c r="C14" s="4" t="inlineStr">
        <is>
          <t>Revisor A</t>
        </is>
      </c>
      <c r="D14" s="4" t="inlineStr">
        <is>
          <t>RA</t>
        </is>
      </c>
      <c r="E14" s="4" t="n">
        <v>2023</v>
      </c>
      <c r="F14" s="4" t="inlineStr">
        <is>
          <t>No especificado</t>
        </is>
      </c>
      <c r="G14" s="4" t="inlineStr">
        <is>
          <t>Deep Learning</t>
        </is>
      </c>
      <c r="H14" s="4" t="inlineStr">
        <is>
          <t>https://doi.org/10.1155/2023/6330002</t>
        </is>
      </c>
      <c r="I14" s="4" t="inlineStr">
        <is>
          <t>Feature Signature Discovery for Autism Detection: An Automated Machine Learning Based Feature Ranking Framework</t>
        </is>
      </c>
      <c r="J14" s="4" t="inlineStr">
        <is>
          <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t>
        </is>
      </c>
      <c r="K14" s="4" t="inlineStr">
        <is>
          <t>Supervised</t>
        </is>
      </c>
      <c r="L14" s="4" t="inlineStr">
        <is>
          <t>Other / Not clear</t>
        </is>
      </c>
      <c r="M14" s="4" t="inlineStr">
        <is>
          <t>Classification (ASD vs control / multi-class)</t>
        </is>
      </c>
      <c r="N14" s="4" t="inlineStr">
        <is>
          <t>Screening</t>
        </is>
      </c>
      <c r="O14" s="4" t="inlineStr">
        <is>
          <t>Medium</t>
        </is>
      </c>
      <c r="P14" s="4" t="n">
        <v>0</v>
      </c>
      <c r="Q14" s="4" t="n">
        <v>0</v>
      </c>
      <c r="R14" s="4" t="n">
        <v>0</v>
      </c>
      <c r="S14" s="4" t="n">
        <v>0</v>
      </c>
      <c r="T14" s="4" t="n">
        <v>1</v>
      </c>
      <c r="U14" s="4" t="n">
        <v>0</v>
      </c>
      <c r="V14" s="4" t="n">
        <v>0</v>
      </c>
      <c r="W14" s="4" t="n">
        <v>0</v>
      </c>
      <c r="X14" s="4" t="n">
        <v>1</v>
      </c>
      <c r="Y14" s="4" t="n">
        <v>0</v>
      </c>
      <c r="Z14" s="4" t="n">
        <v>0</v>
      </c>
      <c r="AA14" s="4" t="n">
        <v>0</v>
      </c>
      <c r="AB14" s="4" t="inlineStr">
        <is>
          <t>1900-01-01</t>
        </is>
      </c>
      <c r="AC14" s="4" t="n"/>
      <c r="AD14" s="4" t="n"/>
      <c r="AE14" s="4" t="n"/>
      <c r="AF14" s="4" t="n"/>
      <c r="AG14" s="4" t="n">
        <v>1</v>
      </c>
      <c r="AH14" s="4" t="n">
        <v>1</v>
      </c>
      <c r="AI14" s="4" t="n"/>
      <c r="AJ14" s="4" t="n"/>
      <c r="AK14" s="4" t="n"/>
      <c r="AL14" s="4" t="inlineStr">
        <is>
          <t>Usa puntajes Q-CHAT; framework AutoML/feature ranking no mapea a un algoritmo único.</t>
        </is>
      </c>
      <c r="AM14" s="4" t="inlineStr">
        <is>
          <t>RA</t>
        </is>
      </c>
      <c r="AN14" s="4" t="inlineStr">
        <is>
          <t>Tomado completo desde archivo RA según asignación</t>
        </is>
      </c>
      <c r="AO14" s="4" t="n">
        <v>0</v>
      </c>
    </row>
    <row r="15" ht="320" customHeight="1">
      <c r="A15" s="4" t="n">
        <v>14</v>
      </c>
      <c r="B15" s="4" t="n">
        <v>14</v>
      </c>
      <c r="C15" s="4" t="inlineStr">
        <is>
          <t>Revisor A</t>
        </is>
      </c>
      <c r="D15" s="4" t="inlineStr">
        <is>
          <t>RA</t>
        </is>
      </c>
      <c r="E15" s="4" t="n">
        <v>2017</v>
      </c>
      <c r="F15" s="4" t="inlineStr">
        <is>
          <t>Texto · NLP</t>
        </is>
      </c>
      <c r="G15" s="4" t="inlineStr">
        <is>
          <t>Deep Learning</t>
        </is>
      </c>
      <c r="H15" s="4" t="inlineStr">
        <is>
          <t>https://doi.org/10.1126/scitranslmed.aag2882</t>
        </is>
      </c>
      <c r="I15" s="4" t="inlineStr">
        <is>
          <t>Functional neuroimaging of high-risk 6-month-old infants predicts a diagnosis of autism at 24 months of age</t>
        </is>
      </c>
      <c r="J15" s="4" t="inlineStr">
        <is>
          <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t>
        </is>
      </c>
      <c r="K15" s="4" t="inlineStr">
        <is>
          <t>Supervised</t>
        </is>
      </c>
      <c r="L15" s="4" t="inlineStr">
        <is>
          <t>Other / Not clear</t>
        </is>
      </c>
      <c r="M15" s="4" t="inlineStr">
        <is>
          <t>Prediction (time-to-event / prognosis)</t>
        </is>
      </c>
      <c r="N15" s="4" t="inlineStr">
        <is>
          <t>Prognosis</t>
        </is>
      </c>
      <c r="O15" s="4" t="inlineStr">
        <is>
          <t>Medium</t>
        </is>
      </c>
      <c r="P15" s="4" t="n">
        <v>1</v>
      </c>
      <c r="Q15" s="4" t="n">
        <v>0</v>
      </c>
      <c r="R15" s="4" t="n">
        <v>0</v>
      </c>
      <c r="S15" s="4" t="n">
        <v>0</v>
      </c>
      <c r="T15" s="4" t="n">
        <v>0</v>
      </c>
      <c r="U15" s="4" t="n">
        <v>0</v>
      </c>
      <c r="V15" s="4" t="n">
        <v>0</v>
      </c>
      <c r="W15" s="4" t="n">
        <v>0</v>
      </c>
      <c r="X15" s="4" t="n">
        <v>0</v>
      </c>
      <c r="Y15" s="4" t="n">
        <v>0</v>
      </c>
      <c r="Z15" s="4" t="n">
        <v>1</v>
      </c>
      <c r="AA15" s="4" t="n">
        <v>0</v>
      </c>
      <c r="AB15" s="4" t="inlineStr">
        <is>
          <t>1900-01-01</t>
        </is>
      </c>
      <c r="AC15" s="4" t="n"/>
      <c r="AD15" s="4" t="n"/>
      <c r="AE15" s="4" t="n"/>
      <c r="AF15" s="4" t="n"/>
      <c r="AG15" s="4" t="n">
        <v>1</v>
      </c>
      <c r="AH15" s="4" t="n">
        <v>1</v>
      </c>
      <c r="AI15" s="4" t="n"/>
      <c r="AJ15" s="4" t="n"/>
      <c r="AK15" s="4" t="n"/>
      <c r="AL15" s="4" t="inlineStr">
        <is>
          <t>Algoritmo principal no explícito o fuera del codebook; Confirmar algoritmo principal en full-text</t>
        </is>
      </c>
      <c r="AM15" s="4" t="inlineStr">
        <is>
          <t>RA</t>
        </is>
      </c>
      <c r="AN15" s="4" t="inlineStr">
        <is>
          <t>Tomado completo desde archivo RA según asignación</t>
        </is>
      </c>
      <c r="AO15" s="4" t="n">
        <v>0</v>
      </c>
    </row>
    <row r="16" ht="320" customHeight="1">
      <c r="A16" s="4" t="n">
        <v>15</v>
      </c>
      <c r="B16" s="4" t="n">
        <v>15</v>
      </c>
      <c r="C16" s="4" t="inlineStr">
        <is>
          <t>Revisor B</t>
        </is>
      </c>
      <c r="D16" s="4" t="n"/>
      <c r="E16" s="4" t="n">
        <v>2025</v>
      </c>
      <c r="F16" s="4" t="inlineStr">
        <is>
          <t>Imagen</t>
        </is>
      </c>
      <c r="G16" s="4" t="inlineStr">
        <is>
          <t>Híbrido</t>
        </is>
      </c>
      <c r="H16" s="4" t="inlineStr">
        <is>
          <t>https://doi.org/10.1016/j.mex.2025.103278</t>
        </is>
      </c>
      <c r="I16" s="4" t="inlineStr">
        <is>
          <t>Hybrid CNN and random forest model with late fusion for detection of autism spectrum disorder in Toddlers</t>
        </is>
      </c>
      <c r="J16" s="4" t="inlineStr">
        <is>
          <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t>
        </is>
      </c>
      <c r="K16" s="4" t="inlineStr">
        <is>
          <t>Supervised</t>
        </is>
      </c>
      <c r="L16" s="4" t="inlineStr">
        <is>
          <t>Not clear</t>
        </is>
      </c>
      <c r="M16" s="4" t="inlineStr">
        <is>
          <t>Classification (binary/multi-class; incl. ASD vs control)/ multi-class)</t>
        </is>
      </c>
      <c r="N16" s="4" t="inlineStr">
        <is>
          <t>screening</t>
        </is>
      </c>
      <c r="O16" s="4" t="inlineStr">
        <is>
          <t>medium</t>
        </is>
      </c>
      <c r="P16" s="4" t="n">
        <v>0</v>
      </c>
      <c r="Q16" s="4" t="n">
        <v>0</v>
      </c>
      <c r="R16" s="4" t="n">
        <v>0</v>
      </c>
      <c r="S16" s="4" t="n">
        <v>0</v>
      </c>
      <c r="T16" s="4" t="n">
        <v>0</v>
      </c>
      <c r="U16" s="4" t="n">
        <v>0</v>
      </c>
      <c r="V16" s="4" t="n">
        <v>0</v>
      </c>
      <c r="W16" s="4" t="n">
        <v>0</v>
      </c>
      <c r="X16" s="4" t="n">
        <v>1</v>
      </c>
      <c r="Y16" s="4" t="n">
        <v>1</v>
      </c>
      <c r="Z16" s="4" t="n">
        <v>0</v>
      </c>
      <c r="AA16" s="4" t="n">
        <v>1</v>
      </c>
      <c r="AB16" s="4" t="inlineStr">
        <is>
          <t>1900-01-01</t>
        </is>
      </c>
      <c r="AC16" s="4" t="n">
        <v>0</v>
      </c>
      <c r="AD16" s="4" t="n">
        <v>0</v>
      </c>
      <c r="AE16" s="4" t="n">
        <v>0</v>
      </c>
      <c r="AF16" s="4" t="n">
        <v>0</v>
      </c>
      <c r="AG16" s="4" t="n">
        <v>1</v>
      </c>
      <c r="AH16" s="4" t="n">
        <v>0</v>
      </c>
      <c r="AI16" s="4" t="n">
        <v>0</v>
      </c>
      <c r="AJ16" s="4" t="inlineStr">
        <is>
          <t>00:00:00</t>
        </is>
      </c>
      <c r="AK16" s="4" t="inlineStr">
        <is>
          <t>00:00:00</t>
        </is>
      </c>
      <c r="AL16" s="4" t="inlineStr">
        <is>
          <t>Hybrid late-fusion: VGG16 (CNN feature extractor) + Random Forest classifier; compares vs VGG16/EfficientNet/AlexNet and conventional ML</t>
        </is>
      </c>
      <c r="AM16" s="4" t="inlineStr">
        <is>
          <t>RB</t>
        </is>
      </c>
      <c r="AN16" s="4" t="inlineStr">
        <is>
          <t>Tomado completo desde archivo RB según asignación</t>
        </is>
      </c>
      <c r="AO16" s="4" t="n">
        <v>0</v>
      </c>
    </row>
    <row r="17" ht="307" customHeight="1">
      <c r="A17" s="4" t="n">
        <v>16</v>
      </c>
      <c r="B17" s="4" t="n">
        <v>16</v>
      </c>
      <c r="C17" s="4" t="inlineStr">
        <is>
          <t>Revisor B</t>
        </is>
      </c>
      <c r="D17" s="4" t="n"/>
      <c r="E17" s="4" t="n">
        <v>2025</v>
      </c>
      <c r="F17" s="4" t="inlineStr">
        <is>
          <t>No especificado</t>
        </is>
      </c>
      <c r="G17" s="4" t="inlineStr">
        <is>
          <t>Machine Learning</t>
        </is>
      </c>
      <c r="H17" s="4" t="inlineStr">
        <is>
          <t>https://doi.org/10.1007/978-3-031-81083-1_7</t>
        </is>
      </c>
      <c r="I17" s="4" t="inlineStr">
        <is>
          <t>Machine Learning Approaches for the Early Diagnosis of Autism Spectrum Disorder: A Systematic Framework</t>
        </is>
      </c>
      <c r="J17" s="4" t="inlineStr">
        <is>
          <t>This study uses machine learning to address the urgent need for early detection and intervention in autism spectrum disorder (ASD). Autism Spectrum Disorder (ASD), a disorder of neural development affecting cognition and social interaction, necessitates customized interventions. Our research uses various screening assessments in early infancy as datasets to train for neural network algorithms, with the objective of identifying patterns associated with ASD. The suggested methodology utilizes predictive machine learning techniques to assess the ASD spectrum, accounting for its diverse pitches. Utilizing sophisticated screening instruments and an innovative methodology, we seek to establish a dependable system for the early detection of ASD. Ethical considerations, data privacy, and algorithmic openness are essential. The studies seek to foster collaboration among experts in neurodevelopment, psychological science, and data science to build precise tools for earlier identification of ASD. The use of machine learning, an effective tool, enhances the knowledge of healthcare workers. The research results underscore technology's capacity to transform initial measures, leading to enhanced outcomes for those on the autistic spectrum. It provides this assistance to enhance the dialogue at the gathering, thereby promoting interaction at the nexus of healthcare and digital technology.</t>
        </is>
      </c>
      <c r="K17" s="4" t="n"/>
      <c r="L17" s="4" t="n"/>
      <c r="M17" s="4" t="inlineStr">
        <is>
          <t>Not clear</t>
        </is>
      </c>
      <c r="N17" s="4" t="inlineStr">
        <is>
          <t>screening</t>
        </is>
      </c>
      <c r="O17" s="4" t="inlineStr">
        <is>
          <t>high</t>
        </is>
      </c>
      <c r="P17" s="4" t="n">
        <v>0</v>
      </c>
      <c r="Q17" s="4" t="n">
        <v>0</v>
      </c>
      <c r="R17" s="4" t="n">
        <v>1</v>
      </c>
      <c r="S17" s="4" t="n">
        <v>0</v>
      </c>
      <c r="T17" s="4" t="n">
        <v>0</v>
      </c>
      <c r="U17" s="4" t="n">
        <v>0</v>
      </c>
      <c r="V17" s="4" t="n">
        <v>0</v>
      </c>
      <c r="W17" s="4" t="n">
        <v>0</v>
      </c>
      <c r="X17" s="4" t="n">
        <v>1</v>
      </c>
      <c r="Y17" s="4" t="n">
        <v>1</v>
      </c>
      <c r="Z17" s="4" t="n">
        <v>0</v>
      </c>
      <c r="AA17" s="4" t="n">
        <v>0</v>
      </c>
      <c r="AB17" s="4" t="inlineStr">
        <is>
          <t>1900-01-01</t>
        </is>
      </c>
      <c r="AC17" s="4" t="n">
        <v>0</v>
      </c>
      <c r="AD17" s="4" t="n">
        <v>0</v>
      </c>
      <c r="AE17" s="4" t="n">
        <v>0</v>
      </c>
      <c r="AF17" s="4" t="n">
        <v>0</v>
      </c>
      <c r="AG17" s="4" t="n">
        <v>0</v>
      </c>
      <c r="AH17" s="4" t="n">
        <v>1</v>
      </c>
      <c r="AI17" s="4" t="n">
        <v>0</v>
      </c>
      <c r="AJ17" s="4" t="inlineStr">
        <is>
          <t>1900-01-01</t>
        </is>
      </c>
      <c r="AK17" s="4" t="inlineStr">
        <is>
          <t>00:00:00</t>
        </is>
      </c>
      <c r="AL17" s="4" t="n"/>
      <c r="AM17" s="4" t="inlineStr">
        <is>
          <t>RB</t>
        </is>
      </c>
      <c r="AN17" s="4" t="inlineStr">
        <is>
          <t>Tomado completo desde archivo RB según asignación</t>
        </is>
      </c>
      <c r="AO17" s="4" t="n">
        <v>0</v>
      </c>
    </row>
    <row r="18" ht="409" customHeight="1">
      <c r="A18" s="4" t="n">
        <v>17</v>
      </c>
      <c r="B18" s="4" t="n">
        <v>17</v>
      </c>
      <c r="C18" s="4" t="inlineStr">
        <is>
          <t>Revisor B</t>
        </is>
      </c>
      <c r="D18" s="4" t="n"/>
      <c r="E18" s="4" t="n">
        <v>2024</v>
      </c>
      <c r="F18" s="4" t="inlineStr">
        <is>
          <t>Imagen</t>
        </is>
      </c>
      <c r="G18" s="4" t="inlineStr">
        <is>
          <t>Machine Learning</t>
        </is>
      </c>
      <c r="H18" s="4" t="inlineStr">
        <is>
          <t>https://doi.org/10.1038/s41398-024-02802-5</t>
        </is>
      </c>
      <c r="I18" s="4" t="inlineStr">
        <is>
          <t>Machine learning classification of autism spectrum disorder based on reciprocity in naturalistic social interactions</t>
        </is>
      </c>
      <c r="J18" s="4" t="inlineStr">
        <is>
          <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t>
        </is>
      </c>
      <c r="K18" s="4" t="inlineStr">
        <is>
          <t>Supervised</t>
        </is>
      </c>
      <c r="L18" s="4" t="inlineStr">
        <is>
          <t>SVM</t>
        </is>
      </c>
      <c r="M18" s="4" t="inlineStr">
        <is>
          <t>Classification (ASD vs control / multi-class)</t>
        </is>
      </c>
      <c r="N18" s="4" t="inlineStr">
        <is>
          <t>diagnosis</t>
        </is>
      </c>
      <c r="O18" s="4" t="inlineStr">
        <is>
          <t>high</t>
        </is>
      </c>
      <c r="P18" s="4" t="n">
        <v>1</v>
      </c>
      <c r="Q18" s="4" t="n">
        <v>0</v>
      </c>
      <c r="R18" s="4" t="n">
        <v>0</v>
      </c>
      <c r="S18" s="4" t="n">
        <v>0</v>
      </c>
      <c r="T18" s="4" t="n">
        <v>0</v>
      </c>
      <c r="U18" s="4" t="n">
        <v>0</v>
      </c>
      <c r="V18" s="4" t="n">
        <v>0</v>
      </c>
      <c r="W18" s="4" t="n">
        <v>0</v>
      </c>
      <c r="X18" s="4" t="n">
        <v>0</v>
      </c>
      <c r="Y18" s="4" t="n">
        <v>1</v>
      </c>
      <c r="Z18" s="4" t="n">
        <v>0</v>
      </c>
      <c r="AA18" s="4" t="n">
        <v>0</v>
      </c>
      <c r="AB18" s="4" t="inlineStr">
        <is>
          <t>1900-01-01</t>
        </is>
      </c>
      <c r="AC18" s="4" t="n">
        <v>0</v>
      </c>
      <c r="AD18" s="4" t="n">
        <v>0</v>
      </c>
      <c r="AE18" s="4" t="n">
        <v>1</v>
      </c>
      <c r="AF18" s="4" t="n">
        <v>0</v>
      </c>
      <c r="AG18" s="4" t="n">
        <v>0</v>
      </c>
      <c r="AH18" s="4" t="n">
        <v>1</v>
      </c>
      <c r="AI18" s="4" t="n">
        <v>0</v>
      </c>
      <c r="AJ18" s="4" t="inlineStr">
        <is>
          <t>00:00:00</t>
        </is>
      </c>
      <c r="AK18" s="4" t="inlineStr">
        <is>
          <t>1900-01-01</t>
        </is>
      </c>
      <c r="AL18" s="4" t="inlineStr">
        <is>
          <t>Naturalistic social interaction videos; open-source computer vision used for objective annotation (movement/facial expression synchrony); features fed into SVM model to classify autistic vs non-autistic interaction dyads; supplementary exploratory RF mentioned</t>
        </is>
      </c>
      <c r="AM18" s="4" t="inlineStr">
        <is>
          <t>RB</t>
        </is>
      </c>
      <c r="AN18" s="4" t="inlineStr">
        <is>
          <t>Tomado completo desde archivo RB según asignación</t>
        </is>
      </c>
      <c r="AO18" s="4" t="n">
        <v>0</v>
      </c>
    </row>
    <row r="19" ht="307" customHeight="1">
      <c r="A19" s="4" t="n">
        <v>18</v>
      </c>
      <c r="B19" s="4" t="n">
        <v>18</v>
      </c>
      <c r="C19" s="4" t="inlineStr">
        <is>
          <t>Revisor A</t>
        </is>
      </c>
      <c r="D19" s="4" t="inlineStr">
        <is>
          <t>RA</t>
        </is>
      </c>
      <c r="E19" s="4" t="n">
        <v>2014</v>
      </c>
      <c r="F19" s="4" t="inlineStr">
        <is>
          <t>Multimodal</t>
        </is>
      </c>
      <c r="G19" s="4" t="inlineStr">
        <is>
          <t>Deep Learning</t>
        </is>
      </c>
      <c r="H19" s="4" t="inlineStr">
        <is>
          <t>https://doi.org/10.1371/journal.pone.0090405</t>
        </is>
      </c>
      <c r="I19" s="4" t="inlineStr">
        <is>
          <t>Multiparametric MRI characterization and prediction in autism spectrum disorder using graph theory and machine learning</t>
        </is>
      </c>
      <c r="J19" s="4" t="inlineStr">
        <is>
          <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t>
        </is>
      </c>
      <c r="K19" s="4" t="inlineStr">
        <is>
          <t>Supervised</t>
        </is>
      </c>
      <c r="L19" s="4" t="inlineStr">
        <is>
          <t>Other / Not clear</t>
        </is>
      </c>
      <c r="M19" s="4" t="inlineStr">
        <is>
          <t>Classification (ASD vs control / multi-class)</t>
        </is>
      </c>
      <c r="N19" s="4" t="inlineStr">
        <is>
          <t>Diagnosis</t>
        </is>
      </c>
      <c r="O19" s="4" t="inlineStr">
        <is>
          <t>Medium</t>
        </is>
      </c>
      <c r="P19" s="4" t="n">
        <v>1</v>
      </c>
      <c r="Q19" s="4" t="n">
        <v>0</v>
      </c>
      <c r="R19" s="4" t="n">
        <v>0</v>
      </c>
      <c r="S19" s="4" t="n">
        <v>0</v>
      </c>
      <c r="T19" s="4" t="n">
        <v>0</v>
      </c>
      <c r="U19" s="4" t="n">
        <v>0</v>
      </c>
      <c r="V19" s="4" t="n">
        <v>0</v>
      </c>
      <c r="W19" s="4" t="n">
        <v>0</v>
      </c>
      <c r="X19" s="4" t="n">
        <v>0</v>
      </c>
      <c r="Y19" s="4" t="n">
        <v>1</v>
      </c>
      <c r="Z19" s="4" t="n">
        <v>1</v>
      </c>
      <c r="AA19" s="4" t="n">
        <v>1</v>
      </c>
      <c r="AB19" s="4" t="inlineStr">
        <is>
          <t>1900-01-01</t>
        </is>
      </c>
      <c r="AC19" s="4" t="n"/>
      <c r="AD19" s="4" t="n"/>
      <c r="AE19" s="4" t="n"/>
      <c r="AF19" s="4" t="n"/>
      <c r="AG19" s="4" t="n">
        <v>1</v>
      </c>
      <c r="AH19" s="4" t="n">
        <v>1</v>
      </c>
      <c r="AI19" s="4" t="n"/>
      <c r="AJ19" s="4" t="n"/>
      <c r="AK19" s="4" t="n"/>
      <c r="AL19" s="4" t="inlineStr">
        <is>
          <t>Clasificación ASD vs control con MRI multiparamétrica; también predice rasgos fenotípicos.</t>
        </is>
      </c>
      <c r="AM19" s="4" t="inlineStr">
        <is>
          <t>RA</t>
        </is>
      </c>
      <c r="AN19" s="4" t="inlineStr">
        <is>
          <t>Tomado completo desde archivo RA según asignación</t>
        </is>
      </c>
      <c r="AO19" s="4" t="n">
        <v>0</v>
      </c>
    </row>
    <row r="20" ht="409" customHeight="1">
      <c r="A20" s="4" t="n">
        <v>19</v>
      </c>
      <c r="B20" s="4" t="n">
        <v>19</v>
      </c>
      <c r="C20" s="4" t="inlineStr">
        <is>
          <t>Revisor A</t>
        </is>
      </c>
      <c r="D20" s="4" t="inlineStr">
        <is>
          <t>RA</t>
        </is>
      </c>
      <c r="E20" s="4" t="n">
        <v>2021</v>
      </c>
      <c r="F20" s="4" t="inlineStr">
        <is>
          <t>Señales fisiológicas</t>
        </is>
      </c>
      <c r="G20" s="4" t="inlineStr">
        <is>
          <t>Machine Learning</t>
        </is>
      </c>
      <c r="H20" s="4" t="inlineStr">
        <is>
          <t>https://doi.org/10.1016/j.bpsc.2020.06.003</t>
        </is>
      </c>
      <c r="I20" s="4" t="inlineStr">
        <is>
          <t>Multivariate Neural Connectivity Patterns in Early Infancy Predict Later Autism Symptoms</t>
        </is>
      </c>
      <c r="J20" s="4" t="inlineStr">
        <is>
          <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t>
        </is>
      </c>
      <c r="K20" s="4" t="inlineStr">
        <is>
          <t>Supervised</t>
        </is>
      </c>
      <c r="L20" s="4" t="inlineStr">
        <is>
          <t>SVM</t>
        </is>
      </c>
      <c r="M20" s="4" t="inlineStr">
        <is>
          <t>Regression (score / severity / risk)</t>
        </is>
      </c>
      <c r="N20" s="4" t="inlineStr">
        <is>
          <t>Prognosis</t>
        </is>
      </c>
      <c r="O20" s="4" t="inlineStr">
        <is>
          <t>High</t>
        </is>
      </c>
      <c r="P20" s="4" t="n">
        <v>0</v>
      </c>
      <c r="Q20" s="4" t="n">
        <v>1</v>
      </c>
      <c r="R20" s="4" t="n">
        <v>0</v>
      </c>
      <c r="S20" s="4" t="n">
        <v>0</v>
      </c>
      <c r="T20" s="4" t="n">
        <v>0</v>
      </c>
      <c r="U20" s="4" t="n">
        <v>0</v>
      </c>
      <c r="V20" s="4" t="n">
        <v>0</v>
      </c>
      <c r="W20" s="4" t="n">
        <v>0</v>
      </c>
      <c r="X20" s="4" t="n">
        <v>0</v>
      </c>
      <c r="Y20" s="4" t="n">
        <v>0</v>
      </c>
      <c r="Z20" s="4" t="n">
        <v>1</v>
      </c>
      <c r="AA20" s="4" t="n">
        <v>0</v>
      </c>
      <c r="AB20" s="4" t="inlineStr">
        <is>
          <t>1900-01-01</t>
        </is>
      </c>
      <c r="AC20" s="4" t="n"/>
      <c r="AD20" s="4" t="n"/>
      <c r="AE20" s="4" t="n"/>
      <c r="AF20" s="4" t="n"/>
      <c r="AG20" s="4" t="n">
        <v>0</v>
      </c>
      <c r="AH20" s="4" t="n">
        <v>1</v>
      </c>
      <c r="AI20" s="4" t="n"/>
      <c r="AJ20" s="4" t="n"/>
      <c r="AK20" s="4" t="n"/>
      <c r="AL20" s="4" t="n"/>
      <c r="AM20" s="4" t="inlineStr">
        <is>
          <t>RA</t>
        </is>
      </c>
      <c r="AN20" s="4" t="inlineStr">
        <is>
          <t>Tomado completo desde archivo RA según asignación</t>
        </is>
      </c>
      <c r="AO20" s="4" t="n">
        <v>0</v>
      </c>
    </row>
    <row r="21" ht="359" customHeight="1">
      <c r="A21" s="4" t="n">
        <v>20</v>
      </c>
      <c r="B21" s="4" t="n">
        <v>20</v>
      </c>
      <c r="C21" s="4" t="inlineStr">
        <is>
          <t>Revisor B</t>
        </is>
      </c>
      <c r="D21" s="4" t="n"/>
      <c r="E21" s="4" t="n">
        <v>2014</v>
      </c>
      <c r="F21" s="4" t="inlineStr">
        <is>
          <t>No especificado</t>
        </is>
      </c>
      <c r="G21" s="4" t="inlineStr">
        <is>
          <t>Deep Learning</t>
        </is>
      </c>
      <c r="H21" s="4" t="inlineStr">
        <is>
          <t>https://doi.org/10.1038/tp.2014.65</t>
        </is>
      </c>
      <c r="I21" s="4" t="inlineStr">
        <is>
          <t>Testing the accuracy of an observation-based classifier for rapid detection of autism risk.</t>
        </is>
      </c>
      <c r="J21" s="4" t="inlineStr">
        <is>
          <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t>
        </is>
      </c>
      <c r="K21" s="4" t="inlineStr">
        <is>
          <t>Supervised</t>
        </is>
      </c>
      <c r="L21" s="4" t="inlineStr">
        <is>
          <t>Decision Tree</t>
        </is>
      </c>
      <c r="M21" s="4" t="inlineStr">
        <is>
          <t>Classification (ASD vs control / multi-class)</t>
        </is>
      </c>
      <c r="N21" s="4" t="inlineStr">
        <is>
          <t>screening</t>
        </is>
      </c>
      <c r="O21" s="4" t="inlineStr">
        <is>
          <t>high</t>
        </is>
      </c>
      <c r="P21" s="4" t="n">
        <v>0</v>
      </c>
      <c r="Q21" s="4" t="n">
        <v>1</v>
      </c>
      <c r="R21" s="4" t="n">
        <v>0</v>
      </c>
      <c r="S21" s="4" t="n">
        <v>0</v>
      </c>
      <c r="T21" s="4" t="n">
        <v>0</v>
      </c>
      <c r="U21" s="4" t="n">
        <v>0</v>
      </c>
      <c r="V21" s="4" t="n">
        <v>0</v>
      </c>
      <c r="W21" s="4" t="n">
        <v>0</v>
      </c>
      <c r="X21" s="4" t="n">
        <v>1</v>
      </c>
      <c r="Y21" s="4" t="n">
        <v>1</v>
      </c>
      <c r="Z21" s="4" t="n">
        <v>0</v>
      </c>
      <c r="AA21" s="4" t="n">
        <v>0</v>
      </c>
      <c r="AB21" s="4" t="inlineStr">
        <is>
          <t>1900-01-01</t>
        </is>
      </c>
      <c r="AC21" s="4" t="n">
        <v>0</v>
      </c>
      <c r="AD21" s="4" t="n">
        <v>0</v>
      </c>
      <c r="AE21" s="4" t="n">
        <v>0</v>
      </c>
      <c r="AF21" s="4" t="n">
        <v>0</v>
      </c>
      <c r="AG21" s="4" t="n">
        <v>0</v>
      </c>
      <c r="AH21" s="4" t="n">
        <v>1</v>
      </c>
      <c r="AI21" s="4" t="n">
        <v>0</v>
      </c>
      <c r="AJ21" s="4" t="inlineStr">
        <is>
          <t>00:00:00</t>
        </is>
      </c>
      <c r="AK21" s="4" t="inlineStr">
        <is>
          <t>00:00:00</t>
        </is>
      </c>
      <c r="AL21" s="4" t="inlineStr">
        <is>
          <t>Algorithm specifically is Alternating Decision Tree (ADTree) (not a standard single CART/ID3); mapped to Decision Tree due to allowed categories</t>
        </is>
      </c>
      <c r="AM21" s="4" t="inlineStr">
        <is>
          <t>RB</t>
        </is>
      </c>
      <c r="AN21" s="4" t="inlineStr">
        <is>
          <t>Tomado completo desde archivo RB según asignación</t>
        </is>
      </c>
      <c r="AO21" s="4" t="n">
        <v>0</v>
      </c>
    </row>
    <row r="22" ht="398" customHeight="1">
      <c r="A22" s="4" t="n">
        <v>21</v>
      </c>
      <c r="B22" s="4" t="n">
        <v>21</v>
      </c>
      <c r="C22" s="4" t="inlineStr">
        <is>
          <t>Revisor B</t>
        </is>
      </c>
      <c r="D22" s="4" t="n"/>
      <c r="E22" s="4" t="n">
        <v>2024</v>
      </c>
      <c r="F22" s="4" t="inlineStr">
        <is>
          <t>Señales fisiológicas</t>
        </is>
      </c>
      <c r="G22" s="4" t="inlineStr">
        <is>
          <t>Deep Learning</t>
        </is>
      </c>
      <c r="H22" s="4" t="inlineStr">
        <is>
          <t>https://doi.org/10.1038/s41598-024-81652-z</t>
        </is>
      </c>
      <c r="I22" s="4" t="inlineStr">
        <is>
          <t>Using deep learning to classify developmental differences in reaching and placing movements in children with and without autism spectrum disorder</t>
        </is>
      </c>
      <c r="J22" s="4" t="inlineStr">
        <is>
          <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t>
        </is>
      </c>
      <c r="K22" s="4" t="inlineStr">
        <is>
          <t>Supervised</t>
        </is>
      </c>
      <c r="L22" s="4" t="inlineStr">
        <is>
          <t>MLP</t>
        </is>
      </c>
      <c r="M22" s="4" t="inlineStr">
        <is>
          <t>Classification (binary/multi-class; incl. ASD vs control)/ multi-class)</t>
        </is>
      </c>
      <c r="N22" s="4" t="inlineStr">
        <is>
          <t>diagnosis</t>
        </is>
      </c>
      <c r="O22" s="4" t="inlineStr">
        <is>
          <t>high</t>
        </is>
      </c>
      <c r="P22" s="4" t="n">
        <v>1</v>
      </c>
      <c r="Q22" s="4" t="n">
        <v>0</v>
      </c>
      <c r="R22" s="4" t="n">
        <v>0</v>
      </c>
      <c r="S22" s="4" t="n">
        <v>1</v>
      </c>
      <c r="T22" s="4" t="n">
        <v>0</v>
      </c>
      <c r="U22" s="4" t="n">
        <v>1</v>
      </c>
      <c r="V22" s="4" t="n">
        <v>0</v>
      </c>
      <c r="W22" s="4" t="n">
        <v>0</v>
      </c>
      <c r="X22" s="4" t="n">
        <v>0</v>
      </c>
      <c r="Y22" s="4" t="n">
        <v>1</v>
      </c>
      <c r="Z22" s="4" t="n">
        <v>1</v>
      </c>
      <c r="AA22" s="4" t="n">
        <v>1</v>
      </c>
      <c r="AB22" s="4" t="inlineStr">
        <is>
          <t>1900-01-01</t>
        </is>
      </c>
      <c r="AC22" s="4" t="n">
        <v>0</v>
      </c>
      <c r="AD22" s="4" t="n">
        <v>0</v>
      </c>
      <c r="AE22" s="4" t="n">
        <v>0</v>
      </c>
      <c r="AF22" s="4" t="n">
        <v>0</v>
      </c>
      <c r="AG22" s="4" t="n">
        <v>0</v>
      </c>
      <c r="AH22" s="4" t="n">
        <v>3</v>
      </c>
      <c r="AI22" s="4" t="n">
        <v>0</v>
      </c>
      <c r="AJ22" s="4" t="inlineStr">
        <is>
          <t>00:00:00</t>
        </is>
      </c>
      <c r="AK22" s="4" t="inlineStr">
        <is>
          <t>00:00:00</t>
        </is>
      </c>
      <c r="AL22" s="4" t="n"/>
      <c r="AM22" s="4" t="inlineStr">
        <is>
          <t>RB</t>
        </is>
      </c>
      <c r="AN22" s="4" t="inlineStr">
        <is>
          <t>Tomado completo desde archivo RB según asignación</t>
        </is>
      </c>
      <c r="AO22" s="4" t="n">
        <v>0</v>
      </c>
    </row>
    <row r="23" ht="333" customHeight="1">
      <c r="A23" s="4" t="n">
        <v>22</v>
      </c>
      <c r="B23" s="4" t="n">
        <v>22</v>
      </c>
      <c r="C23" s="4" t="inlineStr">
        <is>
          <t>Revisor B</t>
        </is>
      </c>
      <c r="D23" s="4" t="n"/>
      <c r="E23" s="4" t="n">
        <v>2021</v>
      </c>
      <c r="F23" s="4" t="inlineStr">
        <is>
          <t>Señales fisiológicas</t>
        </is>
      </c>
      <c r="G23" s="4" t="inlineStr">
        <is>
          <t>Deep Learning</t>
        </is>
      </c>
      <c r="H23" s="4" t="inlineStr">
        <is>
          <t>https://doi.org/10.3390/s21175822</t>
        </is>
      </c>
      <c r="I23" s="4" t="inlineStr">
        <is>
          <t>A CNN deep local and global ASD classification approach with continuous wavelet transform using task-based FMRI</t>
        </is>
      </c>
      <c r="J23" s="4" t="inlineStr">
        <is>
          <t>Autism spectrum disorder (ASD) is a neurodegenerative disorder characterized by lingual and social disabilities. The autism diagnostic observation schedule is the current gold standard for ASD diagnosis. Developing objective computer aided technologies for ASD diagnosis with the utilization of brain imaging modalities and machine learning is one of main tracks in current studies to understand autism. Task-based fMRI demonstrates the functional activation in the brain by measuring blood oxygen level-dependent (BOLD) variations in response to certain tasks. It is believed to hold discriminant features for autism. A novel computer aided diagnosis (CAD) framework is proposed to classify 50 ASD and 50 typically developed toddlers with the adoption of CNN deep networks. The CAD system includes both local and global diagnosis in a response to speech task. Spatial dimensionality reduction with region of interest selection and clustering has been utilized. In addition, the proposed framework performs discriminant feature extraction with continuous wavelet transform. Local diagnosis on cingulate gyri, superior temporal gyrus, primary auditory cortex and angular gyrus achieves accuracies ranging between 71% and 80% with a four-fold cross validation technique. The fused global diagnosis achieves an accuracy of 86% with 82% sensitivity, 92% specificity. A brain map indicating ASD severity level for each brain area is created, which contributes to personalized diagnosis and treatment plans.</t>
        </is>
      </c>
      <c r="K23" s="4" t="inlineStr">
        <is>
          <t>Supervised</t>
        </is>
      </c>
      <c r="L23" s="4" t="inlineStr">
        <is>
          <t>CNN</t>
        </is>
      </c>
      <c r="M23" s="4" t="inlineStr">
        <is>
          <t>Classification (binary/multi-class; incl. ASD vs control)/ multi-class)</t>
        </is>
      </c>
      <c r="N23" s="4" t="inlineStr">
        <is>
          <t>screening</t>
        </is>
      </c>
      <c r="O23" s="4" t="inlineStr">
        <is>
          <t>medium</t>
        </is>
      </c>
      <c r="P23" s="4" t="n">
        <v>0</v>
      </c>
      <c r="Q23" s="4" t="n">
        <v>0</v>
      </c>
      <c r="R23" s="4" t="n">
        <v>0</v>
      </c>
      <c r="S23" s="4" t="n">
        <v>0</v>
      </c>
      <c r="T23" s="4" t="n">
        <v>0</v>
      </c>
      <c r="U23" s="4" t="n">
        <v>0</v>
      </c>
      <c r="V23" s="4" t="n">
        <v>0</v>
      </c>
      <c r="W23" s="4" t="n">
        <v>0</v>
      </c>
      <c r="X23" s="4" t="n">
        <v>1</v>
      </c>
      <c r="Y23" s="4" t="n">
        <v>1</v>
      </c>
      <c r="Z23" s="4" t="n">
        <v>0</v>
      </c>
      <c r="AA23" s="4" t="n">
        <v>0</v>
      </c>
      <c r="AB23" s="4" t="inlineStr">
        <is>
          <t>1900-01-01</t>
        </is>
      </c>
      <c r="AC23" s="4" t="n">
        <v>0</v>
      </c>
      <c r="AD23" s="4" t="n">
        <v>0</v>
      </c>
      <c r="AE23" s="4" t="n">
        <v>0</v>
      </c>
      <c r="AF23" s="4" t="n">
        <v>0</v>
      </c>
      <c r="AG23" s="4" t="n">
        <v>1</v>
      </c>
      <c r="AH23" s="4" t="n">
        <v>0</v>
      </c>
      <c r="AI23" s="4" t="n">
        <v>0</v>
      </c>
      <c r="AJ23" s="4" t="inlineStr">
        <is>
          <t>1900-01-01</t>
        </is>
      </c>
      <c r="AK23" s="4" t="inlineStr">
        <is>
          <t>00:00:00</t>
        </is>
      </c>
      <c r="AL23" s="4" t="inlineStr">
        <is>
          <t>Incluye clustering para ROI/selección dimensional y generan “brain map indicating ASD severity level”, pero el objetivo central del sistema es clasificación ASD vs TD con CNN.</t>
        </is>
      </c>
      <c r="AM23" s="4" t="inlineStr">
        <is>
          <t>RB</t>
        </is>
      </c>
      <c r="AN23" s="4" t="inlineStr">
        <is>
          <t>Tomado completo desde archivo RB según asignación</t>
        </is>
      </c>
      <c r="AO23" s="4" t="n">
        <v>0</v>
      </c>
    </row>
    <row r="24" ht="398" customHeight="1">
      <c r="A24" s="4" t="n">
        <v>23</v>
      </c>
      <c r="B24" s="4" t="n">
        <v>23</v>
      </c>
      <c r="C24" s="4" t="inlineStr">
        <is>
          <t>Revisor A</t>
        </is>
      </c>
      <c r="D24" s="4" t="inlineStr">
        <is>
          <t>RA</t>
        </is>
      </c>
      <c r="E24" s="4" t="n">
        <v>2020</v>
      </c>
      <c r="F24" s="4" t="inlineStr">
        <is>
          <t>No especificado</t>
        </is>
      </c>
      <c r="G24" s="4" t="inlineStr">
        <is>
          <t>Machine Learning</t>
        </is>
      </c>
      <c r="H24" s="4" t="inlineStr">
        <is>
          <t>https://doi.org/10.1177/1460458218824711</t>
        </is>
      </c>
      <c r="I24" s="4" t="inlineStr">
        <is>
          <t>A new machine learning model based on induction of rules for autism detection</t>
        </is>
      </c>
      <c r="J24" s="4" t="inlineStr">
        <is>
          <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t>
        </is>
      </c>
      <c r="K24" s="4" t="inlineStr">
        <is>
          <t>Supervised</t>
        </is>
      </c>
      <c r="L24" s="4" t="inlineStr">
        <is>
          <t>Decision Tree</t>
        </is>
      </c>
      <c r="M24" s="4" t="inlineStr">
        <is>
          <t>Classification (ASD vs control / multi-class)</t>
        </is>
      </c>
      <c r="N24" s="4" t="inlineStr">
        <is>
          <t>Screening</t>
        </is>
      </c>
      <c r="O24" s="4" t="inlineStr">
        <is>
          <t>Medium</t>
        </is>
      </c>
      <c r="P24" s="4" t="n">
        <v>0</v>
      </c>
      <c r="Q24" s="4" t="n">
        <v>0</v>
      </c>
      <c r="R24" s="4" t="n">
        <v>0</v>
      </c>
      <c r="S24" s="4" t="n">
        <v>0</v>
      </c>
      <c r="T24" s="4" t="n">
        <v>1</v>
      </c>
      <c r="U24" s="4" t="n">
        <v>0</v>
      </c>
      <c r="V24" s="4" t="n">
        <v>0</v>
      </c>
      <c r="W24" s="4" t="n">
        <v>0</v>
      </c>
      <c r="X24" s="4" t="n">
        <v>1</v>
      </c>
      <c r="Y24" s="4" t="n">
        <v>0</v>
      </c>
      <c r="Z24" s="4" t="n">
        <v>0</v>
      </c>
      <c r="AA24" s="4" t="n">
        <v>0</v>
      </c>
      <c r="AB24" s="4" t="inlineStr">
        <is>
          <t>1900-01-01</t>
        </is>
      </c>
      <c r="AC24" s="4" t="n"/>
      <c r="AD24" s="4" t="n"/>
      <c r="AE24" s="4" t="n"/>
      <c r="AF24" s="4" t="n"/>
      <c r="AG24" s="4" t="n">
        <v>1</v>
      </c>
      <c r="AH24" s="4" t="n">
        <v>1</v>
      </c>
      <c r="AI24" s="4" t="n"/>
      <c r="AJ24" s="4" t="n"/>
      <c r="AK24" s="4" t="n"/>
      <c r="AL24" s="4" t="inlineStr">
        <is>
          <t>Boosting, Bagging, rule induction methods (rules-machine learning framework), Modelo basado en inducción de reglas sobre datasets de cribado; algoritmo fuera del codebook.</t>
        </is>
      </c>
      <c r="AM24" s="4" t="inlineStr">
        <is>
          <t>RA</t>
        </is>
      </c>
      <c r="AN24" s="4" t="inlineStr">
        <is>
          <t>Tomado completo desde archivo RA según asignación</t>
        </is>
      </c>
      <c r="AO24" s="4" t="n">
        <v>0</v>
      </c>
    </row>
    <row r="25" ht="409" customHeight="1">
      <c r="A25" s="4" t="n">
        <v>24</v>
      </c>
      <c r="B25" s="4" t="n">
        <v>24</v>
      </c>
      <c r="C25" s="4" t="inlineStr">
        <is>
          <t>Ambos (piloto)</t>
        </is>
      </c>
      <c r="D25" s="4" t="inlineStr">
        <is>
          <t>RA</t>
        </is>
      </c>
      <c r="E25" s="4" t="n">
        <v>2021</v>
      </c>
      <c r="F25" s="4" t="inlineStr">
        <is>
          <t>Audio · Voz</t>
        </is>
      </c>
      <c r="G25" s="4" t="inlineStr">
        <is>
          <t>Machine Learning</t>
        </is>
      </c>
      <c r="H25" s="4" t="inlineStr">
        <is>
          <t>https://doi.org/10.1109/ACCESS.2021.3097606</t>
        </is>
      </c>
      <c r="I25" s="4" t="inlineStr">
        <is>
          <t>A Novel Grading System for Autism Severity Level Using Task-Based Functional MRI: A Response to Speech Study</t>
        </is>
      </c>
      <c r="J25" s="4" t="inlineStr">
        <is>
          <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t>
        </is>
      </c>
      <c r="K25" s="4" t="inlineStr">
        <is>
          <t>Supervised</t>
        </is>
      </c>
      <c r="L25" s="4" t="inlineStr">
        <is>
          <t>Other / Not clear</t>
        </is>
      </c>
      <c r="M25" s="4" t="inlineStr">
        <is>
          <t>Classification (ASD vs control / multi-class)</t>
        </is>
      </c>
      <c r="N25" s="4" t="inlineStr">
        <is>
          <t>Diagnosis</t>
        </is>
      </c>
      <c r="O25" s="4" t="inlineStr">
        <is>
          <t>Medium</t>
        </is>
      </c>
      <c r="P25" s="4" t="n">
        <v>1</v>
      </c>
      <c r="Q25" s="4" t="n">
        <v>0</v>
      </c>
      <c r="R25" s="4" t="n">
        <v>0</v>
      </c>
      <c r="S25" s="4" t="n">
        <v>0</v>
      </c>
      <c r="T25" s="4" t="n">
        <v>0</v>
      </c>
      <c r="U25" s="4" t="n">
        <v>0</v>
      </c>
      <c r="V25" s="4" t="n">
        <v>0</v>
      </c>
      <c r="W25" s="4" t="n">
        <v>0</v>
      </c>
      <c r="X25" s="4" t="n">
        <v>0</v>
      </c>
      <c r="Y25" s="4" t="n">
        <v>1</v>
      </c>
      <c r="Z25" s="4" t="n">
        <v>0</v>
      </c>
      <c r="AA25" s="4" t="n">
        <v>0</v>
      </c>
      <c r="AB25" s="4" t="inlineStr">
        <is>
          <t>1900-01-01</t>
        </is>
      </c>
      <c r="AC25" s="4" t="n"/>
      <c r="AD25" s="4" t="n"/>
      <c r="AE25" s="4" t="n"/>
      <c r="AF25" s="4" t="n"/>
      <c r="AG25" s="4" t="n">
        <v>1</v>
      </c>
      <c r="AH25" s="4" t="n">
        <v>1</v>
      </c>
      <c r="AI25" s="4" t="n"/>
      <c r="AJ25" s="4" t="n"/>
      <c r="AK25" s="4" t="n"/>
      <c r="AL25" s="4" t="inlineStr">
        <is>
          <t>Gradación de severidad por clases con task-fMRI; clasificadores múltiples no detallados.</t>
        </is>
      </c>
      <c r="AM25" s="4" t="inlineStr">
        <is>
          <t>RA</t>
        </is>
      </c>
      <c r="AN25" s="4" t="inlineStr">
        <is>
          <t>Tomado completo desde archivo RA según asignación</t>
        </is>
      </c>
      <c r="AO25" s="4" t="n">
        <v>0</v>
      </c>
    </row>
    <row r="26" ht="281" customHeight="1">
      <c r="A26" s="4" t="n">
        <v>25</v>
      </c>
      <c r="B26" s="4" t="n">
        <v>26</v>
      </c>
      <c r="C26" s="4" t="inlineStr">
        <is>
          <t>Revisor A</t>
        </is>
      </c>
      <c r="D26" s="4" t="n"/>
      <c r="E26" s="4" t="n">
        <v>2023</v>
      </c>
      <c r="F26" s="4" t="inlineStr">
        <is>
          <t>No especificado</t>
        </is>
      </c>
      <c r="G26" s="4" t="inlineStr">
        <is>
          <t>Machine Learning</t>
        </is>
      </c>
      <c r="H26" s="4" t="inlineStr">
        <is>
          <t>https://doi.org/10.1007/978-3-031-23683-9_12</t>
        </is>
      </c>
      <c r="I26" s="4" t="inlineStr">
        <is>
          <t>An Analysis of the Use of Machine Learning in the Diagnosis of Autism Spectrum Disorder</t>
        </is>
      </c>
      <c r="J26" s="4" t="inlineStr">
        <is>
          <t>Autism spectrum disorder (ASD) is an illness related to brain development along with long-standing neuro-developmental disability. A subject with prior therapy at the initial stages has been proven to improve the subject’s indication and skill to work. The nature of ASD differs from person to person. One of the most important problems to adequate therapy of ASD is the challenge of early identification, but unfortunately, due to the lack of obtainability in identifying and diagnostic equipment in a few areas, many children who are affected remain undiagnosed without knowing that it is ASD or are diagnosed so late. The main motive of the work is to analyze autism spectrum disorder at the initial point to make better brain improvement and to make arrangements for enough attention to this disorder to the parents and guardians. Currently, ML algorithms play an essential role in determining ASD. This work aims to identify and survey the different techniques based on machine learning and review the attributes of autism and estimation of performance by the utilization of several metrics and examine the encouraging ways for the forthcoming research. This survey presents that the Random Forest algorithm provides a good outcome when contrasted with other algorithms.</t>
        </is>
      </c>
      <c r="K26" s="4" t="n"/>
      <c r="L26" s="4" t="n"/>
      <c r="M26" s="4" t="n"/>
      <c r="N26" s="4" t="inlineStr">
        <is>
          <t>diagnosis</t>
        </is>
      </c>
      <c r="O26" s="4" t="inlineStr">
        <is>
          <t>high</t>
        </is>
      </c>
      <c r="P26" s="4" t="n">
        <v>1</v>
      </c>
      <c r="Q26" s="4" t="n">
        <v>0</v>
      </c>
      <c r="R26" s="4" t="n">
        <v>1</v>
      </c>
      <c r="S26" s="4" t="n">
        <v>0</v>
      </c>
      <c r="T26" s="4" t="n">
        <v>0</v>
      </c>
      <c r="U26" s="4" t="n">
        <v>0</v>
      </c>
      <c r="V26" s="4" t="n">
        <v>0</v>
      </c>
      <c r="W26" s="4" t="n">
        <v>0</v>
      </c>
      <c r="X26" s="4" t="n">
        <v>0</v>
      </c>
      <c r="Y26" s="4" t="n">
        <v>1</v>
      </c>
      <c r="Z26" s="4" t="n">
        <v>0</v>
      </c>
      <c r="AA26" s="4" t="n">
        <v>1</v>
      </c>
      <c r="AB26" s="4" t="inlineStr">
        <is>
          <t>1900-01-01</t>
        </is>
      </c>
      <c r="AC26" s="4" t="n">
        <v>0</v>
      </c>
      <c r="AD26" s="4" t="n">
        <v>0</v>
      </c>
      <c r="AE26" s="4" t="n">
        <v>0</v>
      </c>
      <c r="AF26" s="4" t="n">
        <v>0</v>
      </c>
      <c r="AG26" s="4" t="n">
        <v>0</v>
      </c>
      <c r="AH26" s="4" t="n">
        <v>2</v>
      </c>
      <c r="AI26" s="4" t="n">
        <v>0</v>
      </c>
      <c r="AJ26" s="4" t="inlineStr">
        <is>
          <t>00:00:00</t>
        </is>
      </c>
      <c r="AK26" s="4" t="inlineStr">
        <is>
          <t>00:00:00</t>
        </is>
      </c>
      <c r="AL26" s="4" t="n"/>
      <c r="AM26" s="4" t="inlineStr">
        <is>
          <t>RB_fallback</t>
        </is>
      </c>
      <c r="AN26" s="4" t="inlineStr">
        <is>
          <t>Fallback a RB porque el ID no está en RA</t>
        </is>
      </c>
      <c r="AO26" s="4" t="n">
        <v>0</v>
      </c>
    </row>
    <row r="27" ht="268" customHeight="1">
      <c r="A27" s="4" t="n">
        <v>26</v>
      </c>
      <c r="B27" s="4" t="n">
        <v>27</v>
      </c>
      <c r="C27" s="4" t="inlineStr">
        <is>
          <t>Revisor A</t>
        </is>
      </c>
      <c r="D27" s="4" t="inlineStr">
        <is>
          <t>RA</t>
        </is>
      </c>
      <c r="E27" s="4" t="n">
        <v>2025</v>
      </c>
      <c r="F27" s="4" t="inlineStr">
        <is>
          <t>Señales fisiológicas</t>
        </is>
      </c>
      <c r="G27" s="4" t="inlineStr">
        <is>
          <t>Deep Learning</t>
        </is>
      </c>
      <c r="H27" s="4" t="inlineStr">
        <is>
          <t>https://doi.org/10.1016/j.health.2025.100409</t>
        </is>
      </c>
      <c r="I27" s="4" t="inlineStr">
        <is>
          <t>An analytics-driven model for identifying autism spectrum disorder using eye tracking</t>
        </is>
      </c>
      <c r="J27" s="4"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K27" s="4" t="inlineStr">
        <is>
          <t>Supervised</t>
        </is>
      </c>
      <c r="L27" s="4" t="inlineStr">
        <is>
          <t>MLP</t>
        </is>
      </c>
      <c r="M27" s="4" t="inlineStr">
        <is>
          <t>Classification (ASD vs control / multi-class)</t>
        </is>
      </c>
      <c r="N27" s="4" t="inlineStr">
        <is>
          <t>Screening</t>
        </is>
      </c>
      <c r="O27" s="4" t="inlineStr">
        <is>
          <t>Medium</t>
        </is>
      </c>
      <c r="P27" s="4" t="n">
        <v>0</v>
      </c>
      <c r="Q27" s="4" t="n">
        <v>0</v>
      </c>
      <c r="R27" s="4" t="n">
        <v>1</v>
      </c>
      <c r="S27" s="4" t="n">
        <v>0</v>
      </c>
      <c r="T27" s="4" t="n">
        <v>0</v>
      </c>
      <c r="U27" s="4" t="n">
        <v>0</v>
      </c>
      <c r="V27" s="4" t="n">
        <v>0</v>
      </c>
      <c r="W27" s="4" t="n">
        <v>0</v>
      </c>
      <c r="X27" s="4" t="n">
        <v>1</v>
      </c>
      <c r="Y27" s="4" t="n">
        <v>0</v>
      </c>
      <c r="Z27" s="4" t="n">
        <v>0</v>
      </c>
      <c r="AA27" s="4" t="n">
        <v>0</v>
      </c>
      <c r="AB27" s="4" t="inlineStr">
        <is>
          <t>1900-01-01</t>
        </is>
      </c>
      <c r="AC27" s="4" t="n"/>
      <c r="AD27" s="4" t="n"/>
      <c r="AE27" s="4" t="n"/>
      <c r="AF27" s="4" t="n"/>
      <c r="AG27" s="4" t="n">
        <v>1</v>
      </c>
      <c r="AH27" s="4" t="n">
        <v>1</v>
      </c>
      <c r="AI27" s="4" t="n"/>
      <c r="AJ27" s="4" t="n"/>
      <c r="AK27" s="4" t="n"/>
      <c r="AL27" s="4" t="inlineStr">
        <is>
          <t>Usa eye-tracking/gaze movement; algoritmo principal no explícito.</t>
        </is>
      </c>
      <c r="AM27" s="4" t="inlineStr">
        <is>
          <t>RA</t>
        </is>
      </c>
      <c r="AN27" s="4" t="inlineStr">
        <is>
          <t>Tomado completo desde archivo RA según asignación</t>
        </is>
      </c>
      <c r="AO27" s="4" t="n">
        <v>0</v>
      </c>
    </row>
    <row r="28" ht="385" customHeight="1">
      <c r="A28" s="4" t="n">
        <v>27</v>
      </c>
      <c r="B28" s="4" t="n">
        <v>28</v>
      </c>
      <c r="C28" s="4" t="inlineStr">
        <is>
          <t>Revisor A</t>
        </is>
      </c>
      <c r="D28" s="4" t="inlineStr">
        <is>
          <t>RA</t>
        </is>
      </c>
      <c r="E28" s="4" t="n">
        <v>2024</v>
      </c>
      <c r="F28" s="4" t="inlineStr">
        <is>
          <t>No especificado</t>
        </is>
      </c>
      <c r="G28" s="4" t="inlineStr">
        <is>
          <t>Machine Learning</t>
        </is>
      </c>
      <c r="H28" s="4" t="inlineStr">
        <is>
          <t>https://doi.org/10.1016/j.health.2023.100293</t>
        </is>
      </c>
      <c r="I28" s="4" t="inlineStr">
        <is>
          <t>An evaluation of machine learning approaches for early diagnosis of autism spectrum disorder</t>
        </is>
      </c>
      <c r="J28" s="4" t="inlineStr">
        <is>
          <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t>
        </is>
      </c>
      <c r="K28" s="4" t="inlineStr">
        <is>
          <t>Supervised</t>
        </is>
      </c>
      <c r="L28" s="4" t="inlineStr">
        <is>
          <t>SVM</t>
        </is>
      </c>
      <c r="M28" s="4" t="inlineStr">
        <is>
          <t>Classification (ASD vs control / multi-class)</t>
        </is>
      </c>
      <c r="N28" s="4" t="inlineStr">
        <is>
          <t>Diagnosis</t>
        </is>
      </c>
      <c r="O28" s="4" t="inlineStr">
        <is>
          <t>Medium</t>
        </is>
      </c>
      <c r="P28" s="4" t="n">
        <v>0</v>
      </c>
      <c r="Q28" s="4" t="n">
        <v>0</v>
      </c>
      <c r="R28" s="4" t="n">
        <v>0</v>
      </c>
      <c r="S28" s="4" t="n">
        <v>0</v>
      </c>
      <c r="T28" s="4" t="n">
        <v>1</v>
      </c>
      <c r="U28" s="4" t="n">
        <v>0</v>
      </c>
      <c r="V28" s="4" t="n">
        <v>0</v>
      </c>
      <c r="W28" s="4" t="n">
        <v>0</v>
      </c>
      <c r="X28" s="4" t="n">
        <v>0</v>
      </c>
      <c r="Y28" s="4" t="n">
        <v>1</v>
      </c>
      <c r="Z28" s="4" t="n">
        <v>0</v>
      </c>
      <c r="AA28" s="4" t="n">
        <v>0</v>
      </c>
      <c r="AB28" s="4" t="inlineStr">
        <is>
          <t>1900-01-01</t>
        </is>
      </c>
      <c r="AC28" s="4" t="n"/>
      <c r="AD28" s="4" t="n"/>
      <c r="AE28" s="4" t="n"/>
      <c r="AF28" s="4" t="n"/>
      <c r="AG28" s="4" t="n">
        <v>1</v>
      </c>
      <c r="AH28" s="4" t="n">
        <v>1</v>
      </c>
      <c r="AI28" s="4" t="n"/>
      <c r="AJ28" s="4" t="n"/>
      <c r="AK28" s="4" t="n"/>
      <c r="AL28" s="4" t="inlineStr">
        <is>
          <t>Compara varios clasificadores; ANN/MLP reporta mejor desempeño en dataset combinado.</t>
        </is>
      </c>
      <c r="AM28" s="4" t="inlineStr">
        <is>
          <t>RA</t>
        </is>
      </c>
      <c r="AN28" s="4" t="inlineStr">
        <is>
          <t>Tomado completo desde archivo RA según asignación</t>
        </is>
      </c>
      <c r="AO28" s="4" t="n">
        <v>0</v>
      </c>
    </row>
    <row r="29" ht="409" customHeight="1">
      <c r="A29" s="4" t="n">
        <v>28</v>
      </c>
      <c r="B29" s="4" t="n">
        <v>29</v>
      </c>
      <c r="C29" s="4" t="inlineStr">
        <is>
          <t>Revisor B</t>
        </is>
      </c>
      <c r="D29" s="4" t="n"/>
      <c r="E29" s="4" t="n">
        <v>2025</v>
      </c>
      <c r="F29" s="4" t="inlineStr">
        <is>
          <t>Imagen</t>
        </is>
      </c>
      <c r="G29" s="4" t="inlineStr">
        <is>
          <t>Deep Learning</t>
        </is>
      </c>
      <c r="H29" s="4" t="inlineStr">
        <is>
          <t>https://doi.org/10.1016/j.bspc.2025.107737</t>
        </is>
      </c>
      <c r="I29" s="4" t="inlineStr">
        <is>
          <t>An intellectual autism spectrum disorder classification framework in healthcare industry using ViT-based adaptive deep learning model</t>
        </is>
      </c>
      <c r="J29" s="4"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K29" s="4" t="inlineStr">
        <is>
          <t>Supervised</t>
        </is>
      </c>
      <c r="L29" s="4" t="inlineStr">
        <is>
          <t>Transformer</t>
        </is>
      </c>
      <c r="M29" s="4" t="inlineStr">
        <is>
          <t>Classification (binary/multi-class; incl. ASD vs control)/ multi-class)</t>
        </is>
      </c>
      <c r="N29" s="4" t="inlineStr">
        <is>
          <t>screening</t>
        </is>
      </c>
      <c r="O29" s="4" t="inlineStr">
        <is>
          <t>high</t>
        </is>
      </c>
      <c r="P29" s="4" t="n">
        <v>0</v>
      </c>
      <c r="Q29" s="4" t="n">
        <v>0</v>
      </c>
      <c r="R29" s="4" t="n">
        <v>0</v>
      </c>
      <c r="S29" s="4" t="n">
        <v>0</v>
      </c>
      <c r="T29" s="4" t="n">
        <v>0</v>
      </c>
      <c r="U29" s="4" t="n">
        <v>0</v>
      </c>
      <c r="V29" s="4" t="n">
        <v>0</v>
      </c>
      <c r="W29" s="4" t="n">
        <v>0</v>
      </c>
      <c r="X29" s="4" t="n">
        <v>1</v>
      </c>
      <c r="Y29" s="4" t="n">
        <v>1</v>
      </c>
      <c r="Z29" s="4" t="n">
        <v>0</v>
      </c>
      <c r="AA29" s="4" t="n">
        <v>0</v>
      </c>
      <c r="AB29" s="4" t="inlineStr">
        <is>
          <t>1900-01-01</t>
        </is>
      </c>
      <c r="AC29" s="4" t="n">
        <v>0</v>
      </c>
      <c r="AD29" s="4" t="n">
        <v>0</v>
      </c>
      <c r="AE29" s="4" t="n">
        <v>0</v>
      </c>
      <c r="AF29" s="4" t="n">
        <v>0</v>
      </c>
      <c r="AG29" s="4" t="n">
        <v>1</v>
      </c>
      <c r="AH29" s="4" t="n">
        <v>0</v>
      </c>
      <c r="AI29" s="4" t="n">
        <v>0</v>
      </c>
      <c r="AJ29" s="4" t="inlineStr">
        <is>
          <t>00:00:00</t>
        </is>
      </c>
      <c r="AK29" s="4" t="inlineStr">
        <is>
          <t>00:00:00</t>
        </is>
      </c>
      <c r="AL29" s="4" t="inlineStr">
        <is>
          <t>Hybrid architecture includes ViT + (Adaptive Residual DenseNet) + LSTM; mapped to Transformer as primary component.</t>
        </is>
      </c>
      <c r="AM29" s="4" t="inlineStr">
        <is>
          <t>RB</t>
        </is>
      </c>
      <c r="AN29" s="4" t="inlineStr">
        <is>
          <t>Tomado completo desde archivo RB según asignación</t>
        </is>
      </c>
      <c r="AO29" s="4" t="n">
        <v>0</v>
      </c>
    </row>
    <row r="30" ht="333" customHeight="1">
      <c r="A30" s="4" t="n">
        <v>29</v>
      </c>
      <c r="B30" s="4" t="n">
        <v>30</v>
      </c>
      <c r="C30" s="4" t="inlineStr">
        <is>
          <t>Revisor B</t>
        </is>
      </c>
      <c r="D30" s="4" t="n"/>
      <c r="E30" s="4" t="n">
        <v>2020</v>
      </c>
      <c r="F30" s="4" t="inlineStr">
        <is>
          <t>No especificado</t>
        </is>
      </c>
      <c r="G30" s="4" t="inlineStr">
        <is>
          <t>Híbrido</t>
        </is>
      </c>
      <c r="H30" s="4" t="inlineStr">
        <is>
          <t>https://doi.org/10.1016/j.procs.2020.03.399</t>
        </is>
      </c>
      <c r="I30" s="4" t="inlineStr">
        <is>
          <t>Analysis and Detection of Autism Spectrum Disorder Using Machine Learning Techniques</t>
        </is>
      </c>
      <c r="J30" s="4" t="inlineStr">
        <is>
          <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t>
        </is>
      </c>
      <c r="K30" s="4" t="inlineStr">
        <is>
          <t>Supervised</t>
        </is>
      </c>
      <c r="L30" s="4" t="inlineStr">
        <is>
          <t>CNN</t>
        </is>
      </c>
      <c r="M30" s="4" t="inlineStr">
        <is>
          <t>Classification (binary/multi-class; incl. ASD vs control)/ multi-class)</t>
        </is>
      </c>
      <c r="N30" s="4" t="inlineStr">
        <is>
          <t>screening</t>
        </is>
      </c>
      <c r="O30" s="4" t="inlineStr">
        <is>
          <t>high</t>
        </is>
      </c>
      <c r="P30" s="4" t="n">
        <v>1</v>
      </c>
      <c r="Q30" s="4" t="n">
        <v>0</v>
      </c>
      <c r="R30" s="4" t="n">
        <v>0</v>
      </c>
      <c r="S30" s="4" t="n">
        <v>0</v>
      </c>
      <c r="T30" s="4" t="n">
        <v>0</v>
      </c>
      <c r="U30" s="4" t="n">
        <v>0</v>
      </c>
      <c r="V30" s="4" t="n">
        <v>0</v>
      </c>
      <c r="W30" s="4" t="n">
        <v>0</v>
      </c>
      <c r="X30" s="4" t="n">
        <v>1</v>
      </c>
      <c r="Y30" s="4" t="n">
        <v>1</v>
      </c>
      <c r="Z30" s="4" t="n">
        <v>0</v>
      </c>
      <c r="AA30" s="4" t="n">
        <v>0</v>
      </c>
      <c r="AB30" s="4" t="inlineStr">
        <is>
          <t>1900-01-01</t>
        </is>
      </c>
      <c r="AC30" s="4" t="n">
        <v>0</v>
      </c>
      <c r="AD30" s="4" t="n">
        <v>0</v>
      </c>
      <c r="AE30" s="4" t="n">
        <v>0</v>
      </c>
      <c r="AF30" s="4" t="n">
        <v>0</v>
      </c>
      <c r="AG30" s="4" t="n">
        <v>1</v>
      </c>
      <c r="AH30" s="4" t="n">
        <v>1</v>
      </c>
      <c r="AI30" s="4" t="n">
        <v>0</v>
      </c>
      <c r="AJ30" s="4" t="inlineStr">
        <is>
          <t>00:00:00</t>
        </is>
      </c>
      <c r="AK30" s="4" t="inlineStr">
        <is>
          <t>00:00:00</t>
        </is>
      </c>
      <c r="AL30" s="4" t="inlineStr">
        <is>
          <t>Comparan varios algoritmos (Naive Bayes, SVM, LR, KNN, NN y CNN); para tu columna AI_algorithm_main conviene poner CNN porque es el que señalan como mejor globalmente</t>
        </is>
      </c>
      <c r="AM30" s="4" t="inlineStr">
        <is>
          <t>RB</t>
        </is>
      </c>
      <c r="AN30" s="4" t="inlineStr">
        <is>
          <t>Tomado completo desde archivo RB según asignación</t>
        </is>
      </c>
      <c r="AO30" s="4" t="n">
        <v>0</v>
      </c>
    </row>
    <row r="31" ht="242" customHeight="1">
      <c r="A31" s="4" t="n">
        <v>30</v>
      </c>
      <c r="B31" s="4" t="n">
        <v>31</v>
      </c>
      <c r="C31" s="4" t="inlineStr">
        <is>
          <t>Revisor B</t>
        </is>
      </c>
      <c r="D31" s="4" t="n"/>
      <c r="E31" s="4" t="n">
        <v>2021</v>
      </c>
      <c r="F31" s="4" t="inlineStr">
        <is>
          <t>No especificado</t>
        </is>
      </c>
      <c r="G31" s="4" t="inlineStr">
        <is>
          <t>Deep Learning</t>
        </is>
      </c>
      <c r="H31" s="4" t="inlineStr">
        <is>
          <t>https://doi.org/10.1016/j.gltp.2021.08.042</t>
        </is>
      </c>
      <c r="I31" s="4" t="inlineStr">
        <is>
          <t>ASD classification for children using deep neural network</t>
        </is>
      </c>
      <c r="J31" s="4" t="inlineStr">
        <is>
          <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t>
        </is>
      </c>
      <c r="K31" s="4" t="inlineStr">
        <is>
          <t>Supervised</t>
        </is>
      </c>
      <c r="L31" s="4" t="inlineStr">
        <is>
          <t>MLP</t>
        </is>
      </c>
      <c r="M31" s="4" t="inlineStr">
        <is>
          <t>Classification (binary/multi-class; incl. ASD vs control)/ multi-class)</t>
        </is>
      </c>
      <c r="N31" s="4" t="inlineStr">
        <is>
          <t>diagnosis</t>
        </is>
      </c>
      <c r="O31" s="4" t="inlineStr">
        <is>
          <t>high</t>
        </is>
      </c>
      <c r="P31" s="4" t="n">
        <v>1</v>
      </c>
      <c r="Q31" s="4" t="n">
        <v>0</v>
      </c>
      <c r="R31" s="4" t="n">
        <v>0</v>
      </c>
      <c r="S31" s="4" t="n">
        <v>0</v>
      </c>
      <c r="T31" s="4" t="n">
        <v>0</v>
      </c>
      <c r="U31" s="4" t="n">
        <v>0</v>
      </c>
      <c r="V31" s="4" t="n">
        <v>0</v>
      </c>
      <c r="W31" s="4" t="n">
        <v>0</v>
      </c>
      <c r="X31" s="4" t="n">
        <v>0</v>
      </c>
      <c r="Y31" s="4" t="n">
        <v>1</v>
      </c>
      <c r="Z31" s="4" t="n">
        <v>0</v>
      </c>
      <c r="AA31" s="4" t="n">
        <v>0</v>
      </c>
      <c r="AB31" s="4" t="inlineStr">
        <is>
          <t>1900-01-01</t>
        </is>
      </c>
      <c r="AC31" s="4" t="n">
        <v>0</v>
      </c>
      <c r="AD31" s="4" t="n">
        <v>1</v>
      </c>
      <c r="AE31" s="4" t="n">
        <v>0</v>
      </c>
      <c r="AF31" s="4" t="n">
        <v>0</v>
      </c>
      <c r="AG31" s="4" t="n">
        <v>0</v>
      </c>
      <c r="AH31" s="4" t="n">
        <v>1</v>
      </c>
      <c r="AI31" s="4" t="n">
        <v>0</v>
      </c>
      <c r="AJ31" s="4" t="inlineStr">
        <is>
          <t>00:00:00</t>
        </is>
      </c>
      <c r="AK31" s="4" t="inlineStr">
        <is>
          <t>1900-01-01</t>
        </is>
      </c>
      <c r="AL31" s="4" t="inlineStr">
        <is>
          <t>Tabular screening dataset; diffusion mapping + DNN classifier.</t>
        </is>
      </c>
      <c r="AM31" s="4" t="inlineStr">
        <is>
          <t>RB</t>
        </is>
      </c>
      <c r="AN31" s="4" t="inlineStr">
        <is>
          <t>Tomado completo desde archivo RB según asignación</t>
        </is>
      </c>
      <c r="AO31" s="4" t="n">
        <v>0</v>
      </c>
    </row>
    <row r="32" ht="359" customHeight="1">
      <c r="A32" s="4" t="n">
        <v>31</v>
      </c>
      <c r="B32" s="4" t="n">
        <v>32</v>
      </c>
      <c r="C32" s="4" t="inlineStr">
        <is>
          <t>Revisor B</t>
        </is>
      </c>
      <c r="D32" s="4" t="n"/>
      <c r="E32" s="4" t="n">
        <v>2025</v>
      </c>
      <c r="F32" s="4" t="inlineStr">
        <is>
          <t>Señales fisiológicas</t>
        </is>
      </c>
      <c r="G32" s="4" t="inlineStr">
        <is>
          <t>Machine Learning</t>
        </is>
      </c>
      <c r="H32" s="4" t="inlineStr">
        <is>
          <t>https://doi.org/10.1016/j.compbiomed.2025.110723</t>
        </is>
      </c>
      <c r="I32" s="4" t="inlineStr">
        <is>
          <t>ASD-GraphNet: A novel graph learning approach for Autism Spectrum Disorder diagnosis using fMRI data</t>
        </is>
      </c>
      <c r="J32" s="4"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K32" s="4" t="inlineStr">
        <is>
          <t>Supervised</t>
        </is>
      </c>
      <c r="L32" s="4" t="inlineStr">
        <is>
          <t>Not clear</t>
        </is>
      </c>
      <c r="M32" s="4" t="inlineStr">
        <is>
          <t>Classification (binary/multi-class; incl. ASD vs control)/ multi-class)</t>
        </is>
      </c>
      <c r="N32" s="4" t="inlineStr">
        <is>
          <t>diagnosis</t>
        </is>
      </c>
      <c r="O32" s="4" t="inlineStr">
        <is>
          <t>high</t>
        </is>
      </c>
      <c r="P32" s="4" t="n">
        <v>0</v>
      </c>
      <c r="Q32" s="4" t="n">
        <v>0</v>
      </c>
      <c r="R32" s="4" t="n">
        <v>0</v>
      </c>
      <c r="S32" s="4" t="n">
        <v>0</v>
      </c>
      <c r="T32" s="4" t="n">
        <v>0</v>
      </c>
      <c r="U32" s="4" t="n">
        <v>0</v>
      </c>
      <c r="V32" s="4" t="n">
        <v>0</v>
      </c>
      <c r="W32" s="4" t="n">
        <v>0</v>
      </c>
      <c r="X32" s="4" t="n">
        <v>0</v>
      </c>
      <c r="Y32" s="4" t="n">
        <v>1</v>
      </c>
      <c r="Z32" s="4" t="n">
        <v>0</v>
      </c>
      <c r="AA32" s="4" t="n">
        <v>1</v>
      </c>
      <c r="AB32" s="4" t="inlineStr">
        <is>
          <t>1900-01-01</t>
        </is>
      </c>
      <c r="AC32" s="4" t="n">
        <v>0</v>
      </c>
      <c r="AD32" s="4" t="n">
        <v>0</v>
      </c>
      <c r="AE32" s="4" t="n">
        <v>0</v>
      </c>
      <c r="AF32" s="4" t="n">
        <v>0</v>
      </c>
      <c r="AG32" s="4" t="n">
        <v>1</v>
      </c>
      <c r="AH32" s="4" t="n">
        <v>0</v>
      </c>
      <c r="AI32" s="4" t="n">
        <v>0</v>
      </c>
      <c r="AJ32" s="4" t="inlineStr">
        <is>
          <t>00:00:00</t>
        </is>
      </c>
      <c r="AK32" s="4" t="inlineStr">
        <is>
          <t>00:00:00</t>
        </is>
      </c>
      <c r="AL32" s="4" t="inlineStr">
        <is>
          <t>Graph feature engineering + classifier comparison (LR, SVM, XGBoost/LightGBM); main/best model not specified in abstract</t>
        </is>
      </c>
      <c r="AM32" s="4" t="inlineStr">
        <is>
          <t>RB</t>
        </is>
      </c>
      <c r="AN32" s="4" t="inlineStr">
        <is>
          <t>Tomado completo desde archivo RB según asignación</t>
        </is>
      </c>
      <c r="AO32" s="4" t="n">
        <v>0</v>
      </c>
    </row>
    <row r="33" ht="346" customHeight="1">
      <c r="A33" s="4" t="n">
        <v>32</v>
      </c>
      <c r="B33" s="4" t="n">
        <v>33</v>
      </c>
      <c r="C33" s="4" t="inlineStr">
        <is>
          <t>Revisor A</t>
        </is>
      </c>
      <c r="D33" s="4" t="inlineStr">
        <is>
          <t>RA</t>
        </is>
      </c>
      <c r="E33" s="4" t="n">
        <v>2020</v>
      </c>
      <c r="F33" s="4" t="inlineStr">
        <is>
          <t>No especificado</t>
        </is>
      </c>
      <c r="G33" s="4" t="inlineStr">
        <is>
          <t>Deep Learning</t>
        </is>
      </c>
      <c r="H33" s="4" t="inlineStr">
        <is>
          <t>https://doi.org/10.1016/j.jbiomech.2020.110073</t>
        </is>
      </c>
      <c r="I33" s="4" t="inlineStr">
        <is>
          <t>Automated identification of postural control for children with autism spectrum disorder using a machine learning approach</t>
        </is>
      </c>
      <c r="J33" s="4" t="inlineStr">
        <is>
          <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t>
        </is>
      </c>
      <c r="K33" s="4" t="inlineStr">
        <is>
          <t>Supervised</t>
        </is>
      </c>
      <c r="L33" s="4" t="inlineStr">
        <is>
          <t>Naive Bayes</t>
        </is>
      </c>
      <c r="M33" s="4" t="inlineStr">
        <is>
          <t>Classification (ASD vs control / multi-class)</t>
        </is>
      </c>
      <c r="N33" s="4" t="inlineStr">
        <is>
          <t>Diagnosis</t>
        </is>
      </c>
      <c r="O33" s="4" t="inlineStr">
        <is>
          <t>High</t>
        </is>
      </c>
      <c r="P33" s="4" t="n">
        <v>0</v>
      </c>
      <c r="Q33" s="4" t="n">
        <v>1</v>
      </c>
      <c r="R33" s="4" t="n">
        <v>0</v>
      </c>
      <c r="S33" s="4" t="n">
        <v>0</v>
      </c>
      <c r="T33" s="4" t="n">
        <v>0</v>
      </c>
      <c r="U33" s="4" t="n">
        <v>0</v>
      </c>
      <c r="V33" s="4" t="n">
        <v>0</v>
      </c>
      <c r="W33" s="4" t="n">
        <v>0</v>
      </c>
      <c r="X33" s="4" t="n">
        <v>0</v>
      </c>
      <c r="Y33" s="4" t="n">
        <v>1</v>
      </c>
      <c r="Z33" s="4" t="n">
        <v>0</v>
      </c>
      <c r="AA33" s="4" t="n">
        <v>0</v>
      </c>
      <c r="AB33" s="4" t="inlineStr">
        <is>
          <t>1900-01-01</t>
        </is>
      </c>
      <c r="AC33" s="4" t="n"/>
      <c r="AD33" s="4" t="n"/>
      <c r="AE33" s="4" t="n"/>
      <c r="AF33" s="4" t="n"/>
      <c r="AG33" s="4" t="n">
        <v>0</v>
      </c>
      <c r="AH33" s="4" t="n">
        <v>1</v>
      </c>
      <c r="AI33" s="4" t="inlineStr">
        <is>
          <t>force plate / posture</t>
        </is>
      </c>
      <c r="AJ33" s="4" t="n"/>
      <c r="AK33" s="4" t="n"/>
      <c r="AL33" s="4" t="n"/>
      <c r="AM33" s="4" t="inlineStr">
        <is>
          <t>RA</t>
        </is>
      </c>
      <c r="AN33" s="4" t="inlineStr">
        <is>
          <t>Tomado completo desde archivo RA según asignación</t>
        </is>
      </c>
      <c r="AO33" s="4" t="n">
        <v>0</v>
      </c>
    </row>
    <row r="34" ht="372" customHeight="1">
      <c r="A34" s="4" t="n">
        <v>33</v>
      </c>
      <c r="B34" s="4" t="n">
        <v>34</v>
      </c>
      <c r="C34" s="4" t="inlineStr">
        <is>
          <t>Ambos (piloto)</t>
        </is>
      </c>
      <c r="D34" s="4" t="inlineStr">
        <is>
          <t>RA</t>
        </is>
      </c>
      <c r="E34" s="4" t="n">
        <v>2017</v>
      </c>
      <c r="F34" s="4" t="inlineStr">
        <is>
          <t>Señales fisiológicas</t>
        </is>
      </c>
      <c r="G34" s="4" t="inlineStr">
        <is>
          <t>Machine Learning</t>
        </is>
      </c>
      <c r="H34" s="4" t="inlineStr">
        <is>
          <t>https://doi.org/10.1089/brain.2017.0496</t>
        </is>
      </c>
      <c r="I34" s="4" t="inlineStr">
        <is>
          <t>Distributed Intrinsic Functional Connectivity Patterns Predict Diagnostic Status in Large Autism Cohort</t>
        </is>
      </c>
      <c r="J34" s="4" t="inlineStr">
        <is>
          <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t>
        </is>
      </c>
      <c r="K34" s="4" t="inlineStr">
        <is>
          <t>Supervised</t>
        </is>
      </c>
      <c r="L34" s="4" t="inlineStr">
        <is>
          <t>Random Forest</t>
        </is>
      </c>
      <c r="M34" s="4" t="inlineStr">
        <is>
          <t>Classification (ASD vs control / multi-class)</t>
        </is>
      </c>
      <c r="N34" s="4" t="inlineStr">
        <is>
          <t>Diagnosis</t>
        </is>
      </c>
      <c r="O34" s="4" t="inlineStr">
        <is>
          <t>High</t>
        </is>
      </c>
      <c r="P34" s="4" t="n">
        <v>1</v>
      </c>
      <c r="Q34" s="4" t="n">
        <v>0</v>
      </c>
      <c r="R34" s="4" t="n">
        <v>0</v>
      </c>
      <c r="S34" s="4" t="n">
        <v>0</v>
      </c>
      <c r="T34" s="4" t="n">
        <v>0</v>
      </c>
      <c r="U34" s="4" t="n">
        <v>0</v>
      </c>
      <c r="V34" s="4" t="n">
        <v>0</v>
      </c>
      <c r="W34" s="4" t="n">
        <v>0</v>
      </c>
      <c r="X34" s="4" t="n">
        <v>0</v>
      </c>
      <c r="Y34" s="4" t="n">
        <v>1</v>
      </c>
      <c r="Z34" s="4" t="n">
        <v>0</v>
      </c>
      <c r="AA34" s="4" t="n">
        <v>0</v>
      </c>
      <c r="AB34" s="4" t="inlineStr">
        <is>
          <t>1900-01-01</t>
        </is>
      </c>
      <c r="AC34" s="4" t="n"/>
      <c r="AD34" s="4" t="n"/>
      <c r="AE34" s="4" t="n"/>
      <c r="AF34" s="4" t="n"/>
      <c r="AG34" s="4" t="n">
        <v>0</v>
      </c>
      <c r="AH34" s="4" t="n">
        <v>1</v>
      </c>
      <c r="AI34" s="4" t="n"/>
      <c r="AJ34" s="4" t="n"/>
      <c r="AK34" s="4" t="n"/>
      <c r="AL34" s="4" t="inlineStr">
        <is>
          <t>Usa conditional random forest sobre rs-fMRI para clasificación diagnóstica.</t>
        </is>
      </c>
      <c r="AM34" s="4" t="inlineStr">
        <is>
          <t>RA</t>
        </is>
      </c>
      <c r="AN34" s="4" t="inlineStr">
        <is>
          <t>Tomado completo desde archivo RA según asignación</t>
        </is>
      </c>
      <c r="AO34" s="4" t="n">
        <v>0</v>
      </c>
    </row>
    <row r="35" ht="359" customHeight="1">
      <c r="A35" s="4" t="n">
        <v>34</v>
      </c>
      <c r="B35" s="4" t="n">
        <v>35</v>
      </c>
      <c r="C35" s="4" t="inlineStr">
        <is>
          <t>Revisor A</t>
        </is>
      </c>
      <c r="D35" s="4" t="inlineStr">
        <is>
          <t>RA</t>
        </is>
      </c>
      <c r="E35" s="4" t="n">
        <v>2019</v>
      </c>
      <c r="F35" s="4" t="inlineStr">
        <is>
          <t>Imagen</t>
        </is>
      </c>
      <c r="G35" s="4" t="inlineStr">
        <is>
          <t>Híbrido</t>
        </is>
      </c>
      <c r="H35" s="4" t="inlineStr">
        <is>
          <t>https://doi.org/10.3389/FNCOM.2019.00009/FULL</t>
        </is>
      </c>
      <c r="I35" s="4" t="inlineStr">
        <is>
          <t>Enhancing diagnosis of autism with optimized machine learning models and personal characteristic data</t>
        </is>
      </c>
      <c r="J35" s="4" t="inlineStr">
        <is>
          <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t>
        </is>
      </c>
      <c r="K35" s="4" t="inlineStr">
        <is>
          <t>Supervised</t>
        </is>
      </c>
      <c r="L35" s="4" t="inlineStr">
        <is>
          <t>MLP</t>
        </is>
      </c>
      <c r="M35" s="4" t="inlineStr">
        <is>
          <t>Classification (ASD vs control / multi-class)</t>
        </is>
      </c>
      <c r="N35" s="4" t="inlineStr">
        <is>
          <t>Diagnosis</t>
        </is>
      </c>
      <c r="O35" s="4" t="inlineStr">
        <is>
          <t>High</t>
        </is>
      </c>
      <c r="P35" s="4" t="n">
        <v>0</v>
      </c>
      <c r="Q35" s="4" t="n">
        <v>0</v>
      </c>
      <c r="R35" s="4" t="n">
        <v>0</v>
      </c>
      <c r="S35" s="4" t="n">
        <v>0</v>
      </c>
      <c r="T35" s="4" t="n">
        <v>1</v>
      </c>
      <c r="U35" s="4" t="n">
        <v>0</v>
      </c>
      <c r="V35" s="4" t="n">
        <v>0</v>
      </c>
      <c r="W35" s="4" t="n">
        <v>0</v>
      </c>
      <c r="X35" s="4" t="n">
        <v>0</v>
      </c>
      <c r="Y35" s="4" t="n">
        <v>1</v>
      </c>
      <c r="Z35" s="4" t="n">
        <v>0</v>
      </c>
      <c r="AA35" s="4" t="n">
        <v>0</v>
      </c>
      <c r="AB35" s="4" t="inlineStr">
        <is>
          <t>1900-01-01</t>
        </is>
      </c>
      <c r="AC35" s="4" t="n"/>
      <c r="AD35" s="4" t="n"/>
      <c r="AE35" s="4" t="n"/>
      <c r="AF35" s="4" t="n"/>
      <c r="AG35" s="4" t="n">
        <v>0</v>
      </c>
      <c r="AH35" s="4" t="n">
        <v>1</v>
      </c>
      <c r="AI35" s="4" t="n"/>
      <c r="AJ35" s="4" t="n"/>
      <c r="AK35" s="4" t="n"/>
      <c r="AL35" s="4" t="inlineStr">
        <is>
          <t>Usa solo personal characteristic data de ABIDE; red neuronal fue el mejor modelo.</t>
        </is>
      </c>
      <c r="AM35" s="4" t="inlineStr">
        <is>
          <t>RA</t>
        </is>
      </c>
      <c r="AN35" s="4" t="inlineStr">
        <is>
          <t>Tomado completo desde archivo RA según asignación</t>
        </is>
      </c>
      <c r="AO35" s="4" t="n">
        <v>0</v>
      </c>
    </row>
    <row r="36" ht="346" customHeight="1">
      <c r="A36" s="4" t="n">
        <v>35</v>
      </c>
      <c r="B36" s="4" t="n">
        <v>36</v>
      </c>
      <c r="C36" s="4" t="inlineStr">
        <is>
          <t>Revisor A</t>
        </is>
      </c>
      <c r="D36" s="4" t="inlineStr">
        <is>
          <t>RA</t>
        </is>
      </c>
      <c r="E36" s="4" t="n">
        <v>2024</v>
      </c>
      <c r="F36" s="4" t="inlineStr">
        <is>
          <t>No especificado</t>
        </is>
      </c>
      <c r="G36" s="4" t="inlineStr">
        <is>
          <t>Machine Learning</t>
        </is>
      </c>
      <c r="H36" s="4" t="inlineStr">
        <is>
          <t>https://doi.org/10.1016/j.prime.2024.100602</t>
        </is>
      </c>
      <c r="I36" s="4" t="inlineStr">
        <is>
          <t>Investigating multiclass autism spectrum disorder classification using machine learning techniques</t>
        </is>
      </c>
      <c r="J36" s="4" t="inlineStr">
        <is>
          <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t>
        </is>
      </c>
      <c r="K36" s="4" t="inlineStr">
        <is>
          <t>Supervised</t>
        </is>
      </c>
      <c r="L36" s="4" t="inlineStr">
        <is>
          <t>Logistic Regression</t>
        </is>
      </c>
      <c r="M36" s="4" t="inlineStr">
        <is>
          <t>Classification (ASD vs control / multi-class)</t>
        </is>
      </c>
      <c r="N36" s="4" t="inlineStr">
        <is>
          <t>Diagnosis</t>
        </is>
      </c>
      <c r="O36" s="4" t="inlineStr">
        <is>
          <t>Medium</t>
        </is>
      </c>
      <c r="P36" s="4" t="n">
        <v>0</v>
      </c>
      <c r="Q36" s="4" t="n">
        <v>0</v>
      </c>
      <c r="R36" s="4" t="n">
        <v>0</v>
      </c>
      <c r="S36" s="4" t="n">
        <v>0</v>
      </c>
      <c r="T36" s="4" t="n">
        <v>1</v>
      </c>
      <c r="U36" s="4" t="n">
        <v>0</v>
      </c>
      <c r="V36" s="4" t="n">
        <v>0</v>
      </c>
      <c r="W36" s="4" t="n">
        <v>0</v>
      </c>
      <c r="X36" s="4" t="n">
        <v>0</v>
      </c>
      <c r="Y36" s="4" t="n">
        <v>1</v>
      </c>
      <c r="Z36" s="4" t="n">
        <v>0</v>
      </c>
      <c r="AA36" s="4" t="n">
        <v>0</v>
      </c>
      <c r="AB36" s="4" t="inlineStr">
        <is>
          <t>1900-01-01</t>
        </is>
      </c>
      <c r="AC36" s="4" t="n"/>
      <c r="AD36" s="4" t="n"/>
      <c r="AE36" s="4" t="n"/>
      <c r="AF36" s="4" t="n"/>
      <c r="AG36" s="4" t="n">
        <v>1</v>
      </c>
      <c r="AH36" s="4" t="n">
        <v>1</v>
      </c>
      <c r="AI36" s="4" t="n"/>
      <c r="AJ36" s="4" t="n"/>
      <c r="AK36" s="4" t="n"/>
      <c r="AL36" s="4" t="inlineStr">
        <is>
          <t>LR y SVM destacan; se selecciona LR como principal por mejor desempeño reportado en varios subconjuntos.</t>
        </is>
      </c>
      <c r="AM36" s="4" t="inlineStr">
        <is>
          <t>RA</t>
        </is>
      </c>
      <c r="AN36" s="4" t="inlineStr">
        <is>
          <t>Tomado completo desde archivo RA según asignación</t>
        </is>
      </c>
      <c r="AO36" s="4" t="n">
        <v>0</v>
      </c>
    </row>
    <row r="37" ht="346" customHeight="1">
      <c r="A37" s="4" t="n">
        <v>36</v>
      </c>
      <c r="B37" s="4" t="n">
        <v>37</v>
      </c>
      <c r="C37" s="4" t="inlineStr">
        <is>
          <t>Revisor B</t>
        </is>
      </c>
      <c r="D37" s="4" t="n"/>
      <c r="E37" s="4" t="n">
        <v>2023</v>
      </c>
      <c r="F37" s="4" t="inlineStr">
        <is>
          <t>No especificado</t>
        </is>
      </c>
      <c r="G37" s="4" t="inlineStr">
        <is>
          <t>Deep Learning</t>
        </is>
      </c>
      <c r="H37" s="4" t="inlineStr">
        <is>
          <t>https://doi.org/10.32604/cmc.2023.032586</t>
        </is>
      </c>
      <c r="I37" s="4" t="inlineStr">
        <is>
          <t>Jellyfish Search Optimization with Deep Learning Driven Autism Spectrum Disorder Classification</t>
        </is>
      </c>
      <c r="J37" s="4" t="inlineStr">
        <is>
          <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t>
        </is>
      </c>
      <c r="K37" s="4" t="inlineStr">
        <is>
          <t>Supervised</t>
        </is>
      </c>
      <c r="L37" s="4" t="inlineStr">
        <is>
          <t>RNN/LSTM/GRU</t>
        </is>
      </c>
      <c r="M37" s="4" t="inlineStr">
        <is>
          <t>Classification (ASD vs control / multi-class)</t>
        </is>
      </c>
      <c r="N37" s="4" t="inlineStr">
        <is>
          <t>prognosis</t>
        </is>
      </c>
      <c r="O37" s="4" t="inlineStr">
        <is>
          <t>high</t>
        </is>
      </c>
      <c r="P37" s="4" t="n">
        <v>0</v>
      </c>
      <c r="Q37" s="4" t="n">
        <v>1</v>
      </c>
      <c r="R37" s="4" t="n">
        <v>0</v>
      </c>
      <c r="S37" s="4" t="n">
        <v>0</v>
      </c>
      <c r="T37" s="4" t="n">
        <v>0</v>
      </c>
      <c r="U37" s="4" t="n">
        <v>1</v>
      </c>
      <c r="V37" s="4" t="n">
        <v>0</v>
      </c>
      <c r="W37" s="4" t="n">
        <v>0</v>
      </c>
      <c r="X37" s="4" t="n">
        <v>0</v>
      </c>
      <c r="Y37" s="4" t="n">
        <v>0</v>
      </c>
      <c r="Z37" s="4" t="n">
        <v>1</v>
      </c>
      <c r="AA37" s="4" t="n">
        <v>0</v>
      </c>
      <c r="AB37" s="4" t="inlineStr">
        <is>
          <t>1900-01-01</t>
        </is>
      </c>
      <c r="AC37" s="4" t="n">
        <v>0</v>
      </c>
      <c r="AD37" s="4" t="n">
        <v>0</v>
      </c>
      <c r="AE37" s="4" t="n">
        <v>0</v>
      </c>
      <c r="AF37" s="4" t="n">
        <v>0</v>
      </c>
      <c r="AG37" s="4" t="n">
        <v>0</v>
      </c>
      <c r="AH37" s="4" t="n">
        <v>2</v>
      </c>
      <c r="AI37" s="4" t="n">
        <v>0</v>
      </c>
      <c r="AJ37" s="4" t="inlineStr">
        <is>
          <t>00:00:00</t>
        </is>
      </c>
      <c r="AK37" s="4" t="inlineStr">
        <is>
          <t>00:00:00</t>
        </is>
      </c>
      <c r="AL37" s="4" t="n"/>
      <c r="AM37" s="4" t="inlineStr">
        <is>
          <t>RB</t>
        </is>
      </c>
      <c r="AN37" s="4" t="inlineStr">
        <is>
          <t>Tomado completo desde archivo RB según asignación</t>
        </is>
      </c>
      <c r="AO37" s="4" t="n">
        <v>0</v>
      </c>
    </row>
    <row r="38" ht="307" customHeight="1">
      <c r="A38" s="4" t="n">
        <v>37</v>
      </c>
      <c r="B38" s="4" t="n">
        <v>38</v>
      </c>
      <c r="C38" s="4" t="inlineStr">
        <is>
          <t>Revisor B</t>
        </is>
      </c>
      <c r="D38" s="4" t="n"/>
      <c r="E38" s="4" t="n">
        <v>2021</v>
      </c>
      <c r="F38" s="4" t="inlineStr">
        <is>
          <t>Imagen</t>
        </is>
      </c>
      <c r="G38" s="4" t="inlineStr">
        <is>
          <t>Machine Learning</t>
        </is>
      </c>
      <c r="H38" s="4" t="inlineStr">
        <is>
          <t>https://doi.org/10.1038/s41598-021-86320-0</t>
        </is>
      </c>
      <c r="I38" s="4" t="inlineStr">
        <is>
          <t>Machine learning analysis of pregnancy data enables early identification of a subpopulation of newborns with ASD</t>
        </is>
      </c>
      <c r="J38" s="4" t="inlineStr">
        <is>
          <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t>
        </is>
      </c>
      <c r="K38" s="4" t="inlineStr">
        <is>
          <t>Supervised</t>
        </is>
      </c>
      <c r="L38" s="4" t="inlineStr">
        <is>
          <t>XGBoost / GBDT</t>
        </is>
      </c>
      <c r="M38" s="4" t="inlineStr">
        <is>
          <t>Classification (ASD vs control / multi-class)</t>
        </is>
      </c>
      <c r="N38" s="4" t="inlineStr">
        <is>
          <t>diagnosis</t>
        </is>
      </c>
      <c r="O38" s="4" t="inlineStr">
        <is>
          <t>high</t>
        </is>
      </c>
      <c r="P38" s="4" t="n">
        <v>0</v>
      </c>
      <c r="Q38" s="4" t="n">
        <v>0</v>
      </c>
      <c r="R38" s="4" t="n">
        <v>0</v>
      </c>
      <c r="S38" s="4" t="n">
        <v>0</v>
      </c>
      <c r="T38" s="4" t="n">
        <v>0</v>
      </c>
      <c r="U38" s="4" t="n">
        <v>1</v>
      </c>
      <c r="V38" s="4" t="n">
        <v>0</v>
      </c>
      <c r="W38" s="4" t="n">
        <v>0</v>
      </c>
      <c r="X38" s="4" t="n">
        <v>0</v>
      </c>
      <c r="Y38" s="4" t="n">
        <v>1</v>
      </c>
      <c r="Z38" s="4" t="n">
        <v>0</v>
      </c>
      <c r="AA38" s="4" t="n">
        <v>0</v>
      </c>
      <c r="AB38" s="4" t="inlineStr">
        <is>
          <t>1900-01-01</t>
        </is>
      </c>
      <c r="AC38" s="4" t="n">
        <v>0</v>
      </c>
      <c r="AD38" s="4" t="n">
        <v>0</v>
      </c>
      <c r="AE38" s="4" t="n">
        <v>0</v>
      </c>
      <c r="AF38" s="4" t="n">
        <v>0</v>
      </c>
      <c r="AG38" s="4" t="n">
        <v>1</v>
      </c>
      <c r="AH38" s="4" t="n">
        <v>1</v>
      </c>
      <c r="AI38" s="4" t="n">
        <v>0</v>
      </c>
      <c r="AJ38" s="4" t="inlineStr">
        <is>
          <t>00:00:00</t>
        </is>
      </c>
      <c r="AK38" s="4" t="inlineStr">
        <is>
          <t>00:00:00</t>
        </is>
      </c>
      <c r="AL38" s="4" t="inlineStr">
        <is>
          <t>“Main classifier: Gradient Boosting Decision Trees implemented with XGBoost; feature selection via Lasso (automatic / semi-automatic) + SHAP interpretability; nested CV.</t>
        </is>
      </c>
      <c r="AM38" s="4" t="inlineStr">
        <is>
          <t>RB</t>
        </is>
      </c>
      <c r="AN38" s="4" t="inlineStr">
        <is>
          <t>Tomado completo desde archivo RB según asignación</t>
        </is>
      </c>
      <c r="AO38" s="4" t="n">
        <v>0</v>
      </c>
    </row>
    <row r="39" ht="281" customHeight="1">
      <c r="A39" s="4" t="n">
        <v>38</v>
      </c>
      <c r="B39" s="4" t="n">
        <v>39</v>
      </c>
      <c r="C39" s="4" t="inlineStr">
        <is>
          <t>Revisor B</t>
        </is>
      </c>
      <c r="D39" s="4" t="n"/>
      <c r="E39" s="4" t="n">
        <v>2023</v>
      </c>
      <c r="F39" s="4" t="inlineStr">
        <is>
          <t>No especificado</t>
        </is>
      </c>
      <c r="G39" s="4" t="inlineStr">
        <is>
          <t>Machine Learning</t>
        </is>
      </c>
      <c r="H39" s="4" t="inlineStr">
        <is>
          <t>https://doi.org/10.3390/ijms24032082</t>
        </is>
      </c>
      <c r="I39" s="4" t="inlineStr">
        <is>
          <t>Machine Learning-Based Blood RNA Signature for Diagnosis of Autism Spectrum Disorder</t>
        </is>
      </c>
      <c r="J39" s="4" t="inlineStr">
        <is>
          <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t>
        </is>
      </c>
      <c r="K39" s="4" t="inlineStr">
        <is>
          <t>Supervised</t>
        </is>
      </c>
      <c r="L39" s="4" t="inlineStr">
        <is>
          <t>Random Forest</t>
        </is>
      </c>
      <c r="M39" s="4" t="inlineStr">
        <is>
          <t>Classification (binary/multi-class; incl. ASD vs control)/ multi-class)</t>
        </is>
      </c>
      <c r="N39" s="4" t="inlineStr">
        <is>
          <t>diagnosis</t>
        </is>
      </c>
      <c r="O39" s="4" t="inlineStr">
        <is>
          <t>high</t>
        </is>
      </c>
      <c r="P39" s="4" t="n">
        <v>0</v>
      </c>
      <c r="Q39" s="4" t="n">
        <v>0</v>
      </c>
      <c r="R39" s="4" t="n">
        <v>0</v>
      </c>
      <c r="S39" s="4" t="n">
        <v>0</v>
      </c>
      <c r="T39" s="4" t="n">
        <v>0</v>
      </c>
      <c r="U39" s="4" t="n">
        <v>1</v>
      </c>
      <c r="V39" s="4" t="n">
        <v>0</v>
      </c>
      <c r="W39" s="4" t="n">
        <v>0</v>
      </c>
      <c r="X39" s="4" t="n">
        <v>0</v>
      </c>
      <c r="Y39" s="4" t="n">
        <v>1</v>
      </c>
      <c r="Z39" s="4" t="n">
        <v>1</v>
      </c>
      <c r="AA39" s="4" t="n">
        <v>1</v>
      </c>
      <c r="AB39" s="4" t="inlineStr">
        <is>
          <t>1900-01-01</t>
        </is>
      </c>
      <c r="AC39" s="4" t="n">
        <v>0</v>
      </c>
      <c r="AD39" s="4" t="n">
        <v>0</v>
      </c>
      <c r="AE39" s="4" t="n">
        <v>0</v>
      </c>
      <c r="AF39" s="4" t="n">
        <v>0</v>
      </c>
      <c r="AG39" s="4" t="n">
        <v>1</v>
      </c>
      <c r="AH39" s="4" t="n">
        <v>1</v>
      </c>
      <c r="AI39" s="4" t="n">
        <v>0</v>
      </c>
      <c r="AJ39" s="4" t="inlineStr">
        <is>
          <t>00:00:00</t>
        </is>
      </c>
      <c r="AK39" s="4" t="inlineStr">
        <is>
          <t>00:00:00</t>
        </is>
      </c>
      <c r="AL39" s="4" t="inlineStr">
        <is>
          <t>También usan Extra Trees</t>
        </is>
      </c>
      <c r="AM39" s="4" t="inlineStr">
        <is>
          <t>RB</t>
        </is>
      </c>
      <c r="AN39" s="4" t="inlineStr">
        <is>
          <t>Tomado completo desde archivo RB según asignación</t>
        </is>
      </c>
      <c r="AO39" s="4" t="n">
        <v>0</v>
      </c>
    </row>
    <row r="40" ht="385" customHeight="1">
      <c r="A40" s="4" t="n">
        <v>39</v>
      </c>
      <c r="B40" s="4" t="n">
        <v>40</v>
      </c>
      <c r="C40" s="4" t="inlineStr">
        <is>
          <t>Revisor B</t>
        </is>
      </c>
      <c r="D40" s="4" t="n"/>
      <c r="E40" s="4" t="n">
        <v>2023</v>
      </c>
      <c r="F40" s="4" t="inlineStr">
        <is>
          <t>No especificado</t>
        </is>
      </c>
      <c r="G40" s="4" t="inlineStr">
        <is>
          <t>Machine Learning</t>
        </is>
      </c>
      <c r="H40" s="4" t="inlineStr">
        <is>
          <t>https://doi.org/10.1038/s41380-023-02051-w</t>
        </is>
      </c>
      <c r="I40" s="4" t="inlineStr">
        <is>
          <t>Metabolomic analysis of maternal mid-gestation plasma and cord blood in autism spectrum disorders</t>
        </is>
      </c>
      <c r="J40" s="4" t="inlineStr">
        <is>
          <t>The discovery of prenatal and neonatal molecular biomarkers has the potential to yield insights into autism spectrum disorder (ASD) and facilitate early diagnosis. We characterized metabolomic profiles in ASD using plasma samples collected in the Norwegian Autism Birth Cohort from mothers at weeks 17–21 gestation (maternal mid-gestation, MMG, n = 408) and from children on the day of birth (cord blood, CB, n = 418). We analyzed associations using sex-stratified adjusted logistic regression models with Bayesian analyses. Chemical enrichment analyses (ChemRICH) were performed to determine altered chemical clusters. We also employed machine learning algorithms to assess the utility of metabolomics as ASD biomarkers. We identified ASD associations with a variety of chemical compounds including arachidonic acid, glutamate, and glutamine, and metabolite clusters including hydroxy eicospentaenoic acids, phosphatidylcholines, and ceramides in MMG and CB plasma that are consistent with inflammation, disruption of membrane integrity, and impaired neurotransmission and neurotoxicity. Girls with ASD have disruption of ether/non-ether phospholipid balance in the MMG plasma that is similar to that found in other neurodevelopmental disorders. ASD boys in the CB analyses had the highest number of dysregulated chemical clusters. Machine learning classifiers distinguished ASD cases from controls with area under the receiver operating characteristic (AUROC) values ranging from 0.710 to 0.853. Predictive performance was better in CB analyses than in MMG. These findings may provide new insights into the sex-specific differences in ASD and have implications for discovery of biomarkers that may enable early detection and intervention.</t>
        </is>
      </c>
      <c r="K40" s="4" t="inlineStr">
        <is>
          <t>Supervised</t>
        </is>
      </c>
      <c r="L40" s="4" t="inlineStr">
        <is>
          <t>Not clear</t>
        </is>
      </c>
      <c r="M40" s="4" t="inlineStr">
        <is>
          <t>Classification (binary/multi-class; incl. ASD vs control)/ multi-class)</t>
        </is>
      </c>
      <c r="N40" s="4" t="inlineStr">
        <is>
          <t>diagnosis</t>
        </is>
      </c>
      <c r="O40" s="4" t="inlineStr">
        <is>
          <t>high</t>
        </is>
      </c>
      <c r="P40" s="4" t="n">
        <v>0</v>
      </c>
      <c r="Q40" s="4" t="n">
        <v>0</v>
      </c>
      <c r="R40" s="4" t="n">
        <v>0</v>
      </c>
      <c r="S40" s="4" t="n">
        <v>0</v>
      </c>
      <c r="T40" s="4" t="n">
        <v>1</v>
      </c>
      <c r="U40" s="4" t="n">
        <v>0</v>
      </c>
      <c r="V40" s="4" t="n">
        <v>0</v>
      </c>
      <c r="W40" s="4" t="n">
        <v>0</v>
      </c>
      <c r="X40" s="4" t="n">
        <v>0</v>
      </c>
      <c r="Y40" s="4" t="n">
        <v>1</v>
      </c>
      <c r="Z40" s="4" t="n">
        <v>1</v>
      </c>
      <c r="AA40" s="4" t="n">
        <v>0</v>
      </c>
      <c r="AB40" s="4" t="inlineStr">
        <is>
          <t>1900-01-01</t>
        </is>
      </c>
      <c r="AC40" s="4" t="n">
        <v>0</v>
      </c>
      <c r="AD40" s="4" t="n">
        <v>0</v>
      </c>
      <c r="AE40" s="4" t="n">
        <v>0</v>
      </c>
      <c r="AF40" s="4" t="n">
        <v>0</v>
      </c>
      <c r="AG40" s="4" t="n">
        <v>1</v>
      </c>
      <c r="AH40" s="4" t="n">
        <v>1</v>
      </c>
      <c r="AI40" s="4" t="n">
        <v>0</v>
      </c>
      <c r="AJ40" s="4" t="inlineStr">
        <is>
          <t>1900-01-01</t>
        </is>
      </c>
      <c r="AK40" s="4" t="inlineStr">
        <is>
          <t>00:00:00</t>
        </is>
      </c>
      <c r="AL40" s="4" t="n"/>
      <c r="AM40" s="4" t="inlineStr">
        <is>
          <t>RB</t>
        </is>
      </c>
      <c r="AN40" s="4" t="inlineStr">
        <is>
          <t>Tomado completo desde archivo RB según asignación</t>
        </is>
      </c>
      <c r="AO40" s="4" t="n">
        <v>0</v>
      </c>
    </row>
    <row r="41" ht="320" customHeight="1">
      <c r="A41" s="4" t="n">
        <v>40</v>
      </c>
      <c r="B41" s="4" t="n">
        <v>41</v>
      </c>
      <c r="C41" s="4" t="inlineStr">
        <is>
          <t>Revisor A</t>
        </is>
      </c>
      <c r="D41" s="4" t="inlineStr">
        <is>
          <t>RA</t>
        </is>
      </c>
      <c r="E41" s="4" t="n">
        <v>2023</v>
      </c>
      <c r="F41" s="4" t="inlineStr">
        <is>
          <t>No especificado</t>
        </is>
      </c>
      <c r="G41" s="4" t="inlineStr">
        <is>
          <t>No especificado</t>
        </is>
      </c>
      <c r="H41" s="4" t="inlineStr">
        <is>
          <t>https://doi.org/10.1007/s00787-023-02189-6</t>
        </is>
      </c>
      <c r="I41" s="4" t="inlineStr">
        <is>
          <t>Predictors of age at diagnosis in autism spectrum disorders: the use of multiple regression analyses and a classification tree on a clinical sample</t>
        </is>
      </c>
      <c r="J41" s="4" t="inlineStr">
        <is>
          <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t>
        </is>
      </c>
      <c r="K41" s="4" t="inlineStr">
        <is>
          <t>Supervised</t>
        </is>
      </c>
      <c r="L41" s="4" t="inlineStr">
        <is>
          <t>Decision Tree</t>
        </is>
      </c>
      <c r="M41" s="4" t="inlineStr">
        <is>
          <t>Regression (score / severity / risk)</t>
        </is>
      </c>
      <c r="N41" s="4" t="inlineStr">
        <is>
          <t>Not clear</t>
        </is>
      </c>
      <c r="O41" s="4" t="inlineStr">
        <is>
          <t>High</t>
        </is>
      </c>
      <c r="P41" s="4" t="n">
        <v>0</v>
      </c>
      <c r="Q41" s="4" t="n">
        <v>0</v>
      </c>
      <c r="R41" s="4" t="n">
        <v>0</v>
      </c>
      <c r="S41" s="4" t="n">
        <v>0</v>
      </c>
      <c r="T41" s="4" t="n">
        <v>1</v>
      </c>
      <c r="U41" s="4" t="n">
        <v>0</v>
      </c>
      <c r="V41" s="4" t="n">
        <v>0</v>
      </c>
      <c r="W41" s="4" t="n">
        <v>0</v>
      </c>
      <c r="X41" s="4" t="n">
        <v>0</v>
      </c>
      <c r="Y41" s="4" t="n">
        <v>0</v>
      </c>
      <c r="Z41" s="4" t="n">
        <v>0</v>
      </c>
      <c r="AA41" s="4" t="n">
        <v>0</v>
      </c>
      <c r="AB41" s="4" t="inlineStr">
        <is>
          <t>00:00:00</t>
        </is>
      </c>
      <c r="AC41" s="4" t="n"/>
      <c r="AD41" s="4" t="n"/>
      <c r="AE41" s="4" t="n"/>
      <c r="AF41" s="4" t="n"/>
      <c r="AG41" s="4" t="n">
        <v>1</v>
      </c>
      <c r="AH41" s="4" t="n">
        <v>1</v>
      </c>
      <c r="AI41" s="4" t="n"/>
      <c r="AJ41" s="4" t="n"/>
      <c r="AK41" s="4" t="n"/>
      <c r="AL41" s="4" t="inlineStr">
        <is>
          <t>Análisis de predictores de edad al diagnóstico (regresión + árbol); no encaja claramente en una etapa clínica RQ1.</t>
        </is>
      </c>
      <c r="AM41" s="4" t="inlineStr">
        <is>
          <t>RA</t>
        </is>
      </c>
      <c r="AN41" s="4" t="inlineStr">
        <is>
          <t>Tomado completo desde archivo RA según asignación</t>
        </is>
      </c>
      <c r="AO41" s="4" t="n">
        <v>0</v>
      </c>
    </row>
    <row r="42" ht="409" customHeight="1">
      <c r="A42" s="4" t="n">
        <v>41</v>
      </c>
      <c r="B42" s="4" t="n">
        <v>42</v>
      </c>
      <c r="C42" s="4" t="inlineStr">
        <is>
          <t>Ambos (piloto)</t>
        </is>
      </c>
      <c r="D42" s="4" t="inlineStr">
        <is>
          <t>RA</t>
        </is>
      </c>
      <c r="E42" s="4" t="n">
        <v>2024</v>
      </c>
      <c r="F42" s="4" t="inlineStr">
        <is>
          <t>Señales fisiológicas</t>
        </is>
      </c>
      <c r="G42" s="4" t="inlineStr">
        <is>
          <t>Híbrido</t>
        </is>
      </c>
      <c r="H42" s="4" t="inlineStr">
        <is>
          <t>https://doi.org/10.1016/j.ridd.2024.104688</t>
        </is>
      </c>
      <c r="I42" s="4" t="inlineStr">
        <is>
          <t>Promoting emotional and behavioral interventions in ASD treatment: Evidence from EPIGRAM, A naturalistic, prospective and longitudinal study</t>
        </is>
      </c>
      <c r="J42" s="4" t="inlineStr">
        <is>
          <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t>
        </is>
      </c>
      <c r="K42" s="4" t="inlineStr">
        <is>
          <t>Supervised</t>
        </is>
      </c>
      <c r="L42" s="4" t="inlineStr">
        <is>
          <t>Decision Tree</t>
        </is>
      </c>
      <c r="M42" s="4" t="inlineStr">
        <is>
          <t>Prediction (time-to-event / prognosis)</t>
        </is>
      </c>
      <c r="N42" s="4" t="inlineStr">
        <is>
          <t>Monitoring/intervention</t>
        </is>
      </c>
      <c r="O42" s="4" t="inlineStr">
        <is>
          <t>High</t>
        </is>
      </c>
      <c r="P42" s="4" t="n">
        <v>0</v>
      </c>
      <c r="Q42" s="4" t="n">
        <v>0</v>
      </c>
      <c r="R42" s="4" t="n">
        <v>0</v>
      </c>
      <c r="S42" s="4" t="n">
        <v>0</v>
      </c>
      <c r="T42" s="4" t="n">
        <v>1</v>
      </c>
      <c r="U42" s="4" t="n">
        <v>0</v>
      </c>
      <c r="V42" s="4" t="n">
        <v>0</v>
      </c>
      <c r="W42" s="4" t="n">
        <v>0</v>
      </c>
      <c r="X42" s="4" t="n">
        <v>0</v>
      </c>
      <c r="Y42" s="4" t="n">
        <v>0</v>
      </c>
      <c r="Z42" s="4" t="n">
        <v>1</v>
      </c>
      <c r="AA42" s="4" t="n">
        <v>1</v>
      </c>
      <c r="AB42" s="4" t="inlineStr">
        <is>
          <t>1900-01-01</t>
        </is>
      </c>
      <c r="AC42" s="4" t="n"/>
      <c r="AD42" s="4" t="n"/>
      <c r="AE42" s="4" t="n"/>
      <c r="AF42" s="4" t="n"/>
      <c r="AG42" s="4" t="n">
        <v>0</v>
      </c>
      <c r="AH42" s="4" t="n">
        <v>1</v>
      </c>
      <c r="AI42" s="4" t="n"/>
      <c r="AJ42" s="4" t="n"/>
      <c r="AK42" s="4" t="n"/>
      <c r="AL42" s="4" t="n"/>
      <c r="AM42" s="4" t="inlineStr">
        <is>
          <t>RA</t>
        </is>
      </c>
      <c r="AN42" s="4" t="inlineStr">
        <is>
          <t>Tomado completo desde archivo RA según asignación</t>
        </is>
      </c>
      <c r="AO42" s="4" t="n">
        <v>0</v>
      </c>
    </row>
    <row r="43" ht="294" customHeight="1">
      <c r="A43" s="4" t="n">
        <v>42</v>
      </c>
      <c r="B43" s="4" t="n">
        <v>43</v>
      </c>
      <c r="C43" s="4" t="inlineStr">
        <is>
          <t>Revisor B</t>
        </is>
      </c>
      <c r="D43" s="4" t="n"/>
      <c r="E43" s="4" t="n">
        <v>2025</v>
      </c>
      <c r="F43" s="4" t="inlineStr">
        <is>
          <t>Multimodal</t>
        </is>
      </c>
      <c r="G43" s="4" t="inlineStr">
        <is>
          <t>Deep Learning</t>
        </is>
      </c>
      <c r="H43" s="4" t="inlineStr">
        <is>
          <t>https://doi.org/10.1093/cercor/bhaf022</t>
        </is>
      </c>
      <c r="I43" s="4" t="inlineStr">
        <is>
          <t>The role of the dopamine system in autism spectrum disorder revealed using machine learning: an ABIDE database–based study</t>
        </is>
      </c>
      <c r="J43" s="4" t="inlineStr">
        <is>
          <t>This study explores the diagnostic value of dopamine system imaging characteristics in children with autism spectrum disorder. Functional magnetic resonance data from 551 children in the Autism Brain Imaging Data Exchange database were analyzed, focusing on six dopamine-related brain regions as regions of interest. Functional connectivity between these ROIs and across the whole brain was assessed. Machine learning techniques then evaluated the ability of the dopamine system’s imaging features to predict autism spectrum disorder. Functional connectivity was significantly higher in autism spectrum disorder children between the ventral tegmental area and substantia nigra, prefrontal cortex, nucleus accumbens, and between the substantia nigra and hypothalamus compared to typically developing children. Additionally, clustering methods identified two autism spectrum disorder subtypes, achieving over 0.8 accuracy. Subtype 1 showed higher stereotyped behavior scores than subtype 2 in both genders, with subtype-specific functional connectivity differences between male and female autism spectrum disorder groups. These findings suggest that abnormal functional connectivity in the dopamine system serves as a diagnostic biomarker for autism spectrum disorder and can support clinical decision-making and personalized treatment optimization.</t>
        </is>
      </c>
      <c r="K43" s="4" t="n"/>
      <c r="L43" s="4" t="n"/>
      <c r="M43" s="4" t="inlineStr">
        <is>
          <t>Imaging-based diagnostic prediction</t>
        </is>
      </c>
      <c r="N43" s="4" t="inlineStr">
        <is>
          <t>Diagnosis</t>
        </is>
      </c>
      <c r="O43" s="4" t="n"/>
      <c r="P43" s="4" t="n"/>
      <c r="Q43" s="4" t="n"/>
      <c r="R43" s="4" t="n"/>
      <c r="S43" s="4" t="n"/>
      <c r="T43" s="4" t="n"/>
      <c r="U43" s="4" t="n"/>
      <c r="V43" s="4" t="n"/>
      <c r="W43" s="4" t="n">
        <v>0</v>
      </c>
      <c r="X43" s="4" t="n">
        <v>0</v>
      </c>
      <c r="Y43" s="4" t="n">
        <v>1</v>
      </c>
      <c r="Z43" s="4" t="n">
        <v>0</v>
      </c>
      <c r="AA43" s="4" t="n">
        <v>0</v>
      </c>
      <c r="AB43" s="4" t="inlineStr">
        <is>
          <t>1900-01-01</t>
        </is>
      </c>
      <c r="AC43" s="4" t="n">
        <v>0</v>
      </c>
      <c r="AD43" s="4" t="n">
        <v>0</v>
      </c>
      <c r="AE43" s="4" t="n">
        <v>1</v>
      </c>
      <c r="AF43" s="4" t="n">
        <v>0</v>
      </c>
      <c r="AG43" s="4" t="n"/>
      <c r="AH43" s="4" t="n"/>
      <c r="AI43" s="4" t="n"/>
      <c r="AJ43" s="4" t="inlineStr">
        <is>
          <t>1900-01-01</t>
        </is>
      </c>
      <c r="AK43" s="4" t="n"/>
      <c r="AL43" s="4" t="inlineStr">
        <is>
          <t>Usa ABIDE; marcar señal multisitio.</t>
        </is>
      </c>
      <c r="AM43" s="4" t="inlineStr">
        <is>
          <t>RA_fallback</t>
        </is>
      </c>
      <c r="AN43" s="4" t="inlineStr">
        <is>
          <t>Fallback a RA porque el ID no está en RB</t>
        </is>
      </c>
      <c r="AO43" s="4" t="n">
        <v>1</v>
      </c>
    </row>
    <row r="44" ht="385" customHeight="1">
      <c r="A44" s="4" t="n">
        <v>43</v>
      </c>
      <c r="B44" s="4" t="n">
        <v>44</v>
      </c>
      <c r="C44" s="4" t="inlineStr">
        <is>
          <t>Revisor A</t>
        </is>
      </c>
      <c r="D44" s="4" t="inlineStr">
        <is>
          <t>RA</t>
        </is>
      </c>
      <c r="E44" s="4" t="n">
        <v>2019</v>
      </c>
      <c r="F44" s="4" t="inlineStr">
        <is>
          <t>No especificado</t>
        </is>
      </c>
      <c r="G44" s="4" t="inlineStr">
        <is>
          <t>Machine Learning</t>
        </is>
      </c>
      <c r="H44" s="4" t="inlineStr">
        <is>
          <t>https://doi.org/10.1055/s-0039-1685525</t>
        </is>
      </c>
      <c r="I44" s="4" t="inlineStr">
        <is>
          <t>Using Artificial Intelligence to Identify Factors Associated with Autism Spectrum Disorder in Adolescents with Cerebral Palsy</t>
        </is>
      </c>
      <c r="J44" s="4" t="inlineStr">
        <is>
          <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t>
        </is>
      </c>
      <c r="K44" s="4" t="inlineStr">
        <is>
          <t>Supervised</t>
        </is>
      </c>
      <c r="L44" s="4" t="inlineStr">
        <is>
          <t>Logistic Regression</t>
        </is>
      </c>
      <c r="M44" s="4" t="inlineStr">
        <is>
          <t>Classification (ASD vs control / multi-class)</t>
        </is>
      </c>
      <c r="N44" s="4" t="inlineStr">
        <is>
          <t>Diagnosis</t>
        </is>
      </c>
      <c r="O44" s="4" t="inlineStr">
        <is>
          <t>Medium</t>
        </is>
      </c>
      <c r="P44" s="4" t="n">
        <v>0</v>
      </c>
      <c r="Q44" s="4" t="n">
        <v>0</v>
      </c>
      <c r="R44" s="4" t="n">
        <v>0</v>
      </c>
      <c r="S44" s="4" t="n">
        <v>0</v>
      </c>
      <c r="T44" s="4" t="n">
        <v>1</v>
      </c>
      <c r="U44" s="4" t="n">
        <v>0</v>
      </c>
      <c r="V44" s="4" t="n">
        <v>0</v>
      </c>
      <c r="W44" s="4" t="n">
        <v>0</v>
      </c>
      <c r="X44" s="4" t="n">
        <v>0</v>
      </c>
      <c r="Y44" s="4" t="n">
        <v>1</v>
      </c>
      <c r="Z44" s="4" t="n">
        <v>0</v>
      </c>
      <c r="AA44" s="4" t="n">
        <v>0</v>
      </c>
      <c r="AB44" s="4" t="inlineStr">
        <is>
          <t>1900-01-01</t>
        </is>
      </c>
      <c r="AC44" s="4" t="n"/>
      <c r="AD44" s="4" t="n"/>
      <c r="AE44" s="4" t="n"/>
      <c r="AF44" s="4" t="n"/>
      <c r="AG44" s="4" t="n">
        <v>1</v>
      </c>
      <c r="AH44" s="4" t="n">
        <v>1</v>
      </c>
      <c r="AI44" s="4" t="n"/>
      <c r="AJ44" s="4" t="n"/>
      <c r="AK44" s="4" t="n"/>
      <c r="AL44" s="4" t="inlineStr">
        <is>
          <t>Modelo predictivo con variables clínicas para identificar adolescentes con CP en riesgo de ASD.</t>
        </is>
      </c>
      <c r="AM44" s="4" t="inlineStr">
        <is>
          <t>RA</t>
        </is>
      </c>
      <c r="AN44" s="4" t="inlineStr">
        <is>
          <t>Tomado completo desde archivo RA según asignación</t>
        </is>
      </c>
      <c r="AO44" s="4" t="n">
        <v>0</v>
      </c>
    </row>
    <row r="45" ht="409" customHeight="1">
      <c r="A45" s="4" t="n">
        <v>44</v>
      </c>
      <c r="B45" s="4" t="n">
        <v>45</v>
      </c>
      <c r="C45" s="4" t="inlineStr">
        <is>
          <t>Ambos (piloto)</t>
        </is>
      </c>
      <c r="D45" s="4" t="inlineStr">
        <is>
          <t>RA</t>
        </is>
      </c>
      <c r="E45" s="4" t="n">
        <v>2018</v>
      </c>
      <c r="F45" s="4" t="inlineStr">
        <is>
          <t>Multimodal</t>
        </is>
      </c>
      <c r="G45" s="4" t="inlineStr">
        <is>
          <t>Híbrido</t>
        </is>
      </c>
      <c r="H45" s="4" t="inlineStr">
        <is>
          <t>https://doi.org/10.1371/journal.pone.0206351</t>
        </is>
      </c>
      <c r="I45" s="4" t="inlineStr">
        <is>
          <t>Using resting state functional MRI to build a personalized autism diagnosis system</t>
        </is>
      </c>
      <c r="J45" s="4" t="inlineStr">
        <is>
          <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t>
        </is>
      </c>
      <c r="K45" s="4" t="inlineStr">
        <is>
          <t>Semi-supervised</t>
        </is>
      </c>
      <c r="L45" s="4" t="inlineStr">
        <is>
          <t>Autoencoder</t>
        </is>
      </c>
      <c r="M45" s="4" t="inlineStr">
        <is>
          <t>Classification (ASD vs control / multi-class)</t>
        </is>
      </c>
      <c r="N45" s="4" t="inlineStr">
        <is>
          <t>Diagnosis</t>
        </is>
      </c>
      <c r="O45" s="4" t="inlineStr">
        <is>
          <t>Medium</t>
        </is>
      </c>
      <c r="P45" s="4" t="n">
        <v>1</v>
      </c>
      <c r="Q45" s="4" t="n">
        <v>0</v>
      </c>
      <c r="R45" s="4" t="n">
        <v>0</v>
      </c>
      <c r="S45" s="4" t="n">
        <v>0</v>
      </c>
      <c r="T45" s="4" t="n">
        <v>0</v>
      </c>
      <c r="U45" s="4" t="n">
        <v>0</v>
      </c>
      <c r="V45" s="4" t="n">
        <v>0</v>
      </c>
      <c r="W45" s="4" t="n">
        <v>0</v>
      </c>
      <c r="X45" s="4" t="n">
        <v>0</v>
      </c>
      <c r="Y45" s="4" t="n">
        <v>1</v>
      </c>
      <c r="Z45" s="4" t="n">
        <v>0</v>
      </c>
      <c r="AA45" s="4" t="n">
        <v>0</v>
      </c>
      <c r="AB45" s="4" t="inlineStr">
        <is>
          <t>1900-01-01</t>
        </is>
      </c>
      <c r="AC45" s="4" t="n"/>
      <c r="AD45" s="4" t="n"/>
      <c r="AE45" s="4" t="n"/>
      <c r="AF45" s="4" t="n"/>
      <c r="AG45" s="4" t="n">
        <v>0</v>
      </c>
      <c r="AH45" s="4" t="n">
        <v>1</v>
      </c>
      <c r="AI45" s="4" t="n"/>
      <c r="AJ45" s="4" t="n"/>
      <c r="AK45" s="4" t="n"/>
      <c r="AL45" s="4" t="n"/>
      <c r="AM45" s="4" t="inlineStr">
        <is>
          <t>RA</t>
        </is>
      </c>
      <c r="AN45" s="4" t="inlineStr">
        <is>
          <t>Tomado completo desde archivo RA según asignación</t>
        </is>
      </c>
      <c r="AO45" s="4" t="n">
        <v>0</v>
      </c>
    </row>
    <row r="46" ht="203" customHeight="1">
      <c r="A46" s="4" t="n">
        <v>45</v>
      </c>
      <c r="B46" s="4" t="n">
        <v>46</v>
      </c>
      <c r="C46" s="4" t="inlineStr">
        <is>
          <t>Revisor A</t>
        </is>
      </c>
      <c r="D46" s="4" t="inlineStr">
        <is>
          <t>RA</t>
        </is>
      </c>
      <c r="E46" s="4" t="n">
        <v>2023</v>
      </c>
      <c r="F46" s="4" t="inlineStr">
        <is>
          <t>Texto · NLP</t>
        </is>
      </c>
      <c r="G46" s="4" t="inlineStr">
        <is>
          <t>Deep Learning</t>
        </is>
      </c>
      <c r="H46" s="4" t="inlineStr">
        <is>
          <t>https://doi.org/10.1007/978-3-031-48642-5_7</t>
        </is>
      </c>
      <c r="I46" s="4" t="inlineStr">
        <is>
          <t>A Model to Support the Prediction of Indicators in the Diagnosis and Intervention of Autism Spectrum Disorder</t>
        </is>
      </c>
      <c r="J46" s="4" t="inlineStr">
        <is>
          <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t>
        </is>
      </c>
      <c r="K46" s="4" t="inlineStr">
        <is>
          <t>Supervised</t>
        </is>
      </c>
      <c r="L46" s="4" t="inlineStr">
        <is>
          <t>Transformer</t>
        </is>
      </c>
      <c r="M46" s="4" t="inlineStr">
        <is>
          <t>Classification (ASD vs control / multi-class)</t>
        </is>
      </c>
      <c r="N46" s="4" t="inlineStr">
        <is>
          <t>Monitoring/intervention</t>
        </is>
      </c>
      <c r="O46" s="4" t="inlineStr">
        <is>
          <t>Low</t>
        </is>
      </c>
      <c r="P46" s="4" t="n">
        <v>0</v>
      </c>
      <c r="Q46" s="4" t="n">
        <v>0</v>
      </c>
      <c r="R46" s="4" t="n">
        <v>0</v>
      </c>
      <c r="S46" s="4" t="n">
        <v>1</v>
      </c>
      <c r="T46" s="4" t="n">
        <v>1</v>
      </c>
      <c r="U46" s="4" t="n">
        <v>0</v>
      </c>
      <c r="V46" s="4" t="n">
        <v>0</v>
      </c>
      <c r="W46" s="4" t="n">
        <v>0</v>
      </c>
      <c r="X46" s="4" t="n">
        <v>0</v>
      </c>
      <c r="Y46" s="4" t="n">
        <v>0</v>
      </c>
      <c r="Z46" s="4" t="n">
        <v>0</v>
      </c>
      <c r="AA46" s="4" t="n">
        <v>1</v>
      </c>
      <c r="AB46" s="4" t="inlineStr">
        <is>
          <t>1900-01-01</t>
        </is>
      </c>
      <c r="AC46" s="4" t="n"/>
      <c r="AD46" s="4" t="n"/>
      <c r="AE46" s="4" t="n"/>
      <c r="AF46" s="4" t="n"/>
      <c r="AG46" s="4" t="n">
        <v>1</v>
      </c>
      <c r="AH46" s="4" t="n">
        <v>2</v>
      </c>
      <c r="AI46" s="4" t="inlineStr">
        <is>
          <t>text / NLP</t>
        </is>
      </c>
      <c r="AJ46" s="4" t="n"/>
      <c r="AK46" s="4" t="n"/>
      <c r="AL46" s="4" t="inlineStr">
        <is>
          <t>Proyecto en curso basado en conversaciones/escritura para apoyar indicadores diagnósticos/intervención; confirmar arquitectura final.</t>
        </is>
      </c>
      <c r="AM46" s="4" t="inlineStr">
        <is>
          <t>RA</t>
        </is>
      </c>
      <c r="AN46" s="4" t="inlineStr">
        <is>
          <t>Tomado completo desde archivo RA según asignación</t>
        </is>
      </c>
      <c r="AO46" s="4" t="n">
        <v>0</v>
      </c>
    </row>
    <row r="47" ht="409" customHeight="1">
      <c r="A47" s="4" t="n">
        <v>46</v>
      </c>
      <c r="B47" s="4" t="n">
        <v>47</v>
      </c>
      <c r="C47" s="4" t="inlineStr">
        <is>
          <t>Revisor B</t>
        </is>
      </c>
      <c r="D47" s="4" t="n"/>
      <c r="E47" s="4" t="n">
        <v>2024</v>
      </c>
      <c r="F47" s="4" t="inlineStr">
        <is>
          <t>Imagen</t>
        </is>
      </c>
      <c r="G47" s="4" t="inlineStr">
        <is>
          <t>No especificado</t>
        </is>
      </c>
      <c r="H47" s="4" t="inlineStr">
        <is>
          <t>https://doi.org/10.1007/s13755-024-00299-2</t>
        </is>
      </c>
      <c r="I47" s="4" t="inlineStr">
        <is>
          <t>A novel multi-modal model to assist the diagnosis of autism spectrum disorder using eye-tracking data</t>
        </is>
      </c>
      <c r="J47" s="4" t="inlineStr">
        <is>
          <t>Background and objective
Timely and accurate detection of Autism Spectrum Disorder (ASD) is essential for early intervention and improved patient outcomes. This study aims to harness the power of machine learning (ML) techniques to improve ASD detection by incorporating temporal eye-tracking data. We developed a novel ML model to leverage eye scan paths, sequences of distances of eye movement, and a sequence of fixation durations, enhancing the temporal aspect of the analysis for more effective ASD identification.
Methods
We utilized a dataset of eye-tracking data without augmentation to train our ML model, which consists of a CNN-GRU-ANN architecture. The model was trained using gaze maps, the sequences of distances between eye fixations, and durations of fixations and saccades. Additionally, we employed a validation dataset to assess the model’s performance and compare it with other works.
Results
Our ML model demonstrated superior performance in ASD detection compared to the VGG-16 model. By incorporating temporal information from eye-tracking data, our model achieved higher accuracy, precision, and recall. The novel addition of sequence-based features allowed our model to effectively distinguish between ASD and typically developing individuals, achieving an impressive precision value of 93.10% on the validation dataset.
Conclusion
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K47" s="4" t="inlineStr">
        <is>
          <t>Supervised</t>
        </is>
      </c>
      <c r="L47" s="4" t="inlineStr">
        <is>
          <t>RNN/LSTM/GRU</t>
        </is>
      </c>
      <c r="M47" s="4" t="inlineStr">
        <is>
          <t>Classification (binary/multi-class; incl. ASD vs control)/ multi-class)</t>
        </is>
      </c>
      <c r="N47" s="4" t="inlineStr">
        <is>
          <t>diagnosis</t>
        </is>
      </c>
      <c r="O47" s="4" t="inlineStr">
        <is>
          <t>high</t>
        </is>
      </c>
      <c r="P47" s="4" t="n">
        <v>0</v>
      </c>
      <c r="Q47" s="4" t="n">
        <v>0</v>
      </c>
      <c r="R47" s="4" t="n">
        <v>1</v>
      </c>
      <c r="S47" s="4" t="n">
        <v>0</v>
      </c>
      <c r="T47" s="4" t="n">
        <v>0</v>
      </c>
      <c r="U47" s="4" t="n">
        <v>0</v>
      </c>
      <c r="V47" s="4" t="n">
        <v>0</v>
      </c>
      <c r="W47" s="4" t="n">
        <v>0</v>
      </c>
      <c r="X47" s="4" t="n">
        <v>0</v>
      </c>
      <c r="Y47" s="4" t="n">
        <v>1</v>
      </c>
      <c r="Z47" s="4" t="n">
        <v>0</v>
      </c>
      <c r="AA47" s="4" t="n">
        <v>1</v>
      </c>
      <c r="AB47" s="4" t="inlineStr">
        <is>
          <t>1900-01-01</t>
        </is>
      </c>
      <c r="AC47" s="4" t="n">
        <v>0</v>
      </c>
      <c r="AD47" s="4" t="n">
        <v>0</v>
      </c>
      <c r="AE47" s="4" t="n">
        <v>0</v>
      </c>
      <c r="AF47" s="4" t="n">
        <v>0</v>
      </c>
      <c r="AG47" s="4" t="n">
        <v>1</v>
      </c>
      <c r="AH47" s="4" t="n">
        <v>1</v>
      </c>
      <c r="AI47" s="4" t="n">
        <v>0</v>
      </c>
      <c r="AJ47" s="4" t="inlineStr">
        <is>
          <t>1900-01-01</t>
        </is>
      </c>
      <c r="AK47" s="4" t="inlineStr">
        <is>
          <t>00:00:00</t>
        </is>
      </c>
      <c r="AL47" s="4" t="inlineStr">
        <is>
          <t>Hybrid CNN-GRU-ANN; mapped to RNN/LSTM/GRU as main due to temporal sequence modeling</t>
        </is>
      </c>
      <c r="AM47" s="4" t="inlineStr">
        <is>
          <t>RB</t>
        </is>
      </c>
      <c r="AN47" s="4" t="inlineStr">
        <is>
          <t>Tomado completo desde archivo RB según asignación</t>
        </is>
      </c>
      <c r="AO47" s="4" t="n">
        <v>0</v>
      </c>
    </row>
    <row r="48" ht="99" customHeight="1">
      <c r="A48" s="4" t="n">
        <v>47</v>
      </c>
      <c r="B48" s="4" t="n">
        <v>48</v>
      </c>
      <c r="C48" s="4" t="inlineStr">
        <is>
          <t>Revisor A</t>
        </is>
      </c>
      <c r="D48" s="4" t="inlineStr">
        <is>
          <t>RA</t>
        </is>
      </c>
      <c r="E48" s="4" t="n">
        <v>2020</v>
      </c>
      <c r="F48" s="4" t="inlineStr">
        <is>
          <t>No especificado</t>
        </is>
      </c>
      <c r="G48" s="4" t="inlineStr">
        <is>
          <t>Machine Learning</t>
        </is>
      </c>
      <c r="H48" s="4" t="inlineStr">
        <is>
          <t>https://doi.org/10.1016/j.psychres.2020.113377</t>
        </is>
      </c>
      <c r="I48" s="4" t="inlineStr">
        <is>
          <t>A randomized controlled trial of 25 sessions comparing music therapy and music listening for children with autism spectrum disorder</t>
        </is>
      </c>
      <c r="J48" s="4" t="inlineStr">
        <is>
          <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K48" s="4" t="inlineStr">
        <is>
          <t>Supervised</t>
        </is>
      </c>
      <c r="L48" s="4" t="inlineStr">
        <is>
          <t>Other / Not clear</t>
        </is>
      </c>
      <c r="M48" s="4" t="inlineStr">
        <is>
          <t>Classification (ASD vs control / multi-class)</t>
        </is>
      </c>
      <c r="N48" s="4" t="inlineStr">
        <is>
          <t>Screening</t>
        </is>
      </c>
      <c r="O48" s="4" t="inlineStr">
        <is>
          <t>Low</t>
        </is>
      </c>
      <c r="P48" s="4" t="n">
        <v>0</v>
      </c>
      <c r="Q48" s="4" t="n">
        <v>0</v>
      </c>
      <c r="R48" s="4" t="n">
        <v>1</v>
      </c>
      <c r="S48" s="4" t="n">
        <v>0</v>
      </c>
      <c r="T48" s="4" t="n">
        <v>0</v>
      </c>
      <c r="U48" s="4" t="n">
        <v>0</v>
      </c>
      <c r="V48" s="4" t="n">
        <v>0</v>
      </c>
      <c r="W48" s="4" t="n">
        <v>0</v>
      </c>
      <c r="X48" s="4" t="n">
        <v>1</v>
      </c>
      <c r="Y48" s="4" t="n">
        <v>0</v>
      </c>
      <c r="Z48" s="4" t="n">
        <v>0</v>
      </c>
      <c r="AA48" s="4" t="n">
        <v>0</v>
      </c>
      <c r="AB48" s="4" t="inlineStr">
        <is>
          <t>00:00:00</t>
        </is>
      </c>
      <c r="AC48" s="4" t="n"/>
      <c r="AD48" s="4" t="n"/>
      <c r="AE48" s="4" t="n"/>
      <c r="AF48" s="4" t="n"/>
      <c r="AG48" s="4" t="n">
        <v>1</v>
      </c>
      <c r="AH48" s="4" t="n">
        <v>1</v>
      </c>
      <c r="AI48" s="4" t="n"/>
      <c r="AJ48" s="4" t="n"/>
      <c r="AK48" s="4" t="n"/>
      <c r="AL48" s="4" t="inlineStr">
        <is>
          <t>Posible desajuste título-abstract; el abstract describe detección por eye-tracking temporal.</t>
        </is>
      </c>
      <c r="AM48" s="4" t="inlineStr">
        <is>
          <t>RA</t>
        </is>
      </c>
      <c r="AN48" s="4" t="inlineStr">
        <is>
          <t>Tomado completo desde archivo RA según asignación</t>
        </is>
      </c>
      <c r="AO48" s="4" t="n">
        <v>0</v>
      </c>
    </row>
    <row r="49" ht="255" customHeight="1">
      <c r="A49" s="4" t="n">
        <v>48</v>
      </c>
      <c r="B49" s="4" t="n">
        <v>49</v>
      </c>
      <c r="C49" s="4" t="inlineStr">
        <is>
          <t>Revisor B</t>
        </is>
      </c>
      <c r="D49" s="4" t="n"/>
      <c r="E49" s="4" t="n">
        <v>2021</v>
      </c>
      <c r="F49" s="4" t="inlineStr">
        <is>
          <t>Señales fisiológicas</t>
        </is>
      </c>
      <c r="G49" s="4" t="inlineStr">
        <is>
          <t>Deep Learning</t>
        </is>
      </c>
      <c r="H49" s="4" t="inlineStr">
        <is>
          <t>https://doi.org/10.1007/978-3-030-93049-3_30</t>
        </is>
      </c>
      <c r="I49" s="4" t="inlineStr">
        <is>
          <t>A Triple-Pooling Graph Neural Network for\&amp;#xa0;Multi-scale Topological Learning of\&amp;#xa0;Brain Functional Connectivity: Application to\&amp;#xa0;ASD Diagnosis</t>
        </is>
      </c>
      <c r="J49" s="4" t="inlineStr">
        <is>
          <t>Brain functional connectivity (BFC) built from resting-state functional magnetic resonance imaging (rs-fMRI) has shown promising results in revealing the pathological basis of neurological disorders. However, a major problem is that existing approaches tend to limit analysis to a single scale, which unmatches the truth that modern neuroscience highlights BFC as a multi-scale topological architecture. Such a narrow view does lose representation of the inherent BFC topology and would weaken its performance. To solve this issue, we propose a novel triple-pooling graph neural network (TPGNN) to learn different scales of BFC topological knowledge in a task-adaptive way. Specifically, a pooling architecture with triple branches is designed to automate BFC analysis on the global scale, community scale, and region of interest (ROI) scale, respectively. We validate the diagnostic performance of TPGNN on an open autism spectrum disorder (ASD) dataset. Experimental results demonstrate that TPGNN outperforms the alternative state-of-the-art BFC analysis methods and provides potential biomarkers of different scales to benefit neuroscience.</t>
        </is>
      </c>
      <c r="K49" s="4" t="inlineStr">
        <is>
          <t>Supervised</t>
        </is>
      </c>
      <c r="L49" s="4" t="inlineStr">
        <is>
          <t>Other</t>
        </is>
      </c>
      <c r="M49" s="4" t="inlineStr">
        <is>
          <t>Classification (binary/multi-class; incl. ASD vs control)/ multi-class)</t>
        </is>
      </c>
      <c r="N49" s="4" t="inlineStr">
        <is>
          <t>Diagnosis</t>
        </is>
      </c>
      <c r="O49" s="4" t="inlineStr">
        <is>
          <t>medium</t>
        </is>
      </c>
      <c r="P49" s="4" t="n">
        <v>1</v>
      </c>
      <c r="Q49" s="4" t="n">
        <v>0</v>
      </c>
      <c r="R49" s="4" t="n">
        <v>0</v>
      </c>
      <c r="S49" s="4" t="n">
        <v>0</v>
      </c>
      <c r="T49" s="4" t="n">
        <v>0</v>
      </c>
      <c r="U49" s="4" t="n">
        <v>0</v>
      </c>
      <c r="V49" s="4" t="n">
        <v>0</v>
      </c>
      <c r="W49" s="4" t="n">
        <v>0</v>
      </c>
      <c r="X49" s="4" t="n">
        <v>0</v>
      </c>
      <c r="Y49" s="4" t="n">
        <v>0</v>
      </c>
      <c r="Z49" s="4" t="n">
        <v>0</v>
      </c>
      <c r="AA49" s="4" t="n">
        <v>0</v>
      </c>
      <c r="AB49" s="4" t="inlineStr">
        <is>
          <t>1900-01-01</t>
        </is>
      </c>
      <c r="AC49" s="4" t="n">
        <v>0</v>
      </c>
      <c r="AD49" s="4" t="n">
        <v>0</v>
      </c>
      <c r="AE49" s="4" t="n">
        <v>0</v>
      </c>
      <c r="AF49" s="4" t="n">
        <v>0</v>
      </c>
      <c r="AG49" s="4" t="n">
        <v>0</v>
      </c>
      <c r="AH49" s="4" t="n">
        <v>1</v>
      </c>
      <c r="AI49" s="4" t="n">
        <v>0</v>
      </c>
      <c r="AJ49" s="4" t="inlineStr">
        <is>
          <t>1900-01-01</t>
        </is>
      </c>
      <c r="AK49" s="4" t="inlineStr">
        <is>
          <t>00:00:00</t>
        </is>
      </c>
      <c r="AL49" s="4" t="inlineStr">
        <is>
          <t>Graph Neural Network (TPGNN) for rs-fMRI functional connectivity; mapped to Other (GNN not in list)</t>
        </is>
      </c>
      <c r="AM49" s="4" t="inlineStr">
        <is>
          <t>RB</t>
        </is>
      </c>
      <c r="AN49" s="4" t="inlineStr">
        <is>
          <t>Tomado completo desde archivo RB según asignación</t>
        </is>
      </c>
      <c r="AO49" s="4" t="n">
        <v>0</v>
      </c>
    </row>
    <row r="50" ht="372" customHeight="1">
      <c r="A50" s="4" t="n">
        <v>49</v>
      </c>
      <c r="B50" s="4" t="n">
        <v>51</v>
      </c>
      <c r="C50" s="4" t="inlineStr">
        <is>
          <t>Revisor A</t>
        </is>
      </c>
      <c r="D50" s="4" t="inlineStr">
        <is>
          <t>RA</t>
        </is>
      </c>
      <c r="E50" s="4" t="n">
        <v>2024</v>
      </c>
      <c r="F50" s="4" t="inlineStr">
        <is>
          <t>Multimodal</t>
        </is>
      </c>
      <c r="G50" s="4" t="inlineStr">
        <is>
          <t>No especificado</t>
        </is>
      </c>
      <c r="H50" s="4" t="inlineStr">
        <is>
          <t>https://doi.org/10.1007/s12539-024-00651-w</t>
        </is>
      </c>
      <c r="I50" s="4" t="inlineStr">
        <is>
          <t>Bilinear Perceptual Fusion Algorithm Based on Brain Functional and Structural Data for ASD Diagnosis and Regions of Interest Identification</t>
        </is>
      </c>
      <c r="J50" s="4" t="inlineStr">
        <is>
          <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t>
        </is>
      </c>
      <c r="K50" s="4" t="inlineStr">
        <is>
          <t>Supervised</t>
        </is>
      </c>
      <c r="L50" s="4" t="inlineStr">
        <is>
          <t>CNN</t>
        </is>
      </c>
      <c r="M50" s="4" t="inlineStr">
        <is>
          <t>Classification (ASD vs control / multi-class)</t>
        </is>
      </c>
      <c r="N50" s="4" t="inlineStr">
        <is>
          <t>Diagnosis</t>
        </is>
      </c>
      <c r="O50" s="4" t="inlineStr">
        <is>
          <t>High</t>
        </is>
      </c>
      <c r="P50" s="4" t="n">
        <v>1</v>
      </c>
      <c r="Q50" s="4" t="n">
        <v>0</v>
      </c>
      <c r="R50" s="4" t="n">
        <v>0</v>
      </c>
      <c r="S50" s="4" t="n">
        <v>0</v>
      </c>
      <c r="T50" s="4" t="n">
        <v>0</v>
      </c>
      <c r="U50" s="4" t="n">
        <v>0</v>
      </c>
      <c r="V50" s="4" t="n">
        <v>0</v>
      </c>
      <c r="W50" s="4" t="n">
        <v>0</v>
      </c>
      <c r="X50" s="4" t="n">
        <v>0</v>
      </c>
      <c r="Y50" s="4" t="n">
        <v>1</v>
      </c>
      <c r="Z50" s="4" t="n">
        <v>0</v>
      </c>
      <c r="AA50" s="4" t="n">
        <v>0</v>
      </c>
      <c r="AB50" s="4" t="inlineStr">
        <is>
          <t>1900-01-01</t>
        </is>
      </c>
      <c r="AC50" s="4" t="n"/>
      <c r="AD50" s="4" t="n"/>
      <c r="AE50" s="4" t="n"/>
      <c r="AF50" s="4" t="n"/>
      <c r="AG50" s="4" t="n">
        <v>1</v>
      </c>
      <c r="AH50" s="4" t="n">
        <v>1</v>
      </c>
      <c r="AI50" s="4" t="n"/>
      <c r="AJ50" s="4" t="n"/>
      <c r="AK50" s="4" t="n"/>
      <c r="AL50" s="4" t="inlineStr">
        <is>
          <t>Fusión multimodal de datos cerebrales estructurales/funcionales; arquitectura GCN fuera del codebook.</t>
        </is>
      </c>
      <c r="AM50" s="4" t="inlineStr">
        <is>
          <t>RA</t>
        </is>
      </c>
      <c r="AN50" s="4" t="inlineStr">
        <is>
          <t>Tomado completo desde archivo RA según asignación</t>
        </is>
      </c>
      <c r="AO50" s="4" t="n">
        <v>0</v>
      </c>
    </row>
    <row r="51" ht="372" customHeight="1">
      <c r="A51" s="4" t="n">
        <v>50</v>
      </c>
      <c r="B51" s="4" t="n">
        <v>52</v>
      </c>
      <c r="C51" s="4" t="inlineStr">
        <is>
          <t>Revisor A</t>
        </is>
      </c>
      <c r="D51" s="4" t="inlineStr">
        <is>
          <t>RA</t>
        </is>
      </c>
      <c r="E51" s="4" t="n">
        <v>2023</v>
      </c>
      <c r="F51" s="4" t="inlineStr">
        <is>
          <t>Señales fisiológicas</t>
        </is>
      </c>
      <c r="G51" s="4" t="inlineStr">
        <is>
          <t>Híbrido</t>
        </is>
      </c>
      <c r="H51" s="4" t="inlineStr">
        <is>
          <t>https://doi.org/10.1177/09544119221141751</t>
        </is>
      </c>
      <c r="I51" s="4" t="inlineStr">
        <is>
          <t>Computer-aided diagnosis of autism spectrum disorder from EEG signals using deep learning with FAWT and multiscale permutation entropy features</t>
        </is>
      </c>
      <c r="J51" s="4" t="inlineStr">
        <is>
          <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t>
        </is>
      </c>
      <c r="K51" s="4" t="inlineStr">
        <is>
          <t>Supervised</t>
        </is>
      </c>
      <c r="L51" s="4" t="inlineStr">
        <is>
          <t>CNN</t>
        </is>
      </c>
      <c r="M51" s="4" t="inlineStr">
        <is>
          <t>Classification (ASD vs control / multi-class)</t>
        </is>
      </c>
      <c r="N51" s="4" t="inlineStr">
        <is>
          <t>Diagnosis</t>
        </is>
      </c>
      <c r="O51" s="4" t="inlineStr">
        <is>
          <t>High</t>
        </is>
      </c>
      <c r="P51" s="4" t="n">
        <v>0</v>
      </c>
      <c r="Q51" s="4" t="n">
        <v>1</v>
      </c>
      <c r="R51" s="4" t="n">
        <v>0</v>
      </c>
      <c r="S51" s="4" t="n">
        <v>0</v>
      </c>
      <c r="T51" s="4" t="n">
        <v>0</v>
      </c>
      <c r="U51" s="4" t="n">
        <v>0</v>
      </c>
      <c r="V51" s="4" t="n">
        <v>0</v>
      </c>
      <c r="W51" s="4" t="n">
        <v>0</v>
      </c>
      <c r="X51" s="4" t="n">
        <v>0</v>
      </c>
      <c r="Y51" s="4" t="n">
        <v>1</v>
      </c>
      <c r="Z51" s="4" t="n">
        <v>0</v>
      </c>
      <c r="AA51" s="4" t="n">
        <v>0</v>
      </c>
      <c r="AB51" s="4" t="inlineStr">
        <is>
          <t>1900-01-01</t>
        </is>
      </c>
      <c r="AC51" s="4" t="n"/>
      <c r="AD51" s="4" t="n"/>
      <c r="AE51" s="4" t="n"/>
      <c r="AF51" s="4" t="n"/>
      <c r="AG51" s="4" t="n">
        <v>0</v>
      </c>
      <c r="AH51" s="4" t="n">
        <v>1</v>
      </c>
      <c r="AI51" s="4" t="n"/>
      <c r="AJ51" s="4" t="n"/>
      <c r="AK51" s="4" t="n"/>
      <c r="AL51" s="4" t="n"/>
      <c r="AM51" s="4" t="inlineStr">
        <is>
          <t>RA</t>
        </is>
      </c>
      <c r="AN51" s="4" t="inlineStr">
        <is>
          <t>Tomado completo desde archivo RA según asignación</t>
        </is>
      </c>
      <c r="AO51" s="4" t="n">
        <v>0</v>
      </c>
    </row>
    <row r="52" ht="307" customHeight="1">
      <c r="A52" s="4" t="n">
        <v>51</v>
      </c>
      <c r="B52" s="4" t="n">
        <v>53</v>
      </c>
      <c r="C52" s="4" t="inlineStr">
        <is>
          <t>Revisor B</t>
        </is>
      </c>
      <c r="D52" s="4" t="n"/>
      <c r="E52" s="4" t="n">
        <v>2023</v>
      </c>
      <c r="F52" s="4" t="inlineStr">
        <is>
          <t>No especificado</t>
        </is>
      </c>
      <c r="G52" s="4" t="inlineStr">
        <is>
          <t>Machine Learning</t>
        </is>
      </c>
      <c r="H52" s="4" t="inlineStr">
        <is>
          <t>https://doi.org/10.1002/AUR.2912</t>
        </is>
      </c>
      <c r="I52" s="4" t="inlineStr">
        <is>
          <t>Development and validation of a machine learning-based tool to predict autism among children</t>
        </is>
      </c>
      <c r="J52" s="4" t="inlineStr">
        <is>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is>
      </c>
      <c r="K52" s="4" t="inlineStr">
        <is>
          <t>Supervised</t>
        </is>
      </c>
      <c r="L52" s="4" t="inlineStr">
        <is>
          <t>Logistic Regression</t>
        </is>
      </c>
      <c r="M52" s="4" t="inlineStr">
        <is>
          <t>Prediction (time-to-event / prognosis)</t>
        </is>
      </c>
      <c r="N52" s="4" t="inlineStr">
        <is>
          <t>diagnosis</t>
        </is>
      </c>
      <c r="O52" s="4" t="inlineStr">
        <is>
          <t>high</t>
        </is>
      </c>
      <c r="P52" s="4" t="n">
        <v>1</v>
      </c>
      <c r="Q52" s="4" t="n">
        <v>0</v>
      </c>
      <c r="R52" s="4" t="n">
        <v>0</v>
      </c>
      <c r="S52" s="4" t="n">
        <v>0</v>
      </c>
      <c r="T52" s="4" t="n">
        <v>0</v>
      </c>
      <c r="U52" s="4" t="n">
        <v>0</v>
      </c>
      <c r="V52" s="4" t="n">
        <v>0</v>
      </c>
      <c r="W52" s="4" t="n">
        <v>0</v>
      </c>
      <c r="X52" s="4" t="n">
        <v>0</v>
      </c>
      <c r="Y52" s="4" t="n">
        <v>1</v>
      </c>
      <c r="Z52" s="4" t="n">
        <v>0</v>
      </c>
      <c r="AA52" s="4" t="n">
        <v>0</v>
      </c>
      <c r="AB52" s="4" t="inlineStr">
        <is>
          <t>1900-01-01</t>
        </is>
      </c>
      <c r="AC52" s="4" t="n">
        <v>0</v>
      </c>
      <c r="AD52" s="4" t="n">
        <v>0</v>
      </c>
      <c r="AE52" s="4" t="n">
        <v>0</v>
      </c>
      <c r="AF52" s="4" t="n">
        <v>0</v>
      </c>
      <c r="AG52" s="4" t="n">
        <v>0</v>
      </c>
      <c r="AH52" s="4" t="n">
        <v>1</v>
      </c>
      <c r="AI52" s="4" t="n">
        <v>0</v>
      </c>
      <c r="AJ52" s="4" t="inlineStr">
        <is>
          <t>1900-01-01</t>
        </is>
      </c>
      <c r="AK52" s="4" t="inlineStr">
        <is>
          <t>00:00:00</t>
        </is>
      </c>
      <c r="AL52" s="4" t="inlineStr">
        <is>
          <t>También entrenan Gradient Boosted Trees (XGBoost/GBDT) y reportan desempeño comparable en validación.</t>
        </is>
      </c>
      <c r="AM52" s="4" t="inlineStr">
        <is>
          <t>RB</t>
        </is>
      </c>
      <c r="AN52" s="4" t="inlineStr">
        <is>
          <t>Tomado completo desde archivo RB según asignación</t>
        </is>
      </c>
      <c r="AO52" s="4" t="n">
        <v>0</v>
      </c>
    </row>
    <row r="53" ht="372" customHeight="1">
      <c r="A53" s="4" t="n">
        <v>52</v>
      </c>
      <c r="B53" s="4" t="n">
        <v>54</v>
      </c>
      <c r="C53" s="4" t="inlineStr">
        <is>
          <t>Revisor B</t>
        </is>
      </c>
      <c r="D53" s="4" t="n"/>
      <c r="E53" s="4" t="n">
        <v>2015</v>
      </c>
      <c r="F53" s="4" t="inlineStr">
        <is>
          <t>Señales fisiológicas</t>
        </is>
      </c>
      <c r="G53" s="4" t="inlineStr">
        <is>
          <t>Machine Learning</t>
        </is>
      </c>
      <c r="H53" s="4" t="inlineStr">
        <is>
          <t>https://doi.org/10.1016/j.nicl.2015.04.002</t>
        </is>
      </c>
      <c r="I53" s="4" t="inlineStr">
        <is>
          <t>Diagnostic classification of intrinsic functional connectivity highlights somatosensory, default mode, and visual regions in autism</t>
        </is>
      </c>
      <c r="J53" s="4" t="inlineStr">
        <is>
          <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t>
        </is>
      </c>
      <c r="K53" s="4" t="inlineStr">
        <is>
          <t>Supervised</t>
        </is>
      </c>
      <c r="L53" s="4" t="inlineStr">
        <is>
          <t>Random Forest</t>
        </is>
      </c>
      <c r="M53" s="4" t="inlineStr">
        <is>
          <t>Classification (binary/multi-class; incl. ASD vs control)/ multi-class)</t>
        </is>
      </c>
      <c r="N53" s="4" t="inlineStr">
        <is>
          <t>diagnosis</t>
        </is>
      </c>
      <c r="O53" s="4" t="inlineStr">
        <is>
          <t>high</t>
        </is>
      </c>
      <c r="P53" s="4" t="n">
        <v>0</v>
      </c>
      <c r="Q53" s="4" t="n">
        <v>0</v>
      </c>
      <c r="R53" s="4" t="n">
        <v>1</v>
      </c>
      <c r="S53" s="4" t="n">
        <v>0</v>
      </c>
      <c r="T53" s="4" t="n">
        <v>0</v>
      </c>
      <c r="U53" s="4" t="n">
        <v>0</v>
      </c>
      <c r="V53" s="4" t="n">
        <v>0</v>
      </c>
      <c r="W53" s="4" t="n">
        <v>0</v>
      </c>
      <c r="X53" s="4" t="n">
        <v>0</v>
      </c>
      <c r="Y53" s="4" t="n">
        <v>1</v>
      </c>
      <c r="Z53" s="4" t="n">
        <v>1</v>
      </c>
      <c r="AA53" s="4" t="n">
        <v>1</v>
      </c>
      <c r="AB53" s="4" t="inlineStr">
        <is>
          <t>1900-01-01</t>
        </is>
      </c>
      <c r="AC53" s="4" t="n">
        <v>0</v>
      </c>
      <c r="AD53" s="4" t="n">
        <v>0</v>
      </c>
      <c r="AE53" s="4" t="n">
        <v>0</v>
      </c>
      <c r="AF53" s="4" t="n">
        <v>0</v>
      </c>
      <c r="AG53" s="4" t="n">
        <v>0</v>
      </c>
      <c r="AH53" s="4" t="n">
        <v>1</v>
      </c>
      <c r="AI53" s="4" t="n">
        <v>0</v>
      </c>
      <c r="AJ53" s="4" t="inlineStr">
        <is>
          <t>00:00:00</t>
        </is>
      </c>
      <c r="AK53" s="4" t="inlineStr">
        <is>
          <t>00:00:00</t>
        </is>
      </c>
      <c r="AL53" s="4" t="n"/>
      <c r="AM53" s="4" t="inlineStr">
        <is>
          <t>RB</t>
        </is>
      </c>
      <c r="AN53" s="4" t="inlineStr">
        <is>
          <t>Tomado completo desde archivo RB según asignación</t>
        </is>
      </c>
      <c r="AO53" s="4" t="n">
        <v>0</v>
      </c>
    </row>
    <row r="54" ht="409" customHeight="1">
      <c r="A54" s="4" t="n">
        <v>53</v>
      </c>
      <c r="B54" s="4" t="n">
        <v>56</v>
      </c>
      <c r="C54" s="4" t="inlineStr">
        <is>
          <t>Revisor B</t>
        </is>
      </c>
      <c r="D54" s="4" t="n"/>
      <c r="E54" s="4" t="n">
        <v>2023</v>
      </c>
      <c r="F54" s="4" t="inlineStr">
        <is>
          <t>Imagen</t>
        </is>
      </c>
      <c r="G54" s="4" t="inlineStr">
        <is>
          <t>Deep Learning</t>
        </is>
      </c>
      <c r="H54" s="4" t="inlineStr">
        <is>
          <t>https://doi.org/10.1038/s41380-022-01917-9</t>
        </is>
      </c>
      <c r="I54" s="4" t="inlineStr">
        <is>
          <t>Epigenomic signatures reveal mechanistic clues and predictive markers for autism spectrum disorder</t>
        </is>
      </c>
      <c r="J54" s="4" t="inlineStr">
        <is>
          <t>Autism spectrum disorder (ASD) comprises a heterogeneous group of neurodevelopmental outcomes in children with a commonality in deficits in social communication and language combined with repetitive behaviors and interests. The etiology of ASD is heterogeneous, as several hundred genes have been implicated as well as multiple in utero environmental exposures. Over the past two decades, epigenetic investigations, including DNA methylation, have emerged as a novel way to capture the complex interface of multivariate ASD etiologies. More recently, epigenome-wide association studies using human brain and surrogate accessible tissues have revealed some convergent genes that are epigenetically altered in ASD, many of which overlap with known genetic risk factors. Unlike transcriptomes, epigenomic signatures defined by DNA methylation from surrogate tissues such as placenta and cord blood can reflect past differences in fetal brain gene transcription, transcription factor binding, and chromatin. For example, the discovery of NHIP (neuronal hypoxia inducible, placenta associated) through an epigenome-wide association in placenta, identified a common genetic risk for ASD that was modified by prenatal vitamin use. While epigenomic signatures are distinct between different genetic syndromic causes of ASD, bivalent chromatin and some convergent gene pathways are consistently epigenetically altered in both syndromic and idiopathic ASD, as well as some environmental exposures. Together, these epigenomic signatures hold promising clues towards improved early prediction and prevention of ASD as well genes and gene pathways to target for pharmacological interventions. Future advancements in single cell and multi-omic technologies, machine learning, as well as non-invasive screening of epigenomic signatures during pregnancy or newborn periods are expected to continue to impact the translatability of the recent discoveries in epigenomics to precision public health.</t>
        </is>
      </c>
      <c r="K54" s="4" t="n"/>
      <c r="L54" s="4" t="n"/>
      <c r="M54" s="4" t="n"/>
      <c r="N54" s="4" t="n"/>
      <c r="O54" s="4" t="n"/>
      <c r="P54" s="4" t="n"/>
      <c r="Q54" s="4" t="n"/>
      <c r="R54" s="4" t="n"/>
      <c r="S54" s="4" t="n"/>
      <c r="T54" s="4" t="n"/>
      <c r="U54" s="4" t="n"/>
      <c r="V54" s="4" t="n"/>
      <c r="W54" s="4" t="n"/>
      <c r="X54" s="4" t="n"/>
      <c r="Y54" s="4" t="n"/>
      <c r="Z54" s="4" t="n"/>
      <c r="AA54" s="4" t="n"/>
      <c r="AB54" s="4" t="inlineStr">
        <is>
          <t>00:00:00</t>
        </is>
      </c>
      <c r="AC54" s="4" t="n">
        <v>0</v>
      </c>
      <c r="AD54" s="4" t="n">
        <v>0</v>
      </c>
      <c r="AE54" s="4" t="n">
        <v>0</v>
      </c>
      <c r="AF54" s="4" t="n">
        <v>0</v>
      </c>
      <c r="AG54" s="4" t="n"/>
      <c r="AH54" s="4" t="n"/>
      <c r="AI54" s="4" t="n"/>
      <c r="AJ54" s="4" t="inlineStr">
        <is>
          <t>00:00:00</t>
        </is>
      </c>
      <c r="AK54" s="4" t="n"/>
      <c r="AL54" s="4" t="inlineStr">
        <is>
          <t>Sin señal explícita Q3 en título/abstract.</t>
        </is>
      </c>
      <c r="AM54" s="4" t="inlineStr">
        <is>
          <t>RA_fallback</t>
        </is>
      </c>
      <c r="AN54" s="4" t="inlineStr">
        <is>
          <t>Fallback a RA porque el ID no está en RB</t>
        </is>
      </c>
      <c r="AO54" s="4" t="n">
        <v>1</v>
      </c>
    </row>
    <row r="55" ht="409" customHeight="1">
      <c r="A55" s="4" t="n">
        <v>54</v>
      </c>
      <c r="B55" s="4" t="n">
        <v>57</v>
      </c>
      <c r="C55" s="4" t="inlineStr">
        <is>
          <t>Revisor A</t>
        </is>
      </c>
      <c r="D55" s="4" t="inlineStr">
        <is>
          <t>RA</t>
        </is>
      </c>
      <c r="E55" s="4" t="n">
        <v>2024</v>
      </c>
      <c r="F55" s="4" t="inlineStr">
        <is>
          <t>Texto · NLP</t>
        </is>
      </c>
      <c r="G55" s="4" t="inlineStr">
        <is>
          <t>Machine Learning</t>
        </is>
      </c>
      <c r="H55" s="4" t="inlineStr">
        <is>
          <t>https://doi.org/10.1007/s00521-024-09905-6</t>
        </is>
      </c>
      <c r="I55" s="4" t="inlineStr">
        <is>
          <t>Evaluation and benchmarking of hybrid machine learning models for autism spectrum disorder diagnosis using a 2-tuple linguistic neutrosophic fuzzy sets-based decision-making model</t>
        </is>
      </c>
      <c r="J55" s="4" t="inlineStr">
        <is>
          <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t>
        </is>
      </c>
      <c r="K55" s="4" t="inlineStr">
        <is>
          <t>Supervised</t>
        </is>
      </c>
      <c r="L55" s="4" t="inlineStr">
        <is>
          <t>Decision Tree</t>
        </is>
      </c>
      <c r="M55" s="4" t="inlineStr">
        <is>
          <t>Classification (ASD vs control / multi-class)</t>
        </is>
      </c>
      <c r="N55" s="4" t="inlineStr">
        <is>
          <t>Diagnosis</t>
        </is>
      </c>
      <c r="O55" s="4" t="inlineStr">
        <is>
          <t>Medium</t>
        </is>
      </c>
      <c r="P55" s="4" t="n">
        <v>0</v>
      </c>
      <c r="Q55" s="4" t="n">
        <v>0</v>
      </c>
      <c r="R55" s="4" t="n">
        <v>0</v>
      </c>
      <c r="S55" s="4" t="n">
        <v>0</v>
      </c>
      <c r="T55" s="4" t="n">
        <v>1</v>
      </c>
      <c r="U55" s="4" t="n">
        <v>0</v>
      </c>
      <c r="V55" s="4" t="n">
        <v>0</v>
      </c>
      <c r="W55" s="4" t="n">
        <v>0</v>
      </c>
      <c r="X55" s="4" t="n">
        <v>0</v>
      </c>
      <c r="Y55" s="4" t="n">
        <v>1</v>
      </c>
      <c r="Z55" s="4" t="n">
        <v>0</v>
      </c>
      <c r="AA55" s="4" t="n">
        <v>0</v>
      </c>
      <c r="AB55" s="4" t="inlineStr">
        <is>
          <t>1900-01-01</t>
        </is>
      </c>
      <c r="AC55" s="4" t="n"/>
      <c r="AD55" s="4" t="n"/>
      <c r="AE55" s="4" t="n"/>
      <c r="AF55" s="4" t="n"/>
      <c r="AG55" s="4" t="n">
        <v>1</v>
      </c>
      <c r="AH55" s="4" t="n">
        <v>1</v>
      </c>
      <c r="AI55" s="4" t="n"/>
      <c r="AJ55" s="4" t="n"/>
      <c r="AK55" s="4" t="n"/>
      <c r="AL55" s="4" t="inlineStr">
        <is>
          <t>Algoritmo principal no explícito o fuera del codebook; Confirmar algoritmo principal en full-text; Se comparan varios modelos; se eligió el principal/mejor reportado</t>
        </is>
      </c>
      <c r="AM55" s="4" t="inlineStr">
        <is>
          <t>RA</t>
        </is>
      </c>
      <c r="AN55" s="4" t="inlineStr">
        <is>
          <t>Tomado completo desde archivo RA según asignación</t>
        </is>
      </c>
      <c r="AO55" s="4" t="n">
        <v>0</v>
      </c>
    </row>
    <row r="56" ht="281" customHeight="1">
      <c r="A56" s="4" t="n">
        <v>55</v>
      </c>
      <c r="B56" s="4" t="n">
        <v>58</v>
      </c>
      <c r="C56" s="4" t="inlineStr">
        <is>
          <t>Revisor B</t>
        </is>
      </c>
      <c r="D56" s="4" t="n"/>
      <c r="E56" s="4" t="n">
        <v>2021</v>
      </c>
      <c r="F56" s="4" t="inlineStr">
        <is>
          <t>No especificado</t>
        </is>
      </c>
      <c r="G56" s="4" t="inlineStr">
        <is>
          <t>Machine Learning</t>
        </is>
      </c>
      <c r="H56" s="4" t="inlineStr">
        <is>
          <t>https://doi.org/10.1007/978-3-030-88163-4_7</t>
        </is>
      </c>
      <c r="I56" s="4" t="inlineStr">
        <is>
          <t>Event Related Potential Analysis Using Machine Learning to Predict Diagnostic Outcome of Autism Spectrum Disorder</t>
        </is>
      </c>
      <c r="J56" s="4" t="inlineStr">
        <is>
          <t>dentifying diagnostic biomarkers for autism spectrum disorder (ASD) is one of the challenges in autism research today. Recent studies using visual Event Related Potentials (ERPs) have identified abnormal patterns of brain activity in high-risk infants who go onto ASD diagnosis. In this study, we used well-established ERP components related to face processing. Features of these ERPs were used to explore the performance of machine learning algorithms in classifying ASD diagnostic outcomes. Data were used from the EEG Integrated Platform (EEG-IP). ERPs were recorded from six-months infants in response to static faces that dynamically changed between direct and averted eye gaze. Amplitude and latency measures of prominent ERP peaks including P100, N290 and P400 were derived across five scalp regions. Difference Scores between stimulus conditions (direct versus indirect eye gaze, toward versus away and face versus noise) were considered. Features were selected by weight correlation and used as inputs to three classifiers: k-Nearest Neighbor, Support Vector machines and Decision tree. Performance of these classifiers was compared. The results showed that the Decision tree classifier had the greatest average accuracy rate of 78.09% in classifying ASD diagnosis in high-risk infants.</t>
        </is>
      </c>
      <c r="K56" s="4" t="inlineStr">
        <is>
          <t>Supervised</t>
        </is>
      </c>
      <c r="L56" s="4" t="inlineStr">
        <is>
          <t>Decision Tree</t>
        </is>
      </c>
      <c r="M56" s="4" t="inlineStr">
        <is>
          <t>Prediction (time-to-event / prognosis)</t>
        </is>
      </c>
      <c r="N56" s="4" t="inlineStr">
        <is>
          <t>diagnosis</t>
        </is>
      </c>
      <c r="O56" s="4" t="inlineStr">
        <is>
          <t>high</t>
        </is>
      </c>
      <c r="P56" s="4" t="n">
        <v>1</v>
      </c>
      <c r="Q56" s="4" t="n">
        <v>0</v>
      </c>
      <c r="R56" s="4" t="n">
        <v>0</v>
      </c>
      <c r="S56" s="4" t="n">
        <v>0</v>
      </c>
      <c r="T56" s="4" t="n">
        <v>0</v>
      </c>
      <c r="U56" s="4" t="n">
        <v>0</v>
      </c>
      <c r="V56" s="4" t="n">
        <v>0</v>
      </c>
      <c r="W56" s="4" t="n">
        <v>0</v>
      </c>
      <c r="X56" s="4" t="n">
        <v>0</v>
      </c>
      <c r="Y56" s="4" t="n">
        <v>1</v>
      </c>
      <c r="Z56" s="4" t="n">
        <v>0</v>
      </c>
      <c r="AA56" s="4" t="n">
        <v>0</v>
      </c>
      <c r="AB56" s="4" t="inlineStr">
        <is>
          <t>1900-01-01</t>
        </is>
      </c>
      <c r="AC56" s="4" t="n">
        <v>0</v>
      </c>
      <c r="AD56" s="4" t="n">
        <v>0</v>
      </c>
      <c r="AE56" s="4" t="n">
        <v>0</v>
      </c>
      <c r="AF56" s="4" t="n">
        <v>1</v>
      </c>
      <c r="AG56" s="4" t="n">
        <v>0</v>
      </c>
      <c r="AH56" s="4" t="n">
        <v>1</v>
      </c>
      <c r="AI56" s="4" t="n">
        <v>0</v>
      </c>
      <c r="AJ56" s="4" t="inlineStr">
        <is>
          <t>1900-01-01</t>
        </is>
      </c>
      <c r="AK56" s="4" t="inlineStr">
        <is>
          <t>1900-01-01</t>
        </is>
      </c>
      <c r="AL56" s="4" t="n"/>
      <c r="AM56" s="4" t="inlineStr">
        <is>
          <t>RB</t>
        </is>
      </c>
      <c r="AN56" s="4" t="inlineStr">
        <is>
          <t>Tomado completo desde archivo RB según asignación</t>
        </is>
      </c>
      <c r="AO56" s="4" t="n">
        <v>0</v>
      </c>
    </row>
    <row r="57" ht="359" customHeight="1">
      <c r="A57" s="4" t="n">
        <v>56</v>
      </c>
      <c r="B57" s="4" t="n">
        <v>59</v>
      </c>
      <c r="C57" s="4" t="inlineStr">
        <is>
          <t>Revisor B</t>
        </is>
      </c>
      <c r="D57" s="4" t="n"/>
      <c r="E57" s="4" t="n">
        <v>2019</v>
      </c>
      <c r="F57" s="4" t="inlineStr">
        <is>
          <t>Multimodal</t>
        </is>
      </c>
      <c r="G57" s="4" t="inlineStr">
        <is>
          <t>Machine Learning</t>
        </is>
      </c>
      <c r="H57" s="4" t="inlineStr">
        <is>
          <t>https://doi.org/10.1089/brain.2019.0689</t>
        </is>
      </c>
      <c r="I57" s="4" t="inlineStr">
        <is>
          <t>Functional Connectivities Are More Informative Than Anatomical Variables in Diagnostic Classification of Autism</t>
        </is>
      </c>
      <c r="J57" s="4" t="inlineStr">
        <is>
          <t>Machine learning techniques have been implemented to reveal brain features that distinguish people with autism spectrum disorders (ASDs) from typically developing (TD) peers. However, it remains unknown whether different neuroimaging modalities are equally informative for diagnostic classification. We combined anatomical magnetic resonance imaging (aMRI), diffusion weighted imaging (DWI), and functional connectivity MRI (fcMRI) using conditional random forest (CRF) for supervised learning to compare how informative each modality was in diagnostic classification. In-house data (N = 93) included 47 TD and 46 ASD participants, matched on age, motion, and nonverbal IQ. Four main analyses consistently indicated that fcMRI variables were significantly more informative than anatomical variables from aMRI and DWI. This was found (1) when the top 100 variables from CRF (run separately in each modality) were combined for multimodal CRF; (2) when only 19 top variables reaching &gt;67% accuracy in each modality were combined in multimodal CRF; and (3) when the large number of initial variables (before dimension reduction) potentially biasing comparisons in favor of fcMRI was reduced using a less granular region of interest scheme. Consistent superiority of fcMRI was even found (4) when 100 variables per modality were randomly selected, removing any such potential bias. Greater informative value of functional than anatomical modalities may relate to the nature of fcMRI data, reflecting more closely behavioral condition, which is also the basis of diagnosis, whereas brain anatomy may be more reflective of neurodevelopmental history.</t>
        </is>
      </c>
      <c r="K57" s="4" t="inlineStr">
        <is>
          <t>Supervised</t>
        </is>
      </c>
      <c r="L57" s="4" t="inlineStr">
        <is>
          <t>Random Forest</t>
        </is>
      </c>
      <c r="M57" s="4" t="inlineStr">
        <is>
          <t>Classification (binary/multi-class; incl. ASD vs control)/ multi-class)</t>
        </is>
      </c>
      <c r="N57" s="4" t="inlineStr">
        <is>
          <t>monitoring_intervention</t>
        </is>
      </c>
      <c r="O57" s="4" t="inlineStr">
        <is>
          <t>high</t>
        </is>
      </c>
      <c r="P57" s="4" t="n">
        <v>0</v>
      </c>
      <c r="Q57" s="4" t="n">
        <v>0</v>
      </c>
      <c r="R57" s="4" t="n">
        <v>0</v>
      </c>
      <c r="S57" s="4" t="n">
        <v>0</v>
      </c>
      <c r="T57" s="4" t="n">
        <v>0</v>
      </c>
      <c r="U57" s="4" t="n">
        <v>1</v>
      </c>
      <c r="V57" s="4" t="n">
        <v>0</v>
      </c>
      <c r="W57" s="4" t="n">
        <v>0</v>
      </c>
      <c r="X57" s="4" t="n">
        <v>0</v>
      </c>
      <c r="Y57" s="4" t="n">
        <v>0</v>
      </c>
      <c r="Z57" s="4" t="n">
        <v>0</v>
      </c>
      <c r="AA57" s="4" t="n">
        <v>1</v>
      </c>
      <c r="AB57" s="4" t="inlineStr">
        <is>
          <t>1900-01-01</t>
        </is>
      </c>
      <c r="AC57" s="4" t="n">
        <v>0</v>
      </c>
      <c r="AD57" s="4" t="n">
        <v>0</v>
      </c>
      <c r="AE57" s="4" t="n">
        <v>0</v>
      </c>
      <c r="AF57" s="4" t="n">
        <v>0</v>
      </c>
      <c r="AG57" s="4" t="n">
        <v>1</v>
      </c>
      <c r="AH57" s="4" t="n">
        <v>1</v>
      </c>
      <c r="AI57" s="4" t="n">
        <v>0</v>
      </c>
      <c r="AJ57" s="4" t="inlineStr">
        <is>
          <t>1900-01-01</t>
        </is>
      </c>
      <c r="AK57" s="4" t="inlineStr">
        <is>
          <t>00:00:00</t>
        </is>
      </c>
      <c r="AL57" s="4" t="n"/>
      <c r="AM57" s="4" t="inlineStr">
        <is>
          <t>RB</t>
        </is>
      </c>
      <c r="AN57" s="4" t="inlineStr">
        <is>
          <t>Tomado completo desde archivo RB según asignación</t>
        </is>
      </c>
      <c r="AO57" s="4" t="n">
        <v>0</v>
      </c>
    </row>
    <row r="58" ht="385" customHeight="1">
      <c r="A58" s="4" t="n">
        <v>57</v>
      </c>
      <c r="B58" s="4" t="n">
        <v>60</v>
      </c>
      <c r="C58" s="4" t="inlineStr">
        <is>
          <t>Revisor A</t>
        </is>
      </c>
      <c r="D58" s="4" t="inlineStr">
        <is>
          <t>RA</t>
        </is>
      </c>
      <c r="E58" s="4" t="n">
        <v>2017</v>
      </c>
      <c r="F58" s="4" t="inlineStr">
        <is>
          <t>No especificado</t>
        </is>
      </c>
      <c r="G58" s="4" t="inlineStr">
        <is>
          <t>Deep Learning</t>
        </is>
      </c>
      <c r="H58" s="4" t="inlineStr">
        <is>
          <t>https://doi.org/10.1016/j.eurpsy.2017.02.198</t>
        </is>
      </c>
      <c r="I58" s="4" t="inlineStr">
        <is>
          <t>Hyperuricemia and Metabolic Adverse Effect in Children and Adolescents with Autism Spectrum Disorder Treated with Risperidone</t>
        </is>
      </c>
      <c r="J58" s="4" t="inlineStr">
        <is>
          <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t>
        </is>
      </c>
      <c r="K58" s="4" t="inlineStr">
        <is>
          <t>Supervised</t>
        </is>
      </c>
      <c r="L58" s="4" t="inlineStr">
        <is>
          <t>Other / Not clear</t>
        </is>
      </c>
      <c r="M58" s="4" t="inlineStr">
        <is>
          <t>Regression (score / severity / risk)</t>
        </is>
      </c>
      <c r="N58" s="4" t="inlineStr">
        <is>
          <t>Monitoring/intervention</t>
        </is>
      </c>
      <c r="O58" s="4" t="inlineStr">
        <is>
          <t>High</t>
        </is>
      </c>
      <c r="P58" s="4" t="n">
        <v>0</v>
      </c>
      <c r="Q58" s="4" t="n">
        <v>0</v>
      </c>
      <c r="R58" s="4" t="n">
        <v>0</v>
      </c>
      <c r="S58" s="4" t="n">
        <v>0</v>
      </c>
      <c r="T58" s="4" t="n">
        <v>1</v>
      </c>
      <c r="U58" s="4" t="n">
        <v>1</v>
      </c>
      <c r="V58" s="4" t="n">
        <v>0</v>
      </c>
      <c r="W58" s="4" t="n">
        <v>0</v>
      </c>
      <c r="X58" s="4" t="n">
        <v>0</v>
      </c>
      <c r="Y58" s="4" t="n">
        <v>0</v>
      </c>
      <c r="Z58" s="4" t="n">
        <v>0</v>
      </c>
      <c r="AA58" s="4" t="n">
        <v>1</v>
      </c>
      <c r="AB58" s="4" t="inlineStr">
        <is>
          <t>00:00:00</t>
        </is>
      </c>
      <c r="AC58" s="4" t="n"/>
      <c r="AD58" s="4" t="n"/>
      <c r="AE58" s="4" t="n"/>
      <c r="AF58" s="4" t="n"/>
      <c r="AG58" s="4" t="n">
        <v>1</v>
      </c>
      <c r="AH58" s="4" t="n">
        <v>2</v>
      </c>
      <c r="AI58" s="4" t="n"/>
      <c r="AJ58" s="4" t="n"/>
      <c r="AK58" s="4" t="n"/>
      <c r="AL58" s="4" t="inlineStr">
        <is>
          <t>Estudio principalmente clínico/estadístico sobre efectos metabólicos de risperidona; relevancia de IA ambigua.</t>
        </is>
      </c>
      <c r="AM58" s="4" t="inlineStr">
        <is>
          <t>RA</t>
        </is>
      </c>
      <c r="AN58" s="4" t="inlineStr">
        <is>
          <t>Tomado completo desde archivo RA según asignación</t>
        </is>
      </c>
      <c r="AO58" s="4" t="n">
        <v>0</v>
      </c>
    </row>
    <row r="59" ht="346" customHeight="1">
      <c r="A59" s="4" t="n">
        <v>58</v>
      </c>
      <c r="B59" s="4" t="n">
        <v>61</v>
      </c>
      <c r="C59" s="4" t="inlineStr">
        <is>
          <t>Revisor B</t>
        </is>
      </c>
      <c r="D59" s="4" t="n"/>
      <c r="E59" s="4" t="n">
        <v>2022</v>
      </c>
      <c r="F59" s="4" t="inlineStr">
        <is>
          <t>Imagen</t>
        </is>
      </c>
      <c r="G59" s="4" t="inlineStr">
        <is>
          <t>Deep Learning</t>
        </is>
      </c>
      <c r="H59" s="4" t="inlineStr">
        <is>
          <t>https://doi.org/10.1007/s12539-022-00510-6</t>
        </is>
      </c>
      <c r="I59" s="4" t="inlineStr">
        <is>
          <t>Identifying Visual Attention Features Accurately Discerning Between Autism and Typically Developing: a Deep Learning Framework</t>
        </is>
      </c>
      <c r="J59" s="4" t="inlineStr">
        <is>
          <t>Atypical visual attention is a hallmark of autism spectrum disorder (ASD). Identifying the attention features accurately discerning between people with ASD and typically developing (TD) at the individual level remains a challenge. In this study, we developed a new systematic framework combining high accuracy deep learning classification, deep learning segmentation, image ablation and a direct measurement of classification ability to identify the discriminative features for autism identification. Our two-stream model achieved the state-of-the-art performance with a classification accuracy of 0.95. Using this framework, two new categories of features, Food &amp; drink and Outdoor-objects, were identified as discriminative attention features, in addition to the previously reported features including Center-object and Human-faces, etc. Altered attention to the new categories helps to understand related atypical behaviors in ASD. Importantly, the area under curve (AUC) based on the combined top-9 features identified in this study was 0.92, allowing an accurate classification at the individual level. We also obtained a small but informative dataset of 12 images with an AUC of 0.86, suggesting a potentially efficient approach for the clinical diagnosis of ASD. Together, our deep learning framework based on VGG-16 provides a novel and powerful tool to recognize and understand abnormal visual attention in ASD, which will, in turn, facilitate the identification of biomarkers for ASD. Graphical abstract: [Figure not available: see fulltext.].</t>
        </is>
      </c>
      <c r="K59" s="4" t="inlineStr">
        <is>
          <t>Supervised</t>
        </is>
      </c>
      <c r="L59" s="4" t="inlineStr">
        <is>
          <t>CNN</t>
        </is>
      </c>
      <c r="M59" s="4" t="inlineStr">
        <is>
          <t>Classification (binary/multi-class; incl. ASD vs control)/ multi-class)</t>
        </is>
      </c>
      <c r="N59" s="4" t="inlineStr">
        <is>
          <t>monitoring_intervention</t>
        </is>
      </c>
      <c r="O59" s="4" t="inlineStr">
        <is>
          <t>medium</t>
        </is>
      </c>
      <c r="P59" s="4" t="n">
        <v>0</v>
      </c>
      <c r="Q59" s="4" t="n">
        <v>0</v>
      </c>
      <c r="R59" s="4" t="n">
        <v>0</v>
      </c>
      <c r="S59" s="4" t="n">
        <v>0</v>
      </c>
      <c r="T59" s="4" t="n">
        <v>0</v>
      </c>
      <c r="U59" s="4" t="n">
        <v>0</v>
      </c>
      <c r="V59" s="4" t="n">
        <v>0</v>
      </c>
      <c r="W59" s="4" t="n">
        <v>0</v>
      </c>
      <c r="X59" s="4" t="n">
        <v>0</v>
      </c>
      <c r="Y59" s="4" t="n">
        <v>0</v>
      </c>
      <c r="Z59" s="4" t="n">
        <v>0</v>
      </c>
      <c r="AA59" s="4" t="n">
        <v>1</v>
      </c>
      <c r="AB59" s="4" t="inlineStr">
        <is>
          <t>1900-01-01</t>
        </is>
      </c>
      <c r="AC59" s="4" t="n">
        <v>0</v>
      </c>
      <c r="AD59" s="4" t="n">
        <v>0</v>
      </c>
      <c r="AE59" s="4" t="n">
        <v>0</v>
      </c>
      <c r="AF59" s="4" t="n">
        <v>0</v>
      </c>
      <c r="AG59" s="4" t="n">
        <v>1</v>
      </c>
      <c r="AH59" s="4" t="n">
        <v>0</v>
      </c>
      <c r="AI59" s="4" t="n">
        <v>0</v>
      </c>
      <c r="AJ59" s="4" t="inlineStr">
        <is>
          <t>1900-01-01</t>
        </is>
      </c>
      <c r="AK59" s="4" t="inlineStr">
        <is>
          <t>00:00:00</t>
        </is>
      </c>
      <c r="AL59" s="4" t="n"/>
      <c r="AM59" s="4" t="inlineStr">
        <is>
          <t>RB</t>
        </is>
      </c>
      <c r="AN59" s="4" t="inlineStr">
        <is>
          <t>Tomado completo desde archivo RB según asignación</t>
        </is>
      </c>
      <c r="AO59" s="4" t="n">
        <v>0</v>
      </c>
    </row>
    <row r="60" ht="359" customHeight="1">
      <c r="A60" s="4" t="n">
        <v>59</v>
      </c>
      <c r="B60" s="4" t="n">
        <v>62</v>
      </c>
      <c r="C60" s="4" t="inlineStr">
        <is>
          <t>Revisor A</t>
        </is>
      </c>
      <c r="D60" s="4" t="inlineStr">
        <is>
          <t>RA</t>
        </is>
      </c>
      <c r="E60" s="4" t="n">
        <v>2016</v>
      </c>
      <c r="F60" s="4" t="inlineStr">
        <is>
          <t>No especificado</t>
        </is>
      </c>
      <c r="G60" s="4" t="inlineStr">
        <is>
          <t>Machine Learning</t>
        </is>
      </c>
      <c r="H60" s="4" t="inlineStr">
        <is>
          <t>https://doi.org/10.1016/j.eurpsy.2016.01.060</t>
        </is>
      </c>
      <c r="I60" s="4" t="inlineStr">
        <is>
          <t>Impact of DRD2 polymorphisms on prolactin level in risperidone-treated Thai children and adolescent with autism spectrum disorders</t>
        </is>
      </c>
      <c r="J60" s="4" t="inlineStr">
        <is>
          <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t>
        </is>
      </c>
      <c r="K60" s="4" t="inlineStr">
        <is>
          <t>Other / Not clear</t>
        </is>
      </c>
      <c r="L60" s="4" t="inlineStr">
        <is>
          <t>Other / Not clear</t>
        </is>
      </c>
      <c r="M60" s="4" t="inlineStr">
        <is>
          <t>Other / Not clear</t>
        </is>
      </c>
      <c r="N60" s="4" t="inlineStr">
        <is>
          <t>Monitoring/intervention</t>
        </is>
      </c>
      <c r="O60" s="4" t="inlineStr">
        <is>
          <t>High</t>
        </is>
      </c>
      <c r="P60" s="4" t="n">
        <v>0</v>
      </c>
      <c r="Q60" s="4" t="n">
        <v>0</v>
      </c>
      <c r="R60" s="4" t="n">
        <v>0</v>
      </c>
      <c r="S60" s="4" t="n">
        <v>0</v>
      </c>
      <c r="T60" s="4" t="n">
        <v>1</v>
      </c>
      <c r="U60" s="4" t="n">
        <v>1</v>
      </c>
      <c r="V60" s="4" t="n">
        <v>0</v>
      </c>
      <c r="W60" s="4" t="n">
        <v>0</v>
      </c>
      <c r="X60" s="4" t="n">
        <v>0</v>
      </c>
      <c r="Y60" s="4" t="n">
        <v>0</v>
      </c>
      <c r="Z60" s="4" t="n">
        <v>0</v>
      </c>
      <c r="AA60" s="4" t="n">
        <v>1</v>
      </c>
      <c r="AB60" s="4" t="inlineStr">
        <is>
          <t>1900-01-01</t>
        </is>
      </c>
      <c r="AC60" s="4" t="n"/>
      <c r="AD60" s="4" t="n"/>
      <c r="AE60" s="4" t="n"/>
      <c r="AF60" s="4" t="n"/>
      <c r="AG60" s="4" t="n">
        <v>1</v>
      </c>
      <c r="AH60" s="4" t="n">
        <v>2</v>
      </c>
      <c r="AI60" s="4" t="n"/>
      <c r="AJ60" s="4" t="n"/>
      <c r="AK60" s="4" t="n"/>
      <c r="AL60" s="4" t="inlineStr">
        <is>
          <t>Estudio farmacogenético de prolactina en tratamiento con risperidona; uso de IA/ML no claramente descrito.</t>
        </is>
      </c>
      <c r="AM60" s="4" t="inlineStr">
        <is>
          <t>RA</t>
        </is>
      </c>
      <c r="AN60" s="4" t="inlineStr">
        <is>
          <t>Tomado completo desde archivo RA según asignación</t>
        </is>
      </c>
      <c r="AO60" s="4" t="n">
        <v>0</v>
      </c>
    </row>
    <row r="61" ht="372" customHeight="1">
      <c r="A61" s="4" t="n">
        <v>60</v>
      </c>
      <c r="B61" s="4" t="n">
        <v>63</v>
      </c>
      <c r="C61" s="4" t="inlineStr">
        <is>
          <t>Revisor A</t>
        </is>
      </c>
      <c r="D61" s="4" t="inlineStr">
        <is>
          <t>RA</t>
        </is>
      </c>
      <c r="E61" s="4" t="n">
        <v>2025</v>
      </c>
      <c r="F61" s="4" t="inlineStr">
        <is>
          <t>Imagen</t>
        </is>
      </c>
      <c r="G61" s="4" t="inlineStr">
        <is>
          <t>Machine Learning</t>
        </is>
      </c>
      <c r="H61" s="4" t="inlineStr">
        <is>
          <t>https://doi.org/10.1109/TNSRE.2024.3516216</t>
        </is>
      </c>
      <c r="I61" s="4" t="inlineStr">
        <is>
          <t>Improving fMRI-Based Autism Severity Identification via Brain Network Distance and Adaptive Label Distribution Learning</t>
        </is>
      </c>
      <c r="J61" s="4" t="inlineStr">
        <is>
          <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t>
        </is>
      </c>
      <c r="K61" s="4" t="inlineStr">
        <is>
          <t>Supervised</t>
        </is>
      </c>
      <c r="L61" s="4" t="inlineStr">
        <is>
          <t>MLP</t>
        </is>
      </c>
      <c r="M61" s="4" t="inlineStr">
        <is>
          <t>Regression (score / severity / risk)</t>
        </is>
      </c>
      <c r="N61" s="4" t="inlineStr">
        <is>
          <t>Diagnosis</t>
        </is>
      </c>
      <c r="O61" s="4" t="inlineStr">
        <is>
          <t>Medium</t>
        </is>
      </c>
      <c r="P61" s="4" t="n">
        <v>1</v>
      </c>
      <c r="Q61" s="4" t="n">
        <v>0</v>
      </c>
      <c r="R61" s="4" t="n">
        <v>0</v>
      </c>
      <c r="S61" s="4" t="n">
        <v>0</v>
      </c>
      <c r="T61" s="4" t="n">
        <v>0</v>
      </c>
      <c r="U61" s="4" t="n">
        <v>0</v>
      </c>
      <c r="V61" s="4" t="n">
        <v>0</v>
      </c>
      <c r="W61" s="4" t="n">
        <v>0</v>
      </c>
      <c r="X61" s="4" t="n">
        <v>0</v>
      </c>
      <c r="Y61" s="4" t="n">
        <v>1</v>
      </c>
      <c r="Z61" s="4" t="n">
        <v>0</v>
      </c>
      <c r="AA61" s="4" t="n">
        <v>0</v>
      </c>
      <c r="AB61" s="4" t="inlineStr">
        <is>
          <t>1900-01-01</t>
        </is>
      </c>
      <c r="AC61" s="4" t="n"/>
      <c r="AD61" s="4" t="n"/>
      <c r="AE61" s="4" t="n"/>
      <c r="AF61" s="4" t="n"/>
      <c r="AG61" s="4" t="n">
        <v>1</v>
      </c>
      <c r="AH61" s="4" t="n">
        <v>1</v>
      </c>
      <c r="AI61" s="4" t="n"/>
      <c r="AJ61" s="4" t="n"/>
      <c r="AK61" s="4" t="n"/>
      <c r="AL61" s="4" t="inlineStr">
        <is>
          <t>Algoritmo principal no explícito o fuera del codebook; Confirmar algoritmo principal en full-text</t>
        </is>
      </c>
      <c r="AM61" s="4" t="inlineStr">
        <is>
          <t>RA</t>
        </is>
      </c>
      <c r="AN61" s="4" t="inlineStr">
        <is>
          <t>Tomado completo desde archivo RA según asignación</t>
        </is>
      </c>
      <c r="AO61" s="4" t="n">
        <v>0</v>
      </c>
    </row>
    <row r="62" ht="409" customHeight="1">
      <c r="A62" s="4" t="n">
        <v>61</v>
      </c>
      <c r="B62" s="4" t="n">
        <v>64</v>
      </c>
      <c r="C62" s="4" t="inlineStr">
        <is>
          <t>Revisor B</t>
        </is>
      </c>
      <c r="D62" s="4" t="n"/>
      <c r="E62" s="4" t="n">
        <v>2025</v>
      </c>
      <c r="F62" s="4" t="inlineStr">
        <is>
          <t>Imagen</t>
        </is>
      </c>
      <c r="G62" s="4" t="inlineStr">
        <is>
          <t>Híbrido</t>
        </is>
      </c>
      <c r="H62" s="4" t="inlineStr">
        <is>
          <t>https://doi.org/10.1016/j.mex.2025.103166</t>
        </is>
      </c>
      <c r="I62" s="4" t="inlineStr">
        <is>
          <t>Leveraging hybrid model of ConvNextBase and LightGBM for early ASD detection via eye-gaze analysis</t>
        </is>
      </c>
      <c r="J62" s="4" t="inlineStr">
        <is>
          <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t>
        </is>
      </c>
      <c r="K62" s="4" t="inlineStr">
        <is>
          <t>Supervised</t>
        </is>
      </c>
      <c r="L62" s="4" t="inlineStr">
        <is>
          <t>XGBoost / GBDT</t>
        </is>
      </c>
      <c r="M62" s="4" t="inlineStr">
        <is>
          <t>Classification (binary/multi-class; incl. ASD vs control)/ multi-class)</t>
        </is>
      </c>
      <c r="N62" s="4" t="inlineStr">
        <is>
          <t>screening</t>
        </is>
      </c>
      <c r="O62" s="4" t="inlineStr">
        <is>
          <t>high</t>
        </is>
      </c>
      <c r="P62" s="4" t="n">
        <v>0</v>
      </c>
      <c r="Q62" s="4" t="n">
        <v>0</v>
      </c>
      <c r="R62" s="4" t="n">
        <v>0</v>
      </c>
      <c r="S62" s="4" t="n">
        <v>0</v>
      </c>
      <c r="T62" s="4" t="n">
        <v>0</v>
      </c>
      <c r="U62" s="4" t="n">
        <v>0</v>
      </c>
      <c r="V62" s="4" t="n">
        <v>0</v>
      </c>
      <c r="W62" s="4" t="n">
        <v>0</v>
      </c>
      <c r="X62" s="4" t="n">
        <v>1</v>
      </c>
      <c r="Y62" s="4" t="n">
        <v>1</v>
      </c>
      <c r="Z62" s="4" t="n">
        <v>1</v>
      </c>
      <c r="AA62" s="4" t="n">
        <v>0</v>
      </c>
      <c r="AB62" s="4" t="inlineStr">
        <is>
          <t>1900-01-01</t>
        </is>
      </c>
      <c r="AC62" s="4" t="n">
        <v>0</v>
      </c>
      <c r="AD62" s="4" t="n">
        <v>0</v>
      </c>
      <c r="AE62" s="4" t="n">
        <v>0</v>
      </c>
      <c r="AF62" s="4" t="n">
        <v>0</v>
      </c>
      <c r="AG62" s="4" t="n">
        <v>1</v>
      </c>
      <c r="AH62" s="4" t="n">
        <v>0</v>
      </c>
      <c r="AI62" s="4" t="n">
        <v>0</v>
      </c>
      <c r="AJ62" s="4" t="inlineStr">
        <is>
          <t>00:00:00</t>
        </is>
      </c>
      <c r="AK62" s="4" t="inlineStr">
        <is>
          <t>00:00:00</t>
        </is>
      </c>
      <c r="AL62" s="4" t="inlineStr">
        <is>
          <t>Es un híbrido: ConvNeXtBase (CNN) como extractor de características + LightGBM (GBDT) como clasificador.</t>
        </is>
      </c>
      <c r="AM62" s="4" t="inlineStr">
        <is>
          <t>RB</t>
        </is>
      </c>
      <c r="AN62" s="4" t="inlineStr">
        <is>
          <t>Tomado completo desde archivo RB según asignación</t>
        </is>
      </c>
      <c r="AO62" s="4" t="n">
        <v>0</v>
      </c>
    </row>
    <row r="63" ht="333" customHeight="1">
      <c r="A63" s="4" t="n">
        <v>62</v>
      </c>
      <c r="B63" s="4" t="n">
        <v>65</v>
      </c>
      <c r="C63" s="4" t="inlineStr">
        <is>
          <t>Revisor A</t>
        </is>
      </c>
      <c r="D63" s="4" t="inlineStr">
        <is>
          <t>RA</t>
        </is>
      </c>
      <c r="E63" s="4" t="n">
        <v>2020</v>
      </c>
      <c r="F63" s="4" t="inlineStr">
        <is>
          <t>No especificado</t>
        </is>
      </c>
      <c r="G63" s="4" t="inlineStr">
        <is>
          <t>Machine Learning</t>
        </is>
      </c>
      <c r="H63" s="4" t="inlineStr">
        <is>
          <t>https://doi.org/10.1016/j.phycom.2020.101115</t>
        </is>
      </c>
      <c r="I63" s="4" t="inlineStr">
        <is>
          <t>Modified Grasshopper Optimization Algorithm for detection of Autism Spectrum Disorder</t>
        </is>
      </c>
      <c r="J63" s="4" t="inlineStr">
        <is>
          <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t>
        </is>
      </c>
      <c r="K63" s="4" t="inlineStr">
        <is>
          <t>Supervised</t>
        </is>
      </c>
      <c r="L63" s="4" t="inlineStr">
        <is>
          <t>Random Forest</t>
        </is>
      </c>
      <c r="M63" s="4" t="inlineStr">
        <is>
          <t>Other / Not clear</t>
        </is>
      </c>
      <c r="N63" s="4" t="inlineStr">
        <is>
          <t>Screening</t>
        </is>
      </c>
      <c r="O63" s="4" t="inlineStr">
        <is>
          <t>High</t>
        </is>
      </c>
      <c r="P63" s="4" t="n">
        <v>0</v>
      </c>
      <c r="Q63" s="4" t="n">
        <v>0</v>
      </c>
      <c r="R63" s="4" t="n">
        <v>0</v>
      </c>
      <c r="S63" s="4" t="n">
        <v>0</v>
      </c>
      <c r="T63" s="4" t="n">
        <v>1</v>
      </c>
      <c r="U63" s="4" t="n">
        <v>0</v>
      </c>
      <c r="V63" s="4" t="n">
        <v>0</v>
      </c>
      <c r="W63" s="4" t="n">
        <v>0</v>
      </c>
      <c r="X63" s="4" t="n">
        <v>1</v>
      </c>
      <c r="Y63" s="4" t="n">
        <v>0</v>
      </c>
      <c r="Z63" s="4" t="n">
        <v>0</v>
      </c>
      <c r="AA63" s="4" t="n">
        <v>0</v>
      </c>
      <c r="AB63" s="4" t="inlineStr">
        <is>
          <t>1900-01-01</t>
        </is>
      </c>
      <c r="AC63" s="4" t="n"/>
      <c r="AD63" s="4" t="n"/>
      <c r="AE63" s="4" t="n"/>
      <c r="AF63" s="4" t="n"/>
      <c r="AG63" s="4" t="n">
        <v>1</v>
      </c>
      <c r="AH63" s="4" t="n">
        <v>1</v>
      </c>
      <c r="AI63" s="4" t="n"/>
      <c r="AJ63" s="4" t="n"/>
      <c r="AK63" s="4" t="n"/>
      <c r="AL63" s="4" t="inlineStr">
        <is>
          <t>Algoritmo principal no explícito o fuera del codebook; Confirmar algoritmo principal en full-text</t>
        </is>
      </c>
      <c r="AM63" s="4" t="inlineStr">
        <is>
          <t>RA</t>
        </is>
      </c>
      <c r="AN63" s="4" t="inlineStr">
        <is>
          <t>Tomado completo desde archivo RA según asignación</t>
        </is>
      </c>
      <c r="AO63" s="4" t="n">
        <v>0</v>
      </c>
    </row>
    <row r="64" ht="320" customHeight="1">
      <c r="A64" s="4" t="n">
        <v>63</v>
      </c>
      <c r="B64" s="4" t="n">
        <v>66</v>
      </c>
      <c r="C64" s="4" t="inlineStr">
        <is>
          <t>Revisor A</t>
        </is>
      </c>
      <c r="D64" s="4" t="inlineStr">
        <is>
          <t>RA</t>
        </is>
      </c>
      <c r="E64" s="4" t="n">
        <v>2023</v>
      </c>
      <c r="F64" s="4" t="inlineStr">
        <is>
          <t>Imagen</t>
        </is>
      </c>
      <c r="G64" s="4" t="inlineStr">
        <is>
          <t>Deep Learning</t>
        </is>
      </c>
      <c r="H64" s="4" t="inlineStr">
        <is>
          <t>https://doi.org/10.1007/s10803-023-06171-8</t>
        </is>
      </c>
      <c r="I64" s="4" t="inlineStr">
        <is>
          <t>Motor Signature Differences Between Autism Spectrum Disorder and Developmental Coordination Disorder, and Their Neural Mechanisms</t>
        </is>
      </c>
      <c r="J64" s="4" t="inlineStr">
        <is>
          <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t>
        </is>
      </c>
      <c r="K64" s="4" t="inlineStr">
        <is>
          <t>Supervised</t>
        </is>
      </c>
      <c r="L64" s="4" t="inlineStr">
        <is>
          <t>Other / Not clear</t>
        </is>
      </c>
      <c r="M64" s="4" t="inlineStr">
        <is>
          <t>Classification (ASD vs control / multi-class)</t>
        </is>
      </c>
      <c r="N64" s="4" t="inlineStr">
        <is>
          <t>Diagnosis</t>
        </is>
      </c>
      <c r="O64" s="4" t="inlineStr">
        <is>
          <t>Medium</t>
        </is>
      </c>
      <c r="P64" s="4" t="n">
        <v>1</v>
      </c>
      <c r="Q64" s="4" t="n">
        <v>0</v>
      </c>
      <c r="R64" s="4" t="n">
        <v>1</v>
      </c>
      <c r="S64" s="4" t="n">
        <v>0</v>
      </c>
      <c r="T64" s="4" t="n">
        <v>0</v>
      </c>
      <c r="U64" s="4" t="n">
        <v>0</v>
      </c>
      <c r="V64" s="4" t="n">
        <v>0</v>
      </c>
      <c r="W64" s="4" t="n">
        <v>0</v>
      </c>
      <c r="X64" s="4" t="n">
        <v>0</v>
      </c>
      <c r="Y64" s="4" t="n">
        <v>1</v>
      </c>
      <c r="Z64" s="4" t="n">
        <v>0</v>
      </c>
      <c r="AA64" s="4" t="n">
        <v>0</v>
      </c>
      <c r="AB64" s="4" t="inlineStr">
        <is>
          <t>1900-01-01</t>
        </is>
      </c>
      <c r="AC64" s="4" t="n"/>
      <c r="AD64" s="4" t="n"/>
      <c r="AE64" s="4" t="n"/>
      <c r="AF64" s="4" t="n"/>
      <c r="AG64" s="4" t="n">
        <v>1</v>
      </c>
      <c r="AH64" s="4" t="n">
        <v>2</v>
      </c>
      <c r="AI64" s="4" t="n"/>
      <c r="AJ64" s="4" t="n"/>
      <c r="AK64" s="4" t="n"/>
      <c r="AL64" s="4" t="inlineStr">
        <is>
          <t>Combina kinemática de tablet/video y fMRI para diferenciar ASD, DCD y TD; algoritmo principal no explícito.</t>
        </is>
      </c>
      <c r="AM64" s="4" t="inlineStr">
        <is>
          <t>RA</t>
        </is>
      </c>
      <c r="AN64" s="4" t="inlineStr">
        <is>
          <t>Tomado completo desde archivo RA según asignación</t>
        </is>
      </c>
      <c r="AO64" s="4" t="n">
        <v>0</v>
      </c>
    </row>
    <row r="65" ht="281" customHeight="1">
      <c r="A65" s="4" t="n">
        <v>64</v>
      </c>
      <c r="B65" s="4" t="n">
        <v>67</v>
      </c>
      <c r="C65" s="4" t="inlineStr">
        <is>
          <t>Revisor A</t>
        </is>
      </c>
      <c r="D65" s="4" t="inlineStr">
        <is>
          <t>RA</t>
        </is>
      </c>
      <c r="E65" s="4" t="n">
        <v>2018</v>
      </c>
      <c r="F65" s="4" t="inlineStr">
        <is>
          <t>Señales fisiológicas</t>
        </is>
      </c>
      <c r="G65" s="4" t="inlineStr">
        <is>
          <t>Híbrido</t>
        </is>
      </c>
      <c r="H65" s="4" t="inlineStr">
        <is>
          <t>https://doi.org/10.3390/s18103533</t>
        </is>
      </c>
      <c r="I65" s="4" t="inlineStr">
        <is>
          <t>Novelty detection using deep normative modeling for imu-based abnormal movement monitoring in parkinson’s disease and autism spectrum disorders</t>
        </is>
      </c>
      <c r="J65" s="4" t="inlineStr">
        <is>
          <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t>
        </is>
      </c>
      <c r="K65" s="4" t="inlineStr">
        <is>
          <t>Unsupervised</t>
        </is>
      </c>
      <c r="L65" s="4" t="inlineStr">
        <is>
          <t>Autoencoder</t>
        </is>
      </c>
      <c r="M65" s="4" t="inlineStr">
        <is>
          <t>Detection / segmentation</t>
        </is>
      </c>
      <c r="N65" s="4" t="inlineStr">
        <is>
          <t>Monitoring/intervention</t>
        </is>
      </c>
      <c r="O65" s="4" t="inlineStr">
        <is>
          <t>High</t>
        </is>
      </c>
      <c r="P65" s="4" t="n">
        <v>0</v>
      </c>
      <c r="Q65" s="4" t="n">
        <v>1</v>
      </c>
      <c r="R65" s="4" t="n">
        <v>0</v>
      </c>
      <c r="S65" s="4" t="n">
        <v>0</v>
      </c>
      <c r="T65" s="4" t="n">
        <v>0</v>
      </c>
      <c r="U65" s="4" t="n">
        <v>0</v>
      </c>
      <c r="V65" s="4" t="n">
        <v>0</v>
      </c>
      <c r="W65" s="4" t="n">
        <v>0</v>
      </c>
      <c r="X65" s="4" t="n">
        <v>0</v>
      </c>
      <c r="Y65" s="4" t="n">
        <v>0</v>
      </c>
      <c r="Z65" s="4" t="n">
        <v>0</v>
      </c>
      <c r="AA65" s="4" t="n">
        <v>1</v>
      </c>
      <c r="AB65" s="4" t="inlineStr">
        <is>
          <t>1900-01-01</t>
        </is>
      </c>
      <c r="AC65" s="4" t="n"/>
      <c r="AD65" s="4" t="n"/>
      <c r="AE65" s="4" t="n"/>
      <c r="AF65" s="4" t="n"/>
      <c r="AG65" s="4" t="n">
        <v>1</v>
      </c>
      <c r="AH65" s="4" t="n">
        <v>1</v>
      </c>
      <c r="AI65" s="4" t="inlineStr">
        <is>
          <t>sensor / other</t>
        </is>
      </c>
      <c r="AJ65" s="4" t="n"/>
      <c r="AK65" s="4" t="n"/>
      <c r="AL65" s="4" t="inlineStr">
        <is>
          <t>Monitorización de movimiento anómalo con IMU mediante novelty/deep normative modeling; confirmar modelo principal.</t>
        </is>
      </c>
      <c r="AM65" s="4" t="inlineStr">
        <is>
          <t>RA</t>
        </is>
      </c>
      <c r="AN65" s="4" t="inlineStr">
        <is>
          <t>Tomado completo desde archivo RA según asignación</t>
        </is>
      </c>
      <c r="AO65" s="4" t="n">
        <v>0</v>
      </c>
    </row>
    <row r="66" ht="333" customHeight="1">
      <c r="A66" s="4" t="n">
        <v>65</v>
      </c>
      <c r="B66" s="4" t="n">
        <v>68</v>
      </c>
      <c r="C66" s="4" t="inlineStr">
        <is>
          <t>Revisor B</t>
        </is>
      </c>
      <c r="D66" s="4" t="n"/>
      <c r="E66" s="4" t="n">
        <v>2017</v>
      </c>
      <c r="F66" s="4" t="inlineStr">
        <is>
          <t>Texto · NLP</t>
        </is>
      </c>
      <c r="G66" s="4" t="inlineStr">
        <is>
          <t>Machine Learning</t>
        </is>
      </c>
      <c r="H66" s="4" t="inlineStr">
        <is>
          <t>https://doi.org/10.1002/AUR.1735</t>
        </is>
      </c>
      <c r="I66" s="4" t="inlineStr">
        <is>
          <t>Perceived social support in adults with autism spectrum disorder and attention-deficit/hyperactivity disorder</t>
        </is>
      </c>
      <c r="J66" s="4" t="inlineStr">
        <is>
          <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t>
        </is>
      </c>
      <c r="K66" s="4" t="inlineStr">
        <is>
          <t>Supervised</t>
        </is>
      </c>
      <c r="L66" s="4" t="inlineStr">
        <is>
          <t>Random Forest</t>
        </is>
      </c>
      <c r="M66" s="4" t="inlineStr">
        <is>
          <t>Regression (score / severity / risk)</t>
        </is>
      </c>
      <c r="N66" s="4" t="inlineStr">
        <is>
          <t>diagnosis</t>
        </is>
      </c>
      <c r="O66" s="4" t="inlineStr">
        <is>
          <t>high</t>
        </is>
      </c>
      <c r="P66" s="4" t="n">
        <v>0</v>
      </c>
      <c r="Q66" s="4" t="n">
        <v>1</v>
      </c>
      <c r="R66" s="4" t="n">
        <v>0</v>
      </c>
      <c r="S66" s="4" t="n">
        <v>0</v>
      </c>
      <c r="T66" s="4" t="n">
        <v>0</v>
      </c>
      <c r="U66" s="4" t="n">
        <v>0</v>
      </c>
      <c r="V66" s="4" t="n">
        <v>0</v>
      </c>
      <c r="W66" s="4" t="n">
        <v>0</v>
      </c>
      <c r="X66" s="4" t="n">
        <v>0</v>
      </c>
      <c r="Y66" s="4" t="n">
        <v>1</v>
      </c>
      <c r="Z66" s="4" t="n">
        <v>0</v>
      </c>
      <c r="AA66" s="4" t="n">
        <v>0</v>
      </c>
      <c r="AB66" s="4" t="inlineStr">
        <is>
          <t>1900-01-01</t>
        </is>
      </c>
      <c r="AC66" s="4" t="n">
        <v>0</v>
      </c>
      <c r="AD66" s="4" t="n">
        <v>0</v>
      </c>
      <c r="AE66" s="4" t="n">
        <v>0</v>
      </c>
      <c r="AF66" s="4" t="n">
        <v>1</v>
      </c>
      <c r="AG66" s="4" t="n">
        <v>0</v>
      </c>
      <c r="AH66" s="4" t="n">
        <v>1</v>
      </c>
      <c r="AI66" s="4" t="n">
        <v>0</v>
      </c>
      <c r="AJ66" s="4" t="inlineStr">
        <is>
          <t>00:00:00</t>
        </is>
      </c>
      <c r="AK66" s="4" t="inlineStr">
        <is>
          <t>1900-01-01</t>
        </is>
      </c>
      <c r="AL66" s="4" t="inlineStr">
        <is>
          <t>ste paper no es diagnóstico ASD vs control; usa ML para modelar/predicir un puntaje de apoyo social percibido (MSPSS-f) en grupos ASD/ADHD/controles.</t>
        </is>
      </c>
      <c r="AM66" s="4" t="inlineStr">
        <is>
          <t>RB</t>
        </is>
      </c>
      <c r="AN66" s="4" t="inlineStr">
        <is>
          <t>Tomado completo desde archivo RB según asignación</t>
        </is>
      </c>
      <c r="AO66" s="4" t="n">
        <v>0</v>
      </c>
    </row>
    <row r="67" ht="409" customHeight="1">
      <c r="A67" s="4" t="n">
        <v>66</v>
      </c>
      <c r="B67" s="4" t="n">
        <v>69</v>
      </c>
      <c r="C67" s="4" t="inlineStr">
        <is>
          <t>Revisor A</t>
        </is>
      </c>
      <c r="D67" s="4" t="inlineStr">
        <is>
          <t>RA</t>
        </is>
      </c>
      <c r="E67" s="4" t="n">
        <v>2024</v>
      </c>
      <c r="F67" s="4" t="inlineStr">
        <is>
          <t>Señales fisiológicas</t>
        </is>
      </c>
      <c r="G67" s="4" t="inlineStr">
        <is>
          <t>Deep Learning</t>
        </is>
      </c>
      <c r="H67" s="4" t="inlineStr">
        <is>
          <t>https://doi.org/10.1109/TNSRE.2023.3347134</t>
        </is>
      </c>
      <c r="I67" s="4" t="inlineStr">
        <is>
          <t>Regional-Asymmetric Adaptive Graph Convolutional Neural Network for Diagnosis of Autism in Children with Resting-State EEG</t>
        </is>
      </c>
      <c r="J67" s="4" t="inlineStr">
        <is>
          <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t>
        </is>
      </c>
      <c r="K67" s="4" t="inlineStr">
        <is>
          <t>Supervised</t>
        </is>
      </c>
      <c r="L67" s="4" t="inlineStr">
        <is>
          <t>CNN</t>
        </is>
      </c>
      <c r="M67" s="4" t="inlineStr">
        <is>
          <t>Classification (ASD vs control / multi-class)</t>
        </is>
      </c>
      <c r="N67" s="4" t="inlineStr">
        <is>
          <t>Diagnosis</t>
        </is>
      </c>
      <c r="O67" s="4" t="inlineStr">
        <is>
          <t>High</t>
        </is>
      </c>
      <c r="P67" s="4" t="n">
        <v>0</v>
      </c>
      <c r="Q67" s="4" t="n">
        <v>1</v>
      </c>
      <c r="R67" s="4" t="n">
        <v>0</v>
      </c>
      <c r="S67" s="4" t="n">
        <v>0</v>
      </c>
      <c r="T67" s="4" t="n">
        <v>0</v>
      </c>
      <c r="U67" s="4" t="n">
        <v>0</v>
      </c>
      <c r="V67" s="4" t="n">
        <v>0</v>
      </c>
      <c r="W67" s="4" t="n">
        <v>0</v>
      </c>
      <c r="X67" s="4" t="n">
        <v>0</v>
      </c>
      <c r="Y67" s="4" t="n">
        <v>1</v>
      </c>
      <c r="Z67" s="4" t="n">
        <v>0</v>
      </c>
      <c r="AA67" s="4" t="n">
        <v>0</v>
      </c>
      <c r="AB67" s="4" t="inlineStr">
        <is>
          <t>1900-01-01</t>
        </is>
      </c>
      <c r="AC67" s="4" t="n"/>
      <c r="AD67" s="4" t="n"/>
      <c r="AE67" s="4" t="n"/>
      <c r="AF67" s="4" t="n"/>
      <c r="AG67" s="4" t="n">
        <v>1</v>
      </c>
      <c r="AH67" s="4" t="n">
        <v>1</v>
      </c>
      <c r="AI67" s="4" t="n"/>
      <c r="AJ67" s="4" t="n"/>
      <c r="AK67" s="4" t="n"/>
      <c r="AL67" s="4" t="inlineStr">
        <is>
          <t>Red neuronal convolucional en grafos sobre EEG; arquitectura fuera del codebook.</t>
        </is>
      </c>
      <c r="AM67" s="4" t="inlineStr">
        <is>
          <t>RA</t>
        </is>
      </c>
      <c r="AN67" s="4" t="inlineStr">
        <is>
          <t>Tomado completo desde archivo RA según asignación</t>
        </is>
      </c>
      <c r="AO67" s="4" t="n">
        <v>0</v>
      </c>
    </row>
    <row r="68" ht="307" customHeight="1">
      <c r="A68" s="4" t="n">
        <v>67</v>
      </c>
      <c r="B68" s="4" t="n">
        <v>70</v>
      </c>
      <c r="C68" s="4" t="inlineStr">
        <is>
          <t>Revisor B</t>
        </is>
      </c>
      <c r="D68" s="4" t="n"/>
      <c r="E68" s="4" t="n">
        <v>2024</v>
      </c>
      <c r="F68" s="4" t="inlineStr">
        <is>
          <t>Señales fisiológicas</t>
        </is>
      </c>
      <c r="G68" s="4" t="inlineStr">
        <is>
          <t>Deep Learning</t>
        </is>
      </c>
      <c r="H68" s="4" t="inlineStr">
        <is>
          <t>https://doi.org/10.1016/j.pscychresns.2023.111762</t>
        </is>
      </c>
      <c r="I68" s="4" t="inlineStr">
        <is>
          <t>Relationship between abnormal intrinsic functional connectivity of subcortices and autism symptoms in high-functioning adults with autism spectrum disorder</t>
        </is>
      </c>
      <c r="J68" s="4" t="inlineStr">
        <is>
          <t>Purpose: This study explores subcortices and their intrinsic functional connectivity (iFC) in autism spectrum disorder (ASD) adults and investigates their relationship with clinical severity. Methods: Resting-state functional magnetic resonance imaging (rs-fMRI) data were acquired from 74 ASD patients, and 63 gender and age-matched typically developing (TD) adults. Independent component analysis (ICA) was conducted to evaluate subcortical patterns of basal ganglia (BG) and thalamus. These two brain areas were treated as regions of interest to further calculate whole-brain FC. In addition, we employed multivariate machine learning to identify subcortices-based FC brain patterns and clinical scores to classify ASD adults from those TD subjects. Results: In ASD individuals, autism diagnostic observation schedule (ADOS) was negatively correlated with the BG network. Similarly, social responsiveness scale (SRS) was negatively correlated with the thalamus network. The BG-based iFC analysis revealed adults with ASD versus TD had lower FC, and its FC with the right medial temporal lobe (MTL), was positively correlated with SRS and ADOS separately. ASD could be predicted with a balanced accuracy of around 60.0 % using brain patterns and 84.7 % using clinical variables. Conclusion: Our results revealed the abnormal subcortical iFC may be related to autism symptoms.</t>
        </is>
      </c>
      <c r="K68" s="4" t="inlineStr">
        <is>
          <t>Supervised</t>
        </is>
      </c>
      <c r="L68" s="4" t="inlineStr">
        <is>
          <t>Not clear</t>
        </is>
      </c>
      <c r="M68" s="4" t="inlineStr">
        <is>
          <t>Classification (binary/multi-class; incl. ASD vs control)/ multi-class)</t>
        </is>
      </c>
      <c r="N68" s="4" t="inlineStr">
        <is>
          <t>prognosis</t>
        </is>
      </c>
      <c r="O68" s="4" t="inlineStr">
        <is>
          <t>high</t>
        </is>
      </c>
      <c r="P68" s="4" t="n">
        <v>0</v>
      </c>
      <c r="Q68" s="4" t="n">
        <v>1</v>
      </c>
      <c r="R68" s="4" t="n">
        <v>0</v>
      </c>
      <c r="S68" s="4" t="n">
        <v>0</v>
      </c>
      <c r="T68" s="4" t="n">
        <v>0</v>
      </c>
      <c r="U68" s="4" t="n">
        <v>0</v>
      </c>
      <c r="V68" s="4" t="n">
        <v>0</v>
      </c>
      <c r="W68" s="4" t="n">
        <v>0</v>
      </c>
      <c r="X68" s="4" t="n">
        <v>0</v>
      </c>
      <c r="Y68" s="4" t="n">
        <v>0</v>
      </c>
      <c r="Z68" s="4" t="n">
        <v>1</v>
      </c>
      <c r="AA68" s="4" t="n">
        <v>1</v>
      </c>
      <c r="AB68" s="4" t="inlineStr">
        <is>
          <t>1900-01-01</t>
        </is>
      </c>
      <c r="AC68" s="4" t="n">
        <v>0</v>
      </c>
      <c r="AD68" s="4" t="n">
        <v>0</v>
      </c>
      <c r="AE68" s="4" t="n">
        <v>0</v>
      </c>
      <c r="AF68" s="4" t="n">
        <v>0</v>
      </c>
      <c r="AG68" s="4" t="n">
        <v>0</v>
      </c>
      <c r="AH68" s="4" t="n">
        <v>1</v>
      </c>
      <c r="AI68" s="4" t="n">
        <v>0</v>
      </c>
      <c r="AJ68" s="4" t="inlineStr">
        <is>
          <t>1900-01-01</t>
        </is>
      </c>
      <c r="AK68" s="4" t="inlineStr">
        <is>
          <t>00:00:00</t>
        </is>
      </c>
      <c r="AL68" s="4" t="n"/>
      <c r="AM68" s="4" t="inlineStr">
        <is>
          <t>RB</t>
        </is>
      </c>
      <c r="AN68" s="4" t="inlineStr">
        <is>
          <t>Tomado completo desde archivo RB según asignación</t>
        </is>
      </c>
      <c r="AO68" s="4" t="n">
        <v>0</v>
      </c>
    </row>
    <row r="69" ht="409" customHeight="1">
      <c r="A69" s="4" t="n">
        <v>68</v>
      </c>
      <c r="B69" s="4" t="n">
        <v>72</v>
      </c>
      <c r="C69" s="4" t="inlineStr">
        <is>
          <t>Revisor A</t>
        </is>
      </c>
      <c r="D69" s="4" t="inlineStr">
        <is>
          <t>RA</t>
        </is>
      </c>
      <c r="E69" s="4" t="n">
        <v>2022</v>
      </c>
      <c r="F69" s="4" t="inlineStr">
        <is>
          <t>Multimodal</t>
        </is>
      </c>
      <c r="G69" s="4" t="inlineStr">
        <is>
          <t>Deep Learning</t>
        </is>
      </c>
      <c r="H69" s="4" t="inlineStr">
        <is>
          <t>https://doi.org/10.1186/s12888-022-03734-4</t>
        </is>
      </c>
      <c r="I69" s="4" t="inlineStr">
        <is>
          <t>Transdiagnostic symptom subtypes across autism spectrum disorders and attention deficit hyperactivity disorder: validated by measures of neurocognition and structural connectivity</t>
        </is>
      </c>
      <c r="J69" s="4" t="inlineStr">
        <is>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is>
      </c>
      <c r="K69" s="4" t="inlineStr">
        <is>
          <t>Unsupervised</t>
        </is>
      </c>
      <c r="L69" s="4" t="inlineStr">
        <is>
          <t>Clustering (k-means / GMM / ...)</t>
        </is>
      </c>
      <c r="M69" s="4" t="inlineStr">
        <is>
          <t>Clustering / subtyping</t>
        </is>
      </c>
      <c r="N69" s="4" t="inlineStr">
        <is>
          <t>Diagnosis</t>
        </is>
      </c>
      <c r="O69" s="4" t="inlineStr">
        <is>
          <t>High</t>
        </is>
      </c>
      <c r="P69" s="4" t="n">
        <v>1</v>
      </c>
      <c r="Q69" s="4" t="n">
        <v>0</v>
      </c>
      <c r="R69" s="4" t="n">
        <v>0</v>
      </c>
      <c r="S69" s="4" t="n">
        <v>0</v>
      </c>
      <c r="T69" s="4" t="n">
        <v>1</v>
      </c>
      <c r="U69" s="4" t="n">
        <v>0</v>
      </c>
      <c r="V69" s="4" t="n">
        <v>0</v>
      </c>
      <c r="W69" s="4" t="n">
        <v>0</v>
      </c>
      <c r="X69" s="4" t="n">
        <v>0</v>
      </c>
      <c r="Y69" s="4" t="n">
        <v>1</v>
      </c>
      <c r="Z69" s="4" t="n">
        <v>0</v>
      </c>
      <c r="AA69" s="4" t="n">
        <v>0</v>
      </c>
      <c r="AB69" s="4" t="inlineStr">
        <is>
          <t>00:00:00</t>
        </is>
      </c>
      <c r="AC69" s="4" t="n"/>
      <c r="AD69" s="4" t="n"/>
      <c r="AE69" s="4" t="n"/>
      <c r="AF69" s="4" t="n"/>
      <c r="AG69" s="4" t="n">
        <v>0</v>
      </c>
      <c r="AH69" s="4" t="n">
        <v>2</v>
      </c>
      <c r="AI69" s="4" t="n"/>
      <c r="AJ69" s="4" t="n"/>
      <c r="AK69" s="4" t="n"/>
      <c r="AL69" s="4" t="inlineStr">
        <is>
          <t>Subtipado transdiagnóstico validado con neurocognición y conectividad estructural.</t>
        </is>
      </c>
      <c r="AM69" s="4" t="inlineStr">
        <is>
          <t>RA</t>
        </is>
      </c>
      <c r="AN69" s="4" t="inlineStr">
        <is>
          <t>Tomado completo desde archivo RA según asignación</t>
        </is>
      </c>
      <c r="AO69" s="4" t="n">
        <v>0</v>
      </c>
    </row>
    <row r="70" ht="372" customHeight="1">
      <c r="A70" s="4" t="n">
        <v>69</v>
      </c>
      <c r="B70" s="4" t="n">
        <v>73</v>
      </c>
      <c r="C70" s="4" t="inlineStr">
        <is>
          <t>Revisor B</t>
        </is>
      </c>
      <c r="D70" s="4" t="n"/>
      <c r="E70" s="4" t="n">
        <v>2021</v>
      </c>
      <c r="F70" s="4" t="inlineStr">
        <is>
          <t>No especificado</t>
        </is>
      </c>
      <c r="G70" s="4" t="inlineStr">
        <is>
          <t>Deep Learning</t>
        </is>
      </c>
      <c r="H70" s="4" t="inlineStr">
        <is>
          <t>https://doi.org/10.1109/TNSRE.2021.3120024</t>
        </is>
      </c>
      <c r="I70" s="4" t="inlineStr">
        <is>
          <t>A Convolutional Neural Network Combined With Prototype Learning Framework for Brain Functional Network Classification of Autism Spectrum Disorder</t>
        </is>
      </c>
      <c r="J70" s="4" t="inlineStr">
        <is>
          <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t>
        </is>
      </c>
      <c r="K70" s="4" t="inlineStr">
        <is>
          <t>Supervised</t>
        </is>
      </c>
      <c r="L70" s="4" t="inlineStr">
        <is>
          <t>CNN</t>
        </is>
      </c>
      <c r="M70" s="4" t="inlineStr">
        <is>
          <t>Classification (binary/multi-class; incl. ASD vs control)/ multi-class)</t>
        </is>
      </c>
      <c r="N70" s="4" t="inlineStr">
        <is>
          <t>diagnosis</t>
        </is>
      </c>
      <c r="O70" s="4" t="inlineStr">
        <is>
          <t>high</t>
        </is>
      </c>
      <c r="P70" s="4" t="n">
        <v>1</v>
      </c>
      <c r="Q70" s="4" t="n">
        <v>0</v>
      </c>
      <c r="R70" s="4" t="n">
        <v>0</v>
      </c>
      <c r="S70" s="4" t="n">
        <v>0</v>
      </c>
      <c r="T70" s="4" t="n">
        <v>0</v>
      </c>
      <c r="U70" s="4" t="n">
        <v>0</v>
      </c>
      <c r="V70" s="4" t="n">
        <v>0</v>
      </c>
      <c r="W70" s="4" t="n">
        <v>0</v>
      </c>
      <c r="X70" s="4" t="n">
        <v>0</v>
      </c>
      <c r="Y70" s="4" t="n">
        <v>1</v>
      </c>
      <c r="Z70" s="4" t="n">
        <v>0</v>
      </c>
      <c r="AA70" s="4" t="n">
        <v>0</v>
      </c>
      <c r="AB70" s="4" t="inlineStr">
        <is>
          <t>1900-01-01</t>
        </is>
      </c>
      <c r="AC70" s="4" t="n">
        <v>0</v>
      </c>
      <c r="AD70" s="4" t="n">
        <v>0</v>
      </c>
      <c r="AE70" s="4" t="n">
        <v>0</v>
      </c>
      <c r="AF70" s="4" t="n">
        <v>0</v>
      </c>
      <c r="AG70" s="4" t="n">
        <v>0</v>
      </c>
      <c r="AH70" s="4" t="n">
        <v>1</v>
      </c>
      <c r="AI70" s="4" t="n">
        <v>0</v>
      </c>
      <c r="AJ70" s="4" t="inlineStr">
        <is>
          <t>00:00:00</t>
        </is>
      </c>
      <c r="AK70" s="4" t="inlineStr">
        <is>
          <t>00:00:00</t>
        </is>
      </c>
      <c r="AL70" s="4" t="n"/>
      <c r="AM70" s="4" t="inlineStr">
        <is>
          <t>RB</t>
        </is>
      </c>
      <c r="AN70" s="4" t="inlineStr">
        <is>
          <t>Tomado completo desde archivo RB según asignación</t>
        </is>
      </c>
      <c r="AO70" s="4" t="n">
        <v>0</v>
      </c>
    </row>
    <row r="71" ht="409" customHeight="1">
      <c r="A71" s="4" t="n">
        <v>70</v>
      </c>
      <c r="B71" s="4" t="n">
        <v>74</v>
      </c>
      <c r="C71" s="4" t="inlineStr">
        <is>
          <t>Revisor A</t>
        </is>
      </c>
      <c r="D71" s="4" t="inlineStr">
        <is>
          <t>RA</t>
        </is>
      </c>
      <c r="E71" s="4" t="n">
        <v>2023</v>
      </c>
      <c r="F71" s="4" t="inlineStr">
        <is>
          <t>Señales fisiológicas</t>
        </is>
      </c>
      <c r="G71" s="4" t="inlineStr">
        <is>
          <t>Deep Learning</t>
        </is>
      </c>
      <c r="H71" s="4" t="inlineStr">
        <is>
          <t>https://doi.org/10.1186/S12859-023-05495-7</t>
        </is>
      </c>
      <c r="I71" s="4" t="inlineStr">
        <is>
          <t>A heterogeneous graph convolutional attention network method for classification of autism spectrum disorder</t>
        </is>
      </c>
      <c r="J71" s="4" t="inlineStr">
        <is>
          <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t>
        </is>
      </c>
      <c r="K71" s="4" t="inlineStr">
        <is>
          <t>Supervised</t>
        </is>
      </c>
      <c r="L71" s="4" t="inlineStr">
        <is>
          <t>MLP</t>
        </is>
      </c>
      <c r="M71" s="4" t="inlineStr">
        <is>
          <t>Classification (ASD vs control / multi-class)</t>
        </is>
      </c>
      <c r="N71" s="4" t="inlineStr">
        <is>
          <t>Diagnosis</t>
        </is>
      </c>
      <c r="O71" s="4" t="inlineStr">
        <is>
          <t>High</t>
        </is>
      </c>
      <c r="P71" s="4" t="n">
        <v>1</v>
      </c>
      <c r="Q71" s="4" t="n">
        <v>0</v>
      </c>
      <c r="R71" s="4" t="n">
        <v>0</v>
      </c>
      <c r="S71" s="4" t="n">
        <v>0</v>
      </c>
      <c r="T71" s="4" t="n">
        <v>1</v>
      </c>
      <c r="U71" s="4" t="n">
        <v>0</v>
      </c>
      <c r="V71" s="4" t="n">
        <v>0</v>
      </c>
      <c r="W71" s="4" t="n">
        <v>0</v>
      </c>
      <c r="X71" s="4" t="n">
        <v>0</v>
      </c>
      <c r="Y71" s="4" t="n">
        <v>1</v>
      </c>
      <c r="Z71" s="4" t="n">
        <v>0</v>
      </c>
      <c r="AA71" s="4" t="n">
        <v>0</v>
      </c>
      <c r="AB71" s="4" t="inlineStr">
        <is>
          <t>1900-01-01</t>
        </is>
      </c>
      <c r="AC71" s="4" t="n"/>
      <c r="AD71" s="4" t="n"/>
      <c r="AE71" s="4" t="n"/>
      <c r="AF71" s="4" t="n"/>
      <c r="AG71" s="4" t="n">
        <v>1</v>
      </c>
      <c r="AH71" s="4" t="n">
        <v>2</v>
      </c>
      <c r="AI71" s="4" t="n"/>
      <c r="AJ71" s="4" t="n"/>
      <c r="AK71" s="4" t="n"/>
      <c r="AL71" s="4" t="inlineStr">
        <is>
          <t>Algoritmo principal no explícito o fuera del codebook; Confirmar algoritmo principal en full-text; Se comparan varios modelos; se eligió el principal/mejor reportado</t>
        </is>
      </c>
      <c r="AM71" s="4" t="inlineStr">
        <is>
          <t>RA</t>
        </is>
      </c>
      <c r="AN71" s="4" t="inlineStr">
        <is>
          <t>Tomado completo desde archivo RA según asignación</t>
        </is>
      </c>
      <c r="AO71" s="4" t="n">
        <v>0</v>
      </c>
    </row>
    <row r="72" ht="242" customHeight="1">
      <c r="A72" s="4" t="n">
        <v>71</v>
      </c>
      <c r="B72" s="4" t="n">
        <v>75</v>
      </c>
      <c r="C72" s="4" t="inlineStr">
        <is>
          <t>Revisor B</t>
        </is>
      </c>
      <c r="D72" s="4" t="n"/>
      <c r="E72" s="4" t="n">
        <v>2020</v>
      </c>
      <c r="F72" s="4" t="inlineStr">
        <is>
          <t>Señales fisiológicas</t>
        </is>
      </c>
      <c r="G72" s="4" t="inlineStr">
        <is>
          <t>No especificado</t>
        </is>
      </c>
      <c r="H72" s="4" t="inlineStr">
        <is>
          <t>https://doi.org/10.1007/978-3-030-59277-6_23</t>
        </is>
      </c>
      <c r="I72" s="4" t="inlineStr">
        <is>
          <t>A monitoring system for patients of autism spectrum disorder using artificial intelligence</t>
        </is>
      </c>
      <c r="J72" s="4" t="inlineStr">
        <is>
          <t>When the world is suffering from the deadliest consequences of COVID-19, people with autism find themselves in the worst possible situation. The patients of autism lack social skills, and in many cases, show repetitive behavior. Many of them need outside support throughout their life. During the COVID-19 pandemic, as many of the places are in lockdown conditions, it is very tough for them to find help from their doctors and therapists. Suddenly, the caregivers and parents of the ASD patients find themselves in a strange situation. Therefore, we are proposing an artificial intelligence-based system that uses sensor data to monitor the patient’s condition, and based on the emotion and facial expression of the patient, adjusts the learning method through exciting games and tasks. Whenever something goes wrong with the patient’s behavior, the caregivers and the parents are alerted about it. We then presented how this AI-based system can help them during COVID-19 pandemic. This system can help the parents to adjust to the new situation and continue the mental growth of the patients.</t>
        </is>
      </c>
      <c r="K72" s="4" t="n"/>
      <c r="L72" s="4" t="n"/>
      <c r="M72" s="4" t="inlineStr">
        <is>
          <t>Monitoring / adaptive intervention</t>
        </is>
      </c>
      <c r="N72" s="4" t="inlineStr">
        <is>
          <t>Monitoring/intervention</t>
        </is>
      </c>
      <c r="O72" s="4" t="n"/>
      <c r="P72" s="4" t="n"/>
      <c r="Q72" s="4" t="n"/>
      <c r="R72" s="4" t="n"/>
      <c r="S72" s="4" t="n"/>
      <c r="T72" s="4" t="n"/>
      <c r="U72" s="4" t="n"/>
      <c r="V72" s="4" t="n"/>
      <c r="W72" s="4" t="n">
        <v>0</v>
      </c>
      <c r="X72" s="4" t="n">
        <v>0</v>
      </c>
      <c r="Y72" s="4" t="n">
        <v>0</v>
      </c>
      <c r="Z72" s="4" t="n">
        <v>0</v>
      </c>
      <c r="AA72" s="4" t="n">
        <v>1</v>
      </c>
      <c r="AB72" s="4" t="inlineStr">
        <is>
          <t>1900-01-01</t>
        </is>
      </c>
      <c r="AC72" s="4" t="n">
        <v>0</v>
      </c>
      <c r="AD72" s="4" t="n">
        <v>0</v>
      </c>
      <c r="AE72" s="4" t="n">
        <v>0</v>
      </c>
      <c r="AF72" s="4" t="n">
        <v>0</v>
      </c>
      <c r="AG72" s="4" t="n"/>
      <c r="AH72" s="4" t="n"/>
      <c r="AI72" s="4" t="n"/>
      <c r="AJ72" s="4" t="inlineStr">
        <is>
          <t>1900-01-01</t>
        </is>
      </c>
      <c r="AK72" s="4" t="n"/>
      <c r="AL72" s="4" t="inlineStr">
        <is>
          <t>Sin señal explícita Q3 en título/abstract.</t>
        </is>
      </c>
      <c r="AM72" s="4" t="inlineStr">
        <is>
          <t>RA_fallback</t>
        </is>
      </c>
      <c r="AN72" s="4" t="inlineStr">
        <is>
          <t>Fallback a RA porque el ID no está en RB</t>
        </is>
      </c>
      <c r="AO72" s="4" t="n">
        <v>1</v>
      </c>
    </row>
    <row r="73" ht="346" customHeight="1">
      <c r="A73" s="4" t="n">
        <v>72</v>
      </c>
      <c r="B73" s="4" t="n">
        <v>77</v>
      </c>
      <c r="C73" s="4" t="inlineStr">
        <is>
          <t>Revisor A</t>
        </is>
      </c>
      <c r="D73" s="4" t="inlineStr">
        <is>
          <t>RA</t>
        </is>
      </c>
      <c r="E73" s="4" t="n">
        <v>2023</v>
      </c>
      <c r="F73" s="4" t="inlineStr">
        <is>
          <t>Señales fisiológicas</t>
        </is>
      </c>
      <c r="G73" s="4" t="inlineStr">
        <is>
          <t>Deep Learning</t>
        </is>
      </c>
      <c r="H73" s="4" t="inlineStr">
        <is>
          <t>https://doi.org/10.3233/SHTI230794</t>
        </is>
      </c>
      <c r="I73" s="4" t="inlineStr">
        <is>
          <t>Age-Specific Diagnostic Classification of ASD Using Deep Learning Approaches</t>
        </is>
      </c>
      <c r="J73" s="4" t="inlineStr">
        <is>
          <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t>
        </is>
      </c>
      <c r="K73" s="4" t="inlineStr">
        <is>
          <t>Supervised</t>
        </is>
      </c>
      <c r="L73" s="4" t="inlineStr">
        <is>
          <t>CNN</t>
        </is>
      </c>
      <c r="M73" s="4" t="inlineStr">
        <is>
          <t>Classification (ASD vs control / multi-class)</t>
        </is>
      </c>
      <c r="N73" s="4" t="inlineStr">
        <is>
          <t>Diagnosis</t>
        </is>
      </c>
      <c r="O73" s="4" t="inlineStr">
        <is>
          <t>High</t>
        </is>
      </c>
      <c r="P73" s="4" t="n">
        <v>1</v>
      </c>
      <c r="Q73" s="4" t="n">
        <v>0</v>
      </c>
      <c r="R73" s="4" t="n">
        <v>0</v>
      </c>
      <c r="S73" s="4" t="n">
        <v>0</v>
      </c>
      <c r="T73" s="4" t="n">
        <v>0</v>
      </c>
      <c r="U73" s="4" t="n">
        <v>0</v>
      </c>
      <c r="V73" s="4" t="n">
        <v>0</v>
      </c>
      <c r="W73" s="4" t="n">
        <v>0</v>
      </c>
      <c r="X73" s="4" t="n">
        <v>0</v>
      </c>
      <c r="Y73" s="4" t="n">
        <v>1</v>
      </c>
      <c r="Z73" s="4" t="n">
        <v>0</v>
      </c>
      <c r="AA73" s="4" t="n">
        <v>0</v>
      </c>
      <c r="AB73" s="4" t="inlineStr">
        <is>
          <t>1900-01-01</t>
        </is>
      </c>
      <c r="AC73" s="4" t="n"/>
      <c r="AD73" s="4" t="n"/>
      <c r="AE73" s="4" t="n"/>
      <c r="AF73" s="4" t="n"/>
      <c r="AG73" s="4" t="n">
        <v>0</v>
      </c>
      <c r="AH73" s="4" t="n">
        <v>1</v>
      </c>
      <c r="AI73" s="4" t="n"/>
      <c r="AJ73" s="4" t="n"/>
      <c r="AK73" s="4" t="n"/>
      <c r="AL73" s="4" t="n"/>
      <c r="AM73" s="4" t="inlineStr">
        <is>
          <t>RA</t>
        </is>
      </c>
      <c r="AN73" s="4" t="inlineStr">
        <is>
          <t>Tomado completo desde archivo RA según asignación</t>
        </is>
      </c>
      <c r="AO73" s="4" t="n">
        <v>0</v>
      </c>
    </row>
    <row r="74" ht="307" customHeight="1">
      <c r="A74" s="4" t="n">
        <v>73</v>
      </c>
      <c r="B74" s="4" t="n">
        <v>78</v>
      </c>
      <c r="C74" s="4" t="inlineStr">
        <is>
          <t>Revisor A</t>
        </is>
      </c>
      <c r="D74" s="4" t="inlineStr">
        <is>
          <t>RA</t>
        </is>
      </c>
      <c r="E74" s="4" t="n">
        <v>2024</v>
      </c>
      <c r="F74" s="4" t="inlineStr">
        <is>
          <t>Señales fisiológicas</t>
        </is>
      </c>
      <c r="G74" s="4" t="inlineStr">
        <is>
          <t>Deep Learning</t>
        </is>
      </c>
      <c r="H74" s="4" t="inlineStr">
        <is>
          <t>https://doi.org/10.1109/JSEN.2024.3362341</t>
        </is>
      </c>
      <c r="I74" s="4" t="inlineStr">
        <is>
          <t>An Automatic Framework for Detecting Autism Spectrum Disorder From EEG Signals Using TFD</t>
        </is>
      </c>
      <c r="J74" s="4" t="inlineStr">
        <is>
          <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t>
        </is>
      </c>
      <c r="K74" s="4" t="inlineStr">
        <is>
          <t>Supervised</t>
        </is>
      </c>
      <c r="L74" s="4" t="inlineStr">
        <is>
          <t>CNN</t>
        </is>
      </c>
      <c r="M74" s="4" t="inlineStr">
        <is>
          <t>Classification (ASD vs control / multi-class)</t>
        </is>
      </c>
      <c r="N74" s="4" t="inlineStr">
        <is>
          <t>Diagnosis</t>
        </is>
      </c>
      <c r="O74" s="4" t="inlineStr">
        <is>
          <t>High</t>
        </is>
      </c>
      <c r="P74" s="4" t="n">
        <v>0</v>
      </c>
      <c r="Q74" s="4" t="n">
        <v>1</v>
      </c>
      <c r="R74" s="4" t="n">
        <v>0</v>
      </c>
      <c r="S74" s="4" t="n">
        <v>0</v>
      </c>
      <c r="T74" s="4" t="n">
        <v>0</v>
      </c>
      <c r="U74" s="4" t="n">
        <v>0</v>
      </c>
      <c r="V74" s="4" t="n">
        <v>0</v>
      </c>
      <c r="W74" s="4" t="n">
        <v>0</v>
      </c>
      <c r="X74" s="4" t="n">
        <v>0</v>
      </c>
      <c r="Y74" s="4" t="n">
        <v>1</v>
      </c>
      <c r="Z74" s="4" t="n">
        <v>0</v>
      </c>
      <c r="AA74" s="4" t="n">
        <v>0</v>
      </c>
      <c r="AB74" s="4" t="inlineStr">
        <is>
          <t>1900-01-01</t>
        </is>
      </c>
      <c r="AC74" s="4" t="n"/>
      <c r="AD74" s="4" t="n"/>
      <c r="AE74" s="4" t="n"/>
      <c r="AF74" s="4" t="n"/>
      <c r="AG74" s="4" t="n">
        <v>0</v>
      </c>
      <c r="AH74" s="4" t="n">
        <v>1</v>
      </c>
      <c r="AI74" s="4" t="n"/>
      <c r="AJ74" s="4" t="n"/>
      <c r="AK74" s="4" t="n"/>
      <c r="AL74" s="4" t="inlineStr">
        <is>
          <t>Se comparan varios modelos; se eligió el principal/mejor reportado</t>
        </is>
      </c>
      <c r="AM74" s="4" t="inlineStr">
        <is>
          <t>RA</t>
        </is>
      </c>
      <c r="AN74" s="4" t="inlineStr">
        <is>
          <t>Tomado completo desde archivo RA según asignación</t>
        </is>
      </c>
      <c r="AO74" s="4" t="n">
        <v>0</v>
      </c>
    </row>
    <row r="75" ht="320" customHeight="1">
      <c r="A75" s="4" t="n">
        <v>74</v>
      </c>
      <c r="B75" s="4" t="n">
        <v>79</v>
      </c>
      <c r="C75" s="4" t="inlineStr">
        <is>
          <t>Ambos (piloto)</t>
        </is>
      </c>
      <c r="D75" s="4" t="inlineStr">
        <is>
          <t>RA</t>
        </is>
      </c>
      <c r="E75" s="4" t="n">
        <v>2020</v>
      </c>
      <c r="F75" s="4" t="inlineStr">
        <is>
          <t>Multimodal</t>
        </is>
      </c>
      <c r="G75" s="4" t="inlineStr">
        <is>
          <t>Machine Learning</t>
        </is>
      </c>
      <c r="H75" s="4" t="inlineStr">
        <is>
          <t>https://doi.org/10.1038/s41598-020-65384-4</t>
        </is>
      </c>
      <c r="I75" s="4" t="inlineStr">
        <is>
          <t>Applying Machine Learning to Kinematic and Eye Movement Features of a Movement Imitation Task to Predict Autism Diagnosis</t>
        </is>
      </c>
      <c r="J75" s="4" t="inlineStr">
        <is>
          <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t>
        </is>
      </c>
      <c r="K75" s="4" t="inlineStr">
        <is>
          <t>Supervised</t>
        </is>
      </c>
      <c r="L75" s="4" t="inlineStr">
        <is>
          <t>Other / Not clear</t>
        </is>
      </c>
      <c r="M75" s="4" t="inlineStr">
        <is>
          <t>Classification (ASD vs control / multi-class)</t>
        </is>
      </c>
      <c r="N75" s="4" t="inlineStr">
        <is>
          <t>Diagnosis</t>
        </is>
      </c>
      <c r="O75" s="4" t="inlineStr">
        <is>
          <t>Medium</t>
        </is>
      </c>
      <c r="P75" s="4" t="n">
        <v>0</v>
      </c>
      <c r="Q75" s="4" t="n">
        <v>1</v>
      </c>
      <c r="R75" s="4" t="n">
        <v>1</v>
      </c>
      <c r="S75" s="4" t="n">
        <v>0</v>
      </c>
      <c r="T75" s="4" t="n">
        <v>0</v>
      </c>
      <c r="U75" s="4" t="n">
        <v>0</v>
      </c>
      <c r="V75" s="4" t="n">
        <v>0</v>
      </c>
      <c r="W75" s="4" t="n">
        <v>0</v>
      </c>
      <c r="X75" s="4" t="n">
        <v>0</v>
      </c>
      <c r="Y75" s="4" t="n">
        <v>1</v>
      </c>
      <c r="Z75" s="4" t="n">
        <v>0</v>
      </c>
      <c r="AA75" s="4" t="n">
        <v>0</v>
      </c>
      <c r="AB75" s="4" t="inlineStr">
        <is>
          <t>1900-01-01</t>
        </is>
      </c>
      <c r="AC75" s="4" t="n"/>
      <c r="AD75" s="4" t="n"/>
      <c r="AE75" s="4" t="n"/>
      <c r="AF75" s="4" t="n"/>
      <c r="AG75" s="4" t="n">
        <v>1</v>
      </c>
      <c r="AH75" s="4" t="n">
        <v>2</v>
      </c>
      <c r="AI75" s="4" t="n"/>
      <c r="AJ75" s="4" t="n"/>
      <c r="AK75" s="4" t="n"/>
      <c r="AL75" s="4" t="inlineStr">
        <is>
          <t>Clasifica ASD vs no-ASD con cinemática y eye-tracking en tarea de imitación.</t>
        </is>
      </c>
      <c r="AM75" s="4" t="inlineStr">
        <is>
          <t>RA</t>
        </is>
      </c>
      <c r="AN75" s="4" t="inlineStr">
        <is>
          <t>Tomado completo desde archivo RA según asignación</t>
        </is>
      </c>
      <c r="AO75" s="4" t="n">
        <v>0</v>
      </c>
    </row>
    <row r="76" ht="398" customHeight="1">
      <c r="A76" s="4" t="n">
        <v>75</v>
      </c>
      <c r="B76" s="4" t="n">
        <v>80</v>
      </c>
      <c r="C76" s="4" t="inlineStr">
        <is>
          <t>Ambos (piloto)</t>
        </is>
      </c>
      <c r="D76" s="4" t="inlineStr">
        <is>
          <t>RA</t>
        </is>
      </c>
      <c r="E76" s="4" t="n">
        <v>2019</v>
      </c>
      <c r="F76" s="4" t="inlineStr">
        <is>
          <t>Señales fisiológicas</t>
        </is>
      </c>
      <c r="G76" s="4" t="inlineStr">
        <is>
          <t>Deep Learning</t>
        </is>
      </c>
      <c r="H76" s="4" t="inlineStr">
        <is>
          <t>https://doi.org/10.1016/j.brainres.2019.146457</t>
        </is>
      </c>
      <c r="I76" s="4" t="inlineStr">
        <is>
          <t>Artificial intelligence analysis of newborn leucocyte epigenomic markers for the prediction of autism</t>
        </is>
      </c>
      <c r="J76" s="4" t="inlineStr">
        <is>
          <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t>
        </is>
      </c>
      <c r="K76" s="4" t="inlineStr">
        <is>
          <t>Supervised</t>
        </is>
      </c>
      <c r="L76" s="4" t="inlineStr">
        <is>
          <t>MLP</t>
        </is>
      </c>
      <c r="M76" s="4" t="inlineStr">
        <is>
          <t>Classification (ASD vs control / multi-class)</t>
        </is>
      </c>
      <c r="N76" s="4" t="inlineStr">
        <is>
          <t>Prescreening</t>
        </is>
      </c>
      <c r="O76" s="4" t="inlineStr">
        <is>
          <t>Medium</t>
        </is>
      </c>
      <c r="P76" s="4" t="n">
        <v>0</v>
      </c>
      <c r="Q76" s="4" t="n">
        <v>0</v>
      </c>
      <c r="R76" s="4" t="n">
        <v>0</v>
      </c>
      <c r="S76" s="4" t="n">
        <v>0</v>
      </c>
      <c r="T76" s="4" t="n">
        <v>0</v>
      </c>
      <c r="U76" s="4" t="n">
        <v>1</v>
      </c>
      <c r="V76" s="4" t="n">
        <v>0</v>
      </c>
      <c r="W76" s="4" t="n">
        <v>1</v>
      </c>
      <c r="X76" s="4" t="n">
        <v>0</v>
      </c>
      <c r="Y76" s="4" t="n">
        <v>0</v>
      </c>
      <c r="Z76" s="4" t="n">
        <v>0</v>
      </c>
      <c r="AA76" s="4" t="n">
        <v>0</v>
      </c>
      <c r="AB76" s="4" t="inlineStr">
        <is>
          <t>1900-01-01</t>
        </is>
      </c>
      <c r="AC76" s="4" t="n"/>
      <c r="AD76" s="4" t="n"/>
      <c r="AE76" s="4" t="n"/>
      <c r="AF76" s="4" t="n"/>
      <c r="AG76" s="4" t="n">
        <v>1</v>
      </c>
      <c r="AH76" s="4" t="n">
        <v>1</v>
      </c>
      <c r="AI76" s="4" t="n"/>
      <c r="AJ76" s="4" t="n"/>
      <c r="AK76" s="4" t="n"/>
      <c r="AL76" s="4" t="inlineStr">
        <is>
          <t>Algoritmo principal no explícito o fuera del codebook; Confirmar algoritmo principal en full-text</t>
        </is>
      </c>
      <c r="AM76" s="4" t="inlineStr">
        <is>
          <t>RA</t>
        </is>
      </c>
      <c r="AN76" s="4" t="inlineStr">
        <is>
          <t>Tomado completo desde archivo RA según asignación</t>
        </is>
      </c>
      <c r="AO76" s="4" t="n">
        <v>0</v>
      </c>
    </row>
    <row r="77" ht="281" customHeight="1">
      <c r="A77" s="4" t="n">
        <v>76</v>
      </c>
      <c r="B77" s="4" t="n">
        <v>81</v>
      </c>
      <c r="C77" s="4" t="inlineStr">
        <is>
          <t>Revisor A</t>
        </is>
      </c>
      <c r="D77" s="4" t="inlineStr">
        <is>
          <t>RA</t>
        </is>
      </c>
      <c r="E77" s="4" t="n">
        <v>2023</v>
      </c>
      <c r="F77" s="4" t="inlineStr">
        <is>
          <t>Señales fisiológicas</t>
        </is>
      </c>
      <c r="G77" s="4" t="inlineStr">
        <is>
          <t>Machine Learning</t>
        </is>
      </c>
      <c r="H77" s="4" t="inlineStr">
        <is>
          <t>https://doi.org/10.1109/EMBC40787.2023.10340449</t>
        </is>
      </c>
      <c r="I77" s="4" t="inlineStr">
        <is>
          <t>Autism Detection in Children using Common Spatial Patterns of MEG Signals</t>
        </is>
      </c>
      <c r="J77" s="4" t="inlineStr">
        <is>
          <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t>
        </is>
      </c>
      <c r="K77" s="4" t="inlineStr">
        <is>
          <t>Supervised</t>
        </is>
      </c>
      <c r="L77" s="4" t="inlineStr">
        <is>
          <t>Other / Not clear</t>
        </is>
      </c>
      <c r="M77" s="4" t="inlineStr">
        <is>
          <t>Classification (ASD vs control / multi-class)</t>
        </is>
      </c>
      <c r="N77" s="4" t="inlineStr">
        <is>
          <t>Diagnosis</t>
        </is>
      </c>
      <c r="O77" s="4" t="inlineStr">
        <is>
          <t>Medium</t>
        </is>
      </c>
      <c r="P77" s="4" t="n">
        <v>0</v>
      </c>
      <c r="Q77" s="4" t="n">
        <v>1</v>
      </c>
      <c r="R77" s="4" t="n">
        <v>0</v>
      </c>
      <c r="S77" s="4" t="n">
        <v>0</v>
      </c>
      <c r="T77" s="4" t="n">
        <v>0</v>
      </c>
      <c r="U77" s="4" t="n">
        <v>0</v>
      </c>
      <c r="V77" s="4" t="n">
        <v>0</v>
      </c>
      <c r="W77" s="4" t="n">
        <v>0</v>
      </c>
      <c r="X77" s="4" t="n">
        <v>0</v>
      </c>
      <c r="Y77" s="4" t="n">
        <v>1</v>
      </c>
      <c r="Z77" s="4" t="n">
        <v>0</v>
      </c>
      <c r="AA77" s="4" t="n">
        <v>0</v>
      </c>
      <c r="AB77" s="4" t="inlineStr">
        <is>
          <t>1900-01-01</t>
        </is>
      </c>
      <c r="AC77" s="4" t="n"/>
      <c r="AD77" s="4" t="n"/>
      <c r="AE77" s="4" t="n"/>
      <c r="AF77" s="4" t="n"/>
      <c r="AG77" s="4" t="n">
        <v>1</v>
      </c>
      <c r="AH77" s="4" t="n">
        <v>1</v>
      </c>
      <c r="AI77" s="4" t="n"/>
      <c r="AJ77" s="4" t="n"/>
      <c r="AK77" s="4" t="n"/>
      <c r="AL77" s="4" t="inlineStr">
        <is>
          <t>Algoritmo principal no explícito o fuera del codebook; Confirmar algoritmo principal en full-text</t>
        </is>
      </c>
      <c r="AM77" s="4" t="inlineStr">
        <is>
          <t>RA</t>
        </is>
      </c>
      <c r="AN77" s="4" t="inlineStr">
        <is>
          <t>Tomado completo desde archivo RA según asignación</t>
        </is>
      </c>
      <c r="AO77" s="4" t="n">
        <v>0</v>
      </c>
    </row>
    <row r="78" ht="409" customHeight="1">
      <c r="A78" s="4" t="n">
        <v>77</v>
      </c>
      <c r="B78" s="4" t="n">
        <v>82</v>
      </c>
      <c r="C78" s="4" t="inlineStr">
        <is>
          <t>Revisor A</t>
        </is>
      </c>
      <c r="D78" s="4" t="inlineStr">
        <is>
          <t>RA</t>
        </is>
      </c>
      <c r="E78" s="4" t="n">
        <v>2023</v>
      </c>
      <c r="F78" s="4" t="inlineStr">
        <is>
          <t>Imagen</t>
        </is>
      </c>
      <c r="G78" s="4" t="inlineStr">
        <is>
          <t>Deep Learning</t>
        </is>
      </c>
      <c r="H78" s="4" t="inlineStr">
        <is>
          <t>https://doi.org/10.1016/j.compbiomed.2023.107539</t>
        </is>
      </c>
      <c r="I78" s="4" t="inlineStr">
        <is>
          <t>Autism Spectrum Disorder detection framework for children based on federated learning integrated CNN-LSTM</t>
        </is>
      </c>
      <c r="J78" s="4" t="inlineStr">
        <is>
          <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t>
        </is>
      </c>
      <c r="K78" s="4" t="inlineStr">
        <is>
          <t>Supervised</t>
        </is>
      </c>
      <c r="L78" s="4" t="inlineStr">
        <is>
          <t>RNN/LSTM/GRU</t>
        </is>
      </c>
      <c r="M78" s="4" t="inlineStr">
        <is>
          <t>Classification (ASD vs control / multi-class)</t>
        </is>
      </c>
      <c r="N78" s="4" t="inlineStr">
        <is>
          <t>Screening</t>
        </is>
      </c>
      <c r="O78" s="4" t="inlineStr">
        <is>
          <t>Medium</t>
        </is>
      </c>
      <c r="P78" s="4" t="n">
        <v>0</v>
      </c>
      <c r="Q78" s="4" t="n">
        <v>0</v>
      </c>
      <c r="R78" s="4" t="n">
        <v>0</v>
      </c>
      <c r="S78" s="4" t="n">
        <v>0</v>
      </c>
      <c r="T78" s="4" t="n">
        <v>1</v>
      </c>
      <c r="U78" s="4" t="n">
        <v>0</v>
      </c>
      <c r="V78" s="4" t="n">
        <v>0</v>
      </c>
      <c r="W78" s="4" t="n">
        <v>0</v>
      </c>
      <c r="X78" s="4" t="n">
        <v>1</v>
      </c>
      <c r="Y78" s="4" t="n">
        <v>0</v>
      </c>
      <c r="Z78" s="4" t="n">
        <v>0</v>
      </c>
      <c r="AA78" s="4" t="n">
        <v>0</v>
      </c>
      <c r="AB78" s="4" t="inlineStr">
        <is>
          <t>1900-01-01</t>
        </is>
      </c>
      <c r="AC78" s="4" t="n"/>
      <c r="AD78" s="4" t="n"/>
      <c r="AE78" s="4" t="n"/>
      <c r="AF78" s="4" t="n"/>
      <c r="AG78" s="4" t="n">
        <v>0</v>
      </c>
      <c r="AH78" s="4" t="n">
        <v>1</v>
      </c>
      <c r="AI78" s="4" t="n"/>
      <c r="AJ78" s="4" t="n"/>
      <c r="AK78" s="4" t="n"/>
      <c r="AL78" s="4" t="inlineStr">
        <is>
          <t>Marco federado CNN-LSTM con datasets multimodales de cribado; arquitectura híbrida fuera del codebook.</t>
        </is>
      </c>
      <c r="AM78" s="4" t="inlineStr">
        <is>
          <t>RA</t>
        </is>
      </c>
      <c r="AN78" s="4" t="inlineStr">
        <is>
          <t>Tomado completo desde archivo RA según asignación</t>
        </is>
      </c>
      <c r="AO78" s="4" t="n">
        <v>0</v>
      </c>
    </row>
    <row r="79" ht="409" customHeight="1">
      <c r="A79" s="4" t="n">
        <v>78</v>
      </c>
      <c r="B79" s="4" t="n">
        <v>83</v>
      </c>
      <c r="C79" s="4" t="inlineStr">
        <is>
          <t>Revisor A</t>
        </is>
      </c>
      <c r="D79" s="4" t="n"/>
      <c r="E79" s="4" t="n">
        <v>2025</v>
      </c>
      <c r="F79" s="4" t="inlineStr">
        <is>
          <t>Texto · NLP</t>
        </is>
      </c>
      <c r="G79" s="4" t="inlineStr">
        <is>
          <t>Deep Learning</t>
        </is>
      </c>
      <c r="H79" s="4" t="inlineStr">
        <is>
          <t>https://doi.org/10.2196/70914</t>
        </is>
      </c>
      <c r="I79" s="4" t="inlineStr">
        <is>
          <t>Converging Representations of Attention-Deficit/Hyperactivity Disorder and Autism on Social Media: Linguistic and Topic Analysis of Trends in Reddit Data</t>
        </is>
      </c>
      <c r="J79" s="4"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K79" s="4" t="n"/>
      <c r="L79" s="4" t="n"/>
      <c r="M79" s="4" t="n"/>
      <c r="N79" s="4" t="inlineStr">
        <is>
          <t>diagnosis</t>
        </is>
      </c>
      <c r="O79" s="4" t="inlineStr">
        <is>
          <t>high</t>
        </is>
      </c>
      <c r="P79" s="4" t="n">
        <v>0</v>
      </c>
      <c r="Q79" s="4" t="n">
        <v>0</v>
      </c>
      <c r="R79" s="4" t="n">
        <v>0</v>
      </c>
      <c r="S79" s="4" t="n">
        <v>0</v>
      </c>
      <c r="T79" s="4" t="n">
        <v>1</v>
      </c>
      <c r="U79" s="4" t="n">
        <v>0</v>
      </c>
      <c r="V79" s="4" t="n">
        <v>0</v>
      </c>
      <c r="W79" s="4" t="n">
        <v>0</v>
      </c>
      <c r="X79" s="4" t="n">
        <v>0</v>
      </c>
      <c r="Y79" s="4" t="n">
        <v>1</v>
      </c>
      <c r="Z79" s="4" t="n">
        <v>0</v>
      </c>
      <c r="AA79" s="4" t="n">
        <v>0</v>
      </c>
      <c r="AB79" s="4" t="inlineStr">
        <is>
          <t>1900-01-01</t>
        </is>
      </c>
      <c r="AC79" s="4" t="n">
        <v>0</v>
      </c>
      <c r="AD79" s="4" t="n">
        <v>0</v>
      </c>
      <c r="AE79" s="4" t="n">
        <v>0</v>
      </c>
      <c r="AF79" s="4" t="n">
        <v>0</v>
      </c>
      <c r="AG79" s="4" t="n">
        <v>0</v>
      </c>
      <c r="AH79" s="4" t="n">
        <v>1</v>
      </c>
      <c r="AI79" s="4" t="n">
        <v>0</v>
      </c>
      <c r="AJ79" s="4" t="inlineStr">
        <is>
          <t>00:00:00</t>
        </is>
      </c>
      <c r="AK79" s="4" t="inlineStr">
        <is>
          <t>00:00:00</t>
        </is>
      </c>
      <c r="AL79" s="4" t="n"/>
      <c r="AM79" s="4" t="inlineStr">
        <is>
          <t>RB_fallback</t>
        </is>
      </c>
      <c r="AN79" s="4" t="inlineStr">
        <is>
          <t>Fallback a RB porque el ID no está en RA</t>
        </is>
      </c>
      <c r="AO79" s="4" t="n">
        <v>0</v>
      </c>
    </row>
    <row r="80" ht="359" customHeight="1">
      <c r="A80" s="4" t="n">
        <v>79</v>
      </c>
      <c r="B80" s="4" t="n">
        <v>84</v>
      </c>
      <c r="C80" s="4" t="inlineStr">
        <is>
          <t>Revisor B</t>
        </is>
      </c>
      <c r="D80" s="4" t="n"/>
      <c r="E80" s="4" t="n">
        <v>2024</v>
      </c>
      <c r="F80" s="4" t="inlineStr">
        <is>
          <t>Texto · NLP</t>
        </is>
      </c>
      <c r="G80" s="4" t="inlineStr">
        <is>
          <t>Deep Learning</t>
        </is>
      </c>
      <c r="H80" s="4" t="inlineStr">
        <is>
          <t>https://doi.org/10.1371/journal.pone.0311209</t>
        </is>
      </c>
      <c r="I80" s="4" t="inlineStr">
        <is>
          <t>Creating a diagnostic assessment model for autism spectrum disorder by differentiating lexicogrammatical choices through machine learning</t>
        </is>
      </c>
      <c r="J80" s="4" t="inlineStr">
        <is>
          <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t>
        </is>
      </c>
      <c r="K80" s="4" t="inlineStr">
        <is>
          <t>Supervised</t>
        </is>
      </c>
      <c r="L80" s="4" t="inlineStr">
        <is>
          <t>RNN/LSTM/GRU</t>
        </is>
      </c>
      <c r="M80" s="4" t="inlineStr">
        <is>
          <t>Classification (binary/multi-class; incl. ASD vs control)/ multi-class)</t>
        </is>
      </c>
      <c r="N80" s="4" t="inlineStr">
        <is>
          <t>diagnosis</t>
        </is>
      </c>
      <c r="O80" s="4" t="inlineStr">
        <is>
          <t>high</t>
        </is>
      </c>
      <c r="P80" s="4" t="n">
        <v>1</v>
      </c>
      <c r="Q80" s="4" t="n">
        <v>0</v>
      </c>
      <c r="R80" s="4" t="n">
        <v>0</v>
      </c>
      <c r="S80" s="4" t="n">
        <v>0</v>
      </c>
      <c r="T80" s="4" t="n">
        <v>0</v>
      </c>
      <c r="U80" s="4" t="n">
        <v>0</v>
      </c>
      <c r="V80" s="4" t="n">
        <v>0</v>
      </c>
      <c r="W80" s="4" t="n">
        <v>0</v>
      </c>
      <c r="X80" s="4" t="n">
        <v>0</v>
      </c>
      <c r="Y80" s="4" t="n">
        <v>1</v>
      </c>
      <c r="Z80" s="4" t="n">
        <v>0</v>
      </c>
      <c r="AA80" s="4" t="n">
        <v>1</v>
      </c>
      <c r="AB80" s="4" t="inlineStr">
        <is>
          <t>1900-01-01</t>
        </is>
      </c>
      <c r="AC80" s="4" t="n">
        <v>0</v>
      </c>
      <c r="AD80" s="4" t="n">
        <v>0</v>
      </c>
      <c r="AE80" s="4" t="n">
        <v>0</v>
      </c>
      <c r="AF80" s="4" t="n">
        <v>0</v>
      </c>
      <c r="AG80" s="4" t="n">
        <v>0</v>
      </c>
      <c r="AH80" s="4" t="n">
        <v>1</v>
      </c>
      <c r="AI80" s="4" t="n">
        <v>0</v>
      </c>
      <c r="AJ80" s="4" t="inlineStr">
        <is>
          <t>00:00:00</t>
        </is>
      </c>
      <c r="AK80" s="4" t="inlineStr">
        <is>
          <t>00:00:00</t>
        </is>
      </c>
      <c r="AL80" s="4" t="inlineStr">
        <is>
          <t>comparan modelo lineal vs DNN; el modelo lineal es logistic regression (baseline interpretable).</t>
        </is>
      </c>
      <c r="AM80" s="4" t="inlineStr">
        <is>
          <t>RB</t>
        </is>
      </c>
      <c r="AN80" s="4" t="inlineStr">
        <is>
          <t>Tomado completo desde archivo RB según asignación</t>
        </is>
      </c>
      <c r="AO80" s="4" t="n">
        <v>0</v>
      </c>
    </row>
    <row r="81" ht="409" customHeight="1">
      <c r="A81" s="4" t="n">
        <v>80</v>
      </c>
      <c r="B81" s="4" t="n">
        <v>85</v>
      </c>
      <c r="C81" s="4" t="inlineStr">
        <is>
          <t>Revisor A</t>
        </is>
      </c>
      <c r="D81" s="4" t="inlineStr">
        <is>
          <t>RA</t>
        </is>
      </c>
      <c r="E81" s="4" t="n">
        <v>2022</v>
      </c>
      <c r="F81" s="4" t="inlineStr">
        <is>
          <t>Imagen</t>
        </is>
      </c>
      <c r="G81" s="4" t="inlineStr">
        <is>
          <t>Deep Learning</t>
        </is>
      </c>
      <c r="H81" s="4" t="inlineStr">
        <is>
          <t>https://doi.org/10.1007/s00330-021-08239-4</t>
        </is>
      </c>
      <c r="I81" s="4" t="inlineStr">
        <is>
          <t>Diagnosing autism spectrum disorder in children using conventional MRI and apparent diffusion coefficient based deep learning algorithms</t>
        </is>
      </c>
      <c r="J81" s="4" t="inlineStr">
        <is>
          <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t>
        </is>
      </c>
      <c r="K81" s="4" t="inlineStr">
        <is>
          <t>Supervised</t>
        </is>
      </c>
      <c r="L81" s="4" t="inlineStr">
        <is>
          <t>CNN</t>
        </is>
      </c>
      <c r="M81" s="4" t="inlineStr">
        <is>
          <t>Classification (ASD vs control / multi-class)</t>
        </is>
      </c>
      <c r="N81" s="4" t="inlineStr">
        <is>
          <t>Diagnosis</t>
        </is>
      </c>
      <c r="O81" s="4" t="inlineStr">
        <is>
          <t>High</t>
        </is>
      </c>
      <c r="P81" s="4" t="n">
        <v>1</v>
      </c>
      <c r="Q81" s="4" t="n">
        <v>0</v>
      </c>
      <c r="R81" s="4" t="n">
        <v>0</v>
      </c>
      <c r="S81" s="4" t="n">
        <v>0</v>
      </c>
      <c r="T81" s="4" t="n">
        <v>0</v>
      </c>
      <c r="U81" s="4" t="n">
        <v>0</v>
      </c>
      <c r="V81" s="4" t="n">
        <v>0</v>
      </c>
      <c r="W81" s="4" t="n">
        <v>0</v>
      </c>
      <c r="X81" s="4" t="n">
        <v>0</v>
      </c>
      <c r="Y81" s="4" t="n">
        <v>1</v>
      </c>
      <c r="Z81" s="4" t="n">
        <v>0</v>
      </c>
      <c r="AA81" s="4" t="n">
        <v>0</v>
      </c>
      <c r="AB81" s="4" t="inlineStr">
        <is>
          <t>1900-01-01</t>
        </is>
      </c>
      <c r="AC81" s="4" t="n"/>
      <c r="AD81" s="4" t="n"/>
      <c r="AE81" s="4" t="n"/>
      <c r="AF81" s="4" t="n"/>
      <c r="AG81" s="4" t="n">
        <v>1</v>
      </c>
      <c r="AH81" s="4" t="n">
        <v>1</v>
      </c>
      <c r="AI81" s="4" t="n"/>
      <c r="AJ81" s="4" t="n"/>
      <c r="AK81" s="4" t="n"/>
      <c r="AL81" s="4" t="inlineStr">
        <is>
          <t>Algoritmo principal no explícito o fuera del codebook; Confirmar algoritmo principal en full-text; Se comparan varios modelos; se eligió el principal/mejor reportado</t>
        </is>
      </c>
      <c r="AM81" s="4" t="inlineStr">
        <is>
          <t>RA</t>
        </is>
      </c>
      <c r="AN81" s="4" t="inlineStr">
        <is>
          <t>Tomado completo desde archivo RA según asignación</t>
        </is>
      </c>
      <c r="AO81" s="4" t="n">
        <v>0</v>
      </c>
    </row>
    <row r="82" ht="268" customHeight="1">
      <c r="A82" s="4" t="n">
        <v>81</v>
      </c>
      <c r="B82" s="4" t="n">
        <v>86</v>
      </c>
      <c r="C82" s="4" t="inlineStr">
        <is>
          <t>Revisor B</t>
        </is>
      </c>
      <c r="D82" s="4" t="n"/>
      <c r="E82" s="4" t="n">
        <v>2025</v>
      </c>
      <c r="F82" s="4" t="inlineStr">
        <is>
          <t>Señales fisiológicas</t>
        </is>
      </c>
      <c r="G82" s="4" t="inlineStr">
        <is>
          <t>Deep Learning</t>
        </is>
      </c>
      <c r="H82" s="4" t="inlineStr">
        <is>
          <t>https://doi.org/10.1038/s41398-025-03566-2</t>
        </is>
      </c>
      <c r="I82" s="4" t="inlineStr">
        <is>
          <t>Dissecting the heterogeneity of autism spectrum disorder with sensory behavior, brain, and epigenetic factors</t>
        </is>
      </c>
      <c r="J82" s="4"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K82" s="4" t="inlineStr">
        <is>
          <t>Supervised</t>
        </is>
      </c>
      <c r="L82" s="4" t="inlineStr">
        <is>
          <t>XGBoost / GBDT</t>
        </is>
      </c>
      <c r="M82" s="4" t="inlineStr">
        <is>
          <t>Classification (ASD vs control / multi-class)</t>
        </is>
      </c>
      <c r="N82" s="4" t="inlineStr">
        <is>
          <t>Diagnosis</t>
        </is>
      </c>
      <c r="O82" s="4" t="inlineStr">
        <is>
          <t>low</t>
        </is>
      </c>
      <c r="P82" s="4" t="n">
        <v>0</v>
      </c>
      <c r="Q82" s="4" t="n">
        <v>0</v>
      </c>
      <c r="R82" s="4" t="n">
        <v>0</v>
      </c>
      <c r="S82" s="4" t="n">
        <v>0</v>
      </c>
      <c r="T82" s="4" t="n">
        <v>0</v>
      </c>
      <c r="U82" s="4" t="n">
        <v>0</v>
      </c>
      <c r="V82" s="4" t="n">
        <v>0</v>
      </c>
      <c r="W82" s="4" t="n">
        <v>0</v>
      </c>
      <c r="X82" s="4" t="n">
        <v>0</v>
      </c>
      <c r="Y82" s="4" t="n">
        <v>0</v>
      </c>
      <c r="Z82" s="4" t="n">
        <v>0</v>
      </c>
      <c r="AA82" s="4" t="n">
        <v>0</v>
      </c>
      <c r="AB82" s="4" t="inlineStr">
        <is>
          <t>1900-01-01</t>
        </is>
      </c>
      <c r="AC82" s="4" t="n">
        <v>0</v>
      </c>
      <c r="AD82" s="4" t="n">
        <v>0</v>
      </c>
      <c r="AE82" s="4" t="n">
        <v>0</v>
      </c>
      <c r="AF82" s="4" t="n">
        <v>0</v>
      </c>
      <c r="AG82" s="4" t="n">
        <v>1</v>
      </c>
      <c r="AH82" s="4" t="n">
        <v>0</v>
      </c>
      <c r="AI82" s="4" t="n">
        <v>0</v>
      </c>
      <c r="AJ82" s="4" t="inlineStr">
        <is>
          <t>1900-01-01</t>
        </is>
      </c>
      <c r="AK82" s="4" t="inlineStr">
        <is>
          <t>00:00:00</t>
        </is>
      </c>
      <c r="AL82" s="4" t="inlineStr">
        <is>
          <t>Clasificación ASD vs control integrando AASP (sensory behavior) + neuroimagen + metilación (OXTR/AVPR). Evaluaron varios algoritmos; el modelo final reportado usa XGBoost (otros probados: RF/SVM/LR).</t>
        </is>
      </c>
      <c r="AM82" s="4" t="inlineStr">
        <is>
          <t>RB</t>
        </is>
      </c>
      <c r="AN82" s="4" t="inlineStr">
        <is>
          <t>Tomado completo desde archivo RB según asignación</t>
        </is>
      </c>
      <c r="AO82" s="4" t="n">
        <v>0</v>
      </c>
    </row>
    <row r="83" ht="409" customHeight="1">
      <c r="A83" s="4" t="n">
        <v>82</v>
      </c>
      <c r="B83" s="4" t="n">
        <v>88</v>
      </c>
      <c r="C83" s="4" t="inlineStr">
        <is>
          <t>Revisor A</t>
        </is>
      </c>
      <c r="D83" s="4" t="inlineStr">
        <is>
          <t>RA</t>
        </is>
      </c>
      <c r="E83" s="4" t="n">
        <v>2022</v>
      </c>
      <c r="F83" s="4" t="inlineStr">
        <is>
          <t>Señales fisiológicas</t>
        </is>
      </c>
      <c r="G83" s="4" t="inlineStr">
        <is>
          <t>Deep Learning</t>
        </is>
      </c>
      <c r="H83" s="4" t="inlineStr">
        <is>
          <t>https://doi.org/10.1016/j.bpsc.2021.03.015</t>
        </is>
      </c>
      <c r="I83" s="4" t="inlineStr">
        <is>
          <t>Facial Emotions Are Accurately Encoded in the Neural Signal of Those With Autism Spectrum Disorder: A Deep Learning Approach</t>
        </is>
      </c>
      <c r="J83" s="4" t="inlineStr">
        <is>
          <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t>
        </is>
      </c>
      <c r="K83" s="4" t="inlineStr">
        <is>
          <t>Supervised</t>
        </is>
      </c>
      <c r="L83" s="4" t="inlineStr">
        <is>
          <t>CNN</t>
        </is>
      </c>
      <c r="M83" s="4" t="inlineStr">
        <is>
          <t>Classification (ASD vs control / multi-class)</t>
        </is>
      </c>
      <c r="N83" s="4" t="inlineStr">
        <is>
          <t>Monitoring/intervention</t>
        </is>
      </c>
      <c r="O83" s="4" t="inlineStr">
        <is>
          <t>Medium</t>
        </is>
      </c>
      <c r="P83" s="4" t="n">
        <v>0</v>
      </c>
      <c r="Q83" s="4" t="n">
        <v>1</v>
      </c>
      <c r="R83" s="4" t="n">
        <v>0</v>
      </c>
      <c r="S83" s="4" t="n">
        <v>0</v>
      </c>
      <c r="T83" s="4" t="n">
        <v>0</v>
      </c>
      <c r="U83" s="4" t="n">
        <v>0</v>
      </c>
      <c r="V83" s="4" t="n">
        <v>0</v>
      </c>
      <c r="W83" s="4" t="n">
        <v>0</v>
      </c>
      <c r="X83" s="4" t="n">
        <v>0</v>
      </c>
      <c r="Y83" s="4" t="n">
        <v>0</v>
      </c>
      <c r="Z83" s="4" t="n">
        <v>0</v>
      </c>
      <c r="AA83" s="4" t="n">
        <v>1</v>
      </c>
      <c r="AB83" s="4" t="inlineStr">
        <is>
          <t>00:00:00</t>
        </is>
      </c>
      <c r="AC83" s="4" t="n"/>
      <c r="AD83" s="4" t="n"/>
      <c r="AE83" s="4" t="n"/>
      <c r="AF83" s="4" t="n"/>
      <c r="AG83" s="4" t="n">
        <v>0</v>
      </c>
      <c r="AH83" s="4" t="n">
        <v>1</v>
      </c>
      <c r="AI83" s="4" t="n"/>
      <c r="AJ83" s="4" t="n"/>
      <c r="AK83" s="4" t="n"/>
      <c r="AL83" s="4" t="n"/>
      <c r="AM83" s="4" t="inlineStr">
        <is>
          <t>RA</t>
        </is>
      </c>
      <c r="AN83" s="4" t="inlineStr">
        <is>
          <t>Tomado completo desde archivo RA según asignación</t>
        </is>
      </c>
      <c r="AO83" s="4" t="n">
        <v>0</v>
      </c>
    </row>
    <row r="84" ht="398" customHeight="1">
      <c r="A84" s="4" t="n">
        <v>83</v>
      </c>
      <c r="B84" s="4" t="n">
        <v>89</v>
      </c>
      <c r="C84" s="4" t="inlineStr">
        <is>
          <t>Revisor B</t>
        </is>
      </c>
      <c r="D84" s="4" t="n"/>
      <c r="E84" s="4" t="n">
        <v>2018</v>
      </c>
      <c r="F84" s="4" t="inlineStr">
        <is>
          <t>Imagen</t>
        </is>
      </c>
      <c r="G84" s="4" t="inlineStr">
        <is>
          <t>Machine Learning</t>
        </is>
      </c>
      <c r="H84" s="4" t="inlineStr">
        <is>
          <t>https://doi.org/10.1055/s-0038-1626727</t>
        </is>
      </c>
      <c r="I84" s="4" t="inlineStr">
        <is>
          <t>Feasibility Testing of a Wearable Behavioral Aid for Social Learning in Children with Autism</t>
        </is>
      </c>
      <c r="J84" s="4" t="inlineStr">
        <is>
          <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t>
        </is>
      </c>
      <c r="K84" s="4" t="inlineStr">
        <is>
          <t>Supervised</t>
        </is>
      </c>
      <c r="L84" s="4" t="inlineStr">
        <is>
          <t>Logistic Regression</t>
        </is>
      </c>
      <c r="M84" s="4" t="inlineStr">
        <is>
          <t>Classification (ASD vs control / multi-class)</t>
        </is>
      </c>
      <c r="N84" s="4" t="inlineStr">
        <is>
          <t>Monitoring/intervention</t>
        </is>
      </c>
      <c r="O84" s="4" t="inlineStr">
        <is>
          <t>high</t>
        </is>
      </c>
      <c r="P84" s="4" t="n">
        <v>0</v>
      </c>
      <c r="Q84" s="4" t="n">
        <v>0</v>
      </c>
      <c r="R84" s="4" t="n">
        <v>0</v>
      </c>
      <c r="S84" s="4" t="n">
        <v>0</v>
      </c>
      <c r="T84" s="4" t="n">
        <v>0</v>
      </c>
      <c r="U84" s="4" t="n">
        <v>0</v>
      </c>
      <c r="V84" s="4" t="n">
        <v>1</v>
      </c>
      <c r="W84" s="4" t="n">
        <v>0</v>
      </c>
      <c r="X84" s="4" t="n">
        <v>0</v>
      </c>
      <c r="Y84" s="4" t="n">
        <v>0</v>
      </c>
      <c r="Z84" s="4" t="n">
        <v>0</v>
      </c>
      <c r="AA84" s="4" t="n">
        <v>0</v>
      </c>
      <c r="AB84" s="4" t="inlineStr">
        <is>
          <t>1900-01-01</t>
        </is>
      </c>
      <c r="AC84" s="4" t="n">
        <v>0</v>
      </c>
      <c r="AD84" s="4" t="n">
        <v>0</v>
      </c>
      <c r="AE84" s="4" t="n">
        <v>0</v>
      </c>
      <c r="AF84" s="4" t="n">
        <v>0</v>
      </c>
      <c r="AG84" s="4" t="n">
        <v>1</v>
      </c>
      <c r="AH84" s="4" t="n">
        <v>1</v>
      </c>
      <c r="AI84" s="4" t="n">
        <v>1</v>
      </c>
      <c r="AJ84" s="4" t="inlineStr">
        <is>
          <t>00:00:00</t>
        </is>
      </c>
      <c r="AK84" s="4" t="inlineStr">
        <is>
          <t>00:00:00</t>
        </is>
      </c>
      <c r="AL84" s="4" t="inlineStr">
        <is>
          <t>Clasificación ASD vs NC usando matrices de confusión de reconocimiento de emociones; el sistema (Google Glass) da ‘emotion labeling’, pero el clasificador principal para inferir ASD/NC es logistic regression</t>
        </is>
      </c>
      <c r="AM84" s="4" t="inlineStr">
        <is>
          <t>RB</t>
        </is>
      </c>
      <c r="AN84" s="4" t="inlineStr">
        <is>
          <t>Tomado completo desde archivo RB según asignación</t>
        </is>
      </c>
      <c r="AO84" s="4" t="n">
        <v>0</v>
      </c>
    </row>
    <row r="85" ht="409" customHeight="1">
      <c r="A85" s="4" t="n">
        <v>84</v>
      </c>
      <c r="B85" s="4" t="n">
        <v>90</v>
      </c>
      <c r="C85" s="4" t="inlineStr">
        <is>
          <t>Revisor B</t>
        </is>
      </c>
      <c r="D85" s="4" t="n"/>
      <c r="E85" s="4" t="n">
        <v>2023</v>
      </c>
      <c r="F85" s="4" t="inlineStr">
        <is>
          <t>No especificado</t>
        </is>
      </c>
      <c r="G85" s="4" t="inlineStr">
        <is>
          <t>Machine Learning</t>
        </is>
      </c>
      <c r="H85" s="4" t="inlineStr">
        <is>
          <t>https://doi.org/10.1109/ACCESS.2023.3302903</t>
        </is>
      </c>
      <c r="I85" s="4" t="inlineStr">
        <is>
          <t>Handwriting-Based ADHD Detection for Children Having ASD Using Machine Learning Approaches</t>
        </is>
      </c>
      <c r="J85" s="4" t="inlineStr">
        <is>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is>
      </c>
      <c r="K85" s="4" t="inlineStr">
        <is>
          <t>Supervised</t>
        </is>
      </c>
      <c r="L85" s="4" t="inlineStr">
        <is>
          <t>Random Forest</t>
        </is>
      </c>
      <c r="M85" s="4" t="inlineStr">
        <is>
          <t>Classification (binary/multi-class; incl. ASD vs control)/ multi-class)</t>
        </is>
      </c>
      <c r="N85" s="4" t="inlineStr">
        <is>
          <t>diagnosis</t>
        </is>
      </c>
      <c r="O85" s="4" t="inlineStr">
        <is>
          <t>high</t>
        </is>
      </c>
      <c r="P85" s="4" t="n">
        <v>1</v>
      </c>
      <c r="Q85" s="4" t="n">
        <v>0</v>
      </c>
      <c r="R85" s="4" t="n">
        <v>0</v>
      </c>
      <c r="S85" s="4" t="n">
        <v>0</v>
      </c>
      <c r="T85" s="4" t="n">
        <v>0</v>
      </c>
      <c r="U85" s="4" t="n">
        <v>0</v>
      </c>
      <c r="V85" s="4" t="n">
        <v>0</v>
      </c>
      <c r="W85" s="4" t="n">
        <v>0</v>
      </c>
      <c r="X85" s="4" t="n">
        <v>0</v>
      </c>
      <c r="Y85" s="4" t="n">
        <v>1</v>
      </c>
      <c r="Z85" s="4" t="n">
        <v>1</v>
      </c>
      <c r="AA85" s="4" t="n">
        <v>0</v>
      </c>
      <c r="AB85" s="4" t="inlineStr">
        <is>
          <t>00:00:00</t>
        </is>
      </c>
      <c r="AC85" s="4" t="n">
        <v>0</v>
      </c>
      <c r="AD85" s="4" t="n">
        <v>0</v>
      </c>
      <c r="AE85" s="4" t="n">
        <v>0</v>
      </c>
      <c r="AF85" s="4" t="n">
        <v>0</v>
      </c>
      <c r="AG85" s="4" t="n">
        <v>1</v>
      </c>
      <c r="AH85" s="4" t="n">
        <v>1</v>
      </c>
      <c r="AI85" s="4" t="n">
        <v>0</v>
      </c>
      <c r="AJ85" s="4" t="inlineStr">
        <is>
          <t>00:00:00</t>
        </is>
      </c>
      <c r="AK85" s="4" t="inlineStr">
        <is>
          <t>00:00:00</t>
        </is>
      </c>
      <c r="AL85" s="4" t="inlineStr">
        <is>
          <t>Target is ADHD with coexisting ASD vs healthy (not ASD diagnosis). RF best on periodic lines task.</t>
        </is>
      </c>
      <c r="AM85" s="4" t="inlineStr">
        <is>
          <t>RB</t>
        </is>
      </c>
      <c r="AN85" s="4" t="inlineStr">
        <is>
          <t>Tomado completo desde archivo RB según asignación</t>
        </is>
      </c>
      <c r="AO85" s="4" t="n">
        <v>0</v>
      </c>
    </row>
    <row r="86" ht="281" customHeight="1">
      <c r="A86" s="4" t="n">
        <v>85</v>
      </c>
      <c r="B86" s="4" t="n">
        <v>91</v>
      </c>
      <c r="C86" s="4" t="inlineStr">
        <is>
          <t>Revisor B</t>
        </is>
      </c>
      <c r="D86" s="4" t="n"/>
      <c r="E86" s="4" t="n">
        <v>2022</v>
      </c>
      <c r="F86" s="4" t="inlineStr">
        <is>
          <t>No especificado</t>
        </is>
      </c>
      <c r="G86" s="4" t="inlineStr">
        <is>
          <t>Deep Learning</t>
        </is>
      </c>
      <c r="H86" s="4" t="inlineStr">
        <is>
          <t>https://doi.org/10.1007/978-3-031-09342-5_11</t>
        </is>
      </c>
      <c r="I86" s="4" t="inlineStr">
        <is>
          <t>Integrating Graph Convolutional Networks (GCNNs) and Long Short-Term Memory (LSTM) for Efficient Diagnosis of Autism</t>
        </is>
      </c>
      <c r="J86" s="4" t="inlineStr">
        <is>
          <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t>
        </is>
      </c>
      <c r="K86" s="4" t="inlineStr">
        <is>
          <t>Supervised</t>
        </is>
      </c>
      <c r="L86" s="4" t="inlineStr">
        <is>
          <t>Other</t>
        </is>
      </c>
      <c r="M86" s="4" t="inlineStr">
        <is>
          <t>Classification (binary/multi-class; incl. ASD vs control)/ multi-class)</t>
        </is>
      </c>
      <c r="N86" s="4" t="inlineStr">
        <is>
          <t>diagnosis</t>
        </is>
      </c>
      <c r="O86" s="4" t="inlineStr">
        <is>
          <t>high</t>
        </is>
      </c>
      <c r="P86" s="4" t="n">
        <v>1</v>
      </c>
      <c r="Q86" s="4" t="n">
        <v>0</v>
      </c>
      <c r="R86" s="4" t="n">
        <v>0</v>
      </c>
      <c r="S86" s="4" t="n">
        <v>0</v>
      </c>
      <c r="T86" s="4" t="n">
        <v>0</v>
      </c>
      <c r="U86" s="4" t="n">
        <v>0</v>
      </c>
      <c r="V86" s="4" t="n">
        <v>0</v>
      </c>
      <c r="W86" s="4" t="n">
        <v>0</v>
      </c>
      <c r="X86" s="4" t="n">
        <v>0</v>
      </c>
      <c r="Y86" s="4" t="n">
        <v>1</v>
      </c>
      <c r="Z86" s="4" t="n">
        <v>0</v>
      </c>
      <c r="AA86" s="4" t="n">
        <v>0</v>
      </c>
      <c r="AB86" s="4" t="inlineStr">
        <is>
          <t>1900-01-01</t>
        </is>
      </c>
      <c r="AC86" s="4" t="n">
        <v>0</v>
      </c>
      <c r="AD86" s="4" t="n">
        <v>0</v>
      </c>
      <c r="AE86" s="4" t="n">
        <v>0</v>
      </c>
      <c r="AF86" s="4" t="n">
        <v>0</v>
      </c>
      <c r="AG86" s="4" t="n">
        <v>0</v>
      </c>
      <c r="AH86" s="4" t="n">
        <v>1</v>
      </c>
      <c r="AI86" s="4" t="n">
        <v>0</v>
      </c>
      <c r="AJ86" s="4" t="inlineStr">
        <is>
          <t>00:00:00</t>
        </is>
      </c>
      <c r="AK86" s="4" t="inlineStr">
        <is>
          <t>00:00:00</t>
        </is>
      </c>
      <c r="AL86" s="4" t="inlineStr">
        <is>
          <t>Hybrid GCNN + LSTM on ABIDE fMRI; mapped to Other because GNN not in algorithm list.</t>
        </is>
      </c>
      <c r="AM86" s="4" t="inlineStr">
        <is>
          <t>RB</t>
        </is>
      </c>
      <c r="AN86" s="4" t="inlineStr">
        <is>
          <t>Tomado completo desde archivo RB según asignación</t>
        </is>
      </c>
      <c r="AO86" s="4" t="n">
        <v>0</v>
      </c>
    </row>
    <row r="87" ht="294" customHeight="1">
      <c r="A87" s="4" t="n">
        <v>86</v>
      </c>
      <c r="B87" s="4" t="n">
        <v>92</v>
      </c>
      <c r="C87" s="4" t="inlineStr">
        <is>
          <t>Revisor A</t>
        </is>
      </c>
      <c r="D87" s="4" t="inlineStr">
        <is>
          <t>RA</t>
        </is>
      </c>
      <c r="E87" s="4" t="n">
        <v>2025</v>
      </c>
      <c r="F87" s="4" t="inlineStr">
        <is>
          <t>Señales fisiológicas</t>
        </is>
      </c>
      <c r="G87" s="4" t="inlineStr">
        <is>
          <t>Deep Learning</t>
        </is>
      </c>
      <c r="H87" s="4" t="inlineStr">
        <is>
          <t>https://doi.org/10.1016/j.bspc.2024.107466</t>
        </is>
      </c>
      <c r="I87" s="4" t="inlineStr">
        <is>
          <t>Learning discriminative functional connectivity networks for identifying Autism spectrum disorder</t>
        </is>
      </c>
      <c r="J87" s="4"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K87" s="4" t="inlineStr">
        <is>
          <t>Supervised</t>
        </is>
      </c>
      <c r="L87" s="4" t="inlineStr">
        <is>
          <t>Other / Not clear</t>
        </is>
      </c>
      <c r="M87" s="4" t="inlineStr">
        <is>
          <t>Classification (ASD vs control / multi-class)</t>
        </is>
      </c>
      <c r="N87" s="4" t="inlineStr">
        <is>
          <t>Diagnosis</t>
        </is>
      </c>
      <c r="O87" s="4" t="inlineStr">
        <is>
          <t>Medium</t>
        </is>
      </c>
      <c r="P87" s="4" t="n">
        <v>1</v>
      </c>
      <c r="Q87" s="4" t="n">
        <v>0</v>
      </c>
      <c r="R87" s="4" t="n">
        <v>0</v>
      </c>
      <c r="S87" s="4" t="n">
        <v>0</v>
      </c>
      <c r="T87" s="4" t="n">
        <v>0</v>
      </c>
      <c r="U87" s="4" t="n">
        <v>0</v>
      </c>
      <c r="V87" s="4" t="n">
        <v>0</v>
      </c>
      <c r="W87" s="4" t="n">
        <v>0</v>
      </c>
      <c r="X87" s="4" t="n">
        <v>0</v>
      </c>
      <c r="Y87" s="4" t="n">
        <v>1</v>
      </c>
      <c r="Z87" s="4" t="n">
        <v>0</v>
      </c>
      <c r="AA87" s="4" t="n">
        <v>0</v>
      </c>
      <c r="AB87" s="4" t="inlineStr">
        <is>
          <t>1900-01-01</t>
        </is>
      </c>
      <c r="AC87" s="4" t="n"/>
      <c r="AD87" s="4" t="n"/>
      <c r="AE87" s="4" t="n"/>
      <c r="AF87" s="4" t="n"/>
      <c r="AG87" s="4" t="n">
        <v>1</v>
      </c>
      <c r="AH87" s="4" t="n">
        <v>1</v>
      </c>
      <c r="AI87" s="4" t="n"/>
      <c r="AJ87" s="4" t="n"/>
      <c r="AK87" s="4" t="n"/>
      <c r="AL87" s="4" t="inlineStr">
        <is>
          <t>Algoritmo principal no explícito o fuera del codebook; Confirmar algoritmo principal en full-text</t>
        </is>
      </c>
      <c r="AM87" s="4" t="inlineStr">
        <is>
          <t>RA</t>
        </is>
      </c>
      <c r="AN87" s="4" t="inlineStr">
        <is>
          <t>Tomado completo desde archivo RA según asignación</t>
        </is>
      </c>
      <c r="AO87" s="4" t="n">
        <v>0</v>
      </c>
    </row>
    <row r="88" ht="409" customHeight="1">
      <c r="A88" s="4" t="n">
        <v>87</v>
      </c>
      <c r="B88" s="4" t="n">
        <v>94</v>
      </c>
      <c r="C88" s="4" t="inlineStr">
        <is>
          <t>Revisor A</t>
        </is>
      </c>
      <c r="D88" s="4" t="inlineStr">
        <is>
          <t>RA</t>
        </is>
      </c>
      <c r="E88" s="4" t="n">
        <v>2023</v>
      </c>
      <c r="F88" s="4" t="inlineStr">
        <is>
          <t>No especificado</t>
        </is>
      </c>
      <c r="G88" s="4" t="inlineStr">
        <is>
          <t>Deep Learning</t>
        </is>
      </c>
      <c r="H88" s="4" t="inlineStr">
        <is>
          <t>https://doi.org/10.1016/j.ibmed.2023.100102</t>
        </is>
      </c>
      <c r="I88" s="4" t="inlineStr">
        <is>
          <t>Optimizing a de novo artificial intelligence-based medical device under a predetermined change control plan: Improved ability to detect or rule out pediatric autism</t>
        </is>
      </c>
      <c r="J88" s="4" t="inlineStr">
        <is>
          <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t>
        </is>
      </c>
      <c r="K88" s="4" t="inlineStr">
        <is>
          <t>Supervised</t>
        </is>
      </c>
      <c r="L88" s="4" t="inlineStr">
        <is>
          <t>Other / Not clear</t>
        </is>
      </c>
      <c r="M88" s="4" t="inlineStr">
        <is>
          <t>Classification (ASD vs control / multi-class)</t>
        </is>
      </c>
      <c r="N88" s="4" t="inlineStr">
        <is>
          <t>Screening</t>
        </is>
      </c>
      <c r="O88" s="4" t="inlineStr">
        <is>
          <t>Medium</t>
        </is>
      </c>
      <c r="P88" s="4" t="n">
        <v>0</v>
      </c>
      <c r="Q88" s="4" t="n">
        <v>0</v>
      </c>
      <c r="R88" s="4" t="n">
        <v>0</v>
      </c>
      <c r="S88" s="4" t="n">
        <v>0</v>
      </c>
      <c r="T88" s="4" t="n">
        <v>1</v>
      </c>
      <c r="U88" s="4" t="n">
        <v>0</v>
      </c>
      <c r="V88" s="4" t="n">
        <v>0</v>
      </c>
      <c r="W88" s="4" t="n">
        <v>0</v>
      </c>
      <c r="X88" s="4" t="n">
        <v>1</v>
      </c>
      <c r="Y88" s="4" t="n">
        <v>0</v>
      </c>
      <c r="Z88" s="4" t="n">
        <v>0</v>
      </c>
      <c r="AA88" s="4" t="n">
        <v>0</v>
      </c>
      <c r="AB88" s="4" t="inlineStr">
        <is>
          <t>1900-01-01</t>
        </is>
      </c>
      <c r="AC88" s="4" t="n"/>
      <c r="AD88" s="4" t="n"/>
      <c r="AE88" s="4" t="n"/>
      <c r="AF88" s="4" t="n"/>
      <c r="AG88" s="4" t="n">
        <v>1</v>
      </c>
      <c r="AH88" s="4" t="n">
        <v>1</v>
      </c>
      <c r="AI88" s="4" t="n"/>
      <c r="AJ88" s="4" t="n"/>
      <c r="AK88" s="4" t="n"/>
      <c r="AL88" s="4" t="inlineStr">
        <is>
          <t>Algoritmo principal no explícito o fuera del codebook; Confirmar algoritmo principal en full-text</t>
        </is>
      </c>
      <c r="AM88" s="4" t="inlineStr">
        <is>
          <t>RA</t>
        </is>
      </c>
      <c r="AN88" s="4" t="inlineStr">
        <is>
          <t>Tomado completo desde archivo RA según asignación</t>
        </is>
      </c>
      <c r="AO88" s="4" t="n">
        <v>0</v>
      </c>
    </row>
    <row r="89" ht="409" customHeight="1">
      <c r="A89" s="4" t="n">
        <v>88</v>
      </c>
      <c r="B89" s="4" t="n">
        <v>95</v>
      </c>
      <c r="C89" s="4" t="inlineStr">
        <is>
          <t>Ambos (piloto)</t>
        </is>
      </c>
      <c r="D89" s="4" t="inlineStr">
        <is>
          <t>RA</t>
        </is>
      </c>
      <c r="E89" s="4" t="n">
        <v>2024</v>
      </c>
      <c r="F89" s="4" t="inlineStr">
        <is>
          <t>Texto · NLP</t>
        </is>
      </c>
      <c r="G89" s="4" t="inlineStr">
        <is>
          <t>Deep Learning</t>
        </is>
      </c>
      <c r="H89" s="4" t="inlineStr">
        <is>
          <t>https://doi.org/10.2196/54706</t>
        </is>
      </c>
      <c r="I89" s="4" t="inlineStr">
        <is>
          <t>Physician Versus Large Language Model Chatbot Responses to Web-Based Questions From Autistic Patients in Chinese: Cross-Sectional Comparative Analysis</t>
        </is>
      </c>
      <c r="J89" s="4" t="inlineStr">
        <is>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t>
        </is>
      </c>
      <c r="K89" s="4" t="inlineStr">
        <is>
          <t>Supervised</t>
        </is>
      </c>
      <c r="L89" s="4" t="inlineStr">
        <is>
          <t>Transformer</t>
        </is>
      </c>
      <c r="M89" s="4" t="inlineStr">
        <is>
          <t>Other / Not clear</t>
        </is>
      </c>
      <c r="N89" s="4" t="inlineStr">
        <is>
          <t>Monitoring/intervention</t>
        </is>
      </c>
      <c r="O89" s="4" t="inlineStr">
        <is>
          <t>High</t>
        </is>
      </c>
      <c r="P89" s="4" t="n">
        <v>0</v>
      </c>
      <c r="Q89" s="4" t="n">
        <v>0</v>
      </c>
      <c r="R89" s="4" t="n">
        <v>0</v>
      </c>
      <c r="S89" s="4" t="n">
        <v>0</v>
      </c>
      <c r="T89" s="4" t="n">
        <v>1</v>
      </c>
      <c r="U89" s="4" t="n">
        <v>0</v>
      </c>
      <c r="V89" s="4" t="n">
        <v>0</v>
      </c>
      <c r="W89" s="4" t="n">
        <v>0</v>
      </c>
      <c r="X89" s="4" t="n">
        <v>0</v>
      </c>
      <c r="Y89" s="4" t="n">
        <v>0</v>
      </c>
      <c r="Z89" s="4" t="n">
        <v>0</v>
      </c>
      <c r="AA89" s="4" t="n">
        <v>0</v>
      </c>
      <c r="AB89" s="4" t="inlineStr">
        <is>
          <t>1900-01-01</t>
        </is>
      </c>
      <c r="AC89" s="4" t="n"/>
      <c r="AD89" s="4" t="n"/>
      <c r="AE89" s="4" t="n"/>
      <c r="AF89" s="4" t="n"/>
      <c r="AG89" s="4" t="n">
        <v>1</v>
      </c>
      <c r="AH89" s="4" t="n">
        <v>1</v>
      </c>
      <c r="AI89" s="4" t="inlineStr">
        <is>
          <t>text / NLP</t>
        </is>
      </c>
      <c r="AJ89" s="4" t="n"/>
      <c r="AK89" s="4" t="n"/>
      <c r="AL89" s="4" t="inlineStr">
        <is>
          <t>Compara respuestas de médicos vs LLMs a preguntas web; no mapea claramente a una etapa clínica RQ1.</t>
        </is>
      </c>
      <c r="AM89" s="4" t="inlineStr">
        <is>
          <t>RA</t>
        </is>
      </c>
      <c r="AN89" s="4" t="inlineStr">
        <is>
          <t>Tomado completo desde archivo RA según asignación</t>
        </is>
      </c>
      <c r="AO89" s="4" t="n">
        <v>0</v>
      </c>
    </row>
    <row r="90" ht="385" customHeight="1">
      <c r="A90" s="4" t="n">
        <v>89</v>
      </c>
      <c r="B90" s="4" t="n">
        <v>96</v>
      </c>
      <c r="C90" s="4" t="inlineStr">
        <is>
          <t>Revisor B</t>
        </is>
      </c>
      <c r="D90" s="4" t="n"/>
      <c r="E90" s="4" t="n">
        <v>2019</v>
      </c>
      <c r="F90" s="4" t="inlineStr">
        <is>
          <t>No especificado</t>
        </is>
      </c>
      <c r="G90" s="4" t="inlineStr">
        <is>
          <t>Híbrido</t>
        </is>
      </c>
      <c r="H90" s="4" t="inlineStr">
        <is>
          <t>https://doi.org/10.1016/j.envres.2018.12.061</t>
        </is>
      </c>
      <c r="I90" s="4" t="inlineStr">
        <is>
          <t>Polychlorinated biphenyls influence on autism spectrum disorder risk in the MARBLES cohort</t>
        </is>
      </c>
      <c r="J90" s="4" t="inlineStr">
        <is>
          <t>Background: Autism spectrum disorder (ASD) is suspected to have environmental and genetic contributions. Polychlorinated biphenyls (PCBs) are environmental risk factors of interest due to their potential as neurodevelopmental toxicants and environmental persistence despite a US production ban in the 1970s. Methods: Participants were mother-child pairs from MARBLES, a high-risk pregnancy cohort that enrolls families who have one child diagnosed with ASD and are planning to have another child. PCB concentrations were measured in maternal blood at each trimester of pregnancy using gas chromatography coupled with triple quadruple mass spectrometry. Concentrations were summed into total PCB and two categories based on function/mechanisms of action: dioxin-like (DL), and ryanodine receptor (RyR)-activating PCBs. Multinomial logistic regression assessed risk of clinical outcome classification of ASD and non-typical development (Non-TD) compared to typically developing (TD) in the children at 3 years old. Results: A total of 104 mother-child pairs were included. There were no significant associations for total PCB; however, there were borderline significant associations between DL-PCBs and decreased risk for Non-TD outcome classification (adjusted OR: 0.41 (95% CI 0.15–1.14)) and between RyR-activating PCBs and increased risk for ASD outcome classification (adjusted OR: 2.63 (95% CI 0.87–7.97)). Conclusion: This study does not provide strong supporting evidence that PCBs are risk factors for ASD or Non-TD. However, these analyses suggest the need to explore more deeply into subsets of PCBs as risk factors based on their function and structure in larger cohort studies where non-monotonic dose-response patterns can be better evaluated.</t>
        </is>
      </c>
      <c r="K90" s="4" t="inlineStr">
        <is>
          <t>Other</t>
        </is>
      </c>
      <c r="L90" s="4" t="inlineStr">
        <is>
          <t>Logistic Regression</t>
        </is>
      </c>
      <c r="M90" s="4" t="inlineStr">
        <is>
          <t>Other</t>
        </is>
      </c>
      <c r="N90" s="4" t="inlineStr">
        <is>
          <t>Prognosis</t>
        </is>
      </c>
      <c r="O90" s="4" t="inlineStr">
        <is>
          <t>high</t>
        </is>
      </c>
      <c r="P90" s="4" t="n">
        <v>0</v>
      </c>
      <c r="Q90" s="4" t="n">
        <v>0</v>
      </c>
      <c r="R90" s="4" t="n">
        <v>1</v>
      </c>
      <c r="S90" s="4" t="n">
        <v>0</v>
      </c>
      <c r="T90" s="4" t="n">
        <v>1</v>
      </c>
      <c r="U90" s="4" t="n">
        <v>0</v>
      </c>
      <c r="V90" s="4" t="n">
        <v>0</v>
      </c>
      <c r="W90" s="4" t="n">
        <v>0</v>
      </c>
      <c r="X90" s="4" t="n">
        <v>1</v>
      </c>
      <c r="Y90" s="4" t="n">
        <v>1</v>
      </c>
      <c r="Z90" s="4" t="n">
        <v>0</v>
      </c>
      <c r="AA90" s="4" t="n">
        <v>0</v>
      </c>
      <c r="AB90" s="4" t="inlineStr">
        <is>
          <t>1900-01-01</t>
        </is>
      </c>
      <c r="AC90" s="4" t="n">
        <v>0</v>
      </c>
      <c r="AD90" s="4" t="n">
        <v>0</v>
      </c>
      <c r="AE90" s="4" t="n">
        <v>0</v>
      </c>
      <c r="AF90" s="4" t="n">
        <v>0</v>
      </c>
      <c r="AG90" s="4" t="n">
        <v>0</v>
      </c>
      <c r="AH90" s="4" t="n">
        <v>2</v>
      </c>
      <c r="AI90" s="4" t="n">
        <v>0</v>
      </c>
      <c r="AJ90" s="4" t="inlineStr">
        <is>
          <t>1900-01-01</t>
        </is>
      </c>
      <c r="AK90" s="4" t="inlineStr">
        <is>
          <t>00:00:00</t>
        </is>
      </c>
      <c r="AL90" s="4" t="inlineStr">
        <is>
          <t>Epidemiologic multinomial logistic regression (not ML/AI). Outcome categories ASD / Non-TD / TD at 3 years</t>
        </is>
      </c>
      <c r="AM90" s="4" t="inlineStr">
        <is>
          <t>RB</t>
        </is>
      </c>
      <c r="AN90" s="4" t="inlineStr">
        <is>
          <t>Tomado completo desde archivo RB según asignación</t>
        </is>
      </c>
      <c r="AO90" s="4" t="n">
        <v>0</v>
      </c>
    </row>
    <row r="91" ht="190" customHeight="1">
      <c r="A91" s="4" t="n">
        <v>90</v>
      </c>
      <c r="B91" s="4" t="n">
        <v>97</v>
      </c>
      <c r="C91" s="4" t="inlineStr">
        <is>
          <t>Revisor B</t>
        </is>
      </c>
      <c r="D91" s="4" t="n"/>
      <c r="E91" s="4" t="n">
        <v>2020</v>
      </c>
      <c r="F91" s="4" t="inlineStr">
        <is>
          <t>Imagen</t>
        </is>
      </c>
      <c r="G91" s="4" t="inlineStr">
        <is>
          <t>Machine Learning</t>
        </is>
      </c>
      <c r="H91" s="4" t="inlineStr">
        <is>
          <t>https://doi.org/10.1109/EMBC44109.2020.9176843</t>
        </is>
      </c>
      <c r="I91" s="4" t="inlineStr">
        <is>
          <t>Predicting Core Characteristics of ASD Through Facial Emotion Recognition and Eye Tracking in Youth.</t>
        </is>
      </c>
      <c r="J91" s="4" t="inlineStr">
        <is>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is>
      </c>
      <c r="K91" s="4" t="inlineStr">
        <is>
          <t>Supervised</t>
        </is>
      </c>
      <c r="L91" s="4" t="inlineStr">
        <is>
          <t>Random Forest</t>
        </is>
      </c>
      <c r="M91" s="4" t="inlineStr">
        <is>
          <t>Regression (score / severity / risk)</t>
        </is>
      </c>
      <c r="N91" s="4" t="inlineStr">
        <is>
          <t>monitoring_intervention</t>
        </is>
      </c>
      <c r="O91" s="4" t="inlineStr">
        <is>
          <t>high</t>
        </is>
      </c>
      <c r="P91" s="4" t="n">
        <v>1</v>
      </c>
      <c r="Q91" s="4" t="n">
        <v>0</v>
      </c>
      <c r="R91" s="4" t="n">
        <v>0</v>
      </c>
      <c r="S91" s="4" t="n">
        <v>1</v>
      </c>
      <c r="T91" s="4" t="n">
        <v>0</v>
      </c>
      <c r="U91" s="4" t="n">
        <v>0</v>
      </c>
      <c r="V91" s="4" t="n">
        <v>0</v>
      </c>
      <c r="W91" s="4" t="n">
        <v>0</v>
      </c>
      <c r="X91" s="4" t="n">
        <v>0</v>
      </c>
      <c r="Y91" s="4" t="n">
        <v>0</v>
      </c>
      <c r="Z91" s="4" t="n">
        <v>0</v>
      </c>
      <c r="AA91" s="4" t="n">
        <v>1</v>
      </c>
      <c r="AB91" s="4" t="inlineStr">
        <is>
          <t>1900-01-01</t>
        </is>
      </c>
      <c r="AC91" s="4" t="n">
        <v>0</v>
      </c>
      <c r="AD91" s="4" t="n">
        <v>0</v>
      </c>
      <c r="AE91" s="4" t="n">
        <v>0</v>
      </c>
      <c r="AF91" s="4" t="n">
        <v>0</v>
      </c>
      <c r="AG91" s="4" t="n">
        <v>0</v>
      </c>
      <c r="AH91" s="4" t="n">
        <v>2</v>
      </c>
      <c r="AI91" s="4" t="n">
        <v>0</v>
      </c>
      <c r="AJ91" s="4" t="inlineStr">
        <is>
          <t>00:00:00</t>
        </is>
      </c>
      <c r="AK91" s="4" t="inlineStr">
        <is>
          <t>00:00:00</t>
        </is>
      </c>
      <c r="AL91" s="4" t="inlineStr">
        <is>
          <t>aunque el paper comenta que el enfoque “may serve as a classifier for ASD diagnosis” y muestra ROC para clasificación, el pipeline principal reportado es regresión de puntajes; por eso conviene codificarlo como Regression</t>
        </is>
      </c>
      <c r="AM91" s="4" t="inlineStr">
        <is>
          <t>RB</t>
        </is>
      </c>
      <c r="AN91" s="4" t="inlineStr">
        <is>
          <t>Tomado completo desde archivo RB según asignación</t>
        </is>
      </c>
      <c r="AO91" s="4" t="n">
        <v>0</v>
      </c>
    </row>
    <row r="92" ht="398" customHeight="1">
      <c r="A92" s="4" t="n">
        <v>91</v>
      </c>
      <c r="B92" s="4" t="n">
        <v>98</v>
      </c>
      <c r="C92" s="4" t="inlineStr">
        <is>
          <t>Revisor A</t>
        </is>
      </c>
      <c r="D92" s="4" t="inlineStr">
        <is>
          <t>RA</t>
        </is>
      </c>
      <c r="E92" s="4" t="n">
        <v>2024</v>
      </c>
      <c r="F92" s="4" t="inlineStr">
        <is>
          <t>Señales fisiológicas</t>
        </is>
      </c>
      <c r="G92" s="4" t="inlineStr">
        <is>
          <t>Híbrido</t>
        </is>
      </c>
      <c r="H92" s="4" t="inlineStr">
        <is>
          <t>https://doi.org/10.1016/j.bspc.2024.106671</t>
        </is>
      </c>
      <c r="I92" s="4" t="inlineStr">
        <is>
          <t>Self-supervised machine learning approach for autism detection in young children using MEG signals</t>
        </is>
      </c>
      <c r="J92" s="4" t="inlineStr">
        <is>
          <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t>
        </is>
      </c>
      <c r="K92" s="4" t="inlineStr">
        <is>
          <t>Self-supervised</t>
        </is>
      </c>
      <c r="L92" s="4" t="inlineStr">
        <is>
          <t>Transformer</t>
        </is>
      </c>
      <c r="M92" s="4" t="inlineStr">
        <is>
          <t>Classification (ASD vs control / multi-class)</t>
        </is>
      </c>
      <c r="N92" s="4" t="inlineStr">
        <is>
          <t>Diagnosis</t>
        </is>
      </c>
      <c r="O92" s="4" t="inlineStr">
        <is>
          <t>High</t>
        </is>
      </c>
      <c r="P92" s="4" t="n">
        <v>0</v>
      </c>
      <c r="Q92" s="4" t="n">
        <v>1</v>
      </c>
      <c r="R92" s="4" t="n">
        <v>0</v>
      </c>
      <c r="S92" s="4" t="n">
        <v>0</v>
      </c>
      <c r="T92" s="4" t="n">
        <v>0</v>
      </c>
      <c r="U92" s="4" t="n">
        <v>0</v>
      </c>
      <c r="V92" s="4" t="n">
        <v>0</v>
      </c>
      <c r="W92" s="4" t="n">
        <v>0</v>
      </c>
      <c r="X92" s="4" t="n">
        <v>0</v>
      </c>
      <c r="Y92" s="4" t="n">
        <v>1</v>
      </c>
      <c r="Z92" s="4" t="n">
        <v>0</v>
      </c>
      <c r="AA92" s="4" t="n">
        <v>0</v>
      </c>
      <c r="AB92" s="4" t="inlineStr">
        <is>
          <t>1900-01-01</t>
        </is>
      </c>
      <c r="AC92" s="4" t="n"/>
      <c r="AD92" s="4" t="n"/>
      <c r="AE92" s="4" t="n"/>
      <c r="AF92" s="4" t="n"/>
      <c r="AG92" s="4" t="n">
        <v>1</v>
      </c>
      <c r="AH92" s="4" t="n">
        <v>1</v>
      </c>
      <c r="AI92" s="4" t="n"/>
      <c r="AJ92" s="4" t="n"/>
      <c r="AK92" s="4" t="n"/>
      <c r="AL92" s="4" t="inlineStr">
        <is>
          <t>SSL con wav2vec 2.0 para extraer embeddings MEG; clasificación final con ANN/SVM.</t>
        </is>
      </c>
      <c r="AM92" s="4" t="inlineStr">
        <is>
          <t>RA</t>
        </is>
      </c>
      <c r="AN92" s="4" t="inlineStr">
        <is>
          <t>Tomado completo desde archivo RA según asignación</t>
        </is>
      </c>
      <c r="AO92" s="4" t="n">
        <v>0</v>
      </c>
    </row>
    <row r="93" ht="281" customHeight="1">
      <c r="A93" s="4" t="n">
        <v>92</v>
      </c>
      <c r="B93" s="4" t="n">
        <v>99</v>
      </c>
      <c r="C93" s="4" t="inlineStr">
        <is>
          <t>Revisor A</t>
        </is>
      </c>
      <c r="D93" s="4" t="inlineStr">
        <is>
          <t>RA</t>
        </is>
      </c>
      <c r="E93" s="4" t="n">
        <v>2014</v>
      </c>
      <c r="F93" s="4" t="inlineStr">
        <is>
          <t>No especificado</t>
        </is>
      </c>
      <c r="G93" s="4" t="inlineStr">
        <is>
          <t>Deep Learning</t>
        </is>
      </c>
      <c r="H93" s="4" t="inlineStr">
        <is>
          <t>https://doi.org/10.1016/j.ijdevneu.2014.06.013</t>
        </is>
      </c>
      <c r="I93" s="4" t="inlineStr">
        <is>
          <t>Serum Brain-derived neurotrophic factor levels in Chinese children with autism spectrum disorders: A pilot study</t>
        </is>
      </c>
      <c r="J93" s="4" t="inlineStr">
        <is>
          <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t>
        </is>
      </c>
      <c r="K93" s="4" t="inlineStr">
        <is>
          <t>Other / Not clear</t>
        </is>
      </c>
      <c r="L93" s="4" t="inlineStr">
        <is>
          <t>Other / Not clear</t>
        </is>
      </c>
      <c r="M93" s="4" t="inlineStr">
        <is>
          <t>Other / Not clear</t>
        </is>
      </c>
      <c r="N93" s="4" t="inlineStr">
        <is>
          <t>Not clear</t>
        </is>
      </c>
      <c r="O93" s="4" t="inlineStr">
        <is>
          <t>High</t>
        </is>
      </c>
      <c r="P93" s="4" t="n">
        <v>0</v>
      </c>
      <c r="Q93" s="4" t="n">
        <v>0</v>
      </c>
      <c r="R93" s="4" t="n">
        <v>0</v>
      </c>
      <c r="S93" s="4" t="n">
        <v>0</v>
      </c>
      <c r="T93" s="4" t="n">
        <v>0</v>
      </c>
      <c r="U93" s="4" t="n">
        <v>1</v>
      </c>
      <c r="V93" s="4" t="n">
        <v>0</v>
      </c>
      <c r="W93" s="4" t="n">
        <v>0</v>
      </c>
      <c r="X93" s="4" t="n">
        <v>0</v>
      </c>
      <c r="Y93" s="4" t="n">
        <v>0</v>
      </c>
      <c r="Z93" s="4" t="n">
        <v>0</v>
      </c>
      <c r="AA93" s="4" t="n">
        <v>0</v>
      </c>
      <c r="AB93" s="4" t="inlineStr">
        <is>
          <t>00:00:00</t>
        </is>
      </c>
      <c r="AC93" s="4" t="n"/>
      <c r="AD93" s="4" t="n"/>
      <c r="AE93" s="4" t="n"/>
      <c r="AF93" s="4" t="n"/>
      <c r="AG93" s="4" t="n">
        <v>1</v>
      </c>
      <c r="AH93" s="4" t="n">
        <v>1</v>
      </c>
      <c r="AI93" s="4" t="n"/>
      <c r="AJ93" s="4" t="inlineStr">
        <is>
          <t>00:00:00</t>
        </is>
      </c>
      <c r="AK93" s="4" t="n"/>
      <c r="AL93" s="4" t="inlineStr">
        <is>
          <t>Estudio de biomarcador sérico (BDNF) con ROC; no se describe algoritmo de IA/ML principal.</t>
        </is>
      </c>
      <c r="AM93" s="4" t="inlineStr">
        <is>
          <t>RA</t>
        </is>
      </c>
      <c r="AN93" s="4" t="inlineStr">
        <is>
          <t>Tomado completo desde archivo RA según asignación</t>
        </is>
      </c>
      <c r="AO93" s="4" t="n">
        <v>0</v>
      </c>
    </row>
    <row r="94" ht="409" customHeight="1">
      <c r="A94" s="4" t="n">
        <v>93</v>
      </c>
      <c r="B94" s="4" t="n">
        <v>100</v>
      </c>
      <c r="C94" s="4" t="inlineStr">
        <is>
          <t>Revisor A</t>
        </is>
      </c>
      <c r="D94" s="4" t="inlineStr">
        <is>
          <t>RA</t>
        </is>
      </c>
      <c r="E94" s="4" t="n">
        <v>2025</v>
      </c>
      <c r="F94" s="4" t="inlineStr">
        <is>
          <t>Señales fisiológicas</t>
        </is>
      </c>
      <c r="G94" s="4" t="inlineStr">
        <is>
          <t>Deep Learning</t>
        </is>
      </c>
      <c r="H94" s="4" t="inlineStr">
        <is>
          <t>https://doi.org/10.1111/cns.70562</t>
        </is>
      </c>
      <c r="I94" s="4" t="inlineStr">
        <is>
          <t>Sex Differences in Functional Gradients and Dynamic Functional Connectivity in Preschool-Aged Children With ASD</t>
        </is>
      </c>
      <c r="J94" s="4" t="inlineStr">
        <is>
          <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t>
        </is>
      </c>
      <c r="K94" s="4" t="inlineStr">
        <is>
          <t>Supervised</t>
        </is>
      </c>
      <c r="L94" s="4" t="inlineStr">
        <is>
          <t>Other / Not clear</t>
        </is>
      </c>
      <c r="M94" s="4" t="inlineStr">
        <is>
          <t>Classification (ASD vs control / multi-class)</t>
        </is>
      </c>
      <c r="N94" s="4" t="inlineStr">
        <is>
          <t>Diagnosis</t>
        </is>
      </c>
      <c r="O94" s="4" t="inlineStr">
        <is>
          <t>Medium</t>
        </is>
      </c>
      <c r="P94" s="4" t="n">
        <v>1</v>
      </c>
      <c r="Q94" s="4" t="n">
        <v>0</v>
      </c>
      <c r="R94" s="4" t="n">
        <v>0</v>
      </c>
      <c r="S94" s="4" t="n">
        <v>0</v>
      </c>
      <c r="T94" s="4" t="n">
        <v>0</v>
      </c>
      <c r="U94" s="4" t="n">
        <v>0</v>
      </c>
      <c r="V94" s="4" t="n">
        <v>0</v>
      </c>
      <c r="W94" s="4" t="n">
        <v>0</v>
      </c>
      <c r="X94" s="4" t="n">
        <v>0</v>
      </c>
      <c r="Y94" s="4" t="n">
        <v>1</v>
      </c>
      <c r="Z94" s="4" t="n">
        <v>0</v>
      </c>
      <c r="AA94" s="4" t="n">
        <v>0</v>
      </c>
      <c r="AB94" s="4" t="inlineStr">
        <is>
          <t>00:00:00</t>
        </is>
      </c>
      <c r="AC94" s="4" t="n"/>
      <c r="AD94" s="4" t="n"/>
      <c r="AE94" s="4" t="n"/>
      <c r="AF94" s="4" t="n"/>
      <c r="AG94" s="4" t="n">
        <v>1</v>
      </c>
      <c r="AH94" s="4" t="n">
        <v>1</v>
      </c>
      <c r="AI94" s="4" t="n"/>
      <c r="AJ94" s="4" t="n"/>
      <c r="AK94" s="4" t="n"/>
      <c r="AL94" s="4" t="inlineStr">
        <is>
          <t>Se aplican múltiples modelos ML a características de conectividad/gradientes; algoritmo principal no especificado.</t>
        </is>
      </c>
      <c r="AM94" s="4" t="inlineStr">
        <is>
          <t>RA</t>
        </is>
      </c>
      <c r="AN94" s="4" t="inlineStr">
        <is>
          <t>Tomado completo desde archivo RA según asignación</t>
        </is>
      </c>
      <c r="AO94" s="4" t="n">
        <v>0</v>
      </c>
    </row>
    <row r="95" ht="409" customHeight="1">
      <c r="A95" s="4" t="n">
        <v>94</v>
      </c>
      <c r="B95" s="4" t="n">
        <v>102</v>
      </c>
      <c r="C95" s="4" t="inlineStr">
        <is>
          <t>Revisor A</t>
        </is>
      </c>
      <c r="D95" s="4" t="inlineStr">
        <is>
          <t>RA</t>
        </is>
      </c>
      <c r="E95" s="4" t="n">
        <v>2020</v>
      </c>
      <c r="F95" s="4" t="inlineStr">
        <is>
          <t>Imagen</t>
        </is>
      </c>
      <c r="G95" s="4" t="inlineStr">
        <is>
          <t>Deep Learning</t>
        </is>
      </c>
      <c r="H95" s="4" t="inlineStr">
        <is>
          <t>https://doi.org/10.2196/13810</t>
        </is>
      </c>
      <c r="I95" s="4" t="inlineStr">
        <is>
          <t>Toward continuous social phenotyping: Analyzing gaze patterns in an emotion recognition task for children with autism through wearable smart glasses</t>
        </is>
      </c>
      <c r="J95" s="4" t="inlineStr">
        <is>
          <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t>
        </is>
      </c>
      <c r="K95" s="4" t="inlineStr">
        <is>
          <t>Supervised</t>
        </is>
      </c>
      <c r="L95" s="4" t="inlineStr">
        <is>
          <t>Other / Not clear</t>
        </is>
      </c>
      <c r="M95" s="4" t="inlineStr">
        <is>
          <t>Classification (ASD vs control / multi-class)</t>
        </is>
      </c>
      <c r="N95" s="4" t="inlineStr">
        <is>
          <t>Screening</t>
        </is>
      </c>
      <c r="O95" s="4" t="inlineStr">
        <is>
          <t>Medium</t>
        </is>
      </c>
      <c r="P95" s="4" t="n">
        <v>0</v>
      </c>
      <c r="Q95" s="4" t="n">
        <v>1</v>
      </c>
      <c r="R95" s="4" t="n">
        <v>1</v>
      </c>
      <c r="S95" s="4" t="n">
        <v>0</v>
      </c>
      <c r="T95" s="4" t="n">
        <v>0</v>
      </c>
      <c r="U95" s="4" t="n">
        <v>0</v>
      </c>
      <c r="V95" s="4" t="n">
        <v>1</v>
      </c>
      <c r="W95" s="4" t="n">
        <v>0</v>
      </c>
      <c r="X95" s="4" t="n">
        <v>1</v>
      </c>
      <c r="Y95" s="4" t="n">
        <v>0</v>
      </c>
      <c r="Z95" s="4" t="n">
        <v>0</v>
      </c>
      <c r="AA95" s="4" t="n">
        <v>0</v>
      </c>
      <c r="AB95" s="4" t="inlineStr">
        <is>
          <t>1900-01-01</t>
        </is>
      </c>
      <c r="AC95" s="4" t="n"/>
      <c r="AD95" s="4" t="n"/>
      <c r="AE95" s="4" t="n"/>
      <c r="AF95" s="4" t="n"/>
      <c r="AG95" s="4" t="n">
        <v>1</v>
      </c>
      <c r="AH95" s="4" t="n">
        <v>3</v>
      </c>
      <c r="AI95" s="4" t="inlineStr">
        <is>
          <t>wearable glasses</t>
        </is>
      </c>
      <c r="AJ95" s="4" t="n"/>
      <c r="AK95" s="4" t="n"/>
      <c r="AL95" s="4" t="inlineStr">
        <is>
          <t>Algoritmo principal no explícito o fuera del codebook; Confirmar algoritmo principal en full-text; Se comparan varios modelos; se eligió el principal/mejor reportado</t>
        </is>
      </c>
      <c r="AM95" s="4" t="inlineStr">
        <is>
          <t>RA</t>
        </is>
      </c>
      <c r="AN95" s="4" t="inlineStr">
        <is>
          <t>Tomado completo desde archivo RA según asignación</t>
        </is>
      </c>
      <c r="AO95" s="4" t="n">
        <v>0</v>
      </c>
    </row>
    <row r="96" ht="409" customHeight="1">
      <c r="A96" s="4" t="n">
        <v>95</v>
      </c>
      <c r="B96" s="4" t="n">
        <v>103</v>
      </c>
      <c r="C96" s="4" t="inlineStr">
        <is>
          <t>Revisor B</t>
        </is>
      </c>
      <c r="D96" s="4" t="n"/>
      <c r="E96" s="4" t="n">
        <v>2018</v>
      </c>
      <c r="F96" s="4" t="inlineStr">
        <is>
          <t>Multimodal</t>
        </is>
      </c>
      <c r="G96" s="4" t="inlineStr">
        <is>
          <t>Deep Learning</t>
        </is>
      </c>
      <c r="H96" s="4" t="inlineStr">
        <is>
          <t>https://doi.org/10.1002/AUR.1960</t>
        </is>
      </c>
      <c r="I96" s="4" t="inlineStr">
        <is>
          <t>Using machine learning to identify patterns of lifetime health problems in decedents with autism spectrum disorder</t>
        </is>
      </c>
      <c r="J96" s="4" t="inlineStr">
        <is>
          <t>Very little is known about the health problems experienced by individuals with autism spectrum disorder (ASD) throughout their life course. We retrospectively analyzed diagnostic codes associated with de-identified electronic health records using a machine learning algorithm to characterize diagnostic patterns in decedents with ASD and matched decedent community controls. Participants were 91 decedents with ASD and 6,186 sex and birth year matched decedent community controls who had died since 1979, the majority of whom were middle aged or older adults at the time of their death. We analyzed all ICD-9 codes, V-codes, and E-codes available in the electronic health record and Elixhauser comorbidity categories associated with those codes. Diagnostic patterns distinguished decedents with ASD from decedent community controls with 75% sensitivity and 94% specificity solely based on their lifetime ICD-9 codes, V-codes, and E-codes. Decedents with ASD had higher rates of most conditions, including cardiovascular disease, motor problems, ear problems, urinary problems, digestive problems, side effects from long-term medication use, and nonspecific lab tests and encounters. In contrast, decedents with ASD had lower rates of cancer. Findings suggest distinctive lifetime diagnostic patterns among decedents with ASD and highlight the need for more research on health outcomes across the lifespan as the population of individuals with ASD ages. As a large wave of individuals with ASD diagnosed in the 1990s enters adulthood and middle age, knowledge about lifetime health problems will become increasingly important for care and prevention efforts. Autism Res 2018, 11: 1120–1128. © 2018 International Society for Autism Research, Wiley Periodicals, Inc. Lay Summary: This study looked at patterns of lifetime health problems to find differences between people with autism who had died and community controls who had died. People with autism had higher rates of most health problems, including cardiovascular, urinary, respiratory, digestive, and motor problems, in their electronic health records. They also had lower rates of cancer. More research is needed to understand these potential health risks as a large number of individuals with autism enter adulthood and middle age.</t>
        </is>
      </c>
      <c r="K96" s="4" t="inlineStr">
        <is>
          <t>Supervised</t>
        </is>
      </c>
      <c r="L96" s="4" t="inlineStr">
        <is>
          <t>Random Forest</t>
        </is>
      </c>
      <c r="M96" s="4" t="inlineStr">
        <is>
          <t>Classification (binary/multi-class; incl. ASD vs control)/ multi-class)</t>
        </is>
      </c>
      <c r="N96" s="4" t="inlineStr">
        <is>
          <t>Monitoring/intervention</t>
        </is>
      </c>
      <c r="O96" s="4" t="inlineStr">
        <is>
          <t>high</t>
        </is>
      </c>
      <c r="P96" s="4" t="n">
        <v>1</v>
      </c>
      <c r="Q96" s="4" t="n">
        <v>0</v>
      </c>
      <c r="R96" s="4" t="n">
        <v>0</v>
      </c>
      <c r="S96" s="4" t="n">
        <v>0</v>
      </c>
      <c r="T96" s="4" t="n">
        <v>0</v>
      </c>
      <c r="U96" s="4" t="n">
        <v>0</v>
      </c>
      <c r="V96" s="4" t="n">
        <v>0</v>
      </c>
      <c r="W96" s="4" t="n">
        <v>0</v>
      </c>
      <c r="X96" s="4" t="n">
        <v>0</v>
      </c>
      <c r="Y96" s="4" t="n">
        <v>0</v>
      </c>
      <c r="Z96" s="4" t="n">
        <v>0</v>
      </c>
      <c r="AA96" s="4" t="n">
        <v>0</v>
      </c>
      <c r="AB96" s="4" t="inlineStr">
        <is>
          <t>1900-01-01</t>
        </is>
      </c>
      <c r="AC96" s="4" t="n">
        <v>0</v>
      </c>
      <c r="AD96" s="4" t="n">
        <v>0</v>
      </c>
      <c r="AE96" s="4" t="n">
        <v>0</v>
      </c>
      <c r="AF96" s="4" t="n">
        <v>0</v>
      </c>
      <c r="AG96" s="4" t="n">
        <v>0</v>
      </c>
      <c r="AH96" s="4" t="n">
        <v>1</v>
      </c>
      <c r="AI96" s="4" t="n">
        <v>0</v>
      </c>
      <c r="AJ96" s="4" t="inlineStr">
        <is>
          <t>1900-01-01</t>
        </is>
      </c>
      <c r="AK96" s="4" t="inlineStr">
        <is>
          <t>00:00:00</t>
        </is>
      </c>
      <c r="AL96" s="4" t="inlineStr">
        <is>
          <t>la clasificación se hace a partir de códigos ICD-9/V/E de EHR en decedentes, para distinguir patrones de salud de por vida (no es biomarcador directo ni herramienta clínica prospectiva).</t>
        </is>
      </c>
      <c r="AM96" s="4" t="inlineStr">
        <is>
          <t>RB</t>
        </is>
      </c>
      <c r="AN96" s="4" t="inlineStr">
        <is>
          <t>Tomado completo desde archivo RB según asignación</t>
        </is>
      </c>
      <c r="AO96" s="4" t="n">
        <v>0</v>
      </c>
    </row>
    <row r="97" ht="409" customHeight="1">
      <c r="A97" s="4" t="n">
        <v>96</v>
      </c>
      <c r="B97" s="4" t="n">
        <v>104</v>
      </c>
      <c r="C97" s="4" t="inlineStr">
        <is>
          <t>Revisor B</t>
        </is>
      </c>
      <c r="D97" s="4" t="n"/>
      <c r="E97" s="4" t="n">
        <v>2025</v>
      </c>
      <c r="F97" s="4" t="inlineStr">
        <is>
          <t>Multimodal</t>
        </is>
      </c>
      <c r="G97" s="4" t="inlineStr">
        <is>
          <t>Híbrido</t>
        </is>
      </c>
      <c r="H97" s="4" t="inlineStr">
        <is>
          <t>https://doi.org/10.1002/hbm.70190</t>
        </is>
      </c>
      <c r="I97" s="4" t="inlineStr">
        <is>
          <t>A Framework for Comparison and Interpretation of Machine Learning Classifiers to Predict Autism on the ABIDE Dataset</t>
        </is>
      </c>
      <c r="J97" s="4" t="inlineStr">
        <is>
          <t>Autism is a neurodevelopmental condition affecting ~1% of the population. Recently, machine learning models have been trained to classify participants with autism using their neuroimaging features, though the performance of these models varies in the literature. Differences in experimental setup hamper the direct comparison of different machine-learning approaches. In this paper, five of the most widely used and best-performing machine learning models in the field were trained to classify participants with autism and typically developing (TD) participants, using functional connectivity matrices, structural volumetric measures, and phenotypic information from the Autism Brain Imaging Data Exchange (ABIDE) dataset. Their performance was compared under the same evaluation standard. The models implemented included: graph convolutional networks (GCN), edge-variational graph convolutional networks (EV-GCN), fully connected networks (FCN), autoencoder followed by a fully connected network (AE-FCN) and support vector machine (SVM). Our results show that all models performed similarly, achieving a classification accuracy around 70%. Our results suggest that different inclusion criteria, data modalities, and evaluation pipelines rather than different machine learning models may explain variations in accuracy in the published literature. The highest accuracy in our framework was obtained when using ensemble models (p &lt; 0.001), leading to an accuracy of 72.2% and AUC = 0.77 using GCN classifiers. However, an SVM classifier performed with an accuracy of 70.1% and AUC = 0.77, just marginally below GCN, and significant differences were not found when comparing different algorithms under the same testing conditions (p &gt; 0.05). Furthermore, we also investigated the stability of features identified by the different machine learning models using the SmoothGrad interpretation method. The FCN model demonstrated the highest stability in selecting relevant features contributing to model decision making. The code is available at https://github.com/YilanDong19/Machine-learning-with-ABIDE.</t>
        </is>
      </c>
      <c r="K97" s="4" t="inlineStr">
        <is>
          <t>Supervised</t>
        </is>
      </c>
      <c r="L97" s="4" t="inlineStr">
        <is>
          <t>Other</t>
        </is>
      </c>
      <c r="M97" s="4" t="inlineStr">
        <is>
          <t>Classification (binary/multi-class; incl. ASD vs control)/ multi-class)</t>
        </is>
      </c>
      <c r="N97" s="4" t="inlineStr">
        <is>
          <t>Diagnosis</t>
        </is>
      </c>
      <c r="O97" s="4" t="inlineStr">
        <is>
          <t>medium</t>
        </is>
      </c>
      <c r="P97" s="4" t="n">
        <v>0</v>
      </c>
      <c r="Q97" s="4" t="n">
        <v>0</v>
      </c>
      <c r="R97" s="4" t="n">
        <v>0</v>
      </c>
      <c r="S97" s="4" t="n">
        <v>0</v>
      </c>
      <c r="T97" s="4" t="n">
        <v>0</v>
      </c>
      <c r="U97" s="4" t="n">
        <v>0</v>
      </c>
      <c r="V97" s="4" t="n">
        <v>0</v>
      </c>
      <c r="W97" s="4" t="n">
        <v>0</v>
      </c>
      <c r="X97" s="4" t="n">
        <v>0</v>
      </c>
      <c r="Y97" s="4" t="n">
        <v>0</v>
      </c>
      <c r="Z97" s="4" t="n">
        <v>0</v>
      </c>
      <c r="AA97" s="4" t="n">
        <v>0</v>
      </c>
      <c r="AB97" s="4" t="inlineStr">
        <is>
          <t>1900-01-01</t>
        </is>
      </c>
      <c r="AC97" s="4" t="n">
        <v>0</v>
      </c>
      <c r="AD97" s="4" t="n">
        <v>0</v>
      </c>
      <c r="AE97" s="4" t="n">
        <v>0</v>
      </c>
      <c r="AF97" s="4" t="n">
        <v>0</v>
      </c>
      <c r="AG97" s="4" t="n">
        <v>0</v>
      </c>
      <c r="AH97" s="4" t="n">
        <v>0</v>
      </c>
      <c r="AI97" s="4" t="n">
        <v>0</v>
      </c>
      <c r="AJ97" s="4" t="inlineStr">
        <is>
          <t>1900-01-01</t>
        </is>
      </c>
      <c r="AK97" s="4" t="inlineStr">
        <is>
          <t>00:00:00</t>
        </is>
      </c>
      <c r="AL97" s="4" t="inlineStr">
        <is>
          <t>este paper es benchmark/comparación bajo un marco estandarizado; reporta que el mayor desempeño se obtiene con ensemble y resultados cercanos entre modelos (GCN/EV-GCN/FCN/AE-FCN/SVM)</t>
        </is>
      </c>
      <c r="AM97" s="4" t="inlineStr">
        <is>
          <t>RB</t>
        </is>
      </c>
      <c r="AN97" s="4" t="inlineStr">
        <is>
          <t>Tomado completo desde archivo RB según asignación</t>
        </is>
      </c>
      <c r="AO97" s="4" t="n">
        <v>0</v>
      </c>
    </row>
    <row r="98" ht="268" customHeight="1">
      <c r="A98" s="4" t="n">
        <v>97</v>
      </c>
      <c r="B98" s="4" t="n">
        <v>105</v>
      </c>
      <c r="C98" s="4" t="inlineStr">
        <is>
          <t>Revisor B</t>
        </is>
      </c>
      <c r="D98" s="4" t="n"/>
      <c r="E98" s="4" t="n">
        <v>2018</v>
      </c>
      <c r="F98" s="4" t="inlineStr">
        <is>
          <t>Señales fisiológicas</t>
        </is>
      </c>
      <c r="G98" s="4" t="inlineStr">
        <is>
          <t>Híbrido</t>
        </is>
      </c>
      <c r="H98" s="4" t="inlineStr">
        <is>
          <t>https://doi.org/10.1155/2018/7186762</t>
        </is>
      </c>
      <c r="I98" s="4" t="inlineStr">
        <is>
          <t>A Novel Deep Learning Approach for Recognizing Stereotypical Motor Movements within and across Subjects on the Autism Spectrum Disorder</t>
        </is>
      </c>
      <c r="J98" s="4" t="inlineStr">
        <is>
          <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t>
        </is>
      </c>
      <c r="K98" s="4" t="inlineStr">
        <is>
          <t>Supervised</t>
        </is>
      </c>
      <c r="L98" s="4" t="inlineStr">
        <is>
          <t>Random Forest</t>
        </is>
      </c>
      <c r="M98" s="4" t="inlineStr">
        <is>
          <t>Detection / segmentation</t>
        </is>
      </c>
      <c r="N98" s="4" t="inlineStr">
        <is>
          <t>Monitoring/intervention</t>
        </is>
      </c>
      <c r="O98" s="4" t="inlineStr">
        <is>
          <t>medium</t>
        </is>
      </c>
      <c r="P98" s="4" t="n">
        <v>0</v>
      </c>
      <c r="Q98" s="4" t="n">
        <v>0</v>
      </c>
      <c r="R98" s="4" t="n">
        <v>0</v>
      </c>
      <c r="S98" s="4" t="n">
        <v>0</v>
      </c>
      <c r="T98" s="4" t="n">
        <v>0</v>
      </c>
      <c r="U98" s="4" t="n">
        <v>0</v>
      </c>
      <c r="V98" s="4" t="n">
        <v>0</v>
      </c>
      <c r="W98" s="4" t="n">
        <v>0</v>
      </c>
      <c r="X98" s="4" t="n">
        <v>0</v>
      </c>
      <c r="Y98" s="4" t="n">
        <v>0</v>
      </c>
      <c r="Z98" s="4" t="n">
        <v>1</v>
      </c>
      <c r="AA98" s="4" t="n">
        <v>0</v>
      </c>
      <c r="AB98" s="4" t="inlineStr">
        <is>
          <t>1900-01-01</t>
        </is>
      </c>
      <c r="AC98" s="4" t="n">
        <v>0</v>
      </c>
      <c r="AD98" s="4" t="n">
        <v>0</v>
      </c>
      <c r="AE98" s="4" t="n">
        <v>0</v>
      </c>
      <c r="AF98" s="4" t="n">
        <v>0</v>
      </c>
      <c r="AG98" s="4" t="n">
        <v>1</v>
      </c>
      <c r="AH98" s="4" t="n">
        <v>0</v>
      </c>
      <c r="AI98" s="4" t="n">
        <v>0</v>
      </c>
      <c r="AJ98" s="4" t="inlineStr">
        <is>
          <t>00:00:00</t>
        </is>
      </c>
      <c r="AK98" s="4" t="inlineStr">
        <is>
          <t>00:00:00</t>
        </is>
      </c>
      <c r="AL98" s="4" t="inlineStr">
        <is>
          <t>para el escenario across-subjects combinan transfer learning + SVM classifier. Si tu Excel solo permite un algoritmo principal, deja CNN como principal y anota “SVM + transfer learning para across-subject”</t>
        </is>
      </c>
      <c r="AM98" s="4" t="inlineStr">
        <is>
          <t>RB</t>
        </is>
      </c>
      <c r="AN98" s="4" t="inlineStr">
        <is>
          <t>Tomado completo desde archivo RB según asignación</t>
        </is>
      </c>
      <c r="AO98" s="4" t="n">
        <v>0</v>
      </c>
    </row>
    <row r="99" ht="229" customHeight="1">
      <c r="A99" s="4" t="n">
        <v>98</v>
      </c>
      <c r="B99" s="4" t="n">
        <v>106</v>
      </c>
      <c r="C99" s="4" t="inlineStr">
        <is>
          <t>Revisor B</t>
        </is>
      </c>
      <c r="D99" s="4" t="n"/>
      <c r="E99" s="4" t="n">
        <v>2025</v>
      </c>
      <c r="F99" s="4" t="inlineStr">
        <is>
          <t>No especificado</t>
        </is>
      </c>
      <c r="G99" s="4" t="inlineStr">
        <is>
          <t>Machine Learning</t>
        </is>
      </c>
      <c r="H99" s="4" t="inlineStr">
        <is>
          <t>https://doi.org/10.1371/journal.pone.0326022</t>
        </is>
      </c>
      <c r="I99" s="4" t="inlineStr">
        <is>
          <t>Analysis of variant interactions in families with autism points to genes involved in the development of the central nervous system</t>
        </is>
      </c>
      <c r="J99" s="4" t="inlineStr">
        <is>
          <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t>
        </is>
      </c>
      <c r="K99" s="4" t="inlineStr">
        <is>
          <t>Supervised</t>
        </is>
      </c>
      <c r="L99" s="4" t="inlineStr">
        <is>
          <t>SVM</t>
        </is>
      </c>
      <c r="M99" s="4" t="inlineStr">
        <is>
          <t>Classification (binary/multi-class; incl. ASD vs control)/ multi-class)</t>
        </is>
      </c>
      <c r="N99" s="4" t="inlineStr">
        <is>
          <t>Diagnosis</t>
        </is>
      </c>
      <c r="O99" s="4" t="inlineStr">
        <is>
          <t>medium</t>
        </is>
      </c>
      <c r="P99" s="4" t="n">
        <v>0</v>
      </c>
      <c r="Q99" s="4" t="n">
        <v>0</v>
      </c>
      <c r="R99" s="4" t="n">
        <v>1</v>
      </c>
      <c r="S99" s="4" t="n">
        <v>0</v>
      </c>
      <c r="T99" s="4" t="n">
        <v>0</v>
      </c>
      <c r="U99" s="4" t="n">
        <v>0</v>
      </c>
      <c r="V99" s="4" t="n">
        <v>0</v>
      </c>
      <c r="W99" s="4" t="n">
        <v>0</v>
      </c>
      <c r="X99" s="4" t="n">
        <v>0</v>
      </c>
      <c r="Y99" s="4" t="n">
        <v>0</v>
      </c>
      <c r="Z99" s="4" t="n">
        <v>0</v>
      </c>
      <c r="AA99" s="4" t="n">
        <v>0</v>
      </c>
      <c r="AB99" s="4" t="inlineStr">
        <is>
          <t>00:00:00</t>
        </is>
      </c>
      <c r="AC99" s="4" t="n">
        <v>0</v>
      </c>
      <c r="AD99" s="4" t="n">
        <v>0</v>
      </c>
      <c r="AE99" s="4" t="n">
        <v>0</v>
      </c>
      <c r="AF99" s="4" t="n">
        <v>0</v>
      </c>
      <c r="AG99" s="4" t="n">
        <v>0</v>
      </c>
      <c r="AH99" s="4" t="n">
        <v>1</v>
      </c>
      <c r="AI99" s="4" t="n">
        <v>0</v>
      </c>
      <c r="AJ99" s="4" t="inlineStr">
        <is>
          <t>00:00:00</t>
        </is>
      </c>
      <c r="AK99" s="4" t="inlineStr">
        <is>
          <t>00:00:00</t>
        </is>
      </c>
      <c r="AL99" s="4" t="inlineStr">
        <is>
          <t>además del predictor supervisado, el paper también hace clustering de muestras para explorar heterogeneidad (menciona K-means y propone PAM/medoids por interpretabilidad en datos binarios)</t>
        </is>
      </c>
      <c r="AM99" s="4" t="inlineStr">
        <is>
          <t>RB</t>
        </is>
      </c>
      <c r="AN99" s="4" t="inlineStr">
        <is>
          <t>Tomado completo desde archivo RB según asignación</t>
        </is>
      </c>
      <c r="AO99" s="4" t="n">
        <v>0</v>
      </c>
    </row>
    <row r="100" ht="229" customHeight="1">
      <c r="A100" s="4" t="n">
        <v>99</v>
      </c>
      <c r="B100" s="4" t="n">
        <v>107</v>
      </c>
      <c r="C100" s="4" t="inlineStr">
        <is>
          <t>Revisor B</t>
        </is>
      </c>
      <c r="D100" s="4" t="n"/>
      <c r="E100" s="4" t="n">
        <v>2020</v>
      </c>
      <c r="F100" s="4" t="inlineStr">
        <is>
          <t>Imagen</t>
        </is>
      </c>
      <c r="G100" s="4" t="inlineStr">
        <is>
          <t>Machine Learning</t>
        </is>
      </c>
      <c r="H100" s="4" t="inlineStr">
        <is>
          <t>https://doi.org/10.1109/TNSRE.2020.2991675</t>
        </is>
      </c>
      <c r="I100" s="4" t="inlineStr">
        <is>
          <t>Detecting High-Functioning Autism in Adults Using Eye Tracking and Machine Learning</t>
        </is>
      </c>
      <c r="J100" s="4" t="inlineStr">
        <is>
          <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t>
        </is>
      </c>
      <c r="K100" s="4" t="inlineStr">
        <is>
          <t>Supervised</t>
        </is>
      </c>
      <c r="L100" s="4" t="inlineStr">
        <is>
          <t>Logistic Regression</t>
        </is>
      </c>
      <c r="M100" s="4" t="inlineStr">
        <is>
          <t>Classification (binary/multi-class; incl. ASD vs control)/ multi-class)</t>
        </is>
      </c>
      <c r="N100" s="4" t="inlineStr">
        <is>
          <t>Screening</t>
        </is>
      </c>
      <c r="O100" s="4" t="inlineStr">
        <is>
          <t>high</t>
        </is>
      </c>
      <c r="P100" s="4" t="n">
        <v>1</v>
      </c>
      <c r="Q100" s="4" t="n">
        <v>0</v>
      </c>
      <c r="R100" s="4" t="n">
        <v>1</v>
      </c>
      <c r="S100" s="4" t="n">
        <v>0</v>
      </c>
      <c r="T100" s="4" t="n">
        <v>0</v>
      </c>
      <c r="U100" s="4" t="n">
        <v>0</v>
      </c>
      <c r="V100" s="4" t="n">
        <v>0</v>
      </c>
      <c r="W100" s="4" t="n">
        <v>0</v>
      </c>
      <c r="X100" s="4" t="n">
        <v>0</v>
      </c>
      <c r="Y100" s="4" t="n">
        <v>0</v>
      </c>
      <c r="Z100" s="4" t="n">
        <v>0</v>
      </c>
      <c r="AA100" s="4" t="n">
        <v>0</v>
      </c>
      <c r="AB100" s="4" t="inlineStr">
        <is>
          <t>1900-01-01</t>
        </is>
      </c>
      <c r="AC100" s="4" t="n">
        <v>0</v>
      </c>
      <c r="AD100" s="4" t="n">
        <v>0</v>
      </c>
      <c r="AE100" s="4" t="n">
        <v>0</v>
      </c>
      <c r="AF100" s="4" t="n">
        <v>0</v>
      </c>
      <c r="AG100" s="4" t="n">
        <v>0</v>
      </c>
      <c r="AH100" s="4" t="n">
        <v>2</v>
      </c>
      <c r="AI100" s="4" t="n">
        <v>0</v>
      </c>
      <c r="AJ100" s="4" t="inlineStr">
        <is>
          <t>00:00:00</t>
        </is>
      </c>
      <c r="AK100" s="4" t="inlineStr">
        <is>
          <t>00:00:00</t>
        </is>
      </c>
      <c r="AL100" s="4" t="n"/>
      <c r="AM100" s="4" t="inlineStr">
        <is>
          <t>RB</t>
        </is>
      </c>
      <c r="AN100" s="4" t="inlineStr">
        <is>
          <t>Tomado completo desde archivo RB según asignación</t>
        </is>
      </c>
      <c r="AO100" s="4" t="n">
        <v>0</v>
      </c>
    </row>
    <row r="101" ht="409" customHeight="1">
      <c r="A101" s="4" t="n">
        <v>100</v>
      </c>
      <c r="B101" s="4" t="n">
        <v>108</v>
      </c>
      <c r="C101" s="4" t="inlineStr">
        <is>
          <t>Ambos (piloto)</t>
        </is>
      </c>
      <c r="D101" s="4" t="inlineStr">
        <is>
          <t>RA</t>
        </is>
      </c>
      <c r="E101" s="4" t="n">
        <v>2013</v>
      </c>
      <c r="F101" s="4" t="inlineStr">
        <is>
          <t>Imagen</t>
        </is>
      </c>
      <c r="G101" s="4" t="inlineStr">
        <is>
          <t>Machine Learning</t>
        </is>
      </c>
      <c r="H101" s="4" t="inlineStr">
        <is>
          <t>https://doi.org/10.3389/FNHUM.2013.00670/FULL</t>
        </is>
      </c>
      <c r="I101" s="4" t="inlineStr">
        <is>
          <t>Identification of neural connectivity signatures of autism using machine learning</t>
        </is>
      </c>
      <c r="J101" s="4" t="inlineStr">
        <is>
          <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t>
        </is>
      </c>
      <c r="K101" s="4" t="inlineStr">
        <is>
          <t>Supervised</t>
        </is>
      </c>
      <c r="L101" s="4" t="inlineStr">
        <is>
          <t>SVM</t>
        </is>
      </c>
      <c r="M101" s="4" t="inlineStr">
        <is>
          <t>Classification (ASD vs control / multi-class)</t>
        </is>
      </c>
      <c r="N101" s="4" t="inlineStr">
        <is>
          <t>Diagnosis</t>
        </is>
      </c>
      <c r="O101" s="4" t="inlineStr">
        <is>
          <t>High</t>
        </is>
      </c>
      <c r="P101" s="4" t="n">
        <v>1</v>
      </c>
      <c r="Q101" s="4" t="n">
        <v>0</v>
      </c>
      <c r="R101" s="4" t="n">
        <v>0</v>
      </c>
      <c r="S101" s="4" t="n">
        <v>0</v>
      </c>
      <c r="T101" s="4" t="n">
        <v>0</v>
      </c>
      <c r="U101" s="4" t="n">
        <v>0</v>
      </c>
      <c r="V101" s="4" t="n">
        <v>0</v>
      </c>
      <c r="W101" s="4" t="n">
        <v>0</v>
      </c>
      <c r="X101" s="4" t="n">
        <v>0</v>
      </c>
      <c r="Y101" s="4" t="n">
        <v>1</v>
      </c>
      <c r="Z101" s="4" t="n">
        <v>0</v>
      </c>
      <c r="AA101" s="4" t="n">
        <v>0</v>
      </c>
      <c r="AB101" s="4" t="inlineStr">
        <is>
          <t>1900-01-01</t>
        </is>
      </c>
      <c r="AC101" s="4" t="n"/>
      <c r="AD101" s="4" t="n"/>
      <c r="AE101" s="4" t="n"/>
      <c r="AF101" s="4" t="n"/>
      <c r="AG101" s="4" t="n">
        <v>0</v>
      </c>
      <c r="AH101" s="4" t="n">
        <v>1</v>
      </c>
      <c r="AI101" s="4" t="n"/>
      <c r="AJ101" s="4" t="n"/>
      <c r="AK101" s="4" t="n"/>
      <c r="AL101" s="4" t="inlineStr">
        <is>
          <t>Se comparan varios modelos; se eligió el principal/mejor reportado</t>
        </is>
      </c>
      <c r="AM101" s="4" t="inlineStr">
        <is>
          <t>RA</t>
        </is>
      </c>
      <c r="AN101" s="4" t="inlineStr">
        <is>
          <t>Tomado completo desde archivo RA según asignación</t>
        </is>
      </c>
      <c r="AO101" s="4" t="n">
        <v>0</v>
      </c>
    </row>
    <row r="102" ht="333" customHeight="1">
      <c r="A102" s="4" t="n">
        <v>101</v>
      </c>
      <c r="B102" s="4" t="n">
        <v>109</v>
      </c>
      <c r="C102" s="4" t="inlineStr">
        <is>
          <t>Ambos (piloto)</t>
        </is>
      </c>
      <c r="D102" s="4" t="inlineStr">
        <is>
          <t>RA</t>
        </is>
      </c>
      <c r="E102" s="4" t="n">
        <v>2014</v>
      </c>
      <c r="F102" s="4" t="inlineStr">
        <is>
          <t>Señales fisiológicas</t>
        </is>
      </c>
      <c r="G102" s="4" t="inlineStr">
        <is>
          <t>Machine Learning</t>
        </is>
      </c>
      <c r="H102" s="4" t="inlineStr">
        <is>
          <t>https://doi.org/10.1371/journal.pone.0113879</t>
        </is>
      </c>
      <c r="I102" s="4" t="inlineStr">
        <is>
          <t>Identifying autism from neural representations of social interactions: Neurocognitive markers of autism</t>
        </is>
      </c>
      <c r="J102" s="4" t="inlineStr">
        <is>
          <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t>
        </is>
      </c>
      <c r="K102" s="4" t="inlineStr">
        <is>
          <t>Supervised</t>
        </is>
      </c>
      <c r="L102" s="4" t="inlineStr">
        <is>
          <t>Other / Not clear</t>
        </is>
      </c>
      <c r="M102" s="4" t="inlineStr">
        <is>
          <t>Classification (ASD vs control / multi-class)</t>
        </is>
      </c>
      <c r="N102" s="4" t="inlineStr">
        <is>
          <t>Diagnosis</t>
        </is>
      </c>
      <c r="O102" s="4" t="inlineStr">
        <is>
          <t>Medium</t>
        </is>
      </c>
      <c r="P102" s="4" t="n">
        <v>1</v>
      </c>
      <c r="Q102" s="4" t="n">
        <v>0</v>
      </c>
      <c r="R102" s="4" t="n">
        <v>0</v>
      </c>
      <c r="S102" s="4" t="n">
        <v>0</v>
      </c>
      <c r="T102" s="4" t="n">
        <v>0</v>
      </c>
      <c r="U102" s="4" t="n">
        <v>0</v>
      </c>
      <c r="V102" s="4" t="n">
        <v>0</v>
      </c>
      <c r="W102" s="4" t="n">
        <v>0</v>
      </c>
      <c r="X102" s="4" t="n">
        <v>0</v>
      </c>
      <c r="Y102" s="4" t="n">
        <v>1</v>
      </c>
      <c r="Z102" s="4" t="n">
        <v>0</v>
      </c>
      <c r="AA102" s="4" t="n">
        <v>0</v>
      </c>
      <c r="AB102" s="4" t="inlineStr">
        <is>
          <t>1900-01-01</t>
        </is>
      </c>
      <c r="AC102" s="4" t="n"/>
      <c r="AD102" s="4" t="n"/>
      <c r="AE102" s="4" t="n"/>
      <c r="AF102" s="4" t="n"/>
      <c r="AG102" s="4" t="n">
        <v>1</v>
      </c>
      <c r="AH102" s="4" t="n">
        <v>1</v>
      </c>
      <c r="AI102" s="4" t="n"/>
      <c r="AJ102" s="4" t="n"/>
      <c r="AK102" s="4" t="n"/>
      <c r="AL102" s="4" t="inlineStr">
        <is>
          <t>Algoritmo principal no explícito o fuera del codebook; Confirmar algoritmo principal en full-text</t>
        </is>
      </c>
      <c r="AM102" s="4" t="inlineStr">
        <is>
          <t>RA</t>
        </is>
      </c>
      <c r="AN102" s="4" t="inlineStr">
        <is>
          <t>Tomado completo desde archivo RA según asignación</t>
        </is>
      </c>
      <c r="AO102" s="4" t="n">
        <v>0</v>
      </c>
    </row>
    <row r="103" ht="409" customHeight="1">
      <c r="A103" s="4" t="n">
        <v>102</v>
      </c>
      <c r="B103" s="4" t="n">
        <v>110</v>
      </c>
      <c r="C103" s="4" t="inlineStr">
        <is>
          <t>Revisor B</t>
        </is>
      </c>
      <c r="D103" s="4" t="n"/>
      <c r="E103" s="4" t="n">
        <v>2020</v>
      </c>
      <c r="F103" s="4" t="inlineStr">
        <is>
          <t>Texto · NLP</t>
        </is>
      </c>
      <c r="G103" s="4" t="inlineStr">
        <is>
          <t>Deep Learning</t>
        </is>
      </c>
      <c r="H103" s="4" t="inlineStr">
        <is>
          <t>https://doi.org/10.1002/aur.2268</t>
        </is>
      </c>
      <c r="I103" s="4" t="inlineStr">
        <is>
          <t>Identifying Language and Cognitive Profiles in Children With ASD via a Cluster Analysis Exploration: Implications for the New ICD-11</t>
        </is>
      </c>
      <c r="J103" s="4" t="inlineStr">
        <is>
          <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t>
        </is>
      </c>
      <c r="K103" s="4" t="inlineStr">
        <is>
          <t>Unsupervised</t>
        </is>
      </c>
      <c r="L103" s="4" t="inlineStr">
        <is>
          <t>Clustering (k-means / GMM / ...)</t>
        </is>
      </c>
      <c r="M103" s="4" t="inlineStr">
        <is>
          <t>Clustering / subtyping</t>
        </is>
      </c>
      <c r="N103" s="4" t="inlineStr">
        <is>
          <t>Monitoring/intervention</t>
        </is>
      </c>
      <c r="O103" s="4" t="inlineStr">
        <is>
          <t>high</t>
        </is>
      </c>
      <c r="P103" s="4" t="n">
        <v>0</v>
      </c>
      <c r="Q103" s="4" t="n">
        <v>0</v>
      </c>
      <c r="R103" s="4" t="n">
        <v>0</v>
      </c>
      <c r="S103" s="4" t="n">
        <v>0</v>
      </c>
      <c r="T103" s="4" t="n">
        <v>0</v>
      </c>
      <c r="U103" s="4" t="n">
        <v>0</v>
      </c>
      <c r="V103" s="4" t="n">
        <v>0</v>
      </c>
      <c r="W103" s="4" t="n">
        <v>0</v>
      </c>
      <c r="X103" s="4" t="n">
        <v>0</v>
      </c>
      <c r="Y103" s="4" t="n">
        <v>0</v>
      </c>
      <c r="Z103" s="4" t="n">
        <v>1</v>
      </c>
      <c r="AA103" s="4" t="n">
        <v>1</v>
      </c>
      <c r="AB103" s="4" t="inlineStr">
        <is>
          <t>00:00:00</t>
        </is>
      </c>
      <c r="AC103" s="4" t="n">
        <v>0</v>
      </c>
      <c r="AD103" s="4" t="n">
        <v>0</v>
      </c>
      <c r="AE103" s="4" t="n">
        <v>0</v>
      </c>
      <c r="AF103" s="4" t="n">
        <v>0</v>
      </c>
      <c r="AG103" s="4" t="n">
        <v>1</v>
      </c>
      <c r="AH103" s="4" t="n">
        <v>0</v>
      </c>
      <c r="AI103" s="4" t="n">
        <v>0</v>
      </c>
      <c r="AJ103" s="4" t="inlineStr">
        <is>
          <t>00:00:00</t>
        </is>
      </c>
      <c r="AK103" s="4" t="inlineStr">
        <is>
          <t>00:00:00</t>
        </is>
      </c>
      <c r="AL103" s="4" t="n"/>
      <c r="AM103" s="4" t="inlineStr">
        <is>
          <t>RB</t>
        </is>
      </c>
      <c r="AN103" s="4" t="inlineStr">
        <is>
          <t>Tomado completo desde archivo RB según asignación</t>
        </is>
      </c>
      <c r="AO103" s="4" t="n">
        <v>0</v>
      </c>
    </row>
    <row r="104" ht="409" customHeight="1">
      <c r="A104" s="4" t="n">
        <v>103</v>
      </c>
      <c r="B104" s="4" t="n">
        <v>111</v>
      </c>
      <c r="C104" s="4" t="inlineStr">
        <is>
          <t>Revisor A</t>
        </is>
      </c>
      <c r="D104" s="4" t="inlineStr">
        <is>
          <t>RA</t>
        </is>
      </c>
      <c r="E104" s="4" t="n">
        <v>2023</v>
      </c>
      <c r="F104" s="4" t="inlineStr">
        <is>
          <t>No especificado</t>
        </is>
      </c>
      <c r="G104" s="4" t="inlineStr">
        <is>
          <t>Híbrido</t>
        </is>
      </c>
      <c r="H104" s="4" t="inlineStr">
        <is>
          <t>https://doi.org/10.1016/j.irbm.2023.100780</t>
        </is>
      </c>
      <c r="I104" s="4" t="inlineStr">
        <is>
          <t>On the Utility of Parents' Historical Data to Investigate the Causes of Autism Spectrum Disorder: A Data Mining-Based Framework</t>
        </is>
      </c>
      <c r="J104" s="4" t="inlineStr">
        <is>
          <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t>
        </is>
      </c>
      <c r="K104" s="4" t="inlineStr">
        <is>
          <t>Supervised</t>
        </is>
      </c>
      <c r="L104" s="4" t="inlineStr">
        <is>
          <t>SVM</t>
        </is>
      </c>
      <c r="M104" s="4" t="inlineStr">
        <is>
          <t>Classification (ASD vs control / multi-class)</t>
        </is>
      </c>
      <c r="N104" s="4" t="inlineStr">
        <is>
          <t>Prescreening</t>
        </is>
      </c>
      <c r="O104" s="4" t="inlineStr">
        <is>
          <t>High</t>
        </is>
      </c>
      <c r="P104" s="4" t="n">
        <v>0</v>
      </c>
      <c r="Q104" s="4" t="n">
        <v>0</v>
      </c>
      <c r="R104" s="4" t="n">
        <v>0</v>
      </c>
      <c r="S104" s="4" t="n">
        <v>0</v>
      </c>
      <c r="T104" s="4" t="n">
        <v>1</v>
      </c>
      <c r="U104" s="4" t="n">
        <v>0</v>
      </c>
      <c r="V104" s="4" t="n">
        <v>0</v>
      </c>
      <c r="W104" s="4" t="n">
        <v>1</v>
      </c>
      <c r="X104" s="4" t="n">
        <v>0</v>
      </c>
      <c r="Y104" s="4" t="n">
        <v>0</v>
      </c>
      <c r="Z104" s="4" t="n">
        <v>0</v>
      </c>
      <c r="AA104" s="4" t="n">
        <v>0</v>
      </c>
      <c r="AB104" s="4" t="inlineStr">
        <is>
          <t>00:00:00</t>
        </is>
      </c>
      <c r="AC104" s="4" t="n"/>
      <c r="AD104" s="4" t="n"/>
      <c r="AE104" s="4" t="n"/>
      <c r="AF104" s="4" t="n"/>
      <c r="AG104" s="4" t="n">
        <v>1</v>
      </c>
      <c r="AH104" s="4" t="n">
        <v>1</v>
      </c>
      <c r="AI104" s="4" t="n"/>
      <c r="AJ104" s="4" t="n"/>
      <c r="AK104" s="4" t="n"/>
      <c r="AL104" s="4" t="inlineStr">
        <is>
          <t>Usa historia parental/perinatal estructurada para modelar riesgo/causas; mezcla clustering y predicción sin algoritmo principal claro.</t>
        </is>
      </c>
      <c r="AM104" s="4" t="inlineStr">
        <is>
          <t>RA</t>
        </is>
      </c>
      <c r="AN104" s="4" t="inlineStr">
        <is>
          <t>Tomado completo desde archivo RA según asignación</t>
        </is>
      </c>
      <c r="AO104" s="4" t="n">
        <v>0</v>
      </c>
    </row>
    <row r="105" ht="307" customHeight="1">
      <c r="A105" s="4" t="n">
        <v>104</v>
      </c>
      <c r="B105" s="4" t="n">
        <v>112</v>
      </c>
      <c r="C105" s="4" t="inlineStr">
        <is>
          <t>Ambos (piloto)</t>
        </is>
      </c>
      <c r="D105" s="4" t="inlineStr">
        <is>
          <t>RA</t>
        </is>
      </c>
      <c r="E105" s="4" t="n">
        <v>2023</v>
      </c>
      <c r="F105" s="4" t="inlineStr">
        <is>
          <t>Texto · NLP</t>
        </is>
      </c>
      <c r="G105" s="4" t="inlineStr">
        <is>
          <t>No especificado</t>
        </is>
      </c>
      <c r="H105" s="4" t="inlineStr">
        <is>
          <t>https://doi.org/10.1016/j.xhgg.2022.100150</t>
        </is>
      </c>
      <c r="I105" s="4" t="inlineStr">
        <is>
          <t>Structural variants identified using non-Mendelian inheritance patterns advance the mechanistic understanding of autism spectrum disorder</t>
        </is>
      </c>
      <c r="J105" s="4" t="inlineStr">
        <is>
          <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t>
        </is>
      </c>
      <c r="K105" s="4" t="inlineStr">
        <is>
          <t>Unsupervised</t>
        </is>
      </c>
      <c r="L105" s="4" t="inlineStr">
        <is>
          <t>Clustering (k-means / GMM / ...)</t>
        </is>
      </c>
      <c r="M105" s="4" t="inlineStr">
        <is>
          <t>Clustering / subtyping</t>
        </is>
      </c>
      <c r="N105" s="4" t="inlineStr">
        <is>
          <t>Diagnosis</t>
        </is>
      </c>
      <c r="O105" s="4" t="inlineStr">
        <is>
          <t>Medium</t>
        </is>
      </c>
      <c r="P105" s="4" t="n">
        <v>0</v>
      </c>
      <c r="Q105" s="4" t="n">
        <v>0</v>
      </c>
      <c r="R105" s="4" t="n">
        <v>0</v>
      </c>
      <c r="S105" s="4" t="n">
        <v>0</v>
      </c>
      <c r="T105" s="4" t="n">
        <v>0</v>
      </c>
      <c r="U105" s="4" t="n">
        <v>1</v>
      </c>
      <c r="V105" s="4" t="n">
        <v>0</v>
      </c>
      <c r="W105" s="4" t="n">
        <v>0</v>
      </c>
      <c r="X105" s="4" t="n">
        <v>0</v>
      </c>
      <c r="Y105" s="4" t="n">
        <v>1</v>
      </c>
      <c r="Z105" s="4" t="n">
        <v>0</v>
      </c>
      <c r="AA105" s="4" t="n">
        <v>0</v>
      </c>
      <c r="AB105" s="4" t="inlineStr">
        <is>
          <t>1900-01-01</t>
        </is>
      </c>
      <c r="AC105" s="4" t="n"/>
      <c r="AD105" s="4" t="n"/>
      <c r="AE105" s="4" t="n"/>
      <c r="AF105" s="4" t="n"/>
      <c r="AG105" s="4" t="n">
        <v>1</v>
      </c>
      <c r="AH105" s="4" t="n">
        <v>1</v>
      </c>
      <c r="AI105" s="4" t="n"/>
      <c r="AJ105" s="4" t="n"/>
      <c r="AK105" s="4" t="n"/>
      <c r="AL105" s="4" t="inlineStr">
        <is>
          <t>Estudio genómico/estructural sin sistema IA clínico claramente codificable en el abstract.</t>
        </is>
      </c>
      <c r="AM105" s="4" t="inlineStr">
        <is>
          <t>RA</t>
        </is>
      </c>
      <c r="AN105" s="4" t="inlineStr">
        <is>
          <t>Tomado completo desde archivo RA según asignación</t>
        </is>
      </c>
      <c r="AO105" s="4" t="n">
        <v>0</v>
      </c>
    </row>
    <row r="106" ht="229" customHeight="1">
      <c r="A106" s="4" t="n">
        <v>105</v>
      </c>
      <c r="B106" s="4" t="n">
        <v>113</v>
      </c>
      <c r="C106" s="4" t="inlineStr">
        <is>
          <t>Revisor B</t>
        </is>
      </c>
      <c r="D106" s="4" t="n"/>
      <c r="E106" s="4" t="n">
        <v>2023</v>
      </c>
      <c r="F106" s="4" t="inlineStr">
        <is>
          <t>No especificado</t>
        </is>
      </c>
      <c r="G106" s="4" t="inlineStr">
        <is>
          <t>Machine Learning</t>
        </is>
      </c>
      <c r="H106" s="4" t="inlineStr">
        <is>
          <t>https://doi.org/10.1016/j.bbr.2022.114149</t>
        </is>
      </c>
      <c r="I106" s="4" t="inlineStr">
        <is>
          <t>Transient hearing abnormalities precede social deficits in a mouse model of autism</t>
        </is>
      </c>
      <c r="J106" s="4" t="inlineStr">
        <is>
          <t>Hearing abnormalities are important symptoms of autism spectrum disorders (ASDs), a neurological and developmental disorder. However, the characteristics of hearing abnormalities associated with ASD during development have not been fully investigated. We found that in Shank3B knockout mice (a high-confidence mouse model of ASD), transient hearing abnormalities can be found in auditory brainstem response, auditory cortical activity, as well as acoustic startle response. More importantly, all hearing abnormalities at 4 weeks were most prominent and preceded the onset of social deficits at 6 weeks. These hearing abnormalities gradually recovered with age. In addition, analysis of ABR data at 4 weeks using Support Vector Machine (SVM) can faithfully predict the genotype of mice with an accuracy of 85.71%. These findings not only revealed hearing changes in Shank3B knockout autistic-like mice during development, but also suggested that hearing abnormalities could potentially be used as an early and effective indicator of ASD risk.</t>
        </is>
      </c>
      <c r="K106" s="4" t="inlineStr">
        <is>
          <t>Supervised</t>
        </is>
      </c>
      <c r="L106" s="4" t="inlineStr">
        <is>
          <t>SVM</t>
        </is>
      </c>
      <c r="M106" s="4" t="inlineStr">
        <is>
          <t>Classification (binary/multi-class; incl. ASD vs control)/ multi-class)</t>
        </is>
      </c>
      <c r="N106" s="4" t="inlineStr">
        <is>
          <t>Prognosis</t>
        </is>
      </c>
      <c r="O106" s="4" t="inlineStr">
        <is>
          <t>high</t>
        </is>
      </c>
      <c r="P106" s="4" t="n">
        <v>0</v>
      </c>
      <c r="Q106" s="4" t="n">
        <v>0</v>
      </c>
      <c r="R106" s="4" t="n">
        <v>1</v>
      </c>
      <c r="S106" s="4" t="n">
        <v>0</v>
      </c>
      <c r="T106" s="4" t="n">
        <v>0</v>
      </c>
      <c r="U106" s="4" t="n">
        <v>0</v>
      </c>
      <c r="V106" s="4" t="n">
        <v>0</v>
      </c>
      <c r="W106" s="4" t="n">
        <v>0</v>
      </c>
      <c r="X106" s="4" t="n">
        <v>1</v>
      </c>
      <c r="Y106" s="4" t="n">
        <v>1</v>
      </c>
      <c r="Z106" s="4" t="n">
        <v>1</v>
      </c>
      <c r="AA106" s="4" t="n">
        <v>1</v>
      </c>
      <c r="AB106" s="4" t="inlineStr">
        <is>
          <t>1900-01-01</t>
        </is>
      </c>
      <c r="AC106" s="4" t="n">
        <v>0</v>
      </c>
      <c r="AD106" s="4" t="n">
        <v>0</v>
      </c>
      <c r="AE106" s="4" t="n">
        <v>0</v>
      </c>
      <c r="AF106" s="4" t="n">
        <v>0</v>
      </c>
      <c r="AG106" s="4" t="n">
        <v>0</v>
      </c>
      <c r="AH106" s="4" t="n">
        <v>1</v>
      </c>
      <c r="AI106" s="4" t="n">
        <v>0</v>
      </c>
      <c r="AJ106" s="4" t="inlineStr">
        <is>
          <t>1900-01-01</t>
        </is>
      </c>
      <c r="AK106" s="4" t="inlineStr">
        <is>
          <t>00:00:00</t>
        </is>
      </c>
      <c r="AL106" s="4" t="inlineStr">
        <is>
          <t>Animal model; ML predicts genotype from ABR features (not ASD-vs-control clinical classification). Used as early risk indicator</t>
        </is>
      </c>
      <c r="AM106" s="4" t="inlineStr">
        <is>
          <t>RB</t>
        </is>
      </c>
      <c r="AN106" s="4" t="inlineStr">
        <is>
          <t>Tomado completo desde archivo RB según asignación</t>
        </is>
      </c>
      <c r="AO106" s="4" t="n">
        <v>0</v>
      </c>
    </row>
    <row r="107" ht="409" customHeight="1">
      <c r="A107" s="4" t="n">
        <v>106</v>
      </c>
      <c r="B107" s="4" t="n">
        <v>114</v>
      </c>
      <c r="C107" s="4" t="inlineStr">
        <is>
          <t>Revisor B</t>
        </is>
      </c>
      <c r="D107" s="4" t="n"/>
      <c r="E107" s="4" t="n">
        <v>2024</v>
      </c>
      <c r="F107" s="4" t="inlineStr">
        <is>
          <t>Imagen</t>
        </is>
      </c>
      <c r="G107" s="4" t="inlineStr">
        <is>
          <t>Machine Learning</t>
        </is>
      </c>
      <c r="H107" s="4" t="inlineStr">
        <is>
          <t>https://doi.org/10.1016/B978-0-443-19073-5.00018-5</t>
        </is>
      </c>
      <c r="I107" s="4" t="inlineStr">
        <is>
          <t>Early-stage identification of autism in children using gesture monitoring based on artificial intelligence</t>
        </is>
      </c>
      <c r="J107" s="4" t="inlineStr">
        <is>
          <t>This chapter explores the innovative integration of artificial intelligence (AI) and gesture monitoring for the early-stage recognition of autism spectrum disorder (ASD) in children. Early detection of ASD is crucial for initiating timely interventions that can improve developmental outcomes. This chapter begins with an overview of ASD, highlighting its definition, characteristics, prevalence, and risk factors. The impact of late diagnosis on children with ASD is discussed. This chapter presents the purpose and scope of the research, focusing on the potential of AI-based gesture monitoring in revolutionizing ASD screening and diagnosis. It outlines the current screening and diagnostic methods and challenges. To overcome these challenges, this chapter explores the advantages of early detection, emphasizing the critical role of gestures in child development and their association with ASD. Further, this chapter delves into the role of AI in health care and ASD diagnosis, with a particular focus on the application of machine learning (ML) algorithms for gesture analysis. It discusses the selection of participants, data collection techniques, and ethical considerations to ensure responsible research practices. Model training, validation, and performance metrics are also detailed to ensure the reliability and accuracy of AI models. This chapter highlights the potential impact of AI-based gesture analysis on public health, emphasizing its role in providing personalized care, supporting caregivers, and advancing research in the field. It discusses the challenges faced in implementing AI technologies and suggests improvements. In conclusion, this chapter underscores the transformative potential of AI-based gesture monitoring for early ASD identification. By addressing the challenges and leveraging the advantages of AI technologies, this chapter paves the way for innovative solutions that can significantly enhance the quality of life for those with ASD and their families.</t>
        </is>
      </c>
      <c r="K107" s="4" t="n"/>
      <c r="L107" s="4" t="n"/>
      <c r="M107" s="4" t="n"/>
      <c r="N107" s="4" t="inlineStr">
        <is>
          <t>screening</t>
        </is>
      </c>
      <c r="O107" s="4" t="inlineStr">
        <is>
          <t>high</t>
        </is>
      </c>
      <c r="P107" s="4" t="n">
        <v>0</v>
      </c>
      <c r="Q107" s="4" t="n">
        <v>0</v>
      </c>
      <c r="R107" s="4" t="n">
        <v>0</v>
      </c>
      <c r="S107" s="4" t="n">
        <v>0</v>
      </c>
      <c r="T107" s="4" t="n">
        <v>0</v>
      </c>
      <c r="U107" s="4" t="n">
        <v>0</v>
      </c>
      <c r="V107" s="4" t="n">
        <v>0</v>
      </c>
      <c r="W107" s="4" t="n">
        <v>0</v>
      </c>
      <c r="X107" s="4" t="n">
        <v>1</v>
      </c>
      <c r="Y107" s="4" t="n">
        <v>1</v>
      </c>
      <c r="Z107" s="4" t="n">
        <v>0</v>
      </c>
      <c r="AA107" s="4" t="n">
        <v>1</v>
      </c>
      <c r="AB107" s="4" t="inlineStr">
        <is>
          <t>1900-01-01</t>
        </is>
      </c>
      <c r="AC107" s="4" t="n">
        <v>0</v>
      </c>
      <c r="AD107" s="4" t="n">
        <v>0</v>
      </c>
      <c r="AE107" s="4" t="n">
        <v>0</v>
      </c>
      <c r="AF107" s="4" t="n">
        <v>0</v>
      </c>
      <c r="AG107" s="4" t="n">
        <v>1</v>
      </c>
      <c r="AH107" s="4" t="n">
        <v>0</v>
      </c>
      <c r="AI107" s="4" t="n">
        <v>0</v>
      </c>
      <c r="AJ107" s="4" t="inlineStr">
        <is>
          <t>1900-01-01</t>
        </is>
      </c>
      <c r="AK107" s="4" t="inlineStr">
        <is>
          <t>00:00:00</t>
        </is>
      </c>
      <c r="AL107" s="4" t="n"/>
      <c r="AM107" s="4" t="inlineStr">
        <is>
          <t>RB</t>
        </is>
      </c>
      <c r="AN107" s="4" t="inlineStr">
        <is>
          <t>Tomado completo desde archivo RB según asignación</t>
        </is>
      </c>
      <c r="AO107" s="4" t="n">
        <v>0</v>
      </c>
    </row>
    <row r="108" ht="409" customHeight="1">
      <c r="A108" s="4" t="n">
        <v>107</v>
      </c>
      <c r="B108" s="4" t="n">
        <v>115</v>
      </c>
      <c r="C108" s="4" t="inlineStr">
        <is>
          <t>Revisor A</t>
        </is>
      </c>
      <c r="D108" s="4" t="inlineStr">
        <is>
          <t>RA</t>
        </is>
      </c>
      <c r="E108" s="4" t="n">
        <v>2025</v>
      </c>
      <c r="F108" s="4" t="inlineStr">
        <is>
          <t>No especificado</t>
        </is>
      </c>
      <c r="G108" s="4" t="inlineStr">
        <is>
          <t>Híbrido</t>
        </is>
      </c>
      <c r="H108" s="4" t="inlineStr">
        <is>
          <t>https://doi.org/10.1002/jdn.70034</t>
        </is>
      </c>
      <c r="I108" s="4" t="inlineStr">
        <is>
          <t>Electromagnetic Interaction Algorithm (EIA)-Based Feature Selection With Adaptive Kernel Attention Network (AKAttNet) for Autism Spectrum Disorder Classification</t>
        </is>
      </c>
      <c r="J108" s="4" t="inlineStr">
        <is>
          <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t>
        </is>
      </c>
      <c r="K108" s="4" t="inlineStr">
        <is>
          <t>Supervised</t>
        </is>
      </c>
      <c r="L108" s="4" t="inlineStr">
        <is>
          <t>CNN</t>
        </is>
      </c>
      <c r="M108" s="4" t="inlineStr">
        <is>
          <t>Classification (ASD vs control / multi-class)</t>
        </is>
      </c>
      <c r="N108" s="4" t="inlineStr">
        <is>
          <t>Screening</t>
        </is>
      </c>
      <c r="O108" s="4" t="inlineStr">
        <is>
          <t>Medium</t>
        </is>
      </c>
      <c r="P108" s="4" t="n">
        <v>0</v>
      </c>
      <c r="Q108" s="4" t="n">
        <v>0</v>
      </c>
      <c r="R108" s="4" t="n">
        <v>0</v>
      </c>
      <c r="S108" s="4" t="n">
        <v>0</v>
      </c>
      <c r="T108" s="4" t="n">
        <v>1</v>
      </c>
      <c r="U108" s="4" t="n">
        <v>0</v>
      </c>
      <c r="V108" s="4" t="n">
        <v>0</v>
      </c>
      <c r="W108" s="4" t="n">
        <v>0</v>
      </c>
      <c r="X108" s="4" t="n">
        <v>1</v>
      </c>
      <c r="Y108" s="4" t="n">
        <v>1</v>
      </c>
      <c r="Z108" s="4" t="n">
        <v>0</v>
      </c>
      <c r="AA108" s="4" t="n">
        <v>0</v>
      </c>
      <c r="AB108" s="4" t="inlineStr">
        <is>
          <t>1900-01-01</t>
        </is>
      </c>
      <c r="AC108" s="4" t="n"/>
      <c r="AD108" s="4" t="n"/>
      <c r="AE108" s="4" t="n"/>
      <c r="AF108" s="4" t="n"/>
      <c r="AG108" s="4" t="n">
        <v>1</v>
      </c>
      <c r="AH108" s="4" t="n">
        <v>1</v>
      </c>
      <c r="AI108" s="4" t="n"/>
      <c r="AJ108" s="4" t="n"/>
      <c r="AK108" s="4" t="n"/>
      <c r="AL108" s="4" t="inlineStr">
        <is>
          <t>Algoritmo principal no explícito o fuera del codebook; Confirmar algoritmo principal en full-text; Se comparan varios modelos; se eligió el principal/mejor reportado</t>
        </is>
      </c>
      <c r="AM108" s="4" t="inlineStr">
        <is>
          <t>RA</t>
        </is>
      </c>
      <c r="AN108" s="4" t="inlineStr">
        <is>
          <t>Tomado completo desde archivo RA según asignación</t>
        </is>
      </c>
      <c r="AO108" s="4" t="n">
        <v>0</v>
      </c>
    </row>
    <row r="109" ht="333" customHeight="1">
      <c r="A109" s="4" t="n">
        <v>108</v>
      </c>
      <c r="B109" s="4" t="n">
        <v>116</v>
      </c>
      <c r="C109" s="4" t="inlineStr">
        <is>
          <t>Revisor A</t>
        </is>
      </c>
      <c r="D109" s="4" t="inlineStr">
        <is>
          <t>RA</t>
        </is>
      </c>
      <c r="E109" s="4" t="n">
        <v>2016</v>
      </c>
      <c r="F109" s="4" t="inlineStr">
        <is>
          <t>No especificado</t>
        </is>
      </c>
      <c r="G109" s="4" t="inlineStr">
        <is>
          <t>Deep Learning</t>
        </is>
      </c>
      <c r="H109" s="4" t="inlineStr">
        <is>
          <t>https://doi.org/10.1038/tp.2015.221</t>
        </is>
      </c>
      <c r="I109" s="4" t="inlineStr">
        <is>
          <t>Use of machine learning for behavioral distinction of autism and ADHD</t>
        </is>
      </c>
      <c r="J109" s="4" t="inlineStr">
        <is>
          <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t>
        </is>
      </c>
      <c r="K109" s="4" t="inlineStr">
        <is>
          <t>Supervised</t>
        </is>
      </c>
      <c r="L109" s="4" t="inlineStr">
        <is>
          <t>Other / Not clear</t>
        </is>
      </c>
      <c r="M109" s="4" t="inlineStr">
        <is>
          <t>Classification (ASD vs control / multi-class)</t>
        </is>
      </c>
      <c r="N109" s="4" t="inlineStr">
        <is>
          <t>Screening</t>
        </is>
      </c>
      <c r="O109" s="4" t="inlineStr">
        <is>
          <t>Medium</t>
        </is>
      </c>
      <c r="P109" s="4" t="n">
        <v>0</v>
      </c>
      <c r="Q109" s="4" t="n">
        <v>0</v>
      </c>
      <c r="R109" s="4" t="n">
        <v>0</v>
      </c>
      <c r="S109" s="4" t="n">
        <v>0</v>
      </c>
      <c r="T109" s="4" t="n">
        <v>1</v>
      </c>
      <c r="U109" s="4" t="n">
        <v>0</v>
      </c>
      <c r="V109" s="4" t="n">
        <v>0</v>
      </c>
      <c r="W109" s="4" t="n">
        <v>0</v>
      </c>
      <c r="X109" s="4" t="n">
        <v>1</v>
      </c>
      <c r="Y109" s="4" t="n">
        <v>0</v>
      </c>
      <c r="Z109" s="4" t="n">
        <v>0</v>
      </c>
      <c r="AA109" s="4" t="n">
        <v>0</v>
      </c>
      <c r="AB109" s="4" t="inlineStr">
        <is>
          <t>1900-01-01</t>
        </is>
      </c>
      <c r="AC109" s="4" t="n"/>
      <c r="AD109" s="4" t="n"/>
      <c r="AE109" s="4" t="n"/>
      <c r="AF109" s="4" t="n"/>
      <c r="AG109" s="4" t="n">
        <v>1</v>
      </c>
      <c r="AH109" s="4" t="n">
        <v>1</v>
      </c>
      <c r="AI109" s="4" t="n"/>
      <c r="AJ109" s="4" t="n"/>
      <c r="AK109" s="4" t="n"/>
      <c r="AL109" s="4" t="inlineStr">
        <is>
          <t>Usa puntajes SRS para distinguir ASD vs ADHD; aunque es herramienta de cribado, el objetivo es distinción diagnóstica diferencial.</t>
        </is>
      </c>
      <c r="AM109" s="4" t="inlineStr">
        <is>
          <t>RA</t>
        </is>
      </c>
      <c r="AN109" s="4" t="inlineStr">
        <is>
          <t>Tomado completo desde archivo RA según asignación</t>
        </is>
      </c>
      <c r="AO109" s="4" t="n">
        <v>0</v>
      </c>
    </row>
    <row r="110" ht="409" customHeight="1">
      <c r="A110" s="4" t="n">
        <v>109</v>
      </c>
      <c r="B110" s="4" t="n">
        <v>117</v>
      </c>
      <c r="C110" s="4" t="inlineStr">
        <is>
          <t>Ambos (piloto)</t>
        </is>
      </c>
      <c r="D110" s="4" t="inlineStr">
        <is>
          <t>RA</t>
        </is>
      </c>
      <c r="E110" s="4" t="n">
        <v>2019</v>
      </c>
      <c r="F110" s="4" t="inlineStr">
        <is>
          <t>No especificado</t>
        </is>
      </c>
      <c r="G110" s="4" t="inlineStr">
        <is>
          <t>Deep Learning</t>
        </is>
      </c>
      <c r="H110" s="4" t="inlineStr">
        <is>
          <t>https://doi.org/10.1097/DBP.0000000000000668</t>
        </is>
      </c>
      <c r="I110" s="4" t="inlineStr">
        <is>
          <t>A Machine Learning Strategy for Autism Screening in Toddlers</t>
        </is>
      </c>
      <c r="J110" s="4" t="inlineStr">
        <is>
          <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t>
        </is>
      </c>
      <c r="K110" s="4" t="inlineStr">
        <is>
          <t>Supervised</t>
        </is>
      </c>
      <c r="L110" s="4" t="inlineStr">
        <is>
          <t>MLP</t>
        </is>
      </c>
      <c r="M110" s="4" t="inlineStr">
        <is>
          <t>Classification (ASD vs control / multi-class)</t>
        </is>
      </c>
      <c r="N110" s="4" t="inlineStr">
        <is>
          <t>Screening</t>
        </is>
      </c>
      <c r="O110" s="4" t="inlineStr">
        <is>
          <t>High</t>
        </is>
      </c>
      <c r="P110" s="4" t="n">
        <v>0</v>
      </c>
      <c r="Q110" s="4" t="n">
        <v>0</v>
      </c>
      <c r="R110" s="4" t="n">
        <v>0</v>
      </c>
      <c r="S110" s="4" t="n">
        <v>0</v>
      </c>
      <c r="T110" s="4" t="n">
        <v>1</v>
      </c>
      <c r="U110" s="4" t="n">
        <v>0</v>
      </c>
      <c r="V110" s="4" t="n">
        <v>0</v>
      </c>
      <c r="W110" s="4" t="n">
        <v>0</v>
      </c>
      <c r="X110" s="4" t="n">
        <v>1</v>
      </c>
      <c r="Y110" s="4" t="n">
        <v>0</v>
      </c>
      <c r="Z110" s="4" t="n">
        <v>0</v>
      </c>
      <c r="AA110" s="4" t="n">
        <v>0</v>
      </c>
      <c r="AB110" s="4" t="inlineStr">
        <is>
          <t>1900-01-01</t>
        </is>
      </c>
      <c r="AC110" s="4" t="n"/>
      <c r="AD110" s="4" t="n"/>
      <c r="AE110" s="4" t="n"/>
      <c r="AF110" s="4" t="n"/>
      <c r="AG110" s="4" t="n">
        <v>0</v>
      </c>
      <c r="AH110" s="4" t="n">
        <v>1</v>
      </c>
      <c r="AI110" s="4" t="n"/>
      <c r="AJ110" s="4" t="n"/>
      <c r="AK110" s="4" t="n"/>
      <c r="AL110" s="4" t="inlineStr">
        <is>
          <t>Feedforward neural network aplicado a M-CHAT-R para cribado en toddlers.</t>
        </is>
      </c>
      <c r="AM110" s="4" t="inlineStr">
        <is>
          <t>RA</t>
        </is>
      </c>
      <c r="AN110" s="4" t="inlineStr">
        <is>
          <t>Tomado completo desde archivo RA según asignación</t>
        </is>
      </c>
      <c r="AO110" s="4" t="n">
        <v>0</v>
      </c>
    </row>
    <row r="111" ht="333" customHeight="1">
      <c r="A111" s="4" t="n">
        <v>110</v>
      </c>
      <c r="B111" s="4" t="n">
        <v>118</v>
      </c>
      <c r="C111" s="4" t="inlineStr">
        <is>
          <t>Revisor B</t>
        </is>
      </c>
      <c r="D111" s="4" t="n"/>
      <c r="E111" s="4" t="n">
        <v>2023</v>
      </c>
      <c r="F111" s="4" t="inlineStr">
        <is>
          <t>Imagen</t>
        </is>
      </c>
      <c r="G111" s="4" t="inlineStr">
        <is>
          <t>Deep Learning</t>
        </is>
      </c>
      <c r="H111" s="4" t="inlineStr">
        <is>
          <t>https://doi.org/10.1038/s41591-023-02574-3</t>
        </is>
      </c>
      <c r="I111" s="4" t="inlineStr">
        <is>
          <t>Early detection of autism using digital behavioral phenotyping</t>
        </is>
      </c>
      <c r="J111" s="4" t="inlineStr">
        <is>
          <t>Early detection of autism, a neurodevelopmental condition associated with challenges in social communication, ensures timely access to intervention. Autism screening questionnaires have been shown to have lower accuracy when used in real-world settings, such as primary care, as compared to research studies, particularly for children of color and girls. 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 The app displayed stimuli that elicited behavioral signs of autism, quantified using computer vision and machine learning. An algorithm combining multiple digital phenotypes showed high diagnostic accuracy with the area under the receiver operating characteristic curve = 0.90, sensitivity = 87.8%, specificity = 80.8%, negative predictive value = 97.8% and positive predictive value = 40.6%. The algorithm had similar sensitivity performance across subgroups as defined by sex, race and ethnicity. These results demonstrate the potential for digital phenotyping to provide an objective, scalable approach to autism screening in real-world settings. Moreover, combining results from digital phenotyping and caregiver questionnaires may increase autism screening accuracy and help reduce disparities in access to diagnosis and intervention.</t>
        </is>
      </c>
      <c r="K111" s="4" t="inlineStr">
        <is>
          <t>Supervised</t>
        </is>
      </c>
      <c r="L111" s="4" t="inlineStr">
        <is>
          <t>XGBoost / GBDT</t>
        </is>
      </c>
      <c r="M111" s="4" t="inlineStr">
        <is>
          <t>Classification (binary/multi-class; incl. ASD vs control)/ multi-class)</t>
        </is>
      </c>
      <c r="N111" s="4" t="inlineStr">
        <is>
          <t>Screening</t>
        </is>
      </c>
      <c r="O111" s="4" t="inlineStr">
        <is>
          <t>high</t>
        </is>
      </c>
      <c r="P111" s="4" t="n">
        <v>0</v>
      </c>
      <c r="Q111" s="4" t="n">
        <v>1</v>
      </c>
      <c r="R111" s="4" t="n">
        <v>0</v>
      </c>
      <c r="S111" s="4" t="n">
        <v>0</v>
      </c>
      <c r="T111" s="4" t="n">
        <v>0</v>
      </c>
      <c r="U111" s="4" t="n">
        <v>0</v>
      </c>
      <c r="V111" s="4" t="n">
        <v>0</v>
      </c>
      <c r="W111" s="4" t="n">
        <v>0</v>
      </c>
      <c r="X111" s="4" t="n">
        <v>0</v>
      </c>
      <c r="Y111" s="4" t="n">
        <v>1</v>
      </c>
      <c r="Z111" s="4" t="n">
        <v>0</v>
      </c>
      <c r="AA111" s="4" t="n">
        <v>1</v>
      </c>
      <c r="AB111" s="4" t="inlineStr">
        <is>
          <t>1900-01-01</t>
        </is>
      </c>
      <c r="AC111" s="4" t="n">
        <v>0</v>
      </c>
      <c r="AD111" s="4" t="n">
        <v>0</v>
      </c>
      <c r="AE111" s="4" t="n">
        <v>0</v>
      </c>
      <c r="AF111" s="4" t="n">
        <v>0</v>
      </c>
      <c r="AG111" s="4" t="n">
        <v>1</v>
      </c>
      <c r="AH111" s="4" t="n">
        <v>1</v>
      </c>
      <c r="AI111" s="4" t="n">
        <v>0</v>
      </c>
      <c r="AJ111" s="4" t="inlineStr">
        <is>
          <t>1900-01-01</t>
        </is>
      </c>
      <c r="AK111" s="4" t="inlineStr">
        <is>
          <t>00:00:00</t>
        </is>
      </c>
      <c r="AL111" s="4" t="n"/>
      <c r="AM111" s="4" t="inlineStr">
        <is>
          <t>RB</t>
        </is>
      </c>
      <c r="AN111" s="4" t="inlineStr">
        <is>
          <t>Tomado completo desde archivo RB según asignación</t>
        </is>
      </c>
      <c r="AO111" s="4" t="n">
        <v>0</v>
      </c>
    </row>
    <row r="112" ht="229" customHeight="1">
      <c r="A112" s="4" t="n">
        <v>111</v>
      </c>
      <c r="B112" s="4" t="n">
        <v>119</v>
      </c>
      <c r="C112" s="4" t="inlineStr">
        <is>
          <t>Revisor B</t>
        </is>
      </c>
      <c r="D112" s="4" t="n"/>
      <c r="E112" s="4" t="n">
        <v>2016</v>
      </c>
      <c r="F112" s="4" t="inlineStr">
        <is>
          <t>No especificado</t>
        </is>
      </c>
      <c r="G112" s="4" t="inlineStr">
        <is>
          <t>Machine Learning</t>
        </is>
      </c>
      <c r="H112" s="4" t="inlineStr">
        <is>
          <t>https://doi.org/10.1109/EMBC.2016.7591440</t>
        </is>
      </c>
      <c r="I112" s="4" t="inlineStr">
        <is>
          <t>Ensemble statistical and subspace clustering model for analysis of autism spectrum disorder phenotypes</t>
        </is>
      </c>
      <c r="J112" s="4" t="inlineStr">
        <is>
          <t>Heterogeneity in Autism Spectrum Disorder (ASD) is complex including variability in behavioral phenotype as well as clinical, physiologic, and pathologic parameters. The fifth edition of the Diagnostic and Statistical Manual of Mental Disorders (DSM-5) now diagnoses ASD using a 2-dimensional model based social communication deficits and fixated interests and repetitive behaviors. Sorting out heterogeneity is crucial for study of etiology, diagnosis, treatment and prognosis. In this paper, we present an ensemble model for analyzing ASD phenotypes using several machine learning techniques and a k-dimensional subspace clustering algorithm. Our ensemble also incorporates statistical methods at several stages of analysis. We apply this model to a sample of 208 probands drawn from the Simon Simplex Collection Missouri Site patients. The results provide useful evidence that is helpful in elucidating the phenotype complexity within ASD. Our model can be extended to other disorders that exhibit a diverse range of heterogeneity.</t>
        </is>
      </c>
      <c r="K112" s="4" t="inlineStr">
        <is>
          <t>Unsupervised</t>
        </is>
      </c>
      <c r="L112" s="4" t="inlineStr">
        <is>
          <t>Clustering (k-means / GMM / ...)</t>
        </is>
      </c>
      <c r="M112" s="4" t="inlineStr">
        <is>
          <t>Clustering / subtyping</t>
        </is>
      </c>
      <c r="N112" s="4" t="inlineStr">
        <is>
          <t>Monitoring/intervention</t>
        </is>
      </c>
      <c r="O112" s="4" t="inlineStr">
        <is>
          <t>high</t>
        </is>
      </c>
      <c r="P112" s="4" t="n">
        <v>0</v>
      </c>
      <c r="Q112" s="4" t="n">
        <v>0</v>
      </c>
      <c r="R112" s="4" t="n">
        <v>1</v>
      </c>
      <c r="S112" s="4" t="n">
        <v>1</v>
      </c>
      <c r="T112" s="4" t="n">
        <v>0</v>
      </c>
      <c r="U112" s="4" t="n">
        <v>0</v>
      </c>
      <c r="V112" s="4" t="n">
        <v>1</v>
      </c>
      <c r="W112" s="4" t="n">
        <v>0</v>
      </c>
      <c r="X112" s="4" t="n">
        <v>1</v>
      </c>
      <c r="Y112" s="4" t="n">
        <v>1</v>
      </c>
      <c r="Z112" s="4" t="n">
        <v>0</v>
      </c>
      <c r="AA112" s="4" t="n">
        <v>0</v>
      </c>
      <c r="AB112" s="4" t="inlineStr">
        <is>
          <t>1900-01-01</t>
        </is>
      </c>
      <c r="AC112" s="4" t="n">
        <v>0</v>
      </c>
      <c r="AD112" s="4" t="n">
        <v>0</v>
      </c>
      <c r="AE112" s="4" t="n">
        <v>0</v>
      </c>
      <c r="AF112" s="4" t="n">
        <v>0</v>
      </c>
      <c r="AG112" s="4" t="n">
        <v>0</v>
      </c>
      <c r="AH112" s="4" t="n">
        <v>3</v>
      </c>
      <c r="AI112" s="4" t="n">
        <v>1</v>
      </c>
      <c r="AJ112" s="4" t="inlineStr">
        <is>
          <t>1900-01-01</t>
        </is>
      </c>
      <c r="AK112" s="4" t="inlineStr">
        <is>
          <t>00:00:00</t>
        </is>
      </c>
      <c r="AL112" s="4" t="inlineStr">
        <is>
          <t>Estudio de subtipificación/heterogeneidad en una cohorte ASD ya confirmada (SSC; ADI-R/ADOS); no clasifica ASD vs control como endpoint principal</t>
        </is>
      </c>
      <c r="AM112" s="4" t="inlineStr">
        <is>
          <t>RB</t>
        </is>
      </c>
      <c r="AN112" s="4" t="inlineStr">
        <is>
          <t>Tomado completo desde archivo RB según asignación</t>
        </is>
      </c>
      <c r="AO112" s="4" t="n">
        <v>0</v>
      </c>
    </row>
    <row r="113" ht="346" customHeight="1">
      <c r="A113" s="4" t="n">
        <v>112</v>
      </c>
      <c r="B113" s="4" t="n">
        <v>120</v>
      </c>
      <c r="C113" s="4" t="inlineStr">
        <is>
          <t>Revisor A</t>
        </is>
      </c>
      <c r="D113" s="4" t="inlineStr">
        <is>
          <t>RA</t>
        </is>
      </c>
      <c r="E113" s="4" t="n">
        <v>2025</v>
      </c>
      <c r="F113" s="4" t="inlineStr">
        <is>
          <t>Imagen</t>
        </is>
      </c>
      <c r="G113" s="4" t="inlineStr">
        <is>
          <t>Machine Learning</t>
        </is>
      </c>
      <c r="H113" s="4" t="inlineStr">
        <is>
          <t>https://doi.org/10.1038/s41598-025-01500-6</t>
        </is>
      </c>
      <c r="I113" s="4" t="inlineStr">
        <is>
          <t>Screening autism spectrum disorder in children using machine learning on speech transcripts</t>
        </is>
      </c>
      <c r="J113" s="4"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K113" s="4" t="inlineStr">
        <is>
          <t>Supervised</t>
        </is>
      </c>
      <c r="L113" s="4" t="inlineStr">
        <is>
          <t>Other / Not clear</t>
        </is>
      </c>
      <c r="M113" s="4" t="inlineStr">
        <is>
          <t>Classification (ASD vs control / multi-class)</t>
        </is>
      </c>
      <c r="N113" s="4" t="inlineStr">
        <is>
          <t>Screening</t>
        </is>
      </c>
      <c r="O113" s="4" t="inlineStr">
        <is>
          <t>Medium</t>
        </is>
      </c>
      <c r="P113" s="4" t="n">
        <v>0</v>
      </c>
      <c r="Q113" s="4" t="n">
        <v>0</v>
      </c>
      <c r="R113" s="4" t="n">
        <v>0</v>
      </c>
      <c r="S113" s="4" t="n">
        <v>1</v>
      </c>
      <c r="T113" s="4" t="n">
        <v>1</v>
      </c>
      <c r="U113" s="4" t="n">
        <v>0</v>
      </c>
      <c r="V113" s="4" t="n">
        <v>0</v>
      </c>
      <c r="W113" s="4" t="n">
        <v>0</v>
      </c>
      <c r="X113" s="4" t="n">
        <v>1</v>
      </c>
      <c r="Y113" s="4" t="n">
        <v>0</v>
      </c>
      <c r="Z113" s="4" t="n">
        <v>0</v>
      </c>
      <c r="AA113" s="4" t="n">
        <v>0</v>
      </c>
      <c r="AB113" s="4" t="inlineStr">
        <is>
          <t>1900-01-01</t>
        </is>
      </c>
      <c r="AC113" s="4" t="n"/>
      <c r="AD113" s="4" t="n"/>
      <c r="AE113" s="4" t="n"/>
      <c r="AF113" s="4" t="n"/>
      <c r="AG113" s="4" t="n">
        <v>1</v>
      </c>
      <c r="AH113" s="4" t="n">
        <v>2</v>
      </c>
      <c r="AI113" s="4" t="inlineStr">
        <is>
          <t>text / transcripts</t>
        </is>
      </c>
      <c r="AJ113" s="4" t="n"/>
      <c r="AK113" s="4" t="n"/>
      <c r="AL113" s="4" t="inlineStr">
        <is>
          <t>Algoritmo principal no explícito o fuera del codebook; Confirmar algoritmo principal en full-text</t>
        </is>
      </c>
      <c r="AM113" s="4" t="inlineStr">
        <is>
          <t>RA</t>
        </is>
      </c>
      <c r="AN113" s="4" t="inlineStr">
        <is>
          <t>Tomado completo desde archivo RA según asignación</t>
        </is>
      </c>
      <c r="AO113" s="4" t="n">
        <v>0</v>
      </c>
    </row>
    <row r="114" ht="409" customHeight="1">
      <c r="A114" s="4" t="n">
        <v>113</v>
      </c>
      <c r="B114" s="4" t="n">
        <v>121</v>
      </c>
      <c r="C114" s="4" t="inlineStr">
        <is>
          <t>Revisor B</t>
        </is>
      </c>
      <c r="D114" s="4" t="n"/>
      <c r="E114" s="4" t="n">
        <v>2016</v>
      </c>
      <c r="F114" s="4" t="inlineStr">
        <is>
          <t>Texto · NLP</t>
        </is>
      </c>
      <c r="G114" s="4" t="inlineStr">
        <is>
          <t>Deep Learning</t>
        </is>
      </c>
      <c r="H114" s="4" t="inlineStr">
        <is>
          <t>https://doi.org/10.1016/j.jaac.2016.07.715</t>
        </is>
      </c>
      <c r="I114" s="4" t="inlineStr">
        <is>
          <t>46.3 ARTIFICIAL INTELLIGENCE: UTILIZING GOOGLE GLASS AND OTHER MOBILE APPLICATIONS FOR SOCIAL SKILLS TRAINING IN AUTISM SPECTRUM DISORDERS</t>
        </is>
      </c>
      <c r="J114" s="4" t="inlineStr">
        <is>
          <t>Objectives: Deficits in social communication are defining features of ASD. Although prognosis can be improved significantly with intervention, existing interventions are resource intensive and often do not generalize to new contexts. Technology-aided interventions (TAI) can help overcome current limitations by providing a motivating, low cost, and versatile treatment option. Although early studies support the feasibility and potential effectiveness of TAI for social skills training in ASD, existing approaches have been criticized for their focus on human-to-computer interaction. A Google Glass-based application (app) was developed to guide children with ASD through human-to-human social interactions. Upon completion of this Clinical Perspectives, participants will be able to do the following: 1) summarize novel applications and research findings of TAI for children with ASD, including results from a usability study with the Google Glass; and 2) apply information learned regarding TAI to the daily clinical practice of treating youth with ASD. Methods: Children (n = 10; mean age = 13.2 years, sigma = 1.5; verbal IQ score = 104.4, sigma = 20.9; Social Communication Questionnaire score = 19, sigma = 3.5) with ASD were recruited to be participants. During each session, the participants used the app while engaging in a structured restaurant-themed interaction with a research assistant. Based on International Organization for Standardization 9241 (ISO 9241), the app was evaluated on its efficiency and user satisfaction. Results: The app's detection accuracy and recognition accuracy were 97 and 89 percent, respectively. The users' average response time was 2.5 seconds, and the system's average response time was -0.25 seconds. Notable user feedback on perceived experience (based on a 5-point Likert scale) includes the participant's belief that the app can help them in daily life (4.0/5) and that the app can help children communicate to people (4.0/5). Conclusions: To the best of our knowledge, this system is the first TAI for ASD that uses human-to-human coaching in naturalistic settings, and the results show that the device is an appropriate medium for treatment delivery. An effective application of technology can overcome many of the current barriers to treatment and, ultimately, help deliver higher-quality treatments to a larger and more diverse population of children.</t>
        </is>
      </c>
      <c r="K114" s="4" t="n"/>
      <c r="L114" s="4" t="n"/>
      <c r="M114" s="4" t="inlineStr">
        <is>
          <t>Technology-assisted social-skills intervention</t>
        </is>
      </c>
      <c r="N114" s="4" t="inlineStr">
        <is>
          <t>Monitoring/intervention</t>
        </is>
      </c>
      <c r="O114" s="4" t="n"/>
      <c r="P114" s="4" t="n"/>
      <c r="Q114" s="4" t="n"/>
      <c r="R114" s="4" t="n"/>
      <c r="S114" s="4" t="n"/>
      <c r="T114" s="4" t="n"/>
      <c r="U114" s="4" t="n"/>
      <c r="V114" s="4" t="n"/>
      <c r="W114" s="4" t="n">
        <v>0</v>
      </c>
      <c r="X114" s="4" t="n">
        <v>0</v>
      </c>
      <c r="Y114" s="4" t="n">
        <v>0</v>
      </c>
      <c r="Z114" s="4" t="n">
        <v>0</v>
      </c>
      <c r="AA114" s="4" t="n">
        <v>1</v>
      </c>
      <c r="AB114" s="4" t="inlineStr">
        <is>
          <t>1900-01-01</t>
        </is>
      </c>
      <c r="AC114" s="4" t="n">
        <v>0</v>
      </c>
      <c r="AD114" s="4" t="n">
        <v>0</v>
      </c>
      <c r="AE114" s="4" t="n">
        <v>0</v>
      </c>
      <c r="AF114" s="4" t="n">
        <v>0</v>
      </c>
      <c r="AG114" s="4" t="n"/>
      <c r="AH114" s="4" t="n"/>
      <c r="AI114" s="4" t="n"/>
      <c r="AJ114" s="4" t="inlineStr">
        <is>
          <t>1900-01-01</t>
        </is>
      </c>
      <c r="AK114" s="4" t="n"/>
      <c r="AL114" s="4" t="inlineStr">
        <is>
          <t>Sin señal explícita Q3 en título/abstract.</t>
        </is>
      </c>
      <c r="AM114" s="4" t="inlineStr">
        <is>
          <t>RA_fallback</t>
        </is>
      </c>
      <c r="AN114" s="4" t="inlineStr">
        <is>
          <t>Fallback a RA porque el ID no está en RB</t>
        </is>
      </c>
      <c r="AO114" s="4" t="n">
        <v>1</v>
      </c>
    </row>
    <row r="115" ht="385" customHeight="1">
      <c r="A115" s="4" t="n">
        <v>114</v>
      </c>
      <c r="B115" s="4" t="n">
        <v>122</v>
      </c>
      <c r="C115" s="4" t="inlineStr">
        <is>
          <t>Revisor B</t>
        </is>
      </c>
      <c r="D115" s="4" t="n"/>
      <c r="E115" s="4" t="n">
        <v>2025</v>
      </c>
      <c r="F115" s="4" t="inlineStr">
        <is>
          <t>Señales fisiológicas</t>
        </is>
      </c>
      <c r="G115" s="4" t="inlineStr">
        <is>
          <t>Híbrido</t>
        </is>
      </c>
      <c r="H115" s="4" t="inlineStr">
        <is>
          <t>https://doi.org/10.1109/ACCESS.2025.3531979</t>
        </is>
      </c>
      <c r="I115" s="4" t="inlineStr">
        <is>
          <t>A Quantum-Based Machine Learning Approach for Autism Detection Using Common Spatial Patterns of EEG Signals</t>
        </is>
      </c>
      <c r="J115" s="4" t="inlineStr">
        <is>
          <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t>
        </is>
      </c>
      <c r="K115" s="4" t="inlineStr">
        <is>
          <t>Supervised</t>
        </is>
      </c>
      <c r="L115" s="4" t="inlineStr">
        <is>
          <t>SVM</t>
        </is>
      </c>
      <c r="M115" s="4" t="inlineStr">
        <is>
          <t>Classification (binary/multi-class; incl. ASD vs control)/ multi-class)</t>
        </is>
      </c>
      <c r="N115" s="4" t="inlineStr">
        <is>
          <t>Diagnosis</t>
        </is>
      </c>
      <c r="O115" s="4" t="inlineStr">
        <is>
          <t>high</t>
        </is>
      </c>
      <c r="P115" s="4" t="n">
        <v>0</v>
      </c>
      <c r="Q115" s="4" t="n">
        <v>0</v>
      </c>
      <c r="R115" s="4" t="n">
        <v>0</v>
      </c>
      <c r="S115" s="4" t="n">
        <v>1</v>
      </c>
      <c r="T115" s="4" t="n">
        <v>0</v>
      </c>
      <c r="U115" s="4" t="n">
        <v>0</v>
      </c>
      <c r="V115" s="4" t="n">
        <v>0</v>
      </c>
      <c r="W115" s="4" t="n">
        <v>0</v>
      </c>
      <c r="X115" s="4" t="n">
        <v>1</v>
      </c>
      <c r="Y115" s="4" t="n">
        <v>1</v>
      </c>
      <c r="Z115" s="4" t="n">
        <v>0</v>
      </c>
      <c r="AA115" s="4" t="n">
        <v>1</v>
      </c>
      <c r="AB115" s="4" t="inlineStr">
        <is>
          <t>1900-01-01</t>
        </is>
      </c>
      <c r="AC115" s="4" t="n">
        <v>0</v>
      </c>
      <c r="AD115" s="4" t="n">
        <v>0</v>
      </c>
      <c r="AE115" s="4" t="n">
        <v>0</v>
      </c>
      <c r="AF115" s="4" t="n">
        <v>0</v>
      </c>
      <c r="AG115" s="4" t="n">
        <v>0</v>
      </c>
      <c r="AH115" s="4" t="n">
        <v>1</v>
      </c>
      <c r="AI115" s="4" t="n">
        <v>0</v>
      </c>
      <c r="AJ115" s="4" t="inlineStr">
        <is>
          <t>00:00:00</t>
        </is>
      </c>
      <c r="AK115" s="4" t="inlineStr">
        <is>
          <t>00:00:00</t>
        </is>
      </c>
      <c r="AL115" s="4" t="n"/>
      <c r="AM115" s="4" t="inlineStr">
        <is>
          <t>RB</t>
        </is>
      </c>
      <c r="AN115" s="4" t="inlineStr">
        <is>
          <t>Tomado completo desde archivo RB según asignación</t>
        </is>
      </c>
      <c r="AO115" s="4" t="n">
        <v>0</v>
      </c>
    </row>
    <row r="116" ht="346" customHeight="1">
      <c r="A116" s="4" t="n">
        <v>115</v>
      </c>
      <c r="B116" s="4" t="n">
        <v>124</v>
      </c>
      <c r="C116" s="4" t="inlineStr">
        <is>
          <t>Revisor B</t>
        </is>
      </c>
      <c r="D116" s="4" t="n"/>
      <c r="E116" s="4" t="n">
        <v>2023</v>
      </c>
      <c r="F116" s="4" t="inlineStr">
        <is>
          <t>Imagen</t>
        </is>
      </c>
      <c r="G116" s="4" t="inlineStr">
        <is>
          <t>Deep Learning</t>
        </is>
      </c>
      <c r="H116" s="4" t="inlineStr">
        <is>
          <t>https://doi.org/10.1016/j.heliyon.2023.e21530</t>
        </is>
      </c>
      <c r="I116" s="4" t="inlineStr">
        <is>
          <t>ASD2-TL∗ GTO: Autism spectrum disorders detection via transfer learning with gorilla troops optimizer framework</t>
        </is>
      </c>
      <c r="J116" s="4" t="inlineStr">
        <is>
          <t>Autism Spectrum Disorder (ASD) treatment requires accurate diagnosis and effective rehabilitation. Artificial intelligence (AI) techniques in medical diagnosis and rehabilitation can aid doctors in detecting a wide range of diseases more effectively. Nevertheless, due to its highly heterogeneous symptoms and complicated nature, ASD diagnostics continues to be a challenge for researchers. This study introduces an intelligent system based on the Artificial Gorilla Troops Optimizer (GTO) metaheuristic optimizer to detect ASD using Deep Learning and Machine Learning. Kaggle and UCI ML Repository are the data sources used in this study. The first dataset is the Autistic Children Data Set, which contains 3,374 facial images of children divided into Autistic and Non-Autistic categories. The second dataset is a compilation of data from three numerical repositories: (1) Autism Screening Adults, (2) Autistic Spectrum Disorder Screening Data for Adolescents, and (3) Autistic Spectrum Disorder Screening Data for Children. When it comes to image dataset experiments, the most notable results are (1) a TF learning ratio greater than or equal to 50 is recommended, (2) all models recommend data augmentation, and (3) the DenseNet169 model reports the lowest loss value of 0.512. Concerning the numeric dataset, five experiments recommend standardization and the final five attributes are optional in the classification process. The performance metrics demonstrate the worthiness of the proposed feature selection technique using GTO more than counterparts in the literature review.</t>
        </is>
      </c>
      <c r="K116" s="4" t="inlineStr">
        <is>
          <t>Supervised</t>
        </is>
      </c>
      <c r="L116" s="4" t="inlineStr">
        <is>
          <t>CNN</t>
        </is>
      </c>
      <c r="M116" s="4" t="inlineStr">
        <is>
          <t>Classification (binary/multi-class; incl. ASD vs control)/ multi-class)</t>
        </is>
      </c>
      <c r="N116" s="4" t="inlineStr">
        <is>
          <t>Screening</t>
        </is>
      </c>
      <c r="O116" s="4" t="inlineStr">
        <is>
          <t>high</t>
        </is>
      </c>
      <c r="P116" s="4" t="n">
        <v>1</v>
      </c>
      <c r="Q116" s="4" t="n">
        <v>0</v>
      </c>
      <c r="R116" s="4" t="n">
        <v>0</v>
      </c>
      <c r="S116" s="4" t="n">
        <v>0</v>
      </c>
      <c r="T116" s="4" t="n">
        <v>0</v>
      </c>
      <c r="U116" s="4" t="n">
        <v>0</v>
      </c>
      <c r="V116" s="4" t="n">
        <v>0</v>
      </c>
      <c r="W116" s="4" t="n">
        <v>0</v>
      </c>
      <c r="X116" s="4" t="n">
        <v>0</v>
      </c>
      <c r="Y116" s="4" t="n">
        <v>1</v>
      </c>
      <c r="Z116" s="4" t="n">
        <v>1</v>
      </c>
      <c r="AA116" s="4" t="n">
        <v>1</v>
      </c>
      <c r="AB116" s="4" t="inlineStr">
        <is>
          <t>1900-01-01</t>
        </is>
      </c>
      <c r="AC116" s="4" t="n">
        <v>0</v>
      </c>
      <c r="AD116" s="4" t="n">
        <v>0</v>
      </c>
      <c r="AE116" s="4" t="n">
        <v>0</v>
      </c>
      <c r="AF116" s="4" t="n">
        <v>0</v>
      </c>
      <c r="AG116" s="4" t="n">
        <v>0</v>
      </c>
      <c r="AH116" s="4" t="n">
        <v>1</v>
      </c>
      <c r="AI116" s="4" t="n">
        <v>0</v>
      </c>
      <c r="AJ116" s="4" t="inlineStr">
        <is>
          <t>1900-01-01</t>
        </is>
      </c>
      <c r="AK116" s="4" t="inlineStr">
        <is>
          <t>00:00:00</t>
        </is>
      </c>
      <c r="AL116" s="4" t="inlineStr">
        <is>
          <t>El “main” encaja mejor como CNN porque usa transfer learning con DenseNet169 para imágenes faciales; además usa un metaheurístico (GTO) para selección de características y también experimentos con datos de screening (UCI). GTO no aparece en tu lista; por eso debe ir en comentario</t>
        </is>
      </c>
      <c r="AM116" s="4" t="inlineStr">
        <is>
          <t>RB</t>
        </is>
      </c>
      <c r="AN116" s="4" t="inlineStr">
        <is>
          <t>Tomado completo desde archivo RB según asignación</t>
        </is>
      </c>
      <c r="AO116" s="4" t="n">
        <v>0</v>
      </c>
    </row>
    <row r="117" ht="409" customHeight="1">
      <c r="A117" s="4" t="n">
        <v>116</v>
      </c>
      <c r="B117" s="4" t="n">
        <v>125</v>
      </c>
      <c r="C117" s="4" t="inlineStr">
        <is>
          <t>Revisor B</t>
        </is>
      </c>
      <c r="D117" s="4" t="n"/>
      <c r="E117" s="4" t="n">
        <v>2019</v>
      </c>
      <c r="F117" s="4" t="inlineStr">
        <is>
          <t>Imagen</t>
        </is>
      </c>
      <c r="G117" s="4" t="inlineStr">
        <is>
          <t>Deep Learning</t>
        </is>
      </c>
      <c r="H117" s="4" t="inlineStr">
        <is>
          <t>https://doi.org/10.1007/s10278-019-00196-1</t>
        </is>
      </c>
      <c r="I117" s="4" t="inlineStr">
        <is>
          <t>Diagnosis of Autism Spectrum Disorders in Young Children Based on Resting-State Functional Magnetic Resonance Imaging Data Using Convolutional Neural Networks</t>
        </is>
      </c>
      <c r="J117" s="4" t="inlineStr">
        <is>
          <t>Statistics show that the risk of autism spectrum disorder (ASD) is increasing in the world. Early diagnosis is most important factor in treatment of ASD. Thus far, the childhood diagnosis of ASD has been done based on clinical interviews and behavioral observations. There is a significant need to reduce the use of traditional diagnostic techniques and to diagnose this disorder in the right time and before the manifestation of behavioral symptoms. The purpose of this study is to present the intelligent model to diagnose ASD in young children based on resting-state functional magnetic resonance imaging (rs-fMRI) data using convolutional neural networks (CNNs). CNNs, which are by far one of the most powerful deep learning algorithms, are mainly trained using datasets with large numbers of samples. However, obtaining comprehensive datasets such as ImageNet and achieving acceptable results in medical imaging domain have become challenges. In order to overcome these two challenges, the two methods of “combining classifiers,” both dynamic (mixture of experts) and static (simple ‌Bayes) approaches, and “transfer learning” were used in this analysis. In addition, since diagnosis of ASD will be much more effective at an early age, samples ranging in age from 5 to 10 years from global Autism Brain Imaging Data Exchange I and II (ABIDE I and ABIDE II) datasets were used in this research. The accuracy, sensitivity, and specificity of presented model outperform the results of previous studies conducted on ABIDE I dataset (the best results obtained from Adamax optimization technique: accuracy = 0.7273, sensitivity = 0.712, specificity = 0.7348). Furthermore, acceptable classification results were obtained from ABIDE II dataset (the best results obtained from Adamax optimization technique: accuracy = 0.7, sensitivity = 0.582, specificity = 0.804) and the combination of ABIDE I and ABIDE II datasets (the best results obtained from Adam optimization technique: accuracy = 0.7045, sensitivity = 0.679, specificity = 0.7421). We can conclude that the proposed architecture can be considered as an efficient tool for diagnosis of ASD in young children. From another perspective, this proposed method can be applied to analyzing rs-fMRI data related to brain dysfunctions.</t>
        </is>
      </c>
      <c r="K117" s="4" t="inlineStr">
        <is>
          <t>Supervised</t>
        </is>
      </c>
      <c r="L117" s="4" t="inlineStr">
        <is>
          <t>CNN</t>
        </is>
      </c>
      <c r="M117" s="4" t="inlineStr">
        <is>
          <t>Classification (binary/multi-class; incl. ASD vs control)/ multi-class)</t>
        </is>
      </c>
      <c r="N117" s="4" t="inlineStr">
        <is>
          <t>Diagnosis</t>
        </is>
      </c>
      <c r="O117" s="4" t="inlineStr">
        <is>
          <t>high</t>
        </is>
      </c>
      <c r="P117" s="4" t="n">
        <v>0</v>
      </c>
      <c r="Q117" s="4" t="n">
        <v>0</v>
      </c>
      <c r="R117" s="4" t="n">
        <v>1</v>
      </c>
      <c r="S117" s="4" t="n">
        <v>0</v>
      </c>
      <c r="T117" s="4" t="n">
        <v>0</v>
      </c>
      <c r="U117" s="4" t="n">
        <v>0</v>
      </c>
      <c r="V117" s="4" t="n">
        <v>0</v>
      </c>
      <c r="W117" s="4" t="n">
        <v>0</v>
      </c>
      <c r="X117" s="4" t="n">
        <v>1</v>
      </c>
      <c r="Y117" s="4" t="n">
        <v>1</v>
      </c>
      <c r="Z117" s="4" t="n">
        <v>0</v>
      </c>
      <c r="AA117" s="4" t="n">
        <v>0</v>
      </c>
      <c r="AB117" s="4" t="inlineStr">
        <is>
          <t>1900-01-01</t>
        </is>
      </c>
      <c r="AC117" s="4" t="n">
        <v>0</v>
      </c>
      <c r="AD117" s="4" t="n">
        <v>0</v>
      </c>
      <c r="AE117" s="4" t="n">
        <v>0</v>
      </c>
      <c r="AF117" s="4" t="n">
        <v>0</v>
      </c>
      <c r="AG117" s="4" t="n">
        <v>0</v>
      </c>
      <c r="AH117" s="4" t="n">
        <v>1</v>
      </c>
      <c r="AI117" s="4" t="n">
        <v>0</v>
      </c>
      <c r="AJ117" s="4" t="inlineStr">
        <is>
          <t>1900-01-01</t>
        </is>
      </c>
      <c r="AK117" s="4" t="inlineStr">
        <is>
          <t>00:00:00</t>
        </is>
      </c>
      <c r="AL117" s="4" t="inlineStr">
        <is>
          <t>demás de CNN, reporta transfer learning y combinación de clasificadores (mixture of experts / simple Bayes), pero el núcleo es CNN para clasificar ASD vs no-ASD con rs-fMRI (ABIDE).</t>
        </is>
      </c>
      <c r="AM117" s="4" t="inlineStr">
        <is>
          <t>RB</t>
        </is>
      </c>
      <c r="AN117" s="4" t="inlineStr">
        <is>
          <t>Tomado completo desde archivo RB según asignación</t>
        </is>
      </c>
      <c r="AO117" s="4" t="n">
        <v>0</v>
      </c>
    </row>
    <row r="118" ht="409" customHeight="1">
      <c r="A118" s="4" t="n">
        <v>117</v>
      </c>
      <c r="B118" s="4" t="n">
        <v>128</v>
      </c>
      <c r="C118" s="4" t="inlineStr">
        <is>
          <t>Revisor B</t>
        </is>
      </c>
      <c r="D118" s="4" t="n"/>
      <c r="E118" s="4" t="n">
        <v>2018</v>
      </c>
      <c r="F118" s="4" t="inlineStr">
        <is>
          <t>Imagen</t>
        </is>
      </c>
      <c r="G118" s="4" t="inlineStr">
        <is>
          <t>Deep Learning</t>
        </is>
      </c>
      <c r="H118" s="4" t="inlineStr">
        <is>
          <t>https://doi.org/10.2196/mental.9631</t>
        </is>
      </c>
      <c r="I118" s="4" t="inlineStr">
        <is>
          <t>Improvement of attention-deficit/hyperactivity disorder symptoms in school-aged children, adolescents, and young adults with autism via a digital smartglasses-based socioemotional coaching aid: Short-term, uncontrolled pilot study</t>
        </is>
      </c>
      <c r="J118" s="4" t="inlineStr">
        <is>
          <t>Background: People with autism spectrum disorder (ASD) commonly experience symptoms related to attention-deficit/hyperactivity disorder (ADHD), including hyperactivity, inattention, and impulsivity. One-third of ASD cases may be complicated by the presence of ADHD. Individuals with dual diagnoses face greater barriers to accessing treatment for ADHD and respond less positively to primary pharmacologic interventions. Nonpharmacologic technology-aided tools for hyperactivity and inattention in people with ASD are being developed, although research into their efficacy and safety remains limited. Objective: The objective of this preliminary study was to describe the changes in ADHD-related symptoms in children, adolescents, and young adults with ASD immediately after use of the Empowered Brain system, a behavioral and social communication aid for ASD running on augmented reality smartglasses. Methods: We recruited 8 children, adolescents, and young adults with ASD (male to female ratio of 7:1, mean age 15 years, range 11.7-20.5 years) through a Web-based research signup form. The baseline score on the hyperactivity subscale of the Aberrant Behavioral Checklist (ABC-H), a measure of hyperactivity, inattention, and impulsivity, determined their classification into a high ADHD-related symptom group (n=4, ABC-H=13) and a low ADHD-related symptom group (n=4, ABC-H&lt;13). All participants received an intervention with Empowered Brain, where they used smartglasses-based social communication and behavioral modules while interacting with their caregiver. We then calculated caregiver-reported ABC-H scores at 24 and 48 hours after the session. Results: All 8 participants were able to complete the intervention session. Postintervention ABC-H scores were lower for most participants at 24 hours (n=6, 75%) and for all participants at 48 hours (n=8, 100%). At 24 hours after the session, average participant ABC-H scores decreased by 54.9% in the high ADHD symptom group and by 20% in the low ADHD symptom group. At 48 hours after the session, ABC-H scores compared with baseline decreased by 56.4% in the high ADHD symptom group and by 66.3% in the low ADHD symptom group. Conclusions: This study provides initial evidence for the possible potential of the Empowered Brain system to reduce ADHD-related symptoms, such as hyperactivity, inattention, and impulsivity, in school-aged children, adolescents, and young adults with ASD. This digital smartglasses intervention can potentially be targeted at a broader array of mental health conditions that exhibit transdiagnostic attentional and social communication deficits, including schizophrenia and bipolar disorder. Further research is required to understand the clinical importance of these observed changes and to conduct longitudinal studies on this intervention with control groups and larger sample sizes.</t>
        </is>
      </c>
      <c r="K118" s="4" t="n"/>
      <c r="L118" s="4" t="n"/>
      <c r="M118" s="4" t="n"/>
      <c r="N118" s="4" t="inlineStr">
        <is>
          <t>screening</t>
        </is>
      </c>
      <c r="O118" s="4" t="inlineStr">
        <is>
          <t>high</t>
        </is>
      </c>
      <c r="P118" s="4" t="n">
        <v>0</v>
      </c>
      <c r="Q118" s="4" t="n">
        <v>0</v>
      </c>
      <c r="R118" s="4" t="n">
        <v>0</v>
      </c>
      <c r="S118" s="4" t="n">
        <v>0</v>
      </c>
      <c r="T118" s="4" t="n">
        <v>0</v>
      </c>
      <c r="U118" s="4" t="n">
        <v>0</v>
      </c>
      <c r="V118" s="4" t="n">
        <v>0</v>
      </c>
      <c r="W118" s="4" t="n">
        <v>0</v>
      </c>
      <c r="X118" s="4" t="n">
        <v>1</v>
      </c>
      <c r="Y118" s="4" t="n">
        <v>1</v>
      </c>
      <c r="Z118" s="4" t="n">
        <v>0</v>
      </c>
      <c r="AA118" s="4" t="n">
        <v>0</v>
      </c>
      <c r="AB118" s="4" t="inlineStr">
        <is>
          <t>1900-01-01</t>
        </is>
      </c>
      <c r="AC118" s="4" t="n">
        <v>0</v>
      </c>
      <c r="AD118" s="4" t="n">
        <v>0</v>
      </c>
      <c r="AE118" s="4" t="n">
        <v>0</v>
      </c>
      <c r="AF118" s="4" t="n">
        <v>0</v>
      </c>
      <c r="AG118" s="4" t="n">
        <v>1</v>
      </c>
      <c r="AH118" s="4" t="n">
        <v>0</v>
      </c>
      <c r="AI118" s="4" t="n">
        <v>0</v>
      </c>
      <c r="AJ118" s="4" t="inlineStr">
        <is>
          <t>1900-01-01</t>
        </is>
      </c>
      <c r="AK118" s="4" t="inlineStr">
        <is>
          <t>00:00:00</t>
        </is>
      </c>
      <c r="AL118" s="4" t="n"/>
      <c r="AM118" s="4" t="inlineStr">
        <is>
          <t>RB</t>
        </is>
      </c>
      <c r="AN118" s="4" t="inlineStr">
        <is>
          <t>Tomado completo desde archivo RB según asignación</t>
        </is>
      </c>
      <c r="AO118" s="4" t="n">
        <v>0</v>
      </c>
    </row>
    <row r="119" ht="385" customHeight="1">
      <c r="A119" s="4" t="n">
        <v>118</v>
      </c>
      <c r="B119" s="4" t="n">
        <v>129</v>
      </c>
      <c r="C119" s="4" t="inlineStr">
        <is>
          <t>Revisor B</t>
        </is>
      </c>
      <c r="D119" s="4" t="n"/>
      <c r="E119" s="4" t="n">
        <v>2025</v>
      </c>
      <c r="F119" s="4" t="inlineStr">
        <is>
          <t>No especificado</t>
        </is>
      </c>
      <c r="G119" s="4" t="inlineStr">
        <is>
          <t>Deep Learning</t>
        </is>
      </c>
      <c r="H119" s="4" t="inlineStr">
        <is>
          <t>https://doi.org/10.1007/978-981-96-6960-8_26</t>
        </is>
      </c>
      <c r="I119" s="4" t="inlineStr">
        <is>
          <t>Investigating Diagnostic Data and Performance Implications in the Autism AI Dataset</t>
        </is>
      </c>
      <c r="J119" s="4"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K119" s="4" t="inlineStr">
        <is>
          <t>Supervised</t>
        </is>
      </c>
      <c r="L119" s="4" t="inlineStr">
        <is>
          <t>Random Forest</t>
        </is>
      </c>
      <c r="M119" s="4" t="inlineStr">
        <is>
          <t>Classification (binary/multi-class; incl. ASD vs control)/ multi-class)</t>
        </is>
      </c>
      <c r="N119" s="4" t="inlineStr">
        <is>
          <t>Screening</t>
        </is>
      </c>
      <c r="O119" s="4" t="inlineStr">
        <is>
          <t>high</t>
        </is>
      </c>
      <c r="P119" s="4" t="n">
        <v>0</v>
      </c>
      <c r="Q119" s="4" t="n">
        <v>0</v>
      </c>
      <c r="R119" s="4" t="n">
        <v>1</v>
      </c>
      <c r="S119" s="4" t="n">
        <v>0</v>
      </c>
      <c r="T119" s="4" t="n">
        <v>1</v>
      </c>
      <c r="U119" s="4" t="n">
        <v>0</v>
      </c>
      <c r="V119" s="4" t="n">
        <v>0</v>
      </c>
      <c r="W119" s="4" t="n">
        <v>0</v>
      </c>
      <c r="X119" s="4" t="n">
        <v>0</v>
      </c>
      <c r="Y119" s="4" t="n">
        <v>1</v>
      </c>
      <c r="Z119" s="4" t="n">
        <v>1</v>
      </c>
      <c r="AA119" s="4" t="n">
        <v>0</v>
      </c>
      <c r="AB119" s="4" t="inlineStr">
        <is>
          <t>1900-01-01</t>
        </is>
      </c>
      <c r="AC119" s="4" t="n">
        <v>0</v>
      </c>
      <c r="AD119" s="4" t="n">
        <v>0</v>
      </c>
      <c r="AE119" s="4" t="n">
        <v>0</v>
      </c>
      <c r="AF119" s="4" t="n">
        <v>0</v>
      </c>
      <c r="AG119" s="4" t="n">
        <v>0</v>
      </c>
      <c r="AH119" s="4" t="n">
        <v>2</v>
      </c>
      <c r="AI119" s="4" t="n">
        <v>0</v>
      </c>
      <c r="AJ119" s="4" t="inlineStr">
        <is>
          <t>00:00:00</t>
        </is>
      </c>
      <c r="AK119" s="4" t="inlineStr">
        <is>
          <t>00:00:00</t>
        </is>
      </c>
      <c r="AL119" s="4" t="n"/>
      <c r="AM119" s="4" t="inlineStr">
        <is>
          <t>RB</t>
        </is>
      </c>
      <c r="AN119" s="4" t="inlineStr">
        <is>
          <t>Tomado completo desde archivo RB según asignación</t>
        </is>
      </c>
      <c r="AO119" s="4" t="n">
        <v>0</v>
      </c>
    </row>
    <row r="120" ht="307" customHeight="1">
      <c r="A120" s="4" t="n">
        <v>119</v>
      </c>
      <c r="B120" s="4" t="n">
        <v>130</v>
      </c>
      <c r="C120" s="4" t="inlineStr">
        <is>
          <t>Revisor A</t>
        </is>
      </c>
      <c r="D120" s="4" t="inlineStr">
        <is>
          <t>RA</t>
        </is>
      </c>
      <c r="E120" s="4" t="n">
        <v>2025</v>
      </c>
      <c r="F120" s="4" t="inlineStr">
        <is>
          <t>Texto · NLP</t>
        </is>
      </c>
      <c r="G120" s="4" t="inlineStr">
        <is>
          <t>Deep Learning</t>
        </is>
      </c>
      <c r="H120" s="4" t="inlineStr">
        <is>
          <t>https://doi.org/10.1038/s41562-025-02132-6</t>
        </is>
      </c>
      <c r="I120" s="4" t="inlineStr">
        <is>
          <t>Large-scale examination of early-age sex differences in neurotypical toddlers and those with autism spectrum disorder or other developmental conditions</t>
        </is>
      </c>
      <c r="J120" s="4" t="inlineStr">
        <is>
          <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t>
        </is>
      </c>
      <c r="K120" s="4" t="inlineStr">
        <is>
          <t>Unsupervised</t>
        </is>
      </c>
      <c r="L120" s="4" t="inlineStr">
        <is>
          <t>Clustering (k-means / GMM / ...)</t>
        </is>
      </c>
      <c r="M120" s="4" t="inlineStr">
        <is>
          <t>Clustering / subtyping</t>
        </is>
      </c>
      <c r="N120" s="4" t="inlineStr">
        <is>
          <t>Diagnosis</t>
        </is>
      </c>
      <c r="O120" s="4" t="inlineStr">
        <is>
          <t>Medium</t>
        </is>
      </c>
      <c r="P120" s="4" t="n">
        <v>0</v>
      </c>
      <c r="Q120" s="4" t="n">
        <v>1</v>
      </c>
      <c r="R120" s="4" t="n">
        <v>0</v>
      </c>
      <c r="S120" s="4" t="n">
        <v>0</v>
      </c>
      <c r="T120" s="4" t="n">
        <v>1</v>
      </c>
      <c r="U120" s="4" t="n">
        <v>0</v>
      </c>
      <c r="V120" s="4" t="n">
        <v>0</v>
      </c>
      <c r="W120" s="4" t="n">
        <v>0</v>
      </c>
      <c r="X120" s="4" t="n">
        <v>0</v>
      </c>
      <c r="Y120" s="4" t="n">
        <v>1</v>
      </c>
      <c r="Z120" s="4" t="n">
        <v>0</v>
      </c>
      <c r="AA120" s="4" t="n">
        <v>0</v>
      </c>
      <c r="AB120" s="4" t="inlineStr">
        <is>
          <t>00:00:00</t>
        </is>
      </c>
      <c r="AC120" s="4" t="n"/>
      <c r="AD120" s="4" t="n"/>
      <c r="AE120" s="4" t="n"/>
      <c r="AF120" s="4" t="n"/>
      <c r="AG120" s="4" t="n">
        <v>1</v>
      </c>
      <c r="AH120" s="4" t="n">
        <v>2</v>
      </c>
      <c r="AI120" s="4" t="n"/>
      <c r="AJ120" s="4" t="n"/>
      <c r="AK120" s="4" t="n"/>
      <c r="AL120" s="4" t="inlineStr">
        <is>
          <t>Examen de diferencias por sexo/edad; no queda claro el algoritmo o la tarea principal de IA.</t>
        </is>
      </c>
      <c r="AM120" s="4" t="inlineStr">
        <is>
          <t>RA</t>
        </is>
      </c>
      <c r="AN120" s="4" t="inlineStr">
        <is>
          <t>Tomado completo desde archivo RA según asignación</t>
        </is>
      </c>
      <c r="AO120" s="4" t="n">
        <v>0</v>
      </c>
    </row>
    <row r="121" ht="409" customHeight="1">
      <c r="A121" s="4" t="n">
        <v>120</v>
      </c>
      <c r="B121" s="4" t="n">
        <v>131</v>
      </c>
      <c r="C121" s="4" t="inlineStr">
        <is>
          <t>Revisor A</t>
        </is>
      </c>
      <c r="D121" s="4" t="inlineStr">
        <is>
          <t>RA</t>
        </is>
      </c>
      <c r="E121" s="4" t="n">
        <v>2016</v>
      </c>
      <c r="F121" s="4" t="inlineStr">
        <is>
          <t>Texto · NLP</t>
        </is>
      </c>
      <c r="G121" s="4" t="inlineStr">
        <is>
          <t>Machine Learning</t>
        </is>
      </c>
      <c r="H121" s="4" t="inlineStr">
        <is>
          <t>https://doi.org/10.2196/jmir.5439</t>
        </is>
      </c>
      <c r="I121" s="4" t="inlineStr">
        <is>
          <t>Online concerns of parents suspecting autism spectrum disorder in their child: Content analysis of signs and automated prediction of risk</t>
        </is>
      </c>
      <c r="J121" s="4" t="inlineStr">
        <is>
          <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t>
        </is>
      </c>
      <c r="K121" s="4" t="inlineStr">
        <is>
          <t>Supervised</t>
        </is>
      </c>
      <c r="L121" s="4" t="inlineStr">
        <is>
          <t>Decision Tree</t>
        </is>
      </c>
      <c r="M121" s="4" t="inlineStr">
        <is>
          <t>Classification (ASD vs control / multi-class)</t>
        </is>
      </c>
      <c r="N121" s="4" t="inlineStr">
        <is>
          <t>Prescreening</t>
        </is>
      </c>
      <c r="O121" s="4" t="inlineStr">
        <is>
          <t>High</t>
        </is>
      </c>
      <c r="P121" s="4" t="n">
        <v>0</v>
      </c>
      <c r="Q121" s="4" t="n">
        <v>0</v>
      </c>
      <c r="R121" s="4" t="n">
        <v>0</v>
      </c>
      <c r="S121" s="4" t="n">
        <v>1</v>
      </c>
      <c r="T121" s="4" t="n">
        <v>1</v>
      </c>
      <c r="U121" s="4" t="n">
        <v>0</v>
      </c>
      <c r="V121" s="4" t="n">
        <v>0</v>
      </c>
      <c r="W121" s="4" t="n">
        <v>1</v>
      </c>
      <c r="X121" s="4" t="n">
        <v>0</v>
      </c>
      <c r="Y121" s="4" t="n">
        <v>0</v>
      </c>
      <c r="Z121" s="4" t="n">
        <v>0</v>
      </c>
      <c r="AA121" s="4" t="n">
        <v>0</v>
      </c>
      <c r="AB121" s="4" t="inlineStr">
        <is>
          <t>1900-01-01</t>
        </is>
      </c>
      <c r="AC121" s="4" t="n"/>
      <c r="AD121" s="4" t="n"/>
      <c r="AE121" s="4" t="n"/>
      <c r="AF121" s="4" t="n"/>
      <c r="AG121" s="4" t="n">
        <v>0</v>
      </c>
      <c r="AH121" s="4" t="n">
        <v>2</v>
      </c>
      <c r="AI121" s="4" t="inlineStr">
        <is>
          <t>text / NLP</t>
        </is>
      </c>
      <c r="AJ121" s="4" t="n"/>
      <c r="AK121" s="4" t="n"/>
      <c r="AL121" s="4" t="n"/>
      <c r="AM121" s="4" t="inlineStr">
        <is>
          <t>RA</t>
        </is>
      </c>
      <c r="AN121" s="4" t="inlineStr">
        <is>
          <t>Tomado completo desde archivo RA según asignación</t>
        </is>
      </c>
      <c r="AO121" s="4" t="n">
        <v>0</v>
      </c>
    </row>
    <row r="122" ht="359" customHeight="1">
      <c r="A122" s="4" t="n">
        <v>121</v>
      </c>
      <c r="B122" s="4" t="n">
        <v>132</v>
      </c>
      <c r="C122" s="4" t="inlineStr">
        <is>
          <t>Revisor B</t>
        </is>
      </c>
      <c r="D122" s="4" t="n"/>
      <c r="E122" s="4" t="n">
        <v>2016</v>
      </c>
      <c r="F122" s="4" t="inlineStr">
        <is>
          <t>Texto · NLP</t>
        </is>
      </c>
      <c r="G122" s="4" t="inlineStr">
        <is>
          <t>Machine Learning</t>
        </is>
      </c>
      <c r="H122" s="4" t="inlineStr">
        <is>
          <t>https://doi.org/10.1111/JCPP.12559</t>
        </is>
      </c>
      <c r="I122" s="4" t="inlineStr">
        <is>
          <t>Use of machine learning to improve autism screening and diagnostic instruments: Effectiveness, efficiency, and multi‐instrument fusion</t>
        </is>
      </c>
      <c r="J122" s="4" t="inlineStr">
        <is>
          <t>Background: Machine learning (ML) provides novel opportunities for human behavior research and clinical translation, yet its application can have noted pitfalls (Bone et al., 2015). In this work, we fastidiously utilize ML to derive autism spectrum disorder (ASD) instrument algorithms in an attempt to improve upon widely used ASD screening and diagnostic tools. Methods: The data consisted of Autism Diagnostic Interview-Revised (ADI-R) and Social Responsiveness Scale (SRS) scores for 1,264 verbal individuals with ASD and 462 verbal individuals with non-ASD developmental or psychiatric disorders, split at age 10. Algorithms were created via a robust ML classifier, support vector machine, while targeting best-estimate clinical diagnosis of ASD versus non-ASD. Parameter settings were tuned in multiple levels of cross-validation. Results: The created algorithms were more effective (higher performing) than the current algorithms, were tunable (sensitivity and specificity can be differentially weighted), and were more efficient (achieving near-peak performance with five or fewer codes). Results from ML-based fusion of ADI-R and SRS are reported. We present a screener algorithm for below (above) age 10 that reached 89.2% (86.7%) sensitivity and 59.0% (53.4%) specificity with only five behavioral codes. Conclusions: ML is useful for creating robust, customizable instrument algorithms. In a unique dataset comprised of controls with other difficulties, our findings highlight the limitations of current caregiver-report instruments and indicate possible avenues for improving ASD screening and diagnostic tools.</t>
        </is>
      </c>
      <c r="K122" s="4" t="inlineStr">
        <is>
          <t>Supervised</t>
        </is>
      </c>
      <c r="L122" s="4" t="inlineStr">
        <is>
          <t>SVM</t>
        </is>
      </c>
      <c r="M122" s="4" t="inlineStr">
        <is>
          <t>Classification (binary/multi-class; incl. ASD vs control)/ multi-class)</t>
        </is>
      </c>
      <c r="N122" s="4" t="inlineStr">
        <is>
          <t>Screening</t>
        </is>
      </c>
      <c r="O122" s="4" t="inlineStr">
        <is>
          <t>high</t>
        </is>
      </c>
      <c r="P122" s="4" t="n">
        <v>0</v>
      </c>
      <c r="Q122" s="4" t="n">
        <v>0</v>
      </c>
      <c r="R122" s="4" t="n">
        <v>0</v>
      </c>
      <c r="S122" s="4" t="n">
        <v>0</v>
      </c>
      <c r="T122" s="4" t="n">
        <v>1</v>
      </c>
      <c r="U122" s="4" t="n">
        <v>0</v>
      </c>
      <c r="V122" s="4" t="n">
        <v>0</v>
      </c>
      <c r="W122" s="4" t="n">
        <v>0</v>
      </c>
      <c r="X122" s="4" t="n">
        <v>0</v>
      </c>
      <c r="Y122" s="4" t="n">
        <v>1</v>
      </c>
      <c r="Z122" s="4" t="n">
        <v>0</v>
      </c>
      <c r="AA122" s="4" t="n">
        <v>0</v>
      </c>
      <c r="AB122" s="4" t="inlineStr">
        <is>
          <t>1900-01-01</t>
        </is>
      </c>
      <c r="AC122" s="4" t="n">
        <v>0</v>
      </c>
      <c r="AD122" s="4" t="n">
        <v>0</v>
      </c>
      <c r="AE122" s="4" t="n">
        <v>0</v>
      </c>
      <c r="AF122" s="4" t="n">
        <v>0</v>
      </c>
      <c r="AG122" s="4" t="n">
        <v>1</v>
      </c>
      <c r="AH122" s="4" t="n">
        <v>1</v>
      </c>
      <c r="AI122" s="4" t="n">
        <v>0</v>
      </c>
      <c r="AJ122" s="4" t="inlineStr">
        <is>
          <t>1900-01-01</t>
        </is>
      </c>
      <c r="AK122" s="4" t="inlineStr">
        <is>
          <t>00:00:00</t>
        </is>
      </c>
      <c r="AL122" s="4" t="n"/>
      <c r="AM122" s="4" t="inlineStr">
        <is>
          <t>RB</t>
        </is>
      </c>
      <c r="AN122" s="4" t="inlineStr">
        <is>
          <t>Tomado completo desde archivo RB según asignación</t>
        </is>
      </c>
      <c r="AO122" s="4" t="n">
        <v>0</v>
      </c>
    </row>
    <row r="123" ht="333" customHeight="1">
      <c r="A123" s="4" t="n">
        <v>122</v>
      </c>
      <c r="B123" s="4" t="n">
        <v>133</v>
      </c>
      <c r="C123" s="4" t="inlineStr">
        <is>
          <t>Revisor A</t>
        </is>
      </c>
      <c r="D123" s="4" t="inlineStr">
        <is>
          <t>RA</t>
        </is>
      </c>
      <c r="E123" s="4" t="n">
        <v>2022</v>
      </c>
      <c r="F123" s="4" t="inlineStr">
        <is>
          <t>No especificado</t>
        </is>
      </c>
      <c r="G123" s="4" t="inlineStr">
        <is>
          <t>Machine Learning</t>
        </is>
      </c>
      <c r="H123" s="4" t="inlineStr">
        <is>
          <t>https://doi.org/10.1038/s41598-022-21719-x</t>
        </is>
      </c>
      <c r="I123" s="4" t="inlineStr">
        <is>
          <t>A data driven machine learning approach to differentiate between autism spectrum disorder and attention-deficit/hyperactivity disorder based on the best-practice diagnostic instruments for autism</t>
        </is>
      </c>
      <c r="J123" s="4" t="inlineStr">
        <is>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is>
      </c>
      <c r="K123" s="4" t="inlineStr">
        <is>
          <t>Supervised</t>
        </is>
      </c>
      <c r="L123" s="4" t="inlineStr">
        <is>
          <t>SVM</t>
        </is>
      </c>
      <c r="M123" s="4" t="inlineStr">
        <is>
          <t>Classification (ASD vs control / multi-class)</t>
        </is>
      </c>
      <c r="N123" s="4" t="inlineStr">
        <is>
          <t>Diagnosis</t>
        </is>
      </c>
      <c r="O123" s="4" t="inlineStr">
        <is>
          <t>High</t>
        </is>
      </c>
      <c r="P123" s="4" t="n">
        <v>0</v>
      </c>
      <c r="Q123" s="4" t="n">
        <v>0</v>
      </c>
      <c r="R123" s="4" t="n">
        <v>0</v>
      </c>
      <c r="S123" s="4" t="n">
        <v>0</v>
      </c>
      <c r="T123" s="4" t="n">
        <v>1</v>
      </c>
      <c r="U123" s="4" t="n">
        <v>0</v>
      </c>
      <c r="V123" s="4" t="n">
        <v>0</v>
      </c>
      <c r="W123" s="4" t="n">
        <v>0</v>
      </c>
      <c r="X123" s="4" t="n">
        <v>0</v>
      </c>
      <c r="Y123" s="4" t="n">
        <v>1</v>
      </c>
      <c r="Z123" s="4" t="n">
        <v>0</v>
      </c>
      <c r="AA123" s="4" t="n">
        <v>0</v>
      </c>
      <c r="AB123" s="4" t="inlineStr">
        <is>
          <t>1900-01-01</t>
        </is>
      </c>
      <c r="AC123" s="4" t="n"/>
      <c r="AD123" s="4" t="n"/>
      <c r="AE123" s="4" t="n"/>
      <c r="AF123" s="4" t="n"/>
      <c r="AG123" s="4" t="n">
        <v>0</v>
      </c>
      <c r="AH123" s="4" t="n">
        <v>1</v>
      </c>
      <c r="AI123" s="4" t="n"/>
      <c r="AJ123" s="4" t="n"/>
      <c r="AK123" s="4" t="n"/>
      <c r="AL123" s="4" t="n"/>
      <c r="AM123" s="4" t="inlineStr">
        <is>
          <t>RA</t>
        </is>
      </c>
      <c r="AN123" s="4" t="inlineStr">
        <is>
          <t>Tomado completo desde archivo RA según asignación</t>
        </is>
      </c>
      <c r="AO123" s="4" t="n">
        <v>0</v>
      </c>
    </row>
    <row r="124" ht="242" customHeight="1">
      <c r="A124" s="4" t="n">
        <v>123</v>
      </c>
      <c r="B124" s="4" t="n">
        <v>134</v>
      </c>
      <c r="C124" s="4" t="inlineStr">
        <is>
          <t>Revisor A</t>
        </is>
      </c>
      <c r="D124" s="4" t="inlineStr">
        <is>
          <t>RA</t>
        </is>
      </c>
      <c r="E124" s="4" t="n">
        <v>2021</v>
      </c>
      <c r="F124" s="4" t="inlineStr">
        <is>
          <t>No especificado</t>
        </is>
      </c>
      <c r="G124" s="4" t="inlineStr">
        <is>
          <t>Deep Learning</t>
        </is>
      </c>
      <c r="H124" s="4" t="inlineStr">
        <is>
          <t>https://doi.org/10.1016/B978-0-12-822822-7.00011-9</t>
        </is>
      </c>
      <c r="I124" s="4" t="inlineStr">
        <is>
          <t>A deep learning predictive classifier for autism screening and diagnosis</t>
        </is>
      </c>
      <c r="J124" s="4" t="inlineStr">
        <is>
          <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t>
        </is>
      </c>
      <c r="K124" s="4" t="inlineStr">
        <is>
          <t>Supervised</t>
        </is>
      </c>
      <c r="L124" s="4" t="inlineStr">
        <is>
          <t>MLP</t>
        </is>
      </c>
      <c r="M124" s="4" t="inlineStr">
        <is>
          <t>Classification (ASD vs control / multi-class)</t>
        </is>
      </c>
      <c r="N124" s="4" t="inlineStr">
        <is>
          <t>Screening</t>
        </is>
      </c>
      <c r="O124" s="4" t="inlineStr">
        <is>
          <t>High</t>
        </is>
      </c>
      <c r="P124" s="4" t="n">
        <v>0</v>
      </c>
      <c r="Q124" s="4" t="n">
        <v>0</v>
      </c>
      <c r="R124" s="4" t="n">
        <v>0</v>
      </c>
      <c r="S124" s="4" t="n">
        <v>0</v>
      </c>
      <c r="T124" s="4" t="n">
        <v>1</v>
      </c>
      <c r="U124" s="4" t="n">
        <v>0</v>
      </c>
      <c r="V124" s="4" t="n">
        <v>0</v>
      </c>
      <c r="W124" s="4" t="n">
        <v>0</v>
      </c>
      <c r="X124" s="4" t="n">
        <v>1</v>
      </c>
      <c r="Y124" s="4" t="n">
        <v>0</v>
      </c>
      <c r="Z124" s="4" t="n">
        <v>0</v>
      </c>
      <c r="AA124" s="4" t="n">
        <v>0</v>
      </c>
      <c r="AB124" s="4" t="inlineStr">
        <is>
          <t>1900-01-01</t>
        </is>
      </c>
      <c r="AC124" s="4" t="n"/>
      <c r="AD124" s="4" t="n"/>
      <c r="AE124" s="4" t="n"/>
      <c r="AF124" s="4" t="n"/>
      <c r="AG124" s="4" t="n">
        <v>1</v>
      </c>
      <c r="AH124" s="4" t="n">
        <v>1</v>
      </c>
      <c r="AI124" s="4" t="n"/>
      <c r="AJ124" s="4" t="n"/>
      <c r="AK124" s="4" t="n"/>
      <c r="AL124" s="4" t="inlineStr">
        <is>
          <t>Algoritmo principal no explícito o fuera del codebook; Confirmar algoritmo principal en full-text; Se comparan varios modelos; se eligió el principal/mejor reportado</t>
        </is>
      </c>
      <c r="AM124" s="4" t="inlineStr">
        <is>
          <t>RA</t>
        </is>
      </c>
      <c r="AN124" s="4" t="inlineStr">
        <is>
          <t>Tomado completo desde archivo RA según asignación</t>
        </is>
      </c>
      <c r="AO124" s="4" t="n">
        <v>0</v>
      </c>
    </row>
    <row r="125" ht="281" customHeight="1">
      <c r="A125" s="4" t="n">
        <v>124</v>
      </c>
      <c r="B125" s="4" t="n">
        <v>135</v>
      </c>
      <c r="C125" s="4" t="inlineStr">
        <is>
          <t>Revisor A</t>
        </is>
      </c>
      <c r="D125" s="4" t="inlineStr">
        <is>
          <t>RA</t>
        </is>
      </c>
      <c r="E125" s="4" t="n">
        <v>2022</v>
      </c>
      <c r="F125" s="4" t="inlineStr">
        <is>
          <t>Audio · Voz</t>
        </is>
      </c>
      <c r="G125" s="4" t="inlineStr">
        <is>
          <t>Deep Learning</t>
        </is>
      </c>
      <c r="H125" s="4" t="inlineStr">
        <is>
          <t>https://doi.org/10.1007/s10803-021-05141-2</t>
        </is>
      </c>
      <c r="I125" s="4" t="inlineStr">
        <is>
          <t>A Deep Neural Network-Based Model for Screening Autism Spectrum Disorder Using the Quantitative Checklist for Autism in Toddlers (QCHAT)</t>
        </is>
      </c>
      <c r="J125" s="4" t="inlineStr">
        <is>
          <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t>
        </is>
      </c>
      <c r="K125" s="4" t="inlineStr">
        <is>
          <t>Supervised</t>
        </is>
      </c>
      <c r="L125" s="4" t="inlineStr">
        <is>
          <t>MLP</t>
        </is>
      </c>
      <c r="M125" s="4" t="inlineStr">
        <is>
          <t>Classification (ASD vs control / multi-class)</t>
        </is>
      </c>
      <c r="N125" s="4" t="inlineStr">
        <is>
          <t>Screening</t>
        </is>
      </c>
      <c r="O125" s="4" t="inlineStr">
        <is>
          <t>High</t>
        </is>
      </c>
      <c r="P125" s="4" t="n">
        <v>0</v>
      </c>
      <c r="Q125" s="4" t="n">
        <v>0</v>
      </c>
      <c r="R125" s="4" t="n">
        <v>0</v>
      </c>
      <c r="S125" s="4" t="n">
        <v>0</v>
      </c>
      <c r="T125" s="4" t="n">
        <v>1</v>
      </c>
      <c r="U125" s="4" t="n">
        <v>0</v>
      </c>
      <c r="V125" s="4" t="n">
        <v>0</v>
      </c>
      <c r="W125" s="4" t="n">
        <v>0</v>
      </c>
      <c r="X125" s="4" t="n">
        <v>1</v>
      </c>
      <c r="Y125" s="4" t="n">
        <v>0</v>
      </c>
      <c r="Z125" s="4" t="n">
        <v>0</v>
      </c>
      <c r="AA125" s="4" t="n">
        <v>0</v>
      </c>
      <c r="AB125" s="4" t="inlineStr">
        <is>
          <t>1900-01-01</t>
        </is>
      </c>
      <c r="AC125" s="4" t="n"/>
      <c r="AD125" s="4" t="n"/>
      <c r="AE125" s="4" t="n"/>
      <c r="AF125" s="4" t="n"/>
      <c r="AG125" s="4" t="n">
        <v>1</v>
      </c>
      <c r="AH125" s="4" t="n">
        <v>1</v>
      </c>
      <c r="AI125" s="4" t="n"/>
      <c r="AJ125" s="4" t="n"/>
      <c r="AK125" s="4" t="n"/>
      <c r="AL125" s="4" t="inlineStr">
        <is>
          <t>Algoritmo principal no explícito o fuera del codebook; Confirmar algoritmo principal en full-text</t>
        </is>
      </c>
      <c r="AM125" s="4" t="inlineStr">
        <is>
          <t>RA</t>
        </is>
      </c>
      <c r="AN125" s="4" t="inlineStr">
        <is>
          <t>Tomado completo desde archivo RA según asignación</t>
        </is>
      </c>
      <c r="AO125" s="4" t="n">
        <v>0</v>
      </c>
    </row>
    <row r="126" ht="346" customHeight="1">
      <c r="A126" s="4" t="n">
        <v>125</v>
      </c>
      <c r="B126" s="4" t="n">
        <v>136</v>
      </c>
      <c r="C126" s="4" t="inlineStr">
        <is>
          <t>Revisor B</t>
        </is>
      </c>
      <c r="D126" s="4" t="n"/>
      <c r="E126" s="4" t="n">
        <v>2022</v>
      </c>
      <c r="F126" s="4" t="inlineStr">
        <is>
          <t>Señales fisiológicas</t>
        </is>
      </c>
      <c r="G126" s="4" t="inlineStr">
        <is>
          <t>Deep Learning</t>
        </is>
      </c>
      <c r="H126" s="4" t="inlineStr">
        <is>
          <t>https://doi.org/10.1016/j.neucom.2022.02.017</t>
        </is>
      </c>
      <c r="I126" s="4" t="inlineStr">
        <is>
          <t>A semi-supervised autoencoder for autism disease diagnosis</t>
        </is>
      </c>
      <c r="J126" s="4" t="inlineStr">
        <is>
          <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t>
        </is>
      </c>
      <c r="K126" s="4" t="inlineStr">
        <is>
          <t>Semi-supervised</t>
        </is>
      </c>
      <c r="L126" s="4" t="inlineStr">
        <is>
          <t>Autoencoder</t>
        </is>
      </c>
      <c r="M126" s="4" t="inlineStr">
        <is>
          <t>Classification (binary/multi-class; incl. ASD vs control)/ multi-class)</t>
        </is>
      </c>
      <c r="N126" s="4" t="inlineStr">
        <is>
          <t>diagnosis</t>
        </is>
      </c>
      <c r="O126" s="4" t="inlineStr">
        <is>
          <t>high</t>
        </is>
      </c>
      <c r="P126" s="4" t="n">
        <v>0</v>
      </c>
      <c r="Q126" s="4" t="n">
        <v>0</v>
      </c>
      <c r="R126" s="4" t="n">
        <v>1</v>
      </c>
      <c r="S126" s="4" t="n">
        <v>0</v>
      </c>
      <c r="T126" s="4" t="n">
        <v>0</v>
      </c>
      <c r="U126" s="4" t="n">
        <v>0</v>
      </c>
      <c r="V126" s="4" t="n">
        <v>0</v>
      </c>
      <c r="W126" s="4" t="n">
        <v>0</v>
      </c>
      <c r="X126" s="4" t="n">
        <v>0</v>
      </c>
      <c r="Y126" s="4" t="n">
        <v>1</v>
      </c>
      <c r="Z126" s="4" t="n">
        <v>0</v>
      </c>
      <c r="AA126" s="4" t="n">
        <v>0</v>
      </c>
      <c r="AB126" s="4" t="inlineStr">
        <is>
          <t>1900-01-01</t>
        </is>
      </c>
      <c r="AC126" s="4" t="n">
        <v>0</v>
      </c>
      <c r="AD126" s="4" t="n">
        <v>1</v>
      </c>
      <c r="AE126" s="4" t="n">
        <v>0</v>
      </c>
      <c r="AF126" s="4" t="n">
        <v>0</v>
      </c>
      <c r="AG126" s="4" t="n">
        <v>0</v>
      </c>
      <c r="AH126" s="4" t="n">
        <v>1</v>
      </c>
      <c r="AI126" s="4" t="n">
        <v>0</v>
      </c>
      <c r="AJ126" s="4" t="inlineStr">
        <is>
          <t>00:00:00</t>
        </is>
      </c>
      <c r="AK126" s="4" t="inlineStr">
        <is>
          <t>1900-01-01</t>
        </is>
      </c>
      <c r="AL126" s="4" t="n"/>
      <c r="AM126" s="4" t="inlineStr">
        <is>
          <t>RB</t>
        </is>
      </c>
      <c r="AN126" s="4" t="inlineStr">
        <is>
          <t>Tomado completo desde archivo RB según asignación</t>
        </is>
      </c>
      <c r="AO126" s="4" t="n">
        <v>0</v>
      </c>
    </row>
    <row r="127" ht="216" customHeight="1">
      <c r="A127" s="4" t="n">
        <v>126</v>
      </c>
      <c r="B127" s="4" t="n">
        <v>137</v>
      </c>
      <c r="C127" s="4" t="inlineStr">
        <is>
          <t>Revisor A</t>
        </is>
      </c>
      <c r="D127" s="4" t="inlineStr">
        <is>
          <t>RA</t>
        </is>
      </c>
      <c r="E127" s="4" t="n">
        <v>2021</v>
      </c>
      <c r="F127" s="4" t="inlineStr">
        <is>
          <t>Imagen</t>
        </is>
      </c>
      <c r="G127" s="4" t="inlineStr">
        <is>
          <t>Machine Learning</t>
        </is>
      </c>
      <c r="H127" s="4" t="inlineStr">
        <is>
          <t>https://doi.org/10.1177/1460458221991882</t>
        </is>
      </c>
      <c r="I127" s="4" t="inlineStr">
        <is>
          <t>Applying machine learning on home videos for remote autism diagnosis: Further study and analysis</t>
        </is>
      </c>
      <c r="J127" s="4" t="inlineStr">
        <is>
          <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t>
        </is>
      </c>
      <c r="K127" s="4" t="inlineStr">
        <is>
          <t>Supervised</t>
        </is>
      </c>
      <c r="L127" s="4" t="inlineStr">
        <is>
          <t>SVM</t>
        </is>
      </c>
      <c r="M127" s="4" t="inlineStr">
        <is>
          <t>Classification (ASD vs control / multi-class)</t>
        </is>
      </c>
      <c r="N127" s="4" t="inlineStr">
        <is>
          <t>Screening</t>
        </is>
      </c>
      <c r="O127" s="4" t="inlineStr">
        <is>
          <t>High</t>
        </is>
      </c>
      <c r="P127" s="4" t="n">
        <v>0</v>
      </c>
      <c r="Q127" s="4" t="n">
        <v>0</v>
      </c>
      <c r="R127" s="4" t="n">
        <v>1</v>
      </c>
      <c r="S127" s="4" t="n">
        <v>0</v>
      </c>
      <c r="T127" s="4" t="n">
        <v>0</v>
      </c>
      <c r="U127" s="4" t="n">
        <v>0</v>
      </c>
      <c r="V127" s="4" t="n">
        <v>0</v>
      </c>
      <c r="W127" s="4" t="n">
        <v>1</v>
      </c>
      <c r="X127" s="4" t="n">
        <v>1</v>
      </c>
      <c r="Y127" s="4" t="n">
        <v>0</v>
      </c>
      <c r="Z127" s="4" t="n">
        <v>0</v>
      </c>
      <c r="AA127" s="4" t="n">
        <v>0</v>
      </c>
      <c r="AB127" s="4" t="inlineStr">
        <is>
          <t>1900-01-01</t>
        </is>
      </c>
      <c r="AC127" s="4" t="n"/>
      <c r="AD127" s="4" t="n"/>
      <c r="AE127" s="4" t="n"/>
      <c r="AF127" s="4" t="n"/>
      <c r="AG127" s="4" t="n">
        <v>1</v>
      </c>
      <c r="AH127" s="4" t="n">
        <v>1</v>
      </c>
      <c r="AI127" s="4" t="n"/>
      <c r="AJ127" s="4" t="n"/>
      <c r="AK127" s="4" t="n"/>
      <c r="AL127" s="4" t="inlineStr">
        <is>
          <t>Algoritmo principal no explícito o fuera del codebook; Confirmar algoritmo principal en full-text</t>
        </is>
      </c>
      <c r="AM127" s="4" t="inlineStr">
        <is>
          <t>RA</t>
        </is>
      </c>
      <c r="AN127" s="4" t="inlineStr">
        <is>
          <t>Tomado completo desde archivo RA según asignación</t>
        </is>
      </c>
      <c r="AO127" s="4" t="n">
        <v>0</v>
      </c>
    </row>
    <row r="128" ht="320" customHeight="1">
      <c r="A128" s="4" t="n">
        <v>127</v>
      </c>
      <c r="B128" s="4" t="n">
        <v>138</v>
      </c>
      <c r="C128" s="4" t="inlineStr">
        <is>
          <t>Revisor A</t>
        </is>
      </c>
      <c r="D128" s="4" t="inlineStr">
        <is>
          <t>RA</t>
        </is>
      </c>
      <c r="E128" s="4" t="n">
        <v>2024</v>
      </c>
      <c r="F128" s="4" t="inlineStr">
        <is>
          <t>No especificado</t>
        </is>
      </c>
      <c r="G128" s="4" t="inlineStr">
        <is>
          <t>No especificado</t>
        </is>
      </c>
      <c r="H128" s="4" t="inlineStr">
        <is>
          <t>https://doi.org/10.1038/s41598-024-64299-8</t>
        </is>
      </c>
      <c r="I128" s="4" t="inlineStr">
        <is>
          <t>ASD-SWNet: a novel shared-weight feature extraction and classification network for autism spectrum disorder diagnosis</t>
        </is>
      </c>
      <c r="J128" s="4" t="inlineStr">
        <is>
          <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t>
        </is>
      </c>
      <c r="K128" s="4" t="inlineStr">
        <is>
          <t>Semi-supervised</t>
        </is>
      </c>
      <c r="L128" s="4" t="inlineStr">
        <is>
          <t>CNN</t>
        </is>
      </c>
      <c r="M128" s="4" t="inlineStr">
        <is>
          <t>Classification (ASD vs control / multi-class)</t>
        </is>
      </c>
      <c r="N128" s="4" t="inlineStr">
        <is>
          <t>Diagnosis</t>
        </is>
      </c>
      <c r="O128" s="4" t="inlineStr">
        <is>
          <t>High</t>
        </is>
      </c>
      <c r="P128" s="4" t="n">
        <v>1</v>
      </c>
      <c r="Q128" s="4" t="n">
        <v>0</v>
      </c>
      <c r="R128" s="4" t="n">
        <v>0</v>
      </c>
      <c r="S128" s="4" t="n">
        <v>0</v>
      </c>
      <c r="T128" s="4" t="n">
        <v>0</v>
      </c>
      <c r="U128" s="4" t="n">
        <v>0</v>
      </c>
      <c r="V128" s="4" t="n">
        <v>0</v>
      </c>
      <c r="W128" s="4" t="n">
        <v>0</v>
      </c>
      <c r="X128" s="4" t="n">
        <v>0</v>
      </c>
      <c r="Y128" s="4" t="n">
        <v>1</v>
      </c>
      <c r="Z128" s="4" t="n">
        <v>0</v>
      </c>
      <c r="AA128" s="4" t="n">
        <v>0</v>
      </c>
      <c r="AB128" s="4" t="inlineStr">
        <is>
          <t>1900-01-01</t>
        </is>
      </c>
      <c r="AC128" s="4" t="n"/>
      <c r="AD128" s="4" t="n"/>
      <c r="AE128" s="4" t="n"/>
      <c r="AF128" s="4" t="n"/>
      <c r="AG128" s="4" t="n">
        <v>0</v>
      </c>
      <c r="AH128" s="4" t="n">
        <v>1</v>
      </c>
      <c r="AI128" s="4" t="n"/>
      <c r="AJ128" s="4" t="n"/>
      <c r="AK128" s="4" t="n"/>
      <c r="AL128" s="4" t="n"/>
      <c r="AM128" s="4" t="inlineStr">
        <is>
          <t>RA</t>
        </is>
      </c>
      <c r="AN128" s="4" t="inlineStr">
        <is>
          <t>Tomado completo desde archivo RA según asignación</t>
        </is>
      </c>
      <c r="AO128" s="4" t="n">
        <v>0</v>
      </c>
    </row>
    <row r="129" ht="385" customHeight="1">
      <c r="A129" s="4" t="n">
        <v>128</v>
      </c>
      <c r="B129" s="4" t="n">
        <v>140</v>
      </c>
      <c r="C129" s="4" t="inlineStr">
        <is>
          <t>Revisor B</t>
        </is>
      </c>
      <c r="D129" s="4" t="n"/>
      <c r="E129" s="4" t="n">
        <v>2023</v>
      </c>
      <c r="F129" s="4" t="inlineStr">
        <is>
          <t>Imagen</t>
        </is>
      </c>
      <c r="G129" s="4" t="inlineStr">
        <is>
          <t>Deep Learning</t>
        </is>
      </c>
      <c r="H129" s="4" t="inlineStr">
        <is>
          <t>https://doi.org/10.1007/s11517-023-02859-2</t>
        </is>
      </c>
      <c r="I129" s="4" t="inlineStr">
        <is>
          <t>Autism spectrum disorder diagnosis based on deep unrolling-based spatial constraint representation.</t>
        </is>
      </c>
      <c r="J129" s="4" t="inlineStr">
        <is>
          <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t>
        </is>
      </c>
      <c r="K129" s="4" t="inlineStr">
        <is>
          <t>Supervised</t>
        </is>
      </c>
      <c r="L129" s="4" t="inlineStr">
        <is>
          <t>CNN</t>
        </is>
      </c>
      <c r="M129" s="4" t="inlineStr">
        <is>
          <t>Classification (binary/multi-class; incl. ASD vs control)/ multi-class)</t>
        </is>
      </c>
      <c r="N129" s="4" t="inlineStr">
        <is>
          <t>Diagnosis</t>
        </is>
      </c>
      <c r="O129" s="4" t="inlineStr">
        <is>
          <t>high</t>
        </is>
      </c>
      <c r="P129" s="4" t="n">
        <v>0</v>
      </c>
      <c r="Q129" s="4" t="n">
        <v>0</v>
      </c>
      <c r="R129" s="4" t="n">
        <v>0</v>
      </c>
      <c r="S129" s="4" t="n">
        <v>1</v>
      </c>
      <c r="T129" s="4" t="n">
        <v>0</v>
      </c>
      <c r="U129" s="4" t="n">
        <v>0</v>
      </c>
      <c r="V129" s="4" t="n">
        <v>0</v>
      </c>
      <c r="W129" s="4" t="n">
        <v>0</v>
      </c>
      <c r="X129" s="4" t="n">
        <v>1</v>
      </c>
      <c r="Y129" s="4" t="n">
        <v>0</v>
      </c>
      <c r="Z129" s="4" t="n">
        <v>1</v>
      </c>
      <c r="AA129" s="4" t="n">
        <v>1</v>
      </c>
      <c r="AB129" s="4" t="inlineStr">
        <is>
          <t>1900-01-01</t>
        </is>
      </c>
      <c r="AC129" s="4" t="n">
        <v>0</v>
      </c>
      <c r="AD129" s="4" t="n">
        <v>0</v>
      </c>
      <c r="AE129" s="4" t="n">
        <v>0</v>
      </c>
      <c r="AF129" s="4" t="n">
        <v>0</v>
      </c>
      <c r="AG129" s="4" t="n">
        <v>0</v>
      </c>
      <c r="AH129" s="4" t="n">
        <v>1</v>
      </c>
      <c r="AI129" s="4" t="n">
        <v>0</v>
      </c>
      <c r="AJ129" s="4" t="inlineStr">
        <is>
          <t>00:00:00</t>
        </is>
      </c>
      <c r="AK129" s="4" t="inlineStr">
        <is>
          <t>00:00:00</t>
        </is>
      </c>
      <c r="AL129" s="4" t="n"/>
      <c r="AM129" s="4" t="inlineStr">
        <is>
          <t>RB</t>
        </is>
      </c>
      <c r="AN129" s="4" t="inlineStr">
        <is>
          <t>Tomado completo desde archivo RB según asignación</t>
        </is>
      </c>
      <c r="AO129" s="4" t="n">
        <v>0</v>
      </c>
    </row>
    <row r="130" ht="333" customHeight="1">
      <c r="A130" s="4" t="n">
        <v>129</v>
      </c>
      <c r="B130" s="4" t="n">
        <v>141</v>
      </c>
      <c r="C130" s="4" t="inlineStr">
        <is>
          <t>Revisor B</t>
        </is>
      </c>
      <c r="D130" s="4" t="n"/>
      <c r="E130" s="4" t="n">
        <v>2025</v>
      </c>
      <c r="F130" s="4" t="inlineStr">
        <is>
          <t>Audio · Voz</t>
        </is>
      </c>
      <c r="G130" s="4" t="inlineStr">
        <is>
          <t>Deep Learning</t>
        </is>
      </c>
      <c r="H130" s="4" t="inlineStr">
        <is>
          <t>https://doi.org/10.1007/s10803-025-06811-1</t>
        </is>
      </c>
      <c r="I130" s="4" t="inlineStr">
        <is>
          <t>Automatic Cry Analysis: Deep Learning for Screening of Autism Spectrum Disorder in Early Childhood</t>
        </is>
      </c>
      <c r="J130" s="4" t="inlineStr">
        <is>
          <t>Purpose: The objective of this study is to identify the acoustic characteristics of cries of Typically Developing (TD) and Autism Spectrum Disorder (ASD) children via Deep Learning (DL) techniques to support clinicians in the early detection of ASD._x000D_
_x000D_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children._x000D_
_x000D_
Results: We found a statistical significant increase in jitter and shimmer for ASD cries compared to TD, as well as a decrease in HNR for ASD cries. Additionally, the DL algorithm achieved an accuracy of 90.28% in differentiating ASD cries from TD._x000D_
_x000D_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K130" s="4" t="inlineStr">
        <is>
          <t>Supervised</t>
        </is>
      </c>
      <c r="L130" s="4" t="inlineStr">
        <is>
          <t>Not clear</t>
        </is>
      </c>
      <c r="M130" s="4" t="inlineStr">
        <is>
          <t>Classification (binary/multi-class; incl. ASD vs control)/ multi-class)</t>
        </is>
      </c>
      <c r="N130" s="4" t="inlineStr">
        <is>
          <t>Prescreening</t>
        </is>
      </c>
      <c r="O130" s="4" t="inlineStr">
        <is>
          <t>high</t>
        </is>
      </c>
      <c r="P130" s="4" t="n">
        <v>0</v>
      </c>
      <c r="Q130" s="4" t="n">
        <v>0</v>
      </c>
      <c r="R130" s="4" t="n">
        <v>1</v>
      </c>
      <c r="S130" s="4" t="n">
        <v>1</v>
      </c>
      <c r="T130" s="4" t="n">
        <v>1</v>
      </c>
      <c r="U130" s="4" t="n">
        <v>0</v>
      </c>
      <c r="V130" s="4" t="n">
        <v>0</v>
      </c>
      <c r="W130" s="4" t="n">
        <v>0</v>
      </c>
      <c r="X130" s="4" t="n">
        <v>0</v>
      </c>
      <c r="Y130" s="4" t="n">
        <v>1</v>
      </c>
      <c r="Z130" s="4" t="n">
        <v>1</v>
      </c>
      <c r="AA130" s="4" t="n">
        <v>0</v>
      </c>
      <c r="AB130" s="4" t="inlineStr">
        <is>
          <t>1900-01-01</t>
        </is>
      </c>
      <c r="AC130" s="4" t="n">
        <v>0</v>
      </c>
      <c r="AD130" s="4" t="n">
        <v>0</v>
      </c>
      <c r="AE130" s="4" t="n">
        <v>0</v>
      </c>
      <c r="AF130" s="4" t="n">
        <v>1</v>
      </c>
      <c r="AG130" s="4" t="n">
        <v>0</v>
      </c>
      <c r="AH130" s="4" t="n">
        <v>3</v>
      </c>
      <c r="AI130" s="4" t="n">
        <v>0</v>
      </c>
      <c r="AJ130" s="4" t="inlineStr">
        <is>
          <t>1900-01-01</t>
        </is>
      </c>
      <c r="AK130" s="4" t="inlineStr">
        <is>
          <t>1900-01-01</t>
        </is>
      </c>
      <c r="AL130" s="4" t="n"/>
      <c r="AM130" s="4" t="inlineStr">
        <is>
          <t>RB</t>
        </is>
      </c>
      <c r="AN130" s="4" t="inlineStr">
        <is>
          <t>Tomado completo desde archivo RB según asignación</t>
        </is>
      </c>
      <c r="AO130" s="4" t="n">
        <v>0</v>
      </c>
    </row>
    <row r="131" ht="333" customHeight="1">
      <c r="A131" s="4" t="n">
        <v>130</v>
      </c>
      <c r="B131" s="4" t="n">
        <v>142</v>
      </c>
      <c r="C131" s="4" t="inlineStr">
        <is>
          <t>Revisor A</t>
        </is>
      </c>
      <c r="D131" s="4" t="inlineStr">
        <is>
          <t>RA</t>
        </is>
      </c>
      <c r="E131" s="4" t="n">
        <v>2025</v>
      </c>
      <c r="F131" s="4" t="inlineStr">
        <is>
          <t>Imagen</t>
        </is>
      </c>
      <c r="G131" s="4" t="inlineStr">
        <is>
          <t>Deep Learning</t>
        </is>
      </c>
      <c r="H131" s="4" t="inlineStr">
        <is>
          <t>https://doi.org/10.1109/JBHI.2025.3542066</t>
        </is>
      </c>
      <c r="I131" s="4" t="inlineStr">
        <is>
          <t>AV-FOS: Transformer-Based Audio-Visual Multimodal Interaction Style Recognition for Children With Autism Using the Revised Family Observation Schedule 3rd Edition (FOS-R-III)</t>
        </is>
      </c>
      <c r="J131" s="4"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K131" s="4" t="inlineStr">
        <is>
          <t>Self-supervised</t>
        </is>
      </c>
      <c r="L131" s="4" t="inlineStr">
        <is>
          <t>Transformer</t>
        </is>
      </c>
      <c r="M131" s="4" t="inlineStr">
        <is>
          <t>Classification (ASD vs control / multi-class)</t>
        </is>
      </c>
      <c r="N131" s="4" t="inlineStr">
        <is>
          <t>Monitoring/intervention</t>
        </is>
      </c>
      <c r="O131" s="4" t="inlineStr">
        <is>
          <t>Medium</t>
        </is>
      </c>
      <c r="P131" s="4" t="n">
        <v>0</v>
      </c>
      <c r="Q131" s="4" t="n">
        <v>0</v>
      </c>
      <c r="R131" s="4" t="n">
        <v>1</v>
      </c>
      <c r="S131" s="4" t="n">
        <v>1</v>
      </c>
      <c r="T131" s="4" t="n">
        <v>0</v>
      </c>
      <c r="U131" s="4" t="n">
        <v>0</v>
      </c>
      <c r="V131" s="4" t="n">
        <v>0</v>
      </c>
      <c r="W131" s="4" t="n">
        <v>0</v>
      </c>
      <c r="X131" s="4" t="n">
        <v>0</v>
      </c>
      <c r="Y131" s="4" t="n">
        <v>0</v>
      </c>
      <c r="Z131" s="4" t="n">
        <v>0</v>
      </c>
      <c r="AA131" s="4" t="n">
        <v>1</v>
      </c>
      <c r="AB131" s="4" t="inlineStr">
        <is>
          <t>1900-01-01</t>
        </is>
      </c>
      <c r="AC131" s="4" t="n"/>
      <c r="AD131" s="4" t="n"/>
      <c r="AE131" s="4" t="n"/>
      <c r="AF131" s="4" t="n"/>
      <c r="AG131" s="4" t="n">
        <v>1</v>
      </c>
      <c r="AH131" s="4" t="n">
        <v>2</v>
      </c>
      <c r="AI131" s="4" t="n"/>
      <c r="AJ131" s="4" t="n"/>
      <c r="AK131" s="4" t="n"/>
      <c r="AL131" s="4" t="inlineStr">
        <is>
          <t>Reconocimiento de estilo de interacción audio-visual en FOS-R-III; etapa clínica exacta requiere confirmación.</t>
        </is>
      </c>
      <c r="AM131" s="4" t="inlineStr">
        <is>
          <t>RA</t>
        </is>
      </c>
      <c r="AN131" s="4" t="inlineStr">
        <is>
          <t>Tomado completo desde archivo RA según asignación</t>
        </is>
      </c>
      <c r="AO131" s="4" t="n">
        <v>0</v>
      </c>
    </row>
    <row r="132" ht="409" customHeight="1">
      <c r="A132" s="4" t="n">
        <v>131</v>
      </c>
      <c r="B132" s="4" t="n">
        <v>143</v>
      </c>
      <c r="C132" s="4" t="inlineStr">
        <is>
          <t>Revisor A</t>
        </is>
      </c>
      <c r="D132" s="4" t="inlineStr">
        <is>
          <t>RA</t>
        </is>
      </c>
      <c r="E132" s="4" t="n">
        <v>2023</v>
      </c>
      <c r="F132" s="4" t="inlineStr">
        <is>
          <t>No especificado</t>
        </is>
      </c>
      <c r="G132" s="4" t="inlineStr">
        <is>
          <t>Deep Learning</t>
        </is>
      </c>
      <c r="H132" s="4" t="inlineStr">
        <is>
          <t>https://doi.org/10.1186/S12920-023-01439-5</t>
        </is>
      </c>
      <c r="I132" s="4" t="inlineStr">
        <is>
          <t>Biomarker prediction in autism spectrum disorder using a network-based approach</t>
        </is>
      </c>
      <c r="J132" s="4" t="inlineStr">
        <is>
          <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t>
        </is>
      </c>
      <c r="K132" s="4" t="inlineStr">
        <is>
          <t>Unsupervised</t>
        </is>
      </c>
      <c r="L132" s="4" t="inlineStr">
        <is>
          <t>Clustering (k-means / GMM / ...)</t>
        </is>
      </c>
      <c r="M132" s="4" t="inlineStr">
        <is>
          <t>Other / Not clear</t>
        </is>
      </c>
      <c r="N132" s="4" t="inlineStr">
        <is>
          <t>Diagnosis</t>
        </is>
      </c>
      <c r="O132" s="4" t="inlineStr">
        <is>
          <t>Medium</t>
        </is>
      </c>
      <c r="P132" s="4" t="n">
        <v>0</v>
      </c>
      <c r="Q132" s="4" t="n">
        <v>0</v>
      </c>
      <c r="R132" s="4" t="n">
        <v>0</v>
      </c>
      <c r="S132" s="4" t="n">
        <v>0</v>
      </c>
      <c r="T132" s="4" t="n">
        <v>0</v>
      </c>
      <c r="U132" s="4" t="n">
        <v>1</v>
      </c>
      <c r="V132" s="4" t="n">
        <v>0</v>
      </c>
      <c r="W132" s="4" t="n">
        <v>0</v>
      </c>
      <c r="X132" s="4" t="n">
        <v>0</v>
      </c>
      <c r="Y132" s="4" t="n">
        <v>1</v>
      </c>
      <c r="Z132" s="4" t="n">
        <v>0</v>
      </c>
      <c r="AA132" s="4" t="n">
        <v>0</v>
      </c>
      <c r="AB132" s="4" t="inlineStr">
        <is>
          <t>1900-01-01</t>
        </is>
      </c>
      <c r="AC132" s="4" t="n"/>
      <c r="AD132" s="4" t="n"/>
      <c r="AE132" s="4" t="n"/>
      <c r="AF132" s="4" t="n"/>
      <c r="AG132" s="4" t="n">
        <v>1</v>
      </c>
      <c r="AH132" s="4" t="n">
        <v>1</v>
      </c>
      <c r="AI132" s="4" t="n"/>
      <c r="AJ132" s="4" t="n"/>
      <c r="AK132" s="4" t="n"/>
      <c r="AL132" s="4" t="inlineStr">
        <is>
          <t>Algoritmo principal no explícito o fuera del codebook; Confirmar algoritmo principal en full-text</t>
        </is>
      </c>
      <c r="AM132" s="4" t="inlineStr">
        <is>
          <t>RA</t>
        </is>
      </c>
      <c r="AN132" s="4" t="inlineStr">
        <is>
          <t>Tomado completo desde archivo RA según asignación</t>
        </is>
      </c>
      <c r="AO132" s="4" t="n">
        <v>0</v>
      </c>
    </row>
    <row r="133" ht="294" customHeight="1">
      <c r="A133" s="4" t="n">
        <v>132</v>
      </c>
      <c r="B133" s="4" t="n">
        <v>144</v>
      </c>
      <c r="C133" s="4" t="inlineStr">
        <is>
          <t>Revisor A</t>
        </is>
      </c>
      <c r="D133" s="4" t="inlineStr">
        <is>
          <t>RA</t>
        </is>
      </c>
      <c r="E133" s="4" t="n">
        <v>2024</v>
      </c>
      <c r="F133" s="4" t="inlineStr">
        <is>
          <t>Imagen</t>
        </is>
      </c>
      <c r="G133" s="4" t="inlineStr">
        <is>
          <t>Machine Learning</t>
        </is>
      </c>
      <c r="H133" s="4" t="inlineStr">
        <is>
          <t>https://doi.org/10.1038/s41598-024-56098-y</t>
        </is>
      </c>
      <c r="I133" s="4" t="inlineStr">
        <is>
          <t>Classifying autism in a clinical population based on motion synchrony: a proof-of-concept study using real-life diagnostic interviews</t>
        </is>
      </c>
      <c r="J133" s="4" t="inlineStr">
        <is>
          <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t>
        </is>
      </c>
      <c r="K133" s="4" t="inlineStr">
        <is>
          <t>Supervised</t>
        </is>
      </c>
      <c r="L133" s="4" t="inlineStr">
        <is>
          <t>SVM</t>
        </is>
      </c>
      <c r="M133" s="4" t="inlineStr">
        <is>
          <t>Classification (ASD vs control / multi-class)</t>
        </is>
      </c>
      <c r="N133" s="4" t="inlineStr">
        <is>
          <t>Diagnosis</t>
        </is>
      </c>
      <c r="O133" s="4" t="inlineStr">
        <is>
          <t>High</t>
        </is>
      </c>
      <c r="P133" s="4" t="n">
        <v>0</v>
      </c>
      <c r="Q133" s="4" t="n">
        <v>0</v>
      </c>
      <c r="R133" s="4" t="n">
        <v>1</v>
      </c>
      <c r="S133" s="4" t="n">
        <v>0</v>
      </c>
      <c r="T133" s="4" t="n">
        <v>0</v>
      </c>
      <c r="U133" s="4" t="n">
        <v>0</v>
      </c>
      <c r="V133" s="4" t="n">
        <v>0</v>
      </c>
      <c r="W133" s="4" t="n">
        <v>0</v>
      </c>
      <c r="X133" s="4" t="n">
        <v>0</v>
      </c>
      <c r="Y133" s="4" t="n">
        <v>1</v>
      </c>
      <c r="Z133" s="4" t="n">
        <v>0</v>
      </c>
      <c r="AA133" s="4" t="n">
        <v>0</v>
      </c>
      <c r="AB133" s="4" t="inlineStr">
        <is>
          <t>1900-01-01</t>
        </is>
      </c>
      <c r="AC133" s="4" t="n"/>
      <c r="AD133" s="4" t="n"/>
      <c r="AE133" s="4" t="n"/>
      <c r="AF133" s="4" t="n"/>
      <c r="AG133" s="4" t="n">
        <v>0</v>
      </c>
      <c r="AH133" s="4" t="n">
        <v>1</v>
      </c>
      <c r="AI133" s="4" t="n"/>
      <c r="AJ133" s="4" t="n"/>
      <c r="AK133" s="4" t="n"/>
      <c r="AL133" s="4" t="n"/>
      <c r="AM133" s="4" t="inlineStr">
        <is>
          <t>RA</t>
        </is>
      </c>
      <c r="AN133" s="4" t="inlineStr">
        <is>
          <t>Tomado completo desde archivo RA según asignación</t>
        </is>
      </c>
      <c r="AO133" s="4" t="n">
        <v>0</v>
      </c>
    </row>
    <row r="134" ht="190" customHeight="1">
      <c r="A134" s="4" t="n">
        <v>133</v>
      </c>
      <c r="B134" s="4" t="n">
        <v>145</v>
      </c>
      <c r="C134" s="4" t="inlineStr">
        <is>
          <t>Revisor B</t>
        </is>
      </c>
      <c r="D134" s="4" t="n"/>
      <c r="E134" s="4" t="n">
        <v>2016</v>
      </c>
      <c r="F134" s="4" t="inlineStr">
        <is>
          <t>No especificado</t>
        </is>
      </c>
      <c r="G134" s="4" t="inlineStr">
        <is>
          <t>Deep Learning</t>
        </is>
      </c>
      <c r="H134" s="4" t="inlineStr">
        <is>
          <t>https://doi.org/10.1007/s10803-016-2718-4</t>
        </is>
      </c>
      <c r="I134" s="4" t="inlineStr">
        <is>
          <t>Clinical Evaluation of a Novel and Mobile Autism Risk Assessment</t>
        </is>
      </c>
      <c r="J134" s="4" t="inlineStr">
        <is>
          <t>The Mobile Autism Risk Assessment (MARA) is a new, electronically administered, 7-question autism spectrum disorder (ASD) screen to triage those at highest risk for ASD. Children 16 months–17 years (N = 222) were screened during their first visit in a developmental-behavioral pediatric clinic. MARA scores were compared to diagnosis from the clinical encounter. Participant median age was 5.8 years, 76.1 % were male, and most participants had an intelligence/developmental quotient score &gt;85; 69 of the participants (31 %) received a clinical diagnosis of ASD. The sensitivity of the MARA in detecting ASD was 89.9 % [95 % CI = 82.7–97]; the specificity was 79.7 % [95 % CI = 73.4–86.1]. In a high-risk clinical setting, the MARA shows promise as a screen to distinguish ASD from other developmental/behavioral disorders.</t>
        </is>
      </c>
      <c r="K134" s="4" t="inlineStr">
        <is>
          <t>Supervised</t>
        </is>
      </c>
      <c r="L134" s="4" t="inlineStr">
        <is>
          <t>Decision Tree</t>
        </is>
      </c>
      <c r="M134" s="4" t="inlineStr">
        <is>
          <t>Classification (ASD vs control / multi-class)</t>
        </is>
      </c>
      <c r="N134" s="4" t="inlineStr">
        <is>
          <t>screening</t>
        </is>
      </c>
      <c r="O134" s="4" t="inlineStr">
        <is>
          <t>high</t>
        </is>
      </c>
      <c r="P134" s="4" t="n">
        <v>0</v>
      </c>
      <c r="Q134" s="4" t="n">
        <v>0</v>
      </c>
      <c r="R134" s="4" t="n">
        <v>0</v>
      </c>
      <c r="S134" s="4" t="n">
        <v>0</v>
      </c>
      <c r="T134" s="4" t="n">
        <v>0</v>
      </c>
      <c r="U134" s="4" t="n">
        <v>0</v>
      </c>
      <c r="V134" s="4" t="n">
        <v>0</v>
      </c>
      <c r="W134" s="4" t="n">
        <v>0</v>
      </c>
      <c r="X134" s="4" t="n">
        <v>1</v>
      </c>
      <c r="Y134" s="4" t="n">
        <v>1</v>
      </c>
      <c r="Z134" s="4" t="n">
        <v>1</v>
      </c>
      <c r="AA134" s="4" t="n">
        <v>1</v>
      </c>
      <c r="AB134" s="4" t="inlineStr">
        <is>
          <t>1900-01-01</t>
        </is>
      </c>
      <c r="AC134" s="4" t="n">
        <v>0</v>
      </c>
      <c r="AD134" s="4" t="n">
        <v>0</v>
      </c>
      <c r="AE134" s="4" t="n">
        <v>0</v>
      </c>
      <c r="AF134" s="4" t="n">
        <v>0</v>
      </c>
      <c r="AG134" s="4" t="n">
        <v>1</v>
      </c>
      <c r="AH134" s="4" t="n">
        <v>0</v>
      </c>
      <c r="AI134" s="4" t="n">
        <v>0</v>
      </c>
      <c r="AJ134" s="4" t="inlineStr">
        <is>
          <t>1900-01-01</t>
        </is>
      </c>
      <c r="AK134" s="4" t="inlineStr">
        <is>
          <t>00:00:00</t>
        </is>
      </c>
      <c r="AL134" s="4" t="inlineStr">
        <is>
          <t>Alternating Decision Tree (ADTree)” es una variante de árbol de decisión; por eso cae naturalmente en Decision Tree</t>
        </is>
      </c>
      <c r="AM134" s="4" t="inlineStr">
        <is>
          <t>RB</t>
        </is>
      </c>
      <c r="AN134" s="4" t="inlineStr">
        <is>
          <t>Tomado completo desde archivo RB según asignación</t>
        </is>
      </c>
      <c r="AO134" s="4" t="n">
        <v>0</v>
      </c>
    </row>
    <row r="135" ht="385" customHeight="1">
      <c r="A135" s="4" t="n">
        <v>134</v>
      </c>
      <c r="B135" s="4" t="n">
        <v>146</v>
      </c>
      <c r="C135" s="4" t="inlineStr">
        <is>
          <t>Revisor A</t>
        </is>
      </c>
      <c r="D135" s="4" t="inlineStr">
        <is>
          <t>RA</t>
        </is>
      </c>
      <c r="E135" s="4" t="n">
        <v>2022</v>
      </c>
      <c r="F135" s="4" t="inlineStr">
        <is>
          <t>No especificado</t>
        </is>
      </c>
      <c r="G135" s="4" t="inlineStr">
        <is>
          <t>Híbrido</t>
        </is>
      </c>
      <c r="H135" s="4" t="inlineStr">
        <is>
          <t>https://doi.org/10.1186/S12911-022-02050-X</t>
        </is>
      </c>
      <c r="I135" s="4" t="inlineStr">
        <is>
          <t>Comparison of classification algorithms for predicting autistic spectrum disorder using WEKA modeler</t>
        </is>
      </c>
      <c r="J135" s="4" t="inlineStr">
        <is>
          <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t>
        </is>
      </c>
      <c r="K135" s="4" t="inlineStr">
        <is>
          <t>Supervised</t>
        </is>
      </c>
      <c r="L135" s="4" t="inlineStr">
        <is>
          <t>SVM</t>
        </is>
      </c>
      <c r="M135" s="4" t="inlineStr">
        <is>
          <t>Classification (ASD vs control / multi-class)</t>
        </is>
      </c>
      <c r="N135" s="4" t="inlineStr">
        <is>
          <t>Screening</t>
        </is>
      </c>
      <c r="O135" s="4" t="inlineStr">
        <is>
          <t>High</t>
        </is>
      </c>
      <c r="P135" s="4" t="n">
        <v>0</v>
      </c>
      <c r="Q135" s="4" t="n">
        <v>0</v>
      </c>
      <c r="R135" s="4" t="n">
        <v>1</v>
      </c>
      <c r="S135" s="4" t="n">
        <v>0</v>
      </c>
      <c r="T135" s="4" t="n">
        <v>0</v>
      </c>
      <c r="U135" s="4" t="n">
        <v>0</v>
      </c>
      <c r="V135" s="4" t="n">
        <v>0</v>
      </c>
      <c r="W135" s="4" t="n">
        <v>0</v>
      </c>
      <c r="X135" s="4" t="n">
        <v>1</v>
      </c>
      <c r="Y135" s="4" t="n">
        <v>0</v>
      </c>
      <c r="Z135" s="4" t="n">
        <v>0</v>
      </c>
      <c r="AA135" s="4" t="n">
        <v>0</v>
      </c>
      <c r="AB135" s="4" t="inlineStr">
        <is>
          <t>1900-01-01</t>
        </is>
      </c>
      <c r="AC135" s="4" t="n"/>
      <c r="AD135" s="4" t="n"/>
      <c r="AE135" s="4" t="n"/>
      <c r="AF135" s="4" t="n"/>
      <c r="AG135" s="4" t="n">
        <v>0</v>
      </c>
      <c r="AH135" s="4" t="n">
        <v>1</v>
      </c>
      <c r="AI135" s="4" t="n"/>
      <c r="AJ135" s="4" t="n"/>
      <c r="AK135" s="4" t="n"/>
      <c r="AL135" s="4" t="inlineStr">
        <is>
          <t>Se comparan varios modelos; se eligió el principal/mejor reportado</t>
        </is>
      </c>
      <c r="AM135" s="4" t="inlineStr">
        <is>
          <t>RA</t>
        </is>
      </c>
      <c r="AN135" s="4" t="inlineStr">
        <is>
          <t>Tomado completo desde archivo RA según asignación</t>
        </is>
      </c>
      <c r="AO135" s="4" t="n">
        <v>0</v>
      </c>
    </row>
    <row r="136" ht="281" customHeight="1">
      <c r="A136" s="4" t="n">
        <v>135</v>
      </c>
      <c r="B136" s="4" t="n">
        <v>147</v>
      </c>
      <c r="C136" s="4" t="inlineStr">
        <is>
          <t>Revisor A</t>
        </is>
      </c>
      <c r="D136" s="4" t="inlineStr">
        <is>
          <t>RA</t>
        </is>
      </c>
      <c r="E136" s="4" t="n">
        <v>2025</v>
      </c>
      <c r="F136" s="4" t="inlineStr">
        <is>
          <t>Multimodal</t>
        </is>
      </c>
      <c r="G136" s="4" t="inlineStr">
        <is>
          <t>Deep Learning</t>
        </is>
      </c>
      <c r="H136" s="4" t="inlineStr">
        <is>
          <t>https://doi.org/10.1109/TCSS.2025.3593119</t>
        </is>
      </c>
      <c r="I136" s="4" t="inlineStr">
        <is>
          <t>DALNN: Dual Attention Learning Neural Network for Diagnosis of Autism Spectrum Disorders and Exploration of Lesion Brain Regions</t>
        </is>
      </c>
      <c r="J136" s="4" t="inlineStr">
        <is>
          <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t>
        </is>
      </c>
      <c r="K136" s="4" t="inlineStr">
        <is>
          <t>Supervised</t>
        </is>
      </c>
      <c r="L136" s="4" t="inlineStr">
        <is>
          <t>Other / Not clear</t>
        </is>
      </c>
      <c r="M136" s="4" t="inlineStr">
        <is>
          <t>Classification (ASD vs control / multi-class)</t>
        </is>
      </c>
      <c r="N136" s="4" t="inlineStr">
        <is>
          <t>Diagnosis</t>
        </is>
      </c>
      <c r="O136" s="4" t="inlineStr">
        <is>
          <t>High</t>
        </is>
      </c>
      <c r="P136" s="4" t="n">
        <v>1</v>
      </c>
      <c r="Q136" s="4" t="n">
        <v>0</v>
      </c>
      <c r="R136" s="4" t="n">
        <v>0</v>
      </c>
      <c r="S136" s="4" t="n">
        <v>0</v>
      </c>
      <c r="T136" s="4" t="n">
        <v>0</v>
      </c>
      <c r="U136" s="4" t="n">
        <v>0</v>
      </c>
      <c r="V136" s="4" t="n">
        <v>0</v>
      </c>
      <c r="W136" s="4" t="n">
        <v>0</v>
      </c>
      <c r="X136" s="4" t="n">
        <v>0</v>
      </c>
      <c r="Y136" s="4" t="n">
        <v>1</v>
      </c>
      <c r="Z136" s="4" t="n">
        <v>0</v>
      </c>
      <c r="AA136" s="4" t="n">
        <v>0</v>
      </c>
      <c r="AB136" s="4" t="inlineStr">
        <is>
          <t>1900-01-01</t>
        </is>
      </c>
      <c r="AC136" s="4" t="n"/>
      <c r="AD136" s="4" t="n"/>
      <c r="AE136" s="4" t="n"/>
      <c r="AF136" s="4" t="n"/>
      <c r="AG136" s="4" t="n">
        <v>1</v>
      </c>
      <c r="AH136" s="4" t="n">
        <v>1</v>
      </c>
      <c r="AI136" s="4" t="n"/>
      <c r="AJ136" s="4" t="n"/>
      <c r="AK136" s="4" t="n"/>
      <c r="AL136" s="4" t="inlineStr">
        <is>
          <t>Algoritmo principal no explícito o fuera del codebook; Confirmar algoritmo principal en full-text</t>
        </is>
      </c>
      <c r="AM136" s="4" t="inlineStr">
        <is>
          <t>RA</t>
        </is>
      </c>
      <c r="AN136" s="4" t="inlineStr">
        <is>
          <t>Tomado completo desde archivo RA según asignación</t>
        </is>
      </c>
      <c r="AO136" s="4" t="n">
        <v>0</v>
      </c>
    </row>
    <row r="137" ht="385" customHeight="1">
      <c r="A137" s="4" t="n">
        <v>136</v>
      </c>
      <c r="B137" s="4" t="n">
        <v>148</v>
      </c>
      <c r="C137" s="4" t="inlineStr">
        <is>
          <t>Revisor B</t>
        </is>
      </c>
      <c r="D137" s="4" t="n"/>
      <c r="E137" s="4" t="n">
        <v>2025</v>
      </c>
      <c r="F137" s="4" t="inlineStr">
        <is>
          <t>Señales fisiológicas</t>
        </is>
      </c>
      <c r="G137" s="4" t="inlineStr">
        <is>
          <t>Deep Learning</t>
        </is>
      </c>
      <c r="H137" s="4" t="inlineStr">
        <is>
          <t>https://doi.org/10.1007/s10803-024-06290-w</t>
        </is>
      </c>
      <c r="I137" s="4" t="inlineStr">
        <is>
          <t>Detecting Autism Spectrum Disorder and Attention Deficit Hyperactivity Disorder Using Multimodal Time-Frequency Analysis with Machine Learning Using the Electroretinogram from Two Flash Strengths</t>
        </is>
      </c>
      <c r="J137" s="4" t="inlineStr">
        <is>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t>
        </is>
      </c>
      <c r="K137" s="4" t="inlineStr">
        <is>
          <t>Supervised</t>
        </is>
      </c>
      <c r="L137" s="4" t="inlineStr">
        <is>
          <t>Not clear</t>
        </is>
      </c>
      <c r="M137" s="4" t="inlineStr">
        <is>
          <t>Classification (binary/multi-class; incl. ASD vs control)/ multi-class)</t>
        </is>
      </c>
      <c r="N137" s="4" t="inlineStr">
        <is>
          <t>Screening</t>
        </is>
      </c>
      <c r="O137" s="4" t="inlineStr">
        <is>
          <t>high</t>
        </is>
      </c>
      <c r="P137" s="4" t="n">
        <v>1</v>
      </c>
      <c r="Q137" s="4" t="n">
        <v>0</v>
      </c>
      <c r="R137" s="4" t="n">
        <v>0</v>
      </c>
      <c r="S137" s="4" t="n">
        <v>0</v>
      </c>
      <c r="T137" s="4" t="n">
        <v>0</v>
      </c>
      <c r="U137" s="4" t="n">
        <v>0</v>
      </c>
      <c r="V137" s="4" t="n">
        <v>0</v>
      </c>
      <c r="W137" s="4" t="n">
        <v>0</v>
      </c>
      <c r="X137" s="4" t="n">
        <v>0</v>
      </c>
      <c r="Y137" s="4" t="n">
        <v>1</v>
      </c>
      <c r="Z137" s="4" t="n">
        <v>1</v>
      </c>
      <c r="AA137" s="4" t="n">
        <v>0</v>
      </c>
      <c r="AB137" s="4" t="inlineStr">
        <is>
          <t>1900-01-01</t>
        </is>
      </c>
      <c r="AC137" s="4" t="n">
        <v>0</v>
      </c>
      <c r="AD137" s="4" t="n">
        <v>0</v>
      </c>
      <c r="AE137" s="4" t="n">
        <v>0</v>
      </c>
      <c r="AF137" s="4" t="n">
        <v>0</v>
      </c>
      <c r="AG137" s="4" t="n">
        <v>0</v>
      </c>
      <c r="AH137" s="4" t="n">
        <v>1</v>
      </c>
      <c r="AI137" s="4" t="n">
        <v>0</v>
      </c>
      <c r="AJ137" s="4" t="inlineStr">
        <is>
          <t>1900-01-01</t>
        </is>
      </c>
      <c r="AK137" s="4" t="inlineStr">
        <is>
          <t>00:00:00</t>
        </is>
      </c>
      <c r="AL137" s="4" t="n"/>
      <c r="AM137" s="4" t="inlineStr">
        <is>
          <t>RB</t>
        </is>
      </c>
      <c r="AN137" s="4" t="inlineStr">
        <is>
          <t>Tomado completo desde archivo RB según asignación</t>
        </is>
      </c>
      <c r="AO137" s="4" t="n">
        <v>0</v>
      </c>
    </row>
    <row r="138" ht="409" customHeight="1">
      <c r="A138" s="4" t="n">
        <v>137</v>
      </c>
      <c r="B138" s="4" t="n">
        <v>149</v>
      </c>
      <c r="C138" s="4" t="inlineStr">
        <is>
          <t>Revisor A</t>
        </is>
      </c>
      <c r="D138" s="4" t="inlineStr">
        <is>
          <t>RA</t>
        </is>
      </c>
      <c r="E138" s="4" t="n">
        <v>2021</v>
      </c>
      <c r="F138" s="4" t="inlineStr">
        <is>
          <t>Multimodal</t>
        </is>
      </c>
      <c r="G138" s="4" t="inlineStr">
        <is>
          <t>Híbrido</t>
        </is>
      </c>
      <c r="H138" s="4" t="inlineStr">
        <is>
          <t>https://doi.org/10.1176/appi.ajp.2020.19101091</t>
        </is>
      </c>
      <c r="I138" s="4" t="inlineStr">
        <is>
          <t>Diagnostic classification for human autism and obsessive-compulsive disorder based on machine learning from a primate genetic model</t>
        </is>
      </c>
      <c r="J138" s="4" t="inlineStr">
        <is>
          <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t>
        </is>
      </c>
      <c r="K138" s="4" t="inlineStr">
        <is>
          <t>Supervised</t>
        </is>
      </c>
      <c r="L138" s="4" t="inlineStr">
        <is>
          <t>Other / Not clear</t>
        </is>
      </c>
      <c r="M138" s="4" t="inlineStr">
        <is>
          <t>Classification (ASD vs control / multi-class)</t>
        </is>
      </c>
      <c r="N138" s="4" t="inlineStr">
        <is>
          <t>Diagnosis</t>
        </is>
      </c>
      <c r="O138" s="4" t="inlineStr">
        <is>
          <t>High</t>
        </is>
      </c>
      <c r="P138" s="4" t="n">
        <v>1</v>
      </c>
      <c r="Q138" s="4" t="n">
        <v>0</v>
      </c>
      <c r="R138" s="4" t="n">
        <v>0</v>
      </c>
      <c r="S138" s="4" t="n">
        <v>0</v>
      </c>
      <c r="T138" s="4" t="n">
        <v>0</v>
      </c>
      <c r="U138" s="4" t="n">
        <v>0</v>
      </c>
      <c r="V138" s="4" t="n">
        <v>0</v>
      </c>
      <c r="W138" s="4" t="n">
        <v>0</v>
      </c>
      <c r="X138" s="4" t="n">
        <v>0</v>
      </c>
      <c r="Y138" s="4" t="n">
        <v>1</v>
      </c>
      <c r="Z138" s="4" t="n">
        <v>0</v>
      </c>
      <c r="AA138" s="4" t="n">
        <v>0</v>
      </c>
      <c r="AB138" s="4" t="inlineStr">
        <is>
          <t>00:00:00</t>
        </is>
      </c>
      <c r="AC138" s="4" t="n"/>
      <c r="AD138" s="4" t="n"/>
      <c r="AE138" s="4" t="n"/>
      <c r="AF138" s="4" t="n"/>
      <c r="AG138" s="4" t="n">
        <v>1</v>
      </c>
      <c r="AH138" s="4" t="n">
        <v>1</v>
      </c>
      <c r="AI138" s="4" t="n"/>
      <c r="AJ138" s="4" t="n"/>
      <c r="AK138" s="4" t="n"/>
      <c r="AL138" s="4" t="inlineStr">
        <is>
          <t>Clasificación diagnóstica basada en modelo genético de primates; confirmar fuente biológica exacta.</t>
        </is>
      </c>
      <c r="AM138" s="4" t="inlineStr">
        <is>
          <t>RA</t>
        </is>
      </c>
      <c r="AN138" s="4" t="inlineStr">
        <is>
          <t>Tomado completo desde archivo RA según asignación</t>
        </is>
      </c>
      <c r="AO138" s="4" t="n">
        <v>0</v>
      </c>
    </row>
    <row r="139" ht="398" customHeight="1">
      <c r="A139" s="4" t="n">
        <v>138</v>
      </c>
      <c r="B139" s="4" t="n">
        <v>150</v>
      </c>
      <c r="C139" s="4" t="inlineStr">
        <is>
          <t>Revisor A</t>
        </is>
      </c>
      <c r="D139" s="4" t="inlineStr">
        <is>
          <t>RA</t>
        </is>
      </c>
      <c r="E139" s="4" t="n">
        <v>2021</v>
      </c>
      <c r="F139" s="4" t="inlineStr">
        <is>
          <t>Señales fisiológicas</t>
        </is>
      </c>
      <c r="G139" s="4" t="inlineStr">
        <is>
          <t>Deep Learning</t>
        </is>
      </c>
      <c r="H139" s="4" t="inlineStr">
        <is>
          <t>https://doi.org/10.1111/JCPP.13406</t>
        </is>
      </c>
      <c r="I139" s="4" t="inlineStr">
        <is>
          <t>Diagnostic shifts in autism spectrum disorder can be linked to the fuzzy nature of the diagnostic boundary: a data-driven approach</t>
        </is>
      </c>
      <c r="J139" s="4" t="inlineStr">
        <is>
          <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t>
        </is>
      </c>
      <c r="K139" s="4" t="inlineStr">
        <is>
          <t>Supervised</t>
        </is>
      </c>
      <c r="L139" s="4" t="inlineStr">
        <is>
          <t>Other / Not clear</t>
        </is>
      </c>
      <c r="M139" s="4" t="inlineStr">
        <is>
          <t>Classification (ASD vs control / multi-class)</t>
        </is>
      </c>
      <c r="N139" s="4" t="inlineStr">
        <is>
          <t>Diagnosis</t>
        </is>
      </c>
      <c r="O139" s="4" t="inlineStr">
        <is>
          <t>Medium</t>
        </is>
      </c>
      <c r="P139" s="4" t="n">
        <v>0</v>
      </c>
      <c r="Q139" s="4" t="n">
        <v>0</v>
      </c>
      <c r="R139" s="4" t="n">
        <v>1</v>
      </c>
      <c r="S139" s="4" t="n">
        <v>0</v>
      </c>
      <c r="T139" s="4" t="n">
        <v>0</v>
      </c>
      <c r="U139" s="4" t="n">
        <v>0</v>
      </c>
      <c r="V139" s="4" t="n">
        <v>0</v>
      </c>
      <c r="W139" s="4" t="n">
        <v>0</v>
      </c>
      <c r="X139" s="4" t="n">
        <v>0</v>
      </c>
      <c r="Y139" s="4" t="n">
        <v>1</v>
      </c>
      <c r="Z139" s="4" t="n">
        <v>0</v>
      </c>
      <c r="AA139" s="4" t="n">
        <v>0</v>
      </c>
      <c r="AB139" s="4" t="inlineStr">
        <is>
          <t>00:00:00</t>
        </is>
      </c>
      <c r="AC139" s="4" t="n"/>
      <c r="AD139" s="4" t="n"/>
      <c r="AE139" s="4" t="n"/>
      <c r="AF139" s="4" t="n"/>
      <c r="AG139" s="4" t="n">
        <v>1</v>
      </c>
      <c r="AH139" s="4" t="n">
        <v>1</v>
      </c>
      <c r="AI139" s="4" t="n"/>
      <c r="AJ139" s="4" t="n"/>
      <c r="AK139" s="4" t="n"/>
      <c r="AL139" s="4" t="inlineStr">
        <is>
          <t>Algoritmo principal no explícito o fuera del codebook; Confirmar algoritmo principal en full-text; Se comparan varios modelos; se eligió el principal/mejor reportado</t>
        </is>
      </c>
      <c r="AM139" s="4" t="inlineStr">
        <is>
          <t>RA</t>
        </is>
      </c>
      <c r="AN139" s="4" t="inlineStr">
        <is>
          <t>Tomado completo desde archivo RA según asignación</t>
        </is>
      </c>
      <c r="AO139" s="4" t="n">
        <v>0</v>
      </c>
    </row>
    <row r="140" ht="281" customHeight="1">
      <c r="A140" s="4" t="n">
        <v>139</v>
      </c>
      <c r="B140" s="4" t="n">
        <v>151</v>
      </c>
      <c r="C140" s="4" t="inlineStr">
        <is>
          <t>Ambos (piloto)</t>
        </is>
      </c>
      <c r="D140" s="4" t="inlineStr">
        <is>
          <t>RA</t>
        </is>
      </c>
      <c r="E140" s="4" t="n">
        <v>2023</v>
      </c>
      <c r="F140" s="4" t="inlineStr">
        <is>
          <t>Texto · NLP</t>
        </is>
      </c>
      <c r="G140" s="4" t="inlineStr">
        <is>
          <t>Híbrido</t>
        </is>
      </c>
      <c r="H140" s="4" t="inlineStr">
        <is>
          <t>https://doi.org/10.1016/j.psychres.2023.115050</t>
        </is>
      </c>
      <c r="I140" s="4" t="inlineStr">
        <is>
          <t>Early identification of autism spectrum disorder by multi-instrument fusion: A clinically applicable machine learning approach</t>
        </is>
      </c>
      <c r="J140" s="4" t="inlineStr">
        <is>
          <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t>
        </is>
      </c>
      <c r="K140" s="4" t="inlineStr">
        <is>
          <t>Supervised</t>
        </is>
      </c>
      <c r="L140" s="4" t="inlineStr">
        <is>
          <t>XGBoost / GBDT</t>
        </is>
      </c>
      <c r="M140" s="4" t="inlineStr">
        <is>
          <t>Classification (ASD vs control / multi-class)</t>
        </is>
      </c>
      <c r="N140" s="4" t="inlineStr">
        <is>
          <t>Diagnosis</t>
        </is>
      </c>
      <c r="O140" s="4" t="inlineStr">
        <is>
          <t>High</t>
        </is>
      </c>
      <c r="P140" s="4" t="n">
        <v>0</v>
      </c>
      <c r="Q140" s="4" t="n">
        <v>0</v>
      </c>
      <c r="R140" s="4" t="n">
        <v>1</v>
      </c>
      <c r="S140" s="4" t="n">
        <v>0</v>
      </c>
      <c r="T140" s="4" t="n">
        <v>0</v>
      </c>
      <c r="U140" s="4" t="n">
        <v>0</v>
      </c>
      <c r="V140" s="4" t="n">
        <v>0</v>
      </c>
      <c r="W140" s="4" t="n">
        <v>0</v>
      </c>
      <c r="X140" s="4" t="n">
        <v>0</v>
      </c>
      <c r="Y140" s="4" t="n">
        <v>1</v>
      </c>
      <c r="Z140" s="4" t="n">
        <v>0</v>
      </c>
      <c r="AA140" s="4" t="n">
        <v>0</v>
      </c>
      <c r="AB140" s="4" t="inlineStr">
        <is>
          <t>1900-01-01</t>
        </is>
      </c>
      <c r="AC140" s="4" t="n"/>
      <c r="AD140" s="4" t="n"/>
      <c r="AE140" s="4" t="n"/>
      <c r="AF140" s="4" t="n"/>
      <c r="AG140" s="4" t="n">
        <v>0</v>
      </c>
      <c r="AH140" s="4" t="n">
        <v>1</v>
      </c>
      <c r="AI140" s="4" t="n"/>
      <c r="AJ140" s="4" t="n"/>
      <c r="AK140" s="4" t="n"/>
      <c r="AL140" s="4" t="inlineStr">
        <is>
          <t>Fusión multi-instrumento para identificación temprana; enfoque clínicamente aplicable de cribado.</t>
        </is>
      </c>
      <c r="AM140" s="4" t="inlineStr">
        <is>
          <t>RA</t>
        </is>
      </c>
      <c r="AN140" s="4" t="inlineStr">
        <is>
          <t>Tomado completo desde archivo RA según asignación</t>
        </is>
      </c>
      <c r="AO140" s="4" t="n">
        <v>0</v>
      </c>
    </row>
    <row r="141" ht="409" customHeight="1">
      <c r="A141" s="4" t="n">
        <v>140</v>
      </c>
      <c r="B141" s="4" t="n">
        <v>152</v>
      </c>
      <c r="C141" s="4" t="inlineStr">
        <is>
          <t>Revisor B</t>
        </is>
      </c>
      <c r="D141" s="4" t="n"/>
      <c r="E141" s="4" t="n">
        <v>2023</v>
      </c>
      <c r="F141" s="4" t="inlineStr">
        <is>
          <t>No especificado</t>
        </is>
      </c>
      <c r="G141" s="4" t="inlineStr">
        <is>
          <t>Machine Learning</t>
        </is>
      </c>
      <c r="H141" s="4" t="inlineStr">
        <is>
          <t>https://doi.org/10.57197/JDR-2023-0004</t>
        </is>
      </c>
      <c r="I141" s="4" t="inlineStr">
        <is>
          <t>Early screening of autism spectrum disorder diagnoses of children using artificial intelligence</t>
        </is>
      </c>
      <c r="J141" s="4" t="inlineStr">
        <is>
          <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t>
        </is>
      </c>
      <c r="K141" s="4" t="inlineStr">
        <is>
          <t>Supervised</t>
        </is>
      </c>
      <c r="L141" s="4" t="inlineStr">
        <is>
          <t>SVM</t>
        </is>
      </c>
      <c r="M141" s="4" t="inlineStr">
        <is>
          <t>Classification (binary/multi-class; incl. ASD vs control)/ multi-class)</t>
        </is>
      </c>
      <c r="N141" s="4" t="inlineStr">
        <is>
          <t>diagnosis</t>
        </is>
      </c>
      <c r="O141" s="4" t="inlineStr">
        <is>
          <t>high</t>
        </is>
      </c>
      <c r="P141" s="4" t="n">
        <v>0</v>
      </c>
      <c r="Q141" s="4" t="n">
        <v>0</v>
      </c>
      <c r="R141" s="4" t="n">
        <v>1</v>
      </c>
      <c r="S141" s="4" t="n">
        <v>0</v>
      </c>
      <c r="T141" s="4" t="n">
        <v>1</v>
      </c>
      <c r="U141" s="4" t="n">
        <v>0</v>
      </c>
      <c r="V141" s="4" t="n">
        <v>0</v>
      </c>
      <c r="W141" s="4" t="n">
        <v>0</v>
      </c>
      <c r="X141" s="4" t="n">
        <v>0</v>
      </c>
      <c r="Y141" s="4" t="n">
        <v>1</v>
      </c>
      <c r="Z141" s="4" t="n">
        <v>0</v>
      </c>
      <c r="AA141" s="4" t="n">
        <v>1</v>
      </c>
      <c r="AB141" s="4" t="inlineStr">
        <is>
          <t>1900-01-01</t>
        </is>
      </c>
      <c r="AC141" s="4" t="n">
        <v>0</v>
      </c>
      <c r="AD141" s="4" t="n">
        <v>0</v>
      </c>
      <c r="AE141" s="4" t="n">
        <v>0</v>
      </c>
      <c r="AF141" s="4" t="n">
        <v>1</v>
      </c>
      <c r="AG141" s="4" t="n">
        <v>1</v>
      </c>
      <c r="AH141" s="4" t="n">
        <v>2</v>
      </c>
      <c r="AI141" s="4" t="n">
        <v>0</v>
      </c>
      <c r="AJ141" s="4" t="inlineStr">
        <is>
          <t>00:00:00</t>
        </is>
      </c>
      <c r="AK141" s="4" t="inlineStr">
        <is>
          <t>1900-01-01</t>
        </is>
      </c>
      <c r="AL141" s="4" t="n"/>
      <c r="AM141" s="4" t="inlineStr">
        <is>
          <t>RB</t>
        </is>
      </c>
      <c r="AN141" s="4" t="inlineStr">
        <is>
          <t>Tomado completo desde archivo RB según asignación</t>
        </is>
      </c>
      <c r="AO141" s="4" t="n">
        <v>0</v>
      </c>
    </row>
    <row r="142" ht="255" customHeight="1">
      <c r="A142" s="4" t="n">
        <v>141</v>
      </c>
      <c r="B142" s="4" t="n">
        <v>153</v>
      </c>
      <c r="C142" s="4" t="inlineStr">
        <is>
          <t>Revisor B</t>
        </is>
      </c>
      <c r="D142" s="4" t="n"/>
      <c r="E142" s="4" t="n">
        <v>2024</v>
      </c>
      <c r="F142" s="4" t="inlineStr">
        <is>
          <t>No especificado</t>
        </is>
      </c>
      <c r="G142" s="4" t="inlineStr">
        <is>
          <t>Deep Learning</t>
        </is>
      </c>
      <c r="H142" s="4" t="inlineStr">
        <is>
          <t>https://doi.org/10.1109/ACCESS.2024.3453440</t>
        </is>
      </c>
      <c r="I142" s="4" t="inlineStr">
        <is>
          <t>Enhanced Special Needs Assessment: A Multimodal Approach for Autism Prediction</t>
        </is>
      </c>
      <c r="J142" s="4" t="inlineStr">
        <is>
          <t>Autism spectrum disorder (ASD) poses significant challenges in early detection, necessitating innovative approaches for accurate identification. In this study, we propose a novel method utilizing machine learning models trained on a diverse dataset comprising facial images and behavioral ADOS scores. Employing cutting-edge convolutional neural network (CNN) architectures such as MobileNetV2, ResNet50, and InceptionV3, alongside a bespoke CNN model tailored for ASD detection, we explore the efficacy of our approach. Additionally, we introduce a multimodal concatenation model that integrates image features with behavioral scores to enhance predictive performance. Our results showcase promising outcomes, with the multimodal concatenation model achieving a remarkable accuracy of 97.05%. Furthermore, our models demonstrate competitive precision, recall, F1 score, and area under the ROC curve (AUC), underscoring their potential to facilitate early ASD diagnosis. These findings signify the significance of leveraging multimodal data fusion techniques to augment ASD detection accuracy, thereby contributing to advancements in early intervention strategies.</t>
        </is>
      </c>
      <c r="K142" s="4" t="inlineStr">
        <is>
          <t>Supervised</t>
        </is>
      </c>
      <c r="L142" s="4" t="inlineStr">
        <is>
          <t>Not clear</t>
        </is>
      </c>
      <c r="M142" s="4" t="inlineStr">
        <is>
          <t>Classification (binary/multi-class; incl. ASD vs control)/ multi-class)</t>
        </is>
      </c>
      <c r="N142" s="4" t="inlineStr">
        <is>
          <t>Screening</t>
        </is>
      </c>
      <c r="O142" s="4" t="inlineStr">
        <is>
          <t>high</t>
        </is>
      </c>
      <c r="P142" s="4" t="n">
        <v>0</v>
      </c>
      <c r="Q142" s="4" t="n">
        <v>0</v>
      </c>
      <c r="R142" s="4" t="n">
        <v>0</v>
      </c>
      <c r="S142" s="4" t="n">
        <v>0</v>
      </c>
      <c r="T142" s="4" t="n">
        <v>0</v>
      </c>
      <c r="U142" s="4" t="n">
        <v>0</v>
      </c>
      <c r="V142" s="4" t="n">
        <v>0</v>
      </c>
      <c r="W142" s="4" t="n">
        <v>0</v>
      </c>
      <c r="X142" s="4" t="n">
        <v>0</v>
      </c>
      <c r="Y142" s="4" t="n">
        <v>1</v>
      </c>
      <c r="Z142" s="4" t="n">
        <v>0</v>
      </c>
      <c r="AA142" s="4" t="n">
        <v>0</v>
      </c>
      <c r="AB142" s="4" t="inlineStr">
        <is>
          <t>1900-01-01</t>
        </is>
      </c>
      <c r="AC142" s="4" t="n">
        <v>0</v>
      </c>
      <c r="AD142" s="4" t="n">
        <v>0</v>
      </c>
      <c r="AE142" s="4" t="n">
        <v>0</v>
      </c>
      <c r="AF142" s="4" t="n">
        <v>0</v>
      </c>
      <c r="AG142" s="4" t="n">
        <v>1</v>
      </c>
      <c r="AH142" s="4" t="n">
        <v>0</v>
      </c>
      <c r="AI142" s="4" t="n">
        <v>0</v>
      </c>
      <c r="AJ142" s="4" t="inlineStr">
        <is>
          <t>1900-01-01</t>
        </is>
      </c>
      <c r="AK142" s="4" t="inlineStr">
        <is>
          <t>00:00:00</t>
        </is>
      </c>
      <c r="AL142" s="4" t="n"/>
      <c r="AM142" s="4" t="inlineStr">
        <is>
          <t>RB</t>
        </is>
      </c>
      <c r="AN142" s="4" t="inlineStr">
        <is>
          <t>Tomado completo desde archivo RB según asignación</t>
        </is>
      </c>
      <c r="AO142" s="4" t="n">
        <v>0</v>
      </c>
    </row>
    <row r="143" ht="242" customHeight="1">
      <c r="A143" s="4" t="n">
        <v>142</v>
      </c>
      <c r="B143" s="4" t="n">
        <v>154</v>
      </c>
      <c r="C143" s="4" t="inlineStr">
        <is>
          <t>Revisor B</t>
        </is>
      </c>
      <c r="D143" s="4" t="n"/>
      <c r="E143" s="4" t="n">
        <v>2024</v>
      </c>
      <c r="F143" s="4" t="inlineStr">
        <is>
          <t>No especificado</t>
        </is>
      </c>
      <c r="G143" s="4" t="inlineStr">
        <is>
          <t>Machine Learning</t>
        </is>
      </c>
      <c r="H143" s="4" t="inlineStr">
        <is>
          <t>https://doi.org/10.1007/978-981-97-6995-7_34</t>
        </is>
      </c>
      <c r="I143" s="4" t="inlineStr">
        <is>
          <t>Enhancing Early Diagnosis of Autism Spectrum Disorder in Children: A Comparative Analysis of Machine Learning Techniques</t>
        </is>
      </c>
      <c r="J143" s="4" t="inlineStr">
        <is>
          <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t>
        </is>
      </c>
      <c r="K143" s="4" t="inlineStr">
        <is>
          <t>Supervised</t>
        </is>
      </c>
      <c r="L143" s="4" t="inlineStr">
        <is>
          <t>Not clear</t>
        </is>
      </c>
      <c r="M143" s="4" t="inlineStr">
        <is>
          <t>Classification (binary/multi-class; incl. ASD vs control)/ multi-class)</t>
        </is>
      </c>
      <c r="N143" s="4" t="inlineStr">
        <is>
          <t>diagnosis</t>
        </is>
      </c>
      <c r="O143" s="4" t="inlineStr">
        <is>
          <t>high</t>
        </is>
      </c>
      <c r="P143" s="4" t="n">
        <v>1</v>
      </c>
      <c r="Q143" s="4" t="n">
        <v>1</v>
      </c>
      <c r="R143" s="4" t="n">
        <v>1</v>
      </c>
      <c r="S143" s="4" t="n">
        <v>1</v>
      </c>
      <c r="T143" s="4" t="n">
        <v>0</v>
      </c>
      <c r="U143" s="4" t="n">
        <v>0</v>
      </c>
      <c r="V143" s="4" t="n">
        <v>0</v>
      </c>
      <c r="W143" s="4" t="n">
        <v>0</v>
      </c>
      <c r="X143" s="4" t="n">
        <v>0</v>
      </c>
      <c r="Y143" s="4" t="n">
        <v>1</v>
      </c>
      <c r="Z143" s="4" t="n">
        <v>0</v>
      </c>
      <c r="AA143" s="4" t="n">
        <v>1</v>
      </c>
      <c r="AB143" s="4" t="inlineStr">
        <is>
          <t>1900-01-01</t>
        </is>
      </c>
      <c r="AC143" s="4" t="n">
        <v>0</v>
      </c>
      <c r="AD143" s="4" t="n">
        <v>0</v>
      </c>
      <c r="AE143" s="4" t="n">
        <v>0</v>
      </c>
      <c r="AF143" s="4" t="n">
        <v>0</v>
      </c>
      <c r="AG143" s="4" t="n">
        <v>1</v>
      </c>
      <c r="AH143" s="4" t="n">
        <v>4</v>
      </c>
      <c r="AI143" s="4" t="n">
        <v>0</v>
      </c>
      <c r="AJ143" s="4" t="inlineStr">
        <is>
          <t>1900-01-01</t>
        </is>
      </c>
      <c r="AK143" s="4" t="inlineStr">
        <is>
          <t>00:00:00</t>
        </is>
      </c>
      <c r="AL143" s="4" t="inlineStr">
        <is>
          <t>Comparative study; no best model declared in abstract</t>
        </is>
      </c>
      <c r="AM143" s="4" t="inlineStr">
        <is>
          <t>RB</t>
        </is>
      </c>
      <c r="AN143" s="4" t="inlineStr">
        <is>
          <t>Tomado completo desde archivo RB según asignación</t>
        </is>
      </c>
      <c r="AO143" s="4" t="n">
        <v>0</v>
      </c>
    </row>
    <row r="144" ht="398" customHeight="1">
      <c r="A144" s="4" t="n">
        <v>143</v>
      </c>
      <c r="B144" s="4" t="n">
        <v>155</v>
      </c>
      <c r="C144" s="4" t="inlineStr">
        <is>
          <t>Ambos (piloto)</t>
        </is>
      </c>
      <c r="D144" s="4" t="inlineStr">
        <is>
          <t>RA</t>
        </is>
      </c>
      <c r="E144" s="4" t="n">
        <v>2024</v>
      </c>
      <c r="F144" s="4" t="inlineStr">
        <is>
          <t>No especificado</t>
        </is>
      </c>
      <c r="G144" s="4" t="inlineStr">
        <is>
          <t>No especificado</t>
        </is>
      </c>
      <c r="H144" s="4" t="inlineStr">
        <is>
          <t>https://doi.org/10.1186/s13677-023-00558-9</t>
        </is>
      </c>
      <c r="I144" s="4" t="inlineStr">
        <is>
          <t>Evaluation of AI tools for healthcare networks at the cloud-edge interaction to diagnose autism in educational environments</t>
        </is>
      </c>
      <c r="J144" s="4" t="inlineStr">
        <is>
          <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t>
        </is>
      </c>
      <c r="K144" s="4" t="inlineStr">
        <is>
          <t>Supervised</t>
        </is>
      </c>
      <c r="L144" s="4" t="inlineStr">
        <is>
          <t>CNN</t>
        </is>
      </c>
      <c r="M144" s="4" t="inlineStr">
        <is>
          <t>Classification (ASD vs control / multi-class)</t>
        </is>
      </c>
      <c r="N144" s="4" t="inlineStr">
        <is>
          <t>Screening</t>
        </is>
      </c>
      <c r="O144" s="4" t="inlineStr">
        <is>
          <t>Medium</t>
        </is>
      </c>
      <c r="P144" s="4" t="n">
        <v>0</v>
      </c>
      <c r="Q144" s="4" t="n">
        <v>0</v>
      </c>
      <c r="R144" s="4" t="n">
        <v>1</v>
      </c>
      <c r="S144" s="4" t="n">
        <v>0</v>
      </c>
      <c r="T144" s="4" t="n">
        <v>0</v>
      </c>
      <c r="U144" s="4" t="n">
        <v>0</v>
      </c>
      <c r="V144" s="4" t="n">
        <v>1</v>
      </c>
      <c r="W144" s="4" t="n">
        <v>0</v>
      </c>
      <c r="X144" s="4" t="n">
        <v>1</v>
      </c>
      <c r="Y144" s="4" t="n">
        <v>0</v>
      </c>
      <c r="Z144" s="4" t="n">
        <v>0</v>
      </c>
      <c r="AA144" s="4" t="n">
        <v>0</v>
      </c>
      <c r="AB144" s="4" t="inlineStr">
        <is>
          <t>1900-01-01</t>
        </is>
      </c>
      <c r="AC144" s="4" t="n"/>
      <c r="AD144" s="4" t="n"/>
      <c r="AE144" s="4" t="n"/>
      <c r="AF144" s="4" t="n"/>
      <c r="AG144" s="4" t="n">
        <v>1</v>
      </c>
      <c r="AH144" s="4" t="n">
        <v>2</v>
      </c>
      <c r="AI144" s="4" t="inlineStr">
        <is>
          <t>edge / school system</t>
        </is>
      </c>
      <c r="AJ144" s="4" t="n"/>
      <c r="AK144" s="4" t="n"/>
      <c r="AL144" s="4" t="inlineStr">
        <is>
          <t>Discute varias técnicas pero aplica AlexNet sobre rostros en entorno educativo; confirmar diseño final.</t>
        </is>
      </c>
      <c r="AM144" s="4" t="inlineStr">
        <is>
          <t>RA</t>
        </is>
      </c>
      <c r="AN144" s="4" t="inlineStr">
        <is>
          <t>Tomado completo desde archivo RA según asignación</t>
        </is>
      </c>
      <c r="AO144" s="4" t="n">
        <v>0</v>
      </c>
    </row>
    <row r="145" ht="409" customHeight="1">
      <c r="A145" s="4" t="n">
        <v>144</v>
      </c>
      <c r="B145" s="4" t="n">
        <v>156</v>
      </c>
      <c r="C145" s="4" t="inlineStr">
        <is>
          <t>Revisor A</t>
        </is>
      </c>
      <c r="D145" s="4" t="inlineStr">
        <is>
          <t>RA</t>
        </is>
      </c>
      <c r="E145" s="4" t="n">
        <v>2021</v>
      </c>
      <c r="F145" s="4" t="inlineStr">
        <is>
          <t>Imagen</t>
        </is>
      </c>
      <c r="G145" s="4" t="inlineStr">
        <is>
          <t>Deep Learning</t>
        </is>
      </c>
      <c r="H145" s="4" t="inlineStr">
        <is>
          <t>https://doi.org/10.1109/ACCESS.2021.3069211</t>
        </is>
      </c>
      <c r="I145" s="4" t="inlineStr">
        <is>
          <t>Exploring sMRI Biomarkers for Diagnosis of Autism Spectrum Disorders Based on Multi Class Activation Mapping Models</t>
        </is>
      </c>
      <c r="J145" s="4" t="inlineStr">
        <is>
          <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t>
        </is>
      </c>
      <c r="K145" s="4" t="inlineStr">
        <is>
          <t>Supervised</t>
        </is>
      </c>
      <c r="L145" s="4" t="inlineStr">
        <is>
          <t>CNN</t>
        </is>
      </c>
      <c r="M145" s="4" t="inlineStr">
        <is>
          <t>Classification (ASD vs control / multi-class)</t>
        </is>
      </c>
      <c r="N145" s="4" t="inlineStr">
        <is>
          <t>Diagnosis</t>
        </is>
      </c>
      <c r="O145" s="4" t="inlineStr">
        <is>
          <t>High</t>
        </is>
      </c>
      <c r="P145" s="4" t="n">
        <v>1</v>
      </c>
      <c r="Q145" s="4" t="n">
        <v>0</v>
      </c>
      <c r="R145" s="4" t="n">
        <v>0</v>
      </c>
      <c r="S145" s="4" t="n">
        <v>0</v>
      </c>
      <c r="T145" s="4" t="n">
        <v>0</v>
      </c>
      <c r="U145" s="4" t="n">
        <v>0</v>
      </c>
      <c r="V145" s="4" t="n">
        <v>0</v>
      </c>
      <c r="W145" s="4" t="n">
        <v>0</v>
      </c>
      <c r="X145" s="4" t="n">
        <v>0</v>
      </c>
      <c r="Y145" s="4" t="n">
        <v>1</v>
      </c>
      <c r="Z145" s="4" t="n">
        <v>0</v>
      </c>
      <c r="AA145" s="4" t="n">
        <v>0</v>
      </c>
      <c r="AB145" s="4" t="inlineStr">
        <is>
          <t>1900-01-01</t>
        </is>
      </c>
      <c r="AC145" s="4" t="n"/>
      <c r="AD145" s="4" t="n"/>
      <c r="AE145" s="4" t="n"/>
      <c r="AF145" s="4" t="n"/>
      <c r="AG145" s="4" t="n">
        <v>1</v>
      </c>
      <c r="AH145" s="4" t="n">
        <v>1</v>
      </c>
      <c r="AI145" s="4" t="n"/>
      <c r="AJ145" s="4" t="n"/>
      <c r="AK145" s="4" t="n"/>
      <c r="AL145" s="4" t="inlineStr">
        <is>
          <t>Algoritmo principal no explícito o fuera del codebook; Confirmar algoritmo principal en full-text</t>
        </is>
      </c>
      <c r="AM145" s="4" t="inlineStr">
        <is>
          <t>RA</t>
        </is>
      </c>
      <c r="AN145" s="4" t="inlineStr">
        <is>
          <t>Tomado completo desde archivo RA según asignación</t>
        </is>
      </c>
      <c r="AO145" s="4" t="n">
        <v>0</v>
      </c>
    </row>
    <row r="146" ht="409" customHeight="1">
      <c r="A146" s="4" t="n">
        <v>145</v>
      </c>
      <c r="B146" s="4" t="n">
        <v>157</v>
      </c>
      <c r="C146" s="4" t="inlineStr">
        <is>
          <t>Revisor B</t>
        </is>
      </c>
      <c r="D146" s="4" t="n"/>
      <c r="E146" s="4" t="n">
        <v>2015</v>
      </c>
      <c r="F146" s="4" t="inlineStr">
        <is>
          <t>Señales fisiológicas</t>
        </is>
      </c>
      <c r="G146" s="4" t="inlineStr">
        <is>
          <t>Deep Learning</t>
        </is>
      </c>
      <c r="H146" s="4" t="inlineStr">
        <is>
          <t>https://doi.org/10.1016/j.nicl.2014.12.013</t>
        </is>
      </c>
      <c r="I146" s="4" t="inlineStr">
        <is>
          <t>Functional connectivity classification of autism identifies highly predictive brain features but falls short of biomarker standards</t>
        </is>
      </c>
      <c r="J146" s="4" t="inlineStr">
        <is>
          <t>Objectives Autism spectrum disorders (ASD) are diagnosed based on early-manifesting clinical symptoms, including markedly impaired social communication. We assessed the viability of resting-state functional MRI (rs-fMRI) connectivity measures as diagnostic biomarkers for ASD and investigated which connectivity features are predictive of a diagnosis. Methods Rs-fMRI scans from 59 high functioning males with ASD and 59 age- and IQ-matched typically developing (TD) males were used to build a series of machine learning classifiers. Classification features were obtained using 3 sets of brain regions. Another set of classifiers was built from participants' scores on behavioral metrics. An additional age and IQ-matched cohort of 178 individuals (89 ASD; 89 TD) from the Autism Brain Imaging Data Exchange (ABIDE) open-access dataset (http://fcon-1000.projects.nitrc.org/indi/abide/) were included for replication. Results High classification accuracy was achieved through several rs-fMRI methods (peak accuracy 76.67%). However, classification via behavioral measures consistently surpassed rs-fMRI classifiers (peak accuracy 95.19%). The class probability estimates, P(ASD|fMRI data), from brain-based classifiers significantly correlated with scores on a measure of social functioning, the Social Responsiveness Scale (SRS), as did the most informative features from 2 of the 3 sets of brain-based features. The most informative connections predominantly originated from regions strongly associated with social functioning. Conclusions While individuals can be classified as having ASD with statistically significant accuracy from their rs-fMRI scans alone, this method falls short of biomarker standards. Classification methods provided further evidence that ASD functional connectivity is characterized by dysfunction of large-scale functional networks, particularly those involved in social information processing.</t>
        </is>
      </c>
      <c r="K146" s="4" t="inlineStr">
        <is>
          <t>Supervised</t>
        </is>
      </c>
      <c r="L146" s="4" t="inlineStr">
        <is>
          <t>Logistic Regression</t>
        </is>
      </c>
      <c r="M146" s="4" t="inlineStr">
        <is>
          <t>Classification (binary/multi-class; incl. ASD vs control)/ multi-class)</t>
        </is>
      </c>
      <c r="N146" s="4" t="inlineStr">
        <is>
          <t>diagnosis</t>
        </is>
      </c>
      <c r="O146" s="4" t="inlineStr">
        <is>
          <t>high</t>
        </is>
      </c>
      <c r="P146" s="4" t="n">
        <v>1</v>
      </c>
      <c r="Q146" s="4" t="n">
        <v>0</v>
      </c>
      <c r="R146" s="4" t="n">
        <v>0</v>
      </c>
      <c r="S146" s="4" t="n">
        <v>0</v>
      </c>
      <c r="T146" s="4" t="n">
        <v>0</v>
      </c>
      <c r="U146" s="4" t="n">
        <v>1</v>
      </c>
      <c r="V146" s="4" t="n">
        <v>0</v>
      </c>
      <c r="W146" s="4" t="n">
        <v>0</v>
      </c>
      <c r="X146" s="4" t="n">
        <v>0</v>
      </c>
      <c r="Y146" s="4" t="n">
        <v>1</v>
      </c>
      <c r="Z146" s="4" t="n">
        <v>0</v>
      </c>
      <c r="AA146" s="4" t="n">
        <v>0</v>
      </c>
      <c r="AB146" s="4" t="inlineStr">
        <is>
          <t>1900-01-01</t>
        </is>
      </c>
      <c r="AC146" s="4" t="n">
        <v>0</v>
      </c>
      <c r="AD146" s="4" t="n">
        <v>0</v>
      </c>
      <c r="AE146" s="4" t="n">
        <v>0</v>
      </c>
      <c r="AF146" s="4" t="n">
        <v>0</v>
      </c>
      <c r="AG146" s="4" t="n">
        <v>1</v>
      </c>
      <c r="AH146" s="4" t="n">
        <v>2</v>
      </c>
      <c r="AI146" s="4" t="n">
        <v>0</v>
      </c>
      <c r="AJ146" s="4" t="inlineStr">
        <is>
          <t>1900-01-01</t>
        </is>
      </c>
      <c r="AK146" s="4" t="inlineStr">
        <is>
          <t>00:00:00</t>
        </is>
      </c>
      <c r="AL146" s="4" t="inlineStr">
        <is>
          <t>comparan múltiples algoritmos (RF, KNN, SVM, varias regresiones logísticas, etc.), pero para “main” aquí lo más defendible es Logistic Regression (L2LR) por desempeño consistente.</t>
        </is>
      </c>
      <c r="AM146" s="4" t="inlineStr">
        <is>
          <t>RB</t>
        </is>
      </c>
      <c r="AN146" s="4" t="inlineStr">
        <is>
          <t>Tomado completo desde archivo RB según asignación</t>
        </is>
      </c>
      <c r="AO146" s="4" t="n">
        <v>0</v>
      </c>
    </row>
    <row r="147" ht="333" customHeight="1">
      <c r="A147" s="4" t="n">
        <v>146</v>
      </c>
      <c r="B147" s="4" t="n">
        <v>158</v>
      </c>
      <c r="C147" s="4" t="inlineStr">
        <is>
          <t>Revisor A</t>
        </is>
      </c>
      <c r="D147" s="4" t="inlineStr">
        <is>
          <t>RA</t>
        </is>
      </c>
      <c r="E147" s="4" t="n">
        <v>2022</v>
      </c>
      <c r="F147" s="4" t="inlineStr">
        <is>
          <t>No especificado</t>
        </is>
      </c>
      <c r="G147" s="4" t="inlineStr">
        <is>
          <t>Deep Learning</t>
        </is>
      </c>
      <c r="H147" s="4" t="inlineStr">
        <is>
          <t>https://doi.org/10.1007/978-3-031-13844-7_33</t>
        </is>
      </c>
      <c r="I147" s="4" t="inlineStr">
        <is>
          <t>Graph Convolutional Networks Based on\&amp;#xa0;Relational Attention Mechanism for\&amp;#xa0;Autism Spectrum Disorders Diagnosis</t>
        </is>
      </c>
      <c r="J147" s="4" t="inlineStr">
        <is>
          <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t>
        </is>
      </c>
      <c r="K147" s="4" t="inlineStr">
        <is>
          <t>Supervised</t>
        </is>
      </c>
      <c r="L147" s="4" t="inlineStr">
        <is>
          <t>Other / Not clear</t>
        </is>
      </c>
      <c r="M147" s="4" t="inlineStr">
        <is>
          <t>Classification (ASD vs control / multi-class)</t>
        </is>
      </c>
      <c r="N147" s="4" t="inlineStr">
        <is>
          <t>Diagnosis</t>
        </is>
      </c>
      <c r="O147" s="4" t="inlineStr">
        <is>
          <t>High</t>
        </is>
      </c>
      <c r="P147" s="4" t="n">
        <v>1</v>
      </c>
      <c r="Q147" s="4" t="n">
        <v>0</v>
      </c>
      <c r="R147" s="4" t="n">
        <v>0</v>
      </c>
      <c r="S147" s="4" t="n">
        <v>0</v>
      </c>
      <c r="T147" s="4" t="n">
        <v>0</v>
      </c>
      <c r="U147" s="4" t="n">
        <v>0</v>
      </c>
      <c r="V147" s="4" t="n">
        <v>0</v>
      </c>
      <c r="W147" s="4" t="n">
        <v>0</v>
      </c>
      <c r="X147" s="4" t="n">
        <v>0</v>
      </c>
      <c r="Y147" s="4" t="n">
        <v>1</v>
      </c>
      <c r="Z147" s="4" t="n">
        <v>0</v>
      </c>
      <c r="AA147" s="4" t="n">
        <v>0</v>
      </c>
      <c r="AB147" s="4" t="inlineStr">
        <is>
          <t>1900-01-01</t>
        </is>
      </c>
      <c r="AC147" s="4" t="n"/>
      <c r="AD147" s="4" t="n"/>
      <c r="AE147" s="4" t="n"/>
      <c r="AF147" s="4" t="n"/>
      <c r="AG147" s="4" t="n">
        <v>1</v>
      </c>
      <c r="AH147" s="4" t="n">
        <v>1</v>
      </c>
      <c r="AI147" s="4" t="n"/>
      <c r="AJ147" s="4" t="n"/>
      <c r="AK147" s="4" t="n"/>
      <c r="AL147" s="4" t="inlineStr">
        <is>
          <t>Algoritmo principal no explícito o fuera del codebook; Confirmar algoritmo principal en full-text; Se comparan varios modelos; se eligió el principal/mejor reportado</t>
        </is>
      </c>
      <c r="AM147" s="4" t="inlineStr">
        <is>
          <t>RA</t>
        </is>
      </c>
      <c r="AN147" s="4" t="inlineStr">
        <is>
          <t>Tomado completo desde archivo RA según asignación</t>
        </is>
      </c>
      <c r="AO147" s="4" t="n">
        <v>0</v>
      </c>
    </row>
    <row r="148" ht="333" customHeight="1">
      <c r="A148" s="4" t="n">
        <v>147</v>
      </c>
      <c r="B148" s="4" t="n">
        <v>159</v>
      </c>
      <c r="C148" s="4" t="inlineStr">
        <is>
          <t>Revisor B</t>
        </is>
      </c>
      <c r="D148" s="4" t="n"/>
      <c r="E148" s="4" t="n">
        <v>2024</v>
      </c>
      <c r="F148" s="4" t="inlineStr">
        <is>
          <t>Señales fisiológicas</t>
        </is>
      </c>
      <c r="G148" s="4" t="inlineStr">
        <is>
          <t>Deep Learning</t>
        </is>
      </c>
      <c r="H148" s="4" t="inlineStr">
        <is>
          <t>https://doi.org/10.1016/j.compbiolchem.2024.108177</t>
        </is>
      </c>
      <c r="I148" s="4" t="inlineStr">
        <is>
          <t>Hybrid similarity based feature selection and cascade deep maxout fuzzy network for Autism Spectrum Disorder detection using EEG signal</t>
        </is>
      </c>
      <c r="J148" s="4" t="inlineStr">
        <is>
          <t>Autism Spectrum Disorder (ASD) is a neurological disorder that influences a person's comprehension and way of behaving. It is a lifetime disability that cannot be completely treated using any therapy up to date. Nevertheless, in time identification and continuous therapies have a huge effect on autism patients. The existing models took a long time to confirm the diagnosis process and also, it is highly complex to differentiate autism from various developmental disorders. To facilitate early diagnosis by providing timely intervention, saving healthcare costs and reducing stress for the family in the long run, this research introduces an affordable and straightforward diagnostic model to detect ASD using EEG and deep learning models. Here, a hybrid deep learning model called Cascade deep maxout fuzzy network (Cascade DMFN) is proposed to identify ASD and it is achieved by the integration of Deep Maxout Network (DMN) and hybrid cascade neuro-fuzzy. Moreover, hybrid similarity measures like Canberra distance and Kumar-hassebrook is employed to conduct the feature selection technique. Also, the EEG dataset and BCIAUT_P300 dataset are used for analyzing the designed Cascade DMFN for detecting Autism Spectrum Disorder. The designed Cascade DMFN has outperformed other classical models by yielding a high accuracy of 0.930, Negative Predictive Value (NPV) of 0.919, Positive Predictive Value (PPV) of 0.923, True Negative Rate (TNR) of 0.926, and True Positive Rate (TPR) of 0.934.</t>
        </is>
      </c>
      <c r="K148" s="4" t="inlineStr">
        <is>
          <t>Supervised</t>
        </is>
      </c>
      <c r="L148" s="4" t="inlineStr">
        <is>
          <t>Other</t>
        </is>
      </c>
      <c r="M148" s="4" t="inlineStr">
        <is>
          <t>Classification (binary/multi-class; incl. ASD vs control)/ multi-class)</t>
        </is>
      </c>
      <c r="N148" s="4" t="inlineStr">
        <is>
          <t>diagnosis</t>
        </is>
      </c>
      <c r="O148" s="4" t="inlineStr">
        <is>
          <t>high</t>
        </is>
      </c>
      <c r="P148" s="4" t="n">
        <v>0</v>
      </c>
      <c r="Q148" s="4" t="n">
        <v>0</v>
      </c>
      <c r="R148" s="4" t="n">
        <v>0</v>
      </c>
      <c r="S148" s="4" t="n">
        <v>0</v>
      </c>
      <c r="T148" s="4" t="n">
        <v>1</v>
      </c>
      <c r="U148" s="4" t="n">
        <v>0</v>
      </c>
      <c r="V148" s="4" t="n">
        <v>0</v>
      </c>
      <c r="W148" s="4" t="n">
        <v>0</v>
      </c>
      <c r="X148" s="4" t="n">
        <v>0</v>
      </c>
      <c r="Y148" s="4" t="n">
        <v>1</v>
      </c>
      <c r="Z148" s="4" t="n">
        <v>0</v>
      </c>
      <c r="AA148" s="4" t="n">
        <v>0</v>
      </c>
      <c r="AB148" s="4" t="inlineStr">
        <is>
          <t>1900-01-01</t>
        </is>
      </c>
      <c r="AC148" s="4" t="n">
        <v>0</v>
      </c>
      <c r="AD148" s="4" t="n">
        <v>0</v>
      </c>
      <c r="AE148" s="4" t="n">
        <v>0</v>
      </c>
      <c r="AF148" s="4" t="n">
        <v>0</v>
      </c>
      <c r="AG148" s="4" t="n">
        <v>0</v>
      </c>
      <c r="AH148" s="4" t="n">
        <v>1</v>
      </c>
      <c r="AI148" s="4" t="n">
        <v>0</v>
      </c>
      <c r="AJ148" s="4" t="inlineStr">
        <is>
          <t>1900-01-01</t>
        </is>
      </c>
      <c r="AK148" s="4" t="inlineStr">
        <is>
          <t>00:00:00</t>
        </is>
      </c>
      <c r="AL148" s="4" t="inlineStr">
        <is>
          <t>Cascade Deep Maxout Fuzzy Network (DMN + neuro-fuzzy), con feature selection por medidas de similitud</t>
        </is>
      </c>
      <c r="AM148" s="4" t="inlineStr">
        <is>
          <t>RB</t>
        </is>
      </c>
      <c r="AN148" s="4" t="inlineStr">
        <is>
          <t>Tomado completo desde archivo RB según asignación</t>
        </is>
      </c>
      <c r="AO148" s="4" t="n">
        <v>0</v>
      </c>
    </row>
    <row r="149" ht="409" customHeight="1">
      <c r="A149" s="4" t="n">
        <v>148</v>
      </c>
      <c r="B149" s="4" t="n">
        <v>160</v>
      </c>
      <c r="C149" s="4" t="inlineStr">
        <is>
          <t>Revisor B</t>
        </is>
      </c>
      <c r="D149" s="4" t="n"/>
      <c r="E149" s="4" t="n">
        <v>2022</v>
      </c>
      <c r="F149" s="4" t="inlineStr">
        <is>
          <t>Texto · NLP</t>
        </is>
      </c>
      <c r="G149" s="4" t="inlineStr">
        <is>
          <t>Deep Learning</t>
        </is>
      </c>
      <c r="H149" s="4" t="inlineStr">
        <is>
          <t>https://doi.org/10.1002/AUR.2622</t>
        </is>
      </c>
      <c r="I149" s="4" t="inlineStr">
        <is>
          <t>Imputing cognitive impairment in SPARK, a large autism cohort</t>
        </is>
      </c>
      <c r="J149" s="4" t="inlineStr">
        <is>
          <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t>
        </is>
      </c>
      <c r="K149" s="4" t="inlineStr">
        <is>
          <t>Supervised</t>
        </is>
      </c>
      <c r="L149" s="4" t="inlineStr">
        <is>
          <t>Logistic Regression</t>
        </is>
      </c>
      <c r="M149" s="4" t="inlineStr">
        <is>
          <t>Cognitive impairment imputation / clinical characterization</t>
        </is>
      </c>
      <c r="N149" s="4" t="inlineStr">
        <is>
          <t>Monitoring/intervention</t>
        </is>
      </c>
      <c r="O149" s="4" t="inlineStr">
        <is>
          <t>high</t>
        </is>
      </c>
      <c r="P149" s="4" t="n">
        <v>0</v>
      </c>
      <c r="Q149" s="4" t="n">
        <v>0</v>
      </c>
      <c r="R149" s="4" t="n">
        <v>1</v>
      </c>
      <c r="S149" s="4" t="n">
        <v>0</v>
      </c>
      <c r="T149" s="4" t="n">
        <v>0</v>
      </c>
      <c r="U149" s="4" t="n">
        <v>0</v>
      </c>
      <c r="V149" s="4" t="n">
        <v>0</v>
      </c>
      <c r="W149" s="4" t="n">
        <v>0</v>
      </c>
      <c r="X149" s="4" t="n">
        <v>0</v>
      </c>
      <c r="Y149" s="4" t="n">
        <v>0</v>
      </c>
      <c r="Z149" s="4" t="n">
        <v>0</v>
      </c>
      <c r="AA149" s="4" t="n">
        <v>1</v>
      </c>
      <c r="AB149" s="4" t="inlineStr">
        <is>
          <t>1900-01-01</t>
        </is>
      </c>
      <c r="AC149" s="4" t="n">
        <v>0</v>
      </c>
      <c r="AD149" s="4" t="n">
        <v>0</v>
      </c>
      <c r="AE149" s="4" t="n">
        <v>0</v>
      </c>
      <c r="AF149" s="4" t="n">
        <v>0</v>
      </c>
      <c r="AG149" s="4" t="n">
        <v>0</v>
      </c>
      <c r="AH149" s="4" t="n">
        <v>1</v>
      </c>
      <c r="AI149" s="4" t="n">
        <v>0</v>
      </c>
      <c r="AJ149" s="4" t="inlineStr">
        <is>
          <t>1900-01-01</t>
        </is>
      </c>
      <c r="AK149" s="4" t="inlineStr">
        <is>
          <t>00:00:00</t>
        </is>
      </c>
      <c r="AL149" s="4" t="inlineStr">
        <is>
          <t>el modelo no busca detectar ASD vs no-ASD; trabaja dentro de una cohorte ASD para imputar/estimar capacidad cognitiva / impairment (FSIQ y umbrales). Eso no cae limpio en Prescreening/Screening/Diagnosis/Prognosis/Monitoring de ASD.</t>
        </is>
      </c>
      <c r="AM149" s="4" t="inlineStr">
        <is>
          <t>RB</t>
        </is>
      </c>
      <c r="AN149" s="4" t="inlineStr">
        <is>
          <t>Tomado completo desde archivo RB según asignación</t>
        </is>
      </c>
      <c r="AO149" s="4" t="n">
        <v>0</v>
      </c>
    </row>
    <row r="150" ht="281" customHeight="1">
      <c r="A150" s="4" t="n">
        <v>149</v>
      </c>
      <c r="B150" s="4" t="n">
        <v>162</v>
      </c>
      <c r="C150" s="4" t="inlineStr">
        <is>
          <t>Revisor B</t>
        </is>
      </c>
      <c r="D150" s="4" t="n"/>
      <c r="E150" s="4" t="n">
        <v>2023</v>
      </c>
      <c r="F150" s="4" t="inlineStr">
        <is>
          <t>Texto · NLP</t>
        </is>
      </c>
      <c r="G150" s="4" t="inlineStr">
        <is>
          <t>Machine Learning</t>
        </is>
      </c>
      <c r="H150" s="4" t="inlineStr">
        <is>
          <t>https://doi.org/10.1002/9781119896838.CH18</t>
        </is>
      </c>
      <c r="I150" s="4" t="inlineStr">
        <is>
          <t>Machine Learning in ASD: An Intensive Study of Automated Disease Prediction System</t>
        </is>
      </c>
      <c r="J150" s="4" t="inlineStr">
        <is>
          <t>Of late, due to drastic climate change and excessive pollution, people live in such an atmosphere where they have to combat continuously several deadly diseases. To get the proper treatment of such diseases, people must rely on appropriate diagnoses. There are a lot of signs or symptoms that bear the existence of a particular condition. Generally, almost all the people who suffer from viral infections, dengue, and COVID-19 get a common sign of high fever. Therefore, it is challenging for doctors to determine the exact disease with this particular symptom. Accordingly, a technically equipped medical system should be developed to get a more error-free diagnosis. In this context, a case study uses the Random Forest Algorithm to combine diagnostic prediction and technology, which will help medical practitioners detect diseases. Agile Software can be used here. One of the essential advantages of agile methodology is speed to market and risk reduction. This paper showcases a module developed with the help of Machine Learning. Here, Agile Software is designed to become very effective in detecting a particular disease more efficiently. In this specific system preventing errors and malfunctions has been proven to be 95% effective in the medical field.</t>
        </is>
      </c>
      <c r="K150" s="4" t="n"/>
      <c r="L150" s="4" t="n"/>
      <c r="M150" s="4" t="inlineStr">
        <is>
          <t>Classification / diagnostic prediction</t>
        </is>
      </c>
      <c r="N150" s="4" t="inlineStr">
        <is>
          <t>Diagnosis</t>
        </is>
      </c>
      <c r="O150" s="4" t="n"/>
      <c r="P150" s="4" t="n"/>
      <c r="Q150" s="4" t="n"/>
      <c r="R150" s="4" t="n"/>
      <c r="S150" s="4" t="n"/>
      <c r="T150" s="4" t="n"/>
      <c r="U150" s="4" t="n"/>
      <c r="V150" s="4" t="n"/>
      <c r="W150" s="4" t="n">
        <v>0</v>
      </c>
      <c r="X150" s="4" t="n">
        <v>0</v>
      </c>
      <c r="Y150" s="4" t="n">
        <v>1</v>
      </c>
      <c r="Z150" s="4" t="n">
        <v>0</v>
      </c>
      <c r="AA150" s="4" t="n">
        <v>0</v>
      </c>
      <c r="AB150" s="4" t="inlineStr">
        <is>
          <t>1900-01-01</t>
        </is>
      </c>
      <c r="AC150" s="4" t="n">
        <v>0</v>
      </c>
      <c r="AD150" s="4" t="n">
        <v>0</v>
      </c>
      <c r="AE150" s="4" t="n">
        <v>0</v>
      </c>
      <c r="AF150" s="4" t="n">
        <v>0</v>
      </c>
      <c r="AG150" s="4" t="n"/>
      <c r="AH150" s="4" t="n"/>
      <c r="AI150" s="4" t="n"/>
      <c r="AJ150" s="4" t="inlineStr">
        <is>
          <t>1900-01-01</t>
        </is>
      </c>
      <c r="AK150" s="4" t="n"/>
      <c r="AL150" s="4" t="inlineStr">
        <is>
          <t>Sin señal explícita Q3 en título/abstract.</t>
        </is>
      </c>
      <c r="AM150" s="4" t="inlineStr">
        <is>
          <t>RA_fallback</t>
        </is>
      </c>
      <c r="AN150" s="4" t="inlineStr">
        <is>
          <t>Fallback a RA porque el ID no está en RB</t>
        </is>
      </c>
      <c r="AO150" s="4" t="n">
        <v>1</v>
      </c>
    </row>
    <row r="151" ht="372" customHeight="1">
      <c r="A151" s="4" t="n">
        <v>150</v>
      </c>
      <c r="B151" s="4" t="n">
        <v>163</v>
      </c>
      <c r="C151" s="4" t="inlineStr">
        <is>
          <t>Revisor A</t>
        </is>
      </c>
      <c r="D151" s="4" t="inlineStr">
        <is>
          <t>RA</t>
        </is>
      </c>
      <c r="E151" s="4" t="n">
        <v>2020</v>
      </c>
      <c r="F151" s="4" t="inlineStr">
        <is>
          <t>Imagen</t>
        </is>
      </c>
      <c r="G151" s="4" t="inlineStr">
        <is>
          <t>Deep Learning</t>
        </is>
      </c>
      <c r="H151" s="4" t="inlineStr">
        <is>
          <t>https://doi.org/10.1155/2020/1357853</t>
        </is>
      </c>
      <c r="I151" s="4" t="inlineStr">
        <is>
          <t>Multichannel Deep Attention Neural Networks for the Classification of Autism Spectrum Disorder Using Neuroimaging and Personal Characteristic Data</t>
        </is>
      </c>
      <c r="J151" s="4" t="inlineStr">
        <is>
          <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t>
        </is>
      </c>
      <c r="K151" s="4" t="inlineStr">
        <is>
          <t>Supervised</t>
        </is>
      </c>
      <c r="L151" s="4" t="inlineStr">
        <is>
          <t>Other / Not clear</t>
        </is>
      </c>
      <c r="M151" s="4" t="inlineStr">
        <is>
          <t>Classification (ASD vs control / multi-class)</t>
        </is>
      </c>
      <c r="N151" s="4" t="inlineStr">
        <is>
          <t>Diagnosis</t>
        </is>
      </c>
      <c r="O151" s="4" t="inlineStr">
        <is>
          <t>High</t>
        </is>
      </c>
      <c r="P151" s="4" t="n">
        <v>1</v>
      </c>
      <c r="Q151" s="4" t="n">
        <v>0</v>
      </c>
      <c r="R151" s="4" t="n">
        <v>0</v>
      </c>
      <c r="S151" s="4" t="n">
        <v>0</v>
      </c>
      <c r="T151" s="4" t="n">
        <v>1</v>
      </c>
      <c r="U151" s="4" t="n">
        <v>0</v>
      </c>
      <c r="V151" s="4" t="n">
        <v>0</v>
      </c>
      <c r="W151" s="4" t="n">
        <v>0</v>
      </c>
      <c r="X151" s="4" t="n">
        <v>0</v>
      </c>
      <c r="Y151" s="4" t="n">
        <v>1</v>
      </c>
      <c r="Z151" s="4" t="n">
        <v>0</v>
      </c>
      <c r="AA151" s="4" t="n">
        <v>0</v>
      </c>
      <c r="AB151" s="4" t="inlineStr">
        <is>
          <t>1900-01-01</t>
        </is>
      </c>
      <c r="AC151" s="4" t="n"/>
      <c r="AD151" s="4" t="n"/>
      <c r="AE151" s="4" t="n"/>
      <c r="AF151" s="4" t="n"/>
      <c r="AG151" s="4" t="n">
        <v>1</v>
      </c>
      <c r="AH151" s="4" t="n">
        <v>2</v>
      </c>
      <c r="AI151" s="4" t="n"/>
      <c r="AJ151" s="4" t="n"/>
      <c r="AK151" s="4" t="n"/>
      <c r="AL151" s="4" t="inlineStr">
        <is>
          <t>Algoritmo principal no explícito o fuera del codebook; Confirmar algoritmo principal en full-text</t>
        </is>
      </c>
      <c r="AM151" s="4" t="inlineStr">
        <is>
          <t>RA</t>
        </is>
      </c>
      <c r="AN151" s="4" t="inlineStr">
        <is>
          <t>Tomado completo desde archivo RA según asignación</t>
        </is>
      </c>
      <c r="AO151" s="4" t="n">
        <v>0</v>
      </c>
    </row>
    <row r="152" ht="346" customHeight="1">
      <c r="A152" s="4" t="n">
        <v>151</v>
      </c>
      <c r="B152" s="4" t="n">
        <v>164</v>
      </c>
      <c r="C152" s="4" t="inlineStr">
        <is>
          <t>Revisor B</t>
        </is>
      </c>
      <c r="D152" s="4" t="n"/>
      <c r="E152" s="4" t="n">
        <v>2024</v>
      </c>
      <c r="F152" s="4" t="inlineStr">
        <is>
          <t>Señales fisiológicas</t>
        </is>
      </c>
      <c r="G152" s="4" t="inlineStr">
        <is>
          <t>Machine Learning</t>
        </is>
      </c>
      <c r="H152" s="4" t="inlineStr">
        <is>
          <t>https://doi.org/10.1007/s13246-023-01350-4</t>
        </is>
      </c>
      <c r="I152" s="4" t="inlineStr">
        <is>
          <t>Multimodal Kernel-based discriminant correlation analysis data-fusion approach: an automated autism spectrum disorder diagnostic system</t>
        </is>
      </c>
      <c r="J152" s="4" t="inlineStr">
        <is>
          <t>Autism spectrum disorder (ASD) diagnostic systems, based on association of multimodal tools such as combination of Electroencephalogram (EEG) and eye-tracking, have emerged as an analytical to provide objective biomarkers. However, the existing feature-redundancy-based systems have lacked in providing knowledge of fusion approaches and robust feature-set. The present paper aims to reduce disorder homogeneity by proposing a multimodal diagnostic system which can incorporate multimodal data. The paper has collected simultaneous-data from three modalities (laptop-performance tool, EEG machine, and Eye-tracker) fused the recorded computational, neural and visual data. The multimodal features are analyzed via proposed multimodal Kernel-based discriminant correlation analysis (MKDCA) fusion approach and classified using state-of-the-art machine-learning classifiers. The proposed framework has considered the distinct cardinality of the feature vectors and fused the group structure among multiple samples after ranking them in increasing order. As per the results, the proposed multimodal system provided fused feature set of 11 influential features out of total 39 features. The SVM classifier has diagnosed ASD with 92% testing accuracy and 0.988 AUC(ROC). The proposed automated fusion-based system has the potential to classify disorder by reducing the disorder heterogeneity and stratifying ASD individuals into homogeneous sub-groups. In future, the correlation of reduced feature set with ASD clinical symptoms accounted by screening scales can provide clinical relevance of proposed model.</t>
        </is>
      </c>
      <c r="K152" s="4" t="inlineStr">
        <is>
          <t>Supervised</t>
        </is>
      </c>
      <c r="L152" s="4" t="inlineStr">
        <is>
          <t>SVM</t>
        </is>
      </c>
      <c r="M152" s="4" t="inlineStr">
        <is>
          <t>Classification (binary/multi-class; incl. ASD vs control)/ multi-class)</t>
        </is>
      </c>
      <c r="N152" s="4" t="inlineStr">
        <is>
          <t>Diagnosis</t>
        </is>
      </c>
      <c r="O152" s="4" t="inlineStr">
        <is>
          <t>high</t>
        </is>
      </c>
      <c r="P152" s="4" t="n">
        <v>0</v>
      </c>
      <c r="Q152" s="4" t="n">
        <v>1</v>
      </c>
      <c r="R152" s="4" t="n">
        <v>0</v>
      </c>
      <c r="S152" s="4" t="n">
        <v>0</v>
      </c>
      <c r="T152" s="4" t="n">
        <v>1</v>
      </c>
      <c r="U152" s="4" t="n">
        <v>0</v>
      </c>
      <c r="V152" s="4" t="n">
        <v>0</v>
      </c>
      <c r="W152" s="4" t="n">
        <v>0</v>
      </c>
      <c r="X152" s="4" t="n">
        <v>1</v>
      </c>
      <c r="Y152" s="4" t="n">
        <v>1</v>
      </c>
      <c r="Z152" s="4" t="n">
        <v>1</v>
      </c>
      <c r="AA152" s="4" t="n">
        <v>1</v>
      </c>
      <c r="AB152" s="4" t="inlineStr">
        <is>
          <t>1900-01-01</t>
        </is>
      </c>
      <c r="AC152" s="4" t="n">
        <v>0</v>
      </c>
      <c r="AD152" s="4" t="n">
        <v>0</v>
      </c>
      <c r="AE152" s="4" t="n">
        <v>0</v>
      </c>
      <c r="AF152" s="4" t="n">
        <v>0</v>
      </c>
      <c r="AG152" s="4" t="n">
        <v>0</v>
      </c>
      <c r="AH152" s="4" t="n">
        <v>2</v>
      </c>
      <c r="AI152" s="4" t="n">
        <v>0</v>
      </c>
      <c r="AJ152" s="4" t="inlineStr">
        <is>
          <t>1900-01-01</t>
        </is>
      </c>
      <c r="AK152" s="4" t="inlineStr">
        <is>
          <t>00:00:00</t>
        </is>
      </c>
      <c r="AL152" s="4" t="inlineStr">
        <is>
          <t>Fusión MKDCA + SVM; multimodal EEG+eye-tracking+computational”.</t>
        </is>
      </c>
      <c r="AM152" s="4" t="inlineStr">
        <is>
          <t>RB</t>
        </is>
      </c>
      <c r="AN152" s="4" t="inlineStr">
        <is>
          <t>Tomado completo desde archivo RB según asignación</t>
        </is>
      </c>
      <c r="AO152" s="4" t="n">
        <v>0</v>
      </c>
    </row>
    <row r="153" ht="409" customHeight="1">
      <c r="A153" s="4" t="n">
        <v>152</v>
      </c>
      <c r="B153" s="4" t="n">
        <v>165</v>
      </c>
      <c r="C153" s="4" t="inlineStr">
        <is>
          <t>Revisor B</t>
        </is>
      </c>
      <c r="D153" s="4" t="n"/>
      <c r="E153" s="4" t="n">
        <v>2019</v>
      </c>
      <c r="F153" s="4" t="inlineStr">
        <is>
          <t>Señales fisiológicas</t>
        </is>
      </c>
      <c r="G153" s="4" t="inlineStr">
        <is>
          <t>Deep Learning</t>
        </is>
      </c>
      <c r="H153" s="4" t="inlineStr">
        <is>
          <t>https://doi.org/10.1136/bmjopen-2018-026226</t>
        </is>
      </c>
      <c r="I153" s="4" t="inlineStr">
        <is>
          <t>Phase 3 diagnostic evaluation of a smart tablet serious game to identify autism in 760 children 3-5 years old in Sweden and the United Kingdom</t>
        </is>
      </c>
      <c r="J153" s="4" t="inlineStr">
        <is>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t>
        </is>
      </c>
      <c r="K153" s="4" t="inlineStr">
        <is>
          <t>Supervised</t>
        </is>
      </c>
      <c r="L153" s="4" t="inlineStr">
        <is>
          <t>Other</t>
        </is>
      </c>
      <c r="M153" s="4" t="inlineStr">
        <is>
          <t>Classification (binary/multi-class; incl. ASD vs control)/ multi-class)</t>
        </is>
      </c>
      <c r="N153" s="4" t="inlineStr">
        <is>
          <t>diagnosis</t>
        </is>
      </c>
      <c r="O153" s="4" t="inlineStr">
        <is>
          <t>high</t>
        </is>
      </c>
      <c r="P153" s="4" t="n">
        <v>0</v>
      </c>
      <c r="Q153" s="4" t="n">
        <v>0</v>
      </c>
      <c r="R153" s="4" t="n">
        <v>1</v>
      </c>
      <c r="S153" s="4" t="n">
        <v>0</v>
      </c>
      <c r="T153" s="4" t="n">
        <v>0</v>
      </c>
      <c r="U153" s="4" t="n">
        <v>0</v>
      </c>
      <c r="V153" s="4" t="n">
        <v>0</v>
      </c>
      <c r="W153" s="4" t="n">
        <v>0</v>
      </c>
      <c r="X153" s="4" t="n">
        <v>0</v>
      </c>
      <c r="Y153" s="4" t="n">
        <v>1</v>
      </c>
      <c r="Z153" s="4" t="n">
        <v>0</v>
      </c>
      <c r="AA153" s="4" t="n">
        <v>1</v>
      </c>
      <c r="AB153" s="4" t="inlineStr">
        <is>
          <t>1900-01-01</t>
        </is>
      </c>
      <c r="AC153" s="4" t="n">
        <v>0</v>
      </c>
      <c r="AD153" s="4" t="n">
        <v>0</v>
      </c>
      <c r="AE153" s="4" t="n">
        <v>0</v>
      </c>
      <c r="AF153" s="4" t="n">
        <v>0</v>
      </c>
      <c r="AG153" s="4" t="n">
        <v>0</v>
      </c>
      <c r="AH153" s="4" t="n">
        <v>1</v>
      </c>
      <c r="AI153" s="4" t="n">
        <v>0</v>
      </c>
      <c r="AJ153" s="4" t="inlineStr">
        <is>
          <t>00:00:00</t>
        </is>
      </c>
      <c r="AK153" s="4" t="inlineStr">
        <is>
          <t>00:00:00</t>
        </is>
      </c>
      <c r="AL153" s="4" t="n"/>
      <c r="AM153" s="4" t="inlineStr">
        <is>
          <t>RB</t>
        </is>
      </c>
      <c r="AN153" s="4" t="inlineStr">
        <is>
          <t>Tomado completo desde archivo RB según asignación</t>
        </is>
      </c>
      <c r="AO153" s="4" t="n">
        <v>0</v>
      </c>
    </row>
    <row r="154" ht="409" customHeight="1">
      <c r="A154" s="4" t="n">
        <v>153</v>
      </c>
      <c r="B154" s="4" t="n">
        <v>166</v>
      </c>
      <c r="C154" s="4" t="inlineStr">
        <is>
          <t>Revisor A</t>
        </is>
      </c>
      <c r="D154" s="4" t="inlineStr">
        <is>
          <t>RA</t>
        </is>
      </c>
      <c r="E154" s="4" t="n">
        <v>2020</v>
      </c>
      <c r="F154" s="4" t="inlineStr">
        <is>
          <t>Imagen</t>
        </is>
      </c>
      <c r="G154" s="4" t="inlineStr">
        <is>
          <t>Híbrido</t>
        </is>
      </c>
      <c r="H154" s="4" t="inlineStr">
        <is>
          <t>https://doi.org/10.1108/LHT-08-2019-0176</t>
        </is>
      </c>
      <c r="I154" s="4" t="inlineStr">
        <is>
          <t>Research and development of autism diagnosis information system based on deep convolution neural network and facial expression data</t>
        </is>
      </c>
      <c r="J154" s="4" t="inlineStr">
        <is>
          <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t>
        </is>
      </c>
      <c r="K154" s="4" t="inlineStr">
        <is>
          <t>Supervised</t>
        </is>
      </c>
      <c r="L154" s="4" t="inlineStr">
        <is>
          <t>CNN</t>
        </is>
      </c>
      <c r="M154" s="4" t="inlineStr">
        <is>
          <t>Classification (ASD vs control / multi-class)</t>
        </is>
      </c>
      <c r="N154" s="4" t="inlineStr">
        <is>
          <t>Screening</t>
        </is>
      </c>
      <c r="O154" s="4" t="inlineStr">
        <is>
          <t>High</t>
        </is>
      </c>
      <c r="P154" s="4" t="n">
        <v>0</v>
      </c>
      <c r="Q154" s="4" t="n">
        <v>0</v>
      </c>
      <c r="R154" s="4" t="n">
        <v>1</v>
      </c>
      <c r="S154" s="4" t="n">
        <v>0</v>
      </c>
      <c r="T154" s="4" t="n">
        <v>0</v>
      </c>
      <c r="U154" s="4" t="n">
        <v>0</v>
      </c>
      <c r="V154" s="4" t="n">
        <v>0</v>
      </c>
      <c r="W154" s="4" t="n">
        <v>0</v>
      </c>
      <c r="X154" s="4" t="n">
        <v>1</v>
      </c>
      <c r="Y154" s="4" t="n">
        <v>0</v>
      </c>
      <c r="Z154" s="4" t="n">
        <v>0</v>
      </c>
      <c r="AA154" s="4" t="n">
        <v>0</v>
      </c>
      <c r="AB154" s="4" t="inlineStr">
        <is>
          <t>1900-01-01</t>
        </is>
      </c>
      <c r="AC154" s="4" t="n"/>
      <c r="AD154" s="4" t="n"/>
      <c r="AE154" s="4" t="n"/>
      <c r="AF154" s="4" t="n"/>
      <c r="AG154" s="4" t="n">
        <v>0</v>
      </c>
      <c r="AH154" s="4" t="n">
        <v>1</v>
      </c>
      <c r="AI154" s="4" t="n"/>
      <c r="AJ154" s="4" t="n"/>
      <c r="AK154" s="4" t="n"/>
      <c r="AL154" s="4" t="n"/>
      <c r="AM154" s="4" t="inlineStr">
        <is>
          <t>RA</t>
        </is>
      </c>
      <c r="AN154" s="4" t="inlineStr">
        <is>
          <t>Tomado completo desde archivo RA según asignación</t>
        </is>
      </c>
      <c r="AO154" s="4" t="n">
        <v>0</v>
      </c>
    </row>
    <row r="155" ht="409" customHeight="1">
      <c r="A155" s="4" t="n">
        <v>154</v>
      </c>
      <c r="B155" s="4" t="n">
        <v>168</v>
      </c>
      <c r="C155" s="4" t="inlineStr">
        <is>
          <t>Revisor A</t>
        </is>
      </c>
      <c r="D155" s="4" t="inlineStr">
        <is>
          <t>RA</t>
        </is>
      </c>
      <c r="E155" s="4" t="n">
        <v>2023</v>
      </c>
      <c r="F155" s="4" t="inlineStr">
        <is>
          <t>Imagen</t>
        </is>
      </c>
      <c r="G155" s="4" t="inlineStr">
        <is>
          <t>Deep Learning</t>
        </is>
      </c>
      <c r="H155" s="4" t="inlineStr">
        <is>
          <t>https://doi.org/10.1145/3539226</t>
        </is>
      </c>
      <c r="I155" s="4" t="inlineStr">
        <is>
          <t>Stratification of Children with Autism Spectrum Disorder Through Fusion of Temporal Information in Eye-gaze Scan-Paths</t>
        </is>
      </c>
      <c r="J155" s="4" t="inlineStr">
        <is>
          <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t>
        </is>
      </c>
      <c r="K155" s="4" t="inlineStr">
        <is>
          <t>Supervised</t>
        </is>
      </c>
      <c r="L155" s="4" t="inlineStr">
        <is>
          <t>CNN</t>
        </is>
      </c>
      <c r="M155" s="4" t="inlineStr">
        <is>
          <t>Classification (ASD vs control / multi-class)</t>
        </is>
      </c>
      <c r="N155" s="4" t="inlineStr">
        <is>
          <t>Diagnosis</t>
        </is>
      </c>
      <c r="O155" s="4" t="inlineStr">
        <is>
          <t>High</t>
        </is>
      </c>
      <c r="P155" s="4" t="n">
        <v>0</v>
      </c>
      <c r="Q155" s="4" t="n">
        <v>0</v>
      </c>
      <c r="R155" s="4" t="n">
        <v>1</v>
      </c>
      <c r="S155" s="4" t="n">
        <v>0</v>
      </c>
      <c r="T155" s="4" t="n">
        <v>0</v>
      </c>
      <c r="U155" s="4" t="n">
        <v>0</v>
      </c>
      <c r="V155" s="4" t="n">
        <v>0</v>
      </c>
      <c r="W155" s="4" t="n">
        <v>0</v>
      </c>
      <c r="X155" s="4" t="n">
        <v>0</v>
      </c>
      <c r="Y155" s="4" t="n">
        <v>1</v>
      </c>
      <c r="Z155" s="4" t="n">
        <v>0</v>
      </c>
      <c r="AA155" s="4" t="n">
        <v>0</v>
      </c>
      <c r="AB155" s="4" t="inlineStr">
        <is>
          <t>1900-01-01</t>
        </is>
      </c>
      <c r="AC155" s="4" t="n"/>
      <c r="AD155" s="4" t="n"/>
      <c r="AE155" s="4" t="n"/>
      <c r="AF155" s="4" t="n"/>
      <c r="AG155" s="4" t="n">
        <v>1</v>
      </c>
      <c r="AH155" s="4" t="n">
        <v>1</v>
      </c>
      <c r="AI155" s="4" t="n"/>
      <c r="AJ155" s="4" t="n"/>
      <c r="AK155" s="4" t="n"/>
      <c r="AL155" s="4" t="inlineStr">
        <is>
          <t>Estratificación de niños con ASD usando trayectorias de eye-gaze; confirmar si el objetivo es subtipado vs clasificación.</t>
        </is>
      </c>
      <c r="AM155" s="4" t="inlineStr">
        <is>
          <t>RA</t>
        </is>
      </c>
      <c r="AN155" s="4" t="inlineStr">
        <is>
          <t>Tomado completo desde archivo RA según asignación</t>
        </is>
      </c>
      <c r="AO155" s="4" t="n">
        <v>0</v>
      </c>
    </row>
    <row r="156" ht="281" customHeight="1">
      <c r="A156" s="4" t="n">
        <v>155</v>
      </c>
      <c r="B156" s="4" t="n">
        <v>169</v>
      </c>
      <c r="C156" s="4" t="inlineStr">
        <is>
          <t>Revisor A</t>
        </is>
      </c>
      <c r="D156" s="4" t="inlineStr">
        <is>
          <t>RA</t>
        </is>
      </c>
      <c r="E156" s="4" t="n">
        <v>2022</v>
      </c>
      <c r="F156" s="4" t="inlineStr">
        <is>
          <t>Imagen</t>
        </is>
      </c>
      <c r="G156" s="4" t="inlineStr">
        <is>
          <t>Deep Learning</t>
        </is>
      </c>
      <c r="H156" s="4" t="inlineStr">
        <is>
          <t>https://doi.org/10.2196/33771</t>
        </is>
      </c>
      <c r="I156" s="4" t="inlineStr">
        <is>
          <t>The Classification of Abnormal Hand Movement to Aid in Autism Detection: Machine Learning Study</t>
        </is>
      </c>
      <c r="J156" s="4" t="inlineStr">
        <is>
          <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t>
        </is>
      </c>
      <c r="K156" s="4" t="inlineStr">
        <is>
          <t>Supervised</t>
        </is>
      </c>
      <c r="L156" s="4" t="inlineStr">
        <is>
          <t>CNN</t>
        </is>
      </c>
      <c r="M156" s="4" t="inlineStr">
        <is>
          <t>Classification (ASD vs control / multi-class)</t>
        </is>
      </c>
      <c r="N156" s="4" t="inlineStr">
        <is>
          <t>Screening</t>
        </is>
      </c>
      <c r="O156" s="4" t="inlineStr">
        <is>
          <t>High</t>
        </is>
      </c>
      <c r="P156" s="4" t="n">
        <v>0</v>
      </c>
      <c r="Q156" s="4" t="n">
        <v>0</v>
      </c>
      <c r="R156" s="4" t="n">
        <v>1</v>
      </c>
      <c r="S156" s="4" t="n">
        <v>0</v>
      </c>
      <c r="T156" s="4" t="n">
        <v>0</v>
      </c>
      <c r="U156" s="4" t="n">
        <v>0</v>
      </c>
      <c r="V156" s="4" t="n">
        <v>0</v>
      </c>
      <c r="W156" s="4" t="n">
        <v>0</v>
      </c>
      <c r="X156" s="4" t="n">
        <v>1</v>
      </c>
      <c r="Y156" s="4" t="n">
        <v>0</v>
      </c>
      <c r="Z156" s="4" t="n">
        <v>0</v>
      </c>
      <c r="AA156" s="4" t="n">
        <v>0</v>
      </c>
      <c r="AB156" s="4" t="inlineStr">
        <is>
          <t>1900-01-01</t>
        </is>
      </c>
      <c r="AC156" s="4" t="n"/>
      <c r="AD156" s="4" t="n"/>
      <c r="AE156" s="4" t="n"/>
      <c r="AF156" s="4" t="n"/>
      <c r="AG156" s="4" t="n">
        <v>0</v>
      </c>
      <c r="AH156" s="4" t="n">
        <v>1</v>
      </c>
      <c r="AI156" s="4" t="n"/>
      <c r="AJ156" s="4" t="n"/>
      <c r="AK156" s="4" t="n"/>
      <c r="AL156" s="4" t="n"/>
      <c r="AM156" s="4" t="inlineStr">
        <is>
          <t>RA</t>
        </is>
      </c>
      <c r="AN156" s="4" t="inlineStr">
        <is>
          <t>Tomado completo desde archivo RA según asignación</t>
        </is>
      </c>
      <c r="AO156" s="4" t="n">
        <v>0</v>
      </c>
    </row>
    <row r="157" ht="409" customHeight="1">
      <c r="A157" s="4" t="n">
        <v>156</v>
      </c>
      <c r="B157" s="4" t="n">
        <v>170</v>
      </c>
      <c r="C157" s="4" t="inlineStr">
        <is>
          <t>Revisor A</t>
        </is>
      </c>
      <c r="D157" s="4" t="inlineStr">
        <is>
          <t>RA</t>
        </is>
      </c>
      <c r="E157" s="4" t="n">
        <v>2020</v>
      </c>
      <c r="F157" s="4" t="inlineStr">
        <is>
          <t>Imagen</t>
        </is>
      </c>
      <c r="G157" s="4" t="inlineStr">
        <is>
          <t>Híbrido</t>
        </is>
      </c>
      <c r="H157" s="4" t="inlineStr">
        <is>
          <t>https://doi.org/10.2196/15767</t>
        </is>
      </c>
      <c r="I157" s="4" t="inlineStr">
        <is>
          <t>The development of a practical artificial intelligence tool for diagnosing and evaluating autism spectrum disorder: Multicenter study</t>
        </is>
      </c>
      <c r="J157" s="4" t="inlineStr">
        <is>
          <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t>
        </is>
      </c>
      <c r="K157" s="4" t="inlineStr">
        <is>
          <t>Supervised</t>
        </is>
      </c>
      <c r="L157" s="4" t="inlineStr">
        <is>
          <t>Naive Bayes</t>
        </is>
      </c>
      <c r="M157" s="4" t="inlineStr">
        <is>
          <t>Classification (ASD vs control / multi-class)</t>
        </is>
      </c>
      <c r="N157" s="4" t="inlineStr">
        <is>
          <t>Diagnosis</t>
        </is>
      </c>
      <c r="O157" s="4" t="inlineStr">
        <is>
          <t>High</t>
        </is>
      </c>
      <c r="P157" s="4" t="n">
        <v>1</v>
      </c>
      <c r="Q157" s="4" t="n">
        <v>0</v>
      </c>
      <c r="R157" s="4" t="n">
        <v>0</v>
      </c>
      <c r="S157" s="4" t="n">
        <v>0</v>
      </c>
      <c r="T157" s="4" t="n">
        <v>0</v>
      </c>
      <c r="U157" s="4" t="n">
        <v>0</v>
      </c>
      <c r="V157" s="4" t="n">
        <v>0</v>
      </c>
      <c r="W157" s="4" t="n">
        <v>0</v>
      </c>
      <c r="X157" s="4" t="n">
        <v>0</v>
      </c>
      <c r="Y157" s="4" t="n">
        <v>1</v>
      </c>
      <c r="Z157" s="4" t="n">
        <v>0</v>
      </c>
      <c r="AA157" s="4" t="n">
        <v>0</v>
      </c>
      <c r="AB157" s="4" t="inlineStr">
        <is>
          <t>1900-01-01</t>
        </is>
      </c>
      <c r="AC157" s="4" t="n"/>
      <c r="AD157" s="4" t="n"/>
      <c r="AE157" s="4" t="n"/>
      <c r="AF157" s="4" t="n"/>
      <c r="AG157" s="4" t="n">
        <v>1</v>
      </c>
      <c r="AH157" s="4" t="n">
        <v>1</v>
      </c>
      <c r="AI157" s="4" t="n"/>
      <c r="AJ157" s="4" t="n"/>
      <c r="AK157" s="4" t="n"/>
      <c r="AL157" s="4" t="inlineStr">
        <is>
          <t>Algoritmo principal no explícito o fuera del codebook; Confirmar algoritmo principal en full-text; Se comparan varios modelos; se eligió el principal/mejor reportado</t>
        </is>
      </c>
      <c r="AM157" s="4" t="inlineStr">
        <is>
          <t>RA</t>
        </is>
      </c>
      <c r="AN157" s="4" t="inlineStr">
        <is>
          <t>Tomado completo desde archivo RA según asignación</t>
        </is>
      </c>
      <c r="AO157" s="4" t="n">
        <v>0</v>
      </c>
    </row>
    <row r="158" ht="242" customHeight="1">
      <c r="A158" s="4" t="n">
        <v>157</v>
      </c>
      <c r="B158" s="4" t="n">
        <v>171</v>
      </c>
      <c r="C158" s="4" t="inlineStr">
        <is>
          <t>Revisor A</t>
        </is>
      </c>
      <c r="D158" s="4" t="inlineStr">
        <is>
          <t>RA</t>
        </is>
      </c>
      <c r="E158" s="4" t="n">
        <v>2016</v>
      </c>
      <c r="F158" s="4" t="inlineStr">
        <is>
          <t>Señales fisiológicas</t>
        </is>
      </c>
      <c r="G158" s="4" t="inlineStr">
        <is>
          <t>Machine Learning</t>
        </is>
      </c>
      <c r="H158" s="4" t="inlineStr">
        <is>
          <t>https://doi.org/10.1038/srep31107</t>
        </is>
      </c>
      <c r="I158" s="4" t="inlineStr">
        <is>
          <t>Toward the Autism Motor Signature: Gesture patterns during smart tablet gameplay identify children with autism</t>
        </is>
      </c>
      <c r="J158" s="4" t="inlineStr">
        <is>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is>
      </c>
      <c r="K158" s="4" t="inlineStr">
        <is>
          <t>Supervised</t>
        </is>
      </c>
      <c r="L158" s="4" t="inlineStr">
        <is>
          <t>Other / Not clear</t>
        </is>
      </c>
      <c r="M158" s="4" t="inlineStr">
        <is>
          <t>Classification (ASD vs control / multi-class)</t>
        </is>
      </c>
      <c r="N158" s="4" t="inlineStr">
        <is>
          <t>Screening</t>
        </is>
      </c>
      <c r="O158" s="4" t="inlineStr">
        <is>
          <t>Medium</t>
        </is>
      </c>
      <c r="P158" s="4" t="n">
        <v>0</v>
      </c>
      <c r="Q158" s="4" t="n">
        <v>0</v>
      </c>
      <c r="R158" s="4" t="n">
        <v>1</v>
      </c>
      <c r="S158" s="4" t="n">
        <v>0</v>
      </c>
      <c r="T158" s="4" t="n">
        <v>0</v>
      </c>
      <c r="U158" s="4" t="n">
        <v>0</v>
      </c>
      <c r="V158" s="4" t="n">
        <v>0</v>
      </c>
      <c r="W158" s="4" t="n">
        <v>0</v>
      </c>
      <c r="X158" s="4" t="n">
        <v>1</v>
      </c>
      <c r="Y158" s="4" t="n">
        <v>0</v>
      </c>
      <c r="Z158" s="4" t="n">
        <v>0</v>
      </c>
      <c r="AA158" s="4" t="n">
        <v>0</v>
      </c>
      <c r="AB158" s="4" t="inlineStr">
        <is>
          <t>1900-01-01</t>
        </is>
      </c>
      <c r="AC158" s="4" t="n"/>
      <c r="AD158" s="4" t="n"/>
      <c r="AE158" s="4" t="n"/>
      <c r="AF158" s="4" t="n"/>
      <c r="AG158" s="4" t="n">
        <v>1</v>
      </c>
      <c r="AH158" s="4" t="n">
        <v>1</v>
      </c>
      <c r="AI158" s="4" t="n"/>
      <c r="AJ158" s="4" t="n"/>
      <c r="AK158" s="4" t="n"/>
      <c r="AL158" s="4" t="inlineStr">
        <is>
          <t>Algoritmo principal no explícito o fuera del codebook; Confirmar algoritmo principal en full-text</t>
        </is>
      </c>
      <c r="AM158" s="4" t="inlineStr">
        <is>
          <t>RA</t>
        </is>
      </c>
      <c r="AN158" s="4" t="inlineStr">
        <is>
          <t>Tomado completo desde archivo RA según asignación</t>
        </is>
      </c>
      <c r="AO158" s="4" t="n">
        <v>0</v>
      </c>
    </row>
    <row r="159" ht="409" customHeight="1">
      <c r="A159" s="4" t="n">
        <v>158</v>
      </c>
      <c r="B159" s="4" t="n">
        <v>172</v>
      </c>
      <c r="C159" s="4" t="inlineStr">
        <is>
          <t>Ambos (piloto)</t>
        </is>
      </c>
      <c r="D159" s="4" t="inlineStr">
        <is>
          <t>RA</t>
        </is>
      </c>
      <c r="E159" s="4" t="n">
        <v>2024</v>
      </c>
      <c r="F159" s="4" t="inlineStr">
        <is>
          <t>Texto · NLP</t>
        </is>
      </c>
      <c r="G159" s="4" t="inlineStr">
        <is>
          <t>Machine Learning</t>
        </is>
      </c>
      <c r="H159" s="4" t="inlineStr">
        <is>
          <t>https://doi.org/10.2196/52660</t>
        </is>
      </c>
      <c r="I159" s="4" t="inlineStr">
        <is>
          <t>Using #ActuallyAutistic on Twitter for Precision Diagnosis of Autism Spectrum Disorder: Machine Learning Study</t>
        </is>
      </c>
      <c r="J159" s="4" t="inlineStr">
        <is>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is>
      </c>
      <c r="K159" s="4" t="inlineStr">
        <is>
          <t>Supervised</t>
        </is>
      </c>
      <c r="L159" s="4" t="inlineStr">
        <is>
          <t>Logistic Regression</t>
        </is>
      </c>
      <c r="M159" s="4" t="inlineStr">
        <is>
          <t>Classification (ASD vs control / multi-class)</t>
        </is>
      </c>
      <c r="N159" s="4" t="inlineStr">
        <is>
          <t>Screening</t>
        </is>
      </c>
      <c r="O159" s="4" t="inlineStr">
        <is>
          <t>High</t>
        </is>
      </c>
      <c r="P159" s="4" t="n">
        <v>0</v>
      </c>
      <c r="Q159" s="4" t="n">
        <v>0</v>
      </c>
      <c r="R159" s="4" t="n">
        <v>0</v>
      </c>
      <c r="S159" s="4" t="n">
        <v>0</v>
      </c>
      <c r="T159" s="4" t="n">
        <v>0</v>
      </c>
      <c r="U159" s="4" t="n">
        <v>0</v>
      </c>
      <c r="V159" s="4" t="n">
        <v>1</v>
      </c>
      <c r="W159" s="4" t="n">
        <v>0</v>
      </c>
      <c r="X159" s="4" t="n">
        <v>1</v>
      </c>
      <c r="Y159" s="4" t="n">
        <v>0</v>
      </c>
      <c r="Z159" s="4" t="n">
        <v>0</v>
      </c>
      <c r="AA159" s="4" t="n">
        <v>0</v>
      </c>
      <c r="AB159" s="4" t="inlineStr">
        <is>
          <t>1900-01-01</t>
        </is>
      </c>
      <c r="AC159" s="4" t="n"/>
      <c r="AD159" s="4" t="n"/>
      <c r="AE159" s="4" t="n"/>
      <c r="AF159" s="4" t="n"/>
      <c r="AG159" s="4" t="n">
        <v>1</v>
      </c>
      <c r="AH159" s="4" t="n">
        <v>1</v>
      </c>
      <c r="AI159" s="4" t="inlineStr">
        <is>
          <t>text / NLP</t>
        </is>
      </c>
      <c r="AJ159" s="4" t="n"/>
      <c r="AK159" s="4" t="n"/>
      <c r="AL159" s="4" t="inlineStr">
        <is>
          <t>Clasificación de tweets #ActuallyAutistic; relevancia clínica/etapa RQ1 ambigua.</t>
        </is>
      </c>
      <c r="AM159" s="4" t="inlineStr">
        <is>
          <t>RA</t>
        </is>
      </c>
      <c r="AN159" s="4" t="inlineStr">
        <is>
          <t>Tomado completo desde archivo RA según asignación</t>
        </is>
      </c>
      <c r="AO159" s="4" t="n">
        <v>0</v>
      </c>
    </row>
    <row r="160" ht="409" customHeight="1">
      <c r="A160" s="4" t="n">
        <v>159</v>
      </c>
      <c r="B160" s="4" t="n">
        <v>173</v>
      </c>
      <c r="C160" s="4" t="inlineStr">
        <is>
          <t>Revisor A</t>
        </is>
      </c>
      <c r="D160" s="4" t="inlineStr">
        <is>
          <t>RA</t>
        </is>
      </c>
      <c r="E160" s="4" t="n">
        <v>2023</v>
      </c>
      <c r="F160" s="4" t="inlineStr">
        <is>
          <t>Texto · NLP</t>
        </is>
      </c>
      <c r="G160" s="4" t="inlineStr">
        <is>
          <t>Machine Learning</t>
        </is>
      </c>
      <c r="H160" s="4" t="inlineStr">
        <is>
          <t>https://doi.org/10.1111/JCPP.13650</t>
        </is>
      </c>
      <c r="I160" s="4" t="inlineStr">
        <is>
          <t>Using machine learning to improve diagnostic assessment of ASD in the light of specific differential and co-occurring diagnoses</t>
        </is>
      </c>
      <c r="J160" s="4" t="inlineStr">
        <is>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is>
      </c>
      <c r="K160" s="4" t="inlineStr">
        <is>
          <t>Supervised</t>
        </is>
      </c>
      <c r="L160" s="4" t="inlineStr">
        <is>
          <t>Random Forest</t>
        </is>
      </c>
      <c r="M160" s="4" t="inlineStr">
        <is>
          <t>Classification (ASD vs control / multi-class)</t>
        </is>
      </c>
      <c r="N160" s="4" t="inlineStr">
        <is>
          <t>Diagnosis</t>
        </is>
      </c>
      <c r="O160" s="4" t="inlineStr">
        <is>
          <t>High</t>
        </is>
      </c>
      <c r="P160" s="4" t="n">
        <v>0</v>
      </c>
      <c r="Q160" s="4" t="n">
        <v>0</v>
      </c>
      <c r="R160" s="4" t="n">
        <v>0</v>
      </c>
      <c r="S160" s="4" t="n">
        <v>0</v>
      </c>
      <c r="T160" s="4" t="n">
        <v>1</v>
      </c>
      <c r="U160" s="4" t="n">
        <v>0</v>
      </c>
      <c r="V160" s="4" t="n">
        <v>0</v>
      </c>
      <c r="W160" s="4" t="n">
        <v>0</v>
      </c>
      <c r="X160" s="4" t="n">
        <v>0</v>
      </c>
      <c r="Y160" s="4" t="n">
        <v>1</v>
      </c>
      <c r="Z160" s="4" t="n">
        <v>0</v>
      </c>
      <c r="AA160" s="4" t="n">
        <v>0</v>
      </c>
      <c r="AB160" s="4" t="inlineStr">
        <is>
          <t>1900-01-01</t>
        </is>
      </c>
      <c r="AC160" s="4" t="n"/>
      <c r="AD160" s="4" t="n"/>
      <c r="AE160" s="4" t="n"/>
      <c r="AF160" s="4" t="n"/>
      <c r="AG160" s="4" t="n">
        <v>0</v>
      </c>
      <c r="AH160" s="4" t="n">
        <v>1</v>
      </c>
      <c r="AI160" s="4" t="n"/>
      <c r="AJ160" s="4" t="n"/>
      <c r="AK160" s="4" t="n"/>
      <c r="AL160" s="4" t="inlineStr">
        <is>
          <t>Se comparan varios modelos; se eligió el principal/mejor reportado</t>
        </is>
      </c>
      <c r="AM160" s="4" t="inlineStr">
        <is>
          <t>RA</t>
        </is>
      </c>
      <c r="AN160" s="4" t="inlineStr">
        <is>
          <t>Tomado completo desde archivo RA según asignación</t>
        </is>
      </c>
      <c r="AO160" s="4" t="n">
        <v>0</v>
      </c>
    </row>
    <row r="161" ht="229" customHeight="1">
      <c r="A161" s="4" t="n">
        <v>160</v>
      </c>
      <c r="B161" s="4" t="n">
        <v>174</v>
      </c>
      <c r="C161" s="4" t="inlineStr">
        <is>
          <t>Revisor A</t>
        </is>
      </c>
      <c r="D161" s="4" t="inlineStr">
        <is>
          <t>RA</t>
        </is>
      </c>
      <c r="E161" s="4" t="n">
        <v>2023</v>
      </c>
      <c r="F161" s="4" t="inlineStr">
        <is>
          <t>Imagen</t>
        </is>
      </c>
      <c r="G161" s="4" t="inlineStr">
        <is>
          <t>Híbrido</t>
        </is>
      </c>
      <c r="H161" s="4" t="inlineStr">
        <is>
          <t>https://doi.org/10.3233/SHTI230734</t>
        </is>
      </c>
      <c r="I161" s="4" t="inlineStr">
        <is>
          <t>A Framework to Diagnose Autism Spectrum Disorder Using Morphological Connectivity of sMRI and XGBoost</t>
        </is>
      </c>
      <c r="J161" s="4" t="inlineStr">
        <is>
          <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t>
        </is>
      </c>
      <c r="K161" s="4" t="inlineStr">
        <is>
          <t>Supervised</t>
        </is>
      </c>
      <c r="L161" s="4" t="inlineStr">
        <is>
          <t>XGBoost / GBDT</t>
        </is>
      </c>
      <c r="M161" s="4" t="inlineStr">
        <is>
          <t>Classification (ASD vs control / multi-class)</t>
        </is>
      </c>
      <c r="N161" s="4" t="inlineStr">
        <is>
          <t>Diagnosis</t>
        </is>
      </c>
      <c r="O161" s="4" t="inlineStr">
        <is>
          <t>High</t>
        </is>
      </c>
      <c r="P161" s="4" t="n">
        <v>1</v>
      </c>
      <c r="Q161" s="4" t="n">
        <v>0</v>
      </c>
      <c r="R161" s="4" t="n">
        <v>0</v>
      </c>
      <c r="S161" s="4" t="n">
        <v>0</v>
      </c>
      <c r="T161" s="4" t="n">
        <v>0</v>
      </c>
      <c r="U161" s="4" t="n">
        <v>0</v>
      </c>
      <c r="V161" s="4" t="n">
        <v>0</v>
      </c>
      <c r="W161" s="4" t="n">
        <v>0</v>
      </c>
      <c r="X161" s="4" t="n">
        <v>0</v>
      </c>
      <c r="Y161" s="4" t="n">
        <v>1</v>
      </c>
      <c r="Z161" s="4" t="n">
        <v>0</v>
      </c>
      <c r="AA161" s="4" t="n">
        <v>0</v>
      </c>
      <c r="AB161" s="4" t="inlineStr">
        <is>
          <t>1900-01-01</t>
        </is>
      </c>
      <c r="AC161" s="4" t="n"/>
      <c r="AD161" s="4" t="n"/>
      <c r="AE161" s="4" t="n"/>
      <c r="AF161" s="4" t="n"/>
      <c r="AG161" s="4" t="n">
        <v>0</v>
      </c>
      <c r="AH161" s="4" t="n">
        <v>1</v>
      </c>
      <c r="AI161" s="4" t="n"/>
      <c r="AJ161" s="4" t="n"/>
      <c r="AK161" s="4" t="n"/>
      <c r="AL161" s="4" t="n"/>
      <c r="AM161" s="4" t="inlineStr">
        <is>
          <t>RA</t>
        </is>
      </c>
      <c r="AN161" s="4" t="inlineStr">
        <is>
          <t>Tomado completo desde archivo RA según asignación</t>
        </is>
      </c>
      <c r="AO161" s="4" t="n">
        <v>0</v>
      </c>
    </row>
    <row r="162" ht="307" customHeight="1">
      <c r="A162" s="4" t="n">
        <v>161</v>
      </c>
      <c r="B162" s="4" t="n">
        <v>175</v>
      </c>
      <c r="C162" s="4" t="inlineStr">
        <is>
          <t>Revisor A</t>
        </is>
      </c>
      <c r="D162" s="4" t="inlineStr">
        <is>
          <t>RA</t>
        </is>
      </c>
      <c r="E162" s="4" t="n">
        <v>2023</v>
      </c>
      <c r="F162" s="4" t="inlineStr">
        <is>
          <t>No especificado</t>
        </is>
      </c>
      <c r="G162" s="4" t="inlineStr">
        <is>
          <t>Machine Learning</t>
        </is>
      </c>
      <c r="H162" s="4" t="inlineStr">
        <is>
          <t>https://doi.org/10.1038/s41598-023-40073-0</t>
        </is>
      </c>
      <c r="I162" s="4" t="inlineStr">
        <is>
          <t>A machine learning approach for understanding the metabolomics response of children with autism spectrum disorder to medical cannabis treatment</t>
        </is>
      </c>
      <c r="J162" s="4" t="inlineStr">
        <is>
          <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t>
        </is>
      </c>
      <c r="K162" s="4" t="inlineStr">
        <is>
          <t>Supervised</t>
        </is>
      </c>
      <c r="L162" s="4" t="inlineStr">
        <is>
          <t>Other / Not clear</t>
        </is>
      </c>
      <c r="M162" s="4" t="inlineStr">
        <is>
          <t>Other / Not clear</t>
        </is>
      </c>
      <c r="N162" s="4" t="inlineStr">
        <is>
          <t>Monitoring/intervention</t>
        </is>
      </c>
      <c r="O162" s="4" t="inlineStr">
        <is>
          <t>Medium</t>
        </is>
      </c>
      <c r="P162" s="4" t="n">
        <v>0</v>
      </c>
      <c r="Q162" s="4" t="n">
        <v>0</v>
      </c>
      <c r="R162" s="4" t="n">
        <v>0</v>
      </c>
      <c r="S162" s="4" t="n">
        <v>0</v>
      </c>
      <c r="T162" s="4" t="n">
        <v>0</v>
      </c>
      <c r="U162" s="4" t="n">
        <v>1</v>
      </c>
      <c r="V162" s="4" t="n">
        <v>0</v>
      </c>
      <c r="W162" s="4" t="n">
        <v>0</v>
      </c>
      <c r="X162" s="4" t="n">
        <v>0</v>
      </c>
      <c r="Y162" s="4" t="n">
        <v>0</v>
      </c>
      <c r="Z162" s="4" t="n">
        <v>0</v>
      </c>
      <c r="AA162" s="4" t="n">
        <v>1</v>
      </c>
      <c r="AB162" s="4" t="inlineStr">
        <is>
          <t>1900-01-01</t>
        </is>
      </c>
      <c r="AC162" s="4" t="n"/>
      <c r="AD162" s="4" t="n"/>
      <c r="AE162" s="4" t="n"/>
      <c r="AF162" s="4" t="n"/>
      <c r="AG162" s="4" t="n">
        <v>1</v>
      </c>
      <c r="AH162" s="4" t="n">
        <v>1</v>
      </c>
      <c r="AI162" s="4" t="n"/>
      <c r="AJ162" s="4" t="n"/>
      <c r="AK162" s="4" t="n"/>
      <c r="AL162" s="4" t="inlineStr">
        <is>
          <t>Algoritmo principal no explícito o fuera del codebook; Confirmar algoritmo principal en full-text</t>
        </is>
      </c>
      <c r="AM162" s="4" t="inlineStr">
        <is>
          <t>RA</t>
        </is>
      </c>
      <c r="AN162" s="4" t="inlineStr">
        <is>
          <t>Tomado completo desde archivo RA según asignación</t>
        </is>
      </c>
      <c r="AO162" s="4" t="n">
        <v>0</v>
      </c>
    </row>
    <row r="163" ht="333" customHeight="1">
      <c r="A163" s="4" t="n">
        <v>162</v>
      </c>
      <c r="B163" s="4" t="n">
        <v>177</v>
      </c>
      <c r="C163" s="4" t="inlineStr">
        <is>
          <t>Revisor A</t>
        </is>
      </c>
      <c r="D163" s="4" t="inlineStr">
        <is>
          <t>RA</t>
        </is>
      </c>
      <c r="E163" s="4" t="n">
        <v>2024</v>
      </c>
      <c r="F163" s="4" t="inlineStr">
        <is>
          <t>No especificado</t>
        </is>
      </c>
      <c r="G163" s="4" t="inlineStr">
        <is>
          <t>Deep Learning</t>
        </is>
      </c>
      <c r="H163" s="4" t="inlineStr">
        <is>
          <t>https://doi.org/10.1007/978-981-99-8141-0_12</t>
        </is>
      </c>
      <c r="I163" s="4" t="inlineStr">
        <is>
          <t>Aided Diagnosis of\&amp;#xa0;Autism Spectrum Disorder Based on\&amp;#xa0;a\&amp;#xa0;Mixed Neural Network Model</t>
        </is>
      </c>
      <c r="J163" s="4" t="inlineStr">
        <is>
          <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t>
        </is>
      </c>
      <c r="K163" s="4" t="inlineStr">
        <is>
          <t>Supervised</t>
        </is>
      </c>
      <c r="L163" s="4" t="inlineStr">
        <is>
          <t>MLP</t>
        </is>
      </c>
      <c r="M163" s="4" t="inlineStr">
        <is>
          <t>Classification (ASD vs control / multi-class)</t>
        </is>
      </c>
      <c r="N163" s="4" t="inlineStr">
        <is>
          <t>Diagnosis</t>
        </is>
      </c>
      <c r="O163" s="4" t="inlineStr">
        <is>
          <t>High</t>
        </is>
      </c>
      <c r="P163" s="4" t="n">
        <v>1</v>
      </c>
      <c r="Q163" s="4" t="n">
        <v>0</v>
      </c>
      <c r="R163" s="4" t="n">
        <v>0</v>
      </c>
      <c r="S163" s="4" t="n">
        <v>0</v>
      </c>
      <c r="T163" s="4" t="n">
        <v>1</v>
      </c>
      <c r="U163" s="4" t="n">
        <v>0</v>
      </c>
      <c r="V163" s="4" t="n">
        <v>0</v>
      </c>
      <c r="W163" s="4" t="n">
        <v>0</v>
      </c>
      <c r="X163" s="4" t="n">
        <v>0</v>
      </c>
      <c r="Y163" s="4" t="n">
        <v>1</v>
      </c>
      <c r="Z163" s="4" t="n">
        <v>0</v>
      </c>
      <c r="AA163" s="4" t="n">
        <v>0</v>
      </c>
      <c r="AB163" s="4" t="inlineStr">
        <is>
          <t>1900-01-01</t>
        </is>
      </c>
      <c r="AC163" s="4" t="n"/>
      <c r="AD163" s="4" t="n"/>
      <c r="AE163" s="4" t="n"/>
      <c r="AF163" s="4" t="n"/>
      <c r="AG163" s="4" t="n">
        <v>0</v>
      </c>
      <c r="AH163" s="4" t="n">
        <v>2</v>
      </c>
      <c r="AI163" s="4" t="n"/>
      <c r="AJ163" s="4" t="n"/>
      <c r="AK163" s="4" t="n"/>
      <c r="AL163" s="4" t="inlineStr">
        <is>
          <t>Se comparan varios modelos; se eligió el principal/mejor reportado</t>
        </is>
      </c>
      <c r="AM163" s="4" t="inlineStr">
        <is>
          <t>RA</t>
        </is>
      </c>
      <c r="AN163" s="4" t="inlineStr">
        <is>
          <t>Tomado completo desde archivo RA según asignación</t>
        </is>
      </c>
      <c r="AO163" s="4" t="n">
        <v>0</v>
      </c>
    </row>
    <row r="164" ht="409" customHeight="1">
      <c r="A164" s="4" t="n">
        <v>163</v>
      </c>
      <c r="B164" s="4" t="n">
        <v>178</v>
      </c>
      <c r="C164" s="4" t="inlineStr">
        <is>
          <t>Revisor B</t>
        </is>
      </c>
      <c r="D164" s="4" t="n"/>
      <c r="E164" s="4" t="n">
        <v>2019</v>
      </c>
      <c r="F164" s="4" t="inlineStr">
        <is>
          <t>No especificado</t>
        </is>
      </c>
      <c r="G164" s="4" t="inlineStr">
        <is>
          <t>Deep Learning</t>
        </is>
      </c>
      <c r="H164" s="4" t="inlineStr">
        <is>
          <t>https://doi.org/10.1007/s12031-019-01311-1</t>
        </is>
      </c>
      <c r="I164" s="4" t="inlineStr">
        <is>
          <t>Application of Single-Nucleotide Polymorphisms in the Diagnosis of Autism Spectrum Disorders: A Preliminary Study with Artificial Neural Networks</t>
        </is>
      </c>
      <c r="J164" s="4" t="inlineStr">
        <is>
          <t>Autism spectrum disorder (ASD) includes different neurodevelopmental disorders characterized by deficits in social communication, and restricted, repetitive patterns of behavior, interests or activities. Based on the importance of early diagnosis for effective therapeutic intervention, several strategies have been employed for detection of the disorder. The artificial neural network (ANN) as a type of machine learning method is a common strategy. In the current study, we extracted genomic data for 487 ASD patients and 455 healthy individuals. All individuals were genotyped in certain single-nucleotide polymorphisms within retinoic acid-related orphan receptor alpha (RORA), gamma-aminobutyric acid type A receptor beta3 subunit (GABRB3), synaptosomal-associated protein 25 (SNAP25) and metabotropic glutamate receptor 7 (GRM7) genes. Subsequently, we used the “Keras” package to create and train the ANN model. For cross-validation, samples were divided into ten folds. In the training process, initially, the first fold was preserved for validation and the other folds were used to train the model. The validation fold was then used to evaluate model performance. The k-fold cross-validation method was used to ensure model generalizability and to prevent overfitting. Local interpretable model-agnostic explanations (LIME) were applied to explain model predictions at the data sample level. The output of loss function was evaluated in the training process for each fold in the k-fold cross-validation model. Finally, the number of losses was reduced to less than 0.6 after 200 epochs (except in two cases). The accuracy, sensitivity and specificity of our model were 73.67%, 82.75% and 63.95%, respectively. The area under the curve (AUC) was 80.59. Consequently, in the current study, we propose an ANN-based method for differentiating ASD status from healthy status with adequate power.</t>
        </is>
      </c>
      <c r="K164" s="4" t="inlineStr">
        <is>
          <t>Supervised</t>
        </is>
      </c>
      <c r="L164" s="4" t="inlineStr">
        <is>
          <t>MLP</t>
        </is>
      </c>
      <c r="M164" s="4" t="inlineStr">
        <is>
          <t>Classification (binary/multi-class; incl. ASD vs control)/ multi-class)</t>
        </is>
      </c>
      <c r="N164" s="4" t="inlineStr">
        <is>
          <t>diagnosis</t>
        </is>
      </c>
      <c r="O164" s="4" t="inlineStr">
        <is>
          <t>high</t>
        </is>
      </c>
      <c r="P164" s="4" t="n">
        <v>0</v>
      </c>
      <c r="Q164" s="4" t="n">
        <v>0</v>
      </c>
      <c r="R164" s="4" t="n">
        <v>0</v>
      </c>
      <c r="S164" s="4" t="n">
        <v>0</v>
      </c>
      <c r="T164" s="4" t="n">
        <v>0</v>
      </c>
      <c r="U164" s="4" t="n">
        <v>0</v>
      </c>
      <c r="V164" s="4" t="n">
        <v>0</v>
      </c>
      <c r="W164" s="4" t="n">
        <v>0</v>
      </c>
      <c r="X164" s="4" t="n">
        <v>0</v>
      </c>
      <c r="Y164" s="4" t="n">
        <v>1</v>
      </c>
      <c r="Z164" s="4" t="n">
        <v>0</v>
      </c>
      <c r="AA164" s="4" t="n">
        <v>1</v>
      </c>
      <c r="AB164" s="4" t="inlineStr">
        <is>
          <t>1900-01-01</t>
        </is>
      </c>
      <c r="AC164" s="4" t="n">
        <v>0</v>
      </c>
      <c r="AD164" s="4" t="n">
        <v>0</v>
      </c>
      <c r="AE164" s="4" t="n">
        <v>0</v>
      </c>
      <c r="AF164" s="4" t="n">
        <v>0</v>
      </c>
      <c r="AG164" s="4" t="n">
        <v>0</v>
      </c>
      <c r="AH164" s="4" t="n">
        <v>0</v>
      </c>
      <c r="AI164" s="4" t="n">
        <v>0</v>
      </c>
      <c r="AJ164" s="4" t="inlineStr">
        <is>
          <t>1900-01-01</t>
        </is>
      </c>
      <c r="AK164" s="4" t="inlineStr">
        <is>
          <t>00:00:00</t>
        </is>
      </c>
      <c r="AL164" s="4" t="n"/>
      <c r="AM164" s="4" t="inlineStr">
        <is>
          <t>RB</t>
        </is>
      </c>
      <c r="AN164" s="4" t="inlineStr">
        <is>
          <t>Tomado completo desde archivo RB según asignación</t>
        </is>
      </c>
      <c r="AO164" s="4" t="n">
        <v>0</v>
      </c>
    </row>
    <row r="165" ht="333" customHeight="1">
      <c r="A165" s="4" t="n">
        <v>164</v>
      </c>
      <c r="B165" s="4" t="n">
        <v>179</v>
      </c>
      <c r="C165" s="4" t="inlineStr">
        <is>
          <t>Revisor A</t>
        </is>
      </c>
      <c r="D165" s="4" t="inlineStr">
        <is>
          <t>RA</t>
        </is>
      </c>
      <c r="E165" s="4" t="n">
        <v>2019</v>
      </c>
      <c r="F165" s="4" t="inlineStr">
        <is>
          <t>Imagen</t>
        </is>
      </c>
      <c r="G165" s="4" t="inlineStr">
        <is>
          <t>Machine Learning</t>
        </is>
      </c>
      <c r="H165" s="4" t="inlineStr">
        <is>
          <t>https://doi.org/10.2174/2666082215666191111121115</t>
        </is>
      </c>
      <c r="I165" s="4" t="inlineStr">
        <is>
          <t>Autism spectrum disorder detection with machine learning methods</t>
        </is>
      </c>
      <c r="J165" s="4" t="inlineStr">
        <is>
          <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t>
        </is>
      </c>
      <c r="K165" s="4" t="inlineStr">
        <is>
          <t>Supervised</t>
        </is>
      </c>
      <c r="L165" s="4" t="inlineStr">
        <is>
          <t>SVM</t>
        </is>
      </c>
      <c r="M165" s="4" t="inlineStr">
        <is>
          <t>Classification (ASD vs control / multi-class)</t>
        </is>
      </c>
      <c r="N165" s="4" t="inlineStr">
        <is>
          <t>Screening</t>
        </is>
      </c>
      <c r="O165" s="4" t="inlineStr">
        <is>
          <t>High</t>
        </is>
      </c>
      <c r="P165" s="4" t="n">
        <v>0</v>
      </c>
      <c r="Q165" s="4" t="n">
        <v>0</v>
      </c>
      <c r="R165" s="4" t="n">
        <v>0</v>
      </c>
      <c r="S165" s="4" t="n">
        <v>0</v>
      </c>
      <c r="T165" s="4" t="n">
        <v>0</v>
      </c>
      <c r="U165" s="4" t="n">
        <v>0</v>
      </c>
      <c r="V165" s="4" t="n">
        <v>1</v>
      </c>
      <c r="W165" s="4" t="n">
        <v>0</v>
      </c>
      <c r="X165" s="4" t="n">
        <v>1</v>
      </c>
      <c r="Y165" s="4" t="n">
        <v>0</v>
      </c>
      <c r="Z165" s="4" t="n">
        <v>0</v>
      </c>
      <c r="AA165" s="4" t="n">
        <v>0</v>
      </c>
      <c r="AB165" s="4" t="inlineStr">
        <is>
          <t>1900-01-01</t>
        </is>
      </c>
      <c r="AC165" s="4" t="n"/>
      <c r="AD165" s="4" t="n"/>
      <c r="AE165" s="4" t="n"/>
      <c r="AF165" s="4" t="n"/>
      <c r="AG165" s="4" t="n">
        <v>0</v>
      </c>
      <c r="AH165" s="4" t="n">
        <v>1</v>
      </c>
      <c r="AI165" s="4" t="n"/>
      <c r="AJ165" s="4" t="n"/>
      <c r="AK165" s="4" t="n"/>
      <c r="AL165" s="4" t="n"/>
      <c r="AM165" s="4" t="inlineStr">
        <is>
          <t>RA</t>
        </is>
      </c>
      <c r="AN165" s="4" t="inlineStr">
        <is>
          <t>Tomado completo desde archivo RA según asignación</t>
        </is>
      </c>
      <c r="AO165" s="4" t="n">
        <v>0</v>
      </c>
    </row>
    <row r="166" ht="359" customHeight="1">
      <c r="A166" s="4" t="n">
        <v>165</v>
      </c>
      <c r="B166" s="4" t="n">
        <v>180</v>
      </c>
      <c r="C166" s="4" t="inlineStr">
        <is>
          <t>Revisor A</t>
        </is>
      </c>
      <c r="D166" s="4" t="inlineStr">
        <is>
          <t>RA</t>
        </is>
      </c>
      <c r="E166" s="4" t="n">
        <v>2024</v>
      </c>
      <c r="F166" s="4" t="inlineStr">
        <is>
          <t>Señales fisiológicas</t>
        </is>
      </c>
      <c r="G166" s="4" t="inlineStr">
        <is>
          <t>Machine Learning</t>
        </is>
      </c>
      <c r="H166" s="4" t="inlineStr">
        <is>
          <t>https://doi.org/10.1016/j.compbiomed.2024.108194</t>
        </is>
      </c>
      <c r="I166" s="4" t="inlineStr">
        <is>
          <t>Biosignal comparison for autism assessment using machine learning models and virtual reality</t>
        </is>
      </c>
      <c r="J166" s="4" t="inlineStr">
        <is>
          <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t>
        </is>
      </c>
      <c r="K166" s="4" t="inlineStr">
        <is>
          <t>Supervised</t>
        </is>
      </c>
      <c r="L166" s="4" t="inlineStr">
        <is>
          <t>SVM</t>
        </is>
      </c>
      <c r="M166" s="4" t="inlineStr">
        <is>
          <t>Classification (ASD vs control / multi-class)</t>
        </is>
      </c>
      <c r="N166" s="4" t="inlineStr">
        <is>
          <t>Screening</t>
        </is>
      </c>
      <c r="O166" s="4" t="inlineStr">
        <is>
          <t>High</t>
        </is>
      </c>
      <c r="P166" s="4" t="n">
        <v>0</v>
      </c>
      <c r="Q166" s="4" t="n">
        <v>1</v>
      </c>
      <c r="R166" s="4" t="n">
        <v>0</v>
      </c>
      <c r="S166" s="4" t="n">
        <v>0</v>
      </c>
      <c r="T166" s="4" t="n">
        <v>0</v>
      </c>
      <c r="U166" s="4" t="n">
        <v>0</v>
      </c>
      <c r="V166" s="4" t="n">
        <v>1</v>
      </c>
      <c r="W166" s="4" t="n">
        <v>0</v>
      </c>
      <c r="X166" s="4" t="n">
        <v>1</v>
      </c>
      <c r="Y166" s="4" t="n">
        <v>0</v>
      </c>
      <c r="Z166" s="4" t="n">
        <v>0</v>
      </c>
      <c r="AA166" s="4" t="n">
        <v>0</v>
      </c>
      <c r="AB166" s="4" t="inlineStr">
        <is>
          <t>1900-01-01</t>
        </is>
      </c>
      <c r="AC166" s="4" t="n"/>
      <c r="AD166" s="4" t="n"/>
      <c r="AE166" s="4" t="n"/>
      <c r="AF166" s="4" t="n"/>
      <c r="AG166" s="4" t="n">
        <v>0</v>
      </c>
      <c r="AH166" s="4" t="n">
        <v>2</v>
      </c>
      <c r="AI166" s="4" t="inlineStr">
        <is>
          <t>sensor / other</t>
        </is>
      </c>
      <c r="AJ166" s="4" t="n"/>
      <c r="AK166" s="4" t="n"/>
      <c r="AL166" s="4" t="inlineStr">
        <is>
          <t>Se comparan varios modelos; se eligió el principal/mejor reportado</t>
        </is>
      </c>
      <c r="AM166" s="4" t="inlineStr">
        <is>
          <t>RA</t>
        </is>
      </c>
      <c r="AN166" s="4" t="inlineStr">
        <is>
          <t>Tomado completo desde archivo RA según asignación</t>
        </is>
      </c>
      <c r="AO166" s="4" t="n">
        <v>0</v>
      </c>
    </row>
    <row r="167" ht="409" customHeight="1">
      <c r="A167" s="4" t="n">
        <v>166</v>
      </c>
      <c r="B167" s="4" t="n">
        <v>182</v>
      </c>
      <c r="C167" s="4" t="inlineStr">
        <is>
          <t>Revisor B</t>
        </is>
      </c>
      <c r="D167" s="4" t="n"/>
      <c r="E167" s="4" t="n">
        <v>2019</v>
      </c>
      <c r="F167" s="4" t="inlineStr">
        <is>
          <t>Señales fisiológicas</t>
        </is>
      </c>
      <c r="G167" s="4" t="inlineStr">
        <is>
          <t>Machine Learning</t>
        </is>
      </c>
      <c r="H167" s="4" t="inlineStr">
        <is>
          <t>https://doi.org/10.1016/j.euroneuro.2017.08.321</t>
        </is>
      </c>
      <c r="I167" s="4" t="inlineStr">
        <is>
          <t>COMBINED ANALYSIS OF THE ORAL MICROBIOME AND MICROTRANSCRIPTOME OF AUTISM SPECTRUM DISORDER</t>
        </is>
      </c>
      <c r="J167" s="4" t="inlineStr">
        <is>
          <t>Background: Autism Spectrum Disorder (ASD) affects 1 in 45 children aged 3-17 and is characterized by a wide array of deficits in social interaction, communication, and behavior. Despite significant evidence for genetic contributions to ASD risk, single gene variants as a group do not explain the vast majority of cases. Consequently, considerable interest has turned to the study of epigenetic mechanisms as potential contributing factors. miRNAs are now well-recognized epigenetic regulators of gene expression that influence biological processes in all cell types and are released from the cells in which they are synthesized and circulate throughout the body in extracellular fluids. We previously identified significant alterations in miRNA levels in the saliva of ASD subjects (average age 9) compared with matched typically developing control children. We also observed (but did not report) that the salivary microbiome of ASD children was significantly different than that of the control children. In the present study, we sought to replicate and extend these observations on the oral microtranscriptome and microbiome of ASD children in a larger and younger cohort. Method(s): Parental consent was obtained for all subjects. More than 350 samples were collected from children aged 2-6, with either a confirmed diagnosis of ASD, Developmental Delay, or healthy controls. Comprehensive medical and demographic information was obtained using detailed questionnaires, the Vineland Adaptive Behavior Scales (2nd Edition), and the Autism Diagnostic Observation Schedule (2nd Edition). Identification and quantification of saliva miRNA and microbiome abundance were performed using NGS on a NextSeq. 500 instrument at the SUNY Molecular Analysis Core (SUNYMAC) at Upstate Medical University. Alignment of NGS reads was performed to the miRbase21 database using the Shrimp2 algorithm in Partek Flow software to identify mature and precursor miRNAs and alignment of metatranscriptome reads was performed to the Human Microbiome Database, using K-SLAM and Kraken software. Data were subjected to quantile normalization, filtered for quality control, and examined for their diagnostic utility using machine learning algorithms. The most promising variables were also examined to identify salient patterns and subjected to functional analysis. Result(s): Saliva miRNA and microbiome taxon variables demonstrated the ability to distinguish children with ASD from typically developing controls, with accuracy approximating 75-80% based on Monte-Carlo Cross Validation. When combined, the best miRNA and taxon classifiers from the learning algorithm performed at an overall accuracy level exceeding 86%, including more than 90% accuracy for ASD children. Notably, the top miRNA classifiers disproportionately targeted mRNAs that were enriched in several key biological pathways of interest for ASD, including Amphetamine Addiction, Axon Guidance, and Oxytocin Signaling. Notably, many miRNAs and taxon classifiers exhibited robust correlations, suggesting possible host-microbiome signaling. Discussion(s): This is the first report of correlated miRNA and microbiome elements in saliva. Our results indicate a high degree of potential diagnostic utility in using these saliva-based data for ASD and Developmental Delay. Ongoing work is establishing the quantitative relationship between these variables and functional measures of ASD symptoms and severity, as well as co-morbid medical conditions including sleep disorders and GI disturbances.Copyright © 2017</t>
        </is>
      </c>
      <c r="K167" s="4" t="inlineStr">
        <is>
          <t>Supervised</t>
        </is>
      </c>
      <c r="L167" s="4" t="inlineStr">
        <is>
          <t>Not clear</t>
        </is>
      </c>
      <c r="M167" s="4" t="inlineStr">
        <is>
          <t>Classification (binary/multi-class; incl. ASD vs control)/ multi-class)</t>
        </is>
      </c>
      <c r="N167" s="4" t="inlineStr">
        <is>
          <t>screening</t>
        </is>
      </c>
      <c r="O167" s="4" t="inlineStr">
        <is>
          <t>high</t>
        </is>
      </c>
      <c r="P167" s="4" t="n">
        <v>0</v>
      </c>
      <c r="Q167" s="4" t="n">
        <v>0</v>
      </c>
      <c r="R167" s="4" t="n">
        <v>1</v>
      </c>
      <c r="S167" s="4" t="n">
        <v>1</v>
      </c>
      <c r="T167" s="4" t="n">
        <v>0</v>
      </c>
      <c r="U167" s="4" t="n">
        <v>0</v>
      </c>
      <c r="V167" s="4" t="n">
        <v>0</v>
      </c>
      <c r="W167" s="4" t="n">
        <v>0</v>
      </c>
      <c r="X167" s="4" t="n">
        <v>1</v>
      </c>
      <c r="Y167" s="4" t="n">
        <v>1</v>
      </c>
      <c r="Z167" s="4" t="n">
        <v>0</v>
      </c>
      <c r="AA167" s="4" t="n">
        <v>0</v>
      </c>
      <c r="AB167" s="4" t="inlineStr">
        <is>
          <t>1900-01-01</t>
        </is>
      </c>
      <c r="AC167" s="4" t="n">
        <v>0</v>
      </c>
      <c r="AD167" s="4" t="n">
        <v>0</v>
      </c>
      <c r="AE167" s="4" t="n">
        <v>0</v>
      </c>
      <c r="AF167" s="4" t="n">
        <v>0</v>
      </c>
      <c r="AG167" s="4" t="n">
        <v>0</v>
      </c>
      <c r="AH167" s="4" t="n">
        <v>2</v>
      </c>
      <c r="AI167" s="4" t="n">
        <v>0</v>
      </c>
      <c r="AJ167" s="4" t="inlineStr">
        <is>
          <t>1900-01-01</t>
        </is>
      </c>
      <c r="AK167" s="4" t="inlineStr">
        <is>
          <t>00:00:00</t>
        </is>
      </c>
      <c r="AL167" s="4" t="n"/>
      <c r="AM167" s="4" t="inlineStr">
        <is>
          <t>RB</t>
        </is>
      </c>
      <c r="AN167" s="4" t="inlineStr">
        <is>
          <t>Tomado completo desde archivo RB según asignación</t>
        </is>
      </c>
      <c r="AO167" s="4" t="n">
        <v>0</v>
      </c>
    </row>
    <row r="168" ht="409" customHeight="1">
      <c r="A168" s="4" t="n">
        <v>167</v>
      </c>
      <c r="B168" s="4" t="n">
        <v>183</v>
      </c>
      <c r="C168" s="4" t="inlineStr">
        <is>
          <t>Revisor B</t>
        </is>
      </c>
      <c r="D168" s="4" t="n"/>
      <c r="E168" s="4" t="n">
        <v>2021</v>
      </c>
      <c r="F168" s="4" t="inlineStr">
        <is>
          <t>Imagen</t>
        </is>
      </c>
      <c r="G168" s="4" t="inlineStr">
        <is>
          <t>Deep Learning</t>
        </is>
      </c>
      <c r="H168" s="4" t="inlineStr">
        <is>
          <t>https://doi.org/10.1001/jamapediatrics.2021.0530</t>
        </is>
      </c>
      <c r="I168" s="4" t="inlineStr">
        <is>
          <t>Computational Methods to Measure Patterns of Gaze in Toddlers with Autism Spectrum Disorder</t>
        </is>
      </c>
      <c r="J168" s="4" t="inlineStr">
        <is>
          <t>Importance: Atypical eye gaze is an early-emerging symptom of autism spectrum disorder (ASD) and holds promise for autism screening. Current eye-tracking methods are expensive and require special equipment and calibration. There is a need for scalable, feasible methods for measuring eye gaze. Objective: Using computational methods based on computer vision analysis, we evaluated whether an app deployed on an iPhone or iPad that displayed strategically designed brief movies could elicit and quantify differences in eye-gaze patterns of toddlers with ASD vs typical development. Design, Setting, and Participants: A prospective study in pediatric primary care clinics was conducted from December 2018 to March 2020, comparing toddlers with and without ASD. Caregivers of 1564 toddlers were invited to participate during a well-child visit. A total of 993 toddlers (63%) completed study measures. Enrollment criteria were aged 16 to 38 months, healthy, English- or Spanish-speaking caregiver, and toddler able to sit and view the app. Participants were screened with the Modified Checklist for Autism in Toddlers-Revised With Follow-up during routine care. Children were referred by their pediatrician for diagnostic evaluation based on results of the checklist or if the caregiver or pediatrician was concerned. Forty toddlers subsequently were diagnosed with ASD. Exposures: A mobile app displayed on a smartphone or tablet. Main Outcomes and Measures: Computer vision analysis quantified eye-gaze patterns elicited by the app, which were compared between toddlers with ASD vs typical development. Results: Mean age of the sample was 21.1 months (range, 17.1-36.9 months), and 50.6% were boys, 59.8% White individuals, 16.5% Black individuals, 23.7% other race, and 16.9% Hispanic/Latino individuals. Distinctive eye-gaze patterns were detected in toddlers with ASD, characterized by reduced gaze to social stimuli and to salient social moments during the movies, and previously unknown deficits in coordination of gaze with speech sounds. The area under the receiver operating characteristic curve discriminating ASD vs non-ASD using multiple gaze features was 0.90 (95% CI, 0.82-0.97). Conclusions and Relevance: The app reliably measured both known and new gaze biomarkers that distinguished toddlers with ASD vs typical development. These novel results may have potential for developing scalable autism screening tools, exportable to natural settings, and enabling data sets amenable to machine learning.</t>
        </is>
      </c>
      <c r="K168" s="4" t="inlineStr">
        <is>
          <t>Supervised</t>
        </is>
      </c>
      <c r="L168" s="4" t="inlineStr">
        <is>
          <t>Decision Tree</t>
        </is>
      </c>
      <c r="M168" s="4" t="inlineStr">
        <is>
          <t>Classification (binary/multi-class; incl. ASD vs control)/ multi-class)</t>
        </is>
      </c>
      <c r="N168" s="4" t="inlineStr">
        <is>
          <t>Screening</t>
        </is>
      </c>
      <c r="O168" s="4" t="inlineStr">
        <is>
          <t>high</t>
        </is>
      </c>
      <c r="P168" s="4" t="n">
        <v>0</v>
      </c>
      <c r="Q168" s="4" t="n">
        <v>0</v>
      </c>
      <c r="R168" s="4" t="n">
        <v>1</v>
      </c>
      <c r="S168" s="4" t="n">
        <v>0</v>
      </c>
      <c r="T168" s="4" t="n">
        <v>0</v>
      </c>
      <c r="U168" s="4" t="n">
        <v>0</v>
      </c>
      <c r="V168" s="4" t="n">
        <v>0</v>
      </c>
      <c r="W168" s="4" t="n">
        <v>0</v>
      </c>
      <c r="X168" s="4" t="n">
        <v>0</v>
      </c>
      <c r="Y168" s="4" t="n">
        <v>1</v>
      </c>
      <c r="Z168" s="4" t="n">
        <v>0</v>
      </c>
      <c r="AA168" s="4" t="n">
        <v>1</v>
      </c>
      <c r="AB168" s="4" t="inlineStr">
        <is>
          <t>1900-01-01</t>
        </is>
      </c>
      <c r="AC168" s="4" t="n">
        <v>0</v>
      </c>
      <c r="AD168" s="4" t="n">
        <v>1</v>
      </c>
      <c r="AE168" s="4" t="n">
        <v>0</v>
      </c>
      <c r="AF168" s="4" t="n">
        <v>0</v>
      </c>
      <c r="AG168" s="4" t="n">
        <v>0</v>
      </c>
      <c r="AH168" s="4" t="n">
        <v>1</v>
      </c>
      <c r="AI168" s="4" t="n">
        <v>0</v>
      </c>
      <c r="AJ168" s="4" t="inlineStr">
        <is>
          <t>1900-01-01</t>
        </is>
      </c>
      <c r="AK168" s="4" t="inlineStr">
        <is>
          <t>1900-01-01</t>
        </is>
      </c>
      <c r="AL168" s="4" t="inlineStr">
        <is>
          <t>No es “diagnóstico” como tal; es una herramienta en visita pediátrica para detectar síntomas tempranos/riesgo usando patrones de mirada.</t>
        </is>
      </c>
      <c r="AM168" s="4" t="inlineStr">
        <is>
          <t>RB</t>
        </is>
      </c>
      <c r="AN168" s="4" t="inlineStr">
        <is>
          <t>Tomado completo desde archivo RB según asignación</t>
        </is>
      </c>
      <c r="AO168" s="4" t="n">
        <v>0</v>
      </c>
    </row>
    <row r="169" ht="409" customHeight="1">
      <c r="A169" s="4" t="n">
        <v>168</v>
      </c>
      <c r="B169" s="4" t="n">
        <v>184</v>
      </c>
      <c r="C169" s="4" t="inlineStr">
        <is>
          <t>Revisor A</t>
        </is>
      </c>
      <c r="D169" s="4" t="inlineStr">
        <is>
          <t>RA</t>
        </is>
      </c>
      <c r="E169" s="4" t="n">
        <v>2021</v>
      </c>
      <c r="F169" s="4" t="inlineStr">
        <is>
          <t>Imagen</t>
        </is>
      </c>
      <c r="G169" s="4" t="inlineStr">
        <is>
          <t>Machine Learning</t>
        </is>
      </c>
      <c r="H169" s="4" t="inlineStr">
        <is>
          <t>https://doi.org/10.1016/j.bpsc.2020.09.001</t>
        </is>
      </c>
      <c r="I169" s="4" t="inlineStr">
        <is>
          <t>Computerized Assessment of Motor Imitation as a Scalable Method for Distinguishing Children With Autism</t>
        </is>
      </c>
      <c r="J169" s="4" t="inlineStr">
        <is>
          <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t>
        </is>
      </c>
      <c r="K169" s="4" t="inlineStr">
        <is>
          <t>Supervised</t>
        </is>
      </c>
      <c r="L169" s="4" t="inlineStr">
        <is>
          <t>Other / Not clear</t>
        </is>
      </c>
      <c r="M169" s="4" t="inlineStr">
        <is>
          <t>Classification (ASD vs control / multi-class)</t>
        </is>
      </c>
      <c r="N169" s="4" t="inlineStr">
        <is>
          <t>Screening</t>
        </is>
      </c>
      <c r="O169" s="4" t="inlineStr">
        <is>
          <t>High</t>
        </is>
      </c>
      <c r="P169" s="4" t="n">
        <v>0</v>
      </c>
      <c r="Q169" s="4" t="n">
        <v>0</v>
      </c>
      <c r="R169" s="4" t="n">
        <v>1</v>
      </c>
      <c r="S169" s="4" t="n">
        <v>0</v>
      </c>
      <c r="T169" s="4" t="n">
        <v>0</v>
      </c>
      <c r="U169" s="4" t="n">
        <v>0</v>
      </c>
      <c r="V169" s="4" t="n">
        <v>0</v>
      </c>
      <c r="W169" s="4" t="n">
        <v>0</v>
      </c>
      <c r="X169" s="4" t="n">
        <v>1</v>
      </c>
      <c r="Y169" s="4" t="n">
        <v>0</v>
      </c>
      <c r="Z169" s="4" t="n">
        <v>0</v>
      </c>
      <c r="AA169" s="4" t="n">
        <v>0</v>
      </c>
      <c r="AB169" s="4" t="inlineStr">
        <is>
          <t>1900-01-01</t>
        </is>
      </c>
      <c r="AC169" s="4" t="n"/>
      <c r="AD169" s="4" t="n"/>
      <c r="AE169" s="4" t="n"/>
      <c r="AF169" s="4" t="n"/>
      <c r="AG169" s="4" t="n">
        <v>1</v>
      </c>
      <c r="AH169" s="4" t="n">
        <v>1</v>
      </c>
      <c r="AI169" s="4" t="n"/>
      <c r="AJ169" s="4" t="n"/>
      <c r="AK169" s="4" t="n"/>
      <c r="AL169" s="4" t="inlineStr">
        <is>
          <t>Algoritmo principal no explícito o fuera del codebook; Confirmar algoritmo principal en full-text; Se comparan varios modelos; se eligió el principal/mejor reportado</t>
        </is>
      </c>
      <c r="AM169" s="4" t="inlineStr">
        <is>
          <t>RA</t>
        </is>
      </c>
      <c r="AN169" s="4" t="inlineStr">
        <is>
          <t>Tomado completo desde archivo RA según asignación</t>
        </is>
      </c>
      <c r="AO169" s="4" t="n">
        <v>0</v>
      </c>
    </row>
    <row r="170" ht="359" customHeight="1">
      <c r="A170" s="4" t="n">
        <v>169</v>
      </c>
      <c r="B170" s="4" t="n">
        <v>185</v>
      </c>
      <c r="C170" s="4" t="inlineStr">
        <is>
          <t>Revisor A</t>
        </is>
      </c>
      <c r="D170" s="4" t="inlineStr">
        <is>
          <t>RA</t>
        </is>
      </c>
      <c r="E170" s="4" t="n">
        <v>2025</v>
      </c>
      <c r="F170" s="4" t="inlineStr">
        <is>
          <t>Imagen</t>
        </is>
      </c>
      <c r="G170" s="4" t="inlineStr">
        <is>
          <t>Híbrido</t>
        </is>
      </c>
      <c r="H170" s="4" t="inlineStr">
        <is>
          <t>https://doi.org/10.1016/j.procs.2025.05.032</t>
        </is>
      </c>
      <c r="I170" s="4" t="inlineStr">
        <is>
          <t>Construction of ASD Intervention System Based On Neural Network Model</t>
        </is>
      </c>
      <c r="J170" s="4" t="inlineStr">
        <is>
          <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t>
        </is>
      </c>
      <c r="K170" s="4" t="inlineStr">
        <is>
          <t>Supervised</t>
        </is>
      </c>
      <c r="L170" s="4" t="inlineStr">
        <is>
          <t>CNN</t>
        </is>
      </c>
      <c r="M170" s="4" t="inlineStr">
        <is>
          <t>Classification (ASD vs control / multi-class)</t>
        </is>
      </c>
      <c r="N170" s="4" t="inlineStr">
        <is>
          <t>Monitoring/intervention</t>
        </is>
      </c>
      <c r="O170" s="4" t="inlineStr">
        <is>
          <t>High</t>
        </is>
      </c>
      <c r="P170" s="4" t="n">
        <v>0</v>
      </c>
      <c r="Q170" s="4" t="n">
        <v>0</v>
      </c>
      <c r="R170" s="4" t="n">
        <v>1</v>
      </c>
      <c r="S170" s="4" t="n">
        <v>0</v>
      </c>
      <c r="T170" s="4" t="n">
        <v>0</v>
      </c>
      <c r="U170" s="4" t="n">
        <v>0</v>
      </c>
      <c r="V170" s="4" t="n">
        <v>1</v>
      </c>
      <c r="W170" s="4" t="n">
        <v>0</v>
      </c>
      <c r="X170" s="4" t="n">
        <v>0</v>
      </c>
      <c r="Y170" s="4" t="n">
        <v>0</v>
      </c>
      <c r="Z170" s="4" t="n">
        <v>0</v>
      </c>
      <c r="AA170" s="4" t="n">
        <v>1</v>
      </c>
      <c r="AB170" s="4" t="inlineStr">
        <is>
          <t>1900-01-01</t>
        </is>
      </c>
      <c r="AC170" s="4" t="n"/>
      <c r="AD170" s="4" t="n"/>
      <c r="AE170" s="4" t="n"/>
      <c r="AF170" s="4" t="n"/>
      <c r="AG170" s="4" t="n">
        <v>0</v>
      </c>
      <c r="AH170" s="4" t="n">
        <v>2</v>
      </c>
      <c r="AI170" s="4" t="inlineStr">
        <is>
          <t>sensor / other</t>
        </is>
      </c>
      <c r="AJ170" s="4" t="n"/>
      <c r="AK170" s="4" t="n"/>
      <c r="AL170" s="4" t="n"/>
      <c r="AM170" s="4" t="inlineStr">
        <is>
          <t>RA</t>
        </is>
      </c>
      <c r="AN170" s="4" t="inlineStr">
        <is>
          <t>Tomado completo desde archivo RA según asignación</t>
        </is>
      </c>
      <c r="AO170" s="4" t="n">
        <v>0</v>
      </c>
    </row>
    <row r="171" ht="372" customHeight="1">
      <c r="A171" s="4" t="n">
        <v>170</v>
      </c>
      <c r="B171" s="4" t="n">
        <v>186</v>
      </c>
      <c r="C171" s="4" t="inlineStr">
        <is>
          <t>Revisor A</t>
        </is>
      </c>
      <c r="D171" s="4" t="inlineStr">
        <is>
          <t>RA</t>
        </is>
      </c>
      <c r="E171" s="4" t="n">
        <v>2024</v>
      </c>
      <c r="F171" s="4" t="inlineStr">
        <is>
          <t>Señales fisiológicas</t>
        </is>
      </c>
      <c r="G171" s="4" t="inlineStr">
        <is>
          <t>Deep Learning</t>
        </is>
      </c>
      <c r="H171" s="4" t="inlineStr">
        <is>
          <t>https://doi.org/10.1016/j.jneumeth.2024.110100</t>
        </is>
      </c>
      <c r="I171" s="4" t="inlineStr">
        <is>
          <t>Decoding Autism: Uncovering patterns in brain connectivity through sparsity analysis with rs-fMRI data</t>
        </is>
      </c>
      <c r="J171" s="4" t="inlineStr">
        <is>
          <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t>
        </is>
      </c>
      <c r="K171" s="4" t="inlineStr">
        <is>
          <t>Supervised</t>
        </is>
      </c>
      <c r="L171" s="4" t="inlineStr">
        <is>
          <t>CNN</t>
        </is>
      </c>
      <c r="M171" s="4" t="inlineStr">
        <is>
          <t>Classification (ASD vs control / multi-class)</t>
        </is>
      </c>
      <c r="N171" s="4" t="inlineStr">
        <is>
          <t>Diagnosis</t>
        </is>
      </c>
      <c r="O171" s="4" t="inlineStr">
        <is>
          <t>High</t>
        </is>
      </c>
      <c r="P171" s="4" t="n">
        <v>1</v>
      </c>
      <c r="Q171" s="4" t="n">
        <v>0</v>
      </c>
      <c r="R171" s="4" t="n">
        <v>0</v>
      </c>
      <c r="S171" s="4" t="n">
        <v>0</v>
      </c>
      <c r="T171" s="4" t="n">
        <v>0</v>
      </c>
      <c r="U171" s="4" t="n">
        <v>0</v>
      </c>
      <c r="V171" s="4" t="n">
        <v>0</v>
      </c>
      <c r="W171" s="4" t="n">
        <v>0</v>
      </c>
      <c r="X171" s="4" t="n">
        <v>0</v>
      </c>
      <c r="Y171" s="4" t="n">
        <v>1</v>
      </c>
      <c r="Z171" s="4" t="n">
        <v>0</v>
      </c>
      <c r="AA171" s="4" t="n">
        <v>0</v>
      </c>
      <c r="AB171" s="4" t="inlineStr">
        <is>
          <t>1900-01-01</t>
        </is>
      </c>
      <c r="AC171" s="4" t="n"/>
      <c r="AD171" s="4" t="n"/>
      <c r="AE171" s="4" t="n"/>
      <c r="AF171" s="4" t="n"/>
      <c r="AG171" s="4" t="n">
        <v>1</v>
      </c>
      <c r="AH171" s="4" t="n">
        <v>1</v>
      </c>
      <c r="AI171" s="4" t="n"/>
      <c r="AJ171" s="4" t="n"/>
      <c r="AK171" s="4" t="n"/>
      <c r="AL171" s="4" t="inlineStr">
        <is>
          <t>Algoritmo principal no explícito o fuera del codebook; Confirmar algoritmo principal en full-text; Se comparan varios modelos; se eligió el principal/mejor reportado</t>
        </is>
      </c>
      <c r="AM171" s="4" t="inlineStr">
        <is>
          <t>RA</t>
        </is>
      </c>
      <c r="AN171" s="4" t="inlineStr">
        <is>
          <t>Tomado completo desde archivo RA según asignación</t>
        </is>
      </c>
      <c r="AO171" s="4" t="n">
        <v>0</v>
      </c>
    </row>
    <row r="172" ht="398" customHeight="1">
      <c r="A172" s="4" t="n">
        <v>171</v>
      </c>
      <c r="B172" s="4" t="n">
        <v>187</v>
      </c>
      <c r="C172" s="4" t="inlineStr">
        <is>
          <t>Revisor B</t>
        </is>
      </c>
      <c r="D172" s="4" t="n"/>
      <c r="E172" s="4" t="n">
        <v>2025</v>
      </c>
      <c r="F172" s="4" t="inlineStr">
        <is>
          <t>Imagen</t>
        </is>
      </c>
      <c r="G172" s="4" t="inlineStr">
        <is>
          <t>Híbrido</t>
        </is>
      </c>
      <c r="H172" s="4" t="inlineStr">
        <is>
          <t>https://doi.org/10.1109/THMS.2025.3526957</t>
        </is>
      </c>
      <c r="I172" s="4" t="inlineStr">
        <is>
          <t>Deep Radiomics for Autism Diagnosis and Age Prediction</t>
        </is>
      </c>
      <c r="J172" s="4" t="inlineStr">
        <is>
          <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t>
        </is>
      </c>
      <c r="K172" s="4" t="inlineStr">
        <is>
          <t>Supervised</t>
        </is>
      </c>
      <c r="L172" s="4" t="inlineStr">
        <is>
          <t>Random Forest</t>
        </is>
      </c>
      <c r="M172" s="4" t="inlineStr">
        <is>
          <t>Classification (binary/multi-class; incl. ASD vs control)/ multi-class)</t>
        </is>
      </c>
      <c r="N172" s="4" t="inlineStr">
        <is>
          <t>diagnosis</t>
        </is>
      </c>
      <c r="O172" s="4" t="inlineStr">
        <is>
          <t>high</t>
        </is>
      </c>
      <c r="P172" s="4" t="n">
        <v>0</v>
      </c>
      <c r="Q172" s="4" t="n">
        <v>0</v>
      </c>
      <c r="R172" s="4" t="n">
        <v>0</v>
      </c>
      <c r="S172" s="4" t="n">
        <v>1</v>
      </c>
      <c r="T172" s="4" t="n">
        <v>0</v>
      </c>
      <c r="U172" s="4" t="n">
        <v>0</v>
      </c>
      <c r="V172" s="4" t="n">
        <v>0</v>
      </c>
      <c r="W172" s="4" t="n">
        <v>0</v>
      </c>
      <c r="X172" s="4" t="n">
        <v>0</v>
      </c>
      <c r="Y172" s="4" t="n">
        <v>1</v>
      </c>
      <c r="Z172" s="4" t="n">
        <v>0</v>
      </c>
      <c r="AA172" s="4" t="n">
        <v>0</v>
      </c>
      <c r="AB172" s="4" t="inlineStr">
        <is>
          <t>1900-01-01</t>
        </is>
      </c>
      <c r="AC172" s="4" t="n">
        <v>0</v>
      </c>
      <c r="AD172" s="4" t="n">
        <v>0</v>
      </c>
      <c r="AE172" s="4" t="n">
        <v>0</v>
      </c>
      <c r="AF172" s="4" t="n">
        <v>0</v>
      </c>
      <c r="AG172" s="4" t="n">
        <v>0</v>
      </c>
      <c r="AH172" s="4" t="n">
        <v>1</v>
      </c>
      <c r="AI172" s="4" t="n">
        <v>0</v>
      </c>
      <c r="AJ172" s="4" t="inlineStr">
        <is>
          <t>00:00:00</t>
        </is>
      </c>
      <c r="AK172" s="4" t="inlineStr">
        <is>
          <t>00:00:00</t>
        </is>
      </c>
      <c r="AL172" s="4" t="n"/>
      <c r="AM172" s="4" t="inlineStr">
        <is>
          <t>RB</t>
        </is>
      </c>
      <c r="AN172" s="4" t="inlineStr">
        <is>
          <t>Tomado completo desde archivo RB según asignación</t>
        </is>
      </c>
      <c r="AO172" s="4" t="n">
        <v>0</v>
      </c>
    </row>
    <row r="173" ht="346" customHeight="1">
      <c r="A173" s="4" t="n">
        <v>172</v>
      </c>
      <c r="B173" s="4" t="n">
        <v>188</v>
      </c>
      <c r="C173" s="4" t="inlineStr">
        <is>
          <t>Revisor A</t>
        </is>
      </c>
      <c r="D173" s="4" t="inlineStr">
        <is>
          <t>RA</t>
        </is>
      </c>
      <c r="E173" s="4" t="n">
        <v>2020</v>
      </c>
      <c r="F173" s="4" t="inlineStr">
        <is>
          <t>Audio · Voz</t>
        </is>
      </c>
      <c r="G173" s="4" t="inlineStr">
        <is>
          <t>Deep Learning</t>
        </is>
      </c>
      <c r="H173" s="4" t="inlineStr">
        <is>
          <t>https://doi.org/10.3390/s20236762</t>
        </is>
      </c>
      <c r="I173" s="4" t="inlineStr">
        <is>
          <t>Deep-learning-based detection of infants with autism spectrum disorder using auto-encoder feature representation</t>
        </is>
      </c>
      <c r="J173" s="4" t="inlineStr">
        <is>
          <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t>
        </is>
      </c>
      <c r="K173" s="4" t="inlineStr">
        <is>
          <t>Supervised</t>
        </is>
      </c>
      <c r="L173" s="4" t="inlineStr">
        <is>
          <t>Autoencoder</t>
        </is>
      </c>
      <c r="M173" s="4" t="inlineStr">
        <is>
          <t>Classification (ASD vs control / multi-class)</t>
        </is>
      </c>
      <c r="N173" s="4" t="inlineStr">
        <is>
          <t>Screening</t>
        </is>
      </c>
      <c r="O173" s="4" t="inlineStr">
        <is>
          <t>High</t>
        </is>
      </c>
      <c r="P173" s="4" t="n">
        <v>0</v>
      </c>
      <c r="Q173" s="4" t="n">
        <v>0</v>
      </c>
      <c r="R173" s="4" t="n">
        <v>0</v>
      </c>
      <c r="S173" s="4" t="n">
        <v>1</v>
      </c>
      <c r="T173" s="4" t="n">
        <v>0</v>
      </c>
      <c r="U173" s="4" t="n">
        <v>0</v>
      </c>
      <c r="V173" s="4" t="n">
        <v>0</v>
      </c>
      <c r="W173" s="4" t="n">
        <v>0</v>
      </c>
      <c r="X173" s="4" t="n">
        <v>1</v>
      </c>
      <c r="Y173" s="4" t="n">
        <v>0</v>
      </c>
      <c r="Z173" s="4" t="n">
        <v>0</v>
      </c>
      <c r="AA173" s="4" t="n">
        <v>0</v>
      </c>
      <c r="AB173" s="4" t="inlineStr">
        <is>
          <t>1900-01-01</t>
        </is>
      </c>
      <c r="AC173" s="4" t="n"/>
      <c r="AD173" s="4" t="n"/>
      <c r="AE173" s="4" t="n"/>
      <c r="AF173" s="4" t="n"/>
      <c r="AG173" s="4" t="n">
        <v>1</v>
      </c>
      <c r="AH173" s="4" t="n">
        <v>1</v>
      </c>
      <c r="AI173" s="4" t="n"/>
      <c r="AJ173" s="4" t="n"/>
      <c r="AK173" s="4" t="n"/>
      <c r="AL173" s="4" t="inlineStr">
        <is>
          <t>Autoencoder para detección en infantes; confirmar fuente de datos exacta (no totalmente explícita en el abstract).</t>
        </is>
      </c>
      <c r="AM173" s="4" t="inlineStr">
        <is>
          <t>RA</t>
        </is>
      </c>
      <c r="AN173" s="4" t="inlineStr">
        <is>
          <t>Tomado completo desde archivo RA según asignación</t>
        </is>
      </c>
      <c r="AO173" s="4" t="n">
        <v>0</v>
      </c>
    </row>
    <row r="174" ht="385" customHeight="1">
      <c r="A174" s="4" t="n">
        <v>173</v>
      </c>
      <c r="B174" s="4" t="n">
        <v>189</v>
      </c>
      <c r="C174" s="4" t="inlineStr">
        <is>
          <t>Revisor A</t>
        </is>
      </c>
      <c r="D174" s="4" t="inlineStr">
        <is>
          <t>RA</t>
        </is>
      </c>
      <c r="E174" s="4" t="n">
        <v>2024</v>
      </c>
      <c r="F174" s="4" t="inlineStr">
        <is>
          <t>Imagen</t>
        </is>
      </c>
      <c r="G174" s="4" t="inlineStr">
        <is>
          <t>Híbrido</t>
        </is>
      </c>
      <c r="H174" s="4" t="inlineStr">
        <is>
          <t>https://doi.org/10.1016/j.jad.2024.04.049</t>
        </is>
      </c>
      <c r="I174" s="4" t="inlineStr">
        <is>
          <t>Early identification of autism spectrum disorder based on machine learning with eye-tracking data</t>
        </is>
      </c>
      <c r="J174" s="4" t="inlineStr">
        <is>
          <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t>
        </is>
      </c>
      <c r="K174" s="4" t="inlineStr">
        <is>
          <t>Supervised</t>
        </is>
      </c>
      <c r="L174" s="4" t="inlineStr">
        <is>
          <t>Random Forest</t>
        </is>
      </c>
      <c r="M174" s="4" t="inlineStr">
        <is>
          <t>Classification (ASD vs control / multi-class)</t>
        </is>
      </c>
      <c r="N174" s="4" t="inlineStr">
        <is>
          <t>Screening</t>
        </is>
      </c>
      <c r="O174" s="4" t="inlineStr">
        <is>
          <t>High</t>
        </is>
      </c>
      <c r="P174" s="4" t="n">
        <v>0</v>
      </c>
      <c r="Q174" s="4" t="n">
        <v>0</v>
      </c>
      <c r="R174" s="4" t="n">
        <v>1</v>
      </c>
      <c r="S174" s="4" t="n">
        <v>0</v>
      </c>
      <c r="T174" s="4" t="n">
        <v>0</v>
      </c>
      <c r="U174" s="4" t="n">
        <v>0</v>
      </c>
      <c r="V174" s="4" t="n">
        <v>0</v>
      </c>
      <c r="W174" s="4" t="n">
        <v>0</v>
      </c>
      <c r="X174" s="4" t="n">
        <v>1</v>
      </c>
      <c r="Y174" s="4" t="n">
        <v>0</v>
      </c>
      <c r="Z174" s="4" t="n">
        <v>0</v>
      </c>
      <c r="AA174" s="4" t="n">
        <v>0</v>
      </c>
      <c r="AB174" s="4" t="inlineStr">
        <is>
          <t>1900-01-01</t>
        </is>
      </c>
      <c r="AC174" s="4" t="n"/>
      <c r="AD174" s="4" t="n"/>
      <c r="AE174" s="4" t="n"/>
      <c r="AF174" s="4" t="n"/>
      <c r="AG174" s="4" t="n">
        <v>0</v>
      </c>
      <c r="AH174" s="4" t="n">
        <v>1</v>
      </c>
      <c r="AI174" s="4" t="n"/>
      <c r="AJ174" s="4" t="n"/>
      <c r="AK174" s="4" t="n"/>
      <c r="AL174" s="4" t="inlineStr">
        <is>
          <t>Se comparan varios modelos; se eligió el principal/mejor reportado</t>
        </is>
      </c>
      <c r="AM174" s="4" t="inlineStr">
        <is>
          <t>RA</t>
        </is>
      </c>
      <c r="AN174" s="4" t="inlineStr">
        <is>
          <t>Tomado completo desde archivo RA según asignación</t>
        </is>
      </c>
      <c r="AO174" s="4" t="n">
        <v>0</v>
      </c>
    </row>
    <row r="175" ht="398" customHeight="1">
      <c r="A175" s="4" t="n">
        <v>174</v>
      </c>
      <c r="B175" s="4" t="n">
        <v>190</v>
      </c>
      <c r="C175" s="4" t="inlineStr">
        <is>
          <t>Revisor B</t>
        </is>
      </c>
      <c r="D175" s="4" t="n"/>
      <c r="E175" s="4" t="n">
        <v>2019</v>
      </c>
      <c r="F175" s="4" t="inlineStr">
        <is>
          <t>No especificado</t>
        </is>
      </c>
      <c r="G175" s="4" t="inlineStr">
        <is>
          <t>Deep Learning</t>
        </is>
      </c>
      <c r="H175" s="4" t="inlineStr">
        <is>
          <t>https://doi.org/10.1038/s41398-019-0631-2</t>
        </is>
      </c>
      <c r="I175" s="4" t="inlineStr">
        <is>
          <t>Examining overlap and homogeneity in ASD, ADHD, and OCD: a data-driven, diagnosis-agnostic approach</t>
        </is>
      </c>
      <c r="J175" s="4" t="inlineStr">
        <is>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is>
      </c>
      <c r="K175" s="4" t="inlineStr">
        <is>
          <t>Unsupervised</t>
        </is>
      </c>
      <c r="L175" s="4" t="inlineStr">
        <is>
          <t>Clustering (k-means / GMM / ...)</t>
        </is>
      </c>
      <c r="M175" s="4" t="inlineStr">
        <is>
          <t>Clustering / subtyping</t>
        </is>
      </c>
      <c r="N175" s="4" t="inlineStr">
        <is>
          <t>diagnosis</t>
        </is>
      </c>
      <c r="O175" s="4" t="inlineStr">
        <is>
          <t>high</t>
        </is>
      </c>
      <c r="P175" s="4" t="n">
        <v>1</v>
      </c>
      <c r="Q175" s="4" t="n">
        <v>0</v>
      </c>
      <c r="R175" s="4" t="n">
        <v>0</v>
      </c>
      <c r="S175" s="4" t="n">
        <v>0</v>
      </c>
      <c r="T175" s="4" t="n">
        <v>1</v>
      </c>
      <c r="U175" s="4" t="n">
        <v>0</v>
      </c>
      <c r="V175" s="4" t="n">
        <v>0</v>
      </c>
      <c r="W175" s="4" t="n">
        <v>0</v>
      </c>
      <c r="X175" s="4" t="n">
        <v>0</v>
      </c>
      <c r="Y175" s="4" t="n">
        <v>1</v>
      </c>
      <c r="Z175" s="4" t="n">
        <v>0</v>
      </c>
      <c r="AA175" s="4" t="n">
        <v>0</v>
      </c>
      <c r="AB175" s="4" t="inlineStr">
        <is>
          <t>00:00:00</t>
        </is>
      </c>
      <c r="AC175" s="4" t="n">
        <v>0</v>
      </c>
      <c r="AD175" s="4" t="n">
        <v>1</v>
      </c>
      <c r="AE175" s="4" t="n">
        <v>0</v>
      </c>
      <c r="AF175" s="4" t="n">
        <v>0</v>
      </c>
      <c r="AG175" s="4" t="n">
        <v>0</v>
      </c>
      <c r="AH175" s="4" t="n">
        <v>2</v>
      </c>
      <c r="AI175" s="4" t="n">
        <v>0</v>
      </c>
      <c r="AJ175" s="4" t="inlineStr">
        <is>
          <t>00:00:00</t>
        </is>
      </c>
      <c r="AK175" s="4" t="inlineStr">
        <is>
          <t>1900-01-01</t>
        </is>
      </c>
      <c r="AL175" s="4" t="inlineStr">
        <is>
          <t>Bagged-multiview clustering (bagging + spectral clustering)</t>
        </is>
      </c>
      <c r="AM175" s="4" t="inlineStr">
        <is>
          <t>RB</t>
        </is>
      </c>
      <c r="AN175" s="4" t="inlineStr">
        <is>
          <t>Tomado completo desde archivo RB según asignación</t>
        </is>
      </c>
      <c r="AO175" s="4" t="n">
        <v>0</v>
      </c>
    </row>
    <row r="176" ht="268" customHeight="1">
      <c r="A176" s="4" t="n">
        <v>175</v>
      </c>
      <c r="B176" s="4" t="n">
        <v>191</v>
      </c>
      <c r="C176" s="4" t="inlineStr">
        <is>
          <t>Revisor B</t>
        </is>
      </c>
      <c r="D176" s="4" t="n"/>
      <c r="E176" s="4" t="n">
        <v>2021</v>
      </c>
      <c r="F176" s="4" t="inlineStr">
        <is>
          <t>Señales fisiológicas</t>
        </is>
      </c>
      <c r="G176" s="4" t="inlineStr">
        <is>
          <t>Híbrido</t>
        </is>
      </c>
      <c r="H176" s="4" t="inlineStr">
        <is>
          <t>https://doi.org/10.1016/B978-0-12-822822-7.00004-1</t>
        </is>
      </c>
      <c r="I176" s="4" t="inlineStr">
        <is>
          <t>Explainable and scalable machine learning algorithms for detection of autism spectrum disorder using fMRI data</t>
        </is>
      </c>
      <c r="J176" s="4" t="inlineStr">
        <is>
          <t>Diagnosing autism spectrum disorder (ASD) is a challenging problem and is based purely on behavioral descriptions of symptomology (Diagnostic and Statistical Manual-5th Edition/ICD-10). Numerous limitations (e.g., informant discrepancies, lack of adherence to assessment guidelines) to current diagnostic practices have the potential to result in misdiagnosis of the disorder. Prior research provides evidence that structural and functional magnetic resonance imaging (MRI) data collected from individuals with ASD exhibit distinguishing characteristics that differ in neural patterns of the brain. Our proposed deep learning model ASD-DiagNet exhibits consistently high accuracy for classification of ASD brain scans from neurotypical scans. We have integrated traditional machine learning and deep learning techniques that allow us to isolate ASD biomarkers from MRI data sets. Our method, called Auto-ASD-Network, uses a combination of deep learning and support vector machines to classify ASD scans from neurotypical ones. Such interpretable models would help one to explain the decisions made by deep learning techniques leading to knowledge discovery for neuroscientists.</t>
        </is>
      </c>
      <c r="K176" s="4" t="n"/>
      <c r="L176" s="4" t="n"/>
      <c r="M176" s="4" t="inlineStr">
        <is>
          <t>Classification / diagnostic support</t>
        </is>
      </c>
      <c r="N176" s="4" t="inlineStr">
        <is>
          <t>Diagnosis</t>
        </is>
      </c>
      <c r="O176" s="4" t="n"/>
      <c r="P176" s="4" t="n"/>
      <c r="Q176" s="4" t="n"/>
      <c r="R176" s="4" t="n"/>
      <c r="S176" s="4" t="n"/>
      <c r="T176" s="4" t="n"/>
      <c r="U176" s="4" t="n"/>
      <c r="V176" s="4" t="n"/>
      <c r="W176" s="4" t="n">
        <v>0</v>
      </c>
      <c r="X176" s="4" t="n">
        <v>0</v>
      </c>
      <c r="Y176" s="4" t="n">
        <v>1</v>
      </c>
      <c r="Z176" s="4" t="n">
        <v>0</v>
      </c>
      <c r="AA176" s="4" t="n">
        <v>0</v>
      </c>
      <c r="AB176" s="4" t="inlineStr">
        <is>
          <t>1900-01-01</t>
        </is>
      </c>
      <c r="AC176" s="4" t="n">
        <v>0</v>
      </c>
      <c r="AD176" s="4" t="n">
        <v>1</v>
      </c>
      <c r="AE176" s="4" t="n">
        <v>0</v>
      </c>
      <c r="AF176" s="4" t="n">
        <v>1</v>
      </c>
      <c r="AG176" s="4" t="n"/>
      <c r="AH176" s="4" t="n"/>
      <c r="AI176" s="4" t="n"/>
      <c r="AJ176" s="4" t="inlineStr">
        <is>
          <t>1900-01-01</t>
        </is>
      </c>
      <c r="AK176" s="4" t="n"/>
      <c r="AL176" s="4" t="inlineStr">
        <is>
          <t>Título/abstract con señal explícita de explainable; estrategia híbrida/integrativa.</t>
        </is>
      </c>
      <c r="AM176" s="4" t="inlineStr">
        <is>
          <t>RA_fallback</t>
        </is>
      </c>
      <c r="AN176" s="4" t="inlineStr">
        <is>
          <t>Fallback a RA porque el ID no está en RB</t>
        </is>
      </c>
      <c r="AO176" s="4" t="n">
        <v>1</v>
      </c>
    </row>
    <row r="177" ht="203" customHeight="1">
      <c r="A177" s="4" t="n">
        <v>176</v>
      </c>
      <c r="B177" s="4" t="n">
        <v>193</v>
      </c>
      <c r="C177" s="4" t="inlineStr">
        <is>
          <t>Revisor B</t>
        </is>
      </c>
      <c r="D177" s="4" t="n"/>
      <c r="E177" s="4" t="n">
        <v>2022</v>
      </c>
      <c r="F177" s="4" t="inlineStr">
        <is>
          <t>No especificado</t>
        </is>
      </c>
      <c r="G177" s="4" t="inlineStr">
        <is>
          <t>Machine Learning</t>
        </is>
      </c>
      <c r="H177" s="4" t="inlineStr">
        <is>
          <t>https://doi.org/10.1007/978-3-031-06242-1_27</t>
        </is>
      </c>
      <c r="I177" s="4" t="inlineStr">
        <is>
          <t>Feasibility Study of\&amp;#xa0;a\&amp;#xa0;ML-Based ASD Monitoring System</t>
        </is>
      </c>
      <c r="J177" s="4" t="inlineStr">
        <is>
          <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t>
        </is>
      </c>
      <c r="K177" s="4" t="n"/>
      <c r="L177" s="4" t="n"/>
      <c r="M177" s="4" t="inlineStr">
        <is>
          <t>Not clear</t>
        </is>
      </c>
      <c r="N177" s="4" t="inlineStr">
        <is>
          <t>Monitoring/intervention</t>
        </is>
      </c>
      <c r="O177" s="4" t="inlineStr">
        <is>
          <t>high</t>
        </is>
      </c>
      <c r="P177" s="4" t="n">
        <v>0</v>
      </c>
      <c r="Q177" s="4" t="n">
        <v>0</v>
      </c>
      <c r="R177" s="4" t="n">
        <v>1</v>
      </c>
      <c r="S177" s="4" t="n">
        <v>0</v>
      </c>
      <c r="T177" s="4" t="n">
        <v>1</v>
      </c>
      <c r="U177" s="4" t="n">
        <v>0</v>
      </c>
      <c r="V177" s="4" t="n">
        <v>0</v>
      </c>
      <c r="W177" s="4" t="n">
        <v>0</v>
      </c>
      <c r="X177" s="4" t="n">
        <v>0</v>
      </c>
      <c r="Y177" s="4" t="n">
        <v>1</v>
      </c>
      <c r="Z177" s="4" t="n">
        <v>1</v>
      </c>
      <c r="AA177" s="4" t="n">
        <v>0</v>
      </c>
      <c r="AB177" s="4" t="inlineStr">
        <is>
          <t>1900-01-01</t>
        </is>
      </c>
      <c r="AC177" s="4" t="n">
        <v>0</v>
      </c>
      <c r="AD177" s="4" t="n">
        <v>0</v>
      </c>
      <c r="AE177" s="4" t="n">
        <v>0</v>
      </c>
      <c r="AF177" s="4" t="n">
        <v>0</v>
      </c>
      <c r="AG177" s="4" t="n">
        <v>0</v>
      </c>
      <c r="AH177" s="4" t="n">
        <v>2</v>
      </c>
      <c r="AI177" s="4" t="n">
        <v>0</v>
      </c>
      <c r="AJ177" s="4" t="inlineStr">
        <is>
          <t>00:00:00</t>
        </is>
      </c>
      <c r="AK177" s="4" t="inlineStr">
        <is>
          <t>00:00:00</t>
        </is>
      </c>
      <c r="AL177" s="4" t="n"/>
      <c r="AM177" s="4" t="inlineStr">
        <is>
          <t>RB</t>
        </is>
      </c>
      <c r="AN177" s="4" t="inlineStr">
        <is>
          <t>Tomado completo desde archivo RB según asignación</t>
        </is>
      </c>
      <c r="AO177" s="4" t="n">
        <v>0</v>
      </c>
    </row>
    <row r="178" ht="320" customHeight="1">
      <c r="A178" s="4" t="n">
        <v>177</v>
      </c>
      <c r="B178" s="4" t="n">
        <v>194</v>
      </c>
      <c r="C178" s="4" t="inlineStr">
        <is>
          <t>Revisor B</t>
        </is>
      </c>
      <c r="D178" s="4" t="n"/>
      <c r="E178" s="4" t="n">
        <v>2020</v>
      </c>
      <c r="F178" s="4" t="inlineStr">
        <is>
          <t>Imagen</t>
        </is>
      </c>
      <c r="G178" s="4" t="inlineStr">
        <is>
          <t>Machine Learning</t>
        </is>
      </c>
      <c r="H178" s="4" t="inlineStr">
        <is>
          <t>https://doi.org/10.1038/s41598-020-76874-w</t>
        </is>
      </c>
      <c r="I178" s="4" t="inlineStr">
        <is>
          <t>Feature replacement methods enable reliable home video analysis for machine learning detection of autism</t>
        </is>
      </c>
      <c r="J178" s="4" t="inlineStr">
        <is>
          <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t>
        </is>
      </c>
      <c r="K178" s="4" t="inlineStr">
        <is>
          <t>Supervised</t>
        </is>
      </c>
      <c r="L178" s="4" t="inlineStr">
        <is>
          <t>Logistic Regression</t>
        </is>
      </c>
      <c r="M178" s="4" t="inlineStr">
        <is>
          <t>Classification (ASD vs control / multi-class)</t>
        </is>
      </c>
      <c r="N178" s="4" t="inlineStr">
        <is>
          <t>diagnosis</t>
        </is>
      </c>
      <c r="O178" s="4" t="inlineStr">
        <is>
          <t>medium</t>
        </is>
      </c>
      <c r="P178" s="4" t="n">
        <v>0</v>
      </c>
      <c r="Q178" s="4" t="n">
        <v>0</v>
      </c>
      <c r="R178" s="4" t="n">
        <v>0</v>
      </c>
      <c r="S178" s="4" t="n">
        <v>0</v>
      </c>
      <c r="T178" s="4" t="n">
        <v>0</v>
      </c>
      <c r="U178" s="4" t="n">
        <v>0</v>
      </c>
      <c r="V178" s="4" t="n">
        <v>0</v>
      </c>
      <c r="W178" s="4" t="n">
        <v>0</v>
      </c>
      <c r="X178" s="4" t="n">
        <v>0</v>
      </c>
      <c r="Y178" s="4" t="n">
        <v>1</v>
      </c>
      <c r="Z178" s="4" t="n">
        <v>0</v>
      </c>
      <c r="AA178" s="4" t="n">
        <v>1</v>
      </c>
      <c r="AB178" s="4" t="inlineStr">
        <is>
          <t>1900-01-01</t>
        </is>
      </c>
      <c r="AC178" s="4" t="n">
        <v>0</v>
      </c>
      <c r="AD178" s="4" t="n">
        <v>0</v>
      </c>
      <c r="AE178" s="4" t="n">
        <v>0</v>
      </c>
      <c r="AF178" s="4" t="n">
        <v>0</v>
      </c>
      <c r="AG178" s="4" t="n">
        <v>1</v>
      </c>
      <c r="AH178" s="4" t="n">
        <v>0</v>
      </c>
      <c r="AI178" s="4" t="n">
        <v>0</v>
      </c>
      <c r="AJ178" s="4" t="inlineStr">
        <is>
          <t>00:00:00</t>
        </is>
      </c>
      <c r="AK178" s="4" t="inlineStr">
        <is>
          <t>00:00:00</t>
        </is>
      </c>
      <c r="AL178" s="4" t="inlineStr">
        <is>
          <t>El paper evalúa dos familias (LR9 y ADTree7). Si tu columna “main algorithm” solo permite una opción, conviene añadir una opción tipo “Multiple (specify)” o permitir multiselección para no perder fidelidad</t>
        </is>
      </c>
      <c r="AM178" s="4" t="inlineStr">
        <is>
          <t>RB</t>
        </is>
      </c>
      <c r="AN178" s="4" t="inlineStr">
        <is>
          <t>Tomado completo desde archivo RB según asignación</t>
        </is>
      </c>
      <c r="AO178" s="4" t="n">
        <v>0</v>
      </c>
    </row>
    <row r="179" ht="268" customHeight="1">
      <c r="A179" s="4" t="n">
        <v>178</v>
      </c>
      <c r="B179" s="4" t="n">
        <v>195</v>
      </c>
      <c r="C179" s="4" t="inlineStr">
        <is>
          <t>Revisor A</t>
        </is>
      </c>
      <c r="D179" s="4" t="n"/>
      <c r="E179" s="4" t="n">
        <v>2021</v>
      </c>
      <c r="F179" s="4" t="inlineStr">
        <is>
          <t>No especificado</t>
        </is>
      </c>
      <c r="G179" s="4" t="inlineStr">
        <is>
          <t>Machine Learning</t>
        </is>
      </c>
      <c r="H179" s="4" t="inlineStr">
        <is>
          <t>https://doi.org/10.1016/B978-0-12-822271-3.00016-5</t>
        </is>
      </c>
      <c r="I179" s="4" t="inlineStr">
        <is>
          <t>Fuzzy logic-based hybrid knowledge systems for the detection and diagnosis of childhood autism</t>
        </is>
      </c>
      <c r="J179" s="4" t="inlineStr">
        <is>
          <t>Autism is one of those psychiatric disorders that affect an individual’s social, personal, and professional sphere(s). Autism, especially in children, is one of the most common behavioral disorders, wherein lack of good communication understandability exists throughout adulthood. The prescribed treatment of an autistic child depends completely upon an exhaustive, accurate examination of the child, which is very difficult for clinicians and consultants. Since autism is a complicated and very difficult psychiatric disorder, clinicians have joined hands with computational biologists to solve the foundations underlying the detection and diagnosis of autism. There is enormous literature evidence that highlights the pros of using machine learning techniques to develop an efficient, accurate, and robust autism detection and diagnosis system. Based on soft computing approaches, many researchers have proposed fuzzy logic-based solutions for modeling and predicting autism spectrum disorder. This chapter highlights the current scenario of autism detection and diagnosis, and how a soft computing-based intelligent agent-fuzzy logic systems-is being used to predict autism and its grades in children.</t>
        </is>
      </c>
      <c r="K179" s="4" t="n"/>
      <c r="L179" s="4" t="n"/>
      <c r="M179" s="4" t="n"/>
      <c r="N179" s="4" t="inlineStr">
        <is>
          <t>diagnosis</t>
        </is>
      </c>
      <c r="O179" s="4" t="inlineStr">
        <is>
          <t>medium</t>
        </is>
      </c>
      <c r="P179" s="4" t="n">
        <v>0</v>
      </c>
      <c r="Q179" s="4" t="n">
        <v>0</v>
      </c>
      <c r="R179" s="4" t="n">
        <v>0</v>
      </c>
      <c r="S179" s="4" t="n">
        <v>0</v>
      </c>
      <c r="T179" s="4" t="n">
        <v>0</v>
      </c>
      <c r="U179" s="4" t="n">
        <v>0</v>
      </c>
      <c r="V179" s="4" t="n">
        <v>0</v>
      </c>
      <c r="W179" s="4" t="n">
        <v>0</v>
      </c>
      <c r="X179" s="4" t="n">
        <v>0</v>
      </c>
      <c r="Y179" s="4" t="n">
        <v>1</v>
      </c>
      <c r="Z179" s="4" t="n">
        <v>0</v>
      </c>
      <c r="AA179" s="4" t="n">
        <v>0</v>
      </c>
      <c r="AB179" s="4" t="inlineStr">
        <is>
          <t>1900-01-01</t>
        </is>
      </c>
      <c r="AC179" s="4" t="n">
        <v>0</v>
      </c>
      <c r="AD179" s="4" t="n">
        <v>0</v>
      </c>
      <c r="AE179" s="4" t="n">
        <v>0</v>
      </c>
      <c r="AF179" s="4" t="n">
        <v>0</v>
      </c>
      <c r="AG179" s="4" t="n">
        <v>1</v>
      </c>
      <c r="AH179" s="4" t="n">
        <v>0</v>
      </c>
      <c r="AI179" s="4" t="n">
        <v>0</v>
      </c>
      <c r="AJ179" s="4" t="inlineStr">
        <is>
          <t>00:00:00</t>
        </is>
      </c>
      <c r="AK179" s="4" t="inlineStr">
        <is>
          <t>00:00:00</t>
        </is>
      </c>
      <c r="AL179" s="4" t="n"/>
      <c r="AM179" s="4" t="inlineStr">
        <is>
          <t>RB_fallback</t>
        </is>
      </c>
      <c r="AN179" s="4" t="inlineStr">
        <is>
          <t>Fallback a RB porque el ID no está en RA</t>
        </is>
      </c>
      <c r="AO179" s="4" t="n">
        <v>0</v>
      </c>
    </row>
    <row r="180" ht="409" customHeight="1">
      <c r="A180" s="4" t="n">
        <v>179</v>
      </c>
      <c r="B180" s="4" t="n">
        <v>196</v>
      </c>
      <c r="C180" s="4" t="inlineStr">
        <is>
          <t>Revisor B</t>
        </is>
      </c>
      <c r="D180" s="4" t="n"/>
      <c r="E180" s="4" t="n">
        <v>2022</v>
      </c>
      <c r="F180" s="4" t="inlineStr">
        <is>
          <t>No especificado</t>
        </is>
      </c>
      <c r="G180" s="4" t="inlineStr">
        <is>
          <t>Deep Learning</t>
        </is>
      </c>
      <c r="H180" s="4" t="inlineStr">
        <is>
          <t>https://doi.org/10.1016/B978-0-323-98352-5.00001-X</t>
        </is>
      </c>
      <c r="I180" s="4" t="inlineStr">
        <is>
          <t>Genetic factor analysis for an early diagnosis of autism through machine learning</t>
        </is>
      </c>
      <c r="J180" s="4" t="inlineStr">
        <is>
          <t>Instances of autism spectrum disorder (ASD) in children are not uncommon. In fact, it is one of the most prevalent neurologic diseases in leading nations of the world. Around 1 out of every 270 children worldwide is affected by autism according to the World Health Organization. Its prevalence, however, varies by regions across the world. The United States of America has one of the highest compositions of autism-affected babies. ASD is generally marked by an impairment in mental, emotional, and cognitive abilities in people from birth. Its causes range through a multitude of genetic and environmental factors, and in some cases, they might be a combination. It is also presumed that children with a family history of autism possess a much higher chance of acquiring autism by heredity. A low birth weight or a high age of the parent during the birth of the baby might also influence the presence of autism in the child. Most ASDs are further transmitted through genes from parents to the offspring. In recent times, machine learning–associated research and related diagnosis has advanced to replace conventional approaches that might be tedious and expensive. Machine learning algorithms also have an immense scope of improving diagnostic research in psychologic sciences, and they can be specifically instrumental with cases involving the familiar and diverse ailments in ASD. Machine learning algorithms also assist researchers to better understand and comprehend as to why the traits of autism vary in nature from one person to another. However, the application of machine learning algorithms when there is a lack of medical prowess is not the best choice, and it can lead to unexplainable results if the diagnosis is not performed in the right manner, which is important to the analysis of preprocessing the data. The authors in this chapter critically examine various signs in babies that might help with early diagnosis of autism in babies by carrying out a set of machine learning algorithms on an existing data set, along with analyzing various genetic and preexisting factors, in an attempt to produce actionable insights in this regard.</t>
        </is>
      </c>
      <c r="K180" s="4" t="n"/>
      <c r="L180" s="4" t="n"/>
      <c r="M180" s="4" t="inlineStr">
        <is>
          <t>Risk stratification / early diagnostic prediction</t>
        </is>
      </c>
      <c r="N180" s="4" t="inlineStr">
        <is>
          <t>Prognosis</t>
        </is>
      </c>
      <c r="O180" s="4" t="n"/>
      <c r="P180" s="4" t="n"/>
      <c r="Q180" s="4" t="n"/>
      <c r="R180" s="4" t="n"/>
      <c r="S180" s="4" t="n"/>
      <c r="T180" s="4" t="n"/>
      <c r="U180" s="4" t="n"/>
      <c r="V180" s="4" t="n"/>
      <c r="W180" s="4" t="n">
        <v>0</v>
      </c>
      <c r="X180" s="4" t="n">
        <v>0</v>
      </c>
      <c r="Y180" s="4" t="n">
        <v>0</v>
      </c>
      <c r="Z180" s="4" t="n">
        <v>1</v>
      </c>
      <c r="AA180" s="4" t="n">
        <v>0</v>
      </c>
      <c r="AB180" s="4" t="inlineStr">
        <is>
          <t>1900-01-01</t>
        </is>
      </c>
      <c r="AC180" s="4" t="n">
        <v>0</v>
      </c>
      <c r="AD180" s="4" t="n">
        <v>0</v>
      </c>
      <c r="AE180" s="4" t="n">
        <v>0</v>
      </c>
      <c r="AF180" s="4" t="n">
        <v>0</v>
      </c>
      <c r="AG180" s="4" t="n"/>
      <c r="AH180" s="4" t="n"/>
      <c r="AI180" s="4" t="n"/>
      <c r="AJ180" s="4" t="inlineStr">
        <is>
          <t>1900-01-01</t>
        </is>
      </c>
      <c r="AK180" s="4" t="n"/>
      <c r="AL180" s="4" t="inlineStr">
        <is>
          <t>Sin señal explícita Q3 en título/abstract.</t>
        </is>
      </c>
      <c r="AM180" s="4" t="inlineStr">
        <is>
          <t>RA_fallback</t>
        </is>
      </c>
      <c r="AN180" s="4" t="inlineStr">
        <is>
          <t>Fallback a RA porque el ID no está en RB</t>
        </is>
      </c>
      <c r="AO180" s="4" t="n">
        <v>1</v>
      </c>
    </row>
    <row r="181" ht="409" customHeight="1">
      <c r="A181" s="4" t="n">
        <v>180</v>
      </c>
      <c r="B181" s="4" t="n">
        <v>197</v>
      </c>
      <c r="C181" s="4" t="inlineStr">
        <is>
          <t>Revisor A</t>
        </is>
      </c>
      <c r="D181" s="4" t="inlineStr">
        <is>
          <t>RA</t>
        </is>
      </c>
      <c r="E181" s="4" t="n">
        <v>2022</v>
      </c>
      <c r="F181" s="4" t="inlineStr">
        <is>
          <t>Texto · NLP</t>
        </is>
      </c>
      <c r="G181" s="4" t="inlineStr">
        <is>
          <t>Machine Learning</t>
        </is>
      </c>
      <c r="H181" s="4" t="inlineStr">
        <is>
          <t>https://doi.org/10.1155/2022/9410222</t>
        </is>
      </c>
      <c r="I181" s="4" t="inlineStr">
        <is>
          <t>Hybrid Diagnosis Models for Autism Patients Based on Medical and Sociodemographic Features Using Machine Learning and Multicriteria Decision-Making (MCDM) Techniques: An Evaluation and Benchmarking Framework</t>
        </is>
      </c>
      <c r="J181" s="4" t="inlineStr">
        <is>
          <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t>
        </is>
      </c>
      <c r="K181" s="4" t="inlineStr">
        <is>
          <t>Supervised</t>
        </is>
      </c>
      <c r="L181" s="4" t="inlineStr">
        <is>
          <t>Decision Tree</t>
        </is>
      </c>
      <c r="M181" s="4" t="inlineStr">
        <is>
          <t>Classification (ASD vs control / multi-class)</t>
        </is>
      </c>
      <c r="N181" s="4" t="inlineStr">
        <is>
          <t>Diagnosis</t>
        </is>
      </c>
      <c r="O181" s="4" t="inlineStr">
        <is>
          <t>High</t>
        </is>
      </c>
      <c r="P181" s="4" t="n">
        <v>0</v>
      </c>
      <c r="Q181" s="4" t="n">
        <v>0</v>
      </c>
      <c r="R181" s="4" t="n">
        <v>0</v>
      </c>
      <c r="S181" s="4" t="n">
        <v>0</v>
      </c>
      <c r="T181" s="4" t="n">
        <v>1</v>
      </c>
      <c r="U181" s="4" t="n">
        <v>0</v>
      </c>
      <c r="V181" s="4" t="n">
        <v>0</v>
      </c>
      <c r="W181" s="4" t="n">
        <v>0</v>
      </c>
      <c r="X181" s="4" t="n">
        <v>0</v>
      </c>
      <c r="Y181" s="4" t="n">
        <v>1</v>
      </c>
      <c r="Z181" s="4" t="n">
        <v>0</v>
      </c>
      <c r="AA181" s="4" t="n">
        <v>0</v>
      </c>
      <c r="AB181" s="4" t="inlineStr">
        <is>
          <t>1900-01-01</t>
        </is>
      </c>
      <c r="AC181" s="4" t="n"/>
      <c r="AD181" s="4" t="n"/>
      <c r="AE181" s="4" t="n"/>
      <c r="AF181" s="4" t="n"/>
      <c r="AG181" s="4" t="n">
        <v>1</v>
      </c>
      <c r="AH181" s="4" t="n">
        <v>1</v>
      </c>
      <c r="AI181" s="4" t="n"/>
      <c r="AJ181" s="4" t="n"/>
      <c r="AK181" s="4" t="n"/>
      <c r="AL181" s="4" t="inlineStr">
        <is>
          <t>Algoritmo principal no explícito o fuera del codebook; Confirmar algoritmo principal en full-text; Se comparan varios modelos; se eligió el principal/mejor reportado</t>
        </is>
      </c>
      <c r="AM181" s="4" t="inlineStr">
        <is>
          <t>RA</t>
        </is>
      </c>
      <c r="AN181" s="4" t="inlineStr">
        <is>
          <t>Tomado completo desde archivo RA según asignación</t>
        </is>
      </c>
      <c r="AO181" s="4" t="n">
        <v>0</v>
      </c>
    </row>
    <row r="182" ht="409" customHeight="1">
      <c r="A182" s="4" t="n">
        <v>181</v>
      </c>
      <c r="B182" s="4" t="n">
        <v>199</v>
      </c>
      <c r="C182" s="4" t="inlineStr">
        <is>
          <t>Revisor B</t>
        </is>
      </c>
      <c r="D182" s="4" t="n"/>
      <c r="E182" s="4" t="n">
        <v>2021</v>
      </c>
      <c r="F182" s="4" t="inlineStr">
        <is>
          <t>No especificado</t>
        </is>
      </c>
      <c r="G182" s="4" t="inlineStr">
        <is>
          <t>Híbrido</t>
        </is>
      </c>
      <c r="H182" s="4" t="inlineStr">
        <is>
          <t>https://doi.org/10.2196/29242</t>
        </is>
      </c>
      <c r="I182" s="4" t="inlineStr">
        <is>
          <t>Informing developmental milestone achievement for children with autism: Machine learning approach</t>
        </is>
      </c>
      <c r="J182" s="4" t="inlineStr">
        <is>
          <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t>
        </is>
      </c>
      <c r="K182" s="4" t="inlineStr">
        <is>
          <t>Supervised</t>
        </is>
      </c>
      <c r="L182" s="4" t="inlineStr">
        <is>
          <t>MLP</t>
        </is>
      </c>
      <c r="M182" s="4" t="inlineStr">
        <is>
          <t>Classification (ASD vs control / multi-class)</t>
        </is>
      </c>
      <c r="N182" s="4" t="inlineStr">
        <is>
          <t>screening</t>
        </is>
      </c>
      <c r="O182" s="4" t="inlineStr">
        <is>
          <t>high</t>
        </is>
      </c>
      <c r="P182" s="4" t="n">
        <v>0</v>
      </c>
      <c r="Q182" s="4" t="n">
        <v>0</v>
      </c>
      <c r="R182" s="4" t="n">
        <v>0</v>
      </c>
      <c r="S182" s="4" t="n">
        <v>0</v>
      </c>
      <c r="T182" s="4" t="n">
        <v>1</v>
      </c>
      <c r="U182" s="4" t="n">
        <v>0</v>
      </c>
      <c r="V182" s="4" t="n">
        <v>0</v>
      </c>
      <c r="W182" s="4" t="n">
        <v>0</v>
      </c>
      <c r="X182" s="4" t="n">
        <v>1</v>
      </c>
      <c r="Y182" s="4" t="n">
        <v>0</v>
      </c>
      <c r="Z182" s="4" t="n">
        <v>0</v>
      </c>
      <c r="AA182" s="4" t="n">
        <v>1</v>
      </c>
      <c r="AB182" s="4" t="inlineStr">
        <is>
          <t>1900-01-01</t>
        </is>
      </c>
      <c r="AC182" s="4" t="n">
        <v>0</v>
      </c>
      <c r="AD182" s="4" t="n">
        <v>0</v>
      </c>
      <c r="AE182" s="4" t="n">
        <v>0</v>
      </c>
      <c r="AF182" s="4" t="n">
        <v>0</v>
      </c>
      <c r="AG182" s="4" t="n">
        <v>1</v>
      </c>
      <c r="AH182" s="4" t="n">
        <v>1</v>
      </c>
      <c r="AI182" s="4" t="n">
        <v>0</v>
      </c>
      <c r="AJ182" s="4" t="inlineStr">
        <is>
          <t>00:00:00</t>
        </is>
      </c>
      <c r="AK182" s="4" t="inlineStr">
        <is>
          <t>00:00:00</t>
        </is>
      </c>
      <c r="AL182" s="4" t="inlineStr">
        <is>
          <t>Binary classification of milestone achievement; not ASD-vs-control.</t>
        </is>
      </c>
      <c r="AM182" s="4" t="inlineStr">
        <is>
          <t>RB</t>
        </is>
      </c>
      <c r="AN182" s="4" t="inlineStr">
        <is>
          <t>Tomado completo desde archivo RB según asignación</t>
        </is>
      </c>
      <c r="AO182" s="4" t="n">
        <v>0</v>
      </c>
    </row>
    <row r="183" ht="372" customHeight="1">
      <c r="A183" s="4" t="n">
        <v>182</v>
      </c>
      <c r="B183" s="4" t="n">
        <v>200</v>
      </c>
      <c r="C183" s="4" t="inlineStr">
        <is>
          <t>Revisor A</t>
        </is>
      </c>
      <c r="D183" s="4" t="inlineStr">
        <is>
          <t>RA</t>
        </is>
      </c>
      <c r="E183" s="4" t="n">
        <v>2024</v>
      </c>
      <c r="F183" s="4" t="inlineStr">
        <is>
          <t>No especificado</t>
        </is>
      </c>
      <c r="G183" s="4" t="inlineStr">
        <is>
          <t>Machine Learning</t>
        </is>
      </c>
      <c r="H183" s="4" t="inlineStr">
        <is>
          <t>https://doi.org/10.1007/s11042-024-18519-y</t>
        </is>
      </c>
      <c r="I183" s="4" t="inlineStr">
        <is>
          <t>Machine learning based autism screening tool—a modified approach</t>
        </is>
      </c>
      <c r="J183" s="4" t="inlineStr">
        <is>
          <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t>
        </is>
      </c>
      <c r="K183" s="4" t="inlineStr">
        <is>
          <t>Supervised</t>
        </is>
      </c>
      <c r="L183" s="4" t="inlineStr">
        <is>
          <t>SVM</t>
        </is>
      </c>
      <c r="M183" s="4" t="inlineStr">
        <is>
          <t>Classification (ASD vs control / multi-class)</t>
        </is>
      </c>
      <c r="N183" s="4" t="inlineStr">
        <is>
          <t>Screening</t>
        </is>
      </c>
      <c r="O183" s="4" t="inlineStr">
        <is>
          <t>High</t>
        </is>
      </c>
      <c r="P183" s="4" t="n">
        <v>0</v>
      </c>
      <c r="Q183" s="4" t="n">
        <v>0</v>
      </c>
      <c r="R183" s="4" t="n">
        <v>1</v>
      </c>
      <c r="S183" s="4" t="n">
        <v>0</v>
      </c>
      <c r="T183" s="4" t="n">
        <v>0</v>
      </c>
      <c r="U183" s="4" t="n">
        <v>0</v>
      </c>
      <c r="V183" s="4" t="n">
        <v>0</v>
      </c>
      <c r="W183" s="4" t="n">
        <v>0</v>
      </c>
      <c r="X183" s="4" t="n">
        <v>1</v>
      </c>
      <c r="Y183" s="4" t="n">
        <v>0</v>
      </c>
      <c r="Z183" s="4" t="n">
        <v>0</v>
      </c>
      <c r="AA183" s="4" t="n">
        <v>0</v>
      </c>
      <c r="AB183" s="4" t="inlineStr">
        <is>
          <t>1900-01-01</t>
        </is>
      </c>
      <c r="AC183" s="4" t="n"/>
      <c r="AD183" s="4" t="n"/>
      <c r="AE183" s="4" t="n"/>
      <c r="AF183" s="4" t="n"/>
      <c r="AG183" s="4" t="n">
        <v>0</v>
      </c>
      <c r="AH183" s="4" t="n">
        <v>1</v>
      </c>
      <c r="AI183" s="4" t="n"/>
      <c r="AJ183" s="4" t="n"/>
      <c r="AK183" s="4" t="n"/>
      <c r="AL183" s="4" t="n"/>
      <c r="AM183" s="4" t="inlineStr">
        <is>
          <t>RA</t>
        </is>
      </c>
      <c r="AN183" s="4" t="inlineStr">
        <is>
          <t>Tomado completo desde archivo RA según asignación</t>
        </is>
      </c>
      <c r="AO183" s="4" t="n">
        <v>0</v>
      </c>
    </row>
    <row r="184" ht="398" customHeight="1">
      <c r="A184" s="4" t="n">
        <v>183</v>
      </c>
      <c r="B184" s="4" t="n">
        <v>201</v>
      </c>
      <c r="C184" s="4" t="inlineStr">
        <is>
          <t>Revisor A</t>
        </is>
      </c>
      <c r="D184" s="4" t="inlineStr">
        <is>
          <t>RA</t>
        </is>
      </c>
      <c r="E184" s="4" t="n">
        <v>2025</v>
      </c>
      <c r="F184" s="4" t="inlineStr">
        <is>
          <t>Señales fisiológicas</t>
        </is>
      </c>
      <c r="G184" s="4" t="inlineStr">
        <is>
          <t>Machine Learning</t>
        </is>
      </c>
      <c r="H184" s="4" t="inlineStr">
        <is>
          <t>https://doi.org/10.1155/ACIS/9975499</t>
        </is>
      </c>
      <c r="I184" s="4" t="inlineStr">
        <is>
          <t>Machine Learning–Based Approach for Early Screening of Autism Spectrum Disorders</t>
        </is>
      </c>
      <c r="J184" s="4" t="inlineStr">
        <is>
          <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t>
        </is>
      </c>
      <c r="K184" s="4" t="inlineStr">
        <is>
          <t>Supervised</t>
        </is>
      </c>
      <c r="L184" s="4" t="inlineStr">
        <is>
          <t>SVM</t>
        </is>
      </c>
      <c r="M184" s="4" t="inlineStr">
        <is>
          <t>Classification (ASD vs control / multi-class)</t>
        </is>
      </c>
      <c r="N184" s="4" t="inlineStr">
        <is>
          <t>Screening</t>
        </is>
      </c>
      <c r="O184" s="4" t="inlineStr">
        <is>
          <t>High</t>
        </is>
      </c>
      <c r="P184" s="4" t="n">
        <v>0</v>
      </c>
      <c r="Q184" s="4" t="n">
        <v>0</v>
      </c>
      <c r="R184" s="4" t="n">
        <v>0</v>
      </c>
      <c r="S184" s="4" t="n">
        <v>0</v>
      </c>
      <c r="T184" s="4" t="n">
        <v>0</v>
      </c>
      <c r="U184" s="4" t="n">
        <v>0</v>
      </c>
      <c r="V184" s="4" t="n">
        <v>1</v>
      </c>
      <c r="W184" s="4" t="n">
        <v>0</v>
      </c>
      <c r="X184" s="4" t="n">
        <v>1</v>
      </c>
      <c r="Y184" s="4" t="n">
        <v>0</v>
      </c>
      <c r="Z184" s="4" t="n">
        <v>0</v>
      </c>
      <c r="AA184" s="4" t="n">
        <v>0</v>
      </c>
      <c r="AB184" s="4" t="inlineStr">
        <is>
          <t>1900-01-01</t>
        </is>
      </c>
      <c r="AC184" s="4" t="n"/>
      <c r="AD184" s="4" t="n"/>
      <c r="AE184" s="4" t="n"/>
      <c r="AF184" s="4" t="n"/>
      <c r="AG184" s="4" t="n">
        <v>0</v>
      </c>
      <c r="AH184" s="4" t="n">
        <v>1</v>
      </c>
      <c r="AI184" s="4" t="n"/>
      <c r="AJ184" s="4" t="n"/>
      <c r="AK184" s="4" t="n"/>
      <c r="AL184" s="4" t="inlineStr">
        <is>
          <t>Se comparan varios modelos; se eligió el principal/mejor reportado</t>
        </is>
      </c>
      <c r="AM184" s="4" t="inlineStr">
        <is>
          <t>RA</t>
        </is>
      </c>
      <c r="AN184" s="4" t="inlineStr">
        <is>
          <t>Tomado completo desde archivo RA según asignación</t>
        </is>
      </c>
      <c r="AO184" s="4" t="n">
        <v>0</v>
      </c>
    </row>
    <row r="185" ht="320" customHeight="1">
      <c r="A185" s="4" t="n">
        <v>184</v>
      </c>
      <c r="B185" s="4" t="n">
        <v>202</v>
      </c>
      <c r="C185" s="4" t="inlineStr">
        <is>
          <t>Revisor A</t>
        </is>
      </c>
      <c r="D185" s="4" t="inlineStr">
        <is>
          <t>RA</t>
        </is>
      </c>
      <c r="E185" s="4" t="n">
        <v>2024</v>
      </c>
      <c r="F185" s="4" t="inlineStr">
        <is>
          <t>Señales fisiológicas</t>
        </is>
      </c>
      <c r="G185" s="4" t="inlineStr">
        <is>
          <t>Deep Learning</t>
        </is>
      </c>
      <c r="H185" s="4" t="inlineStr">
        <is>
          <t>https://doi.org/10.1038/s41598-024-76659-5</t>
        </is>
      </c>
      <c r="I185" s="4" t="inlineStr">
        <is>
          <t>Model selection to achieve reproducible associations between resting state EEG features and autism</t>
        </is>
      </c>
      <c r="J185" s="4" t="inlineStr">
        <is>
          <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t>
        </is>
      </c>
      <c r="K185" s="4" t="inlineStr">
        <is>
          <t>Supervised</t>
        </is>
      </c>
      <c r="L185" s="4" t="inlineStr">
        <is>
          <t>Other / Not clear</t>
        </is>
      </c>
      <c r="M185" s="4" t="inlineStr">
        <is>
          <t>Classification (ASD vs control / multi-class)</t>
        </is>
      </c>
      <c r="N185" s="4" t="inlineStr">
        <is>
          <t>Diagnosis</t>
        </is>
      </c>
      <c r="O185" s="4" t="inlineStr">
        <is>
          <t>High</t>
        </is>
      </c>
      <c r="P185" s="4" t="n">
        <v>0</v>
      </c>
      <c r="Q185" s="4" t="n">
        <v>1</v>
      </c>
      <c r="R185" s="4" t="n">
        <v>0</v>
      </c>
      <c r="S185" s="4" t="n">
        <v>0</v>
      </c>
      <c r="T185" s="4" t="n">
        <v>0</v>
      </c>
      <c r="U185" s="4" t="n">
        <v>0</v>
      </c>
      <c r="V185" s="4" t="n">
        <v>0</v>
      </c>
      <c r="W185" s="4" t="n">
        <v>0</v>
      </c>
      <c r="X185" s="4" t="n">
        <v>0</v>
      </c>
      <c r="Y185" s="4" t="n">
        <v>1</v>
      </c>
      <c r="Z185" s="4" t="n">
        <v>0</v>
      </c>
      <c r="AA185" s="4" t="n">
        <v>0</v>
      </c>
      <c r="AB185" s="4" t="inlineStr">
        <is>
          <t>00:00:00</t>
        </is>
      </c>
      <c r="AC185" s="4" t="n"/>
      <c r="AD185" s="4" t="n"/>
      <c r="AE185" s="4" t="n"/>
      <c r="AF185" s="4" t="n"/>
      <c r="AG185" s="4" t="n">
        <v>1</v>
      </c>
      <c r="AH185" s="4" t="n">
        <v>1</v>
      </c>
      <c r="AI185" s="4" t="n"/>
      <c r="AJ185" s="4" t="n"/>
      <c r="AK185" s="4" t="n"/>
      <c r="AL185" s="4" t="inlineStr">
        <is>
          <t>Algoritmo principal no explícito o fuera del codebook; Confirmar algoritmo principal en full-text</t>
        </is>
      </c>
      <c r="AM185" s="4" t="inlineStr">
        <is>
          <t>RA</t>
        </is>
      </c>
      <c r="AN185" s="4" t="inlineStr">
        <is>
          <t>Tomado completo desde archivo RA según asignación</t>
        </is>
      </c>
      <c r="AO185" s="4" t="n">
        <v>0</v>
      </c>
    </row>
    <row r="186" ht="409" customHeight="1">
      <c r="A186" s="4" t="n">
        <v>185</v>
      </c>
      <c r="B186" s="4" t="n">
        <v>203</v>
      </c>
      <c r="C186" s="4" t="inlineStr">
        <is>
          <t>Revisor B</t>
        </is>
      </c>
      <c r="D186" s="4" t="n"/>
      <c r="E186" s="4" t="n">
        <v>2025</v>
      </c>
      <c r="F186" s="4" t="inlineStr">
        <is>
          <t>Imagen</t>
        </is>
      </c>
      <c r="G186" s="4" t="inlineStr">
        <is>
          <t>Híbrido</t>
        </is>
      </c>
      <c r="H186" s="4" t="inlineStr">
        <is>
          <t>https://doi.org/10.1016/j.cmpb.2024.108492</t>
        </is>
      </c>
      <c r="I186" s="4" t="inlineStr">
        <is>
          <t>Multimodal autism detection: Deep hybrid model with improved feature level fusion</t>
        </is>
      </c>
      <c r="J186" s="4"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K186" s="4" t="inlineStr">
        <is>
          <t>Supervised</t>
        </is>
      </c>
      <c r="L186" s="4" t="inlineStr">
        <is>
          <t>Not clear</t>
        </is>
      </c>
      <c r="M186" s="4" t="inlineStr">
        <is>
          <t>Classification (binary/multi-class; incl. ASD vs control)/ multi-class)</t>
        </is>
      </c>
      <c r="N186" s="4" t="inlineStr">
        <is>
          <t>Screening</t>
        </is>
      </c>
      <c r="O186" s="4" t="inlineStr">
        <is>
          <t>high</t>
        </is>
      </c>
      <c r="P186" s="4" t="n">
        <v>1</v>
      </c>
      <c r="Q186" s="4" t="n">
        <v>0</v>
      </c>
      <c r="R186" s="4" t="n">
        <v>0</v>
      </c>
      <c r="S186" s="4" t="n">
        <v>0</v>
      </c>
      <c r="T186" s="4" t="n">
        <v>0</v>
      </c>
      <c r="U186" s="4" t="n">
        <v>0</v>
      </c>
      <c r="V186" s="4" t="n">
        <v>0</v>
      </c>
      <c r="W186" s="4" t="n">
        <v>0</v>
      </c>
      <c r="X186" s="4" t="n">
        <v>0</v>
      </c>
      <c r="Y186" s="4" t="n">
        <v>1</v>
      </c>
      <c r="Z186" s="4" t="n">
        <v>0</v>
      </c>
      <c r="AA186" s="4" t="n">
        <v>0</v>
      </c>
      <c r="AB186" s="4" t="inlineStr">
        <is>
          <t>1900-01-01</t>
        </is>
      </c>
      <c r="AC186" s="4" t="n">
        <v>0</v>
      </c>
      <c r="AD186" s="4" t="n">
        <v>0</v>
      </c>
      <c r="AE186" s="4" t="n">
        <v>0</v>
      </c>
      <c r="AF186" s="4" t="n">
        <v>0</v>
      </c>
      <c r="AG186" s="4" t="n">
        <v>1</v>
      </c>
      <c r="AH186" s="4" t="n">
        <v>1</v>
      </c>
      <c r="AI186" s="4" t="n">
        <v>0</v>
      </c>
      <c r="AJ186" s="4" t="inlineStr">
        <is>
          <t>00:00:00</t>
        </is>
      </c>
      <c r="AK186" s="4" t="inlineStr">
        <is>
          <t>00:00:00</t>
        </is>
      </c>
      <c r="AL186" s="4" t="n"/>
      <c r="AM186" s="4" t="inlineStr">
        <is>
          <t>RB</t>
        </is>
      </c>
      <c r="AN186" s="4" t="inlineStr">
        <is>
          <t>Tomado completo desde archivo RB según asignación</t>
        </is>
      </c>
      <c r="AO186" s="4" t="n">
        <v>0</v>
      </c>
    </row>
    <row r="187" ht="190" customHeight="1">
      <c r="A187" s="4" t="n">
        <v>186</v>
      </c>
      <c r="B187" s="4" t="n">
        <v>204</v>
      </c>
      <c r="C187" s="4" t="inlineStr">
        <is>
          <t>Revisor B</t>
        </is>
      </c>
      <c r="D187" s="4" t="n"/>
      <c r="E187" s="4" t="n">
        <v>2016</v>
      </c>
      <c r="F187" s="4" t="inlineStr">
        <is>
          <t>No especificado</t>
        </is>
      </c>
      <c r="G187" s="4" t="inlineStr">
        <is>
          <t>Machine Learning</t>
        </is>
      </c>
      <c r="H187" s="4" t="inlineStr">
        <is>
          <t>https://doi.org/10.1007/s11682-015-9360-1</t>
        </is>
      </c>
      <c r="I187" s="4" t="inlineStr">
        <is>
          <t>Multi-task feature selection via supervised canonical graph matching for diagnosis of autism spectrum disorder</t>
        </is>
      </c>
      <c r="J187" s="4" t="inlineStr">
        <is>
          <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t>
        </is>
      </c>
      <c r="K187" s="4" t="inlineStr">
        <is>
          <t>Supervised</t>
        </is>
      </c>
      <c r="L187" s="4" t="inlineStr">
        <is>
          <t>Other</t>
        </is>
      </c>
      <c r="M187" s="4" t="inlineStr">
        <is>
          <t>Classification (binary/multi-class; incl. ASD vs control)/ multi-class)</t>
        </is>
      </c>
      <c r="N187" s="4" t="inlineStr">
        <is>
          <t>Diagnosis</t>
        </is>
      </c>
      <c r="O187" s="4" t="inlineStr">
        <is>
          <t>high</t>
        </is>
      </c>
      <c r="P187" s="4" t="n">
        <v>0</v>
      </c>
      <c r="Q187" s="4" t="n">
        <v>0</v>
      </c>
      <c r="R187" s="4" t="n">
        <v>0</v>
      </c>
      <c r="S187" s="4" t="n">
        <v>0</v>
      </c>
      <c r="T187" s="4" t="n">
        <v>0</v>
      </c>
      <c r="U187" s="4" t="n">
        <v>0</v>
      </c>
      <c r="V187" s="4" t="n">
        <v>0</v>
      </c>
      <c r="W187" s="4" t="n">
        <v>0</v>
      </c>
      <c r="X187" s="4" t="n">
        <v>0</v>
      </c>
      <c r="Y187" s="4" t="n">
        <v>0</v>
      </c>
      <c r="Z187" s="4" t="n">
        <v>0</v>
      </c>
      <c r="AA187" s="4" t="n">
        <v>1</v>
      </c>
      <c r="AB187" s="4" t="inlineStr">
        <is>
          <t>1900-01-01</t>
        </is>
      </c>
      <c r="AC187" s="4" t="n">
        <v>0</v>
      </c>
      <c r="AD187" s="4" t="n">
        <v>0</v>
      </c>
      <c r="AE187" s="4" t="n">
        <v>0</v>
      </c>
      <c r="AF187" s="4" t="n">
        <v>0</v>
      </c>
      <c r="AG187" s="4" t="n">
        <v>0</v>
      </c>
      <c r="AH187" s="4" t="n">
        <v>0</v>
      </c>
      <c r="AI187" s="4" t="n">
        <v>0</v>
      </c>
      <c r="AJ187" s="4" t="inlineStr">
        <is>
          <t>00:00:00</t>
        </is>
      </c>
      <c r="AK187" s="4" t="inlineStr">
        <is>
          <t>00:00:00</t>
        </is>
      </c>
      <c r="AL187" s="4" t="n"/>
      <c r="AM187" s="4" t="inlineStr">
        <is>
          <t>RB</t>
        </is>
      </c>
      <c r="AN187" s="4" t="inlineStr">
        <is>
          <t>Tomado completo desde archivo RB según asignación</t>
        </is>
      </c>
      <c r="AO187" s="4" t="n">
        <v>0</v>
      </c>
    </row>
    <row r="188" ht="294" customHeight="1">
      <c r="A188" s="4" t="n">
        <v>187</v>
      </c>
      <c r="B188" s="4" t="n">
        <v>205</v>
      </c>
      <c r="C188" s="4" t="inlineStr">
        <is>
          <t>Revisor A</t>
        </is>
      </c>
      <c r="D188" s="4" t="inlineStr">
        <is>
          <t>RA</t>
        </is>
      </c>
      <c r="E188" s="4" t="n">
        <v>2024</v>
      </c>
      <c r="F188" s="4" t="inlineStr">
        <is>
          <t>Imagen</t>
        </is>
      </c>
      <c r="G188" s="4" t="inlineStr">
        <is>
          <t>Deep Learning</t>
        </is>
      </c>
      <c r="H188" s="4" t="inlineStr">
        <is>
          <t>https://doi.org/10.1109/JBHI.2024.3455942</t>
        </is>
      </c>
      <c r="I188" s="4" t="inlineStr">
        <is>
          <t>Off-Body Sleep Analysis for Predicting Adverse Behavior in Individuals With Autism Spectrum Disorder</t>
        </is>
      </c>
      <c r="J188" s="4" t="inlineStr">
        <is>
          <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t>
        </is>
      </c>
      <c r="K188" s="4" t="inlineStr">
        <is>
          <t>Supervised</t>
        </is>
      </c>
      <c r="L188" s="4" t="inlineStr">
        <is>
          <t>Other / Not clear</t>
        </is>
      </c>
      <c r="M188" s="4" t="inlineStr">
        <is>
          <t>Prediction (time-to-event / prognosis)</t>
        </is>
      </c>
      <c r="N188" s="4" t="inlineStr">
        <is>
          <t>Monitoring/intervention</t>
        </is>
      </c>
      <c r="O188" s="4" t="inlineStr">
        <is>
          <t>High</t>
        </is>
      </c>
      <c r="P188" s="4" t="n">
        <v>0</v>
      </c>
      <c r="Q188" s="4" t="n">
        <v>0</v>
      </c>
      <c r="R188" s="4" t="n">
        <v>0</v>
      </c>
      <c r="S188" s="4" t="n">
        <v>0</v>
      </c>
      <c r="T188" s="4" t="n">
        <v>0</v>
      </c>
      <c r="U188" s="4" t="n">
        <v>0</v>
      </c>
      <c r="V188" s="4" t="n">
        <v>1</v>
      </c>
      <c r="W188" s="4" t="n">
        <v>0</v>
      </c>
      <c r="X188" s="4" t="n">
        <v>0</v>
      </c>
      <c r="Y188" s="4" t="n">
        <v>0</v>
      </c>
      <c r="Z188" s="4" t="n">
        <v>1</v>
      </c>
      <c r="AA188" s="4" t="n">
        <v>1</v>
      </c>
      <c r="AB188" s="4" t="inlineStr">
        <is>
          <t>1900-01-01</t>
        </is>
      </c>
      <c r="AC188" s="4" t="n"/>
      <c r="AD188" s="4" t="n"/>
      <c r="AE188" s="4" t="n"/>
      <c r="AF188" s="4" t="n"/>
      <c r="AG188" s="4" t="n">
        <v>1</v>
      </c>
      <c r="AH188" s="4" t="n">
        <v>1</v>
      </c>
      <c r="AI188" s="4" t="inlineStr">
        <is>
          <t>sensor / other</t>
        </is>
      </c>
      <c r="AJ188" s="4" t="n"/>
      <c r="AK188" s="4" t="n"/>
      <c r="AL188" s="4" t="inlineStr">
        <is>
          <t>Algoritmo principal no explícito o fuera del codebook; Confirmar algoritmo principal en full-text</t>
        </is>
      </c>
      <c r="AM188" s="4" t="inlineStr">
        <is>
          <t>RA</t>
        </is>
      </c>
      <c r="AN188" s="4" t="inlineStr">
        <is>
          <t>Tomado completo desde archivo RA según asignación</t>
        </is>
      </c>
      <c r="AO188" s="4" t="n">
        <v>0</v>
      </c>
    </row>
    <row r="189" ht="294" customHeight="1">
      <c r="A189" s="4" t="n">
        <v>188</v>
      </c>
      <c r="B189" s="4" t="n">
        <v>206</v>
      </c>
      <c r="C189" s="4" t="inlineStr">
        <is>
          <t>Ambos (piloto)</t>
        </is>
      </c>
      <c r="D189" s="4" t="inlineStr">
        <is>
          <t>RA</t>
        </is>
      </c>
      <c r="E189" s="4" t="n">
        <v>2019</v>
      </c>
      <c r="F189" s="4" t="inlineStr">
        <is>
          <t>Multimodal</t>
        </is>
      </c>
      <c r="G189" s="4" t="inlineStr">
        <is>
          <t>Deep Learning</t>
        </is>
      </c>
      <c r="H189" s="4" t="inlineStr">
        <is>
          <t>https://doi.org/10.1016/j.sciaf.2018.e00019</t>
        </is>
      </c>
      <c r="I189" s="4" t="inlineStr">
        <is>
          <t>Overlaps in brain dynamic functional connectivity between schizophrenia and autism spectrum disorder</t>
        </is>
      </c>
      <c r="J189" s="4" t="inlineStr">
        <is>
          <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t>
        </is>
      </c>
      <c r="K189" s="4" t="inlineStr">
        <is>
          <t>Supervised</t>
        </is>
      </c>
      <c r="L189" s="4" t="inlineStr">
        <is>
          <t>Other / Not clear</t>
        </is>
      </c>
      <c r="M189" s="4" t="inlineStr">
        <is>
          <t>Classification (ASD vs control / multi-class)</t>
        </is>
      </c>
      <c r="N189" s="4" t="inlineStr">
        <is>
          <t>Diagnosis</t>
        </is>
      </c>
      <c r="O189" s="4" t="inlineStr">
        <is>
          <t>Medium</t>
        </is>
      </c>
      <c r="P189" s="4" t="n">
        <v>1</v>
      </c>
      <c r="Q189" s="4" t="n">
        <v>0</v>
      </c>
      <c r="R189" s="4" t="n">
        <v>0</v>
      </c>
      <c r="S189" s="4" t="n">
        <v>0</v>
      </c>
      <c r="T189" s="4" t="n">
        <v>0</v>
      </c>
      <c r="U189" s="4" t="n">
        <v>0</v>
      </c>
      <c r="V189" s="4" t="n">
        <v>0</v>
      </c>
      <c r="W189" s="4" t="n">
        <v>0</v>
      </c>
      <c r="X189" s="4" t="n">
        <v>0</v>
      </c>
      <c r="Y189" s="4" t="n">
        <v>1</v>
      </c>
      <c r="Z189" s="4" t="n">
        <v>0</v>
      </c>
      <c r="AA189" s="4" t="n">
        <v>0</v>
      </c>
      <c r="AB189" s="4" t="inlineStr">
        <is>
          <t>1900-01-01</t>
        </is>
      </c>
      <c r="AC189" s="4" t="n"/>
      <c r="AD189" s="4" t="n"/>
      <c r="AE189" s="4" t="n"/>
      <c r="AF189" s="4" t="n"/>
      <c r="AG189" s="4" t="n">
        <v>1</v>
      </c>
      <c r="AH189" s="4" t="n">
        <v>1</v>
      </c>
      <c r="AI189" s="4" t="n"/>
      <c r="AJ189" s="4" t="n"/>
      <c r="AK189" s="4" t="n"/>
      <c r="AL189" s="4" t="inlineStr">
        <is>
          <t>Algoritmo principal no explícito o fuera del codebook; Confirmar algoritmo principal en full-text</t>
        </is>
      </c>
      <c r="AM189" s="4" t="inlineStr">
        <is>
          <t>RA</t>
        </is>
      </c>
      <c r="AN189" s="4" t="inlineStr">
        <is>
          <t>Tomado completo desde archivo RA según asignación</t>
        </is>
      </c>
      <c r="AO189" s="4" t="n">
        <v>0</v>
      </c>
    </row>
    <row r="190" ht="372" customHeight="1">
      <c r="A190" s="4" t="n">
        <v>189</v>
      </c>
      <c r="B190" s="4" t="n">
        <v>207</v>
      </c>
      <c r="C190" s="4" t="inlineStr">
        <is>
          <t>Revisor B</t>
        </is>
      </c>
      <c r="D190" s="4" t="n"/>
      <c r="E190" s="4" t="n">
        <v>2025</v>
      </c>
      <c r="F190" s="4" t="inlineStr">
        <is>
          <t>Señales fisiológicas</t>
        </is>
      </c>
      <c r="G190" s="4" t="inlineStr">
        <is>
          <t>Deep Learning</t>
        </is>
      </c>
      <c r="H190" s="4" t="inlineStr">
        <is>
          <t>https://doi.org/10.1016/j.neucom.2025.130780</t>
        </is>
      </c>
      <c r="I190" s="4" t="inlineStr">
        <is>
          <t>Persistent spectral based machine learning method for autism spectrum disorder classification</t>
        </is>
      </c>
      <c r="J190" s="4" t="inlineStr">
        <is>
          <t>Background: Autism spectrum disorder (ASD) is a widespread and intricate neurodevelopmental condition. The increasing prevalence of ASD creates a very significant burden on both society and families. Functional magnetic resonance imaging (fMRI) contributes to a deeper understanding of ASD while also facilitating the development of early diagnosis and effective treatment strategies. This study aims to provide new and more reliable tools for early diagnosis of ASD and gain deeper insights into its neural mechanisms through the combination of topology and persistent spectral theory with functional connectivity. Methods: We proposed a persistent spectral machine learning model based on the simplicial complex for characterizing the functional connectivity in the Autism Brain Imaging Data Exchange I dataset. Simplicial complexes were used to characterize the functional connectivity with coefficients no less than 0.3. We arranged a filtration value for each simplex and persistent Laplacian matrices were calculated through a filtration process. The corresponding persistent attributes, after removing covariates, were used as inputs of classifiers. Results: Achieving an accuracy of 87.5%, our model outperformed other models that applied functional connectivity, similar sample sizes and the same preprocessing pipelines. We found that the numbers and distribution of connected components and loops of the global functional connectivity are important for classification. Conclusions: This study provided a feature extraction method based on persistent spectral theory for ASD research. Our model offers a different perspective on the research of related conditions and has great and notable potential in diagnosis.</t>
        </is>
      </c>
      <c r="K190" s="4" t="inlineStr">
        <is>
          <t>Supervised</t>
        </is>
      </c>
      <c r="L190" s="4" t="inlineStr">
        <is>
          <t>Not clear</t>
        </is>
      </c>
      <c r="M190" s="4" t="inlineStr">
        <is>
          <t>Classification (binary/multi-class; incl. ASD vs control)/ multi-class)</t>
        </is>
      </c>
      <c r="N190" s="4" t="inlineStr">
        <is>
          <t>diagnosis</t>
        </is>
      </c>
      <c r="O190" s="4" t="inlineStr">
        <is>
          <t>high</t>
        </is>
      </c>
      <c r="P190" s="4" t="n">
        <v>0</v>
      </c>
      <c r="Q190" s="4" t="n">
        <v>0</v>
      </c>
      <c r="R190" s="4" t="n">
        <v>0</v>
      </c>
      <c r="S190" s="4" t="n">
        <v>0</v>
      </c>
      <c r="T190" s="4" t="n">
        <v>1</v>
      </c>
      <c r="U190" s="4" t="n">
        <v>0</v>
      </c>
      <c r="V190" s="4" t="n">
        <v>0</v>
      </c>
      <c r="W190" s="4" t="n">
        <v>0</v>
      </c>
      <c r="X190" s="4" t="n">
        <v>0</v>
      </c>
      <c r="Y190" s="4" t="n">
        <v>1</v>
      </c>
      <c r="Z190" s="4" t="n">
        <v>0</v>
      </c>
      <c r="AA190" s="4" t="n">
        <v>0</v>
      </c>
      <c r="AB190" s="4" t="inlineStr">
        <is>
          <t>1900-01-01</t>
        </is>
      </c>
      <c r="AC190" s="4" t="n">
        <v>0</v>
      </c>
      <c r="AD190" s="4" t="n">
        <v>0</v>
      </c>
      <c r="AE190" s="4" t="n">
        <v>0</v>
      </c>
      <c r="AF190" s="4" t="n">
        <v>0</v>
      </c>
      <c r="AG190" s="4" t="n">
        <v>1</v>
      </c>
      <c r="AH190" s="4" t="n">
        <v>1</v>
      </c>
      <c r="AI190" s="4" t="n">
        <v>0</v>
      </c>
      <c r="AJ190" s="4" t="inlineStr">
        <is>
          <t>1900-01-01</t>
        </is>
      </c>
      <c r="AK190" s="4" t="inlineStr">
        <is>
          <t>00:00:00</t>
        </is>
      </c>
      <c r="AL190" s="4" t="n"/>
      <c r="AM190" s="4" t="inlineStr">
        <is>
          <t>RB</t>
        </is>
      </c>
      <c r="AN190" s="4" t="inlineStr">
        <is>
          <t>Tomado completo desde archivo RB según asignación</t>
        </is>
      </c>
      <c r="AO190" s="4" t="n">
        <v>0</v>
      </c>
    </row>
    <row r="191" ht="359" customHeight="1">
      <c r="A191" s="4" t="n">
        <v>190</v>
      </c>
      <c r="B191" s="4" t="n">
        <v>208</v>
      </c>
      <c r="C191" s="4" t="inlineStr">
        <is>
          <t>Revisor B</t>
        </is>
      </c>
      <c r="D191" s="4" t="n"/>
      <c r="E191" s="4" t="n">
        <v>2022</v>
      </c>
      <c r="F191" s="4" t="inlineStr">
        <is>
          <t>No especificado</t>
        </is>
      </c>
      <c r="G191" s="4" t="inlineStr">
        <is>
          <t>Machine Learning</t>
        </is>
      </c>
      <c r="H191" s="4" t="inlineStr">
        <is>
          <t>https://doi.org/10.1186/s13229-022-00491-9</t>
        </is>
      </c>
      <c r="I191" s="4" t="inlineStr">
        <is>
          <t>Phenotypic differences between female and male individuals with suspicion of autism spectrum disorder</t>
        </is>
      </c>
      <c r="J191" s="4" t="inlineStr">
        <is>
          <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t>
        </is>
      </c>
      <c r="K191" s="4" t="inlineStr">
        <is>
          <t>Supervised</t>
        </is>
      </c>
      <c r="L191" s="4" t="inlineStr">
        <is>
          <t>Random Forest</t>
        </is>
      </c>
      <c r="M191" s="4" t="inlineStr">
        <is>
          <t>Classification (binary/multi-class; incl. ASD vs control)/ multi-class)</t>
        </is>
      </c>
      <c r="N191" s="4" t="inlineStr">
        <is>
          <t>diagnosis</t>
        </is>
      </c>
      <c r="O191" s="4" t="inlineStr">
        <is>
          <t>high</t>
        </is>
      </c>
      <c r="P191" s="4" t="n">
        <v>1</v>
      </c>
      <c r="Q191" s="4" t="n">
        <v>0</v>
      </c>
      <c r="R191" s="4" t="n">
        <v>0</v>
      </c>
      <c r="S191" s="4" t="n">
        <v>0</v>
      </c>
      <c r="T191" s="4" t="n">
        <v>1</v>
      </c>
      <c r="U191" s="4" t="n">
        <v>0</v>
      </c>
      <c r="V191" s="4" t="n">
        <v>0</v>
      </c>
      <c r="W191" s="4" t="n">
        <v>0</v>
      </c>
      <c r="X191" s="4" t="n">
        <v>0</v>
      </c>
      <c r="Y191" s="4" t="n">
        <v>1</v>
      </c>
      <c r="Z191" s="4" t="n">
        <v>0</v>
      </c>
      <c r="AA191" s="4" t="n">
        <v>1</v>
      </c>
      <c r="AB191" s="4" t="inlineStr">
        <is>
          <t>1900-01-01</t>
        </is>
      </c>
      <c r="AC191" s="4" t="n">
        <v>0</v>
      </c>
      <c r="AD191" s="4" t="n">
        <v>0</v>
      </c>
      <c r="AE191" s="4" t="n">
        <v>0</v>
      </c>
      <c r="AF191" s="4" t="n">
        <v>0</v>
      </c>
      <c r="AG191" s="4" t="n">
        <v>0</v>
      </c>
      <c r="AH191" s="4" t="n">
        <v>2</v>
      </c>
      <c r="AI191" s="4" t="n">
        <v>0</v>
      </c>
      <c r="AJ191" s="4" t="inlineStr">
        <is>
          <t>00:00:00</t>
        </is>
      </c>
      <c r="AK191" s="4" t="inlineStr">
        <is>
          <t>00:00:00</t>
        </is>
      </c>
      <c r="AL191" s="4" t="n"/>
      <c r="AM191" s="4" t="inlineStr">
        <is>
          <t>RB</t>
        </is>
      </c>
      <c r="AN191" s="4" t="inlineStr">
        <is>
          <t>Tomado completo desde archivo RB según asignación</t>
        </is>
      </c>
      <c r="AO191" s="4" t="n">
        <v>0</v>
      </c>
    </row>
    <row r="192" ht="320" customHeight="1">
      <c r="A192" s="4" t="n">
        <v>191</v>
      </c>
      <c r="B192" s="4" t="n">
        <v>209</v>
      </c>
      <c r="C192" s="4" t="inlineStr">
        <is>
          <t>Revisor A</t>
        </is>
      </c>
      <c r="D192" s="4" t="inlineStr">
        <is>
          <t>RA</t>
        </is>
      </c>
      <c r="E192" s="4" t="n">
        <v>2024</v>
      </c>
      <c r="F192" s="4" t="inlineStr">
        <is>
          <t>Multimodal</t>
        </is>
      </c>
      <c r="G192" s="4" t="inlineStr">
        <is>
          <t>Machine Learning</t>
        </is>
      </c>
      <c r="H192" s="4" t="inlineStr">
        <is>
          <t>https://doi.org/10.1016/j.pscychresns.2024.111822</t>
        </is>
      </c>
      <c r="I192" s="4" t="inlineStr">
        <is>
          <t>Predicting individual autistic symptoms for patients with autism spectrum disorder using interregional morphological connectivity</t>
        </is>
      </c>
      <c r="J192" s="4" t="inlineStr">
        <is>
          <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t>
        </is>
      </c>
      <c r="K192" s="4" t="inlineStr">
        <is>
          <t>Supervised</t>
        </is>
      </c>
      <c r="L192" s="4" t="inlineStr">
        <is>
          <t>Other / Not clear</t>
        </is>
      </c>
      <c r="M192" s="4" t="inlineStr">
        <is>
          <t>Regression (score / severity / risk)</t>
        </is>
      </c>
      <c r="N192" s="4" t="inlineStr">
        <is>
          <t>Monitoring/intervention</t>
        </is>
      </c>
      <c r="O192" s="4" t="inlineStr">
        <is>
          <t>High</t>
        </is>
      </c>
      <c r="P192" s="4" t="n">
        <v>1</v>
      </c>
      <c r="Q192" s="4" t="n">
        <v>0</v>
      </c>
      <c r="R192" s="4" t="n">
        <v>0</v>
      </c>
      <c r="S192" s="4" t="n">
        <v>0</v>
      </c>
      <c r="T192" s="4" t="n">
        <v>0</v>
      </c>
      <c r="U192" s="4" t="n">
        <v>0</v>
      </c>
      <c r="V192" s="4" t="n">
        <v>0</v>
      </c>
      <c r="W192" s="4" t="n">
        <v>0</v>
      </c>
      <c r="X192" s="4" t="n">
        <v>0</v>
      </c>
      <c r="Y192" s="4" t="n">
        <v>0</v>
      </c>
      <c r="Z192" s="4" t="n">
        <v>1</v>
      </c>
      <c r="AA192" s="4" t="n">
        <v>1</v>
      </c>
      <c r="AB192" s="4" t="inlineStr">
        <is>
          <t>1900-01-01</t>
        </is>
      </c>
      <c r="AC192" s="4" t="n"/>
      <c r="AD192" s="4" t="n"/>
      <c r="AE192" s="4" t="n"/>
      <c r="AF192" s="4" t="n"/>
      <c r="AG192" s="4" t="n">
        <v>1</v>
      </c>
      <c r="AH192" s="4" t="n">
        <v>1</v>
      </c>
      <c r="AI192" s="4" t="n"/>
      <c r="AJ192" s="4" t="n"/>
      <c r="AK192" s="4" t="n"/>
      <c r="AL192" s="4" t="inlineStr">
        <is>
          <t>Algoritmo principal no explícito o fuera del codebook; Confirmar algoritmo principal en full-text</t>
        </is>
      </c>
      <c r="AM192" s="4" t="inlineStr">
        <is>
          <t>RA</t>
        </is>
      </c>
      <c r="AN192" s="4" t="inlineStr">
        <is>
          <t>Tomado completo desde archivo RA según asignación</t>
        </is>
      </c>
      <c r="AO192" s="4" t="n">
        <v>0</v>
      </c>
    </row>
    <row r="193" ht="385" customHeight="1">
      <c r="A193" s="4" t="n">
        <v>192</v>
      </c>
      <c r="B193" s="4" t="n">
        <v>210</v>
      </c>
      <c r="C193" s="4" t="inlineStr">
        <is>
          <t>Revisor A</t>
        </is>
      </c>
      <c r="D193" s="4" t="inlineStr">
        <is>
          <t>RA</t>
        </is>
      </c>
      <c r="E193" s="4" t="n">
        <v>2023</v>
      </c>
      <c r="F193" s="4" t="inlineStr">
        <is>
          <t>Señales fisiológicas</t>
        </is>
      </c>
      <c r="G193" s="4" t="inlineStr">
        <is>
          <t>Deep Learning</t>
        </is>
      </c>
      <c r="H193" s="4" t="inlineStr">
        <is>
          <t>https://doi.org/10.1016/j.bpsc.2021.08.009</t>
        </is>
      </c>
      <c r="I193" s="4" t="inlineStr">
        <is>
          <t>Prediction of Behavioral Improvement Through Resting-State Electroencephalography and Clinical Severity in a Randomized Controlled Trial Testing Bumetanide in Autism Spectrum Disorder</t>
        </is>
      </c>
      <c r="J193" s="4" t="inlineStr">
        <is>
          <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t>
        </is>
      </c>
      <c r="K193" s="4" t="inlineStr">
        <is>
          <t>Supervised</t>
        </is>
      </c>
      <c r="L193" s="4" t="inlineStr">
        <is>
          <t>Other / Not clear</t>
        </is>
      </c>
      <c r="M193" s="4" t="inlineStr">
        <is>
          <t>Prediction (time-to-event / prognosis)</t>
        </is>
      </c>
      <c r="N193" s="4" t="inlineStr">
        <is>
          <t>Monitoring/intervention</t>
        </is>
      </c>
      <c r="O193" s="4" t="inlineStr">
        <is>
          <t>Medium</t>
        </is>
      </c>
      <c r="P193" s="4" t="n">
        <v>0</v>
      </c>
      <c r="Q193" s="4" t="n">
        <v>1</v>
      </c>
      <c r="R193" s="4" t="n">
        <v>0</v>
      </c>
      <c r="S193" s="4" t="n">
        <v>0</v>
      </c>
      <c r="T193" s="4" t="n">
        <v>0</v>
      </c>
      <c r="U193" s="4" t="n">
        <v>0</v>
      </c>
      <c r="V193" s="4" t="n">
        <v>0</v>
      </c>
      <c r="W193" s="4" t="n">
        <v>0</v>
      </c>
      <c r="X193" s="4" t="n">
        <v>0</v>
      </c>
      <c r="Y193" s="4" t="n">
        <v>0</v>
      </c>
      <c r="Z193" s="4" t="n">
        <v>0</v>
      </c>
      <c r="AA193" s="4" t="n">
        <v>1</v>
      </c>
      <c r="AB193" s="4" t="inlineStr">
        <is>
          <t>1900-01-01</t>
        </is>
      </c>
      <c r="AC193" s="4" t="n"/>
      <c r="AD193" s="4" t="n"/>
      <c r="AE193" s="4" t="n"/>
      <c r="AF193" s="4" t="n"/>
      <c r="AG193" s="4" t="n">
        <v>1</v>
      </c>
      <c r="AH193" s="4" t="n">
        <v>1</v>
      </c>
      <c r="AI193" s="4" t="n"/>
      <c r="AJ193" s="4" t="n"/>
      <c r="AK193" s="4" t="n"/>
      <c r="AL193" s="4" t="inlineStr">
        <is>
          <t>Algoritmo principal no explícito o fuera del codebook; Confirmar algoritmo principal en full-text</t>
        </is>
      </c>
      <c r="AM193" s="4" t="inlineStr">
        <is>
          <t>RA</t>
        </is>
      </c>
      <c r="AN193" s="4" t="inlineStr">
        <is>
          <t>Tomado completo desde archivo RA según asignación</t>
        </is>
      </c>
      <c r="AO193" s="4" t="n">
        <v>0</v>
      </c>
    </row>
    <row r="194" ht="409" customHeight="1">
      <c r="A194" s="4" t="n">
        <v>193</v>
      </c>
      <c r="B194" s="4" t="n">
        <v>211</v>
      </c>
      <c r="C194" s="4" t="inlineStr">
        <is>
          <t>Revisor B</t>
        </is>
      </c>
      <c r="D194" s="4" t="n"/>
      <c r="E194" s="4" t="n">
        <v>2022</v>
      </c>
      <c r="F194" s="4" t="inlineStr">
        <is>
          <t>No especificado</t>
        </is>
      </c>
      <c r="G194" s="4" t="inlineStr">
        <is>
          <t>Machine Learning</t>
        </is>
      </c>
      <c r="H194" s="4" t="inlineStr">
        <is>
          <t>https://doi.org/10.32604/ijmhp.2022.020075</t>
        </is>
      </c>
      <c r="I194" s="4" t="inlineStr">
        <is>
          <t>Prediction of Outcomes in Mini-Basketball Training Program for Preschool Children with Autism Using Machine Learning Models</t>
        </is>
      </c>
      <c r="J194" s="4" t="inlineStr">
        <is>
          <t>In recent years evidence has emerged suggesting that Mini-basketball training program (MBTP) can be an effective intervention method to improve social communication (SC) impairments and restricted and repetitive beha-viors (RRBs) in preschool children suffering from autism spectrum disorder (ASD). However, there is a considerable degree if interindividual variability concerning these social outcomes and thus not all preschool children with ASD profit from a MBTP intervention to the same extent. In order to make more accurate predictions which preschool children with ASD can benefit from an MBTP intervention or which preschool children with ASD need additional interventions to achieve behavioral improvements, further research is required. This study aimed to investigate which individual factors of preschool children with ASD can predict MBTP intervention outcomes concerning SC impairments and RRBs. Then, test the performance of machine learning models in predicting intervention outcomes based on these factors. Participants were 26 preschool children with ASD who enrolled in a quasi-experiment and received MBTP intervention. Baseline demographic variables (e.g., age, body, mass index [BMI]), indicators of physical fitness (e.g., handgrip strength, balance performance), performance in executive function, severity of ASD symptoms, level of SC impairments, and severity of RRBs were obtained to predict treatment outcomes after MBTP intervention. Machine learning models were established based on support vector machine algorithm were implemented. For comparison, we also employed multiple linear regression models in statistics. Our findings suggest that in preschool children with ASD symptomatic severity (r = 0.712, p &lt; 0.001) and baseline SC impairments (r = 0.713, p &lt; 0.001) are predictors for intervention outcomes of SC impair-ments. Furthermore, BMI (r = −0.430, p = 0.028), symptomatic severity (r = 0.656, p &lt; 0.001), baseline SC impairments (r = 0.504, p = 0.009) and baseline RRBs (r = 0.647, p &lt; 0.001) can predict intervention outcomes of RRBs. Statistical models predicted 59.6% of variance in post-treatment SC impairments (MSE = 0.455, RMSE = 0.675, R2 = 0.596) and 58.9% of variance in post-treatment RRBs (MSE = 0.464, RMSE = 0.681, R2 = 0.589). Machine learning models predicted 83% of variance in post-treatment SC impairments (MSE = 0.188, RMSE = 0.434, R2 = 0.83) and 85.9% of variance in post-treatment RRBs (MSE = 0.051, RMSE = 0.226, R2 = 0.859), which were better than statistical models. Our findings suggest that baseline characteristics such as symptomatic severity of ASD symptoms and SC impairments are important predictors determining MBTP intervention-induced improvements concerning SC impairments and RBBs. Furthermore, the current study revealed that machine learning models can successfully be applied to predict the MBTP intervention-related outcomes in preschool children with ASD, and performed better than statistical models. Our findings can help to inform which preschool children with ASD are most likely to benefit from an MBTP intervention, and they might provide a reference for the development of personalized intervention programs for preschool children with ASD.</t>
        </is>
      </c>
      <c r="K194" s="4" t="inlineStr">
        <is>
          <t>Supervised</t>
        </is>
      </c>
      <c r="L194" s="4" t="inlineStr">
        <is>
          <t>SVM</t>
        </is>
      </c>
      <c r="M194" s="4" t="inlineStr">
        <is>
          <t>Regression (score / severity / risk)</t>
        </is>
      </c>
      <c r="N194" s="4" t="inlineStr">
        <is>
          <t>monitoring_intervention</t>
        </is>
      </c>
      <c r="O194" s="4" t="inlineStr">
        <is>
          <t>high</t>
        </is>
      </c>
      <c r="P194" s="4" t="n">
        <v>0</v>
      </c>
      <c r="Q194" s="4" t="n">
        <v>0</v>
      </c>
      <c r="R194" s="4" t="n">
        <v>0</v>
      </c>
      <c r="S194" s="4" t="n">
        <v>0</v>
      </c>
      <c r="T194" s="4" t="n">
        <v>0</v>
      </c>
      <c r="U194" s="4" t="n">
        <v>0</v>
      </c>
      <c r="V194" s="4" t="n">
        <v>1</v>
      </c>
      <c r="W194" s="4" t="n">
        <v>0</v>
      </c>
      <c r="X194" s="4" t="n">
        <v>0</v>
      </c>
      <c r="Y194" s="4" t="n">
        <v>0</v>
      </c>
      <c r="Z194" s="4" t="n">
        <v>0</v>
      </c>
      <c r="AA194" s="4" t="n">
        <v>1</v>
      </c>
      <c r="AB194" s="4" t="inlineStr">
        <is>
          <t>1900-01-01</t>
        </is>
      </c>
      <c r="AC194" s="4" t="n">
        <v>0</v>
      </c>
      <c r="AD194" s="4" t="n">
        <v>0</v>
      </c>
      <c r="AE194" s="4" t="n">
        <v>0</v>
      </c>
      <c r="AF194" s="4" t="n">
        <v>0</v>
      </c>
      <c r="AG194" s="4" t="n">
        <v>0</v>
      </c>
      <c r="AH194" s="4" t="n">
        <v>1</v>
      </c>
      <c r="AI194" s="4" t="n">
        <v>1</v>
      </c>
      <c r="AJ194" s="4" t="inlineStr">
        <is>
          <t>1900-01-01</t>
        </is>
      </c>
      <c r="AK194" s="4" t="inlineStr">
        <is>
          <t>00:00:00</t>
        </is>
      </c>
      <c r="AL194" s="4" t="n"/>
      <c r="AM194" s="4" t="inlineStr">
        <is>
          <t>RB</t>
        </is>
      </c>
      <c r="AN194" s="4" t="inlineStr">
        <is>
          <t>Tomado completo desde archivo RB según asignación</t>
        </is>
      </c>
      <c r="AO194" s="4" t="n">
        <v>0</v>
      </c>
    </row>
    <row r="195" ht="409" customHeight="1">
      <c r="A195" s="4" t="n">
        <v>194</v>
      </c>
      <c r="B195" s="4" t="n">
        <v>212</v>
      </c>
      <c r="C195" s="4" t="inlineStr">
        <is>
          <t>Revisor B</t>
        </is>
      </c>
      <c r="D195" s="4" t="n"/>
      <c r="E195" s="4" t="n">
        <v>2025</v>
      </c>
      <c r="F195" s="4" t="inlineStr">
        <is>
          <t>Texto · NLP</t>
        </is>
      </c>
      <c r="G195" s="4" t="inlineStr">
        <is>
          <t>Deep Learning</t>
        </is>
      </c>
      <c r="H195" s="4" t="inlineStr">
        <is>
          <t>https://doi.org/10.1177/13623613241304488</t>
        </is>
      </c>
      <c r="I195" s="4" t="inlineStr">
        <is>
          <t>Pre-trained artificial intelligence language model represents pragmatic language variability central to autism and genetically related phenotypes</t>
        </is>
      </c>
      <c r="J195" s="4" t="inlineStr">
        <is>
          <t>Many individuals with autism experience challenges using language in social contexts (i.e., pragmatic language). Characterizing and understanding pragmatic variability is important to inform intervention strategies and the etiology of communication challenges in autism; however, current manual coding-based methods are often time and labor intensive, and not readily applied in ample sample sizes. This proof-of-concept methodological study employed an artificial intelligence pre-trained language model, Bidirectional Encoder Representations from Transformers, as a tool to address such challenges. We applied Bidirectional Encoder Representations from Transformers to computationally index pragmatic-related variability in autism and in genetically related phenotypes displaying pragmatic differences, namely, in parents of autistic individuals, fragile X syndrome, and FMR1 premutation. Findings suggest that without model fine-tuning, Bidirectional Encoder Representations from Transformers’s Next Sentence Prediction module was able to derive estimates that differentiate autistic from non-autistic groups. Moreover, such computational estimates correlated with manually coded characterization of pragmatic abilities that contribute to conversational coherence, not only in autism but also in the other genetically related phenotypes. This study represents a step forward in evaluating the efficacy of artificial intelligence language models for capturing clinically important pragmatic differences and variability related to autism, showcasing the potential of artificial intelligence to provide automatized, efficient, and objective tools for pragmatic characterization to help advance the field. Lay abstract: Autism is clinically defined by challenges with social language, including difficulties offering on-topic language in a conversation. Similar differences are also seen in genetically related conditions such as fragile X syndrome (FXS), and even among those carrying autism-related genes who do not have clinical diagnoses (e.g., the first-degree relatives of autistic individuals and carriers of the FMR1 premutation), which suggests there are genetic influences on social language related to the genes involved in autism. Characterization of social language is therefore important for informing potential intervention strategies and understanding the causes of communication challenges in autism. However, current tools for characterizing social language in both clinical and research settings are very time and labor intensive. In this study, we test an automized computational method that may address this problem. We used a type of artificial intelligence known as pre-trained language model to measure aspects of social language in autistic individuals and their parents, non-autistic comparison groups, and individuals with FXS and the FMR1 premutation. Findings suggest that these artificial intelligence approaches were able to identify differences in social language in autism, and to provide insight into the individuals’ ability to keep a conversation on-topic. These findings also were associated with broader measures of participants’ social communication ability. This study is one of the first to use artificial intelligence models to capture important differences in social language in autism and genetically related groups, demonstrating how artificial intelligence might be used to provide automatized, efficient, and objective tools for language characterization.</t>
        </is>
      </c>
      <c r="K195" s="4" t="n"/>
      <c r="L195" s="4" t="inlineStr">
        <is>
          <t>Transformer</t>
        </is>
      </c>
      <c r="M195" s="4" t="inlineStr">
        <is>
          <t>Classification (binary/multi-class; incl. ASD vs control)/ multi-class)</t>
        </is>
      </c>
      <c r="N195" s="4" t="inlineStr">
        <is>
          <t>Monitoring/intervention</t>
        </is>
      </c>
      <c r="O195" s="4" t="inlineStr">
        <is>
          <t>high</t>
        </is>
      </c>
      <c r="P195" s="4" t="n">
        <v>1</v>
      </c>
      <c r="Q195" s="4" t="n">
        <v>0</v>
      </c>
      <c r="R195" s="4" t="n">
        <v>0</v>
      </c>
      <c r="S195" s="4" t="n">
        <v>0</v>
      </c>
      <c r="T195" s="4" t="n">
        <v>0</v>
      </c>
      <c r="U195" s="4" t="n">
        <v>0</v>
      </c>
      <c r="V195" s="4" t="n">
        <v>0</v>
      </c>
      <c r="W195" s="4" t="n">
        <v>0</v>
      </c>
      <c r="X195" s="4" t="n">
        <v>0</v>
      </c>
      <c r="Y195" s="4" t="n">
        <v>1</v>
      </c>
      <c r="Z195" s="4" t="n">
        <v>0</v>
      </c>
      <c r="AA195" s="4" t="n">
        <v>0</v>
      </c>
      <c r="AB195" s="4" t="inlineStr">
        <is>
          <t>1900-01-01</t>
        </is>
      </c>
      <c r="AC195" s="4" t="n">
        <v>0</v>
      </c>
      <c r="AD195" s="4" t="n">
        <v>0</v>
      </c>
      <c r="AE195" s="4" t="n">
        <v>1</v>
      </c>
      <c r="AF195" s="4" t="n">
        <v>0</v>
      </c>
      <c r="AG195" s="4" t="n">
        <v>0</v>
      </c>
      <c r="AH195" s="4" t="n">
        <v>1</v>
      </c>
      <c r="AI195" s="4" t="n">
        <v>0</v>
      </c>
      <c r="AJ195" s="4" t="inlineStr">
        <is>
          <t>1900-01-01</t>
        </is>
      </c>
      <c r="AK195" s="4" t="inlineStr">
        <is>
          <t>1900-01-01</t>
        </is>
      </c>
      <c r="AL195" s="4" t="n"/>
      <c r="AM195" s="4" t="inlineStr">
        <is>
          <t>RB</t>
        </is>
      </c>
      <c r="AN195" s="4" t="inlineStr">
        <is>
          <t>Tomado completo desde archivo RB según asignación</t>
        </is>
      </c>
      <c r="AO195" s="4" t="n">
        <v>0</v>
      </c>
    </row>
    <row r="196" ht="294" customHeight="1">
      <c r="A196" s="4" t="n">
        <v>195</v>
      </c>
      <c r="B196" s="4" t="n">
        <v>213</v>
      </c>
      <c r="C196" s="4" t="inlineStr">
        <is>
          <t>Revisor A</t>
        </is>
      </c>
      <c r="D196" s="4" t="inlineStr">
        <is>
          <t>RA</t>
        </is>
      </c>
      <c r="E196" s="4" t="n">
        <v>2015</v>
      </c>
      <c r="F196" s="4" t="inlineStr">
        <is>
          <t>Señales fisiológicas</t>
        </is>
      </c>
      <c r="G196" s="4" t="inlineStr">
        <is>
          <t>Deep Learning</t>
        </is>
      </c>
      <c r="H196" s="4" t="inlineStr">
        <is>
          <t>https://doi.org/10.1016/j.cortex.2014.08.011</t>
        </is>
      </c>
      <c r="I196" s="4" t="inlineStr">
        <is>
          <t>Resting state functional magnetic resonance imaging and neural network classified autism and control</t>
        </is>
      </c>
      <c r="J196" s="4" t="inlineStr">
        <is>
          <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t>
        </is>
      </c>
      <c r="K196" s="4" t="inlineStr">
        <is>
          <t>Supervised</t>
        </is>
      </c>
      <c r="L196" s="4" t="inlineStr">
        <is>
          <t>Other / Not clear</t>
        </is>
      </c>
      <c r="M196" s="4" t="inlineStr">
        <is>
          <t>Classification (ASD vs control / multi-class)</t>
        </is>
      </c>
      <c r="N196" s="4" t="inlineStr">
        <is>
          <t>Diagnosis</t>
        </is>
      </c>
      <c r="O196" s="4" t="inlineStr">
        <is>
          <t>High</t>
        </is>
      </c>
      <c r="P196" s="4" t="n">
        <v>1</v>
      </c>
      <c r="Q196" s="4" t="n">
        <v>0</v>
      </c>
      <c r="R196" s="4" t="n">
        <v>0</v>
      </c>
      <c r="S196" s="4" t="n">
        <v>0</v>
      </c>
      <c r="T196" s="4" t="n">
        <v>0</v>
      </c>
      <c r="U196" s="4" t="n">
        <v>0</v>
      </c>
      <c r="V196" s="4" t="n">
        <v>0</v>
      </c>
      <c r="W196" s="4" t="n">
        <v>0</v>
      </c>
      <c r="X196" s="4" t="n">
        <v>0</v>
      </c>
      <c r="Y196" s="4" t="n">
        <v>1</v>
      </c>
      <c r="Z196" s="4" t="n">
        <v>0</v>
      </c>
      <c r="AA196" s="4" t="n">
        <v>0</v>
      </c>
      <c r="AB196" s="4" t="inlineStr">
        <is>
          <t>1900-01-01</t>
        </is>
      </c>
      <c r="AC196" s="4" t="n"/>
      <c r="AD196" s="4" t="n"/>
      <c r="AE196" s="4" t="n"/>
      <c r="AF196" s="4" t="n"/>
      <c r="AG196" s="4" t="n">
        <v>1</v>
      </c>
      <c r="AH196" s="4" t="n">
        <v>1</v>
      </c>
      <c r="AI196" s="4" t="n"/>
      <c r="AJ196" s="4" t="n"/>
      <c r="AK196" s="4" t="n"/>
      <c r="AL196" s="4" t="inlineStr">
        <is>
          <t>Algoritmo principal no explícito o fuera del codebook; Confirmar algoritmo principal en full-text</t>
        </is>
      </c>
      <c r="AM196" s="4" t="inlineStr">
        <is>
          <t>RA</t>
        </is>
      </c>
      <c r="AN196" s="4" t="inlineStr">
        <is>
          <t>Tomado completo desde archivo RA según asignación</t>
        </is>
      </c>
      <c r="AO196" s="4" t="n">
        <v>0</v>
      </c>
    </row>
    <row r="197" ht="346" customHeight="1">
      <c r="A197" s="4" t="n">
        <v>196</v>
      </c>
      <c r="B197" s="4" t="n">
        <v>214</v>
      </c>
      <c r="C197" s="4" t="inlineStr">
        <is>
          <t>Revisor B</t>
        </is>
      </c>
      <c r="D197" s="4" t="n"/>
      <c r="E197" s="4" t="n">
        <v>2021</v>
      </c>
      <c r="F197" s="4" t="inlineStr">
        <is>
          <t>Imagen</t>
        </is>
      </c>
      <c r="G197" s="4" t="inlineStr">
        <is>
          <t>Deep Learning</t>
        </is>
      </c>
      <c r="H197" s="4" t="inlineStr">
        <is>
          <t>https://doi.org/10.1109/EMBC46164.2021.9630150</t>
        </is>
      </c>
      <c r="I197" s="4" t="inlineStr">
        <is>
          <t>Self-Paced Learning and Privileged Information based Cascaded Multi-column Classification algorithm for ASD diagnosis</t>
        </is>
      </c>
      <c r="J197" s="4" t="inlineStr">
        <is>
          <t>Autism spectrum disorder (ASD) is one of the most serious mental disorder in children. Machine learning based computer aided diagnosis (CAD) on resting-state functional magnetic resonance imaging (rs-fMRI) for ASD has attracted widespread attention. In recent years, learning using privileged information (LUPI), a supervised transfer learning method, has been generally used on multi-modality cases, which can transfer knowledge from source domain to target domain in order to improve the prediction capability on the target domain. However, multi-modality data is difficult to collect in clinical cases. LUPI method without introducing additional imaging modality images is worth further study. Random vector function link network plus (RVFL+) is a LUPI diagnosis algorithm, which has been proven to be effective for classification tasks. In this work, we proposed a self-paced learning based cascaded multi-column RVFL+ algorithm (SPL-cmcRVFL+) for ASD diagnosis. Initial classification model is trained using RVFL on the single-modal data (e.g. rs-fMRI). The output of the initial layer is then sent as privileged information (PI) to train the next layer of classification model. During this process, samples are selected using self-paced learning (SPL), which can adaptively select simple to difficult samples according to the loss value. The procedure is repeated until all samples are included. Experimental results show that our proposed method can accurately identify ASD and normal control, and outperforms other methods by a relatively higher classification accuracy.</t>
        </is>
      </c>
      <c r="K197" s="4" t="inlineStr">
        <is>
          <t>Supervised</t>
        </is>
      </c>
      <c r="L197" s="4" t="inlineStr">
        <is>
          <t>Other</t>
        </is>
      </c>
      <c r="M197" s="4" t="inlineStr">
        <is>
          <t>Classification (binary/multi-class; incl. ASD vs control)/ multi-class)</t>
        </is>
      </c>
      <c r="N197" s="4" t="inlineStr">
        <is>
          <t>Diagnosis</t>
        </is>
      </c>
      <c r="O197" s="4" t="inlineStr">
        <is>
          <t>high</t>
        </is>
      </c>
      <c r="P197" s="4" t="n">
        <v>0</v>
      </c>
      <c r="Q197" s="4" t="n">
        <v>0</v>
      </c>
      <c r="R197" s="4" t="n">
        <v>0</v>
      </c>
      <c r="S197" s="4" t="n">
        <v>0</v>
      </c>
      <c r="T197" s="4" t="n">
        <v>0</v>
      </c>
      <c r="U197" s="4" t="n">
        <v>0</v>
      </c>
      <c r="V197" s="4" t="n">
        <v>1</v>
      </c>
      <c r="W197" s="4" t="n">
        <v>0</v>
      </c>
      <c r="X197" s="4" t="n">
        <v>1</v>
      </c>
      <c r="Y197" s="4" t="n">
        <v>0</v>
      </c>
      <c r="Z197" s="4" t="n">
        <v>0</v>
      </c>
      <c r="AA197" s="4" t="n">
        <v>1</v>
      </c>
      <c r="AB197" s="4" t="inlineStr">
        <is>
          <t>1900-01-01</t>
        </is>
      </c>
      <c r="AC197" s="4" t="n">
        <v>0</v>
      </c>
      <c r="AD197" s="4" t="n">
        <v>0</v>
      </c>
      <c r="AE197" s="4" t="n">
        <v>0</v>
      </c>
      <c r="AF197" s="4" t="n">
        <v>0</v>
      </c>
      <c r="AG197" s="4" t="n">
        <v>0</v>
      </c>
      <c r="AH197" s="4" t="n">
        <v>1</v>
      </c>
      <c r="AI197" s="4" t="n">
        <v>1</v>
      </c>
      <c r="AJ197" s="4" t="inlineStr">
        <is>
          <t>1900-01-01</t>
        </is>
      </c>
      <c r="AK197" s="4" t="inlineStr">
        <is>
          <t>00:00:00</t>
        </is>
      </c>
      <c r="AL197" s="4" t="n"/>
      <c r="AM197" s="4" t="inlineStr">
        <is>
          <t>RB</t>
        </is>
      </c>
      <c r="AN197" s="4" t="inlineStr">
        <is>
          <t>Tomado completo desde archivo RB según asignación</t>
        </is>
      </c>
      <c r="AO197" s="4" t="n">
        <v>0</v>
      </c>
    </row>
    <row r="198" ht="320" customHeight="1">
      <c r="A198" s="4" t="n">
        <v>197</v>
      </c>
      <c r="B198" s="4" t="n">
        <v>215</v>
      </c>
      <c r="C198" s="4" t="inlineStr">
        <is>
          <t>Revisor B</t>
        </is>
      </c>
      <c r="D198" s="4" t="n"/>
      <c r="E198" s="4" t="n">
        <v>2024</v>
      </c>
      <c r="F198" s="4" t="inlineStr">
        <is>
          <t>Señales fisiológicas</t>
        </is>
      </c>
      <c r="G198" s="4" t="inlineStr">
        <is>
          <t>Deep Learning</t>
        </is>
      </c>
      <c r="H198" s="4" t="inlineStr">
        <is>
          <t>https://doi.org/10.1145/3699749</t>
        </is>
      </c>
      <c r="I198" s="4" t="inlineStr">
        <is>
          <t>Smartphone Haptics Can Uncover Differences in Touch Interactions Between ASD and Neurotypicals</t>
        </is>
      </c>
      <c r="J198" s="4" t="inlineStr">
        <is>
          <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t>
        </is>
      </c>
      <c r="K198" s="4" t="inlineStr">
        <is>
          <t>Supervised</t>
        </is>
      </c>
      <c r="L198" s="4" t="inlineStr">
        <is>
          <t>Logistic Regression</t>
        </is>
      </c>
      <c r="M198" s="4" t="inlineStr">
        <is>
          <t>Classification (binary/multi-class; incl. ASD vs control)/ multi-class)</t>
        </is>
      </c>
      <c r="N198" s="4" t="inlineStr">
        <is>
          <t>Screening</t>
        </is>
      </c>
      <c r="O198" s="4" t="inlineStr">
        <is>
          <t>high</t>
        </is>
      </c>
      <c r="P198" s="4" t="n">
        <v>0</v>
      </c>
      <c r="Q198" s="4" t="n">
        <v>0</v>
      </c>
      <c r="R198" s="4" t="n">
        <v>0</v>
      </c>
      <c r="S198" s="4" t="n">
        <v>0</v>
      </c>
      <c r="T198" s="4" t="n">
        <v>0</v>
      </c>
      <c r="U198" s="4" t="n">
        <v>1</v>
      </c>
      <c r="V198" s="4" t="n">
        <v>0</v>
      </c>
      <c r="W198" s="4" t="n">
        <v>0</v>
      </c>
      <c r="X198" s="4" t="n">
        <v>0</v>
      </c>
      <c r="Y198" s="4" t="n">
        <v>1</v>
      </c>
      <c r="Z198" s="4" t="n">
        <v>0</v>
      </c>
      <c r="AA198" s="4" t="n">
        <v>1</v>
      </c>
      <c r="AB198" s="4" t="inlineStr">
        <is>
          <t>1900-01-01</t>
        </is>
      </c>
      <c r="AC198" s="4" t="n">
        <v>0</v>
      </c>
      <c r="AD198" s="4" t="n">
        <v>0</v>
      </c>
      <c r="AE198" s="4" t="n">
        <v>0</v>
      </c>
      <c r="AF198" s="4" t="n">
        <v>0</v>
      </c>
      <c r="AG198" s="4" t="n">
        <v>1</v>
      </c>
      <c r="AH198" s="4" t="n">
        <v>1</v>
      </c>
      <c r="AI198" s="4" t="n">
        <v>0</v>
      </c>
      <c r="AJ198" s="4" t="inlineStr">
        <is>
          <t>00:00:00</t>
        </is>
      </c>
      <c r="AK198" s="4" t="inlineStr">
        <is>
          <t>00:00:00</t>
        </is>
      </c>
      <c r="AL198" s="4" t="n"/>
      <c r="AM198" s="4" t="inlineStr">
        <is>
          <t>RB</t>
        </is>
      </c>
      <c r="AN198" s="4" t="inlineStr">
        <is>
          <t>Tomado completo desde archivo RB según asignación</t>
        </is>
      </c>
      <c r="AO198" s="4" t="n">
        <v>0</v>
      </c>
    </row>
    <row r="199" ht="409" customHeight="1">
      <c r="A199" s="4" t="n">
        <v>198</v>
      </c>
      <c r="B199" s="4" t="n">
        <v>216</v>
      </c>
      <c r="C199" s="4" t="inlineStr">
        <is>
          <t>Revisor B</t>
        </is>
      </c>
      <c r="D199" s="4" t="n"/>
      <c r="E199" s="4" t="n">
        <v>2025</v>
      </c>
      <c r="F199" s="4" t="inlineStr">
        <is>
          <t>No especificado</t>
        </is>
      </c>
      <c r="G199" s="4" t="inlineStr">
        <is>
          <t>Machine Learning</t>
        </is>
      </c>
      <c r="H199" s="4" t="inlineStr">
        <is>
          <t>https://doi.org/10.1007/s11011-025-01604-y</t>
        </is>
      </c>
      <c r="I199" s="4" t="inlineStr">
        <is>
          <t>Targeted metabolomics in children with autism spectrum disorder with and without developmental regression</t>
        </is>
      </c>
      <c r="J199" s="4" t="inlineStr">
        <is>
          <t>Early diagnosis and intervention in children with autism spectrum disorder (ASD) is crucial. At present, diagnosis of ASD is primarily based on subjective tools. Identifying metabolic biomarkers will aid in early diagnosis of ASD complementing the assessment tools. The study aimed to conduct targeted metabolomic analysis and determine the plasma metabolites that can discriminate children with ASD from typically developing children (TD), and to determine the utility of machine learning in classifying ASD children based on the metabotypes. This was a multi-centric, analytical, case-control study conducted between April 2021–April 2023. Fasting plasma samples were obtained from seventy ASD and fifty-eight TD children, aged 2 to 12 years. Samples were quantitively analysed for 52 targeted metabolites (13 amino acids, 37 acylcarnitines, adenosine and 2-deoxyadenosine levels) using tandem mass spectrometry. An in-depth statistical analysis was performed. A total of 26 metabolites (11 amino acids, 14 acyl carnitines and adenosine) were found to be significantly (p &lt; 0.005) different between ASD and TD children. Adenosine and amino acid levels were significantly decreased in ASD children. Among acyl carnitines, short- and long-chain acyl carnitine levels were significantly decreased, while medium-chain acyl carnitine levels were significantly increased in ASD children. Octenoylcarnitine-C8:1 (Cut-off value- 0.025 mmol/L, AUC- 0.683) and adenosine (Cut-off value- 0.025 mmol/L, AUC- 0.673) were found to predict children with ASD at a sensitivity of 55.7% and 57.1%, specificity of 79.3% and 72.4% respectively. Based on the metabolites, machine learning models like Support Vector Machine (SVM) and Random Forest (RF) were able to discriminate ASD from TD children with the classification accuracy score being highest in RF (79.487%, AUC- 0.800). Significant abnormalities in plasma metabolites were observed leading to disturbances in the Krebs cycle, urea cycle and fatty acid oxidation, suggesting mitochondrial dysfunction that may possibly contribute in the pathobiology of ASD. Octenoylcarnitine-C8:1 and Adenosine may serve as potential metabolic biomarkers for ASD.</t>
        </is>
      </c>
      <c r="K199" s="4" t="inlineStr">
        <is>
          <t>Supervised</t>
        </is>
      </c>
      <c r="L199" s="4" t="inlineStr">
        <is>
          <t>Random Forest</t>
        </is>
      </c>
      <c r="M199" s="4" t="inlineStr">
        <is>
          <t>Classification (binary/multi-class; incl. ASD vs control)/ multi-class)</t>
        </is>
      </c>
      <c r="N199" s="4" t="inlineStr">
        <is>
          <t>diagnosis</t>
        </is>
      </c>
      <c r="O199" s="4" t="inlineStr">
        <is>
          <t>high</t>
        </is>
      </c>
      <c r="P199" s="4" t="n">
        <v>1</v>
      </c>
      <c r="Q199" s="4" t="n">
        <v>0</v>
      </c>
      <c r="R199" s="4" t="n">
        <v>0</v>
      </c>
      <c r="S199" s="4" t="n">
        <v>0</v>
      </c>
      <c r="T199" s="4" t="n">
        <v>0</v>
      </c>
      <c r="U199" s="4" t="n">
        <v>0</v>
      </c>
      <c r="V199" s="4" t="n">
        <v>0</v>
      </c>
      <c r="W199" s="4" t="n">
        <v>0</v>
      </c>
      <c r="X199" s="4" t="n">
        <v>0</v>
      </c>
      <c r="Y199" s="4" t="n">
        <v>1</v>
      </c>
      <c r="Z199" s="4" t="n">
        <v>0</v>
      </c>
      <c r="AA199" s="4" t="n">
        <v>0</v>
      </c>
      <c r="AB199" s="4" t="inlineStr">
        <is>
          <t>1900-01-01</t>
        </is>
      </c>
      <c r="AC199" s="4" t="n">
        <v>0</v>
      </c>
      <c r="AD199" s="4" t="n">
        <v>0</v>
      </c>
      <c r="AE199" s="4" t="n">
        <v>0</v>
      </c>
      <c r="AF199" s="4" t="n">
        <v>0</v>
      </c>
      <c r="AG199" s="4" t="n">
        <v>0</v>
      </c>
      <c r="AH199" s="4" t="n">
        <v>1</v>
      </c>
      <c r="AI199" s="4" t="n">
        <v>0</v>
      </c>
      <c r="AJ199" s="4" t="inlineStr">
        <is>
          <t>1900-01-01</t>
        </is>
      </c>
      <c r="AK199" s="4" t="inlineStr">
        <is>
          <t>00:00:00</t>
        </is>
      </c>
      <c r="AL199" s="4" t="n"/>
      <c r="AM199" s="4" t="inlineStr">
        <is>
          <t>RB</t>
        </is>
      </c>
      <c r="AN199" s="4" t="inlineStr">
        <is>
          <t>Tomado completo desde archivo RB según asignación</t>
        </is>
      </c>
      <c r="AO199" s="4" t="n">
        <v>0</v>
      </c>
    </row>
    <row r="200" ht="320" customHeight="1">
      <c r="A200" s="4" t="n">
        <v>199</v>
      </c>
      <c r="B200" s="4" t="n">
        <v>217</v>
      </c>
      <c r="C200" s="4" t="inlineStr">
        <is>
          <t>Revisor B</t>
        </is>
      </c>
      <c r="D200" s="4" t="n"/>
      <c r="E200" s="4" t="n">
        <v>2024</v>
      </c>
      <c r="F200" s="4" t="inlineStr">
        <is>
          <t>Imagen</t>
        </is>
      </c>
      <c r="G200" s="4" t="inlineStr">
        <is>
          <t>Deep Learning</t>
        </is>
      </c>
      <c r="H200" s="4" t="inlineStr">
        <is>
          <t>https://doi.org/10.1038/s41598-024-71174-z</t>
        </is>
      </c>
      <c r="I200" s="4" t="inlineStr">
        <is>
          <t>Twinned neuroimaging analysis contributes to improving the classification of young people with autism spectrum disorder</t>
        </is>
      </c>
      <c r="J200" s="4" t="inlineStr">
        <is>
          <t>Autism spectrum disorder (ASD) is diagnosed using comprehensive behavioral information. Neuroimaging offers additional information but lacks clinical utility for diagnosis. This study investigates whether multi-forms of magnetic resonance imaging (MRI) contrast can be used individually and in combination to produce a categorical classification of young individuals with ASD. MRI data were accessed from the Autism Brain Imaging Data Exchange (ABIDE). Young participants (ages 2–30) were selected, and two group cohorts consisted of 702 participants: 351 ASD and 351 controls. Image-based classification was performed using one-channel and two-channel inputs to 3D-DenseNet deep learning networks. The models were trained and tested using tenfold cross-validation. Two-channel models were twinned with combinations of structural MRI (sMRI) maps and amplitude of low-frequency fluctuations (ALFF) or fractional ALFF (fALFF) maps from resting-state functional MRI (rs-fMRI). All models produced classification accuracy that exceeded 65.1%. The two-channel ALFF-sMRI model achieved the highest mean accuracy of 76.9% ± 2.34. The one-channel ALFF-based model alone had mean accuracy of 72% ± 3.1. This study leveraged the ABIDE dataset to produce ASD classification results that are comparable and/or exceed literature values. The deep learning approach was conducive to diverse neuroimaging inputs. Findings reveal that the ALFF-sMRI two-channel model outperformed all others.</t>
        </is>
      </c>
      <c r="K200" s="4" t="inlineStr">
        <is>
          <t>Supervised</t>
        </is>
      </c>
      <c r="L200" s="4" t="inlineStr">
        <is>
          <t>CNN</t>
        </is>
      </c>
      <c r="M200" s="4" t="inlineStr">
        <is>
          <t>Classification (binary/multi-class; incl. ASD vs control)/ multi-class)</t>
        </is>
      </c>
      <c r="N200" s="4" t="inlineStr">
        <is>
          <t>Diagnosis</t>
        </is>
      </c>
      <c r="O200" s="4" t="inlineStr">
        <is>
          <t>medium</t>
        </is>
      </c>
      <c r="P200" s="4" t="n">
        <v>0</v>
      </c>
      <c r="Q200" s="4" t="n">
        <v>0</v>
      </c>
      <c r="R200" s="4" t="n">
        <v>0</v>
      </c>
      <c r="S200" s="4" t="n">
        <v>0</v>
      </c>
      <c r="T200" s="4" t="n">
        <v>0</v>
      </c>
      <c r="U200" s="4" t="n">
        <v>0</v>
      </c>
      <c r="V200" s="4" t="n">
        <v>0</v>
      </c>
      <c r="W200" s="4" t="n">
        <v>0</v>
      </c>
      <c r="X200" s="4" t="n">
        <v>1</v>
      </c>
      <c r="Y200" s="4" t="n">
        <v>1</v>
      </c>
      <c r="Z200" s="4" t="n">
        <v>0</v>
      </c>
      <c r="AA200" s="4" t="n">
        <v>0</v>
      </c>
      <c r="AB200" s="4" t="inlineStr">
        <is>
          <t>1900-01-01</t>
        </is>
      </c>
      <c r="AC200" s="4" t="n">
        <v>0</v>
      </c>
      <c r="AD200" s="4" t="n">
        <v>0</v>
      </c>
      <c r="AE200" s="4" t="n">
        <v>0</v>
      </c>
      <c r="AF200" s="4" t="n">
        <v>0</v>
      </c>
      <c r="AG200" s="4" t="n">
        <v>0</v>
      </c>
      <c r="AH200" s="4" t="n">
        <v>0</v>
      </c>
      <c r="AI200" s="4" t="n">
        <v>0</v>
      </c>
      <c r="AJ200" s="4" t="inlineStr">
        <is>
          <t>1900-01-01</t>
        </is>
      </c>
      <c r="AK200" s="4" t="inlineStr">
        <is>
          <t>00:00:00</t>
        </is>
      </c>
      <c r="AL200" s="4" t="n"/>
      <c r="AM200" s="4" t="inlineStr">
        <is>
          <t>RB</t>
        </is>
      </c>
      <c r="AN200" s="4" t="inlineStr">
        <is>
          <t>Tomado completo desde archivo RB según asignación</t>
        </is>
      </c>
      <c r="AO200" s="4" t="n">
        <v>0</v>
      </c>
    </row>
    <row r="201" ht="333" customHeight="1">
      <c r="A201" s="4" t="n">
        <v>200</v>
      </c>
      <c r="B201" s="4" t="n">
        <v>218</v>
      </c>
      <c r="C201" s="4" t="inlineStr">
        <is>
          <t>Revisor A</t>
        </is>
      </c>
      <c r="D201" s="4" t="inlineStr">
        <is>
          <t>RA</t>
        </is>
      </c>
      <c r="E201" s="4" t="n">
        <v>2022</v>
      </c>
      <c r="F201" s="4" t="inlineStr">
        <is>
          <t>Imagen</t>
        </is>
      </c>
      <c r="G201" s="4" t="inlineStr">
        <is>
          <t>Deep Learning</t>
        </is>
      </c>
      <c r="H201" s="4" t="inlineStr">
        <is>
          <t>https://doi.org/10.1007/s13042-022-01554-2</t>
        </is>
      </c>
      <c r="I201" s="4" t="inlineStr">
        <is>
          <t>Using a small dataset to classify strength-interactions with an elastic display: a case study for the screening of autism spectrum disorder</t>
        </is>
      </c>
      <c r="J201" s="4" t="inlineStr">
        <is>
          <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t>
        </is>
      </c>
      <c r="K201" s="4" t="inlineStr">
        <is>
          <t>Supervised</t>
        </is>
      </c>
      <c r="L201" s="4" t="inlineStr">
        <is>
          <t>Other / Not clear</t>
        </is>
      </c>
      <c r="M201" s="4" t="inlineStr">
        <is>
          <t>Classification (ASD vs control / multi-class)</t>
        </is>
      </c>
      <c r="N201" s="4" t="inlineStr">
        <is>
          <t>Screening</t>
        </is>
      </c>
      <c r="O201" s="4" t="inlineStr">
        <is>
          <t>Medium</t>
        </is>
      </c>
      <c r="P201" s="4" t="n">
        <v>0</v>
      </c>
      <c r="Q201" s="4" t="n">
        <v>0</v>
      </c>
      <c r="R201" s="4" t="n">
        <v>0</v>
      </c>
      <c r="S201" s="4" t="n">
        <v>0</v>
      </c>
      <c r="T201" s="4" t="n">
        <v>0</v>
      </c>
      <c r="U201" s="4" t="n">
        <v>0</v>
      </c>
      <c r="V201" s="4" t="n">
        <v>1</v>
      </c>
      <c r="W201" s="4" t="n">
        <v>0</v>
      </c>
      <c r="X201" s="4" t="n">
        <v>1</v>
      </c>
      <c r="Y201" s="4" t="n">
        <v>0</v>
      </c>
      <c r="Z201" s="4" t="n">
        <v>0</v>
      </c>
      <c r="AA201" s="4" t="n">
        <v>0</v>
      </c>
      <c r="AB201" s="4" t="inlineStr">
        <is>
          <t>1900-01-01</t>
        </is>
      </c>
      <c r="AC201" s="4" t="n"/>
      <c r="AD201" s="4" t="n"/>
      <c r="AE201" s="4" t="n"/>
      <c r="AF201" s="4" t="n"/>
      <c r="AG201" s="4" t="n">
        <v>1</v>
      </c>
      <c r="AH201" s="4" t="n">
        <v>1</v>
      </c>
      <c r="AI201" s="4" t="inlineStr">
        <is>
          <t>sensor / other</t>
        </is>
      </c>
      <c r="AJ201" s="4" t="n"/>
      <c r="AK201" s="4" t="n"/>
      <c r="AL201" s="4" t="inlineStr">
        <is>
          <t>Algoritmo principal no explícito o fuera del codebook; Confirmar algoritmo principal en full-text</t>
        </is>
      </c>
      <c r="AM201" s="4" t="inlineStr">
        <is>
          <t>RA</t>
        </is>
      </c>
      <c r="AN201" s="4" t="inlineStr">
        <is>
          <t>Tomado completo desde archivo RA según asignación</t>
        </is>
      </c>
      <c r="AO201" s="4" t="n">
        <v>0</v>
      </c>
    </row>
    <row r="202" ht="320" customHeight="1">
      <c r="A202" s="4" t="n">
        <v>201</v>
      </c>
      <c r="B202" s="4" t="n">
        <v>219</v>
      </c>
      <c r="C202" s="4" t="inlineStr">
        <is>
          <t>Revisor B</t>
        </is>
      </c>
      <c r="D202" s="4" t="n"/>
      <c r="E202" s="4" t="n">
        <v>2024</v>
      </c>
      <c r="F202" s="4" t="inlineStr">
        <is>
          <t>Imagen</t>
        </is>
      </c>
      <c r="G202" s="4" t="inlineStr">
        <is>
          <t>Deep Learning</t>
        </is>
      </c>
      <c r="H202" s="4" t="inlineStr">
        <is>
          <t>https://doi.org/10.1007/s11596-024-2938-3</t>
        </is>
      </c>
      <c r="I202" s="4" t="inlineStr">
        <is>
          <t>Wearable EEG Neurofeedback Based-on Machine Learning Algorithms for Children with Autism: A Randomized, Placebo-controlled Study</t>
        </is>
      </c>
      <c r="J202" s="4" t="inlineStr">
        <is>
          <t>Objective: Behavioral interventions have been shown to ameliorate the electroencephalogram (EEG) dynamics underlying the behavioral symptoms of autism spectrum disorder (ASD), while studies have also demonstrated that mirror neuron mu rhythm-based EEG neurofeedback training improves the behavioral functioning of individuals with ASD. This study aimed to test the effects of a wearable mu rhythm neurofeedback training system based on machine learning algorithms for children with autism. Methods: A randomized, placebo-controlled study was carried out on 60 participants aged 3 to 6 years who were diagnosed with autism, at two center-based intervention sites. The neurofeedback group received active mu rhythm neurofeedback training, while the control group received a sham neurofeedback training. Other behavioral intervention programs were similar between the two groups. Results: After 60 sessions of treatment, both groups showed significant improvements in several domains including language, social and problem behavior. The neurofeedback group showed significantly greater improvements in expressive language (P=0.013) and cognitive awareness (including joint attention, P=0.003) than did the placebo-controlled group. Conclusion: Artificial intelligence-powered wearable EEG neurofeedback, as a type of brain-computer interface application, is a promising assistive technology that can provide targeted intervention for the core brain mechanisms underlying ASD symptoms.</t>
        </is>
      </c>
      <c r="K202" s="4" t="n"/>
      <c r="L202" s="4" t="n"/>
      <c r="M202" s="4" t="inlineStr">
        <is>
          <t>Wearable EEG neurofeedback intervention</t>
        </is>
      </c>
      <c r="N202" s="4" t="inlineStr">
        <is>
          <t>Monitoring/intervention</t>
        </is>
      </c>
      <c r="O202" s="4" t="n"/>
      <c r="P202" s="4" t="n"/>
      <c r="Q202" s="4" t="n"/>
      <c r="R202" s="4" t="n"/>
      <c r="S202" s="4" t="n"/>
      <c r="T202" s="4" t="n"/>
      <c r="U202" s="4" t="n"/>
      <c r="V202" s="4" t="n"/>
      <c r="W202" s="4" t="n">
        <v>0</v>
      </c>
      <c r="X202" s="4" t="n">
        <v>0</v>
      </c>
      <c r="Y202" s="4" t="n">
        <v>0</v>
      </c>
      <c r="Z202" s="4" t="n">
        <v>0</v>
      </c>
      <c r="AA202" s="4" t="n">
        <v>1</v>
      </c>
      <c r="AB202" s="4" t="inlineStr">
        <is>
          <t>1900-01-01</t>
        </is>
      </c>
      <c r="AC202" s="4" t="n">
        <v>0</v>
      </c>
      <c r="AD202" s="4" t="n">
        <v>0</v>
      </c>
      <c r="AE202" s="4" t="n">
        <v>1</v>
      </c>
      <c r="AF202" s="4" t="n">
        <v>0</v>
      </c>
      <c r="AG202" s="4" t="n"/>
      <c r="AH202" s="4" t="n"/>
      <c r="AI202" s="4" t="n"/>
      <c r="AJ202" s="4" t="inlineStr">
        <is>
          <t>1900-01-01</t>
        </is>
      </c>
      <c r="AK202" s="4" t="n"/>
      <c r="AL202" s="4" t="inlineStr">
        <is>
          <t>Menciona two center-based intervention sites; señal multisitio preliminar.</t>
        </is>
      </c>
      <c r="AM202" s="4" t="inlineStr">
        <is>
          <t>RA_fallback</t>
        </is>
      </c>
      <c r="AN202" s="4" t="inlineStr">
        <is>
          <t>Fallback a RA porque el ID no está en RB</t>
        </is>
      </c>
      <c r="AO202" s="4" t="n">
        <v>1</v>
      </c>
    </row>
    <row r="203" ht="333" customHeight="1">
      <c r="A203" s="4" t="n">
        <v>202</v>
      </c>
      <c r="B203" s="4" t="n">
        <v>220</v>
      </c>
      <c r="C203" s="4" t="inlineStr">
        <is>
          <t>Revisor B</t>
        </is>
      </c>
      <c r="D203" s="4" t="n"/>
      <c r="E203" s="4" t="n">
        <v>2025</v>
      </c>
      <c r="F203" s="4" t="inlineStr">
        <is>
          <t>No especificado</t>
        </is>
      </c>
      <c r="G203" s="4" t="inlineStr">
        <is>
          <t>Deep Learning</t>
        </is>
      </c>
      <c r="H203" s="4" t="inlineStr">
        <is>
          <t>https://doi.org/10.1007/s00521-025-11208-3</t>
        </is>
      </c>
      <c r="I203" s="4" t="inlineStr">
        <is>
          <t>1D-convolutional neural network and fast Walsh–Hadamard transform approach for diagnosing autism spectrum disorder</t>
        </is>
      </c>
      <c r="J203" s="4" t="inlineStr">
        <is>
          <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t>
        </is>
      </c>
      <c r="K203" s="4" t="inlineStr">
        <is>
          <t>Supervised</t>
        </is>
      </c>
      <c r="L203" s="4" t="inlineStr">
        <is>
          <t>CNN</t>
        </is>
      </c>
      <c r="M203" s="4" t="inlineStr">
        <is>
          <t>Classification (binary/multi-class; incl. ASD vs control)/ multi-class)</t>
        </is>
      </c>
      <c r="N203" s="4" t="inlineStr">
        <is>
          <t>diagnosis</t>
        </is>
      </c>
      <c r="O203" s="4" t="inlineStr">
        <is>
          <t>high</t>
        </is>
      </c>
      <c r="P203" s="4" t="n">
        <v>0</v>
      </c>
      <c r="Q203" s="4" t="n">
        <v>0</v>
      </c>
      <c r="R203" s="4" t="n">
        <v>0</v>
      </c>
      <c r="S203" s="4" t="n">
        <v>0</v>
      </c>
      <c r="T203" s="4" t="n">
        <v>0</v>
      </c>
      <c r="U203" s="4" t="n">
        <v>0</v>
      </c>
      <c r="V203" s="4" t="n">
        <v>0</v>
      </c>
      <c r="W203" s="4" t="n">
        <v>0</v>
      </c>
      <c r="X203" s="4" t="n">
        <v>0</v>
      </c>
      <c r="Y203" s="4" t="n">
        <v>1</v>
      </c>
      <c r="Z203" s="4" t="n">
        <v>0</v>
      </c>
      <c r="AA203" s="4" t="n">
        <v>0</v>
      </c>
      <c r="AB203" s="4" t="inlineStr">
        <is>
          <t>1900-01-01</t>
        </is>
      </c>
      <c r="AC203" s="4" t="n">
        <v>0</v>
      </c>
      <c r="AD203" s="4" t="n">
        <v>0</v>
      </c>
      <c r="AE203" s="4" t="n">
        <v>0</v>
      </c>
      <c r="AF203" s="4" t="n">
        <v>0</v>
      </c>
      <c r="AG203" s="4" t="n">
        <v>1</v>
      </c>
      <c r="AH203" s="4" t="n">
        <v>0</v>
      </c>
      <c r="AI203" s="4" t="n">
        <v>0</v>
      </c>
      <c r="AJ203" s="4" t="inlineStr">
        <is>
          <t>00:00:00</t>
        </is>
      </c>
      <c r="AK203" s="4" t="inlineStr">
        <is>
          <t>00:00:00</t>
        </is>
      </c>
      <c r="AL203" s="4" t="n"/>
      <c r="AM203" s="4" t="inlineStr">
        <is>
          <t>RB</t>
        </is>
      </c>
      <c r="AN203" s="4" t="inlineStr">
        <is>
          <t>Tomado completo desde archivo RB según asignación</t>
        </is>
      </c>
      <c r="AO203" s="4" t="n">
        <v>0</v>
      </c>
    </row>
    <row r="204" ht="409" customHeight="1">
      <c r="A204" s="4" t="n">
        <v>203</v>
      </c>
      <c r="B204" s="4" t="n">
        <v>221</v>
      </c>
      <c r="C204" s="4" t="inlineStr">
        <is>
          <t>Revisor A</t>
        </is>
      </c>
      <c r="D204" s="4" t="inlineStr">
        <is>
          <t>RA</t>
        </is>
      </c>
      <c r="E204" s="4" t="n">
        <v>2023</v>
      </c>
      <c r="F204" s="4" t="inlineStr">
        <is>
          <t>No especificado</t>
        </is>
      </c>
      <c r="G204" s="4" t="inlineStr">
        <is>
          <t>Machine Learning</t>
        </is>
      </c>
      <c r="H204" s="4" t="inlineStr">
        <is>
          <t>https://doi.org/10.1186/S12859-023-05501-Y</t>
        </is>
      </c>
      <c r="I204" s="4" t="inlineStr">
        <is>
          <t>A hybrid Stacking-SMOTE model for optimizing the prediction of autistic genes</t>
        </is>
      </c>
      <c r="J204" s="4" t="inlineStr">
        <is>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t>
        </is>
      </c>
      <c r="K204" s="4" t="inlineStr">
        <is>
          <t>Supervised</t>
        </is>
      </c>
      <c r="L204" s="4" t="inlineStr">
        <is>
          <t>Other / Not clear</t>
        </is>
      </c>
      <c r="M204" s="4" t="inlineStr">
        <is>
          <t>Prediction (time-to-event / prognosis)</t>
        </is>
      </c>
      <c r="N204" s="4" t="inlineStr">
        <is>
          <t>Diagnosis</t>
        </is>
      </c>
      <c r="O204" s="4" t="inlineStr">
        <is>
          <t>High</t>
        </is>
      </c>
      <c r="P204" s="4" t="n">
        <v>0</v>
      </c>
      <c r="Q204" s="4" t="n">
        <v>0</v>
      </c>
      <c r="R204" s="4" t="n">
        <v>0</v>
      </c>
      <c r="S204" s="4" t="n">
        <v>0</v>
      </c>
      <c r="T204" s="4" t="n">
        <v>0</v>
      </c>
      <c r="U204" s="4" t="n">
        <v>1</v>
      </c>
      <c r="V204" s="4" t="n">
        <v>0</v>
      </c>
      <c r="W204" s="4" t="n">
        <v>0</v>
      </c>
      <c r="X204" s="4" t="n">
        <v>0</v>
      </c>
      <c r="Y204" s="4" t="n">
        <v>1</v>
      </c>
      <c r="Z204" s="4" t="n">
        <v>0</v>
      </c>
      <c r="AA204" s="4" t="n">
        <v>0</v>
      </c>
      <c r="AB204" s="4" t="inlineStr">
        <is>
          <t>00:00:00</t>
        </is>
      </c>
      <c r="AC204" s="4" t="n"/>
      <c r="AD204" s="4" t="n"/>
      <c r="AE204" s="4" t="n"/>
      <c r="AF204" s="4" t="n"/>
      <c r="AG204" s="4" t="n">
        <v>1</v>
      </c>
      <c r="AH204" s="4" t="n">
        <v>1</v>
      </c>
      <c r="AI204" s="4" t="n"/>
      <c r="AJ204" s="4" t="n"/>
      <c r="AK204" s="4" t="n"/>
      <c r="AL204" s="4" t="inlineStr">
        <is>
          <t>Algoritmo principal no explícito o fuera del codebook; Confirmar algoritmo principal en full-text</t>
        </is>
      </c>
      <c r="AM204" s="4" t="inlineStr">
        <is>
          <t>RA</t>
        </is>
      </c>
      <c r="AN204" s="4" t="inlineStr">
        <is>
          <t>Tomado completo desde archivo RA según asignación</t>
        </is>
      </c>
      <c r="AO204" s="4" t="n">
        <v>0</v>
      </c>
    </row>
    <row r="205" ht="409" customHeight="1">
      <c r="A205" s="4" t="n">
        <v>204</v>
      </c>
      <c r="B205" s="4" t="n">
        <v>222</v>
      </c>
      <c r="C205" s="4" t="inlineStr">
        <is>
          <t>Revisor A</t>
        </is>
      </c>
      <c r="D205" s="4" t="inlineStr">
        <is>
          <t>RA</t>
        </is>
      </c>
      <c r="E205" s="4" t="n">
        <v>2021</v>
      </c>
      <c r="F205" s="4" t="inlineStr">
        <is>
          <t>Imagen</t>
        </is>
      </c>
      <c r="G205" s="4" t="inlineStr">
        <is>
          <t>Machine Learning</t>
        </is>
      </c>
      <c r="H205" s="4" t="inlineStr">
        <is>
          <t>https://doi.org/10.1002/AUR.2595</t>
        </is>
      </c>
      <c r="I205" s="4" t="inlineStr">
        <is>
          <t>An amygdala-centered hyper-connectivity signature of threatening face processing predicts anxiety in youths with autism spectrum conditions</t>
        </is>
      </c>
      <c r="J205" s="4" t="inlineStr">
        <is>
          <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t>
        </is>
      </c>
      <c r="K205" s="4" t="inlineStr">
        <is>
          <t>Supervised</t>
        </is>
      </c>
      <c r="L205" s="4" t="inlineStr">
        <is>
          <t>SVM</t>
        </is>
      </c>
      <c r="M205" s="4" t="inlineStr">
        <is>
          <t>Prediction (time-to-event / prognosis)</t>
        </is>
      </c>
      <c r="N205" s="4" t="inlineStr">
        <is>
          <t>Monitoring/intervention</t>
        </is>
      </c>
      <c r="O205" s="4" t="inlineStr">
        <is>
          <t>High</t>
        </is>
      </c>
      <c r="P205" s="4" t="n">
        <v>1</v>
      </c>
      <c r="Q205" s="4" t="n">
        <v>0</v>
      </c>
      <c r="R205" s="4" t="n">
        <v>0</v>
      </c>
      <c r="S205" s="4" t="n">
        <v>0</v>
      </c>
      <c r="T205" s="4" t="n">
        <v>0</v>
      </c>
      <c r="U205" s="4" t="n">
        <v>0</v>
      </c>
      <c r="V205" s="4" t="n">
        <v>0</v>
      </c>
      <c r="W205" s="4" t="n">
        <v>0</v>
      </c>
      <c r="X205" s="4" t="n">
        <v>0</v>
      </c>
      <c r="Y205" s="4" t="n">
        <v>0</v>
      </c>
      <c r="Z205" s="4" t="n">
        <v>1</v>
      </c>
      <c r="AA205" s="4" t="n">
        <v>1</v>
      </c>
      <c r="AB205" s="4" t="inlineStr">
        <is>
          <t>00:00:00</t>
        </is>
      </c>
      <c r="AC205" s="4" t="n"/>
      <c r="AD205" s="4" t="n"/>
      <c r="AE205" s="4" t="n"/>
      <c r="AF205" s="4" t="n"/>
      <c r="AG205" s="4" t="n">
        <v>1</v>
      </c>
      <c r="AH205" s="4" t="n">
        <v>1</v>
      </c>
      <c r="AI205" s="4" t="n"/>
      <c r="AJ205" s="4" t="n"/>
      <c r="AK205" s="4" t="n"/>
      <c r="AL205" s="4" t="inlineStr">
        <is>
          <t>Usa fMRI de procesamiento de amenaza para predecir ansiedad en jóvenes con ASC.</t>
        </is>
      </c>
      <c r="AM205" s="4" t="inlineStr">
        <is>
          <t>RA</t>
        </is>
      </c>
      <c r="AN205" s="4" t="inlineStr">
        <is>
          <t>Tomado completo desde archivo RA según asignación</t>
        </is>
      </c>
      <c r="AO205" s="4" t="n">
        <v>0</v>
      </c>
    </row>
    <row r="206" ht="281" customHeight="1">
      <c r="A206" s="4" t="n">
        <v>205</v>
      </c>
      <c r="B206" s="4" t="n">
        <v>223</v>
      </c>
      <c r="C206" s="4" t="inlineStr">
        <is>
          <t>Revisor B</t>
        </is>
      </c>
      <c r="D206" s="4" t="n"/>
      <c r="E206" s="4" t="n">
        <v>2024</v>
      </c>
      <c r="F206" s="4" t="inlineStr">
        <is>
          <t>No especificado</t>
        </is>
      </c>
      <c r="G206" s="4" t="inlineStr">
        <is>
          <t>Machine Learning</t>
        </is>
      </c>
      <c r="H206" s="4" t="inlineStr">
        <is>
          <t>https://doi.org/10.1002/CPE.7898</t>
        </is>
      </c>
      <c r="I206" s="4" t="inlineStr">
        <is>
          <t>An effective autism spectrum disorder screening method using machine learning classification techniques</t>
        </is>
      </c>
      <c r="J206" s="4" t="inlineStr">
        <is>
          <t>Nowadays, autism spectrum disorder (ASD) is one of the fastest-growing developmental disorders globally. Screening test consumes more time and expensive to detect the autism signs. Due to advances in artificial intelligence and machine learning (ML), Autism can be predicted at the initial stage. Numerous researches have been conducted using different methods, but none of these researches presented any anticipated results about the capability to predict autism traits under different age groups. Therefore, this paper proposes an effectual prediction method based upon ML strategy to develop a mobile application for predicting ASD of any age people. The autism prediction model is developed by five ML classifiers, such as Gaussian Naive Bayes, Decision Tree Classifier, K-Nearest Neighbors (KNN), Multinomial Logistic Regression (MLR), Support Vector Machine (SVM) and also a mobile application is developed using proposed prediction method. The proposed method is analyzed with IAPQ records gathered from certain areas in Erode district, Tamil Nadu, India. From the analysis, the SVM classifier achieves maximum sensitivity of 23.14%, 6.04%, 5.89%, 11.03% than other classifiers, like Gaussian Naive Bayes, Decision Tree Classifier, KNN, and MLR.</t>
        </is>
      </c>
      <c r="K206" s="4" t="inlineStr">
        <is>
          <t>Supervised</t>
        </is>
      </c>
      <c r="L206" s="4" t="inlineStr">
        <is>
          <t>SVM</t>
        </is>
      </c>
      <c r="M206" s="4" t="inlineStr">
        <is>
          <t>Classification (binary/multi-class; incl. ASD vs control)/ multi-class)</t>
        </is>
      </c>
      <c r="N206" s="4" t="inlineStr">
        <is>
          <t>Diagnosis</t>
        </is>
      </c>
      <c r="O206" s="4" t="inlineStr">
        <is>
          <t>high</t>
        </is>
      </c>
      <c r="P206" s="4" t="n">
        <v>0</v>
      </c>
      <c r="Q206" s="4" t="n">
        <v>1</v>
      </c>
      <c r="R206" s="4" t="n">
        <v>1</v>
      </c>
      <c r="S206" s="4" t="n">
        <v>0</v>
      </c>
      <c r="T206" s="4" t="n">
        <v>0</v>
      </c>
      <c r="U206" s="4" t="n">
        <v>0</v>
      </c>
      <c r="V206" s="4" t="n">
        <v>0</v>
      </c>
      <c r="W206" s="4" t="n">
        <v>0</v>
      </c>
      <c r="X206" s="4" t="n">
        <v>0</v>
      </c>
      <c r="Y206" s="4" t="n">
        <v>0</v>
      </c>
      <c r="Z206" s="4" t="n">
        <v>0</v>
      </c>
      <c r="AA206" s="4" t="n">
        <v>0</v>
      </c>
      <c r="AB206" s="4" t="inlineStr">
        <is>
          <t>1900-01-01</t>
        </is>
      </c>
      <c r="AC206" s="4" t="n">
        <v>0</v>
      </c>
      <c r="AD206" s="4" t="n">
        <v>0</v>
      </c>
      <c r="AE206" s="4" t="n">
        <v>0</v>
      </c>
      <c r="AF206" s="4" t="n">
        <v>1</v>
      </c>
      <c r="AG206" s="4" t="n">
        <v>0</v>
      </c>
      <c r="AH206" s="4" t="n">
        <v>2</v>
      </c>
      <c r="AI206" s="4" t="n">
        <v>0</v>
      </c>
      <c r="AJ206" s="4" t="inlineStr">
        <is>
          <t>1900-01-01</t>
        </is>
      </c>
      <c r="AK206" s="4" t="inlineStr">
        <is>
          <t>1900-01-01</t>
        </is>
      </c>
      <c r="AL206" s="4" t="n"/>
      <c r="AM206" s="4" t="inlineStr">
        <is>
          <t>RB</t>
        </is>
      </c>
      <c r="AN206" s="4" t="inlineStr">
        <is>
          <t>Tomado completo desde archivo RB según asignación</t>
        </is>
      </c>
      <c r="AO206" s="4" t="n">
        <v>0</v>
      </c>
    </row>
    <row r="207" ht="359" customHeight="1">
      <c r="A207" s="4" t="n">
        <v>206</v>
      </c>
      <c r="B207" s="4" t="n">
        <v>224</v>
      </c>
      <c r="C207" s="4" t="inlineStr">
        <is>
          <t>Revisor B</t>
        </is>
      </c>
      <c r="D207" s="4" t="n"/>
      <c r="E207" s="4" t="n">
        <v>2025</v>
      </c>
      <c r="F207" s="4" t="inlineStr">
        <is>
          <t>Señales fisiológicas</t>
        </is>
      </c>
      <c r="G207" s="4" t="inlineStr">
        <is>
          <t>Deep Learning</t>
        </is>
      </c>
      <c r="H207" s="4" t="inlineStr">
        <is>
          <t>https://doi.org/10.1016/j.cmpb.2025.108921</t>
        </is>
      </c>
      <c r="I207" s="4" t="inlineStr">
        <is>
          <t>An ensemble classifier for emotion classification from EEG and GSR signals for autism detection</t>
        </is>
      </c>
      <c r="J207" s="4"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K207" s="4" t="n"/>
      <c r="L207" s="4" t="n"/>
      <c r="M207" s="4" t="inlineStr">
        <is>
          <t>Emotion classification / physiological monitoring</t>
        </is>
      </c>
      <c r="N207" s="4" t="inlineStr">
        <is>
          <t>Monitoring/intervention</t>
        </is>
      </c>
      <c r="O207" s="4" t="inlineStr">
        <is>
          <t>medium</t>
        </is>
      </c>
      <c r="P207" s="4" t="n">
        <v>0</v>
      </c>
      <c r="Q207" s="4" t="n">
        <v>0</v>
      </c>
      <c r="R207" s="4" t="n">
        <v>1</v>
      </c>
      <c r="S207" s="4" t="n">
        <v>0</v>
      </c>
      <c r="T207" s="4" t="n">
        <v>0</v>
      </c>
      <c r="U207" s="4" t="n">
        <v>0</v>
      </c>
      <c r="V207" s="4" t="n">
        <v>0</v>
      </c>
      <c r="W207" s="4" t="n">
        <v>0</v>
      </c>
      <c r="X207" s="4" t="n">
        <v>0</v>
      </c>
      <c r="Y207" s="4" t="n">
        <v>0</v>
      </c>
      <c r="Z207" s="4" t="n">
        <v>0</v>
      </c>
      <c r="AA207" s="4" t="n">
        <v>1</v>
      </c>
      <c r="AB207" s="4" t="inlineStr">
        <is>
          <t>1900-01-01</t>
        </is>
      </c>
      <c r="AC207" s="4" t="n">
        <v>0</v>
      </c>
      <c r="AD207" s="4" t="n">
        <v>0</v>
      </c>
      <c r="AE207" s="4" t="n">
        <v>0</v>
      </c>
      <c r="AF207" s="4" t="n">
        <v>0</v>
      </c>
      <c r="AG207" s="4" t="n">
        <v>0</v>
      </c>
      <c r="AH207" s="4" t="n">
        <v>1</v>
      </c>
      <c r="AI207" s="4" t="n">
        <v>0</v>
      </c>
      <c r="AJ207" s="4" t="inlineStr">
        <is>
          <t>1900-01-01</t>
        </is>
      </c>
      <c r="AK207" s="4" t="inlineStr">
        <is>
          <t>00:00:00</t>
        </is>
      </c>
      <c r="AL207" s="4" t="n"/>
      <c r="AM207" s="4" t="inlineStr">
        <is>
          <t>RB</t>
        </is>
      </c>
      <c r="AN207" s="4" t="inlineStr">
        <is>
          <t>Tomado completo desde archivo RB según asignación</t>
        </is>
      </c>
      <c r="AO207" s="4" t="n">
        <v>0</v>
      </c>
    </row>
    <row r="208" ht="177" customHeight="1">
      <c r="A208" s="4" t="n">
        <v>207</v>
      </c>
      <c r="B208" s="4" t="n">
        <v>225</v>
      </c>
      <c r="C208" s="4" t="inlineStr">
        <is>
          <t>Revisor A</t>
        </is>
      </c>
      <c r="D208" s="4" t="inlineStr">
        <is>
          <t>RA</t>
        </is>
      </c>
      <c r="E208" s="4" t="n">
        <v>2019</v>
      </c>
      <c r="F208" s="4" t="inlineStr">
        <is>
          <t>Imagen</t>
        </is>
      </c>
      <c r="G208" s="4" t="inlineStr">
        <is>
          <t>Deep Learning</t>
        </is>
      </c>
      <c r="H208" s="4" t="inlineStr">
        <is>
          <t>https://doi.org/10.1007/s10803-018-3690-y</t>
        </is>
      </c>
      <c r="I208" s="4" t="inlineStr">
        <is>
          <t>Applying Eye Tracking to Identify Autism Spectrum Disorder in Children</t>
        </is>
      </c>
      <c r="J208" s="4" t="inlineStr">
        <is>
          <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t>
        </is>
      </c>
      <c r="K208" s="4" t="inlineStr">
        <is>
          <t>Supervised</t>
        </is>
      </c>
      <c r="L208" s="4" t="inlineStr">
        <is>
          <t>Other / Not clear</t>
        </is>
      </c>
      <c r="M208" s="4" t="inlineStr">
        <is>
          <t>Classification (ASD vs control / multi-class)</t>
        </is>
      </c>
      <c r="N208" s="4" t="inlineStr">
        <is>
          <t>Screening</t>
        </is>
      </c>
      <c r="O208" s="4" t="inlineStr">
        <is>
          <t>High</t>
        </is>
      </c>
      <c r="P208" s="4" t="n">
        <v>0</v>
      </c>
      <c r="Q208" s="4" t="n">
        <v>0</v>
      </c>
      <c r="R208" s="4" t="n">
        <v>1</v>
      </c>
      <c r="S208" s="4" t="n">
        <v>0</v>
      </c>
      <c r="T208" s="4" t="n">
        <v>0</v>
      </c>
      <c r="U208" s="4" t="n">
        <v>0</v>
      </c>
      <c r="V208" s="4" t="n">
        <v>0</v>
      </c>
      <c r="W208" s="4" t="n">
        <v>0</v>
      </c>
      <c r="X208" s="4" t="n">
        <v>1</v>
      </c>
      <c r="Y208" s="4" t="n">
        <v>0</v>
      </c>
      <c r="Z208" s="4" t="n">
        <v>0</v>
      </c>
      <c r="AA208" s="4" t="n">
        <v>0</v>
      </c>
      <c r="AB208" s="4" t="inlineStr">
        <is>
          <t>1900-01-01</t>
        </is>
      </c>
      <c r="AC208" s="4" t="n"/>
      <c r="AD208" s="4" t="n"/>
      <c r="AE208" s="4" t="n"/>
      <c r="AF208" s="4" t="n"/>
      <c r="AG208" s="4" t="n">
        <v>1</v>
      </c>
      <c r="AH208" s="4" t="n">
        <v>1</v>
      </c>
      <c r="AI208" s="4" t="n"/>
      <c r="AJ208" s="4" t="n"/>
      <c r="AK208" s="4" t="n"/>
      <c r="AL208" s="4" t="inlineStr">
        <is>
          <t>Algoritmo principal no explícito o fuera del codebook; Confirmar algoritmo principal en full-text</t>
        </is>
      </c>
      <c r="AM208" s="4" t="inlineStr">
        <is>
          <t>RA</t>
        </is>
      </c>
      <c r="AN208" s="4" t="inlineStr">
        <is>
          <t>Tomado completo desde archivo RA según asignación</t>
        </is>
      </c>
      <c r="AO208" s="4" t="n">
        <v>0</v>
      </c>
    </row>
    <row r="209" ht="229" customHeight="1">
      <c r="A209" s="4" t="n">
        <v>208</v>
      </c>
      <c r="B209" s="4" t="n">
        <v>226</v>
      </c>
      <c r="C209" s="4" t="inlineStr">
        <is>
          <t>Revisor A</t>
        </is>
      </c>
      <c r="D209" s="4" t="inlineStr">
        <is>
          <t>RA</t>
        </is>
      </c>
      <c r="E209" s="4" t="n">
        <v>2023</v>
      </c>
      <c r="F209" s="4" t="inlineStr">
        <is>
          <t>Imagen</t>
        </is>
      </c>
      <c r="G209" s="4" t="inlineStr">
        <is>
          <t>Deep Learning</t>
        </is>
      </c>
      <c r="H209" s="4" t="inlineStr">
        <is>
          <t>https://doi.org/10.1016/j.compeleceng.2023.108720</t>
        </is>
      </c>
      <c r="I209" s="4" t="inlineStr">
        <is>
          <t>Artificial intelligence and sensor-based autism spectrum disorder diagnosis using brain connectivity analysis</t>
        </is>
      </c>
      <c r="J209" s="4" t="inlineStr">
        <is>
          <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t>
        </is>
      </c>
      <c r="K209" s="4" t="inlineStr">
        <is>
          <t>Supervised</t>
        </is>
      </c>
      <c r="L209" s="4" t="inlineStr">
        <is>
          <t>Other / Not clear</t>
        </is>
      </c>
      <c r="M209" s="4" t="inlineStr">
        <is>
          <t>Classification (ASD vs control / multi-class)</t>
        </is>
      </c>
      <c r="N209" s="4" t="inlineStr">
        <is>
          <t>Diagnosis</t>
        </is>
      </c>
      <c r="O209" s="4" t="inlineStr">
        <is>
          <t>Medium</t>
        </is>
      </c>
      <c r="P209" s="4" t="n">
        <v>1</v>
      </c>
      <c r="Q209" s="4" t="n">
        <v>0</v>
      </c>
      <c r="R209" s="4" t="n">
        <v>0</v>
      </c>
      <c r="S209" s="4" t="n">
        <v>0</v>
      </c>
      <c r="T209" s="4" t="n">
        <v>0</v>
      </c>
      <c r="U209" s="4" t="n">
        <v>0</v>
      </c>
      <c r="V209" s="4" t="n">
        <v>0</v>
      </c>
      <c r="W209" s="4" t="n">
        <v>0</v>
      </c>
      <c r="X209" s="4" t="n">
        <v>0</v>
      </c>
      <c r="Y209" s="4" t="n">
        <v>1</v>
      </c>
      <c r="Z209" s="4" t="n">
        <v>0</v>
      </c>
      <c r="AA209" s="4" t="n">
        <v>0</v>
      </c>
      <c r="AB209" s="4" t="inlineStr">
        <is>
          <t>1900-01-01</t>
        </is>
      </c>
      <c r="AC209" s="4" t="n"/>
      <c r="AD209" s="4" t="n"/>
      <c r="AE209" s="4" t="n"/>
      <c r="AF209" s="4" t="n"/>
      <c r="AG209" s="4" t="n">
        <v>1</v>
      </c>
      <c r="AH209" s="4" t="n">
        <v>1</v>
      </c>
      <c r="AI209" s="4" t="inlineStr">
        <is>
          <t>sensor / other</t>
        </is>
      </c>
      <c r="AJ209" s="4" t="n"/>
      <c r="AK209" s="4" t="n"/>
      <c r="AL209" s="4" t="inlineStr">
        <is>
          <t>Algoritmo principal no explícito o fuera del codebook; Confirmar algoritmo principal en full-text</t>
        </is>
      </c>
      <c r="AM209" s="4" t="inlineStr">
        <is>
          <t>RA</t>
        </is>
      </c>
      <c r="AN209" s="4" t="inlineStr">
        <is>
          <t>Tomado completo desde archivo RA según asignación</t>
        </is>
      </c>
      <c r="AO209" s="4" t="n">
        <v>0</v>
      </c>
    </row>
    <row r="210" ht="346" customHeight="1">
      <c r="A210" s="4" t="n">
        <v>209</v>
      </c>
      <c r="B210" s="4" t="n">
        <v>227</v>
      </c>
      <c r="C210" s="4" t="inlineStr">
        <is>
          <t>Revisor B</t>
        </is>
      </c>
      <c r="D210" s="4" t="n"/>
      <c r="E210" s="4" t="n">
        <v>2024</v>
      </c>
      <c r="F210" s="4" t="inlineStr">
        <is>
          <t>Imagen</t>
        </is>
      </c>
      <c r="G210" s="4" t="inlineStr">
        <is>
          <t>Híbrido</t>
        </is>
      </c>
      <c r="H210" s="4" t="inlineStr">
        <is>
          <t>https://doi.org/10.1109/TLT.2024.3409702</t>
        </is>
      </c>
      <c r="I210" s="4" t="inlineStr">
        <is>
          <t>Attention Level Evaluation in Children With Autism: Leveraging Head Pose and Gaze Parameters From Videos for Educational Intervention</t>
        </is>
      </c>
      <c r="J210" s="4" t="inlineStr">
        <is>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is>
      </c>
      <c r="K210" s="4" t="n"/>
      <c r="L210" s="4" t="n"/>
      <c r="M210" s="4" t="inlineStr">
        <is>
          <t>Attention evaluation for educational intervention</t>
        </is>
      </c>
      <c r="N210" s="4" t="inlineStr">
        <is>
          <t>Monitoring/intervention</t>
        </is>
      </c>
      <c r="O210" s="4" t="n"/>
      <c r="P210" s="4" t="n"/>
      <c r="Q210" s="4" t="n"/>
      <c r="R210" s="4" t="n"/>
      <c r="S210" s="4" t="n"/>
      <c r="T210" s="4" t="n"/>
      <c r="U210" s="4" t="n"/>
      <c r="V210" s="4" t="n"/>
      <c r="W210" s="4" t="n">
        <v>0</v>
      </c>
      <c r="X210" s="4" t="n">
        <v>0</v>
      </c>
      <c r="Y210" s="4" t="n">
        <v>0</v>
      </c>
      <c r="Z210" s="4" t="n">
        <v>0</v>
      </c>
      <c r="AA210" s="4" t="n">
        <v>1</v>
      </c>
      <c r="AB210" s="4" t="inlineStr">
        <is>
          <t>1900-01-01</t>
        </is>
      </c>
      <c r="AC210" s="4" t="n">
        <v>0</v>
      </c>
      <c r="AD210" s="4" t="n">
        <v>0</v>
      </c>
      <c r="AE210" s="4" t="n">
        <v>0</v>
      </c>
      <c r="AF210" s="4" t="n">
        <v>1</v>
      </c>
      <c r="AG210" s="4" t="n"/>
      <c r="AH210" s="4" t="n"/>
      <c r="AI210" s="4" t="n"/>
      <c r="AJ210" s="4" t="inlineStr">
        <is>
          <t>1900-01-01</t>
        </is>
      </c>
      <c r="AK210" s="4" t="n"/>
      <c r="AL210" s="4" t="inlineStr">
        <is>
          <t>Combina señales conductuales y estrategia explícita de ensemble.</t>
        </is>
      </c>
      <c r="AM210" s="4" t="inlineStr">
        <is>
          <t>RA_fallback</t>
        </is>
      </c>
      <c r="AN210" s="4" t="inlineStr">
        <is>
          <t>Fallback a RA porque el ID no está en RB</t>
        </is>
      </c>
      <c r="AO210" s="4" t="n">
        <v>1</v>
      </c>
    </row>
    <row r="211" ht="229" customHeight="1">
      <c r="A211" s="4" t="n">
        <v>210</v>
      </c>
      <c r="B211" s="4" t="n">
        <v>228</v>
      </c>
      <c r="C211" s="4" t="inlineStr">
        <is>
          <t>Revisor B</t>
        </is>
      </c>
      <c r="D211" s="4" t="n"/>
      <c r="E211" s="4" t="n">
        <v>2024</v>
      </c>
      <c r="F211" s="4" t="inlineStr">
        <is>
          <t>No especificado</t>
        </is>
      </c>
      <c r="G211" s="4" t="inlineStr">
        <is>
          <t>Deep Learning</t>
        </is>
      </c>
      <c r="H211" s="4" t="inlineStr">
        <is>
          <t>https://doi.org/10.1007/978-981-99-8558-6_35</t>
        </is>
      </c>
      <c r="I211" s="4" t="inlineStr">
        <is>
          <t>Autism Spectrum Disorder Diagnosis Using Graph Neural Network Based on\&amp;#xa0;Graph Pooling and\&amp;#xa0;Self-adjust Filter</t>
        </is>
      </c>
      <c r="J211" s="4" t="inlineStr">
        <is>
          <t>Currently, accurately identifying autism spectrum disorders (ASD) still have challenges. However, graph neural network used for ASD diagnosis only focus on the part of abnormal brain functional connectivity, ignoring the effects between brain regions and the help of phenotypic information, and the kernel is also pre-defined. To solve the above problems, a graph neural network based on self-attention graph pooling and self-adjust filter is proposed for ASD diagnosis. Specifically, first, self-attention graph pooling is used for feature extraction of the fMRI to account for the influence of nodes with abnormal brain functional connectivity and activity between brain regions in fMRI data. Then, image features were taken as graph nodes and phenotypic information as edges to form a population graph. Finally, to focus on both high and low frequency information in the graph, a graph neural network based on self-adjust filter is used to learn node embedding. Experimental results on ABIDE I showed the effectiveness of the proposed method.</t>
        </is>
      </c>
      <c r="K211" s="4" t="n"/>
      <c r="L211" s="4" t="n"/>
      <c r="M211" s="4" t="inlineStr">
        <is>
          <t>GNN diagnostic classification</t>
        </is>
      </c>
      <c r="N211" s="4" t="inlineStr">
        <is>
          <t>Diagnosis</t>
        </is>
      </c>
      <c r="O211" s="4" t="n"/>
      <c r="P211" s="4" t="n"/>
      <c r="Q211" s="4" t="n"/>
      <c r="R211" s="4" t="n"/>
      <c r="S211" s="4" t="n"/>
      <c r="T211" s="4" t="n"/>
      <c r="U211" s="4" t="n"/>
      <c r="V211" s="4" t="n"/>
      <c r="W211" s="4" t="n">
        <v>0</v>
      </c>
      <c r="X211" s="4" t="n">
        <v>0</v>
      </c>
      <c r="Y211" s="4" t="n">
        <v>1</v>
      </c>
      <c r="Z211" s="4" t="n">
        <v>0</v>
      </c>
      <c r="AA211" s="4" t="n">
        <v>0</v>
      </c>
      <c r="AB211" s="4" t="inlineStr">
        <is>
          <t>1900-01-01</t>
        </is>
      </c>
      <c r="AC211" s="4" t="n">
        <v>0</v>
      </c>
      <c r="AD211" s="4" t="n">
        <v>0</v>
      </c>
      <c r="AE211" s="4" t="n">
        <v>1</v>
      </c>
      <c r="AF211" s="4" t="n">
        <v>1</v>
      </c>
      <c r="AG211" s="4" t="n"/>
      <c r="AH211" s="4" t="n"/>
      <c r="AI211" s="4" t="n"/>
      <c r="AJ211" s="4" t="inlineStr">
        <is>
          <t>1900-01-01</t>
        </is>
      </c>
      <c r="AK211" s="4" t="n"/>
      <c r="AL211" s="4" t="inlineStr">
        <is>
          <t>ABIDE I + integración de fMRI con datos fenotípicos.</t>
        </is>
      </c>
      <c r="AM211" s="4" t="inlineStr">
        <is>
          <t>RA_fallback</t>
        </is>
      </c>
      <c r="AN211" s="4" t="inlineStr">
        <is>
          <t>Fallback a RA porque el ID no está en RB</t>
        </is>
      </c>
      <c r="AO211" s="4" t="n">
        <v>1</v>
      </c>
    </row>
    <row r="212" ht="320" customHeight="1">
      <c r="A212" s="4" t="n">
        <v>211</v>
      </c>
      <c r="B212" s="4" t="n">
        <v>229</v>
      </c>
      <c r="C212" s="4" t="inlineStr">
        <is>
          <t>Revisor B</t>
        </is>
      </c>
      <c r="D212" s="4" t="n"/>
      <c r="E212" s="4" t="n">
        <v>2020</v>
      </c>
      <c r="F212" s="4" t="inlineStr">
        <is>
          <t>No especificado</t>
        </is>
      </c>
      <c r="G212" s="4" t="inlineStr">
        <is>
          <t>Deep Learning</t>
        </is>
      </c>
      <c r="H212" s="4" t="inlineStr">
        <is>
          <t>https://doi.org/10.1007/978-3-030-46165-2_4</t>
        </is>
      </c>
      <c r="I212" s="4" t="inlineStr">
        <is>
          <t>Autoencoder Based Methods for Diagnosis of Autism Spectrum Disorder</t>
        </is>
      </c>
      <c r="J212" s="4" t="inlineStr">
        <is>
          <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t>
        </is>
      </c>
      <c r="K212" s="4" t="inlineStr">
        <is>
          <t>Not clear</t>
        </is>
      </c>
      <c r="L212" s="4" t="inlineStr">
        <is>
          <t>Autoencoder</t>
        </is>
      </c>
      <c r="M212" s="4" t="inlineStr">
        <is>
          <t>Classification (binary/multi-class; incl. ASD vs control)/ multi-class)</t>
        </is>
      </c>
      <c r="N212" s="4" t="inlineStr">
        <is>
          <t>diagnosis</t>
        </is>
      </c>
      <c r="O212" s="4" t="inlineStr">
        <is>
          <t>high</t>
        </is>
      </c>
      <c r="P212" s="4" t="n">
        <v>1</v>
      </c>
      <c r="Q212" s="4" t="n">
        <v>0</v>
      </c>
      <c r="R212" s="4" t="n">
        <v>0</v>
      </c>
      <c r="S212" s="4" t="n">
        <v>0</v>
      </c>
      <c r="T212" s="4" t="n">
        <v>0</v>
      </c>
      <c r="U212" s="4" t="n">
        <v>0</v>
      </c>
      <c r="V212" s="4" t="n">
        <v>0</v>
      </c>
      <c r="W212" s="4" t="n">
        <v>0</v>
      </c>
      <c r="X212" s="4" t="n">
        <v>0</v>
      </c>
      <c r="Y212" s="4" t="n">
        <v>1</v>
      </c>
      <c r="Z212" s="4" t="n">
        <v>0</v>
      </c>
      <c r="AA212" s="4" t="n">
        <v>0</v>
      </c>
      <c r="AB212" s="4" t="inlineStr">
        <is>
          <t>1900-01-01</t>
        </is>
      </c>
      <c r="AC212" s="4" t="n">
        <v>0</v>
      </c>
      <c r="AD212" s="4" t="n">
        <v>0</v>
      </c>
      <c r="AE212" s="4" t="n">
        <v>0</v>
      </c>
      <c r="AF212" s="4" t="n">
        <v>0</v>
      </c>
      <c r="AG212" s="4" t="n">
        <v>0</v>
      </c>
      <c r="AH212" s="4" t="n">
        <v>1</v>
      </c>
      <c r="AI212" s="4" t="n">
        <v>0</v>
      </c>
      <c r="AJ212" s="4" t="inlineStr">
        <is>
          <t>00:00:00</t>
        </is>
      </c>
      <c r="AK212" s="4" t="inlineStr">
        <is>
          <t>00:00:00</t>
        </is>
      </c>
      <c r="AL212" s="4" t="inlineStr">
        <is>
          <t>Pipeline AE + (SVM/KNN/subspace discriminant) + DNN; AE+DNN logra mejor (accuracy 79.2%, AUC 82.4%). Paradigma mixto: AE (no supervisado) + clasificador (supervisado); abstract no etiqueta “supervised”.</t>
        </is>
      </c>
      <c r="AM212" s="4" t="inlineStr">
        <is>
          <t>RB</t>
        </is>
      </c>
      <c r="AN212" s="4" t="inlineStr">
        <is>
          <t>Tomado completo desde archivo RB según asignación</t>
        </is>
      </c>
      <c r="AO212" s="4" t="n">
        <v>0</v>
      </c>
    </row>
    <row r="213" ht="255" customHeight="1">
      <c r="A213" s="4" t="n">
        <v>212</v>
      </c>
      <c r="B213" s="4" t="n">
        <v>230</v>
      </c>
      <c r="C213" s="4" t="inlineStr">
        <is>
          <t>Revisor A</t>
        </is>
      </c>
      <c r="D213" s="4" t="inlineStr">
        <is>
          <t>RA</t>
        </is>
      </c>
      <c r="E213" s="4" t="n">
        <v>2024</v>
      </c>
      <c r="F213" s="4" t="inlineStr">
        <is>
          <t>Señales fisiológicas</t>
        </is>
      </c>
      <c r="G213" s="4" t="inlineStr">
        <is>
          <t>Deep Learning</t>
        </is>
      </c>
      <c r="H213" s="4" t="inlineStr">
        <is>
          <t>https://doi.org/10.1007/978-3-031-72069-7_6</t>
        </is>
      </c>
      <c r="I213" s="4" t="inlineStr">
        <is>
          <t>BrainWaveNet: Wavelet-based Transformer for Autism Spectrum Disorder Diagnosis</t>
        </is>
      </c>
      <c r="J213" s="4" t="inlineStr">
        <is>
          <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t>
        </is>
      </c>
      <c r="K213" s="4" t="inlineStr">
        <is>
          <t>Supervised</t>
        </is>
      </c>
      <c r="L213" s="4" t="inlineStr">
        <is>
          <t>Transformer</t>
        </is>
      </c>
      <c r="M213" s="4" t="inlineStr">
        <is>
          <t>Classification (ASD vs control / multi-class)</t>
        </is>
      </c>
      <c r="N213" s="4" t="inlineStr">
        <is>
          <t>Diagnosis</t>
        </is>
      </c>
      <c r="O213" s="4" t="inlineStr">
        <is>
          <t>High</t>
        </is>
      </c>
      <c r="P213" s="4" t="n">
        <v>1</v>
      </c>
      <c r="Q213" s="4" t="n">
        <v>0</v>
      </c>
      <c r="R213" s="4" t="n">
        <v>0</v>
      </c>
      <c r="S213" s="4" t="n">
        <v>0</v>
      </c>
      <c r="T213" s="4" t="n">
        <v>0</v>
      </c>
      <c r="U213" s="4" t="n">
        <v>0</v>
      </c>
      <c r="V213" s="4" t="n">
        <v>0</v>
      </c>
      <c r="W213" s="4" t="n">
        <v>0</v>
      </c>
      <c r="X213" s="4" t="n">
        <v>0</v>
      </c>
      <c r="Y213" s="4" t="n">
        <v>1</v>
      </c>
      <c r="Z213" s="4" t="n">
        <v>0</v>
      </c>
      <c r="AA213" s="4" t="n">
        <v>0</v>
      </c>
      <c r="AB213" s="4" t="inlineStr">
        <is>
          <t>1900-01-01</t>
        </is>
      </c>
      <c r="AC213" s="4" t="n"/>
      <c r="AD213" s="4" t="n"/>
      <c r="AE213" s="4" t="n"/>
      <c r="AF213" s="4" t="n"/>
      <c r="AG213" s="4" t="n">
        <v>0</v>
      </c>
      <c r="AH213" s="4" t="n">
        <v>1</v>
      </c>
      <c r="AI213" s="4" t="n"/>
      <c r="AJ213" s="4" t="n"/>
      <c r="AK213" s="4" t="n"/>
      <c r="AL213" s="4" t="n"/>
      <c r="AM213" s="4" t="inlineStr">
        <is>
          <t>RA</t>
        </is>
      </c>
      <c r="AN213" s="4" t="inlineStr">
        <is>
          <t>Tomado completo desde archivo RA según asignación</t>
        </is>
      </c>
      <c r="AO213" s="4" t="n">
        <v>0</v>
      </c>
    </row>
    <row r="214" ht="177" customHeight="1">
      <c r="A214" s="4" t="n">
        <v>213</v>
      </c>
      <c r="B214" s="4" t="n">
        <v>231</v>
      </c>
      <c r="C214" s="4" t="inlineStr">
        <is>
          <t>Revisor A</t>
        </is>
      </c>
      <c r="D214" s="4" t="inlineStr">
        <is>
          <t>RA</t>
        </is>
      </c>
      <c r="E214" s="4" t="n">
        <v>2024</v>
      </c>
      <c r="F214" s="4" t="inlineStr">
        <is>
          <t>Imagen</t>
        </is>
      </c>
      <c r="G214" s="4" t="inlineStr">
        <is>
          <t>Machine Learning</t>
        </is>
      </c>
      <c r="H214" s="4" t="inlineStr">
        <is>
          <t>https://doi.org/10.1002/ar.25332</t>
        </is>
      </c>
      <c r="I214" s="4" t="inlineStr">
        <is>
          <t>Can lung airway geometry be used to predict autism? A preliminary machine learning-based study</t>
        </is>
      </c>
      <c r="J214" s="4" t="inlineStr">
        <is>
          <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t>
        </is>
      </c>
      <c r="K214" s="4" t="inlineStr">
        <is>
          <t>Supervised</t>
        </is>
      </c>
      <c r="L214" s="4" t="inlineStr">
        <is>
          <t>SVM</t>
        </is>
      </c>
      <c r="M214" s="4" t="inlineStr">
        <is>
          <t>Classification (ASD vs control / multi-class)</t>
        </is>
      </c>
      <c r="N214" s="4" t="inlineStr">
        <is>
          <t>Diagnosis</t>
        </is>
      </c>
      <c r="O214" s="4" t="inlineStr">
        <is>
          <t>High</t>
        </is>
      </c>
      <c r="P214" s="4" t="n">
        <v>0</v>
      </c>
      <c r="Q214" s="4" t="n">
        <v>0</v>
      </c>
      <c r="R214" s="4" t="n">
        <v>0</v>
      </c>
      <c r="S214" s="4" t="n">
        <v>0</v>
      </c>
      <c r="T214" s="4" t="n">
        <v>0</v>
      </c>
      <c r="U214" s="4" t="n">
        <v>0</v>
      </c>
      <c r="V214" s="4" t="n">
        <v>1</v>
      </c>
      <c r="W214" s="4" t="n">
        <v>0</v>
      </c>
      <c r="X214" s="4" t="n">
        <v>0</v>
      </c>
      <c r="Y214" s="4" t="n">
        <v>1</v>
      </c>
      <c r="Z214" s="4" t="n">
        <v>0</v>
      </c>
      <c r="AA214" s="4" t="n">
        <v>0</v>
      </c>
      <c r="AB214" s="4" t="inlineStr">
        <is>
          <t>00:00:00</t>
        </is>
      </c>
      <c r="AC214" s="4" t="n"/>
      <c r="AD214" s="4" t="n"/>
      <c r="AE214" s="4" t="n"/>
      <c r="AF214" s="4" t="n"/>
      <c r="AG214" s="4" t="n">
        <v>0</v>
      </c>
      <c r="AH214" s="4" t="n">
        <v>1</v>
      </c>
      <c r="AI214" s="4" t="inlineStr">
        <is>
          <t>airway CT geometry</t>
        </is>
      </c>
      <c r="AJ214" s="4" t="n"/>
      <c r="AK214" s="4" t="n"/>
      <c r="AL214" s="4" t="n"/>
      <c r="AM214" s="4" t="inlineStr">
        <is>
          <t>RA</t>
        </is>
      </c>
      <c r="AN214" s="4" t="inlineStr">
        <is>
          <t>Tomado completo desde archivo RA según asignación</t>
        </is>
      </c>
      <c r="AO214" s="4" t="n">
        <v>0</v>
      </c>
    </row>
    <row r="215" ht="359" customHeight="1">
      <c r="A215" s="4" t="n">
        <v>214</v>
      </c>
      <c r="B215" s="4" t="n">
        <v>232</v>
      </c>
      <c r="C215" s="4" t="inlineStr">
        <is>
          <t>Revisor B</t>
        </is>
      </c>
      <c r="D215" s="4" t="n"/>
      <c r="E215" s="4" t="n">
        <v>2020</v>
      </c>
      <c r="F215" s="4" t="inlineStr">
        <is>
          <t>Señales fisiológicas</t>
        </is>
      </c>
      <c r="G215" s="4" t="inlineStr">
        <is>
          <t>Machine Learning</t>
        </is>
      </c>
      <c r="H215" s="4" t="inlineStr">
        <is>
          <t>https://doi.org/10.1016/j.bspc.2020.101958</t>
        </is>
      </c>
      <c r="I215" s="4" t="inlineStr">
        <is>
          <t>Classification of autism spectrum disorder based on fluctuation entropy of spontaneous hemodynamic fluctuations</t>
        </is>
      </c>
      <c r="J215" s="4" t="inlineStr">
        <is>
          <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t>
        </is>
      </c>
      <c r="K215" s="4" t="inlineStr">
        <is>
          <t>Supervised</t>
        </is>
      </c>
      <c r="L215" s="4" t="inlineStr">
        <is>
          <t>Not clear</t>
        </is>
      </c>
      <c r="M215" s="4" t="inlineStr">
        <is>
          <t>Classification (binary/multi-class; incl. ASD vs control)/ multi-class)</t>
        </is>
      </c>
      <c r="N215" s="4" t="inlineStr">
        <is>
          <t>diagnosis</t>
        </is>
      </c>
      <c r="O215" s="4" t="inlineStr">
        <is>
          <t>medium</t>
        </is>
      </c>
      <c r="P215" s="4" t="n">
        <v>0</v>
      </c>
      <c r="Q215" s="4" t="n">
        <v>0</v>
      </c>
      <c r="R215" s="4" t="n">
        <v>0</v>
      </c>
      <c r="S215" s="4" t="n">
        <v>0</v>
      </c>
      <c r="T215" s="4" t="n">
        <v>0</v>
      </c>
      <c r="U215" s="4" t="n">
        <v>0</v>
      </c>
      <c r="V215" s="4" t="n">
        <v>0</v>
      </c>
      <c r="W215" s="4" t="n">
        <v>0</v>
      </c>
      <c r="X215" s="4" t="n">
        <v>0</v>
      </c>
      <c r="Y215" s="4" t="n">
        <v>1</v>
      </c>
      <c r="Z215" s="4" t="n">
        <v>0</v>
      </c>
      <c r="AA215" s="4" t="n">
        <v>0</v>
      </c>
      <c r="AB215" s="4" t="inlineStr">
        <is>
          <t>1900-01-01</t>
        </is>
      </c>
      <c r="AC215" s="4" t="n">
        <v>0</v>
      </c>
      <c r="AD215" s="4" t="n">
        <v>0</v>
      </c>
      <c r="AE215" s="4" t="n">
        <v>0</v>
      </c>
      <c r="AF215" s="4" t="n">
        <v>0</v>
      </c>
      <c r="AG215" s="4" t="n">
        <v>0</v>
      </c>
      <c r="AH215" s="4" t="n">
        <v>0</v>
      </c>
      <c r="AI215" s="4" t="n">
        <v>0</v>
      </c>
      <c r="AJ215" s="4" t="inlineStr">
        <is>
          <t>00:00:00</t>
        </is>
      </c>
      <c r="AK215" s="4" t="inlineStr">
        <is>
          <t>00:00:00</t>
        </is>
      </c>
      <c r="AL215" s="4"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AM215" s="4" t="inlineStr">
        <is>
          <t>RB</t>
        </is>
      </c>
      <c r="AN215" s="4" t="inlineStr">
        <is>
          <t>Tomado completo desde archivo RB según asignación</t>
        </is>
      </c>
      <c r="AO215" s="4" t="n">
        <v>0</v>
      </c>
    </row>
    <row r="216" ht="268" customHeight="1">
      <c r="A216" s="4" t="n">
        <v>215</v>
      </c>
      <c r="B216" s="4" t="n">
        <v>233</v>
      </c>
      <c r="C216" s="4" t="inlineStr">
        <is>
          <t>Revisor B</t>
        </is>
      </c>
      <c r="D216" s="4" t="n"/>
      <c r="E216" s="4" t="n">
        <v>2020</v>
      </c>
      <c r="F216" s="4" t="inlineStr">
        <is>
          <t>Señales fisiológicas</t>
        </is>
      </c>
      <c r="G216" s="4" t="inlineStr">
        <is>
          <t>Machine Learning</t>
        </is>
      </c>
      <c r="H216" s="4" t="inlineStr">
        <is>
          <t>https://doi.org/10.1016/j.clinph.2019.12.400</t>
        </is>
      </c>
      <c r="I216" s="4" t="inlineStr">
        <is>
          <t>Classification of autism spectrum disorder based on sample entropy of spontaneous functional near infra-red spectroscopy signal</t>
        </is>
      </c>
      <c r="J216" s="4" t="inlineStr">
        <is>
          <t>Objectives: To assess the possibility of distinguishing autism spectrum disorder (ASD) based on the characteristic of spontaneous hemodynamic fluctuations and to explore the location of abnormality in the brain. Methods: Using the sample entropy (SampEn) of functional near-infrared spectroscopy (fNIRS) from bilateral inferior frontal gyrus (IFG) and temporal cortex (TC) on 25 children with ASD and 22 typical development (TD) children, the pattern of mind-wandering was assessed. With the SampEn as feature variables, a machine learning classifier was applied to mark ASD and locate the abnormal area in the brain. Results: The SampEn was generally lower for ASD than TD, indicating the fNIRS series from ASD was unstable, had low fluctuation, and high self-similarity. The classification between ASD and TD could reach 97.6% in accuracy. Conclusions: The SampEn of fNIRS could accurately distinguish ASD. The abnormality in terms of the SampEn occurs more frequently in IFG than TC, and more frequently in the left than in the right hemisphere. Significance: The results of this study may help to understand the cortical mechanism of ASD and provide a fNIRS-based diagnosis for ASD.</t>
        </is>
      </c>
      <c r="K216" s="4" t="inlineStr">
        <is>
          <t>Unsupervised</t>
        </is>
      </c>
      <c r="L216" s="4" t="inlineStr">
        <is>
          <t>Clustering (k-means / GMM / ...)</t>
        </is>
      </c>
      <c r="M216" s="4" t="inlineStr">
        <is>
          <t>Classification (binary/multi-class; incl. ASD vs control)/ multi-class)</t>
        </is>
      </c>
      <c r="N216" s="4" t="inlineStr">
        <is>
          <t>diagnosis</t>
        </is>
      </c>
      <c r="O216" s="4" t="inlineStr">
        <is>
          <t>high</t>
        </is>
      </c>
      <c r="P216" s="4" t="n">
        <v>0</v>
      </c>
      <c r="Q216" s="4" t="n">
        <v>0</v>
      </c>
      <c r="R216" s="4" t="n">
        <v>1</v>
      </c>
      <c r="S216" s="4" t="n">
        <v>0</v>
      </c>
      <c r="T216" s="4" t="n">
        <v>0</v>
      </c>
      <c r="U216" s="4" t="n">
        <v>0</v>
      </c>
      <c r="V216" s="4" t="n">
        <v>0</v>
      </c>
      <c r="W216" s="4" t="n">
        <v>0</v>
      </c>
      <c r="X216" s="4" t="n">
        <v>0</v>
      </c>
      <c r="Y216" s="4" t="n">
        <v>1</v>
      </c>
      <c r="Z216" s="4" t="n">
        <v>0</v>
      </c>
      <c r="AA216" s="4" t="n">
        <v>1</v>
      </c>
      <c r="AB216" s="4" t="inlineStr">
        <is>
          <t>1900-01-01</t>
        </is>
      </c>
      <c r="AC216" s="4" t="n">
        <v>0</v>
      </c>
      <c r="AD216" s="4" t="n">
        <v>0</v>
      </c>
      <c r="AE216" s="4" t="n">
        <v>0</v>
      </c>
      <c r="AF216" s="4" t="n">
        <v>0</v>
      </c>
      <c r="AG216" s="4" t="n">
        <v>0</v>
      </c>
      <c r="AH216" s="4" t="n">
        <v>1</v>
      </c>
      <c r="AI216" s="4" t="n">
        <v>0</v>
      </c>
      <c r="AJ216" s="4" t="inlineStr">
        <is>
          <t>1900-01-01</t>
        </is>
      </c>
      <c r="AK216" s="4" t="inlineStr">
        <is>
          <t>00:00:00</t>
        </is>
      </c>
      <c r="AL216" s="4"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AM216" s="4" t="inlineStr">
        <is>
          <t>RB</t>
        </is>
      </c>
      <c r="AN216" s="4" t="inlineStr">
        <is>
          <t>Tomado completo desde archivo RB según asignación</t>
        </is>
      </c>
      <c r="AO216" s="4" t="n">
        <v>0</v>
      </c>
    </row>
    <row r="217" ht="294" customHeight="1">
      <c r="A217" s="4" t="n">
        <v>216</v>
      </c>
      <c r="B217" s="4" t="n">
        <v>234</v>
      </c>
      <c r="C217" s="4" t="inlineStr">
        <is>
          <t>Revisor A</t>
        </is>
      </c>
      <c r="D217" s="4" t="inlineStr">
        <is>
          <t>RA</t>
        </is>
      </c>
      <c r="E217" s="4" t="n">
        <v>2023</v>
      </c>
      <c r="F217" s="4" t="inlineStr">
        <is>
          <t>Imagen</t>
        </is>
      </c>
      <c r="G217" s="4" t="inlineStr">
        <is>
          <t>No especificado</t>
        </is>
      </c>
      <c r="H217" s="4" t="inlineStr">
        <is>
          <t>https://doi.org/10.1007/978-3-031-45389-2_18</t>
        </is>
      </c>
      <c r="I217" s="4" t="inlineStr">
        <is>
          <t>Classification of\&amp;#xa0;Facial Images to\&amp;#xa0;Assist in\&amp;#xa0;the\&amp;#xa0;Diagnosis of\&amp;#xa0;Autism Spectrum Disorder: A Study on\&amp;#xa0;the\&amp;#xa0;Effect of\&amp;#xa0;Face Detection and\&amp;#xa0;Landmark Identification Algorithms</t>
        </is>
      </c>
      <c r="J217" s="4" t="inlineStr">
        <is>
          <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t>
        </is>
      </c>
      <c r="K217" s="4" t="inlineStr">
        <is>
          <t>Supervised</t>
        </is>
      </c>
      <c r="L217" s="4" t="inlineStr">
        <is>
          <t>Other / Not clear</t>
        </is>
      </c>
      <c r="M217" s="4" t="inlineStr">
        <is>
          <t>Classification (ASD vs control / multi-class)</t>
        </is>
      </c>
      <c r="N217" s="4" t="inlineStr">
        <is>
          <t>Diagnosis</t>
        </is>
      </c>
      <c r="O217" s="4" t="inlineStr">
        <is>
          <t>Medium</t>
        </is>
      </c>
      <c r="P217" s="4" t="n">
        <v>0</v>
      </c>
      <c r="Q217" s="4" t="n">
        <v>0</v>
      </c>
      <c r="R217" s="4" t="n">
        <v>1</v>
      </c>
      <c r="S217" s="4" t="n">
        <v>0</v>
      </c>
      <c r="T217" s="4" t="n">
        <v>0</v>
      </c>
      <c r="U217" s="4" t="n">
        <v>0</v>
      </c>
      <c r="V217" s="4" t="n">
        <v>0</v>
      </c>
      <c r="W217" s="4" t="n">
        <v>0</v>
      </c>
      <c r="X217" s="4" t="n">
        <v>0</v>
      </c>
      <c r="Y217" s="4" t="n">
        <v>1</v>
      </c>
      <c r="Z217" s="4" t="n">
        <v>0</v>
      </c>
      <c r="AA217" s="4" t="n">
        <v>0</v>
      </c>
      <c r="AB217" s="4" t="inlineStr">
        <is>
          <t>1900-01-01</t>
        </is>
      </c>
      <c r="AC217" s="4" t="n"/>
      <c r="AD217" s="4" t="n"/>
      <c r="AE217" s="4" t="n"/>
      <c r="AF217" s="4" t="n"/>
      <c r="AG217" s="4" t="n">
        <v>1</v>
      </c>
      <c r="AH217" s="4" t="n">
        <v>1</v>
      </c>
      <c r="AI217" s="4" t="n"/>
      <c r="AJ217" s="4" t="n"/>
      <c r="AK217" s="4" t="n"/>
      <c r="AL217" s="4" t="inlineStr">
        <is>
          <t>Algoritmo principal no explícito o fuera del codebook; Confirmar algoritmo principal en full-text</t>
        </is>
      </c>
      <c r="AM217" s="4" t="inlineStr">
        <is>
          <t>RA</t>
        </is>
      </c>
      <c r="AN217" s="4" t="inlineStr">
        <is>
          <t>Tomado completo desde archivo RA según asignación</t>
        </is>
      </c>
      <c r="AO217" s="4" t="n">
        <v>0</v>
      </c>
    </row>
    <row r="218" ht="359" customHeight="1">
      <c r="A218" s="4" t="n">
        <v>217</v>
      </c>
      <c r="B218" s="4" t="n">
        <v>235</v>
      </c>
      <c r="C218" s="4" t="inlineStr">
        <is>
          <t>Revisor B</t>
        </is>
      </c>
      <c r="D218" s="4" t="n"/>
      <c r="E218" s="4" t="n">
        <v>2021</v>
      </c>
      <c r="F218" s="4" t="inlineStr">
        <is>
          <t>Señales fisiológicas</t>
        </is>
      </c>
      <c r="G218" s="4" t="inlineStr">
        <is>
          <t>Machine Learning</t>
        </is>
      </c>
      <c r="H218" s="4" t="inlineStr">
        <is>
          <t>https://doi.org/10.1016/j.media.2021.101986</t>
        </is>
      </c>
      <c r="I218" s="4" t="inlineStr">
        <is>
          <t>Combining anatomical and functional networks for neuropathology identification: A case study on autism spectrum disorder</t>
        </is>
      </c>
      <c r="J218" s="4" t="inlineStr">
        <is>
          <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t>
        </is>
      </c>
      <c r="K218" s="4" t="inlineStr">
        <is>
          <t>Supervised</t>
        </is>
      </c>
      <c r="L218" s="4" t="inlineStr">
        <is>
          <t>Decision Tree</t>
        </is>
      </c>
      <c r="M218" s="4" t="inlineStr">
        <is>
          <t>Classification (binary/multi-class; incl. ASD vs control)/ multi-class)</t>
        </is>
      </c>
      <c r="N218" s="4" t="inlineStr">
        <is>
          <t>diagnosis</t>
        </is>
      </c>
      <c r="O218" s="4" t="inlineStr">
        <is>
          <t>high</t>
        </is>
      </c>
      <c r="P218" s="4" t="n">
        <v>0</v>
      </c>
      <c r="Q218" s="4" t="n">
        <v>0</v>
      </c>
      <c r="R218" s="4" t="n">
        <v>0</v>
      </c>
      <c r="S218" s="4" t="n">
        <v>0</v>
      </c>
      <c r="T218" s="4" t="n">
        <v>0</v>
      </c>
      <c r="U218" s="4" t="n">
        <v>1</v>
      </c>
      <c r="V218" s="4" t="n">
        <v>0</v>
      </c>
      <c r="W218" s="4" t="n">
        <v>0</v>
      </c>
      <c r="X218" s="4" t="n">
        <v>0</v>
      </c>
      <c r="Y218" s="4" t="n">
        <v>1</v>
      </c>
      <c r="Z218" s="4" t="n">
        <v>1</v>
      </c>
      <c r="AA218" s="4" t="n">
        <v>0</v>
      </c>
      <c r="AB218" s="4" t="inlineStr">
        <is>
          <t>1900-01-01</t>
        </is>
      </c>
      <c r="AC218" s="4" t="n">
        <v>0</v>
      </c>
      <c r="AD218" s="4" t="n">
        <v>0</v>
      </c>
      <c r="AE218" s="4" t="n">
        <v>0</v>
      </c>
      <c r="AF218" s="4" t="n">
        <v>0</v>
      </c>
      <c r="AG218" s="4" t="n">
        <v>1</v>
      </c>
      <c r="AH218" s="4" t="n">
        <v>1</v>
      </c>
      <c r="AI218" s="4" t="n">
        <v>0</v>
      </c>
      <c r="AJ218" s="4" t="inlineStr">
        <is>
          <t>00:00:00</t>
        </is>
      </c>
      <c r="AK218" s="4" t="inlineStr">
        <is>
          <t>00:00:00</t>
        </is>
      </c>
      <c r="AL218" s="4" t="n"/>
      <c r="AM218" s="4" t="inlineStr">
        <is>
          <t>RB</t>
        </is>
      </c>
      <c r="AN218" s="4" t="inlineStr">
        <is>
          <t>Tomado completo desde archivo RB según asignación</t>
        </is>
      </c>
      <c r="AO218" s="4" t="n">
        <v>0</v>
      </c>
    </row>
    <row r="219" ht="307" customHeight="1">
      <c r="A219" s="4" t="n">
        <v>218</v>
      </c>
      <c r="B219" s="4" t="n">
        <v>236</v>
      </c>
      <c r="C219" s="4" t="inlineStr">
        <is>
          <t>Revisor A</t>
        </is>
      </c>
      <c r="D219" s="4" t="inlineStr">
        <is>
          <t>RA</t>
        </is>
      </c>
      <c r="E219" s="4" t="n">
        <v>2025</v>
      </c>
      <c r="F219" s="4" t="inlineStr">
        <is>
          <t>No especificado</t>
        </is>
      </c>
      <c r="G219" s="4" t="inlineStr">
        <is>
          <t>Machine Learning</t>
        </is>
      </c>
      <c r="H219" s="4" t="inlineStr">
        <is>
          <t>https://doi.org/10.1038/s41598-025-97313-8</t>
        </is>
      </c>
      <c r="I219" s="4" t="inlineStr">
        <is>
          <t>Correlations between blood group and Rh factor in families and autism spectrum disorder: A comprehensive analysis</t>
        </is>
      </c>
      <c r="J219" s="4" t="inlineStr">
        <is>
          <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t>
        </is>
      </c>
      <c r="K219" s="4" t="inlineStr">
        <is>
          <t>Supervised</t>
        </is>
      </c>
      <c r="L219" s="4" t="inlineStr">
        <is>
          <t>Logistic Regression</t>
        </is>
      </c>
      <c r="M219" s="4" t="inlineStr">
        <is>
          <t>Classification (ASD vs control / multi-class)</t>
        </is>
      </c>
      <c r="N219" s="4" t="inlineStr">
        <is>
          <t>Not clear</t>
        </is>
      </c>
      <c r="O219" s="4" t="inlineStr">
        <is>
          <t>Medium</t>
        </is>
      </c>
      <c r="P219" s="4" t="n">
        <v>0</v>
      </c>
      <c r="Q219" s="4" t="n">
        <v>0</v>
      </c>
      <c r="R219" s="4" t="n">
        <v>0</v>
      </c>
      <c r="S219" s="4" t="n">
        <v>0</v>
      </c>
      <c r="T219" s="4" t="n">
        <v>1</v>
      </c>
      <c r="U219" s="4" t="n">
        <v>0</v>
      </c>
      <c r="V219" s="4" t="n">
        <v>0</v>
      </c>
      <c r="W219" s="4" t="n">
        <v>1</v>
      </c>
      <c r="X219" s="4" t="n">
        <v>0</v>
      </c>
      <c r="Y219" s="4" t="n">
        <v>0</v>
      </c>
      <c r="Z219" s="4" t="n">
        <v>0</v>
      </c>
      <c r="AA219" s="4" t="n">
        <v>0</v>
      </c>
      <c r="AB219" s="4" t="inlineStr">
        <is>
          <t>00:00:00</t>
        </is>
      </c>
      <c r="AC219" s="4" t="n"/>
      <c r="AD219" s="4" t="n"/>
      <c r="AE219" s="4" t="n"/>
      <c r="AF219" s="4" t="n"/>
      <c r="AG219" s="4" t="n">
        <v>1</v>
      </c>
      <c r="AH219" s="4" t="n">
        <v>1</v>
      </c>
      <c r="AI219" s="4" t="n"/>
      <c r="AJ219" s="4" t="inlineStr">
        <is>
          <t>00:00:00</t>
        </is>
      </c>
      <c r="AK219" s="4" t="n"/>
      <c r="AL219" s="4" t="inlineStr">
        <is>
          <t>Análisis de grupos sanguíneos con regresión logística/ML no claramente central para una etapa clínica RQ1.</t>
        </is>
      </c>
      <c r="AM219" s="4" t="inlineStr">
        <is>
          <t>RA</t>
        </is>
      </c>
      <c r="AN219" s="4" t="inlineStr">
        <is>
          <t>Tomado completo desde archivo RA según asignación</t>
        </is>
      </c>
      <c r="AO219" s="4" t="n">
        <v>0</v>
      </c>
    </row>
    <row r="220" ht="216" customHeight="1">
      <c r="A220" s="4" t="n">
        <v>219</v>
      </c>
      <c r="B220" s="4" t="n">
        <v>237</v>
      </c>
      <c r="C220" s="4" t="inlineStr">
        <is>
          <t>Revisor A</t>
        </is>
      </c>
      <c r="D220" s="4" t="inlineStr">
        <is>
          <t>RA</t>
        </is>
      </c>
      <c r="E220" s="4" t="n">
        <v>2022</v>
      </c>
      <c r="F220" s="4" t="inlineStr">
        <is>
          <t>Audio · Voz</t>
        </is>
      </c>
      <c r="G220" s="4" t="inlineStr">
        <is>
          <t>Machine Learning</t>
        </is>
      </c>
      <c r="H220" s="4" t="inlineStr">
        <is>
          <t>https://doi.org/10.1371/journal.pone.0269637</t>
        </is>
      </c>
      <c r="I220" s="4" t="inlineStr">
        <is>
          <t>Cross-linguistic patterns of speech prosodic differences in autism: A machine learning study</t>
        </is>
      </c>
      <c r="J220" s="4" t="inlineStr">
        <is>
          <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t>
        </is>
      </c>
      <c r="K220" s="4" t="inlineStr">
        <is>
          <t>Supervised</t>
        </is>
      </c>
      <c r="L220" s="4" t="inlineStr">
        <is>
          <t>Other / Not clear</t>
        </is>
      </c>
      <c r="M220" s="4" t="inlineStr">
        <is>
          <t>Classification (ASD vs control / multi-class)</t>
        </is>
      </c>
      <c r="N220" s="4" t="inlineStr">
        <is>
          <t>Screening</t>
        </is>
      </c>
      <c r="O220" s="4" t="inlineStr">
        <is>
          <t>Medium</t>
        </is>
      </c>
      <c r="P220" s="4" t="n">
        <v>0</v>
      </c>
      <c r="Q220" s="4" t="n">
        <v>0</v>
      </c>
      <c r="R220" s="4" t="n">
        <v>0</v>
      </c>
      <c r="S220" s="4" t="n">
        <v>1</v>
      </c>
      <c r="T220" s="4" t="n">
        <v>0</v>
      </c>
      <c r="U220" s="4" t="n">
        <v>0</v>
      </c>
      <c r="V220" s="4" t="n">
        <v>0</v>
      </c>
      <c r="W220" s="4" t="n">
        <v>0</v>
      </c>
      <c r="X220" s="4" t="n">
        <v>1</v>
      </c>
      <c r="Y220" s="4" t="n">
        <v>0</v>
      </c>
      <c r="Z220" s="4" t="n">
        <v>0</v>
      </c>
      <c r="AA220" s="4" t="n">
        <v>0</v>
      </c>
      <c r="AB220" s="4" t="inlineStr">
        <is>
          <t>00:00:00</t>
        </is>
      </c>
      <c r="AC220" s="4" t="n"/>
      <c r="AD220" s="4" t="n"/>
      <c r="AE220" s="4" t="n"/>
      <c r="AF220" s="4" t="n"/>
      <c r="AG220" s="4" t="n">
        <v>1</v>
      </c>
      <c r="AH220" s="4" t="n">
        <v>1</v>
      </c>
      <c r="AI220" s="4" t="n"/>
      <c r="AJ220" s="4" t="n"/>
      <c r="AK220" s="4" t="n"/>
      <c r="AL220" s="4" t="inlineStr">
        <is>
          <t>Algoritmo principal no explícito o fuera del codebook; Confirmar algoritmo principal en full-text</t>
        </is>
      </c>
      <c r="AM220" s="4" t="inlineStr">
        <is>
          <t>RA</t>
        </is>
      </c>
      <c r="AN220" s="4" t="inlineStr">
        <is>
          <t>Tomado completo desde archivo RA según asignación</t>
        </is>
      </c>
      <c r="AO220" s="4" t="n">
        <v>0</v>
      </c>
    </row>
    <row r="221" ht="307" customHeight="1">
      <c r="A221" s="4" t="n">
        <v>220</v>
      </c>
      <c r="B221" s="4" t="n">
        <v>238</v>
      </c>
      <c r="C221" s="4" t="inlineStr">
        <is>
          <t>Revisor B</t>
        </is>
      </c>
      <c r="D221" s="4" t="n"/>
      <c r="E221" s="4" t="n">
        <v>2021</v>
      </c>
      <c r="F221" s="4" t="inlineStr">
        <is>
          <t>Texto · NLP</t>
        </is>
      </c>
      <c r="G221" s="4" t="inlineStr">
        <is>
          <t>Machine Learning</t>
        </is>
      </c>
      <c r="H221" s="4" t="inlineStr">
        <is>
          <t>https://doi.org/10.1016/B978-0-12-822822-7.00006-5</t>
        </is>
      </c>
      <c r="I221" s="4" t="inlineStr">
        <is>
          <t>Data mining and machine learning techniques for early detection in autism spectrum disorder</t>
        </is>
      </c>
      <c r="J221" s="4" t="inlineStr">
        <is>
          <t>Nowadays, artificial intelligence techniques are applied in many fields such as industry, natural language processing, or medicine. In this chapter, we have focused on the health area. Within the field of health, artificial intelligence acts in different ways, from predicting any type of disease or dysfunctions in order to establish correlations between different measures collected. Here, we have addressed the application of data mining and machine learning techniques for early detection in autism spectrum disorder. Our approach consists of an architecture based on five steps: (1) search and selection of data sources; (2) application of extract, transform, and load process; (3) creation of the data warehouse and data mart; (4) application of machine learning techniques with the aim of extracting relevant information from selected information sources in order to correctly classify the new data; and (5) visualization of results. In order to test our methodology, we present a case study using three autism datasets with patients of different ages. We used different machine learning techniques in order to compare the results obtained and to find out the best techniques depending on the input data and indicators collected. Finally, we have created dashboards using two of the most significant tools (i.e., Power BI and Tableau) in order to graphically analyze the results.</t>
        </is>
      </c>
      <c r="K221" s="4" t="n"/>
      <c r="L221" s="4" t="n"/>
      <c r="M221" s="4" t="inlineStr">
        <is>
          <t>Early detection / data-mining workflow</t>
        </is>
      </c>
      <c r="N221" s="4" t="inlineStr">
        <is>
          <t>Screening</t>
        </is>
      </c>
      <c r="O221" s="4" t="n"/>
      <c r="P221" s="4" t="n"/>
      <c r="Q221" s="4" t="n"/>
      <c r="R221" s="4" t="n"/>
      <c r="S221" s="4" t="n"/>
      <c r="T221" s="4" t="n"/>
      <c r="U221" s="4" t="n"/>
      <c r="V221" s="4" t="n"/>
      <c r="W221" s="4" t="n">
        <v>0</v>
      </c>
      <c r="X221" s="4" t="n">
        <v>1</v>
      </c>
      <c r="Y221" s="4" t="n">
        <v>0</v>
      </c>
      <c r="Z221" s="4" t="n">
        <v>0</v>
      </c>
      <c r="AA221" s="4" t="n">
        <v>0</v>
      </c>
      <c r="AB221" s="4" t="inlineStr">
        <is>
          <t>1900-01-01</t>
        </is>
      </c>
      <c r="AC221" s="4" t="n">
        <v>0</v>
      </c>
      <c r="AD221" s="4" t="n">
        <v>0</v>
      </c>
      <c r="AE221" s="4" t="n">
        <v>0</v>
      </c>
      <c r="AF221" s="4" t="n">
        <v>0</v>
      </c>
      <c r="AG221" s="4" t="n"/>
      <c r="AH221" s="4" t="n"/>
      <c r="AI221" s="4" t="n"/>
      <c r="AJ221" s="4" t="inlineStr">
        <is>
          <t>1900-01-01</t>
        </is>
      </c>
      <c r="AK221" s="4" t="n"/>
      <c r="AL221" s="4" t="inlineStr">
        <is>
          <t>Usa varios datasets, pero no basta para marcar validación externa o multisource strategy.</t>
        </is>
      </c>
      <c r="AM221" s="4" t="inlineStr">
        <is>
          <t>RA_fallback</t>
        </is>
      </c>
      <c r="AN221" s="4" t="inlineStr">
        <is>
          <t>Fallback a RA porque el ID no está en RB</t>
        </is>
      </c>
      <c r="AO221" s="4" t="n">
        <v>1</v>
      </c>
    </row>
    <row r="222" ht="359" customHeight="1">
      <c r="A222" s="4" t="n">
        <v>221</v>
      </c>
      <c r="B222" s="4" t="n">
        <v>239</v>
      </c>
      <c r="C222" s="4" t="inlineStr">
        <is>
          <t>Ambos (piloto)</t>
        </is>
      </c>
      <c r="D222" s="4" t="inlineStr">
        <is>
          <t>RA</t>
        </is>
      </c>
      <c r="E222" s="4" t="n">
        <v>2024</v>
      </c>
      <c r="F222" s="4" t="inlineStr">
        <is>
          <t>Imagen</t>
        </is>
      </c>
      <c r="G222" s="4" t="inlineStr">
        <is>
          <t>Machine Learning</t>
        </is>
      </c>
      <c r="H222" s="4" t="inlineStr">
        <is>
          <t>https://doi.org/10.1016/j.ctcp.2023.101825</t>
        </is>
      </c>
      <c r="I222" s="4" t="inlineStr">
        <is>
          <t>Diagnosing autism severity associated with physical fitness and gray matter volume in children with autism spectrum disorder: Explainable machine learning method</t>
        </is>
      </c>
      <c r="J222" s="4" t="inlineStr">
        <is>
          <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t>
        </is>
      </c>
      <c r="K222" s="4" t="inlineStr">
        <is>
          <t>Supervised</t>
        </is>
      </c>
      <c r="L222" s="4" t="inlineStr">
        <is>
          <t>XGBoost / GBDT</t>
        </is>
      </c>
      <c r="M222" s="4" t="inlineStr">
        <is>
          <t>Classification (ASD vs control / multi-class)</t>
        </is>
      </c>
      <c r="N222" s="4" t="inlineStr">
        <is>
          <t>Diagnosis</t>
        </is>
      </c>
      <c r="O222" s="4" t="inlineStr">
        <is>
          <t>High</t>
        </is>
      </c>
      <c r="P222" s="4" t="n">
        <v>1</v>
      </c>
      <c r="Q222" s="4" t="n">
        <v>0</v>
      </c>
      <c r="R222" s="4" t="n">
        <v>0</v>
      </c>
      <c r="S222" s="4" t="n">
        <v>0</v>
      </c>
      <c r="T222" s="4" t="n">
        <v>0</v>
      </c>
      <c r="U222" s="4" t="n">
        <v>0</v>
      </c>
      <c r="V222" s="4" t="n">
        <v>0</v>
      </c>
      <c r="W222" s="4" t="n">
        <v>0</v>
      </c>
      <c r="X222" s="4" t="n">
        <v>0</v>
      </c>
      <c r="Y222" s="4" t="n">
        <v>1</v>
      </c>
      <c r="Z222" s="4" t="n">
        <v>0</v>
      </c>
      <c r="AA222" s="4" t="n">
        <v>0</v>
      </c>
      <c r="AB222" s="4" t="inlineStr">
        <is>
          <t>1900-01-01</t>
        </is>
      </c>
      <c r="AC222" s="4" t="n"/>
      <c r="AD222" s="4" t="n"/>
      <c r="AE222" s="4" t="n"/>
      <c r="AF222" s="4" t="n"/>
      <c r="AG222" s="4" t="n">
        <v>1</v>
      </c>
      <c r="AH222" s="4" t="n">
        <v>1</v>
      </c>
      <c r="AI222" s="4" t="n"/>
      <c r="AJ222" s="4" t="n"/>
      <c r="AK222" s="4" t="n"/>
      <c r="AL222" s="4" t="inlineStr">
        <is>
          <t>Modelos XGB/RF/SVM/DT para severidad; se selecciona XGBoost como principal y se marca GMV + pruebas físicas.</t>
        </is>
      </c>
      <c r="AM222" s="4" t="inlineStr">
        <is>
          <t>RA</t>
        </is>
      </c>
      <c r="AN222" s="4" t="inlineStr">
        <is>
          <t>Tomado completo desde archivo RA según asignación</t>
        </is>
      </c>
      <c r="AO222" s="4" t="n">
        <v>0</v>
      </c>
    </row>
    <row r="223" ht="385" customHeight="1">
      <c r="A223" s="4" t="n">
        <v>222</v>
      </c>
      <c r="B223" s="4" t="n">
        <v>240</v>
      </c>
      <c r="C223" s="4" t="inlineStr">
        <is>
          <t>Revisor A</t>
        </is>
      </c>
      <c r="D223" s="4" t="inlineStr">
        <is>
          <t>RA</t>
        </is>
      </c>
      <c r="E223" s="4" t="n">
        <v>2022</v>
      </c>
      <c r="F223" s="4" t="inlineStr">
        <is>
          <t>Imagen</t>
        </is>
      </c>
      <c r="G223" s="4" t="inlineStr">
        <is>
          <t>Deep Learning</t>
        </is>
      </c>
      <c r="H223" s="4" t="inlineStr">
        <is>
          <t>https://doi.org/10.1142/S0129065722500460</t>
        </is>
      </c>
      <c r="I223" s="4" t="inlineStr">
        <is>
          <t>Diagnosis of Autism Disorder Based on Deep Network Trained by Augmented EEG Signals</t>
        </is>
      </c>
      <c r="J223" s="4" t="inlineStr">
        <is>
          <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t>
        </is>
      </c>
      <c r="K223" s="4" t="inlineStr">
        <is>
          <t>Supervised</t>
        </is>
      </c>
      <c r="L223" s="4" t="inlineStr">
        <is>
          <t>CNN</t>
        </is>
      </c>
      <c r="M223" s="4" t="inlineStr">
        <is>
          <t>Classification (ASD vs control / multi-class)</t>
        </is>
      </c>
      <c r="N223" s="4" t="inlineStr">
        <is>
          <t>Diagnosis</t>
        </is>
      </c>
      <c r="O223" s="4" t="inlineStr">
        <is>
          <t>High</t>
        </is>
      </c>
      <c r="P223" s="4" t="n">
        <v>0</v>
      </c>
      <c r="Q223" s="4" t="n">
        <v>1</v>
      </c>
      <c r="R223" s="4" t="n">
        <v>0</v>
      </c>
      <c r="S223" s="4" t="n">
        <v>0</v>
      </c>
      <c r="T223" s="4" t="n">
        <v>0</v>
      </c>
      <c r="U223" s="4" t="n">
        <v>0</v>
      </c>
      <c r="V223" s="4" t="n">
        <v>0</v>
      </c>
      <c r="W223" s="4" t="n">
        <v>0</v>
      </c>
      <c r="X223" s="4" t="n">
        <v>0</v>
      </c>
      <c r="Y223" s="4" t="n">
        <v>1</v>
      </c>
      <c r="Z223" s="4" t="n">
        <v>0</v>
      </c>
      <c r="AA223" s="4" t="n">
        <v>0</v>
      </c>
      <c r="AB223" s="4" t="inlineStr">
        <is>
          <t>1900-01-01</t>
        </is>
      </c>
      <c r="AC223" s="4" t="n"/>
      <c r="AD223" s="4" t="n"/>
      <c r="AE223" s="4" t="n"/>
      <c r="AF223" s="4" t="n"/>
      <c r="AG223" s="4" t="n">
        <v>0</v>
      </c>
      <c r="AH223" s="4" t="n">
        <v>1</v>
      </c>
      <c r="AI223" s="4" t="n"/>
      <c r="AJ223" s="4" t="n"/>
      <c r="AK223" s="4" t="n"/>
      <c r="AL223" s="4" t="inlineStr">
        <is>
          <t>Se comparan varios modelos; se eligió el principal/mejor reportado</t>
        </is>
      </c>
      <c r="AM223" s="4" t="inlineStr">
        <is>
          <t>RA</t>
        </is>
      </c>
      <c r="AN223" s="4" t="inlineStr">
        <is>
          <t>Tomado completo desde archivo RA según asignación</t>
        </is>
      </c>
      <c r="AO223" s="4" t="n">
        <v>0</v>
      </c>
    </row>
    <row r="224" ht="242" customHeight="1">
      <c r="A224" s="4" t="n">
        <v>223</v>
      </c>
      <c r="B224" s="4" t="n">
        <v>241</v>
      </c>
      <c r="C224" s="4" t="inlineStr">
        <is>
          <t>Revisor A</t>
        </is>
      </c>
      <c r="D224" s="4" t="inlineStr">
        <is>
          <t>RA</t>
        </is>
      </c>
      <c r="E224" s="4" t="n">
        <v>2018</v>
      </c>
      <c r="F224" s="4" t="inlineStr">
        <is>
          <t>Señales fisiológicas</t>
        </is>
      </c>
      <c r="G224" s="4" t="inlineStr">
        <is>
          <t>Machine Learning</t>
        </is>
      </c>
      <c r="H224" s="4" t="inlineStr">
        <is>
          <t>https://doi.org/10.1016/j.nicl.2018.01.014</t>
        </is>
      </c>
      <c r="I224" s="4" t="inlineStr">
        <is>
          <t>Differences in atypical resting-state effective connectivity distinguish autism from schizophrenia</t>
        </is>
      </c>
      <c r="J224" s="4" t="inlineStr">
        <is>
          <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t>
        </is>
      </c>
      <c r="K224" s="4" t="inlineStr">
        <is>
          <t>Supervised</t>
        </is>
      </c>
      <c r="L224" s="4" t="inlineStr">
        <is>
          <t>SVM</t>
        </is>
      </c>
      <c r="M224" s="4" t="inlineStr">
        <is>
          <t>Classification (ASD vs control / multi-class)</t>
        </is>
      </c>
      <c r="N224" s="4" t="inlineStr">
        <is>
          <t>Diagnosis</t>
        </is>
      </c>
      <c r="O224" s="4" t="inlineStr">
        <is>
          <t>High</t>
        </is>
      </c>
      <c r="P224" s="4" t="n">
        <v>1</v>
      </c>
      <c r="Q224" s="4" t="n">
        <v>0</v>
      </c>
      <c r="R224" s="4" t="n">
        <v>0</v>
      </c>
      <c r="S224" s="4" t="n">
        <v>0</v>
      </c>
      <c r="T224" s="4" t="n">
        <v>0</v>
      </c>
      <c r="U224" s="4" t="n">
        <v>0</v>
      </c>
      <c r="V224" s="4" t="n">
        <v>0</v>
      </c>
      <c r="W224" s="4" t="n">
        <v>0</v>
      </c>
      <c r="X224" s="4" t="n">
        <v>0</v>
      </c>
      <c r="Y224" s="4" t="n">
        <v>1</v>
      </c>
      <c r="Z224" s="4" t="n">
        <v>0</v>
      </c>
      <c r="AA224" s="4" t="n">
        <v>0</v>
      </c>
      <c r="AB224" s="4" t="inlineStr">
        <is>
          <t>1900-01-01</t>
        </is>
      </c>
      <c r="AC224" s="4" t="n"/>
      <c r="AD224" s="4" t="n"/>
      <c r="AE224" s="4" t="n"/>
      <c r="AF224" s="4" t="n"/>
      <c r="AG224" s="4" t="n">
        <v>0</v>
      </c>
      <c r="AH224" s="4" t="n">
        <v>1</v>
      </c>
      <c r="AI224" s="4" t="n"/>
      <c r="AJ224" s="4" t="n"/>
      <c r="AK224" s="4" t="n"/>
      <c r="AL224" s="4" t="n"/>
      <c r="AM224" s="4" t="inlineStr">
        <is>
          <t>RA</t>
        </is>
      </c>
      <c r="AN224" s="4" t="inlineStr">
        <is>
          <t>Tomado completo desde archivo RA según asignación</t>
        </is>
      </c>
      <c r="AO224" s="4" t="n">
        <v>0</v>
      </c>
    </row>
    <row r="225" ht="203" customHeight="1">
      <c r="A225" s="4" t="n">
        <v>224</v>
      </c>
      <c r="B225" s="4" t="n">
        <v>242</v>
      </c>
      <c r="C225" s="4" t="inlineStr">
        <is>
          <t>Revisor B</t>
        </is>
      </c>
      <c r="D225" s="4" t="n"/>
      <c r="E225" s="4" t="n">
        <v>2024</v>
      </c>
      <c r="F225" s="4" t="inlineStr">
        <is>
          <t>Señales fisiológicas</t>
        </is>
      </c>
      <c r="G225" s="4" t="inlineStr">
        <is>
          <t>Deep Learning</t>
        </is>
      </c>
      <c r="H225" s="4" t="inlineStr">
        <is>
          <t>https://doi.org/10.1007/s10803-023-05922-x</t>
        </is>
      </c>
      <c r="I225" s="4" t="inlineStr">
        <is>
          <t>Eigenvector Centrality Characterization on fMRI Data: Gender and Node Differences in Normal and ASD Subjects: Author name</t>
        </is>
      </c>
      <c r="J225" s="4" t="inlineStr">
        <is>
          <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t>
        </is>
      </c>
      <c r="K225" s="4" t="inlineStr">
        <is>
          <t>Not clear</t>
        </is>
      </c>
      <c r="L225" s="4" t="inlineStr">
        <is>
          <t>Decision Tree</t>
        </is>
      </c>
      <c r="M225" s="4" t="inlineStr">
        <is>
          <t>Classification (binary/multi-class; incl. ASD vs control)/ multi-class)</t>
        </is>
      </c>
      <c r="N225" s="4" t="inlineStr">
        <is>
          <t>diagnosis</t>
        </is>
      </c>
      <c r="O225" s="4" t="inlineStr">
        <is>
          <t>high</t>
        </is>
      </c>
      <c r="P225" s="4" t="n">
        <v>1</v>
      </c>
      <c r="Q225" s="4" t="n">
        <v>0</v>
      </c>
      <c r="R225" s="4" t="n">
        <v>0</v>
      </c>
      <c r="S225" s="4" t="n">
        <v>0</v>
      </c>
      <c r="T225" s="4" t="n">
        <v>0</v>
      </c>
      <c r="U225" s="4" t="n">
        <v>0</v>
      </c>
      <c r="V225" s="4" t="n">
        <v>0</v>
      </c>
      <c r="W225" s="4" t="n">
        <v>0</v>
      </c>
      <c r="X225" s="4" t="n">
        <v>0</v>
      </c>
      <c r="Y225" s="4" t="n">
        <v>1</v>
      </c>
      <c r="Z225" s="4" t="n">
        <v>0</v>
      </c>
      <c r="AA225" s="4" t="n">
        <v>0</v>
      </c>
      <c r="AB225" s="4" t="inlineStr">
        <is>
          <t>00:00:00</t>
        </is>
      </c>
      <c r="AC225" s="4" t="n">
        <v>0</v>
      </c>
      <c r="AD225" s="4" t="n">
        <v>0</v>
      </c>
      <c r="AE225" s="4" t="n">
        <v>0</v>
      </c>
      <c r="AF225" s="4" t="n">
        <v>0</v>
      </c>
      <c r="AG225" s="4" t="n">
        <v>0</v>
      </c>
      <c r="AH225" s="4" t="n">
        <v>1</v>
      </c>
      <c r="AI225" s="4" t="n">
        <v>0</v>
      </c>
      <c r="AJ225" s="4" t="inlineStr">
        <is>
          <t>00:00:00</t>
        </is>
      </c>
      <c r="AK225" s="4" t="inlineStr">
        <is>
          <t>00:00:00</t>
        </is>
      </c>
      <c r="AL225" s="4" t="n"/>
      <c r="AM225" s="4" t="inlineStr">
        <is>
          <t>RB</t>
        </is>
      </c>
      <c r="AN225" s="4" t="inlineStr">
        <is>
          <t>Tomado completo desde archivo RB según asignación</t>
        </is>
      </c>
      <c r="AO225" s="4" t="n">
        <v>0</v>
      </c>
    </row>
    <row r="226" ht="164" customHeight="1">
      <c r="A226" s="4" t="n">
        <v>225</v>
      </c>
      <c r="B226" s="4" t="n">
        <v>243</v>
      </c>
      <c r="C226" s="4" t="inlineStr">
        <is>
          <t>Revisor B</t>
        </is>
      </c>
      <c r="D226" s="4" t="n"/>
      <c r="E226" s="4" t="n">
        <v>2025</v>
      </c>
      <c r="F226" s="4" t="inlineStr">
        <is>
          <t>Imagen</t>
        </is>
      </c>
      <c r="G226" s="4" t="inlineStr">
        <is>
          <t>Deep Learning</t>
        </is>
      </c>
      <c r="H226" s="4" t="inlineStr">
        <is>
          <t>https://doi.org/10.1007/978-3-031-83845-3_26</t>
        </is>
      </c>
      <c r="I226" s="4" t="inlineStr">
        <is>
          <t>Enhancing Multi-view ASD Diagnosis Using Structural MRI and Pretrained CNN</t>
        </is>
      </c>
      <c r="J226" s="4" t="inlineStr">
        <is>
          <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t>
        </is>
      </c>
      <c r="K226" s="4" t="inlineStr">
        <is>
          <t>Not clear</t>
        </is>
      </c>
      <c r="L226" s="4" t="inlineStr">
        <is>
          <t>CNN</t>
        </is>
      </c>
      <c r="M226" s="4" t="inlineStr">
        <is>
          <t>Classification (binary/multi-class; incl. ASD vs control)/ multi-class)</t>
        </is>
      </c>
      <c r="N226" s="4" t="inlineStr">
        <is>
          <t>Diagnosis</t>
        </is>
      </c>
      <c r="O226" s="4" t="inlineStr">
        <is>
          <t>medium</t>
        </is>
      </c>
      <c r="P226" s="4" t="n">
        <v>0</v>
      </c>
      <c r="Q226" s="4" t="n">
        <v>0</v>
      </c>
      <c r="R226" s="4" t="n">
        <v>0</v>
      </c>
      <c r="S226" s="4" t="n">
        <v>0</v>
      </c>
      <c r="T226" s="4" t="n">
        <v>0</v>
      </c>
      <c r="U226" s="4" t="n">
        <v>0</v>
      </c>
      <c r="V226" s="4" t="n">
        <v>0</v>
      </c>
      <c r="W226" s="4" t="n">
        <v>0</v>
      </c>
      <c r="X226" s="4" t="n">
        <v>0</v>
      </c>
      <c r="Y226" s="4" t="n">
        <v>0</v>
      </c>
      <c r="Z226" s="4" t="n">
        <v>0</v>
      </c>
      <c r="AA226" s="4" t="n">
        <v>1</v>
      </c>
      <c r="AB226" s="4" t="inlineStr">
        <is>
          <t>1900-01-01</t>
        </is>
      </c>
      <c r="AC226" s="4" t="n">
        <v>0</v>
      </c>
      <c r="AD226" s="4" t="n">
        <v>0</v>
      </c>
      <c r="AE226" s="4" t="n">
        <v>0</v>
      </c>
      <c r="AF226" s="4" t="n">
        <v>0</v>
      </c>
      <c r="AG226" s="4" t="n">
        <v>0</v>
      </c>
      <c r="AH226" s="4" t="n">
        <v>0</v>
      </c>
      <c r="AI226" s="4" t="n">
        <v>0</v>
      </c>
      <c r="AJ226" s="4" t="inlineStr">
        <is>
          <t>00:00:00</t>
        </is>
      </c>
      <c r="AK226" s="4" t="inlineStr">
        <is>
          <t>00:00:00</t>
        </is>
      </c>
      <c r="AL226" s="4" t="n"/>
      <c r="AM226" s="4" t="inlineStr">
        <is>
          <t>RB</t>
        </is>
      </c>
      <c r="AN226" s="4" t="inlineStr">
        <is>
          <t>Tomado completo desde archivo RB según asignación</t>
        </is>
      </c>
      <c r="AO226" s="4" t="n">
        <v>0</v>
      </c>
    </row>
    <row r="227" ht="409" customHeight="1">
      <c r="A227" s="4" t="n">
        <v>226</v>
      </c>
      <c r="B227" s="4" t="n">
        <v>245</v>
      </c>
      <c r="C227" s="4" t="inlineStr">
        <is>
          <t>Revisor B</t>
        </is>
      </c>
      <c r="D227" s="4" t="n"/>
      <c r="E227" s="4" t="n">
        <v>2024</v>
      </c>
      <c r="F227" s="4" t="inlineStr">
        <is>
          <t>Imagen</t>
        </is>
      </c>
      <c r="G227" s="4" t="inlineStr">
        <is>
          <t>Deep Learning</t>
        </is>
      </c>
      <c r="H227" s="4" t="inlineStr">
        <is>
          <t>https://doi.org/10.1109/ACCESS.2024.3351168</t>
        </is>
      </c>
      <c r="I227" s="4" t="inlineStr">
        <is>
          <t>Exploring Sparse Gaussian Processes for Bayesian Optimization in Convolutional Neural Networks for Autism Classification</t>
        </is>
      </c>
      <c r="J227" s="4" t="inlineStr">
        <is>
          <t>Autism Spectrum Disorder (ASD) constitutes a prevalent childhood condition, impacting approximately 0.62% of the global population. Children grappling with ASD encounter challenges in acquiring language proficiency, comprehending spoken communication, and interpreting nonverbal cues, including eye contact, facial expressions, and hand gestures. This discourse delves into the application of eye tracking as a foundational instrument in ASD screening, leveraging the distinctive attributes of gaze behavior. Within the realm of Artificial Intelligence, Deep Learning manifests substantial promise, exhibiting considerable strides across diverse domains and emerging as an indispensable technological paradigm. This treatise introduces an innovative Convolutional Neural Network (CNN) model predicated on Bayesian optimization for the discernment of eye tracking images. The model comprises two primary components: the initial segment employs CNN to extract and amalgamate salient features, while the subsequent section incorporates a Bayesian optimizer tasked with fine-tuning the CNN’s hyperparameters contingent on an objective function. In the preliminary analysis, three distinct scenarios devoid of specific elements are juxtaposed with Bayesian optimization. During the examination, these circumstances are assessed through convergence charts and metrics of accuracy. The algorithm proposed manifests an elevated performance, demonstrating a conspicuous accuracy threshold of % during the evaluative phase of the model. This outcome constitutes a commendable advancement in research, accentuating the efficacy and resilience of the developed approach. The article undertakes a comparative analysis of research methodologies and thematic analysis approaches, furnishing valuable insights for qualitative researchers and offering methodologically robust pathways to address research inquiries. In practical applications, the model attests to heightened reliability and precision, thereby underscored as efficacious in real-world scenarios.</t>
        </is>
      </c>
      <c r="K227" s="4" t="n"/>
      <c r="L227" s="4" t="n"/>
      <c r="M227" s="4" t="inlineStr">
        <is>
          <t>Image-based screening / classification</t>
        </is>
      </c>
      <c r="N227" s="4" t="inlineStr">
        <is>
          <t>Screening</t>
        </is>
      </c>
      <c r="O227" s="4" t="n"/>
      <c r="P227" s="4" t="n"/>
      <c r="Q227" s="4" t="n"/>
      <c r="R227" s="4" t="n"/>
      <c r="S227" s="4" t="n"/>
      <c r="T227" s="4" t="n"/>
      <c r="U227" s="4" t="n"/>
      <c r="V227" s="4" t="n"/>
      <c r="W227" s="4" t="n">
        <v>0</v>
      </c>
      <c r="X227" s="4" t="n">
        <v>1</v>
      </c>
      <c r="Y227" s="4" t="n">
        <v>0</v>
      </c>
      <c r="Z227" s="4" t="n">
        <v>0</v>
      </c>
      <c r="AA227" s="4" t="n">
        <v>0</v>
      </c>
      <c r="AB227" s="4" t="inlineStr">
        <is>
          <t>1900-01-01</t>
        </is>
      </c>
      <c r="AC227" s="4" t="n">
        <v>0</v>
      </c>
      <c r="AD227" s="4" t="n">
        <v>0</v>
      </c>
      <c r="AE227" s="4" t="n">
        <v>0</v>
      </c>
      <c r="AF227" s="4" t="n">
        <v>0</v>
      </c>
      <c r="AG227" s="4" t="n"/>
      <c r="AH227" s="4" t="n"/>
      <c r="AI227" s="4" t="n"/>
      <c r="AJ227" s="4" t="inlineStr">
        <is>
          <t>1900-01-01</t>
        </is>
      </c>
      <c r="AK227" s="4" t="n"/>
      <c r="AL227" s="4" t="inlineStr">
        <is>
          <t>Sin señal explícita Q3 en título/abstract.</t>
        </is>
      </c>
      <c r="AM227" s="4" t="inlineStr">
        <is>
          <t>RA_fallback</t>
        </is>
      </c>
      <c r="AN227" s="4" t="inlineStr">
        <is>
          <t>Fallback a RA porque el ID no está en RB</t>
        </is>
      </c>
      <c r="AO227" s="4" t="n">
        <v>1</v>
      </c>
    </row>
    <row r="228" ht="294" customHeight="1">
      <c r="A228" s="4" t="n">
        <v>227</v>
      </c>
      <c r="B228" s="4" t="n">
        <v>246</v>
      </c>
      <c r="C228" s="4" t="inlineStr">
        <is>
          <t>Revisor A</t>
        </is>
      </c>
      <c r="D228" s="4" t="inlineStr">
        <is>
          <t>RA</t>
        </is>
      </c>
      <c r="E228" s="4" t="n">
        <v>2021</v>
      </c>
      <c r="F228" s="4" t="inlineStr">
        <is>
          <t>No especificado</t>
        </is>
      </c>
      <c r="G228" s="4" t="inlineStr">
        <is>
          <t>Machine Learning</t>
        </is>
      </c>
      <c r="H228" s="4" t="inlineStr">
        <is>
          <t>https://doi.org/10.1016/B978-0-12-822822-7.00009-0</t>
        </is>
      </c>
      <c r="I228" s="4" t="inlineStr">
        <is>
          <t>Exploring tree-based machine learning methods to predict autism spectrum disorder</t>
        </is>
      </c>
      <c r="J228" s="4" t="inlineStr">
        <is>
          <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t>
        </is>
      </c>
      <c r="K228" s="4" t="inlineStr">
        <is>
          <t>Supervised</t>
        </is>
      </c>
      <c r="L228" s="4" t="inlineStr">
        <is>
          <t>Random Forest</t>
        </is>
      </c>
      <c r="M228" s="4" t="inlineStr">
        <is>
          <t>Prediction (time-to-event / prognosis)</t>
        </is>
      </c>
      <c r="N228" s="4" t="inlineStr">
        <is>
          <t>Screening</t>
        </is>
      </c>
      <c r="O228" s="4" t="inlineStr">
        <is>
          <t>Medium</t>
        </is>
      </c>
      <c r="P228" s="4" t="n">
        <v>0</v>
      </c>
      <c r="Q228" s="4" t="n">
        <v>0</v>
      </c>
      <c r="R228" s="4" t="n">
        <v>0</v>
      </c>
      <c r="S228" s="4" t="n">
        <v>0</v>
      </c>
      <c r="T228" s="4" t="n">
        <v>0</v>
      </c>
      <c r="U228" s="4" t="n">
        <v>0</v>
      </c>
      <c r="V228" s="4" t="n">
        <v>1</v>
      </c>
      <c r="W228" s="4" t="n">
        <v>0</v>
      </c>
      <c r="X228" s="4" t="n">
        <v>1</v>
      </c>
      <c r="Y228" s="4" t="n">
        <v>0</v>
      </c>
      <c r="Z228" s="4" t="n">
        <v>0</v>
      </c>
      <c r="AA228" s="4" t="n">
        <v>0</v>
      </c>
      <c r="AB228" s="4" t="inlineStr">
        <is>
          <t>1900-01-01</t>
        </is>
      </c>
      <c r="AC228" s="4" t="n"/>
      <c r="AD228" s="4" t="n"/>
      <c r="AE228" s="4" t="n"/>
      <c r="AF228" s="4" t="n"/>
      <c r="AG228" s="4" t="n">
        <v>0</v>
      </c>
      <c r="AH228" s="4" t="n">
        <v>1</v>
      </c>
      <c r="AI228" s="4" t="n"/>
      <c r="AJ228" s="4" t="n"/>
      <c r="AK228" s="4" t="n"/>
      <c r="AL228" s="4" t="n"/>
      <c r="AM228" s="4" t="inlineStr">
        <is>
          <t>RA</t>
        </is>
      </c>
      <c r="AN228" s="4" t="inlineStr">
        <is>
          <t>Tomado completo desde archivo RA según asignación</t>
        </is>
      </c>
      <c r="AO228" s="4" t="n">
        <v>0</v>
      </c>
    </row>
    <row r="229" ht="409" customHeight="1">
      <c r="A229" s="4" t="n">
        <v>228</v>
      </c>
      <c r="B229" s="4" t="n">
        <v>247</v>
      </c>
      <c r="C229" s="4" t="inlineStr">
        <is>
          <t>Revisor B</t>
        </is>
      </c>
      <c r="D229" s="4" t="n"/>
      <c r="E229" s="4" t="n">
        <v>2023</v>
      </c>
      <c r="F229" s="4" t="inlineStr">
        <is>
          <t>Texto · NLP</t>
        </is>
      </c>
      <c r="G229" s="4" t="inlineStr">
        <is>
          <t>Machine Learning</t>
        </is>
      </c>
      <c r="H229" s="4" t="inlineStr">
        <is>
          <t>https://doi.org/10.1109/EMBC40787.2023.10340852</t>
        </is>
      </c>
      <c r="I229" s="4" t="inlineStr">
        <is>
          <t>Few-Shot Classification of Autism Spectrum Disorder using Site-Agnostic Meta-Learning and Brain MRI</t>
        </is>
      </c>
      <c r="J229" s="4" t="inlineStr">
        <is>
          <t>For machine learning applications in medical imaging, the availability of training data is often limited, which hampers the design of radiological classifiers for subtle conditions such as autism spectrum disorder (ASD). Transfer learning is one method to counter this problem of low training data regimes. Here we explore the use of meta-learning for very low data regimes in the context of having prior data from multiple sites-an approach we term site-agnostic meta-learning. Inspired by the effectiveness of meta-learning for optimizing a model across multiple tasks, here we propose a framework to adapt it to learn across multiple sites. We tested our meta-learning model for classifying ASD versus typically developing controls in 2,201 T1-weighted (T1-w) MRI scans collected from 38 imaging sites as part of Autism Brain Imaging Data Exchange (ABIDE) [age: 5.2-64.0 years]. The method was trained to find a good initialization state for our model that can quickly adapt to data from new unseen sites by fine-tuning on the limited data that is available. The proposed method achieved an area under the receiver operating characteristic curve (ROC-AUC)=0.857 on 370 scans from 7 unseen sites in ABIDE using a few-shot setting of 2-way 20-shot i.e., 20 training samples per site. Our results outperformed a transfer learning baseline by generalizing across a wider range of sites as well as other related prior work. We also tested our model in a zero-shot setting on an independent test site without any additional fine-tuning. Our experiments show the promise of the proposed site-agnostic meta-learning framework for challenging neuroimaging tasks involving multi-site heterogeneity with limited availability of training data.Clinical Relevance-We propose a learning framework that accommodates multi-site heterogeneity and limited data to assist in challenging neuroimaging tasks.</t>
        </is>
      </c>
      <c r="K229" s="4" t="n"/>
      <c r="L229" s="4" t="n"/>
      <c r="M229" s="4" t="inlineStr">
        <is>
          <t>MRI classification / diagnostic support</t>
        </is>
      </c>
      <c r="N229" s="4" t="inlineStr">
        <is>
          <t>Diagnosis</t>
        </is>
      </c>
      <c r="O229" s="4" t="inlineStr">
        <is>
          <t>high</t>
        </is>
      </c>
      <c r="P229" s="4" t="n">
        <v>0</v>
      </c>
      <c r="Q229" s="4" t="n">
        <v>0</v>
      </c>
      <c r="R229" s="4" t="n">
        <v>1</v>
      </c>
      <c r="S229" s="4" t="n">
        <v>0</v>
      </c>
      <c r="T229" s="4" t="n">
        <v>0</v>
      </c>
      <c r="U229" s="4" t="n">
        <v>0</v>
      </c>
      <c r="V229" s="4" t="n">
        <v>0</v>
      </c>
      <c r="W229" s="4" t="n">
        <v>0</v>
      </c>
      <c r="X229" s="4" t="n">
        <v>0</v>
      </c>
      <c r="Y229" s="4" t="n">
        <v>1</v>
      </c>
      <c r="Z229" s="4" t="n">
        <v>0</v>
      </c>
      <c r="AA229" s="4" t="n">
        <v>0</v>
      </c>
      <c r="AB229" s="4" t="inlineStr">
        <is>
          <t>1900-01-01</t>
        </is>
      </c>
      <c r="AC229" s="4" t="n">
        <v>0</v>
      </c>
      <c r="AD229" s="4" t="n">
        <v>0</v>
      </c>
      <c r="AE229" s="4" t="n">
        <v>0</v>
      </c>
      <c r="AF229" s="4" t="n">
        <v>0</v>
      </c>
      <c r="AG229" s="4" t="n">
        <v>0</v>
      </c>
      <c r="AH229" s="4" t="n">
        <v>1</v>
      </c>
      <c r="AI229" s="4" t="n">
        <v>0</v>
      </c>
      <c r="AJ229" s="4" t="inlineStr">
        <is>
          <t>1900-01-01</t>
        </is>
      </c>
      <c r="AK229" s="4" t="inlineStr">
        <is>
          <t>00:00:00</t>
        </is>
      </c>
      <c r="AL229" s="4" t="n"/>
      <c r="AM229" s="4" t="inlineStr">
        <is>
          <t>RB</t>
        </is>
      </c>
      <c r="AN229" s="4" t="inlineStr">
        <is>
          <t>Tomado completo desde archivo RB según asignación</t>
        </is>
      </c>
      <c r="AO229" s="4" t="n">
        <v>0</v>
      </c>
    </row>
    <row r="230" ht="320" customHeight="1">
      <c r="A230" s="4" t="n">
        <v>229</v>
      </c>
      <c r="B230" s="4" t="n">
        <v>248</v>
      </c>
      <c r="C230" s="4" t="inlineStr">
        <is>
          <t>Revisor B</t>
        </is>
      </c>
      <c r="D230" s="4" t="n"/>
      <c r="E230" s="4" t="n">
        <v>2024</v>
      </c>
      <c r="F230" s="4" t="inlineStr">
        <is>
          <t>Imagen</t>
        </is>
      </c>
      <c r="G230" s="4" t="inlineStr">
        <is>
          <t>Deep Learning</t>
        </is>
      </c>
      <c r="H230" s="4" t="inlineStr">
        <is>
          <t>https://doi.org/10.1109/TNSRE.2024.3361935</t>
        </is>
      </c>
      <c r="I230" s="4" t="inlineStr">
        <is>
          <t>Gaze Patterns in Children With Autism Spectrum Disorder to Emotional Faces: Scanpath and Similarity</t>
        </is>
      </c>
      <c r="J230" s="4" t="inlineStr">
        <is>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is>
      </c>
      <c r="K230" s="4" t="inlineStr">
        <is>
          <t>Supervised</t>
        </is>
      </c>
      <c r="L230" s="4" t="inlineStr">
        <is>
          <t>RNN/LSTM/GRU</t>
        </is>
      </c>
      <c r="M230" s="4" t="inlineStr">
        <is>
          <t>Classification (binary/multi-class; incl. ASD vs control)/ multi-class)</t>
        </is>
      </c>
      <c r="N230" s="4" t="inlineStr">
        <is>
          <t>Screening</t>
        </is>
      </c>
      <c r="O230" s="4" t="inlineStr">
        <is>
          <t>high</t>
        </is>
      </c>
      <c r="P230" s="4" t="n">
        <v>1</v>
      </c>
      <c r="Q230" s="4" t="n">
        <v>0</v>
      </c>
      <c r="R230" s="4" t="n">
        <v>0</v>
      </c>
      <c r="S230" s="4" t="n">
        <v>0</v>
      </c>
      <c r="T230" s="4" t="n">
        <v>0</v>
      </c>
      <c r="U230" s="4" t="n">
        <v>0</v>
      </c>
      <c r="V230" s="4" t="n">
        <v>0</v>
      </c>
      <c r="W230" s="4" t="n">
        <v>0</v>
      </c>
      <c r="X230" s="4" t="n">
        <v>0</v>
      </c>
      <c r="Y230" s="4" t="n">
        <v>1</v>
      </c>
      <c r="Z230" s="4" t="n">
        <v>1</v>
      </c>
      <c r="AA230" s="4" t="n">
        <v>0</v>
      </c>
      <c r="AB230" s="4" t="inlineStr">
        <is>
          <t>1900-01-01</t>
        </is>
      </c>
      <c r="AC230" s="4" t="n">
        <v>0</v>
      </c>
      <c r="AD230" s="4" t="n">
        <v>0</v>
      </c>
      <c r="AE230" s="4" t="n">
        <v>0</v>
      </c>
      <c r="AF230" s="4" t="n">
        <v>0</v>
      </c>
      <c r="AG230" s="4" t="n">
        <v>0</v>
      </c>
      <c r="AH230" s="4" t="n">
        <v>1</v>
      </c>
      <c r="AI230" s="4" t="n">
        <v>0</v>
      </c>
      <c r="AJ230" s="4" t="inlineStr">
        <is>
          <t>1900-01-01</t>
        </is>
      </c>
      <c r="AK230" s="4" t="inlineStr">
        <is>
          <t>00:00:00</t>
        </is>
      </c>
      <c r="AL230" s="4" t="n"/>
      <c r="AM230" s="4" t="inlineStr">
        <is>
          <t>RB</t>
        </is>
      </c>
      <c r="AN230" s="4" t="inlineStr">
        <is>
          <t>Tomado completo desde archivo RB según asignación</t>
        </is>
      </c>
      <c r="AO230" s="4" t="n">
        <v>0</v>
      </c>
    </row>
    <row r="231" ht="307" customHeight="1">
      <c r="A231" s="4" t="n">
        <v>230</v>
      </c>
      <c r="B231" s="4" t="n">
        <v>249</v>
      </c>
      <c r="C231" s="4" t="inlineStr">
        <is>
          <t>Revisor A</t>
        </is>
      </c>
      <c r="D231" s="4" t="inlineStr">
        <is>
          <t>RA</t>
        </is>
      </c>
      <c r="E231" s="4" t="n">
        <v>2015</v>
      </c>
      <c r="F231" s="4" t="inlineStr">
        <is>
          <t>Imagen</t>
        </is>
      </c>
      <c r="G231" s="4" t="inlineStr">
        <is>
          <t>Machine Learning</t>
        </is>
      </c>
      <c r="H231" s="4" t="inlineStr">
        <is>
          <t>https://doi.org/10.1111/jon.12280</t>
        </is>
      </c>
      <c r="I231" s="4" t="inlineStr">
        <is>
          <t>Gray Matter Alterations in Young Children with Autism Spectrum Disorders: Comparing Morphometry at the Voxel and Regional Level</t>
        </is>
      </c>
      <c r="J231" s="4" t="inlineStr">
        <is>
          <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t>
        </is>
      </c>
      <c r="K231" s="4" t="inlineStr">
        <is>
          <t>Supervised</t>
        </is>
      </c>
      <c r="L231" s="4" t="inlineStr">
        <is>
          <t>SVM</t>
        </is>
      </c>
      <c r="M231" s="4" t="inlineStr">
        <is>
          <t>Classification (ASD vs control / multi-class)</t>
        </is>
      </c>
      <c r="N231" s="4" t="inlineStr">
        <is>
          <t>Diagnosis</t>
        </is>
      </c>
      <c r="O231" s="4" t="inlineStr">
        <is>
          <t>High</t>
        </is>
      </c>
      <c r="P231" s="4" t="n">
        <v>1</v>
      </c>
      <c r="Q231" s="4" t="n">
        <v>0</v>
      </c>
      <c r="R231" s="4" t="n">
        <v>0</v>
      </c>
      <c r="S231" s="4" t="n">
        <v>0</v>
      </c>
      <c r="T231" s="4" t="n">
        <v>0</v>
      </c>
      <c r="U231" s="4" t="n">
        <v>0</v>
      </c>
      <c r="V231" s="4" t="n">
        <v>0</v>
      </c>
      <c r="W231" s="4" t="n">
        <v>0</v>
      </c>
      <c r="X231" s="4" t="n">
        <v>0</v>
      </c>
      <c r="Y231" s="4" t="n">
        <v>0</v>
      </c>
      <c r="Z231" s="4" t="n">
        <v>1</v>
      </c>
      <c r="AA231" s="4" t="n">
        <v>0</v>
      </c>
      <c r="AB231" s="4" t="inlineStr">
        <is>
          <t>1900-01-01</t>
        </is>
      </c>
      <c r="AC231" s="4" t="n"/>
      <c r="AD231" s="4" t="n"/>
      <c r="AE231" s="4" t="n"/>
      <c r="AF231" s="4" t="n"/>
      <c r="AG231" s="4" t="n">
        <v>1</v>
      </c>
      <c r="AH231" s="4" t="n">
        <v>1</v>
      </c>
      <c r="AI231" s="4" t="n"/>
      <c r="AJ231" s="4" t="n"/>
      <c r="AK231" s="4" t="n"/>
      <c r="AL231" s="4" t="inlineStr">
        <is>
          <t>Algoritmo principal no explícito o fuera del codebook; Confirmar algoritmo principal en full-text</t>
        </is>
      </c>
      <c r="AM231" s="4" t="inlineStr">
        <is>
          <t>RA</t>
        </is>
      </c>
      <c r="AN231" s="4" t="inlineStr">
        <is>
          <t>Tomado completo desde archivo RA según asignación</t>
        </is>
      </c>
      <c r="AO231" s="4" t="n">
        <v>0</v>
      </c>
    </row>
    <row r="232" ht="320" customHeight="1">
      <c r="A232" s="4" t="n">
        <v>231</v>
      </c>
      <c r="B232" s="4" t="n">
        <v>250</v>
      </c>
      <c r="C232" s="4" t="inlineStr">
        <is>
          <t>Revisor A</t>
        </is>
      </c>
      <c r="D232" s="4" t="inlineStr">
        <is>
          <t>RA</t>
        </is>
      </c>
      <c r="E232" s="4" t="n">
        <v>2022</v>
      </c>
      <c r="F232" s="4" t="inlineStr">
        <is>
          <t>Señales fisiológicas</t>
        </is>
      </c>
      <c r="G232" s="4" t="inlineStr">
        <is>
          <t>Deep Learning</t>
        </is>
      </c>
      <c r="H232" s="4" t="inlineStr">
        <is>
          <t>https://doi.org/10.1016/j.compbiomed.2022.105854</t>
        </is>
      </c>
      <c r="I232" s="4" t="inlineStr">
        <is>
          <t>Identification of Autism spectrum disorder based on a novel feature selection method and Variational Autoencoder</t>
        </is>
      </c>
      <c r="J232" s="4" t="inlineStr">
        <is>
          <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t>
        </is>
      </c>
      <c r="K232" s="4" t="inlineStr">
        <is>
          <t>Supervised</t>
        </is>
      </c>
      <c r="L232" s="4" t="inlineStr">
        <is>
          <t>MLP</t>
        </is>
      </c>
      <c r="M232" s="4" t="inlineStr">
        <is>
          <t>Classification (ASD vs control / multi-class)</t>
        </is>
      </c>
      <c r="N232" s="4" t="inlineStr">
        <is>
          <t>Diagnosis</t>
        </is>
      </c>
      <c r="O232" s="4" t="inlineStr">
        <is>
          <t>High</t>
        </is>
      </c>
      <c r="P232" s="4" t="n">
        <v>1</v>
      </c>
      <c r="Q232" s="4" t="n">
        <v>0</v>
      </c>
      <c r="R232" s="4" t="n">
        <v>0</v>
      </c>
      <c r="S232" s="4" t="n">
        <v>0</v>
      </c>
      <c r="T232" s="4" t="n">
        <v>0</v>
      </c>
      <c r="U232" s="4" t="n">
        <v>0</v>
      </c>
      <c r="V232" s="4" t="n">
        <v>0</v>
      </c>
      <c r="W232" s="4" t="n">
        <v>0</v>
      </c>
      <c r="X232" s="4" t="n">
        <v>0</v>
      </c>
      <c r="Y232" s="4" t="n">
        <v>1</v>
      </c>
      <c r="Z232" s="4" t="n">
        <v>0</v>
      </c>
      <c r="AA232" s="4" t="n">
        <v>0</v>
      </c>
      <c r="AB232" s="4" t="inlineStr">
        <is>
          <t>1900-01-01</t>
        </is>
      </c>
      <c r="AC232" s="4" t="n"/>
      <c r="AD232" s="4" t="n"/>
      <c r="AE232" s="4" t="n"/>
      <c r="AF232" s="4" t="n"/>
      <c r="AG232" s="4" t="n">
        <v>0</v>
      </c>
      <c r="AH232" s="4" t="n">
        <v>1</v>
      </c>
      <c r="AI232" s="4" t="n"/>
      <c r="AJ232" s="4" t="n"/>
      <c r="AK232" s="4" t="n"/>
      <c r="AL232" s="4" t="n"/>
      <c r="AM232" s="4" t="inlineStr">
        <is>
          <t>RA</t>
        </is>
      </c>
      <c r="AN232" s="4" t="inlineStr">
        <is>
          <t>Tomado completo desde archivo RA según asignación</t>
        </is>
      </c>
      <c r="AO232" s="4" t="n">
        <v>0</v>
      </c>
    </row>
    <row r="233" ht="409" customHeight="1">
      <c r="A233" s="4" t="n">
        <v>232</v>
      </c>
      <c r="B233" s="4" t="n">
        <v>251</v>
      </c>
      <c r="C233" s="4" t="inlineStr">
        <is>
          <t>Revisor A</t>
        </is>
      </c>
      <c r="D233" s="4" t="inlineStr">
        <is>
          <t>RA</t>
        </is>
      </c>
      <c r="E233" s="4" t="n">
        <v>2023</v>
      </c>
      <c r="F233" s="4" t="inlineStr">
        <is>
          <t>Señales fisiológicas</t>
        </is>
      </c>
      <c r="G233" s="4" t="inlineStr">
        <is>
          <t>Machine Learning</t>
        </is>
      </c>
      <c r="H233" s="4" t="inlineStr">
        <is>
          <t>https://doi.org/10.1038/s41398-023-02662-5</t>
        </is>
      </c>
      <c r="I233" s="4" t="inlineStr">
        <is>
          <t>Integrative analysis of long noncoding RNAs dysregulation and synapse-associated ceRNA regulatory axes in autism</t>
        </is>
      </c>
      <c r="J233" s="4" t="inlineStr">
        <is>
          <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t>
        </is>
      </c>
      <c r="K233" s="4" t="inlineStr">
        <is>
          <t>Supervised</t>
        </is>
      </c>
      <c r="L233" s="4" t="inlineStr">
        <is>
          <t>SVM</t>
        </is>
      </c>
      <c r="M233" s="4" t="inlineStr">
        <is>
          <t>Classification (ASD vs control / multi-class)</t>
        </is>
      </c>
      <c r="N233" s="4" t="inlineStr">
        <is>
          <t>Diagnosis</t>
        </is>
      </c>
      <c r="O233" s="4" t="inlineStr">
        <is>
          <t>Medium</t>
        </is>
      </c>
      <c r="P233" s="4" t="n">
        <v>0</v>
      </c>
      <c r="Q233" s="4" t="n">
        <v>0</v>
      </c>
      <c r="R233" s="4" t="n">
        <v>0</v>
      </c>
      <c r="S233" s="4" t="n">
        <v>0</v>
      </c>
      <c r="T233" s="4" t="n">
        <v>0</v>
      </c>
      <c r="U233" s="4" t="n">
        <v>1</v>
      </c>
      <c r="V233" s="4" t="n">
        <v>0</v>
      </c>
      <c r="W233" s="4" t="n">
        <v>0</v>
      </c>
      <c r="X233" s="4" t="n">
        <v>0</v>
      </c>
      <c r="Y233" s="4" t="n">
        <v>1</v>
      </c>
      <c r="Z233" s="4" t="n">
        <v>0</v>
      </c>
      <c r="AA233" s="4" t="n">
        <v>0</v>
      </c>
      <c r="AB233" s="4" t="inlineStr">
        <is>
          <t>1900-01-01</t>
        </is>
      </c>
      <c r="AC233" s="4" t="n"/>
      <c r="AD233" s="4" t="n"/>
      <c r="AE233" s="4" t="n"/>
      <c r="AF233" s="4" t="n"/>
      <c r="AG233" s="4" t="n">
        <v>1</v>
      </c>
      <c r="AH233" s="4" t="n">
        <v>1</v>
      </c>
      <c r="AI233" s="4" t="inlineStr">
        <is>
          <t>text / NLP</t>
        </is>
      </c>
      <c r="AJ233" s="4" t="n"/>
      <c r="AK233" s="4" t="n"/>
      <c r="AL233" s="4" t="inlineStr">
        <is>
          <t>Análisis integrativo de lncRNA/ceRNA sin algoritmo de IA clínico principal claramente reportado.</t>
        </is>
      </c>
      <c r="AM233" s="4" t="inlineStr">
        <is>
          <t>RA</t>
        </is>
      </c>
      <c r="AN233" s="4" t="inlineStr">
        <is>
          <t>Tomado completo desde archivo RA según asignación</t>
        </is>
      </c>
      <c r="AO233" s="4" t="n">
        <v>0</v>
      </c>
    </row>
    <row r="234" ht="409" customHeight="1">
      <c r="A234" s="4" t="n">
        <v>233</v>
      </c>
      <c r="B234" s="4" t="n">
        <v>253</v>
      </c>
      <c r="C234" s="4" t="inlineStr">
        <is>
          <t>Revisor A</t>
        </is>
      </c>
      <c r="D234" s="4" t="inlineStr">
        <is>
          <t>RA</t>
        </is>
      </c>
      <c r="E234" s="4" t="n">
        <v>2024</v>
      </c>
      <c r="F234" s="4" t="inlineStr">
        <is>
          <t>Señales fisiológicas</t>
        </is>
      </c>
      <c r="G234" s="4" t="inlineStr">
        <is>
          <t>Deep Learning</t>
        </is>
      </c>
      <c r="H234" s="4" t="inlineStr">
        <is>
          <t>https://doi.org/10.1016/j.irbm.2024.100838</t>
        </is>
      </c>
      <c r="I234" s="4" t="inlineStr">
        <is>
          <t>Interpersonal Motor Coordination in Children with Autism and the Establishment of Machine Learning Models to Objectively Classify Children with Autism and Typical Development</t>
        </is>
      </c>
      <c r="J234" s="4" t="inlineStr">
        <is>
          <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t>
        </is>
      </c>
      <c r="K234" s="4" t="inlineStr">
        <is>
          <t>Supervised</t>
        </is>
      </c>
      <c r="L234" s="4" t="inlineStr">
        <is>
          <t>Other / Not clear</t>
        </is>
      </c>
      <c r="M234" s="4" t="inlineStr">
        <is>
          <t>Classification (ASD vs control / multi-class)</t>
        </is>
      </c>
      <c r="N234" s="4" t="inlineStr">
        <is>
          <t>Screening</t>
        </is>
      </c>
      <c r="O234" s="4" t="inlineStr">
        <is>
          <t>Medium</t>
        </is>
      </c>
      <c r="P234" s="4" t="n">
        <v>0</v>
      </c>
      <c r="Q234" s="4" t="n">
        <v>0</v>
      </c>
      <c r="R234" s="4" t="n">
        <v>1</v>
      </c>
      <c r="S234" s="4" t="n">
        <v>0</v>
      </c>
      <c r="T234" s="4" t="n">
        <v>0</v>
      </c>
      <c r="U234" s="4" t="n">
        <v>0</v>
      </c>
      <c r="V234" s="4" t="n">
        <v>0</v>
      </c>
      <c r="W234" s="4" t="n">
        <v>0</v>
      </c>
      <c r="X234" s="4" t="n">
        <v>1</v>
      </c>
      <c r="Y234" s="4" t="n">
        <v>0</v>
      </c>
      <c r="Z234" s="4" t="n">
        <v>0</v>
      </c>
      <c r="AA234" s="4" t="n">
        <v>0</v>
      </c>
      <c r="AB234" s="4" t="inlineStr">
        <is>
          <t>1900-01-01</t>
        </is>
      </c>
      <c r="AC234" s="4" t="n"/>
      <c r="AD234" s="4" t="n"/>
      <c r="AE234" s="4" t="n"/>
      <c r="AF234" s="4" t="n"/>
      <c r="AG234" s="4" t="n">
        <v>1</v>
      </c>
      <c r="AH234" s="4" t="n">
        <v>1</v>
      </c>
      <c r="AI234" s="4" t="n"/>
      <c r="AJ234" s="4" t="n"/>
      <c r="AK234" s="4" t="n"/>
      <c r="AL234" s="4" t="inlineStr">
        <is>
          <t>Algoritmo principal no explícito o fuera del codebook; Confirmar algoritmo principal en full-text</t>
        </is>
      </c>
      <c r="AM234" s="4" t="inlineStr">
        <is>
          <t>RA</t>
        </is>
      </c>
      <c r="AN234" s="4" t="inlineStr">
        <is>
          <t>Tomado completo desde archivo RA según asignación</t>
        </is>
      </c>
      <c r="AO234" s="4" t="n">
        <v>0</v>
      </c>
    </row>
    <row r="235" ht="359" customHeight="1">
      <c r="A235" s="4" t="n">
        <v>234</v>
      </c>
      <c r="B235" s="4" t="n">
        <v>254</v>
      </c>
      <c r="C235" s="4" t="inlineStr">
        <is>
          <t>Ambos (piloto)</t>
        </is>
      </c>
      <c r="D235" s="4" t="inlineStr">
        <is>
          <t>RA</t>
        </is>
      </c>
      <c r="E235" s="4" t="n">
        <v>2018</v>
      </c>
      <c r="F235" s="4" t="inlineStr">
        <is>
          <t>Imagen</t>
        </is>
      </c>
      <c r="G235" s="4" t="inlineStr">
        <is>
          <t>Machine Learning</t>
        </is>
      </c>
      <c r="H235" s="4" t="inlineStr">
        <is>
          <t>https://doi.org/10.1007/978-3-030-00928-1_73</t>
        </is>
      </c>
      <c r="I235" s="4" t="inlineStr">
        <is>
          <t>Low-Rank Representation for Multi-center Autism Spectrum Disorder Identification.</t>
        </is>
      </c>
      <c r="J235" s="4" t="inlineStr">
        <is>
          <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t>
        </is>
      </c>
      <c r="K235" s="4" t="inlineStr">
        <is>
          <t>Supervised</t>
        </is>
      </c>
      <c r="L235" s="4" t="inlineStr">
        <is>
          <t>k-NN</t>
        </is>
      </c>
      <c r="M235" s="4" t="inlineStr">
        <is>
          <t>Classification (ASD vs control / multi-class)</t>
        </is>
      </c>
      <c r="N235" s="4" t="inlineStr">
        <is>
          <t>Diagnosis</t>
        </is>
      </c>
      <c r="O235" s="4" t="inlineStr">
        <is>
          <t>High</t>
        </is>
      </c>
      <c r="P235" s="4" t="n">
        <v>1</v>
      </c>
      <c r="Q235" s="4" t="n">
        <v>0</v>
      </c>
      <c r="R235" s="4" t="n">
        <v>0</v>
      </c>
      <c r="S235" s="4" t="n">
        <v>0</v>
      </c>
      <c r="T235" s="4" t="n">
        <v>0</v>
      </c>
      <c r="U235" s="4" t="n">
        <v>0</v>
      </c>
      <c r="V235" s="4" t="n">
        <v>0</v>
      </c>
      <c r="W235" s="4" t="n">
        <v>0</v>
      </c>
      <c r="X235" s="4" t="n">
        <v>0</v>
      </c>
      <c r="Y235" s="4" t="n">
        <v>1</v>
      </c>
      <c r="Z235" s="4" t="n">
        <v>0</v>
      </c>
      <c r="AA235" s="4" t="n">
        <v>0</v>
      </c>
      <c r="AB235" s="4" t="inlineStr">
        <is>
          <t>1900-01-01</t>
        </is>
      </c>
      <c r="AC235" s="4" t="n"/>
      <c r="AD235" s="4" t="n"/>
      <c r="AE235" s="4" t="n"/>
      <c r="AF235" s="4" t="n"/>
      <c r="AG235" s="4" t="n">
        <v>1</v>
      </c>
      <c r="AH235" s="4" t="n">
        <v>1</v>
      </c>
      <c r="AI235" s="4" t="n"/>
      <c r="AJ235" s="4" t="n"/>
      <c r="AK235" s="4" t="n"/>
      <c r="AL235" s="4" t="inlineStr">
        <is>
          <t>Algoritmo principal no explícito o fuera del codebook; Confirmar algoritmo principal en full-text; Se comparan varios modelos; se eligió el principal/mejor reportado</t>
        </is>
      </c>
      <c r="AM235" s="4" t="inlineStr">
        <is>
          <t>RA</t>
        </is>
      </c>
      <c r="AN235" s="4" t="inlineStr">
        <is>
          <t>Tomado completo desde archivo RA según asignación</t>
        </is>
      </c>
      <c r="AO235" s="4" t="n">
        <v>0</v>
      </c>
    </row>
    <row r="236" ht="294" customHeight="1">
      <c r="A236" s="4" t="n">
        <v>235</v>
      </c>
      <c r="B236" s="4" t="n">
        <v>255</v>
      </c>
      <c r="C236" s="4" t="inlineStr">
        <is>
          <t>Revisor A</t>
        </is>
      </c>
      <c r="D236" s="4" t="inlineStr">
        <is>
          <t>RA</t>
        </is>
      </c>
      <c r="E236" s="4" t="n">
        <v>2025</v>
      </c>
      <c r="F236" s="4" t="inlineStr">
        <is>
          <t>Señales fisiológicas</t>
        </is>
      </c>
      <c r="G236" s="4" t="inlineStr">
        <is>
          <t>Deep Learning</t>
        </is>
      </c>
      <c r="H236" s="4" t="inlineStr">
        <is>
          <t>https://doi.org/10.1109/TNSRE.2025.3580593</t>
        </is>
      </c>
      <c r="I236" s="4" t="inlineStr">
        <is>
          <t>LSTA-CNN: A Lightweight Spatiotemporal Attention-Based Convolutional Neural Network for ASD Diagnosis Using EEG</t>
        </is>
      </c>
      <c r="J236" s="4" t="inlineStr">
        <is>
          <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t>
        </is>
      </c>
      <c r="K236" s="4" t="inlineStr">
        <is>
          <t>Supervised</t>
        </is>
      </c>
      <c r="L236" s="4" t="inlineStr">
        <is>
          <t>CNN</t>
        </is>
      </c>
      <c r="M236" s="4" t="inlineStr">
        <is>
          <t>Classification (ASD vs control / multi-class)</t>
        </is>
      </c>
      <c r="N236" s="4" t="inlineStr">
        <is>
          <t>Diagnosis</t>
        </is>
      </c>
      <c r="O236" s="4" t="inlineStr">
        <is>
          <t>High</t>
        </is>
      </c>
      <c r="P236" s="4" t="n">
        <v>0</v>
      </c>
      <c r="Q236" s="4" t="n">
        <v>1</v>
      </c>
      <c r="R236" s="4" t="n">
        <v>0</v>
      </c>
      <c r="S236" s="4" t="n">
        <v>0</v>
      </c>
      <c r="T236" s="4" t="n">
        <v>0</v>
      </c>
      <c r="U236" s="4" t="n">
        <v>0</v>
      </c>
      <c r="V236" s="4" t="n">
        <v>0</v>
      </c>
      <c r="W236" s="4" t="n">
        <v>0</v>
      </c>
      <c r="X236" s="4" t="n">
        <v>0</v>
      </c>
      <c r="Y236" s="4" t="n">
        <v>1</v>
      </c>
      <c r="Z236" s="4" t="n">
        <v>0</v>
      </c>
      <c r="AA236" s="4" t="n">
        <v>0</v>
      </c>
      <c r="AB236" s="4" t="inlineStr">
        <is>
          <t>1900-01-01</t>
        </is>
      </c>
      <c r="AC236" s="4" t="n"/>
      <c r="AD236" s="4" t="n"/>
      <c r="AE236" s="4" t="n"/>
      <c r="AF236" s="4" t="n"/>
      <c r="AG236" s="4" t="n">
        <v>0</v>
      </c>
      <c r="AH236" s="4" t="n">
        <v>1</v>
      </c>
      <c r="AI236" s="4" t="n"/>
      <c r="AJ236" s="4" t="n"/>
      <c r="AK236" s="4" t="n"/>
      <c r="AL236" s="4" t="inlineStr">
        <is>
          <t>Se comparan varios modelos; se eligió el principal/mejor reportado</t>
        </is>
      </c>
      <c r="AM236" s="4" t="inlineStr">
        <is>
          <t>RA</t>
        </is>
      </c>
      <c r="AN236" s="4" t="inlineStr">
        <is>
          <t>Tomado completo desde archivo RA según asignación</t>
        </is>
      </c>
      <c r="AO236" s="4" t="n">
        <v>0</v>
      </c>
    </row>
    <row r="237" ht="333" customHeight="1">
      <c r="A237" s="4" t="n">
        <v>236</v>
      </c>
      <c r="B237" s="4" t="n">
        <v>256</v>
      </c>
      <c r="C237" s="4" t="inlineStr">
        <is>
          <t>Revisor B</t>
        </is>
      </c>
      <c r="D237" s="4" t="n"/>
      <c r="E237" s="4" t="n">
        <v>2021</v>
      </c>
      <c r="F237" s="4" t="inlineStr">
        <is>
          <t>Señales fisiológicas</t>
        </is>
      </c>
      <c r="G237" s="4" t="inlineStr">
        <is>
          <t>Deep Learning</t>
        </is>
      </c>
      <c r="H237" s="4" t="inlineStr">
        <is>
          <t>https://doi.org/10.1016/B978-0-12-822822-7.00008-9</t>
        </is>
      </c>
      <c r="I237" s="4" t="inlineStr">
        <is>
          <t>Machine learning methods for autism spectrum disorder classification</t>
        </is>
      </c>
      <c r="J237" s="4" t="inlineStr">
        <is>
          <t>The use of AI-driven predictive models to identify patterns that can act as biomarkers for different neuropathological conditions is becoming highly prevalent. In particular, the recent advances in representation learning techniques provide unprecedented opportunities to understand, diagnose, and eventually treat a gamut of neurological conditions, including epilepsy, stroke, and autism. In this chapter, we consider the challenging problem of autism spectrum disorder classification using resting state fMRI (rs-fMRI) measurements. While supervised learning methods provide a convenient way to build predictive functions that can identify specific signatures in rs-fMRI pertinent to different levels of severity, the key challenge is in modeling the complex spatiotemporal data (from brain networks) and leveraging the dependencies among patients in a population. In this context, graphs provide a powerful framework to address both these challenges and enable the design of sophisticated predictive modeling tools. The advances in graph signal analysis and the generalization of machine learning techniques, such as kernel methods and deep neural networks, to graphs, make them suitable for challenging diagnosis problems. In this chapter, we describe how graphs, either at patient level or population level, can be used to build predictive models. We present mathematical formulations, algorithmic solutions, and empirical studies to establish graph-based machine learning as an effective solution for autism diagnosis.</t>
        </is>
      </c>
      <c r="K237" s="4" t="n"/>
      <c r="L237" s="4" t="n"/>
      <c r="M237" s="4" t="inlineStr">
        <is>
          <t>Graph-based classification / diagnostic support</t>
        </is>
      </c>
      <c r="N237" s="4" t="inlineStr">
        <is>
          <t>Diagnosis</t>
        </is>
      </c>
      <c r="O237" s="4" t="n"/>
      <c r="P237" s="4" t="n"/>
      <c r="Q237" s="4" t="n"/>
      <c r="R237" s="4" t="n"/>
      <c r="S237" s="4" t="n"/>
      <c r="T237" s="4" t="n"/>
      <c r="U237" s="4" t="n"/>
      <c r="V237" s="4" t="n"/>
      <c r="W237" s="4" t="n">
        <v>0</v>
      </c>
      <c r="X237" s="4" t="n">
        <v>0</v>
      </c>
      <c r="Y237" s="4" t="n">
        <v>1</v>
      </c>
      <c r="Z237" s="4" t="n">
        <v>0</v>
      </c>
      <c r="AA237" s="4" t="n">
        <v>0</v>
      </c>
      <c r="AB237" s="4" t="inlineStr">
        <is>
          <t>1900-01-01</t>
        </is>
      </c>
      <c r="AC237" s="4" t="n">
        <v>0</v>
      </c>
      <c r="AD237" s="4" t="n">
        <v>0</v>
      </c>
      <c r="AE237" s="4" t="n">
        <v>0</v>
      </c>
      <c r="AF237" s="4" t="n">
        <v>0</v>
      </c>
      <c r="AG237" s="4" t="n"/>
      <c r="AH237" s="4" t="n"/>
      <c r="AI237" s="4" t="n"/>
      <c r="AJ237" s="4" t="inlineStr">
        <is>
          <t>1900-01-01</t>
        </is>
      </c>
      <c r="AK237" s="4" t="n"/>
      <c r="AL237" s="4" t="inlineStr">
        <is>
          <t>Sin señal explícita Q3 en título/abstract.</t>
        </is>
      </c>
      <c r="AM237" s="4" t="inlineStr">
        <is>
          <t>RA_fallback</t>
        </is>
      </c>
      <c r="AN237" s="4" t="inlineStr">
        <is>
          <t>Fallback a RA porque el ID no está en RB</t>
        </is>
      </c>
      <c r="AO237" s="4" t="n">
        <v>1</v>
      </c>
    </row>
    <row r="238" ht="333" customHeight="1">
      <c r="A238" s="4" t="n">
        <v>237</v>
      </c>
      <c r="B238" s="4" t="n">
        <v>258</v>
      </c>
      <c r="C238" s="4" t="inlineStr">
        <is>
          <t>Revisor A</t>
        </is>
      </c>
      <c r="D238" s="4" t="inlineStr">
        <is>
          <t>RA</t>
        </is>
      </c>
      <c r="E238" s="4" t="n">
        <v>2025</v>
      </c>
      <c r="F238" s="4" t="inlineStr">
        <is>
          <t>Señales fisiológicas</t>
        </is>
      </c>
      <c r="G238" s="4" t="inlineStr">
        <is>
          <t>Deep Learning</t>
        </is>
      </c>
      <c r="H238" s="4" t="inlineStr">
        <is>
          <t>https://doi.org/10.1038/s41598-025-09862-7</t>
        </is>
      </c>
      <c r="I238" s="4" t="inlineStr">
        <is>
          <t>MDNCT: a multi-domain neurocognitive transformer architecture approach for early prediction of autism spectrum disorders</t>
        </is>
      </c>
      <c r="J238" s="4" t="inlineStr">
        <is>
          <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t>
        </is>
      </c>
      <c r="K238" s="4" t="inlineStr">
        <is>
          <t>Supervised</t>
        </is>
      </c>
      <c r="L238" s="4" t="inlineStr">
        <is>
          <t>Other / Not clear</t>
        </is>
      </c>
      <c r="M238" s="4" t="inlineStr">
        <is>
          <t>Classification (ASD vs control / multi-class)</t>
        </is>
      </c>
      <c r="N238" s="4" t="inlineStr">
        <is>
          <t>Screening</t>
        </is>
      </c>
      <c r="O238" s="4" t="inlineStr">
        <is>
          <t>Medium</t>
        </is>
      </c>
      <c r="P238" s="4" t="n">
        <v>0</v>
      </c>
      <c r="Q238" s="4" t="n">
        <v>0</v>
      </c>
      <c r="R238" s="4" t="n">
        <v>0</v>
      </c>
      <c r="S238" s="4" t="n">
        <v>0</v>
      </c>
      <c r="T238" s="4" t="n">
        <v>0</v>
      </c>
      <c r="U238" s="4" t="n">
        <v>0</v>
      </c>
      <c r="V238" s="4" t="n">
        <v>1</v>
      </c>
      <c r="W238" s="4" t="n">
        <v>0</v>
      </c>
      <c r="X238" s="4" t="n">
        <v>1</v>
      </c>
      <c r="Y238" s="4" t="n">
        <v>0</v>
      </c>
      <c r="Z238" s="4" t="n">
        <v>0</v>
      </c>
      <c r="AA238" s="4" t="n">
        <v>0</v>
      </c>
      <c r="AB238" s="4" t="inlineStr">
        <is>
          <t>1900-01-01</t>
        </is>
      </c>
      <c r="AC238" s="4" t="n"/>
      <c r="AD238" s="4" t="n"/>
      <c r="AE238" s="4" t="n"/>
      <c r="AF238" s="4" t="n"/>
      <c r="AG238" s="4" t="n">
        <v>1</v>
      </c>
      <c r="AH238" s="4" t="n">
        <v>1</v>
      </c>
      <c r="AI238" s="4" t="n"/>
      <c r="AJ238" s="4" t="n"/>
      <c r="AK238" s="4" t="n"/>
      <c r="AL238" s="4" t="inlineStr">
        <is>
          <t>Arquitectura transformer multi-domain para predicción temprana; fuente de datos específica no es explícita en el abstract.</t>
        </is>
      </c>
      <c r="AM238" s="4" t="inlineStr">
        <is>
          <t>RA</t>
        </is>
      </c>
      <c r="AN238" s="4" t="inlineStr">
        <is>
          <t>Tomado completo desde archivo RA según asignación</t>
        </is>
      </c>
      <c r="AO238" s="4" t="n">
        <v>0</v>
      </c>
    </row>
    <row r="239" ht="203" customHeight="1">
      <c r="A239" s="4" t="n">
        <v>238</v>
      </c>
      <c r="B239" s="4" t="n">
        <v>259</v>
      </c>
      <c r="C239" s="4" t="inlineStr">
        <is>
          <t>Revisor B</t>
        </is>
      </c>
      <c r="D239" s="4" t="n"/>
      <c r="E239" s="4" t="n">
        <v>2022</v>
      </c>
      <c r="F239" s="4" t="inlineStr">
        <is>
          <t>Señales fisiológicas</t>
        </is>
      </c>
      <c r="G239" s="4" t="inlineStr">
        <is>
          <t>Deep Learning</t>
        </is>
      </c>
      <c r="H239" s="4" t="inlineStr">
        <is>
          <t>https://doi.org/10.1109/EMBC48229.2022.9871130</t>
        </is>
      </c>
      <c r="I239" s="4" t="inlineStr">
        <is>
          <t>MHATC: Autism Spectrum Disorder Identification Utilizing Multi-Head Attention Encoder Along with Temporal Consolidation Modules</t>
        </is>
      </c>
      <c r="J239" s="4" t="inlineStr">
        <is>
          <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t>
        </is>
      </c>
      <c r="K239" s="4" t="inlineStr">
        <is>
          <t>Supervised</t>
        </is>
      </c>
      <c r="L239" s="4" t="inlineStr">
        <is>
          <t>Transformer</t>
        </is>
      </c>
      <c r="M239" s="4" t="inlineStr">
        <is>
          <t>Classification (binary/multi-class; incl. ASD vs control)/ multi-class)</t>
        </is>
      </c>
      <c r="N239" s="4" t="inlineStr">
        <is>
          <t>diagnosis</t>
        </is>
      </c>
      <c r="O239" s="4" t="inlineStr">
        <is>
          <t>high</t>
        </is>
      </c>
      <c r="P239" s="4" t="n">
        <v>1</v>
      </c>
      <c r="Q239" s="4" t="n">
        <v>0</v>
      </c>
      <c r="R239" s="4" t="n">
        <v>0</v>
      </c>
      <c r="S239" s="4" t="n">
        <v>0</v>
      </c>
      <c r="T239" s="4" t="n">
        <v>0</v>
      </c>
      <c r="U239" s="4" t="n">
        <v>0</v>
      </c>
      <c r="V239" s="4" t="n">
        <v>0</v>
      </c>
      <c r="W239" s="4" t="n">
        <v>0</v>
      </c>
      <c r="X239" s="4" t="n">
        <v>0</v>
      </c>
      <c r="Y239" s="4" t="n">
        <v>1</v>
      </c>
      <c r="Z239" s="4" t="n">
        <v>0</v>
      </c>
      <c r="AA239" s="4" t="n">
        <v>0</v>
      </c>
      <c r="AB239" s="4" t="inlineStr">
        <is>
          <t>1900-01-01</t>
        </is>
      </c>
      <c r="AC239" s="4" t="n">
        <v>0</v>
      </c>
      <c r="AD239" s="4" t="n">
        <v>0</v>
      </c>
      <c r="AE239" s="4" t="n">
        <v>0</v>
      </c>
      <c r="AF239" s="4" t="n">
        <v>0</v>
      </c>
      <c r="AG239" s="4" t="n">
        <v>1</v>
      </c>
      <c r="AH239" s="4" t="n">
        <v>1</v>
      </c>
      <c r="AI239" s="4" t="n">
        <v>0</v>
      </c>
      <c r="AJ239" s="4" t="inlineStr">
        <is>
          <t>00:00:00</t>
        </is>
      </c>
      <c r="AK239" s="4" t="inlineStr">
        <is>
          <t>00:00:00</t>
        </is>
      </c>
      <c r="AL239" s="4" t="n"/>
      <c r="AM239" s="4" t="inlineStr">
        <is>
          <t>RB</t>
        </is>
      </c>
      <c r="AN239" s="4" t="inlineStr">
        <is>
          <t>Tomado completo desde archivo RB según asignación</t>
        </is>
      </c>
      <c r="AO239" s="4" t="n">
        <v>0</v>
      </c>
    </row>
    <row r="240" ht="307" customHeight="1">
      <c r="A240" s="4" t="n">
        <v>239</v>
      </c>
      <c r="B240" s="4" t="n">
        <v>260</v>
      </c>
      <c r="C240" s="4" t="inlineStr">
        <is>
          <t>Revisor A</t>
        </is>
      </c>
      <c r="D240" s="4" t="inlineStr">
        <is>
          <t>RA</t>
        </is>
      </c>
      <c r="E240" s="4" t="n">
        <v>2024</v>
      </c>
      <c r="F240" s="4" t="inlineStr">
        <is>
          <t>No especificado</t>
        </is>
      </c>
      <c r="G240" s="4" t="inlineStr">
        <is>
          <t>Deep Learning</t>
        </is>
      </c>
      <c r="H240" s="4" t="inlineStr">
        <is>
          <t>https://doi.org/10.1007/978-981-99-8558-6_38</t>
        </is>
      </c>
      <c r="I240" s="4" t="inlineStr">
        <is>
          <t>Multi-atlas Representations Based on\&amp;#xa0;Graph Convolutional Networks for\&amp;#xa0;Autism Spectrum Disorder Diagnosis</t>
        </is>
      </c>
      <c r="J240" s="4" t="inlineStr">
        <is>
          <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t>
        </is>
      </c>
      <c r="K240" s="4" t="inlineStr">
        <is>
          <t>Supervised</t>
        </is>
      </c>
      <c r="L240" s="4" t="inlineStr">
        <is>
          <t>Other / Not clear</t>
        </is>
      </c>
      <c r="M240" s="4" t="inlineStr">
        <is>
          <t>Classification (ASD vs control / multi-class)</t>
        </is>
      </c>
      <c r="N240" s="4" t="inlineStr">
        <is>
          <t>Diagnosis</t>
        </is>
      </c>
      <c r="O240" s="4" t="inlineStr">
        <is>
          <t>High</t>
        </is>
      </c>
      <c r="P240" s="4" t="n">
        <v>1</v>
      </c>
      <c r="Q240" s="4" t="n">
        <v>0</v>
      </c>
      <c r="R240" s="4" t="n">
        <v>0</v>
      </c>
      <c r="S240" s="4" t="n">
        <v>0</v>
      </c>
      <c r="T240" s="4" t="n">
        <v>0</v>
      </c>
      <c r="U240" s="4" t="n">
        <v>0</v>
      </c>
      <c r="V240" s="4" t="n">
        <v>0</v>
      </c>
      <c r="W240" s="4" t="n">
        <v>0</v>
      </c>
      <c r="X240" s="4" t="n">
        <v>0</v>
      </c>
      <c r="Y240" s="4" t="n">
        <v>1</v>
      </c>
      <c r="Z240" s="4" t="n">
        <v>0</v>
      </c>
      <c r="AA240" s="4" t="n">
        <v>0</v>
      </c>
      <c r="AB240" s="4" t="inlineStr">
        <is>
          <t>1900-01-01</t>
        </is>
      </c>
      <c r="AC240" s="4" t="n"/>
      <c r="AD240" s="4" t="n"/>
      <c r="AE240" s="4" t="n"/>
      <c r="AF240" s="4" t="n"/>
      <c r="AG240" s="4" t="n">
        <v>1</v>
      </c>
      <c r="AH240" s="4" t="n">
        <v>1</v>
      </c>
      <c r="AI240" s="4" t="n"/>
      <c r="AJ240" s="4" t="n"/>
      <c r="AK240" s="4" t="n"/>
      <c r="AL240" s="4" t="inlineStr">
        <is>
          <t>Algoritmo principal no explícito o fuera del codebook; Confirmar algoritmo principal en full-text; Se comparan varios modelos; se eligió el principal/mejor reportado</t>
        </is>
      </c>
      <c r="AM240" s="4" t="inlineStr">
        <is>
          <t>RA</t>
        </is>
      </c>
      <c r="AN240" s="4" t="inlineStr">
        <is>
          <t>Tomado completo desde archivo RA según asignación</t>
        </is>
      </c>
      <c r="AO240" s="4" t="n">
        <v>0</v>
      </c>
    </row>
    <row r="241" ht="409" customHeight="1">
      <c r="A241" s="4" t="n">
        <v>240</v>
      </c>
      <c r="B241" s="4" t="n">
        <v>261</v>
      </c>
      <c r="C241" s="4" t="inlineStr">
        <is>
          <t>Revisor B</t>
        </is>
      </c>
      <c r="D241" s="4" t="n"/>
      <c r="E241" s="4" t="n">
        <v>2024</v>
      </c>
      <c r="F241" s="4" t="inlineStr">
        <is>
          <t>Imagen</t>
        </is>
      </c>
      <c r="G241" s="4" t="inlineStr">
        <is>
          <t>Deep Learning</t>
        </is>
      </c>
      <c r="H241" s="4" t="inlineStr">
        <is>
          <t>https://doi.org/10.1007/s10916-023-02032-0</t>
        </is>
      </c>
      <c r="I241" s="4" t="inlineStr">
        <is>
          <t>Multiple Classification of Brain MRI Autism Spectrum Disorder by Age and Gender Using Deep Learning</t>
        </is>
      </c>
      <c r="J241" s="4" t="inlineStr">
        <is>
          <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t>
        </is>
      </c>
      <c r="K241" s="4" t="inlineStr">
        <is>
          <t>Supervised</t>
        </is>
      </c>
      <c r="L241" s="4" t="inlineStr">
        <is>
          <t>CNN</t>
        </is>
      </c>
      <c r="M241" s="4" t="inlineStr">
        <is>
          <t>Classification (binary/multi-class; incl. ASD vs control)/ multi-class)</t>
        </is>
      </c>
      <c r="N241" s="4" t="inlineStr">
        <is>
          <t>diagnosis</t>
        </is>
      </c>
      <c r="O241" s="4" t="inlineStr">
        <is>
          <t>high</t>
        </is>
      </c>
      <c r="P241" s="4" t="n">
        <v>1</v>
      </c>
      <c r="Q241" s="4" t="n">
        <v>0</v>
      </c>
      <c r="R241" s="4" t="n">
        <v>0</v>
      </c>
      <c r="S241" s="4" t="n">
        <v>0</v>
      </c>
      <c r="T241" s="4" t="n">
        <v>0</v>
      </c>
      <c r="U241" s="4" t="n">
        <v>0</v>
      </c>
      <c r="V241" s="4" t="n">
        <v>0</v>
      </c>
      <c r="W241" s="4" t="n">
        <v>0</v>
      </c>
      <c r="X241" s="4" t="n">
        <v>0</v>
      </c>
      <c r="Y241" s="4" t="n">
        <v>1</v>
      </c>
      <c r="Z241" s="4" t="n">
        <v>0</v>
      </c>
      <c r="AA241" s="4" t="n">
        <v>0</v>
      </c>
      <c r="AB241" s="4" t="inlineStr">
        <is>
          <t>1900-01-01</t>
        </is>
      </c>
      <c r="AC241" s="4" t="n">
        <v>0</v>
      </c>
      <c r="AD241" s="4" t="n">
        <v>1</v>
      </c>
      <c r="AE241" s="4" t="n">
        <v>0</v>
      </c>
      <c r="AF241" s="4" t="n">
        <v>0</v>
      </c>
      <c r="AG241" s="4" t="n">
        <v>0</v>
      </c>
      <c r="AH241" s="4" t="n">
        <v>1</v>
      </c>
      <c r="AI241" s="4" t="n">
        <v>0</v>
      </c>
      <c r="AJ241" s="4" t="inlineStr">
        <is>
          <t>00:00:00</t>
        </is>
      </c>
      <c r="AK241" s="4" t="inlineStr">
        <is>
          <t>1900-01-01</t>
        </is>
      </c>
      <c r="AL241" s="4" t="n"/>
      <c r="AM241" s="4" t="inlineStr">
        <is>
          <t>RB</t>
        </is>
      </c>
      <c r="AN241" s="4" t="inlineStr">
        <is>
          <t>Tomado completo desde archivo RB según asignación</t>
        </is>
      </c>
      <c r="AO241" s="4" t="n">
        <v>0</v>
      </c>
    </row>
    <row r="242" ht="409" customHeight="1">
      <c r="A242" s="4" t="n">
        <v>241</v>
      </c>
      <c r="B242" s="4" t="n">
        <v>262</v>
      </c>
      <c r="C242" s="4" t="inlineStr">
        <is>
          <t>Revisor B</t>
        </is>
      </c>
      <c r="D242" s="4" t="n"/>
      <c r="E242" s="4" t="n">
        <v>2022</v>
      </c>
      <c r="F242" s="4" t="inlineStr">
        <is>
          <t>Imagen</t>
        </is>
      </c>
      <c r="G242" s="4" t="inlineStr">
        <is>
          <t>Deep Learning</t>
        </is>
      </c>
      <c r="H242" s="4" t="inlineStr">
        <is>
          <t>https://doi.org/10.1016/j.compbiomed.2022.105239</t>
        </is>
      </c>
      <c r="I242" s="4" t="inlineStr">
        <is>
          <t>MVS-GCN: A prior brain structure learning-guided multi-view graph convolution network for autism spectrum disorder diagnosis</t>
        </is>
      </c>
      <c r="J242" s="4" t="inlineStr">
        <is>
          <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t>
        </is>
      </c>
      <c r="K242" s="4" t="inlineStr">
        <is>
          <t>Supervised</t>
        </is>
      </c>
      <c r="L242" s="4" t="inlineStr">
        <is>
          <t>Other</t>
        </is>
      </c>
      <c r="M242" s="4" t="inlineStr">
        <is>
          <t>Classification (binary/multi-class; incl. ASD vs control)/ multi-class)</t>
        </is>
      </c>
      <c r="N242" s="4" t="inlineStr">
        <is>
          <t>diagnosis</t>
        </is>
      </c>
      <c r="O242" s="4" t="inlineStr">
        <is>
          <t>high</t>
        </is>
      </c>
      <c r="P242" s="4" t="n">
        <v>1</v>
      </c>
      <c r="Q242" s="4" t="n">
        <v>0</v>
      </c>
      <c r="R242" s="4" t="n">
        <v>0</v>
      </c>
      <c r="S242" s="4" t="n">
        <v>0</v>
      </c>
      <c r="T242" s="4" t="n">
        <v>0</v>
      </c>
      <c r="U242" s="4" t="n">
        <v>0</v>
      </c>
      <c r="V242" s="4" t="n">
        <v>0</v>
      </c>
      <c r="W242" s="4" t="n">
        <v>0</v>
      </c>
      <c r="X242" s="4" t="n">
        <v>0</v>
      </c>
      <c r="Y242" s="4" t="n">
        <v>1</v>
      </c>
      <c r="Z242" s="4" t="n">
        <v>0</v>
      </c>
      <c r="AA242" s="4" t="n">
        <v>0</v>
      </c>
      <c r="AB242" s="4" t="inlineStr">
        <is>
          <t>1900-01-01</t>
        </is>
      </c>
      <c r="AC242" s="4" t="n">
        <v>0</v>
      </c>
      <c r="AD242" s="4" t="n">
        <v>0</v>
      </c>
      <c r="AE242" s="4" t="n">
        <v>0</v>
      </c>
      <c r="AF242" s="4" t="n">
        <v>0</v>
      </c>
      <c r="AG242" s="4" t="n">
        <v>0</v>
      </c>
      <c r="AH242" s="4" t="n">
        <v>1</v>
      </c>
      <c r="AI242" s="4" t="n">
        <v>0</v>
      </c>
      <c r="AJ242" s="4" t="inlineStr">
        <is>
          <t>00:00:00</t>
        </is>
      </c>
      <c r="AK242" s="4" t="inlineStr">
        <is>
          <t>00:00:00</t>
        </is>
      </c>
      <c r="AL242" s="4" t="n"/>
      <c r="AM242" s="4" t="inlineStr">
        <is>
          <t>RB</t>
        </is>
      </c>
      <c r="AN242" s="4" t="inlineStr">
        <is>
          <t>Tomado completo desde archivo RB según asignación</t>
        </is>
      </c>
      <c r="AO242" s="4" t="n">
        <v>0</v>
      </c>
    </row>
    <row r="243" ht="409" customHeight="1">
      <c r="A243" s="4" t="n">
        <v>242</v>
      </c>
      <c r="B243" s="4" t="n">
        <v>263</v>
      </c>
      <c r="C243" s="4" t="inlineStr">
        <is>
          <t>Revisor A</t>
        </is>
      </c>
      <c r="D243" s="4" t="n"/>
      <c r="E243" s="4" t="n">
        <v>2022</v>
      </c>
      <c r="F243" s="4" t="inlineStr">
        <is>
          <t>Imagen</t>
        </is>
      </c>
      <c r="G243" s="4" t="inlineStr">
        <is>
          <t>Deep Learning</t>
        </is>
      </c>
      <c r="H243" s="4" t="inlineStr">
        <is>
          <t>https://doi.org/10.1038/s41380-022-01636-1</t>
        </is>
      </c>
      <c r="I243" s="4" t="inlineStr">
        <is>
          <t>Neurodevelopmental model of schizophrenia revisited: similarity in individual deviation and idiosyncrasy from the normative model of whole-brain white matter tracts and shared brain-cognition covariation with ADHD and ASD</t>
        </is>
      </c>
      <c r="J243" s="4" t="inlineStr">
        <is>
          <t>The neurodevelopmental model of schizophrenia is supported by multi-level impairments shared among schizophrenia and neurodevelopmental disorders. Despite schizophrenia and typical neurodevelopmental disorders, i.e., autism spectrum disorder (ASD) and attention-deficit/hyperactivity disorder (ADHD), as disorders of brain dysconnectivity, no study has ever elucidated whether whole-brain white matter (WM) tracts integrity alterations overlap or diverge between these three disorders. Moreover, whether the linked dimensions of cognition and brain metrics per the Research Domain Criteria framework cut across diagnostic boundaries remains unknown. We aimed to map deviations from normative ranges of whole-brain major WM tracts for individual patients to investigate the similarity and differences among schizophrenia (281 patients subgrouped into the first-episode, subchronic and chronic phases), ASD (175 patients), and ADHD (279 patients). Sex-specific WM tract normative development was modeled from diffusion spectrum imaging of 626 typically developing controls (5–40 years). There were three significant findings. First, the patterns of deviation and idiosyncrasy of WM tracts were similar between schizophrenia and ADHD alongside ASD, particularly at the earlier stages of schizophrenia relative to chronic stages. Second, using the WM deviation patterns as features, schizophrenia cannot be separated from neurodevelopmental disorders in the unsupervised machine learning algorithm. Lastly, the canonical correlation analysis showed schizophrenia, ADHD, and ASD shared linked cognitive dimensions driven by WM deviations. Together, our results provide new insights into the neurodevelopmental facet of schizophrenia and its brain basis. Individual’s WM deviations may contribute to diverse arrays of cognitive function along a continuum with phenotypic expressions from typical neurodevelopmental disorders to schizophrenia.</t>
        </is>
      </c>
      <c r="K243" s="4" t="n"/>
      <c r="L243" s="4" t="n"/>
      <c r="M243" s="4" t="n"/>
      <c r="N243" s="4" t="inlineStr">
        <is>
          <t>diagnosis</t>
        </is>
      </c>
      <c r="O243" s="4" t="inlineStr">
        <is>
          <t>high</t>
        </is>
      </c>
      <c r="P243" s="4" t="n">
        <v>1</v>
      </c>
      <c r="Q243" s="4" t="n">
        <v>0</v>
      </c>
      <c r="R243" s="4" t="n">
        <v>0</v>
      </c>
      <c r="S243" s="4" t="n">
        <v>0</v>
      </c>
      <c r="T243" s="4" t="n">
        <v>0</v>
      </c>
      <c r="U243" s="4" t="n">
        <v>0</v>
      </c>
      <c r="V243" s="4" t="n">
        <v>0</v>
      </c>
      <c r="W243" s="4" t="n">
        <v>0</v>
      </c>
      <c r="X243" s="4" t="n">
        <v>0</v>
      </c>
      <c r="Y243" s="4" t="n">
        <v>1</v>
      </c>
      <c r="Z243" s="4" t="n">
        <v>0</v>
      </c>
      <c r="AA243" s="4" t="n">
        <v>0</v>
      </c>
      <c r="AB243" s="4" t="inlineStr">
        <is>
          <t>1900-01-01</t>
        </is>
      </c>
      <c r="AC243" s="4" t="n">
        <v>0</v>
      </c>
      <c r="AD243" s="4" t="n">
        <v>0</v>
      </c>
      <c r="AE243" s="4" t="n">
        <v>0</v>
      </c>
      <c r="AF243" s="4" t="n">
        <v>0</v>
      </c>
      <c r="AG243" s="4" t="n">
        <v>0</v>
      </c>
      <c r="AH243" s="4" t="n">
        <v>1</v>
      </c>
      <c r="AI243" s="4" t="n">
        <v>0</v>
      </c>
      <c r="AJ243" s="4" t="inlineStr">
        <is>
          <t>00:00:00</t>
        </is>
      </c>
      <c r="AK243" s="4" t="inlineStr">
        <is>
          <t>00:00:00</t>
        </is>
      </c>
      <c r="AL243" s="4" t="n"/>
      <c r="AM243" s="4" t="inlineStr">
        <is>
          <t>RB_fallback</t>
        </is>
      </c>
      <c r="AN243" s="4" t="inlineStr">
        <is>
          <t>Fallback a RB porque el ID no está en RA</t>
        </is>
      </c>
      <c r="AO243" s="4" t="n">
        <v>0</v>
      </c>
    </row>
    <row r="244" ht="346" customHeight="1">
      <c r="A244" s="4" t="n">
        <v>243</v>
      </c>
      <c r="B244" s="4" t="n">
        <v>264</v>
      </c>
      <c r="C244" s="4" t="inlineStr">
        <is>
          <t>Revisor B</t>
        </is>
      </c>
      <c r="D244" s="4" t="n"/>
      <c r="E244" s="4" t="n">
        <v>2022</v>
      </c>
      <c r="F244" s="4" t="inlineStr">
        <is>
          <t>Señales fisiológicas</t>
        </is>
      </c>
      <c r="G244" s="4" t="inlineStr">
        <is>
          <t>Híbrido</t>
        </is>
      </c>
      <c r="H244" s="4" t="inlineStr">
        <is>
          <t>https://doi.org/10.1109/ACCESS.2022.3146719</t>
        </is>
      </c>
      <c r="I244" s="4" t="inlineStr">
        <is>
          <t>Non-Oscillatory Connectivity Approach for Classification of Autism Spectrum Disorder Subtypes Using Resting-State fMRI</t>
        </is>
      </c>
      <c r="J244" s="4" t="inlineStr">
        <is>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is>
      </c>
      <c r="K244" s="4" t="inlineStr">
        <is>
          <t>Supervised</t>
        </is>
      </c>
      <c r="L244" s="4" t="inlineStr">
        <is>
          <t>SVM</t>
        </is>
      </c>
      <c r="M244" s="4" t="inlineStr">
        <is>
          <t>Classification (binary/multi-class; incl. ASD vs control)/ multi-class)</t>
        </is>
      </c>
      <c r="N244" s="4" t="inlineStr">
        <is>
          <t>Diagnosis</t>
        </is>
      </c>
      <c r="O244" s="4" t="inlineStr">
        <is>
          <t>medium</t>
        </is>
      </c>
      <c r="P244" s="4" t="n">
        <v>0</v>
      </c>
      <c r="Q244" s="4" t="n">
        <v>0</v>
      </c>
      <c r="R244" s="4" t="n">
        <v>0</v>
      </c>
      <c r="S244" s="4" t="n">
        <v>0</v>
      </c>
      <c r="T244" s="4" t="n">
        <v>0</v>
      </c>
      <c r="U244" s="4" t="n">
        <v>1</v>
      </c>
      <c r="V244" s="4" t="n">
        <v>0</v>
      </c>
      <c r="W244" s="4" t="n">
        <v>0</v>
      </c>
      <c r="X244" s="4" t="n">
        <v>0</v>
      </c>
      <c r="Y244" s="4" t="n">
        <v>0</v>
      </c>
      <c r="Z244" s="4" t="n">
        <v>0</v>
      </c>
      <c r="AA244" s="4" t="n">
        <v>0</v>
      </c>
      <c r="AB244" s="4" t="inlineStr">
        <is>
          <t>1900-01-01</t>
        </is>
      </c>
      <c r="AC244" s="4" t="n">
        <v>0</v>
      </c>
      <c r="AD244" s="4" t="n">
        <v>1</v>
      </c>
      <c r="AE244" s="4" t="n">
        <v>0</v>
      </c>
      <c r="AF244" s="4" t="n">
        <v>0</v>
      </c>
      <c r="AG244" s="4" t="n">
        <v>0</v>
      </c>
      <c r="AH244" s="4" t="n">
        <v>1</v>
      </c>
      <c r="AI244" s="4" t="n">
        <v>0</v>
      </c>
      <c r="AJ244" s="4" t="inlineStr">
        <is>
          <t>00:00:00</t>
        </is>
      </c>
      <c r="AK244" s="4" t="inlineStr">
        <is>
          <t>1900-01-01</t>
        </is>
      </c>
      <c r="AL244" s="4" t="inlineStr">
        <is>
          <t>No hay un único “modelo”; hay un pipeline de conectividad NOC + selección por p-values + comparación de clasificadores, y SVM queda como el mejor. 
Non-Oscillatory_Connectivity_Ap…
Dataset de subtipos es pequeño (36 sujetos por clase), y además validan ASD vs NC con un dataset grande (505 ASD / 530 NC). Esto puede ser importante si tu Excel tiene campo de “tamaño/validación”.</t>
        </is>
      </c>
      <c r="AM244" s="4" t="inlineStr">
        <is>
          <t>RB</t>
        </is>
      </c>
      <c r="AN244" s="4" t="inlineStr">
        <is>
          <t>Tomado completo desde archivo RB según asignación</t>
        </is>
      </c>
      <c r="AO244" s="4" t="n">
        <v>0</v>
      </c>
    </row>
    <row r="245" ht="229" customHeight="1">
      <c r="A245" s="4" t="n">
        <v>244</v>
      </c>
      <c r="B245" s="4" t="n">
        <v>265</v>
      </c>
      <c r="C245" s="4" t="inlineStr">
        <is>
          <t>Revisor B</t>
        </is>
      </c>
      <c r="D245" s="4" t="n"/>
      <c r="E245" s="4" t="n">
        <v>2024</v>
      </c>
      <c r="F245" s="4" t="inlineStr">
        <is>
          <t>Imagen</t>
        </is>
      </c>
      <c r="G245" s="4" t="inlineStr">
        <is>
          <t>No especificado</t>
        </is>
      </c>
      <c r="H245" s="4" t="inlineStr">
        <is>
          <t>https://doi.org/10.1016/j.isci.2024.110709</t>
        </is>
      </c>
      <c r="I245" s="4" t="inlineStr">
        <is>
          <t>Personalized identification of autism-related bacteria in the gut microbiome using explainable artificial intelligence</t>
        </is>
      </c>
      <c r="J245" s="4" t="inlineStr">
        <is>
          <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t>
        </is>
      </c>
      <c r="K245" s="4" t="n"/>
      <c r="L245" s="4" t="n"/>
      <c r="M245" s="4" t="n"/>
      <c r="N245" s="4" t="inlineStr">
        <is>
          <t>prognosis</t>
        </is>
      </c>
      <c r="O245" s="4" t="inlineStr">
        <is>
          <t>high</t>
        </is>
      </c>
      <c r="P245" s="4" t="n">
        <v>0</v>
      </c>
      <c r="Q245" s="4" t="n">
        <v>0</v>
      </c>
      <c r="R245" s="4" t="n">
        <v>0</v>
      </c>
      <c r="S245" s="4" t="n">
        <v>0</v>
      </c>
      <c r="T245" s="4" t="n">
        <v>1</v>
      </c>
      <c r="U245" s="4" t="n">
        <v>0</v>
      </c>
      <c r="V245" s="4" t="n">
        <v>0</v>
      </c>
      <c r="W245" s="4" t="n">
        <v>0</v>
      </c>
      <c r="X245" s="4" t="n">
        <v>0</v>
      </c>
      <c r="Y245" s="4" t="n">
        <v>0</v>
      </c>
      <c r="Z245" s="4" t="n">
        <v>1</v>
      </c>
      <c r="AA245" s="4" t="n">
        <v>0</v>
      </c>
      <c r="AB245" s="4" t="inlineStr">
        <is>
          <t>1900-01-01</t>
        </is>
      </c>
      <c r="AC245" s="4" t="n">
        <v>0</v>
      </c>
      <c r="AD245" s="4" t="n">
        <v>0</v>
      </c>
      <c r="AE245" s="4" t="n">
        <v>0</v>
      </c>
      <c r="AF245" s="4" t="n">
        <v>0</v>
      </c>
      <c r="AG245" s="4" t="n">
        <v>1</v>
      </c>
      <c r="AH245" s="4" t="n">
        <v>1</v>
      </c>
      <c r="AI245" s="4" t="n">
        <v>0</v>
      </c>
      <c r="AJ245" s="4" t="inlineStr">
        <is>
          <t>00:00:00</t>
        </is>
      </c>
      <c r="AK245" s="4" t="inlineStr">
        <is>
          <t>00:00:00</t>
        </is>
      </c>
      <c r="AL245" s="4" t="n"/>
      <c r="AM245" s="4" t="inlineStr">
        <is>
          <t>RB</t>
        </is>
      </c>
      <c r="AN245" s="4" t="inlineStr">
        <is>
          <t>Tomado completo desde archivo RB según asignación</t>
        </is>
      </c>
      <c r="AO245" s="4" t="n">
        <v>0</v>
      </c>
    </row>
    <row r="246" ht="409" customHeight="1">
      <c r="A246" s="4" t="n">
        <v>245</v>
      </c>
      <c r="B246" s="4" t="n">
        <v>266</v>
      </c>
      <c r="C246" s="4" t="inlineStr">
        <is>
          <t>Revisor A</t>
        </is>
      </c>
      <c r="D246" s="4" t="inlineStr">
        <is>
          <t>RA</t>
        </is>
      </c>
      <c r="E246" s="4" t="n">
        <v>2025</v>
      </c>
      <c r="F246" s="4" t="inlineStr">
        <is>
          <t>No especificado</t>
        </is>
      </c>
      <c r="G246" s="4" t="inlineStr">
        <is>
          <t>Machine Learning</t>
        </is>
      </c>
      <c r="H246" s="4" t="inlineStr">
        <is>
          <t>https://doi.org/10.1016/j.envint.2025.109562</t>
        </is>
      </c>
      <c r="I246" s="4" t="inlineStr">
        <is>
          <t>Prenatal exposure to criteria air pollution and traffic-related air toxics and risk of autism spectrum disorder: A population-based cohort study of California births (1990–2018)</t>
        </is>
      </c>
      <c r="J246" s="4"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K246" s="4" t="inlineStr">
        <is>
          <t>Supervised</t>
        </is>
      </c>
      <c r="L246" s="4" t="inlineStr">
        <is>
          <t>Logistic Regression</t>
        </is>
      </c>
      <c r="M246" s="4" t="inlineStr">
        <is>
          <t>Other / Not clear</t>
        </is>
      </c>
      <c r="N246" s="4" t="inlineStr">
        <is>
          <t>Not clear</t>
        </is>
      </c>
      <c r="O246" s="4" t="inlineStr">
        <is>
          <t>High</t>
        </is>
      </c>
      <c r="P246" s="4" t="n">
        <v>0</v>
      </c>
      <c r="Q246" s="4" t="n">
        <v>0</v>
      </c>
      <c r="R246" s="4" t="n">
        <v>0</v>
      </c>
      <c r="S246" s="4" t="n">
        <v>0</v>
      </c>
      <c r="T246" s="4" t="n">
        <v>0</v>
      </c>
      <c r="U246" s="4" t="n">
        <v>0</v>
      </c>
      <c r="V246" s="4" t="n">
        <v>1</v>
      </c>
      <c r="W246" s="4" t="n">
        <v>1</v>
      </c>
      <c r="X246" s="4" t="n">
        <v>0</v>
      </c>
      <c r="Y246" s="4" t="n">
        <v>0</v>
      </c>
      <c r="Z246" s="4" t="n">
        <v>0</v>
      </c>
      <c r="AA246" s="4" t="n">
        <v>0</v>
      </c>
      <c r="AB246" s="4" t="inlineStr">
        <is>
          <t>00:00:00</t>
        </is>
      </c>
      <c r="AC246" s="4" t="n"/>
      <c r="AD246" s="4" t="n"/>
      <c r="AE246" s="4" t="n"/>
      <c r="AF246" s="4" t="n"/>
      <c r="AG246" s="4" t="n">
        <v>1</v>
      </c>
      <c r="AH246" s="4" t="n">
        <v>1</v>
      </c>
      <c r="AI246" s="4" t="inlineStr">
        <is>
          <t>environmental exposure</t>
        </is>
      </c>
      <c r="AJ246" s="4" t="inlineStr">
        <is>
          <t>00:00:00</t>
        </is>
      </c>
      <c r="AK246" s="4" t="n"/>
      <c r="AL246" s="4" t="inlineStr">
        <is>
          <t>Algoritmo principal no explícito o fuera del codebook; Confirmar algoritmo principal en full-text</t>
        </is>
      </c>
      <c r="AM246" s="4" t="inlineStr">
        <is>
          <t>RA</t>
        </is>
      </c>
      <c r="AN246" s="4" t="inlineStr">
        <is>
          <t>Tomado completo desde archivo RA según asignación</t>
        </is>
      </c>
      <c r="AO246" s="4" t="n">
        <v>0</v>
      </c>
    </row>
    <row r="247" ht="409" customHeight="1">
      <c r="A247" s="4" t="n">
        <v>246</v>
      </c>
      <c r="B247" s="4" t="n">
        <v>267</v>
      </c>
      <c r="C247" s="4" t="inlineStr">
        <is>
          <t>Ambos (piloto)</t>
        </is>
      </c>
      <c r="D247" s="4" t="inlineStr">
        <is>
          <t>RA</t>
        </is>
      </c>
      <c r="E247" s="4" t="n">
        <v>2018</v>
      </c>
      <c r="F247" s="4" t="inlineStr">
        <is>
          <t>Texto · NLP</t>
        </is>
      </c>
      <c r="G247" s="4" t="inlineStr">
        <is>
          <t>Machine Learning</t>
        </is>
      </c>
      <c r="H247" s="4" t="inlineStr">
        <is>
          <t>https://doi.org/10.2196/jmir.9496</t>
        </is>
      </c>
      <c r="I247" s="4" t="inlineStr">
        <is>
          <t>Risk assessment for parents who suspect their child has autism spectrum disorder: Machine learning approach</t>
        </is>
      </c>
      <c r="J247" s="4" t="inlineStr">
        <is>
          <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t>
        </is>
      </c>
      <c r="K247" s="4" t="inlineStr">
        <is>
          <t>Other / Not clear</t>
        </is>
      </c>
      <c r="L247" s="4" t="inlineStr">
        <is>
          <t>Other / Not clear</t>
        </is>
      </c>
      <c r="M247" s="4" t="inlineStr">
        <is>
          <t>Other / Not clear</t>
        </is>
      </c>
      <c r="N247" s="4" t="inlineStr">
        <is>
          <t>Prescreening</t>
        </is>
      </c>
      <c r="O247" s="4" t="inlineStr">
        <is>
          <t>Medium</t>
        </is>
      </c>
      <c r="P247" s="4" t="n">
        <v>0</v>
      </c>
      <c r="Q247" s="4" t="n">
        <v>0</v>
      </c>
      <c r="R247" s="4" t="n">
        <v>0</v>
      </c>
      <c r="S247" s="4" t="n">
        <v>0</v>
      </c>
      <c r="T247" s="4" t="n">
        <v>1</v>
      </c>
      <c r="U247" s="4" t="n">
        <v>0</v>
      </c>
      <c r="V247" s="4" t="n">
        <v>0</v>
      </c>
      <c r="W247" s="4" t="n">
        <v>1</v>
      </c>
      <c r="X247" s="4" t="n">
        <v>1</v>
      </c>
      <c r="Y247" s="4" t="n">
        <v>0</v>
      </c>
      <c r="Z247" s="4" t="n">
        <v>0</v>
      </c>
      <c r="AA247" s="4" t="n">
        <v>0</v>
      </c>
      <c r="AB247" s="4" t="inlineStr">
        <is>
          <t>1900-01-01</t>
        </is>
      </c>
      <c r="AC247" s="4" t="n"/>
      <c r="AD247" s="4" t="n"/>
      <c r="AE247" s="4" t="n"/>
      <c r="AF247" s="4" t="n"/>
      <c r="AG247" s="4" t="n">
        <v>1</v>
      </c>
      <c r="AH247" s="4" t="n">
        <v>1</v>
      </c>
      <c r="AI247" s="4" t="n"/>
      <c r="AJ247" s="4" t="n"/>
      <c r="AK247" s="4" t="n"/>
      <c r="AL247" s="4" t="inlineStr">
        <is>
          <t>Algoritmo principal no explícito o fuera del codebook; Confirmar algoritmo principal en full-text</t>
        </is>
      </c>
      <c r="AM247" s="4" t="inlineStr">
        <is>
          <t>RA</t>
        </is>
      </c>
      <c r="AN247" s="4" t="inlineStr">
        <is>
          <t>Tomado completo desde archivo RA según asignación</t>
        </is>
      </c>
      <c r="AO247" s="4" t="n">
        <v>0</v>
      </c>
    </row>
    <row r="248" ht="409" customHeight="1">
      <c r="A248" s="4" t="n">
        <v>247</v>
      </c>
      <c r="B248" s="4" t="n">
        <v>268</v>
      </c>
      <c r="C248" s="4" t="inlineStr">
        <is>
          <t>Revisor B</t>
        </is>
      </c>
      <c r="D248" s="4" t="n"/>
      <c r="E248" s="4" t="n">
        <v>2024</v>
      </c>
      <c r="F248" s="4" t="inlineStr">
        <is>
          <t>Señales fisiológicas</t>
        </is>
      </c>
      <c r="G248" s="4" t="inlineStr">
        <is>
          <t>Deep Learning</t>
        </is>
      </c>
      <c r="H248" s="4" t="inlineStr">
        <is>
          <t>https://doi.org/10.1007/s42979-023-02564-9</t>
        </is>
      </c>
      <c r="I248" s="4" t="inlineStr">
        <is>
          <t>Robust Low Complexity Framework for Early Diagnosis of Autism Spectrum Disorder Based on Cross Wavelet Transform and Deep Transfer Learning</t>
        </is>
      </c>
      <c r="J248" s="4" t="inlineStr">
        <is>
          <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t>
        </is>
      </c>
      <c r="K248" s="4" t="inlineStr">
        <is>
          <t>Supervised</t>
        </is>
      </c>
      <c r="L248" s="4" t="inlineStr">
        <is>
          <t>CNN</t>
        </is>
      </c>
      <c r="M248" s="4" t="inlineStr">
        <is>
          <t>Classification (binary/multi-class; incl. ASD vs control)/ multi-class)</t>
        </is>
      </c>
      <c r="N248" s="4" t="inlineStr">
        <is>
          <t>Screening</t>
        </is>
      </c>
      <c r="O248" s="4" t="inlineStr">
        <is>
          <t>high</t>
        </is>
      </c>
      <c r="P248" s="4" t="n">
        <v>1</v>
      </c>
      <c r="Q248" s="4" t="n">
        <v>0</v>
      </c>
      <c r="R248" s="4" t="n">
        <v>0</v>
      </c>
      <c r="S248" s="4" t="n">
        <v>0</v>
      </c>
      <c r="T248" s="4" t="n">
        <v>0</v>
      </c>
      <c r="U248" s="4" t="n">
        <v>0</v>
      </c>
      <c r="V248" s="4" t="n">
        <v>0</v>
      </c>
      <c r="W248" s="4" t="n">
        <v>0</v>
      </c>
      <c r="X248" s="4" t="n">
        <v>0</v>
      </c>
      <c r="Y248" s="4" t="n">
        <v>1</v>
      </c>
      <c r="Z248" s="4" t="n">
        <v>0</v>
      </c>
      <c r="AA248" s="4" t="n">
        <v>0</v>
      </c>
      <c r="AB248" s="4" t="inlineStr">
        <is>
          <t>1900-01-01</t>
        </is>
      </c>
      <c r="AC248" s="4" t="n">
        <v>0</v>
      </c>
      <c r="AD248" s="4" t="n">
        <v>0</v>
      </c>
      <c r="AE248" s="4" t="n">
        <v>1</v>
      </c>
      <c r="AF248" s="4" t="n">
        <v>0</v>
      </c>
      <c r="AG248" s="4" t="n">
        <v>0</v>
      </c>
      <c r="AH248" s="4" t="n">
        <v>1</v>
      </c>
      <c r="AI248" s="4" t="n">
        <v>0</v>
      </c>
      <c r="AJ248" s="4" t="inlineStr">
        <is>
          <t>00:00:00</t>
        </is>
      </c>
      <c r="AK248" s="4" t="inlineStr">
        <is>
          <t>1900-01-01</t>
        </is>
      </c>
      <c r="AL248" s="4" t="n"/>
      <c r="AM248" s="4" t="inlineStr">
        <is>
          <t>RB</t>
        </is>
      </c>
      <c r="AN248" s="4" t="inlineStr">
        <is>
          <t>Tomado completo desde archivo RB según asignación</t>
        </is>
      </c>
      <c r="AO248" s="4" t="n">
        <v>0</v>
      </c>
    </row>
    <row r="249" ht="333" customHeight="1">
      <c r="A249" s="4" t="n">
        <v>248</v>
      </c>
      <c r="B249" s="4" t="n">
        <v>269</v>
      </c>
      <c r="C249" s="4" t="inlineStr">
        <is>
          <t>Revisor B</t>
        </is>
      </c>
      <c r="D249" s="4" t="n"/>
      <c r="E249" s="4" t="n">
        <v>2020</v>
      </c>
      <c r="F249" s="4" t="inlineStr">
        <is>
          <t>Multimodal</t>
        </is>
      </c>
      <c r="G249" s="4" t="inlineStr">
        <is>
          <t>Deep Learning</t>
        </is>
      </c>
      <c r="H249" s="4" t="inlineStr">
        <is>
          <t>https://doi.org/10.1016/j.media.2020.101662</t>
        </is>
      </c>
      <c r="I249" s="4" t="inlineStr">
        <is>
          <t>Self-weighted adaptive structure learning for ASD diagnosis via multi-template multi-center representation</t>
        </is>
      </c>
      <c r="J249" s="4" t="inlineStr">
        <is>
          <t>As a kind of neurodevelopmental disease, autism spectrum disorder (ASD) can cause severe social, communication, interaction, and behavioral challenges. To date, many imaging-based machine learning techniques have been proposed to address ASD diagnosis issues. However, most of these techniques are restricted to a single template or dataset from one imaging center. In this paper, we propose a novel multi-template multi-center ensemble classification scheme for automatic ASD diagnosis. Specifically, based on different pre-defined templates, we construct multiple functional connectivity (FC) brain networks for each subject based on our proposed Pearson's correlation-based sparse low-rank representation. After extracting features from these FC networks, informative features to learn optimal similarity matrix are then selected by our self-weighted adaptive structure learning (SASL) model. For each template, the SASL method automatically assigns an optimal weight learned from the structural information without additional weights and parameters. Finally, an ensemble strategy based on the multi- template multi-center representations is applied to derive the final diagnosis results. Extensive experiments are conducted on the publicly available Autism Brain Imaging Data Exchange (ABIDE) database to demonstrate the efficacy of our proposed method. Experimental results verify that our proposed method boosts ASD diagnosis performance and outperforms state-of-the-art methods.</t>
        </is>
      </c>
      <c r="K249" s="4" t="inlineStr">
        <is>
          <t>Supervised</t>
        </is>
      </c>
      <c r="L249" s="4" t="inlineStr">
        <is>
          <t>Other</t>
        </is>
      </c>
      <c r="M249" s="4" t="inlineStr">
        <is>
          <t>Classification (binary/multi-class; incl. ASD vs control)/ multi-class)</t>
        </is>
      </c>
      <c r="N249" s="4" t="inlineStr">
        <is>
          <t>Diagnosis</t>
        </is>
      </c>
      <c r="O249" s="4" t="inlineStr">
        <is>
          <t>medium</t>
        </is>
      </c>
      <c r="P249" s="4" t="n">
        <v>0</v>
      </c>
      <c r="Q249" s="4" t="n">
        <v>0</v>
      </c>
      <c r="R249" s="4" t="n">
        <v>0</v>
      </c>
      <c r="S249" s="4" t="n">
        <v>0</v>
      </c>
      <c r="T249" s="4" t="n">
        <v>0</v>
      </c>
      <c r="U249" s="4" t="n">
        <v>0</v>
      </c>
      <c r="V249" s="4" t="n">
        <v>0</v>
      </c>
      <c r="W249" s="4" t="n">
        <v>0</v>
      </c>
      <c r="X249" s="4" t="n">
        <v>0</v>
      </c>
      <c r="Y249" s="4" t="n">
        <v>0</v>
      </c>
      <c r="Z249" s="4" t="n">
        <v>0</v>
      </c>
      <c r="AA249" s="4" t="n">
        <v>0</v>
      </c>
      <c r="AB249" s="4" t="inlineStr">
        <is>
          <t>1900-01-01</t>
        </is>
      </c>
      <c r="AC249" s="4" t="n">
        <v>0</v>
      </c>
      <c r="AD249" s="4" t="n">
        <v>0</v>
      </c>
      <c r="AE249" s="4" t="n">
        <v>0</v>
      </c>
      <c r="AF249" s="4" t="n">
        <v>0</v>
      </c>
      <c r="AG249" s="4" t="n">
        <v>0</v>
      </c>
      <c r="AH249" s="4" t="n">
        <v>0</v>
      </c>
      <c r="AI249" s="4" t="n">
        <v>0</v>
      </c>
      <c r="AJ249" s="4" t="inlineStr">
        <is>
          <t>1900-01-01</t>
        </is>
      </c>
      <c r="AK249" s="4" t="inlineStr">
        <is>
          <t>00:00:00</t>
        </is>
      </c>
      <c r="AL249" s="4" t="inlineStr">
        <is>
          <t>el algoritmo principal es SASL-E/SASL, no uno de tu lista</t>
        </is>
      </c>
      <c r="AM249" s="4" t="inlineStr">
        <is>
          <t>RB</t>
        </is>
      </c>
      <c r="AN249" s="4" t="inlineStr">
        <is>
          <t>Tomado completo desde archivo RB según asignación</t>
        </is>
      </c>
      <c r="AO249" s="4" t="n">
        <v>0</v>
      </c>
    </row>
    <row r="250" ht="281" customHeight="1">
      <c r="A250" s="4" t="n">
        <v>249</v>
      </c>
      <c r="B250" s="4" t="n">
        <v>270</v>
      </c>
      <c r="C250" s="4" t="inlineStr">
        <is>
          <t>Revisor A</t>
        </is>
      </c>
      <c r="D250" s="4" t="inlineStr">
        <is>
          <t>RA</t>
        </is>
      </c>
      <c r="E250" s="4" t="n">
        <v>2020</v>
      </c>
      <c r="F250" s="4" t="inlineStr">
        <is>
          <t>Señales fisiológicas</t>
        </is>
      </c>
      <c r="G250" s="4" t="inlineStr">
        <is>
          <t>Híbrido</t>
        </is>
      </c>
      <c r="H250" s="4" t="inlineStr">
        <is>
          <t>https://doi.org/10.1016/j.medengphy.2020.07.004</t>
        </is>
      </c>
      <c r="I250" s="4" t="inlineStr">
        <is>
          <t>Smart bed based daytime behavior prediction in Children with autism spectrum disorder - A Pilot Study</t>
        </is>
      </c>
      <c r="J250" s="4" t="inlineStr">
        <is>
          <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t>
        </is>
      </c>
      <c r="K250" s="4" t="inlineStr">
        <is>
          <t>Supervised</t>
        </is>
      </c>
      <c r="L250" s="4" t="inlineStr">
        <is>
          <t>MLP</t>
        </is>
      </c>
      <c r="M250" s="4" t="inlineStr">
        <is>
          <t>Prediction (time-to-event / prognosis)</t>
        </is>
      </c>
      <c r="N250" s="4" t="inlineStr">
        <is>
          <t>Monitoring/intervention</t>
        </is>
      </c>
      <c r="O250" s="4" t="inlineStr">
        <is>
          <t>High</t>
        </is>
      </c>
      <c r="P250" s="4" t="n">
        <v>0</v>
      </c>
      <c r="Q250" s="4" t="n">
        <v>1</v>
      </c>
      <c r="R250" s="4" t="n">
        <v>0</v>
      </c>
      <c r="S250" s="4" t="n">
        <v>0</v>
      </c>
      <c r="T250" s="4" t="n">
        <v>0</v>
      </c>
      <c r="U250" s="4" t="n">
        <v>0</v>
      </c>
      <c r="V250" s="4" t="n">
        <v>0</v>
      </c>
      <c r="W250" s="4" t="n">
        <v>0</v>
      </c>
      <c r="X250" s="4" t="n">
        <v>0</v>
      </c>
      <c r="Y250" s="4" t="n">
        <v>0</v>
      </c>
      <c r="Z250" s="4" t="n">
        <v>1</v>
      </c>
      <c r="AA250" s="4" t="n">
        <v>1</v>
      </c>
      <c r="AB250" s="4" t="inlineStr">
        <is>
          <t>1900-01-01</t>
        </is>
      </c>
      <c r="AC250" s="4" t="n"/>
      <c r="AD250" s="4" t="n"/>
      <c r="AE250" s="4" t="n"/>
      <c r="AF250" s="4" t="n"/>
      <c r="AG250" s="4" t="n">
        <v>1</v>
      </c>
      <c r="AH250" s="4" t="n">
        <v>1</v>
      </c>
      <c r="AI250" s="4" t="inlineStr">
        <is>
          <t>smart bed / BCG</t>
        </is>
      </c>
      <c r="AJ250" s="4" t="n"/>
      <c r="AK250" s="4" t="n"/>
      <c r="AL250" s="4" t="inlineStr">
        <is>
          <t>Predice conducta diurna a partir de señales BCG de smart bed; SVM y ANN comparados.</t>
        </is>
      </c>
      <c r="AM250" s="4" t="inlineStr">
        <is>
          <t>RA</t>
        </is>
      </c>
      <c r="AN250" s="4" t="inlineStr">
        <is>
          <t>Tomado completo desde archivo RA según asignación</t>
        </is>
      </c>
      <c r="AO250" s="4" t="n">
        <v>0</v>
      </c>
    </row>
    <row r="251" ht="385" customHeight="1">
      <c r="A251" s="4" t="n">
        <v>250</v>
      </c>
      <c r="B251" s="4" t="n">
        <v>272</v>
      </c>
      <c r="C251" s="4" t="inlineStr">
        <is>
          <t>Ambos (piloto)</t>
        </is>
      </c>
      <c r="D251" s="4" t="inlineStr">
        <is>
          <t>RA</t>
        </is>
      </c>
      <c r="E251" s="4" t="n">
        <v>2018</v>
      </c>
      <c r="F251" s="4" t="inlineStr">
        <is>
          <t>Multimodal</t>
        </is>
      </c>
      <c r="G251" s="4" t="inlineStr">
        <is>
          <t>Machine Learning</t>
        </is>
      </c>
      <c r="H251" s="4" t="inlineStr">
        <is>
          <t>https://doi.org/10.1016/j.neuroimage.2017.12.044</t>
        </is>
      </c>
      <c r="I251" s="4" t="inlineStr">
        <is>
          <t>Subtyping cognitive profiles in Autism Spectrum Disorder using a Functional Random Forest algorithm</t>
        </is>
      </c>
      <c r="J251" s="4" t="inlineStr">
        <is>
          <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t>
        </is>
      </c>
      <c r="K251" s="4" t="inlineStr">
        <is>
          <t>Unsupervised</t>
        </is>
      </c>
      <c r="L251" s="4" t="inlineStr">
        <is>
          <t>Other / Not clear</t>
        </is>
      </c>
      <c r="M251" s="4" t="inlineStr">
        <is>
          <t>Classification (ASD vs control / multi-class)</t>
        </is>
      </c>
      <c r="N251" s="4" t="inlineStr">
        <is>
          <t>Diagnosis</t>
        </is>
      </c>
      <c r="O251" s="4" t="inlineStr">
        <is>
          <t>High</t>
        </is>
      </c>
      <c r="P251" s="4" t="n">
        <v>1</v>
      </c>
      <c r="Q251" s="4" t="n">
        <v>0</v>
      </c>
      <c r="R251" s="4" t="n">
        <v>0</v>
      </c>
      <c r="S251" s="4" t="n">
        <v>0</v>
      </c>
      <c r="T251" s="4" t="n">
        <v>0</v>
      </c>
      <c r="U251" s="4" t="n">
        <v>0</v>
      </c>
      <c r="V251" s="4" t="n">
        <v>0</v>
      </c>
      <c r="W251" s="4" t="n">
        <v>0</v>
      </c>
      <c r="X251" s="4" t="n">
        <v>0</v>
      </c>
      <c r="Y251" s="4" t="n">
        <v>1</v>
      </c>
      <c r="Z251" s="4" t="n">
        <v>0</v>
      </c>
      <c r="AA251" s="4" t="n">
        <v>0</v>
      </c>
      <c r="AB251" s="4" t="inlineStr">
        <is>
          <t>00:00:00</t>
        </is>
      </c>
      <c r="AC251" s="4" t="n"/>
      <c r="AD251" s="4" t="n"/>
      <c r="AE251" s="4" t="n"/>
      <c r="AF251" s="4" t="n"/>
      <c r="AG251" s="4" t="n">
        <v>0</v>
      </c>
      <c r="AH251" s="4" t="n">
        <v>1</v>
      </c>
      <c r="AI251" s="4" t="n"/>
      <c r="AJ251" s="4" t="n"/>
      <c r="AK251" s="4" t="n"/>
      <c r="AL251" s="4" t="inlineStr">
        <is>
          <t>Random forest funcional para matriz de proximidad y posterior detección de comunidades/cognitivos subtipos.</t>
        </is>
      </c>
      <c r="AM251" s="4" t="inlineStr">
        <is>
          <t>RA</t>
        </is>
      </c>
      <c r="AN251" s="4" t="inlineStr">
        <is>
          <t>Tomado completo desde archivo RA según asignación</t>
        </is>
      </c>
      <c r="AO251" s="4" t="n">
        <v>0</v>
      </c>
    </row>
    <row r="252" ht="294" customHeight="1">
      <c r="A252" s="4" t="n">
        <v>251</v>
      </c>
      <c r="B252" s="4" t="n">
        <v>273</v>
      </c>
      <c r="C252" s="4" t="inlineStr">
        <is>
          <t>Revisor A</t>
        </is>
      </c>
      <c r="D252" s="4" t="inlineStr">
        <is>
          <t>RA</t>
        </is>
      </c>
      <c r="E252" s="4" t="n">
        <v>2021</v>
      </c>
      <c r="F252" s="4" t="inlineStr">
        <is>
          <t>No especificado</t>
        </is>
      </c>
      <c r="G252" s="4" t="inlineStr">
        <is>
          <t>Machine Learning</t>
        </is>
      </c>
      <c r="H252" s="4" t="inlineStr">
        <is>
          <t>https://doi.org/10.1007/978-3-030-86993-9_36</t>
        </is>
      </c>
      <c r="I252" s="4" t="inlineStr">
        <is>
          <t>Towards autism subtype detection through identification of discriminatory factors using machine learning</t>
        </is>
      </c>
      <c r="J252" s="4" t="inlineStr">
        <is>
          <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t>
        </is>
      </c>
      <c r="K252" s="4" t="inlineStr">
        <is>
          <t>Supervised</t>
        </is>
      </c>
      <c r="L252" s="4" t="inlineStr">
        <is>
          <t>Clustering (k-means / GMM / ...)</t>
        </is>
      </c>
      <c r="M252" s="4" t="inlineStr">
        <is>
          <t>Clustering / subtyping</t>
        </is>
      </c>
      <c r="N252" s="4" t="inlineStr">
        <is>
          <t>Diagnosis</t>
        </is>
      </c>
      <c r="O252" s="4" t="inlineStr">
        <is>
          <t>High</t>
        </is>
      </c>
      <c r="P252" s="4" t="n">
        <v>0</v>
      </c>
      <c r="Q252" s="4" t="n">
        <v>0</v>
      </c>
      <c r="R252" s="4" t="n">
        <v>0</v>
      </c>
      <c r="S252" s="4" t="n">
        <v>0</v>
      </c>
      <c r="T252" s="4" t="n">
        <v>1</v>
      </c>
      <c r="U252" s="4" t="n">
        <v>0</v>
      </c>
      <c r="V252" s="4" t="n">
        <v>0</v>
      </c>
      <c r="W252" s="4" t="n">
        <v>0</v>
      </c>
      <c r="X252" s="4" t="n">
        <v>0</v>
      </c>
      <c r="Y252" s="4" t="n">
        <v>1</v>
      </c>
      <c r="Z252" s="4" t="n">
        <v>0</v>
      </c>
      <c r="AA252" s="4" t="n">
        <v>0</v>
      </c>
      <c r="AB252" s="4" t="inlineStr">
        <is>
          <t>1900-01-01</t>
        </is>
      </c>
      <c r="AC252" s="4" t="n"/>
      <c r="AD252" s="4" t="n"/>
      <c r="AE252" s="4" t="n"/>
      <c r="AF252" s="4" t="n"/>
      <c r="AG252" s="4" t="n">
        <v>0</v>
      </c>
      <c r="AH252" s="4" t="n">
        <v>1</v>
      </c>
      <c r="AI252" s="4" t="n"/>
      <c r="AJ252" s="4" t="n"/>
      <c r="AK252" s="4" t="n"/>
      <c r="AL252" s="4" t="inlineStr">
        <is>
          <t>Genera subtipos con k-means a partir de Q-CHAT/AQ-10; clasificadores posteriores son secundarios.</t>
        </is>
      </c>
      <c r="AM252" s="4" t="inlineStr">
        <is>
          <t>RA</t>
        </is>
      </c>
      <c r="AN252" s="4" t="inlineStr">
        <is>
          <t>Tomado completo desde archivo RA según asignación</t>
        </is>
      </c>
      <c r="AO252" s="4" t="n">
        <v>0</v>
      </c>
    </row>
    <row r="253" ht="281" customHeight="1">
      <c r="A253" s="4" t="n">
        <v>252</v>
      </c>
      <c r="B253" s="4" t="n">
        <v>274</v>
      </c>
      <c r="C253" s="4" t="inlineStr">
        <is>
          <t>Revisor A</t>
        </is>
      </c>
      <c r="D253" s="4" t="inlineStr">
        <is>
          <t>RA</t>
        </is>
      </c>
      <c r="E253" s="4" t="n">
        <v>2022</v>
      </c>
      <c r="F253" s="4" t="inlineStr">
        <is>
          <t>Texto · NLP</t>
        </is>
      </c>
      <c r="G253" s="4" t="inlineStr">
        <is>
          <t>Deep Learning</t>
        </is>
      </c>
      <c r="H253" s="4" t="inlineStr">
        <is>
          <t>https://doi.org/10.3390/s22072528</t>
        </is>
      </c>
      <c r="I253" s="4" t="inlineStr">
        <is>
          <t>‘IoT and AI-Based Application for Automatic Interpretation of the Affective State of Children Diagnosed with Autism</t>
        </is>
      </c>
      <c r="J253" s="4" t="inlineStr">
        <is>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t>
        </is>
      </c>
      <c r="K253" s="4" t="inlineStr">
        <is>
          <t>Supervised</t>
        </is>
      </c>
      <c r="L253" s="4" t="inlineStr">
        <is>
          <t>CNN</t>
        </is>
      </c>
      <c r="M253" s="4" t="inlineStr">
        <is>
          <t>Classification (ASD vs control / multi-class)</t>
        </is>
      </c>
      <c r="N253" s="4" t="inlineStr">
        <is>
          <t>Monitoring/intervention</t>
        </is>
      </c>
      <c r="O253" s="4" t="inlineStr">
        <is>
          <t>High</t>
        </is>
      </c>
      <c r="P253" s="4" t="n">
        <v>0</v>
      </c>
      <c r="Q253" s="4" t="n">
        <v>0</v>
      </c>
      <c r="R253" s="4" t="n">
        <v>0</v>
      </c>
      <c r="S253" s="4" t="n">
        <v>0</v>
      </c>
      <c r="T253" s="4" t="n">
        <v>0</v>
      </c>
      <c r="U253" s="4" t="n">
        <v>0</v>
      </c>
      <c r="V253" s="4" t="n">
        <v>1</v>
      </c>
      <c r="W253" s="4" t="n">
        <v>0</v>
      </c>
      <c r="X253" s="4" t="n">
        <v>0</v>
      </c>
      <c r="Y253" s="4" t="n">
        <v>0</v>
      </c>
      <c r="Z253" s="4" t="n">
        <v>0</v>
      </c>
      <c r="AA253" s="4" t="n">
        <v>1</v>
      </c>
      <c r="AB253" s="4" t="inlineStr">
        <is>
          <t>1900-01-01</t>
        </is>
      </c>
      <c r="AC253" s="4" t="n"/>
      <c r="AD253" s="4" t="n"/>
      <c r="AE253" s="4" t="n"/>
      <c r="AF253" s="4" t="n"/>
      <c r="AG253" s="4" t="n">
        <v>0</v>
      </c>
      <c r="AH253" s="4" t="n">
        <v>1</v>
      </c>
      <c r="AI253" s="4" t="inlineStr">
        <is>
          <t>IoT / robot app</t>
        </is>
      </c>
      <c r="AJ253" s="4" t="n"/>
      <c r="AK253" s="4" t="n"/>
      <c r="AL253" s="4" t="n"/>
      <c r="AM253" s="4" t="inlineStr">
        <is>
          <t>RA</t>
        </is>
      </c>
      <c r="AN253" s="4" t="inlineStr">
        <is>
          <t>Tomado completo desde archivo RA según asignación</t>
        </is>
      </c>
      <c r="AO253" s="4" t="n">
        <v>0</v>
      </c>
    </row>
    <row r="254" ht="190" customHeight="1">
      <c r="A254" s="4" t="n">
        <v>253</v>
      </c>
      <c r="B254" s="4" t="n">
        <v>275</v>
      </c>
      <c r="C254" s="4" t="inlineStr">
        <is>
          <t>Revisor B</t>
        </is>
      </c>
      <c r="D254" s="4" t="n"/>
      <c r="E254" s="4" t="n">
        <v>2023</v>
      </c>
      <c r="F254" s="4" t="inlineStr">
        <is>
          <t>Señales fisiológicas</t>
        </is>
      </c>
      <c r="G254" s="4" t="inlineStr">
        <is>
          <t>Machine Learning</t>
        </is>
      </c>
      <c r="H254" s="4" t="inlineStr">
        <is>
          <t>https://doi.org/10.1007/s10803-022-05767-w</t>
        </is>
      </c>
      <c r="I254" s="4" t="inlineStr">
        <is>
          <t>A Fusion-Based Machine Learning Approach for Autism Detection in Young Children Using Magnetoencephalography Signals</t>
        </is>
      </c>
      <c r="J254" s="4" t="inlineStr">
        <is>
          <t>In this study, we aimed to find biomarkers of autism in young children. We recorded magnetoencephalography (MEG) in thirty children (4–7 years) with autism and thirty age, gender-matched controls while they were watching cartoons. We focused on characterizing neural oscillations by amplitude (power spectral density, PSD) and phase (preferred phase angle, PPA). Machine learning based classifier showed a higher classification accuracy (88%) for PPA features than PSD features (82%). Further, by a novel fusion method combining PSD and PPA features, we achieved an average classification accuracy of 94% and 98% for feature-level and score-level fusion, respectively. These findings reveal discriminatory patterns of neural oscillations of autism in young children and provide novel insight into autism pathophysiology.</t>
        </is>
      </c>
      <c r="K254" s="4" t="inlineStr">
        <is>
          <t>Supervised</t>
        </is>
      </c>
      <c r="L254" s="4" t="inlineStr">
        <is>
          <t>MLP</t>
        </is>
      </c>
      <c r="M254" s="4" t="inlineStr">
        <is>
          <t>Classification (binary/multi-class; incl. ASD vs control)/ multi-class)</t>
        </is>
      </c>
      <c r="N254" s="4" t="inlineStr">
        <is>
          <t>Diagnosis</t>
        </is>
      </c>
      <c r="O254" s="4" t="inlineStr">
        <is>
          <t>low</t>
        </is>
      </c>
      <c r="P254" s="4" t="n">
        <v>0</v>
      </c>
      <c r="Q254" s="4" t="n">
        <v>0</v>
      </c>
      <c r="R254" s="4" t="n">
        <v>0</v>
      </c>
      <c r="S254" s="4" t="n">
        <v>0</v>
      </c>
      <c r="T254" s="4" t="n">
        <v>0</v>
      </c>
      <c r="U254" s="4" t="n">
        <v>0</v>
      </c>
      <c r="V254" s="4" t="n">
        <v>0</v>
      </c>
      <c r="W254" s="4" t="n">
        <v>0</v>
      </c>
      <c r="X254" s="4" t="n">
        <v>0</v>
      </c>
      <c r="Y254" s="4" t="n">
        <v>0</v>
      </c>
      <c r="Z254" s="4" t="n">
        <v>0</v>
      </c>
      <c r="AA254" s="4" t="n">
        <v>0</v>
      </c>
      <c r="AB254" s="4" t="inlineStr">
        <is>
          <t>1900-01-01</t>
        </is>
      </c>
      <c r="AC254" s="4" t="n">
        <v>0</v>
      </c>
      <c r="AD254" s="4" t="n">
        <v>0</v>
      </c>
      <c r="AE254" s="4" t="n">
        <v>0</v>
      </c>
      <c r="AF254" s="4" t="n">
        <v>0</v>
      </c>
      <c r="AG254" s="4" t="n">
        <v>1</v>
      </c>
      <c r="AH254" s="4" t="n">
        <v>0</v>
      </c>
      <c r="AI254" s="4" t="n">
        <v>0</v>
      </c>
      <c r="AJ254" s="4" t="inlineStr">
        <is>
          <t>1900-01-01</t>
        </is>
      </c>
      <c r="AK254" s="4" t="inlineStr">
        <is>
          <t>00:00:00</t>
        </is>
      </c>
      <c r="AL254" s="4" t="inlineStr">
        <is>
          <t>Aunque el paper enfatiza “young children” y “early markers”, el uso que reporta es clasificación ASD vs TD en una muestra ya diagnosticada; por eso “Diagnosis” es el mapeo más consistente con tus opciones.</t>
        </is>
      </c>
      <c r="AM254" s="4" t="inlineStr">
        <is>
          <t>RB</t>
        </is>
      </c>
      <c r="AN254" s="4" t="inlineStr">
        <is>
          <t>Tomado completo desde archivo RB según asignación</t>
        </is>
      </c>
      <c r="AO254" s="4" t="n">
        <v>0</v>
      </c>
    </row>
    <row r="255" ht="320" customHeight="1">
      <c r="A255" s="4" t="n">
        <v>254</v>
      </c>
      <c r="B255" s="4" t="n">
        <v>276</v>
      </c>
      <c r="C255" s="4" t="inlineStr">
        <is>
          <t>Revisor A</t>
        </is>
      </c>
      <c r="D255" s="4" t="inlineStr">
        <is>
          <t>RA</t>
        </is>
      </c>
      <c r="E255" s="4" t="n">
        <v>2014</v>
      </c>
      <c r="F255" s="4" t="inlineStr">
        <is>
          <t>Señales fisiológicas</t>
        </is>
      </c>
      <c r="G255" s="4" t="inlineStr">
        <is>
          <t>Deep Learning</t>
        </is>
      </c>
      <c r="H255" s="4" t="inlineStr">
        <is>
          <t>https://doi.org/10.1016/j.eswa.2014.05.011</t>
        </is>
      </c>
      <c r="I255" s="4" t="inlineStr">
        <is>
          <t>A situation-aware system for the detection of motion disorders of patients with Autism Spectrum Disorders</t>
        </is>
      </c>
      <c r="J255" s="4" t="inlineStr">
        <is>
          <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t>
        </is>
      </c>
      <c r="K255" s="4" t="inlineStr">
        <is>
          <t>Supervised</t>
        </is>
      </c>
      <c r="L255" s="4" t="inlineStr">
        <is>
          <t>Other / Not clear</t>
        </is>
      </c>
      <c r="M255" s="4" t="inlineStr">
        <is>
          <t>Detection / segmentation</t>
        </is>
      </c>
      <c r="N255" s="4" t="inlineStr">
        <is>
          <t>Monitoring/intervention</t>
        </is>
      </c>
      <c r="O255" s="4" t="inlineStr">
        <is>
          <t>Medium</t>
        </is>
      </c>
      <c r="P255" s="4" t="n">
        <v>0</v>
      </c>
      <c r="Q255" s="4" t="n">
        <v>0</v>
      </c>
      <c r="R255" s="4" t="n">
        <v>0</v>
      </c>
      <c r="S255" s="4" t="n">
        <v>0</v>
      </c>
      <c r="T255" s="4" t="n">
        <v>0</v>
      </c>
      <c r="U255" s="4" t="n">
        <v>0</v>
      </c>
      <c r="V255" s="4" t="n">
        <v>1</v>
      </c>
      <c r="W255" s="4" t="n">
        <v>0</v>
      </c>
      <c r="X255" s="4" t="n">
        <v>0</v>
      </c>
      <c r="Y255" s="4" t="n">
        <v>0</v>
      </c>
      <c r="Z255" s="4" t="n">
        <v>0</v>
      </c>
      <c r="AA255" s="4" t="n">
        <v>1</v>
      </c>
      <c r="AB255" s="4" t="inlineStr">
        <is>
          <t>1900-01-01</t>
        </is>
      </c>
      <c r="AC255" s="4" t="n"/>
      <c r="AD255" s="4" t="n"/>
      <c r="AE255" s="4" t="n"/>
      <c r="AF255" s="4" t="n"/>
      <c r="AG255" s="4" t="n">
        <v>1</v>
      </c>
      <c r="AH255" s="4" t="n">
        <v>1</v>
      </c>
      <c r="AI255" s="4" t="inlineStr">
        <is>
          <t>accelerometer</t>
        </is>
      </c>
      <c r="AJ255" s="4" t="n"/>
      <c r="AK255" s="4" t="n"/>
      <c r="AL255" s="4" t="inlineStr">
        <is>
          <t>Algoritmo principal no explícito o fuera del codebook; Confirmar algoritmo principal en full-text</t>
        </is>
      </c>
      <c r="AM255" s="4" t="inlineStr">
        <is>
          <t>RA</t>
        </is>
      </c>
      <c r="AN255" s="4" t="inlineStr">
        <is>
          <t>Tomado completo desde archivo RA según asignación</t>
        </is>
      </c>
      <c r="AO255" s="4" t="n">
        <v>0</v>
      </c>
    </row>
    <row r="256" ht="333" customHeight="1">
      <c r="A256" s="4" t="n">
        <v>255</v>
      </c>
      <c r="B256" s="4" t="n">
        <v>277</v>
      </c>
      <c r="C256" s="4" t="inlineStr">
        <is>
          <t>Revisor A</t>
        </is>
      </c>
      <c r="D256" s="4" t="inlineStr">
        <is>
          <t>RA</t>
        </is>
      </c>
      <c r="E256" s="4" t="n">
        <v>2023</v>
      </c>
      <c r="F256" s="4" t="inlineStr">
        <is>
          <t>Imagen</t>
        </is>
      </c>
      <c r="G256" s="4" t="inlineStr">
        <is>
          <t>Deep Learning</t>
        </is>
      </c>
      <c r="H256" s="4" t="inlineStr">
        <is>
          <t>https://doi.org/10.1093/cercor/bhad125</t>
        </is>
      </c>
      <c r="I256" s="4" t="inlineStr">
        <is>
          <t>Accurate corresponding fiber tract segmentation via FiberGeoMap learner with application to autism</t>
        </is>
      </c>
      <c r="J256" s="4" t="inlineStr">
        <is>
          <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t>
        </is>
      </c>
      <c r="K256" s="4" t="inlineStr">
        <is>
          <t>Supervised</t>
        </is>
      </c>
      <c r="L256" s="4" t="inlineStr">
        <is>
          <t>Transformer</t>
        </is>
      </c>
      <c r="M256" s="4" t="inlineStr">
        <is>
          <t>Detection / segmentation</t>
        </is>
      </c>
      <c r="N256" s="4" t="inlineStr">
        <is>
          <t>Diagnosis</t>
        </is>
      </c>
      <c r="O256" s="4" t="inlineStr">
        <is>
          <t>Medium</t>
        </is>
      </c>
      <c r="P256" s="4" t="n">
        <v>1</v>
      </c>
      <c r="Q256" s="4" t="n">
        <v>0</v>
      </c>
      <c r="R256" s="4" t="n">
        <v>0</v>
      </c>
      <c r="S256" s="4" t="n">
        <v>0</v>
      </c>
      <c r="T256" s="4" t="n">
        <v>0</v>
      </c>
      <c r="U256" s="4" t="n">
        <v>0</v>
      </c>
      <c r="V256" s="4" t="n">
        <v>0</v>
      </c>
      <c r="W256" s="4" t="n">
        <v>0</v>
      </c>
      <c r="X256" s="4" t="n">
        <v>0</v>
      </c>
      <c r="Y256" s="4" t="n">
        <v>1</v>
      </c>
      <c r="Z256" s="4" t="n">
        <v>0</v>
      </c>
      <c r="AA256" s="4" t="n">
        <v>0</v>
      </c>
      <c r="AB256" s="4" t="inlineStr">
        <is>
          <t>1900-01-01</t>
        </is>
      </c>
      <c r="AC256" s="4" t="n"/>
      <c r="AD256" s="4" t="n"/>
      <c r="AE256" s="4" t="n"/>
      <c r="AF256" s="4" t="n"/>
      <c r="AG256" s="4" t="n">
        <v>1</v>
      </c>
      <c r="AH256" s="4" t="n">
        <v>1</v>
      </c>
      <c r="AI256" s="4" t="n"/>
      <c r="AJ256" s="4" t="n"/>
      <c r="AK256" s="4" t="n"/>
      <c r="AL256" s="4" t="inlineStr">
        <is>
          <t>Segmentación de tractos de difusión; algoritmo FiberGeoMap fuera del codebook.</t>
        </is>
      </c>
      <c r="AM256" s="4" t="inlineStr">
        <is>
          <t>RA</t>
        </is>
      </c>
      <c r="AN256" s="4" t="inlineStr">
        <is>
          <t>Tomado completo desde archivo RA según asignación</t>
        </is>
      </c>
      <c r="AO256" s="4" t="n">
        <v>0</v>
      </c>
    </row>
    <row r="257" ht="409" customHeight="1">
      <c r="A257" s="4" t="n">
        <v>256</v>
      </c>
      <c r="B257" s="4" t="n">
        <v>278</v>
      </c>
      <c r="C257" s="4" t="inlineStr">
        <is>
          <t>Revisor A</t>
        </is>
      </c>
      <c r="D257" s="4" t="inlineStr">
        <is>
          <t>RA</t>
        </is>
      </c>
      <c r="E257" s="4" t="n">
        <v>2017</v>
      </c>
      <c r="F257" s="4" t="inlineStr">
        <is>
          <t>Imagen</t>
        </is>
      </c>
      <c r="G257" s="4" t="inlineStr">
        <is>
          <t>Machine Learning</t>
        </is>
      </c>
      <c r="H257" s="4" t="inlineStr">
        <is>
          <t>https://doi.org/10.1186/S12911-017-0564-8</t>
        </is>
      </c>
      <c r="I257" s="4" t="inlineStr">
        <is>
          <t>Autism risk classification using placental chorionic surface vascular network features</t>
        </is>
      </c>
      <c r="J257" s="4" t="inlineStr">
        <is>
          <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t>
        </is>
      </c>
      <c r="K257" s="4" t="inlineStr">
        <is>
          <t>Supervised</t>
        </is>
      </c>
      <c r="L257" s="4" t="inlineStr">
        <is>
          <t>Random Forest</t>
        </is>
      </c>
      <c r="M257" s="4" t="inlineStr">
        <is>
          <t>Classification (ASD vs control / multi-class)</t>
        </is>
      </c>
      <c r="N257" s="4" t="inlineStr">
        <is>
          <t>Prescreening</t>
        </is>
      </c>
      <c r="O257" s="4" t="inlineStr">
        <is>
          <t>High</t>
        </is>
      </c>
      <c r="P257" s="4" t="n">
        <v>0</v>
      </c>
      <c r="Q257" s="4" t="n">
        <v>0</v>
      </c>
      <c r="R257" s="4" t="n">
        <v>0</v>
      </c>
      <c r="S257" s="4" t="n">
        <v>0</v>
      </c>
      <c r="T257" s="4" t="n">
        <v>0</v>
      </c>
      <c r="U257" s="4" t="n">
        <v>1</v>
      </c>
      <c r="V257" s="4" t="n">
        <v>0</v>
      </c>
      <c r="W257" s="4" t="n">
        <v>1</v>
      </c>
      <c r="X257" s="4" t="n">
        <v>0</v>
      </c>
      <c r="Y257" s="4" t="n">
        <v>0</v>
      </c>
      <c r="Z257" s="4" t="n">
        <v>0</v>
      </c>
      <c r="AA257" s="4" t="n">
        <v>0</v>
      </c>
      <c r="AB257" s="4" t="inlineStr">
        <is>
          <t>1900-01-01</t>
        </is>
      </c>
      <c r="AC257" s="4" t="n"/>
      <c r="AD257" s="4" t="n"/>
      <c r="AE257" s="4" t="n"/>
      <c r="AF257" s="4" t="n"/>
      <c r="AG257" s="4" t="n">
        <v>0</v>
      </c>
      <c r="AH257" s="4" t="n">
        <v>1</v>
      </c>
      <c r="AI257" s="4" t="n"/>
      <c r="AJ257" s="4" t="n"/>
      <c r="AK257" s="4" t="n"/>
      <c r="AL257" s="4" t="n"/>
      <c r="AM257" s="4" t="inlineStr">
        <is>
          <t>RA</t>
        </is>
      </c>
      <c r="AN257" s="4" t="inlineStr">
        <is>
          <t>Tomado completo desde archivo RA según asignación</t>
        </is>
      </c>
      <c r="AO257" s="4" t="n">
        <v>0</v>
      </c>
    </row>
    <row r="258" ht="409" customHeight="1">
      <c r="A258" s="4" t="n">
        <v>257</v>
      </c>
      <c r="B258" s="4" t="n">
        <v>279</v>
      </c>
      <c r="C258" s="4" t="inlineStr">
        <is>
          <t>Revisor A</t>
        </is>
      </c>
      <c r="D258" s="4" t="inlineStr">
        <is>
          <t>RA</t>
        </is>
      </c>
      <c r="E258" s="4" t="n">
        <v>2022</v>
      </c>
      <c r="F258" s="4" t="inlineStr">
        <is>
          <t>No especificado</t>
        </is>
      </c>
      <c r="G258" s="4" t="inlineStr">
        <is>
          <t>Machine Learning</t>
        </is>
      </c>
      <c r="H258" s="4" t="inlineStr">
        <is>
          <t>https://doi.org/10.1002/CPE.6498</t>
        </is>
      </c>
      <c r="I258" s="4" t="inlineStr">
        <is>
          <t>Autism spectrum disorder detection using sequential minimal optimization-support vector machine hybrid classifier according to history of jaundice and family autism in children</t>
        </is>
      </c>
      <c r="J258" s="4" t="inlineStr">
        <is>
          <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t>
        </is>
      </c>
      <c r="K258" s="4" t="inlineStr">
        <is>
          <t>Supervised</t>
        </is>
      </c>
      <c r="L258" s="4" t="inlineStr">
        <is>
          <t>SVM</t>
        </is>
      </c>
      <c r="M258" s="4" t="inlineStr">
        <is>
          <t>Classification (ASD vs control / multi-class)</t>
        </is>
      </c>
      <c r="N258" s="4" t="inlineStr">
        <is>
          <t>Diagnosis</t>
        </is>
      </c>
      <c r="O258" s="4" t="inlineStr">
        <is>
          <t>High</t>
        </is>
      </c>
      <c r="P258" s="4" t="n">
        <v>0</v>
      </c>
      <c r="Q258" s="4" t="n">
        <v>0</v>
      </c>
      <c r="R258" s="4" t="n">
        <v>0</v>
      </c>
      <c r="S258" s="4" t="n">
        <v>0</v>
      </c>
      <c r="T258" s="4" t="n">
        <v>1</v>
      </c>
      <c r="U258" s="4" t="n">
        <v>0</v>
      </c>
      <c r="V258" s="4" t="n">
        <v>0</v>
      </c>
      <c r="W258" s="4" t="n">
        <v>0</v>
      </c>
      <c r="X258" s="4" t="n">
        <v>0</v>
      </c>
      <c r="Y258" s="4" t="n">
        <v>1</v>
      </c>
      <c r="Z258" s="4" t="n">
        <v>0</v>
      </c>
      <c r="AA258" s="4" t="n">
        <v>0</v>
      </c>
      <c r="AB258" s="4" t="inlineStr">
        <is>
          <t>1900-01-01</t>
        </is>
      </c>
      <c r="AC258" s="4" t="n"/>
      <c r="AD258" s="4" t="n"/>
      <c r="AE258" s="4" t="n"/>
      <c r="AF258" s="4" t="n"/>
      <c r="AG258" s="4" t="n">
        <v>0</v>
      </c>
      <c r="AH258" s="4" t="n">
        <v>1</v>
      </c>
      <c r="AI258" s="4" t="n"/>
      <c r="AJ258" s="4" t="n"/>
      <c r="AK258" s="4" t="n"/>
      <c r="AL258" s="4" t="n"/>
      <c r="AM258" s="4" t="inlineStr">
        <is>
          <t>RA</t>
        </is>
      </c>
      <c r="AN258" s="4" t="inlineStr">
        <is>
          <t>Tomado completo desde archivo RA según asignación</t>
        </is>
      </c>
      <c r="AO258" s="4" t="n">
        <v>0</v>
      </c>
    </row>
    <row r="259" ht="333" customHeight="1">
      <c r="A259" s="4" t="n">
        <v>258</v>
      </c>
      <c r="B259" s="4" t="n">
        <v>280</v>
      </c>
      <c r="C259" s="4" t="inlineStr">
        <is>
          <t>Revisor A</t>
        </is>
      </c>
      <c r="D259" s="4" t="inlineStr">
        <is>
          <t>RA</t>
        </is>
      </c>
      <c r="E259" s="4" t="n">
        <v>2023</v>
      </c>
      <c r="F259" s="4" t="inlineStr">
        <is>
          <t>Multimodal</t>
        </is>
      </c>
      <c r="G259" s="4" t="inlineStr">
        <is>
          <t>Deep Learning</t>
        </is>
      </c>
      <c r="H259" s="4" t="inlineStr">
        <is>
          <t>https://doi.org/10.1016/j.jneumeth.2023.109901</t>
        </is>
      </c>
      <c r="I259" s="4" t="inlineStr">
        <is>
          <t>Classification of autism based on short-term spontaneous hemodynamic fluctuations using an adaptive graph neural network</t>
        </is>
      </c>
      <c r="J259" s="4" t="inlineStr">
        <is>
          <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t>
        </is>
      </c>
      <c r="K259" s="4" t="inlineStr">
        <is>
          <t>Supervised</t>
        </is>
      </c>
      <c r="L259" s="4" t="inlineStr">
        <is>
          <t>Other / Not clear</t>
        </is>
      </c>
      <c r="M259" s="4" t="inlineStr">
        <is>
          <t>Classification (ASD vs control / multi-class)</t>
        </is>
      </c>
      <c r="N259" s="4" t="inlineStr">
        <is>
          <t>Diagnosis</t>
        </is>
      </c>
      <c r="O259" s="4" t="inlineStr">
        <is>
          <t>High</t>
        </is>
      </c>
      <c r="P259" s="4" t="n">
        <v>0</v>
      </c>
      <c r="Q259" s="4" t="n">
        <v>1</v>
      </c>
      <c r="R259" s="4" t="n">
        <v>0</v>
      </c>
      <c r="S259" s="4" t="n">
        <v>0</v>
      </c>
      <c r="T259" s="4" t="n">
        <v>0</v>
      </c>
      <c r="U259" s="4" t="n">
        <v>0</v>
      </c>
      <c r="V259" s="4" t="n">
        <v>0</v>
      </c>
      <c r="W259" s="4" t="n">
        <v>0</v>
      </c>
      <c r="X259" s="4" t="n">
        <v>0</v>
      </c>
      <c r="Y259" s="4" t="n">
        <v>1</v>
      </c>
      <c r="Z259" s="4" t="n">
        <v>0</v>
      </c>
      <c r="AA259" s="4" t="n">
        <v>0</v>
      </c>
      <c r="AB259" s="4" t="inlineStr">
        <is>
          <t>1900-01-01</t>
        </is>
      </c>
      <c r="AC259" s="4" t="n"/>
      <c r="AD259" s="4" t="n"/>
      <c r="AE259" s="4" t="n"/>
      <c r="AF259" s="4" t="n"/>
      <c r="AG259" s="4" t="n">
        <v>1</v>
      </c>
      <c r="AH259" s="4" t="n">
        <v>1</v>
      </c>
      <c r="AI259" s="4" t="n"/>
      <c r="AJ259" s="4" t="n"/>
      <c r="AK259" s="4" t="n"/>
      <c r="AL259" s="4" t="inlineStr">
        <is>
          <t>Algoritmo principal no explícito o fuera del codebook; Confirmar algoritmo principal en full-text; Se comparan varios modelos; se eligió el principal/mejor reportado</t>
        </is>
      </c>
      <c r="AM259" s="4" t="inlineStr">
        <is>
          <t>RA</t>
        </is>
      </c>
      <c r="AN259" s="4" t="inlineStr">
        <is>
          <t>Tomado completo desde archivo RA según asignación</t>
        </is>
      </c>
      <c r="AO259" s="4" t="n">
        <v>0</v>
      </c>
    </row>
    <row r="260" ht="307" customHeight="1">
      <c r="A260" s="4" t="n">
        <v>259</v>
      </c>
      <c r="B260" s="4" t="n">
        <v>281</v>
      </c>
      <c r="C260" s="4" t="inlineStr">
        <is>
          <t>Revisor A</t>
        </is>
      </c>
      <c r="D260" s="4" t="inlineStr">
        <is>
          <t>RA</t>
        </is>
      </c>
      <c r="E260" s="4" t="n">
        <v>2022</v>
      </c>
      <c r="F260" s="4" t="inlineStr">
        <is>
          <t>Imagen</t>
        </is>
      </c>
      <c r="G260" s="4" t="inlineStr">
        <is>
          <t>Deep Learning</t>
        </is>
      </c>
      <c r="H260" s="4" t="inlineStr">
        <is>
          <t>https://doi.org/10.3390/ijerph191912857</t>
        </is>
      </c>
      <c r="I260" s="4" t="inlineStr">
        <is>
          <t>Deep Mobile Linguistic Therapy for Patients with ASD</t>
        </is>
      </c>
      <c r="J260" s="4" t="inlineStr">
        <is>
          <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t>
        </is>
      </c>
      <c r="K260" s="4" t="inlineStr">
        <is>
          <t>Supervised</t>
        </is>
      </c>
      <c r="L260" s="4" t="inlineStr">
        <is>
          <t>Other / Not clear</t>
        </is>
      </c>
      <c r="M260" s="4" t="inlineStr">
        <is>
          <t>Other / Not clear</t>
        </is>
      </c>
      <c r="N260" s="4" t="inlineStr">
        <is>
          <t>Monitoring/intervention</t>
        </is>
      </c>
      <c r="O260" s="4" t="inlineStr">
        <is>
          <t>Medium</t>
        </is>
      </c>
      <c r="P260" s="4" t="n">
        <v>0</v>
      </c>
      <c r="Q260" s="4" t="n">
        <v>0</v>
      </c>
      <c r="R260" s="4" t="n">
        <v>0</v>
      </c>
      <c r="S260" s="4" t="n">
        <v>0</v>
      </c>
      <c r="T260" s="4" t="n">
        <v>0</v>
      </c>
      <c r="U260" s="4" t="n">
        <v>0</v>
      </c>
      <c r="V260" s="4" t="n">
        <v>1</v>
      </c>
      <c r="W260" s="4" t="n">
        <v>0</v>
      </c>
      <c r="X260" s="4" t="n">
        <v>0</v>
      </c>
      <c r="Y260" s="4" t="n">
        <v>0</v>
      </c>
      <c r="Z260" s="4" t="n">
        <v>0</v>
      </c>
      <c r="AA260" s="4" t="n">
        <v>1</v>
      </c>
      <c r="AB260" s="4" t="inlineStr">
        <is>
          <t>1900-01-01</t>
        </is>
      </c>
      <c r="AC260" s="4" t="n"/>
      <c r="AD260" s="4" t="n"/>
      <c r="AE260" s="4" t="n"/>
      <c r="AF260" s="4" t="n"/>
      <c r="AG260" s="4" t="n">
        <v>1</v>
      </c>
      <c r="AH260" s="4" t="n">
        <v>1</v>
      </c>
      <c r="AI260" s="4" t="inlineStr">
        <is>
          <t>text / NLP</t>
        </is>
      </c>
      <c r="AJ260" s="4" t="n"/>
      <c r="AK260" s="4" t="n"/>
      <c r="AL260" s="4" t="inlineStr">
        <is>
          <t>Sistema de terapia lingüística móvil; no corresponde a una tarea diagnóstica clásica.</t>
        </is>
      </c>
      <c r="AM260" s="4" t="inlineStr">
        <is>
          <t>RA</t>
        </is>
      </c>
      <c r="AN260" s="4" t="inlineStr">
        <is>
          <t>Tomado completo desde archivo RA según asignación</t>
        </is>
      </c>
      <c r="AO260" s="4" t="n">
        <v>0</v>
      </c>
    </row>
    <row r="261" ht="346" customHeight="1">
      <c r="A261" s="4" t="n">
        <v>260</v>
      </c>
      <c r="B261" s="4" t="n">
        <v>282</v>
      </c>
      <c r="C261" s="4" t="inlineStr">
        <is>
          <t>Revisor A</t>
        </is>
      </c>
      <c r="D261" s="4" t="inlineStr">
        <is>
          <t>RA</t>
        </is>
      </c>
      <c r="E261" s="4" t="n">
        <v>2023</v>
      </c>
      <c r="F261" s="4" t="inlineStr">
        <is>
          <t>Biological/omics</t>
        </is>
      </c>
      <c r="G261" s="4" t="inlineStr">
        <is>
          <t>Híbrido</t>
        </is>
      </c>
      <c r="H261" s="4" t="inlineStr">
        <is>
          <t>https://doi.org/10.1186/s12859-023-05378-x</t>
        </is>
      </c>
      <c r="I261" s="4" t="inlineStr">
        <is>
          <t>DeepASDPred: a CNN-LSTM-based deep learning method for Autism spectrum disorders risk RNA identification</t>
        </is>
      </c>
      <c r="J261" s="4" t="inlineStr">
        <is>
          <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t>
        </is>
      </c>
      <c r="K261" s="4" t="inlineStr">
        <is>
          <t>Supervised</t>
        </is>
      </c>
      <c r="L261" s="4" t="inlineStr">
        <is>
          <t>CNN-LSTM with attention</t>
        </is>
      </c>
      <c r="M261" s="4" t="inlineStr">
        <is>
          <t>ASD-risk RNA/gene identification</t>
        </is>
      </c>
      <c r="N261" s="4" t="inlineStr">
        <is>
          <t>Not specified</t>
        </is>
      </c>
      <c r="O261" s="4" t="inlineStr">
        <is>
          <t>High</t>
        </is>
      </c>
      <c r="P261" s="4" t="n">
        <v>0</v>
      </c>
      <c r="Q261" s="4" t="n">
        <v>0</v>
      </c>
      <c r="R261" s="4" t="n">
        <v>0</v>
      </c>
      <c r="S261" s="4" t="n">
        <v>0</v>
      </c>
      <c r="T261" s="4" t="n">
        <v>0</v>
      </c>
      <c r="U261" s="4" t="n">
        <v>1</v>
      </c>
      <c r="V261" s="4" t="n">
        <v>0</v>
      </c>
      <c r="W261" s="4" t="n">
        <v>0</v>
      </c>
      <c r="X261" s="4" t="n">
        <v>0</v>
      </c>
      <c r="Y261" s="4" t="n">
        <v>0</v>
      </c>
      <c r="Z261" s="4" t="n">
        <v>0</v>
      </c>
      <c r="AA261" s="4" t="n">
        <v>0</v>
      </c>
      <c r="AB261" s="4" t="inlineStr">
        <is>
          <t>00:00:00</t>
        </is>
      </c>
      <c r="AC261" s="4" t="n"/>
      <c r="AD261" s="4" t="n"/>
      <c r="AE261" s="4" t="n"/>
      <c r="AF261" s="4" t="n"/>
      <c r="AG261" s="4" t="n">
        <v>0</v>
      </c>
      <c r="AH261" s="4" t="n">
        <v>1</v>
      </c>
      <c r="AI261" s="4" t="n"/>
      <c r="AJ261" s="4" t="n"/>
      <c r="AK261" s="4" t="n"/>
      <c r="AL261" s="4" t="inlineStr">
        <is>
          <t>Recodificado desde texto completo: secuencia de RNA y expresión génica; identificación etiológica de RNA/genes de riesgo, no prescreening clínico.</t>
        </is>
      </c>
      <c r="AM261" s="4" t="inlineStr">
        <is>
          <t>RA</t>
        </is>
      </c>
      <c r="AN261" s="4" t="inlineStr">
        <is>
          <t>Tomado completo desde archivo RA según asignación</t>
        </is>
      </c>
      <c r="AO261" s="4" t="n">
        <v>0</v>
      </c>
    </row>
    <row r="262" ht="164" customHeight="1">
      <c r="A262" s="4" t="n">
        <v>261</v>
      </c>
      <c r="B262" s="4" t="n">
        <v>283</v>
      </c>
      <c r="C262" s="4" t="inlineStr">
        <is>
          <t>Revisor B</t>
        </is>
      </c>
      <c r="D262" s="4" t="n"/>
      <c r="E262" s="4" t="n">
        <v>2022</v>
      </c>
      <c r="F262" s="4" t="inlineStr">
        <is>
          <t>No especificado</t>
        </is>
      </c>
      <c r="G262" s="4" t="inlineStr">
        <is>
          <t>Deep Learning</t>
        </is>
      </c>
      <c r="H262" s="4" t="inlineStr">
        <is>
          <t>https://doi.org/10.1155/2022/8134018</t>
        </is>
      </c>
      <c r="I262" s="4" t="inlineStr">
        <is>
          <t>Employing Machine Learning-Based Predictive Analytical Approaches to Classify Autism Spectrum Disorder Types</t>
        </is>
      </c>
      <c r="J262" s="4" t="inlineStr">
        <is>
          <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t>
        </is>
      </c>
      <c r="K262" s="4" t="inlineStr">
        <is>
          <t>Supervised</t>
        </is>
      </c>
      <c r="L262" s="4" t="inlineStr">
        <is>
          <t>MLP</t>
        </is>
      </c>
      <c r="M262" s="4" t="inlineStr">
        <is>
          <t>Classification (binary/multi-class; incl. ASD vs control)/ multi-class)</t>
        </is>
      </c>
      <c r="N262" s="4" t="inlineStr">
        <is>
          <t>Diagnosis</t>
        </is>
      </c>
      <c r="O262" s="4" t="inlineStr">
        <is>
          <t>high</t>
        </is>
      </c>
      <c r="P262" s="4" t="n">
        <v>1</v>
      </c>
      <c r="Q262" s="4" t="n">
        <v>0</v>
      </c>
      <c r="R262" s="4" t="n">
        <v>0</v>
      </c>
      <c r="S262" s="4" t="n">
        <v>0</v>
      </c>
      <c r="T262" s="4" t="n">
        <v>0</v>
      </c>
      <c r="U262" s="4" t="n">
        <v>0</v>
      </c>
      <c r="V262" s="4" t="n">
        <v>0</v>
      </c>
      <c r="W262" s="4" t="n">
        <v>0</v>
      </c>
      <c r="X262" s="4" t="n">
        <v>0</v>
      </c>
      <c r="Y262" s="4" t="n">
        <v>0</v>
      </c>
      <c r="Z262" s="4" t="n">
        <v>1</v>
      </c>
      <c r="AA262" s="4" t="n">
        <v>0</v>
      </c>
      <c r="AB262" s="4" t="inlineStr">
        <is>
          <t>1900-01-01</t>
        </is>
      </c>
      <c r="AC262" s="4" t="n">
        <v>0</v>
      </c>
      <c r="AD262" s="4" t="n">
        <v>0</v>
      </c>
      <c r="AE262" s="4" t="n">
        <v>0</v>
      </c>
      <c r="AF262" s="4" t="n">
        <v>0</v>
      </c>
      <c r="AG262" s="4" t="n">
        <v>0</v>
      </c>
      <c r="AH262" s="4" t="n">
        <v>1</v>
      </c>
      <c r="AI262" s="4" t="n">
        <v>0</v>
      </c>
      <c r="AJ262" s="4" t="inlineStr">
        <is>
          <t>00:00:00</t>
        </is>
      </c>
      <c r="AK262" s="4" t="inlineStr">
        <is>
          <t>00:00:00</t>
        </is>
      </c>
      <c r="AL262" s="4" t="inlineStr">
        <is>
          <t xml:space="preserve">No es “ASD vs TD” puro; es clasificación de severidad (incluye “No ASD” + Levels 1–3). Si tu análisis separa “diagnosis binaria” vs “severity”, aquí conviene anotarlo. </t>
        </is>
      </c>
      <c r="AM262" s="4" t="inlineStr">
        <is>
          <t>RB</t>
        </is>
      </c>
      <c r="AN262" s="4" t="inlineStr">
        <is>
          <t>Tomado completo desde archivo RB según asignación</t>
        </is>
      </c>
      <c r="AO262" s="4" t="n">
        <v>0</v>
      </c>
    </row>
    <row r="263" ht="203" customHeight="1">
      <c r="A263" s="4" t="n">
        <v>262</v>
      </c>
      <c r="B263" s="4" t="n">
        <v>284</v>
      </c>
      <c r="C263" s="4" t="inlineStr">
        <is>
          <t>Revisor B</t>
        </is>
      </c>
      <c r="D263" s="4" t="n"/>
      <c r="E263" s="4" t="n">
        <v>2019</v>
      </c>
      <c r="F263" s="4" t="inlineStr">
        <is>
          <t>Imagen</t>
        </is>
      </c>
      <c r="G263" s="4" t="inlineStr">
        <is>
          <t>Híbrido</t>
        </is>
      </c>
      <c r="H263" s="4" t="inlineStr">
        <is>
          <t>https://doi.org/10.1016/j.procs.2020.01.098</t>
        </is>
      </c>
      <c r="I263" s="4" t="inlineStr">
        <is>
          <t>Exploration of Autism Spectrum Disorder using Classification Algorithms</t>
        </is>
      </c>
      <c r="J263" s="4" t="inlineStr">
        <is>
          <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t>
        </is>
      </c>
      <c r="K263" s="4" t="inlineStr">
        <is>
          <t>Supervised</t>
        </is>
      </c>
      <c r="L263" s="4" t="inlineStr">
        <is>
          <t>SVM</t>
        </is>
      </c>
      <c r="M263" s="4" t="inlineStr">
        <is>
          <t>Classification (binary/multi-class; incl. ASD vs control)/ multi-class)</t>
        </is>
      </c>
      <c r="N263" s="4" t="inlineStr">
        <is>
          <t>screening</t>
        </is>
      </c>
      <c r="O263" s="4" t="inlineStr">
        <is>
          <t>medium</t>
        </is>
      </c>
      <c r="P263" s="4" t="n">
        <v>0</v>
      </c>
      <c r="Q263" s="4" t="n">
        <v>0</v>
      </c>
      <c r="R263" s="4" t="n">
        <v>0</v>
      </c>
      <c r="S263" s="4" t="n">
        <v>0</v>
      </c>
      <c r="T263" s="4" t="n">
        <v>0</v>
      </c>
      <c r="U263" s="4" t="n">
        <v>0</v>
      </c>
      <c r="V263" s="4" t="n">
        <v>0</v>
      </c>
      <c r="W263" s="4" t="n">
        <v>0</v>
      </c>
      <c r="X263" s="4" t="n">
        <v>1</v>
      </c>
      <c r="Y263" s="4" t="n">
        <v>0</v>
      </c>
      <c r="Z263" s="4" t="n">
        <v>1</v>
      </c>
      <c r="AA263" s="4" t="n">
        <v>0</v>
      </c>
      <c r="AB263" s="4" t="inlineStr">
        <is>
          <t>1900-01-01</t>
        </is>
      </c>
      <c r="AC263" s="4" t="n">
        <v>0</v>
      </c>
      <c r="AD263" s="4" t="n">
        <v>0</v>
      </c>
      <c r="AE263" s="4" t="n">
        <v>0</v>
      </c>
      <c r="AF263" s="4" t="n">
        <v>0</v>
      </c>
      <c r="AG263" s="4" t="n">
        <v>1</v>
      </c>
      <c r="AH263" s="4" t="n">
        <v>0</v>
      </c>
      <c r="AI263" s="4" t="n">
        <v>0</v>
      </c>
      <c r="AJ263" s="4" t="inlineStr">
        <is>
          <t>00:00:00</t>
        </is>
      </c>
      <c r="AK263" s="4" t="inlineStr">
        <is>
          <t>00:00:00</t>
        </is>
      </c>
      <c r="AL263" s="4" t="inlineStr">
        <is>
          <t>Es un paper comparativo (Naive Bayes, Decision Table, SVM). Aunque SVM es “best” según su texto, también reportan desempeño perfecto para otro método en su tabla; si tu Excel exige un solo “main”, SVM es defendible solo con esa frase de “best”</t>
        </is>
      </c>
      <c r="AM263" s="4" t="inlineStr">
        <is>
          <t>RB</t>
        </is>
      </c>
      <c r="AN263" s="4" t="inlineStr">
        <is>
          <t>Tomado completo desde archivo RB según asignación</t>
        </is>
      </c>
      <c r="AO263" s="4" t="n">
        <v>0</v>
      </c>
    </row>
    <row r="264" ht="359" customHeight="1">
      <c r="A264" s="4" t="n">
        <v>263</v>
      </c>
      <c r="B264" s="4" t="n">
        <v>285</v>
      </c>
      <c r="C264" s="4" t="inlineStr">
        <is>
          <t>Revisor B</t>
        </is>
      </c>
      <c r="D264" s="4" t="n"/>
      <c r="E264" s="4" t="n">
        <v>2025</v>
      </c>
      <c r="F264" s="4" t="inlineStr">
        <is>
          <t>No especificado</t>
        </is>
      </c>
      <c r="G264" s="4" t="inlineStr">
        <is>
          <t>Híbrido</t>
        </is>
      </c>
      <c r="H264" s="4" t="inlineStr">
        <is>
          <t>https://doi.org/10.1016/j.ecoenv.2025.118233</t>
        </is>
      </c>
      <c r="I264" s="4" t="inlineStr">
        <is>
          <t>Exploring pesticide risk in autism via integrative machine learning and network toxicology</t>
        </is>
      </c>
      <c r="J264" s="4"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K264" s="4" t="inlineStr">
        <is>
          <t>Supervised</t>
        </is>
      </c>
      <c r="L264" s="4" t="inlineStr">
        <is>
          <t>Other</t>
        </is>
      </c>
      <c r="M264" s="4" t="inlineStr">
        <is>
          <t>Classification (binary/multi-class; incl. ASD vs control)/ multi-class)</t>
        </is>
      </c>
      <c r="N264" s="4" t="inlineStr">
        <is>
          <t>Not clear</t>
        </is>
      </c>
      <c r="O264" s="4" t="inlineStr">
        <is>
          <t>medium</t>
        </is>
      </c>
      <c r="P264" s="4" t="n">
        <v>1</v>
      </c>
      <c r="Q264" s="4" t="n">
        <v>0</v>
      </c>
      <c r="R264" s="4" t="n">
        <v>0</v>
      </c>
      <c r="S264" s="4" t="n">
        <v>0</v>
      </c>
      <c r="T264" s="4" t="n">
        <v>0</v>
      </c>
      <c r="U264" s="4" t="n">
        <v>0</v>
      </c>
      <c r="V264" s="4" t="n">
        <v>0</v>
      </c>
      <c r="W264" s="4" t="n">
        <v>0</v>
      </c>
      <c r="X264" s="4" t="n">
        <v>0</v>
      </c>
      <c r="Y264" s="4" t="n">
        <v>0</v>
      </c>
      <c r="Z264" s="4" t="n">
        <v>0</v>
      </c>
      <c r="AA264" s="4" t="n">
        <v>0</v>
      </c>
      <c r="AB264" s="4" t="inlineStr">
        <is>
          <t>00:00:00</t>
        </is>
      </c>
      <c r="AC264" s="4" t="n">
        <v>0</v>
      </c>
      <c r="AD264" s="4" t="n">
        <v>0</v>
      </c>
      <c r="AE264" s="4" t="n">
        <v>0</v>
      </c>
      <c r="AF264" s="4" t="n">
        <v>0</v>
      </c>
      <c r="AG264" s="4" t="n">
        <v>0</v>
      </c>
      <c r="AH264" s="4" t="n">
        <v>1</v>
      </c>
      <c r="AI264" s="4" t="n">
        <v>0</v>
      </c>
      <c r="AJ264" s="4" t="inlineStr">
        <is>
          <t>00:00:00</t>
        </is>
      </c>
      <c r="AK264" s="4" t="inlineStr">
        <is>
          <t>00:00:00</t>
        </is>
      </c>
      <c r="AL264" s="4" t="inlineStr">
        <is>
          <t>La ML se usa como parte de un pipeline mecanístico: LASSO para seleccionar targets (“Using the LASSO algorithm, 23 key targets…”) y luego selección final por desempeño (“SGD model… best predictive performance… 20 features”)</t>
        </is>
      </c>
      <c r="AM264" s="4" t="inlineStr">
        <is>
          <t>RB</t>
        </is>
      </c>
      <c r="AN264" s="4" t="inlineStr">
        <is>
          <t>Tomado completo desde archivo RB según asignación</t>
        </is>
      </c>
      <c r="AO264" s="4" t="n">
        <v>0</v>
      </c>
    </row>
    <row r="265" ht="242" customHeight="1">
      <c r="A265" s="4" t="n">
        <v>264</v>
      </c>
      <c r="B265" s="4" t="n">
        <v>286</v>
      </c>
      <c r="C265" s="4" t="inlineStr">
        <is>
          <t>Revisor A</t>
        </is>
      </c>
      <c r="D265" s="4" t="inlineStr">
        <is>
          <t>RA</t>
        </is>
      </c>
      <c r="E265" s="4" t="n">
        <v>2022</v>
      </c>
      <c r="F265" s="4" t="inlineStr">
        <is>
          <t>Señales fisiológicas</t>
        </is>
      </c>
      <c r="G265" s="4" t="inlineStr">
        <is>
          <t>Deep Learning</t>
        </is>
      </c>
      <c r="H265" s="4" t="inlineStr">
        <is>
          <t>https://doi.org/10.1111/EXSY.13040</t>
        </is>
      </c>
      <c r="I265" s="4" t="inlineStr">
        <is>
          <t>Feedback Artificial Tree-Anti Corona Virus Optimization enabled deep learning for detecting autism spectrum disorder</t>
        </is>
      </c>
      <c r="J265" s="4" t="inlineStr">
        <is>
          <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t>
        </is>
      </c>
      <c r="K265" s="4" t="inlineStr">
        <is>
          <t>Supervised</t>
        </is>
      </c>
      <c r="L265" s="4" t="inlineStr">
        <is>
          <t>Other / Not clear</t>
        </is>
      </c>
      <c r="M265" s="4" t="inlineStr">
        <is>
          <t>Classification (ASD vs control / multi-class)</t>
        </is>
      </c>
      <c r="N265" s="4" t="inlineStr">
        <is>
          <t>Diagnosis</t>
        </is>
      </c>
      <c r="O265" s="4" t="inlineStr">
        <is>
          <t>High</t>
        </is>
      </c>
      <c r="P265" s="4" t="n">
        <v>1</v>
      </c>
      <c r="Q265" s="4" t="n">
        <v>0</v>
      </c>
      <c r="R265" s="4" t="n">
        <v>0</v>
      </c>
      <c r="S265" s="4" t="n">
        <v>0</v>
      </c>
      <c r="T265" s="4" t="n">
        <v>0</v>
      </c>
      <c r="U265" s="4" t="n">
        <v>0</v>
      </c>
      <c r="V265" s="4" t="n">
        <v>0</v>
      </c>
      <c r="W265" s="4" t="n">
        <v>0</v>
      </c>
      <c r="X265" s="4" t="n">
        <v>0</v>
      </c>
      <c r="Y265" s="4" t="n">
        <v>1</v>
      </c>
      <c r="Z265" s="4" t="n">
        <v>0</v>
      </c>
      <c r="AA265" s="4" t="n">
        <v>0</v>
      </c>
      <c r="AB265" s="4" t="inlineStr">
        <is>
          <t>1900-01-01</t>
        </is>
      </c>
      <c r="AC265" s="4" t="n"/>
      <c r="AD265" s="4" t="n"/>
      <c r="AE265" s="4" t="n"/>
      <c r="AF265" s="4" t="n"/>
      <c r="AG265" s="4" t="n">
        <v>1</v>
      </c>
      <c r="AH265" s="4" t="n">
        <v>1</v>
      </c>
      <c r="AI265" s="4" t="n"/>
      <c r="AJ265" s="4" t="n"/>
      <c r="AK265" s="4" t="n"/>
      <c r="AL265" s="4" t="inlineStr">
        <is>
          <t>fMRI con ROI extraction + deep residual network optimizada; se codifica CNN/DRN como algoritmo principal.</t>
        </is>
      </c>
      <c r="AM265" s="4" t="inlineStr">
        <is>
          <t>RA</t>
        </is>
      </c>
      <c r="AN265" s="4" t="inlineStr">
        <is>
          <t>Tomado completo desde archivo RA según asignación</t>
        </is>
      </c>
      <c r="AO265" s="4" t="n">
        <v>0</v>
      </c>
    </row>
    <row r="266" ht="320" customHeight="1">
      <c r="A266" s="4" t="n">
        <v>265</v>
      </c>
      <c r="B266" s="4" t="n">
        <v>287</v>
      </c>
      <c r="C266" s="4" t="inlineStr">
        <is>
          <t>Revisor A</t>
        </is>
      </c>
      <c r="D266" s="4" t="inlineStr">
        <is>
          <t>RA</t>
        </is>
      </c>
      <c r="E266" s="4" t="n">
        <v>2020</v>
      </c>
      <c r="F266" s="4" t="inlineStr">
        <is>
          <t>No especificado</t>
        </is>
      </c>
      <c r="G266" s="4" t="inlineStr">
        <is>
          <t>Deep Learning</t>
        </is>
      </c>
      <c r="H266" s="4" t="inlineStr">
        <is>
          <t>https://doi.org/10.1038/s41598-020-61288-5</t>
        </is>
      </c>
      <c r="I266" s="4" t="inlineStr">
        <is>
          <t>Forecasting risk gene discovery in autism with machine learning and genome-scale data</t>
        </is>
      </c>
      <c r="J266" s="4" t="inlineStr">
        <is>
          <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t>
        </is>
      </c>
      <c r="K266" s="4" t="inlineStr">
        <is>
          <t>Supervised</t>
        </is>
      </c>
      <c r="L266" s="4" t="inlineStr">
        <is>
          <t>Other / Not clear</t>
        </is>
      </c>
      <c r="M266" s="4" t="inlineStr">
        <is>
          <t>Classification (ASD vs control / multi-class)</t>
        </is>
      </c>
      <c r="N266" s="4" t="inlineStr">
        <is>
          <t>Prescreening</t>
        </is>
      </c>
      <c r="O266" s="4" t="inlineStr">
        <is>
          <t>High</t>
        </is>
      </c>
      <c r="P266" s="4" t="n">
        <v>0</v>
      </c>
      <c r="Q266" s="4" t="n">
        <v>0</v>
      </c>
      <c r="R266" s="4" t="n">
        <v>0</v>
      </c>
      <c r="S266" s="4" t="n">
        <v>0</v>
      </c>
      <c r="T266" s="4" t="n">
        <v>0</v>
      </c>
      <c r="U266" s="4" t="n">
        <v>1</v>
      </c>
      <c r="V266" s="4" t="n">
        <v>0</v>
      </c>
      <c r="W266" s="4" t="n">
        <v>1</v>
      </c>
      <c r="X266" s="4" t="n">
        <v>0</v>
      </c>
      <c r="Y266" s="4" t="n">
        <v>0</v>
      </c>
      <c r="Z266" s="4" t="n">
        <v>0</v>
      </c>
      <c r="AA266" s="4" t="n">
        <v>0</v>
      </c>
      <c r="AB266" s="4" t="inlineStr">
        <is>
          <t>1900-01-01</t>
        </is>
      </c>
      <c r="AC266" s="4" t="n"/>
      <c r="AD266" s="4" t="n"/>
      <c r="AE266" s="4" t="n"/>
      <c r="AF266" s="4" t="n"/>
      <c r="AG266" s="4" t="n">
        <v>1</v>
      </c>
      <c r="AH266" s="4" t="n">
        <v>1</v>
      </c>
      <c r="AI266" s="4" t="n"/>
      <c r="AJ266" s="4" t="n"/>
      <c r="AK266" s="4" t="n"/>
      <c r="AL266" s="4" t="inlineStr">
        <is>
          <t>Algoritmo principal no explícito o fuera del codebook; Confirmar algoritmo principal en full-text</t>
        </is>
      </c>
      <c r="AM266" s="4" t="inlineStr">
        <is>
          <t>RA</t>
        </is>
      </c>
      <c r="AN266" s="4" t="inlineStr">
        <is>
          <t>Tomado completo desde archivo RA según asignación</t>
        </is>
      </c>
      <c r="AO266" s="4" t="n">
        <v>0</v>
      </c>
    </row>
    <row r="267" ht="190" customHeight="1">
      <c r="A267" s="4" t="n">
        <v>266</v>
      </c>
      <c r="B267" s="4" t="n">
        <v>288</v>
      </c>
      <c r="C267" s="4" t="inlineStr">
        <is>
          <t>Revisor A</t>
        </is>
      </c>
      <c r="D267" s="4" t="inlineStr">
        <is>
          <t>RA</t>
        </is>
      </c>
      <c r="E267" s="4" t="n">
        <v>2022</v>
      </c>
      <c r="F267" s="4" t="inlineStr">
        <is>
          <t>Señales fisiológicas</t>
        </is>
      </c>
      <c r="G267" s="4" t="inlineStr">
        <is>
          <t>Machine Learning</t>
        </is>
      </c>
      <c r="H267" s="4" t="inlineStr">
        <is>
          <t>https://doi.org/10.1007/s10803-021-05179-2</t>
        </is>
      </c>
      <c r="I267" s="4" t="inlineStr">
        <is>
          <t>Identifying Autism with Head Movement Features by Implementing Machine Learning Algorithms</t>
        </is>
      </c>
      <c r="J267" s="4" t="inlineStr">
        <is>
          <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t>
        </is>
      </c>
      <c r="K267" s="4" t="inlineStr">
        <is>
          <t>Supervised</t>
        </is>
      </c>
      <c r="L267" s="4" t="inlineStr">
        <is>
          <t>Decision Tree</t>
        </is>
      </c>
      <c r="M267" s="4" t="inlineStr">
        <is>
          <t>Classification (ASD vs control / multi-class)</t>
        </is>
      </c>
      <c r="N267" s="4" t="inlineStr">
        <is>
          <t>Screening</t>
        </is>
      </c>
      <c r="O267" s="4" t="inlineStr">
        <is>
          <t>High</t>
        </is>
      </c>
      <c r="P267" s="4" t="n">
        <v>0</v>
      </c>
      <c r="Q267" s="4" t="n">
        <v>0</v>
      </c>
      <c r="R267" s="4" t="n">
        <v>1</v>
      </c>
      <c r="S267" s="4" t="n">
        <v>0</v>
      </c>
      <c r="T267" s="4" t="n">
        <v>0</v>
      </c>
      <c r="U267" s="4" t="n">
        <v>0</v>
      </c>
      <c r="V267" s="4" t="n">
        <v>0</v>
      </c>
      <c r="W267" s="4" t="n">
        <v>0</v>
      </c>
      <c r="X267" s="4" t="n">
        <v>1</v>
      </c>
      <c r="Y267" s="4" t="n">
        <v>1</v>
      </c>
      <c r="Z267" s="4" t="n">
        <v>0</v>
      </c>
      <c r="AA267" s="4" t="n">
        <v>0</v>
      </c>
      <c r="AB267" s="4" t="inlineStr">
        <is>
          <t>1900-01-01</t>
        </is>
      </c>
      <c r="AC267" s="4" t="n"/>
      <c r="AD267" s="4" t="n"/>
      <c r="AE267" s="4" t="n"/>
      <c r="AF267" s="4" t="n"/>
      <c r="AG267" s="4" t="n">
        <v>1</v>
      </c>
      <c r="AH267" s="4" t="n">
        <v>1</v>
      </c>
      <c r="AI267" s="4" t="n"/>
      <c r="AJ267" s="4" t="n"/>
      <c r="AK267" s="4" t="n"/>
      <c r="AL267" s="4" t="inlineStr">
        <is>
          <t>Algoritmo principal no explícito o fuera del codebook; Confirmar algoritmo principal en full-text</t>
        </is>
      </c>
      <c r="AM267" s="4" t="inlineStr">
        <is>
          <t>RA</t>
        </is>
      </c>
      <c r="AN267" s="4" t="inlineStr">
        <is>
          <t>Tomado completo desde archivo RA según asignación</t>
        </is>
      </c>
      <c r="AO267" s="4" t="n">
        <v>0</v>
      </c>
    </row>
    <row r="268" ht="398" customHeight="1">
      <c r="A268" s="4" t="n">
        <v>267</v>
      </c>
      <c r="B268" s="4" t="n">
        <v>289</v>
      </c>
      <c r="C268" s="4" t="inlineStr">
        <is>
          <t>Revisor A</t>
        </is>
      </c>
      <c r="D268" s="4" t="inlineStr">
        <is>
          <t>RA</t>
        </is>
      </c>
      <c r="E268" s="4" t="n">
        <v>2019</v>
      </c>
      <c r="F268" s="4" t="inlineStr">
        <is>
          <t>No especificado</t>
        </is>
      </c>
      <c r="G268" s="4" t="inlineStr">
        <is>
          <t>Machine Learning</t>
        </is>
      </c>
      <c r="H268" s="4" t="inlineStr">
        <is>
          <t>https://doi.org/10.1016/j.neuro.2018.11.015</t>
        </is>
      </c>
      <c r="I268" s="4" t="inlineStr">
        <is>
          <t>Increased serum levels of macrophage migration inhibitory factor in autism spectrum disorders</t>
        </is>
      </c>
      <c r="J268" s="4" t="inlineStr">
        <is>
          <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t>
        </is>
      </c>
      <c r="K268" s="4" t="inlineStr">
        <is>
          <t>Supervised</t>
        </is>
      </c>
      <c r="L268" s="4" t="inlineStr">
        <is>
          <t>Logistic Regression</t>
        </is>
      </c>
      <c r="M268" s="4" t="inlineStr">
        <is>
          <t>Regression (score / severity / risk)</t>
        </is>
      </c>
      <c r="N268" s="4" t="inlineStr">
        <is>
          <t>Diagnosis</t>
        </is>
      </c>
      <c r="O268" s="4" t="inlineStr">
        <is>
          <t>High</t>
        </is>
      </c>
      <c r="P268" s="4" t="n">
        <v>0</v>
      </c>
      <c r="Q268" s="4" t="n">
        <v>0</v>
      </c>
      <c r="R268" s="4" t="n">
        <v>0</v>
      </c>
      <c r="S268" s="4" t="n">
        <v>0</v>
      </c>
      <c r="T268" s="4" t="n">
        <v>0</v>
      </c>
      <c r="U268" s="4" t="n">
        <v>1</v>
      </c>
      <c r="V268" s="4" t="n">
        <v>0</v>
      </c>
      <c r="W268" s="4" t="n">
        <v>0</v>
      </c>
      <c r="X268" s="4" t="n">
        <v>0</v>
      </c>
      <c r="Y268" s="4" t="n">
        <v>1</v>
      </c>
      <c r="Z268" s="4" t="n">
        <v>0</v>
      </c>
      <c r="AA268" s="4" t="n">
        <v>0</v>
      </c>
      <c r="AB268" s="4" t="inlineStr">
        <is>
          <t>00:00:00</t>
        </is>
      </c>
      <c r="AC268" s="4" t="n"/>
      <c r="AD268" s="4" t="n"/>
      <c r="AE268" s="4" t="n"/>
      <c r="AF268" s="4" t="n"/>
      <c r="AG268" s="4" t="n">
        <v>1</v>
      </c>
      <c r="AH268" s="4" t="n">
        <v>1</v>
      </c>
      <c r="AI268" s="4" t="n"/>
      <c r="AJ268" s="4" t="n"/>
      <c r="AK268" s="4" t="n"/>
      <c r="AL268" s="4" t="inlineStr">
        <is>
          <t>Etapa clínica no clara</t>
        </is>
      </c>
      <c r="AM268" s="4" t="inlineStr">
        <is>
          <t>RA</t>
        </is>
      </c>
      <c r="AN268" s="4" t="inlineStr">
        <is>
          <t>Tomado completo desde archivo RA según asignación</t>
        </is>
      </c>
      <c r="AO268" s="4" t="n">
        <v>0</v>
      </c>
    </row>
    <row r="269" ht="359" customHeight="1">
      <c r="A269" s="4" t="n">
        <v>268</v>
      </c>
      <c r="B269" s="4" t="n">
        <v>290</v>
      </c>
      <c r="C269" s="4" t="inlineStr">
        <is>
          <t>Revisor B</t>
        </is>
      </c>
      <c r="D269" s="4" t="n"/>
      <c r="E269" s="4" t="n">
        <v>2025</v>
      </c>
      <c r="F269" s="4" t="inlineStr">
        <is>
          <t>No especificado</t>
        </is>
      </c>
      <c r="G269" s="4" t="inlineStr">
        <is>
          <t>Deep Learning</t>
        </is>
      </c>
      <c r="H269" s="4" t="inlineStr">
        <is>
          <t>https://doi.org/10.1021/acs.jcim.5c00134</t>
        </is>
      </c>
      <c r="I269" s="4" t="inlineStr">
        <is>
          <t>Machine Learning and Structural Dynamics-Based Approach to Reveal Molecular Mechanism of PTEN Missense Mutations Shared by Cancer and Autism Spectrum Disorder</t>
        </is>
      </c>
      <c r="J269" s="4" t="inlineStr">
        <is>
          <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t>
        </is>
      </c>
      <c r="K269" s="4" t="inlineStr">
        <is>
          <t>Supervised</t>
        </is>
      </c>
      <c r="L269" s="4" t="inlineStr">
        <is>
          <t>Not clear</t>
        </is>
      </c>
      <c r="M269" s="4" t="inlineStr">
        <is>
          <t>Classification (binary/multi-class; incl. ASD vs control)/ multi-class)</t>
        </is>
      </c>
      <c r="N269" s="4" t="n"/>
      <c r="O269" s="4" t="inlineStr">
        <is>
          <t>high</t>
        </is>
      </c>
      <c r="P269" s="4" t="n">
        <v>1</v>
      </c>
      <c r="Q269" s="4" t="n">
        <v>1</v>
      </c>
      <c r="R269" s="4" t="n">
        <v>0</v>
      </c>
      <c r="S269" s="4" t="n">
        <v>0</v>
      </c>
      <c r="T269" s="4" t="n">
        <v>0</v>
      </c>
      <c r="U269" s="4" t="n">
        <v>0</v>
      </c>
      <c r="V269" s="4" t="n">
        <v>0</v>
      </c>
      <c r="W269" s="4" t="n">
        <v>0</v>
      </c>
      <c r="X269" s="4" t="n">
        <v>0</v>
      </c>
      <c r="Y269" s="4" t="n">
        <v>0</v>
      </c>
      <c r="Z269" s="4" t="n">
        <v>0</v>
      </c>
      <c r="AA269" s="4" t="n">
        <v>0</v>
      </c>
      <c r="AB269" s="4" t="inlineStr">
        <is>
          <t>00:00:00</t>
        </is>
      </c>
      <c r="AC269" s="4" t="n">
        <v>0</v>
      </c>
      <c r="AD269" s="4" t="n">
        <v>0</v>
      </c>
      <c r="AE269" s="4" t="n">
        <v>0</v>
      </c>
      <c r="AF269" s="4" t="n">
        <v>0</v>
      </c>
      <c r="AG269" s="4" t="n">
        <v>0</v>
      </c>
      <c r="AH269" s="4" t="n">
        <v>2</v>
      </c>
      <c r="AI269" s="4" t="n">
        <v>0</v>
      </c>
      <c r="AJ269" s="4" t="inlineStr">
        <is>
          <t>00:00:00</t>
        </is>
      </c>
      <c r="AK269" s="4" t="inlineStr">
        <is>
          <t>00:00:00</t>
        </is>
      </c>
      <c r="AL269" s="4" t="n"/>
      <c r="AM269" s="4" t="inlineStr">
        <is>
          <t>RB</t>
        </is>
      </c>
      <c r="AN269" s="4" t="inlineStr">
        <is>
          <t>Tomado completo desde archivo RB según asignación</t>
        </is>
      </c>
      <c r="AO269" s="4" t="n">
        <v>0</v>
      </c>
    </row>
    <row r="270" ht="359" customHeight="1">
      <c r="A270" s="4" t="n">
        <v>269</v>
      </c>
      <c r="B270" s="4" t="n">
        <v>291</v>
      </c>
      <c r="C270" s="4" t="inlineStr">
        <is>
          <t>Revisor B</t>
        </is>
      </c>
      <c r="D270" s="4" t="n"/>
      <c r="E270" s="4" t="n">
        <v>2025</v>
      </c>
      <c r="F270" s="4" t="inlineStr">
        <is>
          <t>Señales fisiológicas</t>
        </is>
      </c>
      <c r="G270" s="4" t="inlineStr">
        <is>
          <t>Deep Learning</t>
        </is>
      </c>
      <c r="H270" s="4" t="inlineStr">
        <is>
          <t>https://doi.org/10.1016/j.brainresbull.2025.111290</t>
        </is>
      </c>
      <c r="I270" s="4" t="inlineStr">
        <is>
          <t>MCDGLN: Masked connection-based dynamic graph learning network for autism spectrum disorder</t>
        </is>
      </c>
      <c r="J270" s="4" t="inlineStr">
        <is>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is>
      </c>
      <c r="K270" s="4" t="inlineStr">
        <is>
          <t>Supervised</t>
        </is>
      </c>
      <c r="L270" s="4" t="inlineStr">
        <is>
          <t>Other</t>
        </is>
      </c>
      <c r="M270" s="4" t="inlineStr">
        <is>
          <t>Classification (binary/multi-class; incl. ASD vs control)/ multi-class)</t>
        </is>
      </c>
      <c r="N270" s="4" t="inlineStr">
        <is>
          <t>Diagnosis</t>
        </is>
      </c>
      <c r="O270" s="4" t="inlineStr">
        <is>
          <t>medium</t>
        </is>
      </c>
      <c r="P270" s="4" t="n">
        <v>0</v>
      </c>
      <c r="Q270" s="4" t="n">
        <v>0</v>
      </c>
      <c r="R270" s="4" t="n">
        <v>0</v>
      </c>
      <c r="S270" s="4" t="n">
        <v>0</v>
      </c>
      <c r="T270" s="4" t="n">
        <v>0</v>
      </c>
      <c r="U270" s="4" t="n">
        <v>0</v>
      </c>
      <c r="V270" s="4" t="n">
        <v>0</v>
      </c>
      <c r="W270" s="4" t="n">
        <v>0</v>
      </c>
      <c r="X270" s="4" t="n">
        <v>0</v>
      </c>
      <c r="Y270" s="4" t="n">
        <v>0</v>
      </c>
      <c r="Z270" s="4" t="n">
        <v>1</v>
      </c>
      <c r="AA270" s="4" t="n">
        <v>0</v>
      </c>
      <c r="AB270" s="4" t="inlineStr">
        <is>
          <t>00:00:00</t>
        </is>
      </c>
      <c r="AC270" s="4" t="n">
        <v>0</v>
      </c>
      <c r="AD270" s="4" t="n">
        <v>0</v>
      </c>
      <c r="AE270" s="4" t="n">
        <v>0</v>
      </c>
      <c r="AF270" s="4" t="n">
        <v>0</v>
      </c>
      <c r="AG270" s="4" t="n">
        <v>1</v>
      </c>
      <c r="AH270" s="4" t="n">
        <v>0</v>
      </c>
      <c r="AI270" s="4" t="n">
        <v>0</v>
      </c>
      <c r="AJ270" s="4" t="inlineStr">
        <is>
          <t>00:00:00</t>
        </is>
      </c>
      <c r="AK270" s="4" t="inlineStr">
        <is>
          <t>00:00:00</t>
        </is>
      </c>
      <c r="AL270" s="4" t="inlineStr">
        <is>
          <t>Modelo explícitamente dinámico + máscara anti-ruido: “segments BOLD signals using sliding temporal windows… and… mask… reducing noise and pruning irrelevant links.” Además reportan dataset ABIDE-I “1035 subjects… 505 with ASD and 530 TD”</t>
        </is>
      </c>
      <c r="AM270" s="4" t="inlineStr">
        <is>
          <t>RB</t>
        </is>
      </c>
      <c r="AN270" s="4" t="inlineStr">
        <is>
          <t>Tomado completo desde archivo RB según asignación</t>
        </is>
      </c>
      <c r="AO270" s="4" t="n">
        <v>0</v>
      </c>
    </row>
    <row r="271" ht="409" customHeight="1">
      <c r="A271" s="4" t="n">
        <v>270</v>
      </c>
      <c r="B271" s="4" t="n">
        <v>292</v>
      </c>
      <c r="C271" s="4" t="inlineStr">
        <is>
          <t>Revisor A</t>
        </is>
      </c>
      <c r="D271" s="4" t="inlineStr">
        <is>
          <t>RA</t>
        </is>
      </c>
      <c r="E271" s="4" t="n">
        <v>2015</v>
      </c>
      <c r="F271" s="4" t="inlineStr">
        <is>
          <t>No especificado</t>
        </is>
      </c>
      <c r="G271" s="4" t="inlineStr">
        <is>
          <t>Híbrido</t>
        </is>
      </c>
      <c r="H271" s="4" t="inlineStr">
        <is>
          <t>https://doi.org/10.1186/1755-8794-8-S1-S7</t>
        </is>
      </c>
      <c r="I271" s="4" t="inlineStr">
        <is>
          <t>Performance of case-control rare copy number variation annotation in classification of autism</t>
        </is>
      </c>
      <c r="J271" s="4" t="inlineStr">
        <is>
          <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t>
        </is>
      </c>
      <c r="K271" s="4" t="inlineStr">
        <is>
          <t>Supervised</t>
        </is>
      </c>
      <c r="L271" s="4" t="inlineStr">
        <is>
          <t>Random Forest</t>
        </is>
      </c>
      <c r="M271" s="4" t="inlineStr">
        <is>
          <t>Classification (ASD vs control / multi-class)</t>
        </is>
      </c>
      <c r="N271" s="4" t="inlineStr">
        <is>
          <t>Diagnosis</t>
        </is>
      </c>
      <c r="O271" s="4" t="inlineStr">
        <is>
          <t>High</t>
        </is>
      </c>
      <c r="P271" s="4" t="n">
        <v>0</v>
      </c>
      <c r="Q271" s="4" t="n">
        <v>0</v>
      </c>
      <c r="R271" s="4" t="n">
        <v>0</v>
      </c>
      <c r="S271" s="4" t="n">
        <v>0</v>
      </c>
      <c r="T271" s="4" t="n">
        <v>0</v>
      </c>
      <c r="U271" s="4" t="n">
        <v>1</v>
      </c>
      <c r="V271" s="4" t="n">
        <v>0</v>
      </c>
      <c r="W271" s="4" t="n">
        <v>0</v>
      </c>
      <c r="X271" s="4" t="n">
        <v>0</v>
      </c>
      <c r="Y271" s="4" t="n">
        <v>1</v>
      </c>
      <c r="Z271" s="4" t="n">
        <v>0</v>
      </c>
      <c r="AA271" s="4" t="n">
        <v>0</v>
      </c>
      <c r="AB271" s="4" t="inlineStr">
        <is>
          <t>00:00:00</t>
        </is>
      </c>
      <c r="AC271" s="4" t="n"/>
      <c r="AD271" s="4" t="n"/>
      <c r="AE271" s="4" t="n"/>
      <c r="AF271" s="4" t="n"/>
      <c r="AG271" s="4" t="n">
        <v>0</v>
      </c>
      <c r="AH271" s="4" t="n">
        <v>1</v>
      </c>
      <c r="AI271" s="4" t="n"/>
      <c r="AJ271" s="4" t="n"/>
      <c r="AK271" s="4" t="n"/>
      <c r="AL271" s="4" t="inlineStr">
        <is>
          <t>Clasificación basada en rare CNV; conditional inference forest rinde mejor.</t>
        </is>
      </c>
      <c r="AM271" s="4" t="inlineStr">
        <is>
          <t>RA</t>
        </is>
      </c>
      <c r="AN271" s="4" t="inlineStr">
        <is>
          <t>Tomado completo desde archivo RA según asignación</t>
        </is>
      </c>
      <c r="AO271" s="4" t="n">
        <v>0</v>
      </c>
    </row>
    <row r="272" ht="320" customHeight="1">
      <c r="A272" s="4" t="n">
        <v>271</v>
      </c>
      <c r="B272" s="4" t="n">
        <v>293</v>
      </c>
      <c r="C272" s="4" t="inlineStr">
        <is>
          <t>Revisor B</t>
        </is>
      </c>
      <c r="D272" s="4" t="n"/>
      <c r="E272" s="4" t="n">
        <v>2018</v>
      </c>
      <c r="F272" s="4" t="inlineStr">
        <is>
          <t>Imagen</t>
        </is>
      </c>
      <c r="G272" s="4" t="inlineStr">
        <is>
          <t>Deep Learning</t>
        </is>
      </c>
      <c r="H272" s="4" t="inlineStr">
        <is>
          <t>https://doi.org/10.1126/SCIROBOTICS.AAO6760</t>
        </is>
      </c>
      <c r="I272" s="4" t="inlineStr">
        <is>
          <t>Personalized machine learning for robot perception of affect and engagement in autism therapy</t>
        </is>
      </c>
      <c r="J272" s="4" t="inlineStr">
        <is>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is>
      </c>
      <c r="K272" s="4" t="inlineStr">
        <is>
          <t>Supervised</t>
        </is>
      </c>
      <c r="L272" s="4" t="inlineStr">
        <is>
          <t>Other</t>
        </is>
      </c>
      <c r="M272" s="4" t="inlineStr">
        <is>
          <t>Regression (score / severity / risk)</t>
        </is>
      </c>
      <c r="N272" s="4" t="inlineStr">
        <is>
          <t>Monitoring/intervention</t>
        </is>
      </c>
      <c r="O272" s="4" t="inlineStr">
        <is>
          <t>high</t>
        </is>
      </c>
      <c r="P272" s="4" t="n">
        <v>1</v>
      </c>
      <c r="Q272" s="4" t="n">
        <v>0</v>
      </c>
      <c r="R272" s="4" t="n">
        <v>0</v>
      </c>
      <c r="S272" s="4" t="n">
        <v>0</v>
      </c>
      <c r="T272" s="4" t="n">
        <v>0</v>
      </c>
      <c r="U272" s="4" t="n">
        <v>1</v>
      </c>
      <c r="V272" s="4" t="n">
        <v>0</v>
      </c>
      <c r="W272" s="4" t="n">
        <v>0</v>
      </c>
      <c r="X272" s="4" t="n">
        <v>0</v>
      </c>
      <c r="Y272" s="4" t="n">
        <v>0</v>
      </c>
      <c r="Z272" s="4" t="n">
        <v>1</v>
      </c>
      <c r="AA272" s="4" t="n">
        <v>0</v>
      </c>
      <c r="AB272" s="4" t="inlineStr">
        <is>
          <t>1900-01-01</t>
        </is>
      </c>
      <c r="AC272" s="4" t="n">
        <v>0</v>
      </c>
      <c r="AD272" s="4" t="n">
        <v>0</v>
      </c>
      <c r="AE272" s="4" t="n">
        <v>0</v>
      </c>
      <c r="AF272" s="4" t="n">
        <v>0</v>
      </c>
      <c r="AG272" s="4" t="n">
        <v>1</v>
      </c>
      <c r="AH272" s="4" t="n">
        <v>2</v>
      </c>
      <c r="AI272" s="4" t="n">
        <v>0</v>
      </c>
      <c r="AJ272" s="4" t="inlineStr">
        <is>
          <t>00:00:00</t>
        </is>
      </c>
      <c r="AK272" s="4" t="inlineStr">
        <is>
          <t>00:00:00</t>
        </is>
      </c>
      <c r="AL272" s="4" t="n"/>
      <c r="AM272" s="4" t="inlineStr">
        <is>
          <t>RB</t>
        </is>
      </c>
      <c r="AN272" s="4" t="inlineStr">
        <is>
          <t>Tomado completo desde archivo RB según asignación</t>
        </is>
      </c>
      <c r="AO272" s="4" t="n">
        <v>0</v>
      </c>
    </row>
    <row r="273" ht="190" customHeight="1">
      <c r="A273" s="4" t="n">
        <v>272</v>
      </c>
      <c r="B273" s="4" t="n">
        <v>295</v>
      </c>
      <c r="C273" s="4" t="inlineStr">
        <is>
          <t>Revisor B</t>
        </is>
      </c>
      <c r="D273" s="4" t="n"/>
      <c r="E273" s="4" t="n">
        <v>2018</v>
      </c>
      <c r="F273" s="4" t="inlineStr">
        <is>
          <t>No especificado</t>
        </is>
      </c>
      <c r="G273" s="4" t="inlineStr">
        <is>
          <t>Machine Learning</t>
        </is>
      </c>
      <c r="H273" s="4" t="inlineStr">
        <is>
          <t>https://doi.org/10.1007/s10803-018-3509-x</t>
        </is>
      </c>
      <c r="I273" s="4" t="inlineStr">
        <is>
          <t>Prediction of Autism at 3 Years from Behavioural and Developmental Measures in High-Risk Infants: A Longitudinal Cross-Domain Classifier Analysis</t>
        </is>
      </c>
      <c r="J273" s="4" t="inlineStr">
        <is>
          <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t>
        </is>
      </c>
      <c r="K273" s="4" t="inlineStr">
        <is>
          <t>Supervised</t>
        </is>
      </c>
      <c r="L273" s="4" t="inlineStr">
        <is>
          <t>SVM</t>
        </is>
      </c>
      <c r="M273" s="4" t="inlineStr">
        <is>
          <t>Classification (binary/multi-class; incl. ASD vs control)/ multi-class)</t>
        </is>
      </c>
      <c r="N273" s="4" t="inlineStr">
        <is>
          <t>Prognosis</t>
        </is>
      </c>
      <c r="O273" s="4" t="inlineStr">
        <is>
          <t>medium</t>
        </is>
      </c>
      <c r="P273" s="4" t="n">
        <v>1</v>
      </c>
      <c r="Q273" s="4" t="n">
        <v>1</v>
      </c>
      <c r="R273" s="4" t="n">
        <v>0</v>
      </c>
      <c r="S273" s="4" t="n">
        <v>0</v>
      </c>
      <c r="T273" s="4" t="n">
        <v>0</v>
      </c>
      <c r="U273" s="4" t="n">
        <v>0</v>
      </c>
      <c r="V273" s="4" t="n">
        <v>0</v>
      </c>
      <c r="W273" s="4" t="n">
        <v>0</v>
      </c>
      <c r="X273" s="4" t="n">
        <v>0</v>
      </c>
      <c r="Y273" s="4" t="n">
        <v>0</v>
      </c>
      <c r="Z273" s="4" t="n">
        <v>0</v>
      </c>
      <c r="AA273" s="4" t="n">
        <v>0</v>
      </c>
      <c r="AB273" s="4" t="inlineStr">
        <is>
          <t>1900-01-01</t>
        </is>
      </c>
      <c r="AC273" s="4" t="n">
        <v>0</v>
      </c>
      <c r="AD273" s="4" t="n">
        <v>0</v>
      </c>
      <c r="AE273" s="4" t="n">
        <v>0</v>
      </c>
      <c r="AF273" s="4" t="n">
        <v>0</v>
      </c>
      <c r="AG273" s="4" t="n">
        <v>0</v>
      </c>
      <c r="AH273" s="4" t="n">
        <v>2</v>
      </c>
      <c r="AI273" s="4" t="n">
        <v>0</v>
      </c>
      <c r="AJ273" s="4" t="inlineStr">
        <is>
          <t>00:00:00</t>
        </is>
      </c>
      <c r="AK273" s="4" t="inlineStr">
        <is>
          <t>00:00:00</t>
        </is>
      </c>
      <c r="AL273" s="4" t="inlineStr">
        <is>
          <t>No es “ASD vs control poblacional”, sino predicción dentro del grupo de alto riesgo: “Low-risk controls were excluded… our main aim… predicting ASD outcome among HR siblings.”</t>
        </is>
      </c>
      <c r="AM273" s="4" t="inlineStr">
        <is>
          <t>RB</t>
        </is>
      </c>
      <c r="AN273" s="4" t="inlineStr">
        <is>
          <t>Tomado completo desde archivo RB según asignación</t>
        </is>
      </c>
      <c r="AO273" s="4" t="n">
        <v>0</v>
      </c>
    </row>
    <row r="274" ht="409" customHeight="1">
      <c r="A274" s="4" t="n">
        <v>273</v>
      </c>
      <c r="B274" s="4" t="n">
        <v>296</v>
      </c>
      <c r="C274" s="4" t="inlineStr">
        <is>
          <t>Revisor B</t>
        </is>
      </c>
      <c r="D274" s="4" t="n"/>
      <c r="E274" s="4" t="n">
        <v>2024</v>
      </c>
      <c r="F274" s="4" t="inlineStr">
        <is>
          <t>Señales fisiológicas</t>
        </is>
      </c>
      <c r="G274" s="4" t="inlineStr">
        <is>
          <t>Deep Learning</t>
        </is>
      </c>
      <c r="H274" s="4" t="inlineStr">
        <is>
          <t>https://doi.org/10.1016/j.heliyon.2024.e34245</t>
        </is>
      </c>
      <c r="I274" s="4" t="inlineStr">
        <is>
          <t>STDCformer: Spatial-temporal dual-path cross-attention model for fMRI-based autism spectrum disorder identification</t>
        </is>
      </c>
      <c r="J274" s="4" t="inlineStr">
        <is>
          <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t>
        </is>
      </c>
      <c r="K274" s="4" t="inlineStr">
        <is>
          <t>Supervised</t>
        </is>
      </c>
      <c r="L274" s="4" t="inlineStr">
        <is>
          <t>Transformer</t>
        </is>
      </c>
      <c r="M274" s="4" t="inlineStr">
        <is>
          <t>Classification (binary/multi-class; incl. ASD vs control)/ multi-class)</t>
        </is>
      </c>
      <c r="N274" s="4" t="inlineStr">
        <is>
          <t>Diagnosis</t>
        </is>
      </c>
      <c r="O274" s="4" t="inlineStr">
        <is>
          <t>high</t>
        </is>
      </c>
      <c r="P274" s="4" t="n">
        <v>0</v>
      </c>
      <c r="Q274" s="4" t="n">
        <v>0</v>
      </c>
      <c r="R274" s="4" t="n">
        <v>0</v>
      </c>
      <c r="S274" s="4" t="n">
        <v>0</v>
      </c>
      <c r="T274" s="4" t="n">
        <v>1</v>
      </c>
      <c r="U274" s="4" t="n">
        <v>0</v>
      </c>
      <c r="V274" s="4" t="n">
        <v>0</v>
      </c>
      <c r="W274" s="4" t="n">
        <v>0</v>
      </c>
      <c r="X274" s="4" t="n">
        <v>0</v>
      </c>
      <c r="Y274" s="4" t="n">
        <v>0</v>
      </c>
      <c r="Z274" s="4" t="n">
        <v>0</v>
      </c>
      <c r="AA274" s="4" t="n">
        <v>1</v>
      </c>
      <c r="AB274" s="4" t="inlineStr">
        <is>
          <t>00:00:00</t>
        </is>
      </c>
      <c r="AC274" s="4" t="n">
        <v>0</v>
      </c>
      <c r="AD274" s="4" t="n">
        <v>0</v>
      </c>
      <c r="AE274" s="4" t="n">
        <v>0</v>
      </c>
      <c r="AF274" s="4" t="n">
        <v>0</v>
      </c>
      <c r="AG274" s="4" t="n">
        <v>1</v>
      </c>
      <c r="AH274" s="4" t="n">
        <v>1</v>
      </c>
      <c r="AI274" s="4" t="n">
        <v>0</v>
      </c>
      <c r="AJ274" s="4" t="inlineStr">
        <is>
          <t>00:00:00</t>
        </is>
      </c>
      <c r="AK274" s="4" t="inlineStr">
        <is>
          <t>00:00:00</t>
        </is>
      </c>
      <c r="AL274" s="4" t="inlineStr">
        <is>
          <t>arquitectura híbrida: embedding temporal con “LSTM” y embedding espacial con “GAT”, integrados con “dual-path cross-attention” y “2D convolution” en el feed-forward.</t>
        </is>
      </c>
      <c r="AM274" s="4" t="inlineStr">
        <is>
          <t>RB</t>
        </is>
      </c>
      <c r="AN274" s="4" t="inlineStr">
        <is>
          <t>Tomado completo desde archivo RB según asignación</t>
        </is>
      </c>
      <c r="AO274" s="4" t="n">
        <v>0</v>
      </c>
    </row>
    <row r="275" ht="409" customHeight="1">
      <c r="A275" s="4" t="n">
        <v>274</v>
      </c>
      <c r="B275" s="4" t="n">
        <v>298</v>
      </c>
      <c r="C275" s="4" t="inlineStr">
        <is>
          <t>Revisor B</t>
        </is>
      </c>
      <c r="D275" s="4" t="n"/>
      <c r="E275" s="4" t="n">
        <v>2021</v>
      </c>
      <c r="F275" s="4" t="inlineStr">
        <is>
          <t>Imagen</t>
        </is>
      </c>
      <c r="G275" s="4" t="inlineStr">
        <is>
          <t>Deep Learning</t>
        </is>
      </c>
      <c r="H275" s="4" t="inlineStr">
        <is>
          <t>https://doi.org/10.1016/j.biopsych.2021.02.931</t>
        </is>
      </c>
      <c r="I275" s="4" t="inlineStr">
        <is>
          <t>Three Distinct Neuroanatomical Subtypes of Autism Spectrum Disorder, Revealed via Machine Learning, and Their Similarities With Schizophrenia Subtypes</t>
        </is>
      </c>
      <c r="J275" s="4" t="inlineStr">
        <is>
          <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t>
        </is>
      </c>
      <c r="K275" s="4" t="inlineStr">
        <is>
          <t>Semi-supervised</t>
        </is>
      </c>
      <c r="L275" s="4" t="inlineStr">
        <is>
          <t>Other</t>
        </is>
      </c>
      <c r="M275" s="4" t="inlineStr">
        <is>
          <t>Clustering / subtyping</t>
        </is>
      </c>
      <c r="N275" s="4" t="n"/>
      <c r="O275" s="4" t="inlineStr">
        <is>
          <t>low</t>
        </is>
      </c>
      <c r="P275" s="4" t="n">
        <v>0</v>
      </c>
      <c r="Q275" s="4" t="n">
        <v>0</v>
      </c>
      <c r="R275" s="4" t="n">
        <v>0</v>
      </c>
      <c r="S275" s="4" t="n">
        <v>0</v>
      </c>
      <c r="T275" s="4" t="n">
        <v>0</v>
      </c>
      <c r="U275" s="4" t="n">
        <v>0</v>
      </c>
      <c r="V275" s="4" t="n">
        <v>0</v>
      </c>
      <c r="W275" s="4" t="n">
        <v>0</v>
      </c>
      <c r="X275" s="4" t="n">
        <v>0</v>
      </c>
      <c r="Y275" s="4" t="n">
        <v>0</v>
      </c>
      <c r="Z275" s="4" t="n">
        <v>0</v>
      </c>
      <c r="AA275" s="4" t="n">
        <v>0</v>
      </c>
      <c r="AB275" s="4" t="inlineStr">
        <is>
          <t>00:00:00</t>
        </is>
      </c>
      <c r="AC275" s="4" t="n">
        <v>0</v>
      </c>
      <c r="AD275" s="4" t="n">
        <v>0</v>
      </c>
      <c r="AE275" s="4" t="n">
        <v>0</v>
      </c>
      <c r="AF275" s="4" t="n">
        <v>0</v>
      </c>
      <c r="AG275" s="4" t="n">
        <v>1</v>
      </c>
      <c r="AH275" s="4" t="n">
        <v>0</v>
      </c>
      <c r="AI275" s="4" t="n">
        <v>0</v>
      </c>
      <c r="AJ275" s="4" t="inlineStr">
        <is>
          <t>00:00:00</t>
        </is>
      </c>
      <c r="AK275" s="4" t="inlineStr">
        <is>
          <t>00:00:00</t>
        </is>
      </c>
      <c r="AL275" s="4" t="n"/>
      <c r="AM275" s="4" t="inlineStr">
        <is>
          <t>RB</t>
        </is>
      </c>
      <c r="AN275" s="4" t="inlineStr">
        <is>
          <t>Tomado completo desde archivo RB según asignación</t>
        </is>
      </c>
      <c r="AO275" s="4" t="n">
        <v>0</v>
      </c>
    </row>
    <row r="276" ht="333" customHeight="1">
      <c r="A276" s="4" t="n">
        <v>275</v>
      </c>
      <c r="B276" s="4" t="n">
        <v>299</v>
      </c>
      <c r="C276" s="4" t="inlineStr">
        <is>
          <t>Revisor B</t>
        </is>
      </c>
      <c r="D276" s="4" t="n"/>
      <c r="E276" s="4" t="n">
        <v>2025</v>
      </c>
      <c r="F276" s="4" t="inlineStr">
        <is>
          <t>Imagen</t>
        </is>
      </c>
      <c r="G276" s="4" t="inlineStr">
        <is>
          <t>Deep Learning</t>
        </is>
      </c>
      <c r="H276" s="4" t="inlineStr">
        <is>
          <t>https://doi.org/10.1111/JNE.70092</t>
        </is>
      </c>
      <c r="I276" s="4" t="inlineStr">
        <is>
          <t>Three-dimensional quantification of oxytocin neurons in the hypothalamic paraventricular nucleus reveals sex- and subregion-specific differences in two genetic mouse models of autism</t>
        </is>
      </c>
      <c r="J276" s="4" t="inlineStr">
        <is>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is>
      </c>
      <c r="K276" s="4" t="n"/>
      <c r="L276" s="4" t="n"/>
      <c r="M276" s="4" t="n"/>
      <c r="N276" s="4" t="n"/>
      <c r="O276" s="4" t="n"/>
      <c r="P276" s="4" t="n"/>
      <c r="Q276" s="4" t="n"/>
      <c r="R276" s="4" t="n"/>
      <c r="S276" s="4" t="n"/>
      <c r="T276" s="4" t="n"/>
      <c r="U276" s="4" t="n"/>
      <c r="V276" s="4" t="n"/>
      <c r="W276" s="4" t="n"/>
      <c r="X276" s="4" t="n"/>
      <c r="Y276" s="4" t="n"/>
      <c r="Z276" s="4" t="n"/>
      <c r="AA276" s="4" t="n"/>
      <c r="AB276" s="4" t="inlineStr">
        <is>
          <t>00:00:00</t>
        </is>
      </c>
      <c r="AC276" s="4" t="n">
        <v>0</v>
      </c>
      <c r="AD276" s="4" t="n">
        <v>0</v>
      </c>
      <c r="AE276" s="4" t="n">
        <v>0</v>
      </c>
      <c r="AF276" s="4" t="n">
        <v>0</v>
      </c>
      <c r="AG276" s="4" t="n"/>
      <c r="AH276" s="4" t="n"/>
      <c r="AI276" s="4" t="n"/>
      <c r="AJ276" s="4" t="inlineStr">
        <is>
          <t>00:00:00</t>
        </is>
      </c>
      <c r="AK276" s="4" t="n"/>
      <c r="AL276" s="4" t="inlineStr">
        <is>
          <t>Sin señal explícita Q3 en título/abstract.</t>
        </is>
      </c>
      <c r="AM276" s="4" t="inlineStr">
        <is>
          <t>RA_fallback</t>
        </is>
      </c>
      <c r="AN276" s="4" t="inlineStr">
        <is>
          <t>Fallback a RA porque el ID no está en RB</t>
        </is>
      </c>
      <c r="AO276" s="4" t="n">
        <v>1</v>
      </c>
    </row>
    <row r="277" ht="151" customHeight="1">
      <c r="A277" s="4" t="n">
        <v>276</v>
      </c>
      <c r="B277" s="4" t="n">
        <v>300</v>
      </c>
      <c r="C277" s="4" t="inlineStr">
        <is>
          <t>Revisor A</t>
        </is>
      </c>
      <c r="D277" s="4" t="inlineStr">
        <is>
          <t>RA</t>
        </is>
      </c>
      <c r="E277" s="4" t="n">
        <v>2024</v>
      </c>
      <c r="F277" s="4" t="inlineStr">
        <is>
          <t>Señales fisiológicas</t>
        </is>
      </c>
      <c r="G277" s="4" t="inlineStr">
        <is>
          <t>No especificado</t>
        </is>
      </c>
      <c r="H277" s="4" t="inlineStr">
        <is>
          <t>https://doi.org/10.1007/978-3-031-62273-1_36</t>
        </is>
      </c>
      <c r="I277" s="4" t="inlineStr">
        <is>
          <t>Application of Speech Signal for Early Screening of Children with Autism Spectrum Disorder</t>
        </is>
      </c>
      <c r="J277" s="4" t="inlineStr">
        <is>
          <t xml:space="preserve">Currently, there is no cure for Autism Spectrum Disorder (ASD), a neurodevelopmental disease. ASD causes problems in social communication and interaction, accompanied by repeating behaviors. Early and effective treatments may lessen the problems over time. Thus, it is essential to screen this problem from an early age. Proposed methods in literature employed physiological and behavioral signals. We propose in this paper the use of speech signal and artificial intelligence to determine ASD in children. Experiments prove that this is a positive way for early discrimination of children with/without ASD.
</t>
        </is>
      </c>
      <c r="K277" s="4" t="inlineStr">
        <is>
          <t>Supervised</t>
        </is>
      </c>
      <c r="L277" s="4" t="inlineStr">
        <is>
          <t>Other / Not clear</t>
        </is>
      </c>
      <c r="M277" s="4" t="inlineStr">
        <is>
          <t>Classification (ASD vs control / multi-class)</t>
        </is>
      </c>
      <c r="N277" s="4" t="inlineStr">
        <is>
          <t>Screening</t>
        </is>
      </c>
      <c r="O277" s="4" t="inlineStr">
        <is>
          <t>Medium</t>
        </is>
      </c>
      <c r="P277" s="4" t="n">
        <v>0</v>
      </c>
      <c r="Q277" s="4" t="n">
        <v>0</v>
      </c>
      <c r="R277" s="4" t="n">
        <v>0</v>
      </c>
      <c r="S277" s="4" t="n">
        <v>1</v>
      </c>
      <c r="T277" s="4" t="n">
        <v>0</v>
      </c>
      <c r="U277" s="4" t="n">
        <v>0</v>
      </c>
      <c r="V277" s="4" t="n">
        <v>0</v>
      </c>
      <c r="W277" s="4" t="n">
        <v>0</v>
      </c>
      <c r="X277" s="4" t="n">
        <v>1</v>
      </c>
      <c r="Y277" s="4" t="n">
        <v>0</v>
      </c>
      <c r="Z277" s="4" t="n">
        <v>0</v>
      </c>
      <c r="AA277" s="4" t="n">
        <v>0</v>
      </c>
      <c r="AB277" s="4" t="inlineStr">
        <is>
          <t>1900-01-01</t>
        </is>
      </c>
      <c r="AC277" s="4" t="n">
        <v>0</v>
      </c>
      <c r="AD277" s="4" t="n">
        <v>0</v>
      </c>
      <c r="AE277" s="4" t="n">
        <v>0</v>
      </c>
      <c r="AF277" s="4" t="n">
        <v>0</v>
      </c>
      <c r="AG277" s="4" t="n">
        <v>1</v>
      </c>
      <c r="AH277" s="4" t="n">
        <v>1</v>
      </c>
      <c r="AI277" s="4" t="n"/>
      <c r="AJ277" s="4" t="n"/>
      <c r="AK277" s="4" t="n"/>
      <c r="AL277" s="4" t="inlineStr">
        <is>
          <t>Sin señal explícita Q3 en título/abstract.</t>
        </is>
      </c>
      <c r="AM277" s="4" t="inlineStr">
        <is>
          <t>RA</t>
        </is>
      </c>
      <c r="AN277" s="4" t="inlineStr">
        <is>
          <t>Tomado completo desde archivo RA según asignación</t>
        </is>
      </c>
      <c r="AO277" s="4" t="n">
        <v>1</v>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AX277"/>
  <sheetViews>
    <sheetView showGridLines="0" workbookViewId="0">
      <selection activeCell="A1" sqref="A1"/>
    </sheetView>
  </sheetViews>
  <sheetFormatPr baseColWidth="8" defaultRowHeight="15"/>
  <cols>
    <col width="20" customWidth="1" min="1" max="1"/>
    <col width="14" customWidth="1" min="2" max="2"/>
    <col width="20" customWidth="1" min="3" max="3"/>
    <col width="20" customWidth="1" min="4" max="4"/>
    <col width="20" customWidth="1" min="5" max="5"/>
    <col width="20" customWidth="1" min="6" max="6"/>
    <col width="20" customWidth="1" min="7" max="7"/>
    <col width="44" customWidth="1" min="8" max="8"/>
    <col width="55" customWidth="1" min="9" max="9"/>
    <col width="65"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65" customWidth="1" min="28" max="28"/>
    <col width="20" customWidth="1" min="29" max="29"/>
    <col width="20" customWidth="1" min="30" max="30"/>
    <col width="20" customWidth="1" min="31" max="31"/>
    <col width="20" customWidth="1" min="32" max="32"/>
    <col width="20" customWidth="1" min="33" max="33"/>
    <col width="20" customWidth="1" min="34" max="34"/>
    <col width="65" customWidth="1" min="35" max="35"/>
    <col width="20" customWidth="1" min="36" max="36"/>
    <col width="20" customWidth="1" min="37" max="37"/>
    <col width="65" customWidth="1" min="38" max="38"/>
    <col width="20" customWidth="1" min="39" max="39"/>
    <col width="65"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8" customWidth="1" min="49" max="49"/>
    <col width="20" customWidth="1" min="50" max="50"/>
  </cols>
  <sheetData>
    <row r="1" ht="52" customHeight="1">
      <c r="A1" s="6" t="inlineStr">
        <is>
          <t>paper_order</t>
        </is>
      </c>
      <c r="B1" s="6" t="inlineStr">
        <is>
          <t>study_id</t>
        </is>
      </c>
      <c r="C1" s="6" t="inlineStr">
        <is>
          <t>assigned_to</t>
        </is>
      </c>
      <c r="D1" s="6" t="inlineStr">
        <is>
          <t>coder</t>
        </is>
      </c>
      <c r="E1" s="6" t="inlineStr">
        <is>
          <t>year</t>
        </is>
      </c>
      <c r="F1" s="6" t="inlineStr">
        <is>
          <t>modalidad</t>
        </is>
      </c>
      <c r="G1" s="6" t="inlineStr">
        <is>
          <t>tipo_IA</t>
        </is>
      </c>
      <c r="H1" s="6" t="inlineStr">
        <is>
          <t>doi</t>
        </is>
      </c>
      <c r="I1" s="6" t="inlineStr">
        <is>
          <t>title</t>
        </is>
      </c>
      <c r="J1" s="6" t="inlineStr">
        <is>
          <t>abstract</t>
        </is>
      </c>
      <c r="K1" s="6" t="inlineStr">
        <is>
          <t>learning_paradigm</t>
        </is>
      </c>
      <c r="L1" s="6" t="inlineStr">
        <is>
          <t>AI_algorithm_main</t>
        </is>
      </c>
      <c r="M1" s="6" t="inlineStr">
        <is>
          <t>AI_task_type</t>
        </is>
      </c>
      <c r="N1" s="6" t="inlineStr">
        <is>
          <t>stage_primary</t>
        </is>
      </c>
      <c r="O1" s="6" t="inlineStr">
        <is>
          <t>confidence</t>
        </is>
      </c>
      <c r="P1" s="6" t="inlineStr">
        <is>
          <t>ds_neuroimaging</t>
        </is>
      </c>
      <c r="Q1" s="6" t="inlineStr">
        <is>
          <t>ds_physiological</t>
        </is>
      </c>
      <c r="R1" s="6" t="inlineStr">
        <is>
          <t>ds_behavioral_video</t>
        </is>
      </c>
      <c r="S1" s="6" t="inlineStr">
        <is>
          <t>ds_voice_audio</t>
        </is>
      </c>
      <c r="T1" s="6" t="inlineStr">
        <is>
          <t>ds_structured_records</t>
        </is>
      </c>
      <c r="U1" s="6" t="inlineStr">
        <is>
          <t>ds_other_biological</t>
        </is>
      </c>
      <c r="V1" s="6" t="inlineStr">
        <is>
          <t>ds_other</t>
        </is>
      </c>
      <c r="W1" s="6" t="inlineStr">
        <is>
          <t>stage_prescreening</t>
        </is>
      </c>
      <c r="X1" s="6" t="inlineStr">
        <is>
          <t>stage_screening</t>
        </is>
      </c>
      <c r="Y1" s="6" t="inlineStr">
        <is>
          <t>stage_diagnosis</t>
        </is>
      </c>
      <c r="Z1" s="6" t="inlineStr">
        <is>
          <t>stage_prognosis</t>
        </is>
      </c>
      <c r="AA1" s="6" t="inlineStr">
        <is>
          <t>stage_monitoring_intervention</t>
        </is>
      </c>
      <c r="AB1" s="6" t="inlineStr">
        <is>
          <t>q2_candidate_abstract</t>
        </is>
      </c>
      <c r="AC1" s="6" t="inlineStr">
        <is>
          <t>q3_external_validation_signal</t>
        </is>
      </c>
      <c r="AD1" s="6" t="inlineStr">
        <is>
          <t>q3_explainability_signal</t>
        </is>
      </c>
      <c r="AE1" s="6" t="inlineStr">
        <is>
          <t>q3_multisite_signal</t>
        </is>
      </c>
      <c r="AF1" s="6" t="inlineStr">
        <is>
          <t>q3_multisource_strategy_signal</t>
        </is>
      </c>
      <c r="AG1" s="6" t="inlineStr">
        <is>
          <t>needs_full_text_check</t>
        </is>
      </c>
      <c r="AH1" s="6" t="inlineStr">
        <is>
          <t>n_data_sources</t>
        </is>
      </c>
      <c r="AI1" s="6" t="inlineStr">
        <is>
          <t>ds_other_notes</t>
        </is>
      </c>
      <c r="AJ1" s="6" t="inlineStr">
        <is>
          <t>q2_candidate_terms</t>
        </is>
      </c>
      <c r="AK1" s="6" t="inlineStr">
        <is>
          <t>q3_candidate_terms</t>
        </is>
      </c>
      <c r="AL1" s="6" t="inlineStr">
        <is>
          <t>notes_coding</t>
        </is>
      </c>
      <c r="AM1" s="6" t="inlineStr">
        <is>
          <t>source_selected</t>
        </is>
      </c>
      <c r="AN1" s="6" t="inlineStr">
        <is>
          <t>source_rule</t>
        </is>
      </c>
      <c r="AO1" s="6" t="inlineStr">
        <is>
          <t>q3_completed_manual_19</t>
        </is>
      </c>
      <c r="AP1" s="6" t="inlineStr">
        <is>
          <t>q3_cross_site_robustness_signal</t>
        </is>
      </c>
      <c r="AQ1" s="6" t="inlineStr">
        <is>
          <t>q3_multisite_dataset_signal</t>
        </is>
      </c>
      <c r="AR1" s="6" t="inlineStr">
        <is>
          <t>q3_internal_validation_signal</t>
        </is>
      </c>
      <c r="AS1" s="6" t="inlineStr">
        <is>
          <t>q3_prospective_evaluation_signal</t>
        </is>
      </c>
      <c r="AT1" s="6" t="inlineStr">
        <is>
          <t>q3_xai_strict_signal</t>
        </is>
      </c>
      <c r="AU1" s="6" t="inlineStr">
        <is>
          <t>q3_xai_partial_signal</t>
        </is>
      </c>
      <c r="AV1" s="6" t="inlineStr">
        <is>
          <t>q3_multisource_data_signal</t>
        </is>
      </c>
      <c r="AW1" s="6" t="inlineStr">
        <is>
          <t>rq3_final_status</t>
        </is>
      </c>
      <c r="AX1" s="6" t="inlineStr">
        <is>
          <t>rq3_zero_interpretation</t>
        </is>
      </c>
    </row>
    <row r="2" ht="409" customHeight="1">
      <c r="A2" s="4" t="n">
        <v>1</v>
      </c>
      <c r="B2" s="4" t="n">
        <v>1</v>
      </c>
      <c r="C2" s="4" t="inlineStr">
        <is>
          <t>Revisor B</t>
        </is>
      </c>
      <c r="D2" s="4" t="n"/>
      <c r="E2" s="4" t="n">
        <v>2025</v>
      </c>
      <c r="F2" s="4" t="inlineStr">
        <is>
          <t>No especificado</t>
        </is>
      </c>
      <c r="G2" s="4" t="inlineStr">
        <is>
          <t>Machine Learning</t>
        </is>
      </c>
      <c r="H2" s="4" t="inlineStr">
        <is>
          <t>https://doi.org/10.1109/ACCESS.2025.3586314</t>
        </is>
      </c>
      <c r="I2" s="4" t="inlineStr">
        <is>
          <t>A Clinically Interpretable Approach for Early Detection of Autism Using Machine Learning With Explainable AI</t>
        </is>
      </c>
      <c r="J2" s="4" t="inlineStr">
        <is>
          <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t>
        </is>
      </c>
      <c r="K2" s="4" t="inlineStr">
        <is>
          <t>Supervised</t>
        </is>
      </c>
      <c r="L2" s="4" t="inlineStr">
        <is>
          <t>Random Forest</t>
        </is>
      </c>
      <c r="M2" s="4" t="inlineStr">
        <is>
          <t>Classification (ASD vs control / multi-class)</t>
        </is>
      </c>
      <c r="N2" s="4" t="inlineStr">
        <is>
          <t>Prescreening</t>
        </is>
      </c>
      <c r="O2" s="4" t="inlineStr">
        <is>
          <t>high</t>
        </is>
      </c>
      <c r="P2" s="4" t="n">
        <v>0</v>
      </c>
      <c r="Q2" s="4" t="n">
        <v>0</v>
      </c>
      <c r="R2" s="4" t="n">
        <v>0</v>
      </c>
      <c r="S2" s="4" t="n">
        <v>0</v>
      </c>
      <c r="T2" s="4" t="n">
        <v>1</v>
      </c>
      <c r="U2" s="4" t="n">
        <v>0</v>
      </c>
      <c r="V2" s="4" t="n">
        <v>0</v>
      </c>
      <c r="W2" s="4" t="n">
        <v>1</v>
      </c>
      <c r="X2" s="4" t="n">
        <v>1</v>
      </c>
      <c r="Y2" s="4" t="n">
        <v>1</v>
      </c>
      <c r="Z2" s="4" t="n">
        <v>1</v>
      </c>
      <c r="AA2" s="4" t="n">
        <v>1</v>
      </c>
      <c r="AB2" s="4" t="inlineStr">
        <is>
          <t>1900-01-01</t>
        </is>
      </c>
      <c r="AC2" s="4" t="n">
        <v>0</v>
      </c>
      <c r="AD2" s="4" t="n">
        <v>1</v>
      </c>
      <c r="AE2" s="4" t="n">
        <v>0</v>
      </c>
      <c r="AF2" s="4" t="n">
        <v>0</v>
      </c>
      <c r="AG2" s="4" t="n">
        <v>1</v>
      </c>
      <c r="AH2" s="4" t="n">
        <v>1</v>
      </c>
      <c r="AI2" s="4" t="n">
        <v>0</v>
      </c>
      <c r="AJ2" s="4" t="inlineStr">
        <is>
          <t>1900-01-01</t>
        </is>
      </c>
      <c r="AK2" s="4" t="inlineStr">
        <is>
          <t>explainability_or_interpretability; internal_validation_only</t>
        </is>
      </c>
      <c r="AL2" s="4" t="inlineStr">
        <is>
          <t>“Comparative ML study: Naive Bayes, SVM, Random Forest; RF best; explainability via SHAP; 5-fold CV.”</t>
        </is>
      </c>
      <c r="AM2" s="4" t="inlineStr">
        <is>
          <t>RB</t>
        </is>
      </c>
      <c r="AN2" s="4" t="inlineStr">
        <is>
          <t>Tomado completo desde archivo RB según asignación</t>
        </is>
      </c>
      <c r="AO2" s="4" t="n">
        <v>0</v>
      </c>
      <c r="AP2" s="4" t="n">
        <v>0</v>
      </c>
      <c r="AQ2" s="4" t="n">
        <v>0</v>
      </c>
      <c r="AR2" s="4" t="n">
        <v>1</v>
      </c>
      <c r="AS2" s="4" t="n">
        <v>0</v>
      </c>
      <c r="AT2" s="4" t="n">
        <v>1</v>
      </c>
      <c r="AU2" s="4" t="n">
        <v>0</v>
      </c>
      <c r="AV2" s="4" t="n">
        <v>0</v>
      </c>
      <c r="AW2" s="4" t="inlineStr">
        <is>
          <t>finalized_from_available_evidence</t>
        </is>
      </c>
      <c r="AX2" s="4" t="inlineStr">
        <is>
          <t>0 means no reported evidence in title/abstract/notes/coding; it is not proof of true absence.</t>
        </is>
      </c>
    </row>
    <row r="3" ht="372" customHeight="1">
      <c r="A3" s="4" t="n">
        <v>2</v>
      </c>
      <c r="B3" s="4" t="n">
        <v>2</v>
      </c>
      <c r="C3" s="4" t="inlineStr">
        <is>
          <t>Revisor A</t>
        </is>
      </c>
      <c r="D3" s="4" t="inlineStr">
        <is>
          <t>RA</t>
        </is>
      </c>
      <c r="E3" s="4" t="n">
        <v>2015</v>
      </c>
      <c r="F3" s="4" t="inlineStr">
        <is>
          <t>No especificado</t>
        </is>
      </c>
      <c r="G3" s="4" t="inlineStr">
        <is>
          <t>Machine Learning</t>
        </is>
      </c>
      <c r="H3" s="4" t="inlineStr">
        <is>
          <t>https://doi.org/10.1038/tp.2015.7</t>
        </is>
      </c>
      <c r="I3" s="4" t="inlineStr">
        <is>
          <t>Searching for a minimal set of behaviors for autism detection through feature selection-based machine learning</t>
        </is>
      </c>
      <c r="J3" s="4" t="inlineStr">
        <is>
          <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t>
        </is>
      </c>
      <c r="K3" s="4" t="inlineStr">
        <is>
          <t>Supervised</t>
        </is>
      </c>
      <c r="L3" s="4" t="inlineStr">
        <is>
          <t>Other / Not clear</t>
        </is>
      </c>
      <c r="M3" s="4" t="inlineStr">
        <is>
          <t>Classification (ASD vs control / multi-class)</t>
        </is>
      </c>
      <c r="N3" s="4" t="inlineStr">
        <is>
          <t>Screening</t>
        </is>
      </c>
      <c r="O3" s="4" t="inlineStr">
        <is>
          <t>Medium</t>
        </is>
      </c>
      <c r="P3" s="4" t="n">
        <v>0</v>
      </c>
      <c r="Q3" s="4" t="n">
        <v>0</v>
      </c>
      <c r="R3" s="4" t="n">
        <v>0</v>
      </c>
      <c r="S3" s="4" t="n">
        <v>0</v>
      </c>
      <c r="T3" s="4" t="n">
        <v>1</v>
      </c>
      <c r="U3" s="4" t="n">
        <v>0</v>
      </c>
      <c r="V3" s="4" t="n">
        <v>0</v>
      </c>
      <c r="W3" s="4" t="n">
        <v>0</v>
      </c>
      <c r="X3" s="4" t="n">
        <v>1</v>
      </c>
      <c r="Y3" s="4" t="n">
        <v>0</v>
      </c>
      <c r="Z3" s="4" t="n">
        <v>0</v>
      </c>
      <c r="AA3" s="4" t="n">
        <v>0</v>
      </c>
      <c r="AB3" s="4" t="inlineStr">
        <is>
          <t>1900-01-01</t>
        </is>
      </c>
      <c r="AC3" s="4" t="n">
        <v>0</v>
      </c>
      <c r="AD3" s="4" t="n">
        <v>1</v>
      </c>
      <c r="AE3" s="4" t="n">
        <v>0</v>
      </c>
      <c r="AF3" s="4" t="n">
        <v>0</v>
      </c>
      <c r="AG3" s="4" t="n">
        <v>1</v>
      </c>
      <c r="AH3" s="4" t="n">
        <v>1</v>
      </c>
      <c r="AI3" s="4" t="n"/>
      <c r="AJ3" s="4" t="n"/>
      <c r="AK3" s="4" t="inlineStr">
        <is>
          <t>explainability_or_interpretability</t>
        </is>
      </c>
      <c r="AL3" s="4" t="inlineStr">
        <is>
          <t>Usa ADOS/ítems conductuales para detección/cribado; algoritmo principal no explícito.</t>
        </is>
      </c>
      <c r="AM3" s="4" t="inlineStr">
        <is>
          <t>RA</t>
        </is>
      </c>
      <c r="AN3" s="4" t="inlineStr">
        <is>
          <t>Tomado completo desde archivo RA según asignación</t>
        </is>
      </c>
      <c r="AO3" s="4" t="n">
        <v>0</v>
      </c>
      <c r="AP3" s="4" t="n">
        <v>0</v>
      </c>
      <c r="AQ3" s="4" t="n">
        <v>0</v>
      </c>
      <c r="AR3" s="4" t="n">
        <v>0</v>
      </c>
      <c r="AS3" s="4" t="n">
        <v>0</v>
      </c>
      <c r="AT3" s="4" t="n">
        <v>0</v>
      </c>
      <c r="AU3" s="4" t="n">
        <v>1</v>
      </c>
      <c r="AV3" s="4" t="n">
        <v>0</v>
      </c>
      <c r="AW3" s="4" t="inlineStr">
        <is>
          <t>finalized_from_available_evidence</t>
        </is>
      </c>
      <c r="AX3" s="4" t="inlineStr">
        <is>
          <t>0 means no reported evidence in title/abstract/notes/coding; it is not proof of true absence.</t>
        </is>
      </c>
    </row>
    <row r="4" ht="409" customHeight="1">
      <c r="A4" s="4" t="n">
        <v>3</v>
      </c>
      <c r="B4" s="4" t="n">
        <v>3</v>
      </c>
      <c r="C4" s="4" t="inlineStr">
        <is>
          <t>Revisor A</t>
        </is>
      </c>
      <c r="D4" s="4" t="inlineStr">
        <is>
          <t>RA</t>
        </is>
      </c>
      <c r="E4" s="4" t="n">
        <v>2023</v>
      </c>
      <c r="F4" s="4" t="inlineStr">
        <is>
          <t>No especificado</t>
        </is>
      </c>
      <c r="G4" s="4" t="inlineStr">
        <is>
          <t>Deep Learning</t>
        </is>
      </c>
      <c r="H4" s="4" t="inlineStr">
        <is>
          <t>https://doi.org/10.1016/j.jprot.2023.104872</t>
        </is>
      </c>
      <c r="I4" s="4" t="inlineStr">
        <is>
          <t>The use of data independent acquisition based proteomic analysis and machine learning to reveal potential biomarkers for autism spectrum disorder</t>
        </is>
      </c>
      <c r="J4" s="4" t="inlineStr">
        <is>
          <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t>
        </is>
      </c>
      <c r="K4" s="4" t="inlineStr">
        <is>
          <t>Supervised</t>
        </is>
      </c>
      <c r="L4" s="4" t="inlineStr">
        <is>
          <t>Other / Not clear</t>
        </is>
      </c>
      <c r="M4" s="4" t="inlineStr">
        <is>
          <t>Classification (ASD vs control / multi-class)</t>
        </is>
      </c>
      <c r="N4" s="4" t="inlineStr">
        <is>
          <t>Diagnosis</t>
        </is>
      </c>
      <c r="O4" s="4" t="inlineStr">
        <is>
          <t>Medium</t>
        </is>
      </c>
      <c r="P4" s="4" t="n">
        <v>0</v>
      </c>
      <c r="Q4" s="4" t="n">
        <v>0</v>
      </c>
      <c r="R4" s="4" t="n">
        <v>0</v>
      </c>
      <c r="S4" s="4" t="n">
        <v>0</v>
      </c>
      <c r="T4" s="4" t="n">
        <v>0</v>
      </c>
      <c r="U4" s="4" t="n">
        <v>1</v>
      </c>
      <c r="V4" s="4" t="n">
        <v>0</v>
      </c>
      <c r="W4" s="4" t="n">
        <v>0</v>
      </c>
      <c r="X4" s="4" t="n">
        <v>0</v>
      </c>
      <c r="Y4" s="4" t="n">
        <v>1</v>
      </c>
      <c r="Z4" s="4" t="n">
        <v>0</v>
      </c>
      <c r="AA4" s="4" t="n">
        <v>0</v>
      </c>
      <c r="AB4" s="4" t="inlineStr">
        <is>
          <t>1900-01-01</t>
        </is>
      </c>
      <c r="AC4" s="4" t="n">
        <v>1</v>
      </c>
      <c r="AD4" s="4" t="n">
        <v>0</v>
      </c>
      <c r="AE4" s="4" t="n">
        <v>0</v>
      </c>
      <c r="AF4" s="4" t="n">
        <v>0</v>
      </c>
      <c r="AG4" s="4" t="n">
        <v>1</v>
      </c>
      <c r="AH4" s="4" t="n">
        <v>1</v>
      </c>
      <c r="AI4" s="4" t="n"/>
      <c r="AJ4" s="4" t="n"/>
      <c r="AK4" s="4" t="inlineStr">
        <is>
          <t>external_validation</t>
        </is>
      </c>
      <c r="AL4" s="4" t="inlineStr">
        <is>
          <t>Biomarcadores proteómicos en plasma para discriminar ASD vs controles; algoritmo ML no especificado.</t>
        </is>
      </c>
      <c r="AM4" s="4" t="inlineStr">
        <is>
          <t>RA</t>
        </is>
      </c>
      <c r="AN4" s="4" t="inlineStr">
        <is>
          <t>Tomado completo desde archivo RA según asignación</t>
        </is>
      </c>
      <c r="AO4" s="4" t="n">
        <v>0</v>
      </c>
      <c r="AP4" s="4" t="n">
        <v>0</v>
      </c>
      <c r="AQ4" s="4" t="n">
        <v>0</v>
      </c>
      <c r="AR4" s="4" t="n">
        <v>0</v>
      </c>
      <c r="AS4" s="4" t="n">
        <v>0</v>
      </c>
      <c r="AT4" s="4" t="n">
        <v>0</v>
      </c>
      <c r="AU4" s="4" t="n">
        <v>0</v>
      </c>
      <c r="AV4" s="4" t="n">
        <v>0</v>
      </c>
      <c r="AW4" s="4" t="inlineStr">
        <is>
          <t>finalized_from_available_evidence</t>
        </is>
      </c>
      <c r="AX4" s="4" t="inlineStr">
        <is>
          <t>0 means no reported evidence in title/abstract/notes/coding; it is not proof of true absence.</t>
        </is>
      </c>
    </row>
    <row r="5" ht="242" customHeight="1">
      <c r="A5" s="4" t="n">
        <v>4</v>
      </c>
      <c r="B5" s="4" t="n">
        <v>4</v>
      </c>
      <c r="C5" s="4" t="inlineStr">
        <is>
          <t>Revisor B</t>
        </is>
      </c>
      <c r="D5" s="4" t="n"/>
      <c r="E5" s="4" t="n">
        <v>2025</v>
      </c>
      <c r="F5" s="4" t="inlineStr">
        <is>
          <t>No especificado</t>
        </is>
      </c>
      <c r="G5" s="4" t="inlineStr">
        <is>
          <t>Deep Learning</t>
        </is>
      </c>
      <c r="H5" s="4" t="inlineStr">
        <is>
          <t>https://doi.org/10.1007/978-981-96-3942-7_18</t>
        </is>
      </c>
      <c r="I5" s="4" t="inlineStr">
        <is>
          <t>Cognitive Disorder Detection Used for Early Autism Screening Using Deep Learning</t>
        </is>
      </c>
      <c r="J5" s="4" t="inlineStr">
        <is>
          <t>The proposed Monotonous Trans cranial Magnetic Stimulation device has been used as an invasive therapy for a variety of neurological and psychiatric conditions, including schizophrenia, Parkinson's disease, and depression, throughout the last ten years. Early detection of cognitive disorders such as dementias and Alzheimer's allows patients to get higher-quality therapy that helps them retrieve the information they need and preserve their memories. The rTMS device modifies the firing pulse of neurons to initiate brain communication by providing a varying magnetic field. This problem arises because Alzheimer's disease tangles and the resulting neuronal death often begin in memory-related areas like the progress to. In clinical and research contexts, cognitive disorders are associated with difficulties; moderate cognitive disorder (MCD) in particular need a high level of diagnostic suspicion in addition to equipment that are sensitive enough to detect it. This study was out to validate the short cognitive test (CATest) for MiCD diagnosis.</t>
        </is>
      </c>
      <c r="K5" s="4" t="inlineStr">
        <is>
          <t>Supervised</t>
        </is>
      </c>
      <c r="L5" s="4" t="inlineStr">
        <is>
          <t>MLP</t>
        </is>
      </c>
      <c r="M5" s="4" t="inlineStr">
        <is>
          <t>Classification (ASD vs control / multi-class)</t>
        </is>
      </c>
      <c r="N5" s="4" t="inlineStr">
        <is>
          <t>Diagnosis</t>
        </is>
      </c>
      <c r="O5" s="4" t="inlineStr">
        <is>
          <t>high</t>
        </is>
      </c>
      <c r="P5" s="4" t="n">
        <v>0</v>
      </c>
      <c r="Q5" s="4" t="n">
        <v>0</v>
      </c>
      <c r="R5" s="4" t="n">
        <v>0</v>
      </c>
      <c r="S5" s="4" t="n">
        <v>0</v>
      </c>
      <c r="T5" s="4" t="n">
        <v>0</v>
      </c>
      <c r="U5" s="4" t="n">
        <v>1</v>
      </c>
      <c r="V5" s="4" t="n">
        <v>0</v>
      </c>
      <c r="W5" s="4" t="n">
        <v>0</v>
      </c>
      <c r="X5" s="4" t="n">
        <v>0</v>
      </c>
      <c r="Y5" s="4" t="n">
        <v>1</v>
      </c>
      <c r="Z5" s="4" t="n">
        <v>0</v>
      </c>
      <c r="AA5" s="4" t="n">
        <v>1</v>
      </c>
      <c r="AB5" s="4" t="inlineStr">
        <is>
          <t>1900-01-01</t>
        </is>
      </c>
      <c r="AC5" s="4" t="n">
        <v>0</v>
      </c>
      <c r="AD5" s="4" t="n">
        <v>0</v>
      </c>
      <c r="AE5" s="4" t="n">
        <v>0</v>
      </c>
      <c r="AF5" s="4" t="n">
        <v>0</v>
      </c>
      <c r="AG5" s="4" t="n">
        <v>1</v>
      </c>
      <c r="AH5" s="4" t="n">
        <v>1</v>
      </c>
      <c r="AI5" s="4" t="n">
        <v>0</v>
      </c>
      <c r="AJ5" s="4" t="inlineStr">
        <is>
          <t>1900-01-01</t>
        </is>
      </c>
      <c r="AK5" s="4" t="inlineStr">
        <is>
          <t>none_reported</t>
        </is>
      </c>
      <c r="AL5" s="4" t="inlineStr">
        <is>
          <t>Classification task; target label not consistently described (cognitive disorder/MiCD vs ‘early autism screening</t>
        </is>
      </c>
      <c r="AM5" s="4" t="inlineStr">
        <is>
          <t>RB</t>
        </is>
      </c>
      <c r="AN5" s="4" t="inlineStr">
        <is>
          <t>Tomado completo desde archivo RB según asignación</t>
        </is>
      </c>
      <c r="AO5" s="4" t="n">
        <v>0</v>
      </c>
      <c r="AP5" s="4" t="n">
        <v>0</v>
      </c>
      <c r="AQ5" s="4" t="n">
        <v>0</v>
      </c>
      <c r="AR5" s="4" t="n">
        <v>0</v>
      </c>
      <c r="AS5" s="4" t="n">
        <v>0</v>
      </c>
      <c r="AT5" s="4" t="n">
        <v>0</v>
      </c>
      <c r="AU5" s="4" t="n">
        <v>0</v>
      </c>
      <c r="AV5" s="4" t="n">
        <v>0</v>
      </c>
      <c r="AW5" s="4" t="inlineStr">
        <is>
          <t>finalized_from_available_evidence</t>
        </is>
      </c>
      <c r="AX5" s="4" t="inlineStr">
        <is>
          <t>0 means no reported evidence in title/abstract/notes/coding; it is not proof of true absence.</t>
        </is>
      </c>
    </row>
    <row r="6" ht="409" customHeight="1">
      <c r="A6" s="4" t="n">
        <v>5</v>
      </c>
      <c r="B6" s="4" t="n">
        <v>5</v>
      </c>
      <c r="C6" s="4" t="inlineStr">
        <is>
          <t>Revisor A</t>
        </is>
      </c>
      <c r="D6" s="4" t="inlineStr">
        <is>
          <t>RA</t>
        </is>
      </c>
      <c r="E6" s="4" t="n">
        <v>2014</v>
      </c>
      <c r="F6" s="4" t="inlineStr">
        <is>
          <t>No especificado</t>
        </is>
      </c>
      <c r="G6" s="4" t="inlineStr">
        <is>
          <t>Machine Learning</t>
        </is>
      </c>
      <c r="H6" s="4" t="inlineStr">
        <is>
          <t>https://doi.org/10.1371/journal.pone.0112445</t>
        </is>
      </c>
      <c r="I6" s="4" t="inlineStr">
        <is>
          <t>Metabolomics as a tool for discovery of biomarkers of autism spectrum disorder in the blood plasma of children</t>
        </is>
      </c>
      <c r="J6" s="4" t="inlineStr">
        <is>
          <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t>
        </is>
      </c>
      <c r="K6" s="4" t="inlineStr">
        <is>
          <t>Supervised</t>
        </is>
      </c>
      <c r="L6" s="4" t="inlineStr">
        <is>
          <t>Other / Not clear</t>
        </is>
      </c>
      <c r="M6" s="4" t="inlineStr">
        <is>
          <t>Classification (ASD vs control / multi-class)</t>
        </is>
      </c>
      <c r="N6" s="4" t="inlineStr">
        <is>
          <t>Diagnosis</t>
        </is>
      </c>
      <c r="O6" s="4" t="inlineStr">
        <is>
          <t>Medium</t>
        </is>
      </c>
      <c r="P6" s="4" t="n">
        <v>0</v>
      </c>
      <c r="Q6" s="4" t="n">
        <v>0</v>
      </c>
      <c r="R6" s="4" t="n">
        <v>0</v>
      </c>
      <c r="S6" s="4" t="n">
        <v>0</v>
      </c>
      <c r="T6" s="4" t="n">
        <v>0</v>
      </c>
      <c r="U6" s="4" t="n">
        <v>1</v>
      </c>
      <c r="V6" s="4" t="n">
        <v>0</v>
      </c>
      <c r="W6" s="4" t="n">
        <v>0</v>
      </c>
      <c r="X6" s="4" t="n">
        <v>0</v>
      </c>
      <c r="Y6" s="4" t="n">
        <v>1</v>
      </c>
      <c r="Z6" s="4" t="n">
        <v>0</v>
      </c>
      <c r="AA6" s="4" t="n">
        <v>0</v>
      </c>
      <c r="AB6" s="4" t="inlineStr">
        <is>
          <t>1900-01-01</t>
        </is>
      </c>
      <c r="AC6" s="4" t="n">
        <v>1</v>
      </c>
      <c r="AD6" s="4" t="n">
        <v>0</v>
      </c>
      <c r="AE6" s="4" t="n">
        <v>0</v>
      </c>
      <c r="AF6" s="4" t="n">
        <v>0</v>
      </c>
      <c r="AG6" s="4" t="n">
        <v>1</v>
      </c>
      <c r="AH6" s="4" t="n">
        <v>1</v>
      </c>
      <c r="AI6" s="4" t="n"/>
      <c r="AJ6" s="4" t="n"/>
      <c r="AK6" s="4" t="inlineStr">
        <is>
          <t>external_validation</t>
        </is>
      </c>
      <c r="AL6" s="4" t="inlineStr">
        <is>
          <t>Metabolómica plasmática para discriminar ASD vs controles; confirmar algoritmo principal en full-text.</t>
        </is>
      </c>
      <c r="AM6" s="4" t="inlineStr">
        <is>
          <t>RA</t>
        </is>
      </c>
      <c r="AN6" s="4" t="inlineStr">
        <is>
          <t>Tomado completo desde archivo RA según asignación</t>
        </is>
      </c>
      <c r="AO6" s="4" t="n">
        <v>0</v>
      </c>
      <c r="AP6" s="4" t="n">
        <v>0</v>
      </c>
      <c r="AQ6" s="4" t="n">
        <v>0</v>
      </c>
      <c r="AR6" s="4" t="n">
        <v>0</v>
      </c>
      <c r="AS6" s="4" t="n">
        <v>0</v>
      </c>
      <c r="AT6" s="4" t="n">
        <v>0</v>
      </c>
      <c r="AU6" s="4" t="n">
        <v>0</v>
      </c>
      <c r="AV6" s="4" t="n">
        <v>0</v>
      </c>
      <c r="AW6" s="4" t="inlineStr">
        <is>
          <t>finalized_from_available_evidence</t>
        </is>
      </c>
      <c r="AX6" s="4" t="inlineStr">
        <is>
          <t>0 means no reported evidence in title/abstract/notes/coding; it is not proof of true absence.</t>
        </is>
      </c>
    </row>
    <row r="7" ht="409" customHeight="1">
      <c r="A7" s="4" t="n">
        <v>6</v>
      </c>
      <c r="B7" s="4" t="n">
        <v>6</v>
      </c>
      <c r="C7" s="4" t="inlineStr">
        <is>
          <t>Revisor B</t>
        </is>
      </c>
      <c r="D7" s="4" t="n"/>
      <c r="E7" s="4" t="n">
        <v>2017</v>
      </c>
      <c r="F7" s="4" t="inlineStr">
        <is>
          <t>Imagen</t>
        </is>
      </c>
      <c r="G7" s="4" t="inlineStr">
        <is>
          <t>Machine Learning</t>
        </is>
      </c>
      <c r="H7" s="4" t="inlineStr">
        <is>
          <t>https://doi.org/10.1186/s13229-017-0180-6</t>
        </is>
      </c>
      <c r="I7" s="4" t="inlineStr">
        <is>
          <t>Sparsifying machine learning models identify stable subsets of predictive features for behavioral detection of autism</t>
        </is>
      </c>
      <c r="J7" s="4" t="inlineStr">
        <is>
          <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t>
        </is>
      </c>
      <c r="K7" s="4" t="inlineStr">
        <is>
          <t>Supervised</t>
        </is>
      </c>
      <c r="L7" s="4" t="inlineStr">
        <is>
          <t>Logistic Regression</t>
        </is>
      </c>
      <c r="M7" s="4" t="inlineStr">
        <is>
          <t>Classification (ASD vs control / multi-class)</t>
        </is>
      </c>
      <c r="N7" s="4" t="inlineStr">
        <is>
          <t>Screening</t>
        </is>
      </c>
      <c r="O7" s="4" t="inlineStr">
        <is>
          <t>high</t>
        </is>
      </c>
      <c r="P7" s="4" t="n">
        <v>0</v>
      </c>
      <c r="Q7" s="4" t="n">
        <v>0</v>
      </c>
      <c r="R7" s="4" t="n">
        <v>0</v>
      </c>
      <c r="S7" s="4" t="n">
        <v>0</v>
      </c>
      <c r="T7" s="4" t="n">
        <v>1</v>
      </c>
      <c r="U7" s="4" t="n">
        <v>0</v>
      </c>
      <c r="V7" s="4" t="n">
        <v>0</v>
      </c>
      <c r="W7" s="4" t="n">
        <v>0</v>
      </c>
      <c r="X7" s="4" t="n">
        <v>1</v>
      </c>
      <c r="Y7" s="4" t="n">
        <v>1</v>
      </c>
      <c r="Z7" s="4" t="n">
        <v>1</v>
      </c>
      <c r="AA7" s="4" t="n">
        <v>1</v>
      </c>
      <c r="AB7" s="4" t="inlineStr">
        <is>
          <t>1900-01-01</t>
        </is>
      </c>
      <c r="AC7" s="4" t="n">
        <v>0</v>
      </c>
      <c r="AD7" s="4" t="n">
        <v>1</v>
      </c>
      <c r="AE7" s="4" t="n">
        <v>0</v>
      </c>
      <c r="AF7" s="4" t="n">
        <v>0</v>
      </c>
      <c r="AG7" s="4" t="n">
        <v>1</v>
      </c>
      <c r="AH7" s="4" t="n">
        <v>1</v>
      </c>
      <c r="AI7" s="4" t="n">
        <v>0</v>
      </c>
      <c r="AJ7" s="4" t="inlineStr">
        <is>
          <t>00:00:00</t>
        </is>
      </c>
      <c r="AK7" s="4" t="inlineStr">
        <is>
          <t>explainability_or_interpretability; internal_validation_only</t>
        </is>
      </c>
      <c r="AL7" s="4" t="inlineStr">
        <is>
          <t>Comparative study (17 supervised models); sparse/regularized; interpretable candidates include Logistic Regression (L2) and Linear SVM (L1).</t>
        </is>
      </c>
      <c r="AM7" s="4" t="inlineStr">
        <is>
          <t>RB</t>
        </is>
      </c>
      <c r="AN7" s="4" t="inlineStr">
        <is>
          <t>Tomado completo desde archivo RB según asignación</t>
        </is>
      </c>
      <c r="AO7" s="4" t="n">
        <v>0</v>
      </c>
      <c r="AP7" s="4" t="n">
        <v>0</v>
      </c>
      <c r="AQ7" s="4" t="n">
        <v>0</v>
      </c>
      <c r="AR7" s="4" t="n">
        <v>1</v>
      </c>
      <c r="AS7" s="4" t="n">
        <v>0</v>
      </c>
      <c r="AT7" s="4" t="n">
        <v>0</v>
      </c>
      <c r="AU7" s="4" t="n">
        <v>1</v>
      </c>
      <c r="AV7" s="4" t="n">
        <v>0</v>
      </c>
      <c r="AW7" s="4" t="inlineStr">
        <is>
          <t>finalized_from_available_evidence</t>
        </is>
      </c>
      <c r="AX7" s="4" t="inlineStr">
        <is>
          <t>0 means no reported evidence in title/abstract/notes/coding; it is not proof of true absence.</t>
        </is>
      </c>
    </row>
    <row r="8" ht="409" customHeight="1">
      <c r="A8" s="4" t="n">
        <v>7</v>
      </c>
      <c r="B8" s="4" t="n">
        <v>7</v>
      </c>
      <c r="C8" s="4" t="inlineStr">
        <is>
          <t>Revisor A</t>
        </is>
      </c>
      <c r="D8" s="4" t="inlineStr">
        <is>
          <t>RA</t>
        </is>
      </c>
      <c r="E8" s="4" t="n">
        <v>2025</v>
      </c>
      <c r="F8" s="4" t="inlineStr">
        <is>
          <t>No especificado</t>
        </is>
      </c>
      <c r="G8" s="4" t="inlineStr">
        <is>
          <t>Deep Learning</t>
        </is>
      </c>
      <c r="H8" s="4" t="inlineStr">
        <is>
          <t>https://doi.org/10.1038/s41598-025-90216-8</t>
        </is>
      </c>
      <c r="I8" s="4" t="inlineStr">
        <is>
          <t>Transformer-based deep learning ensemble framework predicts autism spectrum disorder using health administrative and birth registry data</t>
        </is>
      </c>
      <c r="J8" s="4" t="inlineStr">
        <is>
          <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t>
        </is>
      </c>
      <c r="K8" s="4" t="inlineStr">
        <is>
          <t>Supervised</t>
        </is>
      </c>
      <c r="L8" s="4" t="inlineStr">
        <is>
          <t>Transformer</t>
        </is>
      </c>
      <c r="M8" s="4" t="inlineStr">
        <is>
          <t>Classification (ASD vs control / multi-class)</t>
        </is>
      </c>
      <c r="N8" s="4" t="inlineStr">
        <is>
          <t>Prescreening</t>
        </is>
      </c>
      <c r="O8" s="4" t="inlineStr">
        <is>
          <t>High</t>
        </is>
      </c>
      <c r="P8" s="4" t="n">
        <v>0</v>
      </c>
      <c r="Q8" s="4" t="n">
        <v>0</v>
      </c>
      <c r="R8" s="4" t="n">
        <v>0</v>
      </c>
      <c r="S8" s="4" t="n">
        <v>0</v>
      </c>
      <c r="T8" s="4" t="n">
        <v>1</v>
      </c>
      <c r="U8" s="4" t="n">
        <v>0</v>
      </c>
      <c r="V8" s="4" t="n">
        <v>0</v>
      </c>
      <c r="W8" s="4" t="n">
        <v>1</v>
      </c>
      <c r="X8" s="4" t="n">
        <v>1</v>
      </c>
      <c r="Y8" s="4" t="n">
        <v>0</v>
      </c>
      <c r="Z8" s="4" t="n">
        <v>0</v>
      </c>
      <c r="AA8" s="4" t="n">
        <v>0</v>
      </c>
      <c r="AB8" s="4" t="inlineStr">
        <is>
          <t>1900-01-01</t>
        </is>
      </c>
      <c r="AC8" s="4" t="n">
        <v>0</v>
      </c>
      <c r="AD8" s="4" t="n">
        <v>1</v>
      </c>
      <c r="AE8" s="4" t="n">
        <v>0</v>
      </c>
      <c r="AF8" s="4" t="n">
        <v>0</v>
      </c>
      <c r="AG8" s="4" t="n">
        <v>0</v>
      </c>
      <c r="AH8" s="4" t="n">
        <v>1</v>
      </c>
      <c r="AI8" s="4" t="n"/>
      <c r="AJ8" s="4" t="n"/>
      <c r="AK8" s="4" t="inlineStr">
        <is>
          <t>explainability_or_interpretability</t>
        </is>
      </c>
      <c r="AL8" s="4" t="n"/>
      <c r="AM8" s="4" t="inlineStr">
        <is>
          <t>RA</t>
        </is>
      </c>
      <c r="AN8" s="4" t="inlineStr">
        <is>
          <t>Tomado completo desde archivo RA según asignación</t>
        </is>
      </c>
      <c r="AO8" s="4" t="n">
        <v>0</v>
      </c>
      <c r="AP8" s="4" t="n">
        <v>0</v>
      </c>
      <c r="AQ8" s="4" t="n">
        <v>0</v>
      </c>
      <c r="AR8" s="4" t="n">
        <v>0</v>
      </c>
      <c r="AS8" s="4" t="n">
        <v>0</v>
      </c>
      <c r="AT8" s="4" t="n">
        <v>1</v>
      </c>
      <c r="AU8" s="4" t="n">
        <v>0</v>
      </c>
      <c r="AV8" s="4" t="n">
        <v>0</v>
      </c>
      <c r="AW8" s="4" t="inlineStr">
        <is>
          <t>finalized_from_available_evidence</t>
        </is>
      </c>
      <c r="AX8" s="4" t="inlineStr">
        <is>
          <t>0 means no reported evidence in title/abstract/notes/coding; it is not proof of true absence.</t>
        </is>
      </c>
    </row>
    <row r="9" ht="255" customHeight="1">
      <c r="A9" s="4" t="n">
        <v>8</v>
      </c>
      <c r="B9" s="4" t="n">
        <v>8</v>
      </c>
      <c r="C9" s="4" t="inlineStr">
        <is>
          <t>Revisor B</t>
        </is>
      </c>
      <c r="D9" s="4" t="n"/>
      <c r="E9" s="4" t="n">
        <v>2024</v>
      </c>
      <c r="F9" s="4" t="inlineStr">
        <is>
          <t>Imagen</t>
        </is>
      </c>
      <c r="G9" s="4" t="inlineStr">
        <is>
          <t>Machine Learning</t>
        </is>
      </c>
      <c r="H9" s="4" t="inlineStr">
        <is>
          <t>https://doi.org/10.3390/s24237489</t>
        </is>
      </c>
      <c r="I9" s="4" t="inlineStr">
        <is>
          <t>A Closed-Loop Ear-Worn Wearable EEG System with Real-Time Passive Electrode Skin Impedance Measurement for Early Autism Detection †</t>
        </is>
      </c>
      <c r="J9" s="4" t="inlineStr">
        <is>
          <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t>
        </is>
      </c>
      <c r="K9" s="4" t="inlineStr">
        <is>
          <t>Supervised</t>
        </is>
      </c>
      <c r="L9" s="4" t="inlineStr">
        <is>
          <t>MLP</t>
        </is>
      </c>
      <c r="M9" s="4" t="inlineStr">
        <is>
          <t>Classification (ASD vs control / multi-class)</t>
        </is>
      </c>
      <c r="N9" s="4" t="inlineStr">
        <is>
          <t>diagnosis</t>
        </is>
      </c>
      <c r="O9" s="4" t="inlineStr">
        <is>
          <t>high</t>
        </is>
      </c>
      <c r="P9" s="4" t="n">
        <v>0</v>
      </c>
      <c r="Q9" s="4" t="n">
        <v>0</v>
      </c>
      <c r="R9" s="4" t="n">
        <v>0</v>
      </c>
      <c r="S9" s="4" t="n">
        <v>1</v>
      </c>
      <c r="T9" s="4" t="n">
        <v>1</v>
      </c>
      <c r="U9" s="4" t="n">
        <v>0</v>
      </c>
      <c r="V9" s="4" t="n">
        <v>0</v>
      </c>
      <c r="W9" s="4" t="n">
        <v>0</v>
      </c>
      <c r="X9" s="4" t="n">
        <v>0</v>
      </c>
      <c r="Y9" s="4" t="n">
        <v>1</v>
      </c>
      <c r="Z9" s="4" t="n">
        <v>1</v>
      </c>
      <c r="AA9" s="4" t="n">
        <v>1</v>
      </c>
      <c r="AB9" s="4" t="inlineStr">
        <is>
          <t>1900-01-01</t>
        </is>
      </c>
      <c r="AC9" s="4" t="n">
        <v>0</v>
      </c>
      <c r="AD9" s="4" t="n">
        <v>0</v>
      </c>
      <c r="AE9" s="4" t="n">
        <v>0</v>
      </c>
      <c r="AF9" s="4" t="n">
        <v>1</v>
      </c>
      <c r="AG9" s="4" t="n">
        <v>0</v>
      </c>
      <c r="AH9" s="4" t="n">
        <v>2</v>
      </c>
      <c r="AI9" s="4" t="n">
        <v>0</v>
      </c>
      <c r="AJ9" s="4" t="inlineStr">
        <is>
          <t>00:00:00</t>
        </is>
      </c>
      <c r="AK9" s="4" t="inlineStr">
        <is>
          <t>multisource_integration</t>
        </is>
      </c>
      <c r="AL9" s="4" t="n"/>
      <c r="AM9" s="4" t="inlineStr">
        <is>
          <t>RB</t>
        </is>
      </c>
      <c r="AN9" s="4" t="inlineStr">
        <is>
          <t>Tomado completo desde archivo RB según asignación</t>
        </is>
      </c>
      <c r="AO9" s="4" t="n">
        <v>0</v>
      </c>
      <c r="AP9" s="4" t="n">
        <v>0</v>
      </c>
      <c r="AQ9" s="4" t="n">
        <v>0</v>
      </c>
      <c r="AR9" s="4" t="n">
        <v>0</v>
      </c>
      <c r="AS9" s="4" t="n">
        <v>0</v>
      </c>
      <c r="AT9" s="4" t="n">
        <v>0</v>
      </c>
      <c r="AU9" s="4" t="n">
        <v>0</v>
      </c>
      <c r="AV9" s="4" t="n">
        <v>1</v>
      </c>
      <c r="AW9" s="4" t="inlineStr">
        <is>
          <t>finalized_from_available_evidence</t>
        </is>
      </c>
      <c r="AX9" s="4" t="inlineStr">
        <is>
          <t>0 means no reported evidence in title/abstract/notes/coding; it is not proof of true absence.</t>
        </is>
      </c>
    </row>
    <row r="10" ht="409" customHeight="1">
      <c r="A10" s="4" t="n">
        <v>9</v>
      </c>
      <c r="B10" s="4" t="n">
        <v>9</v>
      </c>
      <c r="C10" s="4" t="inlineStr">
        <is>
          <t>Revisor B</t>
        </is>
      </c>
      <c r="D10" s="4" t="n"/>
      <c r="E10" s="4" t="n">
        <v>2019</v>
      </c>
      <c r="F10" s="4" t="inlineStr">
        <is>
          <t>Audio · Voz</t>
        </is>
      </c>
      <c r="G10" s="4" t="inlineStr">
        <is>
          <t>Híbrido</t>
        </is>
      </c>
      <c r="H10" s="4" t="inlineStr">
        <is>
          <t>https://doi.org/10.1016/j.csl.2018.11.002</t>
        </is>
      </c>
      <c r="I10" s="4" t="inlineStr">
        <is>
          <t>An automated assessment framework for atypical prosody and stereotyped idiosyncratic phrases related to autism spectrum disorder</t>
        </is>
      </c>
      <c r="J10" s="4" t="inlineStr">
        <is>
          <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t>
        </is>
      </c>
      <c r="K10" s="4" t="inlineStr">
        <is>
          <t>Supervised</t>
        </is>
      </c>
      <c r="L10" s="4" t="inlineStr">
        <is>
          <t>CNN</t>
        </is>
      </c>
      <c r="M10" s="4" t="inlineStr">
        <is>
          <t>Classification (ASD vs control / multi-class)</t>
        </is>
      </c>
      <c r="N10" s="4" t="inlineStr">
        <is>
          <t>diagnosis</t>
        </is>
      </c>
      <c r="O10" s="4" t="inlineStr">
        <is>
          <t>high</t>
        </is>
      </c>
      <c r="P10" s="4" t="n">
        <v>0</v>
      </c>
      <c r="Q10" s="4" t="n">
        <v>0</v>
      </c>
      <c r="R10" s="4" t="n">
        <v>0</v>
      </c>
      <c r="S10" s="4" t="n">
        <v>1</v>
      </c>
      <c r="T10" s="4" t="n">
        <v>0</v>
      </c>
      <c r="U10" s="4" t="n">
        <v>0</v>
      </c>
      <c r="V10" s="4" t="n">
        <v>0</v>
      </c>
      <c r="W10" s="4" t="n">
        <v>0</v>
      </c>
      <c r="X10" s="4" t="n">
        <v>0</v>
      </c>
      <c r="Y10" s="4" t="n">
        <v>1</v>
      </c>
      <c r="Z10" s="4" t="n">
        <v>0</v>
      </c>
      <c r="AA10" s="4" t="n">
        <v>0</v>
      </c>
      <c r="AB10" s="4" t="inlineStr">
        <is>
          <t>1900-01-01</t>
        </is>
      </c>
      <c r="AC10" s="4" t="n">
        <v>0</v>
      </c>
      <c r="AD10" s="4" t="n">
        <v>0</v>
      </c>
      <c r="AE10" s="4" t="n">
        <v>0</v>
      </c>
      <c r="AF10" s="4" t="n">
        <v>0</v>
      </c>
      <c r="AG10" s="4" t="n">
        <v>0</v>
      </c>
      <c r="AH10" s="4" t="n">
        <v>1</v>
      </c>
      <c r="AI10" s="4" t="n">
        <v>0</v>
      </c>
      <c r="AJ10" s="4" t="inlineStr">
        <is>
          <t>00:00:00</t>
        </is>
      </c>
      <c r="AK10" s="4" t="inlineStr">
        <is>
          <t>internal_validation_only</t>
        </is>
      </c>
      <c r="AL10" s="4" t="inlineStr">
        <is>
          <t>“End-to-end models: CNN, RNN(BLSTM), CNN+RNN(GRU/LSTM) on spectrograms; baseline OpenSMILE+linear SVM; text task uses linear SVM with n-gram/dep-treebank/TF-IDF/LIWC; score-level fusion.</t>
        </is>
      </c>
      <c r="AM10" s="4" t="inlineStr">
        <is>
          <t>RB</t>
        </is>
      </c>
      <c r="AN10" s="4" t="inlineStr">
        <is>
          <t>Tomado completo desde archivo RB según asignación</t>
        </is>
      </c>
      <c r="AO10" s="4" t="n">
        <v>0</v>
      </c>
      <c r="AP10" s="4" t="n">
        <v>0</v>
      </c>
      <c r="AQ10" s="4" t="n">
        <v>0</v>
      </c>
      <c r="AR10" s="4" t="n">
        <v>1</v>
      </c>
      <c r="AS10" s="4" t="n">
        <v>0</v>
      </c>
      <c r="AT10" s="4" t="n">
        <v>0</v>
      </c>
      <c r="AU10" s="4" t="n">
        <v>0</v>
      </c>
      <c r="AV10" s="4" t="n">
        <v>0</v>
      </c>
      <c r="AW10" s="4" t="inlineStr">
        <is>
          <t>finalized_from_available_evidence</t>
        </is>
      </c>
      <c r="AX10" s="4" t="inlineStr">
        <is>
          <t>0 means no reported evidence in title/abstract/notes/coding; it is not proof of true absence.</t>
        </is>
      </c>
    </row>
    <row r="11" ht="409" customHeight="1">
      <c r="A11" s="4" t="n">
        <v>10</v>
      </c>
      <c r="B11" s="4" t="n">
        <v>10</v>
      </c>
      <c r="C11" s="4" t="inlineStr">
        <is>
          <t>Revisor B</t>
        </is>
      </c>
      <c r="D11" s="4" t="n"/>
      <c r="E11" s="4" t="n">
        <v>2024</v>
      </c>
      <c r="F11" s="4" t="inlineStr">
        <is>
          <t>Texto · NLP</t>
        </is>
      </c>
      <c r="G11" s="4" t="inlineStr">
        <is>
          <t>No especificado</t>
        </is>
      </c>
      <c r="H11" s="4" t="inlineStr">
        <is>
          <t>https://doi.org/10.1109/TAI.2024.3439288</t>
        </is>
      </c>
      <c r="I11" s="4" t="inlineStr">
        <is>
          <t>Artificial Intelligence Driven Predictive Analysis of Acoustic and Linguistic Behaviors for ASD Identification</t>
        </is>
      </c>
      <c r="J11" s="4" t="inlineStr">
        <is>
          <t>Our study addresses a crucial gap in autism research by delving into linguistic challenges in low-resource languages, often overlooked in prior research primarily focused on English. By investigating unique acoustic and linguistic features in Hindi-speaking CwA, our study aligns with established diagnostic tools and highlights a significant ∼9% enhancement in diagnostic accuracy (∼91.3%) for ASD in Hindi-speaking children. Hindi, a non-English language spoken by over 325 million people in India and ranking fifth globally, has been the subject of our pioneering effort, marking the first exploration of ASD speech analysis in this language. This initiative not only represents the first exploration of ASD speech analysis in Hindi but also establishes a precedent for studying linguistic atypicalities in similar resource-constrained languages. The potential impact extends beyond diagnosis, offering promise for enhanced early identification and interventions, ultimately improving outcomes for CwA in low-resource language settings.Show Less
Abstract:
The identification of autism spectrum disorder (ASD) faces challenges due to the lack of reliable biomarkers and the subjectivity in diagnostic procedures, necessitating improved tools for objectivity and efficiency. Being a key characteristic of autism, language impairments are regarded as potential markers for identifying ASD. However, current research predominantly focuses on analyzing language characteristics in English, overlooking linguistic and contextual specificities in other resource-constrained languages. Motivated by these, we developed an artificial intelligence (AI)-based system to detect ASD, utilizing a range of acoustic and linguistic features extracted from dyadic conversations between a child and their communication partner. Validating our model on 76 English-speaking children [35 ASD and 41 typically developing (TD)] and 33 Hindi-speaking children (15 ASD and 18 TD), our extensive analysis of a diverse and comprehensive set of acoustic and linguistic speech attributes, including lexical, syntactic, semantic, and pragmatic elements revealed reliable speech attributes as predictors of ASD. This comprehensive analysis achieved a remarkable macro F1-score of approximately ∼91.30%. We further addressed the influence of linguistic diversity on speech-based ASD assessment by examining speech behaviors in both English and the low-resource language, Hindi. Specific features such as adverbs and distinct roots contributed significantly to ASD classification in English, while the proportion of unintelligible utterances and adposition use held greater importance in Hindi. This study underscores the reliability of speech-based biomarkers in ASD assessment, emphasizing their effectiveness across diverse linguistic backgrounds and highlighting the need for language-specific research in this domain.</t>
        </is>
      </c>
      <c r="K11" s="4" t="inlineStr">
        <is>
          <t>Unsupervised</t>
        </is>
      </c>
      <c r="L11" s="4" t="inlineStr">
        <is>
          <t>Not clear</t>
        </is>
      </c>
      <c r="M11" s="4" t="inlineStr">
        <is>
          <t>Classification (binary/multi-class; incl. ASD vs control)/ multi-class)</t>
        </is>
      </c>
      <c r="N11" s="4" t="inlineStr">
        <is>
          <t>diagnosis</t>
        </is>
      </c>
      <c r="O11" s="4" t="inlineStr">
        <is>
          <t>high</t>
        </is>
      </c>
      <c r="P11" s="4" t="n">
        <v>0</v>
      </c>
      <c r="Q11" s="4" t="n">
        <v>0</v>
      </c>
      <c r="R11" s="4" t="n">
        <v>1</v>
      </c>
      <c r="S11" s="4" t="n">
        <v>0</v>
      </c>
      <c r="T11" s="4" t="n">
        <v>1</v>
      </c>
      <c r="U11" s="4" t="n">
        <v>0</v>
      </c>
      <c r="V11" s="4" t="n">
        <v>0</v>
      </c>
      <c r="W11" s="4" t="n">
        <v>0</v>
      </c>
      <c r="X11" s="4" t="n">
        <v>0</v>
      </c>
      <c r="Y11" s="4" t="n">
        <v>1</v>
      </c>
      <c r="Z11" s="4" t="n">
        <v>0</v>
      </c>
      <c r="AA11" s="4" t="n">
        <v>1</v>
      </c>
      <c r="AB11" s="4" t="inlineStr">
        <is>
          <t>1900-01-01</t>
        </is>
      </c>
      <c r="AC11" s="4" t="n">
        <v>0</v>
      </c>
      <c r="AD11" s="4" t="n">
        <v>0</v>
      </c>
      <c r="AE11" s="4" t="n">
        <v>0</v>
      </c>
      <c r="AF11" s="4" t="n">
        <v>1</v>
      </c>
      <c r="AG11" s="4" t="n">
        <v>0</v>
      </c>
      <c r="AH11" s="4" t="n">
        <v>2</v>
      </c>
      <c r="AI11" s="4" t="n">
        <v>0</v>
      </c>
      <c r="AJ11" s="4" t="inlineStr">
        <is>
          <t>1900-01-01</t>
        </is>
      </c>
      <c r="AK11" s="4" t="inlineStr">
        <is>
          <t>multisource_integration</t>
        </is>
      </c>
      <c r="AL11" s="4" t="n"/>
      <c r="AM11" s="4" t="inlineStr">
        <is>
          <t>RB</t>
        </is>
      </c>
      <c r="AN11" s="4" t="inlineStr">
        <is>
          <t>Tomado completo desde archivo RB según asignación</t>
        </is>
      </c>
      <c r="AO11" s="4" t="n">
        <v>0</v>
      </c>
      <c r="AP11" s="4" t="n">
        <v>0</v>
      </c>
      <c r="AQ11" s="4" t="n">
        <v>0</v>
      </c>
      <c r="AR11" s="4" t="n">
        <v>0</v>
      </c>
      <c r="AS11" s="4" t="n">
        <v>0</v>
      </c>
      <c r="AT11" s="4" t="n">
        <v>0</v>
      </c>
      <c r="AU11" s="4" t="n">
        <v>0</v>
      </c>
      <c r="AV11" s="4" t="n">
        <v>1</v>
      </c>
      <c r="AW11" s="4" t="inlineStr">
        <is>
          <t>finalized_from_available_evidence</t>
        </is>
      </c>
      <c r="AX11" s="4" t="inlineStr">
        <is>
          <t>0 means no reported evidence in title/abstract/notes/coding; it is not proof of true absence.</t>
        </is>
      </c>
    </row>
    <row r="12" ht="409" customHeight="1">
      <c r="A12" s="4" t="n">
        <v>11</v>
      </c>
      <c r="B12" s="4" t="n">
        <v>11</v>
      </c>
      <c r="C12" s="4" t="inlineStr">
        <is>
          <t>Revisor B</t>
        </is>
      </c>
      <c r="D12" s="4" t="n"/>
      <c r="E12" s="4" t="n">
        <v>2025</v>
      </c>
      <c r="F12" s="4" t="inlineStr">
        <is>
          <t>Imagen</t>
        </is>
      </c>
      <c r="G12" s="4" t="inlineStr">
        <is>
          <t>Deep Learning</t>
        </is>
      </c>
      <c r="H12" s="4" t="inlineStr">
        <is>
          <t>https://doi.org/10.2196/72115</t>
        </is>
      </c>
      <c r="I12" s="4" t="inlineStr">
        <is>
          <t>Data Mining-Based Model for Computer-Aided Diagnosis of Autism and Gelotophobia: Mixed Methods Deep Learning Approach.</t>
        </is>
      </c>
      <c r="J12" s="4"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K12" s="4" t="inlineStr">
        <is>
          <t>Supervised</t>
        </is>
      </c>
      <c r="L12" s="4" t="inlineStr">
        <is>
          <t>MLP</t>
        </is>
      </c>
      <c r="M12" s="4" t="inlineStr">
        <is>
          <t>Classification (ASD vs control / multi-class)</t>
        </is>
      </c>
      <c r="N12" s="4" t="inlineStr">
        <is>
          <t>diagnosis</t>
        </is>
      </c>
      <c r="O12" s="4" t="inlineStr">
        <is>
          <t>high</t>
        </is>
      </c>
      <c r="P12" s="4" t="n">
        <v>0</v>
      </c>
      <c r="Q12" s="4" t="n">
        <v>1</v>
      </c>
      <c r="R12" s="4" t="n">
        <v>1</v>
      </c>
      <c r="S12" s="4" t="n">
        <v>0</v>
      </c>
      <c r="T12" s="4" t="n">
        <v>1</v>
      </c>
      <c r="U12" s="4" t="n">
        <v>0</v>
      </c>
      <c r="V12" s="4" t="n">
        <v>0</v>
      </c>
      <c r="W12" s="4" t="n">
        <v>0</v>
      </c>
      <c r="X12" s="4" t="n">
        <v>0</v>
      </c>
      <c r="Y12" s="4" t="n">
        <v>1</v>
      </c>
      <c r="Z12" s="4" t="n">
        <v>0</v>
      </c>
      <c r="AA12" s="4" t="n">
        <v>1</v>
      </c>
      <c r="AB12" s="4" t="inlineStr">
        <is>
          <t>1900-01-01</t>
        </is>
      </c>
      <c r="AC12" s="4" t="n">
        <v>0</v>
      </c>
      <c r="AD12" s="4" t="n">
        <v>0</v>
      </c>
      <c r="AE12" s="4" t="n">
        <v>0</v>
      </c>
      <c r="AF12" s="4" t="n">
        <v>1</v>
      </c>
      <c r="AG12" s="4" t="n">
        <v>0</v>
      </c>
      <c r="AH12" s="4" t="n">
        <v>3</v>
      </c>
      <c r="AI12" s="4" t="n">
        <v>0</v>
      </c>
      <c r="AJ12" s="4" t="inlineStr">
        <is>
          <t>1900-01-01</t>
        </is>
      </c>
      <c r="AK12" s="4" t="inlineStr">
        <is>
          <t>multisource_integration</t>
        </is>
      </c>
      <c r="AL12" s="4" t="inlineStr">
        <is>
          <t>ASD status classification from facial images using DeepFace feature extraction; multiple ML models evaluated; MLP reported as highest test accuracy; gelotophobia assessed via DeepFace emotion analysis + GELOPH&lt;15&gt; questionnaire as confirmatory when facial cues ambiguous</t>
        </is>
      </c>
      <c r="AM12" s="4" t="inlineStr">
        <is>
          <t>RB</t>
        </is>
      </c>
      <c r="AN12" s="4" t="inlineStr">
        <is>
          <t>Tomado completo desde archivo RB según asignación</t>
        </is>
      </c>
      <c r="AO12" s="4" t="n">
        <v>0</v>
      </c>
      <c r="AP12" s="4" t="n">
        <v>0</v>
      </c>
      <c r="AQ12" s="4" t="n">
        <v>0</v>
      </c>
      <c r="AR12" s="4" t="n">
        <v>0</v>
      </c>
      <c r="AS12" s="4" t="n">
        <v>0</v>
      </c>
      <c r="AT12" s="4" t="n">
        <v>0</v>
      </c>
      <c r="AU12" s="4" t="n">
        <v>0</v>
      </c>
      <c r="AV12" s="4" t="n">
        <v>1</v>
      </c>
      <c r="AW12" s="4" t="inlineStr">
        <is>
          <t>finalized_from_available_evidence</t>
        </is>
      </c>
      <c r="AX12" s="4" t="inlineStr">
        <is>
          <t>0 means no reported evidence in title/abstract/notes/coding; it is not proof of true absence.</t>
        </is>
      </c>
    </row>
    <row r="13" ht="409" customHeight="1">
      <c r="A13" s="4" t="n">
        <v>12</v>
      </c>
      <c r="B13" s="4" t="n">
        <v>12</v>
      </c>
      <c r="C13" s="4" t="inlineStr">
        <is>
          <t>Revisor B</t>
        </is>
      </c>
      <c r="D13" s="4" t="n"/>
      <c r="E13" s="4" t="n">
        <v>2019</v>
      </c>
      <c r="F13" s="4" t="inlineStr">
        <is>
          <t>Multimodal</t>
        </is>
      </c>
      <c r="G13" s="4" t="inlineStr">
        <is>
          <t>No especificado</t>
        </is>
      </c>
      <c r="H13" s="4" t="inlineStr">
        <is>
          <t>https://doi.org/10.1001/jamapediatrics.2019.0285</t>
        </is>
      </c>
      <c r="I13" s="4" t="inlineStr">
        <is>
          <t>Effect of Wearable Digital Intervention for Improving Socialization in Children with Autism Spectrum Disorder: A Randomized Clinical Trial</t>
        </is>
      </c>
      <c r="J13" s="4" t="inlineStr">
        <is>
          <t>Importance: Autism behavioral therapy is effective but expensive and difficult to access. While mobile technology-based therapy can alleviate wait-lists and scale for increasing demand, few clinical trials exist to support its use for autism spectrum disorder (ASD) care. Objective: To evaluate the efficacy of Superpower Glass, an artificial intelligence-driven wearable behavioral intervention for improving social outcomes of children with ASD. Design, Setting, and Participants: A randomized clinical trial in which participants received the Superpower Glass intervention plus standard of care applied behavioral analysis therapy and control participants received only applied behavioral analysis therapy. Assessments were completed at the Stanford University Medical School, and enrolled participants used the Superpower Glass intervention in their homes. Children aged 6 to 12 years with a formal ASD diagnosis who were currently receiving applied behavioral analysis therapy were included. Families were recruited between June 2016 and December 2017. The first participant was enrolled on November 1, 2016, and the last appointment was completed on April 11, 2018. Data analysis was conducted between April and October 2018. Interventions: The Superpower Glass intervention, deployed via Google Glass (worn by the child) and a smartphone app, promotes facial engagement and emotion recognition by detecting facial expressions and providing reinforcing social cues. Families were asked to conduct 20-minute sessions at home 4 times per week for 6 weeks. Main Outcomes and Measures: Four socialization measures were assessed using an intention-to-treat analysis with a Bonferroni test correction. Results: Overall, 71 children (63 boys [89%]; mean [SD] age, 8.38 [2.46] years) diagnosed with ASD were enrolled (40 [56.3%] were randomized to treatment, and 31 (43.7%) were randomized to control). Children receiving the intervention showed significant improvements on the Vineland Adaptive Behaviors Scale socialization subscale compared with treatment as usual controls (mean [SD] treatment impact, 4.58 [1.62]; P =.005). Positive mean treatment effects were also found for the other 3 primary measures but not to a significance threshold of P =.0125. Conclusions and Relevance: The observed 4.58-point average gain on the Vineland Adaptive Behaviors Scale socialization subscale is comparable with gains observed with standard of care therapy. To our knowledge, this is the first randomized clinical trial to demonstrate efficacy of a wearable digital intervention to improve social behavior of children with ASD. The intervention reinforces facial engagement and emotion recognition, suggesting either or both could be a mechanism of action driving the observed improvement. This study underscores the potential of digital home therapy to augment the standard of care. Trial Registration: ClinicalTrials.gov identifier: NCT03569176.</t>
        </is>
      </c>
      <c r="K13" s="4" t="inlineStr">
        <is>
          <t>Supervised</t>
        </is>
      </c>
      <c r="L13" s="4" t="inlineStr">
        <is>
          <t>Not clear</t>
        </is>
      </c>
      <c r="M13" s="4" t="inlineStr">
        <is>
          <t>Other</t>
        </is>
      </c>
      <c r="N13" s="4" t="inlineStr">
        <is>
          <t>monitoring_intervention</t>
        </is>
      </c>
      <c r="O13" s="4" t="inlineStr">
        <is>
          <t>high</t>
        </is>
      </c>
      <c r="P13" s="4" t="n">
        <v>0</v>
      </c>
      <c r="Q13" s="4" t="n">
        <v>0</v>
      </c>
      <c r="R13" s="4" t="n">
        <v>0</v>
      </c>
      <c r="S13" s="4" t="n">
        <v>0</v>
      </c>
      <c r="T13" s="4" t="n">
        <v>0</v>
      </c>
      <c r="U13" s="4" t="n">
        <v>0</v>
      </c>
      <c r="V13" s="4" t="n">
        <v>0</v>
      </c>
      <c r="W13" s="4" t="n">
        <v>0</v>
      </c>
      <c r="X13" s="4" t="n">
        <v>0</v>
      </c>
      <c r="Y13" s="4" t="n">
        <v>0</v>
      </c>
      <c r="Z13" s="4" t="n">
        <v>0</v>
      </c>
      <c r="AA13" s="4" t="n">
        <v>1</v>
      </c>
      <c r="AB13" s="4" t="inlineStr">
        <is>
          <t>1900-01-01</t>
        </is>
      </c>
      <c r="AC13" s="4" t="n">
        <v>0</v>
      </c>
      <c r="AD13" s="4" t="n">
        <v>0</v>
      </c>
      <c r="AE13" s="4" t="n">
        <v>0</v>
      </c>
      <c r="AF13" s="4" t="n">
        <v>1</v>
      </c>
      <c r="AG13" s="4" t="n">
        <v>1</v>
      </c>
      <c r="AH13" s="4" t="n">
        <v>0</v>
      </c>
      <c r="AI13" s="4" t="n">
        <v>0</v>
      </c>
      <c r="AJ13" s="4" t="inlineStr">
        <is>
          <t>1900-01-01</t>
        </is>
      </c>
      <c r="AK13" s="4" t="inlineStr">
        <is>
          <t>multisource_integration</t>
        </is>
      </c>
      <c r="AL13" s="4" t="inlineStr">
        <is>
          <t>Wearable AI-driven behavioral intervention (‘Superpower Glass’) that detects facial expressions and provides cues for emotion recognition during home sessions; clinical RCT; AI model family not specified in paper text.</t>
        </is>
      </c>
      <c r="AM13" s="4" t="inlineStr">
        <is>
          <t>RB</t>
        </is>
      </c>
      <c r="AN13" s="4" t="inlineStr">
        <is>
          <t>Tomado completo desde archivo RB según asignación</t>
        </is>
      </c>
      <c r="AO13" s="4" t="n">
        <v>0</v>
      </c>
      <c r="AP13" s="4" t="n">
        <v>0</v>
      </c>
      <c r="AQ13" s="4" t="n">
        <v>0</v>
      </c>
      <c r="AR13" s="4" t="n">
        <v>0</v>
      </c>
      <c r="AS13" s="4" t="n">
        <v>0</v>
      </c>
      <c r="AT13" s="4" t="n">
        <v>0</v>
      </c>
      <c r="AU13" s="4" t="n">
        <v>0</v>
      </c>
      <c r="AV13" s="4" t="n">
        <v>1</v>
      </c>
      <c r="AW13" s="4" t="inlineStr">
        <is>
          <t>finalized_from_available_evidence</t>
        </is>
      </c>
      <c r="AX13" s="4" t="inlineStr">
        <is>
          <t>0 means no reported evidence in title/abstract/notes/coding; it is not proof of true absence.</t>
        </is>
      </c>
    </row>
    <row r="14" ht="409" customHeight="1">
      <c r="A14" s="4" t="n">
        <v>13</v>
      </c>
      <c r="B14" s="4" t="n">
        <v>13</v>
      </c>
      <c r="C14" s="4" t="inlineStr">
        <is>
          <t>Revisor A</t>
        </is>
      </c>
      <c r="D14" s="4" t="inlineStr">
        <is>
          <t>RA</t>
        </is>
      </c>
      <c r="E14" s="4" t="n">
        <v>2023</v>
      </c>
      <c r="F14" s="4" t="inlineStr">
        <is>
          <t>No especificado</t>
        </is>
      </c>
      <c r="G14" s="4" t="inlineStr">
        <is>
          <t>Deep Learning</t>
        </is>
      </c>
      <c r="H14" s="4" t="inlineStr">
        <is>
          <t>https://doi.org/10.1155/2023/6330002</t>
        </is>
      </c>
      <c r="I14" s="4" t="inlineStr">
        <is>
          <t>Feature Signature Discovery for Autism Detection: An Automated Machine Learning Based Feature Ranking Framework</t>
        </is>
      </c>
      <c r="J14" s="4" t="inlineStr">
        <is>
          <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t>
        </is>
      </c>
      <c r="K14" s="4" t="inlineStr">
        <is>
          <t>Supervised</t>
        </is>
      </c>
      <c r="L14" s="4" t="inlineStr">
        <is>
          <t>Other / Not clear</t>
        </is>
      </c>
      <c r="M14" s="4" t="inlineStr">
        <is>
          <t>Classification (ASD vs control / multi-class)</t>
        </is>
      </c>
      <c r="N14" s="4" t="inlineStr">
        <is>
          <t>Screening</t>
        </is>
      </c>
      <c r="O14" s="4" t="inlineStr">
        <is>
          <t>Medium</t>
        </is>
      </c>
      <c r="P14" s="4" t="n">
        <v>0</v>
      </c>
      <c r="Q14" s="4" t="n">
        <v>0</v>
      </c>
      <c r="R14" s="4" t="n">
        <v>0</v>
      </c>
      <c r="S14" s="4" t="n">
        <v>0</v>
      </c>
      <c r="T14" s="4" t="n">
        <v>1</v>
      </c>
      <c r="U14" s="4" t="n">
        <v>0</v>
      </c>
      <c r="V14" s="4" t="n">
        <v>0</v>
      </c>
      <c r="W14" s="4" t="n">
        <v>0</v>
      </c>
      <c r="X14" s="4" t="n">
        <v>1</v>
      </c>
      <c r="Y14" s="4" t="n">
        <v>0</v>
      </c>
      <c r="Z14" s="4" t="n">
        <v>0</v>
      </c>
      <c r="AA14" s="4" t="n">
        <v>0</v>
      </c>
      <c r="AB14" s="4" t="inlineStr">
        <is>
          <t>1900-01-01</t>
        </is>
      </c>
      <c r="AC14" s="4" t="n">
        <v>0</v>
      </c>
      <c r="AD14" s="4" t="n">
        <v>1</v>
      </c>
      <c r="AE14" s="4" t="n">
        <v>0</v>
      </c>
      <c r="AF14" s="4" t="n">
        <v>0</v>
      </c>
      <c r="AG14" s="4" t="n">
        <v>1</v>
      </c>
      <c r="AH14" s="4" t="n">
        <v>1</v>
      </c>
      <c r="AI14" s="4" t="n"/>
      <c r="AJ14" s="4" t="n"/>
      <c r="AK14" s="4" t="inlineStr">
        <is>
          <t>explainability_or_interpretability</t>
        </is>
      </c>
      <c r="AL14" s="4" t="inlineStr">
        <is>
          <t>Usa puntajes Q-CHAT; framework AutoML/feature ranking no mapea a un algoritmo único.</t>
        </is>
      </c>
      <c r="AM14" s="4" t="inlineStr">
        <is>
          <t>RA</t>
        </is>
      </c>
      <c r="AN14" s="4" t="inlineStr">
        <is>
          <t>Tomado completo desde archivo RA según asignación</t>
        </is>
      </c>
      <c r="AO14" s="4" t="n">
        <v>0</v>
      </c>
      <c r="AP14" s="4" t="n">
        <v>0</v>
      </c>
      <c r="AQ14" s="4" t="n">
        <v>0</v>
      </c>
      <c r="AR14" s="4" t="n">
        <v>0</v>
      </c>
      <c r="AS14" s="4" t="n">
        <v>0</v>
      </c>
      <c r="AT14" s="4" t="n">
        <v>0</v>
      </c>
      <c r="AU14" s="4" t="n">
        <v>1</v>
      </c>
      <c r="AV14" s="4" t="n">
        <v>0</v>
      </c>
      <c r="AW14" s="4" t="inlineStr">
        <is>
          <t>finalized_from_available_evidence</t>
        </is>
      </c>
      <c r="AX14" s="4" t="inlineStr">
        <is>
          <t>0 means no reported evidence in title/abstract/notes/coding; it is not proof of true absence.</t>
        </is>
      </c>
    </row>
    <row r="15" ht="320" customHeight="1">
      <c r="A15" s="4" t="n">
        <v>14</v>
      </c>
      <c r="B15" s="4" t="n">
        <v>14</v>
      </c>
      <c r="C15" s="4" t="inlineStr">
        <is>
          <t>Revisor A</t>
        </is>
      </c>
      <c r="D15" s="4" t="inlineStr">
        <is>
          <t>RA</t>
        </is>
      </c>
      <c r="E15" s="4" t="n">
        <v>2017</v>
      </c>
      <c r="F15" s="4" t="inlineStr">
        <is>
          <t>Texto · NLP</t>
        </is>
      </c>
      <c r="G15" s="4" t="inlineStr">
        <is>
          <t>Deep Learning</t>
        </is>
      </c>
      <c r="H15" s="4" t="inlineStr">
        <is>
          <t>https://doi.org/10.1126/scitranslmed.aag2882</t>
        </is>
      </c>
      <c r="I15" s="4" t="inlineStr">
        <is>
          <t>Functional neuroimaging of high-risk 6-month-old infants predicts a diagnosis of autism at 24 months of age</t>
        </is>
      </c>
      <c r="J15" s="4" t="inlineStr">
        <is>
          <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t>
        </is>
      </c>
      <c r="K15" s="4" t="inlineStr">
        <is>
          <t>Supervised</t>
        </is>
      </c>
      <c r="L15" s="4" t="inlineStr">
        <is>
          <t>Other / Not clear</t>
        </is>
      </c>
      <c r="M15" s="4" t="inlineStr">
        <is>
          <t>Prediction (time-to-event / prognosis)</t>
        </is>
      </c>
      <c r="N15" s="4" t="inlineStr">
        <is>
          <t>Prognosis</t>
        </is>
      </c>
      <c r="O15" s="4" t="inlineStr">
        <is>
          <t>Medium</t>
        </is>
      </c>
      <c r="P15" s="4" t="n">
        <v>1</v>
      </c>
      <c r="Q15" s="4" t="n">
        <v>0</v>
      </c>
      <c r="R15" s="4" t="n">
        <v>0</v>
      </c>
      <c r="S15" s="4" t="n">
        <v>0</v>
      </c>
      <c r="T15" s="4" t="n">
        <v>0</v>
      </c>
      <c r="U15" s="4" t="n">
        <v>0</v>
      </c>
      <c r="V15" s="4" t="n">
        <v>0</v>
      </c>
      <c r="W15" s="4" t="n">
        <v>0</v>
      </c>
      <c r="X15" s="4" t="n">
        <v>0</v>
      </c>
      <c r="Y15" s="4" t="n">
        <v>0</v>
      </c>
      <c r="Z15" s="4" t="n">
        <v>1</v>
      </c>
      <c r="AA15" s="4" t="n">
        <v>0</v>
      </c>
      <c r="AB15" s="4" t="inlineStr">
        <is>
          <t>1900-01-01</t>
        </is>
      </c>
      <c r="AC15" s="4" t="n">
        <v>0</v>
      </c>
      <c r="AD15" s="4" t="n">
        <v>0</v>
      </c>
      <c r="AE15" s="4" t="n">
        <v>0</v>
      </c>
      <c r="AF15" s="4" t="n">
        <v>0</v>
      </c>
      <c r="AG15" s="4" t="n">
        <v>1</v>
      </c>
      <c r="AH15" s="4" t="n">
        <v>1</v>
      </c>
      <c r="AI15" s="4" t="n"/>
      <c r="AJ15" s="4" t="n"/>
      <c r="AK15" s="4" t="inlineStr">
        <is>
          <t>prospective_evaluation</t>
        </is>
      </c>
      <c r="AL15" s="4" t="inlineStr">
        <is>
          <t>Algoritmo principal no explícito o fuera del codebook; Confirmar algoritmo principal en full-text</t>
        </is>
      </c>
      <c r="AM15" s="4" t="inlineStr">
        <is>
          <t>RA</t>
        </is>
      </c>
      <c r="AN15" s="4" t="inlineStr">
        <is>
          <t>Tomado completo desde archivo RA según asignación</t>
        </is>
      </c>
      <c r="AO15" s="4" t="n">
        <v>0</v>
      </c>
      <c r="AP15" s="4" t="n">
        <v>0</v>
      </c>
      <c r="AQ15" s="4" t="n">
        <v>0</v>
      </c>
      <c r="AR15" s="4" t="n">
        <v>0</v>
      </c>
      <c r="AS15" s="4" t="n">
        <v>1</v>
      </c>
      <c r="AT15" s="4" t="n">
        <v>0</v>
      </c>
      <c r="AU15" s="4" t="n">
        <v>0</v>
      </c>
      <c r="AV15" s="4" t="n">
        <v>0</v>
      </c>
      <c r="AW15" s="4" t="inlineStr">
        <is>
          <t>finalized_from_available_evidence</t>
        </is>
      </c>
      <c r="AX15" s="4" t="inlineStr">
        <is>
          <t>0 means no reported evidence in title/abstract/notes/coding; it is not proof of true absence.</t>
        </is>
      </c>
    </row>
    <row r="16" ht="320" customHeight="1">
      <c r="A16" s="4" t="n">
        <v>15</v>
      </c>
      <c r="B16" s="4" t="n">
        <v>15</v>
      </c>
      <c r="C16" s="4" t="inlineStr">
        <is>
          <t>Revisor B</t>
        </is>
      </c>
      <c r="D16" s="4" t="n"/>
      <c r="E16" s="4" t="n">
        <v>2025</v>
      </c>
      <c r="F16" s="4" t="inlineStr">
        <is>
          <t>Imagen</t>
        </is>
      </c>
      <c r="G16" s="4" t="inlineStr">
        <is>
          <t>Híbrido</t>
        </is>
      </c>
      <c r="H16" s="4" t="inlineStr">
        <is>
          <t>https://doi.org/10.1016/j.mex.2025.103278</t>
        </is>
      </c>
      <c r="I16" s="4" t="inlineStr">
        <is>
          <t>Hybrid CNN and random forest model with late fusion for detection of autism spectrum disorder in Toddlers</t>
        </is>
      </c>
      <c r="J16" s="4" t="inlineStr">
        <is>
          <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t>
        </is>
      </c>
      <c r="K16" s="4" t="inlineStr">
        <is>
          <t>Supervised</t>
        </is>
      </c>
      <c r="L16" s="4" t="inlineStr">
        <is>
          <t>Not clear</t>
        </is>
      </c>
      <c r="M16" s="4" t="inlineStr">
        <is>
          <t>Classification (binary/multi-class; incl. ASD vs control)/ multi-class)</t>
        </is>
      </c>
      <c r="N16" s="4" t="inlineStr">
        <is>
          <t>screening</t>
        </is>
      </c>
      <c r="O16" s="4" t="inlineStr">
        <is>
          <t>medium</t>
        </is>
      </c>
      <c r="P16" s="4" t="n">
        <v>0</v>
      </c>
      <c r="Q16" s="4" t="n">
        <v>0</v>
      </c>
      <c r="R16" s="4" t="n">
        <v>0</v>
      </c>
      <c r="S16" s="4" t="n">
        <v>0</v>
      </c>
      <c r="T16" s="4" t="n">
        <v>0</v>
      </c>
      <c r="U16" s="4" t="n">
        <v>0</v>
      </c>
      <c r="V16" s="4" t="n">
        <v>0</v>
      </c>
      <c r="W16" s="4" t="n">
        <v>0</v>
      </c>
      <c r="X16" s="4" t="n">
        <v>1</v>
      </c>
      <c r="Y16" s="4" t="n">
        <v>1</v>
      </c>
      <c r="Z16" s="4" t="n">
        <v>0</v>
      </c>
      <c r="AA16" s="4" t="n">
        <v>1</v>
      </c>
      <c r="AB16" s="4" t="inlineStr">
        <is>
          <t>1900-01-01</t>
        </is>
      </c>
      <c r="AC16" s="4" t="n">
        <v>0</v>
      </c>
      <c r="AD16" s="4" t="n">
        <v>0</v>
      </c>
      <c r="AE16" s="4" t="n">
        <v>0</v>
      </c>
      <c r="AF16" s="4" t="n">
        <v>0</v>
      </c>
      <c r="AG16" s="4" t="n">
        <v>1</v>
      </c>
      <c r="AH16" s="4" t="n">
        <v>0</v>
      </c>
      <c r="AI16" s="4" t="n">
        <v>0</v>
      </c>
      <c r="AJ16" s="4" t="inlineStr">
        <is>
          <t>00:00:00</t>
        </is>
      </c>
      <c r="AK16" s="4" t="inlineStr">
        <is>
          <t>none_reported</t>
        </is>
      </c>
      <c r="AL16" s="4" t="inlineStr">
        <is>
          <t>Hybrid late-fusion: VGG16 (CNN feature extractor) + Random Forest classifier; compares vs VGG16/EfficientNet/AlexNet and conventional ML</t>
        </is>
      </c>
      <c r="AM16" s="4" t="inlineStr">
        <is>
          <t>RB</t>
        </is>
      </c>
      <c r="AN16" s="4" t="inlineStr">
        <is>
          <t>Tomado completo desde archivo RB según asignación</t>
        </is>
      </c>
      <c r="AO16" s="4" t="n">
        <v>0</v>
      </c>
      <c r="AP16" s="4" t="n">
        <v>0</v>
      </c>
      <c r="AQ16" s="4" t="n">
        <v>0</v>
      </c>
      <c r="AR16" s="4" t="n">
        <v>0</v>
      </c>
      <c r="AS16" s="4" t="n">
        <v>0</v>
      </c>
      <c r="AT16" s="4" t="n">
        <v>0</v>
      </c>
      <c r="AU16" s="4" t="n">
        <v>0</v>
      </c>
      <c r="AV16" s="4" t="n">
        <v>0</v>
      </c>
      <c r="AW16" s="4" t="inlineStr">
        <is>
          <t>finalized_from_available_evidence</t>
        </is>
      </c>
      <c r="AX16" s="4" t="inlineStr">
        <is>
          <t>0 means no reported evidence in title/abstract/notes/coding; it is not proof of true absence.</t>
        </is>
      </c>
    </row>
    <row r="17" ht="307" customHeight="1">
      <c r="A17" s="4" t="n">
        <v>16</v>
      </c>
      <c r="B17" s="4" t="n">
        <v>16</v>
      </c>
      <c r="C17" s="4" t="inlineStr">
        <is>
          <t>Revisor B</t>
        </is>
      </c>
      <c r="D17" s="4" t="n"/>
      <c r="E17" s="4" t="n">
        <v>2025</v>
      </c>
      <c r="F17" s="4" t="inlineStr">
        <is>
          <t>No especificado</t>
        </is>
      </c>
      <c r="G17" s="4" t="inlineStr">
        <is>
          <t>Machine Learning</t>
        </is>
      </c>
      <c r="H17" s="4" t="inlineStr">
        <is>
          <t>https://doi.org/10.1007/978-3-031-81083-1_7</t>
        </is>
      </c>
      <c r="I17" s="4" t="inlineStr">
        <is>
          <t>Machine Learning Approaches for the Early Diagnosis of Autism Spectrum Disorder: A Systematic Framework</t>
        </is>
      </c>
      <c r="J17" s="4" t="inlineStr">
        <is>
          <t>This study uses machine learning to address the urgent need for early detection and intervention in autism spectrum disorder (ASD). Autism Spectrum Disorder (ASD), a disorder of neural development affecting cognition and social interaction, necessitates customized interventions. Our research uses various screening assessments in early infancy as datasets to train for neural network algorithms, with the objective of identifying patterns associated with ASD. The suggested methodology utilizes predictive machine learning techniques to assess the ASD spectrum, accounting for its diverse pitches. Utilizing sophisticated screening instruments and an innovative methodology, we seek to establish a dependable system for the early detection of ASD. Ethical considerations, data privacy, and algorithmic openness are essential. The studies seek to foster collaboration among experts in neurodevelopment, psychological science, and data science to build precise tools for earlier identification of ASD. The use of machine learning, an effective tool, enhances the knowledge of healthcare workers. The research results underscore technology's capacity to transform initial measures, leading to enhanced outcomes for those on the autistic spectrum. It provides this assistance to enhance the dialogue at the gathering, thereby promoting interaction at the nexus of healthcare and digital technology.</t>
        </is>
      </c>
      <c r="K17" s="4" t="n"/>
      <c r="L17" s="4" t="n"/>
      <c r="M17" s="4" t="inlineStr">
        <is>
          <t>Not clear</t>
        </is>
      </c>
      <c r="N17" s="4" t="inlineStr">
        <is>
          <t>screening</t>
        </is>
      </c>
      <c r="O17" s="4" t="inlineStr">
        <is>
          <t>high</t>
        </is>
      </c>
      <c r="P17" s="4" t="n">
        <v>0</v>
      </c>
      <c r="Q17" s="4" t="n">
        <v>0</v>
      </c>
      <c r="R17" s="4" t="n">
        <v>1</v>
      </c>
      <c r="S17" s="4" t="n">
        <v>0</v>
      </c>
      <c r="T17" s="4" t="n">
        <v>0</v>
      </c>
      <c r="U17" s="4" t="n">
        <v>0</v>
      </c>
      <c r="V17" s="4" t="n">
        <v>0</v>
      </c>
      <c r="W17" s="4" t="n">
        <v>0</v>
      </c>
      <c r="X17" s="4" t="n">
        <v>1</v>
      </c>
      <c r="Y17" s="4" t="n">
        <v>1</v>
      </c>
      <c r="Z17" s="4" t="n">
        <v>0</v>
      </c>
      <c r="AA17" s="4" t="n">
        <v>0</v>
      </c>
      <c r="AB17" s="4" t="inlineStr">
        <is>
          <t>1900-01-01</t>
        </is>
      </c>
      <c r="AC17" s="4" t="n">
        <v>0</v>
      </c>
      <c r="AD17" s="4" t="n">
        <v>0</v>
      </c>
      <c r="AE17" s="4" t="n">
        <v>0</v>
      </c>
      <c r="AF17" s="4" t="n">
        <v>0</v>
      </c>
      <c r="AG17" s="4" t="n">
        <v>0</v>
      </c>
      <c r="AH17" s="4" t="n">
        <v>1</v>
      </c>
      <c r="AI17" s="4" t="n">
        <v>0</v>
      </c>
      <c r="AJ17" s="4" t="inlineStr">
        <is>
          <t>1900-01-01</t>
        </is>
      </c>
      <c r="AK17" s="4" t="inlineStr">
        <is>
          <t>none_reported</t>
        </is>
      </c>
      <c r="AL17" s="4" t="n"/>
      <c r="AM17" s="4" t="inlineStr">
        <is>
          <t>RB</t>
        </is>
      </c>
      <c r="AN17" s="4" t="inlineStr">
        <is>
          <t>Tomado completo desde archivo RB según asignación</t>
        </is>
      </c>
      <c r="AO17" s="4" t="n">
        <v>0</v>
      </c>
      <c r="AP17" s="4" t="n">
        <v>0</v>
      </c>
      <c r="AQ17" s="4" t="n">
        <v>0</v>
      </c>
      <c r="AR17" s="4" t="n">
        <v>0</v>
      </c>
      <c r="AS17" s="4" t="n">
        <v>0</v>
      </c>
      <c r="AT17" s="4" t="n">
        <v>0</v>
      </c>
      <c r="AU17" s="4" t="n">
        <v>0</v>
      </c>
      <c r="AV17" s="4" t="n">
        <v>0</v>
      </c>
      <c r="AW17" s="4" t="inlineStr">
        <is>
          <t>finalized_from_available_evidence</t>
        </is>
      </c>
      <c r="AX17" s="4" t="inlineStr">
        <is>
          <t>0 means no reported evidence in title/abstract/notes/coding; it is not proof of true absence.</t>
        </is>
      </c>
    </row>
    <row r="18" ht="409" customHeight="1">
      <c r="A18" s="4" t="n">
        <v>17</v>
      </c>
      <c r="B18" s="4" t="n">
        <v>17</v>
      </c>
      <c r="C18" s="4" t="inlineStr">
        <is>
          <t>Revisor B</t>
        </is>
      </c>
      <c r="D18" s="4" t="n"/>
      <c r="E18" s="4" t="n">
        <v>2024</v>
      </c>
      <c r="F18" s="4" t="inlineStr">
        <is>
          <t>Imagen</t>
        </is>
      </c>
      <c r="G18" s="4" t="inlineStr">
        <is>
          <t>Machine Learning</t>
        </is>
      </c>
      <c r="H18" s="4" t="inlineStr">
        <is>
          <t>https://doi.org/10.1038/s41398-024-02802-5</t>
        </is>
      </c>
      <c r="I18" s="4" t="inlineStr">
        <is>
          <t>Machine learning classification of autism spectrum disorder based on reciprocity in naturalistic social interactions</t>
        </is>
      </c>
      <c r="J18" s="4" t="inlineStr">
        <is>
          <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t>
        </is>
      </c>
      <c r="K18" s="4" t="inlineStr">
        <is>
          <t>Supervised</t>
        </is>
      </c>
      <c r="L18" s="4" t="inlineStr">
        <is>
          <t>SVM</t>
        </is>
      </c>
      <c r="M18" s="4" t="inlineStr">
        <is>
          <t>Classification (ASD vs control / multi-class)</t>
        </is>
      </c>
      <c r="N18" s="4" t="inlineStr">
        <is>
          <t>diagnosis</t>
        </is>
      </c>
      <c r="O18" s="4" t="inlineStr">
        <is>
          <t>high</t>
        </is>
      </c>
      <c r="P18" s="4" t="n">
        <v>1</v>
      </c>
      <c r="Q18" s="4" t="n">
        <v>0</v>
      </c>
      <c r="R18" s="4" t="n">
        <v>0</v>
      </c>
      <c r="S18" s="4" t="n">
        <v>0</v>
      </c>
      <c r="T18" s="4" t="n">
        <v>0</v>
      </c>
      <c r="U18" s="4" t="n">
        <v>0</v>
      </c>
      <c r="V18" s="4" t="n">
        <v>0</v>
      </c>
      <c r="W18" s="4" t="n">
        <v>0</v>
      </c>
      <c r="X18" s="4" t="n">
        <v>0</v>
      </c>
      <c r="Y18" s="4" t="n">
        <v>1</v>
      </c>
      <c r="Z18" s="4" t="n">
        <v>0</v>
      </c>
      <c r="AA18" s="4" t="n">
        <v>0</v>
      </c>
      <c r="AB18" s="4" t="inlineStr">
        <is>
          <t>1900-01-01</t>
        </is>
      </c>
      <c r="AC18" s="4" t="n">
        <v>0</v>
      </c>
      <c r="AD18" s="4" t="n">
        <v>0</v>
      </c>
      <c r="AE18" s="4" t="n">
        <v>0</v>
      </c>
      <c r="AF18" s="4" t="n">
        <v>0</v>
      </c>
      <c r="AG18" s="4" t="n">
        <v>0</v>
      </c>
      <c r="AH18" s="4" t="n">
        <v>1</v>
      </c>
      <c r="AI18" s="4" t="n">
        <v>0</v>
      </c>
      <c r="AJ18" s="4" t="inlineStr">
        <is>
          <t>00:00:00</t>
        </is>
      </c>
      <c r="AK18" s="4" t="inlineStr">
        <is>
          <t>none_reported</t>
        </is>
      </c>
      <c r="AL18" s="4" t="inlineStr">
        <is>
          <t>Naturalistic social interaction videos; open-source computer vision used for objective annotation (movement/facial expression synchrony); features fed into SVM model to classify autistic vs non-autistic interaction dyads; supplementary exploratory RF mentioned</t>
        </is>
      </c>
      <c r="AM18" s="4" t="inlineStr">
        <is>
          <t>RB</t>
        </is>
      </c>
      <c r="AN18" s="4" t="inlineStr">
        <is>
          <t>Tomado completo desde archivo RB según asignación</t>
        </is>
      </c>
      <c r="AO18" s="4" t="n">
        <v>0</v>
      </c>
      <c r="AP18" s="4" t="n">
        <v>0</v>
      </c>
      <c r="AQ18" s="4" t="n">
        <v>0</v>
      </c>
      <c r="AR18" s="4" t="n">
        <v>0</v>
      </c>
      <c r="AS18" s="4" t="n">
        <v>0</v>
      </c>
      <c r="AT18" s="4" t="n">
        <v>0</v>
      </c>
      <c r="AU18" s="4" t="n">
        <v>0</v>
      </c>
      <c r="AV18" s="4" t="n">
        <v>0</v>
      </c>
      <c r="AW18" s="4" t="inlineStr">
        <is>
          <t>finalized_from_available_evidence</t>
        </is>
      </c>
      <c r="AX18" s="4" t="inlineStr">
        <is>
          <t>0 means no reported evidence in title/abstract/notes/coding; it is not proof of true absence.</t>
        </is>
      </c>
    </row>
    <row r="19" ht="307" customHeight="1">
      <c r="A19" s="4" t="n">
        <v>18</v>
      </c>
      <c r="B19" s="4" t="n">
        <v>18</v>
      </c>
      <c r="C19" s="4" t="inlineStr">
        <is>
          <t>Revisor A</t>
        </is>
      </c>
      <c r="D19" s="4" t="inlineStr">
        <is>
          <t>RA</t>
        </is>
      </c>
      <c r="E19" s="4" t="n">
        <v>2014</v>
      </c>
      <c r="F19" s="4" t="inlineStr">
        <is>
          <t>Multimodal</t>
        </is>
      </c>
      <c r="G19" s="4" t="inlineStr">
        <is>
          <t>Deep Learning</t>
        </is>
      </c>
      <c r="H19" s="4" t="inlineStr">
        <is>
          <t>https://doi.org/10.1371/journal.pone.0090405</t>
        </is>
      </c>
      <c r="I19" s="4" t="inlineStr">
        <is>
          <t>Multiparametric MRI characterization and prediction in autism spectrum disorder using graph theory and machine learning</t>
        </is>
      </c>
      <c r="J19" s="4" t="inlineStr">
        <is>
          <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t>
        </is>
      </c>
      <c r="K19" s="4" t="inlineStr">
        <is>
          <t>Supervised</t>
        </is>
      </c>
      <c r="L19" s="4" t="inlineStr">
        <is>
          <t>Other / Not clear</t>
        </is>
      </c>
      <c r="M19" s="4" t="inlineStr">
        <is>
          <t>Classification (ASD vs control / multi-class)</t>
        </is>
      </c>
      <c r="N19" s="4" t="inlineStr">
        <is>
          <t>Diagnosis</t>
        </is>
      </c>
      <c r="O19" s="4" t="inlineStr">
        <is>
          <t>Medium</t>
        </is>
      </c>
      <c r="P19" s="4" t="n">
        <v>1</v>
      </c>
      <c r="Q19" s="4" t="n">
        <v>0</v>
      </c>
      <c r="R19" s="4" t="n">
        <v>0</v>
      </c>
      <c r="S19" s="4" t="n">
        <v>0</v>
      </c>
      <c r="T19" s="4" t="n">
        <v>0</v>
      </c>
      <c r="U19" s="4" t="n">
        <v>0</v>
      </c>
      <c r="V19" s="4" t="n">
        <v>0</v>
      </c>
      <c r="W19" s="4" t="n">
        <v>0</v>
      </c>
      <c r="X19" s="4" t="n">
        <v>0</v>
      </c>
      <c r="Y19" s="4" t="n">
        <v>1</v>
      </c>
      <c r="Z19" s="4" t="n">
        <v>1</v>
      </c>
      <c r="AA19" s="4" t="n">
        <v>1</v>
      </c>
      <c r="AB19" s="4" t="inlineStr">
        <is>
          <t>1900-01-01</t>
        </is>
      </c>
      <c r="AC19" s="4" t="n">
        <v>0</v>
      </c>
      <c r="AD19" s="4" t="n">
        <v>0</v>
      </c>
      <c r="AE19" s="4" t="n">
        <v>0</v>
      </c>
      <c r="AF19" s="4" t="n">
        <v>1</v>
      </c>
      <c r="AG19" s="4" t="n">
        <v>1</v>
      </c>
      <c r="AH19" s="4" t="n">
        <v>1</v>
      </c>
      <c r="AI19" s="4" t="n"/>
      <c r="AJ19" s="4" t="n"/>
      <c r="AK19" s="4" t="inlineStr">
        <is>
          <t>multisource_integration; multisite_dataset_broad</t>
        </is>
      </c>
      <c r="AL19" s="4" t="inlineStr">
        <is>
          <t>Clasificación ASD vs control con MRI multiparamétrica; también predice rasgos fenotípicos.</t>
        </is>
      </c>
      <c r="AM19" s="4" t="inlineStr">
        <is>
          <t>RA</t>
        </is>
      </c>
      <c r="AN19" s="4" t="inlineStr">
        <is>
          <t>Tomado completo desde archivo RA según asignación</t>
        </is>
      </c>
      <c r="AO19" s="4" t="n">
        <v>0</v>
      </c>
      <c r="AP19" s="4" t="n">
        <v>0</v>
      </c>
      <c r="AQ19" s="4" t="n">
        <v>1</v>
      </c>
      <c r="AR19" s="4" t="n">
        <v>0</v>
      </c>
      <c r="AS19" s="4" t="n">
        <v>0</v>
      </c>
      <c r="AT19" s="4" t="n">
        <v>0</v>
      </c>
      <c r="AU19" s="4" t="n">
        <v>0</v>
      </c>
      <c r="AV19" s="4" t="n">
        <v>1</v>
      </c>
      <c r="AW19" s="4" t="inlineStr">
        <is>
          <t>finalized_from_available_evidence</t>
        </is>
      </c>
      <c r="AX19" s="4" t="inlineStr">
        <is>
          <t>0 means no reported evidence in title/abstract/notes/coding; it is not proof of true absence.</t>
        </is>
      </c>
    </row>
    <row r="20" ht="409" customHeight="1">
      <c r="A20" s="4" t="n">
        <v>19</v>
      </c>
      <c r="B20" s="4" t="n">
        <v>19</v>
      </c>
      <c r="C20" s="4" t="inlineStr">
        <is>
          <t>Revisor A</t>
        </is>
      </c>
      <c r="D20" s="4" t="inlineStr">
        <is>
          <t>RA</t>
        </is>
      </c>
      <c r="E20" s="4" t="n">
        <v>2021</v>
      </c>
      <c r="F20" s="4" t="inlineStr">
        <is>
          <t>Señales fisiológicas</t>
        </is>
      </c>
      <c r="G20" s="4" t="inlineStr">
        <is>
          <t>Machine Learning</t>
        </is>
      </c>
      <c r="H20" s="4" t="inlineStr">
        <is>
          <t>https://doi.org/10.1016/j.bpsc.2020.06.003</t>
        </is>
      </c>
      <c r="I20" s="4" t="inlineStr">
        <is>
          <t>Multivariate Neural Connectivity Patterns in Early Infancy Predict Later Autism Symptoms</t>
        </is>
      </c>
      <c r="J20" s="4" t="inlineStr">
        <is>
          <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t>
        </is>
      </c>
      <c r="K20" s="4" t="inlineStr">
        <is>
          <t>Supervised</t>
        </is>
      </c>
      <c r="L20" s="4" t="inlineStr">
        <is>
          <t>SVM</t>
        </is>
      </c>
      <c r="M20" s="4" t="inlineStr">
        <is>
          <t>Regression (score / severity / risk)</t>
        </is>
      </c>
      <c r="N20" s="4" t="inlineStr">
        <is>
          <t>Prognosis</t>
        </is>
      </c>
      <c r="O20" s="4" t="inlineStr">
        <is>
          <t>High</t>
        </is>
      </c>
      <c r="P20" s="4" t="n">
        <v>0</v>
      </c>
      <c r="Q20" s="4" t="n">
        <v>1</v>
      </c>
      <c r="R20" s="4" t="n">
        <v>0</v>
      </c>
      <c r="S20" s="4" t="n">
        <v>0</v>
      </c>
      <c r="T20" s="4" t="n">
        <v>0</v>
      </c>
      <c r="U20" s="4" t="n">
        <v>0</v>
      </c>
      <c r="V20" s="4" t="n">
        <v>0</v>
      </c>
      <c r="W20" s="4" t="n">
        <v>0</v>
      </c>
      <c r="X20" s="4" t="n">
        <v>0</v>
      </c>
      <c r="Y20" s="4" t="n">
        <v>0</v>
      </c>
      <c r="Z20" s="4" t="n">
        <v>1</v>
      </c>
      <c r="AA20" s="4" t="n">
        <v>0</v>
      </c>
      <c r="AB20" s="4" t="inlineStr">
        <is>
          <t>1900-01-01</t>
        </is>
      </c>
      <c r="AC20" s="4" t="n">
        <v>0</v>
      </c>
      <c r="AD20" s="4" t="n">
        <v>0</v>
      </c>
      <c r="AE20" s="4" t="n">
        <v>0</v>
      </c>
      <c r="AF20" s="4" t="n">
        <v>0</v>
      </c>
      <c r="AG20" s="4" t="n">
        <v>0</v>
      </c>
      <c r="AH20" s="4" t="n">
        <v>1</v>
      </c>
      <c r="AI20" s="4" t="n"/>
      <c r="AJ20" s="4" t="n"/>
      <c r="AK20" s="4" t="inlineStr">
        <is>
          <t>none_reported</t>
        </is>
      </c>
      <c r="AL20" s="4" t="n"/>
      <c r="AM20" s="4" t="inlineStr">
        <is>
          <t>RA</t>
        </is>
      </c>
      <c r="AN20" s="4" t="inlineStr">
        <is>
          <t>Tomado completo desde archivo RA según asignación</t>
        </is>
      </c>
      <c r="AO20" s="4" t="n">
        <v>0</v>
      </c>
      <c r="AP20" s="4" t="n">
        <v>0</v>
      </c>
      <c r="AQ20" s="4" t="n">
        <v>0</v>
      </c>
      <c r="AR20" s="4" t="n">
        <v>0</v>
      </c>
      <c r="AS20" s="4" t="n">
        <v>0</v>
      </c>
      <c r="AT20" s="4" t="n">
        <v>0</v>
      </c>
      <c r="AU20" s="4" t="n">
        <v>0</v>
      </c>
      <c r="AV20" s="4" t="n">
        <v>0</v>
      </c>
      <c r="AW20" s="4" t="inlineStr">
        <is>
          <t>finalized_from_available_evidence</t>
        </is>
      </c>
      <c r="AX20" s="4" t="inlineStr">
        <is>
          <t>0 means no reported evidence in title/abstract/notes/coding; it is not proof of true absence.</t>
        </is>
      </c>
    </row>
    <row r="21" ht="359" customHeight="1">
      <c r="A21" s="4" t="n">
        <v>20</v>
      </c>
      <c r="B21" s="4" t="n">
        <v>20</v>
      </c>
      <c r="C21" s="4" t="inlineStr">
        <is>
          <t>Revisor B</t>
        </is>
      </c>
      <c r="D21" s="4" t="n"/>
      <c r="E21" s="4" t="n">
        <v>2014</v>
      </c>
      <c r="F21" s="4" t="inlineStr">
        <is>
          <t>No especificado</t>
        </is>
      </c>
      <c r="G21" s="4" t="inlineStr">
        <is>
          <t>Deep Learning</t>
        </is>
      </c>
      <c r="H21" s="4" t="inlineStr">
        <is>
          <t>https://doi.org/10.1038/tp.2014.65</t>
        </is>
      </c>
      <c r="I21" s="4" t="inlineStr">
        <is>
          <t>Testing the accuracy of an observation-based classifier for rapid detection of autism risk.</t>
        </is>
      </c>
      <c r="J21" s="4" t="inlineStr">
        <is>
          <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t>
        </is>
      </c>
      <c r="K21" s="4" t="inlineStr">
        <is>
          <t>Supervised</t>
        </is>
      </c>
      <c r="L21" s="4" t="inlineStr">
        <is>
          <t>Decision Tree</t>
        </is>
      </c>
      <c r="M21" s="4" t="inlineStr">
        <is>
          <t>Classification (ASD vs control / multi-class)</t>
        </is>
      </c>
      <c r="N21" s="4" t="inlineStr">
        <is>
          <t>screening</t>
        </is>
      </c>
      <c r="O21" s="4" t="inlineStr">
        <is>
          <t>high</t>
        </is>
      </c>
      <c r="P21" s="4" t="n">
        <v>0</v>
      </c>
      <c r="Q21" s="4" t="n">
        <v>1</v>
      </c>
      <c r="R21" s="4" t="n">
        <v>0</v>
      </c>
      <c r="S21" s="4" t="n">
        <v>0</v>
      </c>
      <c r="T21" s="4" t="n">
        <v>0</v>
      </c>
      <c r="U21" s="4" t="n">
        <v>0</v>
      </c>
      <c r="V21" s="4" t="n">
        <v>0</v>
      </c>
      <c r="W21" s="4" t="n">
        <v>0</v>
      </c>
      <c r="X21" s="4" t="n">
        <v>1</v>
      </c>
      <c r="Y21" s="4" t="n">
        <v>1</v>
      </c>
      <c r="Z21" s="4" t="n">
        <v>0</v>
      </c>
      <c r="AA21" s="4" t="n">
        <v>0</v>
      </c>
      <c r="AB21" s="4" t="inlineStr">
        <is>
          <t>1900-01-01</t>
        </is>
      </c>
      <c r="AC21" s="4" t="n">
        <v>1</v>
      </c>
      <c r="AD21" s="4" t="n">
        <v>0</v>
      </c>
      <c r="AE21" s="4" t="n">
        <v>0</v>
      </c>
      <c r="AF21" s="4" t="n">
        <v>0</v>
      </c>
      <c r="AG21" s="4" t="n">
        <v>0</v>
      </c>
      <c r="AH21" s="4" t="n">
        <v>1</v>
      </c>
      <c r="AI21" s="4" t="n">
        <v>0</v>
      </c>
      <c r="AJ21" s="4" t="inlineStr">
        <is>
          <t>00:00:00</t>
        </is>
      </c>
      <c r="AK21" s="4" t="inlineStr">
        <is>
          <t>external_validation</t>
        </is>
      </c>
      <c r="AL21" s="4" t="inlineStr">
        <is>
          <t>Algorithm specifically is Alternating Decision Tree (ADTree) (not a standard single CART/ID3); mapped to Decision Tree due to allowed categories</t>
        </is>
      </c>
      <c r="AM21" s="4" t="inlineStr">
        <is>
          <t>RB</t>
        </is>
      </c>
      <c r="AN21" s="4" t="inlineStr">
        <is>
          <t>Tomado completo desde archivo RB según asignación</t>
        </is>
      </c>
      <c r="AO21" s="4" t="n">
        <v>0</v>
      </c>
      <c r="AP21" s="4" t="n">
        <v>0</v>
      </c>
      <c r="AQ21" s="4" t="n">
        <v>0</v>
      </c>
      <c r="AR21" s="4" t="n">
        <v>0</v>
      </c>
      <c r="AS21" s="4" t="n">
        <v>0</v>
      </c>
      <c r="AT21" s="4" t="n">
        <v>0</v>
      </c>
      <c r="AU21" s="4" t="n">
        <v>0</v>
      </c>
      <c r="AV21" s="4" t="n">
        <v>0</v>
      </c>
      <c r="AW21" s="4" t="inlineStr">
        <is>
          <t>finalized_from_available_evidence</t>
        </is>
      </c>
      <c r="AX21" s="4" t="inlineStr">
        <is>
          <t>0 means no reported evidence in title/abstract/notes/coding; it is not proof of true absence.</t>
        </is>
      </c>
    </row>
    <row r="22" ht="398" customHeight="1">
      <c r="A22" s="4" t="n">
        <v>21</v>
      </c>
      <c r="B22" s="4" t="n">
        <v>21</v>
      </c>
      <c r="C22" s="4" t="inlineStr">
        <is>
          <t>Revisor B</t>
        </is>
      </c>
      <c r="D22" s="4" t="n"/>
      <c r="E22" s="4" t="n">
        <v>2024</v>
      </c>
      <c r="F22" s="4" t="inlineStr">
        <is>
          <t>Señales fisiológicas</t>
        </is>
      </c>
      <c r="G22" s="4" t="inlineStr">
        <is>
          <t>Deep Learning</t>
        </is>
      </c>
      <c r="H22" s="4" t="inlineStr">
        <is>
          <t>https://doi.org/10.1038/s41598-024-81652-z</t>
        </is>
      </c>
      <c r="I22" s="4" t="inlineStr">
        <is>
          <t>Using deep learning to classify developmental differences in reaching and placing movements in children with and without autism spectrum disorder</t>
        </is>
      </c>
      <c r="J22" s="4" t="inlineStr">
        <is>
          <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t>
        </is>
      </c>
      <c r="K22" s="4" t="inlineStr">
        <is>
          <t>Supervised</t>
        </is>
      </c>
      <c r="L22" s="4" t="inlineStr">
        <is>
          <t>MLP</t>
        </is>
      </c>
      <c r="M22" s="4" t="inlineStr">
        <is>
          <t>Classification (binary/multi-class; incl. ASD vs control)/ multi-class)</t>
        </is>
      </c>
      <c r="N22" s="4" t="inlineStr">
        <is>
          <t>diagnosis</t>
        </is>
      </c>
      <c r="O22" s="4" t="inlineStr">
        <is>
          <t>high</t>
        </is>
      </c>
      <c r="P22" s="4" t="n">
        <v>1</v>
      </c>
      <c r="Q22" s="4" t="n">
        <v>0</v>
      </c>
      <c r="R22" s="4" t="n">
        <v>0</v>
      </c>
      <c r="S22" s="4" t="n">
        <v>1</v>
      </c>
      <c r="T22" s="4" t="n">
        <v>0</v>
      </c>
      <c r="U22" s="4" t="n">
        <v>1</v>
      </c>
      <c r="V22" s="4" t="n">
        <v>0</v>
      </c>
      <c r="W22" s="4" t="n">
        <v>0</v>
      </c>
      <c r="X22" s="4" t="n">
        <v>0</v>
      </c>
      <c r="Y22" s="4" t="n">
        <v>1</v>
      </c>
      <c r="Z22" s="4" t="n">
        <v>1</v>
      </c>
      <c r="AA22" s="4" t="n">
        <v>1</v>
      </c>
      <c r="AB22" s="4" t="inlineStr">
        <is>
          <t>1900-01-01</t>
        </is>
      </c>
      <c r="AC22" s="4" t="n">
        <v>0</v>
      </c>
      <c r="AD22" s="4" t="n">
        <v>0</v>
      </c>
      <c r="AE22" s="4" t="n">
        <v>0</v>
      </c>
      <c r="AF22" s="4" t="n">
        <v>1</v>
      </c>
      <c r="AG22" s="4" t="n">
        <v>0</v>
      </c>
      <c r="AH22" s="4" t="n">
        <v>3</v>
      </c>
      <c r="AI22" s="4" t="n">
        <v>0</v>
      </c>
      <c r="AJ22" s="4" t="inlineStr">
        <is>
          <t>00:00:00</t>
        </is>
      </c>
      <c r="AK22" s="4" t="inlineStr">
        <is>
          <t>multisource_integration</t>
        </is>
      </c>
      <c r="AL22" s="4" t="n"/>
      <c r="AM22" s="4" t="inlineStr">
        <is>
          <t>RB</t>
        </is>
      </c>
      <c r="AN22" s="4" t="inlineStr">
        <is>
          <t>Tomado completo desde archivo RB según asignación</t>
        </is>
      </c>
      <c r="AO22" s="4" t="n">
        <v>0</v>
      </c>
      <c r="AP22" s="4" t="n">
        <v>0</v>
      </c>
      <c r="AQ22" s="4" t="n">
        <v>0</v>
      </c>
      <c r="AR22" s="4" t="n">
        <v>0</v>
      </c>
      <c r="AS22" s="4" t="n">
        <v>0</v>
      </c>
      <c r="AT22" s="4" t="n">
        <v>0</v>
      </c>
      <c r="AU22" s="4" t="n">
        <v>0</v>
      </c>
      <c r="AV22" s="4" t="n">
        <v>1</v>
      </c>
      <c r="AW22" s="4" t="inlineStr">
        <is>
          <t>finalized_from_available_evidence</t>
        </is>
      </c>
      <c r="AX22" s="4" t="inlineStr">
        <is>
          <t>0 means no reported evidence in title/abstract/notes/coding; it is not proof of true absence.</t>
        </is>
      </c>
    </row>
    <row r="23" ht="333" customHeight="1">
      <c r="A23" s="4" t="n">
        <v>22</v>
      </c>
      <c r="B23" s="4" t="n">
        <v>22</v>
      </c>
      <c r="C23" s="4" t="inlineStr">
        <is>
          <t>Revisor B</t>
        </is>
      </c>
      <c r="D23" s="4" t="n"/>
      <c r="E23" s="4" t="n">
        <v>2021</v>
      </c>
      <c r="F23" s="4" t="inlineStr">
        <is>
          <t>Señales fisiológicas</t>
        </is>
      </c>
      <c r="G23" s="4" t="inlineStr">
        <is>
          <t>Deep Learning</t>
        </is>
      </c>
      <c r="H23" s="4" t="inlineStr">
        <is>
          <t>https://doi.org/10.3390/s21175822</t>
        </is>
      </c>
      <c r="I23" s="4" t="inlineStr">
        <is>
          <t>A CNN deep local and global ASD classification approach with continuous wavelet transform using task-based FMRI</t>
        </is>
      </c>
      <c r="J23" s="4" t="inlineStr">
        <is>
          <t>Autism spectrum disorder (ASD) is a neurodegenerative disorder characterized by lingual and social disabilities. The autism diagnostic observation schedule is the current gold standard for ASD diagnosis. Developing objective computer aided technologies for ASD diagnosis with the utilization of brain imaging modalities and machine learning is one of main tracks in current studies to understand autism. Task-based fMRI demonstrates the functional activation in the brain by measuring blood oxygen level-dependent (BOLD) variations in response to certain tasks. It is believed to hold discriminant features for autism. A novel computer aided diagnosis (CAD) framework is proposed to classify 50 ASD and 50 typically developed toddlers with the adoption of CNN deep networks. The CAD system includes both local and global diagnosis in a response to speech task. Spatial dimensionality reduction with region of interest selection and clustering has been utilized. In addition, the proposed framework performs discriminant feature extraction with continuous wavelet transform. Local diagnosis on cingulate gyri, superior temporal gyrus, primary auditory cortex and angular gyrus achieves accuracies ranging between 71% and 80% with a four-fold cross validation technique. The fused global diagnosis achieves an accuracy of 86% with 82% sensitivity, 92% specificity. A brain map indicating ASD severity level for each brain area is created, which contributes to personalized diagnosis and treatment plans.</t>
        </is>
      </c>
      <c r="K23" s="4" t="inlineStr">
        <is>
          <t>Supervised</t>
        </is>
      </c>
      <c r="L23" s="4" t="inlineStr">
        <is>
          <t>CNN</t>
        </is>
      </c>
      <c r="M23" s="4" t="inlineStr">
        <is>
          <t>Classification (binary/multi-class; incl. ASD vs control)/ multi-class)</t>
        </is>
      </c>
      <c r="N23" s="4" t="inlineStr">
        <is>
          <t>screening</t>
        </is>
      </c>
      <c r="O23" s="4" t="inlineStr">
        <is>
          <t>medium</t>
        </is>
      </c>
      <c r="P23" s="4" t="n">
        <v>0</v>
      </c>
      <c r="Q23" s="4" t="n">
        <v>0</v>
      </c>
      <c r="R23" s="4" t="n">
        <v>0</v>
      </c>
      <c r="S23" s="4" t="n">
        <v>0</v>
      </c>
      <c r="T23" s="4" t="n">
        <v>0</v>
      </c>
      <c r="U23" s="4" t="n">
        <v>0</v>
      </c>
      <c r="V23" s="4" t="n">
        <v>0</v>
      </c>
      <c r="W23" s="4" t="n">
        <v>0</v>
      </c>
      <c r="X23" s="4" t="n">
        <v>1</v>
      </c>
      <c r="Y23" s="4" t="n">
        <v>1</v>
      </c>
      <c r="Z23" s="4" t="n">
        <v>0</v>
      </c>
      <c r="AA23" s="4" t="n">
        <v>0</v>
      </c>
      <c r="AB23" s="4" t="inlineStr">
        <is>
          <t>1900-01-01</t>
        </is>
      </c>
      <c r="AC23" s="4" t="n">
        <v>0</v>
      </c>
      <c r="AD23" s="4" t="n">
        <v>0</v>
      </c>
      <c r="AE23" s="4" t="n">
        <v>0</v>
      </c>
      <c r="AF23" s="4" t="n">
        <v>0</v>
      </c>
      <c r="AG23" s="4" t="n">
        <v>1</v>
      </c>
      <c r="AH23" s="4" t="n">
        <v>0</v>
      </c>
      <c r="AI23" s="4" t="n">
        <v>0</v>
      </c>
      <c r="AJ23" s="4" t="inlineStr">
        <is>
          <t>1900-01-01</t>
        </is>
      </c>
      <c r="AK23" s="4" t="inlineStr">
        <is>
          <t>internal_validation_only</t>
        </is>
      </c>
      <c r="AL23" s="4" t="inlineStr">
        <is>
          <t>Incluye clustering para ROI/selección dimensional y generan “brain map indicating ASD severity level”, pero el objetivo central del sistema es clasificación ASD vs TD con CNN.</t>
        </is>
      </c>
      <c r="AM23" s="4" t="inlineStr">
        <is>
          <t>RB</t>
        </is>
      </c>
      <c r="AN23" s="4" t="inlineStr">
        <is>
          <t>Tomado completo desde archivo RB según asignación</t>
        </is>
      </c>
      <c r="AO23" s="4" t="n">
        <v>0</v>
      </c>
      <c r="AP23" s="4" t="n">
        <v>0</v>
      </c>
      <c r="AQ23" s="4" t="n">
        <v>0</v>
      </c>
      <c r="AR23" s="4" t="n">
        <v>1</v>
      </c>
      <c r="AS23" s="4" t="n">
        <v>0</v>
      </c>
      <c r="AT23" s="4" t="n">
        <v>0</v>
      </c>
      <c r="AU23" s="4" t="n">
        <v>0</v>
      </c>
      <c r="AV23" s="4" t="n">
        <v>0</v>
      </c>
      <c r="AW23" s="4" t="inlineStr">
        <is>
          <t>finalized_from_available_evidence</t>
        </is>
      </c>
      <c r="AX23" s="4" t="inlineStr">
        <is>
          <t>0 means no reported evidence in title/abstract/notes/coding; it is not proof of true absence.</t>
        </is>
      </c>
    </row>
    <row r="24" ht="398" customHeight="1">
      <c r="A24" s="4" t="n">
        <v>23</v>
      </c>
      <c r="B24" s="4" t="n">
        <v>23</v>
      </c>
      <c r="C24" s="4" t="inlineStr">
        <is>
          <t>Revisor A</t>
        </is>
      </c>
      <c r="D24" s="4" t="inlineStr">
        <is>
          <t>RA</t>
        </is>
      </c>
      <c r="E24" s="4" t="n">
        <v>2020</v>
      </c>
      <c r="F24" s="4" t="inlineStr">
        <is>
          <t>No especificado</t>
        </is>
      </c>
      <c r="G24" s="4" t="inlineStr">
        <is>
          <t>Machine Learning</t>
        </is>
      </c>
      <c r="H24" s="4" t="inlineStr">
        <is>
          <t>https://doi.org/10.1177/1460458218824711</t>
        </is>
      </c>
      <c r="I24" s="4" t="inlineStr">
        <is>
          <t>A new machine learning model based on induction of rules for autism detection</t>
        </is>
      </c>
      <c r="J24" s="4" t="inlineStr">
        <is>
          <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t>
        </is>
      </c>
      <c r="K24" s="4" t="inlineStr">
        <is>
          <t>Supervised</t>
        </is>
      </c>
      <c r="L24" s="4" t="inlineStr">
        <is>
          <t>Decision Tree</t>
        </is>
      </c>
      <c r="M24" s="4" t="inlineStr">
        <is>
          <t>Classification (ASD vs control / multi-class)</t>
        </is>
      </c>
      <c r="N24" s="4" t="inlineStr">
        <is>
          <t>Screening</t>
        </is>
      </c>
      <c r="O24" s="4" t="inlineStr">
        <is>
          <t>Medium</t>
        </is>
      </c>
      <c r="P24" s="4" t="n">
        <v>0</v>
      </c>
      <c r="Q24" s="4" t="n">
        <v>0</v>
      </c>
      <c r="R24" s="4" t="n">
        <v>0</v>
      </c>
      <c r="S24" s="4" t="n">
        <v>0</v>
      </c>
      <c r="T24" s="4" t="n">
        <v>1</v>
      </c>
      <c r="U24" s="4" t="n">
        <v>0</v>
      </c>
      <c r="V24" s="4" t="n">
        <v>0</v>
      </c>
      <c r="W24" s="4" t="n">
        <v>0</v>
      </c>
      <c r="X24" s="4" t="n">
        <v>1</v>
      </c>
      <c r="Y24" s="4" t="n">
        <v>0</v>
      </c>
      <c r="Z24" s="4" t="n">
        <v>0</v>
      </c>
      <c r="AA24" s="4" t="n">
        <v>0</v>
      </c>
      <c r="AB24" s="4" t="inlineStr">
        <is>
          <t>1900-01-01</t>
        </is>
      </c>
      <c r="AC24" s="4" t="n">
        <v>0</v>
      </c>
      <c r="AD24" s="4" t="n">
        <v>0</v>
      </c>
      <c r="AE24" s="4" t="n">
        <v>0</v>
      </c>
      <c r="AF24" s="4" t="n">
        <v>0</v>
      </c>
      <c r="AG24" s="4" t="n">
        <v>1</v>
      </c>
      <c r="AH24" s="4" t="n">
        <v>1</v>
      </c>
      <c r="AI24" s="4" t="n"/>
      <c r="AJ24" s="4" t="n"/>
      <c r="AK24" s="4" t="inlineStr">
        <is>
          <t>none_reported</t>
        </is>
      </c>
      <c r="AL24" s="4" t="inlineStr">
        <is>
          <t>Boosting, Bagging, rule induction methods (rules-machine learning framework), Modelo basado en inducción de reglas sobre datasets de cribado; algoritmo fuera del codebook.</t>
        </is>
      </c>
      <c r="AM24" s="4" t="inlineStr">
        <is>
          <t>RA</t>
        </is>
      </c>
      <c r="AN24" s="4" t="inlineStr">
        <is>
          <t>Tomado completo desde archivo RA según asignación</t>
        </is>
      </c>
      <c r="AO24" s="4" t="n">
        <v>0</v>
      </c>
      <c r="AP24" s="4" t="n">
        <v>0</v>
      </c>
      <c r="AQ24" s="4" t="n">
        <v>0</v>
      </c>
      <c r="AR24" s="4" t="n">
        <v>0</v>
      </c>
      <c r="AS24" s="4" t="n">
        <v>0</v>
      </c>
      <c r="AT24" s="4" t="n">
        <v>0</v>
      </c>
      <c r="AU24" s="4" t="n">
        <v>0</v>
      </c>
      <c r="AV24" s="4" t="n">
        <v>0</v>
      </c>
      <c r="AW24" s="4" t="inlineStr">
        <is>
          <t>finalized_from_available_evidence</t>
        </is>
      </c>
      <c r="AX24" s="4" t="inlineStr">
        <is>
          <t>0 means no reported evidence in title/abstract/notes/coding; it is not proof of true absence.</t>
        </is>
      </c>
    </row>
    <row r="25" ht="409" customHeight="1">
      <c r="A25" s="4" t="n">
        <v>24</v>
      </c>
      <c r="B25" s="4" t="n">
        <v>24</v>
      </c>
      <c r="C25" s="4" t="inlineStr">
        <is>
          <t>Ambos (piloto)</t>
        </is>
      </c>
      <c r="D25" s="4" t="inlineStr">
        <is>
          <t>RA</t>
        </is>
      </c>
      <c r="E25" s="4" t="n">
        <v>2021</v>
      </c>
      <c r="F25" s="4" t="inlineStr">
        <is>
          <t>Audio · Voz</t>
        </is>
      </c>
      <c r="G25" s="4" t="inlineStr">
        <is>
          <t>Machine Learning</t>
        </is>
      </c>
      <c r="H25" s="4" t="inlineStr">
        <is>
          <t>https://doi.org/10.1109/ACCESS.2021.3097606</t>
        </is>
      </c>
      <c r="I25" s="4" t="inlineStr">
        <is>
          <t>A Novel Grading System for Autism Severity Level Using Task-Based Functional MRI: A Response to Speech Study</t>
        </is>
      </c>
      <c r="J25" s="4" t="inlineStr">
        <is>
          <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t>
        </is>
      </c>
      <c r="K25" s="4" t="inlineStr">
        <is>
          <t>Supervised</t>
        </is>
      </c>
      <c r="L25" s="4" t="inlineStr">
        <is>
          <t>Other / Not clear</t>
        </is>
      </c>
      <c r="M25" s="4" t="inlineStr">
        <is>
          <t>Classification (ASD vs control / multi-class)</t>
        </is>
      </c>
      <c r="N25" s="4" t="inlineStr">
        <is>
          <t>Diagnosis</t>
        </is>
      </c>
      <c r="O25" s="4" t="inlineStr">
        <is>
          <t>Medium</t>
        </is>
      </c>
      <c r="P25" s="4" t="n">
        <v>1</v>
      </c>
      <c r="Q25" s="4" t="n">
        <v>0</v>
      </c>
      <c r="R25" s="4" t="n">
        <v>0</v>
      </c>
      <c r="S25" s="4" t="n">
        <v>0</v>
      </c>
      <c r="T25" s="4" t="n">
        <v>0</v>
      </c>
      <c r="U25" s="4" t="n">
        <v>0</v>
      </c>
      <c r="V25" s="4" t="n">
        <v>0</v>
      </c>
      <c r="W25" s="4" t="n">
        <v>0</v>
      </c>
      <c r="X25" s="4" t="n">
        <v>0</v>
      </c>
      <c r="Y25" s="4" t="n">
        <v>1</v>
      </c>
      <c r="Z25" s="4" t="n">
        <v>0</v>
      </c>
      <c r="AA25" s="4" t="n">
        <v>0</v>
      </c>
      <c r="AB25" s="4" t="inlineStr">
        <is>
          <t>1900-01-01</t>
        </is>
      </c>
      <c r="AC25" s="4" t="n">
        <v>0</v>
      </c>
      <c r="AD25" s="4" t="n">
        <v>0</v>
      </c>
      <c r="AE25" s="4" t="n">
        <v>0</v>
      </c>
      <c r="AF25" s="4" t="n">
        <v>0</v>
      </c>
      <c r="AG25" s="4" t="n">
        <v>1</v>
      </c>
      <c r="AH25" s="4" t="n">
        <v>1</v>
      </c>
      <c r="AI25" s="4" t="n"/>
      <c r="AJ25" s="4" t="n"/>
      <c r="AK25" s="4" t="inlineStr">
        <is>
          <t>internal_validation_only</t>
        </is>
      </c>
      <c r="AL25" s="4" t="inlineStr">
        <is>
          <t>Gradación de severidad por clases con task-fMRI; clasificadores múltiples no detallados.</t>
        </is>
      </c>
      <c r="AM25" s="4" t="inlineStr">
        <is>
          <t>RA</t>
        </is>
      </c>
      <c r="AN25" s="4" t="inlineStr">
        <is>
          <t>Tomado completo desde archivo RA según asignación</t>
        </is>
      </c>
      <c r="AO25" s="4" t="n">
        <v>0</v>
      </c>
      <c r="AP25" s="4" t="n">
        <v>0</v>
      </c>
      <c r="AQ25" s="4" t="n">
        <v>0</v>
      </c>
      <c r="AR25" s="4" t="n">
        <v>1</v>
      </c>
      <c r="AS25" s="4" t="n">
        <v>0</v>
      </c>
      <c r="AT25" s="4" t="n">
        <v>0</v>
      </c>
      <c r="AU25" s="4" t="n">
        <v>0</v>
      </c>
      <c r="AV25" s="4" t="n">
        <v>0</v>
      </c>
      <c r="AW25" s="4" t="inlineStr">
        <is>
          <t>finalized_from_available_evidence</t>
        </is>
      </c>
      <c r="AX25" s="4" t="inlineStr">
        <is>
          <t>0 means no reported evidence in title/abstract/notes/coding; it is not proof of true absence.</t>
        </is>
      </c>
    </row>
    <row r="26" ht="281" customHeight="1">
      <c r="A26" s="4" t="n">
        <v>25</v>
      </c>
      <c r="B26" s="4" t="n">
        <v>26</v>
      </c>
      <c r="C26" s="4" t="inlineStr">
        <is>
          <t>Revisor A</t>
        </is>
      </c>
      <c r="D26" s="4" t="n"/>
      <c r="E26" s="4" t="n">
        <v>2023</v>
      </c>
      <c r="F26" s="4" t="inlineStr">
        <is>
          <t>No especificado</t>
        </is>
      </c>
      <c r="G26" s="4" t="inlineStr">
        <is>
          <t>Machine Learning</t>
        </is>
      </c>
      <c r="H26" s="4" t="inlineStr">
        <is>
          <t>https://doi.org/10.1007/978-3-031-23683-9_12</t>
        </is>
      </c>
      <c r="I26" s="4" t="inlineStr">
        <is>
          <t>An Analysis of the Use of Machine Learning in the Diagnosis of Autism Spectrum Disorder</t>
        </is>
      </c>
      <c r="J26" s="4" t="inlineStr">
        <is>
          <t>Autism spectrum disorder (ASD) is an illness related to brain development along with long-standing neuro-developmental disability. A subject with prior therapy at the initial stages has been proven to improve the subject’s indication and skill to work. The nature of ASD differs from person to person. One of the most important problems to adequate therapy of ASD is the challenge of early identification, but unfortunately, due to the lack of obtainability in identifying and diagnostic equipment in a few areas, many children who are affected remain undiagnosed without knowing that it is ASD or are diagnosed so late. The main motive of the work is to analyze autism spectrum disorder at the initial point to make better brain improvement and to make arrangements for enough attention to this disorder to the parents and guardians. Currently, ML algorithms play an essential role in determining ASD. This work aims to identify and survey the different techniques based on machine learning and review the attributes of autism and estimation of performance by the utilization of several metrics and examine the encouraging ways for the forthcoming research. This survey presents that the Random Forest algorithm provides a good outcome when contrasted with other algorithms.</t>
        </is>
      </c>
      <c r="K26" s="4" t="n"/>
      <c r="L26" s="4" t="n"/>
      <c r="M26" s="4" t="n"/>
      <c r="N26" s="4" t="inlineStr">
        <is>
          <t>diagnosis</t>
        </is>
      </c>
      <c r="O26" s="4" t="inlineStr">
        <is>
          <t>high</t>
        </is>
      </c>
      <c r="P26" s="4" t="n">
        <v>1</v>
      </c>
      <c r="Q26" s="4" t="n">
        <v>0</v>
      </c>
      <c r="R26" s="4" t="n">
        <v>1</v>
      </c>
      <c r="S26" s="4" t="n">
        <v>0</v>
      </c>
      <c r="T26" s="4" t="n">
        <v>0</v>
      </c>
      <c r="U26" s="4" t="n">
        <v>0</v>
      </c>
      <c r="V26" s="4" t="n">
        <v>0</v>
      </c>
      <c r="W26" s="4" t="n">
        <v>0</v>
      </c>
      <c r="X26" s="4" t="n">
        <v>0</v>
      </c>
      <c r="Y26" s="4" t="n">
        <v>1</v>
      </c>
      <c r="Z26" s="4" t="n">
        <v>0</v>
      </c>
      <c r="AA26" s="4" t="n">
        <v>1</v>
      </c>
      <c r="AB26" s="4" t="inlineStr">
        <is>
          <t>1900-01-01</t>
        </is>
      </c>
      <c r="AC26" s="4" t="n">
        <v>0</v>
      </c>
      <c r="AD26" s="4" t="n">
        <v>0</v>
      </c>
      <c r="AE26" s="4" t="n">
        <v>0</v>
      </c>
      <c r="AF26" s="4" t="n">
        <v>1</v>
      </c>
      <c r="AG26" s="4" t="n">
        <v>0</v>
      </c>
      <c r="AH26" s="4" t="n">
        <v>2</v>
      </c>
      <c r="AI26" s="4" t="n">
        <v>0</v>
      </c>
      <c r="AJ26" s="4" t="inlineStr">
        <is>
          <t>00:00:00</t>
        </is>
      </c>
      <c r="AK26" s="4" t="inlineStr">
        <is>
          <t>multisource_integration</t>
        </is>
      </c>
      <c r="AL26" s="4" t="n"/>
      <c r="AM26" s="4" t="inlineStr">
        <is>
          <t>RB_fallback</t>
        </is>
      </c>
      <c r="AN26" s="4" t="inlineStr">
        <is>
          <t>Fallback a RB porque el ID no está en RA</t>
        </is>
      </c>
      <c r="AO26" s="4" t="n">
        <v>0</v>
      </c>
      <c r="AP26" s="4" t="n">
        <v>0</v>
      </c>
      <c r="AQ26" s="4" t="n">
        <v>0</v>
      </c>
      <c r="AR26" s="4" t="n">
        <v>0</v>
      </c>
      <c r="AS26" s="4" t="n">
        <v>0</v>
      </c>
      <c r="AT26" s="4" t="n">
        <v>0</v>
      </c>
      <c r="AU26" s="4" t="n">
        <v>0</v>
      </c>
      <c r="AV26" s="4" t="n">
        <v>1</v>
      </c>
      <c r="AW26" s="4" t="inlineStr">
        <is>
          <t>finalized_from_available_evidence</t>
        </is>
      </c>
      <c r="AX26" s="4" t="inlineStr">
        <is>
          <t>0 means no reported evidence in title/abstract/notes/coding; it is not proof of true absence.</t>
        </is>
      </c>
    </row>
    <row r="27" ht="268" customHeight="1">
      <c r="A27" s="4" t="n">
        <v>26</v>
      </c>
      <c r="B27" s="4" t="n">
        <v>27</v>
      </c>
      <c r="C27" s="4" t="inlineStr">
        <is>
          <t>Revisor A</t>
        </is>
      </c>
      <c r="D27" s="4" t="inlineStr">
        <is>
          <t>RA</t>
        </is>
      </c>
      <c r="E27" s="4" t="n">
        <v>2025</v>
      </c>
      <c r="F27" s="4" t="inlineStr">
        <is>
          <t>Señales fisiológicas</t>
        </is>
      </c>
      <c r="G27" s="4" t="inlineStr">
        <is>
          <t>Deep Learning</t>
        </is>
      </c>
      <c r="H27" s="4" t="inlineStr">
        <is>
          <t>https://doi.org/10.1016/j.health.2025.100409</t>
        </is>
      </c>
      <c r="I27" s="4" t="inlineStr">
        <is>
          <t>An analytics-driven model for identifying autism spectrum disorder using eye tracking</t>
        </is>
      </c>
      <c r="J27" s="4"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K27" s="4" t="inlineStr">
        <is>
          <t>Supervised</t>
        </is>
      </c>
      <c r="L27" s="4" t="inlineStr">
        <is>
          <t>MLP</t>
        </is>
      </c>
      <c r="M27" s="4" t="inlineStr">
        <is>
          <t>Classification (ASD vs control / multi-class)</t>
        </is>
      </c>
      <c r="N27" s="4" t="inlineStr">
        <is>
          <t>Screening</t>
        </is>
      </c>
      <c r="O27" s="4" t="inlineStr">
        <is>
          <t>Medium</t>
        </is>
      </c>
      <c r="P27" s="4" t="n">
        <v>0</v>
      </c>
      <c r="Q27" s="4" t="n">
        <v>0</v>
      </c>
      <c r="R27" s="4" t="n">
        <v>1</v>
      </c>
      <c r="S27" s="4" t="n">
        <v>0</v>
      </c>
      <c r="T27" s="4" t="n">
        <v>0</v>
      </c>
      <c r="U27" s="4" t="n">
        <v>0</v>
      </c>
      <c r="V27" s="4" t="n">
        <v>0</v>
      </c>
      <c r="W27" s="4" t="n">
        <v>0</v>
      </c>
      <c r="X27" s="4" t="n">
        <v>1</v>
      </c>
      <c r="Y27" s="4" t="n">
        <v>0</v>
      </c>
      <c r="Z27" s="4" t="n">
        <v>0</v>
      </c>
      <c r="AA27" s="4" t="n">
        <v>0</v>
      </c>
      <c r="AB27" s="4" t="inlineStr">
        <is>
          <t>1900-01-01</t>
        </is>
      </c>
      <c r="AC27" s="4" t="n">
        <v>0</v>
      </c>
      <c r="AD27" s="4" t="n">
        <v>0</v>
      </c>
      <c r="AE27" s="4" t="n">
        <v>0</v>
      </c>
      <c r="AF27" s="4" t="n">
        <v>0</v>
      </c>
      <c r="AG27" s="4" t="n">
        <v>1</v>
      </c>
      <c r="AH27" s="4" t="n">
        <v>1</v>
      </c>
      <c r="AI27" s="4" t="n"/>
      <c r="AJ27" s="4" t="n"/>
      <c r="AK27" s="4" t="inlineStr">
        <is>
          <t>none_reported</t>
        </is>
      </c>
      <c r="AL27" s="4" t="inlineStr">
        <is>
          <t>Usa eye-tracking/gaze movement; algoritmo principal no explícito.</t>
        </is>
      </c>
      <c r="AM27" s="4" t="inlineStr">
        <is>
          <t>RA</t>
        </is>
      </c>
      <c r="AN27" s="4" t="inlineStr">
        <is>
          <t>Tomado completo desde archivo RA según asignación</t>
        </is>
      </c>
      <c r="AO27" s="4" t="n">
        <v>0</v>
      </c>
      <c r="AP27" s="4" t="n">
        <v>0</v>
      </c>
      <c r="AQ27" s="4" t="n">
        <v>0</v>
      </c>
      <c r="AR27" s="4" t="n">
        <v>0</v>
      </c>
      <c r="AS27" s="4" t="n">
        <v>0</v>
      </c>
      <c r="AT27" s="4" t="n">
        <v>0</v>
      </c>
      <c r="AU27" s="4" t="n">
        <v>0</v>
      </c>
      <c r="AV27" s="4" t="n">
        <v>0</v>
      </c>
      <c r="AW27" s="4" t="inlineStr">
        <is>
          <t>finalized_from_available_evidence</t>
        </is>
      </c>
      <c r="AX27" s="4" t="inlineStr">
        <is>
          <t>0 means no reported evidence in title/abstract/notes/coding; it is not proof of true absence.</t>
        </is>
      </c>
    </row>
    <row r="28" ht="385" customHeight="1">
      <c r="A28" s="4" t="n">
        <v>27</v>
      </c>
      <c r="B28" s="4" t="n">
        <v>28</v>
      </c>
      <c r="C28" s="4" t="inlineStr">
        <is>
          <t>Revisor A</t>
        </is>
      </c>
      <c r="D28" s="4" t="inlineStr">
        <is>
          <t>RA</t>
        </is>
      </c>
      <c r="E28" s="4" t="n">
        <v>2024</v>
      </c>
      <c r="F28" s="4" t="inlineStr">
        <is>
          <t>No especificado</t>
        </is>
      </c>
      <c r="G28" s="4" t="inlineStr">
        <is>
          <t>Machine Learning</t>
        </is>
      </c>
      <c r="H28" s="4" t="inlineStr">
        <is>
          <t>https://doi.org/10.1016/j.health.2023.100293</t>
        </is>
      </c>
      <c r="I28" s="4" t="inlineStr">
        <is>
          <t>An evaluation of machine learning approaches for early diagnosis of autism spectrum disorder</t>
        </is>
      </c>
      <c r="J28" s="4" t="inlineStr">
        <is>
          <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t>
        </is>
      </c>
      <c r="K28" s="4" t="inlineStr">
        <is>
          <t>Supervised</t>
        </is>
      </c>
      <c r="L28" s="4" t="inlineStr">
        <is>
          <t>SVM</t>
        </is>
      </c>
      <c r="M28" s="4" t="inlineStr">
        <is>
          <t>Classification (ASD vs control / multi-class)</t>
        </is>
      </c>
      <c r="N28" s="4" t="inlineStr">
        <is>
          <t>Diagnosis</t>
        </is>
      </c>
      <c r="O28" s="4" t="inlineStr">
        <is>
          <t>Medium</t>
        </is>
      </c>
      <c r="P28" s="4" t="n">
        <v>0</v>
      </c>
      <c r="Q28" s="4" t="n">
        <v>0</v>
      </c>
      <c r="R28" s="4" t="n">
        <v>0</v>
      </c>
      <c r="S28" s="4" t="n">
        <v>0</v>
      </c>
      <c r="T28" s="4" t="n">
        <v>1</v>
      </c>
      <c r="U28" s="4" t="n">
        <v>0</v>
      </c>
      <c r="V28" s="4" t="n">
        <v>0</v>
      </c>
      <c r="W28" s="4" t="n">
        <v>0</v>
      </c>
      <c r="X28" s="4" t="n">
        <v>0</v>
      </c>
      <c r="Y28" s="4" t="n">
        <v>1</v>
      </c>
      <c r="Z28" s="4" t="n">
        <v>0</v>
      </c>
      <c r="AA28" s="4" t="n">
        <v>0</v>
      </c>
      <c r="AB28" s="4" t="inlineStr">
        <is>
          <t>1900-01-01</t>
        </is>
      </c>
      <c r="AC28" s="4" t="n">
        <v>0</v>
      </c>
      <c r="AD28" s="4" t="n">
        <v>0</v>
      </c>
      <c r="AE28" s="4" t="n">
        <v>0</v>
      </c>
      <c r="AF28" s="4" t="n">
        <v>0</v>
      </c>
      <c r="AG28" s="4" t="n">
        <v>1</v>
      </c>
      <c r="AH28" s="4" t="n">
        <v>1</v>
      </c>
      <c r="AI28" s="4" t="n"/>
      <c r="AJ28" s="4" t="n"/>
      <c r="AK28" s="4" t="inlineStr">
        <is>
          <t>none_reported</t>
        </is>
      </c>
      <c r="AL28" s="4" t="inlineStr">
        <is>
          <t>Compara varios clasificadores; ANN/MLP reporta mejor desempeño en dataset combinado.</t>
        </is>
      </c>
      <c r="AM28" s="4" t="inlineStr">
        <is>
          <t>RA</t>
        </is>
      </c>
      <c r="AN28" s="4" t="inlineStr">
        <is>
          <t>Tomado completo desde archivo RA según asignación</t>
        </is>
      </c>
      <c r="AO28" s="4" t="n">
        <v>0</v>
      </c>
      <c r="AP28" s="4" t="n">
        <v>0</v>
      </c>
      <c r="AQ28" s="4" t="n">
        <v>0</v>
      </c>
      <c r="AR28" s="4" t="n">
        <v>0</v>
      </c>
      <c r="AS28" s="4" t="n">
        <v>0</v>
      </c>
      <c r="AT28" s="4" t="n">
        <v>0</v>
      </c>
      <c r="AU28" s="4" t="n">
        <v>0</v>
      </c>
      <c r="AV28" s="4" t="n">
        <v>0</v>
      </c>
      <c r="AW28" s="4" t="inlineStr">
        <is>
          <t>finalized_from_available_evidence</t>
        </is>
      </c>
      <c r="AX28" s="4" t="inlineStr">
        <is>
          <t>0 means no reported evidence in title/abstract/notes/coding; it is not proof of true absence.</t>
        </is>
      </c>
    </row>
    <row r="29" ht="409" customHeight="1">
      <c r="A29" s="4" t="n">
        <v>28</v>
      </c>
      <c r="B29" s="4" t="n">
        <v>29</v>
      </c>
      <c r="C29" s="4" t="inlineStr">
        <is>
          <t>Revisor B</t>
        </is>
      </c>
      <c r="D29" s="4" t="n"/>
      <c r="E29" s="4" t="n">
        <v>2025</v>
      </c>
      <c r="F29" s="4" t="inlineStr">
        <is>
          <t>Imagen</t>
        </is>
      </c>
      <c r="G29" s="4" t="inlineStr">
        <is>
          <t>Deep Learning</t>
        </is>
      </c>
      <c r="H29" s="4" t="inlineStr">
        <is>
          <t>https://doi.org/10.1016/j.bspc.2025.107737</t>
        </is>
      </c>
      <c r="I29" s="4" t="inlineStr">
        <is>
          <t>An intellectual autism spectrum disorder classification framework in healthcare industry using ViT-based adaptive deep learning model</t>
        </is>
      </c>
      <c r="J29" s="4"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K29" s="4" t="inlineStr">
        <is>
          <t>Supervised</t>
        </is>
      </c>
      <c r="L29" s="4" t="inlineStr">
        <is>
          <t>Transformer</t>
        </is>
      </c>
      <c r="M29" s="4" t="inlineStr">
        <is>
          <t>Classification (binary/multi-class; incl. ASD vs control)/ multi-class)</t>
        </is>
      </c>
      <c r="N29" s="4" t="inlineStr">
        <is>
          <t>screening</t>
        </is>
      </c>
      <c r="O29" s="4" t="inlineStr">
        <is>
          <t>high</t>
        </is>
      </c>
      <c r="P29" s="4" t="n">
        <v>0</v>
      </c>
      <c r="Q29" s="4" t="n">
        <v>0</v>
      </c>
      <c r="R29" s="4" t="n">
        <v>0</v>
      </c>
      <c r="S29" s="4" t="n">
        <v>0</v>
      </c>
      <c r="T29" s="4" t="n">
        <v>0</v>
      </c>
      <c r="U29" s="4" t="n">
        <v>0</v>
      </c>
      <c r="V29" s="4" t="n">
        <v>0</v>
      </c>
      <c r="W29" s="4" t="n">
        <v>0</v>
      </c>
      <c r="X29" s="4" t="n">
        <v>1</v>
      </c>
      <c r="Y29" s="4" t="n">
        <v>1</v>
      </c>
      <c r="Z29" s="4" t="n">
        <v>0</v>
      </c>
      <c r="AA29" s="4" t="n">
        <v>0</v>
      </c>
      <c r="AB29" s="4" t="inlineStr">
        <is>
          <t>1900-01-01</t>
        </is>
      </c>
      <c r="AC29" s="4" t="n">
        <v>0</v>
      </c>
      <c r="AD29" s="4" t="n">
        <v>0</v>
      </c>
      <c r="AE29" s="4" t="n">
        <v>0</v>
      </c>
      <c r="AF29" s="4" t="n">
        <v>0</v>
      </c>
      <c r="AG29" s="4" t="n">
        <v>1</v>
      </c>
      <c r="AH29" s="4" t="n">
        <v>0</v>
      </c>
      <c r="AI29" s="4" t="n">
        <v>0</v>
      </c>
      <c r="AJ29" s="4" t="inlineStr">
        <is>
          <t>00:00:00</t>
        </is>
      </c>
      <c r="AK29" s="4" t="inlineStr">
        <is>
          <t>none_reported</t>
        </is>
      </c>
      <c r="AL29" s="4" t="inlineStr">
        <is>
          <t>Hybrid architecture includes ViT + (Adaptive Residual DenseNet) + LSTM; mapped to Transformer as primary component.</t>
        </is>
      </c>
      <c r="AM29" s="4" t="inlineStr">
        <is>
          <t>RB</t>
        </is>
      </c>
      <c r="AN29" s="4" t="inlineStr">
        <is>
          <t>Tomado completo desde archivo RB según asignación</t>
        </is>
      </c>
      <c r="AO29" s="4" t="n">
        <v>0</v>
      </c>
      <c r="AP29" s="4" t="n">
        <v>0</v>
      </c>
      <c r="AQ29" s="4" t="n">
        <v>0</v>
      </c>
      <c r="AR29" s="4" t="n">
        <v>0</v>
      </c>
      <c r="AS29" s="4" t="n">
        <v>0</v>
      </c>
      <c r="AT29" s="4" t="n">
        <v>0</v>
      </c>
      <c r="AU29" s="4" t="n">
        <v>0</v>
      </c>
      <c r="AV29" s="4" t="n">
        <v>0</v>
      </c>
      <c r="AW29" s="4" t="inlineStr">
        <is>
          <t>finalized_from_available_evidence</t>
        </is>
      </c>
      <c r="AX29" s="4" t="inlineStr">
        <is>
          <t>0 means no reported evidence in title/abstract/notes/coding; it is not proof of true absence.</t>
        </is>
      </c>
    </row>
    <row r="30" ht="333" customHeight="1">
      <c r="A30" s="4" t="n">
        <v>29</v>
      </c>
      <c r="B30" s="4" t="n">
        <v>30</v>
      </c>
      <c r="C30" s="4" t="inlineStr">
        <is>
          <t>Revisor B</t>
        </is>
      </c>
      <c r="D30" s="4" t="n"/>
      <c r="E30" s="4" t="n">
        <v>2020</v>
      </c>
      <c r="F30" s="4" t="inlineStr">
        <is>
          <t>No especificado</t>
        </is>
      </c>
      <c r="G30" s="4" t="inlineStr">
        <is>
          <t>Híbrido</t>
        </is>
      </c>
      <c r="H30" s="4" t="inlineStr">
        <is>
          <t>https://doi.org/10.1016/j.procs.2020.03.399</t>
        </is>
      </c>
      <c r="I30" s="4" t="inlineStr">
        <is>
          <t>Analysis and Detection of Autism Spectrum Disorder Using Machine Learning Techniques</t>
        </is>
      </c>
      <c r="J30" s="4" t="inlineStr">
        <is>
          <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t>
        </is>
      </c>
      <c r="K30" s="4" t="inlineStr">
        <is>
          <t>Supervised</t>
        </is>
      </c>
      <c r="L30" s="4" t="inlineStr">
        <is>
          <t>CNN</t>
        </is>
      </c>
      <c r="M30" s="4" t="inlineStr">
        <is>
          <t>Classification (binary/multi-class; incl. ASD vs control)/ multi-class)</t>
        </is>
      </c>
      <c r="N30" s="4" t="inlineStr">
        <is>
          <t>screening</t>
        </is>
      </c>
      <c r="O30" s="4" t="inlineStr">
        <is>
          <t>high</t>
        </is>
      </c>
      <c r="P30" s="4" t="n">
        <v>1</v>
      </c>
      <c r="Q30" s="4" t="n">
        <v>0</v>
      </c>
      <c r="R30" s="4" t="n">
        <v>0</v>
      </c>
      <c r="S30" s="4" t="n">
        <v>0</v>
      </c>
      <c r="T30" s="4" t="n">
        <v>0</v>
      </c>
      <c r="U30" s="4" t="n">
        <v>0</v>
      </c>
      <c r="V30" s="4" t="n">
        <v>0</v>
      </c>
      <c r="W30" s="4" t="n">
        <v>0</v>
      </c>
      <c r="X30" s="4" t="n">
        <v>1</v>
      </c>
      <c r="Y30" s="4" t="n">
        <v>1</v>
      </c>
      <c r="Z30" s="4" t="n">
        <v>0</v>
      </c>
      <c r="AA30" s="4" t="n">
        <v>0</v>
      </c>
      <c r="AB30" s="4" t="inlineStr">
        <is>
          <t>1900-01-01</t>
        </is>
      </c>
      <c r="AC30" s="4" t="n">
        <v>0</v>
      </c>
      <c r="AD30" s="4" t="n">
        <v>0</v>
      </c>
      <c r="AE30" s="4" t="n">
        <v>0</v>
      </c>
      <c r="AF30" s="4" t="n">
        <v>0</v>
      </c>
      <c r="AG30" s="4" t="n">
        <v>1</v>
      </c>
      <c r="AH30" s="4" t="n">
        <v>1</v>
      </c>
      <c r="AI30" s="4" t="n">
        <v>0</v>
      </c>
      <c r="AJ30" s="4" t="inlineStr">
        <is>
          <t>00:00:00</t>
        </is>
      </c>
      <c r="AK30" s="4" t="inlineStr">
        <is>
          <t>none_reported</t>
        </is>
      </c>
      <c r="AL30" s="4" t="inlineStr">
        <is>
          <t>Comparan varios algoritmos (Naive Bayes, SVM, LR, KNN, NN y CNN); para tu columna AI_algorithm_main conviene poner CNN porque es el que señalan como mejor globalmente</t>
        </is>
      </c>
      <c r="AM30" s="4" t="inlineStr">
        <is>
          <t>RB</t>
        </is>
      </c>
      <c r="AN30" s="4" t="inlineStr">
        <is>
          <t>Tomado completo desde archivo RB según asignación</t>
        </is>
      </c>
      <c r="AO30" s="4" t="n">
        <v>0</v>
      </c>
      <c r="AP30" s="4" t="n">
        <v>0</v>
      </c>
      <c r="AQ30" s="4" t="n">
        <v>0</v>
      </c>
      <c r="AR30" s="4" t="n">
        <v>0</v>
      </c>
      <c r="AS30" s="4" t="n">
        <v>0</v>
      </c>
      <c r="AT30" s="4" t="n">
        <v>0</v>
      </c>
      <c r="AU30" s="4" t="n">
        <v>0</v>
      </c>
      <c r="AV30" s="4" t="n">
        <v>0</v>
      </c>
      <c r="AW30" s="4" t="inlineStr">
        <is>
          <t>finalized_from_available_evidence</t>
        </is>
      </c>
      <c r="AX30" s="4" t="inlineStr">
        <is>
          <t>0 means no reported evidence in title/abstract/notes/coding; it is not proof of true absence.</t>
        </is>
      </c>
    </row>
    <row r="31" ht="242" customHeight="1">
      <c r="A31" s="4" t="n">
        <v>30</v>
      </c>
      <c r="B31" s="4" t="n">
        <v>31</v>
      </c>
      <c r="C31" s="4" t="inlineStr">
        <is>
          <t>Revisor B</t>
        </is>
      </c>
      <c r="D31" s="4" t="n"/>
      <c r="E31" s="4" t="n">
        <v>2021</v>
      </c>
      <c r="F31" s="4" t="inlineStr">
        <is>
          <t>No especificado</t>
        </is>
      </c>
      <c r="G31" s="4" t="inlineStr">
        <is>
          <t>Deep Learning</t>
        </is>
      </c>
      <c r="H31" s="4" t="inlineStr">
        <is>
          <t>https://doi.org/10.1016/j.gltp.2021.08.042</t>
        </is>
      </c>
      <c r="I31" s="4" t="inlineStr">
        <is>
          <t>ASD classification for children using deep neural network</t>
        </is>
      </c>
      <c r="J31" s="4" t="inlineStr">
        <is>
          <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t>
        </is>
      </c>
      <c r="K31" s="4" t="inlineStr">
        <is>
          <t>Supervised</t>
        </is>
      </c>
      <c r="L31" s="4" t="inlineStr">
        <is>
          <t>MLP</t>
        </is>
      </c>
      <c r="M31" s="4" t="inlineStr">
        <is>
          <t>Classification (binary/multi-class; incl. ASD vs control)/ multi-class)</t>
        </is>
      </c>
      <c r="N31" s="4" t="inlineStr">
        <is>
          <t>diagnosis</t>
        </is>
      </c>
      <c r="O31" s="4" t="inlineStr">
        <is>
          <t>high</t>
        </is>
      </c>
      <c r="P31" s="4" t="n">
        <v>1</v>
      </c>
      <c r="Q31" s="4" t="n">
        <v>0</v>
      </c>
      <c r="R31" s="4" t="n">
        <v>0</v>
      </c>
      <c r="S31" s="4" t="n">
        <v>0</v>
      </c>
      <c r="T31" s="4" t="n">
        <v>0</v>
      </c>
      <c r="U31" s="4" t="n">
        <v>0</v>
      </c>
      <c r="V31" s="4" t="n">
        <v>0</v>
      </c>
      <c r="W31" s="4" t="n">
        <v>0</v>
      </c>
      <c r="X31" s="4" t="n">
        <v>0</v>
      </c>
      <c r="Y31" s="4" t="n">
        <v>1</v>
      </c>
      <c r="Z31" s="4" t="n">
        <v>0</v>
      </c>
      <c r="AA31" s="4" t="n">
        <v>0</v>
      </c>
      <c r="AB31" s="4" t="inlineStr">
        <is>
          <t>1900-01-01</t>
        </is>
      </c>
      <c r="AC31" s="4" t="n">
        <v>0</v>
      </c>
      <c r="AD31" s="4" t="n">
        <v>0</v>
      </c>
      <c r="AE31" s="4" t="n">
        <v>0</v>
      </c>
      <c r="AF31" s="4" t="n">
        <v>0</v>
      </c>
      <c r="AG31" s="4" t="n">
        <v>0</v>
      </c>
      <c r="AH31" s="4" t="n">
        <v>1</v>
      </c>
      <c r="AI31" s="4" t="n">
        <v>0</v>
      </c>
      <c r="AJ31" s="4" t="inlineStr">
        <is>
          <t>00:00:00</t>
        </is>
      </c>
      <c r="AK31" s="4" t="inlineStr">
        <is>
          <t>none_reported</t>
        </is>
      </c>
      <c r="AL31" s="4" t="inlineStr">
        <is>
          <t>Tabular screening dataset; diffusion mapping + DNN classifier.</t>
        </is>
      </c>
      <c r="AM31" s="4" t="inlineStr">
        <is>
          <t>RB</t>
        </is>
      </c>
      <c r="AN31" s="4" t="inlineStr">
        <is>
          <t>Tomado completo desde archivo RB según asignación</t>
        </is>
      </c>
      <c r="AO31" s="4" t="n">
        <v>0</v>
      </c>
      <c r="AP31" s="4" t="n">
        <v>0</v>
      </c>
      <c r="AQ31" s="4" t="n">
        <v>0</v>
      </c>
      <c r="AR31" s="4" t="n">
        <v>0</v>
      </c>
      <c r="AS31" s="4" t="n">
        <v>0</v>
      </c>
      <c r="AT31" s="4" t="n">
        <v>0</v>
      </c>
      <c r="AU31" s="4" t="n">
        <v>0</v>
      </c>
      <c r="AV31" s="4" t="n">
        <v>0</v>
      </c>
      <c r="AW31" s="4" t="inlineStr">
        <is>
          <t>finalized_from_available_evidence</t>
        </is>
      </c>
      <c r="AX31" s="4" t="inlineStr">
        <is>
          <t>0 means no reported evidence in title/abstract/notes/coding; it is not proof of true absence.</t>
        </is>
      </c>
    </row>
    <row r="32" ht="359" customHeight="1">
      <c r="A32" s="4" t="n">
        <v>31</v>
      </c>
      <c r="B32" s="4" t="n">
        <v>32</v>
      </c>
      <c r="C32" s="4" t="inlineStr">
        <is>
          <t>Revisor B</t>
        </is>
      </c>
      <c r="D32" s="4" t="n"/>
      <c r="E32" s="4" t="n">
        <v>2025</v>
      </c>
      <c r="F32" s="4" t="inlineStr">
        <is>
          <t>Señales fisiológicas</t>
        </is>
      </c>
      <c r="G32" s="4" t="inlineStr">
        <is>
          <t>Machine Learning</t>
        </is>
      </c>
      <c r="H32" s="4" t="inlineStr">
        <is>
          <t>https://doi.org/10.1016/j.compbiomed.2025.110723</t>
        </is>
      </c>
      <c r="I32" s="4" t="inlineStr">
        <is>
          <t>ASD-GraphNet: A novel graph learning approach for Autism Spectrum Disorder diagnosis using fMRI data</t>
        </is>
      </c>
      <c r="J32" s="4"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K32" s="4" t="inlineStr">
        <is>
          <t>Supervised</t>
        </is>
      </c>
      <c r="L32" s="4" t="inlineStr">
        <is>
          <t>Not clear</t>
        </is>
      </c>
      <c r="M32" s="4" t="inlineStr">
        <is>
          <t>Classification (binary/multi-class; incl. ASD vs control)/ multi-class)</t>
        </is>
      </c>
      <c r="N32" s="4" t="inlineStr">
        <is>
          <t>diagnosis</t>
        </is>
      </c>
      <c r="O32" s="4" t="inlineStr">
        <is>
          <t>high</t>
        </is>
      </c>
      <c r="P32" s="4" t="n">
        <v>0</v>
      </c>
      <c r="Q32" s="4" t="n">
        <v>0</v>
      </c>
      <c r="R32" s="4" t="n">
        <v>0</v>
      </c>
      <c r="S32" s="4" t="n">
        <v>0</v>
      </c>
      <c r="T32" s="4" t="n">
        <v>0</v>
      </c>
      <c r="U32" s="4" t="n">
        <v>0</v>
      </c>
      <c r="V32" s="4" t="n">
        <v>0</v>
      </c>
      <c r="W32" s="4" t="n">
        <v>0</v>
      </c>
      <c r="X32" s="4" t="n">
        <v>0</v>
      </c>
      <c r="Y32" s="4" t="n">
        <v>1</v>
      </c>
      <c r="Z32" s="4" t="n">
        <v>0</v>
      </c>
      <c r="AA32" s="4" t="n">
        <v>1</v>
      </c>
      <c r="AB32" s="4" t="inlineStr">
        <is>
          <t>1900-01-01</t>
        </is>
      </c>
      <c r="AC32" s="4" t="n">
        <v>0</v>
      </c>
      <c r="AD32" s="4" t="n">
        <v>1</v>
      </c>
      <c r="AE32" s="4" t="n">
        <v>0</v>
      </c>
      <c r="AF32" s="4" t="n">
        <v>0</v>
      </c>
      <c r="AG32" s="4" t="n">
        <v>1</v>
      </c>
      <c r="AH32" s="4" t="n">
        <v>0</v>
      </c>
      <c r="AI32" s="4" t="n">
        <v>0</v>
      </c>
      <c r="AJ32" s="4" t="inlineStr">
        <is>
          <t>00:00:00</t>
        </is>
      </c>
      <c r="AK32" s="4" t="inlineStr">
        <is>
          <t>explainability_or_interpretability; multisite_dataset_broad</t>
        </is>
      </c>
      <c r="AL32" s="4" t="inlineStr">
        <is>
          <t>Graph feature engineering + classifier comparison (LR, SVM, XGBoost/LightGBM); main/best model not specified in abstract</t>
        </is>
      </c>
      <c r="AM32" s="4" t="inlineStr">
        <is>
          <t>RB</t>
        </is>
      </c>
      <c r="AN32" s="4" t="inlineStr">
        <is>
          <t>Tomado completo desde archivo RB según asignación</t>
        </is>
      </c>
      <c r="AO32" s="4" t="n">
        <v>0</v>
      </c>
      <c r="AP32" s="4" t="n">
        <v>0</v>
      </c>
      <c r="AQ32" s="4" t="n">
        <v>1</v>
      </c>
      <c r="AR32" s="4" t="n">
        <v>0</v>
      </c>
      <c r="AS32" s="4" t="n">
        <v>0</v>
      </c>
      <c r="AT32" s="4" t="n">
        <v>0</v>
      </c>
      <c r="AU32" s="4" t="n">
        <v>1</v>
      </c>
      <c r="AV32" s="4" t="n">
        <v>0</v>
      </c>
      <c r="AW32" s="4" t="inlineStr">
        <is>
          <t>finalized_from_available_evidence</t>
        </is>
      </c>
      <c r="AX32" s="4" t="inlineStr">
        <is>
          <t>0 means no reported evidence in title/abstract/notes/coding; it is not proof of true absence.</t>
        </is>
      </c>
    </row>
    <row r="33" ht="346" customHeight="1">
      <c r="A33" s="4" t="n">
        <v>32</v>
      </c>
      <c r="B33" s="4" t="n">
        <v>33</v>
      </c>
      <c r="C33" s="4" t="inlineStr">
        <is>
          <t>Revisor A</t>
        </is>
      </c>
      <c r="D33" s="4" t="inlineStr">
        <is>
          <t>RA</t>
        </is>
      </c>
      <c r="E33" s="4" t="n">
        <v>2020</v>
      </c>
      <c r="F33" s="4" t="inlineStr">
        <is>
          <t>No especificado</t>
        </is>
      </c>
      <c r="G33" s="4" t="inlineStr">
        <is>
          <t>Deep Learning</t>
        </is>
      </c>
      <c r="H33" s="4" t="inlineStr">
        <is>
          <t>https://doi.org/10.1016/j.jbiomech.2020.110073</t>
        </is>
      </c>
      <c r="I33" s="4" t="inlineStr">
        <is>
          <t>Automated identification of postural control for children with autism spectrum disorder using a machine learning approach</t>
        </is>
      </c>
      <c r="J33" s="4" t="inlineStr">
        <is>
          <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t>
        </is>
      </c>
      <c r="K33" s="4" t="inlineStr">
        <is>
          <t>Supervised</t>
        </is>
      </c>
      <c r="L33" s="4" t="inlineStr">
        <is>
          <t>Naive Bayes</t>
        </is>
      </c>
      <c r="M33" s="4" t="inlineStr">
        <is>
          <t>Classification (ASD vs control / multi-class)</t>
        </is>
      </c>
      <c r="N33" s="4" t="inlineStr">
        <is>
          <t>Diagnosis</t>
        </is>
      </c>
      <c r="O33" s="4" t="inlineStr">
        <is>
          <t>High</t>
        </is>
      </c>
      <c r="P33" s="4" t="n">
        <v>0</v>
      </c>
      <c r="Q33" s="4" t="n">
        <v>1</v>
      </c>
      <c r="R33" s="4" t="n">
        <v>0</v>
      </c>
      <c r="S33" s="4" t="n">
        <v>0</v>
      </c>
      <c r="T33" s="4" t="n">
        <v>0</v>
      </c>
      <c r="U33" s="4" t="n">
        <v>0</v>
      </c>
      <c r="V33" s="4" t="n">
        <v>0</v>
      </c>
      <c r="W33" s="4" t="n">
        <v>0</v>
      </c>
      <c r="X33" s="4" t="n">
        <v>0</v>
      </c>
      <c r="Y33" s="4" t="n">
        <v>1</v>
      </c>
      <c r="Z33" s="4" t="n">
        <v>0</v>
      </c>
      <c r="AA33" s="4" t="n">
        <v>0</v>
      </c>
      <c r="AB33" s="4" t="inlineStr">
        <is>
          <t>1900-01-01</t>
        </is>
      </c>
      <c r="AC33" s="4" t="n">
        <v>0</v>
      </c>
      <c r="AD33" s="4" t="n">
        <v>0</v>
      </c>
      <c r="AE33" s="4" t="n">
        <v>0</v>
      </c>
      <c r="AF33" s="4" t="n">
        <v>0</v>
      </c>
      <c r="AG33" s="4" t="n">
        <v>0</v>
      </c>
      <c r="AH33" s="4" t="n">
        <v>1</v>
      </c>
      <c r="AI33" s="4" t="inlineStr">
        <is>
          <t>force plate / posture</t>
        </is>
      </c>
      <c r="AJ33" s="4" t="n"/>
      <c r="AK33" s="4" t="inlineStr">
        <is>
          <t>none_reported</t>
        </is>
      </c>
      <c r="AL33" s="4" t="n"/>
      <c r="AM33" s="4" t="inlineStr">
        <is>
          <t>RA</t>
        </is>
      </c>
      <c r="AN33" s="4" t="inlineStr">
        <is>
          <t>Tomado completo desde archivo RA según asignación</t>
        </is>
      </c>
      <c r="AO33" s="4" t="n">
        <v>0</v>
      </c>
      <c r="AP33" s="4" t="n">
        <v>0</v>
      </c>
      <c r="AQ33" s="4" t="n">
        <v>0</v>
      </c>
      <c r="AR33" s="4" t="n">
        <v>0</v>
      </c>
      <c r="AS33" s="4" t="n">
        <v>0</v>
      </c>
      <c r="AT33" s="4" t="n">
        <v>0</v>
      </c>
      <c r="AU33" s="4" t="n">
        <v>0</v>
      </c>
      <c r="AV33" s="4" t="n">
        <v>0</v>
      </c>
      <c r="AW33" s="4" t="inlineStr">
        <is>
          <t>finalized_from_available_evidence</t>
        </is>
      </c>
      <c r="AX33" s="4" t="inlineStr">
        <is>
          <t>0 means no reported evidence in title/abstract/notes/coding; it is not proof of true absence.</t>
        </is>
      </c>
    </row>
    <row r="34" ht="372" customHeight="1">
      <c r="A34" s="4" t="n">
        <v>33</v>
      </c>
      <c r="B34" s="4" t="n">
        <v>34</v>
      </c>
      <c r="C34" s="4" t="inlineStr">
        <is>
          <t>Ambos (piloto)</t>
        </is>
      </c>
      <c r="D34" s="4" t="inlineStr">
        <is>
          <t>RA</t>
        </is>
      </c>
      <c r="E34" s="4" t="n">
        <v>2017</v>
      </c>
      <c r="F34" s="4" t="inlineStr">
        <is>
          <t>Señales fisiológicas</t>
        </is>
      </c>
      <c r="G34" s="4" t="inlineStr">
        <is>
          <t>Machine Learning</t>
        </is>
      </c>
      <c r="H34" s="4" t="inlineStr">
        <is>
          <t>https://doi.org/10.1089/brain.2017.0496</t>
        </is>
      </c>
      <c r="I34" s="4" t="inlineStr">
        <is>
          <t>Distributed Intrinsic Functional Connectivity Patterns Predict Diagnostic Status in Large Autism Cohort</t>
        </is>
      </c>
      <c r="J34" s="4" t="inlineStr">
        <is>
          <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t>
        </is>
      </c>
      <c r="K34" s="4" t="inlineStr">
        <is>
          <t>Supervised</t>
        </is>
      </c>
      <c r="L34" s="4" t="inlineStr">
        <is>
          <t>Random Forest</t>
        </is>
      </c>
      <c r="M34" s="4" t="inlineStr">
        <is>
          <t>Classification (ASD vs control / multi-class)</t>
        </is>
      </c>
      <c r="N34" s="4" t="inlineStr">
        <is>
          <t>Diagnosis</t>
        </is>
      </c>
      <c r="O34" s="4" t="inlineStr">
        <is>
          <t>High</t>
        </is>
      </c>
      <c r="P34" s="4" t="n">
        <v>1</v>
      </c>
      <c r="Q34" s="4" t="n">
        <v>0</v>
      </c>
      <c r="R34" s="4" t="n">
        <v>0</v>
      </c>
      <c r="S34" s="4" t="n">
        <v>0</v>
      </c>
      <c r="T34" s="4" t="n">
        <v>0</v>
      </c>
      <c r="U34" s="4" t="n">
        <v>0</v>
      </c>
      <c r="V34" s="4" t="n">
        <v>0</v>
      </c>
      <c r="W34" s="4" t="n">
        <v>0</v>
      </c>
      <c r="X34" s="4" t="n">
        <v>0</v>
      </c>
      <c r="Y34" s="4" t="n">
        <v>1</v>
      </c>
      <c r="Z34" s="4" t="n">
        <v>0</v>
      </c>
      <c r="AA34" s="4" t="n">
        <v>0</v>
      </c>
      <c r="AB34" s="4" t="inlineStr">
        <is>
          <t>1900-01-01</t>
        </is>
      </c>
      <c r="AC34" s="4" t="n">
        <v>1</v>
      </c>
      <c r="AD34" s="4" t="n">
        <v>0</v>
      </c>
      <c r="AE34" s="4" t="n">
        <v>0</v>
      </c>
      <c r="AF34" s="4" t="n">
        <v>0</v>
      </c>
      <c r="AG34" s="4" t="n">
        <v>0</v>
      </c>
      <c r="AH34" s="4" t="n">
        <v>1</v>
      </c>
      <c r="AI34" s="4" t="n"/>
      <c r="AJ34" s="4" t="n"/>
      <c r="AK34" s="4" t="inlineStr">
        <is>
          <t>external_validation</t>
        </is>
      </c>
      <c r="AL34" s="4" t="inlineStr">
        <is>
          <t>Usa conditional random forest sobre rs-fMRI para clasificación diagnóstica.</t>
        </is>
      </c>
      <c r="AM34" s="4" t="inlineStr">
        <is>
          <t>RA</t>
        </is>
      </c>
      <c r="AN34" s="4" t="inlineStr">
        <is>
          <t>Tomado completo desde archivo RA según asignación</t>
        </is>
      </c>
      <c r="AO34" s="4" t="n">
        <v>0</v>
      </c>
      <c r="AP34" s="4" t="n">
        <v>0</v>
      </c>
      <c r="AQ34" s="4" t="n">
        <v>0</v>
      </c>
      <c r="AR34" s="4" t="n">
        <v>0</v>
      </c>
      <c r="AS34" s="4" t="n">
        <v>0</v>
      </c>
      <c r="AT34" s="4" t="n">
        <v>0</v>
      </c>
      <c r="AU34" s="4" t="n">
        <v>0</v>
      </c>
      <c r="AV34" s="4" t="n">
        <v>0</v>
      </c>
      <c r="AW34" s="4" t="inlineStr">
        <is>
          <t>finalized_from_available_evidence</t>
        </is>
      </c>
      <c r="AX34" s="4" t="inlineStr">
        <is>
          <t>0 means no reported evidence in title/abstract/notes/coding; it is not proof of true absence.</t>
        </is>
      </c>
    </row>
    <row r="35" ht="359" customHeight="1">
      <c r="A35" s="4" t="n">
        <v>34</v>
      </c>
      <c r="B35" s="4" t="n">
        <v>35</v>
      </c>
      <c r="C35" s="4" t="inlineStr">
        <is>
          <t>Revisor A</t>
        </is>
      </c>
      <c r="D35" s="4" t="inlineStr">
        <is>
          <t>RA</t>
        </is>
      </c>
      <c r="E35" s="4" t="n">
        <v>2019</v>
      </c>
      <c r="F35" s="4" t="inlineStr">
        <is>
          <t>Imagen</t>
        </is>
      </c>
      <c r="G35" s="4" t="inlineStr">
        <is>
          <t>Híbrido</t>
        </is>
      </c>
      <c r="H35" s="4" t="inlineStr">
        <is>
          <t>https://doi.org/10.3389/FNCOM.2019.00009/FULL</t>
        </is>
      </c>
      <c r="I35" s="4" t="inlineStr">
        <is>
          <t>Enhancing diagnosis of autism with optimized machine learning models and personal characteristic data</t>
        </is>
      </c>
      <c r="J35" s="4" t="inlineStr">
        <is>
          <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t>
        </is>
      </c>
      <c r="K35" s="4" t="inlineStr">
        <is>
          <t>Supervised</t>
        </is>
      </c>
      <c r="L35" s="4" t="inlineStr">
        <is>
          <t>MLP</t>
        </is>
      </c>
      <c r="M35" s="4" t="inlineStr">
        <is>
          <t>Classification (ASD vs control / multi-class)</t>
        </is>
      </c>
      <c r="N35" s="4" t="inlineStr">
        <is>
          <t>Diagnosis</t>
        </is>
      </c>
      <c r="O35" s="4" t="inlineStr">
        <is>
          <t>High</t>
        </is>
      </c>
      <c r="P35" s="4" t="n">
        <v>0</v>
      </c>
      <c r="Q35" s="4" t="n">
        <v>0</v>
      </c>
      <c r="R35" s="4" t="n">
        <v>0</v>
      </c>
      <c r="S35" s="4" t="n">
        <v>0</v>
      </c>
      <c r="T35" s="4" t="n">
        <v>1</v>
      </c>
      <c r="U35" s="4" t="n">
        <v>0</v>
      </c>
      <c r="V35" s="4" t="n">
        <v>0</v>
      </c>
      <c r="W35" s="4" t="n">
        <v>0</v>
      </c>
      <c r="X35" s="4" t="n">
        <v>0</v>
      </c>
      <c r="Y35" s="4" t="n">
        <v>1</v>
      </c>
      <c r="Z35" s="4" t="n">
        <v>0</v>
      </c>
      <c r="AA35" s="4" t="n">
        <v>0</v>
      </c>
      <c r="AB35" s="4" t="inlineStr">
        <is>
          <t>1900-01-01</t>
        </is>
      </c>
      <c r="AC35" s="4" t="n">
        <v>0</v>
      </c>
      <c r="AD35" s="4" t="n">
        <v>0</v>
      </c>
      <c r="AE35" s="4" t="n">
        <v>0</v>
      </c>
      <c r="AF35" s="4" t="n">
        <v>0</v>
      </c>
      <c r="AG35" s="4" t="n">
        <v>0</v>
      </c>
      <c r="AH35" s="4" t="n">
        <v>1</v>
      </c>
      <c r="AI35" s="4" t="n"/>
      <c r="AJ35" s="4" t="n"/>
      <c r="AK35" s="4" t="inlineStr">
        <is>
          <t>multisite_dataset_broad; internal_validation_only</t>
        </is>
      </c>
      <c r="AL35" s="4" t="inlineStr">
        <is>
          <t>Usa solo personal characteristic data de ABIDE; red neuronal fue el mejor modelo.</t>
        </is>
      </c>
      <c r="AM35" s="4" t="inlineStr">
        <is>
          <t>RA</t>
        </is>
      </c>
      <c r="AN35" s="4" t="inlineStr">
        <is>
          <t>Tomado completo desde archivo RA según asignación</t>
        </is>
      </c>
      <c r="AO35" s="4" t="n">
        <v>0</v>
      </c>
      <c r="AP35" s="4" t="n">
        <v>0</v>
      </c>
      <c r="AQ35" s="4" t="n">
        <v>1</v>
      </c>
      <c r="AR35" s="4" t="n">
        <v>1</v>
      </c>
      <c r="AS35" s="4" t="n">
        <v>0</v>
      </c>
      <c r="AT35" s="4" t="n">
        <v>0</v>
      </c>
      <c r="AU35" s="4" t="n">
        <v>0</v>
      </c>
      <c r="AV35" s="4" t="n">
        <v>0</v>
      </c>
      <c r="AW35" s="4" t="inlineStr">
        <is>
          <t>finalized_from_available_evidence</t>
        </is>
      </c>
      <c r="AX35" s="4" t="inlineStr">
        <is>
          <t>0 means no reported evidence in title/abstract/notes/coding; it is not proof of true absence.</t>
        </is>
      </c>
    </row>
    <row r="36" ht="346" customHeight="1">
      <c r="A36" s="4" t="n">
        <v>35</v>
      </c>
      <c r="B36" s="4" t="n">
        <v>36</v>
      </c>
      <c r="C36" s="4" t="inlineStr">
        <is>
          <t>Revisor A</t>
        </is>
      </c>
      <c r="D36" s="4" t="inlineStr">
        <is>
          <t>RA</t>
        </is>
      </c>
      <c r="E36" s="4" t="n">
        <v>2024</v>
      </c>
      <c r="F36" s="4" t="inlineStr">
        <is>
          <t>No especificado</t>
        </is>
      </c>
      <c r="G36" s="4" t="inlineStr">
        <is>
          <t>Machine Learning</t>
        </is>
      </c>
      <c r="H36" s="4" t="inlineStr">
        <is>
          <t>https://doi.org/10.1016/j.prime.2024.100602</t>
        </is>
      </c>
      <c r="I36" s="4" t="inlineStr">
        <is>
          <t>Investigating multiclass autism spectrum disorder classification using machine learning techniques</t>
        </is>
      </c>
      <c r="J36" s="4" t="inlineStr">
        <is>
          <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t>
        </is>
      </c>
      <c r="K36" s="4" t="inlineStr">
        <is>
          <t>Supervised</t>
        </is>
      </c>
      <c r="L36" s="4" t="inlineStr">
        <is>
          <t>Logistic Regression</t>
        </is>
      </c>
      <c r="M36" s="4" t="inlineStr">
        <is>
          <t>Classification (ASD vs control / multi-class)</t>
        </is>
      </c>
      <c r="N36" s="4" t="inlineStr">
        <is>
          <t>Diagnosis</t>
        </is>
      </c>
      <c r="O36" s="4" t="inlineStr">
        <is>
          <t>Medium</t>
        </is>
      </c>
      <c r="P36" s="4" t="n">
        <v>0</v>
      </c>
      <c r="Q36" s="4" t="n">
        <v>0</v>
      </c>
      <c r="R36" s="4" t="n">
        <v>0</v>
      </c>
      <c r="S36" s="4" t="n">
        <v>0</v>
      </c>
      <c r="T36" s="4" t="n">
        <v>1</v>
      </c>
      <c r="U36" s="4" t="n">
        <v>0</v>
      </c>
      <c r="V36" s="4" t="n">
        <v>0</v>
      </c>
      <c r="W36" s="4" t="n">
        <v>0</v>
      </c>
      <c r="X36" s="4" t="n">
        <v>0</v>
      </c>
      <c r="Y36" s="4" t="n">
        <v>1</v>
      </c>
      <c r="Z36" s="4" t="n">
        <v>0</v>
      </c>
      <c r="AA36" s="4" t="n">
        <v>0</v>
      </c>
      <c r="AB36" s="4" t="inlineStr">
        <is>
          <t>1900-01-01</t>
        </is>
      </c>
      <c r="AC36" s="4" t="n">
        <v>0</v>
      </c>
      <c r="AD36" s="4" t="n">
        <v>0</v>
      </c>
      <c r="AE36" s="4" t="n">
        <v>0</v>
      </c>
      <c r="AF36" s="4" t="n">
        <v>0</v>
      </c>
      <c r="AG36" s="4" t="n">
        <v>1</v>
      </c>
      <c r="AH36" s="4" t="n">
        <v>1</v>
      </c>
      <c r="AI36" s="4" t="n"/>
      <c r="AJ36" s="4" t="n"/>
      <c r="AK36" s="4" t="inlineStr">
        <is>
          <t>none_reported</t>
        </is>
      </c>
      <c r="AL36" s="4" t="inlineStr">
        <is>
          <t>LR y SVM destacan; se selecciona LR como principal por mejor desempeño reportado en varios subconjuntos.</t>
        </is>
      </c>
      <c r="AM36" s="4" t="inlineStr">
        <is>
          <t>RA</t>
        </is>
      </c>
      <c r="AN36" s="4" t="inlineStr">
        <is>
          <t>Tomado completo desde archivo RA según asignación</t>
        </is>
      </c>
      <c r="AO36" s="4" t="n">
        <v>0</v>
      </c>
      <c r="AP36" s="4" t="n">
        <v>0</v>
      </c>
      <c r="AQ36" s="4" t="n">
        <v>0</v>
      </c>
      <c r="AR36" s="4" t="n">
        <v>0</v>
      </c>
      <c r="AS36" s="4" t="n">
        <v>0</v>
      </c>
      <c r="AT36" s="4" t="n">
        <v>0</v>
      </c>
      <c r="AU36" s="4" t="n">
        <v>0</v>
      </c>
      <c r="AV36" s="4" t="n">
        <v>0</v>
      </c>
      <c r="AW36" s="4" t="inlineStr">
        <is>
          <t>finalized_from_available_evidence</t>
        </is>
      </c>
      <c r="AX36" s="4" t="inlineStr">
        <is>
          <t>0 means no reported evidence in title/abstract/notes/coding; it is not proof of true absence.</t>
        </is>
      </c>
    </row>
    <row r="37" ht="346" customHeight="1">
      <c r="A37" s="4" t="n">
        <v>36</v>
      </c>
      <c r="B37" s="4" t="n">
        <v>37</v>
      </c>
      <c r="C37" s="4" t="inlineStr">
        <is>
          <t>Revisor B</t>
        </is>
      </c>
      <c r="D37" s="4" t="n"/>
      <c r="E37" s="4" t="n">
        <v>2023</v>
      </c>
      <c r="F37" s="4" t="inlineStr">
        <is>
          <t>No especificado</t>
        </is>
      </c>
      <c r="G37" s="4" t="inlineStr">
        <is>
          <t>Deep Learning</t>
        </is>
      </c>
      <c r="H37" s="4" t="inlineStr">
        <is>
          <t>https://doi.org/10.32604/cmc.2023.032586</t>
        </is>
      </c>
      <c r="I37" s="4" t="inlineStr">
        <is>
          <t>Jellyfish Search Optimization with Deep Learning Driven Autism Spectrum Disorder Classification</t>
        </is>
      </c>
      <c r="J37" s="4" t="inlineStr">
        <is>
          <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t>
        </is>
      </c>
      <c r="K37" s="4" t="inlineStr">
        <is>
          <t>Supervised</t>
        </is>
      </c>
      <c r="L37" s="4" t="inlineStr">
        <is>
          <t>RNN/LSTM/GRU</t>
        </is>
      </c>
      <c r="M37" s="4" t="inlineStr">
        <is>
          <t>Classification (ASD vs control / multi-class)</t>
        </is>
      </c>
      <c r="N37" s="4" t="inlineStr">
        <is>
          <t>prognosis</t>
        </is>
      </c>
      <c r="O37" s="4" t="inlineStr">
        <is>
          <t>high</t>
        </is>
      </c>
      <c r="P37" s="4" t="n">
        <v>0</v>
      </c>
      <c r="Q37" s="4" t="n">
        <v>1</v>
      </c>
      <c r="R37" s="4" t="n">
        <v>0</v>
      </c>
      <c r="S37" s="4" t="n">
        <v>0</v>
      </c>
      <c r="T37" s="4" t="n">
        <v>0</v>
      </c>
      <c r="U37" s="4" t="n">
        <v>1</v>
      </c>
      <c r="V37" s="4" t="n">
        <v>0</v>
      </c>
      <c r="W37" s="4" t="n">
        <v>0</v>
      </c>
      <c r="X37" s="4" t="n">
        <v>0</v>
      </c>
      <c r="Y37" s="4" t="n">
        <v>0</v>
      </c>
      <c r="Z37" s="4" t="n">
        <v>1</v>
      </c>
      <c r="AA37" s="4" t="n">
        <v>0</v>
      </c>
      <c r="AB37" s="4" t="inlineStr">
        <is>
          <t>1900-01-01</t>
        </is>
      </c>
      <c r="AC37" s="4" t="n">
        <v>0</v>
      </c>
      <c r="AD37" s="4" t="n">
        <v>0</v>
      </c>
      <c r="AE37" s="4" t="n">
        <v>0</v>
      </c>
      <c r="AF37" s="4" t="n">
        <v>1</v>
      </c>
      <c r="AG37" s="4" t="n">
        <v>0</v>
      </c>
      <c r="AH37" s="4" t="n">
        <v>2</v>
      </c>
      <c r="AI37" s="4" t="n">
        <v>0</v>
      </c>
      <c r="AJ37" s="4" t="inlineStr">
        <is>
          <t>00:00:00</t>
        </is>
      </c>
      <c r="AK37" s="4" t="inlineStr">
        <is>
          <t>multisource_integration</t>
        </is>
      </c>
      <c r="AL37" s="4" t="n"/>
      <c r="AM37" s="4" t="inlineStr">
        <is>
          <t>RB</t>
        </is>
      </c>
      <c r="AN37" s="4" t="inlineStr">
        <is>
          <t>Tomado completo desde archivo RB según asignación</t>
        </is>
      </c>
      <c r="AO37" s="4" t="n">
        <v>0</v>
      </c>
      <c r="AP37" s="4" t="n">
        <v>0</v>
      </c>
      <c r="AQ37" s="4" t="n">
        <v>0</v>
      </c>
      <c r="AR37" s="4" t="n">
        <v>0</v>
      </c>
      <c r="AS37" s="4" t="n">
        <v>0</v>
      </c>
      <c r="AT37" s="4" t="n">
        <v>0</v>
      </c>
      <c r="AU37" s="4" t="n">
        <v>0</v>
      </c>
      <c r="AV37" s="4" t="n">
        <v>1</v>
      </c>
      <c r="AW37" s="4" t="inlineStr">
        <is>
          <t>finalized_from_available_evidence</t>
        </is>
      </c>
      <c r="AX37" s="4" t="inlineStr">
        <is>
          <t>0 means no reported evidence in title/abstract/notes/coding; it is not proof of true absence.</t>
        </is>
      </c>
    </row>
    <row r="38" ht="307" customHeight="1">
      <c r="A38" s="4" t="n">
        <v>37</v>
      </c>
      <c r="B38" s="4" t="n">
        <v>38</v>
      </c>
      <c r="C38" s="4" t="inlineStr">
        <is>
          <t>Revisor B</t>
        </is>
      </c>
      <c r="D38" s="4" t="n"/>
      <c r="E38" s="4" t="n">
        <v>2021</v>
      </c>
      <c r="F38" s="4" t="inlineStr">
        <is>
          <t>Imagen</t>
        </is>
      </c>
      <c r="G38" s="4" t="inlineStr">
        <is>
          <t>Machine Learning</t>
        </is>
      </c>
      <c r="H38" s="4" t="inlineStr">
        <is>
          <t>https://doi.org/10.1038/s41598-021-86320-0</t>
        </is>
      </c>
      <c r="I38" s="4" t="inlineStr">
        <is>
          <t>Machine learning analysis of pregnancy data enables early identification of a subpopulation of newborns with ASD</t>
        </is>
      </c>
      <c r="J38" s="4" t="inlineStr">
        <is>
          <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t>
        </is>
      </c>
      <c r="K38" s="4" t="inlineStr">
        <is>
          <t>Supervised</t>
        </is>
      </c>
      <c r="L38" s="4" t="inlineStr">
        <is>
          <t>XGBoost / GBDT</t>
        </is>
      </c>
      <c r="M38" s="4" t="inlineStr">
        <is>
          <t>Classification (ASD vs control / multi-class)</t>
        </is>
      </c>
      <c r="N38" s="4" t="inlineStr">
        <is>
          <t>diagnosis</t>
        </is>
      </c>
      <c r="O38" s="4" t="inlineStr">
        <is>
          <t>high</t>
        </is>
      </c>
      <c r="P38" s="4" t="n">
        <v>0</v>
      </c>
      <c r="Q38" s="4" t="n">
        <v>0</v>
      </c>
      <c r="R38" s="4" t="n">
        <v>0</v>
      </c>
      <c r="S38" s="4" t="n">
        <v>0</v>
      </c>
      <c r="T38" s="4" t="n">
        <v>0</v>
      </c>
      <c r="U38" s="4" t="n">
        <v>1</v>
      </c>
      <c r="V38" s="4" t="n">
        <v>0</v>
      </c>
      <c r="W38" s="4" t="n">
        <v>0</v>
      </c>
      <c r="X38" s="4" t="n">
        <v>0</v>
      </c>
      <c r="Y38" s="4" t="n">
        <v>1</v>
      </c>
      <c r="Z38" s="4" t="n">
        <v>0</v>
      </c>
      <c r="AA38" s="4" t="n">
        <v>0</v>
      </c>
      <c r="AB38" s="4" t="inlineStr">
        <is>
          <t>1900-01-01</t>
        </is>
      </c>
      <c r="AC38" s="4" t="n">
        <v>0</v>
      </c>
      <c r="AD38" s="4" t="n">
        <v>1</v>
      </c>
      <c r="AE38" s="4" t="n">
        <v>0</v>
      </c>
      <c r="AF38" s="4" t="n">
        <v>0</v>
      </c>
      <c r="AG38" s="4" t="n">
        <v>1</v>
      </c>
      <c r="AH38" s="4" t="n">
        <v>1</v>
      </c>
      <c r="AI38" s="4" t="n">
        <v>0</v>
      </c>
      <c r="AJ38" s="4" t="inlineStr">
        <is>
          <t>00:00:00</t>
        </is>
      </c>
      <c r="AK38" s="4" t="inlineStr">
        <is>
          <t>explainability_or_interpretability; internal_validation_only</t>
        </is>
      </c>
      <c r="AL38" s="4" t="inlineStr">
        <is>
          <t>“Main classifier: Gradient Boosting Decision Trees implemented with XGBoost; feature selection via Lasso (automatic / semi-automatic) + SHAP interpretability; nested CV.</t>
        </is>
      </c>
      <c r="AM38" s="4" t="inlineStr">
        <is>
          <t>RB</t>
        </is>
      </c>
      <c r="AN38" s="4" t="inlineStr">
        <is>
          <t>Tomado completo desde archivo RB según asignación</t>
        </is>
      </c>
      <c r="AO38" s="4" t="n">
        <v>0</v>
      </c>
      <c r="AP38" s="4" t="n">
        <v>0</v>
      </c>
      <c r="AQ38" s="4" t="n">
        <v>0</v>
      </c>
      <c r="AR38" s="4" t="n">
        <v>1</v>
      </c>
      <c r="AS38" s="4" t="n">
        <v>0</v>
      </c>
      <c r="AT38" s="4" t="n">
        <v>1</v>
      </c>
      <c r="AU38" s="4" t="n">
        <v>0</v>
      </c>
      <c r="AV38" s="4" t="n">
        <v>0</v>
      </c>
      <c r="AW38" s="4" t="inlineStr">
        <is>
          <t>finalized_from_available_evidence</t>
        </is>
      </c>
      <c r="AX38" s="4" t="inlineStr">
        <is>
          <t>0 means no reported evidence in title/abstract/notes/coding; it is not proof of true absence.</t>
        </is>
      </c>
    </row>
    <row r="39" ht="281" customHeight="1">
      <c r="A39" s="4" t="n">
        <v>38</v>
      </c>
      <c r="B39" s="4" t="n">
        <v>39</v>
      </c>
      <c r="C39" s="4" t="inlineStr">
        <is>
          <t>Revisor B</t>
        </is>
      </c>
      <c r="D39" s="4" t="n"/>
      <c r="E39" s="4" t="n">
        <v>2023</v>
      </c>
      <c r="F39" s="4" t="inlineStr">
        <is>
          <t>No especificado</t>
        </is>
      </c>
      <c r="G39" s="4" t="inlineStr">
        <is>
          <t>Machine Learning</t>
        </is>
      </c>
      <c r="H39" s="4" t="inlineStr">
        <is>
          <t>https://doi.org/10.3390/ijms24032082</t>
        </is>
      </c>
      <c r="I39" s="4" t="inlineStr">
        <is>
          <t>Machine Learning-Based Blood RNA Signature for Diagnosis of Autism Spectrum Disorder</t>
        </is>
      </c>
      <c r="J39" s="4" t="inlineStr">
        <is>
          <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t>
        </is>
      </c>
      <c r="K39" s="4" t="inlineStr">
        <is>
          <t>Supervised</t>
        </is>
      </c>
      <c r="L39" s="4" t="inlineStr">
        <is>
          <t>Random Forest</t>
        </is>
      </c>
      <c r="M39" s="4" t="inlineStr">
        <is>
          <t>Classification (binary/multi-class; incl. ASD vs control)/ multi-class)</t>
        </is>
      </c>
      <c r="N39" s="4" t="inlineStr">
        <is>
          <t>diagnosis</t>
        </is>
      </c>
      <c r="O39" s="4" t="inlineStr">
        <is>
          <t>high</t>
        </is>
      </c>
      <c r="P39" s="4" t="n">
        <v>0</v>
      </c>
      <c r="Q39" s="4" t="n">
        <v>0</v>
      </c>
      <c r="R39" s="4" t="n">
        <v>0</v>
      </c>
      <c r="S39" s="4" t="n">
        <v>0</v>
      </c>
      <c r="T39" s="4" t="n">
        <v>0</v>
      </c>
      <c r="U39" s="4" t="n">
        <v>1</v>
      </c>
      <c r="V39" s="4" t="n">
        <v>0</v>
      </c>
      <c r="W39" s="4" t="n">
        <v>0</v>
      </c>
      <c r="X39" s="4" t="n">
        <v>0</v>
      </c>
      <c r="Y39" s="4" t="n">
        <v>1</v>
      </c>
      <c r="Z39" s="4" t="n">
        <v>1</v>
      </c>
      <c r="AA39" s="4" t="n">
        <v>1</v>
      </c>
      <c r="AB39" s="4" t="inlineStr">
        <is>
          <t>1900-01-01</t>
        </is>
      </c>
      <c r="AC39" s="4" t="n">
        <v>0</v>
      </c>
      <c r="AD39" s="4" t="n">
        <v>0</v>
      </c>
      <c r="AE39" s="4" t="n">
        <v>0</v>
      </c>
      <c r="AF39" s="4" t="n">
        <v>0</v>
      </c>
      <c r="AG39" s="4" t="n">
        <v>1</v>
      </c>
      <c r="AH39" s="4" t="n">
        <v>1</v>
      </c>
      <c r="AI39" s="4" t="n">
        <v>0</v>
      </c>
      <c r="AJ39" s="4" t="inlineStr">
        <is>
          <t>00:00:00</t>
        </is>
      </c>
      <c r="AK39" s="4" t="inlineStr">
        <is>
          <t>none_reported</t>
        </is>
      </c>
      <c r="AL39" s="4" t="inlineStr">
        <is>
          <t>También usan Extra Trees</t>
        </is>
      </c>
      <c r="AM39" s="4" t="inlineStr">
        <is>
          <t>RB</t>
        </is>
      </c>
      <c r="AN39" s="4" t="inlineStr">
        <is>
          <t>Tomado completo desde archivo RB según asignación</t>
        </is>
      </c>
      <c r="AO39" s="4" t="n">
        <v>0</v>
      </c>
      <c r="AP39" s="4" t="n">
        <v>0</v>
      </c>
      <c r="AQ39" s="4" t="n">
        <v>0</v>
      </c>
      <c r="AR39" s="4" t="n">
        <v>0</v>
      </c>
      <c r="AS39" s="4" t="n">
        <v>0</v>
      </c>
      <c r="AT39" s="4" t="n">
        <v>0</v>
      </c>
      <c r="AU39" s="4" t="n">
        <v>0</v>
      </c>
      <c r="AV39" s="4" t="n">
        <v>0</v>
      </c>
      <c r="AW39" s="4" t="inlineStr">
        <is>
          <t>finalized_from_available_evidence</t>
        </is>
      </c>
      <c r="AX39" s="4" t="inlineStr">
        <is>
          <t>0 means no reported evidence in title/abstract/notes/coding; it is not proof of true absence.</t>
        </is>
      </c>
    </row>
    <row r="40" ht="385" customHeight="1">
      <c r="A40" s="4" t="n">
        <v>39</v>
      </c>
      <c r="B40" s="4" t="n">
        <v>40</v>
      </c>
      <c r="C40" s="4" t="inlineStr">
        <is>
          <t>Revisor B</t>
        </is>
      </c>
      <c r="D40" s="4" t="n"/>
      <c r="E40" s="4" t="n">
        <v>2023</v>
      </c>
      <c r="F40" s="4" t="inlineStr">
        <is>
          <t>No especificado</t>
        </is>
      </c>
      <c r="G40" s="4" t="inlineStr">
        <is>
          <t>Machine Learning</t>
        </is>
      </c>
      <c r="H40" s="4" t="inlineStr">
        <is>
          <t>https://doi.org/10.1038/s41380-023-02051-w</t>
        </is>
      </c>
      <c r="I40" s="4" t="inlineStr">
        <is>
          <t>Metabolomic analysis of maternal mid-gestation plasma and cord blood in autism spectrum disorders</t>
        </is>
      </c>
      <c r="J40" s="4" t="inlineStr">
        <is>
          <t>The discovery of prenatal and neonatal molecular biomarkers has the potential to yield insights into autism spectrum disorder (ASD) and facilitate early diagnosis. We characterized metabolomic profiles in ASD using plasma samples collected in the Norwegian Autism Birth Cohort from mothers at weeks 17–21 gestation (maternal mid-gestation, MMG, n = 408) and from children on the day of birth (cord blood, CB, n = 418). We analyzed associations using sex-stratified adjusted logistic regression models with Bayesian analyses. Chemical enrichment analyses (ChemRICH) were performed to determine altered chemical clusters. We also employed machine learning algorithms to assess the utility of metabolomics as ASD biomarkers. We identified ASD associations with a variety of chemical compounds including arachidonic acid, glutamate, and glutamine, and metabolite clusters including hydroxy eicospentaenoic acids, phosphatidylcholines, and ceramides in MMG and CB plasma that are consistent with inflammation, disruption of membrane integrity, and impaired neurotransmission and neurotoxicity. Girls with ASD have disruption of ether/non-ether phospholipid balance in the MMG plasma that is similar to that found in other neurodevelopmental disorders. ASD boys in the CB analyses had the highest number of dysregulated chemical clusters. Machine learning classifiers distinguished ASD cases from controls with area under the receiver operating characteristic (AUROC) values ranging from 0.710 to 0.853. Predictive performance was better in CB analyses than in MMG. These findings may provide new insights into the sex-specific differences in ASD and have implications for discovery of biomarkers that may enable early detection and intervention.</t>
        </is>
      </c>
      <c r="K40" s="4" t="inlineStr">
        <is>
          <t>Supervised</t>
        </is>
      </c>
      <c r="L40" s="4" t="inlineStr">
        <is>
          <t>Not clear</t>
        </is>
      </c>
      <c r="M40" s="4" t="inlineStr">
        <is>
          <t>Classification (binary/multi-class; incl. ASD vs control)/ multi-class)</t>
        </is>
      </c>
      <c r="N40" s="4" t="inlineStr">
        <is>
          <t>diagnosis</t>
        </is>
      </c>
      <c r="O40" s="4" t="inlineStr">
        <is>
          <t>high</t>
        </is>
      </c>
      <c r="P40" s="4" t="n">
        <v>0</v>
      </c>
      <c r="Q40" s="4" t="n">
        <v>0</v>
      </c>
      <c r="R40" s="4" t="n">
        <v>0</v>
      </c>
      <c r="S40" s="4" t="n">
        <v>0</v>
      </c>
      <c r="T40" s="4" t="n">
        <v>1</v>
      </c>
      <c r="U40" s="4" t="n">
        <v>0</v>
      </c>
      <c r="V40" s="4" t="n">
        <v>0</v>
      </c>
      <c r="W40" s="4" t="n">
        <v>0</v>
      </c>
      <c r="X40" s="4" t="n">
        <v>0</v>
      </c>
      <c r="Y40" s="4" t="n">
        <v>1</v>
      </c>
      <c r="Z40" s="4" t="n">
        <v>1</v>
      </c>
      <c r="AA40" s="4" t="n">
        <v>0</v>
      </c>
      <c r="AB40" s="4" t="inlineStr">
        <is>
          <t>1900-01-01</t>
        </is>
      </c>
      <c r="AC40" s="4" t="n">
        <v>0</v>
      </c>
      <c r="AD40" s="4" t="n">
        <v>0</v>
      </c>
      <c r="AE40" s="4" t="n">
        <v>0</v>
      </c>
      <c r="AF40" s="4" t="n">
        <v>0</v>
      </c>
      <c r="AG40" s="4" t="n">
        <v>1</v>
      </c>
      <c r="AH40" s="4" t="n">
        <v>1</v>
      </c>
      <c r="AI40" s="4" t="n">
        <v>0</v>
      </c>
      <c r="AJ40" s="4" t="inlineStr">
        <is>
          <t>1900-01-01</t>
        </is>
      </c>
      <c r="AK40" s="4" t="inlineStr">
        <is>
          <t>none_reported</t>
        </is>
      </c>
      <c r="AL40" s="4" t="n"/>
      <c r="AM40" s="4" t="inlineStr">
        <is>
          <t>RB</t>
        </is>
      </c>
      <c r="AN40" s="4" t="inlineStr">
        <is>
          <t>Tomado completo desde archivo RB según asignación</t>
        </is>
      </c>
      <c r="AO40" s="4" t="n">
        <v>0</v>
      </c>
      <c r="AP40" s="4" t="n">
        <v>0</v>
      </c>
      <c r="AQ40" s="4" t="n">
        <v>0</v>
      </c>
      <c r="AR40" s="4" t="n">
        <v>0</v>
      </c>
      <c r="AS40" s="4" t="n">
        <v>0</v>
      </c>
      <c r="AT40" s="4" t="n">
        <v>0</v>
      </c>
      <c r="AU40" s="4" t="n">
        <v>0</v>
      </c>
      <c r="AV40" s="4" t="n">
        <v>0</v>
      </c>
      <c r="AW40" s="4" t="inlineStr">
        <is>
          <t>finalized_from_available_evidence</t>
        </is>
      </c>
      <c r="AX40" s="4" t="inlineStr">
        <is>
          <t>0 means no reported evidence in title/abstract/notes/coding; it is not proof of true absence.</t>
        </is>
      </c>
    </row>
    <row r="41" ht="320" customHeight="1">
      <c r="A41" s="4" t="n">
        <v>40</v>
      </c>
      <c r="B41" s="4" t="n">
        <v>41</v>
      </c>
      <c r="C41" s="4" t="inlineStr">
        <is>
          <t>Revisor A</t>
        </is>
      </c>
      <c r="D41" s="4" t="inlineStr">
        <is>
          <t>RA</t>
        </is>
      </c>
      <c r="E41" s="4" t="n">
        <v>2023</v>
      </c>
      <c r="F41" s="4" t="inlineStr">
        <is>
          <t>No especificado</t>
        </is>
      </c>
      <c r="G41" s="4" t="inlineStr">
        <is>
          <t>No especificado</t>
        </is>
      </c>
      <c r="H41" s="4" t="inlineStr">
        <is>
          <t>https://doi.org/10.1007/s00787-023-02189-6</t>
        </is>
      </c>
      <c r="I41" s="4" t="inlineStr">
        <is>
          <t>Predictors of age at diagnosis in autism spectrum disorders: the use of multiple regression analyses and a classification tree on a clinical sample</t>
        </is>
      </c>
      <c r="J41" s="4" t="inlineStr">
        <is>
          <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t>
        </is>
      </c>
      <c r="K41" s="4" t="inlineStr">
        <is>
          <t>Supervised</t>
        </is>
      </c>
      <c r="L41" s="4" t="inlineStr">
        <is>
          <t>Decision Tree</t>
        </is>
      </c>
      <c r="M41" s="4" t="inlineStr">
        <is>
          <t>Regression (score / severity / risk)</t>
        </is>
      </c>
      <c r="N41" s="4" t="inlineStr">
        <is>
          <t>Not clear</t>
        </is>
      </c>
      <c r="O41" s="4" t="inlineStr">
        <is>
          <t>High</t>
        </is>
      </c>
      <c r="P41" s="4" t="n">
        <v>0</v>
      </c>
      <c r="Q41" s="4" t="n">
        <v>0</v>
      </c>
      <c r="R41" s="4" t="n">
        <v>0</v>
      </c>
      <c r="S41" s="4" t="n">
        <v>0</v>
      </c>
      <c r="T41" s="4" t="n">
        <v>1</v>
      </c>
      <c r="U41" s="4" t="n">
        <v>0</v>
      </c>
      <c r="V41" s="4" t="n">
        <v>0</v>
      </c>
      <c r="W41" s="4" t="n">
        <v>0</v>
      </c>
      <c r="X41" s="4" t="n">
        <v>0</v>
      </c>
      <c r="Y41" s="4" t="n">
        <v>0</v>
      </c>
      <c r="Z41" s="4" t="n">
        <v>0</v>
      </c>
      <c r="AA41" s="4" t="n">
        <v>0</v>
      </c>
      <c r="AB41" s="4" t="inlineStr">
        <is>
          <t>00:00:00</t>
        </is>
      </c>
      <c r="AC41" s="4" t="n">
        <v>0</v>
      </c>
      <c r="AD41" s="4" t="n">
        <v>0</v>
      </c>
      <c r="AE41" s="4" t="n">
        <v>0</v>
      </c>
      <c r="AF41" s="4" t="n">
        <v>0</v>
      </c>
      <c r="AG41" s="4" t="n">
        <v>1</v>
      </c>
      <c r="AH41" s="4" t="n">
        <v>1</v>
      </c>
      <c r="AI41" s="4" t="n"/>
      <c r="AJ41" s="4" t="n"/>
      <c r="AK41" s="4" t="inlineStr">
        <is>
          <t>none_reported</t>
        </is>
      </c>
      <c r="AL41" s="4" t="inlineStr">
        <is>
          <t>Análisis de predictores de edad al diagnóstico (regresión + árbol); no encaja claramente en una etapa clínica RQ1.</t>
        </is>
      </c>
      <c r="AM41" s="4" t="inlineStr">
        <is>
          <t>RA</t>
        </is>
      </c>
      <c r="AN41" s="4" t="inlineStr">
        <is>
          <t>Tomado completo desde archivo RA según asignación</t>
        </is>
      </c>
      <c r="AO41" s="4" t="n">
        <v>0</v>
      </c>
      <c r="AP41" s="4" t="n">
        <v>0</v>
      </c>
      <c r="AQ41" s="4" t="n">
        <v>0</v>
      </c>
      <c r="AR41" s="4" t="n">
        <v>0</v>
      </c>
      <c r="AS41" s="4" t="n">
        <v>0</v>
      </c>
      <c r="AT41" s="4" t="n">
        <v>0</v>
      </c>
      <c r="AU41" s="4" t="n">
        <v>0</v>
      </c>
      <c r="AV41" s="4" t="n">
        <v>0</v>
      </c>
      <c r="AW41" s="4" t="inlineStr">
        <is>
          <t>finalized_from_available_evidence</t>
        </is>
      </c>
      <c r="AX41" s="4" t="inlineStr">
        <is>
          <t>0 means no reported evidence in title/abstract/notes/coding; it is not proof of true absence.</t>
        </is>
      </c>
    </row>
    <row r="42" ht="409" customHeight="1">
      <c r="A42" s="4" t="n">
        <v>41</v>
      </c>
      <c r="B42" s="4" t="n">
        <v>42</v>
      </c>
      <c r="C42" s="4" t="inlineStr">
        <is>
          <t>Ambos (piloto)</t>
        </is>
      </c>
      <c r="D42" s="4" t="inlineStr">
        <is>
          <t>RA</t>
        </is>
      </c>
      <c r="E42" s="4" t="n">
        <v>2024</v>
      </c>
      <c r="F42" s="4" t="inlineStr">
        <is>
          <t>Señales fisiológicas</t>
        </is>
      </c>
      <c r="G42" s="4" t="inlineStr">
        <is>
          <t>Híbrido</t>
        </is>
      </c>
      <c r="H42" s="4" t="inlineStr">
        <is>
          <t>https://doi.org/10.1016/j.ridd.2024.104688</t>
        </is>
      </c>
      <c r="I42" s="4" t="inlineStr">
        <is>
          <t>Promoting emotional and behavioral interventions in ASD treatment: Evidence from EPIGRAM, A naturalistic, prospective and longitudinal study</t>
        </is>
      </c>
      <c r="J42" s="4" t="inlineStr">
        <is>
          <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t>
        </is>
      </c>
      <c r="K42" s="4" t="inlineStr">
        <is>
          <t>Supervised</t>
        </is>
      </c>
      <c r="L42" s="4" t="inlineStr">
        <is>
          <t>Decision Tree</t>
        </is>
      </c>
      <c r="M42" s="4" t="inlineStr">
        <is>
          <t>Prediction (time-to-event / prognosis)</t>
        </is>
      </c>
      <c r="N42" s="4" t="inlineStr">
        <is>
          <t>Monitoring/intervention</t>
        </is>
      </c>
      <c r="O42" s="4" t="inlineStr">
        <is>
          <t>High</t>
        </is>
      </c>
      <c r="P42" s="4" t="n">
        <v>0</v>
      </c>
      <c r="Q42" s="4" t="n">
        <v>0</v>
      </c>
      <c r="R42" s="4" t="n">
        <v>0</v>
      </c>
      <c r="S42" s="4" t="n">
        <v>0</v>
      </c>
      <c r="T42" s="4" t="n">
        <v>1</v>
      </c>
      <c r="U42" s="4" t="n">
        <v>0</v>
      </c>
      <c r="V42" s="4" t="n">
        <v>0</v>
      </c>
      <c r="W42" s="4" t="n">
        <v>0</v>
      </c>
      <c r="X42" s="4" t="n">
        <v>0</v>
      </c>
      <c r="Y42" s="4" t="n">
        <v>0</v>
      </c>
      <c r="Z42" s="4" t="n">
        <v>1</v>
      </c>
      <c r="AA42" s="4" t="n">
        <v>1</v>
      </c>
      <c r="AB42" s="4" t="inlineStr">
        <is>
          <t>1900-01-01</t>
        </is>
      </c>
      <c r="AC42" s="4" t="n">
        <v>0</v>
      </c>
      <c r="AD42" s="4" t="n">
        <v>0</v>
      </c>
      <c r="AE42" s="4" t="n">
        <v>0</v>
      </c>
      <c r="AF42" s="4" t="n">
        <v>0</v>
      </c>
      <c r="AG42" s="4" t="n">
        <v>0</v>
      </c>
      <c r="AH42" s="4" t="n">
        <v>1</v>
      </c>
      <c r="AI42" s="4" t="n"/>
      <c r="AJ42" s="4" t="n"/>
      <c r="AK42" s="4" t="inlineStr">
        <is>
          <t>none_reported</t>
        </is>
      </c>
      <c r="AL42" s="4" t="n"/>
      <c r="AM42" s="4" t="inlineStr">
        <is>
          <t>RA</t>
        </is>
      </c>
      <c r="AN42" s="4" t="inlineStr">
        <is>
          <t>Tomado completo desde archivo RA según asignación</t>
        </is>
      </c>
      <c r="AO42" s="4" t="n">
        <v>0</v>
      </c>
      <c r="AP42" s="4" t="n">
        <v>0</v>
      </c>
      <c r="AQ42" s="4" t="n">
        <v>0</v>
      </c>
      <c r="AR42" s="4" t="n">
        <v>0</v>
      </c>
      <c r="AS42" s="4" t="n">
        <v>0</v>
      </c>
      <c r="AT42" s="4" t="n">
        <v>0</v>
      </c>
      <c r="AU42" s="4" t="n">
        <v>0</v>
      </c>
      <c r="AV42" s="4" t="n">
        <v>0</v>
      </c>
      <c r="AW42" s="4" t="inlineStr">
        <is>
          <t>finalized_from_available_evidence</t>
        </is>
      </c>
      <c r="AX42" s="4" t="inlineStr">
        <is>
          <t>0 means no reported evidence in title/abstract/notes/coding; it is not proof of true absence.</t>
        </is>
      </c>
    </row>
    <row r="43" ht="294" customHeight="1">
      <c r="A43" s="4" t="n">
        <v>42</v>
      </c>
      <c r="B43" s="4" t="n">
        <v>43</v>
      </c>
      <c r="C43" s="4" t="inlineStr">
        <is>
          <t>Revisor B</t>
        </is>
      </c>
      <c r="D43" s="4" t="n"/>
      <c r="E43" s="4" t="n">
        <v>2025</v>
      </c>
      <c r="F43" s="4" t="inlineStr">
        <is>
          <t>Multimodal</t>
        </is>
      </c>
      <c r="G43" s="4" t="inlineStr">
        <is>
          <t>Deep Learning</t>
        </is>
      </c>
      <c r="H43" s="4" t="inlineStr">
        <is>
          <t>https://doi.org/10.1093/cercor/bhaf022</t>
        </is>
      </c>
      <c r="I43" s="4" t="inlineStr">
        <is>
          <t>The role of the dopamine system in autism spectrum disorder revealed using machine learning: an ABIDE database–based study</t>
        </is>
      </c>
      <c r="J43" s="4" t="inlineStr">
        <is>
          <t>This study explores the diagnostic value of dopamine system imaging characteristics in children with autism spectrum disorder. Functional magnetic resonance data from 551 children in the Autism Brain Imaging Data Exchange database were analyzed, focusing on six dopamine-related brain regions as regions of interest. Functional connectivity between these ROIs and across the whole brain was assessed. Machine learning techniques then evaluated the ability of the dopamine system’s imaging features to predict autism spectrum disorder. Functional connectivity was significantly higher in autism spectrum disorder children between the ventral tegmental area and substantia nigra, prefrontal cortex, nucleus accumbens, and between the substantia nigra and hypothalamus compared to typically developing children. Additionally, clustering methods identified two autism spectrum disorder subtypes, achieving over 0.8 accuracy. Subtype 1 showed higher stereotyped behavior scores than subtype 2 in both genders, with subtype-specific functional connectivity differences between male and female autism spectrum disorder groups. These findings suggest that abnormal functional connectivity in the dopamine system serves as a diagnostic biomarker for autism spectrum disorder and can support clinical decision-making and personalized treatment optimization.</t>
        </is>
      </c>
      <c r="K43" s="4" t="n"/>
      <c r="L43" s="4" t="n"/>
      <c r="M43" s="4" t="inlineStr">
        <is>
          <t>Imaging-based diagnostic prediction</t>
        </is>
      </c>
      <c r="N43" s="4" t="inlineStr">
        <is>
          <t>Diagnosis</t>
        </is>
      </c>
      <c r="O43" s="4" t="n"/>
      <c r="P43" s="4" t="n"/>
      <c r="Q43" s="4" t="n"/>
      <c r="R43" s="4" t="n"/>
      <c r="S43" s="4" t="n"/>
      <c r="T43" s="4" t="n"/>
      <c r="U43" s="4" t="n"/>
      <c r="V43" s="4" t="n"/>
      <c r="W43" s="4" t="n">
        <v>0</v>
      </c>
      <c r="X43" s="4" t="n">
        <v>0</v>
      </c>
      <c r="Y43" s="4" t="n">
        <v>1</v>
      </c>
      <c r="Z43" s="4" t="n">
        <v>0</v>
      </c>
      <c r="AA43" s="4" t="n">
        <v>0</v>
      </c>
      <c r="AB43" s="4" t="inlineStr">
        <is>
          <t>1900-01-01</t>
        </is>
      </c>
      <c r="AC43" s="4" t="n">
        <v>0</v>
      </c>
      <c r="AD43" s="4" t="n">
        <v>0</v>
      </c>
      <c r="AE43" s="4" t="n">
        <v>0</v>
      </c>
      <c r="AF43" s="4" t="n">
        <v>1</v>
      </c>
      <c r="AG43" s="4" t="n"/>
      <c r="AH43" s="4" t="n"/>
      <c r="AI43" s="4" t="n"/>
      <c r="AJ43" s="4" t="inlineStr">
        <is>
          <t>1900-01-01</t>
        </is>
      </c>
      <c r="AK43" s="4" t="inlineStr">
        <is>
          <t>multisource_integration; multisite_dataset_broad</t>
        </is>
      </c>
      <c r="AL43" s="4" t="inlineStr">
        <is>
          <t>Usa ABIDE; marcar señal multisitio.</t>
        </is>
      </c>
      <c r="AM43" s="4" t="inlineStr">
        <is>
          <t>RA_fallback</t>
        </is>
      </c>
      <c r="AN43" s="4" t="inlineStr">
        <is>
          <t>Fallback a RA porque el ID no está en RB</t>
        </is>
      </c>
      <c r="AO43" s="4" t="n">
        <v>1</v>
      </c>
      <c r="AP43" s="4" t="n">
        <v>0</v>
      </c>
      <c r="AQ43" s="4" t="n">
        <v>1</v>
      </c>
      <c r="AR43" s="4" t="n">
        <v>0</v>
      </c>
      <c r="AS43" s="4" t="n">
        <v>0</v>
      </c>
      <c r="AT43" s="4" t="n">
        <v>0</v>
      </c>
      <c r="AU43" s="4" t="n">
        <v>0</v>
      </c>
      <c r="AV43" s="4" t="n">
        <v>1</v>
      </c>
      <c r="AW43" s="4" t="inlineStr">
        <is>
          <t>finalized_from_available_evidence</t>
        </is>
      </c>
      <c r="AX43" s="4" t="inlineStr">
        <is>
          <t>0 means no reported evidence in title/abstract/notes/coding; it is not proof of true absence.</t>
        </is>
      </c>
    </row>
    <row r="44" ht="385" customHeight="1">
      <c r="A44" s="4" t="n">
        <v>43</v>
      </c>
      <c r="B44" s="4" t="n">
        <v>44</v>
      </c>
      <c r="C44" s="4" t="inlineStr">
        <is>
          <t>Revisor A</t>
        </is>
      </c>
      <c r="D44" s="4" t="inlineStr">
        <is>
          <t>RA</t>
        </is>
      </c>
      <c r="E44" s="4" t="n">
        <v>2019</v>
      </c>
      <c r="F44" s="4" t="inlineStr">
        <is>
          <t>No especificado</t>
        </is>
      </c>
      <c r="G44" s="4" t="inlineStr">
        <is>
          <t>Machine Learning</t>
        </is>
      </c>
      <c r="H44" s="4" t="inlineStr">
        <is>
          <t>https://doi.org/10.1055/s-0039-1685525</t>
        </is>
      </c>
      <c r="I44" s="4" t="inlineStr">
        <is>
          <t>Using Artificial Intelligence to Identify Factors Associated with Autism Spectrum Disorder in Adolescents with Cerebral Palsy</t>
        </is>
      </c>
      <c r="J44" s="4" t="inlineStr">
        <is>
          <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t>
        </is>
      </c>
      <c r="K44" s="4" t="inlineStr">
        <is>
          <t>Supervised</t>
        </is>
      </c>
      <c r="L44" s="4" t="inlineStr">
        <is>
          <t>Logistic Regression</t>
        </is>
      </c>
      <c r="M44" s="4" t="inlineStr">
        <is>
          <t>Classification (ASD vs control / multi-class)</t>
        </is>
      </c>
      <c r="N44" s="4" t="inlineStr">
        <is>
          <t>Diagnosis</t>
        </is>
      </c>
      <c r="O44" s="4" t="inlineStr">
        <is>
          <t>Medium</t>
        </is>
      </c>
      <c r="P44" s="4" t="n">
        <v>0</v>
      </c>
      <c r="Q44" s="4" t="n">
        <v>0</v>
      </c>
      <c r="R44" s="4" t="n">
        <v>0</v>
      </c>
      <c r="S44" s="4" t="n">
        <v>0</v>
      </c>
      <c r="T44" s="4" t="n">
        <v>1</v>
      </c>
      <c r="U44" s="4" t="n">
        <v>0</v>
      </c>
      <c r="V44" s="4" t="n">
        <v>0</v>
      </c>
      <c r="W44" s="4" t="n">
        <v>0</v>
      </c>
      <c r="X44" s="4" t="n">
        <v>0</v>
      </c>
      <c r="Y44" s="4" t="n">
        <v>1</v>
      </c>
      <c r="Z44" s="4" t="n">
        <v>0</v>
      </c>
      <c r="AA44" s="4" t="n">
        <v>0</v>
      </c>
      <c r="AB44" s="4" t="inlineStr">
        <is>
          <t>1900-01-01</t>
        </is>
      </c>
      <c r="AC44" s="4" t="n">
        <v>0</v>
      </c>
      <c r="AD44" s="4" t="n">
        <v>0</v>
      </c>
      <c r="AE44" s="4" t="n">
        <v>0</v>
      </c>
      <c r="AF44" s="4" t="n">
        <v>0</v>
      </c>
      <c r="AG44" s="4" t="n">
        <v>1</v>
      </c>
      <c r="AH44" s="4" t="n">
        <v>1</v>
      </c>
      <c r="AI44" s="4" t="n"/>
      <c r="AJ44" s="4" t="n"/>
      <c r="AK44" s="4" t="inlineStr">
        <is>
          <t>multisite_dataset_broad</t>
        </is>
      </c>
      <c r="AL44" s="4" t="inlineStr">
        <is>
          <t>Modelo predictivo con variables clínicas para identificar adolescentes con CP en riesgo de ASD.</t>
        </is>
      </c>
      <c r="AM44" s="4" t="inlineStr">
        <is>
          <t>RA</t>
        </is>
      </c>
      <c r="AN44" s="4" t="inlineStr">
        <is>
          <t>Tomado completo desde archivo RA según asignación</t>
        </is>
      </c>
      <c r="AO44" s="4" t="n">
        <v>0</v>
      </c>
      <c r="AP44" s="4" t="n">
        <v>0</v>
      </c>
      <c r="AQ44" s="4" t="n">
        <v>1</v>
      </c>
      <c r="AR44" s="4" t="n">
        <v>0</v>
      </c>
      <c r="AS44" s="4" t="n">
        <v>0</v>
      </c>
      <c r="AT44" s="4" t="n">
        <v>0</v>
      </c>
      <c r="AU44" s="4" t="n">
        <v>0</v>
      </c>
      <c r="AV44" s="4" t="n">
        <v>0</v>
      </c>
      <c r="AW44" s="4" t="inlineStr">
        <is>
          <t>finalized_from_available_evidence</t>
        </is>
      </c>
      <c r="AX44" s="4" t="inlineStr">
        <is>
          <t>0 means no reported evidence in title/abstract/notes/coding; it is not proof of true absence.</t>
        </is>
      </c>
    </row>
    <row r="45" ht="409" customHeight="1">
      <c r="A45" s="4" t="n">
        <v>44</v>
      </c>
      <c r="B45" s="4" t="n">
        <v>45</v>
      </c>
      <c r="C45" s="4" t="inlineStr">
        <is>
          <t>Ambos (piloto)</t>
        </is>
      </c>
      <c r="D45" s="4" t="inlineStr">
        <is>
          <t>RA</t>
        </is>
      </c>
      <c r="E45" s="4" t="n">
        <v>2018</v>
      </c>
      <c r="F45" s="4" t="inlineStr">
        <is>
          <t>Multimodal</t>
        </is>
      </c>
      <c r="G45" s="4" t="inlineStr">
        <is>
          <t>Híbrido</t>
        </is>
      </c>
      <c r="H45" s="4" t="inlineStr">
        <is>
          <t>https://doi.org/10.1371/journal.pone.0206351</t>
        </is>
      </c>
      <c r="I45" s="4" t="inlineStr">
        <is>
          <t>Using resting state functional MRI to build a personalized autism diagnosis system</t>
        </is>
      </c>
      <c r="J45" s="4" t="inlineStr">
        <is>
          <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t>
        </is>
      </c>
      <c r="K45" s="4" t="inlineStr">
        <is>
          <t>Semi-supervised</t>
        </is>
      </c>
      <c r="L45" s="4" t="inlineStr">
        <is>
          <t>Autoencoder</t>
        </is>
      </c>
      <c r="M45" s="4" t="inlineStr">
        <is>
          <t>Classification (ASD vs control / multi-class)</t>
        </is>
      </c>
      <c r="N45" s="4" t="inlineStr">
        <is>
          <t>Diagnosis</t>
        </is>
      </c>
      <c r="O45" s="4" t="inlineStr">
        <is>
          <t>Medium</t>
        </is>
      </c>
      <c r="P45" s="4" t="n">
        <v>1</v>
      </c>
      <c r="Q45" s="4" t="n">
        <v>0</v>
      </c>
      <c r="R45" s="4" t="n">
        <v>0</v>
      </c>
      <c r="S45" s="4" t="n">
        <v>0</v>
      </c>
      <c r="T45" s="4" t="n">
        <v>0</v>
      </c>
      <c r="U45" s="4" t="n">
        <v>0</v>
      </c>
      <c r="V45" s="4" t="n">
        <v>0</v>
      </c>
      <c r="W45" s="4" t="n">
        <v>0</v>
      </c>
      <c r="X45" s="4" t="n">
        <v>0</v>
      </c>
      <c r="Y45" s="4" t="n">
        <v>1</v>
      </c>
      <c r="Z45" s="4" t="n">
        <v>0</v>
      </c>
      <c r="AA45" s="4" t="n">
        <v>0</v>
      </c>
      <c r="AB45" s="4" t="inlineStr">
        <is>
          <t>1900-01-01</t>
        </is>
      </c>
      <c r="AC45" s="4" t="n">
        <v>0</v>
      </c>
      <c r="AD45" s="4" t="n">
        <v>0</v>
      </c>
      <c r="AE45" s="4" t="n">
        <v>0</v>
      </c>
      <c r="AF45" s="4" t="n">
        <v>1</v>
      </c>
      <c r="AG45" s="4" t="n">
        <v>0</v>
      </c>
      <c r="AH45" s="4" t="n">
        <v>1</v>
      </c>
      <c r="AI45" s="4" t="n"/>
      <c r="AJ45" s="4" t="n"/>
      <c r="AK45" s="4" t="inlineStr">
        <is>
          <t>multisource_integration</t>
        </is>
      </c>
      <c r="AL45" s="4" t="n"/>
      <c r="AM45" s="4" t="inlineStr">
        <is>
          <t>RA</t>
        </is>
      </c>
      <c r="AN45" s="4" t="inlineStr">
        <is>
          <t>Tomado completo desde archivo RA según asignación</t>
        </is>
      </c>
      <c r="AO45" s="4" t="n">
        <v>0</v>
      </c>
      <c r="AP45" s="4" t="n">
        <v>0</v>
      </c>
      <c r="AQ45" s="4" t="n">
        <v>0</v>
      </c>
      <c r="AR45" s="4" t="n">
        <v>0</v>
      </c>
      <c r="AS45" s="4" t="n">
        <v>0</v>
      </c>
      <c r="AT45" s="4" t="n">
        <v>0</v>
      </c>
      <c r="AU45" s="4" t="n">
        <v>0</v>
      </c>
      <c r="AV45" s="4" t="n">
        <v>1</v>
      </c>
      <c r="AW45" s="4" t="inlineStr">
        <is>
          <t>finalized_from_available_evidence</t>
        </is>
      </c>
      <c r="AX45" s="4" t="inlineStr">
        <is>
          <t>0 means no reported evidence in title/abstract/notes/coding; it is not proof of true absence.</t>
        </is>
      </c>
    </row>
    <row r="46" ht="203" customHeight="1">
      <c r="A46" s="4" t="n">
        <v>45</v>
      </c>
      <c r="B46" s="4" t="n">
        <v>46</v>
      </c>
      <c r="C46" s="4" t="inlineStr">
        <is>
          <t>Revisor A</t>
        </is>
      </c>
      <c r="D46" s="4" t="inlineStr">
        <is>
          <t>RA</t>
        </is>
      </c>
      <c r="E46" s="4" t="n">
        <v>2023</v>
      </c>
      <c r="F46" s="4" t="inlineStr">
        <is>
          <t>Texto · NLP</t>
        </is>
      </c>
      <c r="G46" s="4" t="inlineStr">
        <is>
          <t>Deep Learning</t>
        </is>
      </c>
      <c r="H46" s="4" t="inlineStr">
        <is>
          <t>https://doi.org/10.1007/978-3-031-48642-5_7</t>
        </is>
      </c>
      <c r="I46" s="4" t="inlineStr">
        <is>
          <t>A Model to Support the Prediction of Indicators in the Diagnosis and Intervention of Autism Spectrum Disorder</t>
        </is>
      </c>
      <c r="J46" s="4" t="inlineStr">
        <is>
          <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t>
        </is>
      </c>
      <c r="K46" s="4" t="inlineStr">
        <is>
          <t>Supervised</t>
        </is>
      </c>
      <c r="L46" s="4" t="inlineStr">
        <is>
          <t>Transformer</t>
        </is>
      </c>
      <c r="M46" s="4" t="inlineStr">
        <is>
          <t>Classification (ASD vs control / multi-class)</t>
        </is>
      </c>
      <c r="N46" s="4" t="inlineStr">
        <is>
          <t>Monitoring/intervention</t>
        </is>
      </c>
      <c r="O46" s="4" t="inlineStr">
        <is>
          <t>Low</t>
        </is>
      </c>
      <c r="P46" s="4" t="n">
        <v>0</v>
      </c>
      <c r="Q46" s="4" t="n">
        <v>0</v>
      </c>
      <c r="R46" s="4" t="n">
        <v>0</v>
      </c>
      <c r="S46" s="4" t="n">
        <v>1</v>
      </c>
      <c r="T46" s="4" t="n">
        <v>1</v>
      </c>
      <c r="U46" s="4" t="n">
        <v>0</v>
      </c>
      <c r="V46" s="4" t="n">
        <v>0</v>
      </c>
      <c r="W46" s="4" t="n">
        <v>0</v>
      </c>
      <c r="X46" s="4" t="n">
        <v>0</v>
      </c>
      <c r="Y46" s="4" t="n">
        <v>0</v>
      </c>
      <c r="Z46" s="4" t="n">
        <v>0</v>
      </c>
      <c r="AA46" s="4" t="n">
        <v>1</v>
      </c>
      <c r="AB46" s="4" t="inlineStr">
        <is>
          <t>1900-01-01</t>
        </is>
      </c>
      <c r="AC46" s="4" t="n">
        <v>0</v>
      </c>
      <c r="AD46" s="4" t="n">
        <v>0</v>
      </c>
      <c r="AE46" s="4" t="n">
        <v>0</v>
      </c>
      <c r="AF46" s="4" t="n">
        <v>1</v>
      </c>
      <c r="AG46" s="4" t="n">
        <v>1</v>
      </c>
      <c r="AH46" s="4" t="n">
        <v>2</v>
      </c>
      <c r="AI46" s="4" t="inlineStr">
        <is>
          <t>text / NLP</t>
        </is>
      </c>
      <c r="AJ46" s="4" t="n"/>
      <c r="AK46" s="4" t="inlineStr">
        <is>
          <t>multisource_integration</t>
        </is>
      </c>
      <c r="AL46" s="4" t="inlineStr">
        <is>
          <t>Proyecto en curso basado en conversaciones/escritura para apoyar indicadores diagnósticos/intervención; confirmar arquitectura final.</t>
        </is>
      </c>
      <c r="AM46" s="4" t="inlineStr">
        <is>
          <t>RA</t>
        </is>
      </c>
      <c r="AN46" s="4" t="inlineStr">
        <is>
          <t>Tomado completo desde archivo RA según asignación</t>
        </is>
      </c>
      <c r="AO46" s="4" t="n">
        <v>0</v>
      </c>
      <c r="AP46" s="4" t="n">
        <v>0</v>
      </c>
      <c r="AQ46" s="4" t="n">
        <v>0</v>
      </c>
      <c r="AR46" s="4" t="n">
        <v>0</v>
      </c>
      <c r="AS46" s="4" t="n">
        <v>0</v>
      </c>
      <c r="AT46" s="4" t="n">
        <v>0</v>
      </c>
      <c r="AU46" s="4" t="n">
        <v>0</v>
      </c>
      <c r="AV46" s="4" t="n">
        <v>1</v>
      </c>
      <c r="AW46" s="4" t="inlineStr">
        <is>
          <t>finalized_from_available_evidence</t>
        </is>
      </c>
      <c r="AX46" s="4" t="inlineStr">
        <is>
          <t>0 means no reported evidence in title/abstract/notes/coding; it is not proof of true absence.</t>
        </is>
      </c>
    </row>
    <row r="47" ht="409" customHeight="1">
      <c r="A47" s="4" t="n">
        <v>46</v>
      </c>
      <c r="B47" s="4" t="n">
        <v>47</v>
      </c>
      <c r="C47" s="4" t="inlineStr">
        <is>
          <t>Revisor B</t>
        </is>
      </c>
      <c r="D47" s="4" t="n"/>
      <c r="E47" s="4" t="n">
        <v>2024</v>
      </c>
      <c r="F47" s="4" t="inlineStr">
        <is>
          <t>Imagen</t>
        </is>
      </c>
      <c r="G47" s="4" t="inlineStr">
        <is>
          <t>No especificado</t>
        </is>
      </c>
      <c r="H47" s="4" t="inlineStr">
        <is>
          <t>https://doi.org/10.1007/s13755-024-00299-2</t>
        </is>
      </c>
      <c r="I47" s="4" t="inlineStr">
        <is>
          <t>A novel multi-modal model to assist the diagnosis of autism spectrum disorder using eye-tracking data</t>
        </is>
      </c>
      <c r="J47" s="4" t="inlineStr">
        <is>
          <t>Background and objective
Timely and accurate detection of Autism Spectrum Disorder (ASD) is essential for early intervention and improved patient outcomes. This study aims to harness the power of machine learning (ML) techniques to improve ASD detection by incorporating temporal eye-tracking data. We developed a novel ML model to leverage eye scan paths, sequences of distances of eye movement, and a sequence of fixation durations, enhancing the temporal aspect of the analysis for more effective ASD identification.
Methods
We utilized a dataset of eye-tracking data without augmentation to train our ML model, which consists of a CNN-GRU-ANN architecture. The model was trained using gaze maps, the sequences of distances between eye fixations, and durations of fixations and saccades. Additionally, we employed a validation dataset to assess the model’s performance and compare it with other works.
Results
Our ML model demonstrated superior performance in ASD detection compared to the VGG-16 model. By incorporating temporal information from eye-tracking data, our model achieved higher accuracy, precision, and recall. The novel addition of sequence-based features allowed our model to effectively distinguish between ASD and typically developing individuals, achieving an impressive precision value of 93.10% on the validation dataset.
Conclusion
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K47" s="4" t="inlineStr">
        <is>
          <t>Supervised</t>
        </is>
      </c>
      <c r="L47" s="4" t="inlineStr">
        <is>
          <t>RNN/LSTM/GRU</t>
        </is>
      </c>
      <c r="M47" s="4" t="inlineStr">
        <is>
          <t>Classification (binary/multi-class; incl. ASD vs control)/ multi-class)</t>
        </is>
      </c>
      <c r="N47" s="4" t="inlineStr">
        <is>
          <t>diagnosis</t>
        </is>
      </c>
      <c r="O47" s="4" t="inlineStr">
        <is>
          <t>high</t>
        </is>
      </c>
      <c r="P47" s="4" t="n">
        <v>0</v>
      </c>
      <c r="Q47" s="4" t="n">
        <v>0</v>
      </c>
      <c r="R47" s="4" t="n">
        <v>1</v>
      </c>
      <c r="S47" s="4" t="n">
        <v>0</v>
      </c>
      <c r="T47" s="4" t="n">
        <v>0</v>
      </c>
      <c r="U47" s="4" t="n">
        <v>0</v>
      </c>
      <c r="V47" s="4" t="n">
        <v>0</v>
      </c>
      <c r="W47" s="4" t="n">
        <v>0</v>
      </c>
      <c r="X47" s="4" t="n">
        <v>0</v>
      </c>
      <c r="Y47" s="4" t="n">
        <v>1</v>
      </c>
      <c r="Z47" s="4" t="n">
        <v>0</v>
      </c>
      <c r="AA47" s="4" t="n">
        <v>1</v>
      </c>
      <c r="AB47" s="4" t="inlineStr">
        <is>
          <t>1900-01-01</t>
        </is>
      </c>
      <c r="AC47" s="4" t="n">
        <v>0</v>
      </c>
      <c r="AD47" s="4" t="n">
        <v>0</v>
      </c>
      <c r="AE47" s="4" t="n">
        <v>0</v>
      </c>
      <c r="AF47" s="4" t="n">
        <v>1</v>
      </c>
      <c r="AG47" s="4" t="n">
        <v>1</v>
      </c>
      <c r="AH47" s="4" t="n">
        <v>1</v>
      </c>
      <c r="AI47" s="4" t="n">
        <v>0</v>
      </c>
      <c r="AJ47" s="4" t="inlineStr">
        <is>
          <t>1900-01-01</t>
        </is>
      </c>
      <c r="AK47" s="4" t="inlineStr">
        <is>
          <t>multisource_integration</t>
        </is>
      </c>
      <c r="AL47" s="4" t="inlineStr">
        <is>
          <t>Hybrid CNN-GRU-ANN; mapped to RNN/LSTM/GRU as main due to temporal sequence modeling</t>
        </is>
      </c>
      <c r="AM47" s="4" t="inlineStr">
        <is>
          <t>RB</t>
        </is>
      </c>
      <c r="AN47" s="4" t="inlineStr">
        <is>
          <t>Tomado completo desde archivo RB según asignación</t>
        </is>
      </c>
      <c r="AO47" s="4" t="n">
        <v>0</v>
      </c>
      <c r="AP47" s="4" t="n">
        <v>0</v>
      </c>
      <c r="AQ47" s="4" t="n">
        <v>0</v>
      </c>
      <c r="AR47" s="4" t="n">
        <v>0</v>
      </c>
      <c r="AS47" s="4" t="n">
        <v>0</v>
      </c>
      <c r="AT47" s="4" t="n">
        <v>0</v>
      </c>
      <c r="AU47" s="4" t="n">
        <v>0</v>
      </c>
      <c r="AV47" s="4" t="n">
        <v>1</v>
      </c>
      <c r="AW47" s="4" t="inlineStr">
        <is>
          <t>finalized_from_available_evidence</t>
        </is>
      </c>
      <c r="AX47" s="4" t="inlineStr">
        <is>
          <t>0 means no reported evidence in title/abstract/notes/coding; it is not proof of true absence.</t>
        </is>
      </c>
    </row>
    <row r="48" ht="99" customHeight="1">
      <c r="A48" s="4" t="n">
        <v>47</v>
      </c>
      <c r="B48" s="4" t="n">
        <v>48</v>
      </c>
      <c r="C48" s="4" t="inlineStr">
        <is>
          <t>Revisor A</t>
        </is>
      </c>
      <c r="D48" s="4" t="inlineStr">
        <is>
          <t>RA</t>
        </is>
      </c>
      <c r="E48" s="4" t="n">
        <v>2020</v>
      </c>
      <c r="F48" s="4" t="inlineStr">
        <is>
          <t>No especificado</t>
        </is>
      </c>
      <c r="G48" s="4" t="inlineStr">
        <is>
          <t>Machine Learning</t>
        </is>
      </c>
      <c r="H48" s="4" t="inlineStr">
        <is>
          <t>https://doi.org/10.1016/j.psychres.2020.113377</t>
        </is>
      </c>
      <c r="I48" s="4" t="inlineStr">
        <is>
          <t>A randomized controlled trial of 25 sessions comparing music therapy and music listening for children with autism spectrum disorder</t>
        </is>
      </c>
      <c r="J48" s="4" t="inlineStr">
        <is>
          <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is>
      </c>
      <c r="K48" s="4" t="inlineStr">
        <is>
          <t>Supervised</t>
        </is>
      </c>
      <c r="L48" s="4" t="inlineStr">
        <is>
          <t>Other / Not clear</t>
        </is>
      </c>
      <c r="M48" s="4" t="inlineStr">
        <is>
          <t>Classification (ASD vs control / multi-class)</t>
        </is>
      </c>
      <c r="N48" s="4" t="inlineStr">
        <is>
          <t>Screening</t>
        </is>
      </c>
      <c r="O48" s="4" t="inlineStr">
        <is>
          <t>Low</t>
        </is>
      </c>
      <c r="P48" s="4" t="n">
        <v>0</v>
      </c>
      <c r="Q48" s="4" t="n">
        <v>0</v>
      </c>
      <c r="R48" s="4" t="n">
        <v>1</v>
      </c>
      <c r="S48" s="4" t="n">
        <v>0</v>
      </c>
      <c r="T48" s="4" t="n">
        <v>0</v>
      </c>
      <c r="U48" s="4" t="n">
        <v>0</v>
      </c>
      <c r="V48" s="4" t="n">
        <v>0</v>
      </c>
      <c r="W48" s="4" t="n">
        <v>0</v>
      </c>
      <c r="X48" s="4" t="n">
        <v>1</v>
      </c>
      <c r="Y48" s="4" t="n">
        <v>0</v>
      </c>
      <c r="Z48" s="4" t="n">
        <v>0</v>
      </c>
      <c r="AA48" s="4" t="n">
        <v>0</v>
      </c>
      <c r="AB48" s="4" t="inlineStr">
        <is>
          <t>00:00:00</t>
        </is>
      </c>
      <c r="AC48" s="4" t="n">
        <v>0</v>
      </c>
      <c r="AD48" s="4" t="n">
        <v>0</v>
      </c>
      <c r="AE48" s="4" t="n">
        <v>0</v>
      </c>
      <c r="AF48" s="4" t="n">
        <v>0</v>
      </c>
      <c r="AG48" s="4" t="n">
        <v>1</v>
      </c>
      <c r="AH48" s="4" t="n">
        <v>1</v>
      </c>
      <c r="AI48" s="4" t="n"/>
      <c r="AJ48" s="4" t="n"/>
      <c r="AK48" s="4" t="inlineStr">
        <is>
          <t>none_reported</t>
        </is>
      </c>
      <c r="AL48" s="4" t="inlineStr">
        <is>
          <t>Posible desajuste título-abstract; el abstract describe detección por eye-tracking temporal.</t>
        </is>
      </c>
      <c r="AM48" s="4" t="inlineStr">
        <is>
          <t>RA</t>
        </is>
      </c>
      <c r="AN48" s="4" t="inlineStr">
        <is>
          <t>Tomado completo desde archivo RA según asignación</t>
        </is>
      </c>
      <c r="AO48" s="4" t="n">
        <v>0</v>
      </c>
      <c r="AP48" s="4" t="n">
        <v>0</v>
      </c>
      <c r="AQ48" s="4" t="n">
        <v>0</v>
      </c>
      <c r="AR48" s="4" t="n">
        <v>0</v>
      </c>
      <c r="AS48" s="4" t="n">
        <v>0</v>
      </c>
      <c r="AT48" s="4" t="n">
        <v>0</v>
      </c>
      <c r="AU48" s="4" t="n">
        <v>0</v>
      </c>
      <c r="AV48" s="4" t="n">
        <v>0</v>
      </c>
      <c r="AW48" s="4" t="inlineStr">
        <is>
          <t>finalized_from_available_evidence</t>
        </is>
      </c>
      <c r="AX48" s="4" t="inlineStr">
        <is>
          <t>0 means no reported evidence in title/abstract/notes/coding; it is not proof of true absence.</t>
        </is>
      </c>
    </row>
    <row r="49" ht="255" customHeight="1">
      <c r="A49" s="4" t="n">
        <v>48</v>
      </c>
      <c r="B49" s="4" t="n">
        <v>49</v>
      </c>
      <c r="C49" s="4" t="inlineStr">
        <is>
          <t>Revisor B</t>
        </is>
      </c>
      <c r="D49" s="4" t="n"/>
      <c r="E49" s="4" t="n">
        <v>2021</v>
      </c>
      <c r="F49" s="4" t="inlineStr">
        <is>
          <t>Señales fisiológicas</t>
        </is>
      </c>
      <c r="G49" s="4" t="inlineStr">
        <is>
          <t>Deep Learning</t>
        </is>
      </c>
      <c r="H49" s="4" t="inlineStr">
        <is>
          <t>https://doi.org/10.1007/978-3-030-93049-3_30</t>
        </is>
      </c>
      <c r="I49" s="4" t="inlineStr">
        <is>
          <t>A Triple-Pooling Graph Neural Network for\&amp;#xa0;Multi-scale Topological Learning of\&amp;#xa0;Brain Functional Connectivity: Application to\&amp;#xa0;ASD Diagnosis</t>
        </is>
      </c>
      <c r="J49" s="4" t="inlineStr">
        <is>
          <t>Brain functional connectivity (BFC) built from resting-state functional magnetic resonance imaging (rs-fMRI) has shown promising results in revealing the pathological basis of neurological disorders. However, a major problem is that existing approaches tend to limit analysis to a single scale, which unmatches the truth that modern neuroscience highlights BFC as a multi-scale topological architecture. Such a narrow view does lose representation of the inherent BFC topology and would weaken its performance. To solve this issue, we propose a novel triple-pooling graph neural network (TPGNN) to learn different scales of BFC topological knowledge in a task-adaptive way. Specifically, a pooling architecture with triple branches is designed to automate BFC analysis on the global scale, community scale, and region of interest (ROI) scale, respectively. We validate the diagnostic performance of TPGNN on an open autism spectrum disorder (ASD) dataset. Experimental results demonstrate that TPGNN outperforms the alternative state-of-the-art BFC analysis methods and provides potential biomarkers of different scales to benefit neuroscience.</t>
        </is>
      </c>
      <c r="K49" s="4" t="inlineStr">
        <is>
          <t>Supervised</t>
        </is>
      </c>
      <c r="L49" s="4" t="inlineStr">
        <is>
          <t>Other</t>
        </is>
      </c>
      <c r="M49" s="4" t="inlineStr">
        <is>
          <t>Classification (binary/multi-class; incl. ASD vs control)/ multi-class)</t>
        </is>
      </c>
      <c r="N49" s="4" t="inlineStr">
        <is>
          <t>Diagnosis</t>
        </is>
      </c>
      <c r="O49" s="4" t="inlineStr">
        <is>
          <t>medium</t>
        </is>
      </c>
      <c r="P49" s="4" t="n">
        <v>1</v>
      </c>
      <c r="Q49" s="4" t="n">
        <v>0</v>
      </c>
      <c r="R49" s="4" t="n">
        <v>0</v>
      </c>
      <c r="S49" s="4" t="n">
        <v>0</v>
      </c>
      <c r="T49" s="4" t="n">
        <v>0</v>
      </c>
      <c r="U49" s="4" t="n">
        <v>0</v>
      </c>
      <c r="V49" s="4" t="n">
        <v>0</v>
      </c>
      <c r="W49" s="4" t="n">
        <v>0</v>
      </c>
      <c r="X49" s="4" t="n">
        <v>0</v>
      </c>
      <c r="Y49" s="4" t="n">
        <v>0</v>
      </c>
      <c r="Z49" s="4" t="n">
        <v>0</v>
      </c>
      <c r="AA49" s="4" t="n">
        <v>0</v>
      </c>
      <c r="AB49" s="4" t="inlineStr">
        <is>
          <t>1900-01-01</t>
        </is>
      </c>
      <c r="AC49" s="4" t="n">
        <v>0</v>
      </c>
      <c r="AD49" s="4" t="n">
        <v>0</v>
      </c>
      <c r="AE49" s="4" t="n">
        <v>0</v>
      </c>
      <c r="AF49" s="4" t="n">
        <v>0</v>
      </c>
      <c r="AG49" s="4" t="n">
        <v>0</v>
      </c>
      <c r="AH49" s="4" t="n">
        <v>1</v>
      </c>
      <c r="AI49" s="4" t="n">
        <v>0</v>
      </c>
      <c r="AJ49" s="4" t="inlineStr">
        <is>
          <t>1900-01-01</t>
        </is>
      </c>
      <c r="AK49" s="4" t="inlineStr">
        <is>
          <t>none_reported</t>
        </is>
      </c>
      <c r="AL49" s="4" t="inlineStr">
        <is>
          <t>Graph Neural Network (TPGNN) for rs-fMRI functional connectivity; mapped to Other (GNN not in list)</t>
        </is>
      </c>
      <c r="AM49" s="4" t="inlineStr">
        <is>
          <t>RB</t>
        </is>
      </c>
      <c r="AN49" s="4" t="inlineStr">
        <is>
          <t>Tomado completo desde archivo RB según asignación</t>
        </is>
      </c>
      <c r="AO49" s="4" t="n">
        <v>0</v>
      </c>
      <c r="AP49" s="4" t="n">
        <v>0</v>
      </c>
      <c r="AQ49" s="4" t="n">
        <v>0</v>
      </c>
      <c r="AR49" s="4" t="n">
        <v>0</v>
      </c>
      <c r="AS49" s="4" t="n">
        <v>0</v>
      </c>
      <c r="AT49" s="4" t="n">
        <v>0</v>
      </c>
      <c r="AU49" s="4" t="n">
        <v>0</v>
      </c>
      <c r="AV49" s="4" t="n">
        <v>0</v>
      </c>
      <c r="AW49" s="4" t="inlineStr">
        <is>
          <t>finalized_from_available_evidence</t>
        </is>
      </c>
      <c r="AX49" s="4" t="inlineStr">
        <is>
          <t>0 means no reported evidence in title/abstract/notes/coding; it is not proof of true absence.</t>
        </is>
      </c>
    </row>
    <row r="50" ht="372" customHeight="1">
      <c r="A50" s="4" t="n">
        <v>49</v>
      </c>
      <c r="B50" s="4" t="n">
        <v>51</v>
      </c>
      <c r="C50" s="4" t="inlineStr">
        <is>
          <t>Revisor A</t>
        </is>
      </c>
      <c r="D50" s="4" t="inlineStr">
        <is>
          <t>RA</t>
        </is>
      </c>
      <c r="E50" s="4" t="n">
        <v>2024</v>
      </c>
      <c r="F50" s="4" t="inlineStr">
        <is>
          <t>Multimodal</t>
        </is>
      </c>
      <c r="G50" s="4" t="inlineStr">
        <is>
          <t>No especificado</t>
        </is>
      </c>
      <c r="H50" s="4" t="inlineStr">
        <is>
          <t>https://doi.org/10.1007/s12539-024-00651-w</t>
        </is>
      </c>
      <c r="I50" s="4" t="inlineStr">
        <is>
          <t>Bilinear Perceptual Fusion Algorithm Based on Brain Functional and Structural Data for ASD Diagnosis and Regions of Interest Identification</t>
        </is>
      </c>
      <c r="J50" s="4" t="inlineStr">
        <is>
          <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t>
        </is>
      </c>
      <c r="K50" s="4" t="inlineStr">
        <is>
          <t>Supervised</t>
        </is>
      </c>
      <c r="L50" s="4" t="inlineStr">
        <is>
          <t>CNN</t>
        </is>
      </c>
      <c r="M50" s="4" t="inlineStr">
        <is>
          <t>Classification (ASD vs control / multi-class)</t>
        </is>
      </c>
      <c r="N50" s="4" t="inlineStr">
        <is>
          <t>Diagnosis</t>
        </is>
      </c>
      <c r="O50" s="4" t="inlineStr">
        <is>
          <t>High</t>
        </is>
      </c>
      <c r="P50" s="4" t="n">
        <v>1</v>
      </c>
      <c r="Q50" s="4" t="n">
        <v>0</v>
      </c>
      <c r="R50" s="4" t="n">
        <v>0</v>
      </c>
      <c r="S50" s="4" t="n">
        <v>0</v>
      </c>
      <c r="T50" s="4" t="n">
        <v>0</v>
      </c>
      <c r="U50" s="4" t="n">
        <v>0</v>
      </c>
      <c r="V50" s="4" t="n">
        <v>0</v>
      </c>
      <c r="W50" s="4" t="n">
        <v>0</v>
      </c>
      <c r="X50" s="4" t="n">
        <v>0</v>
      </c>
      <c r="Y50" s="4" t="n">
        <v>1</v>
      </c>
      <c r="Z50" s="4" t="n">
        <v>0</v>
      </c>
      <c r="AA50" s="4" t="n">
        <v>0</v>
      </c>
      <c r="AB50" s="4" t="inlineStr">
        <is>
          <t>1900-01-01</t>
        </is>
      </c>
      <c r="AC50" s="4" t="n">
        <v>0</v>
      </c>
      <c r="AD50" s="4" t="n">
        <v>0</v>
      </c>
      <c r="AE50" s="4" t="n">
        <v>0</v>
      </c>
      <c r="AF50" s="4" t="n">
        <v>1</v>
      </c>
      <c r="AG50" s="4" t="n">
        <v>1</v>
      </c>
      <c r="AH50" s="4" t="n">
        <v>1</v>
      </c>
      <c r="AI50" s="4" t="n"/>
      <c r="AJ50" s="4" t="n"/>
      <c r="AK50" s="4" t="inlineStr">
        <is>
          <t>multisource_integration</t>
        </is>
      </c>
      <c r="AL50" s="4" t="inlineStr">
        <is>
          <t>Fusión multimodal de datos cerebrales estructurales/funcionales; arquitectura GCN fuera del codebook.</t>
        </is>
      </c>
      <c r="AM50" s="4" t="inlineStr">
        <is>
          <t>RA</t>
        </is>
      </c>
      <c r="AN50" s="4" t="inlineStr">
        <is>
          <t>Tomado completo desde archivo RA según asignación</t>
        </is>
      </c>
      <c r="AO50" s="4" t="n">
        <v>0</v>
      </c>
      <c r="AP50" s="4" t="n">
        <v>0</v>
      </c>
      <c r="AQ50" s="4" t="n">
        <v>0</v>
      </c>
      <c r="AR50" s="4" t="n">
        <v>0</v>
      </c>
      <c r="AS50" s="4" t="n">
        <v>0</v>
      </c>
      <c r="AT50" s="4" t="n">
        <v>0</v>
      </c>
      <c r="AU50" s="4" t="n">
        <v>0</v>
      </c>
      <c r="AV50" s="4" t="n">
        <v>1</v>
      </c>
      <c r="AW50" s="4" t="inlineStr">
        <is>
          <t>finalized_from_available_evidence</t>
        </is>
      </c>
      <c r="AX50" s="4" t="inlineStr">
        <is>
          <t>0 means no reported evidence in title/abstract/notes/coding; it is not proof of true absence.</t>
        </is>
      </c>
    </row>
    <row r="51" ht="372" customHeight="1">
      <c r="A51" s="4" t="n">
        <v>50</v>
      </c>
      <c r="B51" s="4" t="n">
        <v>52</v>
      </c>
      <c r="C51" s="4" t="inlineStr">
        <is>
          <t>Revisor A</t>
        </is>
      </c>
      <c r="D51" s="4" t="inlineStr">
        <is>
          <t>RA</t>
        </is>
      </c>
      <c r="E51" s="4" t="n">
        <v>2023</v>
      </c>
      <c r="F51" s="4" t="inlineStr">
        <is>
          <t>Señales fisiológicas</t>
        </is>
      </c>
      <c r="G51" s="4" t="inlineStr">
        <is>
          <t>Híbrido</t>
        </is>
      </c>
      <c r="H51" s="4" t="inlineStr">
        <is>
          <t>https://doi.org/10.1177/09544119221141751</t>
        </is>
      </c>
      <c r="I51" s="4" t="inlineStr">
        <is>
          <t>Computer-aided diagnosis of autism spectrum disorder from EEG signals using deep learning with FAWT and multiscale permutation entropy features</t>
        </is>
      </c>
      <c r="J51" s="4" t="inlineStr">
        <is>
          <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t>
        </is>
      </c>
      <c r="K51" s="4" t="inlineStr">
        <is>
          <t>Supervised</t>
        </is>
      </c>
      <c r="L51" s="4" t="inlineStr">
        <is>
          <t>CNN</t>
        </is>
      </c>
      <c r="M51" s="4" t="inlineStr">
        <is>
          <t>Classification (ASD vs control / multi-class)</t>
        </is>
      </c>
      <c r="N51" s="4" t="inlineStr">
        <is>
          <t>Diagnosis</t>
        </is>
      </c>
      <c r="O51" s="4" t="inlineStr">
        <is>
          <t>High</t>
        </is>
      </c>
      <c r="P51" s="4" t="n">
        <v>0</v>
      </c>
      <c r="Q51" s="4" t="n">
        <v>1</v>
      </c>
      <c r="R51" s="4" t="n">
        <v>0</v>
      </c>
      <c r="S51" s="4" t="n">
        <v>0</v>
      </c>
      <c r="T51" s="4" t="n">
        <v>0</v>
      </c>
      <c r="U51" s="4" t="n">
        <v>0</v>
      </c>
      <c r="V51" s="4" t="n">
        <v>0</v>
      </c>
      <c r="W51" s="4" t="n">
        <v>0</v>
      </c>
      <c r="X51" s="4" t="n">
        <v>0</v>
      </c>
      <c r="Y51" s="4" t="n">
        <v>1</v>
      </c>
      <c r="Z51" s="4" t="n">
        <v>0</v>
      </c>
      <c r="AA51" s="4" t="n">
        <v>0</v>
      </c>
      <c r="AB51" s="4" t="inlineStr">
        <is>
          <t>1900-01-01</t>
        </is>
      </c>
      <c r="AC51" s="4" t="n">
        <v>0</v>
      </c>
      <c r="AD51" s="4" t="n">
        <v>0</v>
      </c>
      <c r="AE51" s="4" t="n">
        <v>0</v>
      </c>
      <c r="AF51" s="4" t="n">
        <v>0</v>
      </c>
      <c r="AG51" s="4" t="n">
        <v>0</v>
      </c>
      <c r="AH51" s="4" t="n">
        <v>1</v>
      </c>
      <c r="AI51" s="4" t="n"/>
      <c r="AJ51" s="4" t="n"/>
      <c r="AK51" s="4" t="inlineStr">
        <is>
          <t>none_reported</t>
        </is>
      </c>
      <c r="AL51" s="4" t="n"/>
      <c r="AM51" s="4" t="inlineStr">
        <is>
          <t>RA</t>
        </is>
      </c>
      <c r="AN51" s="4" t="inlineStr">
        <is>
          <t>Tomado completo desde archivo RA según asignación</t>
        </is>
      </c>
      <c r="AO51" s="4" t="n">
        <v>0</v>
      </c>
      <c r="AP51" s="4" t="n">
        <v>0</v>
      </c>
      <c r="AQ51" s="4" t="n">
        <v>0</v>
      </c>
      <c r="AR51" s="4" t="n">
        <v>0</v>
      </c>
      <c r="AS51" s="4" t="n">
        <v>0</v>
      </c>
      <c r="AT51" s="4" t="n">
        <v>0</v>
      </c>
      <c r="AU51" s="4" t="n">
        <v>0</v>
      </c>
      <c r="AV51" s="4" t="n">
        <v>0</v>
      </c>
      <c r="AW51" s="4" t="inlineStr">
        <is>
          <t>finalized_from_available_evidence</t>
        </is>
      </c>
      <c r="AX51" s="4" t="inlineStr">
        <is>
          <t>0 means no reported evidence in title/abstract/notes/coding; it is not proof of true absence.</t>
        </is>
      </c>
    </row>
    <row r="52" ht="307" customHeight="1">
      <c r="A52" s="4" t="n">
        <v>51</v>
      </c>
      <c r="B52" s="4" t="n">
        <v>53</v>
      </c>
      <c r="C52" s="4" t="inlineStr">
        <is>
          <t>Revisor B</t>
        </is>
      </c>
      <c r="D52" s="4" t="n"/>
      <c r="E52" s="4" t="n">
        <v>2023</v>
      </c>
      <c r="F52" s="4" t="inlineStr">
        <is>
          <t>No especificado</t>
        </is>
      </c>
      <c r="G52" s="4" t="inlineStr">
        <is>
          <t>Machine Learning</t>
        </is>
      </c>
      <c r="H52" s="4" t="inlineStr">
        <is>
          <t>https://doi.org/10.1002/AUR.2912</t>
        </is>
      </c>
      <c r="I52" s="4" t="inlineStr">
        <is>
          <t>Development and validation of a machine learning-based tool to predict autism among children</t>
        </is>
      </c>
      <c r="J52" s="4" t="inlineStr">
        <is>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is>
      </c>
      <c r="K52" s="4" t="inlineStr">
        <is>
          <t>Supervised</t>
        </is>
      </c>
      <c r="L52" s="4" t="inlineStr">
        <is>
          <t>Logistic Regression</t>
        </is>
      </c>
      <c r="M52" s="4" t="inlineStr">
        <is>
          <t>Prediction (time-to-event / prognosis)</t>
        </is>
      </c>
      <c r="N52" s="4" t="inlineStr">
        <is>
          <t>diagnosis</t>
        </is>
      </c>
      <c r="O52" s="4" t="inlineStr">
        <is>
          <t>high</t>
        </is>
      </c>
      <c r="P52" s="4" t="n">
        <v>1</v>
      </c>
      <c r="Q52" s="4" t="n">
        <v>0</v>
      </c>
      <c r="R52" s="4" t="n">
        <v>0</v>
      </c>
      <c r="S52" s="4" t="n">
        <v>0</v>
      </c>
      <c r="T52" s="4" t="n">
        <v>0</v>
      </c>
      <c r="U52" s="4" t="n">
        <v>0</v>
      </c>
      <c r="V52" s="4" t="n">
        <v>0</v>
      </c>
      <c r="W52" s="4" t="n">
        <v>0</v>
      </c>
      <c r="X52" s="4" t="n">
        <v>0</v>
      </c>
      <c r="Y52" s="4" t="n">
        <v>1</v>
      </c>
      <c r="Z52" s="4" t="n">
        <v>0</v>
      </c>
      <c r="AA52" s="4" t="n">
        <v>0</v>
      </c>
      <c r="AB52" s="4" t="inlineStr">
        <is>
          <t>1900-01-01</t>
        </is>
      </c>
      <c r="AC52" s="4" t="n">
        <v>0</v>
      </c>
      <c r="AD52" s="4" t="n">
        <v>0</v>
      </c>
      <c r="AE52" s="4" t="n">
        <v>0</v>
      </c>
      <c r="AF52" s="4" t="n">
        <v>0</v>
      </c>
      <c r="AG52" s="4" t="n">
        <v>0</v>
      </c>
      <c r="AH52" s="4" t="n">
        <v>1</v>
      </c>
      <c r="AI52" s="4" t="n">
        <v>0</v>
      </c>
      <c r="AJ52" s="4" t="inlineStr">
        <is>
          <t>1900-01-01</t>
        </is>
      </c>
      <c r="AK52" s="4" t="inlineStr">
        <is>
          <t>none_reported</t>
        </is>
      </c>
      <c r="AL52" s="4" t="inlineStr">
        <is>
          <t>También entrenan Gradient Boosted Trees (XGBoost/GBDT) y reportan desempeño comparable en validación.</t>
        </is>
      </c>
      <c r="AM52" s="4" t="inlineStr">
        <is>
          <t>RB</t>
        </is>
      </c>
      <c r="AN52" s="4" t="inlineStr">
        <is>
          <t>Tomado completo desde archivo RB según asignación</t>
        </is>
      </c>
      <c r="AO52" s="4" t="n">
        <v>0</v>
      </c>
      <c r="AP52" s="4" t="n">
        <v>0</v>
      </c>
      <c r="AQ52" s="4" t="n">
        <v>0</v>
      </c>
      <c r="AR52" s="4" t="n">
        <v>0</v>
      </c>
      <c r="AS52" s="4" t="n">
        <v>0</v>
      </c>
      <c r="AT52" s="4" t="n">
        <v>0</v>
      </c>
      <c r="AU52" s="4" t="n">
        <v>0</v>
      </c>
      <c r="AV52" s="4" t="n">
        <v>0</v>
      </c>
      <c r="AW52" s="4" t="inlineStr">
        <is>
          <t>finalized_from_available_evidence</t>
        </is>
      </c>
      <c r="AX52" s="4" t="inlineStr">
        <is>
          <t>0 means no reported evidence in title/abstract/notes/coding; it is not proof of true absence.</t>
        </is>
      </c>
    </row>
    <row r="53" ht="372" customHeight="1">
      <c r="A53" s="4" t="n">
        <v>52</v>
      </c>
      <c r="B53" s="4" t="n">
        <v>54</v>
      </c>
      <c r="C53" s="4" t="inlineStr">
        <is>
          <t>Revisor B</t>
        </is>
      </c>
      <c r="D53" s="4" t="n"/>
      <c r="E53" s="4" t="n">
        <v>2015</v>
      </c>
      <c r="F53" s="4" t="inlineStr">
        <is>
          <t>Señales fisiológicas</t>
        </is>
      </c>
      <c r="G53" s="4" t="inlineStr">
        <is>
          <t>Machine Learning</t>
        </is>
      </c>
      <c r="H53" s="4" t="inlineStr">
        <is>
          <t>https://doi.org/10.1016/j.nicl.2015.04.002</t>
        </is>
      </c>
      <c r="I53" s="4" t="inlineStr">
        <is>
          <t>Diagnostic classification of intrinsic functional connectivity highlights somatosensory, default mode, and visual regions in autism</t>
        </is>
      </c>
      <c r="J53" s="4" t="inlineStr">
        <is>
          <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t>
        </is>
      </c>
      <c r="K53" s="4" t="inlineStr">
        <is>
          <t>Supervised</t>
        </is>
      </c>
      <c r="L53" s="4" t="inlineStr">
        <is>
          <t>Random Forest</t>
        </is>
      </c>
      <c r="M53" s="4" t="inlineStr">
        <is>
          <t>Classification (binary/multi-class; incl. ASD vs control)/ multi-class)</t>
        </is>
      </c>
      <c r="N53" s="4" t="inlineStr">
        <is>
          <t>diagnosis</t>
        </is>
      </c>
      <c r="O53" s="4" t="inlineStr">
        <is>
          <t>high</t>
        </is>
      </c>
      <c r="P53" s="4" t="n">
        <v>0</v>
      </c>
      <c r="Q53" s="4" t="n">
        <v>0</v>
      </c>
      <c r="R53" s="4" t="n">
        <v>1</v>
      </c>
      <c r="S53" s="4" t="n">
        <v>0</v>
      </c>
      <c r="T53" s="4" t="n">
        <v>0</v>
      </c>
      <c r="U53" s="4" t="n">
        <v>0</v>
      </c>
      <c r="V53" s="4" t="n">
        <v>0</v>
      </c>
      <c r="W53" s="4" t="n">
        <v>0</v>
      </c>
      <c r="X53" s="4" t="n">
        <v>0</v>
      </c>
      <c r="Y53" s="4" t="n">
        <v>1</v>
      </c>
      <c r="Z53" s="4" t="n">
        <v>1</v>
      </c>
      <c r="AA53" s="4" t="n">
        <v>1</v>
      </c>
      <c r="AB53" s="4" t="inlineStr">
        <is>
          <t>1900-01-01</t>
        </is>
      </c>
      <c r="AC53" s="4" t="n">
        <v>0</v>
      </c>
      <c r="AD53" s="4" t="n">
        <v>0</v>
      </c>
      <c r="AE53" s="4" t="n">
        <v>0</v>
      </c>
      <c r="AF53" s="4" t="n">
        <v>0</v>
      </c>
      <c r="AG53" s="4" t="n">
        <v>0</v>
      </c>
      <c r="AH53" s="4" t="n">
        <v>1</v>
      </c>
      <c r="AI53" s="4" t="n">
        <v>0</v>
      </c>
      <c r="AJ53" s="4" t="inlineStr">
        <is>
          <t>00:00:00</t>
        </is>
      </c>
      <c r="AK53" s="4" t="inlineStr">
        <is>
          <t>multisite_dataset_broad</t>
        </is>
      </c>
      <c r="AL53" s="4" t="n"/>
      <c r="AM53" s="4" t="inlineStr">
        <is>
          <t>RB</t>
        </is>
      </c>
      <c r="AN53" s="4" t="inlineStr">
        <is>
          <t>Tomado completo desde archivo RB según asignación</t>
        </is>
      </c>
      <c r="AO53" s="4" t="n">
        <v>0</v>
      </c>
      <c r="AP53" s="4" t="n">
        <v>0</v>
      </c>
      <c r="AQ53" s="4" t="n">
        <v>1</v>
      </c>
      <c r="AR53" s="4" t="n">
        <v>0</v>
      </c>
      <c r="AS53" s="4" t="n">
        <v>0</v>
      </c>
      <c r="AT53" s="4" t="n">
        <v>0</v>
      </c>
      <c r="AU53" s="4" t="n">
        <v>0</v>
      </c>
      <c r="AV53" s="4" t="n">
        <v>0</v>
      </c>
      <c r="AW53" s="4" t="inlineStr">
        <is>
          <t>finalized_from_available_evidence</t>
        </is>
      </c>
      <c r="AX53" s="4" t="inlineStr">
        <is>
          <t>0 means no reported evidence in title/abstract/notes/coding; it is not proof of true absence.</t>
        </is>
      </c>
    </row>
    <row r="54" ht="409" customHeight="1">
      <c r="A54" s="4" t="n">
        <v>53</v>
      </c>
      <c r="B54" s="4" t="n">
        <v>56</v>
      </c>
      <c r="C54" s="4" t="inlineStr">
        <is>
          <t>Revisor B</t>
        </is>
      </c>
      <c r="D54" s="4" t="n"/>
      <c r="E54" s="4" t="n">
        <v>2023</v>
      </c>
      <c r="F54" s="4" t="inlineStr">
        <is>
          <t>Imagen</t>
        </is>
      </c>
      <c r="G54" s="4" t="inlineStr">
        <is>
          <t>Deep Learning</t>
        </is>
      </c>
      <c r="H54" s="4" t="inlineStr">
        <is>
          <t>https://doi.org/10.1038/s41380-022-01917-9</t>
        </is>
      </c>
      <c r="I54" s="4" t="inlineStr">
        <is>
          <t>Epigenomic signatures reveal mechanistic clues and predictive markers for autism spectrum disorder</t>
        </is>
      </c>
      <c r="J54" s="4" t="inlineStr">
        <is>
          <t>Autism spectrum disorder (ASD) comprises a heterogeneous group of neurodevelopmental outcomes in children with a commonality in deficits in social communication and language combined with repetitive behaviors and interests. The etiology of ASD is heterogeneous, as several hundred genes have been implicated as well as multiple in utero environmental exposures. Over the past two decades, epigenetic investigations, including DNA methylation, have emerged as a novel way to capture the complex interface of multivariate ASD etiologies. More recently, epigenome-wide association studies using human brain and surrogate accessible tissues have revealed some convergent genes that are epigenetically altered in ASD, many of which overlap with known genetic risk factors. Unlike transcriptomes, epigenomic signatures defined by DNA methylation from surrogate tissues such as placenta and cord blood can reflect past differences in fetal brain gene transcription, transcription factor binding, and chromatin. For example, the discovery of NHIP (neuronal hypoxia inducible, placenta associated) through an epigenome-wide association in placenta, identified a common genetic risk for ASD that was modified by prenatal vitamin use. While epigenomic signatures are distinct between different genetic syndromic causes of ASD, bivalent chromatin and some convergent gene pathways are consistently epigenetically altered in both syndromic and idiopathic ASD, as well as some environmental exposures. Together, these epigenomic signatures hold promising clues towards improved early prediction and prevention of ASD as well genes and gene pathways to target for pharmacological interventions. Future advancements in single cell and multi-omic technologies, machine learning, as well as non-invasive screening of epigenomic signatures during pregnancy or newborn periods are expected to continue to impact the translatability of the recent discoveries in epigenomics to precision public health.</t>
        </is>
      </c>
      <c r="K54" s="4" t="n"/>
      <c r="L54" s="4" t="n"/>
      <c r="M54" s="4" t="n"/>
      <c r="N54" s="4" t="n"/>
      <c r="O54" s="4" t="n"/>
      <c r="P54" s="4" t="n"/>
      <c r="Q54" s="4" t="n"/>
      <c r="R54" s="4" t="n"/>
      <c r="S54" s="4" t="n"/>
      <c r="T54" s="4" t="n"/>
      <c r="U54" s="4" t="n"/>
      <c r="V54" s="4" t="n"/>
      <c r="W54" s="4" t="n"/>
      <c r="X54" s="4" t="n"/>
      <c r="Y54" s="4" t="n"/>
      <c r="Z54" s="4" t="n"/>
      <c r="AA54" s="4" t="n"/>
      <c r="AB54" s="4" t="inlineStr">
        <is>
          <t>00:00:00</t>
        </is>
      </c>
      <c r="AC54" s="4" t="n">
        <v>0</v>
      </c>
      <c r="AD54" s="4" t="n">
        <v>0</v>
      </c>
      <c r="AE54" s="4" t="n">
        <v>0</v>
      </c>
      <c r="AF54" s="4" t="n">
        <v>0</v>
      </c>
      <c r="AG54" s="4" t="n"/>
      <c r="AH54" s="4" t="n"/>
      <c r="AI54" s="4" t="n"/>
      <c r="AJ54" s="4" t="inlineStr">
        <is>
          <t>00:00:00</t>
        </is>
      </c>
      <c r="AK54" s="4" t="inlineStr">
        <is>
          <t>none_reported</t>
        </is>
      </c>
      <c r="AL54" s="4" t="inlineStr">
        <is>
          <t>Sin señal explícita Q3 en título/abstract.</t>
        </is>
      </c>
      <c r="AM54" s="4" t="inlineStr">
        <is>
          <t>RA_fallback</t>
        </is>
      </c>
      <c r="AN54" s="4" t="inlineStr">
        <is>
          <t>Fallback a RA porque el ID no está en RB</t>
        </is>
      </c>
      <c r="AO54" s="4" t="n">
        <v>1</v>
      </c>
      <c r="AP54" s="4" t="n">
        <v>0</v>
      </c>
      <c r="AQ54" s="4" t="n">
        <v>0</v>
      </c>
      <c r="AR54" s="4" t="n">
        <v>0</v>
      </c>
      <c r="AS54" s="4" t="n">
        <v>0</v>
      </c>
      <c r="AT54" s="4" t="n">
        <v>0</v>
      </c>
      <c r="AU54" s="4" t="n">
        <v>0</v>
      </c>
      <c r="AV54" s="4" t="n">
        <v>0</v>
      </c>
      <c r="AW54" s="4" t="inlineStr">
        <is>
          <t>finalized_from_available_evidence</t>
        </is>
      </c>
      <c r="AX54" s="4" t="inlineStr">
        <is>
          <t>0 means no reported evidence in title/abstract/notes/coding; it is not proof of true absence.</t>
        </is>
      </c>
    </row>
    <row r="55" ht="409" customHeight="1">
      <c r="A55" s="4" t="n">
        <v>54</v>
      </c>
      <c r="B55" s="4" t="n">
        <v>57</v>
      </c>
      <c r="C55" s="4" t="inlineStr">
        <is>
          <t>Revisor A</t>
        </is>
      </c>
      <c r="D55" s="4" t="inlineStr">
        <is>
          <t>RA</t>
        </is>
      </c>
      <c r="E55" s="4" t="n">
        <v>2024</v>
      </c>
      <c r="F55" s="4" t="inlineStr">
        <is>
          <t>Texto · NLP</t>
        </is>
      </c>
      <c r="G55" s="4" t="inlineStr">
        <is>
          <t>Machine Learning</t>
        </is>
      </c>
      <c r="H55" s="4" t="inlineStr">
        <is>
          <t>https://doi.org/10.1007/s00521-024-09905-6</t>
        </is>
      </c>
      <c r="I55" s="4" t="inlineStr">
        <is>
          <t>Evaluation and benchmarking of hybrid machine learning models for autism spectrum disorder diagnosis using a 2-tuple linguistic neutrosophic fuzzy sets-based decision-making model</t>
        </is>
      </c>
      <c r="J55" s="4" t="inlineStr">
        <is>
          <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t>
        </is>
      </c>
      <c r="K55" s="4" t="inlineStr">
        <is>
          <t>Supervised</t>
        </is>
      </c>
      <c r="L55" s="4" t="inlineStr">
        <is>
          <t>Decision Tree</t>
        </is>
      </c>
      <c r="M55" s="4" t="inlineStr">
        <is>
          <t>Classification (ASD vs control / multi-class)</t>
        </is>
      </c>
      <c r="N55" s="4" t="inlineStr">
        <is>
          <t>Diagnosis</t>
        </is>
      </c>
      <c r="O55" s="4" t="inlineStr">
        <is>
          <t>Medium</t>
        </is>
      </c>
      <c r="P55" s="4" t="n">
        <v>0</v>
      </c>
      <c r="Q55" s="4" t="n">
        <v>0</v>
      </c>
      <c r="R55" s="4" t="n">
        <v>0</v>
      </c>
      <c r="S55" s="4" t="n">
        <v>0</v>
      </c>
      <c r="T55" s="4" t="n">
        <v>1</v>
      </c>
      <c r="U55" s="4" t="n">
        <v>0</v>
      </c>
      <c r="V55" s="4" t="n">
        <v>0</v>
      </c>
      <c r="W55" s="4" t="n">
        <v>0</v>
      </c>
      <c r="X55" s="4" t="n">
        <v>0</v>
      </c>
      <c r="Y55" s="4" t="n">
        <v>1</v>
      </c>
      <c r="Z55" s="4" t="n">
        <v>0</v>
      </c>
      <c r="AA55" s="4" t="n">
        <v>0</v>
      </c>
      <c r="AB55" s="4" t="inlineStr">
        <is>
          <t>1900-01-01</t>
        </is>
      </c>
      <c r="AC55" s="4" t="n">
        <v>0</v>
      </c>
      <c r="AD55" s="4" t="n">
        <v>0</v>
      </c>
      <c r="AE55" s="4" t="n">
        <v>0</v>
      </c>
      <c r="AF55" s="4" t="n">
        <v>0</v>
      </c>
      <c r="AG55" s="4" t="n">
        <v>1</v>
      </c>
      <c r="AH55" s="4" t="n">
        <v>1</v>
      </c>
      <c r="AI55" s="4" t="n"/>
      <c r="AJ55" s="4" t="n"/>
      <c r="AK55" s="4" t="inlineStr">
        <is>
          <t>none_reported</t>
        </is>
      </c>
      <c r="AL55" s="4" t="inlineStr">
        <is>
          <t>Algoritmo principal no explícito o fuera del codebook; Confirmar algoritmo principal en full-text; Se comparan varios modelos; se eligió el principal/mejor reportado</t>
        </is>
      </c>
      <c r="AM55" s="4" t="inlineStr">
        <is>
          <t>RA</t>
        </is>
      </c>
      <c r="AN55" s="4" t="inlineStr">
        <is>
          <t>Tomado completo desde archivo RA según asignación</t>
        </is>
      </c>
      <c r="AO55" s="4" t="n">
        <v>0</v>
      </c>
      <c r="AP55" s="4" t="n">
        <v>0</v>
      </c>
      <c r="AQ55" s="4" t="n">
        <v>0</v>
      </c>
      <c r="AR55" s="4" t="n">
        <v>0</v>
      </c>
      <c r="AS55" s="4" t="n">
        <v>0</v>
      </c>
      <c r="AT55" s="4" t="n">
        <v>0</v>
      </c>
      <c r="AU55" s="4" t="n">
        <v>0</v>
      </c>
      <c r="AV55" s="4" t="n">
        <v>0</v>
      </c>
      <c r="AW55" s="4" t="inlineStr">
        <is>
          <t>finalized_from_available_evidence</t>
        </is>
      </c>
      <c r="AX55" s="4" t="inlineStr">
        <is>
          <t>0 means no reported evidence in title/abstract/notes/coding; it is not proof of true absence.</t>
        </is>
      </c>
    </row>
    <row r="56" ht="281" customHeight="1">
      <c r="A56" s="4" t="n">
        <v>55</v>
      </c>
      <c r="B56" s="4" t="n">
        <v>58</v>
      </c>
      <c r="C56" s="4" t="inlineStr">
        <is>
          <t>Revisor B</t>
        </is>
      </c>
      <c r="D56" s="4" t="n"/>
      <c r="E56" s="4" t="n">
        <v>2021</v>
      </c>
      <c r="F56" s="4" t="inlineStr">
        <is>
          <t>No especificado</t>
        </is>
      </c>
      <c r="G56" s="4" t="inlineStr">
        <is>
          <t>Machine Learning</t>
        </is>
      </c>
      <c r="H56" s="4" t="inlineStr">
        <is>
          <t>https://doi.org/10.1007/978-3-030-88163-4_7</t>
        </is>
      </c>
      <c r="I56" s="4" t="inlineStr">
        <is>
          <t>Event Related Potential Analysis Using Machine Learning to Predict Diagnostic Outcome of Autism Spectrum Disorder</t>
        </is>
      </c>
      <c r="J56" s="4" t="inlineStr">
        <is>
          <t>dentifying diagnostic biomarkers for autism spectrum disorder (ASD) is one of the challenges in autism research today. Recent studies using visual Event Related Potentials (ERPs) have identified abnormal patterns of brain activity in high-risk infants who go onto ASD diagnosis. In this study, we used well-established ERP components related to face processing. Features of these ERPs were used to explore the performance of machine learning algorithms in classifying ASD diagnostic outcomes. Data were used from the EEG Integrated Platform (EEG-IP). ERPs were recorded from six-months infants in response to static faces that dynamically changed between direct and averted eye gaze. Amplitude and latency measures of prominent ERP peaks including P100, N290 and P400 were derived across five scalp regions. Difference Scores between stimulus conditions (direct versus indirect eye gaze, toward versus away and face versus noise) were considered. Features were selected by weight correlation and used as inputs to three classifiers: k-Nearest Neighbor, Support Vector machines and Decision tree. Performance of these classifiers was compared. The results showed that the Decision tree classifier had the greatest average accuracy rate of 78.09% in classifying ASD diagnosis in high-risk infants.</t>
        </is>
      </c>
      <c r="K56" s="4" t="inlineStr">
        <is>
          <t>Supervised</t>
        </is>
      </c>
      <c r="L56" s="4" t="inlineStr">
        <is>
          <t>Decision Tree</t>
        </is>
      </c>
      <c r="M56" s="4" t="inlineStr">
        <is>
          <t>Prediction (time-to-event / prognosis)</t>
        </is>
      </c>
      <c r="N56" s="4" t="inlineStr">
        <is>
          <t>diagnosis</t>
        </is>
      </c>
      <c r="O56" s="4" t="inlineStr">
        <is>
          <t>high</t>
        </is>
      </c>
      <c r="P56" s="4" t="n">
        <v>1</v>
      </c>
      <c r="Q56" s="4" t="n">
        <v>0</v>
      </c>
      <c r="R56" s="4" t="n">
        <v>0</v>
      </c>
      <c r="S56" s="4" t="n">
        <v>0</v>
      </c>
      <c r="T56" s="4" t="n">
        <v>0</v>
      </c>
      <c r="U56" s="4" t="n">
        <v>0</v>
      </c>
      <c r="V56" s="4" t="n">
        <v>0</v>
      </c>
      <c r="W56" s="4" t="n">
        <v>0</v>
      </c>
      <c r="X56" s="4" t="n">
        <v>0</v>
      </c>
      <c r="Y56" s="4" t="n">
        <v>1</v>
      </c>
      <c r="Z56" s="4" t="n">
        <v>0</v>
      </c>
      <c r="AA56" s="4" t="n">
        <v>0</v>
      </c>
      <c r="AB56" s="4" t="inlineStr">
        <is>
          <t>1900-01-01</t>
        </is>
      </c>
      <c r="AC56" s="4" t="n">
        <v>0</v>
      </c>
      <c r="AD56" s="4" t="n">
        <v>0</v>
      </c>
      <c r="AE56" s="4" t="n">
        <v>0</v>
      </c>
      <c r="AF56" s="4" t="n">
        <v>0</v>
      </c>
      <c r="AG56" s="4" t="n">
        <v>0</v>
      </c>
      <c r="AH56" s="4" t="n">
        <v>1</v>
      </c>
      <c r="AI56" s="4" t="n">
        <v>0</v>
      </c>
      <c r="AJ56" s="4" t="inlineStr">
        <is>
          <t>1900-01-01</t>
        </is>
      </c>
      <c r="AK56" s="4" t="inlineStr">
        <is>
          <t>none_reported</t>
        </is>
      </c>
      <c r="AL56" s="4" t="n"/>
      <c r="AM56" s="4" t="inlineStr">
        <is>
          <t>RB</t>
        </is>
      </c>
      <c r="AN56" s="4" t="inlineStr">
        <is>
          <t>Tomado completo desde archivo RB según asignación</t>
        </is>
      </c>
      <c r="AO56" s="4" t="n">
        <v>0</v>
      </c>
      <c r="AP56" s="4" t="n">
        <v>0</v>
      </c>
      <c r="AQ56" s="4" t="n">
        <v>0</v>
      </c>
      <c r="AR56" s="4" t="n">
        <v>0</v>
      </c>
      <c r="AS56" s="4" t="n">
        <v>0</v>
      </c>
      <c r="AT56" s="4" t="n">
        <v>0</v>
      </c>
      <c r="AU56" s="4" t="n">
        <v>0</v>
      </c>
      <c r="AV56" s="4" t="n">
        <v>0</v>
      </c>
      <c r="AW56" s="4" t="inlineStr">
        <is>
          <t>finalized_from_available_evidence</t>
        </is>
      </c>
      <c r="AX56" s="4" t="inlineStr">
        <is>
          <t>0 means no reported evidence in title/abstract/notes/coding; it is not proof of true absence.</t>
        </is>
      </c>
    </row>
    <row r="57" ht="359" customHeight="1">
      <c r="A57" s="4" t="n">
        <v>56</v>
      </c>
      <c r="B57" s="4" t="n">
        <v>59</v>
      </c>
      <c r="C57" s="4" t="inlineStr">
        <is>
          <t>Revisor B</t>
        </is>
      </c>
      <c r="D57" s="4" t="n"/>
      <c r="E57" s="4" t="n">
        <v>2019</v>
      </c>
      <c r="F57" s="4" t="inlineStr">
        <is>
          <t>Multimodal</t>
        </is>
      </c>
      <c r="G57" s="4" t="inlineStr">
        <is>
          <t>Machine Learning</t>
        </is>
      </c>
      <c r="H57" s="4" t="inlineStr">
        <is>
          <t>https://doi.org/10.1089/brain.2019.0689</t>
        </is>
      </c>
      <c r="I57" s="4" t="inlineStr">
        <is>
          <t>Functional Connectivities Are More Informative Than Anatomical Variables in Diagnostic Classification of Autism</t>
        </is>
      </c>
      <c r="J57" s="4" t="inlineStr">
        <is>
          <t>Machine learning techniques have been implemented to reveal brain features that distinguish people with autism spectrum disorders (ASDs) from typically developing (TD) peers. However, it remains unknown whether different neuroimaging modalities are equally informative for diagnostic classification. We combined anatomical magnetic resonance imaging (aMRI), diffusion weighted imaging (DWI), and functional connectivity MRI (fcMRI) using conditional random forest (CRF) for supervised learning to compare how informative each modality was in diagnostic classification. In-house data (N = 93) included 47 TD and 46 ASD participants, matched on age, motion, and nonverbal IQ. Four main analyses consistently indicated that fcMRI variables were significantly more informative than anatomical variables from aMRI and DWI. This was found (1) when the top 100 variables from CRF (run separately in each modality) were combined for multimodal CRF; (2) when only 19 top variables reaching &gt;67% accuracy in each modality were combined in multimodal CRF; and (3) when the large number of initial variables (before dimension reduction) potentially biasing comparisons in favor of fcMRI was reduced using a less granular region of interest scheme. Consistent superiority of fcMRI was even found (4) when 100 variables per modality were randomly selected, removing any such potential bias. Greater informative value of functional than anatomical modalities may relate to the nature of fcMRI data, reflecting more closely behavioral condition, which is also the basis of diagnosis, whereas brain anatomy may be more reflective of neurodevelopmental history.</t>
        </is>
      </c>
      <c r="K57" s="4" t="inlineStr">
        <is>
          <t>Supervised</t>
        </is>
      </c>
      <c r="L57" s="4" t="inlineStr">
        <is>
          <t>Random Forest</t>
        </is>
      </c>
      <c r="M57" s="4" t="inlineStr">
        <is>
          <t>Classification (binary/multi-class; incl. ASD vs control)/ multi-class)</t>
        </is>
      </c>
      <c r="N57" s="4" t="inlineStr">
        <is>
          <t>monitoring_intervention</t>
        </is>
      </c>
      <c r="O57" s="4" t="inlineStr">
        <is>
          <t>high</t>
        </is>
      </c>
      <c r="P57" s="4" t="n">
        <v>0</v>
      </c>
      <c r="Q57" s="4" t="n">
        <v>0</v>
      </c>
      <c r="R57" s="4" t="n">
        <v>0</v>
      </c>
      <c r="S57" s="4" t="n">
        <v>0</v>
      </c>
      <c r="T57" s="4" t="n">
        <v>0</v>
      </c>
      <c r="U57" s="4" t="n">
        <v>1</v>
      </c>
      <c r="V57" s="4" t="n">
        <v>0</v>
      </c>
      <c r="W57" s="4" t="n">
        <v>0</v>
      </c>
      <c r="X57" s="4" t="n">
        <v>0</v>
      </c>
      <c r="Y57" s="4" t="n">
        <v>0</v>
      </c>
      <c r="Z57" s="4" t="n">
        <v>0</v>
      </c>
      <c r="AA57" s="4" t="n">
        <v>1</v>
      </c>
      <c r="AB57" s="4" t="inlineStr">
        <is>
          <t>1900-01-01</t>
        </is>
      </c>
      <c r="AC57" s="4" t="n">
        <v>0</v>
      </c>
      <c r="AD57" s="4" t="n">
        <v>0</v>
      </c>
      <c r="AE57" s="4" t="n">
        <v>0</v>
      </c>
      <c r="AF57" s="4" t="n">
        <v>1</v>
      </c>
      <c r="AG57" s="4" t="n">
        <v>1</v>
      </c>
      <c r="AH57" s="4" t="n">
        <v>1</v>
      </c>
      <c r="AI57" s="4" t="n">
        <v>0</v>
      </c>
      <c r="AJ57" s="4" t="inlineStr">
        <is>
          <t>1900-01-01</t>
        </is>
      </c>
      <c r="AK57" s="4" t="inlineStr">
        <is>
          <t>multisource_integration</t>
        </is>
      </c>
      <c r="AL57" s="4" t="n"/>
      <c r="AM57" s="4" t="inlineStr">
        <is>
          <t>RB</t>
        </is>
      </c>
      <c r="AN57" s="4" t="inlineStr">
        <is>
          <t>Tomado completo desde archivo RB según asignación</t>
        </is>
      </c>
      <c r="AO57" s="4" t="n">
        <v>0</v>
      </c>
      <c r="AP57" s="4" t="n">
        <v>0</v>
      </c>
      <c r="AQ57" s="4" t="n">
        <v>0</v>
      </c>
      <c r="AR57" s="4" t="n">
        <v>0</v>
      </c>
      <c r="AS57" s="4" t="n">
        <v>0</v>
      </c>
      <c r="AT57" s="4" t="n">
        <v>0</v>
      </c>
      <c r="AU57" s="4" t="n">
        <v>0</v>
      </c>
      <c r="AV57" s="4" t="n">
        <v>1</v>
      </c>
      <c r="AW57" s="4" t="inlineStr">
        <is>
          <t>finalized_from_available_evidence</t>
        </is>
      </c>
      <c r="AX57" s="4" t="inlineStr">
        <is>
          <t>0 means no reported evidence in title/abstract/notes/coding; it is not proof of true absence.</t>
        </is>
      </c>
    </row>
    <row r="58" ht="385" customHeight="1">
      <c r="A58" s="4" t="n">
        <v>57</v>
      </c>
      <c r="B58" s="4" t="n">
        <v>60</v>
      </c>
      <c r="C58" s="4" t="inlineStr">
        <is>
          <t>Revisor A</t>
        </is>
      </c>
      <c r="D58" s="4" t="inlineStr">
        <is>
          <t>RA</t>
        </is>
      </c>
      <c r="E58" s="4" t="n">
        <v>2017</v>
      </c>
      <c r="F58" s="4" t="inlineStr">
        <is>
          <t>No especificado</t>
        </is>
      </c>
      <c r="G58" s="4" t="inlineStr">
        <is>
          <t>Deep Learning</t>
        </is>
      </c>
      <c r="H58" s="4" t="inlineStr">
        <is>
          <t>https://doi.org/10.1016/j.eurpsy.2017.02.198</t>
        </is>
      </c>
      <c r="I58" s="4" t="inlineStr">
        <is>
          <t>Hyperuricemia and Metabolic Adverse Effect in Children and Adolescents with Autism Spectrum Disorder Treated with Risperidone</t>
        </is>
      </c>
      <c r="J58" s="4" t="inlineStr">
        <is>
          <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t>
        </is>
      </c>
      <c r="K58" s="4" t="inlineStr">
        <is>
          <t>Supervised</t>
        </is>
      </c>
      <c r="L58" s="4" t="inlineStr">
        <is>
          <t>Other / Not clear</t>
        </is>
      </c>
      <c r="M58" s="4" t="inlineStr">
        <is>
          <t>Regression (score / severity / risk)</t>
        </is>
      </c>
      <c r="N58" s="4" t="inlineStr">
        <is>
          <t>Monitoring/intervention</t>
        </is>
      </c>
      <c r="O58" s="4" t="inlineStr">
        <is>
          <t>High</t>
        </is>
      </c>
      <c r="P58" s="4" t="n">
        <v>0</v>
      </c>
      <c r="Q58" s="4" t="n">
        <v>0</v>
      </c>
      <c r="R58" s="4" t="n">
        <v>0</v>
      </c>
      <c r="S58" s="4" t="n">
        <v>0</v>
      </c>
      <c r="T58" s="4" t="n">
        <v>1</v>
      </c>
      <c r="U58" s="4" t="n">
        <v>1</v>
      </c>
      <c r="V58" s="4" t="n">
        <v>0</v>
      </c>
      <c r="W58" s="4" t="n">
        <v>0</v>
      </c>
      <c r="X58" s="4" t="n">
        <v>0</v>
      </c>
      <c r="Y58" s="4" t="n">
        <v>0</v>
      </c>
      <c r="Z58" s="4" t="n">
        <v>0</v>
      </c>
      <c r="AA58" s="4" t="n">
        <v>1</v>
      </c>
      <c r="AB58" s="4" t="inlineStr">
        <is>
          <t>00:00:00</t>
        </is>
      </c>
      <c r="AC58" s="4" t="n">
        <v>0</v>
      </c>
      <c r="AD58" s="4" t="n">
        <v>0</v>
      </c>
      <c r="AE58" s="4" t="n">
        <v>0</v>
      </c>
      <c r="AF58" s="4" t="n">
        <v>1</v>
      </c>
      <c r="AG58" s="4" t="n">
        <v>1</v>
      </c>
      <c r="AH58" s="4" t="n">
        <v>2</v>
      </c>
      <c r="AI58" s="4" t="n"/>
      <c r="AJ58" s="4" t="n"/>
      <c r="AK58" s="4" t="inlineStr">
        <is>
          <t>multisource_integration</t>
        </is>
      </c>
      <c r="AL58" s="4" t="inlineStr">
        <is>
          <t>Estudio principalmente clínico/estadístico sobre efectos metabólicos de risperidona; relevancia de IA ambigua.</t>
        </is>
      </c>
      <c r="AM58" s="4" t="inlineStr">
        <is>
          <t>RA</t>
        </is>
      </c>
      <c r="AN58" s="4" t="inlineStr">
        <is>
          <t>Tomado completo desde archivo RA según asignación</t>
        </is>
      </c>
      <c r="AO58" s="4" t="n">
        <v>0</v>
      </c>
      <c r="AP58" s="4" t="n">
        <v>0</v>
      </c>
      <c r="AQ58" s="4" t="n">
        <v>0</v>
      </c>
      <c r="AR58" s="4" t="n">
        <v>0</v>
      </c>
      <c r="AS58" s="4" t="n">
        <v>0</v>
      </c>
      <c r="AT58" s="4" t="n">
        <v>0</v>
      </c>
      <c r="AU58" s="4" t="n">
        <v>0</v>
      </c>
      <c r="AV58" s="4" t="n">
        <v>1</v>
      </c>
      <c r="AW58" s="4" t="inlineStr">
        <is>
          <t>finalized_from_available_evidence</t>
        </is>
      </c>
      <c r="AX58" s="4" t="inlineStr">
        <is>
          <t>0 means no reported evidence in title/abstract/notes/coding; it is not proof of true absence.</t>
        </is>
      </c>
    </row>
    <row r="59" ht="346" customHeight="1">
      <c r="A59" s="4" t="n">
        <v>58</v>
      </c>
      <c r="B59" s="4" t="n">
        <v>61</v>
      </c>
      <c r="C59" s="4" t="inlineStr">
        <is>
          <t>Revisor B</t>
        </is>
      </c>
      <c r="D59" s="4" t="n"/>
      <c r="E59" s="4" t="n">
        <v>2022</v>
      </c>
      <c r="F59" s="4" t="inlineStr">
        <is>
          <t>Imagen</t>
        </is>
      </c>
      <c r="G59" s="4" t="inlineStr">
        <is>
          <t>Deep Learning</t>
        </is>
      </c>
      <c r="H59" s="4" t="inlineStr">
        <is>
          <t>https://doi.org/10.1007/s12539-022-00510-6</t>
        </is>
      </c>
      <c r="I59" s="4" t="inlineStr">
        <is>
          <t>Identifying Visual Attention Features Accurately Discerning Between Autism and Typically Developing: a Deep Learning Framework</t>
        </is>
      </c>
      <c r="J59" s="4" t="inlineStr">
        <is>
          <t>Atypical visual attention is a hallmark of autism spectrum disorder (ASD). Identifying the attention features accurately discerning between people with ASD and typically developing (TD) at the individual level remains a challenge. In this study, we developed a new systematic framework combining high accuracy deep learning classification, deep learning segmentation, image ablation and a direct measurement of classification ability to identify the discriminative features for autism identification. Our two-stream model achieved the state-of-the-art performance with a classification accuracy of 0.95. Using this framework, two new categories of features, Food &amp; drink and Outdoor-objects, were identified as discriminative attention features, in addition to the previously reported features including Center-object and Human-faces, etc. Altered attention to the new categories helps to understand related atypical behaviors in ASD. Importantly, the area under curve (AUC) based on the combined top-9 features identified in this study was 0.92, allowing an accurate classification at the individual level. We also obtained a small but informative dataset of 12 images with an AUC of 0.86, suggesting a potentially efficient approach for the clinical diagnosis of ASD. Together, our deep learning framework based on VGG-16 provides a novel and powerful tool to recognize and understand abnormal visual attention in ASD, which will, in turn, facilitate the identification of biomarkers for ASD. Graphical abstract: [Figure not available: see fulltext.].</t>
        </is>
      </c>
      <c r="K59" s="4" t="inlineStr">
        <is>
          <t>Supervised</t>
        </is>
      </c>
      <c r="L59" s="4" t="inlineStr">
        <is>
          <t>CNN</t>
        </is>
      </c>
      <c r="M59" s="4" t="inlineStr">
        <is>
          <t>Classification (binary/multi-class; incl. ASD vs control)/ multi-class)</t>
        </is>
      </c>
      <c r="N59" s="4" t="inlineStr">
        <is>
          <t>monitoring_intervention</t>
        </is>
      </c>
      <c r="O59" s="4" t="inlineStr">
        <is>
          <t>medium</t>
        </is>
      </c>
      <c r="P59" s="4" t="n">
        <v>0</v>
      </c>
      <c r="Q59" s="4" t="n">
        <v>0</v>
      </c>
      <c r="R59" s="4" t="n">
        <v>0</v>
      </c>
      <c r="S59" s="4" t="n">
        <v>0</v>
      </c>
      <c r="T59" s="4" t="n">
        <v>0</v>
      </c>
      <c r="U59" s="4" t="n">
        <v>0</v>
      </c>
      <c r="V59" s="4" t="n">
        <v>0</v>
      </c>
      <c r="W59" s="4" t="n">
        <v>0</v>
      </c>
      <c r="X59" s="4" t="n">
        <v>0</v>
      </c>
      <c r="Y59" s="4" t="n">
        <v>0</v>
      </c>
      <c r="Z59" s="4" t="n">
        <v>0</v>
      </c>
      <c r="AA59" s="4" t="n">
        <v>1</v>
      </c>
      <c r="AB59" s="4" t="inlineStr">
        <is>
          <t>1900-01-01</t>
        </is>
      </c>
      <c r="AC59" s="4" t="n">
        <v>0</v>
      </c>
      <c r="AD59" s="4" t="n">
        <v>0</v>
      </c>
      <c r="AE59" s="4" t="n">
        <v>0</v>
      </c>
      <c r="AF59" s="4" t="n">
        <v>0</v>
      </c>
      <c r="AG59" s="4" t="n">
        <v>1</v>
      </c>
      <c r="AH59" s="4" t="n">
        <v>0</v>
      </c>
      <c r="AI59" s="4" t="n">
        <v>0</v>
      </c>
      <c r="AJ59" s="4" t="inlineStr">
        <is>
          <t>1900-01-01</t>
        </is>
      </c>
      <c r="AK59" s="4" t="inlineStr">
        <is>
          <t>none_reported</t>
        </is>
      </c>
      <c r="AL59" s="4" t="n"/>
      <c r="AM59" s="4" t="inlineStr">
        <is>
          <t>RB</t>
        </is>
      </c>
      <c r="AN59" s="4" t="inlineStr">
        <is>
          <t>Tomado completo desde archivo RB según asignación</t>
        </is>
      </c>
      <c r="AO59" s="4" t="n">
        <v>0</v>
      </c>
      <c r="AP59" s="4" t="n">
        <v>0</v>
      </c>
      <c r="AQ59" s="4" t="n">
        <v>0</v>
      </c>
      <c r="AR59" s="4" t="n">
        <v>0</v>
      </c>
      <c r="AS59" s="4" t="n">
        <v>0</v>
      </c>
      <c r="AT59" s="4" t="n">
        <v>0</v>
      </c>
      <c r="AU59" s="4" t="n">
        <v>0</v>
      </c>
      <c r="AV59" s="4" t="n">
        <v>0</v>
      </c>
      <c r="AW59" s="4" t="inlineStr">
        <is>
          <t>finalized_from_available_evidence</t>
        </is>
      </c>
      <c r="AX59" s="4" t="inlineStr">
        <is>
          <t>0 means no reported evidence in title/abstract/notes/coding; it is not proof of true absence.</t>
        </is>
      </c>
    </row>
    <row r="60" ht="359" customHeight="1">
      <c r="A60" s="4" t="n">
        <v>59</v>
      </c>
      <c r="B60" s="4" t="n">
        <v>62</v>
      </c>
      <c r="C60" s="4" t="inlineStr">
        <is>
          <t>Revisor A</t>
        </is>
      </c>
      <c r="D60" s="4" t="inlineStr">
        <is>
          <t>RA</t>
        </is>
      </c>
      <c r="E60" s="4" t="n">
        <v>2016</v>
      </c>
      <c r="F60" s="4" t="inlineStr">
        <is>
          <t>No especificado</t>
        </is>
      </c>
      <c r="G60" s="4" t="inlineStr">
        <is>
          <t>Machine Learning</t>
        </is>
      </c>
      <c r="H60" s="4" t="inlineStr">
        <is>
          <t>https://doi.org/10.1016/j.eurpsy.2016.01.060</t>
        </is>
      </c>
      <c r="I60" s="4" t="inlineStr">
        <is>
          <t>Impact of DRD2 polymorphisms on prolactin level in risperidone-treated Thai children and adolescent with autism spectrum disorders</t>
        </is>
      </c>
      <c r="J60" s="4" t="inlineStr">
        <is>
          <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t>
        </is>
      </c>
      <c r="K60" s="4" t="inlineStr">
        <is>
          <t>Other / Not clear</t>
        </is>
      </c>
      <c r="L60" s="4" t="inlineStr">
        <is>
          <t>Other / Not clear</t>
        </is>
      </c>
      <c r="M60" s="4" t="inlineStr">
        <is>
          <t>Other / Not clear</t>
        </is>
      </c>
      <c r="N60" s="4" t="inlineStr">
        <is>
          <t>Monitoring/intervention</t>
        </is>
      </c>
      <c r="O60" s="4" t="inlineStr">
        <is>
          <t>High</t>
        </is>
      </c>
      <c r="P60" s="4" t="n">
        <v>0</v>
      </c>
      <c r="Q60" s="4" t="n">
        <v>0</v>
      </c>
      <c r="R60" s="4" t="n">
        <v>0</v>
      </c>
      <c r="S60" s="4" t="n">
        <v>0</v>
      </c>
      <c r="T60" s="4" t="n">
        <v>1</v>
      </c>
      <c r="U60" s="4" t="n">
        <v>1</v>
      </c>
      <c r="V60" s="4" t="n">
        <v>0</v>
      </c>
      <c r="W60" s="4" t="n">
        <v>0</v>
      </c>
      <c r="X60" s="4" t="n">
        <v>0</v>
      </c>
      <c r="Y60" s="4" t="n">
        <v>0</v>
      </c>
      <c r="Z60" s="4" t="n">
        <v>0</v>
      </c>
      <c r="AA60" s="4" t="n">
        <v>1</v>
      </c>
      <c r="AB60" s="4" t="inlineStr">
        <is>
          <t>1900-01-01</t>
        </is>
      </c>
      <c r="AC60" s="4" t="n">
        <v>0</v>
      </c>
      <c r="AD60" s="4" t="n">
        <v>0</v>
      </c>
      <c r="AE60" s="4" t="n">
        <v>0</v>
      </c>
      <c r="AF60" s="4" t="n">
        <v>1</v>
      </c>
      <c r="AG60" s="4" t="n">
        <v>1</v>
      </c>
      <c r="AH60" s="4" t="n">
        <v>2</v>
      </c>
      <c r="AI60" s="4" t="n"/>
      <c r="AJ60" s="4" t="n"/>
      <c r="AK60" s="4" t="inlineStr">
        <is>
          <t>multisource_integration</t>
        </is>
      </c>
      <c r="AL60" s="4" t="inlineStr">
        <is>
          <t>Estudio farmacogenético de prolactina en tratamiento con risperidona; uso de IA/ML no claramente descrito.</t>
        </is>
      </c>
      <c r="AM60" s="4" t="inlineStr">
        <is>
          <t>RA</t>
        </is>
      </c>
      <c r="AN60" s="4" t="inlineStr">
        <is>
          <t>Tomado completo desde archivo RA según asignación</t>
        </is>
      </c>
      <c r="AO60" s="4" t="n">
        <v>0</v>
      </c>
      <c r="AP60" s="4" t="n">
        <v>0</v>
      </c>
      <c r="AQ60" s="4" t="n">
        <v>0</v>
      </c>
      <c r="AR60" s="4" t="n">
        <v>0</v>
      </c>
      <c r="AS60" s="4" t="n">
        <v>0</v>
      </c>
      <c r="AT60" s="4" t="n">
        <v>0</v>
      </c>
      <c r="AU60" s="4" t="n">
        <v>0</v>
      </c>
      <c r="AV60" s="4" t="n">
        <v>1</v>
      </c>
      <c r="AW60" s="4" t="inlineStr">
        <is>
          <t>finalized_from_available_evidence</t>
        </is>
      </c>
      <c r="AX60" s="4" t="inlineStr">
        <is>
          <t>0 means no reported evidence in title/abstract/notes/coding; it is not proof of true absence.</t>
        </is>
      </c>
    </row>
    <row r="61" ht="372" customHeight="1">
      <c r="A61" s="4" t="n">
        <v>60</v>
      </c>
      <c r="B61" s="4" t="n">
        <v>63</v>
      </c>
      <c r="C61" s="4" t="inlineStr">
        <is>
          <t>Revisor A</t>
        </is>
      </c>
      <c r="D61" s="4" t="inlineStr">
        <is>
          <t>RA</t>
        </is>
      </c>
      <c r="E61" s="4" t="n">
        <v>2025</v>
      </c>
      <c r="F61" s="4" t="inlineStr">
        <is>
          <t>Imagen</t>
        </is>
      </c>
      <c r="G61" s="4" t="inlineStr">
        <is>
          <t>Machine Learning</t>
        </is>
      </c>
      <c r="H61" s="4" t="inlineStr">
        <is>
          <t>https://doi.org/10.1109/TNSRE.2024.3516216</t>
        </is>
      </c>
      <c r="I61" s="4" t="inlineStr">
        <is>
          <t>Improving fMRI-Based Autism Severity Identification via Brain Network Distance and Adaptive Label Distribution Learning</t>
        </is>
      </c>
      <c r="J61" s="4" t="inlineStr">
        <is>
          <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t>
        </is>
      </c>
      <c r="K61" s="4" t="inlineStr">
        <is>
          <t>Supervised</t>
        </is>
      </c>
      <c r="L61" s="4" t="inlineStr">
        <is>
          <t>MLP</t>
        </is>
      </c>
      <c r="M61" s="4" t="inlineStr">
        <is>
          <t>Regression (score / severity / risk)</t>
        </is>
      </c>
      <c r="N61" s="4" t="inlineStr">
        <is>
          <t>Diagnosis</t>
        </is>
      </c>
      <c r="O61" s="4" t="inlineStr">
        <is>
          <t>Medium</t>
        </is>
      </c>
      <c r="P61" s="4" t="n">
        <v>1</v>
      </c>
      <c r="Q61" s="4" t="n">
        <v>0</v>
      </c>
      <c r="R61" s="4" t="n">
        <v>0</v>
      </c>
      <c r="S61" s="4" t="n">
        <v>0</v>
      </c>
      <c r="T61" s="4" t="n">
        <v>0</v>
      </c>
      <c r="U61" s="4" t="n">
        <v>0</v>
      </c>
      <c r="V61" s="4" t="n">
        <v>0</v>
      </c>
      <c r="W61" s="4" t="n">
        <v>0</v>
      </c>
      <c r="X61" s="4" t="n">
        <v>0</v>
      </c>
      <c r="Y61" s="4" t="n">
        <v>1</v>
      </c>
      <c r="Z61" s="4" t="n">
        <v>0</v>
      </c>
      <c r="AA61" s="4" t="n">
        <v>0</v>
      </c>
      <c r="AB61" s="4" t="inlineStr">
        <is>
          <t>1900-01-01</t>
        </is>
      </c>
      <c r="AC61" s="4" t="n">
        <v>0</v>
      </c>
      <c r="AD61" s="4" t="n">
        <v>0</v>
      </c>
      <c r="AE61" s="4" t="n">
        <v>0</v>
      </c>
      <c r="AF61" s="4" t="n">
        <v>0</v>
      </c>
      <c r="AG61" s="4" t="n">
        <v>1</v>
      </c>
      <c r="AH61" s="4" t="n">
        <v>1</v>
      </c>
      <c r="AI61" s="4" t="n"/>
      <c r="AJ61" s="4" t="n"/>
      <c r="AK61" s="4" t="inlineStr">
        <is>
          <t>multisite_dataset_broad</t>
        </is>
      </c>
      <c r="AL61" s="4" t="inlineStr">
        <is>
          <t>Algoritmo principal no explícito o fuera del codebook; Confirmar algoritmo principal en full-text</t>
        </is>
      </c>
      <c r="AM61" s="4" t="inlineStr">
        <is>
          <t>RA</t>
        </is>
      </c>
      <c r="AN61" s="4" t="inlineStr">
        <is>
          <t>Tomado completo desde archivo RA según asignación</t>
        </is>
      </c>
      <c r="AO61" s="4" t="n">
        <v>0</v>
      </c>
      <c r="AP61" s="4" t="n">
        <v>0</v>
      </c>
      <c r="AQ61" s="4" t="n">
        <v>1</v>
      </c>
      <c r="AR61" s="4" t="n">
        <v>0</v>
      </c>
      <c r="AS61" s="4" t="n">
        <v>0</v>
      </c>
      <c r="AT61" s="4" t="n">
        <v>0</v>
      </c>
      <c r="AU61" s="4" t="n">
        <v>0</v>
      </c>
      <c r="AV61" s="4" t="n">
        <v>0</v>
      </c>
      <c r="AW61" s="4" t="inlineStr">
        <is>
          <t>finalized_from_available_evidence</t>
        </is>
      </c>
      <c r="AX61" s="4" t="inlineStr">
        <is>
          <t>0 means no reported evidence in title/abstract/notes/coding; it is not proof of true absence.</t>
        </is>
      </c>
    </row>
    <row r="62" ht="409" customHeight="1">
      <c r="A62" s="4" t="n">
        <v>61</v>
      </c>
      <c r="B62" s="4" t="n">
        <v>64</v>
      </c>
      <c r="C62" s="4" t="inlineStr">
        <is>
          <t>Revisor B</t>
        </is>
      </c>
      <c r="D62" s="4" t="n"/>
      <c r="E62" s="4" t="n">
        <v>2025</v>
      </c>
      <c r="F62" s="4" t="inlineStr">
        <is>
          <t>Imagen</t>
        </is>
      </c>
      <c r="G62" s="4" t="inlineStr">
        <is>
          <t>Híbrido</t>
        </is>
      </c>
      <c r="H62" s="4" t="inlineStr">
        <is>
          <t>https://doi.org/10.1016/j.mex.2025.103166</t>
        </is>
      </c>
      <c r="I62" s="4" t="inlineStr">
        <is>
          <t>Leveraging hybrid model of ConvNextBase and LightGBM for early ASD detection via eye-gaze analysis</t>
        </is>
      </c>
      <c r="J62" s="4" t="inlineStr">
        <is>
          <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t>
        </is>
      </c>
      <c r="K62" s="4" t="inlineStr">
        <is>
          <t>Supervised</t>
        </is>
      </c>
      <c r="L62" s="4" t="inlineStr">
        <is>
          <t>XGBoost / GBDT</t>
        </is>
      </c>
      <c r="M62" s="4" t="inlineStr">
        <is>
          <t>Classification (binary/multi-class; incl. ASD vs control)/ multi-class)</t>
        </is>
      </c>
      <c r="N62" s="4" t="inlineStr">
        <is>
          <t>screening</t>
        </is>
      </c>
      <c r="O62" s="4" t="inlineStr">
        <is>
          <t>high</t>
        </is>
      </c>
      <c r="P62" s="4" t="n">
        <v>0</v>
      </c>
      <c r="Q62" s="4" t="n">
        <v>0</v>
      </c>
      <c r="R62" s="4" t="n">
        <v>0</v>
      </c>
      <c r="S62" s="4" t="n">
        <v>0</v>
      </c>
      <c r="T62" s="4" t="n">
        <v>0</v>
      </c>
      <c r="U62" s="4" t="n">
        <v>0</v>
      </c>
      <c r="V62" s="4" t="n">
        <v>0</v>
      </c>
      <c r="W62" s="4" t="n">
        <v>0</v>
      </c>
      <c r="X62" s="4" t="n">
        <v>1</v>
      </c>
      <c r="Y62" s="4" t="n">
        <v>1</v>
      </c>
      <c r="Z62" s="4" t="n">
        <v>1</v>
      </c>
      <c r="AA62" s="4" t="n">
        <v>0</v>
      </c>
      <c r="AB62" s="4" t="inlineStr">
        <is>
          <t>1900-01-01</t>
        </is>
      </c>
      <c r="AC62" s="4" t="n">
        <v>0</v>
      </c>
      <c r="AD62" s="4" t="n">
        <v>0</v>
      </c>
      <c r="AE62" s="4" t="n">
        <v>0</v>
      </c>
      <c r="AF62" s="4" t="n">
        <v>0</v>
      </c>
      <c r="AG62" s="4" t="n">
        <v>1</v>
      </c>
      <c r="AH62" s="4" t="n">
        <v>0</v>
      </c>
      <c r="AI62" s="4" t="n">
        <v>0</v>
      </c>
      <c r="AJ62" s="4" t="inlineStr">
        <is>
          <t>00:00:00</t>
        </is>
      </c>
      <c r="AK62" s="4" t="inlineStr">
        <is>
          <t>internal_validation_only</t>
        </is>
      </c>
      <c r="AL62" s="4" t="inlineStr">
        <is>
          <t>Es un híbrido: ConvNeXtBase (CNN) como extractor de características + LightGBM (GBDT) como clasificador.</t>
        </is>
      </c>
      <c r="AM62" s="4" t="inlineStr">
        <is>
          <t>RB</t>
        </is>
      </c>
      <c r="AN62" s="4" t="inlineStr">
        <is>
          <t>Tomado completo desde archivo RB según asignación</t>
        </is>
      </c>
      <c r="AO62" s="4" t="n">
        <v>0</v>
      </c>
      <c r="AP62" s="4" t="n">
        <v>0</v>
      </c>
      <c r="AQ62" s="4" t="n">
        <v>0</v>
      </c>
      <c r="AR62" s="4" t="n">
        <v>1</v>
      </c>
      <c r="AS62" s="4" t="n">
        <v>0</v>
      </c>
      <c r="AT62" s="4" t="n">
        <v>0</v>
      </c>
      <c r="AU62" s="4" t="n">
        <v>0</v>
      </c>
      <c r="AV62" s="4" t="n">
        <v>0</v>
      </c>
      <c r="AW62" s="4" t="inlineStr">
        <is>
          <t>finalized_from_available_evidence</t>
        </is>
      </c>
      <c r="AX62" s="4" t="inlineStr">
        <is>
          <t>0 means no reported evidence in title/abstract/notes/coding; it is not proof of true absence.</t>
        </is>
      </c>
    </row>
    <row r="63" ht="333" customHeight="1">
      <c r="A63" s="4" t="n">
        <v>62</v>
      </c>
      <c r="B63" s="4" t="n">
        <v>65</v>
      </c>
      <c r="C63" s="4" t="inlineStr">
        <is>
          <t>Revisor A</t>
        </is>
      </c>
      <c r="D63" s="4" t="inlineStr">
        <is>
          <t>RA</t>
        </is>
      </c>
      <c r="E63" s="4" t="n">
        <v>2020</v>
      </c>
      <c r="F63" s="4" t="inlineStr">
        <is>
          <t>No especificado</t>
        </is>
      </c>
      <c r="G63" s="4" t="inlineStr">
        <is>
          <t>Machine Learning</t>
        </is>
      </c>
      <c r="H63" s="4" t="inlineStr">
        <is>
          <t>https://doi.org/10.1016/j.phycom.2020.101115</t>
        </is>
      </c>
      <c r="I63" s="4" t="inlineStr">
        <is>
          <t>Modified Grasshopper Optimization Algorithm for detection of Autism Spectrum Disorder</t>
        </is>
      </c>
      <c r="J63" s="4" t="inlineStr">
        <is>
          <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t>
        </is>
      </c>
      <c r="K63" s="4" t="inlineStr">
        <is>
          <t>Supervised</t>
        </is>
      </c>
      <c r="L63" s="4" t="inlineStr">
        <is>
          <t>Random Forest</t>
        </is>
      </c>
      <c r="M63" s="4" t="inlineStr">
        <is>
          <t>Other / Not clear</t>
        </is>
      </c>
      <c r="N63" s="4" t="inlineStr">
        <is>
          <t>Screening</t>
        </is>
      </c>
      <c r="O63" s="4" t="inlineStr">
        <is>
          <t>High</t>
        </is>
      </c>
      <c r="P63" s="4" t="n">
        <v>0</v>
      </c>
      <c r="Q63" s="4" t="n">
        <v>0</v>
      </c>
      <c r="R63" s="4" t="n">
        <v>0</v>
      </c>
      <c r="S63" s="4" t="n">
        <v>0</v>
      </c>
      <c r="T63" s="4" t="n">
        <v>1</v>
      </c>
      <c r="U63" s="4" t="n">
        <v>0</v>
      </c>
      <c r="V63" s="4" t="n">
        <v>0</v>
      </c>
      <c r="W63" s="4" t="n">
        <v>0</v>
      </c>
      <c r="X63" s="4" t="n">
        <v>1</v>
      </c>
      <c r="Y63" s="4" t="n">
        <v>0</v>
      </c>
      <c r="Z63" s="4" t="n">
        <v>0</v>
      </c>
      <c r="AA63" s="4" t="n">
        <v>0</v>
      </c>
      <c r="AB63" s="4" t="inlineStr">
        <is>
          <t>1900-01-01</t>
        </is>
      </c>
      <c r="AC63" s="4" t="n">
        <v>0</v>
      </c>
      <c r="AD63" s="4" t="n">
        <v>0</v>
      </c>
      <c r="AE63" s="4" t="n">
        <v>0</v>
      </c>
      <c r="AF63" s="4" t="n">
        <v>0</v>
      </c>
      <c r="AG63" s="4" t="n">
        <v>1</v>
      </c>
      <c r="AH63" s="4" t="n">
        <v>1</v>
      </c>
      <c r="AI63" s="4" t="n"/>
      <c r="AJ63" s="4" t="n"/>
      <c r="AK63" s="4" t="inlineStr">
        <is>
          <t>none_reported</t>
        </is>
      </c>
      <c r="AL63" s="4" t="inlineStr">
        <is>
          <t>Algoritmo principal no explícito o fuera del codebook; Confirmar algoritmo principal en full-text</t>
        </is>
      </c>
      <c r="AM63" s="4" t="inlineStr">
        <is>
          <t>RA</t>
        </is>
      </c>
      <c r="AN63" s="4" t="inlineStr">
        <is>
          <t>Tomado completo desde archivo RA según asignación</t>
        </is>
      </c>
      <c r="AO63" s="4" t="n">
        <v>0</v>
      </c>
      <c r="AP63" s="4" t="n">
        <v>0</v>
      </c>
      <c r="AQ63" s="4" t="n">
        <v>0</v>
      </c>
      <c r="AR63" s="4" t="n">
        <v>0</v>
      </c>
      <c r="AS63" s="4" t="n">
        <v>0</v>
      </c>
      <c r="AT63" s="4" t="n">
        <v>0</v>
      </c>
      <c r="AU63" s="4" t="n">
        <v>0</v>
      </c>
      <c r="AV63" s="4" t="n">
        <v>0</v>
      </c>
      <c r="AW63" s="4" t="inlineStr">
        <is>
          <t>finalized_from_available_evidence</t>
        </is>
      </c>
      <c r="AX63" s="4" t="inlineStr">
        <is>
          <t>0 means no reported evidence in title/abstract/notes/coding; it is not proof of true absence.</t>
        </is>
      </c>
    </row>
    <row r="64" ht="320" customHeight="1">
      <c r="A64" s="4" t="n">
        <v>63</v>
      </c>
      <c r="B64" s="4" t="n">
        <v>66</v>
      </c>
      <c r="C64" s="4" t="inlineStr">
        <is>
          <t>Revisor A</t>
        </is>
      </c>
      <c r="D64" s="4" t="inlineStr">
        <is>
          <t>RA</t>
        </is>
      </c>
      <c r="E64" s="4" t="n">
        <v>2023</v>
      </c>
      <c r="F64" s="4" t="inlineStr">
        <is>
          <t>Imagen</t>
        </is>
      </c>
      <c r="G64" s="4" t="inlineStr">
        <is>
          <t>Deep Learning</t>
        </is>
      </c>
      <c r="H64" s="4" t="inlineStr">
        <is>
          <t>https://doi.org/10.1007/s10803-023-06171-8</t>
        </is>
      </c>
      <c r="I64" s="4" t="inlineStr">
        <is>
          <t>Motor Signature Differences Between Autism Spectrum Disorder and Developmental Coordination Disorder, and Their Neural Mechanisms</t>
        </is>
      </c>
      <c r="J64" s="4" t="inlineStr">
        <is>
          <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t>
        </is>
      </c>
      <c r="K64" s="4" t="inlineStr">
        <is>
          <t>Supervised</t>
        </is>
      </c>
      <c r="L64" s="4" t="inlineStr">
        <is>
          <t>Other / Not clear</t>
        </is>
      </c>
      <c r="M64" s="4" t="inlineStr">
        <is>
          <t>Classification (ASD vs control / multi-class)</t>
        </is>
      </c>
      <c r="N64" s="4" t="inlineStr">
        <is>
          <t>Diagnosis</t>
        </is>
      </c>
      <c r="O64" s="4" t="inlineStr">
        <is>
          <t>Medium</t>
        </is>
      </c>
      <c r="P64" s="4" t="n">
        <v>1</v>
      </c>
      <c r="Q64" s="4" t="n">
        <v>0</v>
      </c>
      <c r="R64" s="4" t="n">
        <v>1</v>
      </c>
      <c r="S64" s="4" t="n">
        <v>0</v>
      </c>
      <c r="T64" s="4" t="n">
        <v>0</v>
      </c>
      <c r="U64" s="4" t="n">
        <v>0</v>
      </c>
      <c r="V64" s="4" t="n">
        <v>0</v>
      </c>
      <c r="W64" s="4" t="n">
        <v>0</v>
      </c>
      <c r="X64" s="4" t="n">
        <v>0</v>
      </c>
      <c r="Y64" s="4" t="n">
        <v>1</v>
      </c>
      <c r="Z64" s="4" t="n">
        <v>0</v>
      </c>
      <c r="AA64" s="4" t="n">
        <v>0</v>
      </c>
      <c r="AB64" s="4" t="inlineStr">
        <is>
          <t>1900-01-01</t>
        </is>
      </c>
      <c r="AC64" s="4" t="n">
        <v>0</v>
      </c>
      <c r="AD64" s="4" t="n">
        <v>0</v>
      </c>
      <c r="AE64" s="4" t="n">
        <v>0</v>
      </c>
      <c r="AF64" s="4" t="n">
        <v>1</v>
      </c>
      <c r="AG64" s="4" t="n">
        <v>1</v>
      </c>
      <c r="AH64" s="4" t="n">
        <v>2</v>
      </c>
      <c r="AI64" s="4" t="n"/>
      <c r="AJ64" s="4" t="n"/>
      <c r="AK64" s="4" t="inlineStr">
        <is>
          <t>multisource_integration</t>
        </is>
      </c>
      <c r="AL64" s="4" t="inlineStr">
        <is>
          <t>Combina kinemática de tablet/video y fMRI para diferenciar ASD, DCD y TD; algoritmo principal no explícito.</t>
        </is>
      </c>
      <c r="AM64" s="4" t="inlineStr">
        <is>
          <t>RA</t>
        </is>
      </c>
      <c r="AN64" s="4" t="inlineStr">
        <is>
          <t>Tomado completo desde archivo RA según asignación</t>
        </is>
      </c>
      <c r="AO64" s="4" t="n">
        <v>0</v>
      </c>
      <c r="AP64" s="4" t="n">
        <v>0</v>
      </c>
      <c r="AQ64" s="4" t="n">
        <v>0</v>
      </c>
      <c r="AR64" s="4" t="n">
        <v>0</v>
      </c>
      <c r="AS64" s="4" t="n">
        <v>0</v>
      </c>
      <c r="AT64" s="4" t="n">
        <v>0</v>
      </c>
      <c r="AU64" s="4" t="n">
        <v>0</v>
      </c>
      <c r="AV64" s="4" t="n">
        <v>1</v>
      </c>
      <c r="AW64" s="4" t="inlineStr">
        <is>
          <t>finalized_from_available_evidence</t>
        </is>
      </c>
      <c r="AX64" s="4" t="inlineStr">
        <is>
          <t>0 means no reported evidence in title/abstract/notes/coding; it is not proof of true absence.</t>
        </is>
      </c>
    </row>
    <row r="65" ht="281" customHeight="1">
      <c r="A65" s="4" t="n">
        <v>64</v>
      </c>
      <c r="B65" s="4" t="n">
        <v>67</v>
      </c>
      <c r="C65" s="4" t="inlineStr">
        <is>
          <t>Revisor A</t>
        </is>
      </c>
      <c r="D65" s="4" t="inlineStr">
        <is>
          <t>RA</t>
        </is>
      </c>
      <c r="E65" s="4" t="n">
        <v>2018</v>
      </c>
      <c r="F65" s="4" t="inlineStr">
        <is>
          <t>Señales fisiológicas</t>
        </is>
      </c>
      <c r="G65" s="4" t="inlineStr">
        <is>
          <t>Híbrido</t>
        </is>
      </c>
      <c r="H65" s="4" t="inlineStr">
        <is>
          <t>https://doi.org/10.3390/s18103533</t>
        </is>
      </c>
      <c r="I65" s="4" t="inlineStr">
        <is>
          <t>Novelty detection using deep normative modeling for imu-based abnormal movement monitoring in parkinson’s disease and autism spectrum disorders</t>
        </is>
      </c>
      <c r="J65" s="4" t="inlineStr">
        <is>
          <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t>
        </is>
      </c>
      <c r="K65" s="4" t="inlineStr">
        <is>
          <t>Unsupervised</t>
        </is>
      </c>
      <c r="L65" s="4" t="inlineStr">
        <is>
          <t>Autoencoder</t>
        </is>
      </c>
      <c r="M65" s="4" t="inlineStr">
        <is>
          <t>Detection / segmentation</t>
        </is>
      </c>
      <c r="N65" s="4" t="inlineStr">
        <is>
          <t>Monitoring/intervention</t>
        </is>
      </c>
      <c r="O65" s="4" t="inlineStr">
        <is>
          <t>High</t>
        </is>
      </c>
      <c r="P65" s="4" t="n">
        <v>0</v>
      </c>
      <c r="Q65" s="4" t="n">
        <v>1</v>
      </c>
      <c r="R65" s="4" t="n">
        <v>0</v>
      </c>
      <c r="S65" s="4" t="n">
        <v>0</v>
      </c>
      <c r="T65" s="4" t="n">
        <v>0</v>
      </c>
      <c r="U65" s="4" t="n">
        <v>0</v>
      </c>
      <c r="V65" s="4" t="n">
        <v>0</v>
      </c>
      <c r="W65" s="4" t="n">
        <v>0</v>
      </c>
      <c r="X65" s="4" t="n">
        <v>0</v>
      </c>
      <c r="Y65" s="4" t="n">
        <v>0</v>
      </c>
      <c r="Z65" s="4" t="n">
        <v>0</v>
      </c>
      <c r="AA65" s="4" t="n">
        <v>1</v>
      </c>
      <c r="AB65" s="4" t="inlineStr">
        <is>
          <t>1900-01-01</t>
        </is>
      </c>
      <c r="AC65" s="4" t="n">
        <v>0</v>
      </c>
      <c r="AD65" s="4" t="n">
        <v>0</v>
      </c>
      <c r="AE65" s="4" t="n">
        <v>0</v>
      </c>
      <c r="AF65" s="4" t="n">
        <v>0</v>
      </c>
      <c r="AG65" s="4" t="n">
        <v>1</v>
      </c>
      <c r="AH65" s="4" t="n">
        <v>1</v>
      </c>
      <c r="AI65" s="4" t="inlineStr">
        <is>
          <t>sensor / other</t>
        </is>
      </c>
      <c r="AJ65" s="4" t="n"/>
      <c r="AK65" s="4" t="inlineStr">
        <is>
          <t>none_reported</t>
        </is>
      </c>
      <c r="AL65" s="4" t="inlineStr">
        <is>
          <t>Monitorización de movimiento anómalo con IMU mediante novelty/deep normative modeling; confirmar modelo principal.</t>
        </is>
      </c>
      <c r="AM65" s="4" t="inlineStr">
        <is>
          <t>RA</t>
        </is>
      </c>
      <c r="AN65" s="4" t="inlineStr">
        <is>
          <t>Tomado completo desde archivo RA según asignación</t>
        </is>
      </c>
      <c r="AO65" s="4" t="n">
        <v>0</v>
      </c>
      <c r="AP65" s="4" t="n">
        <v>0</v>
      </c>
      <c r="AQ65" s="4" t="n">
        <v>0</v>
      </c>
      <c r="AR65" s="4" t="n">
        <v>0</v>
      </c>
      <c r="AS65" s="4" t="n">
        <v>0</v>
      </c>
      <c r="AT65" s="4" t="n">
        <v>0</v>
      </c>
      <c r="AU65" s="4" t="n">
        <v>0</v>
      </c>
      <c r="AV65" s="4" t="n">
        <v>0</v>
      </c>
      <c r="AW65" s="4" t="inlineStr">
        <is>
          <t>finalized_from_available_evidence</t>
        </is>
      </c>
      <c r="AX65" s="4" t="inlineStr">
        <is>
          <t>0 means no reported evidence in title/abstract/notes/coding; it is not proof of true absence.</t>
        </is>
      </c>
    </row>
    <row r="66" ht="333" customHeight="1">
      <c r="A66" s="4" t="n">
        <v>65</v>
      </c>
      <c r="B66" s="4" t="n">
        <v>68</v>
      </c>
      <c r="C66" s="4" t="inlineStr">
        <is>
          <t>Revisor B</t>
        </is>
      </c>
      <c r="D66" s="4" t="n"/>
      <c r="E66" s="4" t="n">
        <v>2017</v>
      </c>
      <c r="F66" s="4" t="inlineStr">
        <is>
          <t>Texto · NLP</t>
        </is>
      </c>
      <c r="G66" s="4" t="inlineStr">
        <is>
          <t>Machine Learning</t>
        </is>
      </c>
      <c r="H66" s="4" t="inlineStr">
        <is>
          <t>https://doi.org/10.1002/AUR.1735</t>
        </is>
      </c>
      <c r="I66" s="4" t="inlineStr">
        <is>
          <t>Perceived social support in adults with autism spectrum disorder and attention-deficit/hyperactivity disorder</t>
        </is>
      </c>
      <c r="J66" s="4" t="inlineStr">
        <is>
          <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t>
        </is>
      </c>
      <c r="K66" s="4" t="inlineStr">
        <is>
          <t>Supervised</t>
        </is>
      </c>
      <c r="L66" s="4" t="inlineStr">
        <is>
          <t>Random Forest</t>
        </is>
      </c>
      <c r="M66" s="4" t="inlineStr">
        <is>
          <t>Regression (score / severity / risk)</t>
        </is>
      </c>
      <c r="N66" s="4" t="inlineStr">
        <is>
          <t>diagnosis</t>
        </is>
      </c>
      <c r="O66" s="4" t="inlineStr">
        <is>
          <t>high</t>
        </is>
      </c>
      <c r="P66" s="4" t="n">
        <v>0</v>
      </c>
      <c r="Q66" s="4" t="n">
        <v>1</v>
      </c>
      <c r="R66" s="4" t="n">
        <v>0</v>
      </c>
      <c r="S66" s="4" t="n">
        <v>0</v>
      </c>
      <c r="T66" s="4" t="n">
        <v>0</v>
      </c>
      <c r="U66" s="4" t="n">
        <v>0</v>
      </c>
      <c r="V66" s="4" t="n">
        <v>0</v>
      </c>
      <c r="W66" s="4" t="n">
        <v>0</v>
      </c>
      <c r="X66" s="4" t="n">
        <v>0</v>
      </c>
      <c r="Y66" s="4" t="n">
        <v>1</v>
      </c>
      <c r="Z66" s="4" t="n">
        <v>0</v>
      </c>
      <c r="AA66" s="4" t="n">
        <v>0</v>
      </c>
      <c r="AB66" s="4" t="inlineStr">
        <is>
          <t>1900-01-01</t>
        </is>
      </c>
      <c r="AC66" s="4" t="n">
        <v>0</v>
      </c>
      <c r="AD66" s="4" t="n">
        <v>0</v>
      </c>
      <c r="AE66" s="4" t="n">
        <v>0</v>
      </c>
      <c r="AF66" s="4" t="n">
        <v>0</v>
      </c>
      <c r="AG66" s="4" t="n">
        <v>0</v>
      </c>
      <c r="AH66" s="4" t="n">
        <v>1</v>
      </c>
      <c r="AI66" s="4" t="n">
        <v>0</v>
      </c>
      <c r="AJ66" s="4" t="inlineStr">
        <is>
          <t>00:00:00</t>
        </is>
      </c>
      <c r="AK66" s="4" t="inlineStr">
        <is>
          <t>none_reported</t>
        </is>
      </c>
      <c r="AL66" s="4" t="inlineStr">
        <is>
          <t>ste paper no es diagnóstico ASD vs control; usa ML para modelar/predicir un puntaje de apoyo social percibido (MSPSS-f) en grupos ASD/ADHD/controles.</t>
        </is>
      </c>
      <c r="AM66" s="4" t="inlineStr">
        <is>
          <t>RB</t>
        </is>
      </c>
      <c r="AN66" s="4" t="inlineStr">
        <is>
          <t>Tomado completo desde archivo RB según asignación</t>
        </is>
      </c>
      <c r="AO66" s="4" t="n">
        <v>0</v>
      </c>
      <c r="AP66" s="4" t="n">
        <v>0</v>
      </c>
      <c r="AQ66" s="4" t="n">
        <v>0</v>
      </c>
      <c r="AR66" s="4" t="n">
        <v>0</v>
      </c>
      <c r="AS66" s="4" t="n">
        <v>0</v>
      </c>
      <c r="AT66" s="4" t="n">
        <v>0</v>
      </c>
      <c r="AU66" s="4" t="n">
        <v>0</v>
      </c>
      <c r="AV66" s="4" t="n">
        <v>0</v>
      </c>
      <c r="AW66" s="4" t="inlineStr">
        <is>
          <t>finalized_from_available_evidence</t>
        </is>
      </c>
      <c r="AX66" s="4" t="inlineStr">
        <is>
          <t>0 means no reported evidence in title/abstract/notes/coding; it is not proof of true absence.</t>
        </is>
      </c>
    </row>
    <row r="67" ht="409" customHeight="1">
      <c r="A67" s="4" t="n">
        <v>66</v>
      </c>
      <c r="B67" s="4" t="n">
        <v>69</v>
      </c>
      <c r="C67" s="4" t="inlineStr">
        <is>
          <t>Revisor A</t>
        </is>
      </c>
      <c r="D67" s="4" t="inlineStr">
        <is>
          <t>RA</t>
        </is>
      </c>
      <c r="E67" s="4" t="n">
        <v>2024</v>
      </c>
      <c r="F67" s="4" t="inlineStr">
        <is>
          <t>Señales fisiológicas</t>
        </is>
      </c>
      <c r="G67" s="4" t="inlineStr">
        <is>
          <t>Deep Learning</t>
        </is>
      </c>
      <c r="H67" s="4" t="inlineStr">
        <is>
          <t>https://doi.org/10.1109/TNSRE.2023.3347134</t>
        </is>
      </c>
      <c r="I67" s="4" t="inlineStr">
        <is>
          <t>Regional-Asymmetric Adaptive Graph Convolutional Neural Network for Diagnosis of Autism in Children with Resting-State EEG</t>
        </is>
      </c>
      <c r="J67" s="4" t="inlineStr">
        <is>
          <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t>
        </is>
      </c>
      <c r="K67" s="4" t="inlineStr">
        <is>
          <t>Supervised</t>
        </is>
      </c>
      <c r="L67" s="4" t="inlineStr">
        <is>
          <t>CNN</t>
        </is>
      </c>
      <c r="M67" s="4" t="inlineStr">
        <is>
          <t>Classification (ASD vs control / multi-class)</t>
        </is>
      </c>
      <c r="N67" s="4" t="inlineStr">
        <is>
          <t>Diagnosis</t>
        </is>
      </c>
      <c r="O67" s="4" t="inlineStr">
        <is>
          <t>High</t>
        </is>
      </c>
      <c r="P67" s="4" t="n">
        <v>0</v>
      </c>
      <c r="Q67" s="4" t="n">
        <v>1</v>
      </c>
      <c r="R67" s="4" t="n">
        <v>0</v>
      </c>
      <c r="S67" s="4" t="n">
        <v>0</v>
      </c>
      <c r="T67" s="4" t="n">
        <v>0</v>
      </c>
      <c r="U67" s="4" t="n">
        <v>0</v>
      </c>
      <c r="V67" s="4" t="n">
        <v>0</v>
      </c>
      <c r="W67" s="4" t="n">
        <v>0</v>
      </c>
      <c r="X67" s="4" t="n">
        <v>0</v>
      </c>
      <c r="Y67" s="4" t="n">
        <v>1</v>
      </c>
      <c r="Z67" s="4" t="n">
        <v>0</v>
      </c>
      <c r="AA67" s="4" t="n">
        <v>0</v>
      </c>
      <c r="AB67" s="4" t="inlineStr">
        <is>
          <t>1900-01-01</t>
        </is>
      </c>
      <c r="AC67" s="4" t="n">
        <v>0</v>
      </c>
      <c r="AD67" s="4" t="n">
        <v>0</v>
      </c>
      <c r="AE67" s="4" t="n">
        <v>0</v>
      </c>
      <c r="AF67" s="4" t="n">
        <v>0</v>
      </c>
      <c r="AG67" s="4" t="n">
        <v>1</v>
      </c>
      <c r="AH67" s="4" t="n">
        <v>1</v>
      </c>
      <c r="AI67" s="4" t="n"/>
      <c r="AJ67" s="4" t="n"/>
      <c r="AK67" s="4" t="inlineStr">
        <is>
          <t>internal_validation_only</t>
        </is>
      </c>
      <c r="AL67" s="4" t="inlineStr">
        <is>
          <t>Red neuronal convolucional en grafos sobre EEG; arquitectura fuera del codebook.</t>
        </is>
      </c>
      <c r="AM67" s="4" t="inlineStr">
        <is>
          <t>RA</t>
        </is>
      </c>
      <c r="AN67" s="4" t="inlineStr">
        <is>
          <t>Tomado completo desde archivo RA según asignación</t>
        </is>
      </c>
      <c r="AO67" s="4" t="n">
        <v>0</v>
      </c>
      <c r="AP67" s="4" t="n">
        <v>0</v>
      </c>
      <c r="AQ67" s="4" t="n">
        <v>0</v>
      </c>
      <c r="AR67" s="4" t="n">
        <v>1</v>
      </c>
      <c r="AS67" s="4" t="n">
        <v>0</v>
      </c>
      <c r="AT67" s="4" t="n">
        <v>0</v>
      </c>
      <c r="AU67" s="4" t="n">
        <v>0</v>
      </c>
      <c r="AV67" s="4" t="n">
        <v>0</v>
      </c>
      <c r="AW67" s="4" t="inlineStr">
        <is>
          <t>finalized_from_available_evidence</t>
        </is>
      </c>
      <c r="AX67" s="4" t="inlineStr">
        <is>
          <t>0 means no reported evidence in title/abstract/notes/coding; it is not proof of true absence.</t>
        </is>
      </c>
    </row>
    <row r="68" ht="307" customHeight="1">
      <c r="A68" s="4" t="n">
        <v>67</v>
      </c>
      <c r="B68" s="4" t="n">
        <v>70</v>
      </c>
      <c r="C68" s="4" t="inlineStr">
        <is>
          <t>Revisor B</t>
        </is>
      </c>
      <c r="D68" s="4" t="n"/>
      <c r="E68" s="4" t="n">
        <v>2024</v>
      </c>
      <c r="F68" s="4" t="inlineStr">
        <is>
          <t>Señales fisiológicas</t>
        </is>
      </c>
      <c r="G68" s="4" t="inlineStr">
        <is>
          <t>Deep Learning</t>
        </is>
      </c>
      <c r="H68" s="4" t="inlineStr">
        <is>
          <t>https://doi.org/10.1016/j.pscychresns.2023.111762</t>
        </is>
      </c>
      <c r="I68" s="4" t="inlineStr">
        <is>
          <t>Relationship between abnormal intrinsic functional connectivity of subcortices and autism symptoms in high-functioning adults with autism spectrum disorder</t>
        </is>
      </c>
      <c r="J68" s="4" t="inlineStr">
        <is>
          <t>Purpose: This study explores subcortices and their intrinsic functional connectivity (iFC) in autism spectrum disorder (ASD) adults and investigates their relationship with clinical severity. Methods: Resting-state functional magnetic resonance imaging (rs-fMRI) data were acquired from 74 ASD patients, and 63 gender and age-matched typically developing (TD) adults. Independent component analysis (ICA) was conducted to evaluate subcortical patterns of basal ganglia (BG) and thalamus. These two brain areas were treated as regions of interest to further calculate whole-brain FC. In addition, we employed multivariate machine learning to identify subcortices-based FC brain patterns and clinical scores to classify ASD adults from those TD subjects. Results: In ASD individuals, autism diagnostic observation schedule (ADOS) was negatively correlated with the BG network. Similarly, social responsiveness scale (SRS) was negatively correlated with the thalamus network. The BG-based iFC analysis revealed adults with ASD versus TD had lower FC, and its FC with the right medial temporal lobe (MTL), was positively correlated with SRS and ADOS separately. ASD could be predicted with a balanced accuracy of around 60.0 % using brain patterns and 84.7 % using clinical variables. Conclusion: Our results revealed the abnormal subcortical iFC may be related to autism symptoms.</t>
        </is>
      </c>
      <c r="K68" s="4" t="inlineStr">
        <is>
          <t>Supervised</t>
        </is>
      </c>
      <c r="L68" s="4" t="inlineStr">
        <is>
          <t>Not clear</t>
        </is>
      </c>
      <c r="M68" s="4" t="inlineStr">
        <is>
          <t>Classification (binary/multi-class; incl. ASD vs control)/ multi-class)</t>
        </is>
      </c>
      <c r="N68" s="4" t="inlineStr">
        <is>
          <t>prognosis</t>
        </is>
      </c>
      <c r="O68" s="4" t="inlineStr">
        <is>
          <t>high</t>
        </is>
      </c>
      <c r="P68" s="4" t="n">
        <v>0</v>
      </c>
      <c r="Q68" s="4" t="n">
        <v>1</v>
      </c>
      <c r="R68" s="4" t="n">
        <v>0</v>
      </c>
      <c r="S68" s="4" t="n">
        <v>0</v>
      </c>
      <c r="T68" s="4" t="n">
        <v>0</v>
      </c>
      <c r="U68" s="4" t="n">
        <v>0</v>
      </c>
      <c r="V68" s="4" t="n">
        <v>0</v>
      </c>
      <c r="W68" s="4" t="n">
        <v>0</v>
      </c>
      <c r="X68" s="4" t="n">
        <v>0</v>
      </c>
      <c r="Y68" s="4" t="n">
        <v>0</v>
      </c>
      <c r="Z68" s="4" t="n">
        <v>1</v>
      </c>
      <c r="AA68" s="4" t="n">
        <v>1</v>
      </c>
      <c r="AB68" s="4" t="inlineStr">
        <is>
          <t>1900-01-01</t>
        </is>
      </c>
      <c r="AC68" s="4" t="n">
        <v>0</v>
      </c>
      <c r="AD68" s="4" t="n">
        <v>0</v>
      </c>
      <c r="AE68" s="4" t="n">
        <v>0</v>
      </c>
      <c r="AF68" s="4" t="n">
        <v>0</v>
      </c>
      <c r="AG68" s="4" t="n">
        <v>0</v>
      </c>
      <c r="AH68" s="4" t="n">
        <v>1</v>
      </c>
      <c r="AI68" s="4" t="n">
        <v>0</v>
      </c>
      <c r="AJ68" s="4" t="inlineStr">
        <is>
          <t>1900-01-01</t>
        </is>
      </c>
      <c r="AK68" s="4" t="inlineStr">
        <is>
          <t>none_reported</t>
        </is>
      </c>
      <c r="AL68" s="4" t="n"/>
      <c r="AM68" s="4" t="inlineStr">
        <is>
          <t>RB</t>
        </is>
      </c>
      <c r="AN68" s="4" t="inlineStr">
        <is>
          <t>Tomado completo desde archivo RB según asignación</t>
        </is>
      </c>
      <c r="AO68" s="4" t="n">
        <v>0</v>
      </c>
      <c r="AP68" s="4" t="n">
        <v>0</v>
      </c>
      <c r="AQ68" s="4" t="n">
        <v>0</v>
      </c>
      <c r="AR68" s="4" t="n">
        <v>0</v>
      </c>
      <c r="AS68" s="4" t="n">
        <v>0</v>
      </c>
      <c r="AT68" s="4" t="n">
        <v>0</v>
      </c>
      <c r="AU68" s="4" t="n">
        <v>0</v>
      </c>
      <c r="AV68" s="4" t="n">
        <v>0</v>
      </c>
      <c r="AW68" s="4" t="inlineStr">
        <is>
          <t>finalized_from_available_evidence</t>
        </is>
      </c>
      <c r="AX68" s="4" t="inlineStr">
        <is>
          <t>0 means no reported evidence in title/abstract/notes/coding; it is not proof of true absence.</t>
        </is>
      </c>
    </row>
    <row r="69" ht="409" customHeight="1">
      <c r="A69" s="4" t="n">
        <v>68</v>
      </c>
      <c r="B69" s="4" t="n">
        <v>72</v>
      </c>
      <c r="C69" s="4" t="inlineStr">
        <is>
          <t>Revisor A</t>
        </is>
      </c>
      <c r="D69" s="4" t="inlineStr">
        <is>
          <t>RA</t>
        </is>
      </c>
      <c r="E69" s="4" t="n">
        <v>2022</v>
      </c>
      <c r="F69" s="4" t="inlineStr">
        <is>
          <t>Multimodal</t>
        </is>
      </c>
      <c r="G69" s="4" t="inlineStr">
        <is>
          <t>Deep Learning</t>
        </is>
      </c>
      <c r="H69" s="4" t="inlineStr">
        <is>
          <t>https://doi.org/10.1186/s12888-022-03734-4</t>
        </is>
      </c>
      <c r="I69" s="4" t="inlineStr">
        <is>
          <t>Transdiagnostic symptom subtypes across autism spectrum disorders and attention deficit hyperactivity disorder: validated by measures of neurocognition and structural connectivity</t>
        </is>
      </c>
      <c r="J69" s="4" t="inlineStr">
        <is>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is>
      </c>
      <c r="K69" s="4" t="inlineStr">
        <is>
          <t>Unsupervised</t>
        </is>
      </c>
      <c r="L69" s="4" t="inlineStr">
        <is>
          <t>Clustering (k-means / GMM / ...)</t>
        </is>
      </c>
      <c r="M69" s="4" t="inlineStr">
        <is>
          <t>Clustering / subtyping</t>
        </is>
      </c>
      <c r="N69" s="4" t="inlineStr">
        <is>
          <t>Diagnosis</t>
        </is>
      </c>
      <c r="O69" s="4" t="inlineStr">
        <is>
          <t>High</t>
        </is>
      </c>
      <c r="P69" s="4" t="n">
        <v>1</v>
      </c>
      <c r="Q69" s="4" t="n">
        <v>0</v>
      </c>
      <c r="R69" s="4" t="n">
        <v>0</v>
      </c>
      <c r="S69" s="4" t="n">
        <v>0</v>
      </c>
      <c r="T69" s="4" t="n">
        <v>1</v>
      </c>
      <c r="U69" s="4" t="n">
        <v>0</v>
      </c>
      <c r="V69" s="4" t="n">
        <v>0</v>
      </c>
      <c r="W69" s="4" t="n">
        <v>0</v>
      </c>
      <c r="X69" s="4" t="n">
        <v>0</v>
      </c>
      <c r="Y69" s="4" t="n">
        <v>1</v>
      </c>
      <c r="Z69" s="4" t="n">
        <v>0</v>
      </c>
      <c r="AA69" s="4" t="n">
        <v>0</v>
      </c>
      <c r="AB69" s="4" t="inlineStr">
        <is>
          <t>00:00:00</t>
        </is>
      </c>
      <c r="AC69" s="4" t="n">
        <v>0</v>
      </c>
      <c r="AD69" s="4" t="n">
        <v>0</v>
      </c>
      <c r="AE69" s="4" t="n">
        <v>0</v>
      </c>
      <c r="AF69" s="4" t="n">
        <v>1</v>
      </c>
      <c r="AG69" s="4" t="n">
        <v>0</v>
      </c>
      <c r="AH69" s="4" t="n">
        <v>2</v>
      </c>
      <c r="AI69" s="4" t="n"/>
      <c r="AJ69" s="4" t="n"/>
      <c r="AK69" s="4" t="inlineStr">
        <is>
          <t>multisource_integration</t>
        </is>
      </c>
      <c r="AL69" s="4" t="inlineStr">
        <is>
          <t>Subtipado transdiagnóstico validado con neurocognición y conectividad estructural.</t>
        </is>
      </c>
      <c r="AM69" s="4" t="inlineStr">
        <is>
          <t>RA</t>
        </is>
      </c>
      <c r="AN69" s="4" t="inlineStr">
        <is>
          <t>Tomado completo desde archivo RA según asignación</t>
        </is>
      </c>
      <c r="AO69" s="4" t="n">
        <v>0</v>
      </c>
      <c r="AP69" s="4" t="n">
        <v>0</v>
      </c>
      <c r="AQ69" s="4" t="n">
        <v>0</v>
      </c>
      <c r="AR69" s="4" t="n">
        <v>0</v>
      </c>
      <c r="AS69" s="4" t="n">
        <v>0</v>
      </c>
      <c r="AT69" s="4" t="n">
        <v>0</v>
      </c>
      <c r="AU69" s="4" t="n">
        <v>0</v>
      </c>
      <c r="AV69" s="4" t="n">
        <v>1</v>
      </c>
      <c r="AW69" s="4" t="inlineStr">
        <is>
          <t>finalized_from_available_evidence</t>
        </is>
      </c>
      <c r="AX69" s="4" t="inlineStr">
        <is>
          <t>0 means no reported evidence in title/abstract/notes/coding; it is not proof of true absence.</t>
        </is>
      </c>
    </row>
    <row r="70" ht="372" customHeight="1">
      <c r="A70" s="4" t="n">
        <v>69</v>
      </c>
      <c r="B70" s="4" t="n">
        <v>73</v>
      </c>
      <c r="C70" s="4" t="inlineStr">
        <is>
          <t>Revisor B</t>
        </is>
      </c>
      <c r="D70" s="4" t="n"/>
      <c r="E70" s="4" t="n">
        <v>2021</v>
      </c>
      <c r="F70" s="4" t="inlineStr">
        <is>
          <t>No especificado</t>
        </is>
      </c>
      <c r="G70" s="4" t="inlineStr">
        <is>
          <t>Deep Learning</t>
        </is>
      </c>
      <c r="H70" s="4" t="inlineStr">
        <is>
          <t>https://doi.org/10.1109/TNSRE.2021.3120024</t>
        </is>
      </c>
      <c r="I70" s="4" t="inlineStr">
        <is>
          <t>A Convolutional Neural Network Combined With Prototype Learning Framework for Brain Functional Network Classification of Autism Spectrum Disorder</t>
        </is>
      </c>
      <c r="J70" s="4" t="inlineStr">
        <is>
          <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t>
        </is>
      </c>
      <c r="K70" s="4" t="inlineStr">
        <is>
          <t>Supervised</t>
        </is>
      </c>
      <c r="L70" s="4" t="inlineStr">
        <is>
          <t>CNN</t>
        </is>
      </c>
      <c r="M70" s="4" t="inlineStr">
        <is>
          <t>Classification (binary/multi-class; incl. ASD vs control)/ multi-class)</t>
        </is>
      </c>
      <c r="N70" s="4" t="inlineStr">
        <is>
          <t>diagnosis</t>
        </is>
      </c>
      <c r="O70" s="4" t="inlineStr">
        <is>
          <t>high</t>
        </is>
      </c>
      <c r="P70" s="4" t="n">
        <v>1</v>
      </c>
      <c r="Q70" s="4" t="n">
        <v>0</v>
      </c>
      <c r="R70" s="4" t="n">
        <v>0</v>
      </c>
      <c r="S70" s="4" t="n">
        <v>0</v>
      </c>
      <c r="T70" s="4" t="n">
        <v>0</v>
      </c>
      <c r="U70" s="4" t="n">
        <v>0</v>
      </c>
      <c r="V70" s="4" t="n">
        <v>0</v>
      </c>
      <c r="W70" s="4" t="n">
        <v>0</v>
      </c>
      <c r="X70" s="4" t="n">
        <v>0</v>
      </c>
      <c r="Y70" s="4" t="n">
        <v>1</v>
      </c>
      <c r="Z70" s="4" t="n">
        <v>0</v>
      </c>
      <c r="AA70" s="4" t="n">
        <v>0</v>
      </c>
      <c r="AB70" s="4" t="inlineStr">
        <is>
          <t>1900-01-01</t>
        </is>
      </c>
      <c r="AC70" s="4" t="n">
        <v>0</v>
      </c>
      <c r="AD70" s="4" t="n">
        <v>0</v>
      </c>
      <c r="AE70" s="4" t="n">
        <v>0</v>
      </c>
      <c r="AF70" s="4" t="n">
        <v>0</v>
      </c>
      <c r="AG70" s="4" t="n">
        <v>0</v>
      </c>
      <c r="AH70" s="4" t="n">
        <v>1</v>
      </c>
      <c r="AI70" s="4" t="n">
        <v>0</v>
      </c>
      <c r="AJ70" s="4" t="inlineStr">
        <is>
          <t>00:00:00</t>
        </is>
      </c>
      <c r="AK70" s="4" t="inlineStr">
        <is>
          <t>none_reported</t>
        </is>
      </c>
      <c r="AL70" s="4" t="n"/>
      <c r="AM70" s="4" t="inlineStr">
        <is>
          <t>RB</t>
        </is>
      </c>
      <c r="AN70" s="4" t="inlineStr">
        <is>
          <t>Tomado completo desde archivo RB según asignación</t>
        </is>
      </c>
      <c r="AO70" s="4" t="n">
        <v>0</v>
      </c>
      <c r="AP70" s="4" t="n">
        <v>0</v>
      </c>
      <c r="AQ70" s="4" t="n">
        <v>0</v>
      </c>
      <c r="AR70" s="4" t="n">
        <v>0</v>
      </c>
      <c r="AS70" s="4" t="n">
        <v>0</v>
      </c>
      <c r="AT70" s="4" t="n">
        <v>0</v>
      </c>
      <c r="AU70" s="4" t="n">
        <v>0</v>
      </c>
      <c r="AV70" s="4" t="n">
        <v>0</v>
      </c>
      <c r="AW70" s="4" t="inlineStr">
        <is>
          <t>finalized_from_available_evidence</t>
        </is>
      </c>
      <c r="AX70" s="4" t="inlineStr">
        <is>
          <t>0 means no reported evidence in title/abstract/notes/coding; it is not proof of true absence.</t>
        </is>
      </c>
    </row>
    <row r="71" ht="409" customHeight="1">
      <c r="A71" s="4" t="n">
        <v>70</v>
      </c>
      <c r="B71" s="4" t="n">
        <v>74</v>
      </c>
      <c r="C71" s="4" t="inlineStr">
        <is>
          <t>Revisor A</t>
        </is>
      </c>
      <c r="D71" s="4" t="inlineStr">
        <is>
          <t>RA</t>
        </is>
      </c>
      <c r="E71" s="4" t="n">
        <v>2023</v>
      </c>
      <c r="F71" s="4" t="inlineStr">
        <is>
          <t>Señales fisiológicas</t>
        </is>
      </c>
      <c r="G71" s="4" t="inlineStr">
        <is>
          <t>Deep Learning</t>
        </is>
      </c>
      <c r="H71" s="4" t="inlineStr">
        <is>
          <t>https://doi.org/10.1186/S12859-023-05495-7</t>
        </is>
      </c>
      <c r="I71" s="4" t="inlineStr">
        <is>
          <t>A heterogeneous graph convolutional attention network method for classification of autism spectrum disorder</t>
        </is>
      </c>
      <c r="J71" s="4" t="inlineStr">
        <is>
          <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t>
        </is>
      </c>
      <c r="K71" s="4" t="inlineStr">
        <is>
          <t>Supervised</t>
        </is>
      </c>
      <c r="L71" s="4" t="inlineStr">
        <is>
          <t>MLP</t>
        </is>
      </c>
      <c r="M71" s="4" t="inlineStr">
        <is>
          <t>Classification (ASD vs control / multi-class)</t>
        </is>
      </c>
      <c r="N71" s="4" t="inlineStr">
        <is>
          <t>Diagnosis</t>
        </is>
      </c>
      <c r="O71" s="4" t="inlineStr">
        <is>
          <t>High</t>
        </is>
      </c>
      <c r="P71" s="4" t="n">
        <v>1</v>
      </c>
      <c r="Q71" s="4" t="n">
        <v>0</v>
      </c>
      <c r="R71" s="4" t="n">
        <v>0</v>
      </c>
      <c r="S71" s="4" t="n">
        <v>0</v>
      </c>
      <c r="T71" s="4" t="n">
        <v>1</v>
      </c>
      <c r="U71" s="4" t="n">
        <v>0</v>
      </c>
      <c r="V71" s="4" t="n">
        <v>0</v>
      </c>
      <c r="W71" s="4" t="n">
        <v>0</v>
      </c>
      <c r="X71" s="4" t="n">
        <v>0</v>
      </c>
      <c r="Y71" s="4" t="n">
        <v>1</v>
      </c>
      <c r="Z71" s="4" t="n">
        <v>0</v>
      </c>
      <c r="AA71" s="4" t="n">
        <v>0</v>
      </c>
      <c r="AB71" s="4" t="inlineStr">
        <is>
          <t>1900-01-01</t>
        </is>
      </c>
      <c r="AC71" s="4" t="n">
        <v>0</v>
      </c>
      <c r="AD71" s="4" t="n">
        <v>1</v>
      </c>
      <c r="AE71" s="4" t="n">
        <v>0</v>
      </c>
      <c r="AF71" s="4" t="n">
        <v>1</v>
      </c>
      <c r="AG71" s="4" t="n">
        <v>1</v>
      </c>
      <c r="AH71" s="4" t="n">
        <v>2</v>
      </c>
      <c r="AI71" s="4" t="n"/>
      <c r="AJ71" s="4" t="n"/>
      <c r="AK71" s="4" t="inlineStr">
        <is>
          <t>explainability_or_interpretability; multisource_integration; multisite_dataset_broad</t>
        </is>
      </c>
      <c r="AL71" s="4" t="inlineStr">
        <is>
          <t>Algoritmo principal no explícito o fuera del codebook; Confirmar algoritmo principal en full-text; Se comparan varios modelos; se eligió el principal/mejor reportado</t>
        </is>
      </c>
      <c r="AM71" s="4" t="inlineStr">
        <is>
          <t>RA</t>
        </is>
      </c>
      <c r="AN71" s="4" t="inlineStr">
        <is>
          <t>Tomado completo desde archivo RA según asignación</t>
        </is>
      </c>
      <c r="AO71" s="4" t="n">
        <v>0</v>
      </c>
      <c r="AP71" s="4" t="n">
        <v>0</v>
      </c>
      <c r="AQ71" s="4" t="n">
        <v>1</v>
      </c>
      <c r="AR71" s="4" t="n">
        <v>0</v>
      </c>
      <c r="AS71" s="4" t="n">
        <v>0</v>
      </c>
      <c r="AT71" s="4" t="n">
        <v>0</v>
      </c>
      <c r="AU71" s="4" t="n">
        <v>1</v>
      </c>
      <c r="AV71" s="4" t="n">
        <v>1</v>
      </c>
      <c r="AW71" s="4" t="inlineStr">
        <is>
          <t>finalized_from_available_evidence</t>
        </is>
      </c>
      <c r="AX71" s="4" t="inlineStr">
        <is>
          <t>0 means no reported evidence in title/abstract/notes/coding; it is not proof of true absence.</t>
        </is>
      </c>
    </row>
    <row r="72" ht="242" customHeight="1">
      <c r="A72" s="4" t="n">
        <v>71</v>
      </c>
      <c r="B72" s="4" t="n">
        <v>75</v>
      </c>
      <c r="C72" s="4" t="inlineStr">
        <is>
          <t>Revisor B</t>
        </is>
      </c>
      <c r="D72" s="4" t="n"/>
      <c r="E72" s="4" t="n">
        <v>2020</v>
      </c>
      <c r="F72" s="4" t="inlineStr">
        <is>
          <t>Señales fisiológicas</t>
        </is>
      </c>
      <c r="G72" s="4" t="inlineStr">
        <is>
          <t>No especificado</t>
        </is>
      </c>
      <c r="H72" s="4" t="inlineStr">
        <is>
          <t>https://doi.org/10.1007/978-3-030-59277-6_23</t>
        </is>
      </c>
      <c r="I72" s="4" t="inlineStr">
        <is>
          <t>A monitoring system for patients of autism spectrum disorder using artificial intelligence</t>
        </is>
      </c>
      <c r="J72" s="4" t="inlineStr">
        <is>
          <t>When the world is suffering from the deadliest consequences of COVID-19, people with autism find themselves in the worst possible situation. The patients of autism lack social skills, and in many cases, show repetitive behavior. Many of them need outside support throughout their life. During the COVID-19 pandemic, as many of the places are in lockdown conditions, it is very tough for them to find help from their doctors and therapists. Suddenly, the caregivers and parents of the ASD patients find themselves in a strange situation. Therefore, we are proposing an artificial intelligence-based system that uses sensor data to monitor the patient’s condition, and based on the emotion and facial expression of the patient, adjusts the learning method through exciting games and tasks. Whenever something goes wrong with the patient’s behavior, the caregivers and the parents are alerted about it. We then presented how this AI-based system can help them during COVID-19 pandemic. This system can help the parents to adjust to the new situation and continue the mental growth of the patients.</t>
        </is>
      </c>
      <c r="K72" s="4" t="n"/>
      <c r="L72" s="4" t="n"/>
      <c r="M72" s="4" t="inlineStr">
        <is>
          <t>Monitoring / adaptive intervention</t>
        </is>
      </c>
      <c r="N72" s="4" t="inlineStr">
        <is>
          <t>Monitoring/intervention</t>
        </is>
      </c>
      <c r="O72" s="4" t="n"/>
      <c r="P72" s="4" t="n"/>
      <c r="Q72" s="4" t="n"/>
      <c r="R72" s="4" t="n"/>
      <c r="S72" s="4" t="n"/>
      <c r="T72" s="4" t="n"/>
      <c r="U72" s="4" t="n"/>
      <c r="V72" s="4" t="n"/>
      <c r="W72" s="4" t="n">
        <v>0</v>
      </c>
      <c r="X72" s="4" t="n">
        <v>0</v>
      </c>
      <c r="Y72" s="4" t="n">
        <v>0</v>
      </c>
      <c r="Z72" s="4" t="n">
        <v>0</v>
      </c>
      <c r="AA72" s="4" t="n">
        <v>1</v>
      </c>
      <c r="AB72" s="4" t="inlineStr">
        <is>
          <t>1900-01-01</t>
        </is>
      </c>
      <c r="AC72" s="4" t="n">
        <v>0</v>
      </c>
      <c r="AD72" s="4" t="n">
        <v>0</v>
      </c>
      <c r="AE72" s="4" t="n">
        <v>0</v>
      </c>
      <c r="AF72" s="4" t="n">
        <v>0</v>
      </c>
      <c r="AG72" s="4" t="n"/>
      <c r="AH72" s="4" t="n"/>
      <c r="AI72" s="4" t="n"/>
      <c r="AJ72" s="4" t="inlineStr">
        <is>
          <t>1900-01-01</t>
        </is>
      </c>
      <c r="AK72" s="4" t="inlineStr">
        <is>
          <t>none_reported</t>
        </is>
      </c>
      <c r="AL72" s="4" t="inlineStr">
        <is>
          <t>Sin señal explícita Q3 en título/abstract.</t>
        </is>
      </c>
      <c r="AM72" s="4" t="inlineStr">
        <is>
          <t>RA_fallback</t>
        </is>
      </c>
      <c r="AN72" s="4" t="inlineStr">
        <is>
          <t>Fallback a RA porque el ID no está en RB</t>
        </is>
      </c>
      <c r="AO72" s="4" t="n">
        <v>1</v>
      </c>
      <c r="AP72" s="4" t="n">
        <v>0</v>
      </c>
      <c r="AQ72" s="4" t="n">
        <v>0</v>
      </c>
      <c r="AR72" s="4" t="n">
        <v>0</v>
      </c>
      <c r="AS72" s="4" t="n">
        <v>0</v>
      </c>
      <c r="AT72" s="4" t="n">
        <v>0</v>
      </c>
      <c r="AU72" s="4" t="n">
        <v>0</v>
      </c>
      <c r="AV72" s="4" t="n">
        <v>0</v>
      </c>
      <c r="AW72" s="4" t="inlineStr">
        <is>
          <t>finalized_from_available_evidence</t>
        </is>
      </c>
      <c r="AX72" s="4" t="inlineStr">
        <is>
          <t>0 means no reported evidence in title/abstract/notes/coding; it is not proof of true absence.</t>
        </is>
      </c>
    </row>
    <row r="73" ht="346" customHeight="1">
      <c r="A73" s="4" t="n">
        <v>72</v>
      </c>
      <c r="B73" s="4" t="n">
        <v>77</v>
      </c>
      <c r="C73" s="4" t="inlineStr">
        <is>
          <t>Revisor A</t>
        </is>
      </c>
      <c r="D73" s="4" t="inlineStr">
        <is>
          <t>RA</t>
        </is>
      </c>
      <c r="E73" s="4" t="n">
        <v>2023</v>
      </c>
      <c r="F73" s="4" t="inlineStr">
        <is>
          <t>Señales fisiológicas</t>
        </is>
      </c>
      <c r="G73" s="4" t="inlineStr">
        <is>
          <t>Deep Learning</t>
        </is>
      </c>
      <c r="H73" s="4" t="inlineStr">
        <is>
          <t>https://doi.org/10.3233/SHTI230794</t>
        </is>
      </c>
      <c r="I73" s="4" t="inlineStr">
        <is>
          <t>Age-Specific Diagnostic Classification of ASD Using Deep Learning Approaches</t>
        </is>
      </c>
      <c r="J73" s="4" t="inlineStr">
        <is>
          <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t>
        </is>
      </c>
      <c r="K73" s="4" t="inlineStr">
        <is>
          <t>Supervised</t>
        </is>
      </c>
      <c r="L73" s="4" t="inlineStr">
        <is>
          <t>CNN</t>
        </is>
      </c>
      <c r="M73" s="4" t="inlineStr">
        <is>
          <t>Classification (ASD vs control / multi-class)</t>
        </is>
      </c>
      <c r="N73" s="4" t="inlineStr">
        <is>
          <t>Diagnosis</t>
        </is>
      </c>
      <c r="O73" s="4" t="inlineStr">
        <is>
          <t>High</t>
        </is>
      </c>
      <c r="P73" s="4" t="n">
        <v>1</v>
      </c>
      <c r="Q73" s="4" t="n">
        <v>0</v>
      </c>
      <c r="R73" s="4" t="n">
        <v>0</v>
      </c>
      <c r="S73" s="4" t="n">
        <v>0</v>
      </c>
      <c r="T73" s="4" t="n">
        <v>0</v>
      </c>
      <c r="U73" s="4" t="n">
        <v>0</v>
      </c>
      <c r="V73" s="4" t="n">
        <v>0</v>
      </c>
      <c r="W73" s="4" t="n">
        <v>0</v>
      </c>
      <c r="X73" s="4" t="n">
        <v>0</v>
      </c>
      <c r="Y73" s="4" t="n">
        <v>1</v>
      </c>
      <c r="Z73" s="4" t="n">
        <v>0</v>
      </c>
      <c r="AA73" s="4" t="n">
        <v>0</v>
      </c>
      <c r="AB73" s="4" t="inlineStr">
        <is>
          <t>1900-01-01</t>
        </is>
      </c>
      <c r="AC73" s="4" t="n">
        <v>0</v>
      </c>
      <c r="AD73" s="4" t="n">
        <v>0</v>
      </c>
      <c r="AE73" s="4" t="n">
        <v>0</v>
      </c>
      <c r="AF73" s="4" t="n">
        <v>0</v>
      </c>
      <c r="AG73" s="4" t="n">
        <v>0</v>
      </c>
      <c r="AH73" s="4" t="n">
        <v>1</v>
      </c>
      <c r="AI73" s="4" t="n"/>
      <c r="AJ73" s="4" t="n"/>
      <c r="AK73" s="4" t="inlineStr">
        <is>
          <t>multisite_dataset_broad</t>
        </is>
      </c>
      <c r="AL73" s="4" t="n"/>
      <c r="AM73" s="4" t="inlineStr">
        <is>
          <t>RA</t>
        </is>
      </c>
      <c r="AN73" s="4" t="inlineStr">
        <is>
          <t>Tomado completo desde archivo RA según asignación</t>
        </is>
      </c>
      <c r="AO73" s="4" t="n">
        <v>0</v>
      </c>
      <c r="AP73" s="4" t="n">
        <v>0</v>
      </c>
      <c r="AQ73" s="4" t="n">
        <v>1</v>
      </c>
      <c r="AR73" s="4" t="n">
        <v>0</v>
      </c>
      <c r="AS73" s="4" t="n">
        <v>0</v>
      </c>
      <c r="AT73" s="4" t="n">
        <v>0</v>
      </c>
      <c r="AU73" s="4" t="n">
        <v>0</v>
      </c>
      <c r="AV73" s="4" t="n">
        <v>0</v>
      </c>
      <c r="AW73" s="4" t="inlineStr">
        <is>
          <t>finalized_from_available_evidence</t>
        </is>
      </c>
      <c r="AX73" s="4" t="inlineStr">
        <is>
          <t>0 means no reported evidence in title/abstract/notes/coding; it is not proof of true absence.</t>
        </is>
      </c>
    </row>
    <row r="74" ht="307" customHeight="1">
      <c r="A74" s="4" t="n">
        <v>73</v>
      </c>
      <c r="B74" s="4" t="n">
        <v>78</v>
      </c>
      <c r="C74" s="4" t="inlineStr">
        <is>
          <t>Revisor A</t>
        </is>
      </c>
      <c r="D74" s="4" t="inlineStr">
        <is>
          <t>RA</t>
        </is>
      </c>
      <c r="E74" s="4" t="n">
        <v>2024</v>
      </c>
      <c r="F74" s="4" t="inlineStr">
        <is>
          <t>Señales fisiológicas</t>
        </is>
      </c>
      <c r="G74" s="4" t="inlineStr">
        <is>
          <t>Deep Learning</t>
        </is>
      </c>
      <c r="H74" s="4" t="inlineStr">
        <is>
          <t>https://doi.org/10.1109/JSEN.2024.3362341</t>
        </is>
      </c>
      <c r="I74" s="4" t="inlineStr">
        <is>
          <t>An Automatic Framework for Detecting Autism Spectrum Disorder From EEG Signals Using TFD</t>
        </is>
      </c>
      <c r="J74" s="4" t="inlineStr">
        <is>
          <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t>
        </is>
      </c>
      <c r="K74" s="4" t="inlineStr">
        <is>
          <t>Supervised</t>
        </is>
      </c>
      <c r="L74" s="4" t="inlineStr">
        <is>
          <t>CNN</t>
        </is>
      </c>
      <c r="M74" s="4" t="inlineStr">
        <is>
          <t>Classification (ASD vs control / multi-class)</t>
        </is>
      </c>
      <c r="N74" s="4" t="inlineStr">
        <is>
          <t>Diagnosis</t>
        </is>
      </c>
      <c r="O74" s="4" t="inlineStr">
        <is>
          <t>High</t>
        </is>
      </c>
      <c r="P74" s="4" t="n">
        <v>0</v>
      </c>
      <c r="Q74" s="4" t="n">
        <v>1</v>
      </c>
      <c r="R74" s="4" t="n">
        <v>0</v>
      </c>
      <c r="S74" s="4" t="n">
        <v>0</v>
      </c>
      <c r="T74" s="4" t="n">
        <v>0</v>
      </c>
      <c r="U74" s="4" t="n">
        <v>0</v>
      </c>
      <c r="V74" s="4" t="n">
        <v>0</v>
      </c>
      <c r="W74" s="4" t="n">
        <v>0</v>
      </c>
      <c r="X74" s="4" t="n">
        <v>0</v>
      </c>
      <c r="Y74" s="4" t="n">
        <v>1</v>
      </c>
      <c r="Z74" s="4" t="n">
        <v>0</v>
      </c>
      <c r="AA74" s="4" t="n">
        <v>0</v>
      </c>
      <c r="AB74" s="4" t="inlineStr">
        <is>
          <t>1900-01-01</t>
        </is>
      </c>
      <c r="AC74" s="4" t="n">
        <v>0</v>
      </c>
      <c r="AD74" s="4" t="n">
        <v>0</v>
      </c>
      <c r="AE74" s="4" t="n">
        <v>0</v>
      </c>
      <c r="AF74" s="4" t="n">
        <v>0</v>
      </c>
      <c r="AG74" s="4" t="n">
        <v>0</v>
      </c>
      <c r="AH74" s="4" t="n">
        <v>1</v>
      </c>
      <c r="AI74" s="4" t="n"/>
      <c r="AJ74" s="4" t="n"/>
      <c r="AK74" s="4" t="inlineStr">
        <is>
          <t>none_reported</t>
        </is>
      </c>
      <c r="AL74" s="4" t="inlineStr">
        <is>
          <t>Se comparan varios modelos; se eligió el principal/mejor reportado</t>
        </is>
      </c>
      <c r="AM74" s="4" t="inlineStr">
        <is>
          <t>RA</t>
        </is>
      </c>
      <c r="AN74" s="4" t="inlineStr">
        <is>
          <t>Tomado completo desde archivo RA según asignación</t>
        </is>
      </c>
      <c r="AO74" s="4" t="n">
        <v>0</v>
      </c>
      <c r="AP74" s="4" t="n">
        <v>0</v>
      </c>
      <c r="AQ74" s="4" t="n">
        <v>0</v>
      </c>
      <c r="AR74" s="4" t="n">
        <v>0</v>
      </c>
      <c r="AS74" s="4" t="n">
        <v>0</v>
      </c>
      <c r="AT74" s="4" t="n">
        <v>0</v>
      </c>
      <c r="AU74" s="4" t="n">
        <v>0</v>
      </c>
      <c r="AV74" s="4" t="n">
        <v>0</v>
      </c>
      <c r="AW74" s="4" t="inlineStr">
        <is>
          <t>finalized_from_available_evidence</t>
        </is>
      </c>
      <c r="AX74" s="4" t="inlineStr">
        <is>
          <t>0 means no reported evidence in title/abstract/notes/coding; it is not proof of true absence.</t>
        </is>
      </c>
    </row>
    <row r="75" ht="320" customHeight="1">
      <c r="A75" s="4" t="n">
        <v>74</v>
      </c>
      <c r="B75" s="4" t="n">
        <v>79</v>
      </c>
      <c r="C75" s="4" t="inlineStr">
        <is>
          <t>Ambos (piloto)</t>
        </is>
      </c>
      <c r="D75" s="4" t="inlineStr">
        <is>
          <t>RA</t>
        </is>
      </c>
      <c r="E75" s="4" t="n">
        <v>2020</v>
      </c>
      <c r="F75" s="4" t="inlineStr">
        <is>
          <t>Multimodal</t>
        </is>
      </c>
      <c r="G75" s="4" t="inlineStr">
        <is>
          <t>Machine Learning</t>
        </is>
      </c>
      <c r="H75" s="4" t="inlineStr">
        <is>
          <t>https://doi.org/10.1038/s41598-020-65384-4</t>
        </is>
      </c>
      <c r="I75" s="4" t="inlineStr">
        <is>
          <t>Applying Machine Learning to Kinematic and Eye Movement Features of a Movement Imitation Task to Predict Autism Diagnosis</t>
        </is>
      </c>
      <c r="J75" s="4" t="inlineStr">
        <is>
          <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t>
        </is>
      </c>
      <c r="K75" s="4" t="inlineStr">
        <is>
          <t>Supervised</t>
        </is>
      </c>
      <c r="L75" s="4" t="inlineStr">
        <is>
          <t>Other / Not clear</t>
        </is>
      </c>
      <c r="M75" s="4" t="inlineStr">
        <is>
          <t>Classification (ASD vs control / multi-class)</t>
        </is>
      </c>
      <c r="N75" s="4" t="inlineStr">
        <is>
          <t>Diagnosis</t>
        </is>
      </c>
      <c r="O75" s="4" t="inlineStr">
        <is>
          <t>Medium</t>
        </is>
      </c>
      <c r="P75" s="4" t="n">
        <v>0</v>
      </c>
      <c r="Q75" s="4" t="n">
        <v>1</v>
      </c>
      <c r="R75" s="4" t="n">
        <v>1</v>
      </c>
      <c r="S75" s="4" t="n">
        <v>0</v>
      </c>
      <c r="T75" s="4" t="n">
        <v>0</v>
      </c>
      <c r="U75" s="4" t="n">
        <v>0</v>
      </c>
      <c r="V75" s="4" t="n">
        <v>0</v>
      </c>
      <c r="W75" s="4" t="n">
        <v>0</v>
      </c>
      <c r="X75" s="4" t="n">
        <v>0</v>
      </c>
      <c r="Y75" s="4" t="n">
        <v>1</v>
      </c>
      <c r="Z75" s="4" t="n">
        <v>0</v>
      </c>
      <c r="AA75" s="4" t="n">
        <v>0</v>
      </c>
      <c r="AB75" s="4" t="inlineStr">
        <is>
          <t>1900-01-01</t>
        </is>
      </c>
      <c r="AC75" s="4" t="n">
        <v>1</v>
      </c>
      <c r="AD75" s="4" t="n">
        <v>1</v>
      </c>
      <c r="AE75" s="4" t="n">
        <v>0</v>
      </c>
      <c r="AF75" s="4" t="n">
        <v>1</v>
      </c>
      <c r="AG75" s="4" t="n">
        <v>1</v>
      </c>
      <c r="AH75" s="4" t="n">
        <v>2</v>
      </c>
      <c r="AI75" s="4" t="n"/>
      <c r="AJ75" s="4" t="n"/>
      <c r="AK75" s="4" t="inlineStr">
        <is>
          <t>external_validation; explainability_or_interpretability; multisource_integration</t>
        </is>
      </c>
      <c r="AL75" s="4" t="inlineStr">
        <is>
          <t>Clasifica ASD vs no-ASD con cinemática y eye-tracking en tarea de imitación.</t>
        </is>
      </c>
      <c r="AM75" s="4" t="inlineStr">
        <is>
          <t>RA</t>
        </is>
      </c>
      <c r="AN75" s="4" t="inlineStr">
        <is>
          <t>Tomado completo desde archivo RA según asignación</t>
        </is>
      </c>
      <c r="AO75" s="4" t="n">
        <v>0</v>
      </c>
      <c r="AP75" s="4" t="n">
        <v>0</v>
      </c>
      <c r="AQ75" s="4" t="n">
        <v>0</v>
      </c>
      <c r="AR75" s="4" t="n">
        <v>0</v>
      </c>
      <c r="AS75" s="4" t="n">
        <v>0</v>
      </c>
      <c r="AT75" s="4" t="n">
        <v>0</v>
      </c>
      <c r="AU75" s="4" t="n">
        <v>1</v>
      </c>
      <c r="AV75" s="4" t="n">
        <v>1</v>
      </c>
      <c r="AW75" s="4" t="inlineStr">
        <is>
          <t>finalized_from_available_evidence</t>
        </is>
      </c>
      <c r="AX75" s="4" t="inlineStr">
        <is>
          <t>0 means no reported evidence in title/abstract/notes/coding; it is not proof of true absence.</t>
        </is>
      </c>
    </row>
    <row r="76" ht="398" customHeight="1">
      <c r="A76" s="4" t="n">
        <v>75</v>
      </c>
      <c r="B76" s="4" t="n">
        <v>80</v>
      </c>
      <c r="C76" s="4" t="inlineStr">
        <is>
          <t>Ambos (piloto)</t>
        </is>
      </c>
      <c r="D76" s="4" t="inlineStr">
        <is>
          <t>RA</t>
        </is>
      </c>
      <c r="E76" s="4" t="n">
        <v>2019</v>
      </c>
      <c r="F76" s="4" t="inlineStr">
        <is>
          <t>Señales fisiológicas</t>
        </is>
      </c>
      <c r="G76" s="4" t="inlineStr">
        <is>
          <t>Deep Learning</t>
        </is>
      </c>
      <c r="H76" s="4" t="inlineStr">
        <is>
          <t>https://doi.org/10.1016/j.brainres.2019.146457</t>
        </is>
      </c>
      <c r="I76" s="4" t="inlineStr">
        <is>
          <t>Artificial intelligence analysis of newborn leucocyte epigenomic markers for the prediction of autism</t>
        </is>
      </c>
      <c r="J76" s="4" t="inlineStr">
        <is>
          <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t>
        </is>
      </c>
      <c r="K76" s="4" t="inlineStr">
        <is>
          <t>Supervised</t>
        </is>
      </c>
      <c r="L76" s="4" t="inlineStr">
        <is>
          <t>MLP</t>
        </is>
      </c>
      <c r="M76" s="4" t="inlineStr">
        <is>
          <t>Classification (ASD vs control / multi-class)</t>
        </is>
      </c>
      <c r="N76" s="4" t="inlineStr">
        <is>
          <t>Prescreening</t>
        </is>
      </c>
      <c r="O76" s="4" t="inlineStr">
        <is>
          <t>Medium</t>
        </is>
      </c>
      <c r="P76" s="4" t="n">
        <v>0</v>
      </c>
      <c r="Q76" s="4" t="n">
        <v>0</v>
      </c>
      <c r="R76" s="4" t="n">
        <v>0</v>
      </c>
      <c r="S76" s="4" t="n">
        <v>0</v>
      </c>
      <c r="T76" s="4" t="n">
        <v>0</v>
      </c>
      <c r="U76" s="4" t="n">
        <v>1</v>
      </c>
      <c r="V76" s="4" t="n">
        <v>0</v>
      </c>
      <c r="W76" s="4" t="n">
        <v>1</v>
      </c>
      <c r="X76" s="4" t="n">
        <v>0</v>
      </c>
      <c r="Y76" s="4" t="n">
        <v>0</v>
      </c>
      <c r="Z76" s="4" t="n">
        <v>0</v>
      </c>
      <c r="AA76" s="4" t="n">
        <v>0</v>
      </c>
      <c r="AB76" s="4" t="inlineStr">
        <is>
          <t>1900-01-01</t>
        </is>
      </c>
      <c r="AC76" s="4" t="n">
        <v>0</v>
      </c>
      <c r="AD76" s="4" t="n">
        <v>0</v>
      </c>
      <c r="AE76" s="4" t="n">
        <v>0</v>
      </c>
      <c r="AF76" s="4" t="n">
        <v>0</v>
      </c>
      <c r="AG76" s="4" t="n">
        <v>1</v>
      </c>
      <c r="AH76" s="4" t="n">
        <v>1</v>
      </c>
      <c r="AI76" s="4" t="n"/>
      <c r="AJ76" s="4" t="n"/>
      <c r="AK76" s="4" t="inlineStr">
        <is>
          <t>none_reported</t>
        </is>
      </c>
      <c r="AL76" s="4" t="inlineStr">
        <is>
          <t>Algoritmo principal no explícito o fuera del codebook; Confirmar algoritmo principal en full-text</t>
        </is>
      </c>
      <c r="AM76" s="4" t="inlineStr">
        <is>
          <t>RA</t>
        </is>
      </c>
      <c r="AN76" s="4" t="inlineStr">
        <is>
          <t>Tomado completo desde archivo RA según asignación</t>
        </is>
      </c>
      <c r="AO76" s="4" t="n">
        <v>0</v>
      </c>
      <c r="AP76" s="4" t="n">
        <v>0</v>
      </c>
      <c r="AQ76" s="4" t="n">
        <v>0</v>
      </c>
      <c r="AR76" s="4" t="n">
        <v>0</v>
      </c>
      <c r="AS76" s="4" t="n">
        <v>0</v>
      </c>
      <c r="AT76" s="4" t="n">
        <v>0</v>
      </c>
      <c r="AU76" s="4" t="n">
        <v>0</v>
      </c>
      <c r="AV76" s="4" t="n">
        <v>0</v>
      </c>
      <c r="AW76" s="4" t="inlineStr">
        <is>
          <t>finalized_from_available_evidence</t>
        </is>
      </c>
      <c r="AX76" s="4" t="inlineStr">
        <is>
          <t>0 means no reported evidence in title/abstract/notes/coding; it is not proof of true absence.</t>
        </is>
      </c>
    </row>
    <row r="77" ht="281" customHeight="1">
      <c r="A77" s="4" t="n">
        <v>76</v>
      </c>
      <c r="B77" s="4" t="n">
        <v>81</v>
      </c>
      <c r="C77" s="4" t="inlineStr">
        <is>
          <t>Revisor A</t>
        </is>
      </c>
      <c r="D77" s="4" t="inlineStr">
        <is>
          <t>RA</t>
        </is>
      </c>
      <c r="E77" s="4" t="n">
        <v>2023</v>
      </c>
      <c r="F77" s="4" t="inlineStr">
        <is>
          <t>Señales fisiológicas</t>
        </is>
      </c>
      <c r="G77" s="4" t="inlineStr">
        <is>
          <t>Machine Learning</t>
        </is>
      </c>
      <c r="H77" s="4" t="inlineStr">
        <is>
          <t>https://doi.org/10.1109/EMBC40787.2023.10340449</t>
        </is>
      </c>
      <c r="I77" s="4" t="inlineStr">
        <is>
          <t>Autism Detection in Children using Common Spatial Patterns of MEG Signals</t>
        </is>
      </c>
      <c r="J77" s="4" t="inlineStr">
        <is>
          <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t>
        </is>
      </c>
      <c r="K77" s="4" t="inlineStr">
        <is>
          <t>Supervised</t>
        </is>
      </c>
      <c r="L77" s="4" t="inlineStr">
        <is>
          <t>Other / Not clear</t>
        </is>
      </c>
      <c r="M77" s="4" t="inlineStr">
        <is>
          <t>Classification (ASD vs control / multi-class)</t>
        </is>
      </c>
      <c r="N77" s="4" t="inlineStr">
        <is>
          <t>Diagnosis</t>
        </is>
      </c>
      <c r="O77" s="4" t="inlineStr">
        <is>
          <t>Medium</t>
        </is>
      </c>
      <c r="P77" s="4" t="n">
        <v>0</v>
      </c>
      <c r="Q77" s="4" t="n">
        <v>1</v>
      </c>
      <c r="R77" s="4" t="n">
        <v>0</v>
      </c>
      <c r="S77" s="4" t="n">
        <v>0</v>
      </c>
      <c r="T77" s="4" t="n">
        <v>0</v>
      </c>
      <c r="U77" s="4" t="n">
        <v>0</v>
      </c>
      <c r="V77" s="4" t="n">
        <v>0</v>
      </c>
      <c r="W77" s="4" t="n">
        <v>0</v>
      </c>
      <c r="X77" s="4" t="n">
        <v>0</v>
      </c>
      <c r="Y77" s="4" t="n">
        <v>1</v>
      </c>
      <c r="Z77" s="4" t="n">
        <v>0</v>
      </c>
      <c r="AA77" s="4" t="n">
        <v>0</v>
      </c>
      <c r="AB77" s="4" t="inlineStr">
        <is>
          <t>1900-01-01</t>
        </is>
      </c>
      <c r="AC77" s="4" t="n">
        <v>0</v>
      </c>
      <c r="AD77" s="4" t="n">
        <v>0</v>
      </c>
      <c r="AE77" s="4" t="n">
        <v>0</v>
      </c>
      <c r="AF77" s="4" t="n">
        <v>0</v>
      </c>
      <c r="AG77" s="4" t="n">
        <v>1</v>
      </c>
      <c r="AH77" s="4" t="n">
        <v>1</v>
      </c>
      <c r="AI77" s="4" t="n"/>
      <c r="AJ77" s="4" t="n"/>
      <c r="AK77" s="4" t="inlineStr">
        <is>
          <t>none_reported</t>
        </is>
      </c>
      <c r="AL77" s="4" t="inlineStr">
        <is>
          <t>Algoritmo principal no explícito o fuera del codebook; Confirmar algoritmo principal en full-text</t>
        </is>
      </c>
      <c r="AM77" s="4" t="inlineStr">
        <is>
          <t>RA</t>
        </is>
      </c>
      <c r="AN77" s="4" t="inlineStr">
        <is>
          <t>Tomado completo desde archivo RA según asignación</t>
        </is>
      </c>
      <c r="AO77" s="4" t="n">
        <v>0</v>
      </c>
      <c r="AP77" s="4" t="n">
        <v>0</v>
      </c>
      <c r="AQ77" s="4" t="n">
        <v>0</v>
      </c>
      <c r="AR77" s="4" t="n">
        <v>0</v>
      </c>
      <c r="AS77" s="4" t="n">
        <v>0</v>
      </c>
      <c r="AT77" s="4" t="n">
        <v>0</v>
      </c>
      <c r="AU77" s="4" t="n">
        <v>0</v>
      </c>
      <c r="AV77" s="4" t="n">
        <v>0</v>
      </c>
      <c r="AW77" s="4" t="inlineStr">
        <is>
          <t>finalized_from_available_evidence</t>
        </is>
      </c>
      <c r="AX77" s="4" t="inlineStr">
        <is>
          <t>0 means no reported evidence in title/abstract/notes/coding; it is not proof of true absence.</t>
        </is>
      </c>
    </row>
    <row r="78" ht="409" customHeight="1">
      <c r="A78" s="4" t="n">
        <v>77</v>
      </c>
      <c r="B78" s="4" t="n">
        <v>82</v>
      </c>
      <c r="C78" s="4" t="inlineStr">
        <is>
          <t>Revisor A</t>
        </is>
      </c>
      <c r="D78" s="4" t="inlineStr">
        <is>
          <t>RA</t>
        </is>
      </c>
      <c r="E78" s="4" t="n">
        <v>2023</v>
      </c>
      <c r="F78" s="4" t="inlineStr">
        <is>
          <t>Imagen</t>
        </is>
      </c>
      <c r="G78" s="4" t="inlineStr">
        <is>
          <t>Deep Learning</t>
        </is>
      </c>
      <c r="H78" s="4" t="inlineStr">
        <is>
          <t>https://doi.org/10.1016/j.compbiomed.2023.107539</t>
        </is>
      </c>
      <c r="I78" s="4" t="inlineStr">
        <is>
          <t>Autism Spectrum Disorder detection framework for children based on federated learning integrated CNN-LSTM</t>
        </is>
      </c>
      <c r="J78" s="4" t="inlineStr">
        <is>
          <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t>
        </is>
      </c>
      <c r="K78" s="4" t="inlineStr">
        <is>
          <t>Supervised</t>
        </is>
      </c>
      <c r="L78" s="4" t="inlineStr">
        <is>
          <t>RNN/LSTM/GRU</t>
        </is>
      </c>
      <c r="M78" s="4" t="inlineStr">
        <is>
          <t>Classification (ASD vs control / multi-class)</t>
        </is>
      </c>
      <c r="N78" s="4" t="inlineStr">
        <is>
          <t>Screening</t>
        </is>
      </c>
      <c r="O78" s="4" t="inlineStr">
        <is>
          <t>Medium</t>
        </is>
      </c>
      <c r="P78" s="4" t="n">
        <v>0</v>
      </c>
      <c r="Q78" s="4" t="n">
        <v>0</v>
      </c>
      <c r="R78" s="4" t="n">
        <v>0</v>
      </c>
      <c r="S78" s="4" t="n">
        <v>0</v>
      </c>
      <c r="T78" s="4" t="n">
        <v>1</v>
      </c>
      <c r="U78" s="4" t="n">
        <v>0</v>
      </c>
      <c r="V78" s="4" t="n">
        <v>0</v>
      </c>
      <c r="W78" s="4" t="n">
        <v>0</v>
      </c>
      <c r="X78" s="4" t="n">
        <v>1</v>
      </c>
      <c r="Y78" s="4" t="n">
        <v>0</v>
      </c>
      <c r="Z78" s="4" t="n">
        <v>0</v>
      </c>
      <c r="AA78" s="4" t="n">
        <v>0</v>
      </c>
      <c r="AB78" s="4" t="inlineStr">
        <is>
          <t>1900-01-01</t>
        </is>
      </c>
      <c r="AC78" s="4" t="n">
        <v>0</v>
      </c>
      <c r="AD78" s="4" t="n">
        <v>0</v>
      </c>
      <c r="AE78" s="4" t="n">
        <v>0</v>
      </c>
      <c r="AF78" s="4" t="n">
        <v>1</v>
      </c>
      <c r="AG78" s="4" t="n">
        <v>0</v>
      </c>
      <c r="AH78" s="4" t="n">
        <v>1</v>
      </c>
      <c r="AI78" s="4" t="n"/>
      <c r="AJ78" s="4" t="n"/>
      <c r="AK78" s="4" t="inlineStr">
        <is>
          <t>multisource_integration</t>
        </is>
      </c>
      <c r="AL78" s="4" t="inlineStr">
        <is>
          <t>Marco federado CNN-LSTM con datasets multimodales de cribado; arquitectura híbrida fuera del codebook.</t>
        </is>
      </c>
      <c r="AM78" s="4" t="inlineStr">
        <is>
          <t>RA</t>
        </is>
      </c>
      <c r="AN78" s="4" t="inlineStr">
        <is>
          <t>Tomado completo desde archivo RA según asignación</t>
        </is>
      </c>
      <c r="AO78" s="4" t="n">
        <v>0</v>
      </c>
      <c r="AP78" s="4" t="n">
        <v>0</v>
      </c>
      <c r="AQ78" s="4" t="n">
        <v>0</v>
      </c>
      <c r="AR78" s="4" t="n">
        <v>0</v>
      </c>
      <c r="AS78" s="4" t="n">
        <v>0</v>
      </c>
      <c r="AT78" s="4" t="n">
        <v>0</v>
      </c>
      <c r="AU78" s="4" t="n">
        <v>0</v>
      </c>
      <c r="AV78" s="4" t="n">
        <v>1</v>
      </c>
      <c r="AW78" s="4" t="inlineStr">
        <is>
          <t>finalized_from_available_evidence</t>
        </is>
      </c>
      <c r="AX78" s="4" t="inlineStr">
        <is>
          <t>0 means no reported evidence in title/abstract/notes/coding; it is not proof of true absence.</t>
        </is>
      </c>
    </row>
    <row r="79" ht="409" customHeight="1">
      <c r="A79" s="4" t="n">
        <v>78</v>
      </c>
      <c r="B79" s="4" t="n">
        <v>83</v>
      </c>
      <c r="C79" s="4" t="inlineStr">
        <is>
          <t>Revisor A</t>
        </is>
      </c>
      <c r="D79" s="4" t="n"/>
      <c r="E79" s="4" t="n">
        <v>2025</v>
      </c>
      <c r="F79" s="4" t="inlineStr">
        <is>
          <t>Texto · NLP</t>
        </is>
      </c>
      <c r="G79" s="4" t="inlineStr">
        <is>
          <t>Deep Learning</t>
        </is>
      </c>
      <c r="H79" s="4" t="inlineStr">
        <is>
          <t>https://doi.org/10.2196/70914</t>
        </is>
      </c>
      <c r="I79" s="4" t="inlineStr">
        <is>
          <t>Converging Representations of Attention-Deficit/Hyperactivity Disorder and Autism on Social Media: Linguistic and Topic Analysis of Trends in Reddit Data</t>
        </is>
      </c>
      <c r="J79" s="4"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K79" s="4" t="n"/>
      <c r="L79" s="4" t="n"/>
      <c r="M79" s="4" t="n"/>
      <c r="N79" s="4" t="inlineStr">
        <is>
          <t>diagnosis</t>
        </is>
      </c>
      <c r="O79" s="4" t="inlineStr">
        <is>
          <t>high</t>
        </is>
      </c>
      <c r="P79" s="4" t="n">
        <v>0</v>
      </c>
      <c r="Q79" s="4" t="n">
        <v>0</v>
      </c>
      <c r="R79" s="4" t="n">
        <v>0</v>
      </c>
      <c r="S79" s="4" t="n">
        <v>0</v>
      </c>
      <c r="T79" s="4" t="n">
        <v>1</v>
      </c>
      <c r="U79" s="4" t="n">
        <v>0</v>
      </c>
      <c r="V79" s="4" t="n">
        <v>0</v>
      </c>
      <c r="W79" s="4" t="n">
        <v>0</v>
      </c>
      <c r="X79" s="4" t="n">
        <v>0</v>
      </c>
      <c r="Y79" s="4" t="n">
        <v>1</v>
      </c>
      <c r="Z79" s="4" t="n">
        <v>0</v>
      </c>
      <c r="AA79" s="4" t="n">
        <v>0</v>
      </c>
      <c r="AB79" s="4" t="inlineStr">
        <is>
          <t>1900-01-01</t>
        </is>
      </c>
      <c r="AC79" s="4" t="n">
        <v>0</v>
      </c>
      <c r="AD79" s="4" t="n">
        <v>0</v>
      </c>
      <c r="AE79" s="4" t="n">
        <v>0</v>
      </c>
      <c r="AF79" s="4" t="n">
        <v>0</v>
      </c>
      <c r="AG79" s="4" t="n">
        <v>0</v>
      </c>
      <c r="AH79" s="4" t="n">
        <v>1</v>
      </c>
      <c r="AI79" s="4" t="n">
        <v>0</v>
      </c>
      <c r="AJ79" s="4" t="inlineStr">
        <is>
          <t>00:00:00</t>
        </is>
      </c>
      <c r="AK79" s="4" t="inlineStr">
        <is>
          <t>none_reported</t>
        </is>
      </c>
      <c r="AL79" s="4" t="n"/>
      <c r="AM79" s="4" t="inlineStr">
        <is>
          <t>RB_fallback</t>
        </is>
      </c>
      <c r="AN79" s="4" t="inlineStr">
        <is>
          <t>Fallback a RB porque el ID no está en RA</t>
        </is>
      </c>
      <c r="AO79" s="4" t="n">
        <v>0</v>
      </c>
      <c r="AP79" s="4" t="n">
        <v>0</v>
      </c>
      <c r="AQ79" s="4" t="n">
        <v>0</v>
      </c>
      <c r="AR79" s="4" t="n">
        <v>0</v>
      </c>
      <c r="AS79" s="4" t="n">
        <v>0</v>
      </c>
      <c r="AT79" s="4" t="n">
        <v>0</v>
      </c>
      <c r="AU79" s="4" t="n">
        <v>0</v>
      </c>
      <c r="AV79" s="4" t="n">
        <v>0</v>
      </c>
      <c r="AW79" s="4" t="inlineStr">
        <is>
          <t>finalized_from_available_evidence</t>
        </is>
      </c>
      <c r="AX79" s="4" t="inlineStr">
        <is>
          <t>0 means no reported evidence in title/abstract/notes/coding; it is not proof of true absence.</t>
        </is>
      </c>
    </row>
    <row r="80" ht="359" customHeight="1">
      <c r="A80" s="4" t="n">
        <v>79</v>
      </c>
      <c r="B80" s="4" t="n">
        <v>84</v>
      </c>
      <c r="C80" s="4" t="inlineStr">
        <is>
          <t>Revisor B</t>
        </is>
      </c>
      <c r="D80" s="4" t="n"/>
      <c r="E80" s="4" t="n">
        <v>2024</v>
      </c>
      <c r="F80" s="4" t="inlineStr">
        <is>
          <t>Texto · NLP</t>
        </is>
      </c>
      <c r="G80" s="4" t="inlineStr">
        <is>
          <t>Deep Learning</t>
        </is>
      </c>
      <c r="H80" s="4" t="inlineStr">
        <is>
          <t>https://doi.org/10.1371/journal.pone.0311209</t>
        </is>
      </c>
      <c r="I80" s="4" t="inlineStr">
        <is>
          <t>Creating a diagnostic assessment model for autism spectrum disorder by differentiating lexicogrammatical choices through machine learning</t>
        </is>
      </c>
      <c r="J80" s="4" t="inlineStr">
        <is>
          <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t>
        </is>
      </c>
      <c r="K80" s="4" t="inlineStr">
        <is>
          <t>Supervised</t>
        </is>
      </c>
      <c r="L80" s="4" t="inlineStr">
        <is>
          <t>RNN/LSTM/GRU</t>
        </is>
      </c>
      <c r="M80" s="4" t="inlineStr">
        <is>
          <t>Classification (binary/multi-class; incl. ASD vs control)/ multi-class)</t>
        </is>
      </c>
      <c r="N80" s="4" t="inlineStr">
        <is>
          <t>diagnosis</t>
        </is>
      </c>
      <c r="O80" s="4" t="inlineStr">
        <is>
          <t>high</t>
        </is>
      </c>
      <c r="P80" s="4" t="n">
        <v>1</v>
      </c>
      <c r="Q80" s="4" t="n">
        <v>0</v>
      </c>
      <c r="R80" s="4" t="n">
        <v>0</v>
      </c>
      <c r="S80" s="4" t="n">
        <v>0</v>
      </c>
      <c r="T80" s="4" t="n">
        <v>0</v>
      </c>
      <c r="U80" s="4" t="n">
        <v>0</v>
      </c>
      <c r="V80" s="4" t="n">
        <v>0</v>
      </c>
      <c r="W80" s="4" t="n">
        <v>0</v>
      </c>
      <c r="X80" s="4" t="n">
        <v>0</v>
      </c>
      <c r="Y80" s="4" t="n">
        <v>1</v>
      </c>
      <c r="Z80" s="4" t="n">
        <v>0</v>
      </c>
      <c r="AA80" s="4" t="n">
        <v>1</v>
      </c>
      <c r="AB80" s="4" t="inlineStr">
        <is>
          <t>1900-01-01</t>
        </is>
      </c>
      <c r="AC80" s="4" t="n">
        <v>0</v>
      </c>
      <c r="AD80" s="4" t="n">
        <v>1</v>
      </c>
      <c r="AE80" s="4" t="n">
        <v>0</v>
      </c>
      <c r="AF80" s="4" t="n">
        <v>0</v>
      </c>
      <c r="AG80" s="4" t="n">
        <v>0</v>
      </c>
      <c r="AH80" s="4" t="n">
        <v>1</v>
      </c>
      <c r="AI80" s="4" t="n">
        <v>0</v>
      </c>
      <c r="AJ80" s="4" t="inlineStr">
        <is>
          <t>00:00:00</t>
        </is>
      </c>
      <c r="AK80" s="4" t="inlineStr">
        <is>
          <t>explainability_or_interpretability</t>
        </is>
      </c>
      <c r="AL80" s="4" t="inlineStr">
        <is>
          <t>comparan modelo lineal vs DNN; el modelo lineal es logistic regression (baseline interpretable).</t>
        </is>
      </c>
      <c r="AM80" s="4" t="inlineStr">
        <is>
          <t>RB</t>
        </is>
      </c>
      <c r="AN80" s="4" t="inlineStr">
        <is>
          <t>Tomado completo desde archivo RB según asignación</t>
        </is>
      </c>
      <c r="AO80" s="4" t="n">
        <v>0</v>
      </c>
      <c r="AP80" s="4" t="n">
        <v>0</v>
      </c>
      <c r="AQ80" s="4" t="n">
        <v>0</v>
      </c>
      <c r="AR80" s="4" t="n">
        <v>0</v>
      </c>
      <c r="AS80" s="4" t="n">
        <v>0</v>
      </c>
      <c r="AT80" s="4" t="n">
        <v>0</v>
      </c>
      <c r="AU80" s="4" t="n">
        <v>1</v>
      </c>
      <c r="AV80" s="4" t="n">
        <v>0</v>
      </c>
      <c r="AW80" s="4" t="inlineStr">
        <is>
          <t>finalized_from_available_evidence</t>
        </is>
      </c>
      <c r="AX80" s="4" t="inlineStr">
        <is>
          <t>0 means no reported evidence in title/abstract/notes/coding; it is not proof of true absence.</t>
        </is>
      </c>
    </row>
    <row r="81" ht="409" customHeight="1">
      <c r="A81" s="4" t="n">
        <v>80</v>
      </c>
      <c r="B81" s="4" t="n">
        <v>85</v>
      </c>
      <c r="C81" s="4" t="inlineStr">
        <is>
          <t>Revisor A</t>
        </is>
      </c>
      <c r="D81" s="4" t="inlineStr">
        <is>
          <t>RA</t>
        </is>
      </c>
      <c r="E81" s="4" t="n">
        <v>2022</v>
      </c>
      <c r="F81" s="4" t="inlineStr">
        <is>
          <t>Imagen</t>
        </is>
      </c>
      <c r="G81" s="4" t="inlineStr">
        <is>
          <t>Deep Learning</t>
        </is>
      </c>
      <c r="H81" s="4" t="inlineStr">
        <is>
          <t>https://doi.org/10.1007/s00330-021-08239-4</t>
        </is>
      </c>
      <c r="I81" s="4" t="inlineStr">
        <is>
          <t>Diagnosing autism spectrum disorder in children using conventional MRI and apparent diffusion coefficient based deep learning algorithms</t>
        </is>
      </c>
      <c r="J81" s="4" t="inlineStr">
        <is>
          <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t>
        </is>
      </c>
      <c r="K81" s="4" t="inlineStr">
        <is>
          <t>Supervised</t>
        </is>
      </c>
      <c r="L81" s="4" t="inlineStr">
        <is>
          <t>CNN</t>
        </is>
      </c>
      <c r="M81" s="4" t="inlineStr">
        <is>
          <t>Classification (ASD vs control / multi-class)</t>
        </is>
      </c>
      <c r="N81" s="4" t="inlineStr">
        <is>
          <t>Diagnosis</t>
        </is>
      </c>
      <c r="O81" s="4" t="inlineStr">
        <is>
          <t>High</t>
        </is>
      </c>
      <c r="P81" s="4" t="n">
        <v>1</v>
      </c>
      <c r="Q81" s="4" t="n">
        <v>0</v>
      </c>
      <c r="R81" s="4" t="n">
        <v>0</v>
      </c>
      <c r="S81" s="4" t="n">
        <v>0</v>
      </c>
      <c r="T81" s="4" t="n">
        <v>0</v>
      </c>
      <c r="U81" s="4" t="n">
        <v>0</v>
      </c>
      <c r="V81" s="4" t="n">
        <v>0</v>
      </c>
      <c r="W81" s="4" t="n">
        <v>0</v>
      </c>
      <c r="X81" s="4" t="n">
        <v>0</v>
      </c>
      <c r="Y81" s="4" t="n">
        <v>1</v>
      </c>
      <c r="Z81" s="4" t="n">
        <v>0</v>
      </c>
      <c r="AA81" s="4" t="n">
        <v>0</v>
      </c>
      <c r="AB81" s="4" t="inlineStr">
        <is>
          <t>1900-01-01</t>
        </is>
      </c>
      <c r="AC81" s="4" t="n">
        <v>1</v>
      </c>
      <c r="AD81" s="4" t="n">
        <v>0</v>
      </c>
      <c r="AE81" s="4" t="n">
        <v>0</v>
      </c>
      <c r="AF81" s="4" t="n">
        <v>0</v>
      </c>
      <c r="AG81" s="4" t="n">
        <v>1</v>
      </c>
      <c r="AH81" s="4" t="n">
        <v>1</v>
      </c>
      <c r="AI81" s="4" t="n"/>
      <c r="AJ81" s="4" t="n"/>
      <c r="AK81" s="4" t="inlineStr">
        <is>
          <t>external_validation</t>
        </is>
      </c>
      <c r="AL81" s="4" t="inlineStr">
        <is>
          <t>Algoritmo principal no explícito o fuera del codebook; Confirmar algoritmo principal en full-text; Se comparan varios modelos; se eligió el principal/mejor reportado</t>
        </is>
      </c>
      <c r="AM81" s="4" t="inlineStr">
        <is>
          <t>RA</t>
        </is>
      </c>
      <c r="AN81" s="4" t="inlineStr">
        <is>
          <t>Tomado completo desde archivo RA según asignación</t>
        </is>
      </c>
      <c r="AO81" s="4" t="n">
        <v>0</v>
      </c>
      <c r="AP81" s="4" t="n">
        <v>0</v>
      </c>
      <c r="AQ81" s="4" t="n">
        <v>0</v>
      </c>
      <c r="AR81" s="4" t="n">
        <v>0</v>
      </c>
      <c r="AS81" s="4" t="n">
        <v>0</v>
      </c>
      <c r="AT81" s="4" t="n">
        <v>0</v>
      </c>
      <c r="AU81" s="4" t="n">
        <v>0</v>
      </c>
      <c r="AV81" s="4" t="n">
        <v>0</v>
      </c>
      <c r="AW81" s="4" t="inlineStr">
        <is>
          <t>finalized_from_available_evidence</t>
        </is>
      </c>
      <c r="AX81" s="4" t="inlineStr">
        <is>
          <t>0 means no reported evidence in title/abstract/notes/coding; it is not proof of true absence.</t>
        </is>
      </c>
    </row>
    <row r="82" ht="268" customHeight="1">
      <c r="A82" s="4" t="n">
        <v>81</v>
      </c>
      <c r="B82" s="4" t="n">
        <v>86</v>
      </c>
      <c r="C82" s="4" t="inlineStr">
        <is>
          <t>Revisor B</t>
        </is>
      </c>
      <c r="D82" s="4" t="n"/>
      <c r="E82" s="4" t="n">
        <v>2025</v>
      </c>
      <c r="F82" s="4" t="inlineStr">
        <is>
          <t>Señales fisiológicas</t>
        </is>
      </c>
      <c r="G82" s="4" t="inlineStr">
        <is>
          <t>Deep Learning</t>
        </is>
      </c>
      <c r="H82" s="4" t="inlineStr">
        <is>
          <t>https://doi.org/10.1038/s41398-025-03566-2</t>
        </is>
      </c>
      <c r="I82" s="4" t="inlineStr">
        <is>
          <t>Dissecting the heterogeneity of autism spectrum disorder with sensory behavior, brain, and epigenetic factors</t>
        </is>
      </c>
      <c r="J82" s="4"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K82" s="4" t="inlineStr">
        <is>
          <t>Supervised</t>
        </is>
      </c>
      <c r="L82" s="4" t="inlineStr">
        <is>
          <t>XGBoost / GBDT</t>
        </is>
      </c>
      <c r="M82" s="4" t="inlineStr">
        <is>
          <t>Classification (ASD vs control / multi-class)</t>
        </is>
      </c>
      <c r="N82" s="4" t="inlineStr">
        <is>
          <t>Diagnosis</t>
        </is>
      </c>
      <c r="O82" s="4" t="inlineStr">
        <is>
          <t>low</t>
        </is>
      </c>
      <c r="P82" s="4" t="n">
        <v>0</v>
      </c>
      <c r="Q82" s="4" t="n">
        <v>0</v>
      </c>
      <c r="R82" s="4" t="n">
        <v>0</v>
      </c>
      <c r="S82" s="4" t="n">
        <v>0</v>
      </c>
      <c r="T82" s="4" t="n">
        <v>0</v>
      </c>
      <c r="U82" s="4" t="n">
        <v>0</v>
      </c>
      <c r="V82" s="4" t="n">
        <v>0</v>
      </c>
      <c r="W82" s="4" t="n">
        <v>0</v>
      </c>
      <c r="X82" s="4" t="n">
        <v>0</v>
      </c>
      <c r="Y82" s="4" t="n">
        <v>0</v>
      </c>
      <c r="Z82" s="4" t="n">
        <v>0</v>
      </c>
      <c r="AA82" s="4" t="n">
        <v>0</v>
      </c>
      <c r="AB82" s="4" t="inlineStr">
        <is>
          <t>1900-01-01</t>
        </is>
      </c>
      <c r="AC82" s="4" t="n">
        <v>0</v>
      </c>
      <c r="AD82" s="4" t="n">
        <v>0</v>
      </c>
      <c r="AE82" s="4" t="n">
        <v>0</v>
      </c>
      <c r="AF82" s="4" t="n">
        <v>0</v>
      </c>
      <c r="AG82" s="4" t="n">
        <v>1</v>
      </c>
      <c r="AH82" s="4" t="n">
        <v>0</v>
      </c>
      <c r="AI82" s="4" t="n">
        <v>0</v>
      </c>
      <c r="AJ82" s="4" t="inlineStr">
        <is>
          <t>1900-01-01</t>
        </is>
      </c>
      <c r="AK82" s="4" t="inlineStr">
        <is>
          <t>none_reported</t>
        </is>
      </c>
      <c r="AL82" s="4" t="inlineStr">
        <is>
          <t>Clasificación ASD vs control integrando AASP (sensory behavior) + neuroimagen + metilación (OXTR/AVPR). Evaluaron varios algoritmos; el modelo final reportado usa XGBoost (otros probados: RF/SVM/LR).</t>
        </is>
      </c>
      <c r="AM82" s="4" t="inlineStr">
        <is>
          <t>RB</t>
        </is>
      </c>
      <c r="AN82" s="4" t="inlineStr">
        <is>
          <t>Tomado completo desde archivo RB según asignación</t>
        </is>
      </c>
      <c r="AO82" s="4" t="n">
        <v>0</v>
      </c>
      <c r="AP82" s="4" t="n">
        <v>0</v>
      </c>
      <c r="AQ82" s="4" t="n">
        <v>0</v>
      </c>
      <c r="AR82" s="4" t="n">
        <v>0</v>
      </c>
      <c r="AS82" s="4" t="n">
        <v>0</v>
      </c>
      <c r="AT82" s="4" t="n">
        <v>0</v>
      </c>
      <c r="AU82" s="4" t="n">
        <v>0</v>
      </c>
      <c r="AV82" s="4" t="n">
        <v>0</v>
      </c>
      <c r="AW82" s="4" t="inlineStr">
        <is>
          <t>finalized_from_available_evidence</t>
        </is>
      </c>
      <c r="AX82" s="4" t="inlineStr">
        <is>
          <t>0 means no reported evidence in title/abstract/notes/coding; it is not proof of true absence.</t>
        </is>
      </c>
    </row>
    <row r="83" ht="409" customHeight="1">
      <c r="A83" s="4" t="n">
        <v>82</v>
      </c>
      <c r="B83" s="4" t="n">
        <v>88</v>
      </c>
      <c r="C83" s="4" t="inlineStr">
        <is>
          <t>Revisor A</t>
        </is>
      </c>
      <c r="D83" s="4" t="inlineStr">
        <is>
          <t>RA</t>
        </is>
      </c>
      <c r="E83" s="4" t="n">
        <v>2022</v>
      </c>
      <c r="F83" s="4" t="inlineStr">
        <is>
          <t>Señales fisiológicas</t>
        </is>
      </c>
      <c r="G83" s="4" t="inlineStr">
        <is>
          <t>Deep Learning</t>
        </is>
      </c>
      <c r="H83" s="4" t="inlineStr">
        <is>
          <t>https://doi.org/10.1016/j.bpsc.2021.03.015</t>
        </is>
      </c>
      <c r="I83" s="4" t="inlineStr">
        <is>
          <t>Facial Emotions Are Accurately Encoded in the Neural Signal of Those With Autism Spectrum Disorder: A Deep Learning Approach</t>
        </is>
      </c>
      <c r="J83" s="4" t="inlineStr">
        <is>
          <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t>
        </is>
      </c>
      <c r="K83" s="4" t="inlineStr">
        <is>
          <t>Supervised</t>
        </is>
      </c>
      <c r="L83" s="4" t="inlineStr">
        <is>
          <t>CNN</t>
        </is>
      </c>
      <c r="M83" s="4" t="inlineStr">
        <is>
          <t>Classification (ASD vs control / multi-class)</t>
        </is>
      </c>
      <c r="N83" s="4" t="inlineStr">
        <is>
          <t>Monitoring/intervention</t>
        </is>
      </c>
      <c r="O83" s="4" t="inlineStr">
        <is>
          <t>Medium</t>
        </is>
      </c>
      <c r="P83" s="4" t="n">
        <v>0</v>
      </c>
      <c r="Q83" s="4" t="n">
        <v>1</v>
      </c>
      <c r="R83" s="4" t="n">
        <v>0</v>
      </c>
      <c r="S83" s="4" t="n">
        <v>0</v>
      </c>
      <c r="T83" s="4" t="n">
        <v>0</v>
      </c>
      <c r="U83" s="4" t="n">
        <v>0</v>
      </c>
      <c r="V83" s="4" t="n">
        <v>0</v>
      </c>
      <c r="W83" s="4" t="n">
        <v>0</v>
      </c>
      <c r="X83" s="4" t="n">
        <v>0</v>
      </c>
      <c r="Y83" s="4" t="n">
        <v>0</v>
      </c>
      <c r="Z83" s="4" t="n">
        <v>0</v>
      </c>
      <c r="AA83" s="4" t="n">
        <v>1</v>
      </c>
      <c r="AB83" s="4" t="inlineStr">
        <is>
          <t>00:00:00</t>
        </is>
      </c>
      <c r="AC83" s="4" t="n">
        <v>1</v>
      </c>
      <c r="AD83" s="4" t="n">
        <v>1</v>
      </c>
      <c r="AE83" s="4" t="n">
        <v>0</v>
      </c>
      <c r="AF83" s="4" t="n">
        <v>0</v>
      </c>
      <c r="AG83" s="4" t="n">
        <v>0</v>
      </c>
      <c r="AH83" s="4" t="n">
        <v>1</v>
      </c>
      <c r="AI83" s="4" t="n"/>
      <c r="AJ83" s="4" t="n"/>
      <c r="AK83" s="4" t="inlineStr">
        <is>
          <t>external_validation; explainability_or_interpretability</t>
        </is>
      </c>
      <c r="AL83" s="4" t="n"/>
      <c r="AM83" s="4" t="inlineStr">
        <is>
          <t>RA</t>
        </is>
      </c>
      <c r="AN83" s="4" t="inlineStr">
        <is>
          <t>Tomado completo desde archivo RA según asignación</t>
        </is>
      </c>
      <c r="AO83" s="4" t="n">
        <v>0</v>
      </c>
      <c r="AP83" s="4" t="n">
        <v>0</v>
      </c>
      <c r="AQ83" s="4" t="n">
        <v>0</v>
      </c>
      <c r="AR83" s="4" t="n">
        <v>0</v>
      </c>
      <c r="AS83" s="4" t="n">
        <v>0</v>
      </c>
      <c r="AT83" s="4" t="n">
        <v>0</v>
      </c>
      <c r="AU83" s="4" t="n">
        <v>1</v>
      </c>
      <c r="AV83" s="4" t="n">
        <v>0</v>
      </c>
      <c r="AW83" s="4" t="inlineStr">
        <is>
          <t>finalized_from_available_evidence</t>
        </is>
      </c>
      <c r="AX83" s="4" t="inlineStr">
        <is>
          <t>0 means no reported evidence in title/abstract/notes/coding; it is not proof of true absence.</t>
        </is>
      </c>
    </row>
    <row r="84" ht="398" customHeight="1">
      <c r="A84" s="4" t="n">
        <v>83</v>
      </c>
      <c r="B84" s="4" t="n">
        <v>89</v>
      </c>
      <c r="C84" s="4" t="inlineStr">
        <is>
          <t>Revisor B</t>
        </is>
      </c>
      <c r="D84" s="4" t="n"/>
      <c r="E84" s="4" t="n">
        <v>2018</v>
      </c>
      <c r="F84" s="4" t="inlineStr">
        <is>
          <t>Imagen</t>
        </is>
      </c>
      <c r="G84" s="4" t="inlineStr">
        <is>
          <t>Machine Learning</t>
        </is>
      </c>
      <c r="H84" s="4" t="inlineStr">
        <is>
          <t>https://doi.org/10.1055/s-0038-1626727</t>
        </is>
      </c>
      <c r="I84" s="4" t="inlineStr">
        <is>
          <t>Feasibility Testing of a Wearable Behavioral Aid for Social Learning in Children with Autism</t>
        </is>
      </c>
      <c r="J84" s="4" t="inlineStr">
        <is>
          <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t>
        </is>
      </c>
      <c r="K84" s="4" t="inlineStr">
        <is>
          <t>Supervised</t>
        </is>
      </c>
      <c r="L84" s="4" t="inlineStr">
        <is>
          <t>Logistic Regression</t>
        </is>
      </c>
      <c r="M84" s="4" t="inlineStr">
        <is>
          <t>Classification (ASD vs control / multi-class)</t>
        </is>
      </c>
      <c r="N84" s="4" t="inlineStr">
        <is>
          <t>Monitoring/intervention</t>
        </is>
      </c>
      <c r="O84" s="4" t="inlineStr">
        <is>
          <t>high</t>
        </is>
      </c>
      <c r="P84" s="4" t="n">
        <v>0</v>
      </c>
      <c r="Q84" s="4" t="n">
        <v>0</v>
      </c>
      <c r="R84" s="4" t="n">
        <v>0</v>
      </c>
      <c r="S84" s="4" t="n">
        <v>0</v>
      </c>
      <c r="T84" s="4" t="n">
        <v>0</v>
      </c>
      <c r="U84" s="4" t="n">
        <v>0</v>
      </c>
      <c r="V84" s="4" t="n">
        <v>1</v>
      </c>
      <c r="W84" s="4" t="n">
        <v>0</v>
      </c>
      <c r="X84" s="4" t="n">
        <v>0</v>
      </c>
      <c r="Y84" s="4" t="n">
        <v>0</v>
      </c>
      <c r="Z84" s="4" t="n">
        <v>0</v>
      </c>
      <c r="AA84" s="4" t="n">
        <v>0</v>
      </c>
      <c r="AB84" s="4" t="inlineStr">
        <is>
          <t>1900-01-01</t>
        </is>
      </c>
      <c r="AC84" s="4" t="n">
        <v>0</v>
      </c>
      <c r="AD84" s="4" t="n">
        <v>0</v>
      </c>
      <c r="AE84" s="4" t="n">
        <v>0</v>
      </c>
      <c r="AF84" s="4" t="n">
        <v>0</v>
      </c>
      <c r="AG84" s="4" t="n">
        <v>1</v>
      </c>
      <c r="AH84" s="4" t="n">
        <v>1</v>
      </c>
      <c r="AI84" s="4" t="n">
        <v>1</v>
      </c>
      <c r="AJ84" s="4" t="inlineStr">
        <is>
          <t>00:00:00</t>
        </is>
      </c>
      <c r="AK84" s="4" t="inlineStr">
        <is>
          <t>none_reported</t>
        </is>
      </c>
      <c r="AL84" s="4" t="inlineStr">
        <is>
          <t>Clasificación ASD vs NC usando matrices de confusión de reconocimiento de emociones; el sistema (Google Glass) da ‘emotion labeling’, pero el clasificador principal para inferir ASD/NC es logistic regression</t>
        </is>
      </c>
      <c r="AM84" s="4" t="inlineStr">
        <is>
          <t>RB</t>
        </is>
      </c>
      <c r="AN84" s="4" t="inlineStr">
        <is>
          <t>Tomado completo desde archivo RB según asignación</t>
        </is>
      </c>
      <c r="AO84" s="4" t="n">
        <v>0</v>
      </c>
      <c r="AP84" s="4" t="n">
        <v>0</v>
      </c>
      <c r="AQ84" s="4" t="n">
        <v>0</v>
      </c>
      <c r="AR84" s="4" t="n">
        <v>0</v>
      </c>
      <c r="AS84" s="4" t="n">
        <v>0</v>
      </c>
      <c r="AT84" s="4" t="n">
        <v>0</v>
      </c>
      <c r="AU84" s="4" t="n">
        <v>0</v>
      </c>
      <c r="AV84" s="4" t="n">
        <v>0</v>
      </c>
      <c r="AW84" s="4" t="inlineStr">
        <is>
          <t>finalized_from_available_evidence</t>
        </is>
      </c>
      <c r="AX84" s="4" t="inlineStr">
        <is>
          <t>0 means no reported evidence in title/abstract/notes/coding; it is not proof of true absence.</t>
        </is>
      </c>
    </row>
    <row r="85" ht="409" customHeight="1">
      <c r="A85" s="4" t="n">
        <v>84</v>
      </c>
      <c r="B85" s="4" t="n">
        <v>90</v>
      </c>
      <c r="C85" s="4" t="inlineStr">
        <is>
          <t>Revisor B</t>
        </is>
      </c>
      <c r="D85" s="4" t="n"/>
      <c r="E85" s="4" t="n">
        <v>2023</v>
      </c>
      <c r="F85" s="4" t="inlineStr">
        <is>
          <t>No especificado</t>
        </is>
      </c>
      <c r="G85" s="4" t="inlineStr">
        <is>
          <t>Machine Learning</t>
        </is>
      </c>
      <c r="H85" s="4" t="inlineStr">
        <is>
          <t>https://doi.org/10.1109/ACCESS.2023.3302903</t>
        </is>
      </c>
      <c r="I85" s="4" t="inlineStr">
        <is>
          <t>Handwriting-Based ADHD Detection for Children Having ASD Using Machine Learning Approaches</t>
        </is>
      </c>
      <c r="J85" s="4" t="inlineStr">
        <is>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is>
      </c>
      <c r="K85" s="4" t="inlineStr">
        <is>
          <t>Supervised</t>
        </is>
      </c>
      <c r="L85" s="4" t="inlineStr">
        <is>
          <t>Random Forest</t>
        </is>
      </c>
      <c r="M85" s="4" t="inlineStr">
        <is>
          <t>Classification (binary/multi-class; incl. ASD vs control)/ multi-class)</t>
        </is>
      </c>
      <c r="N85" s="4" t="inlineStr">
        <is>
          <t>diagnosis</t>
        </is>
      </c>
      <c r="O85" s="4" t="inlineStr">
        <is>
          <t>high</t>
        </is>
      </c>
      <c r="P85" s="4" t="n">
        <v>1</v>
      </c>
      <c r="Q85" s="4" t="n">
        <v>0</v>
      </c>
      <c r="R85" s="4" t="n">
        <v>0</v>
      </c>
      <c r="S85" s="4" t="n">
        <v>0</v>
      </c>
      <c r="T85" s="4" t="n">
        <v>0</v>
      </c>
      <c r="U85" s="4" t="n">
        <v>0</v>
      </c>
      <c r="V85" s="4" t="n">
        <v>0</v>
      </c>
      <c r="W85" s="4" t="n">
        <v>0</v>
      </c>
      <c r="X85" s="4" t="n">
        <v>0</v>
      </c>
      <c r="Y85" s="4" t="n">
        <v>1</v>
      </c>
      <c r="Z85" s="4" t="n">
        <v>1</v>
      </c>
      <c r="AA85" s="4" t="n">
        <v>0</v>
      </c>
      <c r="AB85" s="4" t="inlineStr">
        <is>
          <t>00:00:00</t>
        </is>
      </c>
      <c r="AC85" s="4" t="n">
        <v>0</v>
      </c>
      <c r="AD85" s="4" t="n">
        <v>1</v>
      </c>
      <c r="AE85" s="4" t="n">
        <v>0</v>
      </c>
      <c r="AF85" s="4" t="n">
        <v>0</v>
      </c>
      <c r="AG85" s="4" t="n">
        <v>1</v>
      </c>
      <c r="AH85" s="4" t="n">
        <v>1</v>
      </c>
      <c r="AI85" s="4" t="n">
        <v>0</v>
      </c>
      <c r="AJ85" s="4" t="inlineStr">
        <is>
          <t>00:00:00</t>
        </is>
      </c>
      <c r="AK85" s="4" t="inlineStr">
        <is>
          <t>explainability_or_interpretability; internal_validation_only</t>
        </is>
      </c>
      <c r="AL85" s="4" t="inlineStr">
        <is>
          <t>Target is ADHD with coexisting ASD vs healthy (not ASD diagnosis). RF best on periodic lines task.</t>
        </is>
      </c>
      <c r="AM85" s="4" t="inlineStr">
        <is>
          <t>RB</t>
        </is>
      </c>
      <c r="AN85" s="4" t="inlineStr">
        <is>
          <t>Tomado completo desde archivo RB según asignación</t>
        </is>
      </c>
      <c r="AO85" s="4" t="n">
        <v>0</v>
      </c>
      <c r="AP85" s="4" t="n">
        <v>0</v>
      </c>
      <c r="AQ85" s="4" t="n">
        <v>0</v>
      </c>
      <c r="AR85" s="4" t="n">
        <v>1</v>
      </c>
      <c r="AS85" s="4" t="n">
        <v>0</v>
      </c>
      <c r="AT85" s="4" t="n">
        <v>0</v>
      </c>
      <c r="AU85" s="4" t="n">
        <v>1</v>
      </c>
      <c r="AV85" s="4" t="n">
        <v>0</v>
      </c>
      <c r="AW85" s="4" t="inlineStr">
        <is>
          <t>finalized_from_available_evidence</t>
        </is>
      </c>
      <c r="AX85" s="4" t="inlineStr">
        <is>
          <t>0 means no reported evidence in title/abstract/notes/coding; it is not proof of true absence.</t>
        </is>
      </c>
    </row>
    <row r="86" ht="281" customHeight="1">
      <c r="A86" s="4" t="n">
        <v>85</v>
      </c>
      <c r="B86" s="4" t="n">
        <v>91</v>
      </c>
      <c r="C86" s="4" t="inlineStr">
        <is>
          <t>Revisor B</t>
        </is>
      </c>
      <c r="D86" s="4" t="n"/>
      <c r="E86" s="4" t="n">
        <v>2022</v>
      </c>
      <c r="F86" s="4" t="inlineStr">
        <is>
          <t>No especificado</t>
        </is>
      </c>
      <c r="G86" s="4" t="inlineStr">
        <is>
          <t>Deep Learning</t>
        </is>
      </c>
      <c r="H86" s="4" t="inlineStr">
        <is>
          <t>https://doi.org/10.1007/978-3-031-09342-5_11</t>
        </is>
      </c>
      <c r="I86" s="4" t="inlineStr">
        <is>
          <t>Integrating Graph Convolutional Networks (GCNNs) and Long Short-Term Memory (LSTM) for Efficient Diagnosis of Autism</t>
        </is>
      </c>
      <c r="J86" s="4" t="inlineStr">
        <is>
          <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t>
        </is>
      </c>
      <c r="K86" s="4" t="inlineStr">
        <is>
          <t>Supervised</t>
        </is>
      </c>
      <c r="L86" s="4" t="inlineStr">
        <is>
          <t>Other</t>
        </is>
      </c>
      <c r="M86" s="4" t="inlineStr">
        <is>
          <t>Classification (binary/multi-class; incl. ASD vs control)/ multi-class)</t>
        </is>
      </c>
      <c r="N86" s="4" t="inlineStr">
        <is>
          <t>diagnosis</t>
        </is>
      </c>
      <c r="O86" s="4" t="inlineStr">
        <is>
          <t>high</t>
        </is>
      </c>
      <c r="P86" s="4" t="n">
        <v>1</v>
      </c>
      <c r="Q86" s="4" t="n">
        <v>0</v>
      </c>
      <c r="R86" s="4" t="n">
        <v>0</v>
      </c>
      <c r="S86" s="4" t="n">
        <v>0</v>
      </c>
      <c r="T86" s="4" t="n">
        <v>0</v>
      </c>
      <c r="U86" s="4" t="n">
        <v>0</v>
      </c>
      <c r="V86" s="4" t="n">
        <v>0</v>
      </c>
      <c r="W86" s="4" t="n">
        <v>0</v>
      </c>
      <c r="X86" s="4" t="n">
        <v>0</v>
      </c>
      <c r="Y86" s="4" t="n">
        <v>1</v>
      </c>
      <c r="Z86" s="4" t="n">
        <v>0</v>
      </c>
      <c r="AA86" s="4" t="n">
        <v>0</v>
      </c>
      <c r="AB86" s="4" t="inlineStr">
        <is>
          <t>1900-01-01</t>
        </is>
      </c>
      <c r="AC86" s="4" t="n">
        <v>0</v>
      </c>
      <c r="AD86" s="4" t="n">
        <v>0</v>
      </c>
      <c r="AE86" s="4" t="n">
        <v>0</v>
      </c>
      <c r="AF86" s="4" t="n">
        <v>0</v>
      </c>
      <c r="AG86" s="4" t="n">
        <v>0</v>
      </c>
      <c r="AH86" s="4" t="n">
        <v>1</v>
      </c>
      <c r="AI86" s="4" t="n">
        <v>0</v>
      </c>
      <c r="AJ86" s="4" t="inlineStr">
        <is>
          <t>00:00:00</t>
        </is>
      </c>
      <c r="AK86" s="4" t="inlineStr">
        <is>
          <t>multisite_dataset_broad</t>
        </is>
      </c>
      <c r="AL86" s="4" t="inlineStr">
        <is>
          <t>Hybrid GCNN + LSTM on ABIDE fMRI; mapped to Other because GNN not in algorithm list.</t>
        </is>
      </c>
      <c r="AM86" s="4" t="inlineStr">
        <is>
          <t>RB</t>
        </is>
      </c>
      <c r="AN86" s="4" t="inlineStr">
        <is>
          <t>Tomado completo desde archivo RB según asignación</t>
        </is>
      </c>
      <c r="AO86" s="4" t="n">
        <v>0</v>
      </c>
      <c r="AP86" s="4" t="n">
        <v>0</v>
      </c>
      <c r="AQ86" s="4" t="n">
        <v>1</v>
      </c>
      <c r="AR86" s="4" t="n">
        <v>0</v>
      </c>
      <c r="AS86" s="4" t="n">
        <v>0</v>
      </c>
      <c r="AT86" s="4" t="n">
        <v>0</v>
      </c>
      <c r="AU86" s="4" t="n">
        <v>0</v>
      </c>
      <c r="AV86" s="4" t="n">
        <v>0</v>
      </c>
      <c r="AW86" s="4" t="inlineStr">
        <is>
          <t>finalized_from_available_evidence</t>
        </is>
      </c>
      <c r="AX86" s="4" t="inlineStr">
        <is>
          <t>0 means no reported evidence in title/abstract/notes/coding; it is not proof of true absence.</t>
        </is>
      </c>
    </row>
    <row r="87" ht="294" customHeight="1">
      <c r="A87" s="4" t="n">
        <v>86</v>
      </c>
      <c r="B87" s="4" t="n">
        <v>92</v>
      </c>
      <c r="C87" s="4" t="inlineStr">
        <is>
          <t>Revisor A</t>
        </is>
      </c>
      <c r="D87" s="4" t="inlineStr">
        <is>
          <t>RA</t>
        </is>
      </c>
      <c r="E87" s="4" t="n">
        <v>2025</v>
      </c>
      <c r="F87" s="4" t="inlineStr">
        <is>
          <t>Señales fisiológicas</t>
        </is>
      </c>
      <c r="G87" s="4" t="inlineStr">
        <is>
          <t>Deep Learning</t>
        </is>
      </c>
      <c r="H87" s="4" t="inlineStr">
        <is>
          <t>https://doi.org/10.1016/j.bspc.2024.107466</t>
        </is>
      </c>
      <c r="I87" s="4" t="inlineStr">
        <is>
          <t>Learning discriminative functional connectivity networks for identifying Autism spectrum disorder</t>
        </is>
      </c>
      <c r="J87" s="4"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K87" s="4" t="inlineStr">
        <is>
          <t>Supervised</t>
        </is>
      </c>
      <c r="L87" s="4" t="inlineStr">
        <is>
          <t>Other / Not clear</t>
        </is>
      </c>
      <c r="M87" s="4" t="inlineStr">
        <is>
          <t>Classification (ASD vs control / multi-class)</t>
        </is>
      </c>
      <c r="N87" s="4" t="inlineStr">
        <is>
          <t>Diagnosis</t>
        </is>
      </c>
      <c r="O87" s="4" t="inlineStr">
        <is>
          <t>Medium</t>
        </is>
      </c>
      <c r="P87" s="4" t="n">
        <v>1</v>
      </c>
      <c r="Q87" s="4" t="n">
        <v>0</v>
      </c>
      <c r="R87" s="4" t="n">
        <v>0</v>
      </c>
      <c r="S87" s="4" t="n">
        <v>0</v>
      </c>
      <c r="T87" s="4" t="n">
        <v>0</v>
      </c>
      <c r="U87" s="4" t="n">
        <v>0</v>
      </c>
      <c r="V87" s="4" t="n">
        <v>0</v>
      </c>
      <c r="W87" s="4" t="n">
        <v>0</v>
      </c>
      <c r="X87" s="4" t="n">
        <v>0</v>
      </c>
      <c r="Y87" s="4" t="n">
        <v>1</v>
      </c>
      <c r="Z87" s="4" t="n">
        <v>0</v>
      </c>
      <c r="AA87" s="4" t="n">
        <v>0</v>
      </c>
      <c r="AB87" s="4" t="inlineStr">
        <is>
          <t>1900-01-01</t>
        </is>
      </c>
      <c r="AC87" s="4" t="n">
        <v>0</v>
      </c>
      <c r="AD87" s="4" t="n">
        <v>0</v>
      </c>
      <c r="AE87" s="4" t="n">
        <v>0</v>
      </c>
      <c r="AF87" s="4" t="n">
        <v>0</v>
      </c>
      <c r="AG87" s="4" t="n">
        <v>1</v>
      </c>
      <c r="AH87" s="4" t="n">
        <v>1</v>
      </c>
      <c r="AI87" s="4" t="n"/>
      <c r="AJ87" s="4" t="n"/>
      <c r="AK87" s="4" t="inlineStr">
        <is>
          <t>multisite_dataset_broad</t>
        </is>
      </c>
      <c r="AL87" s="4" t="inlineStr">
        <is>
          <t>Algoritmo principal no explícito o fuera del codebook; Confirmar algoritmo principal en full-text</t>
        </is>
      </c>
      <c r="AM87" s="4" t="inlineStr">
        <is>
          <t>RA</t>
        </is>
      </c>
      <c r="AN87" s="4" t="inlineStr">
        <is>
          <t>Tomado completo desde archivo RA según asignación</t>
        </is>
      </c>
      <c r="AO87" s="4" t="n">
        <v>0</v>
      </c>
      <c r="AP87" s="4" t="n">
        <v>0</v>
      </c>
      <c r="AQ87" s="4" t="n">
        <v>1</v>
      </c>
      <c r="AR87" s="4" t="n">
        <v>0</v>
      </c>
      <c r="AS87" s="4" t="n">
        <v>0</v>
      </c>
      <c r="AT87" s="4" t="n">
        <v>0</v>
      </c>
      <c r="AU87" s="4" t="n">
        <v>0</v>
      </c>
      <c r="AV87" s="4" t="n">
        <v>0</v>
      </c>
      <c r="AW87" s="4" t="inlineStr">
        <is>
          <t>finalized_from_available_evidence</t>
        </is>
      </c>
      <c r="AX87" s="4" t="inlineStr">
        <is>
          <t>0 means no reported evidence in title/abstract/notes/coding; it is not proof of true absence.</t>
        </is>
      </c>
    </row>
    <row r="88" ht="409" customHeight="1">
      <c r="A88" s="4" t="n">
        <v>87</v>
      </c>
      <c r="B88" s="4" t="n">
        <v>94</v>
      </c>
      <c r="C88" s="4" t="inlineStr">
        <is>
          <t>Revisor A</t>
        </is>
      </c>
      <c r="D88" s="4" t="inlineStr">
        <is>
          <t>RA</t>
        </is>
      </c>
      <c r="E88" s="4" t="n">
        <v>2023</v>
      </c>
      <c r="F88" s="4" t="inlineStr">
        <is>
          <t>No especificado</t>
        </is>
      </c>
      <c r="G88" s="4" t="inlineStr">
        <is>
          <t>Deep Learning</t>
        </is>
      </c>
      <c r="H88" s="4" t="inlineStr">
        <is>
          <t>https://doi.org/10.1016/j.ibmed.2023.100102</t>
        </is>
      </c>
      <c r="I88" s="4" t="inlineStr">
        <is>
          <t>Optimizing a de novo artificial intelligence-based medical device under a predetermined change control plan: Improved ability to detect or rule out pediatric autism</t>
        </is>
      </c>
      <c r="J88" s="4" t="inlineStr">
        <is>
          <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t>
        </is>
      </c>
      <c r="K88" s="4" t="inlineStr">
        <is>
          <t>Supervised</t>
        </is>
      </c>
      <c r="L88" s="4" t="inlineStr">
        <is>
          <t>Other / Not clear</t>
        </is>
      </c>
      <c r="M88" s="4" t="inlineStr">
        <is>
          <t>Classification (ASD vs control / multi-class)</t>
        </is>
      </c>
      <c r="N88" s="4" t="inlineStr">
        <is>
          <t>Screening</t>
        </is>
      </c>
      <c r="O88" s="4" t="inlineStr">
        <is>
          <t>Medium</t>
        </is>
      </c>
      <c r="P88" s="4" t="n">
        <v>0</v>
      </c>
      <c r="Q88" s="4" t="n">
        <v>0</v>
      </c>
      <c r="R88" s="4" t="n">
        <v>0</v>
      </c>
      <c r="S88" s="4" t="n">
        <v>0</v>
      </c>
      <c r="T88" s="4" t="n">
        <v>1</v>
      </c>
      <c r="U88" s="4" t="n">
        <v>0</v>
      </c>
      <c r="V88" s="4" t="n">
        <v>0</v>
      </c>
      <c r="W88" s="4" t="n">
        <v>0</v>
      </c>
      <c r="X88" s="4" t="n">
        <v>1</v>
      </c>
      <c r="Y88" s="4" t="n">
        <v>0</v>
      </c>
      <c r="Z88" s="4" t="n">
        <v>0</v>
      </c>
      <c r="AA88" s="4" t="n">
        <v>0</v>
      </c>
      <c r="AB88" s="4" t="inlineStr">
        <is>
          <t>1900-01-01</t>
        </is>
      </c>
      <c r="AC88" s="4" t="n">
        <v>0</v>
      </c>
      <c r="AD88" s="4" t="n">
        <v>0</v>
      </c>
      <c r="AE88" s="4" t="n">
        <v>0</v>
      </c>
      <c r="AF88" s="4" t="n">
        <v>0</v>
      </c>
      <c r="AG88" s="4" t="n">
        <v>1</v>
      </c>
      <c r="AH88" s="4" t="n">
        <v>1</v>
      </c>
      <c r="AI88" s="4" t="n"/>
      <c r="AJ88" s="4" t="n"/>
      <c r="AK88" s="4" t="inlineStr">
        <is>
          <t>internal_validation_only</t>
        </is>
      </c>
      <c r="AL88" s="4" t="inlineStr">
        <is>
          <t>Algoritmo principal no explícito o fuera del codebook; Confirmar algoritmo principal en full-text</t>
        </is>
      </c>
      <c r="AM88" s="4" t="inlineStr">
        <is>
          <t>RA</t>
        </is>
      </c>
      <c r="AN88" s="4" t="inlineStr">
        <is>
          <t>Tomado completo desde archivo RA según asignación</t>
        </is>
      </c>
      <c r="AO88" s="4" t="n">
        <v>0</v>
      </c>
      <c r="AP88" s="4" t="n">
        <v>0</v>
      </c>
      <c r="AQ88" s="4" t="n">
        <v>0</v>
      </c>
      <c r="AR88" s="4" t="n">
        <v>1</v>
      </c>
      <c r="AS88" s="4" t="n">
        <v>0</v>
      </c>
      <c r="AT88" s="4" t="n">
        <v>0</v>
      </c>
      <c r="AU88" s="4" t="n">
        <v>0</v>
      </c>
      <c r="AV88" s="4" t="n">
        <v>0</v>
      </c>
      <c r="AW88" s="4" t="inlineStr">
        <is>
          <t>finalized_from_available_evidence</t>
        </is>
      </c>
      <c r="AX88" s="4" t="inlineStr">
        <is>
          <t>0 means no reported evidence in title/abstract/notes/coding; it is not proof of true absence.</t>
        </is>
      </c>
    </row>
    <row r="89" ht="409" customHeight="1">
      <c r="A89" s="4" t="n">
        <v>88</v>
      </c>
      <c r="B89" s="4" t="n">
        <v>95</v>
      </c>
      <c r="C89" s="4" t="inlineStr">
        <is>
          <t>Ambos (piloto)</t>
        </is>
      </c>
      <c r="D89" s="4" t="inlineStr">
        <is>
          <t>RA</t>
        </is>
      </c>
      <c r="E89" s="4" t="n">
        <v>2024</v>
      </c>
      <c r="F89" s="4" t="inlineStr">
        <is>
          <t>Texto · NLP</t>
        </is>
      </c>
      <c r="G89" s="4" t="inlineStr">
        <is>
          <t>Deep Learning</t>
        </is>
      </c>
      <c r="H89" s="4" t="inlineStr">
        <is>
          <t>https://doi.org/10.2196/54706</t>
        </is>
      </c>
      <c r="I89" s="4" t="inlineStr">
        <is>
          <t>Physician Versus Large Language Model Chatbot Responses to Web-Based Questions From Autistic Patients in Chinese: Cross-Sectional Comparative Analysis</t>
        </is>
      </c>
      <c r="J89" s="4" t="inlineStr">
        <is>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t>
        </is>
      </c>
      <c r="K89" s="4" t="inlineStr">
        <is>
          <t>Supervised</t>
        </is>
      </c>
      <c r="L89" s="4" t="inlineStr">
        <is>
          <t>Transformer</t>
        </is>
      </c>
      <c r="M89" s="4" t="inlineStr">
        <is>
          <t>Other / Not clear</t>
        </is>
      </c>
      <c r="N89" s="4" t="inlineStr">
        <is>
          <t>Monitoring/intervention</t>
        </is>
      </c>
      <c r="O89" s="4" t="inlineStr">
        <is>
          <t>High</t>
        </is>
      </c>
      <c r="P89" s="4" t="n">
        <v>0</v>
      </c>
      <c r="Q89" s="4" t="n">
        <v>0</v>
      </c>
      <c r="R89" s="4" t="n">
        <v>0</v>
      </c>
      <c r="S89" s="4" t="n">
        <v>0</v>
      </c>
      <c r="T89" s="4" t="n">
        <v>1</v>
      </c>
      <c r="U89" s="4" t="n">
        <v>0</v>
      </c>
      <c r="V89" s="4" t="n">
        <v>0</v>
      </c>
      <c r="W89" s="4" t="n">
        <v>0</v>
      </c>
      <c r="X89" s="4" t="n">
        <v>0</v>
      </c>
      <c r="Y89" s="4" t="n">
        <v>0</v>
      </c>
      <c r="Z89" s="4" t="n">
        <v>0</v>
      </c>
      <c r="AA89" s="4" t="n">
        <v>0</v>
      </c>
      <c r="AB89" s="4" t="inlineStr">
        <is>
          <t>1900-01-01</t>
        </is>
      </c>
      <c r="AC89" s="4" t="n">
        <v>0</v>
      </c>
      <c r="AD89" s="4" t="n">
        <v>0</v>
      </c>
      <c r="AE89" s="4" t="n">
        <v>0</v>
      </c>
      <c r="AF89" s="4" t="n">
        <v>0</v>
      </c>
      <c r="AG89" s="4" t="n">
        <v>1</v>
      </c>
      <c r="AH89" s="4" t="n">
        <v>1</v>
      </c>
      <c r="AI89" s="4" t="inlineStr">
        <is>
          <t>text / NLP</t>
        </is>
      </c>
      <c r="AJ89" s="4" t="n"/>
      <c r="AK89" s="4" t="inlineStr">
        <is>
          <t>none_reported</t>
        </is>
      </c>
      <c r="AL89" s="4" t="inlineStr">
        <is>
          <t>Compara respuestas de médicos vs LLMs a preguntas web; no mapea claramente a una etapa clínica RQ1.</t>
        </is>
      </c>
      <c r="AM89" s="4" t="inlineStr">
        <is>
          <t>RA</t>
        </is>
      </c>
      <c r="AN89" s="4" t="inlineStr">
        <is>
          <t>Tomado completo desde archivo RA según asignación</t>
        </is>
      </c>
      <c r="AO89" s="4" t="n">
        <v>0</v>
      </c>
      <c r="AP89" s="4" t="n">
        <v>0</v>
      </c>
      <c r="AQ89" s="4" t="n">
        <v>0</v>
      </c>
      <c r="AR89" s="4" t="n">
        <v>0</v>
      </c>
      <c r="AS89" s="4" t="n">
        <v>0</v>
      </c>
      <c r="AT89" s="4" t="n">
        <v>0</v>
      </c>
      <c r="AU89" s="4" t="n">
        <v>0</v>
      </c>
      <c r="AV89" s="4" t="n">
        <v>0</v>
      </c>
      <c r="AW89" s="4" t="inlineStr">
        <is>
          <t>finalized_from_available_evidence</t>
        </is>
      </c>
      <c r="AX89" s="4" t="inlineStr">
        <is>
          <t>0 means no reported evidence in title/abstract/notes/coding; it is not proof of true absence.</t>
        </is>
      </c>
    </row>
    <row r="90" ht="385" customHeight="1">
      <c r="A90" s="4" t="n">
        <v>89</v>
      </c>
      <c r="B90" s="4" t="n">
        <v>96</v>
      </c>
      <c r="C90" s="4" t="inlineStr">
        <is>
          <t>Revisor B</t>
        </is>
      </c>
      <c r="D90" s="4" t="n"/>
      <c r="E90" s="4" t="n">
        <v>2019</v>
      </c>
      <c r="F90" s="4" t="inlineStr">
        <is>
          <t>No especificado</t>
        </is>
      </c>
      <c r="G90" s="4" t="inlineStr">
        <is>
          <t>Híbrido</t>
        </is>
      </c>
      <c r="H90" s="4" t="inlineStr">
        <is>
          <t>https://doi.org/10.1016/j.envres.2018.12.061</t>
        </is>
      </c>
      <c r="I90" s="4" t="inlineStr">
        <is>
          <t>Polychlorinated biphenyls influence on autism spectrum disorder risk in the MARBLES cohort</t>
        </is>
      </c>
      <c r="J90" s="4" t="inlineStr">
        <is>
          <t>Background: Autism spectrum disorder (ASD) is suspected to have environmental and genetic contributions. Polychlorinated biphenyls (PCBs) are environmental risk factors of interest due to their potential as neurodevelopmental toxicants and environmental persistence despite a US production ban in the 1970s. Methods: Participants were mother-child pairs from MARBLES, a high-risk pregnancy cohort that enrolls families who have one child diagnosed with ASD and are planning to have another child. PCB concentrations were measured in maternal blood at each trimester of pregnancy using gas chromatography coupled with triple quadruple mass spectrometry. Concentrations were summed into total PCB and two categories based on function/mechanisms of action: dioxin-like (DL), and ryanodine receptor (RyR)-activating PCBs. Multinomial logistic regression assessed risk of clinical outcome classification of ASD and non-typical development (Non-TD) compared to typically developing (TD) in the children at 3 years old. Results: A total of 104 mother-child pairs were included. There were no significant associations for total PCB; however, there were borderline significant associations between DL-PCBs and decreased risk for Non-TD outcome classification (adjusted OR: 0.41 (95% CI 0.15–1.14)) and between RyR-activating PCBs and increased risk for ASD outcome classification (adjusted OR: 2.63 (95% CI 0.87–7.97)). Conclusion: This study does not provide strong supporting evidence that PCBs are risk factors for ASD or Non-TD. However, these analyses suggest the need to explore more deeply into subsets of PCBs as risk factors based on their function and structure in larger cohort studies where non-monotonic dose-response patterns can be better evaluated.</t>
        </is>
      </c>
      <c r="K90" s="4" t="inlineStr">
        <is>
          <t>Other</t>
        </is>
      </c>
      <c r="L90" s="4" t="inlineStr">
        <is>
          <t>Logistic Regression</t>
        </is>
      </c>
      <c r="M90" s="4" t="inlineStr">
        <is>
          <t>Other</t>
        </is>
      </c>
      <c r="N90" s="4" t="inlineStr">
        <is>
          <t>Prognosis</t>
        </is>
      </c>
      <c r="O90" s="4" t="inlineStr">
        <is>
          <t>high</t>
        </is>
      </c>
      <c r="P90" s="4" t="n">
        <v>0</v>
      </c>
      <c r="Q90" s="4" t="n">
        <v>0</v>
      </c>
      <c r="R90" s="4" t="n">
        <v>1</v>
      </c>
      <c r="S90" s="4" t="n">
        <v>0</v>
      </c>
      <c r="T90" s="4" t="n">
        <v>1</v>
      </c>
      <c r="U90" s="4" t="n">
        <v>0</v>
      </c>
      <c r="V90" s="4" t="n">
        <v>0</v>
      </c>
      <c r="W90" s="4" t="n">
        <v>0</v>
      </c>
      <c r="X90" s="4" t="n">
        <v>1</v>
      </c>
      <c r="Y90" s="4" t="n">
        <v>1</v>
      </c>
      <c r="Z90" s="4" t="n">
        <v>0</v>
      </c>
      <c r="AA90" s="4" t="n">
        <v>0</v>
      </c>
      <c r="AB90" s="4" t="inlineStr">
        <is>
          <t>1900-01-01</t>
        </is>
      </c>
      <c r="AC90" s="4" t="n">
        <v>0</v>
      </c>
      <c r="AD90" s="4" t="n">
        <v>0</v>
      </c>
      <c r="AE90" s="4" t="n">
        <v>0</v>
      </c>
      <c r="AF90" s="4" t="n">
        <v>1</v>
      </c>
      <c r="AG90" s="4" t="n">
        <v>0</v>
      </c>
      <c r="AH90" s="4" t="n">
        <v>2</v>
      </c>
      <c r="AI90" s="4" t="n">
        <v>0</v>
      </c>
      <c r="AJ90" s="4" t="inlineStr">
        <is>
          <t>1900-01-01</t>
        </is>
      </c>
      <c r="AK90" s="4" t="inlineStr">
        <is>
          <t>multisource_integration</t>
        </is>
      </c>
      <c r="AL90" s="4" t="inlineStr">
        <is>
          <t>Epidemiologic multinomial logistic regression (not ML/AI). Outcome categories ASD / Non-TD / TD at 3 years</t>
        </is>
      </c>
      <c r="AM90" s="4" t="inlineStr">
        <is>
          <t>RB</t>
        </is>
      </c>
      <c r="AN90" s="4" t="inlineStr">
        <is>
          <t>Tomado completo desde archivo RB según asignación</t>
        </is>
      </c>
      <c r="AO90" s="4" t="n">
        <v>0</v>
      </c>
      <c r="AP90" s="4" t="n">
        <v>0</v>
      </c>
      <c r="AQ90" s="4" t="n">
        <v>0</v>
      </c>
      <c r="AR90" s="4" t="n">
        <v>0</v>
      </c>
      <c r="AS90" s="4" t="n">
        <v>0</v>
      </c>
      <c r="AT90" s="4" t="n">
        <v>0</v>
      </c>
      <c r="AU90" s="4" t="n">
        <v>0</v>
      </c>
      <c r="AV90" s="4" t="n">
        <v>1</v>
      </c>
      <c r="AW90" s="4" t="inlineStr">
        <is>
          <t>finalized_from_available_evidence</t>
        </is>
      </c>
      <c r="AX90" s="4" t="inlineStr">
        <is>
          <t>0 means no reported evidence in title/abstract/notes/coding; it is not proof of true absence.</t>
        </is>
      </c>
    </row>
    <row r="91" ht="190" customHeight="1">
      <c r="A91" s="4" t="n">
        <v>90</v>
      </c>
      <c r="B91" s="4" t="n">
        <v>97</v>
      </c>
      <c r="C91" s="4" t="inlineStr">
        <is>
          <t>Revisor B</t>
        </is>
      </c>
      <c r="D91" s="4" t="n"/>
      <c r="E91" s="4" t="n">
        <v>2020</v>
      </c>
      <c r="F91" s="4" t="inlineStr">
        <is>
          <t>Imagen</t>
        </is>
      </c>
      <c r="G91" s="4" t="inlineStr">
        <is>
          <t>Machine Learning</t>
        </is>
      </c>
      <c r="H91" s="4" t="inlineStr">
        <is>
          <t>https://doi.org/10.1109/EMBC44109.2020.9176843</t>
        </is>
      </c>
      <c r="I91" s="4" t="inlineStr">
        <is>
          <t>Predicting Core Characteristics of ASD Through Facial Emotion Recognition and Eye Tracking in Youth.</t>
        </is>
      </c>
      <c r="J91" s="4" t="inlineStr">
        <is>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is>
      </c>
      <c r="K91" s="4" t="inlineStr">
        <is>
          <t>Supervised</t>
        </is>
      </c>
      <c r="L91" s="4" t="inlineStr">
        <is>
          <t>Random Forest</t>
        </is>
      </c>
      <c r="M91" s="4" t="inlineStr">
        <is>
          <t>Regression (score / severity / risk)</t>
        </is>
      </c>
      <c r="N91" s="4" t="inlineStr">
        <is>
          <t>monitoring_intervention</t>
        </is>
      </c>
      <c r="O91" s="4" t="inlineStr">
        <is>
          <t>high</t>
        </is>
      </c>
      <c r="P91" s="4" t="n">
        <v>1</v>
      </c>
      <c r="Q91" s="4" t="n">
        <v>0</v>
      </c>
      <c r="R91" s="4" t="n">
        <v>0</v>
      </c>
      <c r="S91" s="4" t="n">
        <v>1</v>
      </c>
      <c r="T91" s="4" t="n">
        <v>0</v>
      </c>
      <c r="U91" s="4" t="n">
        <v>0</v>
      </c>
      <c r="V91" s="4" t="n">
        <v>0</v>
      </c>
      <c r="W91" s="4" t="n">
        <v>0</v>
      </c>
      <c r="X91" s="4" t="n">
        <v>0</v>
      </c>
      <c r="Y91" s="4" t="n">
        <v>0</v>
      </c>
      <c r="Z91" s="4" t="n">
        <v>0</v>
      </c>
      <c r="AA91" s="4" t="n">
        <v>1</v>
      </c>
      <c r="AB91" s="4" t="inlineStr">
        <is>
          <t>1900-01-01</t>
        </is>
      </c>
      <c r="AC91" s="4" t="n">
        <v>0</v>
      </c>
      <c r="AD91" s="4" t="n">
        <v>0</v>
      </c>
      <c r="AE91" s="4" t="n">
        <v>0</v>
      </c>
      <c r="AF91" s="4" t="n">
        <v>1</v>
      </c>
      <c r="AG91" s="4" t="n">
        <v>0</v>
      </c>
      <c r="AH91" s="4" t="n">
        <v>2</v>
      </c>
      <c r="AI91" s="4" t="n">
        <v>0</v>
      </c>
      <c r="AJ91" s="4" t="inlineStr">
        <is>
          <t>00:00:00</t>
        </is>
      </c>
      <c r="AK91" s="4" t="inlineStr">
        <is>
          <t>multisource_integration</t>
        </is>
      </c>
      <c r="AL91" s="4" t="inlineStr">
        <is>
          <t>aunque el paper comenta que el enfoque “may serve as a classifier for ASD diagnosis” y muestra ROC para clasificación, el pipeline principal reportado es regresión de puntajes; por eso conviene codificarlo como Regression</t>
        </is>
      </c>
      <c r="AM91" s="4" t="inlineStr">
        <is>
          <t>RB</t>
        </is>
      </c>
      <c r="AN91" s="4" t="inlineStr">
        <is>
          <t>Tomado completo desde archivo RB según asignación</t>
        </is>
      </c>
      <c r="AO91" s="4" t="n">
        <v>0</v>
      </c>
      <c r="AP91" s="4" t="n">
        <v>0</v>
      </c>
      <c r="AQ91" s="4" t="n">
        <v>0</v>
      </c>
      <c r="AR91" s="4" t="n">
        <v>0</v>
      </c>
      <c r="AS91" s="4" t="n">
        <v>0</v>
      </c>
      <c r="AT91" s="4" t="n">
        <v>0</v>
      </c>
      <c r="AU91" s="4" t="n">
        <v>0</v>
      </c>
      <c r="AV91" s="4" t="n">
        <v>1</v>
      </c>
      <c r="AW91" s="4" t="inlineStr">
        <is>
          <t>finalized_from_available_evidence</t>
        </is>
      </c>
      <c r="AX91" s="4" t="inlineStr">
        <is>
          <t>0 means no reported evidence in title/abstract/notes/coding; it is not proof of true absence.</t>
        </is>
      </c>
    </row>
    <row r="92" ht="398" customHeight="1">
      <c r="A92" s="4" t="n">
        <v>91</v>
      </c>
      <c r="B92" s="4" t="n">
        <v>98</v>
      </c>
      <c r="C92" s="4" t="inlineStr">
        <is>
          <t>Revisor A</t>
        </is>
      </c>
      <c r="D92" s="4" t="inlineStr">
        <is>
          <t>RA</t>
        </is>
      </c>
      <c r="E92" s="4" t="n">
        <v>2024</v>
      </c>
      <c r="F92" s="4" t="inlineStr">
        <is>
          <t>Señales fisiológicas</t>
        </is>
      </c>
      <c r="G92" s="4" t="inlineStr">
        <is>
          <t>Híbrido</t>
        </is>
      </c>
      <c r="H92" s="4" t="inlineStr">
        <is>
          <t>https://doi.org/10.1016/j.bspc.2024.106671</t>
        </is>
      </c>
      <c r="I92" s="4" t="inlineStr">
        <is>
          <t>Self-supervised machine learning approach for autism detection in young children using MEG signals</t>
        </is>
      </c>
      <c r="J92" s="4" t="inlineStr">
        <is>
          <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t>
        </is>
      </c>
      <c r="K92" s="4" t="inlineStr">
        <is>
          <t>Self-supervised</t>
        </is>
      </c>
      <c r="L92" s="4" t="inlineStr">
        <is>
          <t>Transformer</t>
        </is>
      </c>
      <c r="M92" s="4" t="inlineStr">
        <is>
          <t>Classification (ASD vs control / multi-class)</t>
        </is>
      </c>
      <c r="N92" s="4" t="inlineStr">
        <is>
          <t>Diagnosis</t>
        </is>
      </c>
      <c r="O92" s="4" t="inlineStr">
        <is>
          <t>High</t>
        </is>
      </c>
      <c r="P92" s="4" t="n">
        <v>0</v>
      </c>
      <c r="Q92" s="4" t="n">
        <v>1</v>
      </c>
      <c r="R92" s="4" t="n">
        <v>0</v>
      </c>
      <c r="S92" s="4" t="n">
        <v>0</v>
      </c>
      <c r="T92" s="4" t="n">
        <v>0</v>
      </c>
      <c r="U92" s="4" t="n">
        <v>0</v>
      </c>
      <c r="V92" s="4" t="n">
        <v>0</v>
      </c>
      <c r="W92" s="4" t="n">
        <v>0</v>
      </c>
      <c r="X92" s="4" t="n">
        <v>0</v>
      </c>
      <c r="Y92" s="4" t="n">
        <v>1</v>
      </c>
      <c r="Z92" s="4" t="n">
        <v>0</v>
      </c>
      <c r="AA92" s="4" t="n">
        <v>0</v>
      </c>
      <c r="AB92" s="4" t="inlineStr">
        <is>
          <t>1900-01-01</t>
        </is>
      </c>
      <c r="AC92" s="4" t="n">
        <v>0</v>
      </c>
      <c r="AD92" s="4" t="n">
        <v>0</v>
      </c>
      <c r="AE92" s="4" t="n">
        <v>0</v>
      </c>
      <c r="AF92" s="4" t="n">
        <v>0</v>
      </c>
      <c r="AG92" s="4" t="n">
        <v>1</v>
      </c>
      <c r="AH92" s="4" t="n">
        <v>1</v>
      </c>
      <c r="AI92" s="4" t="n"/>
      <c r="AJ92" s="4" t="n"/>
      <c r="AK92" s="4" t="inlineStr">
        <is>
          <t>none_reported</t>
        </is>
      </c>
      <c r="AL92" s="4" t="inlineStr">
        <is>
          <t>SSL con wav2vec 2.0 para extraer embeddings MEG; clasificación final con ANN/SVM.</t>
        </is>
      </c>
      <c r="AM92" s="4" t="inlineStr">
        <is>
          <t>RA</t>
        </is>
      </c>
      <c r="AN92" s="4" t="inlineStr">
        <is>
          <t>Tomado completo desde archivo RA según asignación</t>
        </is>
      </c>
      <c r="AO92" s="4" t="n">
        <v>0</v>
      </c>
      <c r="AP92" s="4" t="n">
        <v>0</v>
      </c>
      <c r="AQ92" s="4" t="n">
        <v>0</v>
      </c>
      <c r="AR92" s="4" t="n">
        <v>0</v>
      </c>
      <c r="AS92" s="4" t="n">
        <v>0</v>
      </c>
      <c r="AT92" s="4" t="n">
        <v>0</v>
      </c>
      <c r="AU92" s="4" t="n">
        <v>0</v>
      </c>
      <c r="AV92" s="4" t="n">
        <v>0</v>
      </c>
      <c r="AW92" s="4" t="inlineStr">
        <is>
          <t>finalized_from_available_evidence</t>
        </is>
      </c>
      <c r="AX92" s="4" t="inlineStr">
        <is>
          <t>0 means no reported evidence in title/abstract/notes/coding; it is not proof of true absence.</t>
        </is>
      </c>
    </row>
    <row r="93" ht="281" customHeight="1">
      <c r="A93" s="4" t="n">
        <v>92</v>
      </c>
      <c r="B93" s="4" t="n">
        <v>99</v>
      </c>
      <c r="C93" s="4" t="inlineStr">
        <is>
          <t>Revisor A</t>
        </is>
      </c>
      <c r="D93" s="4" t="inlineStr">
        <is>
          <t>RA</t>
        </is>
      </c>
      <c r="E93" s="4" t="n">
        <v>2014</v>
      </c>
      <c r="F93" s="4" t="inlineStr">
        <is>
          <t>No especificado</t>
        </is>
      </c>
      <c r="G93" s="4" t="inlineStr">
        <is>
          <t>Deep Learning</t>
        </is>
      </c>
      <c r="H93" s="4" t="inlineStr">
        <is>
          <t>https://doi.org/10.1016/j.ijdevneu.2014.06.013</t>
        </is>
      </c>
      <c r="I93" s="4" t="inlineStr">
        <is>
          <t>Serum Brain-derived neurotrophic factor levels in Chinese children with autism spectrum disorders: A pilot study</t>
        </is>
      </c>
      <c r="J93" s="4" t="inlineStr">
        <is>
          <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t>
        </is>
      </c>
      <c r="K93" s="4" t="inlineStr">
        <is>
          <t>Other / Not clear</t>
        </is>
      </c>
      <c r="L93" s="4" t="inlineStr">
        <is>
          <t>Other / Not clear</t>
        </is>
      </c>
      <c r="M93" s="4" t="inlineStr">
        <is>
          <t>Other / Not clear</t>
        </is>
      </c>
      <c r="N93" s="4" t="inlineStr">
        <is>
          <t>Not clear</t>
        </is>
      </c>
      <c r="O93" s="4" t="inlineStr">
        <is>
          <t>High</t>
        </is>
      </c>
      <c r="P93" s="4" t="n">
        <v>0</v>
      </c>
      <c r="Q93" s="4" t="n">
        <v>0</v>
      </c>
      <c r="R93" s="4" t="n">
        <v>0</v>
      </c>
      <c r="S93" s="4" t="n">
        <v>0</v>
      </c>
      <c r="T93" s="4" t="n">
        <v>0</v>
      </c>
      <c r="U93" s="4" t="n">
        <v>1</v>
      </c>
      <c r="V93" s="4" t="n">
        <v>0</v>
      </c>
      <c r="W93" s="4" t="n">
        <v>0</v>
      </c>
      <c r="X93" s="4" t="n">
        <v>0</v>
      </c>
      <c r="Y93" s="4" t="n">
        <v>0</v>
      </c>
      <c r="Z93" s="4" t="n">
        <v>0</v>
      </c>
      <c r="AA93" s="4" t="n">
        <v>0</v>
      </c>
      <c r="AB93" s="4" t="inlineStr">
        <is>
          <t>00:00:00</t>
        </is>
      </c>
      <c r="AC93" s="4" t="n">
        <v>0</v>
      </c>
      <c r="AD93" s="4" t="n">
        <v>0</v>
      </c>
      <c r="AE93" s="4" t="n">
        <v>0</v>
      </c>
      <c r="AF93" s="4" t="n">
        <v>0</v>
      </c>
      <c r="AG93" s="4" t="n">
        <v>1</v>
      </c>
      <c r="AH93" s="4" t="n">
        <v>1</v>
      </c>
      <c r="AI93" s="4" t="n"/>
      <c r="AJ93" s="4" t="inlineStr">
        <is>
          <t>00:00:00</t>
        </is>
      </c>
      <c r="AK93" s="4" t="inlineStr">
        <is>
          <t>none_reported</t>
        </is>
      </c>
      <c r="AL93" s="4" t="inlineStr">
        <is>
          <t>Estudio de biomarcador sérico (BDNF) con ROC; no se describe algoritmo de IA/ML principal.</t>
        </is>
      </c>
      <c r="AM93" s="4" t="inlineStr">
        <is>
          <t>RA</t>
        </is>
      </c>
      <c r="AN93" s="4" t="inlineStr">
        <is>
          <t>Tomado completo desde archivo RA según asignación</t>
        </is>
      </c>
      <c r="AO93" s="4" t="n">
        <v>0</v>
      </c>
      <c r="AP93" s="4" t="n">
        <v>0</v>
      </c>
      <c r="AQ93" s="4" t="n">
        <v>0</v>
      </c>
      <c r="AR93" s="4" t="n">
        <v>0</v>
      </c>
      <c r="AS93" s="4" t="n">
        <v>0</v>
      </c>
      <c r="AT93" s="4" t="n">
        <v>0</v>
      </c>
      <c r="AU93" s="4" t="n">
        <v>0</v>
      </c>
      <c r="AV93" s="4" t="n">
        <v>0</v>
      </c>
      <c r="AW93" s="4" t="inlineStr">
        <is>
          <t>finalized_from_available_evidence</t>
        </is>
      </c>
      <c r="AX93" s="4" t="inlineStr">
        <is>
          <t>0 means no reported evidence in title/abstract/notes/coding; it is not proof of true absence.</t>
        </is>
      </c>
    </row>
    <row r="94" ht="409" customHeight="1">
      <c r="A94" s="4" t="n">
        <v>93</v>
      </c>
      <c r="B94" s="4" t="n">
        <v>100</v>
      </c>
      <c r="C94" s="4" t="inlineStr">
        <is>
          <t>Revisor A</t>
        </is>
      </c>
      <c r="D94" s="4" t="inlineStr">
        <is>
          <t>RA</t>
        </is>
      </c>
      <c r="E94" s="4" t="n">
        <v>2025</v>
      </c>
      <c r="F94" s="4" t="inlineStr">
        <is>
          <t>Señales fisiológicas</t>
        </is>
      </c>
      <c r="G94" s="4" t="inlineStr">
        <is>
          <t>Deep Learning</t>
        </is>
      </c>
      <c r="H94" s="4" t="inlineStr">
        <is>
          <t>https://doi.org/10.1111/cns.70562</t>
        </is>
      </c>
      <c r="I94" s="4" t="inlineStr">
        <is>
          <t>Sex Differences in Functional Gradients and Dynamic Functional Connectivity in Preschool-Aged Children With ASD</t>
        </is>
      </c>
      <c r="J94" s="4" t="inlineStr">
        <is>
          <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t>
        </is>
      </c>
      <c r="K94" s="4" t="inlineStr">
        <is>
          <t>Supervised</t>
        </is>
      </c>
      <c r="L94" s="4" t="inlineStr">
        <is>
          <t>Other / Not clear</t>
        </is>
      </c>
      <c r="M94" s="4" t="inlineStr">
        <is>
          <t>Classification (ASD vs control / multi-class)</t>
        </is>
      </c>
      <c r="N94" s="4" t="inlineStr">
        <is>
          <t>Diagnosis</t>
        </is>
      </c>
      <c r="O94" s="4" t="inlineStr">
        <is>
          <t>Medium</t>
        </is>
      </c>
      <c r="P94" s="4" t="n">
        <v>1</v>
      </c>
      <c r="Q94" s="4" t="n">
        <v>0</v>
      </c>
      <c r="R94" s="4" t="n">
        <v>0</v>
      </c>
      <c r="S94" s="4" t="n">
        <v>0</v>
      </c>
      <c r="T94" s="4" t="n">
        <v>0</v>
      </c>
      <c r="U94" s="4" t="n">
        <v>0</v>
      </c>
      <c r="V94" s="4" t="n">
        <v>0</v>
      </c>
      <c r="W94" s="4" t="n">
        <v>0</v>
      </c>
      <c r="X94" s="4" t="n">
        <v>0</v>
      </c>
      <c r="Y94" s="4" t="n">
        <v>1</v>
      </c>
      <c r="Z94" s="4" t="n">
        <v>0</v>
      </c>
      <c r="AA94" s="4" t="n">
        <v>0</v>
      </c>
      <c r="AB94" s="4" t="inlineStr">
        <is>
          <t>00:00:00</t>
        </is>
      </c>
      <c r="AC94" s="4" t="n">
        <v>0</v>
      </c>
      <c r="AD94" s="4" t="n">
        <v>0</v>
      </c>
      <c r="AE94" s="4" t="n">
        <v>0</v>
      </c>
      <c r="AF94" s="4" t="n">
        <v>0</v>
      </c>
      <c r="AG94" s="4" t="n">
        <v>1</v>
      </c>
      <c r="AH94" s="4" t="n">
        <v>1</v>
      </c>
      <c r="AI94" s="4" t="n"/>
      <c r="AJ94" s="4" t="n"/>
      <c r="AK94" s="4" t="inlineStr">
        <is>
          <t>none_reported</t>
        </is>
      </c>
      <c r="AL94" s="4" t="inlineStr">
        <is>
          <t>Se aplican múltiples modelos ML a características de conectividad/gradientes; algoritmo principal no especificado.</t>
        </is>
      </c>
      <c r="AM94" s="4" t="inlineStr">
        <is>
          <t>RA</t>
        </is>
      </c>
      <c r="AN94" s="4" t="inlineStr">
        <is>
          <t>Tomado completo desde archivo RA según asignación</t>
        </is>
      </c>
      <c r="AO94" s="4" t="n">
        <v>0</v>
      </c>
      <c r="AP94" s="4" t="n">
        <v>0</v>
      </c>
      <c r="AQ94" s="4" t="n">
        <v>0</v>
      </c>
      <c r="AR94" s="4" t="n">
        <v>0</v>
      </c>
      <c r="AS94" s="4" t="n">
        <v>0</v>
      </c>
      <c r="AT94" s="4" t="n">
        <v>0</v>
      </c>
      <c r="AU94" s="4" t="n">
        <v>0</v>
      </c>
      <c r="AV94" s="4" t="n">
        <v>0</v>
      </c>
      <c r="AW94" s="4" t="inlineStr">
        <is>
          <t>finalized_from_available_evidence</t>
        </is>
      </c>
      <c r="AX94" s="4" t="inlineStr">
        <is>
          <t>0 means no reported evidence in title/abstract/notes/coding; it is not proof of true absence.</t>
        </is>
      </c>
    </row>
    <row r="95" ht="409" customHeight="1">
      <c r="A95" s="4" t="n">
        <v>94</v>
      </c>
      <c r="B95" s="4" t="n">
        <v>102</v>
      </c>
      <c r="C95" s="4" t="inlineStr">
        <is>
          <t>Revisor A</t>
        </is>
      </c>
      <c r="D95" s="4" t="inlineStr">
        <is>
          <t>RA</t>
        </is>
      </c>
      <c r="E95" s="4" t="n">
        <v>2020</v>
      </c>
      <c r="F95" s="4" t="inlineStr">
        <is>
          <t>Imagen</t>
        </is>
      </c>
      <c r="G95" s="4" t="inlineStr">
        <is>
          <t>Deep Learning</t>
        </is>
      </c>
      <c r="H95" s="4" t="inlineStr">
        <is>
          <t>https://doi.org/10.2196/13810</t>
        </is>
      </c>
      <c r="I95" s="4" t="inlineStr">
        <is>
          <t>Toward continuous social phenotyping: Analyzing gaze patterns in an emotion recognition task for children with autism through wearable smart glasses</t>
        </is>
      </c>
      <c r="J95" s="4" t="inlineStr">
        <is>
          <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t>
        </is>
      </c>
      <c r="K95" s="4" t="inlineStr">
        <is>
          <t>Supervised</t>
        </is>
      </c>
      <c r="L95" s="4" t="inlineStr">
        <is>
          <t>Other / Not clear</t>
        </is>
      </c>
      <c r="M95" s="4" t="inlineStr">
        <is>
          <t>Classification (ASD vs control / multi-class)</t>
        </is>
      </c>
      <c r="N95" s="4" t="inlineStr">
        <is>
          <t>Screening</t>
        </is>
      </c>
      <c r="O95" s="4" t="inlineStr">
        <is>
          <t>Medium</t>
        </is>
      </c>
      <c r="P95" s="4" t="n">
        <v>0</v>
      </c>
      <c r="Q95" s="4" t="n">
        <v>1</v>
      </c>
      <c r="R95" s="4" t="n">
        <v>1</v>
      </c>
      <c r="S95" s="4" t="n">
        <v>0</v>
      </c>
      <c r="T95" s="4" t="n">
        <v>0</v>
      </c>
      <c r="U95" s="4" t="n">
        <v>0</v>
      </c>
      <c r="V95" s="4" t="n">
        <v>1</v>
      </c>
      <c r="W95" s="4" t="n">
        <v>0</v>
      </c>
      <c r="X95" s="4" t="n">
        <v>1</v>
      </c>
      <c r="Y95" s="4" t="n">
        <v>0</v>
      </c>
      <c r="Z95" s="4" t="n">
        <v>0</v>
      </c>
      <c r="AA95" s="4" t="n">
        <v>0</v>
      </c>
      <c r="AB95" s="4" t="inlineStr">
        <is>
          <t>1900-01-01</t>
        </is>
      </c>
      <c r="AC95" s="4" t="n">
        <v>0</v>
      </c>
      <c r="AD95" s="4" t="n">
        <v>0</v>
      </c>
      <c r="AE95" s="4" t="n">
        <v>0</v>
      </c>
      <c r="AF95" s="4" t="n">
        <v>1</v>
      </c>
      <c r="AG95" s="4" t="n">
        <v>1</v>
      </c>
      <c r="AH95" s="4" t="n">
        <v>3</v>
      </c>
      <c r="AI95" s="4" t="inlineStr">
        <is>
          <t>wearable glasses</t>
        </is>
      </c>
      <c r="AJ95" s="4" t="n"/>
      <c r="AK95" s="4" t="inlineStr">
        <is>
          <t>multisource_integration</t>
        </is>
      </c>
      <c r="AL95" s="4" t="inlineStr">
        <is>
          <t>Algoritmo principal no explícito o fuera del codebook; Confirmar algoritmo principal en full-text; Se comparan varios modelos; se eligió el principal/mejor reportado</t>
        </is>
      </c>
      <c r="AM95" s="4" t="inlineStr">
        <is>
          <t>RA</t>
        </is>
      </c>
      <c r="AN95" s="4" t="inlineStr">
        <is>
          <t>Tomado completo desde archivo RA según asignación</t>
        </is>
      </c>
      <c r="AO95" s="4" t="n">
        <v>0</v>
      </c>
      <c r="AP95" s="4" t="n">
        <v>0</v>
      </c>
      <c r="AQ95" s="4" t="n">
        <v>0</v>
      </c>
      <c r="AR95" s="4" t="n">
        <v>0</v>
      </c>
      <c r="AS95" s="4" t="n">
        <v>0</v>
      </c>
      <c r="AT95" s="4" t="n">
        <v>0</v>
      </c>
      <c r="AU95" s="4" t="n">
        <v>0</v>
      </c>
      <c r="AV95" s="4" t="n">
        <v>1</v>
      </c>
      <c r="AW95" s="4" t="inlineStr">
        <is>
          <t>finalized_from_available_evidence</t>
        </is>
      </c>
      <c r="AX95" s="4" t="inlineStr">
        <is>
          <t>0 means no reported evidence in title/abstract/notes/coding; it is not proof of true absence.</t>
        </is>
      </c>
    </row>
    <row r="96" ht="409" customHeight="1">
      <c r="A96" s="4" t="n">
        <v>95</v>
      </c>
      <c r="B96" s="4" t="n">
        <v>103</v>
      </c>
      <c r="C96" s="4" t="inlineStr">
        <is>
          <t>Revisor B</t>
        </is>
      </c>
      <c r="D96" s="4" t="n"/>
      <c r="E96" s="4" t="n">
        <v>2018</v>
      </c>
      <c r="F96" s="4" t="inlineStr">
        <is>
          <t>Multimodal</t>
        </is>
      </c>
      <c r="G96" s="4" t="inlineStr">
        <is>
          <t>Deep Learning</t>
        </is>
      </c>
      <c r="H96" s="4" t="inlineStr">
        <is>
          <t>https://doi.org/10.1002/AUR.1960</t>
        </is>
      </c>
      <c r="I96" s="4" t="inlineStr">
        <is>
          <t>Using machine learning to identify patterns of lifetime health problems in decedents with autism spectrum disorder</t>
        </is>
      </c>
      <c r="J96" s="4" t="inlineStr">
        <is>
          <t>Very little is known about the health problems experienced by individuals with autism spectrum disorder (ASD) throughout their life course. We retrospectively analyzed diagnostic codes associated with de-identified electronic health records using a machine learning algorithm to characterize diagnostic patterns in decedents with ASD and matched decedent community controls. Participants were 91 decedents with ASD and 6,186 sex and birth year matched decedent community controls who had died since 1979, the majority of whom were middle aged or older adults at the time of their death. We analyzed all ICD-9 codes, V-codes, and E-codes available in the electronic health record and Elixhauser comorbidity categories associated with those codes. Diagnostic patterns distinguished decedents with ASD from decedent community controls with 75% sensitivity and 94% specificity solely based on their lifetime ICD-9 codes, V-codes, and E-codes. Decedents with ASD had higher rates of most conditions, including cardiovascular disease, motor problems, ear problems, urinary problems, digestive problems, side effects from long-term medication use, and nonspecific lab tests and encounters. In contrast, decedents with ASD had lower rates of cancer. Findings suggest distinctive lifetime diagnostic patterns among decedents with ASD and highlight the need for more research on health outcomes across the lifespan as the population of individuals with ASD ages. As a large wave of individuals with ASD diagnosed in the 1990s enters adulthood and middle age, knowledge about lifetime health problems will become increasingly important for care and prevention efforts. Autism Res 2018, 11: 1120–1128. © 2018 International Society for Autism Research, Wiley Periodicals, Inc. Lay Summary: This study looked at patterns of lifetime health problems to find differences between people with autism who had died and community controls who had died. People with autism had higher rates of most health problems, including cardiovascular, urinary, respiratory, digestive, and motor problems, in their electronic health records. They also had lower rates of cancer. More research is needed to understand these potential health risks as a large number of individuals with autism enter adulthood and middle age.</t>
        </is>
      </c>
      <c r="K96" s="4" t="inlineStr">
        <is>
          <t>Supervised</t>
        </is>
      </c>
      <c r="L96" s="4" t="inlineStr">
        <is>
          <t>Random Forest</t>
        </is>
      </c>
      <c r="M96" s="4" t="inlineStr">
        <is>
          <t>Classification (binary/multi-class; incl. ASD vs control)/ multi-class)</t>
        </is>
      </c>
      <c r="N96" s="4" t="inlineStr">
        <is>
          <t>Monitoring/intervention</t>
        </is>
      </c>
      <c r="O96" s="4" t="inlineStr">
        <is>
          <t>high</t>
        </is>
      </c>
      <c r="P96" s="4" t="n">
        <v>1</v>
      </c>
      <c r="Q96" s="4" t="n">
        <v>0</v>
      </c>
      <c r="R96" s="4" t="n">
        <v>0</v>
      </c>
      <c r="S96" s="4" t="n">
        <v>0</v>
      </c>
      <c r="T96" s="4" t="n">
        <v>0</v>
      </c>
      <c r="U96" s="4" t="n">
        <v>0</v>
      </c>
      <c r="V96" s="4" t="n">
        <v>0</v>
      </c>
      <c r="W96" s="4" t="n">
        <v>0</v>
      </c>
      <c r="X96" s="4" t="n">
        <v>0</v>
      </c>
      <c r="Y96" s="4" t="n">
        <v>0</v>
      </c>
      <c r="Z96" s="4" t="n">
        <v>0</v>
      </c>
      <c r="AA96" s="4" t="n">
        <v>0</v>
      </c>
      <c r="AB96" s="4" t="inlineStr">
        <is>
          <t>1900-01-01</t>
        </is>
      </c>
      <c r="AC96" s="4" t="n">
        <v>0</v>
      </c>
      <c r="AD96" s="4" t="n">
        <v>0</v>
      </c>
      <c r="AE96" s="4" t="n">
        <v>0</v>
      </c>
      <c r="AF96" s="4" t="n">
        <v>1</v>
      </c>
      <c r="AG96" s="4" t="n">
        <v>0</v>
      </c>
      <c r="AH96" s="4" t="n">
        <v>1</v>
      </c>
      <c r="AI96" s="4" t="n">
        <v>0</v>
      </c>
      <c r="AJ96" s="4" t="inlineStr">
        <is>
          <t>1900-01-01</t>
        </is>
      </c>
      <c r="AK96" s="4" t="inlineStr">
        <is>
          <t>multisource_integration</t>
        </is>
      </c>
      <c r="AL96" s="4" t="inlineStr">
        <is>
          <t>la clasificación se hace a partir de códigos ICD-9/V/E de EHR en decedentes, para distinguir patrones de salud de por vida (no es biomarcador directo ni herramienta clínica prospectiva).</t>
        </is>
      </c>
      <c r="AM96" s="4" t="inlineStr">
        <is>
          <t>RB</t>
        </is>
      </c>
      <c r="AN96" s="4" t="inlineStr">
        <is>
          <t>Tomado completo desde archivo RB según asignación</t>
        </is>
      </c>
      <c r="AO96" s="4" t="n">
        <v>0</v>
      </c>
      <c r="AP96" s="4" t="n">
        <v>0</v>
      </c>
      <c r="AQ96" s="4" t="n">
        <v>0</v>
      </c>
      <c r="AR96" s="4" t="n">
        <v>0</v>
      </c>
      <c r="AS96" s="4" t="n">
        <v>0</v>
      </c>
      <c r="AT96" s="4" t="n">
        <v>0</v>
      </c>
      <c r="AU96" s="4" t="n">
        <v>0</v>
      </c>
      <c r="AV96" s="4" t="n">
        <v>1</v>
      </c>
      <c r="AW96" s="4" t="inlineStr">
        <is>
          <t>finalized_from_available_evidence</t>
        </is>
      </c>
      <c r="AX96" s="4" t="inlineStr">
        <is>
          <t>0 means no reported evidence in title/abstract/notes/coding; it is not proof of true absence.</t>
        </is>
      </c>
    </row>
    <row r="97" ht="409" customHeight="1">
      <c r="A97" s="4" t="n">
        <v>96</v>
      </c>
      <c r="B97" s="4" t="n">
        <v>104</v>
      </c>
      <c r="C97" s="4" t="inlineStr">
        <is>
          <t>Revisor B</t>
        </is>
      </c>
      <c r="D97" s="4" t="n"/>
      <c r="E97" s="4" t="n">
        <v>2025</v>
      </c>
      <c r="F97" s="4" t="inlineStr">
        <is>
          <t>Multimodal</t>
        </is>
      </c>
      <c r="G97" s="4" t="inlineStr">
        <is>
          <t>Híbrido</t>
        </is>
      </c>
      <c r="H97" s="4" t="inlineStr">
        <is>
          <t>https://doi.org/10.1002/hbm.70190</t>
        </is>
      </c>
      <c r="I97" s="4" t="inlineStr">
        <is>
          <t>A Framework for Comparison and Interpretation of Machine Learning Classifiers to Predict Autism on the ABIDE Dataset</t>
        </is>
      </c>
      <c r="J97" s="4" t="inlineStr">
        <is>
          <t>Autism is a neurodevelopmental condition affecting ~1% of the population. Recently, machine learning models have been trained to classify participants with autism using their neuroimaging features, though the performance of these models varies in the literature. Differences in experimental setup hamper the direct comparison of different machine-learning approaches. In this paper, five of the most widely used and best-performing machine learning models in the field were trained to classify participants with autism and typically developing (TD) participants, using functional connectivity matrices, structural volumetric measures, and phenotypic information from the Autism Brain Imaging Data Exchange (ABIDE) dataset. Their performance was compared under the same evaluation standard. The models implemented included: graph convolutional networks (GCN), edge-variational graph convolutional networks (EV-GCN), fully connected networks (FCN), autoencoder followed by a fully connected network (AE-FCN) and support vector machine (SVM). Our results show that all models performed similarly, achieving a classification accuracy around 70%. Our results suggest that different inclusion criteria, data modalities, and evaluation pipelines rather than different machine learning models may explain variations in accuracy in the published literature. The highest accuracy in our framework was obtained when using ensemble models (p &lt; 0.001), leading to an accuracy of 72.2% and AUC = 0.77 using GCN classifiers. However, an SVM classifier performed with an accuracy of 70.1% and AUC = 0.77, just marginally below GCN, and significant differences were not found when comparing different algorithms under the same testing conditions (p &gt; 0.05). Furthermore, we also investigated the stability of features identified by the different machine learning models using the SmoothGrad interpretation method. The FCN model demonstrated the highest stability in selecting relevant features contributing to model decision making. The code is available at https://github.com/YilanDong19/Machine-learning-with-ABIDE.</t>
        </is>
      </c>
      <c r="K97" s="4" t="inlineStr">
        <is>
          <t>Supervised</t>
        </is>
      </c>
      <c r="L97" s="4" t="inlineStr">
        <is>
          <t>Other</t>
        </is>
      </c>
      <c r="M97" s="4" t="inlineStr">
        <is>
          <t>Classification (binary/multi-class; incl. ASD vs control)/ multi-class)</t>
        </is>
      </c>
      <c r="N97" s="4" t="inlineStr">
        <is>
          <t>Diagnosis</t>
        </is>
      </c>
      <c r="O97" s="4" t="inlineStr">
        <is>
          <t>medium</t>
        </is>
      </c>
      <c r="P97" s="4" t="n">
        <v>0</v>
      </c>
      <c r="Q97" s="4" t="n">
        <v>0</v>
      </c>
      <c r="R97" s="4" t="n">
        <v>0</v>
      </c>
      <c r="S97" s="4" t="n">
        <v>0</v>
      </c>
      <c r="T97" s="4" t="n">
        <v>0</v>
      </c>
      <c r="U97" s="4" t="n">
        <v>0</v>
      </c>
      <c r="V97" s="4" t="n">
        <v>0</v>
      </c>
      <c r="W97" s="4" t="n">
        <v>0</v>
      </c>
      <c r="X97" s="4" t="n">
        <v>0</v>
      </c>
      <c r="Y97" s="4" t="n">
        <v>0</v>
      </c>
      <c r="Z97" s="4" t="n">
        <v>0</v>
      </c>
      <c r="AA97" s="4" t="n">
        <v>0</v>
      </c>
      <c r="AB97" s="4" t="inlineStr">
        <is>
          <t>1900-01-01</t>
        </is>
      </c>
      <c r="AC97" s="4" t="n">
        <v>0</v>
      </c>
      <c r="AD97" s="4" t="n">
        <v>1</v>
      </c>
      <c r="AE97" s="4" t="n">
        <v>0</v>
      </c>
      <c r="AF97" s="4" t="n">
        <v>1</v>
      </c>
      <c r="AG97" s="4" t="n">
        <v>0</v>
      </c>
      <c r="AH97" s="4" t="n">
        <v>0</v>
      </c>
      <c r="AI97" s="4" t="n">
        <v>0</v>
      </c>
      <c r="AJ97" s="4" t="inlineStr">
        <is>
          <t>1900-01-01</t>
        </is>
      </c>
      <c r="AK97" s="4" t="inlineStr">
        <is>
          <t>explainability_or_interpretability; multisource_integration; multisite_dataset_broad</t>
        </is>
      </c>
      <c r="AL97" s="4" t="inlineStr">
        <is>
          <t>este paper es benchmark/comparación bajo un marco estandarizado; reporta que el mayor desempeño se obtiene con ensemble y resultados cercanos entre modelos (GCN/EV-GCN/FCN/AE-FCN/SVM)</t>
        </is>
      </c>
      <c r="AM97" s="4" t="inlineStr">
        <is>
          <t>RB</t>
        </is>
      </c>
      <c r="AN97" s="4" t="inlineStr">
        <is>
          <t>Tomado completo desde archivo RB según asignación</t>
        </is>
      </c>
      <c r="AO97" s="4" t="n">
        <v>0</v>
      </c>
      <c r="AP97" s="4" t="n">
        <v>0</v>
      </c>
      <c r="AQ97" s="4" t="n">
        <v>1</v>
      </c>
      <c r="AR97" s="4" t="n">
        <v>0</v>
      </c>
      <c r="AS97" s="4" t="n">
        <v>0</v>
      </c>
      <c r="AT97" s="4" t="n">
        <v>1</v>
      </c>
      <c r="AU97" s="4" t="n">
        <v>0</v>
      </c>
      <c r="AV97" s="4" t="n">
        <v>1</v>
      </c>
      <c r="AW97" s="4" t="inlineStr">
        <is>
          <t>finalized_from_available_evidence</t>
        </is>
      </c>
      <c r="AX97" s="4" t="inlineStr">
        <is>
          <t>0 means no reported evidence in title/abstract/notes/coding; it is not proof of true absence.</t>
        </is>
      </c>
    </row>
    <row r="98" ht="268" customHeight="1">
      <c r="A98" s="4" t="n">
        <v>97</v>
      </c>
      <c r="B98" s="4" t="n">
        <v>105</v>
      </c>
      <c r="C98" s="4" t="inlineStr">
        <is>
          <t>Revisor B</t>
        </is>
      </c>
      <c r="D98" s="4" t="n"/>
      <c r="E98" s="4" t="n">
        <v>2018</v>
      </c>
      <c r="F98" s="4" t="inlineStr">
        <is>
          <t>Señales fisiológicas</t>
        </is>
      </c>
      <c r="G98" s="4" t="inlineStr">
        <is>
          <t>Híbrido</t>
        </is>
      </c>
      <c r="H98" s="4" t="inlineStr">
        <is>
          <t>https://doi.org/10.1155/2018/7186762</t>
        </is>
      </c>
      <c r="I98" s="4" t="inlineStr">
        <is>
          <t>A Novel Deep Learning Approach for Recognizing Stereotypical Motor Movements within and across Subjects on the Autism Spectrum Disorder</t>
        </is>
      </c>
      <c r="J98" s="4" t="inlineStr">
        <is>
          <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t>
        </is>
      </c>
      <c r="K98" s="4" t="inlineStr">
        <is>
          <t>Supervised</t>
        </is>
      </c>
      <c r="L98" s="4" t="inlineStr">
        <is>
          <t>Random Forest</t>
        </is>
      </c>
      <c r="M98" s="4" t="inlineStr">
        <is>
          <t>Detection / segmentation</t>
        </is>
      </c>
      <c r="N98" s="4" t="inlineStr">
        <is>
          <t>Monitoring/intervention</t>
        </is>
      </c>
      <c r="O98" s="4" t="inlineStr">
        <is>
          <t>medium</t>
        </is>
      </c>
      <c r="P98" s="4" t="n">
        <v>0</v>
      </c>
      <c r="Q98" s="4" t="n">
        <v>0</v>
      </c>
      <c r="R98" s="4" t="n">
        <v>0</v>
      </c>
      <c r="S98" s="4" t="n">
        <v>0</v>
      </c>
      <c r="T98" s="4" t="n">
        <v>0</v>
      </c>
      <c r="U98" s="4" t="n">
        <v>0</v>
      </c>
      <c r="V98" s="4" t="n">
        <v>0</v>
      </c>
      <c r="W98" s="4" t="n">
        <v>0</v>
      </c>
      <c r="X98" s="4" t="n">
        <v>0</v>
      </c>
      <c r="Y98" s="4" t="n">
        <v>0</v>
      </c>
      <c r="Z98" s="4" t="n">
        <v>1</v>
      </c>
      <c r="AA98" s="4" t="n">
        <v>0</v>
      </c>
      <c r="AB98" s="4" t="inlineStr">
        <is>
          <t>1900-01-01</t>
        </is>
      </c>
      <c r="AC98" s="4" t="n">
        <v>0</v>
      </c>
      <c r="AD98" s="4" t="n">
        <v>0</v>
      </c>
      <c r="AE98" s="4" t="n">
        <v>0</v>
      </c>
      <c r="AF98" s="4" t="n">
        <v>0</v>
      </c>
      <c r="AG98" s="4" t="n">
        <v>1</v>
      </c>
      <c r="AH98" s="4" t="n">
        <v>0</v>
      </c>
      <c r="AI98" s="4" t="n">
        <v>0</v>
      </c>
      <c r="AJ98" s="4" t="inlineStr">
        <is>
          <t>00:00:00</t>
        </is>
      </c>
      <c r="AK98" s="4" t="inlineStr">
        <is>
          <t>none_reported</t>
        </is>
      </c>
      <c r="AL98" s="4" t="inlineStr">
        <is>
          <t>para el escenario across-subjects combinan transfer learning + SVM classifier. Si tu Excel solo permite un algoritmo principal, deja CNN como principal y anota “SVM + transfer learning para across-subject”</t>
        </is>
      </c>
      <c r="AM98" s="4" t="inlineStr">
        <is>
          <t>RB</t>
        </is>
      </c>
      <c r="AN98" s="4" t="inlineStr">
        <is>
          <t>Tomado completo desde archivo RB según asignación</t>
        </is>
      </c>
      <c r="AO98" s="4" t="n">
        <v>0</v>
      </c>
      <c r="AP98" s="4" t="n">
        <v>0</v>
      </c>
      <c r="AQ98" s="4" t="n">
        <v>0</v>
      </c>
      <c r="AR98" s="4" t="n">
        <v>0</v>
      </c>
      <c r="AS98" s="4" t="n">
        <v>0</v>
      </c>
      <c r="AT98" s="4" t="n">
        <v>0</v>
      </c>
      <c r="AU98" s="4" t="n">
        <v>0</v>
      </c>
      <c r="AV98" s="4" t="n">
        <v>0</v>
      </c>
      <c r="AW98" s="4" t="inlineStr">
        <is>
          <t>finalized_from_available_evidence</t>
        </is>
      </c>
      <c r="AX98" s="4" t="inlineStr">
        <is>
          <t>0 means no reported evidence in title/abstract/notes/coding; it is not proof of true absence.</t>
        </is>
      </c>
    </row>
    <row r="99" ht="229" customHeight="1">
      <c r="A99" s="4" t="n">
        <v>98</v>
      </c>
      <c r="B99" s="4" t="n">
        <v>106</v>
      </c>
      <c r="C99" s="4" t="inlineStr">
        <is>
          <t>Revisor B</t>
        </is>
      </c>
      <c r="D99" s="4" t="n"/>
      <c r="E99" s="4" t="n">
        <v>2025</v>
      </c>
      <c r="F99" s="4" t="inlineStr">
        <is>
          <t>No especificado</t>
        </is>
      </c>
      <c r="G99" s="4" t="inlineStr">
        <is>
          <t>Machine Learning</t>
        </is>
      </c>
      <c r="H99" s="4" t="inlineStr">
        <is>
          <t>https://doi.org/10.1371/journal.pone.0326022</t>
        </is>
      </c>
      <c r="I99" s="4" t="inlineStr">
        <is>
          <t>Analysis of variant interactions in families with autism points to genes involved in the development of the central nervous system</t>
        </is>
      </c>
      <c r="J99" s="4" t="inlineStr">
        <is>
          <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t>
        </is>
      </c>
      <c r="K99" s="4" t="inlineStr">
        <is>
          <t>Supervised</t>
        </is>
      </c>
      <c r="L99" s="4" t="inlineStr">
        <is>
          <t>SVM</t>
        </is>
      </c>
      <c r="M99" s="4" t="inlineStr">
        <is>
          <t>Classification (binary/multi-class; incl. ASD vs control)/ multi-class)</t>
        </is>
      </c>
      <c r="N99" s="4" t="inlineStr">
        <is>
          <t>Diagnosis</t>
        </is>
      </c>
      <c r="O99" s="4" t="inlineStr">
        <is>
          <t>medium</t>
        </is>
      </c>
      <c r="P99" s="4" t="n">
        <v>0</v>
      </c>
      <c r="Q99" s="4" t="n">
        <v>0</v>
      </c>
      <c r="R99" s="4" t="n">
        <v>1</v>
      </c>
      <c r="S99" s="4" t="n">
        <v>0</v>
      </c>
      <c r="T99" s="4" t="n">
        <v>0</v>
      </c>
      <c r="U99" s="4" t="n">
        <v>0</v>
      </c>
      <c r="V99" s="4" t="n">
        <v>0</v>
      </c>
      <c r="W99" s="4" t="n">
        <v>0</v>
      </c>
      <c r="X99" s="4" t="n">
        <v>0</v>
      </c>
      <c r="Y99" s="4" t="n">
        <v>0</v>
      </c>
      <c r="Z99" s="4" t="n">
        <v>0</v>
      </c>
      <c r="AA99" s="4" t="n">
        <v>0</v>
      </c>
      <c r="AB99" s="4" t="inlineStr">
        <is>
          <t>00:00:00</t>
        </is>
      </c>
      <c r="AC99" s="4" t="n">
        <v>0</v>
      </c>
      <c r="AD99" s="4" t="n">
        <v>0</v>
      </c>
      <c r="AE99" s="4" t="n">
        <v>0</v>
      </c>
      <c r="AF99" s="4" t="n">
        <v>0</v>
      </c>
      <c r="AG99" s="4" t="n">
        <v>0</v>
      </c>
      <c r="AH99" s="4" t="n">
        <v>1</v>
      </c>
      <c r="AI99" s="4" t="n">
        <v>0</v>
      </c>
      <c r="AJ99" s="4" t="inlineStr">
        <is>
          <t>00:00:00</t>
        </is>
      </c>
      <c r="AK99" s="4" t="inlineStr">
        <is>
          <t>internal_validation_only</t>
        </is>
      </c>
      <c r="AL99" s="4" t="inlineStr">
        <is>
          <t>además del predictor supervisado, el paper también hace clustering de muestras para explorar heterogeneidad (menciona K-means y propone PAM/medoids por interpretabilidad en datos binarios)</t>
        </is>
      </c>
      <c r="AM99" s="4" t="inlineStr">
        <is>
          <t>RB</t>
        </is>
      </c>
      <c r="AN99" s="4" t="inlineStr">
        <is>
          <t>Tomado completo desde archivo RB según asignación</t>
        </is>
      </c>
      <c r="AO99" s="4" t="n">
        <v>0</v>
      </c>
      <c r="AP99" s="4" t="n">
        <v>0</v>
      </c>
      <c r="AQ99" s="4" t="n">
        <v>0</v>
      </c>
      <c r="AR99" s="4" t="n">
        <v>1</v>
      </c>
      <c r="AS99" s="4" t="n">
        <v>0</v>
      </c>
      <c r="AT99" s="4" t="n">
        <v>0</v>
      </c>
      <c r="AU99" s="4" t="n">
        <v>0</v>
      </c>
      <c r="AV99" s="4" t="n">
        <v>0</v>
      </c>
      <c r="AW99" s="4" t="inlineStr">
        <is>
          <t>finalized_from_available_evidence</t>
        </is>
      </c>
      <c r="AX99" s="4" t="inlineStr">
        <is>
          <t>0 means no reported evidence in title/abstract/notes/coding; it is not proof of true absence.</t>
        </is>
      </c>
    </row>
    <row r="100" ht="229" customHeight="1">
      <c r="A100" s="4" t="n">
        <v>99</v>
      </c>
      <c r="B100" s="4" t="n">
        <v>107</v>
      </c>
      <c r="C100" s="4" t="inlineStr">
        <is>
          <t>Revisor B</t>
        </is>
      </c>
      <c r="D100" s="4" t="n"/>
      <c r="E100" s="4" t="n">
        <v>2020</v>
      </c>
      <c r="F100" s="4" t="inlineStr">
        <is>
          <t>Imagen</t>
        </is>
      </c>
      <c r="G100" s="4" t="inlineStr">
        <is>
          <t>Machine Learning</t>
        </is>
      </c>
      <c r="H100" s="4" t="inlineStr">
        <is>
          <t>https://doi.org/10.1109/TNSRE.2020.2991675</t>
        </is>
      </c>
      <c r="I100" s="4" t="inlineStr">
        <is>
          <t>Detecting High-Functioning Autism in Adults Using Eye Tracking and Machine Learning</t>
        </is>
      </c>
      <c r="J100" s="4" t="inlineStr">
        <is>
          <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t>
        </is>
      </c>
      <c r="K100" s="4" t="inlineStr">
        <is>
          <t>Supervised</t>
        </is>
      </c>
      <c r="L100" s="4" t="inlineStr">
        <is>
          <t>Logistic Regression</t>
        </is>
      </c>
      <c r="M100" s="4" t="inlineStr">
        <is>
          <t>Classification (binary/multi-class; incl. ASD vs control)/ multi-class)</t>
        </is>
      </c>
      <c r="N100" s="4" t="inlineStr">
        <is>
          <t>Screening</t>
        </is>
      </c>
      <c r="O100" s="4" t="inlineStr">
        <is>
          <t>high</t>
        </is>
      </c>
      <c r="P100" s="4" t="n">
        <v>1</v>
      </c>
      <c r="Q100" s="4" t="n">
        <v>0</v>
      </c>
      <c r="R100" s="4" t="n">
        <v>1</v>
      </c>
      <c r="S100" s="4" t="n">
        <v>0</v>
      </c>
      <c r="T100" s="4" t="n">
        <v>0</v>
      </c>
      <c r="U100" s="4" t="n">
        <v>0</v>
      </c>
      <c r="V100" s="4" t="n">
        <v>0</v>
      </c>
      <c r="W100" s="4" t="n">
        <v>0</v>
      </c>
      <c r="X100" s="4" t="n">
        <v>0</v>
      </c>
      <c r="Y100" s="4" t="n">
        <v>0</v>
      </c>
      <c r="Z100" s="4" t="n">
        <v>0</v>
      </c>
      <c r="AA100" s="4" t="n">
        <v>0</v>
      </c>
      <c r="AB100" s="4" t="inlineStr">
        <is>
          <t>1900-01-01</t>
        </is>
      </c>
      <c r="AC100" s="4" t="n">
        <v>0</v>
      </c>
      <c r="AD100" s="4" t="n">
        <v>0</v>
      </c>
      <c r="AE100" s="4" t="n">
        <v>0</v>
      </c>
      <c r="AF100" s="4" t="n">
        <v>1</v>
      </c>
      <c r="AG100" s="4" t="n">
        <v>0</v>
      </c>
      <c r="AH100" s="4" t="n">
        <v>2</v>
      </c>
      <c r="AI100" s="4" t="n">
        <v>0</v>
      </c>
      <c r="AJ100" s="4" t="inlineStr">
        <is>
          <t>00:00:00</t>
        </is>
      </c>
      <c r="AK100" s="4" t="inlineStr">
        <is>
          <t>multisource_integration</t>
        </is>
      </c>
      <c r="AL100" s="4" t="n"/>
      <c r="AM100" s="4" t="inlineStr">
        <is>
          <t>RB</t>
        </is>
      </c>
      <c r="AN100" s="4" t="inlineStr">
        <is>
          <t>Tomado completo desde archivo RB según asignación</t>
        </is>
      </c>
      <c r="AO100" s="4" t="n">
        <v>0</v>
      </c>
      <c r="AP100" s="4" t="n">
        <v>0</v>
      </c>
      <c r="AQ100" s="4" t="n">
        <v>0</v>
      </c>
      <c r="AR100" s="4" t="n">
        <v>0</v>
      </c>
      <c r="AS100" s="4" t="n">
        <v>0</v>
      </c>
      <c r="AT100" s="4" t="n">
        <v>0</v>
      </c>
      <c r="AU100" s="4" t="n">
        <v>0</v>
      </c>
      <c r="AV100" s="4" t="n">
        <v>1</v>
      </c>
      <c r="AW100" s="4" t="inlineStr">
        <is>
          <t>finalized_from_available_evidence</t>
        </is>
      </c>
      <c r="AX100" s="4" t="inlineStr">
        <is>
          <t>0 means no reported evidence in title/abstract/notes/coding; it is not proof of true absence.</t>
        </is>
      </c>
    </row>
    <row r="101" ht="409" customHeight="1">
      <c r="A101" s="4" t="n">
        <v>100</v>
      </c>
      <c r="B101" s="4" t="n">
        <v>108</v>
      </c>
      <c r="C101" s="4" t="inlineStr">
        <is>
          <t>Ambos (piloto)</t>
        </is>
      </c>
      <c r="D101" s="4" t="inlineStr">
        <is>
          <t>RA</t>
        </is>
      </c>
      <c r="E101" s="4" t="n">
        <v>2013</v>
      </c>
      <c r="F101" s="4" t="inlineStr">
        <is>
          <t>Imagen</t>
        </is>
      </c>
      <c r="G101" s="4" t="inlineStr">
        <is>
          <t>Machine Learning</t>
        </is>
      </c>
      <c r="H101" s="4" t="inlineStr">
        <is>
          <t>https://doi.org/10.3389/FNHUM.2013.00670/FULL</t>
        </is>
      </c>
      <c r="I101" s="4" t="inlineStr">
        <is>
          <t>Identification of neural connectivity signatures of autism using machine learning</t>
        </is>
      </c>
      <c r="J101" s="4" t="inlineStr">
        <is>
          <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t>
        </is>
      </c>
      <c r="K101" s="4" t="inlineStr">
        <is>
          <t>Supervised</t>
        </is>
      </c>
      <c r="L101" s="4" t="inlineStr">
        <is>
          <t>SVM</t>
        </is>
      </c>
      <c r="M101" s="4" t="inlineStr">
        <is>
          <t>Classification (ASD vs control / multi-class)</t>
        </is>
      </c>
      <c r="N101" s="4" t="inlineStr">
        <is>
          <t>Diagnosis</t>
        </is>
      </c>
      <c r="O101" s="4" t="inlineStr">
        <is>
          <t>High</t>
        </is>
      </c>
      <c r="P101" s="4" t="n">
        <v>1</v>
      </c>
      <c r="Q101" s="4" t="n">
        <v>0</v>
      </c>
      <c r="R101" s="4" t="n">
        <v>0</v>
      </c>
      <c r="S101" s="4" t="n">
        <v>0</v>
      </c>
      <c r="T101" s="4" t="n">
        <v>0</v>
      </c>
      <c r="U101" s="4" t="n">
        <v>0</v>
      </c>
      <c r="V101" s="4" t="n">
        <v>0</v>
      </c>
      <c r="W101" s="4" t="n">
        <v>0</v>
      </c>
      <c r="X101" s="4" t="n">
        <v>0</v>
      </c>
      <c r="Y101" s="4" t="n">
        <v>1</v>
      </c>
      <c r="Z101" s="4" t="n">
        <v>0</v>
      </c>
      <c r="AA101" s="4" t="n">
        <v>0</v>
      </c>
      <c r="AB101" s="4" t="inlineStr">
        <is>
          <t>1900-01-01</t>
        </is>
      </c>
      <c r="AC101" s="4" t="n">
        <v>0</v>
      </c>
      <c r="AD101" s="4" t="n">
        <v>0</v>
      </c>
      <c r="AE101" s="4" t="n">
        <v>0</v>
      </c>
      <c r="AF101" s="4" t="n">
        <v>0</v>
      </c>
      <c r="AG101" s="4" t="n">
        <v>0</v>
      </c>
      <c r="AH101" s="4" t="n">
        <v>1</v>
      </c>
      <c r="AI101" s="4" t="n"/>
      <c r="AJ101" s="4" t="n"/>
      <c r="AK101" s="4" t="inlineStr">
        <is>
          <t>none_reported</t>
        </is>
      </c>
      <c r="AL101" s="4" t="inlineStr">
        <is>
          <t>Se comparan varios modelos; se eligió el principal/mejor reportado</t>
        </is>
      </c>
      <c r="AM101" s="4" t="inlineStr">
        <is>
          <t>RA</t>
        </is>
      </c>
      <c r="AN101" s="4" t="inlineStr">
        <is>
          <t>Tomado completo desde archivo RA según asignación</t>
        </is>
      </c>
      <c r="AO101" s="4" t="n">
        <v>0</v>
      </c>
      <c r="AP101" s="4" t="n">
        <v>0</v>
      </c>
      <c r="AQ101" s="4" t="n">
        <v>0</v>
      </c>
      <c r="AR101" s="4" t="n">
        <v>0</v>
      </c>
      <c r="AS101" s="4" t="n">
        <v>0</v>
      </c>
      <c r="AT101" s="4" t="n">
        <v>0</v>
      </c>
      <c r="AU101" s="4" t="n">
        <v>0</v>
      </c>
      <c r="AV101" s="4" t="n">
        <v>0</v>
      </c>
      <c r="AW101" s="4" t="inlineStr">
        <is>
          <t>finalized_from_available_evidence</t>
        </is>
      </c>
      <c r="AX101" s="4" t="inlineStr">
        <is>
          <t>0 means no reported evidence in title/abstract/notes/coding; it is not proof of true absence.</t>
        </is>
      </c>
    </row>
    <row r="102" ht="333" customHeight="1">
      <c r="A102" s="4" t="n">
        <v>101</v>
      </c>
      <c r="B102" s="4" t="n">
        <v>109</v>
      </c>
      <c r="C102" s="4" t="inlineStr">
        <is>
          <t>Ambos (piloto)</t>
        </is>
      </c>
      <c r="D102" s="4" t="inlineStr">
        <is>
          <t>RA</t>
        </is>
      </c>
      <c r="E102" s="4" t="n">
        <v>2014</v>
      </c>
      <c r="F102" s="4" t="inlineStr">
        <is>
          <t>Señales fisiológicas</t>
        </is>
      </c>
      <c r="G102" s="4" t="inlineStr">
        <is>
          <t>Machine Learning</t>
        </is>
      </c>
      <c r="H102" s="4" t="inlineStr">
        <is>
          <t>https://doi.org/10.1371/journal.pone.0113879</t>
        </is>
      </c>
      <c r="I102" s="4" t="inlineStr">
        <is>
          <t>Identifying autism from neural representations of social interactions: Neurocognitive markers of autism</t>
        </is>
      </c>
      <c r="J102" s="4" t="inlineStr">
        <is>
          <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t>
        </is>
      </c>
      <c r="K102" s="4" t="inlineStr">
        <is>
          <t>Supervised</t>
        </is>
      </c>
      <c r="L102" s="4" t="inlineStr">
        <is>
          <t>Other / Not clear</t>
        </is>
      </c>
      <c r="M102" s="4" t="inlineStr">
        <is>
          <t>Classification (ASD vs control / multi-class)</t>
        </is>
      </c>
      <c r="N102" s="4" t="inlineStr">
        <is>
          <t>Diagnosis</t>
        </is>
      </c>
      <c r="O102" s="4" t="inlineStr">
        <is>
          <t>Medium</t>
        </is>
      </c>
      <c r="P102" s="4" t="n">
        <v>1</v>
      </c>
      <c r="Q102" s="4" t="n">
        <v>0</v>
      </c>
      <c r="R102" s="4" t="n">
        <v>0</v>
      </c>
      <c r="S102" s="4" t="n">
        <v>0</v>
      </c>
      <c r="T102" s="4" t="n">
        <v>0</v>
      </c>
      <c r="U102" s="4" t="n">
        <v>0</v>
      </c>
      <c r="V102" s="4" t="n">
        <v>0</v>
      </c>
      <c r="W102" s="4" t="n">
        <v>0</v>
      </c>
      <c r="X102" s="4" t="n">
        <v>0</v>
      </c>
      <c r="Y102" s="4" t="n">
        <v>1</v>
      </c>
      <c r="Z102" s="4" t="n">
        <v>0</v>
      </c>
      <c r="AA102" s="4" t="n">
        <v>0</v>
      </c>
      <c r="AB102" s="4" t="inlineStr">
        <is>
          <t>1900-01-01</t>
        </is>
      </c>
      <c r="AC102" s="4" t="n">
        <v>0</v>
      </c>
      <c r="AD102" s="4" t="n">
        <v>0</v>
      </c>
      <c r="AE102" s="4" t="n">
        <v>0</v>
      </c>
      <c r="AF102" s="4" t="n">
        <v>0</v>
      </c>
      <c r="AG102" s="4" t="n">
        <v>1</v>
      </c>
      <c r="AH102" s="4" t="n">
        <v>1</v>
      </c>
      <c r="AI102" s="4" t="n"/>
      <c r="AJ102" s="4" t="n"/>
      <c r="AK102" s="4" t="inlineStr">
        <is>
          <t>none_reported</t>
        </is>
      </c>
      <c r="AL102" s="4" t="inlineStr">
        <is>
          <t>Algoritmo principal no explícito o fuera del codebook; Confirmar algoritmo principal en full-text</t>
        </is>
      </c>
      <c r="AM102" s="4" t="inlineStr">
        <is>
          <t>RA</t>
        </is>
      </c>
      <c r="AN102" s="4" t="inlineStr">
        <is>
          <t>Tomado completo desde archivo RA según asignación</t>
        </is>
      </c>
      <c r="AO102" s="4" t="n">
        <v>0</v>
      </c>
      <c r="AP102" s="4" t="n">
        <v>0</v>
      </c>
      <c r="AQ102" s="4" t="n">
        <v>0</v>
      </c>
      <c r="AR102" s="4" t="n">
        <v>0</v>
      </c>
      <c r="AS102" s="4" t="n">
        <v>0</v>
      </c>
      <c r="AT102" s="4" t="n">
        <v>0</v>
      </c>
      <c r="AU102" s="4" t="n">
        <v>0</v>
      </c>
      <c r="AV102" s="4" t="n">
        <v>0</v>
      </c>
      <c r="AW102" s="4" t="inlineStr">
        <is>
          <t>finalized_from_available_evidence</t>
        </is>
      </c>
      <c r="AX102" s="4" t="inlineStr">
        <is>
          <t>0 means no reported evidence in title/abstract/notes/coding; it is not proof of true absence.</t>
        </is>
      </c>
    </row>
    <row r="103" ht="409" customHeight="1">
      <c r="A103" s="4" t="n">
        <v>102</v>
      </c>
      <c r="B103" s="4" t="n">
        <v>110</v>
      </c>
      <c r="C103" s="4" t="inlineStr">
        <is>
          <t>Revisor B</t>
        </is>
      </c>
      <c r="D103" s="4" t="n"/>
      <c r="E103" s="4" t="n">
        <v>2020</v>
      </c>
      <c r="F103" s="4" t="inlineStr">
        <is>
          <t>Texto · NLP</t>
        </is>
      </c>
      <c r="G103" s="4" t="inlineStr">
        <is>
          <t>Deep Learning</t>
        </is>
      </c>
      <c r="H103" s="4" t="inlineStr">
        <is>
          <t>https://doi.org/10.1002/aur.2268</t>
        </is>
      </c>
      <c r="I103" s="4" t="inlineStr">
        <is>
          <t>Identifying Language and Cognitive Profiles in Children With ASD via a Cluster Analysis Exploration: Implications for the New ICD-11</t>
        </is>
      </c>
      <c r="J103" s="4" t="inlineStr">
        <is>
          <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t>
        </is>
      </c>
      <c r="K103" s="4" t="inlineStr">
        <is>
          <t>Unsupervised</t>
        </is>
      </c>
      <c r="L103" s="4" t="inlineStr">
        <is>
          <t>Clustering (k-means / GMM / ...)</t>
        </is>
      </c>
      <c r="M103" s="4" t="inlineStr">
        <is>
          <t>Clustering / subtyping</t>
        </is>
      </c>
      <c r="N103" s="4" t="inlineStr">
        <is>
          <t>Monitoring/intervention</t>
        </is>
      </c>
      <c r="O103" s="4" t="inlineStr">
        <is>
          <t>high</t>
        </is>
      </c>
      <c r="P103" s="4" t="n">
        <v>0</v>
      </c>
      <c r="Q103" s="4" t="n">
        <v>0</v>
      </c>
      <c r="R103" s="4" t="n">
        <v>0</v>
      </c>
      <c r="S103" s="4" t="n">
        <v>0</v>
      </c>
      <c r="T103" s="4" t="n">
        <v>0</v>
      </c>
      <c r="U103" s="4" t="n">
        <v>0</v>
      </c>
      <c r="V103" s="4" t="n">
        <v>0</v>
      </c>
      <c r="W103" s="4" t="n">
        <v>0</v>
      </c>
      <c r="X103" s="4" t="n">
        <v>0</v>
      </c>
      <c r="Y103" s="4" t="n">
        <v>0</v>
      </c>
      <c r="Z103" s="4" t="n">
        <v>1</v>
      </c>
      <c r="AA103" s="4" t="n">
        <v>1</v>
      </c>
      <c r="AB103" s="4" t="inlineStr">
        <is>
          <t>00:00:00</t>
        </is>
      </c>
      <c r="AC103" s="4" t="n">
        <v>0</v>
      </c>
      <c r="AD103" s="4" t="n">
        <v>0</v>
      </c>
      <c r="AE103" s="4" t="n">
        <v>0</v>
      </c>
      <c r="AF103" s="4" t="n">
        <v>0</v>
      </c>
      <c r="AG103" s="4" t="n">
        <v>1</v>
      </c>
      <c r="AH103" s="4" t="n">
        <v>0</v>
      </c>
      <c r="AI103" s="4" t="n">
        <v>0</v>
      </c>
      <c r="AJ103" s="4" t="inlineStr">
        <is>
          <t>00:00:00</t>
        </is>
      </c>
      <c r="AK103" s="4" t="inlineStr">
        <is>
          <t>none_reported</t>
        </is>
      </c>
      <c r="AL103" s="4" t="n"/>
      <c r="AM103" s="4" t="inlineStr">
        <is>
          <t>RB</t>
        </is>
      </c>
      <c r="AN103" s="4" t="inlineStr">
        <is>
          <t>Tomado completo desde archivo RB según asignación</t>
        </is>
      </c>
      <c r="AO103" s="4" t="n">
        <v>0</v>
      </c>
      <c r="AP103" s="4" t="n">
        <v>0</v>
      </c>
      <c r="AQ103" s="4" t="n">
        <v>0</v>
      </c>
      <c r="AR103" s="4" t="n">
        <v>0</v>
      </c>
      <c r="AS103" s="4" t="n">
        <v>0</v>
      </c>
      <c r="AT103" s="4" t="n">
        <v>0</v>
      </c>
      <c r="AU103" s="4" t="n">
        <v>0</v>
      </c>
      <c r="AV103" s="4" t="n">
        <v>0</v>
      </c>
      <c r="AW103" s="4" t="inlineStr">
        <is>
          <t>finalized_from_available_evidence</t>
        </is>
      </c>
      <c r="AX103" s="4" t="inlineStr">
        <is>
          <t>0 means no reported evidence in title/abstract/notes/coding; it is not proof of true absence.</t>
        </is>
      </c>
    </row>
    <row r="104" ht="409" customHeight="1">
      <c r="A104" s="4" t="n">
        <v>103</v>
      </c>
      <c r="B104" s="4" t="n">
        <v>111</v>
      </c>
      <c r="C104" s="4" t="inlineStr">
        <is>
          <t>Revisor A</t>
        </is>
      </c>
      <c r="D104" s="4" t="inlineStr">
        <is>
          <t>RA</t>
        </is>
      </c>
      <c r="E104" s="4" t="n">
        <v>2023</v>
      </c>
      <c r="F104" s="4" t="inlineStr">
        <is>
          <t>No especificado</t>
        </is>
      </c>
      <c r="G104" s="4" t="inlineStr">
        <is>
          <t>Híbrido</t>
        </is>
      </c>
      <c r="H104" s="4" t="inlineStr">
        <is>
          <t>https://doi.org/10.1016/j.irbm.2023.100780</t>
        </is>
      </c>
      <c r="I104" s="4" t="inlineStr">
        <is>
          <t>On the Utility of Parents' Historical Data to Investigate the Causes of Autism Spectrum Disorder: A Data Mining-Based Framework</t>
        </is>
      </c>
      <c r="J104" s="4" t="inlineStr">
        <is>
          <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t>
        </is>
      </c>
      <c r="K104" s="4" t="inlineStr">
        <is>
          <t>Supervised</t>
        </is>
      </c>
      <c r="L104" s="4" t="inlineStr">
        <is>
          <t>SVM</t>
        </is>
      </c>
      <c r="M104" s="4" t="inlineStr">
        <is>
          <t>Classification (ASD vs control / multi-class)</t>
        </is>
      </c>
      <c r="N104" s="4" t="inlineStr">
        <is>
          <t>Prescreening</t>
        </is>
      </c>
      <c r="O104" s="4" t="inlineStr">
        <is>
          <t>High</t>
        </is>
      </c>
      <c r="P104" s="4" t="n">
        <v>0</v>
      </c>
      <c r="Q104" s="4" t="n">
        <v>0</v>
      </c>
      <c r="R104" s="4" t="n">
        <v>0</v>
      </c>
      <c r="S104" s="4" t="n">
        <v>0</v>
      </c>
      <c r="T104" s="4" t="n">
        <v>1</v>
      </c>
      <c r="U104" s="4" t="n">
        <v>0</v>
      </c>
      <c r="V104" s="4" t="n">
        <v>0</v>
      </c>
      <c r="W104" s="4" t="n">
        <v>1</v>
      </c>
      <c r="X104" s="4" t="n">
        <v>0</v>
      </c>
      <c r="Y104" s="4" t="n">
        <v>0</v>
      </c>
      <c r="Z104" s="4" t="n">
        <v>0</v>
      </c>
      <c r="AA104" s="4" t="n">
        <v>0</v>
      </c>
      <c r="AB104" s="4" t="inlineStr">
        <is>
          <t>00:00:00</t>
        </is>
      </c>
      <c r="AC104" s="4" t="n">
        <v>0</v>
      </c>
      <c r="AD104" s="4" t="n">
        <v>1</v>
      </c>
      <c r="AE104" s="4" t="n">
        <v>0</v>
      </c>
      <c r="AF104" s="4" t="n">
        <v>0</v>
      </c>
      <c r="AG104" s="4" t="n">
        <v>1</v>
      </c>
      <c r="AH104" s="4" t="n">
        <v>1</v>
      </c>
      <c r="AI104" s="4" t="n"/>
      <c r="AJ104" s="4" t="n"/>
      <c r="AK104" s="4" t="inlineStr">
        <is>
          <t>explainability_or_interpretability</t>
        </is>
      </c>
      <c r="AL104" s="4" t="inlineStr">
        <is>
          <t>Usa historia parental/perinatal estructurada para modelar riesgo/causas; mezcla clustering y predicción sin algoritmo principal claro.</t>
        </is>
      </c>
      <c r="AM104" s="4" t="inlineStr">
        <is>
          <t>RA</t>
        </is>
      </c>
      <c r="AN104" s="4" t="inlineStr">
        <is>
          <t>Tomado completo desde archivo RA según asignación</t>
        </is>
      </c>
      <c r="AO104" s="4" t="n">
        <v>0</v>
      </c>
      <c r="AP104" s="4" t="n">
        <v>0</v>
      </c>
      <c r="AQ104" s="4" t="n">
        <v>0</v>
      </c>
      <c r="AR104" s="4" t="n">
        <v>0</v>
      </c>
      <c r="AS104" s="4" t="n">
        <v>0</v>
      </c>
      <c r="AT104" s="4" t="n">
        <v>0</v>
      </c>
      <c r="AU104" s="4" t="n">
        <v>1</v>
      </c>
      <c r="AV104" s="4" t="n">
        <v>0</v>
      </c>
      <c r="AW104" s="4" t="inlineStr">
        <is>
          <t>finalized_from_available_evidence</t>
        </is>
      </c>
      <c r="AX104" s="4" t="inlineStr">
        <is>
          <t>0 means no reported evidence in title/abstract/notes/coding; it is not proof of true absence.</t>
        </is>
      </c>
    </row>
    <row r="105" ht="307" customHeight="1">
      <c r="A105" s="4" t="n">
        <v>104</v>
      </c>
      <c r="B105" s="4" t="n">
        <v>112</v>
      </c>
      <c r="C105" s="4" t="inlineStr">
        <is>
          <t>Ambos (piloto)</t>
        </is>
      </c>
      <c r="D105" s="4" t="inlineStr">
        <is>
          <t>RA</t>
        </is>
      </c>
      <c r="E105" s="4" t="n">
        <v>2023</v>
      </c>
      <c r="F105" s="4" t="inlineStr">
        <is>
          <t>Texto · NLP</t>
        </is>
      </c>
      <c r="G105" s="4" t="inlineStr">
        <is>
          <t>No especificado</t>
        </is>
      </c>
      <c r="H105" s="4" t="inlineStr">
        <is>
          <t>https://doi.org/10.1016/j.xhgg.2022.100150</t>
        </is>
      </c>
      <c r="I105" s="4" t="inlineStr">
        <is>
          <t>Structural variants identified using non-Mendelian inheritance patterns advance the mechanistic understanding of autism spectrum disorder</t>
        </is>
      </c>
      <c r="J105" s="4" t="inlineStr">
        <is>
          <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t>
        </is>
      </c>
      <c r="K105" s="4" t="inlineStr">
        <is>
          <t>Unsupervised</t>
        </is>
      </c>
      <c r="L105" s="4" t="inlineStr">
        <is>
          <t>Clustering (k-means / GMM / ...)</t>
        </is>
      </c>
      <c r="M105" s="4" t="inlineStr">
        <is>
          <t>Clustering / subtyping</t>
        </is>
      </c>
      <c r="N105" s="4" t="inlineStr">
        <is>
          <t>Diagnosis</t>
        </is>
      </c>
      <c r="O105" s="4" t="inlineStr">
        <is>
          <t>Medium</t>
        </is>
      </c>
      <c r="P105" s="4" t="n">
        <v>0</v>
      </c>
      <c r="Q105" s="4" t="n">
        <v>0</v>
      </c>
      <c r="R105" s="4" t="n">
        <v>0</v>
      </c>
      <c r="S105" s="4" t="n">
        <v>0</v>
      </c>
      <c r="T105" s="4" t="n">
        <v>0</v>
      </c>
      <c r="U105" s="4" t="n">
        <v>1</v>
      </c>
      <c r="V105" s="4" t="n">
        <v>0</v>
      </c>
      <c r="W105" s="4" t="n">
        <v>0</v>
      </c>
      <c r="X105" s="4" t="n">
        <v>0</v>
      </c>
      <c r="Y105" s="4" t="n">
        <v>1</v>
      </c>
      <c r="Z105" s="4" t="n">
        <v>0</v>
      </c>
      <c r="AA105" s="4" t="n">
        <v>0</v>
      </c>
      <c r="AB105" s="4" t="inlineStr">
        <is>
          <t>1900-01-01</t>
        </is>
      </c>
      <c r="AC105" s="4" t="n">
        <v>0</v>
      </c>
      <c r="AD105" s="4" t="n">
        <v>1</v>
      </c>
      <c r="AE105" s="4" t="n">
        <v>0</v>
      </c>
      <c r="AF105" s="4" t="n">
        <v>0</v>
      </c>
      <c r="AG105" s="4" t="n">
        <v>1</v>
      </c>
      <c r="AH105" s="4" t="n">
        <v>1</v>
      </c>
      <c r="AI105" s="4" t="n"/>
      <c r="AJ105" s="4" t="n"/>
      <c r="AK105" s="4" t="inlineStr">
        <is>
          <t>explainability_or_interpretability</t>
        </is>
      </c>
      <c r="AL105" s="4" t="inlineStr">
        <is>
          <t>Estudio genómico/estructural sin sistema IA clínico claramente codificable en el abstract.</t>
        </is>
      </c>
      <c r="AM105" s="4" t="inlineStr">
        <is>
          <t>RA</t>
        </is>
      </c>
      <c r="AN105" s="4" t="inlineStr">
        <is>
          <t>Tomado completo desde archivo RA según asignación</t>
        </is>
      </c>
      <c r="AO105" s="4" t="n">
        <v>0</v>
      </c>
      <c r="AP105" s="4" t="n">
        <v>0</v>
      </c>
      <c r="AQ105" s="4" t="n">
        <v>0</v>
      </c>
      <c r="AR105" s="4" t="n">
        <v>0</v>
      </c>
      <c r="AS105" s="4" t="n">
        <v>0</v>
      </c>
      <c r="AT105" s="4" t="n">
        <v>1</v>
      </c>
      <c r="AU105" s="4" t="n">
        <v>0</v>
      </c>
      <c r="AV105" s="4" t="n">
        <v>0</v>
      </c>
      <c r="AW105" s="4" t="inlineStr">
        <is>
          <t>finalized_from_available_evidence</t>
        </is>
      </c>
      <c r="AX105" s="4" t="inlineStr">
        <is>
          <t>0 means no reported evidence in title/abstract/notes/coding; it is not proof of true absence.</t>
        </is>
      </c>
    </row>
    <row r="106" ht="229" customHeight="1">
      <c r="A106" s="4" t="n">
        <v>105</v>
      </c>
      <c r="B106" s="4" t="n">
        <v>113</v>
      </c>
      <c r="C106" s="4" t="inlineStr">
        <is>
          <t>Revisor B</t>
        </is>
      </c>
      <c r="D106" s="4" t="n"/>
      <c r="E106" s="4" t="n">
        <v>2023</v>
      </c>
      <c r="F106" s="4" t="inlineStr">
        <is>
          <t>No especificado</t>
        </is>
      </c>
      <c r="G106" s="4" t="inlineStr">
        <is>
          <t>Machine Learning</t>
        </is>
      </c>
      <c r="H106" s="4" t="inlineStr">
        <is>
          <t>https://doi.org/10.1016/j.bbr.2022.114149</t>
        </is>
      </c>
      <c r="I106" s="4" t="inlineStr">
        <is>
          <t>Transient hearing abnormalities precede social deficits in a mouse model of autism</t>
        </is>
      </c>
      <c r="J106" s="4" t="inlineStr">
        <is>
          <t>Hearing abnormalities are important symptoms of autism spectrum disorders (ASDs), a neurological and developmental disorder. However, the characteristics of hearing abnormalities associated with ASD during development have not been fully investigated. We found that in Shank3B knockout mice (a high-confidence mouse model of ASD), transient hearing abnormalities can be found in auditory brainstem response, auditory cortical activity, as well as acoustic startle response. More importantly, all hearing abnormalities at 4 weeks were most prominent and preceded the onset of social deficits at 6 weeks. These hearing abnormalities gradually recovered with age. In addition, analysis of ABR data at 4 weeks using Support Vector Machine (SVM) can faithfully predict the genotype of mice with an accuracy of 85.71%. These findings not only revealed hearing changes in Shank3B knockout autistic-like mice during development, but also suggested that hearing abnormalities could potentially be used as an early and effective indicator of ASD risk.</t>
        </is>
      </c>
      <c r="K106" s="4" t="inlineStr">
        <is>
          <t>Supervised</t>
        </is>
      </c>
      <c r="L106" s="4" t="inlineStr">
        <is>
          <t>SVM</t>
        </is>
      </c>
      <c r="M106" s="4" t="inlineStr">
        <is>
          <t>Classification (binary/multi-class; incl. ASD vs control)/ multi-class)</t>
        </is>
      </c>
      <c r="N106" s="4" t="inlineStr">
        <is>
          <t>Prognosis</t>
        </is>
      </c>
      <c r="O106" s="4" t="inlineStr">
        <is>
          <t>high</t>
        </is>
      </c>
      <c r="P106" s="4" t="n">
        <v>0</v>
      </c>
      <c r="Q106" s="4" t="n">
        <v>0</v>
      </c>
      <c r="R106" s="4" t="n">
        <v>1</v>
      </c>
      <c r="S106" s="4" t="n">
        <v>0</v>
      </c>
      <c r="T106" s="4" t="n">
        <v>0</v>
      </c>
      <c r="U106" s="4" t="n">
        <v>0</v>
      </c>
      <c r="V106" s="4" t="n">
        <v>0</v>
      </c>
      <c r="W106" s="4" t="n">
        <v>0</v>
      </c>
      <c r="X106" s="4" t="n">
        <v>1</v>
      </c>
      <c r="Y106" s="4" t="n">
        <v>1</v>
      </c>
      <c r="Z106" s="4" t="n">
        <v>1</v>
      </c>
      <c r="AA106" s="4" t="n">
        <v>1</v>
      </c>
      <c r="AB106" s="4" t="inlineStr">
        <is>
          <t>1900-01-01</t>
        </is>
      </c>
      <c r="AC106" s="4" t="n">
        <v>0</v>
      </c>
      <c r="AD106" s="4" t="n">
        <v>0</v>
      </c>
      <c r="AE106" s="4" t="n">
        <v>0</v>
      </c>
      <c r="AF106" s="4" t="n">
        <v>0</v>
      </c>
      <c r="AG106" s="4" t="n">
        <v>0</v>
      </c>
      <c r="AH106" s="4" t="n">
        <v>1</v>
      </c>
      <c r="AI106" s="4" t="n">
        <v>0</v>
      </c>
      <c r="AJ106" s="4" t="inlineStr">
        <is>
          <t>1900-01-01</t>
        </is>
      </c>
      <c r="AK106" s="4" t="inlineStr">
        <is>
          <t>none_reported</t>
        </is>
      </c>
      <c r="AL106" s="4" t="inlineStr">
        <is>
          <t>Animal model; ML predicts genotype from ABR features (not ASD-vs-control clinical classification). Used as early risk indicator</t>
        </is>
      </c>
      <c r="AM106" s="4" t="inlineStr">
        <is>
          <t>RB</t>
        </is>
      </c>
      <c r="AN106" s="4" t="inlineStr">
        <is>
          <t>Tomado completo desde archivo RB según asignación</t>
        </is>
      </c>
      <c r="AO106" s="4" t="n">
        <v>0</v>
      </c>
      <c r="AP106" s="4" t="n">
        <v>0</v>
      </c>
      <c r="AQ106" s="4" t="n">
        <v>0</v>
      </c>
      <c r="AR106" s="4" t="n">
        <v>0</v>
      </c>
      <c r="AS106" s="4" t="n">
        <v>0</v>
      </c>
      <c r="AT106" s="4" t="n">
        <v>0</v>
      </c>
      <c r="AU106" s="4" t="n">
        <v>0</v>
      </c>
      <c r="AV106" s="4" t="n">
        <v>0</v>
      </c>
      <c r="AW106" s="4" t="inlineStr">
        <is>
          <t>finalized_from_available_evidence</t>
        </is>
      </c>
      <c r="AX106" s="4" t="inlineStr">
        <is>
          <t>0 means no reported evidence in title/abstract/notes/coding; it is not proof of true absence.</t>
        </is>
      </c>
    </row>
    <row r="107" ht="409" customHeight="1">
      <c r="A107" s="4" t="n">
        <v>106</v>
      </c>
      <c r="B107" s="4" t="n">
        <v>114</v>
      </c>
      <c r="C107" s="4" t="inlineStr">
        <is>
          <t>Revisor B</t>
        </is>
      </c>
      <c r="D107" s="4" t="n"/>
      <c r="E107" s="4" t="n">
        <v>2024</v>
      </c>
      <c r="F107" s="4" t="inlineStr">
        <is>
          <t>Imagen</t>
        </is>
      </c>
      <c r="G107" s="4" t="inlineStr">
        <is>
          <t>Machine Learning</t>
        </is>
      </c>
      <c r="H107" s="4" t="inlineStr">
        <is>
          <t>https://doi.org/10.1016/B978-0-443-19073-5.00018-5</t>
        </is>
      </c>
      <c r="I107" s="4" t="inlineStr">
        <is>
          <t>Early-stage identification of autism in children using gesture monitoring based on artificial intelligence</t>
        </is>
      </c>
      <c r="J107" s="4" t="inlineStr">
        <is>
          <t>This chapter explores the innovative integration of artificial intelligence (AI) and gesture monitoring for the early-stage recognition of autism spectrum disorder (ASD) in children. Early detection of ASD is crucial for initiating timely interventions that can improve developmental outcomes. This chapter begins with an overview of ASD, highlighting its definition, characteristics, prevalence, and risk factors. The impact of late diagnosis on children with ASD is discussed. This chapter presents the purpose and scope of the research, focusing on the potential of AI-based gesture monitoring in revolutionizing ASD screening and diagnosis. It outlines the current screening and diagnostic methods and challenges. To overcome these challenges, this chapter explores the advantages of early detection, emphasizing the critical role of gestures in child development and their association with ASD. Further, this chapter delves into the role of AI in health care and ASD diagnosis, with a particular focus on the application of machine learning (ML) algorithms for gesture analysis. It discusses the selection of participants, data collection techniques, and ethical considerations to ensure responsible research practices. Model training, validation, and performance metrics are also detailed to ensure the reliability and accuracy of AI models. This chapter highlights the potential impact of AI-based gesture analysis on public health, emphasizing its role in providing personalized care, supporting caregivers, and advancing research in the field. It discusses the challenges faced in implementing AI technologies and suggests improvements. In conclusion, this chapter underscores the transformative potential of AI-based gesture monitoring for early ASD identification. By addressing the challenges and leveraging the advantages of AI technologies, this chapter paves the way for innovative solutions that can significantly enhance the quality of life for those with ASD and their families.</t>
        </is>
      </c>
      <c r="K107" s="4" t="n"/>
      <c r="L107" s="4" t="n"/>
      <c r="M107" s="4" t="n"/>
      <c r="N107" s="4" t="inlineStr">
        <is>
          <t>screening</t>
        </is>
      </c>
      <c r="O107" s="4" t="inlineStr">
        <is>
          <t>high</t>
        </is>
      </c>
      <c r="P107" s="4" t="n">
        <v>0</v>
      </c>
      <c r="Q107" s="4" t="n">
        <v>0</v>
      </c>
      <c r="R107" s="4" t="n">
        <v>0</v>
      </c>
      <c r="S107" s="4" t="n">
        <v>0</v>
      </c>
      <c r="T107" s="4" t="n">
        <v>0</v>
      </c>
      <c r="U107" s="4" t="n">
        <v>0</v>
      </c>
      <c r="V107" s="4" t="n">
        <v>0</v>
      </c>
      <c r="W107" s="4" t="n">
        <v>0</v>
      </c>
      <c r="X107" s="4" t="n">
        <v>1</v>
      </c>
      <c r="Y107" s="4" t="n">
        <v>1</v>
      </c>
      <c r="Z107" s="4" t="n">
        <v>0</v>
      </c>
      <c r="AA107" s="4" t="n">
        <v>1</v>
      </c>
      <c r="AB107" s="4" t="inlineStr">
        <is>
          <t>1900-01-01</t>
        </is>
      </c>
      <c r="AC107" s="4" t="n">
        <v>0</v>
      </c>
      <c r="AD107" s="4" t="n">
        <v>0</v>
      </c>
      <c r="AE107" s="4" t="n">
        <v>0</v>
      </c>
      <c r="AF107" s="4" t="n">
        <v>0</v>
      </c>
      <c r="AG107" s="4" t="n">
        <v>1</v>
      </c>
      <c r="AH107" s="4" t="n">
        <v>0</v>
      </c>
      <c r="AI107" s="4" t="n">
        <v>0</v>
      </c>
      <c r="AJ107" s="4" t="inlineStr">
        <is>
          <t>1900-01-01</t>
        </is>
      </c>
      <c r="AK107" s="4" t="inlineStr">
        <is>
          <t>none_reported</t>
        </is>
      </c>
      <c r="AL107" s="4" t="n"/>
      <c r="AM107" s="4" t="inlineStr">
        <is>
          <t>RB</t>
        </is>
      </c>
      <c r="AN107" s="4" t="inlineStr">
        <is>
          <t>Tomado completo desde archivo RB según asignación</t>
        </is>
      </c>
      <c r="AO107" s="4" t="n">
        <v>0</v>
      </c>
      <c r="AP107" s="4" t="n">
        <v>0</v>
      </c>
      <c r="AQ107" s="4" t="n">
        <v>0</v>
      </c>
      <c r="AR107" s="4" t="n">
        <v>0</v>
      </c>
      <c r="AS107" s="4" t="n">
        <v>0</v>
      </c>
      <c r="AT107" s="4" t="n">
        <v>0</v>
      </c>
      <c r="AU107" s="4" t="n">
        <v>0</v>
      </c>
      <c r="AV107" s="4" t="n">
        <v>0</v>
      </c>
      <c r="AW107" s="4" t="inlineStr">
        <is>
          <t>finalized_from_available_evidence</t>
        </is>
      </c>
      <c r="AX107" s="4" t="inlineStr">
        <is>
          <t>0 means no reported evidence in title/abstract/notes/coding; it is not proof of true absence.</t>
        </is>
      </c>
    </row>
    <row r="108" ht="409" customHeight="1">
      <c r="A108" s="4" t="n">
        <v>107</v>
      </c>
      <c r="B108" s="4" t="n">
        <v>115</v>
      </c>
      <c r="C108" s="4" t="inlineStr">
        <is>
          <t>Revisor A</t>
        </is>
      </c>
      <c r="D108" s="4" t="inlineStr">
        <is>
          <t>RA</t>
        </is>
      </c>
      <c r="E108" s="4" t="n">
        <v>2025</v>
      </c>
      <c r="F108" s="4" t="inlineStr">
        <is>
          <t>No especificado</t>
        </is>
      </c>
      <c r="G108" s="4" t="inlineStr">
        <is>
          <t>Híbrido</t>
        </is>
      </c>
      <c r="H108" s="4" t="inlineStr">
        <is>
          <t>https://doi.org/10.1002/jdn.70034</t>
        </is>
      </c>
      <c r="I108" s="4" t="inlineStr">
        <is>
          <t>Electromagnetic Interaction Algorithm (EIA)-Based Feature Selection With Adaptive Kernel Attention Network (AKAttNet) for Autism Spectrum Disorder Classification</t>
        </is>
      </c>
      <c r="J108" s="4" t="inlineStr">
        <is>
          <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t>
        </is>
      </c>
      <c r="K108" s="4" t="inlineStr">
        <is>
          <t>Supervised</t>
        </is>
      </c>
      <c r="L108" s="4" t="inlineStr">
        <is>
          <t>CNN</t>
        </is>
      </c>
      <c r="M108" s="4" t="inlineStr">
        <is>
          <t>Classification (ASD vs control / multi-class)</t>
        </is>
      </c>
      <c r="N108" s="4" t="inlineStr">
        <is>
          <t>Screening</t>
        </is>
      </c>
      <c r="O108" s="4" t="inlineStr">
        <is>
          <t>Medium</t>
        </is>
      </c>
      <c r="P108" s="4" t="n">
        <v>0</v>
      </c>
      <c r="Q108" s="4" t="n">
        <v>0</v>
      </c>
      <c r="R108" s="4" t="n">
        <v>0</v>
      </c>
      <c r="S108" s="4" t="n">
        <v>0</v>
      </c>
      <c r="T108" s="4" t="n">
        <v>1</v>
      </c>
      <c r="U108" s="4" t="n">
        <v>0</v>
      </c>
      <c r="V108" s="4" t="n">
        <v>0</v>
      </c>
      <c r="W108" s="4" t="n">
        <v>0</v>
      </c>
      <c r="X108" s="4" t="n">
        <v>1</v>
      </c>
      <c r="Y108" s="4" t="n">
        <v>1</v>
      </c>
      <c r="Z108" s="4" t="n">
        <v>0</v>
      </c>
      <c r="AA108" s="4" t="n">
        <v>0</v>
      </c>
      <c r="AB108" s="4" t="inlineStr">
        <is>
          <t>1900-01-01</t>
        </is>
      </c>
      <c r="AC108" s="4" t="n">
        <v>0</v>
      </c>
      <c r="AD108" s="4" t="n">
        <v>0</v>
      </c>
      <c r="AE108" s="4" t="n">
        <v>0</v>
      </c>
      <c r="AF108" s="4" t="n">
        <v>0</v>
      </c>
      <c r="AG108" s="4" t="n">
        <v>1</v>
      </c>
      <c r="AH108" s="4" t="n">
        <v>1</v>
      </c>
      <c r="AI108" s="4" t="n"/>
      <c r="AJ108" s="4" t="n"/>
      <c r="AK108" s="4" t="inlineStr">
        <is>
          <t>none_reported</t>
        </is>
      </c>
      <c r="AL108" s="4" t="inlineStr">
        <is>
          <t>Algoritmo principal no explícito o fuera del codebook; Confirmar algoritmo principal en full-text; Se comparan varios modelos; se eligió el principal/mejor reportado</t>
        </is>
      </c>
      <c r="AM108" s="4" t="inlineStr">
        <is>
          <t>RA</t>
        </is>
      </c>
      <c r="AN108" s="4" t="inlineStr">
        <is>
          <t>Tomado completo desde archivo RA según asignación</t>
        </is>
      </c>
      <c r="AO108" s="4" t="n">
        <v>0</v>
      </c>
      <c r="AP108" s="4" t="n">
        <v>0</v>
      </c>
      <c r="AQ108" s="4" t="n">
        <v>0</v>
      </c>
      <c r="AR108" s="4" t="n">
        <v>0</v>
      </c>
      <c r="AS108" s="4" t="n">
        <v>0</v>
      </c>
      <c r="AT108" s="4" t="n">
        <v>0</v>
      </c>
      <c r="AU108" s="4" t="n">
        <v>0</v>
      </c>
      <c r="AV108" s="4" t="n">
        <v>0</v>
      </c>
      <c r="AW108" s="4" t="inlineStr">
        <is>
          <t>finalized_from_available_evidence</t>
        </is>
      </c>
      <c r="AX108" s="4" t="inlineStr">
        <is>
          <t>0 means no reported evidence in title/abstract/notes/coding; it is not proof of true absence.</t>
        </is>
      </c>
    </row>
    <row r="109" ht="333" customHeight="1">
      <c r="A109" s="4" t="n">
        <v>108</v>
      </c>
      <c r="B109" s="4" t="n">
        <v>116</v>
      </c>
      <c r="C109" s="4" t="inlineStr">
        <is>
          <t>Revisor A</t>
        </is>
      </c>
      <c r="D109" s="4" t="inlineStr">
        <is>
          <t>RA</t>
        </is>
      </c>
      <c r="E109" s="4" t="n">
        <v>2016</v>
      </c>
      <c r="F109" s="4" t="inlineStr">
        <is>
          <t>No especificado</t>
        </is>
      </c>
      <c r="G109" s="4" t="inlineStr">
        <is>
          <t>Deep Learning</t>
        </is>
      </c>
      <c r="H109" s="4" t="inlineStr">
        <is>
          <t>https://doi.org/10.1038/tp.2015.221</t>
        </is>
      </c>
      <c r="I109" s="4" t="inlineStr">
        <is>
          <t>Use of machine learning for behavioral distinction of autism and ADHD</t>
        </is>
      </c>
      <c r="J109" s="4" t="inlineStr">
        <is>
          <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t>
        </is>
      </c>
      <c r="K109" s="4" t="inlineStr">
        <is>
          <t>Supervised</t>
        </is>
      </c>
      <c r="L109" s="4" t="inlineStr">
        <is>
          <t>Other / Not clear</t>
        </is>
      </c>
      <c r="M109" s="4" t="inlineStr">
        <is>
          <t>Classification (ASD vs control / multi-class)</t>
        </is>
      </c>
      <c r="N109" s="4" t="inlineStr">
        <is>
          <t>Screening</t>
        </is>
      </c>
      <c r="O109" s="4" t="inlineStr">
        <is>
          <t>Medium</t>
        </is>
      </c>
      <c r="P109" s="4" t="n">
        <v>0</v>
      </c>
      <c r="Q109" s="4" t="n">
        <v>0</v>
      </c>
      <c r="R109" s="4" t="n">
        <v>0</v>
      </c>
      <c r="S109" s="4" t="n">
        <v>0</v>
      </c>
      <c r="T109" s="4" t="n">
        <v>1</v>
      </c>
      <c r="U109" s="4" t="n">
        <v>0</v>
      </c>
      <c r="V109" s="4" t="n">
        <v>0</v>
      </c>
      <c r="W109" s="4" t="n">
        <v>0</v>
      </c>
      <c r="X109" s="4" t="n">
        <v>1</v>
      </c>
      <c r="Y109" s="4" t="n">
        <v>0</v>
      </c>
      <c r="Z109" s="4" t="n">
        <v>0</v>
      </c>
      <c r="AA109" s="4" t="n">
        <v>0</v>
      </c>
      <c r="AB109" s="4" t="inlineStr">
        <is>
          <t>1900-01-01</t>
        </is>
      </c>
      <c r="AC109" s="4" t="n">
        <v>0</v>
      </c>
      <c r="AD109" s="4" t="n">
        <v>0</v>
      </c>
      <c r="AE109" s="4" t="n">
        <v>0</v>
      </c>
      <c r="AF109" s="4" t="n">
        <v>0</v>
      </c>
      <c r="AG109" s="4" t="n">
        <v>1</v>
      </c>
      <c r="AH109" s="4" t="n">
        <v>1</v>
      </c>
      <c r="AI109" s="4" t="n"/>
      <c r="AJ109" s="4" t="n"/>
      <c r="AK109" s="4" t="inlineStr">
        <is>
          <t>internal_validation_only</t>
        </is>
      </c>
      <c r="AL109" s="4" t="inlineStr">
        <is>
          <t>Usa puntajes SRS para distinguir ASD vs ADHD; aunque es herramienta de cribado, el objetivo es distinción diagnóstica diferencial.</t>
        </is>
      </c>
      <c r="AM109" s="4" t="inlineStr">
        <is>
          <t>RA</t>
        </is>
      </c>
      <c r="AN109" s="4" t="inlineStr">
        <is>
          <t>Tomado completo desde archivo RA según asignación</t>
        </is>
      </c>
      <c r="AO109" s="4" t="n">
        <v>0</v>
      </c>
      <c r="AP109" s="4" t="n">
        <v>0</v>
      </c>
      <c r="AQ109" s="4" t="n">
        <v>0</v>
      </c>
      <c r="AR109" s="4" t="n">
        <v>1</v>
      </c>
      <c r="AS109" s="4" t="n">
        <v>0</v>
      </c>
      <c r="AT109" s="4" t="n">
        <v>0</v>
      </c>
      <c r="AU109" s="4" t="n">
        <v>0</v>
      </c>
      <c r="AV109" s="4" t="n">
        <v>0</v>
      </c>
      <c r="AW109" s="4" t="inlineStr">
        <is>
          <t>finalized_from_available_evidence</t>
        </is>
      </c>
      <c r="AX109" s="4" t="inlineStr">
        <is>
          <t>0 means no reported evidence in title/abstract/notes/coding; it is not proof of true absence.</t>
        </is>
      </c>
    </row>
    <row r="110" ht="409" customHeight="1">
      <c r="A110" s="4" t="n">
        <v>109</v>
      </c>
      <c r="B110" s="4" t="n">
        <v>117</v>
      </c>
      <c r="C110" s="4" t="inlineStr">
        <is>
          <t>Ambos (piloto)</t>
        </is>
      </c>
      <c r="D110" s="4" t="inlineStr">
        <is>
          <t>RA</t>
        </is>
      </c>
      <c r="E110" s="4" t="n">
        <v>2019</v>
      </c>
      <c r="F110" s="4" t="inlineStr">
        <is>
          <t>No especificado</t>
        </is>
      </c>
      <c r="G110" s="4" t="inlineStr">
        <is>
          <t>Deep Learning</t>
        </is>
      </c>
      <c r="H110" s="4" t="inlineStr">
        <is>
          <t>https://doi.org/10.1097/DBP.0000000000000668</t>
        </is>
      </c>
      <c r="I110" s="4" t="inlineStr">
        <is>
          <t>A Machine Learning Strategy for Autism Screening in Toddlers</t>
        </is>
      </c>
      <c r="J110" s="4" t="inlineStr">
        <is>
          <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t>
        </is>
      </c>
      <c r="K110" s="4" t="inlineStr">
        <is>
          <t>Supervised</t>
        </is>
      </c>
      <c r="L110" s="4" t="inlineStr">
        <is>
          <t>MLP</t>
        </is>
      </c>
      <c r="M110" s="4" t="inlineStr">
        <is>
          <t>Classification (ASD vs control / multi-class)</t>
        </is>
      </c>
      <c r="N110" s="4" t="inlineStr">
        <is>
          <t>Screening</t>
        </is>
      </c>
      <c r="O110" s="4" t="inlineStr">
        <is>
          <t>High</t>
        </is>
      </c>
      <c r="P110" s="4" t="n">
        <v>0</v>
      </c>
      <c r="Q110" s="4" t="n">
        <v>0</v>
      </c>
      <c r="R110" s="4" t="n">
        <v>0</v>
      </c>
      <c r="S110" s="4" t="n">
        <v>0</v>
      </c>
      <c r="T110" s="4" t="n">
        <v>1</v>
      </c>
      <c r="U110" s="4" t="n">
        <v>0</v>
      </c>
      <c r="V110" s="4" t="n">
        <v>0</v>
      </c>
      <c r="W110" s="4" t="n">
        <v>0</v>
      </c>
      <c r="X110" s="4" t="n">
        <v>1</v>
      </c>
      <c r="Y110" s="4" t="n">
        <v>0</v>
      </c>
      <c r="Z110" s="4" t="n">
        <v>0</v>
      </c>
      <c r="AA110" s="4" t="n">
        <v>0</v>
      </c>
      <c r="AB110" s="4" t="inlineStr">
        <is>
          <t>1900-01-01</t>
        </is>
      </c>
      <c r="AC110" s="4" t="n">
        <v>0</v>
      </c>
      <c r="AD110" s="4" t="n">
        <v>1</v>
      </c>
      <c r="AE110" s="4" t="n">
        <v>0</v>
      </c>
      <c r="AF110" s="4" t="n">
        <v>0</v>
      </c>
      <c r="AG110" s="4" t="n">
        <v>0</v>
      </c>
      <c r="AH110" s="4" t="n">
        <v>1</v>
      </c>
      <c r="AI110" s="4" t="n"/>
      <c r="AJ110" s="4" t="n"/>
      <c r="AK110" s="4" t="inlineStr">
        <is>
          <t>explainability_or_interpretability</t>
        </is>
      </c>
      <c r="AL110" s="4" t="inlineStr">
        <is>
          <t>Feedforward neural network aplicado a M-CHAT-R para cribado en toddlers.</t>
        </is>
      </c>
      <c r="AM110" s="4" t="inlineStr">
        <is>
          <t>RA</t>
        </is>
      </c>
      <c r="AN110" s="4" t="inlineStr">
        <is>
          <t>Tomado completo desde archivo RA según asignación</t>
        </is>
      </c>
      <c r="AO110" s="4" t="n">
        <v>0</v>
      </c>
      <c r="AP110" s="4" t="n">
        <v>0</v>
      </c>
      <c r="AQ110" s="4" t="n">
        <v>0</v>
      </c>
      <c r="AR110" s="4" t="n">
        <v>0</v>
      </c>
      <c r="AS110" s="4" t="n">
        <v>0</v>
      </c>
      <c r="AT110" s="4" t="n">
        <v>0</v>
      </c>
      <c r="AU110" s="4" t="n">
        <v>1</v>
      </c>
      <c r="AV110" s="4" t="n">
        <v>0</v>
      </c>
      <c r="AW110" s="4" t="inlineStr">
        <is>
          <t>finalized_from_available_evidence</t>
        </is>
      </c>
      <c r="AX110" s="4" t="inlineStr">
        <is>
          <t>0 means no reported evidence in title/abstract/notes/coding; it is not proof of true absence.</t>
        </is>
      </c>
    </row>
    <row r="111" ht="333" customHeight="1">
      <c r="A111" s="4" t="n">
        <v>110</v>
      </c>
      <c r="B111" s="4" t="n">
        <v>118</v>
      </c>
      <c r="C111" s="4" t="inlineStr">
        <is>
          <t>Revisor B</t>
        </is>
      </c>
      <c r="D111" s="4" t="n"/>
      <c r="E111" s="4" t="n">
        <v>2023</v>
      </c>
      <c r="F111" s="4" t="inlineStr">
        <is>
          <t>Imagen</t>
        </is>
      </c>
      <c r="G111" s="4" t="inlineStr">
        <is>
          <t>Deep Learning</t>
        </is>
      </c>
      <c r="H111" s="4" t="inlineStr">
        <is>
          <t>https://doi.org/10.1038/s41591-023-02574-3</t>
        </is>
      </c>
      <c r="I111" s="4" t="inlineStr">
        <is>
          <t>Early detection of autism using digital behavioral phenotyping</t>
        </is>
      </c>
      <c r="J111" s="4" t="inlineStr">
        <is>
          <t>Early detection of autism, a neurodevelopmental condition associated with challenges in social communication, ensures timely access to intervention. Autism screening questionnaires have been shown to have lower accuracy when used in real-world settings, such as primary care, as compared to research studies, particularly for children of color and girls. 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 The app displayed stimuli that elicited behavioral signs of autism, quantified using computer vision and machine learning. An algorithm combining multiple digital phenotypes showed high diagnostic accuracy with the area under the receiver operating characteristic curve = 0.90, sensitivity = 87.8%, specificity = 80.8%, negative predictive value = 97.8% and positive predictive value = 40.6%. The algorithm had similar sensitivity performance across subgroups as defined by sex, race and ethnicity. These results demonstrate the potential for digital phenotyping to provide an objective, scalable approach to autism screening in real-world settings. Moreover, combining results from digital phenotyping and caregiver questionnaires may increase autism screening accuracy and help reduce disparities in access to diagnosis and intervention.</t>
        </is>
      </c>
      <c r="K111" s="4" t="inlineStr">
        <is>
          <t>Supervised</t>
        </is>
      </c>
      <c r="L111" s="4" t="inlineStr">
        <is>
          <t>XGBoost / GBDT</t>
        </is>
      </c>
      <c r="M111" s="4" t="inlineStr">
        <is>
          <t>Classification (binary/multi-class; incl. ASD vs control)/ multi-class)</t>
        </is>
      </c>
      <c r="N111" s="4" t="inlineStr">
        <is>
          <t>Screening</t>
        </is>
      </c>
      <c r="O111" s="4" t="inlineStr">
        <is>
          <t>high</t>
        </is>
      </c>
      <c r="P111" s="4" t="n">
        <v>0</v>
      </c>
      <c r="Q111" s="4" t="n">
        <v>1</v>
      </c>
      <c r="R111" s="4" t="n">
        <v>0</v>
      </c>
      <c r="S111" s="4" t="n">
        <v>0</v>
      </c>
      <c r="T111" s="4" t="n">
        <v>0</v>
      </c>
      <c r="U111" s="4" t="n">
        <v>0</v>
      </c>
      <c r="V111" s="4" t="n">
        <v>0</v>
      </c>
      <c r="W111" s="4" t="n">
        <v>0</v>
      </c>
      <c r="X111" s="4" t="n">
        <v>0</v>
      </c>
      <c r="Y111" s="4" t="n">
        <v>1</v>
      </c>
      <c r="Z111" s="4" t="n">
        <v>0</v>
      </c>
      <c r="AA111" s="4" t="n">
        <v>1</v>
      </c>
      <c r="AB111" s="4" t="inlineStr">
        <is>
          <t>1900-01-01</t>
        </is>
      </c>
      <c r="AC111" s="4" t="n">
        <v>1</v>
      </c>
      <c r="AD111" s="4" t="n">
        <v>0</v>
      </c>
      <c r="AE111" s="4" t="n">
        <v>0</v>
      </c>
      <c r="AF111" s="4" t="n">
        <v>0</v>
      </c>
      <c r="AG111" s="4" t="n">
        <v>1</v>
      </c>
      <c r="AH111" s="4" t="n">
        <v>1</v>
      </c>
      <c r="AI111" s="4" t="n">
        <v>0</v>
      </c>
      <c r="AJ111" s="4" t="inlineStr">
        <is>
          <t>1900-01-01</t>
        </is>
      </c>
      <c r="AK111" s="4" t="inlineStr">
        <is>
          <t>external_validation; prospective_evaluation</t>
        </is>
      </c>
      <c r="AL111" s="4" t="n"/>
      <c r="AM111" s="4" t="inlineStr">
        <is>
          <t>RB</t>
        </is>
      </c>
      <c r="AN111" s="4" t="inlineStr">
        <is>
          <t>Tomado completo desde archivo RB según asignación</t>
        </is>
      </c>
      <c r="AO111" s="4" t="n">
        <v>0</v>
      </c>
      <c r="AP111" s="4" t="n">
        <v>0</v>
      </c>
      <c r="AQ111" s="4" t="n">
        <v>0</v>
      </c>
      <c r="AR111" s="4" t="n">
        <v>0</v>
      </c>
      <c r="AS111" s="4" t="n">
        <v>1</v>
      </c>
      <c r="AT111" s="4" t="n">
        <v>0</v>
      </c>
      <c r="AU111" s="4" t="n">
        <v>0</v>
      </c>
      <c r="AV111" s="4" t="n">
        <v>0</v>
      </c>
      <c r="AW111" s="4" t="inlineStr">
        <is>
          <t>finalized_from_available_evidence</t>
        </is>
      </c>
      <c r="AX111" s="4" t="inlineStr">
        <is>
          <t>0 means no reported evidence in title/abstract/notes/coding; it is not proof of true absence.</t>
        </is>
      </c>
    </row>
    <row r="112" ht="229" customHeight="1">
      <c r="A112" s="4" t="n">
        <v>111</v>
      </c>
      <c r="B112" s="4" t="n">
        <v>119</v>
      </c>
      <c r="C112" s="4" t="inlineStr">
        <is>
          <t>Revisor B</t>
        </is>
      </c>
      <c r="D112" s="4" t="n"/>
      <c r="E112" s="4" t="n">
        <v>2016</v>
      </c>
      <c r="F112" s="4" t="inlineStr">
        <is>
          <t>No especificado</t>
        </is>
      </c>
      <c r="G112" s="4" t="inlineStr">
        <is>
          <t>Machine Learning</t>
        </is>
      </c>
      <c r="H112" s="4" t="inlineStr">
        <is>
          <t>https://doi.org/10.1109/EMBC.2016.7591440</t>
        </is>
      </c>
      <c r="I112" s="4" t="inlineStr">
        <is>
          <t>Ensemble statistical and subspace clustering model for analysis of autism spectrum disorder phenotypes</t>
        </is>
      </c>
      <c r="J112" s="4" t="inlineStr">
        <is>
          <t>Heterogeneity in Autism Spectrum Disorder (ASD) is complex including variability in behavioral phenotype as well as clinical, physiologic, and pathologic parameters. The fifth edition of the Diagnostic and Statistical Manual of Mental Disorders (DSM-5) now diagnoses ASD using a 2-dimensional model based social communication deficits and fixated interests and repetitive behaviors. Sorting out heterogeneity is crucial for study of etiology, diagnosis, treatment and prognosis. In this paper, we present an ensemble model for analyzing ASD phenotypes using several machine learning techniques and a k-dimensional subspace clustering algorithm. Our ensemble also incorporates statistical methods at several stages of analysis. We apply this model to a sample of 208 probands drawn from the Simon Simplex Collection Missouri Site patients. The results provide useful evidence that is helpful in elucidating the phenotype complexity within ASD. Our model can be extended to other disorders that exhibit a diverse range of heterogeneity.</t>
        </is>
      </c>
      <c r="K112" s="4" t="inlineStr">
        <is>
          <t>Unsupervised</t>
        </is>
      </c>
      <c r="L112" s="4" t="inlineStr">
        <is>
          <t>Clustering (k-means / GMM / ...)</t>
        </is>
      </c>
      <c r="M112" s="4" t="inlineStr">
        <is>
          <t>Clustering / subtyping</t>
        </is>
      </c>
      <c r="N112" s="4" t="inlineStr">
        <is>
          <t>Monitoring/intervention</t>
        </is>
      </c>
      <c r="O112" s="4" t="inlineStr">
        <is>
          <t>high</t>
        </is>
      </c>
      <c r="P112" s="4" t="n">
        <v>0</v>
      </c>
      <c r="Q112" s="4" t="n">
        <v>0</v>
      </c>
      <c r="R112" s="4" t="n">
        <v>1</v>
      </c>
      <c r="S112" s="4" t="n">
        <v>1</v>
      </c>
      <c r="T112" s="4" t="n">
        <v>0</v>
      </c>
      <c r="U112" s="4" t="n">
        <v>0</v>
      </c>
      <c r="V112" s="4" t="n">
        <v>1</v>
      </c>
      <c r="W112" s="4" t="n">
        <v>0</v>
      </c>
      <c r="X112" s="4" t="n">
        <v>1</v>
      </c>
      <c r="Y112" s="4" t="n">
        <v>1</v>
      </c>
      <c r="Z112" s="4" t="n">
        <v>0</v>
      </c>
      <c r="AA112" s="4" t="n">
        <v>0</v>
      </c>
      <c r="AB112" s="4" t="inlineStr">
        <is>
          <t>1900-01-01</t>
        </is>
      </c>
      <c r="AC112" s="4" t="n">
        <v>0</v>
      </c>
      <c r="AD112" s="4" t="n">
        <v>0</v>
      </c>
      <c r="AE112" s="4" t="n">
        <v>0</v>
      </c>
      <c r="AF112" s="4" t="n">
        <v>1</v>
      </c>
      <c r="AG112" s="4" t="n">
        <v>0</v>
      </c>
      <c r="AH112" s="4" t="n">
        <v>3</v>
      </c>
      <c r="AI112" s="4" t="n">
        <v>1</v>
      </c>
      <c r="AJ112" s="4" t="inlineStr">
        <is>
          <t>1900-01-01</t>
        </is>
      </c>
      <c r="AK112" s="4" t="inlineStr">
        <is>
          <t>multisource_integration</t>
        </is>
      </c>
      <c r="AL112" s="4" t="inlineStr">
        <is>
          <t>Estudio de subtipificación/heterogeneidad en una cohorte ASD ya confirmada (SSC; ADI-R/ADOS); no clasifica ASD vs control como endpoint principal</t>
        </is>
      </c>
      <c r="AM112" s="4" t="inlineStr">
        <is>
          <t>RB</t>
        </is>
      </c>
      <c r="AN112" s="4" t="inlineStr">
        <is>
          <t>Tomado completo desde archivo RB según asignación</t>
        </is>
      </c>
      <c r="AO112" s="4" t="n">
        <v>0</v>
      </c>
      <c r="AP112" s="4" t="n">
        <v>0</v>
      </c>
      <c r="AQ112" s="4" t="n">
        <v>0</v>
      </c>
      <c r="AR112" s="4" t="n">
        <v>0</v>
      </c>
      <c r="AS112" s="4" t="n">
        <v>0</v>
      </c>
      <c r="AT112" s="4" t="n">
        <v>0</v>
      </c>
      <c r="AU112" s="4" t="n">
        <v>0</v>
      </c>
      <c r="AV112" s="4" t="n">
        <v>1</v>
      </c>
      <c r="AW112" s="4" t="inlineStr">
        <is>
          <t>finalized_from_available_evidence</t>
        </is>
      </c>
      <c r="AX112" s="4" t="inlineStr">
        <is>
          <t>0 means no reported evidence in title/abstract/notes/coding; it is not proof of true absence.</t>
        </is>
      </c>
    </row>
    <row r="113" ht="346" customHeight="1">
      <c r="A113" s="4" t="n">
        <v>112</v>
      </c>
      <c r="B113" s="4" t="n">
        <v>120</v>
      </c>
      <c r="C113" s="4" t="inlineStr">
        <is>
          <t>Revisor A</t>
        </is>
      </c>
      <c r="D113" s="4" t="inlineStr">
        <is>
          <t>RA</t>
        </is>
      </c>
      <c r="E113" s="4" t="n">
        <v>2025</v>
      </c>
      <c r="F113" s="4" t="inlineStr">
        <is>
          <t>Imagen</t>
        </is>
      </c>
      <c r="G113" s="4" t="inlineStr">
        <is>
          <t>Machine Learning</t>
        </is>
      </c>
      <c r="H113" s="4" t="inlineStr">
        <is>
          <t>https://doi.org/10.1038/s41598-025-01500-6</t>
        </is>
      </c>
      <c r="I113" s="4" t="inlineStr">
        <is>
          <t>Screening autism spectrum disorder in children using machine learning on speech transcripts</t>
        </is>
      </c>
      <c r="J113" s="4"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K113" s="4" t="inlineStr">
        <is>
          <t>Supervised</t>
        </is>
      </c>
      <c r="L113" s="4" t="inlineStr">
        <is>
          <t>Other / Not clear</t>
        </is>
      </c>
      <c r="M113" s="4" t="inlineStr">
        <is>
          <t>Classification (ASD vs control / multi-class)</t>
        </is>
      </c>
      <c r="N113" s="4" t="inlineStr">
        <is>
          <t>Screening</t>
        </is>
      </c>
      <c r="O113" s="4" t="inlineStr">
        <is>
          <t>Medium</t>
        </is>
      </c>
      <c r="P113" s="4" t="n">
        <v>0</v>
      </c>
      <c r="Q113" s="4" t="n">
        <v>0</v>
      </c>
      <c r="R113" s="4" t="n">
        <v>0</v>
      </c>
      <c r="S113" s="4" t="n">
        <v>1</v>
      </c>
      <c r="T113" s="4" t="n">
        <v>1</v>
      </c>
      <c r="U113" s="4" t="n">
        <v>0</v>
      </c>
      <c r="V113" s="4" t="n">
        <v>0</v>
      </c>
      <c r="W113" s="4" t="n">
        <v>0</v>
      </c>
      <c r="X113" s="4" t="n">
        <v>1</v>
      </c>
      <c r="Y113" s="4" t="n">
        <v>0</v>
      </c>
      <c r="Z113" s="4" t="n">
        <v>0</v>
      </c>
      <c r="AA113" s="4" t="n">
        <v>0</v>
      </c>
      <c r="AB113" s="4" t="inlineStr">
        <is>
          <t>1900-01-01</t>
        </is>
      </c>
      <c r="AC113" s="4" t="n">
        <v>0</v>
      </c>
      <c r="AD113" s="4" t="n">
        <v>0</v>
      </c>
      <c r="AE113" s="4" t="n">
        <v>0</v>
      </c>
      <c r="AF113" s="4" t="n">
        <v>1</v>
      </c>
      <c r="AG113" s="4" t="n">
        <v>1</v>
      </c>
      <c r="AH113" s="4" t="n">
        <v>2</v>
      </c>
      <c r="AI113" s="4" t="inlineStr">
        <is>
          <t>text / transcripts</t>
        </is>
      </c>
      <c r="AJ113" s="4" t="n"/>
      <c r="AK113" s="4" t="inlineStr">
        <is>
          <t>multisource_integration</t>
        </is>
      </c>
      <c r="AL113" s="4" t="inlineStr">
        <is>
          <t>Algoritmo principal no explícito o fuera del codebook; Confirmar algoritmo principal en full-text</t>
        </is>
      </c>
      <c r="AM113" s="4" t="inlineStr">
        <is>
          <t>RA</t>
        </is>
      </c>
      <c r="AN113" s="4" t="inlineStr">
        <is>
          <t>Tomado completo desde archivo RA según asignación</t>
        </is>
      </c>
      <c r="AO113" s="4" t="n">
        <v>0</v>
      </c>
      <c r="AP113" s="4" t="n">
        <v>0</v>
      </c>
      <c r="AQ113" s="4" t="n">
        <v>0</v>
      </c>
      <c r="AR113" s="4" t="n">
        <v>0</v>
      </c>
      <c r="AS113" s="4" t="n">
        <v>0</v>
      </c>
      <c r="AT113" s="4" t="n">
        <v>0</v>
      </c>
      <c r="AU113" s="4" t="n">
        <v>0</v>
      </c>
      <c r="AV113" s="4" t="n">
        <v>1</v>
      </c>
      <c r="AW113" s="4" t="inlineStr">
        <is>
          <t>finalized_from_available_evidence</t>
        </is>
      </c>
      <c r="AX113" s="4" t="inlineStr">
        <is>
          <t>0 means no reported evidence in title/abstract/notes/coding; it is not proof of true absence.</t>
        </is>
      </c>
    </row>
    <row r="114" ht="409" customHeight="1">
      <c r="A114" s="4" t="n">
        <v>113</v>
      </c>
      <c r="B114" s="4" t="n">
        <v>121</v>
      </c>
      <c r="C114" s="4" t="inlineStr">
        <is>
          <t>Revisor B</t>
        </is>
      </c>
      <c r="D114" s="4" t="n"/>
      <c r="E114" s="4" t="n">
        <v>2016</v>
      </c>
      <c r="F114" s="4" t="inlineStr">
        <is>
          <t>Texto · NLP</t>
        </is>
      </c>
      <c r="G114" s="4" t="inlineStr">
        <is>
          <t>Deep Learning</t>
        </is>
      </c>
      <c r="H114" s="4" t="inlineStr">
        <is>
          <t>https://doi.org/10.1016/j.jaac.2016.07.715</t>
        </is>
      </c>
      <c r="I114" s="4" t="inlineStr">
        <is>
          <t>46.3 ARTIFICIAL INTELLIGENCE: UTILIZING GOOGLE GLASS AND OTHER MOBILE APPLICATIONS FOR SOCIAL SKILLS TRAINING IN AUTISM SPECTRUM DISORDERS</t>
        </is>
      </c>
      <c r="J114" s="4" t="inlineStr">
        <is>
          <t>Objectives: Deficits in social communication are defining features of ASD. Although prognosis can be improved significantly with intervention, existing interventions are resource intensive and often do not generalize to new contexts. Technology-aided interventions (TAI) can help overcome current limitations by providing a motivating, low cost, and versatile treatment option. Although early studies support the feasibility and potential effectiveness of TAI for social skills training in ASD, existing approaches have been criticized for their focus on human-to-computer interaction. A Google Glass-based application (app) was developed to guide children with ASD through human-to-human social interactions. Upon completion of this Clinical Perspectives, participants will be able to do the following: 1) summarize novel applications and research findings of TAI for children with ASD, including results from a usability study with the Google Glass; and 2) apply information learned regarding TAI to the daily clinical practice of treating youth with ASD. Methods: Children (n = 10; mean age = 13.2 years, sigma = 1.5; verbal IQ score = 104.4, sigma = 20.9; Social Communication Questionnaire score = 19, sigma = 3.5) with ASD were recruited to be participants. During each session, the participants used the app while engaging in a structured restaurant-themed interaction with a research assistant. Based on International Organization for Standardization 9241 (ISO 9241), the app was evaluated on its efficiency and user satisfaction. Results: The app's detection accuracy and recognition accuracy were 97 and 89 percent, respectively. The users' average response time was 2.5 seconds, and the system's average response time was -0.25 seconds. Notable user feedback on perceived experience (based on a 5-point Likert scale) includes the participant's belief that the app can help them in daily life (4.0/5) and that the app can help children communicate to people (4.0/5). Conclusions: To the best of our knowledge, this system is the first TAI for ASD that uses human-to-human coaching in naturalistic settings, and the results show that the device is an appropriate medium for treatment delivery. An effective application of technology can overcome many of the current barriers to treatment and, ultimately, help deliver higher-quality treatments to a larger and more diverse population of children.</t>
        </is>
      </c>
      <c r="K114" s="4" t="n"/>
      <c r="L114" s="4" t="n"/>
      <c r="M114" s="4" t="inlineStr">
        <is>
          <t>Technology-assisted social-skills intervention</t>
        </is>
      </c>
      <c r="N114" s="4" t="inlineStr">
        <is>
          <t>Monitoring/intervention</t>
        </is>
      </c>
      <c r="O114" s="4" t="n"/>
      <c r="P114" s="4" t="n"/>
      <c r="Q114" s="4" t="n"/>
      <c r="R114" s="4" t="n"/>
      <c r="S114" s="4" t="n"/>
      <c r="T114" s="4" t="n"/>
      <c r="U114" s="4" t="n"/>
      <c r="V114" s="4" t="n"/>
      <c r="W114" s="4" t="n">
        <v>0</v>
      </c>
      <c r="X114" s="4" t="n">
        <v>0</v>
      </c>
      <c r="Y114" s="4" t="n">
        <v>0</v>
      </c>
      <c r="Z114" s="4" t="n">
        <v>0</v>
      </c>
      <c r="AA114" s="4" t="n">
        <v>1</v>
      </c>
      <c r="AB114" s="4" t="inlineStr">
        <is>
          <t>1900-01-01</t>
        </is>
      </c>
      <c r="AC114" s="4" t="n">
        <v>0</v>
      </c>
      <c r="AD114" s="4" t="n">
        <v>0</v>
      </c>
      <c r="AE114" s="4" t="n">
        <v>0</v>
      </c>
      <c r="AF114" s="4" t="n">
        <v>0</v>
      </c>
      <c r="AG114" s="4" t="n"/>
      <c r="AH114" s="4" t="n"/>
      <c r="AI114" s="4" t="n"/>
      <c r="AJ114" s="4" t="inlineStr">
        <is>
          <t>1900-01-01</t>
        </is>
      </c>
      <c r="AK114" s="4" t="inlineStr">
        <is>
          <t>none_reported</t>
        </is>
      </c>
      <c r="AL114" s="4" t="inlineStr">
        <is>
          <t>Sin señal explícita Q3 en título/abstract.</t>
        </is>
      </c>
      <c r="AM114" s="4" t="inlineStr">
        <is>
          <t>RA_fallback</t>
        </is>
      </c>
      <c r="AN114" s="4" t="inlineStr">
        <is>
          <t>Fallback a RA porque el ID no está en RB</t>
        </is>
      </c>
      <c r="AO114" s="4" t="n">
        <v>1</v>
      </c>
      <c r="AP114" s="4" t="n">
        <v>0</v>
      </c>
      <c r="AQ114" s="4" t="n">
        <v>0</v>
      </c>
      <c r="AR114" s="4" t="n">
        <v>0</v>
      </c>
      <c r="AS114" s="4" t="n">
        <v>0</v>
      </c>
      <c r="AT114" s="4" t="n">
        <v>0</v>
      </c>
      <c r="AU114" s="4" t="n">
        <v>0</v>
      </c>
      <c r="AV114" s="4" t="n">
        <v>0</v>
      </c>
      <c r="AW114" s="4" t="inlineStr">
        <is>
          <t>finalized_from_available_evidence</t>
        </is>
      </c>
      <c r="AX114" s="4" t="inlineStr">
        <is>
          <t>0 means no reported evidence in title/abstract/notes/coding; it is not proof of true absence.</t>
        </is>
      </c>
    </row>
    <row r="115" ht="385" customHeight="1">
      <c r="A115" s="4" t="n">
        <v>114</v>
      </c>
      <c r="B115" s="4" t="n">
        <v>122</v>
      </c>
      <c r="C115" s="4" t="inlineStr">
        <is>
          <t>Revisor B</t>
        </is>
      </c>
      <c r="D115" s="4" t="n"/>
      <c r="E115" s="4" t="n">
        <v>2025</v>
      </c>
      <c r="F115" s="4" t="inlineStr">
        <is>
          <t>Señales fisiológicas</t>
        </is>
      </c>
      <c r="G115" s="4" t="inlineStr">
        <is>
          <t>Híbrido</t>
        </is>
      </c>
      <c r="H115" s="4" t="inlineStr">
        <is>
          <t>https://doi.org/10.1109/ACCESS.2025.3531979</t>
        </is>
      </c>
      <c r="I115" s="4" t="inlineStr">
        <is>
          <t>A Quantum-Based Machine Learning Approach for Autism Detection Using Common Spatial Patterns of EEG Signals</t>
        </is>
      </c>
      <c r="J115" s="4" t="inlineStr">
        <is>
          <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t>
        </is>
      </c>
      <c r="K115" s="4" t="inlineStr">
        <is>
          <t>Supervised</t>
        </is>
      </c>
      <c r="L115" s="4" t="inlineStr">
        <is>
          <t>SVM</t>
        </is>
      </c>
      <c r="M115" s="4" t="inlineStr">
        <is>
          <t>Classification (binary/multi-class; incl. ASD vs control)/ multi-class)</t>
        </is>
      </c>
      <c r="N115" s="4" t="inlineStr">
        <is>
          <t>Diagnosis</t>
        </is>
      </c>
      <c r="O115" s="4" t="inlineStr">
        <is>
          <t>high</t>
        </is>
      </c>
      <c r="P115" s="4" t="n">
        <v>0</v>
      </c>
      <c r="Q115" s="4" t="n">
        <v>0</v>
      </c>
      <c r="R115" s="4" t="n">
        <v>0</v>
      </c>
      <c r="S115" s="4" t="n">
        <v>1</v>
      </c>
      <c r="T115" s="4" t="n">
        <v>0</v>
      </c>
      <c r="U115" s="4" t="n">
        <v>0</v>
      </c>
      <c r="V115" s="4" t="n">
        <v>0</v>
      </c>
      <c r="W115" s="4" t="n">
        <v>0</v>
      </c>
      <c r="X115" s="4" t="n">
        <v>1</v>
      </c>
      <c r="Y115" s="4" t="n">
        <v>1</v>
      </c>
      <c r="Z115" s="4" t="n">
        <v>0</v>
      </c>
      <c r="AA115" s="4" t="n">
        <v>1</v>
      </c>
      <c r="AB115" s="4" t="inlineStr">
        <is>
          <t>1900-01-01</t>
        </is>
      </c>
      <c r="AC115" s="4" t="n">
        <v>0</v>
      </c>
      <c r="AD115" s="4" t="n">
        <v>0</v>
      </c>
      <c r="AE115" s="4" t="n">
        <v>0</v>
      </c>
      <c r="AF115" s="4" t="n">
        <v>0</v>
      </c>
      <c r="AG115" s="4" t="n">
        <v>0</v>
      </c>
      <c r="AH115" s="4" t="n">
        <v>1</v>
      </c>
      <c r="AI115" s="4" t="n">
        <v>0</v>
      </c>
      <c r="AJ115" s="4" t="inlineStr">
        <is>
          <t>00:00:00</t>
        </is>
      </c>
      <c r="AK115" s="4" t="inlineStr">
        <is>
          <t>none_reported</t>
        </is>
      </c>
      <c r="AL115" s="4" t="n"/>
      <c r="AM115" s="4" t="inlineStr">
        <is>
          <t>RB</t>
        </is>
      </c>
      <c r="AN115" s="4" t="inlineStr">
        <is>
          <t>Tomado completo desde archivo RB según asignación</t>
        </is>
      </c>
      <c r="AO115" s="4" t="n">
        <v>0</v>
      </c>
      <c r="AP115" s="4" t="n">
        <v>0</v>
      </c>
      <c r="AQ115" s="4" t="n">
        <v>0</v>
      </c>
      <c r="AR115" s="4" t="n">
        <v>0</v>
      </c>
      <c r="AS115" s="4" t="n">
        <v>0</v>
      </c>
      <c r="AT115" s="4" t="n">
        <v>0</v>
      </c>
      <c r="AU115" s="4" t="n">
        <v>0</v>
      </c>
      <c r="AV115" s="4" t="n">
        <v>0</v>
      </c>
      <c r="AW115" s="4" t="inlineStr">
        <is>
          <t>finalized_from_available_evidence</t>
        </is>
      </c>
      <c r="AX115" s="4" t="inlineStr">
        <is>
          <t>0 means no reported evidence in title/abstract/notes/coding; it is not proof of true absence.</t>
        </is>
      </c>
    </row>
    <row r="116" ht="346" customHeight="1">
      <c r="A116" s="4" t="n">
        <v>115</v>
      </c>
      <c r="B116" s="4" t="n">
        <v>124</v>
      </c>
      <c r="C116" s="4" t="inlineStr">
        <is>
          <t>Revisor B</t>
        </is>
      </c>
      <c r="D116" s="4" t="n"/>
      <c r="E116" s="4" t="n">
        <v>2023</v>
      </c>
      <c r="F116" s="4" t="inlineStr">
        <is>
          <t>Imagen</t>
        </is>
      </c>
      <c r="G116" s="4" t="inlineStr">
        <is>
          <t>Deep Learning</t>
        </is>
      </c>
      <c r="H116" s="4" t="inlineStr">
        <is>
          <t>https://doi.org/10.1016/j.heliyon.2023.e21530</t>
        </is>
      </c>
      <c r="I116" s="4" t="inlineStr">
        <is>
          <t>ASD2-TL∗ GTO: Autism spectrum disorders detection via transfer learning with gorilla troops optimizer framework</t>
        </is>
      </c>
      <c r="J116" s="4" t="inlineStr">
        <is>
          <t>Autism Spectrum Disorder (ASD) treatment requires accurate diagnosis and effective rehabilitation. Artificial intelligence (AI) techniques in medical diagnosis and rehabilitation can aid doctors in detecting a wide range of diseases more effectively. Nevertheless, due to its highly heterogeneous symptoms and complicated nature, ASD diagnostics continues to be a challenge for researchers. This study introduces an intelligent system based on the Artificial Gorilla Troops Optimizer (GTO) metaheuristic optimizer to detect ASD using Deep Learning and Machine Learning. Kaggle and UCI ML Repository are the data sources used in this study. The first dataset is the Autistic Children Data Set, which contains 3,374 facial images of children divided into Autistic and Non-Autistic categories. The second dataset is a compilation of data from three numerical repositories: (1) Autism Screening Adults, (2) Autistic Spectrum Disorder Screening Data for Adolescents, and (3) Autistic Spectrum Disorder Screening Data for Children. When it comes to image dataset experiments, the most notable results are (1) a TF learning ratio greater than or equal to 50 is recommended, (2) all models recommend data augmentation, and (3) the DenseNet169 model reports the lowest loss value of 0.512. Concerning the numeric dataset, five experiments recommend standardization and the final five attributes are optional in the classification process. The performance metrics demonstrate the worthiness of the proposed feature selection technique using GTO more than counterparts in the literature review.</t>
        </is>
      </c>
      <c r="K116" s="4" t="inlineStr">
        <is>
          <t>Supervised</t>
        </is>
      </c>
      <c r="L116" s="4" t="inlineStr">
        <is>
          <t>CNN</t>
        </is>
      </c>
      <c r="M116" s="4" t="inlineStr">
        <is>
          <t>Classification (binary/multi-class; incl. ASD vs control)/ multi-class)</t>
        </is>
      </c>
      <c r="N116" s="4" t="inlineStr">
        <is>
          <t>Screening</t>
        </is>
      </c>
      <c r="O116" s="4" t="inlineStr">
        <is>
          <t>high</t>
        </is>
      </c>
      <c r="P116" s="4" t="n">
        <v>1</v>
      </c>
      <c r="Q116" s="4" t="n">
        <v>0</v>
      </c>
      <c r="R116" s="4" t="n">
        <v>0</v>
      </c>
      <c r="S116" s="4" t="n">
        <v>0</v>
      </c>
      <c r="T116" s="4" t="n">
        <v>0</v>
      </c>
      <c r="U116" s="4" t="n">
        <v>0</v>
      </c>
      <c r="V116" s="4" t="n">
        <v>0</v>
      </c>
      <c r="W116" s="4" t="n">
        <v>0</v>
      </c>
      <c r="X116" s="4" t="n">
        <v>0</v>
      </c>
      <c r="Y116" s="4" t="n">
        <v>1</v>
      </c>
      <c r="Z116" s="4" t="n">
        <v>1</v>
      </c>
      <c r="AA116" s="4" t="n">
        <v>1</v>
      </c>
      <c r="AB116" s="4" t="inlineStr">
        <is>
          <t>1900-01-01</t>
        </is>
      </c>
      <c r="AC116" s="4" t="n">
        <v>0</v>
      </c>
      <c r="AD116" s="4" t="n">
        <v>0</v>
      </c>
      <c r="AE116" s="4" t="n">
        <v>0</v>
      </c>
      <c r="AF116" s="4" t="n">
        <v>0</v>
      </c>
      <c r="AG116" s="4" t="n">
        <v>0</v>
      </c>
      <c r="AH116" s="4" t="n">
        <v>1</v>
      </c>
      <c r="AI116" s="4" t="n">
        <v>0</v>
      </c>
      <c r="AJ116" s="4" t="inlineStr">
        <is>
          <t>1900-01-01</t>
        </is>
      </c>
      <c r="AK116" s="4" t="inlineStr">
        <is>
          <t>none_reported</t>
        </is>
      </c>
      <c r="AL116" s="4" t="inlineStr">
        <is>
          <t>El “main” encaja mejor como CNN porque usa transfer learning con DenseNet169 para imágenes faciales; además usa un metaheurístico (GTO) para selección de características y también experimentos con datos de screening (UCI). GTO no aparece en tu lista; por eso debe ir en comentario</t>
        </is>
      </c>
      <c r="AM116" s="4" t="inlineStr">
        <is>
          <t>RB</t>
        </is>
      </c>
      <c r="AN116" s="4" t="inlineStr">
        <is>
          <t>Tomado completo desde archivo RB según asignación</t>
        </is>
      </c>
      <c r="AO116" s="4" t="n">
        <v>0</v>
      </c>
      <c r="AP116" s="4" t="n">
        <v>0</v>
      </c>
      <c r="AQ116" s="4" t="n">
        <v>0</v>
      </c>
      <c r="AR116" s="4" t="n">
        <v>0</v>
      </c>
      <c r="AS116" s="4" t="n">
        <v>0</v>
      </c>
      <c r="AT116" s="4" t="n">
        <v>0</v>
      </c>
      <c r="AU116" s="4" t="n">
        <v>0</v>
      </c>
      <c r="AV116" s="4" t="n">
        <v>0</v>
      </c>
      <c r="AW116" s="4" t="inlineStr">
        <is>
          <t>finalized_from_available_evidence</t>
        </is>
      </c>
      <c r="AX116" s="4" t="inlineStr">
        <is>
          <t>0 means no reported evidence in title/abstract/notes/coding; it is not proof of true absence.</t>
        </is>
      </c>
    </row>
    <row r="117" ht="409" customHeight="1">
      <c r="A117" s="4" t="n">
        <v>116</v>
      </c>
      <c r="B117" s="4" t="n">
        <v>125</v>
      </c>
      <c r="C117" s="4" t="inlineStr">
        <is>
          <t>Revisor B</t>
        </is>
      </c>
      <c r="D117" s="4" t="n"/>
      <c r="E117" s="4" t="n">
        <v>2019</v>
      </c>
      <c r="F117" s="4" t="inlineStr">
        <is>
          <t>Imagen</t>
        </is>
      </c>
      <c r="G117" s="4" t="inlineStr">
        <is>
          <t>Deep Learning</t>
        </is>
      </c>
      <c r="H117" s="4" t="inlineStr">
        <is>
          <t>https://doi.org/10.1007/s10278-019-00196-1</t>
        </is>
      </c>
      <c r="I117" s="4" t="inlineStr">
        <is>
          <t>Diagnosis of Autism Spectrum Disorders in Young Children Based on Resting-State Functional Magnetic Resonance Imaging Data Using Convolutional Neural Networks</t>
        </is>
      </c>
      <c r="J117" s="4" t="inlineStr">
        <is>
          <t>Statistics show that the risk of autism spectrum disorder (ASD) is increasing in the world. Early diagnosis is most important factor in treatment of ASD. Thus far, the childhood diagnosis of ASD has been done based on clinical interviews and behavioral observations. There is a significant need to reduce the use of traditional diagnostic techniques and to diagnose this disorder in the right time and before the manifestation of behavioral symptoms. The purpose of this study is to present the intelligent model to diagnose ASD in young children based on resting-state functional magnetic resonance imaging (rs-fMRI) data using convolutional neural networks (CNNs). CNNs, which are by far one of the most powerful deep learning algorithms, are mainly trained using datasets with large numbers of samples. However, obtaining comprehensive datasets such as ImageNet and achieving acceptable results in medical imaging domain have become challenges. In order to overcome these two challenges, the two methods of “combining classifiers,” both dynamic (mixture of experts) and static (simple ‌Bayes) approaches, and “transfer learning” were used in this analysis. In addition, since diagnosis of ASD will be much more effective at an early age, samples ranging in age from 5 to 10 years from global Autism Brain Imaging Data Exchange I and II (ABIDE I and ABIDE II) datasets were used in this research. The accuracy, sensitivity, and specificity of presented model outperform the results of previous studies conducted on ABIDE I dataset (the best results obtained from Adamax optimization technique: accuracy = 0.7273, sensitivity = 0.712, specificity = 0.7348). Furthermore, acceptable classification results were obtained from ABIDE II dataset (the best results obtained from Adamax optimization technique: accuracy = 0.7, sensitivity = 0.582, specificity = 0.804) and the combination of ABIDE I and ABIDE II datasets (the best results obtained from Adam optimization technique: accuracy = 0.7045, sensitivity = 0.679, specificity = 0.7421). We can conclude that the proposed architecture can be considered as an efficient tool for diagnosis of ASD in young children. From another perspective, this proposed method can be applied to analyzing rs-fMRI data related to brain dysfunctions.</t>
        </is>
      </c>
      <c r="K117" s="4" t="inlineStr">
        <is>
          <t>Supervised</t>
        </is>
      </c>
      <c r="L117" s="4" t="inlineStr">
        <is>
          <t>CNN</t>
        </is>
      </c>
      <c r="M117" s="4" t="inlineStr">
        <is>
          <t>Classification (binary/multi-class; incl. ASD vs control)/ multi-class)</t>
        </is>
      </c>
      <c r="N117" s="4" t="inlineStr">
        <is>
          <t>Diagnosis</t>
        </is>
      </c>
      <c r="O117" s="4" t="inlineStr">
        <is>
          <t>high</t>
        </is>
      </c>
      <c r="P117" s="4" t="n">
        <v>0</v>
      </c>
      <c r="Q117" s="4" t="n">
        <v>0</v>
      </c>
      <c r="R117" s="4" t="n">
        <v>1</v>
      </c>
      <c r="S117" s="4" t="n">
        <v>0</v>
      </c>
      <c r="T117" s="4" t="n">
        <v>0</v>
      </c>
      <c r="U117" s="4" t="n">
        <v>0</v>
      </c>
      <c r="V117" s="4" t="n">
        <v>0</v>
      </c>
      <c r="W117" s="4" t="n">
        <v>0</v>
      </c>
      <c r="X117" s="4" t="n">
        <v>1</v>
      </c>
      <c r="Y117" s="4" t="n">
        <v>1</v>
      </c>
      <c r="Z117" s="4" t="n">
        <v>0</v>
      </c>
      <c r="AA117" s="4" t="n">
        <v>0</v>
      </c>
      <c r="AB117" s="4" t="inlineStr">
        <is>
          <t>1900-01-01</t>
        </is>
      </c>
      <c r="AC117" s="4" t="n">
        <v>0</v>
      </c>
      <c r="AD117" s="4" t="n">
        <v>0</v>
      </c>
      <c r="AE117" s="4" t="n">
        <v>0</v>
      </c>
      <c r="AF117" s="4" t="n">
        <v>0</v>
      </c>
      <c r="AG117" s="4" t="n">
        <v>0</v>
      </c>
      <c r="AH117" s="4" t="n">
        <v>1</v>
      </c>
      <c r="AI117" s="4" t="n">
        <v>0</v>
      </c>
      <c r="AJ117" s="4" t="inlineStr">
        <is>
          <t>1900-01-01</t>
        </is>
      </c>
      <c r="AK117" s="4" t="inlineStr">
        <is>
          <t>multisite_dataset_broad</t>
        </is>
      </c>
      <c r="AL117" s="4" t="inlineStr">
        <is>
          <t>demás de CNN, reporta transfer learning y combinación de clasificadores (mixture of experts / simple Bayes), pero el núcleo es CNN para clasificar ASD vs no-ASD con rs-fMRI (ABIDE).</t>
        </is>
      </c>
      <c r="AM117" s="4" t="inlineStr">
        <is>
          <t>RB</t>
        </is>
      </c>
      <c r="AN117" s="4" t="inlineStr">
        <is>
          <t>Tomado completo desde archivo RB según asignación</t>
        </is>
      </c>
      <c r="AO117" s="4" t="n">
        <v>0</v>
      </c>
      <c r="AP117" s="4" t="n">
        <v>0</v>
      </c>
      <c r="AQ117" s="4" t="n">
        <v>1</v>
      </c>
      <c r="AR117" s="4" t="n">
        <v>0</v>
      </c>
      <c r="AS117" s="4" t="n">
        <v>0</v>
      </c>
      <c r="AT117" s="4" t="n">
        <v>0</v>
      </c>
      <c r="AU117" s="4" t="n">
        <v>0</v>
      </c>
      <c r="AV117" s="4" t="n">
        <v>0</v>
      </c>
      <c r="AW117" s="4" t="inlineStr">
        <is>
          <t>finalized_from_available_evidence</t>
        </is>
      </c>
      <c r="AX117" s="4" t="inlineStr">
        <is>
          <t>0 means no reported evidence in title/abstract/notes/coding; it is not proof of true absence.</t>
        </is>
      </c>
    </row>
    <row r="118" ht="409" customHeight="1">
      <c r="A118" s="4" t="n">
        <v>117</v>
      </c>
      <c r="B118" s="4" t="n">
        <v>128</v>
      </c>
      <c r="C118" s="4" t="inlineStr">
        <is>
          <t>Revisor B</t>
        </is>
      </c>
      <c r="D118" s="4" t="n"/>
      <c r="E118" s="4" t="n">
        <v>2018</v>
      </c>
      <c r="F118" s="4" t="inlineStr">
        <is>
          <t>Imagen</t>
        </is>
      </c>
      <c r="G118" s="4" t="inlineStr">
        <is>
          <t>Deep Learning</t>
        </is>
      </c>
      <c r="H118" s="4" t="inlineStr">
        <is>
          <t>https://doi.org/10.2196/mental.9631</t>
        </is>
      </c>
      <c r="I118" s="4" t="inlineStr">
        <is>
          <t>Improvement of attention-deficit/hyperactivity disorder symptoms in school-aged children, adolescents, and young adults with autism via a digital smartglasses-based socioemotional coaching aid: Short-term, uncontrolled pilot study</t>
        </is>
      </c>
      <c r="J118" s="4" t="inlineStr">
        <is>
          <t>Background: People with autism spectrum disorder (ASD) commonly experience symptoms related to attention-deficit/hyperactivity disorder (ADHD), including hyperactivity, inattention, and impulsivity. One-third of ASD cases may be complicated by the presence of ADHD. Individuals with dual diagnoses face greater barriers to accessing treatment for ADHD and respond less positively to primary pharmacologic interventions. Nonpharmacologic technology-aided tools for hyperactivity and inattention in people with ASD are being developed, although research into their efficacy and safety remains limited. Objective: The objective of this preliminary study was to describe the changes in ADHD-related symptoms in children, adolescents, and young adults with ASD immediately after use of the Empowered Brain system, a behavioral and social communication aid for ASD running on augmented reality smartglasses. Methods: We recruited 8 children, adolescents, and young adults with ASD (male to female ratio of 7:1, mean age 15 years, range 11.7-20.5 years) through a Web-based research signup form. The baseline score on the hyperactivity subscale of the Aberrant Behavioral Checklist (ABC-H), a measure of hyperactivity, inattention, and impulsivity, determined their classification into a high ADHD-related symptom group (n=4, ABC-H=13) and a low ADHD-related symptom group (n=4, ABC-H&lt;13). All participants received an intervention with Empowered Brain, where they used smartglasses-based social communication and behavioral modules while interacting with their caregiver. We then calculated caregiver-reported ABC-H scores at 24 and 48 hours after the session. Results: All 8 participants were able to complete the intervention session. Postintervention ABC-H scores were lower for most participants at 24 hours (n=6, 75%) and for all participants at 48 hours (n=8, 100%). At 24 hours after the session, average participant ABC-H scores decreased by 54.9% in the high ADHD symptom group and by 20% in the low ADHD symptom group. At 48 hours after the session, ABC-H scores compared with baseline decreased by 56.4% in the high ADHD symptom group and by 66.3% in the low ADHD symptom group. Conclusions: This study provides initial evidence for the possible potential of the Empowered Brain system to reduce ADHD-related symptoms, such as hyperactivity, inattention, and impulsivity, in school-aged children, adolescents, and young adults with ASD. This digital smartglasses intervention can potentially be targeted at a broader array of mental health conditions that exhibit transdiagnostic attentional and social communication deficits, including schizophrenia and bipolar disorder. Further research is required to understand the clinical importance of these observed changes and to conduct longitudinal studies on this intervention with control groups and larger sample sizes.</t>
        </is>
      </c>
      <c r="K118" s="4" t="n"/>
      <c r="L118" s="4" t="n"/>
      <c r="M118" s="4" t="n"/>
      <c r="N118" s="4" t="inlineStr">
        <is>
          <t>screening</t>
        </is>
      </c>
      <c r="O118" s="4" t="inlineStr">
        <is>
          <t>high</t>
        </is>
      </c>
      <c r="P118" s="4" t="n">
        <v>0</v>
      </c>
      <c r="Q118" s="4" t="n">
        <v>0</v>
      </c>
      <c r="R118" s="4" t="n">
        <v>0</v>
      </c>
      <c r="S118" s="4" t="n">
        <v>0</v>
      </c>
      <c r="T118" s="4" t="n">
        <v>0</v>
      </c>
      <c r="U118" s="4" t="n">
        <v>0</v>
      </c>
      <c r="V118" s="4" t="n">
        <v>0</v>
      </c>
      <c r="W118" s="4" t="n">
        <v>0</v>
      </c>
      <c r="X118" s="4" t="n">
        <v>1</v>
      </c>
      <c r="Y118" s="4" t="n">
        <v>1</v>
      </c>
      <c r="Z118" s="4" t="n">
        <v>0</v>
      </c>
      <c r="AA118" s="4" t="n">
        <v>0</v>
      </c>
      <c r="AB118" s="4" t="inlineStr">
        <is>
          <t>1900-01-01</t>
        </is>
      </c>
      <c r="AC118" s="4" t="n">
        <v>0</v>
      </c>
      <c r="AD118" s="4" t="n">
        <v>0</v>
      </c>
      <c r="AE118" s="4" t="n">
        <v>0</v>
      </c>
      <c r="AF118" s="4" t="n">
        <v>0</v>
      </c>
      <c r="AG118" s="4" t="n">
        <v>1</v>
      </c>
      <c r="AH118" s="4" t="n">
        <v>0</v>
      </c>
      <c r="AI118" s="4" t="n">
        <v>0</v>
      </c>
      <c r="AJ118" s="4" t="inlineStr">
        <is>
          <t>1900-01-01</t>
        </is>
      </c>
      <c r="AK118" s="4" t="inlineStr">
        <is>
          <t>none_reported</t>
        </is>
      </c>
      <c r="AL118" s="4" t="n"/>
      <c r="AM118" s="4" t="inlineStr">
        <is>
          <t>RB</t>
        </is>
      </c>
      <c r="AN118" s="4" t="inlineStr">
        <is>
          <t>Tomado completo desde archivo RB según asignación</t>
        </is>
      </c>
      <c r="AO118" s="4" t="n">
        <v>0</v>
      </c>
      <c r="AP118" s="4" t="n">
        <v>0</v>
      </c>
      <c r="AQ118" s="4" t="n">
        <v>0</v>
      </c>
      <c r="AR118" s="4" t="n">
        <v>0</v>
      </c>
      <c r="AS118" s="4" t="n">
        <v>0</v>
      </c>
      <c r="AT118" s="4" t="n">
        <v>0</v>
      </c>
      <c r="AU118" s="4" t="n">
        <v>0</v>
      </c>
      <c r="AV118" s="4" t="n">
        <v>0</v>
      </c>
      <c r="AW118" s="4" t="inlineStr">
        <is>
          <t>finalized_from_available_evidence</t>
        </is>
      </c>
      <c r="AX118" s="4" t="inlineStr">
        <is>
          <t>0 means no reported evidence in title/abstract/notes/coding; it is not proof of true absence.</t>
        </is>
      </c>
    </row>
    <row r="119" ht="385" customHeight="1">
      <c r="A119" s="4" t="n">
        <v>118</v>
      </c>
      <c r="B119" s="4" t="n">
        <v>129</v>
      </c>
      <c r="C119" s="4" t="inlineStr">
        <is>
          <t>Revisor B</t>
        </is>
      </c>
      <c r="D119" s="4" t="n"/>
      <c r="E119" s="4" t="n">
        <v>2025</v>
      </c>
      <c r="F119" s="4" t="inlineStr">
        <is>
          <t>No especificado</t>
        </is>
      </c>
      <c r="G119" s="4" t="inlineStr">
        <is>
          <t>Deep Learning</t>
        </is>
      </c>
      <c r="H119" s="4" t="inlineStr">
        <is>
          <t>https://doi.org/10.1007/978-981-96-6960-8_26</t>
        </is>
      </c>
      <c r="I119" s="4" t="inlineStr">
        <is>
          <t>Investigating Diagnostic Data and Performance Implications in the Autism AI Dataset</t>
        </is>
      </c>
      <c r="J119" s="4"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K119" s="4" t="inlineStr">
        <is>
          <t>Supervised</t>
        </is>
      </c>
      <c r="L119" s="4" t="inlineStr">
        <is>
          <t>Random Forest</t>
        </is>
      </c>
      <c r="M119" s="4" t="inlineStr">
        <is>
          <t>Classification (binary/multi-class; incl. ASD vs control)/ multi-class)</t>
        </is>
      </c>
      <c r="N119" s="4" t="inlineStr">
        <is>
          <t>Screening</t>
        </is>
      </c>
      <c r="O119" s="4" t="inlineStr">
        <is>
          <t>high</t>
        </is>
      </c>
      <c r="P119" s="4" t="n">
        <v>0</v>
      </c>
      <c r="Q119" s="4" t="n">
        <v>0</v>
      </c>
      <c r="R119" s="4" t="n">
        <v>1</v>
      </c>
      <c r="S119" s="4" t="n">
        <v>0</v>
      </c>
      <c r="T119" s="4" t="n">
        <v>1</v>
      </c>
      <c r="U119" s="4" t="n">
        <v>0</v>
      </c>
      <c r="V119" s="4" t="n">
        <v>0</v>
      </c>
      <c r="W119" s="4" t="n">
        <v>0</v>
      </c>
      <c r="X119" s="4" t="n">
        <v>0</v>
      </c>
      <c r="Y119" s="4" t="n">
        <v>1</v>
      </c>
      <c r="Z119" s="4" t="n">
        <v>1</v>
      </c>
      <c r="AA119" s="4" t="n">
        <v>0</v>
      </c>
      <c r="AB119" s="4" t="inlineStr">
        <is>
          <t>1900-01-01</t>
        </is>
      </c>
      <c r="AC119" s="4" t="n">
        <v>0</v>
      </c>
      <c r="AD119" s="4" t="n">
        <v>0</v>
      </c>
      <c r="AE119" s="4" t="n">
        <v>0</v>
      </c>
      <c r="AF119" s="4" t="n">
        <v>1</v>
      </c>
      <c r="AG119" s="4" t="n">
        <v>0</v>
      </c>
      <c r="AH119" s="4" t="n">
        <v>2</v>
      </c>
      <c r="AI119" s="4" t="n">
        <v>0</v>
      </c>
      <c r="AJ119" s="4" t="inlineStr">
        <is>
          <t>00:00:00</t>
        </is>
      </c>
      <c r="AK119" s="4" t="inlineStr">
        <is>
          <t>multisource_integration</t>
        </is>
      </c>
      <c r="AL119" s="4" t="n"/>
      <c r="AM119" s="4" t="inlineStr">
        <is>
          <t>RB</t>
        </is>
      </c>
      <c r="AN119" s="4" t="inlineStr">
        <is>
          <t>Tomado completo desde archivo RB según asignación</t>
        </is>
      </c>
      <c r="AO119" s="4" t="n">
        <v>0</v>
      </c>
      <c r="AP119" s="4" t="n">
        <v>0</v>
      </c>
      <c r="AQ119" s="4" t="n">
        <v>0</v>
      </c>
      <c r="AR119" s="4" t="n">
        <v>0</v>
      </c>
      <c r="AS119" s="4" t="n">
        <v>0</v>
      </c>
      <c r="AT119" s="4" t="n">
        <v>0</v>
      </c>
      <c r="AU119" s="4" t="n">
        <v>0</v>
      </c>
      <c r="AV119" s="4" t="n">
        <v>1</v>
      </c>
      <c r="AW119" s="4" t="inlineStr">
        <is>
          <t>finalized_from_available_evidence</t>
        </is>
      </c>
      <c r="AX119" s="4" t="inlineStr">
        <is>
          <t>0 means no reported evidence in title/abstract/notes/coding; it is not proof of true absence.</t>
        </is>
      </c>
    </row>
    <row r="120" ht="307" customHeight="1">
      <c r="A120" s="4" t="n">
        <v>119</v>
      </c>
      <c r="B120" s="4" t="n">
        <v>130</v>
      </c>
      <c r="C120" s="4" t="inlineStr">
        <is>
          <t>Revisor A</t>
        </is>
      </c>
      <c r="D120" s="4" t="inlineStr">
        <is>
          <t>RA</t>
        </is>
      </c>
      <c r="E120" s="4" t="n">
        <v>2025</v>
      </c>
      <c r="F120" s="4" t="inlineStr">
        <is>
          <t>Texto · NLP</t>
        </is>
      </c>
      <c r="G120" s="4" t="inlineStr">
        <is>
          <t>Deep Learning</t>
        </is>
      </c>
      <c r="H120" s="4" t="inlineStr">
        <is>
          <t>https://doi.org/10.1038/s41562-025-02132-6</t>
        </is>
      </c>
      <c r="I120" s="4" t="inlineStr">
        <is>
          <t>Large-scale examination of early-age sex differences in neurotypical toddlers and those with autism spectrum disorder or other developmental conditions</t>
        </is>
      </c>
      <c r="J120" s="4" t="inlineStr">
        <is>
          <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t>
        </is>
      </c>
      <c r="K120" s="4" t="inlineStr">
        <is>
          <t>Unsupervised</t>
        </is>
      </c>
      <c r="L120" s="4" t="inlineStr">
        <is>
          <t>Clustering (k-means / GMM / ...)</t>
        </is>
      </c>
      <c r="M120" s="4" t="inlineStr">
        <is>
          <t>Clustering / subtyping</t>
        </is>
      </c>
      <c r="N120" s="4" t="inlineStr">
        <is>
          <t>Diagnosis</t>
        </is>
      </c>
      <c r="O120" s="4" t="inlineStr">
        <is>
          <t>Medium</t>
        </is>
      </c>
      <c r="P120" s="4" t="n">
        <v>0</v>
      </c>
      <c r="Q120" s="4" t="n">
        <v>1</v>
      </c>
      <c r="R120" s="4" t="n">
        <v>0</v>
      </c>
      <c r="S120" s="4" t="n">
        <v>0</v>
      </c>
      <c r="T120" s="4" t="n">
        <v>1</v>
      </c>
      <c r="U120" s="4" t="n">
        <v>0</v>
      </c>
      <c r="V120" s="4" t="n">
        <v>0</v>
      </c>
      <c r="W120" s="4" t="n">
        <v>0</v>
      </c>
      <c r="X120" s="4" t="n">
        <v>0</v>
      </c>
      <c r="Y120" s="4" t="n">
        <v>1</v>
      </c>
      <c r="Z120" s="4" t="n">
        <v>0</v>
      </c>
      <c r="AA120" s="4" t="n">
        <v>0</v>
      </c>
      <c r="AB120" s="4" t="inlineStr">
        <is>
          <t>00:00:00</t>
        </is>
      </c>
      <c r="AC120" s="4" t="n">
        <v>0</v>
      </c>
      <c r="AD120" s="4" t="n">
        <v>0</v>
      </c>
      <c r="AE120" s="4" t="n">
        <v>0</v>
      </c>
      <c r="AF120" s="4" t="n">
        <v>1</v>
      </c>
      <c r="AG120" s="4" t="n">
        <v>1</v>
      </c>
      <c r="AH120" s="4" t="n">
        <v>2</v>
      </c>
      <c r="AI120" s="4" t="n"/>
      <c r="AJ120" s="4" t="n"/>
      <c r="AK120" s="4" t="inlineStr">
        <is>
          <t>multisource_integration</t>
        </is>
      </c>
      <c r="AL120" s="4" t="inlineStr">
        <is>
          <t>Examen de diferencias por sexo/edad; no queda claro el algoritmo o la tarea principal de IA.</t>
        </is>
      </c>
      <c r="AM120" s="4" t="inlineStr">
        <is>
          <t>RA</t>
        </is>
      </c>
      <c r="AN120" s="4" t="inlineStr">
        <is>
          <t>Tomado completo desde archivo RA según asignación</t>
        </is>
      </c>
      <c r="AO120" s="4" t="n">
        <v>0</v>
      </c>
      <c r="AP120" s="4" t="n">
        <v>0</v>
      </c>
      <c r="AQ120" s="4" t="n">
        <v>0</v>
      </c>
      <c r="AR120" s="4" t="n">
        <v>0</v>
      </c>
      <c r="AS120" s="4" t="n">
        <v>0</v>
      </c>
      <c r="AT120" s="4" t="n">
        <v>0</v>
      </c>
      <c r="AU120" s="4" t="n">
        <v>0</v>
      </c>
      <c r="AV120" s="4" t="n">
        <v>1</v>
      </c>
      <c r="AW120" s="4" t="inlineStr">
        <is>
          <t>finalized_from_available_evidence</t>
        </is>
      </c>
      <c r="AX120" s="4" t="inlineStr">
        <is>
          <t>0 means no reported evidence in title/abstract/notes/coding; it is not proof of true absence.</t>
        </is>
      </c>
    </row>
    <row r="121" ht="409" customHeight="1">
      <c r="A121" s="4" t="n">
        <v>120</v>
      </c>
      <c r="B121" s="4" t="n">
        <v>131</v>
      </c>
      <c r="C121" s="4" t="inlineStr">
        <is>
          <t>Revisor A</t>
        </is>
      </c>
      <c r="D121" s="4" t="inlineStr">
        <is>
          <t>RA</t>
        </is>
      </c>
      <c r="E121" s="4" t="n">
        <v>2016</v>
      </c>
      <c r="F121" s="4" t="inlineStr">
        <is>
          <t>Texto · NLP</t>
        </is>
      </c>
      <c r="G121" s="4" t="inlineStr">
        <is>
          <t>Machine Learning</t>
        </is>
      </c>
      <c r="H121" s="4" t="inlineStr">
        <is>
          <t>https://doi.org/10.2196/jmir.5439</t>
        </is>
      </c>
      <c r="I121" s="4" t="inlineStr">
        <is>
          <t>Online concerns of parents suspecting autism spectrum disorder in their child: Content analysis of signs and automated prediction of risk</t>
        </is>
      </c>
      <c r="J121" s="4" t="inlineStr">
        <is>
          <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t>
        </is>
      </c>
      <c r="K121" s="4" t="inlineStr">
        <is>
          <t>Supervised</t>
        </is>
      </c>
      <c r="L121" s="4" t="inlineStr">
        <is>
          <t>Decision Tree</t>
        </is>
      </c>
      <c r="M121" s="4" t="inlineStr">
        <is>
          <t>Classification (ASD vs control / multi-class)</t>
        </is>
      </c>
      <c r="N121" s="4" t="inlineStr">
        <is>
          <t>Prescreening</t>
        </is>
      </c>
      <c r="O121" s="4" t="inlineStr">
        <is>
          <t>High</t>
        </is>
      </c>
      <c r="P121" s="4" t="n">
        <v>0</v>
      </c>
      <c r="Q121" s="4" t="n">
        <v>0</v>
      </c>
      <c r="R121" s="4" t="n">
        <v>0</v>
      </c>
      <c r="S121" s="4" t="n">
        <v>1</v>
      </c>
      <c r="T121" s="4" t="n">
        <v>1</v>
      </c>
      <c r="U121" s="4" t="n">
        <v>0</v>
      </c>
      <c r="V121" s="4" t="n">
        <v>0</v>
      </c>
      <c r="W121" s="4" t="n">
        <v>1</v>
      </c>
      <c r="X121" s="4" t="n">
        <v>0</v>
      </c>
      <c r="Y121" s="4" t="n">
        <v>0</v>
      </c>
      <c r="Z121" s="4" t="n">
        <v>0</v>
      </c>
      <c r="AA121" s="4" t="n">
        <v>0</v>
      </c>
      <c r="AB121" s="4" t="inlineStr">
        <is>
          <t>1900-01-01</t>
        </is>
      </c>
      <c r="AC121" s="4" t="n">
        <v>0</v>
      </c>
      <c r="AD121" s="4" t="n">
        <v>0</v>
      </c>
      <c r="AE121" s="4" t="n">
        <v>0</v>
      </c>
      <c r="AF121" s="4" t="n">
        <v>1</v>
      </c>
      <c r="AG121" s="4" t="n">
        <v>0</v>
      </c>
      <c r="AH121" s="4" t="n">
        <v>2</v>
      </c>
      <c r="AI121" s="4" t="inlineStr">
        <is>
          <t>text / NLP</t>
        </is>
      </c>
      <c r="AJ121" s="4" t="n"/>
      <c r="AK121" s="4" t="inlineStr">
        <is>
          <t>multisource_integration</t>
        </is>
      </c>
      <c r="AL121" s="4" t="n"/>
      <c r="AM121" s="4" t="inlineStr">
        <is>
          <t>RA</t>
        </is>
      </c>
      <c r="AN121" s="4" t="inlineStr">
        <is>
          <t>Tomado completo desde archivo RA según asignación</t>
        </is>
      </c>
      <c r="AO121" s="4" t="n">
        <v>0</v>
      </c>
      <c r="AP121" s="4" t="n">
        <v>0</v>
      </c>
      <c r="AQ121" s="4" t="n">
        <v>0</v>
      </c>
      <c r="AR121" s="4" t="n">
        <v>0</v>
      </c>
      <c r="AS121" s="4" t="n">
        <v>0</v>
      </c>
      <c r="AT121" s="4" t="n">
        <v>0</v>
      </c>
      <c r="AU121" s="4" t="n">
        <v>0</v>
      </c>
      <c r="AV121" s="4" t="n">
        <v>1</v>
      </c>
      <c r="AW121" s="4" t="inlineStr">
        <is>
          <t>finalized_from_available_evidence</t>
        </is>
      </c>
      <c r="AX121" s="4" t="inlineStr">
        <is>
          <t>0 means no reported evidence in title/abstract/notes/coding; it is not proof of true absence.</t>
        </is>
      </c>
    </row>
    <row r="122" ht="359" customHeight="1">
      <c r="A122" s="4" t="n">
        <v>121</v>
      </c>
      <c r="B122" s="4" t="n">
        <v>132</v>
      </c>
      <c r="C122" s="4" t="inlineStr">
        <is>
          <t>Revisor B</t>
        </is>
      </c>
      <c r="D122" s="4" t="n"/>
      <c r="E122" s="4" t="n">
        <v>2016</v>
      </c>
      <c r="F122" s="4" t="inlineStr">
        <is>
          <t>Texto · NLP</t>
        </is>
      </c>
      <c r="G122" s="4" t="inlineStr">
        <is>
          <t>Machine Learning</t>
        </is>
      </c>
      <c r="H122" s="4" t="inlineStr">
        <is>
          <t>https://doi.org/10.1111/JCPP.12559</t>
        </is>
      </c>
      <c r="I122" s="4" t="inlineStr">
        <is>
          <t>Use of machine learning to improve autism screening and diagnostic instruments: Effectiveness, efficiency, and multi‐instrument fusion</t>
        </is>
      </c>
      <c r="J122" s="4" t="inlineStr">
        <is>
          <t>Background: Machine learning (ML) provides novel opportunities for human behavior research and clinical translation, yet its application can have noted pitfalls (Bone et al., 2015). In this work, we fastidiously utilize ML to derive autism spectrum disorder (ASD) instrument algorithms in an attempt to improve upon widely used ASD screening and diagnostic tools. Methods: The data consisted of Autism Diagnostic Interview-Revised (ADI-R) and Social Responsiveness Scale (SRS) scores for 1,264 verbal individuals with ASD and 462 verbal individuals with non-ASD developmental or psychiatric disorders, split at age 10. Algorithms were created via a robust ML classifier, support vector machine, while targeting best-estimate clinical diagnosis of ASD versus non-ASD. Parameter settings were tuned in multiple levels of cross-validation. Results: The created algorithms were more effective (higher performing) than the current algorithms, were tunable (sensitivity and specificity can be differentially weighted), and were more efficient (achieving near-peak performance with five or fewer codes). Results from ML-based fusion of ADI-R and SRS are reported. We present a screener algorithm for below (above) age 10 that reached 89.2% (86.7%) sensitivity and 59.0% (53.4%) specificity with only five behavioral codes. Conclusions: ML is useful for creating robust, customizable instrument algorithms. In a unique dataset comprised of controls with other difficulties, our findings highlight the limitations of current caregiver-report instruments and indicate possible avenues for improving ASD screening and diagnostic tools.</t>
        </is>
      </c>
      <c r="K122" s="4" t="inlineStr">
        <is>
          <t>Supervised</t>
        </is>
      </c>
      <c r="L122" s="4" t="inlineStr">
        <is>
          <t>SVM</t>
        </is>
      </c>
      <c r="M122" s="4" t="inlineStr">
        <is>
          <t>Classification (binary/multi-class; incl. ASD vs control)/ multi-class)</t>
        </is>
      </c>
      <c r="N122" s="4" t="inlineStr">
        <is>
          <t>Screening</t>
        </is>
      </c>
      <c r="O122" s="4" t="inlineStr">
        <is>
          <t>high</t>
        </is>
      </c>
      <c r="P122" s="4" t="n">
        <v>0</v>
      </c>
      <c r="Q122" s="4" t="n">
        <v>0</v>
      </c>
      <c r="R122" s="4" t="n">
        <v>0</v>
      </c>
      <c r="S122" s="4" t="n">
        <v>0</v>
      </c>
      <c r="T122" s="4" t="n">
        <v>1</v>
      </c>
      <c r="U122" s="4" t="n">
        <v>0</v>
      </c>
      <c r="V122" s="4" t="n">
        <v>0</v>
      </c>
      <c r="W122" s="4" t="n">
        <v>0</v>
      </c>
      <c r="X122" s="4" t="n">
        <v>0</v>
      </c>
      <c r="Y122" s="4" t="n">
        <v>1</v>
      </c>
      <c r="Z122" s="4" t="n">
        <v>0</v>
      </c>
      <c r="AA122" s="4" t="n">
        <v>0</v>
      </c>
      <c r="AB122" s="4" t="inlineStr">
        <is>
          <t>1900-01-01</t>
        </is>
      </c>
      <c r="AC122" s="4" t="n">
        <v>0</v>
      </c>
      <c r="AD122" s="4" t="n">
        <v>0</v>
      </c>
      <c r="AE122" s="4" t="n">
        <v>0</v>
      </c>
      <c r="AF122" s="4" t="n">
        <v>1</v>
      </c>
      <c r="AG122" s="4" t="n">
        <v>1</v>
      </c>
      <c r="AH122" s="4" t="n">
        <v>1</v>
      </c>
      <c r="AI122" s="4" t="n">
        <v>0</v>
      </c>
      <c r="AJ122" s="4" t="inlineStr">
        <is>
          <t>1900-01-01</t>
        </is>
      </c>
      <c r="AK122" s="4" t="inlineStr">
        <is>
          <t>multisource_integration; internal_validation_only</t>
        </is>
      </c>
      <c r="AL122" s="4" t="n"/>
      <c r="AM122" s="4" t="inlineStr">
        <is>
          <t>RB</t>
        </is>
      </c>
      <c r="AN122" s="4" t="inlineStr">
        <is>
          <t>Tomado completo desde archivo RB según asignación</t>
        </is>
      </c>
      <c r="AO122" s="4" t="n">
        <v>0</v>
      </c>
      <c r="AP122" s="4" t="n">
        <v>0</v>
      </c>
      <c r="AQ122" s="4" t="n">
        <v>0</v>
      </c>
      <c r="AR122" s="4" t="n">
        <v>1</v>
      </c>
      <c r="AS122" s="4" t="n">
        <v>0</v>
      </c>
      <c r="AT122" s="4" t="n">
        <v>0</v>
      </c>
      <c r="AU122" s="4" t="n">
        <v>0</v>
      </c>
      <c r="AV122" s="4" t="n">
        <v>1</v>
      </c>
      <c r="AW122" s="4" t="inlineStr">
        <is>
          <t>finalized_from_available_evidence</t>
        </is>
      </c>
      <c r="AX122" s="4" t="inlineStr">
        <is>
          <t>0 means no reported evidence in title/abstract/notes/coding; it is not proof of true absence.</t>
        </is>
      </c>
    </row>
    <row r="123" ht="333" customHeight="1">
      <c r="A123" s="4" t="n">
        <v>122</v>
      </c>
      <c r="B123" s="4" t="n">
        <v>133</v>
      </c>
      <c r="C123" s="4" t="inlineStr">
        <is>
          <t>Revisor A</t>
        </is>
      </c>
      <c r="D123" s="4" t="inlineStr">
        <is>
          <t>RA</t>
        </is>
      </c>
      <c r="E123" s="4" t="n">
        <v>2022</v>
      </c>
      <c r="F123" s="4" t="inlineStr">
        <is>
          <t>No especificado</t>
        </is>
      </c>
      <c r="G123" s="4" t="inlineStr">
        <is>
          <t>Machine Learning</t>
        </is>
      </c>
      <c r="H123" s="4" t="inlineStr">
        <is>
          <t>https://doi.org/10.1038/s41598-022-21719-x</t>
        </is>
      </c>
      <c r="I123" s="4" t="inlineStr">
        <is>
          <t>A data driven machine learning approach to differentiate between autism spectrum disorder and attention-deficit/hyperactivity disorder based on the best-practice diagnostic instruments for autism</t>
        </is>
      </c>
      <c r="J123" s="4" t="inlineStr">
        <is>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is>
      </c>
      <c r="K123" s="4" t="inlineStr">
        <is>
          <t>Supervised</t>
        </is>
      </c>
      <c r="L123" s="4" t="inlineStr">
        <is>
          <t>SVM</t>
        </is>
      </c>
      <c r="M123" s="4" t="inlineStr">
        <is>
          <t>Classification (ASD vs control / multi-class)</t>
        </is>
      </c>
      <c r="N123" s="4" t="inlineStr">
        <is>
          <t>Diagnosis</t>
        </is>
      </c>
      <c r="O123" s="4" t="inlineStr">
        <is>
          <t>High</t>
        </is>
      </c>
      <c r="P123" s="4" t="n">
        <v>0</v>
      </c>
      <c r="Q123" s="4" t="n">
        <v>0</v>
      </c>
      <c r="R123" s="4" t="n">
        <v>0</v>
      </c>
      <c r="S123" s="4" t="n">
        <v>0</v>
      </c>
      <c r="T123" s="4" t="n">
        <v>1</v>
      </c>
      <c r="U123" s="4" t="n">
        <v>0</v>
      </c>
      <c r="V123" s="4" t="n">
        <v>0</v>
      </c>
      <c r="W123" s="4" t="n">
        <v>0</v>
      </c>
      <c r="X123" s="4" t="n">
        <v>0</v>
      </c>
      <c r="Y123" s="4" t="n">
        <v>1</v>
      </c>
      <c r="Z123" s="4" t="n">
        <v>0</v>
      </c>
      <c r="AA123" s="4" t="n">
        <v>0</v>
      </c>
      <c r="AB123" s="4" t="inlineStr">
        <is>
          <t>1900-01-01</t>
        </is>
      </c>
      <c r="AC123" s="4" t="n">
        <v>0</v>
      </c>
      <c r="AD123" s="4" t="n">
        <v>0</v>
      </c>
      <c r="AE123" s="4" t="n">
        <v>0</v>
      </c>
      <c r="AF123" s="4" t="n">
        <v>0</v>
      </c>
      <c r="AG123" s="4" t="n">
        <v>0</v>
      </c>
      <c r="AH123" s="4" t="n">
        <v>1</v>
      </c>
      <c r="AI123" s="4" t="n"/>
      <c r="AJ123" s="4" t="n"/>
      <c r="AK123" s="4" t="inlineStr">
        <is>
          <t>none_reported</t>
        </is>
      </c>
      <c r="AL123" s="4" t="n"/>
      <c r="AM123" s="4" t="inlineStr">
        <is>
          <t>RA</t>
        </is>
      </c>
      <c r="AN123" s="4" t="inlineStr">
        <is>
          <t>Tomado completo desde archivo RA según asignación</t>
        </is>
      </c>
      <c r="AO123" s="4" t="n">
        <v>0</v>
      </c>
      <c r="AP123" s="4" t="n">
        <v>0</v>
      </c>
      <c r="AQ123" s="4" t="n">
        <v>0</v>
      </c>
      <c r="AR123" s="4" t="n">
        <v>0</v>
      </c>
      <c r="AS123" s="4" t="n">
        <v>0</v>
      </c>
      <c r="AT123" s="4" t="n">
        <v>0</v>
      </c>
      <c r="AU123" s="4" t="n">
        <v>0</v>
      </c>
      <c r="AV123" s="4" t="n">
        <v>0</v>
      </c>
      <c r="AW123" s="4" t="inlineStr">
        <is>
          <t>finalized_from_available_evidence</t>
        </is>
      </c>
      <c r="AX123" s="4" t="inlineStr">
        <is>
          <t>0 means no reported evidence in title/abstract/notes/coding; it is not proof of true absence.</t>
        </is>
      </c>
    </row>
    <row r="124" ht="242" customHeight="1">
      <c r="A124" s="4" t="n">
        <v>123</v>
      </c>
      <c r="B124" s="4" t="n">
        <v>134</v>
      </c>
      <c r="C124" s="4" t="inlineStr">
        <is>
          <t>Revisor A</t>
        </is>
      </c>
      <c r="D124" s="4" t="inlineStr">
        <is>
          <t>RA</t>
        </is>
      </c>
      <c r="E124" s="4" t="n">
        <v>2021</v>
      </c>
      <c r="F124" s="4" t="inlineStr">
        <is>
          <t>No especificado</t>
        </is>
      </c>
      <c r="G124" s="4" t="inlineStr">
        <is>
          <t>Deep Learning</t>
        </is>
      </c>
      <c r="H124" s="4" t="inlineStr">
        <is>
          <t>https://doi.org/10.1016/B978-0-12-822822-7.00011-9</t>
        </is>
      </c>
      <c r="I124" s="4" t="inlineStr">
        <is>
          <t>A deep learning predictive classifier for autism screening and diagnosis</t>
        </is>
      </c>
      <c r="J124" s="4" t="inlineStr">
        <is>
          <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t>
        </is>
      </c>
      <c r="K124" s="4" t="inlineStr">
        <is>
          <t>Supervised</t>
        </is>
      </c>
      <c r="L124" s="4" t="inlineStr">
        <is>
          <t>MLP</t>
        </is>
      </c>
      <c r="M124" s="4" t="inlineStr">
        <is>
          <t>Classification (ASD vs control / multi-class)</t>
        </is>
      </c>
      <c r="N124" s="4" t="inlineStr">
        <is>
          <t>Screening</t>
        </is>
      </c>
      <c r="O124" s="4" t="inlineStr">
        <is>
          <t>High</t>
        </is>
      </c>
      <c r="P124" s="4" t="n">
        <v>0</v>
      </c>
      <c r="Q124" s="4" t="n">
        <v>0</v>
      </c>
      <c r="R124" s="4" t="n">
        <v>0</v>
      </c>
      <c r="S124" s="4" t="n">
        <v>0</v>
      </c>
      <c r="T124" s="4" t="n">
        <v>1</v>
      </c>
      <c r="U124" s="4" t="n">
        <v>0</v>
      </c>
      <c r="V124" s="4" t="n">
        <v>0</v>
      </c>
      <c r="W124" s="4" t="n">
        <v>0</v>
      </c>
      <c r="X124" s="4" t="n">
        <v>1</v>
      </c>
      <c r="Y124" s="4" t="n">
        <v>0</v>
      </c>
      <c r="Z124" s="4" t="n">
        <v>0</v>
      </c>
      <c r="AA124" s="4" t="n">
        <v>0</v>
      </c>
      <c r="AB124" s="4" t="inlineStr">
        <is>
          <t>1900-01-01</t>
        </is>
      </c>
      <c r="AC124" s="4" t="n">
        <v>0</v>
      </c>
      <c r="AD124" s="4" t="n">
        <v>0</v>
      </c>
      <c r="AE124" s="4" t="n">
        <v>0</v>
      </c>
      <c r="AF124" s="4" t="n">
        <v>0</v>
      </c>
      <c r="AG124" s="4" t="n">
        <v>1</v>
      </c>
      <c r="AH124" s="4" t="n">
        <v>1</v>
      </c>
      <c r="AI124" s="4" t="n"/>
      <c r="AJ124" s="4" t="n"/>
      <c r="AK124" s="4" t="inlineStr">
        <is>
          <t>none_reported</t>
        </is>
      </c>
      <c r="AL124" s="4" t="inlineStr">
        <is>
          <t>Algoritmo principal no explícito o fuera del codebook; Confirmar algoritmo principal en full-text; Se comparan varios modelos; se eligió el principal/mejor reportado</t>
        </is>
      </c>
      <c r="AM124" s="4" t="inlineStr">
        <is>
          <t>RA</t>
        </is>
      </c>
      <c r="AN124" s="4" t="inlineStr">
        <is>
          <t>Tomado completo desde archivo RA según asignación</t>
        </is>
      </c>
      <c r="AO124" s="4" t="n">
        <v>0</v>
      </c>
      <c r="AP124" s="4" t="n">
        <v>0</v>
      </c>
      <c r="AQ124" s="4" t="n">
        <v>0</v>
      </c>
      <c r="AR124" s="4" t="n">
        <v>0</v>
      </c>
      <c r="AS124" s="4" t="n">
        <v>0</v>
      </c>
      <c r="AT124" s="4" t="n">
        <v>0</v>
      </c>
      <c r="AU124" s="4" t="n">
        <v>0</v>
      </c>
      <c r="AV124" s="4" t="n">
        <v>0</v>
      </c>
      <c r="AW124" s="4" t="inlineStr">
        <is>
          <t>finalized_from_available_evidence</t>
        </is>
      </c>
      <c r="AX124" s="4" t="inlineStr">
        <is>
          <t>0 means no reported evidence in title/abstract/notes/coding; it is not proof of true absence.</t>
        </is>
      </c>
    </row>
    <row r="125" ht="281" customHeight="1">
      <c r="A125" s="4" t="n">
        <v>124</v>
      </c>
      <c r="B125" s="4" t="n">
        <v>135</v>
      </c>
      <c r="C125" s="4" t="inlineStr">
        <is>
          <t>Revisor A</t>
        </is>
      </c>
      <c r="D125" s="4" t="inlineStr">
        <is>
          <t>RA</t>
        </is>
      </c>
      <c r="E125" s="4" t="n">
        <v>2022</v>
      </c>
      <c r="F125" s="4" t="inlineStr">
        <is>
          <t>Audio · Voz</t>
        </is>
      </c>
      <c r="G125" s="4" t="inlineStr">
        <is>
          <t>Deep Learning</t>
        </is>
      </c>
      <c r="H125" s="4" t="inlineStr">
        <is>
          <t>https://doi.org/10.1007/s10803-021-05141-2</t>
        </is>
      </c>
      <c r="I125" s="4" t="inlineStr">
        <is>
          <t>A Deep Neural Network-Based Model for Screening Autism Spectrum Disorder Using the Quantitative Checklist for Autism in Toddlers (QCHAT)</t>
        </is>
      </c>
      <c r="J125" s="4" t="inlineStr">
        <is>
          <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t>
        </is>
      </c>
      <c r="K125" s="4" t="inlineStr">
        <is>
          <t>Supervised</t>
        </is>
      </c>
      <c r="L125" s="4" t="inlineStr">
        <is>
          <t>MLP</t>
        </is>
      </c>
      <c r="M125" s="4" t="inlineStr">
        <is>
          <t>Classification (ASD vs control / multi-class)</t>
        </is>
      </c>
      <c r="N125" s="4" t="inlineStr">
        <is>
          <t>Screening</t>
        </is>
      </c>
      <c r="O125" s="4" t="inlineStr">
        <is>
          <t>High</t>
        </is>
      </c>
      <c r="P125" s="4" t="n">
        <v>0</v>
      </c>
      <c r="Q125" s="4" t="n">
        <v>0</v>
      </c>
      <c r="R125" s="4" t="n">
        <v>0</v>
      </c>
      <c r="S125" s="4" t="n">
        <v>0</v>
      </c>
      <c r="T125" s="4" t="n">
        <v>1</v>
      </c>
      <c r="U125" s="4" t="n">
        <v>0</v>
      </c>
      <c r="V125" s="4" t="n">
        <v>0</v>
      </c>
      <c r="W125" s="4" t="n">
        <v>0</v>
      </c>
      <c r="X125" s="4" t="n">
        <v>1</v>
      </c>
      <c r="Y125" s="4" t="n">
        <v>0</v>
      </c>
      <c r="Z125" s="4" t="n">
        <v>0</v>
      </c>
      <c r="AA125" s="4" t="n">
        <v>0</v>
      </c>
      <c r="AB125" s="4" t="inlineStr">
        <is>
          <t>1900-01-01</t>
        </is>
      </c>
      <c r="AC125" s="4" t="n">
        <v>0</v>
      </c>
      <c r="AD125" s="4" t="n">
        <v>0</v>
      </c>
      <c r="AE125" s="4" t="n">
        <v>0</v>
      </c>
      <c r="AF125" s="4" t="n">
        <v>0</v>
      </c>
      <c r="AG125" s="4" t="n">
        <v>1</v>
      </c>
      <c r="AH125" s="4" t="n">
        <v>1</v>
      </c>
      <c r="AI125" s="4" t="n"/>
      <c r="AJ125" s="4" t="n"/>
      <c r="AK125" s="4" t="inlineStr">
        <is>
          <t>none_reported</t>
        </is>
      </c>
      <c r="AL125" s="4" t="inlineStr">
        <is>
          <t>Algoritmo principal no explícito o fuera del codebook; Confirmar algoritmo principal en full-text</t>
        </is>
      </c>
      <c r="AM125" s="4" t="inlineStr">
        <is>
          <t>RA</t>
        </is>
      </c>
      <c r="AN125" s="4" t="inlineStr">
        <is>
          <t>Tomado completo desde archivo RA según asignación</t>
        </is>
      </c>
      <c r="AO125" s="4" t="n">
        <v>0</v>
      </c>
      <c r="AP125" s="4" t="n">
        <v>0</v>
      </c>
      <c r="AQ125" s="4" t="n">
        <v>0</v>
      </c>
      <c r="AR125" s="4" t="n">
        <v>0</v>
      </c>
      <c r="AS125" s="4" t="n">
        <v>0</v>
      </c>
      <c r="AT125" s="4" t="n">
        <v>0</v>
      </c>
      <c r="AU125" s="4" t="n">
        <v>0</v>
      </c>
      <c r="AV125" s="4" t="n">
        <v>0</v>
      </c>
      <c r="AW125" s="4" t="inlineStr">
        <is>
          <t>finalized_from_available_evidence</t>
        </is>
      </c>
      <c r="AX125" s="4" t="inlineStr">
        <is>
          <t>0 means no reported evidence in title/abstract/notes/coding; it is not proof of true absence.</t>
        </is>
      </c>
    </row>
    <row r="126" ht="346" customHeight="1">
      <c r="A126" s="4" t="n">
        <v>125</v>
      </c>
      <c r="B126" s="4" t="n">
        <v>136</v>
      </c>
      <c r="C126" s="4" t="inlineStr">
        <is>
          <t>Revisor B</t>
        </is>
      </c>
      <c r="D126" s="4" t="n"/>
      <c r="E126" s="4" t="n">
        <v>2022</v>
      </c>
      <c r="F126" s="4" t="inlineStr">
        <is>
          <t>Señales fisiológicas</t>
        </is>
      </c>
      <c r="G126" s="4" t="inlineStr">
        <is>
          <t>Deep Learning</t>
        </is>
      </c>
      <c r="H126" s="4" t="inlineStr">
        <is>
          <t>https://doi.org/10.1016/j.neucom.2022.02.017</t>
        </is>
      </c>
      <c r="I126" s="4" t="inlineStr">
        <is>
          <t>A semi-supervised autoencoder for autism disease diagnosis</t>
        </is>
      </c>
      <c r="J126" s="4" t="inlineStr">
        <is>
          <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t>
        </is>
      </c>
      <c r="K126" s="4" t="inlineStr">
        <is>
          <t>Semi-supervised</t>
        </is>
      </c>
      <c r="L126" s="4" t="inlineStr">
        <is>
          <t>Autoencoder</t>
        </is>
      </c>
      <c r="M126" s="4" t="inlineStr">
        <is>
          <t>Classification (binary/multi-class; incl. ASD vs control)/ multi-class)</t>
        </is>
      </c>
      <c r="N126" s="4" t="inlineStr">
        <is>
          <t>diagnosis</t>
        </is>
      </c>
      <c r="O126" s="4" t="inlineStr">
        <is>
          <t>high</t>
        </is>
      </c>
      <c r="P126" s="4" t="n">
        <v>0</v>
      </c>
      <c r="Q126" s="4" t="n">
        <v>0</v>
      </c>
      <c r="R126" s="4" t="n">
        <v>1</v>
      </c>
      <c r="S126" s="4" t="n">
        <v>0</v>
      </c>
      <c r="T126" s="4" t="n">
        <v>0</v>
      </c>
      <c r="U126" s="4" t="n">
        <v>0</v>
      </c>
      <c r="V126" s="4" t="n">
        <v>0</v>
      </c>
      <c r="W126" s="4" t="n">
        <v>0</v>
      </c>
      <c r="X126" s="4" t="n">
        <v>0</v>
      </c>
      <c r="Y126" s="4" t="n">
        <v>1</v>
      </c>
      <c r="Z126" s="4" t="n">
        <v>0</v>
      </c>
      <c r="AA126" s="4" t="n">
        <v>0</v>
      </c>
      <c r="AB126" s="4" t="inlineStr">
        <is>
          <t>1900-01-01</t>
        </is>
      </c>
      <c r="AC126" s="4" t="n">
        <v>0</v>
      </c>
      <c r="AD126" s="4" t="n">
        <v>0</v>
      </c>
      <c r="AE126" s="4" t="n">
        <v>0</v>
      </c>
      <c r="AF126" s="4" t="n">
        <v>0</v>
      </c>
      <c r="AG126" s="4" t="n">
        <v>0</v>
      </c>
      <c r="AH126" s="4" t="n">
        <v>1</v>
      </c>
      <c r="AI126" s="4" t="n">
        <v>0</v>
      </c>
      <c r="AJ126" s="4" t="inlineStr">
        <is>
          <t>00:00:00</t>
        </is>
      </c>
      <c r="AK126" s="4" t="inlineStr">
        <is>
          <t>multisite_dataset_broad; internal_validation_only</t>
        </is>
      </c>
      <c r="AL126" s="4" t="n"/>
      <c r="AM126" s="4" t="inlineStr">
        <is>
          <t>RB</t>
        </is>
      </c>
      <c r="AN126" s="4" t="inlineStr">
        <is>
          <t>Tomado completo desde archivo RB según asignación</t>
        </is>
      </c>
      <c r="AO126" s="4" t="n">
        <v>0</v>
      </c>
      <c r="AP126" s="4" t="n">
        <v>0</v>
      </c>
      <c r="AQ126" s="4" t="n">
        <v>1</v>
      </c>
      <c r="AR126" s="4" t="n">
        <v>1</v>
      </c>
      <c r="AS126" s="4" t="n">
        <v>0</v>
      </c>
      <c r="AT126" s="4" t="n">
        <v>0</v>
      </c>
      <c r="AU126" s="4" t="n">
        <v>0</v>
      </c>
      <c r="AV126" s="4" t="n">
        <v>0</v>
      </c>
      <c r="AW126" s="4" t="inlineStr">
        <is>
          <t>finalized_from_available_evidence</t>
        </is>
      </c>
      <c r="AX126" s="4" t="inlineStr">
        <is>
          <t>0 means no reported evidence in title/abstract/notes/coding; it is not proof of true absence.</t>
        </is>
      </c>
    </row>
    <row r="127" ht="216" customHeight="1">
      <c r="A127" s="4" t="n">
        <v>126</v>
      </c>
      <c r="B127" s="4" t="n">
        <v>137</v>
      </c>
      <c r="C127" s="4" t="inlineStr">
        <is>
          <t>Revisor A</t>
        </is>
      </c>
      <c r="D127" s="4" t="inlineStr">
        <is>
          <t>RA</t>
        </is>
      </c>
      <c r="E127" s="4" t="n">
        <v>2021</v>
      </c>
      <c r="F127" s="4" t="inlineStr">
        <is>
          <t>Imagen</t>
        </is>
      </c>
      <c r="G127" s="4" t="inlineStr">
        <is>
          <t>Machine Learning</t>
        </is>
      </c>
      <c r="H127" s="4" t="inlineStr">
        <is>
          <t>https://doi.org/10.1177/1460458221991882</t>
        </is>
      </c>
      <c r="I127" s="4" t="inlineStr">
        <is>
          <t>Applying machine learning on home videos for remote autism diagnosis: Further study and analysis</t>
        </is>
      </c>
      <c r="J127" s="4" t="inlineStr">
        <is>
          <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t>
        </is>
      </c>
      <c r="K127" s="4" t="inlineStr">
        <is>
          <t>Supervised</t>
        </is>
      </c>
      <c r="L127" s="4" t="inlineStr">
        <is>
          <t>SVM</t>
        </is>
      </c>
      <c r="M127" s="4" t="inlineStr">
        <is>
          <t>Classification (ASD vs control / multi-class)</t>
        </is>
      </c>
      <c r="N127" s="4" t="inlineStr">
        <is>
          <t>Screening</t>
        </is>
      </c>
      <c r="O127" s="4" t="inlineStr">
        <is>
          <t>High</t>
        </is>
      </c>
      <c r="P127" s="4" t="n">
        <v>0</v>
      </c>
      <c r="Q127" s="4" t="n">
        <v>0</v>
      </c>
      <c r="R127" s="4" t="n">
        <v>1</v>
      </c>
      <c r="S127" s="4" t="n">
        <v>0</v>
      </c>
      <c r="T127" s="4" t="n">
        <v>0</v>
      </c>
      <c r="U127" s="4" t="n">
        <v>0</v>
      </c>
      <c r="V127" s="4" t="n">
        <v>0</v>
      </c>
      <c r="W127" s="4" t="n">
        <v>1</v>
      </c>
      <c r="X127" s="4" t="n">
        <v>1</v>
      </c>
      <c r="Y127" s="4" t="n">
        <v>0</v>
      </c>
      <c r="Z127" s="4" t="n">
        <v>0</v>
      </c>
      <c r="AA127" s="4" t="n">
        <v>0</v>
      </c>
      <c r="AB127" s="4" t="inlineStr">
        <is>
          <t>1900-01-01</t>
        </is>
      </c>
      <c r="AC127" s="4" t="n">
        <v>0</v>
      </c>
      <c r="AD127" s="4" t="n">
        <v>1</v>
      </c>
      <c r="AE127" s="4" t="n">
        <v>0</v>
      </c>
      <c r="AF127" s="4" t="n">
        <v>0</v>
      </c>
      <c r="AG127" s="4" t="n">
        <v>1</v>
      </c>
      <c r="AH127" s="4" t="n">
        <v>1</v>
      </c>
      <c r="AI127" s="4" t="n"/>
      <c r="AJ127" s="4" t="n"/>
      <c r="AK127" s="4" t="inlineStr">
        <is>
          <t>explainability_or_interpretability</t>
        </is>
      </c>
      <c r="AL127" s="4" t="inlineStr">
        <is>
          <t>Algoritmo principal no explícito o fuera del codebook; Confirmar algoritmo principal en full-text</t>
        </is>
      </c>
      <c r="AM127" s="4" t="inlineStr">
        <is>
          <t>RA</t>
        </is>
      </c>
      <c r="AN127" s="4" t="inlineStr">
        <is>
          <t>Tomado completo desde archivo RA según asignación</t>
        </is>
      </c>
      <c r="AO127" s="4" t="n">
        <v>0</v>
      </c>
      <c r="AP127" s="4" t="n">
        <v>0</v>
      </c>
      <c r="AQ127" s="4" t="n">
        <v>0</v>
      </c>
      <c r="AR127" s="4" t="n">
        <v>0</v>
      </c>
      <c r="AS127" s="4" t="n">
        <v>0</v>
      </c>
      <c r="AT127" s="4" t="n">
        <v>1</v>
      </c>
      <c r="AU127" s="4" t="n">
        <v>0</v>
      </c>
      <c r="AV127" s="4" t="n">
        <v>0</v>
      </c>
      <c r="AW127" s="4" t="inlineStr">
        <is>
          <t>finalized_from_available_evidence</t>
        </is>
      </c>
      <c r="AX127" s="4" t="inlineStr">
        <is>
          <t>0 means no reported evidence in title/abstract/notes/coding; it is not proof of true absence.</t>
        </is>
      </c>
    </row>
    <row r="128" ht="320" customHeight="1">
      <c r="A128" s="4" t="n">
        <v>127</v>
      </c>
      <c r="B128" s="4" t="n">
        <v>138</v>
      </c>
      <c r="C128" s="4" t="inlineStr">
        <is>
          <t>Revisor A</t>
        </is>
      </c>
      <c r="D128" s="4" t="inlineStr">
        <is>
          <t>RA</t>
        </is>
      </c>
      <c r="E128" s="4" t="n">
        <v>2024</v>
      </c>
      <c r="F128" s="4" t="inlineStr">
        <is>
          <t>No especificado</t>
        </is>
      </c>
      <c r="G128" s="4" t="inlineStr">
        <is>
          <t>No especificado</t>
        </is>
      </c>
      <c r="H128" s="4" t="inlineStr">
        <is>
          <t>https://doi.org/10.1038/s41598-024-64299-8</t>
        </is>
      </c>
      <c r="I128" s="4" t="inlineStr">
        <is>
          <t>ASD-SWNet: a novel shared-weight feature extraction and classification network for autism spectrum disorder diagnosis</t>
        </is>
      </c>
      <c r="J128" s="4" t="inlineStr">
        <is>
          <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t>
        </is>
      </c>
      <c r="K128" s="4" t="inlineStr">
        <is>
          <t>Semi-supervised</t>
        </is>
      </c>
      <c r="L128" s="4" t="inlineStr">
        <is>
          <t>CNN</t>
        </is>
      </c>
      <c r="M128" s="4" t="inlineStr">
        <is>
          <t>Classification (ASD vs control / multi-class)</t>
        </is>
      </c>
      <c r="N128" s="4" t="inlineStr">
        <is>
          <t>Diagnosis</t>
        </is>
      </c>
      <c r="O128" s="4" t="inlineStr">
        <is>
          <t>High</t>
        </is>
      </c>
      <c r="P128" s="4" t="n">
        <v>1</v>
      </c>
      <c r="Q128" s="4" t="n">
        <v>0</v>
      </c>
      <c r="R128" s="4" t="n">
        <v>0</v>
      </c>
      <c r="S128" s="4" t="n">
        <v>0</v>
      </c>
      <c r="T128" s="4" t="n">
        <v>0</v>
      </c>
      <c r="U128" s="4" t="n">
        <v>0</v>
      </c>
      <c r="V128" s="4" t="n">
        <v>0</v>
      </c>
      <c r="W128" s="4" t="n">
        <v>0</v>
      </c>
      <c r="X128" s="4" t="n">
        <v>0</v>
      </c>
      <c r="Y128" s="4" t="n">
        <v>1</v>
      </c>
      <c r="Z128" s="4" t="n">
        <v>0</v>
      </c>
      <c r="AA128" s="4" t="n">
        <v>0</v>
      </c>
      <c r="AB128" s="4" t="inlineStr">
        <is>
          <t>1900-01-01</t>
        </is>
      </c>
      <c r="AC128" s="4" t="n">
        <v>0</v>
      </c>
      <c r="AD128" s="4" t="n">
        <v>0</v>
      </c>
      <c r="AE128" s="4" t="n">
        <v>0</v>
      </c>
      <c r="AF128" s="4" t="n">
        <v>0</v>
      </c>
      <c r="AG128" s="4" t="n">
        <v>0</v>
      </c>
      <c r="AH128" s="4" t="n">
        <v>1</v>
      </c>
      <c r="AI128" s="4" t="n"/>
      <c r="AJ128" s="4" t="n"/>
      <c r="AK128" s="4" t="inlineStr">
        <is>
          <t>multisite_dataset_broad; internal_validation_only</t>
        </is>
      </c>
      <c r="AL128" s="4" t="n"/>
      <c r="AM128" s="4" t="inlineStr">
        <is>
          <t>RA</t>
        </is>
      </c>
      <c r="AN128" s="4" t="inlineStr">
        <is>
          <t>Tomado completo desde archivo RA según asignación</t>
        </is>
      </c>
      <c r="AO128" s="4" t="n">
        <v>0</v>
      </c>
      <c r="AP128" s="4" t="n">
        <v>0</v>
      </c>
      <c r="AQ128" s="4" t="n">
        <v>1</v>
      </c>
      <c r="AR128" s="4" t="n">
        <v>1</v>
      </c>
      <c r="AS128" s="4" t="n">
        <v>0</v>
      </c>
      <c r="AT128" s="4" t="n">
        <v>0</v>
      </c>
      <c r="AU128" s="4" t="n">
        <v>0</v>
      </c>
      <c r="AV128" s="4" t="n">
        <v>0</v>
      </c>
      <c r="AW128" s="4" t="inlineStr">
        <is>
          <t>finalized_from_available_evidence</t>
        </is>
      </c>
      <c r="AX128" s="4" t="inlineStr">
        <is>
          <t>0 means no reported evidence in title/abstract/notes/coding; it is not proof of true absence.</t>
        </is>
      </c>
    </row>
    <row r="129" ht="385" customHeight="1">
      <c r="A129" s="4" t="n">
        <v>128</v>
      </c>
      <c r="B129" s="4" t="n">
        <v>140</v>
      </c>
      <c r="C129" s="4" t="inlineStr">
        <is>
          <t>Revisor B</t>
        </is>
      </c>
      <c r="D129" s="4" t="n"/>
      <c r="E129" s="4" t="n">
        <v>2023</v>
      </c>
      <c r="F129" s="4" t="inlineStr">
        <is>
          <t>Imagen</t>
        </is>
      </c>
      <c r="G129" s="4" t="inlineStr">
        <is>
          <t>Deep Learning</t>
        </is>
      </c>
      <c r="H129" s="4" t="inlineStr">
        <is>
          <t>https://doi.org/10.1007/s11517-023-02859-2</t>
        </is>
      </c>
      <c r="I129" s="4" t="inlineStr">
        <is>
          <t>Autism spectrum disorder diagnosis based on deep unrolling-based spatial constraint representation.</t>
        </is>
      </c>
      <c r="J129" s="4" t="inlineStr">
        <is>
          <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t>
        </is>
      </c>
      <c r="K129" s="4" t="inlineStr">
        <is>
          <t>Supervised</t>
        </is>
      </c>
      <c r="L129" s="4" t="inlineStr">
        <is>
          <t>CNN</t>
        </is>
      </c>
      <c r="M129" s="4" t="inlineStr">
        <is>
          <t>Classification (binary/multi-class; incl. ASD vs control)/ multi-class)</t>
        </is>
      </c>
      <c r="N129" s="4" t="inlineStr">
        <is>
          <t>Diagnosis</t>
        </is>
      </c>
      <c r="O129" s="4" t="inlineStr">
        <is>
          <t>high</t>
        </is>
      </c>
      <c r="P129" s="4" t="n">
        <v>0</v>
      </c>
      <c r="Q129" s="4" t="n">
        <v>0</v>
      </c>
      <c r="R129" s="4" t="n">
        <v>0</v>
      </c>
      <c r="S129" s="4" t="n">
        <v>1</v>
      </c>
      <c r="T129" s="4" t="n">
        <v>0</v>
      </c>
      <c r="U129" s="4" t="n">
        <v>0</v>
      </c>
      <c r="V129" s="4" t="n">
        <v>0</v>
      </c>
      <c r="W129" s="4" t="n">
        <v>0</v>
      </c>
      <c r="X129" s="4" t="n">
        <v>1</v>
      </c>
      <c r="Y129" s="4" t="n">
        <v>0</v>
      </c>
      <c r="Z129" s="4" t="n">
        <v>1</v>
      </c>
      <c r="AA129" s="4" t="n">
        <v>1</v>
      </c>
      <c r="AB129" s="4" t="inlineStr">
        <is>
          <t>1900-01-01</t>
        </is>
      </c>
      <c r="AC129" s="4" t="n">
        <v>0</v>
      </c>
      <c r="AD129" s="4" t="n">
        <v>0</v>
      </c>
      <c r="AE129" s="4" t="n">
        <v>0</v>
      </c>
      <c r="AF129" s="4" t="n">
        <v>0</v>
      </c>
      <c r="AG129" s="4" t="n">
        <v>0</v>
      </c>
      <c r="AH129" s="4" t="n">
        <v>1</v>
      </c>
      <c r="AI129" s="4" t="n">
        <v>0</v>
      </c>
      <c r="AJ129" s="4" t="inlineStr">
        <is>
          <t>00:00:00</t>
        </is>
      </c>
      <c r="AK129" s="4" t="inlineStr">
        <is>
          <t>multisite_dataset_broad</t>
        </is>
      </c>
      <c r="AL129" s="4" t="n"/>
      <c r="AM129" s="4" t="inlineStr">
        <is>
          <t>RB</t>
        </is>
      </c>
      <c r="AN129" s="4" t="inlineStr">
        <is>
          <t>Tomado completo desde archivo RB según asignación</t>
        </is>
      </c>
      <c r="AO129" s="4" t="n">
        <v>0</v>
      </c>
      <c r="AP129" s="4" t="n">
        <v>0</v>
      </c>
      <c r="AQ129" s="4" t="n">
        <v>1</v>
      </c>
      <c r="AR129" s="4" t="n">
        <v>0</v>
      </c>
      <c r="AS129" s="4" t="n">
        <v>0</v>
      </c>
      <c r="AT129" s="4" t="n">
        <v>0</v>
      </c>
      <c r="AU129" s="4" t="n">
        <v>0</v>
      </c>
      <c r="AV129" s="4" t="n">
        <v>0</v>
      </c>
      <c r="AW129" s="4" t="inlineStr">
        <is>
          <t>finalized_from_available_evidence</t>
        </is>
      </c>
      <c r="AX129" s="4" t="inlineStr">
        <is>
          <t>0 means no reported evidence in title/abstract/notes/coding; it is not proof of true absence.</t>
        </is>
      </c>
    </row>
    <row r="130" ht="333" customHeight="1">
      <c r="A130" s="4" t="n">
        <v>129</v>
      </c>
      <c r="B130" s="4" t="n">
        <v>141</v>
      </c>
      <c r="C130" s="4" t="inlineStr">
        <is>
          <t>Revisor B</t>
        </is>
      </c>
      <c r="D130" s="4" t="n"/>
      <c r="E130" s="4" t="n">
        <v>2025</v>
      </c>
      <c r="F130" s="4" t="inlineStr">
        <is>
          <t>Audio · Voz</t>
        </is>
      </c>
      <c r="G130" s="4" t="inlineStr">
        <is>
          <t>Deep Learning</t>
        </is>
      </c>
      <c r="H130" s="4" t="inlineStr">
        <is>
          <t>https://doi.org/10.1007/s10803-025-06811-1</t>
        </is>
      </c>
      <c r="I130" s="4" t="inlineStr">
        <is>
          <t>Automatic Cry Analysis: Deep Learning for Screening of Autism Spectrum Disorder in Early Childhood</t>
        </is>
      </c>
      <c r="J130" s="4" t="inlineStr">
        <is>
          <t>Purpose: The objective of this study is to identify the acoustic characteristics of cries of Typically Developing (TD) and Autism Spectrum Disorder (ASD) children via Deep Learning (DL) techniques to support clinicians in the early detection of ASD._x000D_
_x000D_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children._x000D_
_x000D_
Results: We found a statistical significant increase in jitter and shimmer for ASD cries compared to TD, as well as a decrease in HNR for ASD cries. Additionally, the DL algorithm achieved an accuracy of 90.28% in differentiating ASD cries from TD._x000D_
_x000D_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K130" s="4" t="inlineStr">
        <is>
          <t>Supervised</t>
        </is>
      </c>
      <c r="L130" s="4" t="inlineStr">
        <is>
          <t>Not clear</t>
        </is>
      </c>
      <c r="M130" s="4" t="inlineStr">
        <is>
          <t>Classification (binary/multi-class; incl. ASD vs control)/ multi-class)</t>
        </is>
      </c>
      <c r="N130" s="4" t="inlineStr">
        <is>
          <t>Prescreening</t>
        </is>
      </c>
      <c r="O130" s="4" t="inlineStr">
        <is>
          <t>high</t>
        </is>
      </c>
      <c r="P130" s="4" t="n">
        <v>0</v>
      </c>
      <c r="Q130" s="4" t="n">
        <v>0</v>
      </c>
      <c r="R130" s="4" t="n">
        <v>1</v>
      </c>
      <c r="S130" s="4" t="n">
        <v>1</v>
      </c>
      <c r="T130" s="4" t="n">
        <v>1</v>
      </c>
      <c r="U130" s="4" t="n">
        <v>0</v>
      </c>
      <c r="V130" s="4" t="n">
        <v>0</v>
      </c>
      <c r="W130" s="4" t="n">
        <v>0</v>
      </c>
      <c r="X130" s="4" t="n">
        <v>0</v>
      </c>
      <c r="Y130" s="4" t="n">
        <v>1</v>
      </c>
      <c r="Z130" s="4" t="n">
        <v>1</v>
      </c>
      <c r="AA130" s="4" t="n">
        <v>0</v>
      </c>
      <c r="AB130" s="4" t="inlineStr">
        <is>
          <t>1900-01-01</t>
        </is>
      </c>
      <c r="AC130" s="4" t="n">
        <v>0</v>
      </c>
      <c r="AD130" s="4" t="n">
        <v>0</v>
      </c>
      <c r="AE130" s="4" t="n">
        <v>0</v>
      </c>
      <c r="AF130" s="4" t="n">
        <v>1</v>
      </c>
      <c r="AG130" s="4" t="n">
        <v>0</v>
      </c>
      <c r="AH130" s="4" t="n">
        <v>3</v>
      </c>
      <c r="AI130" s="4" t="n">
        <v>0</v>
      </c>
      <c r="AJ130" s="4" t="inlineStr">
        <is>
          <t>1900-01-01</t>
        </is>
      </c>
      <c r="AK130" s="4" t="inlineStr">
        <is>
          <t>multisource_integration</t>
        </is>
      </c>
      <c r="AL130" s="4" t="n"/>
      <c r="AM130" s="4" t="inlineStr">
        <is>
          <t>RB</t>
        </is>
      </c>
      <c r="AN130" s="4" t="inlineStr">
        <is>
          <t>Tomado completo desde archivo RB según asignación</t>
        </is>
      </c>
      <c r="AO130" s="4" t="n">
        <v>0</v>
      </c>
      <c r="AP130" s="4" t="n">
        <v>0</v>
      </c>
      <c r="AQ130" s="4" t="n">
        <v>0</v>
      </c>
      <c r="AR130" s="4" t="n">
        <v>0</v>
      </c>
      <c r="AS130" s="4" t="n">
        <v>0</v>
      </c>
      <c r="AT130" s="4" t="n">
        <v>0</v>
      </c>
      <c r="AU130" s="4" t="n">
        <v>0</v>
      </c>
      <c r="AV130" s="4" t="n">
        <v>1</v>
      </c>
      <c r="AW130" s="4" t="inlineStr">
        <is>
          <t>finalized_from_available_evidence</t>
        </is>
      </c>
      <c r="AX130" s="4" t="inlineStr">
        <is>
          <t>0 means no reported evidence in title/abstract/notes/coding; it is not proof of true absence.</t>
        </is>
      </c>
    </row>
    <row r="131" ht="333" customHeight="1">
      <c r="A131" s="4" t="n">
        <v>130</v>
      </c>
      <c r="B131" s="4" t="n">
        <v>142</v>
      </c>
      <c r="C131" s="4" t="inlineStr">
        <is>
          <t>Revisor A</t>
        </is>
      </c>
      <c r="D131" s="4" t="inlineStr">
        <is>
          <t>RA</t>
        </is>
      </c>
      <c r="E131" s="4" t="n">
        <v>2025</v>
      </c>
      <c r="F131" s="4" t="inlineStr">
        <is>
          <t>Imagen</t>
        </is>
      </c>
      <c r="G131" s="4" t="inlineStr">
        <is>
          <t>Deep Learning</t>
        </is>
      </c>
      <c r="H131" s="4" t="inlineStr">
        <is>
          <t>https://doi.org/10.1109/JBHI.2025.3542066</t>
        </is>
      </c>
      <c r="I131" s="4" t="inlineStr">
        <is>
          <t>AV-FOS: Transformer-Based Audio-Visual Multimodal Interaction Style Recognition for Children With Autism Using the Revised Family Observation Schedule 3rd Edition (FOS-R-III)</t>
        </is>
      </c>
      <c r="J131" s="4"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K131" s="4" t="inlineStr">
        <is>
          <t>Self-supervised</t>
        </is>
      </c>
      <c r="L131" s="4" t="inlineStr">
        <is>
          <t>Transformer</t>
        </is>
      </c>
      <c r="M131" s="4" t="inlineStr">
        <is>
          <t>Classification (ASD vs control / multi-class)</t>
        </is>
      </c>
      <c r="N131" s="4" t="inlineStr">
        <is>
          <t>Monitoring/intervention</t>
        </is>
      </c>
      <c r="O131" s="4" t="inlineStr">
        <is>
          <t>Medium</t>
        </is>
      </c>
      <c r="P131" s="4" t="n">
        <v>0</v>
      </c>
      <c r="Q131" s="4" t="n">
        <v>0</v>
      </c>
      <c r="R131" s="4" t="n">
        <v>1</v>
      </c>
      <c r="S131" s="4" t="n">
        <v>1</v>
      </c>
      <c r="T131" s="4" t="n">
        <v>0</v>
      </c>
      <c r="U131" s="4" t="n">
        <v>0</v>
      </c>
      <c r="V131" s="4" t="n">
        <v>0</v>
      </c>
      <c r="W131" s="4" t="n">
        <v>0</v>
      </c>
      <c r="X131" s="4" t="n">
        <v>0</v>
      </c>
      <c r="Y131" s="4" t="n">
        <v>0</v>
      </c>
      <c r="Z131" s="4" t="n">
        <v>0</v>
      </c>
      <c r="AA131" s="4" t="n">
        <v>1</v>
      </c>
      <c r="AB131" s="4" t="inlineStr">
        <is>
          <t>1900-01-01</t>
        </is>
      </c>
      <c r="AC131" s="4" t="n">
        <v>0</v>
      </c>
      <c r="AD131" s="4" t="n">
        <v>0</v>
      </c>
      <c r="AE131" s="4" t="n">
        <v>0</v>
      </c>
      <c r="AF131" s="4" t="n">
        <v>1</v>
      </c>
      <c r="AG131" s="4" t="n">
        <v>1</v>
      </c>
      <c r="AH131" s="4" t="n">
        <v>2</v>
      </c>
      <c r="AI131" s="4" t="n"/>
      <c r="AJ131" s="4" t="n"/>
      <c r="AK131" s="4" t="inlineStr">
        <is>
          <t>multisource_integration</t>
        </is>
      </c>
      <c r="AL131" s="4" t="inlineStr">
        <is>
          <t>Reconocimiento de estilo de interacción audio-visual en FOS-R-III; etapa clínica exacta requiere confirmación.</t>
        </is>
      </c>
      <c r="AM131" s="4" t="inlineStr">
        <is>
          <t>RA</t>
        </is>
      </c>
      <c r="AN131" s="4" t="inlineStr">
        <is>
          <t>Tomado completo desde archivo RA según asignación</t>
        </is>
      </c>
      <c r="AO131" s="4" t="n">
        <v>0</v>
      </c>
      <c r="AP131" s="4" t="n">
        <v>0</v>
      </c>
      <c r="AQ131" s="4" t="n">
        <v>0</v>
      </c>
      <c r="AR131" s="4" t="n">
        <v>0</v>
      </c>
      <c r="AS131" s="4" t="n">
        <v>0</v>
      </c>
      <c r="AT131" s="4" t="n">
        <v>0</v>
      </c>
      <c r="AU131" s="4" t="n">
        <v>0</v>
      </c>
      <c r="AV131" s="4" t="n">
        <v>1</v>
      </c>
      <c r="AW131" s="4" t="inlineStr">
        <is>
          <t>finalized_from_available_evidence</t>
        </is>
      </c>
      <c r="AX131" s="4" t="inlineStr">
        <is>
          <t>0 means no reported evidence in title/abstract/notes/coding; it is not proof of true absence.</t>
        </is>
      </c>
    </row>
    <row r="132" ht="409" customHeight="1">
      <c r="A132" s="4" t="n">
        <v>131</v>
      </c>
      <c r="B132" s="4" t="n">
        <v>143</v>
      </c>
      <c r="C132" s="4" t="inlineStr">
        <is>
          <t>Revisor A</t>
        </is>
      </c>
      <c r="D132" s="4" t="inlineStr">
        <is>
          <t>RA</t>
        </is>
      </c>
      <c r="E132" s="4" t="n">
        <v>2023</v>
      </c>
      <c r="F132" s="4" t="inlineStr">
        <is>
          <t>No especificado</t>
        </is>
      </c>
      <c r="G132" s="4" t="inlineStr">
        <is>
          <t>Deep Learning</t>
        </is>
      </c>
      <c r="H132" s="4" t="inlineStr">
        <is>
          <t>https://doi.org/10.1186/S12920-023-01439-5</t>
        </is>
      </c>
      <c r="I132" s="4" t="inlineStr">
        <is>
          <t>Biomarker prediction in autism spectrum disorder using a network-based approach</t>
        </is>
      </c>
      <c r="J132" s="4" t="inlineStr">
        <is>
          <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t>
        </is>
      </c>
      <c r="K132" s="4" t="inlineStr">
        <is>
          <t>Unsupervised</t>
        </is>
      </c>
      <c r="L132" s="4" t="inlineStr">
        <is>
          <t>Clustering (k-means / GMM / ...)</t>
        </is>
      </c>
      <c r="M132" s="4" t="inlineStr">
        <is>
          <t>Other / Not clear</t>
        </is>
      </c>
      <c r="N132" s="4" t="inlineStr">
        <is>
          <t>Diagnosis</t>
        </is>
      </c>
      <c r="O132" s="4" t="inlineStr">
        <is>
          <t>Medium</t>
        </is>
      </c>
      <c r="P132" s="4" t="n">
        <v>0</v>
      </c>
      <c r="Q132" s="4" t="n">
        <v>0</v>
      </c>
      <c r="R132" s="4" t="n">
        <v>0</v>
      </c>
      <c r="S132" s="4" t="n">
        <v>0</v>
      </c>
      <c r="T132" s="4" t="n">
        <v>0</v>
      </c>
      <c r="U132" s="4" t="n">
        <v>1</v>
      </c>
      <c r="V132" s="4" t="n">
        <v>0</v>
      </c>
      <c r="W132" s="4" t="n">
        <v>0</v>
      </c>
      <c r="X132" s="4" t="n">
        <v>0</v>
      </c>
      <c r="Y132" s="4" t="n">
        <v>1</v>
      </c>
      <c r="Z132" s="4" t="n">
        <v>0</v>
      </c>
      <c r="AA132" s="4" t="n">
        <v>0</v>
      </c>
      <c r="AB132" s="4" t="inlineStr">
        <is>
          <t>1900-01-01</t>
        </is>
      </c>
      <c r="AC132" s="4" t="n">
        <v>0</v>
      </c>
      <c r="AD132" s="4" t="n">
        <v>0</v>
      </c>
      <c r="AE132" s="4" t="n">
        <v>0</v>
      </c>
      <c r="AF132" s="4" t="n">
        <v>0</v>
      </c>
      <c r="AG132" s="4" t="n">
        <v>1</v>
      </c>
      <c r="AH132" s="4" t="n">
        <v>1</v>
      </c>
      <c r="AI132" s="4" t="n"/>
      <c r="AJ132" s="4" t="n"/>
      <c r="AK132" s="4" t="inlineStr">
        <is>
          <t>none_reported</t>
        </is>
      </c>
      <c r="AL132" s="4" t="inlineStr">
        <is>
          <t>Algoritmo principal no explícito o fuera del codebook; Confirmar algoritmo principal en full-text</t>
        </is>
      </c>
      <c r="AM132" s="4" t="inlineStr">
        <is>
          <t>RA</t>
        </is>
      </c>
      <c r="AN132" s="4" t="inlineStr">
        <is>
          <t>Tomado completo desde archivo RA según asignación</t>
        </is>
      </c>
      <c r="AO132" s="4" t="n">
        <v>0</v>
      </c>
      <c r="AP132" s="4" t="n">
        <v>0</v>
      </c>
      <c r="AQ132" s="4" t="n">
        <v>0</v>
      </c>
      <c r="AR132" s="4" t="n">
        <v>0</v>
      </c>
      <c r="AS132" s="4" t="n">
        <v>0</v>
      </c>
      <c r="AT132" s="4" t="n">
        <v>0</v>
      </c>
      <c r="AU132" s="4" t="n">
        <v>0</v>
      </c>
      <c r="AV132" s="4" t="n">
        <v>0</v>
      </c>
      <c r="AW132" s="4" t="inlineStr">
        <is>
          <t>finalized_from_available_evidence</t>
        </is>
      </c>
      <c r="AX132" s="4" t="inlineStr">
        <is>
          <t>0 means no reported evidence in title/abstract/notes/coding; it is not proof of true absence.</t>
        </is>
      </c>
    </row>
    <row r="133" ht="294" customHeight="1">
      <c r="A133" s="4" t="n">
        <v>132</v>
      </c>
      <c r="B133" s="4" t="n">
        <v>144</v>
      </c>
      <c r="C133" s="4" t="inlineStr">
        <is>
          <t>Revisor A</t>
        </is>
      </c>
      <c r="D133" s="4" t="inlineStr">
        <is>
          <t>RA</t>
        </is>
      </c>
      <c r="E133" s="4" t="n">
        <v>2024</v>
      </c>
      <c r="F133" s="4" t="inlineStr">
        <is>
          <t>Imagen</t>
        </is>
      </c>
      <c r="G133" s="4" t="inlineStr">
        <is>
          <t>Machine Learning</t>
        </is>
      </c>
      <c r="H133" s="4" t="inlineStr">
        <is>
          <t>https://doi.org/10.1038/s41598-024-56098-y</t>
        </is>
      </c>
      <c r="I133" s="4" t="inlineStr">
        <is>
          <t>Classifying autism in a clinical population based on motion synchrony: a proof-of-concept study using real-life diagnostic interviews</t>
        </is>
      </c>
      <c r="J133" s="4" t="inlineStr">
        <is>
          <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t>
        </is>
      </c>
      <c r="K133" s="4" t="inlineStr">
        <is>
          <t>Supervised</t>
        </is>
      </c>
      <c r="L133" s="4" t="inlineStr">
        <is>
          <t>SVM</t>
        </is>
      </c>
      <c r="M133" s="4" t="inlineStr">
        <is>
          <t>Classification (ASD vs control / multi-class)</t>
        </is>
      </c>
      <c r="N133" s="4" t="inlineStr">
        <is>
          <t>Diagnosis</t>
        </is>
      </c>
      <c r="O133" s="4" t="inlineStr">
        <is>
          <t>High</t>
        </is>
      </c>
      <c r="P133" s="4" t="n">
        <v>0</v>
      </c>
      <c r="Q133" s="4" t="n">
        <v>0</v>
      </c>
      <c r="R133" s="4" t="n">
        <v>1</v>
      </c>
      <c r="S133" s="4" t="n">
        <v>0</v>
      </c>
      <c r="T133" s="4" t="n">
        <v>0</v>
      </c>
      <c r="U133" s="4" t="n">
        <v>0</v>
      </c>
      <c r="V133" s="4" t="n">
        <v>0</v>
      </c>
      <c r="W133" s="4" t="n">
        <v>0</v>
      </c>
      <c r="X133" s="4" t="n">
        <v>0</v>
      </c>
      <c r="Y133" s="4" t="n">
        <v>1</v>
      </c>
      <c r="Z133" s="4" t="n">
        <v>0</v>
      </c>
      <c r="AA133" s="4" t="n">
        <v>0</v>
      </c>
      <c r="AB133" s="4" t="inlineStr">
        <is>
          <t>1900-01-01</t>
        </is>
      </c>
      <c r="AC133" s="4" t="n">
        <v>0</v>
      </c>
      <c r="AD133" s="4" t="n">
        <v>0</v>
      </c>
      <c r="AE133" s="4" t="n">
        <v>0</v>
      </c>
      <c r="AF133" s="4" t="n">
        <v>0</v>
      </c>
      <c r="AG133" s="4" t="n">
        <v>0</v>
      </c>
      <c r="AH133" s="4" t="n">
        <v>1</v>
      </c>
      <c r="AI133" s="4" t="n"/>
      <c r="AJ133" s="4" t="n"/>
      <c r="AK133" s="4" t="inlineStr">
        <is>
          <t>none_reported</t>
        </is>
      </c>
      <c r="AL133" s="4" t="n"/>
      <c r="AM133" s="4" t="inlineStr">
        <is>
          <t>RA</t>
        </is>
      </c>
      <c r="AN133" s="4" t="inlineStr">
        <is>
          <t>Tomado completo desde archivo RA según asignación</t>
        </is>
      </c>
      <c r="AO133" s="4" t="n">
        <v>0</v>
      </c>
      <c r="AP133" s="4" t="n">
        <v>0</v>
      </c>
      <c r="AQ133" s="4" t="n">
        <v>0</v>
      </c>
      <c r="AR133" s="4" t="n">
        <v>0</v>
      </c>
      <c r="AS133" s="4" t="n">
        <v>0</v>
      </c>
      <c r="AT133" s="4" t="n">
        <v>0</v>
      </c>
      <c r="AU133" s="4" t="n">
        <v>0</v>
      </c>
      <c r="AV133" s="4" t="n">
        <v>0</v>
      </c>
      <c r="AW133" s="4" t="inlineStr">
        <is>
          <t>finalized_from_available_evidence</t>
        </is>
      </c>
      <c r="AX133" s="4" t="inlineStr">
        <is>
          <t>0 means no reported evidence in title/abstract/notes/coding; it is not proof of true absence.</t>
        </is>
      </c>
    </row>
    <row r="134" ht="190" customHeight="1">
      <c r="A134" s="4" t="n">
        <v>133</v>
      </c>
      <c r="B134" s="4" t="n">
        <v>145</v>
      </c>
      <c r="C134" s="4" t="inlineStr">
        <is>
          <t>Revisor B</t>
        </is>
      </c>
      <c r="D134" s="4" t="n"/>
      <c r="E134" s="4" t="n">
        <v>2016</v>
      </c>
      <c r="F134" s="4" t="inlineStr">
        <is>
          <t>No especificado</t>
        </is>
      </c>
      <c r="G134" s="4" t="inlineStr">
        <is>
          <t>Deep Learning</t>
        </is>
      </c>
      <c r="H134" s="4" t="inlineStr">
        <is>
          <t>https://doi.org/10.1007/s10803-016-2718-4</t>
        </is>
      </c>
      <c r="I134" s="4" t="inlineStr">
        <is>
          <t>Clinical Evaluation of a Novel and Mobile Autism Risk Assessment</t>
        </is>
      </c>
      <c r="J134" s="4" t="inlineStr">
        <is>
          <t>The Mobile Autism Risk Assessment (MARA) is a new, electronically administered, 7-question autism spectrum disorder (ASD) screen to triage those at highest risk for ASD. Children 16 months–17 years (N = 222) were screened during their first visit in a developmental-behavioral pediatric clinic. MARA scores were compared to diagnosis from the clinical encounter. Participant median age was 5.8 years, 76.1 % were male, and most participants had an intelligence/developmental quotient score &gt;85; 69 of the participants (31 %) received a clinical diagnosis of ASD. The sensitivity of the MARA in detecting ASD was 89.9 % [95 % CI = 82.7–97]; the specificity was 79.7 % [95 % CI = 73.4–86.1]. In a high-risk clinical setting, the MARA shows promise as a screen to distinguish ASD from other developmental/behavioral disorders.</t>
        </is>
      </c>
      <c r="K134" s="4" t="inlineStr">
        <is>
          <t>Supervised</t>
        </is>
      </c>
      <c r="L134" s="4" t="inlineStr">
        <is>
          <t>Decision Tree</t>
        </is>
      </c>
      <c r="M134" s="4" t="inlineStr">
        <is>
          <t>Classification (ASD vs control / multi-class)</t>
        </is>
      </c>
      <c r="N134" s="4" t="inlineStr">
        <is>
          <t>screening</t>
        </is>
      </c>
      <c r="O134" s="4" t="inlineStr">
        <is>
          <t>high</t>
        </is>
      </c>
      <c r="P134" s="4" t="n">
        <v>0</v>
      </c>
      <c r="Q134" s="4" t="n">
        <v>0</v>
      </c>
      <c r="R134" s="4" t="n">
        <v>0</v>
      </c>
      <c r="S134" s="4" t="n">
        <v>0</v>
      </c>
      <c r="T134" s="4" t="n">
        <v>0</v>
      </c>
      <c r="U134" s="4" t="n">
        <v>0</v>
      </c>
      <c r="V134" s="4" t="n">
        <v>0</v>
      </c>
      <c r="W134" s="4" t="n">
        <v>0</v>
      </c>
      <c r="X134" s="4" t="n">
        <v>1</v>
      </c>
      <c r="Y134" s="4" t="n">
        <v>1</v>
      </c>
      <c r="Z134" s="4" t="n">
        <v>1</v>
      </c>
      <c r="AA134" s="4" t="n">
        <v>1</v>
      </c>
      <c r="AB134" s="4" t="inlineStr">
        <is>
          <t>1900-01-01</t>
        </is>
      </c>
      <c r="AC134" s="4" t="n">
        <v>0</v>
      </c>
      <c r="AD134" s="4" t="n">
        <v>0</v>
      </c>
      <c r="AE134" s="4" t="n">
        <v>0</v>
      </c>
      <c r="AF134" s="4" t="n">
        <v>0</v>
      </c>
      <c r="AG134" s="4" t="n">
        <v>1</v>
      </c>
      <c r="AH134" s="4" t="n">
        <v>0</v>
      </c>
      <c r="AI134" s="4" t="n">
        <v>0</v>
      </c>
      <c r="AJ134" s="4" t="inlineStr">
        <is>
          <t>1900-01-01</t>
        </is>
      </c>
      <c r="AK134" s="4" t="inlineStr">
        <is>
          <t>none_reported</t>
        </is>
      </c>
      <c r="AL134" s="4" t="inlineStr">
        <is>
          <t>Alternating Decision Tree (ADTree)” es una variante de árbol de decisión; por eso cae naturalmente en Decision Tree</t>
        </is>
      </c>
      <c r="AM134" s="4" t="inlineStr">
        <is>
          <t>RB</t>
        </is>
      </c>
      <c r="AN134" s="4" t="inlineStr">
        <is>
          <t>Tomado completo desde archivo RB según asignación</t>
        </is>
      </c>
      <c r="AO134" s="4" t="n">
        <v>0</v>
      </c>
      <c r="AP134" s="4" t="n">
        <v>0</v>
      </c>
      <c r="AQ134" s="4" t="n">
        <v>0</v>
      </c>
      <c r="AR134" s="4" t="n">
        <v>0</v>
      </c>
      <c r="AS134" s="4" t="n">
        <v>0</v>
      </c>
      <c r="AT134" s="4" t="n">
        <v>0</v>
      </c>
      <c r="AU134" s="4" t="n">
        <v>0</v>
      </c>
      <c r="AV134" s="4" t="n">
        <v>0</v>
      </c>
      <c r="AW134" s="4" t="inlineStr">
        <is>
          <t>finalized_from_available_evidence</t>
        </is>
      </c>
      <c r="AX134" s="4" t="inlineStr">
        <is>
          <t>0 means no reported evidence in title/abstract/notes/coding; it is not proof of true absence.</t>
        </is>
      </c>
    </row>
    <row r="135" ht="385" customHeight="1">
      <c r="A135" s="4" t="n">
        <v>134</v>
      </c>
      <c r="B135" s="4" t="n">
        <v>146</v>
      </c>
      <c r="C135" s="4" t="inlineStr">
        <is>
          <t>Revisor A</t>
        </is>
      </c>
      <c r="D135" s="4" t="inlineStr">
        <is>
          <t>RA</t>
        </is>
      </c>
      <c r="E135" s="4" t="n">
        <v>2022</v>
      </c>
      <c r="F135" s="4" t="inlineStr">
        <is>
          <t>No especificado</t>
        </is>
      </c>
      <c r="G135" s="4" t="inlineStr">
        <is>
          <t>Híbrido</t>
        </is>
      </c>
      <c r="H135" s="4" t="inlineStr">
        <is>
          <t>https://doi.org/10.1186/S12911-022-02050-X</t>
        </is>
      </c>
      <c r="I135" s="4" t="inlineStr">
        <is>
          <t>Comparison of classification algorithms for predicting autistic spectrum disorder using WEKA modeler</t>
        </is>
      </c>
      <c r="J135" s="4" t="inlineStr">
        <is>
          <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t>
        </is>
      </c>
      <c r="K135" s="4" t="inlineStr">
        <is>
          <t>Supervised</t>
        </is>
      </c>
      <c r="L135" s="4" t="inlineStr">
        <is>
          <t>SVM</t>
        </is>
      </c>
      <c r="M135" s="4" t="inlineStr">
        <is>
          <t>Classification (ASD vs control / multi-class)</t>
        </is>
      </c>
      <c r="N135" s="4" t="inlineStr">
        <is>
          <t>Screening</t>
        </is>
      </c>
      <c r="O135" s="4" t="inlineStr">
        <is>
          <t>High</t>
        </is>
      </c>
      <c r="P135" s="4" t="n">
        <v>0</v>
      </c>
      <c r="Q135" s="4" t="n">
        <v>0</v>
      </c>
      <c r="R135" s="4" t="n">
        <v>1</v>
      </c>
      <c r="S135" s="4" t="n">
        <v>0</v>
      </c>
      <c r="T135" s="4" t="n">
        <v>0</v>
      </c>
      <c r="U135" s="4" t="n">
        <v>0</v>
      </c>
      <c r="V135" s="4" t="n">
        <v>0</v>
      </c>
      <c r="W135" s="4" t="n">
        <v>0</v>
      </c>
      <c r="X135" s="4" t="n">
        <v>1</v>
      </c>
      <c r="Y135" s="4" t="n">
        <v>0</v>
      </c>
      <c r="Z135" s="4" t="n">
        <v>0</v>
      </c>
      <c r="AA135" s="4" t="n">
        <v>0</v>
      </c>
      <c r="AB135" s="4" t="inlineStr">
        <is>
          <t>1900-01-01</t>
        </is>
      </c>
      <c r="AC135" s="4" t="n">
        <v>0</v>
      </c>
      <c r="AD135" s="4" t="n">
        <v>0</v>
      </c>
      <c r="AE135" s="4" t="n">
        <v>0</v>
      </c>
      <c r="AF135" s="4" t="n">
        <v>0</v>
      </c>
      <c r="AG135" s="4" t="n">
        <v>0</v>
      </c>
      <c r="AH135" s="4" t="n">
        <v>1</v>
      </c>
      <c r="AI135" s="4" t="n"/>
      <c r="AJ135" s="4" t="n"/>
      <c r="AK135" s="4" t="inlineStr">
        <is>
          <t>none_reported</t>
        </is>
      </c>
      <c r="AL135" s="4" t="inlineStr">
        <is>
          <t>Se comparan varios modelos; se eligió el principal/mejor reportado</t>
        </is>
      </c>
      <c r="AM135" s="4" t="inlineStr">
        <is>
          <t>RA</t>
        </is>
      </c>
      <c r="AN135" s="4" t="inlineStr">
        <is>
          <t>Tomado completo desde archivo RA según asignación</t>
        </is>
      </c>
      <c r="AO135" s="4" t="n">
        <v>0</v>
      </c>
      <c r="AP135" s="4" t="n">
        <v>0</v>
      </c>
      <c r="AQ135" s="4" t="n">
        <v>0</v>
      </c>
      <c r="AR135" s="4" t="n">
        <v>0</v>
      </c>
      <c r="AS135" s="4" t="n">
        <v>0</v>
      </c>
      <c r="AT135" s="4" t="n">
        <v>0</v>
      </c>
      <c r="AU135" s="4" t="n">
        <v>0</v>
      </c>
      <c r="AV135" s="4" t="n">
        <v>0</v>
      </c>
      <c r="AW135" s="4" t="inlineStr">
        <is>
          <t>finalized_from_available_evidence</t>
        </is>
      </c>
      <c r="AX135" s="4" t="inlineStr">
        <is>
          <t>0 means no reported evidence in title/abstract/notes/coding; it is not proof of true absence.</t>
        </is>
      </c>
    </row>
    <row r="136" ht="281" customHeight="1">
      <c r="A136" s="4" t="n">
        <v>135</v>
      </c>
      <c r="B136" s="4" t="n">
        <v>147</v>
      </c>
      <c r="C136" s="4" t="inlineStr">
        <is>
          <t>Revisor A</t>
        </is>
      </c>
      <c r="D136" s="4" t="inlineStr">
        <is>
          <t>RA</t>
        </is>
      </c>
      <c r="E136" s="4" t="n">
        <v>2025</v>
      </c>
      <c r="F136" s="4" t="inlineStr">
        <is>
          <t>Multimodal</t>
        </is>
      </c>
      <c r="G136" s="4" t="inlineStr">
        <is>
          <t>Deep Learning</t>
        </is>
      </c>
      <c r="H136" s="4" t="inlineStr">
        <is>
          <t>https://doi.org/10.1109/TCSS.2025.3593119</t>
        </is>
      </c>
      <c r="I136" s="4" t="inlineStr">
        <is>
          <t>DALNN: Dual Attention Learning Neural Network for Diagnosis of Autism Spectrum Disorders and Exploration of Lesion Brain Regions</t>
        </is>
      </c>
      <c r="J136" s="4" t="inlineStr">
        <is>
          <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t>
        </is>
      </c>
      <c r="K136" s="4" t="inlineStr">
        <is>
          <t>Supervised</t>
        </is>
      </c>
      <c r="L136" s="4" t="inlineStr">
        <is>
          <t>Other / Not clear</t>
        </is>
      </c>
      <c r="M136" s="4" t="inlineStr">
        <is>
          <t>Classification (ASD vs control / multi-class)</t>
        </is>
      </c>
      <c r="N136" s="4" t="inlineStr">
        <is>
          <t>Diagnosis</t>
        </is>
      </c>
      <c r="O136" s="4" t="inlineStr">
        <is>
          <t>High</t>
        </is>
      </c>
      <c r="P136" s="4" t="n">
        <v>1</v>
      </c>
      <c r="Q136" s="4" t="n">
        <v>0</v>
      </c>
      <c r="R136" s="4" t="n">
        <v>0</v>
      </c>
      <c r="S136" s="4" t="n">
        <v>0</v>
      </c>
      <c r="T136" s="4" t="n">
        <v>0</v>
      </c>
      <c r="U136" s="4" t="n">
        <v>0</v>
      </c>
      <c r="V136" s="4" t="n">
        <v>0</v>
      </c>
      <c r="W136" s="4" t="n">
        <v>0</v>
      </c>
      <c r="X136" s="4" t="n">
        <v>0</v>
      </c>
      <c r="Y136" s="4" t="n">
        <v>1</v>
      </c>
      <c r="Z136" s="4" t="n">
        <v>0</v>
      </c>
      <c r="AA136" s="4" t="n">
        <v>0</v>
      </c>
      <c r="AB136" s="4" t="inlineStr">
        <is>
          <t>1900-01-01</t>
        </is>
      </c>
      <c r="AC136" s="4" t="n">
        <v>0</v>
      </c>
      <c r="AD136" s="4" t="n">
        <v>0</v>
      </c>
      <c r="AE136" s="4" t="n">
        <v>0</v>
      </c>
      <c r="AF136" s="4" t="n">
        <v>1</v>
      </c>
      <c r="AG136" s="4" t="n">
        <v>1</v>
      </c>
      <c r="AH136" s="4" t="n">
        <v>1</v>
      </c>
      <c r="AI136" s="4" t="n"/>
      <c r="AJ136" s="4" t="n"/>
      <c r="AK136" s="4" t="inlineStr">
        <is>
          <t>multisource_integration; multisite_dataset_broad</t>
        </is>
      </c>
      <c r="AL136" s="4" t="inlineStr">
        <is>
          <t>Algoritmo principal no explícito o fuera del codebook; Confirmar algoritmo principal en full-text</t>
        </is>
      </c>
      <c r="AM136" s="4" t="inlineStr">
        <is>
          <t>RA</t>
        </is>
      </c>
      <c r="AN136" s="4" t="inlineStr">
        <is>
          <t>Tomado completo desde archivo RA según asignación</t>
        </is>
      </c>
      <c r="AO136" s="4" t="n">
        <v>0</v>
      </c>
      <c r="AP136" s="4" t="n">
        <v>0</v>
      </c>
      <c r="AQ136" s="4" t="n">
        <v>1</v>
      </c>
      <c r="AR136" s="4" t="n">
        <v>0</v>
      </c>
      <c r="AS136" s="4" t="n">
        <v>0</v>
      </c>
      <c r="AT136" s="4" t="n">
        <v>0</v>
      </c>
      <c r="AU136" s="4" t="n">
        <v>0</v>
      </c>
      <c r="AV136" s="4" t="n">
        <v>1</v>
      </c>
      <c r="AW136" s="4" t="inlineStr">
        <is>
          <t>finalized_from_available_evidence</t>
        </is>
      </c>
      <c r="AX136" s="4" t="inlineStr">
        <is>
          <t>0 means no reported evidence in title/abstract/notes/coding; it is not proof of true absence.</t>
        </is>
      </c>
    </row>
    <row r="137" ht="385" customHeight="1">
      <c r="A137" s="4" t="n">
        <v>136</v>
      </c>
      <c r="B137" s="4" t="n">
        <v>148</v>
      </c>
      <c r="C137" s="4" t="inlineStr">
        <is>
          <t>Revisor B</t>
        </is>
      </c>
      <c r="D137" s="4" t="n"/>
      <c r="E137" s="4" t="n">
        <v>2025</v>
      </c>
      <c r="F137" s="4" t="inlineStr">
        <is>
          <t>Señales fisiológicas</t>
        </is>
      </c>
      <c r="G137" s="4" t="inlineStr">
        <is>
          <t>Deep Learning</t>
        </is>
      </c>
      <c r="H137" s="4" t="inlineStr">
        <is>
          <t>https://doi.org/10.1007/s10803-024-06290-w</t>
        </is>
      </c>
      <c r="I137" s="4" t="inlineStr">
        <is>
          <t>Detecting Autism Spectrum Disorder and Attention Deficit Hyperactivity Disorder Using Multimodal Time-Frequency Analysis with Machine Learning Using the Electroretinogram from Two Flash Strengths</t>
        </is>
      </c>
      <c r="J137" s="4" t="inlineStr">
        <is>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t>
        </is>
      </c>
      <c r="K137" s="4" t="inlineStr">
        <is>
          <t>Supervised</t>
        </is>
      </c>
      <c r="L137" s="4" t="inlineStr">
        <is>
          <t>Not clear</t>
        </is>
      </c>
      <c r="M137" s="4" t="inlineStr">
        <is>
          <t>Classification (binary/multi-class; incl. ASD vs control)/ multi-class)</t>
        </is>
      </c>
      <c r="N137" s="4" t="inlineStr">
        <is>
          <t>Screening</t>
        </is>
      </c>
      <c r="O137" s="4" t="inlineStr">
        <is>
          <t>high</t>
        </is>
      </c>
      <c r="P137" s="4" t="n">
        <v>1</v>
      </c>
      <c r="Q137" s="4" t="n">
        <v>0</v>
      </c>
      <c r="R137" s="4" t="n">
        <v>0</v>
      </c>
      <c r="S137" s="4" t="n">
        <v>0</v>
      </c>
      <c r="T137" s="4" t="n">
        <v>0</v>
      </c>
      <c r="U137" s="4" t="n">
        <v>0</v>
      </c>
      <c r="V137" s="4" t="n">
        <v>0</v>
      </c>
      <c r="W137" s="4" t="n">
        <v>0</v>
      </c>
      <c r="X137" s="4" t="n">
        <v>0</v>
      </c>
      <c r="Y137" s="4" t="n">
        <v>1</v>
      </c>
      <c r="Z137" s="4" t="n">
        <v>1</v>
      </c>
      <c r="AA137" s="4" t="n">
        <v>0</v>
      </c>
      <c r="AB137" s="4" t="inlineStr">
        <is>
          <t>1900-01-01</t>
        </is>
      </c>
      <c r="AC137" s="4" t="n">
        <v>0</v>
      </c>
      <c r="AD137" s="4" t="n">
        <v>0</v>
      </c>
      <c r="AE137" s="4" t="n">
        <v>0</v>
      </c>
      <c r="AF137" s="4" t="n">
        <v>1</v>
      </c>
      <c r="AG137" s="4" t="n">
        <v>0</v>
      </c>
      <c r="AH137" s="4" t="n">
        <v>1</v>
      </c>
      <c r="AI137" s="4" t="n">
        <v>0</v>
      </c>
      <c r="AJ137" s="4" t="inlineStr">
        <is>
          <t>1900-01-01</t>
        </is>
      </c>
      <c r="AK137" s="4" t="inlineStr">
        <is>
          <t>multisource_integration</t>
        </is>
      </c>
      <c r="AL137" s="4" t="n"/>
      <c r="AM137" s="4" t="inlineStr">
        <is>
          <t>RB</t>
        </is>
      </c>
      <c r="AN137" s="4" t="inlineStr">
        <is>
          <t>Tomado completo desde archivo RB según asignación</t>
        </is>
      </c>
      <c r="AO137" s="4" t="n">
        <v>0</v>
      </c>
      <c r="AP137" s="4" t="n">
        <v>0</v>
      </c>
      <c r="AQ137" s="4" t="n">
        <v>0</v>
      </c>
      <c r="AR137" s="4" t="n">
        <v>0</v>
      </c>
      <c r="AS137" s="4" t="n">
        <v>0</v>
      </c>
      <c r="AT137" s="4" t="n">
        <v>0</v>
      </c>
      <c r="AU137" s="4" t="n">
        <v>0</v>
      </c>
      <c r="AV137" s="4" t="n">
        <v>1</v>
      </c>
      <c r="AW137" s="4" t="inlineStr">
        <is>
          <t>finalized_from_available_evidence</t>
        </is>
      </c>
      <c r="AX137" s="4" t="inlineStr">
        <is>
          <t>0 means no reported evidence in title/abstract/notes/coding; it is not proof of true absence.</t>
        </is>
      </c>
    </row>
    <row r="138" ht="409" customHeight="1">
      <c r="A138" s="4" t="n">
        <v>137</v>
      </c>
      <c r="B138" s="4" t="n">
        <v>149</v>
      </c>
      <c r="C138" s="4" t="inlineStr">
        <is>
          <t>Revisor A</t>
        </is>
      </c>
      <c r="D138" s="4" t="inlineStr">
        <is>
          <t>RA</t>
        </is>
      </c>
      <c r="E138" s="4" t="n">
        <v>2021</v>
      </c>
      <c r="F138" s="4" t="inlineStr">
        <is>
          <t>Multimodal</t>
        </is>
      </c>
      <c r="G138" s="4" t="inlineStr">
        <is>
          <t>Híbrido</t>
        </is>
      </c>
      <c r="H138" s="4" t="inlineStr">
        <is>
          <t>https://doi.org/10.1176/appi.ajp.2020.19101091</t>
        </is>
      </c>
      <c r="I138" s="4" t="inlineStr">
        <is>
          <t>Diagnostic classification for human autism and obsessive-compulsive disorder based on machine learning from a primate genetic model</t>
        </is>
      </c>
      <c r="J138" s="4" t="inlineStr">
        <is>
          <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t>
        </is>
      </c>
      <c r="K138" s="4" t="inlineStr">
        <is>
          <t>Supervised</t>
        </is>
      </c>
      <c r="L138" s="4" t="inlineStr">
        <is>
          <t>Other / Not clear</t>
        </is>
      </c>
      <c r="M138" s="4" t="inlineStr">
        <is>
          <t>Classification (ASD vs control / multi-class)</t>
        </is>
      </c>
      <c r="N138" s="4" t="inlineStr">
        <is>
          <t>Diagnosis</t>
        </is>
      </c>
      <c r="O138" s="4" t="inlineStr">
        <is>
          <t>High</t>
        </is>
      </c>
      <c r="P138" s="4" t="n">
        <v>1</v>
      </c>
      <c r="Q138" s="4" t="n">
        <v>0</v>
      </c>
      <c r="R138" s="4" t="n">
        <v>0</v>
      </c>
      <c r="S138" s="4" t="n">
        <v>0</v>
      </c>
      <c r="T138" s="4" t="n">
        <v>0</v>
      </c>
      <c r="U138" s="4" t="n">
        <v>0</v>
      </c>
      <c r="V138" s="4" t="n">
        <v>0</v>
      </c>
      <c r="W138" s="4" t="n">
        <v>0</v>
      </c>
      <c r="X138" s="4" t="n">
        <v>0</v>
      </c>
      <c r="Y138" s="4" t="n">
        <v>1</v>
      </c>
      <c r="Z138" s="4" t="n">
        <v>0</v>
      </c>
      <c r="AA138" s="4" t="n">
        <v>0</v>
      </c>
      <c r="AB138" s="4" t="inlineStr">
        <is>
          <t>00:00:00</t>
        </is>
      </c>
      <c r="AC138" s="4" t="n">
        <v>0</v>
      </c>
      <c r="AD138" s="4" t="n">
        <v>0</v>
      </c>
      <c r="AE138" s="4" t="n">
        <v>0</v>
      </c>
      <c r="AF138" s="4" t="n">
        <v>1</v>
      </c>
      <c r="AG138" s="4" t="n">
        <v>1</v>
      </c>
      <c r="AH138" s="4" t="n">
        <v>1</v>
      </c>
      <c r="AI138" s="4" t="n"/>
      <c r="AJ138" s="4" t="n"/>
      <c r="AK138" s="4" t="inlineStr">
        <is>
          <t>multisource_integration; multisite_dataset_broad</t>
        </is>
      </c>
      <c r="AL138" s="4" t="inlineStr">
        <is>
          <t>Clasificación diagnóstica basada en modelo genético de primates; confirmar fuente biológica exacta.</t>
        </is>
      </c>
      <c r="AM138" s="4" t="inlineStr">
        <is>
          <t>RA</t>
        </is>
      </c>
      <c r="AN138" s="4" t="inlineStr">
        <is>
          <t>Tomado completo desde archivo RA según asignación</t>
        </is>
      </c>
      <c r="AO138" s="4" t="n">
        <v>0</v>
      </c>
      <c r="AP138" s="4" t="n">
        <v>0</v>
      </c>
      <c r="AQ138" s="4" t="n">
        <v>1</v>
      </c>
      <c r="AR138" s="4" t="n">
        <v>0</v>
      </c>
      <c r="AS138" s="4" t="n">
        <v>0</v>
      </c>
      <c r="AT138" s="4" t="n">
        <v>0</v>
      </c>
      <c r="AU138" s="4" t="n">
        <v>0</v>
      </c>
      <c r="AV138" s="4" t="n">
        <v>1</v>
      </c>
      <c r="AW138" s="4" t="inlineStr">
        <is>
          <t>finalized_from_available_evidence</t>
        </is>
      </c>
      <c r="AX138" s="4" t="inlineStr">
        <is>
          <t>0 means no reported evidence in title/abstract/notes/coding; it is not proof of true absence.</t>
        </is>
      </c>
    </row>
    <row r="139" ht="398" customHeight="1">
      <c r="A139" s="4" t="n">
        <v>138</v>
      </c>
      <c r="B139" s="4" t="n">
        <v>150</v>
      </c>
      <c r="C139" s="4" t="inlineStr">
        <is>
          <t>Revisor A</t>
        </is>
      </c>
      <c r="D139" s="4" t="inlineStr">
        <is>
          <t>RA</t>
        </is>
      </c>
      <c r="E139" s="4" t="n">
        <v>2021</v>
      </c>
      <c r="F139" s="4" t="inlineStr">
        <is>
          <t>Señales fisiológicas</t>
        </is>
      </c>
      <c r="G139" s="4" t="inlineStr">
        <is>
          <t>Deep Learning</t>
        </is>
      </c>
      <c r="H139" s="4" t="inlineStr">
        <is>
          <t>https://doi.org/10.1111/JCPP.13406</t>
        </is>
      </c>
      <c r="I139" s="4" t="inlineStr">
        <is>
          <t>Diagnostic shifts in autism spectrum disorder can be linked to the fuzzy nature of the diagnostic boundary: a data-driven approach</t>
        </is>
      </c>
      <c r="J139" s="4" t="inlineStr">
        <is>
          <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t>
        </is>
      </c>
      <c r="K139" s="4" t="inlineStr">
        <is>
          <t>Supervised</t>
        </is>
      </c>
      <c r="L139" s="4" t="inlineStr">
        <is>
          <t>Other / Not clear</t>
        </is>
      </c>
      <c r="M139" s="4" t="inlineStr">
        <is>
          <t>Classification (ASD vs control / multi-class)</t>
        </is>
      </c>
      <c r="N139" s="4" t="inlineStr">
        <is>
          <t>Diagnosis</t>
        </is>
      </c>
      <c r="O139" s="4" t="inlineStr">
        <is>
          <t>Medium</t>
        </is>
      </c>
      <c r="P139" s="4" t="n">
        <v>0</v>
      </c>
      <c r="Q139" s="4" t="n">
        <v>0</v>
      </c>
      <c r="R139" s="4" t="n">
        <v>1</v>
      </c>
      <c r="S139" s="4" t="n">
        <v>0</v>
      </c>
      <c r="T139" s="4" t="n">
        <v>0</v>
      </c>
      <c r="U139" s="4" t="n">
        <v>0</v>
      </c>
      <c r="V139" s="4" t="n">
        <v>0</v>
      </c>
      <c r="W139" s="4" t="n">
        <v>0</v>
      </c>
      <c r="X139" s="4" t="n">
        <v>0</v>
      </c>
      <c r="Y139" s="4" t="n">
        <v>1</v>
      </c>
      <c r="Z139" s="4" t="n">
        <v>0</v>
      </c>
      <c r="AA139" s="4" t="n">
        <v>0</v>
      </c>
      <c r="AB139" s="4" t="inlineStr">
        <is>
          <t>00:00:00</t>
        </is>
      </c>
      <c r="AC139" s="4" t="n">
        <v>0</v>
      </c>
      <c r="AD139" s="4" t="n">
        <v>1</v>
      </c>
      <c r="AE139" s="4" t="n">
        <v>0</v>
      </c>
      <c r="AF139" s="4" t="n">
        <v>0</v>
      </c>
      <c r="AG139" s="4" t="n">
        <v>1</v>
      </c>
      <c r="AH139" s="4" t="n">
        <v>1</v>
      </c>
      <c r="AI139" s="4" t="n"/>
      <c r="AJ139" s="4" t="n"/>
      <c r="AK139" s="4" t="inlineStr">
        <is>
          <t>explainability_or_interpretability</t>
        </is>
      </c>
      <c r="AL139" s="4" t="inlineStr">
        <is>
          <t>Algoritmo principal no explícito o fuera del codebook; Confirmar algoritmo principal en full-text; Se comparan varios modelos; se eligió el principal/mejor reportado</t>
        </is>
      </c>
      <c r="AM139" s="4" t="inlineStr">
        <is>
          <t>RA</t>
        </is>
      </c>
      <c r="AN139" s="4" t="inlineStr">
        <is>
          <t>Tomado completo desde archivo RA según asignación</t>
        </is>
      </c>
      <c r="AO139" s="4" t="n">
        <v>0</v>
      </c>
      <c r="AP139" s="4" t="n">
        <v>0</v>
      </c>
      <c r="AQ139" s="4" t="n">
        <v>0</v>
      </c>
      <c r="AR139" s="4" t="n">
        <v>0</v>
      </c>
      <c r="AS139" s="4" t="n">
        <v>0</v>
      </c>
      <c r="AT139" s="4" t="n">
        <v>0</v>
      </c>
      <c r="AU139" s="4" t="n">
        <v>1</v>
      </c>
      <c r="AV139" s="4" t="n">
        <v>0</v>
      </c>
      <c r="AW139" s="4" t="inlineStr">
        <is>
          <t>finalized_from_available_evidence</t>
        </is>
      </c>
      <c r="AX139" s="4" t="inlineStr">
        <is>
          <t>0 means no reported evidence in title/abstract/notes/coding; it is not proof of true absence.</t>
        </is>
      </c>
    </row>
    <row r="140" ht="281" customHeight="1">
      <c r="A140" s="4" t="n">
        <v>139</v>
      </c>
      <c r="B140" s="4" t="n">
        <v>151</v>
      </c>
      <c r="C140" s="4" t="inlineStr">
        <is>
          <t>Ambos (piloto)</t>
        </is>
      </c>
      <c r="D140" s="4" t="inlineStr">
        <is>
          <t>RA</t>
        </is>
      </c>
      <c r="E140" s="4" t="n">
        <v>2023</v>
      </c>
      <c r="F140" s="4" t="inlineStr">
        <is>
          <t>Texto · NLP</t>
        </is>
      </c>
      <c r="G140" s="4" t="inlineStr">
        <is>
          <t>Híbrido</t>
        </is>
      </c>
      <c r="H140" s="4" t="inlineStr">
        <is>
          <t>https://doi.org/10.1016/j.psychres.2023.115050</t>
        </is>
      </c>
      <c r="I140" s="4" t="inlineStr">
        <is>
          <t>Early identification of autism spectrum disorder by multi-instrument fusion: A clinically applicable machine learning approach</t>
        </is>
      </c>
      <c r="J140" s="4" t="inlineStr">
        <is>
          <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t>
        </is>
      </c>
      <c r="K140" s="4" t="inlineStr">
        <is>
          <t>Supervised</t>
        </is>
      </c>
      <c r="L140" s="4" t="inlineStr">
        <is>
          <t>XGBoost / GBDT</t>
        </is>
      </c>
      <c r="M140" s="4" t="inlineStr">
        <is>
          <t>Classification (ASD vs control / multi-class)</t>
        </is>
      </c>
      <c r="N140" s="4" t="inlineStr">
        <is>
          <t>Diagnosis</t>
        </is>
      </c>
      <c r="O140" s="4" t="inlineStr">
        <is>
          <t>High</t>
        </is>
      </c>
      <c r="P140" s="4" t="n">
        <v>0</v>
      </c>
      <c r="Q140" s="4" t="n">
        <v>0</v>
      </c>
      <c r="R140" s="4" t="n">
        <v>1</v>
      </c>
      <c r="S140" s="4" t="n">
        <v>0</v>
      </c>
      <c r="T140" s="4" t="n">
        <v>0</v>
      </c>
      <c r="U140" s="4" t="n">
        <v>0</v>
      </c>
      <c r="V140" s="4" t="n">
        <v>0</v>
      </c>
      <c r="W140" s="4" t="n">
        <v>0</v>
      </c>
      <c r="X140" s="4" t="n">
        <v>0</v>
      </c>
      <c r="Y140" s="4" t="n">
        <v>1</v>
      </c>
      <c r="Z140" s="4" t="n">
        <v>0</v>
      </c>
      <c r="AA140" s="4" t="n">
        <v>0</v>
      </c>
      <c r="AB140" s="4" t="inlineStr">
        <is>
          <t>1900-01-01</t>
        </is>
      </c>
      <c r="AC140" s="4" t="n">
        <v>1</v>
      </c>
      <c r="AD140" s="4" t="n">
        <v>1</v>
      </c>
      <c r="AE140" s="4" t="n">
        <v>0</v>
      </c>
      <c r="AF140" s="4" t="n">
        <v>1</v>
      </c>
      <c r="AG140" s="4" t="n">
        <v>0</v>
      </c>
      <c r="AH140" s="4" t="n">
        <v>1</v>
      </c>
      <c r="AI140" s="4" t="n"/>
      <c r="AJ140" s="4" t="n"/>
      <c r="AK140" s="4" t="inlineStr">
        <is>
          <t>external_validation; explainability_or_interpretability; multisource_integration</t>
        </is>
      </c>
      <c r="AL140" s="4" t="inlineStr">
        <is>
          <t>Fusión multi-instrumento para identificación temprana; enfoque clínicamente aplicable de cribado.</t>
        </is>
      </c>
      <c r="AM140" s="4" t="inlineStr">
        <is>
          <t>RA</t>
        </is>
      </c>
      <c r="AN140" s="4" t="inlineStr">
        <is>
          <t>Tomado completo desde archivo RA según asignación</t>
        </is>
      </c>
      <c r="AO140" s="4" t="n">
        <v>0</v>
      </c>
      <c r="AP140" s="4" t="n">
        <v>0</v>
      </c>
      <c r="AQ140" s="4" t="n">
        <v>0</v>
      </c>
      <c r="AR140" s="4" t="n">
        <v>0</v>
      </c>
      <c r="AS140" s="4" t="n">
        <v>0</v>
      </c>
      <c r="AT140" s="4" t="n">
        <v>1</v>
      </c>
      <c r="AU140" s="4" t="n">
        <v>0</v>
      </c>
      <c r="AV140" s="4" t="n">
        <v>1</v>
      </c>
      <c r="AW140" s="4" t="inlineStr">
        <is>
          <t>finalized_from_available_evidence</t>
        </is>
      </c>
      <c r="AX140" s="4" t="inlineStr">
        <is>
          <t>0 means no reported evidence in title/abstract/notes/coding; it is not proof of true absence.</t>
        </is>
      </c>
    </row>
    <row r="141" ht="409" customHeight="1">
      <c r="A141" s="4" t="n">
        <v>140</v>
      </c>
      <c r="B141" s="4" t="n">
        <v>152</v>
      </c>
      <c r="C141" s="4" t="inlineStr">
        <is>
          <t>Revisor B</t>
        </is>
      </c>
      <c r="D141" s="4" t="n"/>
      <c r="E141" s="4" t="n">
        <v>2023</v>
      </c>
      <c r="F141" s="4" t="inlineStr">
        <is>
          <t>No especificado</t>
        </is>
      </c>
      <c r="G141" s="4" t="inlineStr">
        <is>
          <t>Machine Learning</t>
        </is>
      </c>
      <c r="H141" s="4" t="inlineStr">
        <is>
          <t>https://doi.org/10.57197/JDR-2023-0004</t>
        </is>
      </c>
      <c r="I141" s="4" t="inlineStr">
        <is>
          <t>Early screening of autism spectrum disorder diagnoses of children using artificial intelligence</t>
        </is>
      </c>
      <c r="J141" s="4" t="inlineStr">
        <is>
          <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t>
        </is>
      </c>
      <c r="K141" s="4" t="inlineStr">
        <is>
          <t>Supervised</t>
        </is>
      </c>
      <c r="L141" s="4" t="inlineStr">
        <is>
          <t>SVM</t>
        </is>
      </c>
      <c r="M141" s="4" t="inlineStr">
        <is>
          <t>Classification (binary/multi-class; incl. ASD vs control)/ multi-class)</t>
        </is>
      </c>
      <c r="N141" s="4" t="inlineStr">
        <is>
          <t>diagnosis</t>
        </is>
      </c>
      <c r="O141" s="4" t="inlineStr">
        <is>
          <t>high</t>
        </is>
      </c>
      <c r="P141" s="4" t="n">
        <v>0</v>
      </c>
      <c r="Q141" s="4" t="n">
        <v>0</v>
      </c>
      <c r="R141" s="4" t="n">
        <v>1</v>
      </c>
      <c r="S141" s="4" t="n">
        <v>0</v>
      </c>
      <c r="T141" s="4" t="n">
        <v>1</v>
      </c>
      <c r="U141" s="4" t="n">
        <v>0</v>
      </c>
      <c r="V141" s="4" t="n">
        <v>0</v>
      </c>
      <c r="W141" s="4" t="n">
        <v>0</v>
      </c>
      <c r="X141" s="4" t="n">
        <v>0</v>
      </c>
      <c r="Y141" s="4" t="n">
        <v>1</v>
      </c>
      <c r="Z141" s="4" t="n">
        <v>0</v>
      </c>
      <c r="AA141" s="4" t="n">
        <v>1</v>
      </c>
      <c r="AB141" s="4" t="inlineStr">
        <is>
          <t>1900-01-01</t>
        </is>
      </c>
      <c r="AC141" s="4" t="n">
        <v>0</v>
      </c>
      <c r="AD141" s="4" t="n">
        <v>0</v>
      </c>
      <c r="AE141" s="4" t="n">
        <v>0</v>
      </c>
      <c r="AF141" s="4" t="n">
        <v>1</v>
      </c>
      <c r="AG141" s="4" t="n">
        <v>1</v>
      </c>
      <c r="AH141" s="4" t="n">
        <v>2</v>
      </c>
      <c r="AI141" s="4" t="n">
        <v>0</v>
      </c>
      <c r="AJ141" s="4" t="inlineStr">
        <is>
          <t>00:00:00</t>
        </is>
      </c>
      <c r="AK141" s="4" t="inlineStr">
        <is>
          <t>multisource_integration</t>
        </is>
      </c>
      <c r="AL141" s="4" t="n"/>
      <c r="AM141" s="4" t="inlineStr">
        <is>
          <t>RB</t>
        </is>
      </c>
      <c r="AN141" s="4" t="inlineStr">
        <is>
          <t>Tomado completo desde archivo RB según asignación</t>
        </is>
      </c>
      <c r="AO141" s="4" t="n">
        <v>0</v>
      </c>
      <c r="AP141" s="4" t="n">
        <v>0</v>
      </c>
      <c r="AQ141" s="4" t="n">
        <v>0</v>
      </c>
      <c r="AR141" s="4" t="n">
        <v>0</v>
      </c>
      <c r="AS141" s="4" t="n">
        <v>0</v>
      </c>
      <c r="AT141" s="4" t="n">
        <v>0</v>
      </c>
      <c r="AU141" s="4" t="n">
        <v>0</v>
      </c>
      <c r="AV141" s="4" t="n">
        <v>1</v>
      </c>
      <c r="AW141" s="4" t="inlineStr">
        <is>
          <t>finalized_from_available_evidence</t>
        </is>
      </c>
      <c r="AX141" s="4" t="inlineStr">
        <is>
          <t>0 means no reported evidence in title/abstract/notes/coding; it is not proof of true absence.</t>
        </is>
      </c>
    </row>
    <row r="142" ht="255" customHeight="1">
      <c r="A142" s="4" t="n">
        <v>141</v>
      </c>
      <c r="B142" s="4" t="n">
        <v>153</v>
      </c>
      <c r="C142" s="4" t="inlineStr">
        <is>
          <t>Revisor B</t>
        </is>
      </c>
      <c r="D142" s="4" t="n"/>
      <c r="E142" s="4" t="n">
        <v>2024</v>
      </c>
      <c r="F142" s="4" t="inlineStr">
        <is>
          <t>No especificado</t>
        </is>
      </c>
      <c r="G142" s="4" t="inlineStr">
        <is>
          <t>Deep Learning</t>
        </is>
      </c>
      <c r="H142" s="4" t="inlineStr">
        <is>
          <t>https://doi.org/10.1109/ACCESS.2024.3453440</t>
        </is>
      </c>
      <c r="I142" s="4" t="inlineStr">
        <is>
          <t>Enhanced Special Needs Assessment: A Multimodal Approach for Autism Prediction</t>
        </is>
      </c>
      <c r="J142" s="4" t="inlineStr">
        <is>
          <t>Autism spectrum disorder (ASD) poses significant challenges in early detection, necessitating innovative approaches for accurate identification. In this study, we propose a novel method utilizing machine learning models trained on a diverse dataset comprising facial images and behavioral ADOS scores. Employing cutting-edge convolutional neural network (CNN) architectures such as MobileNetV2, ResNet50, and InceptionV3, alongside a bespoke CNN model tailored for ASD detection, we explore the efficacy of our approach. Additionally, we introduce a multimodal concatenation model that integrates image features with behavioral scores to enhance predictive performance. Our results showcase promising outcomes, with the multimodal concatenation model achieving a remarkable accuracy of 97.05%. Furthermore, our models demonstrate competitive precision, recall, F1 score, and area under the ROC curve (AUC), underscoring their potential to facilitate early ASD diagnosis. These findings signify the significance of leveraging multimodal data fusion techniques to augment ASD detection accuracy, thereby contributing to advancements in early intervention strategies.</t>
        </is>
      </c>
      <c r="K142" s="4" t="inlineStr">
        <is>
          <t>Supervised</t>
        </is>
      </c>
      <c r="L142" s="4" t="inlineStr">
        <is>
          <t>Not clear</t>
        </is>
      </c>
      <c r="M142" s="4" t="inlineStr">
        <is>
          <t>Classification (binary/multi-class; incl. ASD vs control)/ multi-class)</t>
        </is>
      </c>
      <c r="N142" s="4" t="inlineStr">
        <is>
          <t>Screening</t>
        </is>
      </c>
      <c r="O142" s="4" t="inlineStr">
        <is>
          <t>high</t>
        </is>
      </c>
      <c r="P142" s="4" t="n">
        <v>0</v>
      </c>
      <c r="Q142" s="4" t="n">
        <v>0</v>
      </c>
      <c r="R142" s="4" t="n">
        <v>0</v>
      </c>
      <c r="S142" s="4" t="n">
        <v>0</v>
      </c>
      <c r="T142" s="4" t="n">
        <v>0</v>
      </c>
      <c r="U142" s="4" t="n">
        <v>0</v>
      </c>
      <c r="V142" s="4" t="n">
        <v>0</v>
      </c>
      <c r="W142" s="4" t="n">
        <v>0</v>
      </c>
      <c r="X142" s="4" t="n">
        <v>0</v>
      </c>
      <c r="Y142" s="4" t="n">
        <v>1</v>
      </c>
      <c r="Z142" s="4" t="n">
        <v>0</v>
      </c>
      <c r="AA142" s="4" t="n">
        <v>0</v>
      </c>
      <c r="AB142" s="4" t="inlineStr">
        <is>
          <t>1900-01-01</t>
        </is>
      </c>
      <c r="AC142" s="4" t="n">
        <v>0</v>
      </c>
      <c r="AD142" s="4" t="n">
        <v>0</v>
      </c>
      <c r="AE142" s="4" t="n">
        <v>0</v>
      </c>
      <c r="AF142" s="4" t="n">
        <v>1</v>
      </c>
      <c r="AG142" s="4" t="n">
        <v>1</v>
      </c>
      <c r="AH142" s="4" t="n">
        <v>0</v>
      </c>
      <c r="AI142" s="4" t="n">
        <v>0</v>
      </c>
      <c r="AJ142" s="4" t="inlineStr">
        <is>
          <t>1900-01-01</t>
        </is>
      </c>
      <c r="AK142" s="4" t="inlineStr">
        <is>
          <t>multisource_integration</t>
        </is>
      </c>
      <c r="AL142" s="4" t="n"/>
      <c r="AM142" s="4" t="inlineStr">
        <is>
          <t>RB</t>
        </is>
      </c>
      <c r="AN142" s="4" t="inlineStr">
        <is>
          <t>Tomado completo desde archivo RB según asignación</t>
        </is>
      </c>
      <c r="AO142" s="4" t="n">
        <v>0</v>
      </c>
      <c r="AP142" s="4" t="n">
        <v>0</v>
      </c>
      <c r="AQ142" s="4" t="n">
        <v>0</v>
      </c>
      <c r="AR142" s="4" t="n">
        <v>0</v>
      </c>
      <c r="AS142" s="4" t="n">
        <v>0</v>
      </c>
      <c r="AT142" s="4" t="n">
        <v>0</v>
      </c>
      <c r="AU142" s="4" t="n">
        <v>0</v>
      </c>
      <c r="AV142" s="4" t="n">
        <v>1</v>
      </c>
      <c r="AW142" s="4" t="inlineStr">
        <is>
          <t>finalized_from_available_evidence</t>
        </is>
      </c>
      <c r="AX142" s="4" t="inlineStr">
        <is>
          <t>0 means no reported evidence in title/abstract/notes/coding; it is not proof of true absence.</t>
        </is>
      </c>
    </row>
    <row r="143" ht="242" customHeight="1">
      <c r="A143" s="4" t="n">
        <v>142</v>
      </c>
      <c r="B143" s="4" t="n">
        <v>154</v>
      </c>
      <c r="C143" s="4" t="inlineStr">
        <is>
          <t>Revisor B</t>
        </is>
      </c>
      <c r="D143" s="4" t="n"/>
      <c r="E143" s="4" t="n">
        <v>2024</v>
      </c>
      <c r="F143" s="4" t="inlineStr">
        <is>
          <t>No especificado</t>
        </is>
      </c>
      <c r="G143" s="4" t="inlineStr">
        <is>
          <t>Machine Learning</t>
        </is>
      </c>
      <c r="H143" s="4" t="inlineStr">
        <is>
          <t>https://doi.org/10.1007/978-981-97-6995-7_34</t>
        </is>
      </c>
      <c r="I143" s="4" t="inlineStr">
        <is>
          <t>Enhancing Early Diagnosis of Autism Spectrum Disorder in Children: A Comparative Analysis of Machine Learning Techniques</t>
        </is>
      </c>
      <c r="J143" s="4" t="inlineStr">
        <is>
          <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t>
        </is>
      </c>
      <c r="K143" s="4" t="inlineStr">
        <is>
          <t>Supervised</t>
        </is>
      </c>
      <c r="L143" s="4" t="inlineStr">
        <is>
          <t>Not clear</t>
        </is>
      </c>
      <c r="M143" s="4" t="inlineStr">
        <is>
          <t>Classification (binary/multi-class; incl. ASD vs control)/ multi-class)</t>
        </is>
      </c>
      <c r="N143" s="4" t="inlineStr">
        <is>
          <t>diagnosis</t>
        </is>
      </c>
      <c r="O143" s="4" t="inlineStr">
        <is>
          <t>high</t>
        </is>
      </c>
      <c r="P143" s="4" t="n">
        <v>1</v>
      </c>
      <c r="Q143" s="4" t="n">
        <v>1</v>
      </c>
      <c r="R143" s="4" t="n">
        <v>1</v>
      </c>
      <c r="S143" s="4" t="n">
        <v>1</v>
      </c>
      <c r="T143" s="4" t="n">
        <v>0</v>
      </c>
      <c r="U143" s="4" t="n">
        <v>0</v>
      </c>
      <c r="V143" s="4" t="n">
        <v>0</v>
      </c>
      <c r="W143" s="4" t="n">
        <v>0</v>
      </c>
      <c r="X143" s="4" t="n">
        <v>0</v>
      </c>
      <c r="Y143" s="4" t="n">
        <v>1</v>
      </c>
      <c r="Z143" s="4" t="n">
        <v>0</v>
      </c>
      <c r="AA143" s="4" t="n">
        <v>1</v>
      </c>
      <c r="AB143" s="4" t="inlineStr">
        <is>
          <t>1900-01-01</t>
        </is>
      </c>
      <c r="AC143" s="4" t="n">
        <v>0</v>
      </c>
      <c r="AD143" s="4" t="n">
        <v>0</v>
      </c>
      <c r="AE143" s="4" t="n">
        <v>0</v>
      </c>
      <c r="AF143" s="4" t="n">
        <v>1</v>
      </c>
      <c r="AG143" s="4" t="n">
        <v>1</v>
      </c>
      <c r="AH143" s="4" t="n">
        <v>4</v>
      </c>
      <c r="AI143" s="4" t="n">
        <v>0</v>
      </c>
      <c r="AJ143" s="4" t="inlineStr">
        <is>
          <t>1900-01-01</t>
        </is>
      </c>
      <c r="AK143" s="4" t="inlineStr">
        <is>
          <t>multisource_integration</t>
        </is>
      </c>
      <c r="AL143" s="4" t="inlineStr">
        <is>
          <t>Comparative study; no best model declared in abstract</t>
        </is>
      </c>
      <c r="AM143" s="4" t="inlineStr">
        <is>
          <t>RB</t>
        </is>
      </c>
      <c r="AN143" s="4" t="inlineStr">
        <is>
          <t>Tomado completo desde archivo RB según asignación</t>
        </is>
      </c>
      <c r="AO143" s="4" t="n">
        <v>0</v>
      </c>
      <c r="AP143" s="4" t="n">
        <v>0</v>
      </c>
      <c r="AQ143" s="4" t="n">
        <v>0</v>
      </c>
      <c r="AR143" s="4" t="n">
        <v>0</v>
      </c>
      <c r="AS143" s="4" t="n">
        <v>0</v>
      </c>
      <c r="AT143" s="4" t="n">
        <v>0</v>
      </c>
      <c r="AU143" s="4" t="n">
        <v>0</v>
      </c>
      <c r="AV143" s="4" t="n">
        <v>1</v>
      </c>
      <c r="AW143" s="4" t="inlineStr">
        <is>
          <t>finalized_from_available_evidence</t>
        </is>
      </c>
      <c r="AX143" s="4" t="inlineStr">
        <is>
          <t>0 means no reported evidence in title/abstract/notes/coding; it is not proof of true absence.</t>
        </is>
      </c>
    </row>
    <row r="144" ht="398" customHeight="1">
      <c r="A144" s="4" t="n">
        <v>143</v>
      </c>
      <c r="B144" s="4" t="n">
        <v>155</v>
      </c>
      <c r="C144" s="4" t="inlineStr">
        <is>
          <t>Ambos (piloto)</t>
        </is>
      </c>
      <c r="D144" s="4" t="inlineStr">
        <is>
          <t>RA</t>
        </is>
      </c>
      <c r="E144" s="4" t="n">
        <v>2024</v>
      </c>
      <c r="F144" s="4" t="inlineStr">
        <is>
          <t>No especificado</t>
        </is>
      </c>
      <c r="G144" s="4" t="inlineStr">
        <is>
          <t>No especificado</t>
        </is>
      </c>
      <c r="H144" s="4" t="inlineStr">
        <is>
          <t>https://doi.org/10.1186/s13677-023-00558-9</t>
        </is>
      </c>
      <c r="I144" s="4" t="inlineStr">
        <is>
          <t>Evaluation of AI tools for healthcare networks at the cloud-edge interaction to diagnose autism in educational environments</t>
        </is>
      </c>
      <c r="J144" s="4" t="inlineStr">
        <is>
          <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t>
        </is>
      </c>
      <c r="K144" s="4" t="inlineStr">
        <is>
          <t>Supervised</t>
        </is>
      </c>
      <c r="L144" s="4" t="inlineStr">
        <is>
          <t>CNN</t>
        </is>
      </c>
      <c r="M144" s="4" t="inlineStr">
        <is>
          <t>Classification (ASD vs control / multi-class)</t>
        </is>
      </c>
      <c r="N144" s="4" t="inlineStr">
        <is>
          <t>Screening</t>
        </is>
      </c>
      <c r="O144" s="4" t="inlineStr">
        <is>
          <t>Medium</t>
        </is>
      </c>
      <c r="P144" s="4" t="n">
        <v>0</v>
      </c>
      <c r="Q144" s="4" t="n">
        <v>0</v>
      </c>
      <c r="R144" s="4" t="n">
        <v>1</v>
      </c>
      <c r="S144" s="4" t="n">
        <v>0</v>
      </c>
      <c r="T144" s="4" t="n">
        <v>0</v>
      </c>
      <c r="U144" s="4" t="n">
        <v>0</v>
      </c>
      <c r="V144" s="4" t="n">
        <v>1</v>
      </c>
      <c r="W144" s="4" t="n">
        <v>0</v>
      </c>
      <c r="X144" s="4" t="n">
        <v>1</v>
      </c>
      <c r="Y144" s="4" t="n">
        <v>0</v>
      </c>
      <c r="Z144" s="4" t="n">
        <v>0</v>
      </c>
      <c r="AA144" s="4" t="n">
        <v>0</v>
      </c>
      <c r="AB144" s="4" t="inlineStr">
        <is>
          <t>1900-01-01</t>
        </is>
      </c>
      <c r="AC144" s="4" t="n">
        <v>0</v>
      </c>
      <c r="AD144" s="4" t="n">
        <v>0</v>
      </c>
      <c r="AE144" s="4" t="n">
        <v>0</v>
      </c>
      <c r="AF144" s="4" t="n">
        <v>1</v>
      </c>
      <c r="AG144" s="4" t="n">
        <v>1</v>
      </c>
      <c r="AH144" s="4" t="n">
        <v>2</v>
      </c>
      <c r="AI144" s="4" t="inlineStr">
        <is>
          <t>edge / school system</t>
        </is>
      </c>
      <c r="AJ144" s="4" t="n"/>
      <c r="AK144" s="4" t="inlineStr">
        <is>
          <t>multisource_integration</t>
        </is>
      </c>
      <c r="AL144" s="4" t="inlineStr">
        <is>
          <t>Discute varias técnicas pero aplica AlexNet sobre rostros en entorno educativo; confirmar diseño final.</t>
        </is>
      </c>
      <c r="AM144" s="4" t="inlineStr">
        <is>
          <t>RA</t>
        </is>
      </c>
      <c r="AN144" s="4" t="inlineStr">
        <is>
          <t>Tomado completo desde archivo RA según asignación</t>
        </is>
      </c>
      <c r="AO144" s="4" t="n">
        <v>0</v>
      </c>
      <c r="AP144" s="4" t="n">
        <v>0</v>
      </c>
      <c r="AQ144" s="4" t="n">
        <v>0</v>
      </c>
      <c r="AR144" s="4" t="n">
        <v>0</v>
      </c>
      <c r="AS144" s="4" t="n">
        <v>0</v>
      </c>
      <c r="AT144" s="4" t="n">
        <v>0</v>
      </c>
      <c r="AU144" s="4" t="n">
        <v>0</v>
      </c>
      <c r="AV144" s="4" t="n">
        <v>1</v>
      </c>
      <c r="AW144" s="4" t="inlineStr">
        <is>
          <t>finalized_from_available_evidence</t>
        </is>
      </c>
      <c r="AX144" s="4" t="inlineStr">
        <is>
          <t>0 means no reported evidence in title/abstract/notes/coding; it is not proof of true absence.</t>
        </is>
      </c>
    </row>
    <row r="145" ht="409" customHeight="1">
      <c r="A145" s="4" t="n">
        <v>144</v>
      </c>
      <c r="B145" s="4" t="n">
        <v>156</v>
      </c>
      <c r="C145" s="4" t="inlineStr">
        <is>
          <t>Revisor A</t>
        </is>
      </c>
      <c r="D145" s="4" t="inlineStr">
        <is>
          <t>RA</t>
        </is>
      </c>
      <c r="E145" s="4" t="n">
        <v>2021</v>
      </c>
      <c r="F145" s="4" t="inlineStr">
        <is>
          <t>Imagen</t>
        </is>
      </c>
      <c r="G145" s="4" t="inlineStr">
        <is>
          <t>Deep Learning</t>
        </is>
      </c>
      <c r="H145" s="4" t="inlineStr">
        <is>
          <t>https://doi.org/10.1109/ACCESS.2021.3069211</t>
        </is>
      </c>
      <c r="I145" s="4" t="inlineStr">
        <is>
          <t>Exploring sMRI Biomarkers for Diagnosis of Autism Spectrum Disorders Based on Multi Class Activation Mapping Models</t>
        </is>
      </c>
      <c r="J145" s="4" t="inlineStr">
        <is>
          <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t>
        </is>
      </c>
      <c r="K145" s="4" t="inlineStr">
        <is>
          <t>Supervised</t>
        </is>
      </c>
      <c r="L145" s="4" t="inlineStr">
        <is>
          <t>CNN</t>
        </is>
      </c>
      <c r="M145" s="4" t="inlineStr">
        <is>
          <t>Classification (ASD vs control / multi-class)</t>
        </is>
      </c>
      <c r="N145" s="4" t="inlineStr">
        <is>
          <t>Diagnosis</t>
        </is>
      </c>
      <c r="O145" s="4" t="inlineStr">
        <is>
          <t>High</t>
        </is>
      </c>
      <c r="P145" s="4" t="n">
        <v>1</v>
      </c>
      <c r="Q145" s="4" t="n">
        <v>0</v>
      </c>
      <c r="R145" s="4" t="n">
        <v>0</v>
      </c>
      <c r="S145" s="4" t="n">
        <v>0</v>
      </c>
      <c r="T145" s="4" t="n">
        <v>0</v>
      </c>
      <c r="U145" s="4" t="n">
        <v>0</v>
      </c>
      <c r="V145" s="4" t="n">
        <v>0</v>
      </c>
      <c r="W145" s="4" t="n">
        <v>0</v>
      </c>
      <c r="X145" s="4" t="n">
        <v>0</v>
      </c>
      <c r="Y145" s="4" t="n">
        <v>1</v>
      </c>
      <c r="Z145" s="4" t="n">
        <v>0</v>
      </c>
      <c r="AA145" s="4" t="n">
        <v>0</v>
      </c>
      <c r="AB145" s="4" t="inlineStr">
        <is>
          <t>1900-01-01</t>
        </is>
      </c>
      <c r="AC145" s="4" t="n">
        <v>0</v>
      </c>
      <c r="AD145" s="4" t="n">
        <v>1</v>
      </c>
      <c r="AE145" s="4" t="n">
        <v>0</v>
      </c>
      <c r="AF145" s="4" t="n">
        <v>0</v>
      </c>
      <c r="AG145" s="4" t="n">
        <v>1</v>
      </c>
      <c r="AH145" s="4" t="n">
        <v>1</v>
      </c>
      <c r="AI145" s="4" t="n"/>
      <c r="AJ145" s="4" t="n"/>
      <c r="AK145" s="4" t="inlineStr">
        <is>
          <t>explainability_or_interpretability</t>
        </is>
      </c>
      <c r="AL145" s="4" t="inlineStr">
        <is>
          <t>Algoritmo principal no explícito o fuera del codebook; Confirmar algoritmo principal en full-text</t>
        </is>
      </c>
      <c r="AM145" s="4" t="inlineStr">
        <is>
          <t>RA</t>
        </is>
      </c>
      <c r="AN145" s="4" t="inlineStr">
        <is>
          <t>Tomado completo desde archivo RA según asignación</t>
        </is>
      </c>
      <c r="AO145" s="4" t="n">
        <v>0</v>
      </c>
      <c r="AP145" s="4" t="n">
        <v>0</v>
      </c>
      <c r="AQ145" s="4" t="n">
        <v>0</v>
      </c>
      <c r="AR145" s="4" t="n">
        <v>0</v>
      </c>
      <c r="AS145" s="4" t="n">
        <v>0</v>
      </c>
      <c r="AT145" s="4" t="n">
        <v>1</v>
      </c>
      <c r="AU145" s="4" t="n">
        <v>0</v>
      </c>
      <c r="AV145" s="4" t="n">
        <v>0</v>
      </c>
      <c r="AW145" s="4" t="inlineStr">
        <is>
          <t>finalized_from_available_evidence</t>
        </is>
      </c>
      <c r="AX145" s="4" t="inlineStr">
        <is>
          <t>0 means no reported evidence in title/abstract/notes/coding; it is not proof of true absence.</t>
        </is>
      </c>
    </row>
    <row r="146" ht="409" customHeight="1">
      <c r="A146" s="4" t="n">
        <v>145</v>
      </c>
      <c r="B146" s="4" t="n">
        <v>157</v>
      </c>
      <c r="C146" s="4" t="inlineStr">
        <is>
          <t>Revisor B</t>
        </is>
      </c>
      <c r="D146" s="4" t="n"/>
      <c r="E146" s="4" t="n">
        <v>2015</v>
      </c>
      <c r="F146" s="4" t="inlineStr">
        <is>
          <t>Señales fisiológicas</t>
        </is>
      </c>
      <c r="G146" s="4" t="inlineStr">
        <is>
          <t>Deep Learning</t>
        </is>
      </c>
      <c r="H146" s="4" t="inlineStr">
        <is>
          <t>https://doi.org/10.1016/j.nicl.2014.12.013</t>
        </is>
      </c>
      <c r="I146" s="4" t="inlineStr">
        <is>
          <t>Functional connectivity classification of autism identifies highly predictive brain features but falls short of biomarker standards</t>
        </is>
      </c>
      <c r="J146" s="4" t="inlineStr">
        <is>
          <t>Objectives Autism spectrum disorders (ASD) are diagnosed based on early-manifesting clinical symptoms, including markedly impaired social communication. We assessed the viability of resting-state functional MRI (rs-fMRI) connectivity measures as diagnostic biomarkers for ASD and investigated which connectivity features are predictive of a diagnosis. Methods Rs-fMRI scans from 59 high functioning males with ASD and 59 age- and IQ-matched typically developing (TD) males were used to build a series of machine learning classifiers. Classification features were obtained using 3 sets of brain regions. Another set of classifiers was built from participants' scores on behavioral metrics. An additional age and IQ-matched cohort of 178 individuals (89 ASD; 89 TD) from the Autism Brain Imaging Data Exchange (ABIDE) open-access dataset (http://fcon-1000.projects.nitrc.org/indi/abide/) were included for replication. Results High classification accuracy was achieved through several rs-fMRI methods (peak accuracy 76.67%). However, classification via behavioral measures consistently surpassed rs-fMRI classifiers (peak accuracy 95.19%). The class probability estimates, P(ASD|fMRI data), from brain-based classifiers significantly correlated with scores on a measure of social functioning, the Social Responsiveness Scale (SRS), as did the most informative features from 2 of the 3 sets of brain-based features. The most informative connections predominantly originated from regions strongly associated with social functioning. Conclusions While individuals can be classified as having ASD with statistically significant accuracy from their rs-fMRI scans alone, this method falls short of biomarker standards. Classification methods provided further evidence that ASD functional connectivity is characterized by dysfunction of large-scale functional networks, particularly those involved in social information processing.</t>
        </is>
      </c>
      <c r="K146" s="4" t="inlineStr">
        <is>
          <t>Supervised</t>
        </is>
      </c>
      <c r="L146" s="4" t="inlineStr">
        <is>
          <t>Logistic Regression</t>
        </is>
      </c>
      <c r="M146" s="4" t="inlineStr">
        <is>
          <t>Classification (binary/multi-class; incl. ASD vs control)/ multi-class)</t>
        </is>
      </c>
      <c r="N146" s="4" t="inlineStr">
        <is>
          <t>diagnosis</t>
        </is>
      </c>
      <c r="O146" s="4" t="inlineStr">
        <is>
          <t>high</t>
        </is>
      </c>
      <c r="P146" s="4" t="n">
        <v>1</v>
      </c>
      <c r="Q146" s="4" t="n">
        <v>0</v>
      </c>
      <c r="R146" s="4" t="n">
        <v>0</v>
      </c>
      <c r="S146" s="4" t="n">
        <v>0</v>
      </c>
      <c r="T146" s="4" t="n">
        <v>0</v>
      </c>
      <c r="U146" s="4" t="n">
        <v>1</v>
      </c>
      <c r="V146" s="4" t="n">
        <v>0</v>
      </c>
      <c r="W146" s="4" t="n">
        <v>0</v>
      </c>
      <c r="X146" s="4" t="n">
        <v>0</v>
      </c>
      <c r="Y146" s="4" t="n">
        <v>1</v>
      </c>
      <c r="Z146" s="4" t="n">
        <v>0</v>
      </c>
      <c r="AA146" s="4" t="n">
        <v>0</v>
      </c>
      <c r="AB146" s="4" t="inlineStr">
        <is>
          <t>1900-01-01</t>
        </is>
      </c>
      <c r="AC146" s="4" t="n">
        <v>0</v>
      </c>
      <c r="AD146" s="4" t="n">
        <v>0</v>
      </c>
      <c r="AE146" s="4" t="n">
        <v>0</v>
      </c>
      <c r="AF146" s="4" t="n">
        <v>1</v>
      </c>
      <c r="AG146" s="4" t="n">
        <v>1</v>
      </c>
      <c r="AH146" s="4" t="n">
        <v>2</v>
      </c>
      <c r="AI146" s="4" t="n">
        <v>0</v>
      </c>
      <c r="AJ146" s="4" t="inlineStr">
        <is>
          <t>1900-01-01</t>
        </is>
      </c>
      <c r="AK146" s="4" t="inlineStr">
        <is>
          <t>multisource_integration; multisite_dataset_broad</t>
        </is>
      </c>
      <c r="AL146" s="4" t="inlineStr">
        <is>
          <t>comparan múltiples algoritmos (RF, KNN, SVM, varias regresiones logísticas, etc.), pero para “main” aquí lo más defendible es Logistic Regression (L2LR) por desempeño consistente.</t>
        </is>
      </c>
      <c r="AM146" s="4" t="inlineStr">
        <is>
          <t>RB</t>
        </is>
      </c>
      <c r="AN146" s="4" t="inlineStr">
        <is>
          <t>Tomado completo desde archivo RB según asignación</t>
        </is>
      </c>
      <c r="AO146" s="4" t="n">
        <v>0</v>
      </c>
      <c r="AP146" s="4" t="n">
        <v>0</v>
      </c>
      <c r="AQ146" s="4" t="n">
        <v>1</v>
      </c>
      <c r="AR146" s="4" t="n">
        <v>0</v>
      </c>
      <c r="AS146" s="4" t="n">
        <v>0</v>
      </c>
      <c r="AT146" s="4" t="n">
        <v>0</v>
      </c>
      <c r="AU146" s="4" t="n">
        <v>0</v>
      </c>
      <c r="AV146" s="4" t="n">
        <v>1</v>
      </c>
      <c r="AW146" s="4" t="inlineStr">
        <is>
          <t>finalized_from_available_evidence</t>
        </is>
      </c>
      <c r="AX146" s="4" t="inlineStr">
        <is>
          <t>0 means no reported evidence in title/abstract/notes/coding; it is not proof of true absence.</t>
        </is>
      </c>
    </row>
    <row r="147" ht="333" customHeight="1">
      <c r="A147" s="4" t="n">
        <v>146</v>
      </c>
      <c r="B147" s="4" t="n">
        <v>158</v>
      </c>
      <c r="C147" s="4" t="inlineStr">
        <is>
          <t>Revisor A</t>
        </is>
      </c>
      <c r="D147" s="4" t="inlineStr">
        <is>
          <t>RA</t>
        </is>
      </c>
      <c r="E147" s="4" t="n">
        <v>2022</v>
      </c>
      <c r="F147" s="4" t="inlineStr">
        <is>
          <t>No especificado</t>
        </is>
      </c>
      <c r="G147" s="4" t="inlineStr">
        <is>
          <t>Deep Learning</t>
        </is>
      </c>
      <c r="H147" s="4" t="inlineStr">
        <is>
          <t>https://doi.org/10.1007/978-3-031-13844-7_33</t>
        </is>
      </c>
      <c r="I147" s="4" t="inlineStr">
        <is>
          <t>Graph Convolutional Networks Based on\&amp;#xa0;Relational Attention Mechanism for\&amp;#xa0;Autism Spectrum Disorders Diagnosis</t>
        </is>
      </c>
      <c r="J147" s="4" t="inlineStr">
        <is>
          <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t>
        </is>
      </c>
      <c r="K147" s="4" t="inlineStr">
        <is>
          <t>Supervised</t>
        </is>
      </c>
      <c r="L147" s="4" t="inlineStr">
        <is>
          <t>Other / Not clear</t>
        </is>
      </c>
      <c r="M147" s="4" t="inlineStr">
        <is>
          <t>Classification (ASD vs control / multi-class)</t>
        </is>
      </c>
      <c r="N147" s="4" t="inlineStr">
        <is>
          <t>Diagnosis</t>
        </is>
      </c>
      <c r="O147" s="4" t="inlineStr">
        <is>
          <t>High</t>
        </is>
      </c>
      <c r="P147" s="4" t="n">
        <v>1</v>
      </c>
      <c r="Q147" s="4" t="n">
        <v>0</v>
      </c>
      <c r="R147" s="4" t="n">
        <v>0</v>
      </c>
      <c r="S147" s="4" t="n">
        <v>0</v>
      </c>
      <c r="T147" s="4" t="n">
        <v>0</v>
      </c>
      <c r="U147" s="4" t="n">
        <v>0</v>
      </c>
      <c r="V147" s="4" t="n">
        <v>0</v>
      </c>
      <c r="W147" s="4" t="n">
        <v>0</v>
      </c>
      <c r="X147" s="4" t="n">
        <v>0</v>
      </c>
      <c r="Y147" s="4" t="n">
        <v>1</v>
      </c>
      <c r="Z147" s="4" t="n">
        <v>0</v>
      </c>
      <c r="AA147" s="4" t="n">
        <v>0</v>
      </c>
      <c r="AB147" s="4" t="inlineStr">
        <is>
          <t>1900-01-01</t>
        </is>
      </c>
      <c r="AC147" s="4" t="n">
        <v>0</v>
      </c>
      <c r="AD147" s="4" t="n">
        <v>0</v>
      </c>
      <c r="AE147" s="4" t="n">
        <v>0</v>
      </c>
      <c r="AF147" s="4" t="n">
        <v>0</v>
      </c>
      <c r="AG147" s="4" t="n">
        <v>1</v>
      </c>
      <c r="AH147" s="4" t="n">
        <v>1</v>
      </c>
      <c r="AI147" s="4" t="n"/>
      <c r="AJ147" s="4" t="n"/>
      <c r="AK147" s="4" t="inlineStr">
        <is>
          <t>multisite_dataset_broad</t>
        </is>
      </c>
      <c r="AL147" s="4" t="inlineStr">
        <is>
          <t>Algoritmo principal no explícito o fuera del codebook; Confirmar algoritmo principal en full-text; Se comparan varios modelos; se eligió el principal/mejor reportado</t>
        </is>
      </c>
      <c r="AM147" s="4" t="inlineStr">
        <is>
          <t>RA</t>
        </is>
      </c>
      <c r="AN147" s="4" t="inlineStr">
        <is>
          <t>Tomado completo desde archivo RA según asignación</t>
        </is>
      </c>
      <c r="AO147" s="4" t="n">
        <v>0</v>
      </c>
      <c r="AP147" s="4" t="n">
        <v>0</v>
      </c>
      <c r="AQ147" s="4" t="n">
        <v>1</v>
      </c>
      <c r="AR147" s="4" t="n">
        <v>0</v>
      </c>
      <c r="AS147" s="4" t="n">
        <v>0</v>
      </c>
      <c r="AT147" s="4" t="n">
        <v>0</v>
      </c>
      <c r="AU147" s="4" t="n">
        <v>0</v>
      </c>
      <c r="AV147" s="4" t="n">
        <v>0</v>
      </c>
      <c r="AW147" s="4" t="inlineStr">
        <is>
          <t>finalized_from_available_evidence</t>
        </is>
      </c>
      <c r="AX147" s="4" t="inlineStr">
        <is>
          <t>0 means no reported evidence in title/abstract/notes/coding; it is not proof of true absence.</t>
        </is>
      </c>
    </row>
    <row r="148" ht="333" customHeight="1">
      <c r="A148" s="4" t="n">
        <v>147</v>
      </c>
      <c r="B148" s="4" t="n">
        <v>159</v>
      </c>
      <c r="C148" s="4" t="inlineStr">
        <is>
          <t>Revisor B</t>
        </is>
      </c>
      <c r="D148" s="4" t="n"/>
      <c r="E148" s="4" t="n">
        <v>2024</v>
      </c>
      <c r="F148" s="4" t="inlineStr">
        <is>
          <t>Señales fisiológicas</t>
        </is>
      </c>
      <c r="G148" s="4" t="inlineStr">
        <is>
          <t>Deep Learning</t>
        </is>
      </c>
      <c r="H148" s="4" t="inlineStr">
        <is>
          <t>https://doi.org/10.1016/j.compbiolchem.2024.108177</t>
        </is>
      </c>
      <c r="I148" s="4" t="inlineStr">
        <is>
          <t>Hybrid similarity based feature selection and cascade deep maxout fuzzy network for Autism Spectrum Disorder detection using EEG signal</t>
        </is>
      </c>
      <c r="J148" s="4" t="inlineStr">
        <is>
          <t>Autism Spectrum Disorder (ASD) is a neurological disorder that influences a person's comprehension and way of behaving. It is a lifetime disability that cannot be completely treated using any therapy up to date. Nevertheless, in time identification and continuous therapies have a huge effect on autism patients. The existing models took a long time to confirm the diagnosis process and also, it is highly complex to differentiate autism from various developmental disorders. To facilitate early diagnosis by providing timely intervention, saving healthcare costs and reducing stress for the family in the long run, this research introduces an affordable and straightforward diagnostic model to detect ASD using EEG and deep learning models. Here, a hybrid deep learning model called Cascade deep maxout fuzzy network (Cascade DMFN) is proposed to identify ASD and it is achieved by the integration of Deep Maxout Network (DMN) and hybrid cascade neuro-fuzzy. Moreover, hybrid similarity measures like Canberra distance and Kumar-hassebrook is employed to conduct the feature selection technique. Also, the EEG dataset and BCIAUT_P300 dataset are used for analyzing the designed Cascade DMFN for detecting Autism Spectrum Disorder. The designed Cascade DMFN has outperformed other classical models by yielding a high accuracy of 0.930, Negative Predictive Value (NPV) of 0.919, Positive Predictive Value (PPV) of 0.923, True Negative Rate (TNR) of 0.926, and True Positive Rate (TPR) of 0.934.</t>
        </is>
      </c>
      <c r="K148" s="4" t="inlineStr">
        <is>
          <t>Supervised</t>
        </is>
      </c>
      <c r="L148" s="4" t="inlineStr">
        <is>
          <t>Other</t>
        </is>
      </c>
      <c r="M148" s="4" t="inlineStr">
        <is>
          <t>Classification (binary/multi-class; incl. ASD vs control)/ multi-class)</t>
        </is>
      </c>
      <c r="N148" s="4" t="inlineStr">
        <is>
          <t>diagnosis</t>
        </is>
      </c>
      <c r="O148" s="4" t="inlineStr">
        <is>
          <t>high</t>
        </is>
      </c>
      <c r="P148" s="4" t="n">
        <v>0</v>
      </c>
      <c r="Q148" s="4" t="n">
        <v>0</v>
      </c>
      <c r="R148" s="4" t="n">
        <v>0</v>
      </c>
      <c r="S148" s="4" t="n">
        <v>0</v>
      </c>
      <c r="T148" s="4" t="n">
        <v>1</v>
      </c>
      <c r="U148" s="4" t="n">
        <v>0</v>
      </c>
      <c r="V148" s="4" t="n">
        <v>0</v>
      </c>
      <c r="W148" s="4" t="n">
        <v>0</v>
      </c>
      <c r="X148" s="4" t="n">
        <v>0</v>
      </c>
      <c r="Y148" s="4" t="n">
        <v>1</v>
      </c>
      <c r="Z148" s="4" t="n">
        <v>0</v>
      </c>
      <c r="AA148" s="4" t="n">
        <v>0</v>
      </c>
      <c r="AB148" s="4" t="inlineStr">
        <is>
          <t>1900-01-01</t>
        </is>
      </c>
      <c r="AC148" s="4" t="n">
        <v>0</v>
      </c>
      <c r="AD148" s="4" t="n">
        <v>0</v>
      </c>
      <c r="AE148" s="4" t="n">
        <v>0</v>
      </c>
      <c r="AF148" s="4" t="n">
        <v>0</v>
      </c>
      <c r="AG148" s="4" t="n">
        <v>0</v>
      </c>
      <c r="AH148" s="4" t="n">
        <v>1</v>
      </c>
      <c r="AI148" s="4" t="n">
        <v>0</v>
      </c>
      <c r="AJ148" s="4" t="inlineStr">
        <is>
          <t>1900-01-01</t>
        </is>
      </c>
      <c r="AK148" s="4" t="inlineStr">
        <is>
          <t>none_reported</t>
        </is>
      </c>
      <c r="AL148" s="4" t="inlineStr">
        <is>
          <t>Cascade Deep Maxout Fuzzy Network (DMN + neuro-fuzzy), con feature selection por medidas de similitud</t>
        </is>
      </c>
      <c r="AM148" s="4" t="inlineStr">
        <is>
          <t>RB</t>
        </is>
      </c>
      <c r="AN148" s="4" t="inlineStr">
        <is>
          <t>Tomado completo desde archivo RB según asignación</t>
        </is>
      </c>
      <c r="AO148" s="4" t="n">
        <v>0</v>
      </c>
      <c r="AP148" s="4" t="n">
        <v>0</v>
      </c>
      <c r="AQ148" s="4" t="n">
        <v>0</v>
      </c>
      <c r="AR148" s="4" t="n">
        <v>0</v>
      </c>
      <c r="AS148" s="4" t="n">
        <v>0</v>
      </c>
      <c r="AT148" s="4" t="n">
        <v>0</v>
      </c>
      <c r="AU148" s="4" t="n">
        <v>0</v>
      </c>
      <c r="AV148" s="4" t="n">
        <v>0</v>
      </c>
      <c r="AW148" s="4" t="inlineStr">
        <is>
          <t>finalized_from_available_evidence</t>
        </is>
      </c>
      <c r="AX148" s="4" t="inlineStr">
        <is>
          <t>0 means no reported evidence in title/abstract/notes/coding; it is not proof of true absence.</t>
        </is>
      </c>
    </row>
    <row r="149" ht="409" customHeight="1">
      <c r="A149" s="4" t="n">
        <v>148</v>
      </c>
      <c r="B149" s="4" t="n">
        <v>160</v>
      </c>
      <c r="C149" s="4" t="inlineStr">
        <is>
          <t>Revisor B</t>
        </is>
      </c>
      <c r="D149" s="4" t="n"/>
      <c r="E149" s="4" t="n">
        <v>2022</v>
      </c>
      <c r="F149" s="4" t="inlineStr">
        <is>
          <t>Texto · NLP</t>
        </is>
      </c>
      <c r="G149" s="4" t="inlineStr">
        <is>
          <t>Deep Learning</t>
        </is>
      </c>
      <c r="H149" s="4" t="inlineStr">
        <is>
          <t>https://doi.org/10.1002/AUR.2622</t>
        </is>
      </c>
      <c r="I149" s="4" t="inlineStr">
        <is>
          <t>Imputing cognitive impairment in SPARK, a large autism cohort</t>
        </is>
      </c>
      <c r="J149" s="4" t="inlineStr">
        <is>
          <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t>
        </is>
      </c>
      <c r="K149" s="4" t="inlineStr">
        <is>
          <t>Supervised</t>
        </is>
      </c>
      <c r="L149" s="4" t="inlineStr">
        <is>
          <t>Logistic Regression</t>
        </is>
      </c>
      <c r="M149" s="4" t="inlineStr">
        <is>
          <t>Cognitive impairment imputation / clinical characterization</t>
        </is>
      </c>
      <c r="N149" s="4" t="inlineStr">
        <is>
          <t>Monitoring/intervention</t>
        </is>
      </c>
      <c r="O149" s="4" t="inlineStr">
        <is>
          <t>high</t>
        </is>
      </c>
      <c r="P149" s="4" t="n">
        <v>0</v>
      </c>
      <c r="Q149" s="4" t="n">
        <v>0</v>
      </c>
      <c r="R149" s="4" t="n">
        <v>1</v>
      </c>
      <c r="S149" s="4" t="n">
        <v>0</v>
      </c>
      <c r="T149" s="4" t="n">
        <v>0</v>
      </c>
      <c r="U149" s="4" t="n">
        <v>0</v>
      </c>
      <c r="V149" s="4" t="n">
        <v>0</v>
      </c>
      <c r="W149" s="4" t="n">
        <v>0</v>
      </c>
      <c r="X149" s="4" t="n">
        <v>0</v>
      </c>
      <c r="Y149" s="4" t="n">
        <v>0</v>
      </c>
      <c r="Z149" s="4" t="n">
        <v>0</v>
      </c>
      <c r="AA149" s="4" t="n">
        <v>1</v>
      </c>
      <c r="AB149" s="4" t="inlineStr">
        <is>
          <t>1900-01-01</t>
        </is>
      </c>
      <c r="AC149" s="4" t="n">
        <v>0</v>
      </c>
      <c r="AD149" s="4" t="n">
        <v>0</v>
      </c>
      <c r="AE149" s="4" t="n">
        <v>0</v>
      </c>
      <c r="AF149" s="4" t="n">
        <v>0</v>
      </c>
      <c r="AG149" s="4" t="n">
        <v>0</v>
      </c>
      <c r="AH149" s="4" t="n">
        <v>1</v>
      </c>
      <c r="AI149" s="4" t="n">
        <v>0</v>
      </c>
      <c r="AJ149" s="4" t="inlineStr">
        <is>
          <t>1900-01-01</t>
        </is>
      </c>
      <c r="AK149" s="4" t="inlineStr">
        <is>
          <t>none_reported</t>
        </is>
      </c>
      <c r="AL149" s="4" t="inlineStr">
        <is>
          <t>el modelo no busca detectar ASD vs no-ASD; trabaja dentro de una cohorte ASD para imputar/estimar capacidad cognitiva / impairment (FSIQ y umbrales). Eso no cae limpio en Prescreening/Screening/Diagnosis/Prognosis/Monitoring de ASD.</t>
        </is>
      </c>
      <c r="AM149" s="4" t="inlineStr">
        <is>
          <t>RB</t>
        </is>
      </c>
      <c r="AN149" s="4" t="inlineStr">
        <is>
          <t>Tomado completo desde archivo RB según asignación</t>
        </is>
      </c>
      <c r="AO149" s="4" t="n">
        <v>0</v>
      </c>
      <c r="AP149" s="4" t="n">
        <v>0</v>
      </c>
      <c r="AQ149" s="4" t="n">
        <v>0</v>
      </c>
      <c r="AR149" s="4" t="n">
        <v>0</v>
      </c>
      <c r="AS149" s="4" t="n">
        <v>0</v>
      </c>
      <c r="AT149" s="4" t="n">
        <v>0</v>
      </c>
      <c r="AU149" s="4" t="n">
        <v>0</v>
      </c>
      <c r="AV149" s="4" t="n">
        <v>0</v>
      </c>
      <c r="AW149" s="4" t="inlineStr">
        <is>
          <t>finalized_from_available_evidence</t>
        </is>
      </c>
      <c r="AX149" s="4" t="inlineStr">
        <is>
          <t>0 means no reported evidence in title/abstract/notes/coding; it is not proof of true absence.</t>
        </is>
      </c>
    </row>
    <row r="150" ht="281" customHeight="1">
      <c r="A150" s="4" t="n">
        <v>149</v>
      </c>
      <c r="B150" s="4" t="n">
        <v>162</v>
      </c>
      <c r="C150" s="4" t="inlineStr">
        <is>
          <t>Revisor B</t>
        </is>
      </c>
      <c r="D150" s="4" t="n"/>
      <c r="E150" s="4" t="n">
        <v>2023</v>
      </c>
      <c r="F150" s="4" t="inlineStr">
        <is>
          <t>Texto · NLP</t>
        </is>
      </c>
      <c r="G150" s="4" t="inlineStr">
        <is>
          <t>Machine Learning</t>
        </is>
      </c>
      <c r="H150" s="4" t="inlineStr">
        <is>
          <t>https://doi.org/10.1002/9781119896838.CH18</t>
        </is>
      </c>
      <c r="I150" s="4" t="inlineStr">
        <is>
          <t>Machine Learning in ASD: An Intensive Study of Automated Disease Prediction System</t>
        </is>
      </c>
      <c r="J150" s="4" t="inlineStr">
        <is>
          <t>Of late, due to drastic climate change and excessive pollution, people live in such an atmosphere where they have to combat continuously several deadly diseases. To get the proper treatment of such diseases, people must rely on appropriate diagnoses. There are a lot of signs or symptoms that bear the existence of a particular condition. Generally, almost all the people who suffer from viral infections, dengue, and COVID-19 get a common sign of high fever. Therefore, it is challenging for doctors to determine the exact disease with this particular symptom. Accordingly, a technically equipped medical system should be developed to get a more error-free diagnosis. In this context, a case study uses the Random Forest Algorithm to combine diagnostic prediction and technology, which will help medical practitioners detect diseases. Agile Software can be used here. One of the essential advantages of agile methodology is speed to market and risk reduction. This paper showcases a module developed with the help of Machine Learning. Here, Agile Software is designed to become very effective in detecting a particular disease more efficiently. In this specific system preventing errors and malfunctions has been proven to be 95% effective in the medical field.</t>
        </is>
      </c>
      <c r="K150" s="4" t="n"/>
      <c r="L150" s="4" t="n"/>
      <c r="M150" s="4" t="inlineStr">
        <is>
          <t>Classification / diagnostic prediction</t>
        </is>
      </c>
      <c r="N150" s="4" t="inlineStr">
        <is>
          <t>Diagnosis</t>
        </is>
      </c>
      <c r="O150" s="4" t="n"/>
      <c r="P150" s="4" t="n"/>
      <c r="Q150" s="4" t="n"/>
      <c r="R150" s="4" t="n"/>
      <c r="S150" s="4" t="n"/>
      <c r="T150" s="4" t="n"/>
      <c r="U150" s="4" t="n"/>
      <c r="V150" s="4" t="n"/>
      <c r="W150" s="4" t="n">
        <v>0</v>
      </c>
      <c r="X150" s="4" t="n">
        <v>0</v>
      </c>
      <c r="Y150" s="4" t="n">
        <v>1</v>
      </c>
      <c r="Z150" s="4" t="n">
        <v>0</v>
      </c>
      <c r="AA150" s="4" t="n">
        <v>0</v>
      </c>
      <c r="AB150" s="4" t="inlineStr">
        <is>
          <t>1900-01-01</t>
        </is>
      </c>
      <c r="AC150" s="4" t="n">
        <v>0</v>
      </c>
      <c r="AD150" s="4" t="n">
        <v>0</v>
      </c>
      <c r="AE150" s="4" t="n">
        <v>0</v>
      </c>
      <c r="AF150" s="4" t="n">
        <v>0</v>
      </c>
      <c r="AG150" s="4" t="n"/>
      <c r="AH150" s="4" t="n"/>
      <c r="AI150" s="4" t="n"/>
      <c r="AJ150" s="4" t="inlineStr">
        <is>
          <t>1900-01-01</t>
        </is>
      </c>
      <c r="AK150" s="4" t="inlineStr">
        <is>
          <t>none_reported</t>
        </is>
      </c>
      <c r="AL150" s="4" t="inlineStr">
        <is>
          <t>Sin señal explícita Q3 en título/abstract.</t>
        </is>
      </c>
      <c r="AM150" s="4" t="inlineStr">
        <is>
          <t>RA_fallback</t>
        </is>
      </c>
      <c r="AN150" s="4" t="inlineStr">
        <is>
          <t>Fallback a RA porque el ID no está en RB</t>
        </is>
      </c>
      <c r="AO150" s="4" t="n">
        <v>1</v>
      </c>
      <c r="AP150" s="4" t="n">
        <v>0</v>
      </c>
      <c r="AQ150" s="4" t="n">
        <v>0</v>
      </c>
      <c r="AR150" s="4" t="n">
        <v>0</v>
      </c>
      <c r="AS150" s="4" t="n">
        <v>0</v>
      </c>
      <c r="AT150" s="4" t="n">
        <v>0</v>
      </c>
      <c r="AU150" s="4" t="n">
        <v>0</v>
      </c>
      <c r="AV150" s="4" t="n">
        <v>0</v>
      </c>
      <c r="AW150" s="4" t="inlineStr">
        <is>
          <t>finalized_from_available_evidence</t>
        </is>
      </c>
      <c r="AX150" s="4" t="inlineStr">
        <is>
          <t>0 means no reported evidence in title/abstract/notes/coding; it is not proof of true absence.</t>
        </is>
      </c>
    </row>
    <row r="151" ht="372" customHeight="1">
      <c r="A151" s="4" t="n">
        <v>150</v>
      </c>
      <c r="B151" s="4" t="n">
        <v>163</v>
      </c>
      <c r="C151" s="4" t="inlineStr">
        <is>
          <t>Revisor A</t>
        </is>
      </c>
      <c r="D151" s="4" t="inlineStr">
        <is>
          <t>RA</t>
        </is>
      </c>
      <c r="E151" s="4" t="n">
        <v>2020</v>
      </c>
      <c r="F151" s="4" t="inlineStr">
        <is>
          <t>Imagen</t>
        </is>
      </c>
      <c r="G151" s="4" t="inlineStr">
        <is>
          <t>Deep Learning</t>
        </is>
      </c>
      <c r="H151" s="4" t="inlineStr">
        <is>
          <t>https://doi.org/10.1155/2020/1357853</t>
        </is>
      </c>
      <c r="I151" s="4" t="inlineStr">
        <is>
          <t>Multichannel Deep Attention Neural Networks for the Classification of Autism Spectrum Disorder Using Neuroimaging and Personal Characteristic Data</t>
        </is>
      </c>
      <c r="J151" s="4" t="inlineStr">
        <is>
          <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t>
        </is>
      </c>
      <c r="K151" s="4" t="inlineStr">
        <is>
          <t>Supervised</t>
        </is>
      </c>
      <c r="L151" s="4" t="inlineStr">
        <is>
          <t>Other / Not clear</t>
        </is>
      </c>
      <c r="M151" s="4" t="inlineStr">
        <is>
          <t>Classification (ASD vs control / multi-class)</t>
        </is>
      </c>
      <c r="N151" s="4" t="inlineStr">
        <is>
          <t>Diagnosis</t>
        </is>
      </c>
      <c r="O151" s="4" t="inlineStr">
        <is>
          <t>High</t>
        </is>
      </c>
      <c r="P151" s="4" t="n">
        <v>1</v>
      </c>
      <c r="Q151" s="4" t="n">
        <v>0</v>
      </c>
      <c r="R151" s="4" t="n">
        <v>0</v>
      </c>
      <c r="S151" s="4" t="n">
        <v>0</v>
      </c>
      <c r="T151" s="4" t="n">
        <v>1</v>
      </c>
      <c r="U151" s="4" t="n">
        <v>0</v>
      </c>
      <c r="V151" s="4" t="n">
        <v>0</v>
      </c>
      <c r="W151" s="4" t="n">
        <v>0</v>
      </c>
      <c r="X151" s="4" t="n">
        <v>0</v>
      </c>
      <c r="Y151" s="4" t="n">
        <v>1</v>
      </c>
      <c r="Z151" s="4" t="n">
        <v>0</v>
      </c>
      <c r="AA151" s="4" t="n">
        <v>0</v>
      </c>
      <c r="AB151" s="4" t="inlineStr">
        <is>
          <t>1900-01-01</t>
        </is>
      </c>
      <c r="AC151" s="4" t="n">
        <v>0</v>
      </c>
      <c r="AD151" s="4" t="n">
        <v>0</v>
      </c>
      <c r="AE151" s="4" t="n">
        <v>1</v>
      </c>
      <c r="AF151" s="4" t="n">
        <v>1</v>
      </c>
      <c r="AG151" s="4" t="n">
        <v>1</v>
      </c>
      <c r="AH151" s="4" t="n">
        <v>2</v>
      </c>
      <c r="AI151" s="4" t="n"/>
      <c r="AJ151" s="4" t="n"/>
      <c r="AK151" s="4" t="inlineStr">
        <is>
          <t>multisource_integration; cross_site_robustness; multisite_dataset_broad; internal_validation_only</t>
        </is>
      </c>
      <c r="AL151" s="4" t="inlineStr">
        <is>
          <t>Algoritmo principal no explícito o fuera del codebook; Confirmar algoritmo principal en full-text</t>
        </is>
      </c>
      <c r="AM151" s="4" t="inlineStr">
        <is>
          <t>RA</t>
        </is>
      </c>
      <c r="AN151" s="4" t="inlineStr">
        <is>
          <t>Tomado completo desde archivo RA según asignación</t>
        </is>
      </c>
      <c r="AO151" s="4" t="n">
        <v>0</v>
      </c>
      <c r="AP151" s="4" t="n">
        <v>1</v>
      </c>
      <c r="AQ151" s="4" t="n">
        <v>1</v>
      </c>
      <c r="AR151" s="4" t="n">
        <v>1</v>
      </c>
      <c r="AS151" s="4" t="n">
        <v>0</v>
      </c>
      <c r="AT151" s="4" t="n">
        <v>0</v>
      </c>
      <c r="AU151" s="4" t="n">
        <v>0</v>
      </c>
      <c r="AV151" s="4" t="n">
        <v>1</v>
      </c>
      <c r="AW151" s="4" t="inlineStr">
        <is>
          <t>finalized_from_available_evidence</t>
        </is>
      </c>
      <c r="AX151" s="4" t="inlineStr">
        <is>
          <t>0 means no reported evidence in title/abstract/notes/coding; it is not proof of true absence.</t>
        </is>
      </c>
    </row>
    <row r="152" ht="346" customHeight="1">
      <c r="A152" s="4" t="n">
        <v>151</v>
      </c>
      <c r="B152" s="4" t="n">
        <v>164</v>
      </c>
      <c r="C152" s="4" t="inlineStr">
        <is>
          <t>Revisor B</t>
        </is>
      </c>
      <c r="D152" s="4" t="n"/>
      <c r="E152" s="4" t="n">
        <v>2024</v>
      </c>
      <c r="F152" s="4" t="inlineStr">
        <is>
          <t>Señales fisiológicas</t>
        </is>
      </c>
      <c r="G152" s="4" t="inlineStr">
        <is>
          <t>Machine Learning</t>
        </is>
      </c>
      <c r="H152" s="4" t="inlineStr">
        <is>
          <t>https://doi.org/10.1007/s13246-023-01350-4</t>
        </is>
      </c>
      <c r="I152" s="4" t="inlineStr">
        <is>
          <t>Multimodal Kernel-based discriminant correlation analysis data-fusion approach: an automated autism spectrum disorder diagnostic system</t>
        </is>
      </c>
      <c r="J152" s="4" t="inlineStr">
        <is>
          <t>Autism spectrum disorder (ASD) diagnostic systems, based on association of multimodal tools such as combination of Electroencephalogram (EEG) and eye-tracking, have emerged as an analytical to provide objective biomarkers. However, the existing feature-redundancy-based systems have lacked in providing knowledge of fusion approaches and robust feature-set. The present paper aims to reduce disorder homogeneity by proposing a multimodal diagnostic system which can incorporate multimodal data. The paper has collected simultaneous-data from three modalities (laptop-performance tool, EEG machine, and Eye-tracker) fused the recorded computational, neural and visual data. The multimodal features are analyzed via proposed multimodal Kernel-based discriminant correlation analysis (MKDCA) fusion approach and classified using state-of-the-art machine-learning classifiers. The proposed framework has considered the distinct cardinality of the feature vectors and fused the group structure among multiple samples after ranking them in increasing order. As per the results, the proposed multimodal system provided fused feature set of 11 influential features out of total 39 features. The SVM classifier has diagnosed ASD with 92% testing accuracy and 0.988 AUC(ROC). The proposed automated fusion-based system has the potential to classify disorder by reducing the disorder heterogeneity and stratifying ASD individuals into homogeneous sub-groups. In future, the correlation of reduced feature set with ASD clinical symptoms accounted by screening scales can provide clinical relevance of proposed model.</t>
        </is>
      </c>
      <c r="K152" s="4" t="inlineStr">
        <is>
          <t>Supervised</t>
        </is>
      </c>
      <c r="L152" s="4" t="inlineStr">
        <is>
          <t>SVM</t>
        </is>
      </c>
      <c r="M152" s="4" t="inlineStr">
        <is>
          <t>Classification (binary/multi-class; incl. ASD vs control)/ multi-class)</t>
        </is>
      </c>
      <c r="N152" s="4" t="inlineStr">
        <is>
          <t>Diagnosis</t>
        </is>
      </c>
      <c r="O152" s="4" t="inlineStr">
        <is>
          <t>high</t>
        </is>
      </c>
      <c r="P152" s="4" t="n">
        <v>0</v>
      </c>
      <c r="Q152" s="4" t="n">
        <v>1</v>
      </c>
      <c r="R152" s="4" t="n">
        <v>0</v>
      </c>
      <c r="S152" s="4" t="n">
        <v>0</v>
      </c>
      <c r="T152" s="4" t="n">
        <v>1</v>
      </c>
      <c r="U152" s="4" t="n">
        <v>0</v>
      </c>
      <c r="V152" s="4" t="n">
        <v>0</v>
      </c>
      <c r="W152" s="4" t="n">
        <v>0</v>
      </c>
      <c r="X152" s="4" t="n">
        <v>1</v>
      </c>
      <c r="Y152" s="4" t="n">
        <v>1</v>
      </c>
      <c r="Z152" s="4" t="n">
        <v>1</v>
      </c>
      <c r="AA152" s="4" t="n">
        <v>1</v>
      </c>
      <c r="AB152" s="4" t="inlineStr">
        <is>
          <t>1900-01-01</t>
        </is>
      </c>
      <c r="AC152" s="4" t="n">
        <v>0</v>
      </c>
      <c r="AD152" s="4" t="n">
        <v>0</v>
      </c>
      <c r="AE152" s="4" t="n">
        <v>0</v>
      </c>
      <c r="AF152" s="4" t="n">
        <v>1</v>
      </c>
      <c r="AG152" s="4" t="n">
        <v>0</v>
      </c>
      <c r="AH152" s="4" t="n">
        <v>2</v>
      </c>
      <c r="AI152" s="4" t="n">
        <v>0</v>
      </c>
      <c r="AJ152" s="4" t="inlineStr">
        <is>
          <t>1900-01-01</t>
        </is>
      </c>
      <c r="AK152" s="4" t="inlineStr">
        <is>
          <t>multisource_integration</t>
        </is>
      </c>
      <c r="AL152" s="4" t="inlineStr">
        <is>
          <t>Fusión MKDCA + SVM; multimodal EEG+eye-tracking+computational”.</t>
        </is>
      </c>
      <c r="AM152" s="4" t="inlineStr">
        <is>
          <t>RB</t>
        </is>
      </c>
      <c r="AN152" s="4" t="inlineStr">
        <is>
          <t>Tomado completo desde archivo RB según asignación</t>
        </is>
      </c>
      <c r="AO152" s="4" t="n">
        <v>0</v>
      </c>
      <c r="AP152" s="4" t="n">
        <v>0</v>
      </c>
      <c r="AQ152" s="4" t="n">
        <v>0</v>
      </c>
      <c r="AR152" s="4" t="n">
        <v>0</v>
      </c>
      <c r="AS152" s="4" t="n">
        <v>0</v>
      </c>
      <c r="AT152" s="4" t="n">
        <v>0</v>
      </c>
      <c r="AU152" s="4" t="n">
        <v>0</v>
      </c>
      <c r="AV152" s="4" t="n">
        <v>1</v>
      </c>
      <c r="AW152" s="4" t="inlineStr">
        <is>
          <t>finalized_from_available_evidence</t>
        </is>
      </c>
      <c r="AX152" s="4" t="inlineStr">
        <is>
          <t>0 means no reported evidence in title/abstract/notes/coding; it is not proof of true absence.</t>
        </is>
      </c>
    </row>
    <row r="153" ht="409" customHeight="1">
      <c r="A153" s="4" t="n">
        <v>152</v>
      </c>
      <c r="B153" s="4" t="n">
        <v>165</v>
      </c>
      <c r="C153" s="4" t="inlineStr">
        <is>
          <t>Revisor B</t>
        </is>
      </c>
      <c r="D153" s="4" t="n"/>
      <c r="E153" s="4" t="n">
        <v>2019</v>
      </c>
      <c r="F153" s="4" t="inlineStr">
        <is>
          <t>Señales fisiológicas</t>
        </is>
      </c>
      <c r="G153" s="4" t="inlineStr">
        <is>
          <t>Deep Learning</t>
        </is>
      </c>
      <c r="H153" s="4" t="inlineStr">
        <is>
          <t>https://doi.org/10.1136/bmjopen-2018-026226</t>
        </is>
      </c>
      <c r="I153" s="4" t="inlineStr">
        <is>
          <t>Phase 3 diagnostic evaluation of a smart tablet serious game to identify autism in 760 children 3-5 years old in Sweden and the United Kingdom</t>
        </is>
      </c>
      <c r="J153" s="4" t="inlineStr">
        <is>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t>
        </is>
      </c>
      <c r="K153" s="4" t="inlineStr">
        <is>
          <t>Supervised</t>
        </is>
      </c>
      <c r="L153" s="4" t="inlineStr">
        <is>
          <t>Other</t>
        </is>
      </c>
      <c r="M153" s="4" t="inlineStr">
        <is>
          <t>Classification (binary/multi-class; incl. ASD vs control)/ multi-class)</t>
        </is>
      </c>
      <c r="N153" s="4" t="inlineStr">
        <is>
          <t>diagnosis</t>
        </is>
      </c>
      <c r="O153" s="4" t="inlineStr">
        <is>
          <t>high</t>
        </is>
      </c>
      <c r="P153" s="4" t="n">
        <v>0</v>
      </c>
      <c r="Q153" s="4" t="n">
        <v>0</v>
      </c>
      <c r="R153" s="4" t="n">
        <v>1</v>
      </c>
      <c r="S153" s="4" t="n">
        <v>0</v>
      </c>
      <c r="T153" s="4" t="n">
        <v>0</v>
      </c>
      <c r="U153" s="4" t="n">
        <v>0</v>
      </c>
      <c r="V153" s="4" t="n">
        <v>0</v>
      </c>
      <c r="W153" s="4" t="n">
        <v>0</v>
      </c>
      <c r="X153" s="4" t="n">
        <v>0</v>
      </c>
      <c r="Y153" s="4" t="n">
        <v>1</v>
      </c>
      <c r="Z153" s="4" t="n">
        <v>0</v>
      </c>
      <c r="AA153" s="4" t="n">
        <v>1</v>
      </c>
      <c r="AB153" s="4" t="inlineStr">
        <is>
          <t>1900-01-01</t>
        </is>
      </c>
      <c r="AC153" s="4" t="n">
        <v>0</v>
      </c>
      <c r="AD153" s="4" t="n">
        <v>0</v>
      </c>
      <c r="AE153" s="4" t="n">
        <v>0</v>
      </c>
      <c r="AF153" s="4" t="n">
        <v>0</v>
      </c>
      <c r="AG153" s="4" t="n">
        <v>0</v>
      </c>
      <c r="AH153" s="4" t="n">
        <v>1</v>
      </c>
      <c r="AI153" s="4" t="n">
        <v>0</v>
      </c>
      <c r="AJ153" s="4" t="inlineStr">
        <is>
          <t>00:00:00</t>
        </is>
      </c>
      <c r="AK153" s="4" t="inlineStr">
        <is>
          <t>prospective_evaluation</t>
        </is>
      </c>
      <c r="AL153" s="4" t="n"/>
      <c r="AM153" s="4" t="inlineStr">
        <is>
          <t>RB</t>
        </is>
      </c>
      <c r="AN153" s="4" t="inlineStr">
        <is>
          <t>Tomado completo desde archivo RB según asignación</t>
        </is>
      </c>
      <c r="AO153" s="4" t="n">
        <v>0</v>
      </c>
      <c r="AP153" s="4" t="n">
        <v>0</v>
      </c>
      <c r="AQ153" s="4" t="n">
        <v>0</v>
      </c>
      <c r="AR153" s="4" t="n">
        <v>0</v>
      </c>
      <c r="AS153" s="4" t="n">
        <v>1</v>
      </c>
      <c r="AT153" s="4" t="n">
        <v>0</v>
      </c>
      <c r="AU153" s="4" t="n">
        <v>0</v>
      </c>
      <c r="AV153" s="4" t="n">
        <v>0</v>
      </c>
      <c r="AW153" s="4" t="inlineStr">
        <is>
          <t>finalized_from_available_evidence</t>
        </is>
      </c>
      <c r="AX153" s="4" t="inlineStr">
        <is>
          <t>0 means no reported evidence in title/abstract/notes/coding; it is not proof of true absence.</t>
        </is>
      </c>
    </row>
    <row r="154" ht="409" customHeight="1">
      <c r="A154" s="4" t="n">
        <v>153</v>
      </c>
      <c r="B154" s="4" t="n">
        <v>166</v>
      </c>
      <c r="C154" s="4" t="inlineStr">
        <is>
          <t>Revisor A</t>
        </is>
      </c>
      <c r="D154" s="4" t="inlineStr">
        <is>
          <t>RA</t>
        </is>
      </c>
      <c r="E154" s="4" t="n">
        <v>2020</v>
      </c>
      <c r="F154" s="4" t="inlineStr">
        <is>
          <t>Imagen</t>
        </is>
      </c>
      <c r="G154" s="4" t="inlineStr">
        <is>
          <t>Híbrido</t>
        </is>
      </c>
      <c r="H154" s="4" t="inlineStr">
        <is>
          <t>https://doi.org/10.1108/LHT-08-2019-0176</t>
        </is>
      </c>
      <c r="I154" s="4" t="inlineStr">
        <is>
          <t>Research and development of autism diagnosis information system based on deep convolution neural network and facial expression data</t>
        </is>
      </c>
      <c r="J154" s="4" t="inlineStr">
        <is>
          <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t>
        </is>
      </c>
      <c r="K154" s="4" t="inlineStr">
        <is>
          <t>Supervised</t>
        </is>
      </c>
      <c r="L154" s="4" t="inlineStr">
        <is>
          <t>CNN</t>
        </is>
      </c>
      <c r="M154" s="4" t="inlineStr">
        <is>
          <t>Classification (ASD vs control / multi-class)</t>
        </is>
      </c>
      <c r="N154" s="4" t="inlineStr">
        <is>
          <t>Screening</t>
        </is>
      </c>
      <c r="O154" s="4" t="inlineStr">
        <is>
          <t>High</t>
        </is>
      </c>
      <c r="P154" s="4" t="n">
        <v>0</v>
      </c>
      <c r="Q154" s="4" t="n">
        <v>0</v>
      </c>
      <c r="R154" s="4" t="n">
        <v>1</v>
      </c>
      <c r="S154" s="4" t="n">
        <v>0</v>
      </c>
      <c r="T154" s="4" t="n">
        <v>0</v>
      </c>
      <c r="U154" s="4" t="n">
        <v>0</v>
      </c>
      <c r="V154" s="4" t="n">
        <v>0</v>
      </c>
      <c r="W154" s="4" t="n">
        <v>0</v>
      </c>
      <c r="X154" s="4" t="n">
        <v>1</v>
      </c>
      <c r="Y154" s="4" t="n">
        <v>0</v>
      </c>
      <c r="Z154" s="4" t="n">
        <v>0</v>
      </c>
      <c r="AA154" s="4" t="n">
        <v>0</v>
      </c>
      <c r="AB154" s="4" t="inlineStr">
        <is>
          <t>1900-01-01</t>
        </is>
      </c>
      <c r="AC154" s="4" t="n">
        <v>0</v>
      </c>
      <c r="AD154" s="4" t="n">
        <v>0</v>
      </c>
      <c r="AE154" s="4" t="n">
        <v>0</v>
      </c>
      <c r="AF154" s="4" t="n">
        <v>0</v>
      </c>
      <c r="AG154" s="4" t="n">
        <v>0</v>
      </c>
      <c r="AH154" s="4" t="n">
        <v>1</v>
      </c>
      <c r="AI154" s="4" t="n"/>
      <c r="AJ154" s="4" t="n"/>
      <c r="AK154" s="4" t="inlineStr">
        <is>
          <t>none_reported</t>
        </is>
      </c>
      <c r="AL154" s="4" t="n"/>
      <c r="AM154" s="4" t="inlineStr">
        <is>
          <t>RA</t>
        </is>
      </c>
      <c r="AN154" s="4" t="inlineStr">
        <is>
          <t>Tomado completo desde archivo RA según asignación</t>
        </is>
      </c>
      <c r="AO154" s="4" t="n">
        <v>0</v>
      </c>
      <c r="AP154" s="4" t="n">
        <v>0</v>
      </c>
      <c r="AQ154" s="4" t="n">
        <v>0</v>
      </c>
      <c r="AR154" s="4" t="n">
        <v>0</v>
      </c>
      <c r="AS154" s="4" t="n">
        <v>0</v>
      </c>
      <c r="AT154" s="4" t="n">
        <v>0</v>
      </c>
      <c r="AU154" s="4" t="n">
        <v>0</v>
      </c>
      <c r="AV154" s="4" t="n">
        <v>0</v>
      </c>
      <c r="AW154" s="4" t="inlineStr">
        <is>
          <t>finalized_from_available_evidence</t>
        </is>
      </c>
      <c r="AX154" s="4" t="inlineStr">
        <is>
          <t>0 means no reported evidence in title/abstract/notes/coding; it is not proof of true absence.</t>
        </is>
      </c>
    </row>
    <row r="155" ht="409" customHeight="1">
      <c r="A155" s="4" t="n">
        <v>154</v>
      </c>
      <c r="B155" s="4" t="n">
        <v>168</v>
      </c>
      <c r="C155" s="4" t="inlineStr">
        <is>
          <t>Revisor A</t>
        </is>
      </c>
      <c r="D155" s="4" t="inlineStr">
        <is>
          <t>RA</t>
        </is>
      </c>
      <c r="E155" s="4" t="n">
        <v>2023</v>
      </c>
      <c r="F155" s="4" t="inlineStr">
        <is>
          <t>Imagen</t>
        </is>
      </c>
      <c r="G155" s="4" t="inlineStr">
        <is>
          <t>Deep Learning</t>
        </is>
      </c>
      <c r="H155" s="4" t="inlineStr">
        <is>
          <t>https://doi.org/10.1145/3539226</t>
        </is>
      </c>
      <c r="I155" s="4" t="inlineStr">
        <is>
          <t>Stratification of Children with Autism Spectrum Disorder Through Fusion of Temporal Information in Eye-gaze Scan-Paths</t>
        </is>
      </c>
      <c r="J155" s="4" t="inlineStr">
        <is>
          <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t>
        </is>
      </c>
      <c r="K155" s="4" t="inlineStr">
        <is>
          <t>Supervised</t>
        </is>
      </c>
      <c r="L155" s="4" t="inlineStr">
        <is>
          <t>CNN</t>
        </is>
      </c>
      <c r="M155" s="4" t="inlineStr">
        <is>
          <t>Classification (ASD vs control / multi-class)</t>
        </is>
      </c>
      <c r="N155" s="4" t="inlineStr">
        <is>
          <t>Diagnosis</t>
        </is>
      </c>
      <c r="O155" s="4" t="inlineStr">
        <is>
          <t>High</t>
        </is>
      </c>
      <c r="P155" s="4" t="n">
        <v>0</v>
      </c>
      <c r="Q155" s="4" t="n">
        <v>0</v>
      </c>
      <c r="R155" s="4" t="n">
        <v>1</v>
      </c>
      <c r="S155" s="4" t="n">
        <v>0</v>
      </c>
      <c r="T155" s="4" t="n">
        <v>0</v>
      </c>
      <c r="U155" s="4" t="n">
        <v>0</v>
      </c>
      <c r="V155" s="4" t="n">
        <v>0</v>
      </c>
      <c r="W155" s="4" t="n">
        <v>0</v>
      </c>
      <c r="X155" s="4" t="n">
        <v>0</v>
      </c>
      <c r="Y155" s="4" t="n">
        <v>1</v>
      </c>
      <c r="Z155" s="4" t="n">
        <v>0</v>
      </c>
      <c r="AA155" s="4" t="n">
        <v>0</v>
      </c>
      <c r="AB155" s="4" t="inlineStr">
        <is>
          <t>1900-01-01</t>
        </is>
      </c>
      <c r="AC155" s="4" t="n">
        <v>0</v>
      </c>
      <c r="AD155" s="4" t="n">
        <v>0</v>
      </c>
      <c r="AE155" s="4" t="n">
        <v>0</v>
      </c>
      <c r="AF155" s="4" t="n">
        <v>0</v>
      </c>
      <c r="AG155" s="4" t="n">
        <v>1</v>
      </c>
      <c r="AH155" s="4" t="n">
        <v>1</v>
      </c>
      <c r="AI155" s="4" t="n"/>
      <c r="AJ155" s="4" t="n"/>
      <c r="AK155" s="4" t="inlineStr">
        <is>
          <t>none_reported</t>
        </is>
      </c>
      <c r="AL155" s="4" t="inlineStr">
        <is>
          <t>Estratificación de niños con ASD usando trayectorias de eye-gaze; confirmar si el objetivo es subtipado vs clasificación.</t>
        </is>
      </c>
      <c r="AM155" s="4" t="inlineStr">
        <is>
          <t>RA</t>
        </is>
      </c>
      <c r="AN155" s="4" t="inlineStr">
        <is>
          <t>Tomado completo desde archivo RA según asignación</t>
        </is>
      </c>
      <c r="AO155" s="4" t="n">
        <v>0</v>
      </c>
      <c r="AP155" s="4" t="n">
        <v>0</v>
      </c>
      <c r="AQ155" s="4" t="n">
        <v>0</v>
      </c>
      <c r="AR155" s="4" t="n">
        <v>0</v>
      </c>
      <c r="AS155" s="4" t="n">
        <v>0</v>
      </c>
      <c r="AT155" s="4" t="n">
        <v>0</v>
      </c>
      <c r="AU155" s="4" t="n">
        <v>0</v>
      </c>
      <c r="AV155" s="4" t="n">
        <v>0</v>
      </c>
      <c r="AW155" s="4" t="inlineStr">
        <is>
          <t>finalized_from_available_evidence</t>
        </is>
      </c>
      <c r="AX155" s="4" t="inlineStr">
        <is>
          <t>0 means no reported evidence in title/abstract/notes/coding; it is not proof of true absence.</t>
        </is>
      </c>
    </row>
    <row r="156" ht="281" customHeight="1">
      <c r="A156" s="4" t="n">
        <v>155</v>
      </c>
      <c r="B156" s="4" t="n">
        <v>169</v>
      </c>
      <c r="C156" s="4" t="inlineStr">
        <is>
          <t>Revisor A</t>
        </is>
      </c>
      <c r="D156" s="4" t="inlineStr">
        <is>
          <t>RA</t>
        </is>
      </c>
      <c r="E156" s="4" t="n">
        <v>2022</v>
      </c>
      <c r="F156" s="4" t="inlineStr">
        <is>
          <t>Imagen</t>
        </is>
      </c>
      <c r="G156" s="4" t="inlineStr">
        <is>
          <t>Deep Learning</t>
        </is>
      </c>
      <c r="H156" s="4" t="inlineStr">
        <is>
          <t>https://doi.org/10.2196/33771</t>
        </is>
      </c>
      <c r="I156" s="4" t="inlineStr">
        <is>
          <t>The Classification of Abnormal Hand Movement to Aid in Autism Detection: Machine Learning Study</t>
        </is>
      </c>
      <c r="J156" s="4" t="inlineStr">
        <is>
          <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t>
        </is>
      </c>
      <c r="K156" s="4" t="inlineStr">
        <is>
          <t>Supervised</t>
        </is>
      </c>
      <c r="L156" s="4" t="inlineStr">
        <is>
          <t>CNN</t>
        </is>
      </c>
      <c r="M156" s="4" t="inlineStr">
        <is>
          <t>Classification (ASD vs control / multi-class)</t>
        </is>
      </c>
      <c r="N156" s="4" t="inlineStr">
        <is>
          <t>Screening</t>
        </is>
      </c>
      <c r="O156" s="4" t="inlineStr">
        <is>
          <t>High</t>
        </is>
      </c>
      <c r="P156" s="4" t="n">
        <v>0</v>
      </c>
      <c r="Q156" s="4" t="n">
        <v>0</v>
      </c>
      <c r="R156" s="4" t="n">
        <v>1</v>
      </c>
      <c r="S156" s="4" t="n">
        <v>0</v>
      </c>
      <c r="T156" s="4" t="n">
        <v>0</v>
      </c>
      <c r="U156" s="4" t="n">
        <v>0</v>
      </c>
      <c r="V156" s="4" t="n">
        <v>0</v>
      </c>
      <c r="W156" s="4" t="n">
        <v>0</v>
      </c>
      <c r="X156" s="4" t="n">
        <v>1</v>
      </c>
      <c r="Y156" s="4" t="n">
        <v>0</v>
      </c>
      <c r="Z156" s="4" t="n">
        <v>0</v>
      </c>
      <c r="AA156" s="4" t="n">
        <v>0</v>
      </c>
      <c r="AB156" s="4" t="inlineStr">
        <is>
          <t>1900-01-01</t>
        </is>
      </c>
      <c r="AC156" s="4" t="n">
        <v>0</v>
      </c>
      <c r="AD156" s="4" t="n">
        <v>0</v>
      </c>
      <c r="AE156" s="4" t="n">
        <v>0</v>
      </c>
      <c r="AF156" s="4" t="n">
        <v>0</v>
      </c>
      <c r="AG156" s="4" t="n">
        <v>0</v>
      </c>
      <c r="AH156" s="4" t="n">
        <v>1</v>
      </c>
      <c r="AI156" s="4" t="n"/>
      <c r="AJ156" s="4" t="n"/>
      <c r="AK156" s="4" t="inlineStr">
        <is>
          <t>internal_validation_only</t>
        </is>
      </c>
      <c r="AL156" s="4" t="n"/>
      <c r="AM156" s="4" t="inlineStr">
        <is>
          <t>RA</t>
        </is>
      </c>
      <c r="AN156" s="4" t="inlineStr">
        <is>
          <t>Tomado completo desde archivo RA según asignación</t>
        </is>
      </c>
      <c r="AO156" s="4" t="n">
        <v>0</v>
      </c>
      <c r="AP156" s="4" t="n">
        <v>0</v>
      </c>
      <c r="AQ156" s="4" t="n">
        <v>0</v>
      </c>
      <c r="AR156" s="4" t="n">
        <v>1</v>
      </c>
      <c r="AS156" s="4" t="n">
        <v>0</v>
      </c>
      <c r="AT156" s="4" t="n">
        <v>0</v>
      </c>
      <c r="AU156" s="4" t="n">
        <v>0</v>
      </c>
      <c r="AV156" s="4" t="n">
        <v>0</v>
      </c>
      <c r="AW156" s="4" t="inlineStr">
        <is>
          <t>finalized_from_available_evidence</t>
        </is>
      </c>
      <c r="AX156" s="4" t="inlineStr">
        <is>
          <t>0 means no reported evidence in title/abstract/notes/coding; it is not proof of true absence.</t>
        </is>
      </c>
    </row>
    <row r="157" ht="409" customHeight="1">
      <c r="A157" s="4" t="n">
        <v>156</v>
      </c>
      <c r="B157" s="4" t="n">
        <v>170</v>
      </c>
      <c r="C157" s="4" t="inlineStr">
        <is>
          <t>Revisor A</t>
        </is>
      </c>
      <c r="D157" s="4" t="inlineStr">
        <is>
          <t>RA</t>
        </is>
      </c>
      <c r="E157" s="4" t="n">
        <v>2020</v>
      </c>
      <c r="F157" s="4" t="inlineStr">
        <is>
          <t>Imagen</t>
        </is>
      </c>
      <c r="G157" s="4" t="inlineStr">
        <is>
          <t>Híbrido</t>
        </is>
      </c>
      <c r="H157" s="4" t="inlineStr">
        <is>
          <t>https://doi.org/10.2196/15767</t>
        </is>
      </c>
      <c r="I157" s="4" t="inlineStr">
        <is>
          <t>The development of a practical artificial intelligence tool for diagnosing and evaluating autism spectrum disorder: Multicenter study</t>
        </is>
      </c>
      <c r="J157" s="4" t="inlineStr">
        <is>
          <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t>
        </is>
      </c>
      <c r="K157" s="4" t="inlineStr">
        <is>
          <t>Supervised</t>
        </is>
      </c>
      <c r="L157" s="4" t="inlineStr">
        <is>
          <t>Naive Bayes</t>
        </is>
      </c>
      <c r="M157" s="4" t="inlineStr">
        <is>
          <t>Classification (ASD vs control / multi-class)</t>
        </is>
      </c>
      <c r="N157" s="4" t="inlineStr">
        <is>
          <t>Diagnosis</t>
        </is>
      </c>
      <c r="O157" s="4" t="inlineStr">
        <is>
          <t>High</t>
        </is>
      </c>
      <c r="P157" s="4" t="n">
        <v>1</v>
      </c>
      <c r="Q157" s="4" t="n">
        <v>0</v>
      </c>
      <c r="R157" s="4" t="n">
        <v>0</v>
      </c>
      <c r="S157" s="4" t="n">
        <v>0</v>
      </c>
      <c r="T157" s="4" t="n">
        <v>0</v>
      </c>
      <c r="U157" s="4" t="n">
        <v>0</v>
      </c>
      <c r="V157" s="4" t="n">
        <v>0</v>
      </c>
      <c r="W157" s="4" t="n">
        <v>0</v>
      </c>
      <c r="X157" s="4" t="n">
        <v>0</v>
      </c>
      <c r="Y157" s="4" t="n">
        <v>1</v>
      </c>
      <c r="Z157" s="4" t="n">
        <v>0</v>
      </c>
      <c r="AA157" s="4" t="n">
        <v>0</v>
      </c>
      <c r="AB157" s="4" t="inlineStr">
        <is>
          <t>1900-01-01</t>
        </is>
      </c>
      <c r="AC157" s="4" t="n">
        <v>0</v>
      </c>
      <c r="AD157" s="4" t="n">
        <v>0</v>
      </c>
      <c r="AE157" s="4" t="n">
        <v>0</v>
      </c>
      <c r="AF157" s="4" t="n">
        <v>0</v>
      </c>
      <c r="AG157" s="4" t="n">
        <v>1</v>
      </c>
      <c r="AH157" s="4" t="n">
        <v>1</v>
      </c>
      <c r="AI157" s="4" t="n"/>
      <c r="AJ157" s="4" t="n"/>
      <c r="AK157" s="4" t="inlineStr">
        <is>
          <t>multisite_dataset_broad; internal_validation_only</t>
        </is>
      </c>
      <c r="AL157" s="4" t="inlineStr">
        <is>
          <t>Algoritmo principal no explícito o fuera del codebook; Confirmar algoritmo principal en full-text; Se comparan varios modelos; se eligió el principal/mejor reportado</t>
        </is>
      </c>
      <c r="AM157" s="4" t="inlineStr">
        <is>
          <t>RA</t>
        </is>
      </c>
      <c r="AN157" s="4" t="inlineStr">
        <is>
          <t>Tomado completo desde archivo RA según asignación</t>
        </is>
      </c>
      <c r="AO157" s="4" t="n">
        <v>0</v>
      </c>
      <c r="AP157" s="4" t="n">
        <v>0</v>
      </c>
      <c r="AQ157" s="4" t="n">
        <v>1</v>
      </c>
      <c r="AR157" s="4" t="n">
        <v>1</v>
      </c>
      <c r="AS157" s="4" t="n">
        <v>0</v>
      </c>
      <c r="AT157" s="4" t="n">
        <v>0</v>
      </c>
      <c r="AU157" s="4" t="n">
        <v>0</v>
      </c>
      <c r="AV157" s="4" t="n">
        <v>0</v>
      </c>
      <c r="AW157" s="4" t="inlineStr">
        <is>
          <t>finalized_from_available_evidence</t>
        </is>
      </c>
      <c r="AX157" s="4" t="inlineStr">
        <is>
          <t>0 means no reported evidence in title/abstract/notes/coding; it is not proof of true absence.</t>
        </is>
      </c>
    </row>
    <row r="158" ht="242" customHeight="1">
      <c r="A158" s="4" t="n">
        <v>157</v>
      </c>
      <c r="B158" s="4" t="n">
        <v>171</v>
      </c>
      <c r="C158" s="4" t="inlineStr">
        <is>
          <t>Revisor A</t>
        </is>
      </c>
      <c r="D158" s="4" t="inlineStr">
        <is>
          <t>RA</t>
        </is>
      </c>
      <c r="E158" s="4" t="n">
        <v>2016</v>
      </c>
      <c r="F158" s="4" t="inlineStr">
        <is>
          <t>Señales fisiológicas</t>
        </is>
      </c>
      <c r="G158" s="4" t="inlineStr">
        <is>
          <t>Machine Learning</t>
        </is>
      </c>
      <c r="H158" s="4" t="inlineStr">
        <is>
          <t>https://doi.org/10.1038/srep31107</t>
        </is>
      </c>
      <c r="I158" s="4" t="inlineStr">
        <is>
          <t>Toward the Autism Motor Signature: Gesture patterns during smart tablet gameplay identify children with autism</t>
        </is>
      </c>
      <c r="J158" s="4" t="inlineStr">
        <is>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is>
      </c>
      <c r="K158" s="4" t="inlineStr">
        <is>
          <t>Supervised</t>
        </is>
      </c>
      <c r="L158" s="4" t="inlineStr">
        <is>
          <t>Other / Not clear</t>
        </is>
      </c>
      <c r="M158" s="4" t="inlineStr">
        <is>
          <t>Classification (ASD vs control / multi-class)</t>
        </is>
      </c>
      <c r="N158" s="4" t="inlineStr">
        <is>
          <t>Screening</t>
        </is>
      </c>
      <c r="O158" s="4" t="inlineStr">
        <is>
          <t>Medium</t>
        </is>
      </c>
      <c r="P158" s="4" t="n">
        <v>0</v>
      </c>
      <c r="Q158" s="4" t="n">
        <v>0</v>
      </c>
      <c r="R158" s="4" t="n">
        <v>1</v>
      </c>
      <c r="S158" s="4" t="n">
        <v>0</v>
      </c>
      <c r="T158" s="4" t="n">
        <v>0</v>
      </c>
      <c r="U158" s="4" t="n">
        <v>0</v>
      </c>
      <c r="V158" s="4" t="n">
        <v>0</v>
      </c>
      <c r="W158" s="4" t="n">
        <v>0</v>
      </c>
      <c r="X158" s="4" t="n">
        <v>1</v>
      </c>
      <c r="Y158" s="4" t="n">
        <v>0</v>
      </c>
      <c r="Z158" s="4" t="n">
        <v>0</v>
      </c>
      <c r="AA158" s="4" t="n">
        <v>0</v>
      </c>
      <c r="AB158" s="4" t="inlineStr">
        <is>
          <t>1900-01-01</t>
        </is>
      </c>
      <c r="AC158" s="4" t="n">
        <v>0</v>
      </c>
      <c r="AD158" s="4" t="n">
        <v>0</v>
      </c>
      <c r="AE158" s="4" t="n">
        <v>0</v>
      </c>
      <c r="AF158" s="4" t="n">
        <v>0</v>
      </c>
      <c r="AG158" s="4" t="n">
        <v>1</v>
      </c>
      <c r="AH158" s="4" t="n">
        <v>1</v>
      </c>
      <c r="AI158" s="4" t="n"/>
      <c r="AJ158" s="4" t="n"/>
      <c r="AK158" s="4" t="inlineStr">
        <is>
          <t>none_reported</t>
        </is>
      </c>
      <c r="AL158" s="4" t="inlineStr">
        <is>
          <t>Algoritmo principal no explícito o fuera del codebook; Confirmar algoritmo principal en full-text</t>
        </is>
      </c>
      <c r="AM158" s="4" t="inlineStr">
        <is>
          <t>RA</t>
        </is>
      </c>
      <c r="AN158" s="4" t="inlineStr">
        <is>
          <t>Tomado completo desde archivo RA según asignación</t>
        </is>
      </c>
      <c r="AO158" s="4" t="n">
        <v>0</v>
      </c>
      <c r="AP158" s="4" t="n">
        <v>0</v>
      </c>
      <c r="AQ158" s="4" t="n">
        <v>0</v>
      </c>
      <c r="AR158" s="4" t="n">
        <v>0</v>
      </c>
      <c r="AS158" s="4" t="n">
        <v>0</v>
      </c>
      <c r="AT158" s="4" t="n">
        <v>0</v>
      </c>
      <c r="AU158" s="4" t="n">
        <v>0</v>
      </c>
      <c r="AV158" s="4" t="n">
        <v>0</v>
      </c>
      <c r="AW158" s="4" t="inlineStr">
        <is>
          <t>finalized_from_available_evidence</t>
        </is>
      </c>
      <c r="AX158" s="4" t="inlineStr">
        <is>
          <t>0 means no reported evidence in title/abstract/notes/coding; it is not proof of true absence.</t>
        </is>
      </c>
    </row>
    <row r="159" ht="409" customHeight="1">
      <c r="A159" s="4" t="n">
        <v>158</v>
      </c>
      <c r="B159" s="4" t="n">
        <v>172</v>
      </c>
      <c r="C159" s="4" t="inlineStr">
        <is>
          <t>Ambos (piloto)</t>
        </is>
      </c>
      <c r="D159" s="4" t="inlineStr">
        <is>
          <t>RA</t>
        </is>
      </c>
      <c r="E159" s="4" t="n">
        <v>2024</v>
      </c>
      <c r="F159" s="4" t="inlineStr">
        <is>
          <t>Texto · NLP</t>
        </is>
      </c>
      <c r="G159" s="4" t="inlineStr">
        <is>
          <t>Machine Learning</t>
        </is>
      </c>
      <c r="H159" s="4" t="inlineStr">
        <is>
          <t>https://doi.org/10.2196/52660</t>
        </is>
      </c>
      <c r="I159" s="4" t="inlineStr">
        <is>
          <t>Using #ActuallyAutistic on Twitter for Precision Diagnosis of Autism Spectrum Disorder: Machine Learning Study</t>
        </is>
      </c>
      <c r="J159" s="4" t="inlineStr">
        <is>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is>
      </c>
      <c r="K159" s="4" t="inlineStr">
        <is>
          <t>Supervised</t>
        </is>
      </c>
      <c r="L159" s="4" t="inlineStr">
        <is>
          <t>Logistic Regression</t>
        </is>
      </c>
      <c r="M159" s="4" t="inlineStr">
        <is>
          <t>Classification (ASD vs control / multi-class)</t>
        </is>
      </c>
      <c r="N159" s="4" t="inlineStr">
        <is>
          <t>Screening</t>
        </is>
      </c>
      <c r="O159" s="4" t="inlineStr">
        <is>
          <t>High</t>
        </is>
      </c>
      <c r="P159" s="4" t="n">
        <v>0</v>
      </c>
      <c r="Q159" s="4" t="n">
        <v>0</v>
      </c>
      <c r="R159" s="4" t="n">
        <v>0</v>
      </c>
      <c r="S159" s="4" t="n">
        <v>0</v>
      </c>
      <c r="T159" s="4" t="n">
        <v>0</v>
      </c>
      <c r="U159" s="4" t="n">
        <v>0</v>
      </c>
      <c r="V159" s="4" t="n">
        <v>1</v>
      </c>
      <c r="W159" s="4" t="n">
        <v>0</v>
      </c>
      <c r="X159" s="4" t="n">
        <v>1</v>
      </c>
      <c r="Y159" s="4" t="n">
        <v>0</v>
      </c>
      <c r="Z159" s="4" t="n">
        <v>0</v>
      </c>
      <c r="AA159" s="4" t="n">
        <v>0</v>
      </c>
      <c r="AB159" s="4" t="inlineStr">
        <is>
          <t>1900-01-01</t>
        </is>
      </c>
      <c r="AC159" s="4" t="n">
        <v>0</v>
      </c>
      <c r="AD159" s="4" t="n">
        <v>0</v>
      </c>
      <c r="AE159" s="4" t="n">
        <v>0</v>
      </c>
      <c r="AF159" s="4" t="n">
        <v>0</v>
      </c>
      <c r="AG159" s="4" t="n">
        <v>1</v>
      </c>
      <c r="AH159" s="4" t="n">
        <v>1</v>
      </c>
      <c r="AI159" s="4" t="inlineStr">
        <is>
          <t>text / NLP</t>
        </is>
      </c>
      <c r="AJ159" s="4" t="n"/>
      <c r="AK159" s="4" t="inlineStr">
        <is>
          <t>none_reported</t>
        </is>
      </c>
      <c r="AL159" s="4" t="inlineStr">
        <is>
          <t>Clasificación de tweets #ActuallyAutistic; relevancia clínica/etapa RQ1 ambigua.</t>
        </is>
      </c>
      <c r="AM159" s="4" t="inlineStr">
        <is>
          <t>RA</t>
        </is>
      </c>
      <c r="AN159" s="4" t="inlineStr">
        <is>
          <t>Tomado completo desde archivo RA según asignación</t>
        </is>
      </c>
      <c r="AO159" s="4" t="n">
        <v>0</v>
      </c>
      <c r="AP159" s="4" t="n">
        <v>0</v>
      </c>
      <c r="AQ159" s="4" t="n">
        <v>0</v>
      </c>
      <c r="AR159" s="4" t="n">
        <v>0</v>
      </c>
      <c r="AS159" s="4" t="n">
        <v>0</v>
      </c>
      <c r="AT159" s="4" t="n">
        <v>0</v>
      </c>
      <c r="AU159" s="4" t="n">
        <v>0</v>
      </c>
      <c r="AV159" s="4" t="n">
        <v>0</v>
      </c>
      <c r="AW159" s="4" t="inlineStr">
        <is>
          <t>finalized_from_available_evidence</t>
        </is>
      </c>
      <c r="AX159" s="4" t="inlineStr">
        <is>
          <t>0 means no reported evidence in title/abstract/notes/coding; it is not proof of true absence.</t>
        </is>
      </c>
    </row>
    <row r="160" ht="409" customHeight="1">
      <c r="A160" s="4" t="n">
        <v>159</v>
      </c>
      <c r="B160" s="4" t="n">
        <v>173</v>
      </c>
      <c r="C160" s="4" t="inlineStr">
        <is>
          <t>Revisor A</t>
        </is>
      </c>
      <c r="D160" s="4" t="inlineStr">
        <is>
          <t>RA</t>
        </is>
      </c>
      <c r="E160" s="4" t="n">
        <v>2023</v>
      </c>
      <c r="F160" s="4" t="inlineStr">
        <is>
          <t>Texto · NLP</t>
        </is>
      </c>
      <c r="G160" s="4" t="inlineStr">
        <is>
          <t>Machine Learning</t>
        </is>
      </c>
      <c r="H160" s="4" t="inlineStr">
        <is>
          <t>https://doi.org/10.1111/JCPP.13650</t>
        </is>
      </c>
      <c r="I160" s="4" t="inlineStr">
        <is>
          <t>Using machine learning to improve diagnostic assessment of ASD in the light of specific differential and co-occurring diagnoses</t>
        </is>
      </c>
      <c r="J160" s="4" t="inlineStr">
        <is>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is>
      </c>
      <c r="K160" s="4" t="inlineStr">
        <is>
          <t>Supervised</t>
        </is>
      </c>
      <c r="L160" s="4" t="inlineStr">
        <is>
          <t>Random Forest</t>
        </is>
      </c>
      <c r="M160" s="4" t="inlineStr">
        <is>
          <t>Classification (ASD vs control / multi-class)</t>
        </is>
      </c>
      <c r="N160" s="4" t="inlineStr">
        <is>
          <t>Diagnosis</t>
        </is>
      </c>
      <c r="O160" s="4" t="inlineStr">
        <is>
          <t>High</t>
        </is>
      </c>
      <c r="P160" s="4" t="n">
        <v>0</v>
      </c>
      <c r="Q160" s="4" t="n">
        <v>0</v>
      </c>
      <c r="R160" s="4" t="n">
        <v>0</v>
      </c>
      <c r="S160" s="4" t="n">
        <v>0</v>
      </c>
      <c r="T160" s="4" t="n">
        <v>1</v>
      </c>
      <c r="U160" s="4" t="n">
        <v>0</v>
      </c>
      <c r="V160" s="4" t="n">
        <v>0</v>
      </c>
      <c r="W160" s="4" t="n">
        <v>0</v>
      </c>
      <c r="X160" s="4" t="n">
        <v>0</v>
      </c>
      <c r="Y160" s="4" t="n">
        <v>1</v>
      </c>
      <c r="Z160" s="4" t="n">
        <v>0</v>
      </c>
      <c r="AA160" s="4" t="n">
        <v>0</v>
      </c>
      <c r="AB160" s="4" t="inlineStr">
        <is>
          <t>1900-01-01</t>
        </is>
      </c>
      <c r="AC160" s="4" t="n">
        <v>0</v>
      </c>
      <c r="AD160" s="4" t="n">
        <v>0</v>
      </c>
      <c r="AE160" s="4" t="n">
        <v>0</v>
      </c>
      <c r="AF160" s="4" t="n">
        <v>0</v>
      </c>
      <c r="AG160" s="4" t="n">
        <v>0</v>
      </c>
      <c r="AH160" s="4" t="n">
        <v>1</v>
      </c>
      <c r="AI160" s="4" t="n"/>
      <c r="AJ160" s="4" t="n"/>
      <c r="AK160" s="4" t="inlineStr">
        <is>
          <t>internal_validation_only</t>
        </is>
      </c>
      <c r="AL160" s="4" t="inlineStr">
        <is>
          <t>Se comparan varios modelos; se eligió el principal/mejor reportado</t>
        </is>
      </c>
      <c r="AM160" s="4" t="inlineStr">
        <is>
          <t>RA</t>
        </is>
      </c>
      <c r="AN160" s="4" t="inlineStr">
        <is>
          <t>Tomado completo desde archivo RA según asignación</t>
        </is>
      </c>
      <c r="AO160" s="4" t="n">
        <v>0</v>
      </c>
      <c r="AP160" s="4" t="n">
        <v>0</v>
      </c>
      <c r="AQ160" s="4" t="n">
        <v>0</v>
      </c>
      <c r="AR160" s="4" t="n">
        <v>1</v>
      </c>
      <c r="AS160" s="4" t="n">
        <v>0</v>
      </c>
      <c r="AT160" s="4" t="n">
        <v>0</v>
      </c>
      <c r="AU160" s="4" t="n">
        <v>0</v>
      </c>
      <c r="AV160" s="4" t="n">
        <v>0</v>
      </c>
      <c r="AW160" s="4" t="inlineStr">
        <is>
          <t>finalized_from_available_evidence</t>
        </is>
      </c>
      <c r="AX160" s="4" t="inlineStr">
        <is>
          <t>0 means no reported evidence in title/abstract/notes/coding; it is not proof of true absence.</t>
        </is>
      </c>
    </row>
    <row r="161" ht="229" customHeight="1">
      <c r="A161" s="4" t="n">
        <v>160</v>
      </c>
      <c r="B161" s="4" t="n">
        <v>174</v>
      </c>
      <c r="C161" s="4" t="inlineStr">
        <is>
          <t>Revisor A</t>
        </is>
      </c>
      <c r="D161" s="4" t="inlineStr">
        <is>
          <t>RA</t>
        </is>
      </c>
      <c r="E161" s="4" t="n">
        <v>2023</v>
      </c>
      <c r="F161" s="4" t="inlineStr">
        <is>
          <t>Imagen</t>
        </is>
      </c>
      <c r="G161" s="4" t="inlineStr">
        <is>
          <t>Híbrido</t>
        </is>
      </c>
      <c r="H161" s="4" t="inlineStr">
        <is>
          <t>https://doi.org/10.3233/SHTI230734</t>
        </is>
      </c>
      <c r="I161" s="4" t="inlineStr">
        <is>
          <t>A Framework to Diagnose Autism Spectrum Disorder Using Morphological Connectivity of sMRI and XGBoost</t>
        </is>
      </c>
      <c r="J161" s="4" t="inlineStr">
        <is>
          <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t>
        </is>
      </c>
      <c r="K161" s="4" t="inlineStr">
        <is>
          <t>Supervised</t>
        </is>
      </c>
      <c r="L161" s="4" t="inlineStr">
        <is>
          <t>XGBoost / GBDT</t>
        </is>
      </c>
      <c r="M161" s="4" t="inlineStr">
        <is>
          <t>Classification (ASD vs control / multi-class)</t>
        </is>
      </c>
      <c r="N161" s="4" t="inlineStr">
        <is>
          <t>Diagnosis</t>
        </is>
      </c>
      <c r="O161" s="4" t="inlineStr">
        <is>
          <t>High</t>
        </is>
      </c>
      <c r="P161" s="4" t="n">
        <v>1</v>
      </c>
      <c r="Q161" s="4" t="n">
        <v>0</v>
      </c>
      <c r="R161" s="4" t="n">
        <v>0</v>
      </c>
      <c r="S161" s="4" t="n">
        <v>0</v>
      </c>
      <c r="T161" s="4" t="n">
        <v>0</v>
      </c>
      <c r="U161" s="4" t="n">
        <v>0</v>
      </c>
      <c r="V161" s="4" t="n">
        <v>0</v>
      </c>
      <c r="W161" s="4" t="n">
        <v>0</v>
      </c>
      <c r="X161" s="4" t="n">
        <v>0</v>
      </c>
      <c r="Y161" s="4" t="n">
        <v>1</v>
      </c>
      <c r="Z161" s="4" t="n">
        <v>0</v>
      </c>
      <c r="AA161" s="4" t="n">
        <v>0</v>
      </c>
      <c r="AB161" s="4" t="inlineStr">
        <is>
          <t>1900-01-01</t>
        </is>
      </c>
      <c r="AC161" s="4" t="n">
        <v>0</v>
      </c>
      <c r="AD161" s="4" t="n">
        <v>0</v>
      </c>
      <c r="AE161" s="4" t="n">
        <v>0</v>
      </c>
      <c r="AF161" s="4" t="n">
        <v>0</v>
      </c>
      <c r="AG161" s="4" t="n">
        <v>0</v>
      </c>
      <c r="AH161" s="4" t="n">
        <v>1</v>
      </c>
      <c r="AI161" s="4" t="n"/>
      <c r="AJ161" s="4" t="n"/>
      <c r="AK161" s="4" t="inlineStr">
        <is>
          <t>none_reported</t>
        </is>
      </c>
      <c r="AL161" s="4" t="n"/>
      <c r="AM161" s="4" t="inlineStr">
        <is>
          <t>RA</t>
        </is>
      </c>
      <c r="AN161" s="4" t="inlineStr">
        <is>
          <t>Tomado completo desde archivo RA según asignación</t>
        </is>
      </c>
      <c r="AO161" s="4" t="n">
        <v>0</v>
      </c>
      <c r="AP161" s="4" t="n">
        <v>0</v>
      </c>
      <c r="AQ161" s="4" t="n">
        <v>0</v>
      </c>
      <c r="AR161" s="4" t="n">
        <v>0</v>
      </c>
      <c r="AS161" s="4" t="n">
        <v>0</v>
      </c>
      <c r="AT161" s="4" t="n">
        <v>0</v>
      </c>
      <c r="AU161" s="4" t="n">
        <v>0</v>
      </c>
      <c r="AV161" s="4" t="n">
        <v>0</v>
      </c>
      <c r="AW161" s="4" t="inlineStr">
        <is>
          <t>finalized_from_available_evidence</t>
        </is>
      </c>
      <c r="AX161" s="4" t="inlineStr">
        <is>
          <t>0 means no reported evidence in title/abstract/notes/coding; it is not proof of true absence.</t>
        </is>
      </c>
    </row>
    <row r="162" ht="307" customHeight="1">
      <c r="A162" s="4" t="n">
        <v>161</v>
      </c>
      <c r="B162" s="4" t="n">
        <v>175</v>
      </c>
      <c r="C162" s="4" t="inlineStr">
        <is>
          <t>Revisor A</t>
        </is>
      </c>
      <c r="D162" s="4" t="inlineStr">
        <is>
          <t>RA</t>
        </is>
      </c>
      <c r="E162" s="4" t="n">
        <v>2023</v>
      </c>
      <c r="F162" s="4" t="inlineStr">
        <is>
          <t>No especificado</t>
        </is>
      </c>
      <c r="G162" s="4" t="inlineStr">
        <is>
          <t>Machine Learning</t>
        </is>
      </c>
      <c r="H162" s="4" t="inlineStr">
        <is>
          <t>https://doi.org/10.1038/s41598-023-40073-0</t>
        </is>
      </c>
      <c r="I162" s="4" t="inlineStr">
        <is>
          <t>A machine learning approach for understanding the metabolomics response of children with autism spectrum disorder to medical cannabis treatment</t>
        </is>
      </c>
      <c r="J162" s="4" t="inlineStr">
        <is>
          <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t>
        </is>
      </c>
      <c r="K162" s="4" t="inlineStr">
        <is>
          <t>Supervised</t>
        </is>
      </c>
      <c r="L162" s="4" t="inlineStr">
        <is>
          <t>Other / Not clear</t>
        </is>
      </c>
      <c r="M162" s="4" t="inlineStr">
        <is>
          <t>Other / Not clear</t>
        </is>
      </c>
      <c r="N162" s="4" t="inlineStr">
        <is>
          <t>Monitoring/intervention</t>
        </is>
      </c>
      <c r="O162" s="4" t="inlineStr">
        <is>
          <t>Medium</t>
        </is>
      </c>
      <c r="P162" s="4" t="n">
        <v>0</v>
      </c>
      <c r="Q162" s="4" t="n">
        <v>0</v>
      </c>
      <c r="R162" s="4" t="n">
        <v>0</v>
      </c>
      <c r="S162" s="4" t="n">
        <v>0</v>
      </c>
      <c r="T162" s="4" t="n">
        <v>0</v>
      </c>
      <c r="U162" s="4" t="n">
        <v>1</v>
      </c>
      <c r="V162" s="4" t="n">
        <v>0</v>
      </c>
      <c r="W162" s="4" t="n">
        <v>0</v>
      </c>
      <c r="X162" s="4" t="n">
        <v>0</v>
      </c>
      <c r="Y162" s="4" t="n">
        <v>0</v>
      </c>
      <c r="Z162" s="4" t="n">
        <v>0</v>
      </c>
      <c r="AA162" s="4" t="n">
        <v>1</v>
      </c>
      <c r="AB162" s="4" t="inlineStr">
        <is>
          <t>1900-01-01</t>
        </is>
      </c>
      <c r="AC162" s="4" t="n">
        <v>0</v>
      </c>
      <c r="AD162" s="4" t="n">
        <v>0</v>
      </c>
      <c r="AE162" s="4" t="n">
        <v>0</v>
      </c>
      <c r="AF162" s="4" t="n">
        <v>0</v>
      </c>
      <c r="AG162" s="4" t="n">
        <v>1</v>
      </c>
      <c r="AH162" s="4" t="n">
        <v>1</v>
      </c>
      <c r="AI162" s="4" t="n"/>
      <c r="AJ162" s="4" t="n"/>
      <c r="AK162" s="4" t="inlineStr">
        <is>
          <t>none_reported</t>
        </is>
      </c>
      <c r="AL162" s="4" t="inlineStr">
        <is>
          <t>Algoritmo principal no explícito o fuera del codebook; Confirmar algoritmo principal en full-text</t>
        </is>
      </c>
      <c r="AM162" s="4" t="inlineStr">
        <is>
          <t>RA</t>
        </is>
      </c>
      <c r="AN162" s="4" t="inlineStr">
        <is>
          <t>Tomado completo desde archivo RA según asignación</t>
        </is>
      </c>
      <c r="AO162" s="4" t="n">
        <v>0</v>
      </c>
      <c r="AP162" s="4" t="n">
        <v>0</v>
      </c>
      <c r="AQ162" s="4" t="n">
        <v>0</v>
      </c>
      <c r="AR162" s="4" t="n">
        <v>0</v>
      </c>
      <c r="AS162" s="4" t="n">
        <v>0</v>
      </c>
      <c r="AT162" s="4" t="n">
        <v>0</v>
      </c>
      <c r="AU162" s="4" t="n">
        <v>0</v>
      </c>
      <c r="AV162" s="4" t="n">
        <v>0</v>
      </c>
      <c r="AW162" s="4" t="inlineStr">
        <is>
          <t>finalized_from_available_evidence</t>
        </is>
      </c>
      <c r="AX162" s="4" t="inlineStr">
        <is>
          <t>0 means no reported evidence in title/abstract/notes/coding; it is not proof of true absence.</t>
        </is>
      </c>
    </row>
    <row r="163" ht="333" customHeight="1">
      <c r="A163" s="4" t="n">
        <v>162</v>
      </c>
      <c r="B163" s="4" t="n">
        <v>177</v>
      </c>
      <c r="C163" s="4" t="inlineStr">
        <is>
          <t>Revisor A</t>
        </is>
      </c>
      <c r="D163" s="4" t="inlineStr">
        <is>
          <t>RA</t>
        </is>
      </c>
      <c r="E163" s="4" t="n">
        <v>2024</v>
      </c>
      <c r="F163" s="4" t="inlineStr">
        <is>
          <t>No especificado</t>
        </is>
      </c>
      <c r="G163" s="4" t="inlineStr">
        <is>
          <t>Deep Learning</t>
        </is>
      </c>
      <c r="H163" s="4" t="inlineStr">
        <is>
          <t>https://doi.org/10.1007/978-981-99-8141-0_12</t>
        </is>
      </c>
      <c r="I163" s="4" t="inlineStr">
        <is>
          <t>Aided Diagnosis of\&amp;#xa0;Autism Spectrum Disorder Based on\&amp;#xa0;a\&amp;#xa0;Mixed Neural Network Model</t>
        </is>
      </c>
      <c r="J163" s="4" t="inlineStr">
        <is>
          <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t>
        </is>
      </c>
      <c r="K163" s="4" t="inlineStr">
        <is>
          <t>Supervised</t>
        </is>
      </c>
      <c r="L163" s="4" t="inlineStr">
        <is>
          <t>MLP</t>
        </is>
      </c>
      <c r="M163" s="4" t="inlineStr">
        <is>
          <t>Classification (ASD vs control / multi-class)</t>
        </is>
      </c>
      <c r="N163" s="4" t="inlineStr">
        <is>
          <t>Diagnosis</t>
        </is>
      </c>
      <c r="O163" s="4" t="inlineStr">
        <is>
          <t>High</t>
        </is>
      </c>
      <c r="P163" s="4" t="n">
        <v>1</v>
      </c>
      <c r="Q163" s="4" t="n">
        <v>0</v>
      </c>
      <c r="R163" s="4" t="n">
        <v>0</v>
      </c>
      <c r="S163" s="4" t="n">
        <v>0</v>
      </c>
      <c r="T163" s="4" t="n">
        <v>1</v>
      </c>
      <c r="U163" s="4" t="n">
        <v>0</v>
      </c>
      <c r="V163" s="4" t="n">
        <v>0</v>
      </c>
      <c r="W163" s="4" t="n">
        <v>0</v>
      </c>
      <c r="X163" s="4" t="n">
        <v>0</v>
      </c>
      <c r="Y163" s="4" t="n">
        <v>1</v>
      </c>
      <c r="Z163" s="4" t="n">
        <v>0</v>
      </c>
      <c r="AA163" s="4" t="n">
        <v>0</v>
      </c>
      <c r="AB163" s="4" t="inlineStr">
        <is>
          <t>1900-01-01</t>
        </is>
      </c>
      <c r="AC163" s="4" t="n">
        <v>0</v>
      </c>
      <c r="AD163" s="4" t="n">
        <v>0</v>
      </c>
      <c r="AE163" s="4" t="n">
        <v>0</v>
      </c>
      <c r="AF163" s="4" t="n">
        <v>1</v>
      </c>
      <c r="AG163" s="4" t="n">
        <v>0</v>
      </c>
      <c r="AH163" s="4" t="n">
        <v>2</v>
      </c>
      <c r="AI163" s="4" t="n"/>
      <c r="AJ163" s="4" t="n"/>
      <c r="AK163" s="4" t="inlineStr">
        <is>
          <t>multisource_integration; multisite_dataset_broad</t>
        </is>
      </c>
      <c r="AL163" s="4" t="inlineStr">
        <is>
          <t>Se comparan varios modelos; se eligió el principal/mejor reportado</t>
        </is>
      </c>
      <c r="AM163" s="4" t="inlineStr">
        <is>
          <t>RA</t>
        </is>
      </c>
      <c r="AN163" s="4" t="inlineStr">
        <is>
          <t>Tomado completo desde archivo RA según asignación</t>
        </is>
      </c>
      <c r="AO163" s="4" t="n">
        <v>0</v>
      </c>
      <c r="AP163" s="4" t="n">
        <v>0</v>
      </c>
      <c r="AQ163" s="4" t="n">
        <v>1</v>
      </c>
      <c r="AR163" s="4" t="n">
        <v>0</v>
      </c>
      <c r="AS163" s="4" t="n">
        <v>0</v>
      </c>
      <c r="AT163" s="4" t="n">
        <v>0</v>
      </c>
      <c r="AU163" s="4" t="n">
        <v>0</v>
      </c>
      <c r="AV163" s="4" t="n">
        <v>1</v>
      </c>
      <c r="AW163" s="4" t="inlineStr">
        <is>
          <t>finalized_from_available_evidence</t>
        </is>
      </c>
      <c r="AX163" s="4" t="inlineStr">
        <is>
          <t>0 means no reported evidence in title/abstract/notes/coding; it is not proof of true absence.</t>
        </is>
      </c>
    </row>
    <row r="164" ht="409" customHeight="1">
      <c r="A164" s="4" t="n">
        <v>163</v>
      </c>
      <c r="B164" s="4" t="n">
        <v>178</v>
      </c>
      <c r="C164" s="4" t="inlineStr">
        <is>
          <t>Revisor B</t>
        </is>
      </c>
      <c r="D164" s="4" t="n"/>
      <c r="E164" s="4" t="n">
        <v>2019</v>
      </c>
      <c r="F164" s="4" t="inlineStr">
        <is>
          <t>No especificado</t>
        </is>
      </c>
      <c r="G164" s="4" t="inlineStr">
        <is>
          <t>Deep Learning</t>
        </is>
      </c>
      <c r="H164" s="4" t="inlineStr">
        <is>
          <t>https://doi.org/10.1007/s12031-019-01311-1</t>
        </is>
      </c>
      <c r="I164" s="4" t="inlineStr">
        <is>
          <t>Application of Single-Nucleotide Polymorphisms in the Diagnosis of Autism Spectrum Disorders: A Preliminary Study with Artificial Neural Networks</t>
        </is>
      </c>
      <c r="J164" s="4" t="inlineStr">
        <is>
          <t>Autism spectrum disorder (ASD) includes different neurodevelopmental disorders characterized by deficits in social communication, and restricted, repetitive patterns of behavior, interests or activities. Based on the importance of early diagnosis for effective therapeutic intervention, several strategies have been employed for detection of the disorder. The artificial neural network (ANN) as a type of machine learning method is a common strategy. In the current study, we extracted genomic data for 487 ASD patients and 455 healthy individuals. All individuals were genotyped in certain single-nucleotide polymorphisms within retinoic acid-related orphan receptor alpha (RORA), gamma-aminobutyric acid type A receptor beta3 subunit (GABRB3), synaptosomal-associated protein 25 (SNAP25) and metabotropic glutamate receptor 7 (GRM7) genes. Subsequently, we used the “Keras” package to create and train the ANN model. For cross-validation, samples were divided into ten folds. In the training process, initially, the first fold was preserved for validation and the other folds were used to train the model. The validation fold was then used to evaluate model performance. The k-fold cross-validation method was used to ensure model generalizability and to prevent overfitting. Local interpretable model-agnostic explanations (LIME) were applied to explain model predictions at the data sample level. The output of loss function was evaluated in the training process for each fold in the k-fold cross-validation model. Finally, the number of losses was reduced to less than 0.6 after 200 epochs (except in two cases). The accuracy, sensitivity and specificity of our model were 73.67%, 82.75% and 63.95%, respectively. The area under the curve (AUC) was 80.59. Consequently, in the current study, we propose an ANN-based method for differentiating ASD status from healthy status with adequate power.</t>
        </is>
      </c>
      <c r="K164" s="4" t="inlineStr">
        <is>
          <t>Supervised</t>
        </is>
      </c>
      <c r="L164" s="4" t="inlineStr">
        <is>
          <t>MLP</t>
        </is>
      </c>
      <c r="M164" s="4" t="inlineStr">
        <is>
          <t>Classification (binary/multi-class; incl. ASD vs control)/ multi-class)</t>
        </is>
      </c>
      <c r="N164" s="4" t="inlineStr">
        <is>
          <t>diagnosis</t>
        </is>
      </c>
      <c r="O164" s="4" t="inlineStr">
        <is>
          <t>high</t>
        </is>
      </c>
      <c r="P164" s="4" t="n">
        <v>0</v>
      </c>
      <c r="Q164" s="4" t="n">
        <v>0</v>
      </c>
      <c r="R164" s="4" t="n">
        <v>0</v>
      </c>
      <c r="S164" s="4" t="n">
        <v>0</v>
      </c>
      <c r="T164" s="4" t="n">
        <v>0</v>
      </c>
      <c r="U164" s="4" t="n">
        <v>0</v>
      </c>
      <c r="V164" s="4" t="n">
        <v>0</v>
      </c>
      <c r="W164" s="4" t="n">
        <v>0</v>
      </c>
      <c r="X164" s="4" t="n">
        <v>0</v>
      </c>
      <c r="Y164" s="4" t="n">
        <v>1</v>
      </c>
      <c r="Z164" s="4" t="n">
        <v>0</v>
      </c>
      <c r="AA164" s="4" t="n">
        <v>1</v>
      </c>
      <c r="AB164" s="4" t="inlineStr">
        <is>
          <t>1900-01-01</t>
        </is>
      </c>
      <c r="AC164" s="4" t="n">
        <v>0</v>
      </c>
      <c r="AD164" s="4" t="n">
        <v>1</v>
      </c>
      <c r="AE164" s="4" t="n">
        <v>0</v>
      </c>
      <c r="AF164" s="4" t="n">
        <v>0</v>
      </c>
      <c r="AG164" s="4" t="n">
        <v>0</v>
      </c>
      <c r="AH164" s="4" t="n">
        <v>0</v>
      </c>
      <c r="AI164" s="4" t="n">
        <v>0</v>
      </c>
      <c r="AJ164" s="4" t="inlineStr">
        <is>
          <t>1900-01-01</t>
        </is>
      </c>
      <c r="AK164" s="4" t="inlineStr">
        <is>
          <t>explainability_or_interpretability; internal_validation_only</t>
        </is>
      </c>
      <c r="AL164" s="4" t="n"/>
      <c r="AM164" s="4" t="inlineStr">
        <is>
          <t>RB</t>
        </is>
      </c>
      <c r="AN164" s="4" t="inlineStr">
        <is>
          <t>Tomado completo desde archivo RB según asignación</t>
        </is>
      </c>
      <c r="AO164" s="4" t="n">
        <v>0</v>
      </c>
      <c r="AP164" s="4" t="n">
        <v>0</v>
      </c>
      <c r="AQ164" s="4" t="n">
        <v>0</v>
      </c>
      <c r="AR164" s="4" t="n">
        <v>1</v>
      </c>
      <c r="AS164" s="4" t="n">
        <v>0</v>
      </c>
      <c r="AT164" s="4" t="n">
        <v>1</v>
      </c>
      <c r="AU164" s="4" t="n">
        <v>0</v>
      </c>
      <c r="AV164" s="4" t="n">
        <v>0</v>
      </c>
      <c r="AW164" s="4" t="inlineStr">
        <is>
          <t>finalized_from_available_evidence</t>
        </is>
      </c>
      <c r="AX164" s="4" t="inlineStr">
        <is>
          <t>0 means no reported evidence in title/abstract/notes/coding; it is not proof of true absence.</t>
        </is>
      </c>
    </row>
    <row r="165" ht="333" customHeight="1">
      <c r="A165" s="4" t="n">
        <v>164</v>
      </c>
      <c r="B165" s="4" t="n">
        <v>179</v>
      </c>
      <c r="C165" s="4" t="inlineStr">
        <is>
          <t>Revisor A</t>
        </is>
      </c>
      <c r="D165" s="4" t="inlineStr">
        <is>
          <t>RA</t>
        </is>
      </c>
      <c r="E165" s="4" t="n">
        <v>2019</v>
      </c>
      <c r="F165" s="4" t="inlineStr">
        <is>
          <t>Imagen</t>
        </is>
      </c>
      <c r="G165" s="4" t="inlineStr">
        <is>
          <t>Machine Learning</t>
        </is>
      </c>
      <c r="H165" s="4" t="inlineStr">
        <is>
          <t>https://doi.org/10.2174/2666082215666191111121115</t>
        </is>
      </c>
      <c r="I165" s="4" t="inlineStr">
        <is>
          <t>Autism spectrum disorder detection with machine learning methods</t>
        </is>
      </c>
      <c r="J165" s="4" t="inlineStr">
        <is>
          <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t>
        </is>
      </c>
      <c r="K165" s="4" t="inlineStr">
        <is>
          <t>Supervised</t>
        </is>
      </c>
      <c r="L165" s="4" t="inlineStr">
        <is>
          <t>SVM</t>
        </is>
      </c>
      <c r="M165" s="4" t="inlineStr">
        <is>
          <t>Classification (ASD vs control / multi-class)</t>
        </is>
      </c>
      <c r="N165" s="4" t="inlineStr">
        <is>
          <t>Screening</t>
        </is>
      </c>
      <c r="O165" s="4" t="inlineStr">
        <is>
          <t>High</t>
        </is>
      </c>
      <c r="P165" s="4" t="n">
        <v>0</v>
      </c>
      <c r="Q165" s="4" t="n">
        <v>0</v>
      </c>
      <c r="R165" s="4" t="n">
        <v>0</v>
      </c>
      <c r="S165" s="4" t="n">
        <v>0</v>
      </c>
      <c r="T165" s="4" t="n">
        <v>0</v>
      </c>
      <c r="U165" s="4" t="n">
        <v>0</v>
      </c>
      <c r="V165" s="4" t="n">
        <v>1</v>
      </c>
      <c r="W165" s="4" t="n">
        <v>0</v>
      </c>
      <c r="X165" s="4" t="n">
        <v>1</v>
      </c>
      <c r="Y165" s="4" t="n">
        <v>0</v>
      </c>
      <c r="Z165" s="4" t="n">
        <v>0</v>
      </c>
      <c r="AA165" s="4" t="n">
        <v>0</v>
      </c>
      <c r="AB165" s="4" t="inlineStr">
        <is>
          <t>1900-01-01</t>
        </is>
      </c>
      <c r="AC165" s="4" t="n">
        <v>0</v>
      </c>
      <c r="AD165" s="4" t="n">
        <v>0</v>
      </c>
      <c r="AE165" s="4" t="n">
        <v>0</v>
      </c>
      <c r="AF165" s="4" t="n">
        <v>0</v>
      </c>
      <c r="AG165" s="4" t="n">
        <v>0</v>
      </c>
      <c r="AH165" s="4" t="n">
        <v>1</v>
      </c>
      <c r="AI165" s="4" t="n"/>
      <c r="AJ165" s="4" t="n"/>
      <c r="AK165" s="4" t="inlineStr">
        <is>
          <t>internal_validation_only</t>
        </is>
      </c>
      <c r="AL165" s="4" t="n"/>
      <c r="AM165" s="4" t="inlineStr">
        <is>
          <t>RA</t>
        </is>
      </c>
      <c r="AN165" s="4" t="inlineStr">
        <is>
          <t>Tomado completo desde archivo RA según asignación</t>
        </is>
      </c>
      <c r="AO165" s="4" t="n">
        <v>0</v>
      </c>
      <c r="AP165" s="4" t="n">
        <v>0</v>
      </c>
      <c r="AQ165" s="4" t="n">
        <v>0</v>
      </c>
      <c r="AR165" s="4" t="n">
        <v>1</v>
      </c>
      <c r="AS165" s="4" t="n">
        <v>0</v>
      </c>
      <c r="AT165" s="4" t="n">
        <v>0</v>
      </c>
      <c r="AU165" s="4" t="n">
        <v>0</v>
      </c>
      <c r="AV165" s="4" t="n">
        <v>0</v>
      </c>
      <c r="AW165" s="4" t="inlineStr">
        <is>
          <t>finalized_from_available_evidence</t>
        </is>
      </c>
      <c r="AX165" s="4" t="inlineStr">
        <is>
          <t>0 means no reported evidence in title/abstract/notes/coding; it is not proof of true absence.</t>
        </is>
      </c>
    </row>
    <row r="166" ht="359" customHeight="1">
      <c r="A166" s="4" t="n">
        <v>165</v>
      </c>
      <c r="B166" s="4" t="n">
        <v>180</v>
      </c>
      <c r="C166" s="4" t="inlineStr">
        <is>
          <t>Revisor A</t>
        </is>
      </c>
      <c r="D166" s="4" t="inlineStr">
        <is>
          <t>RA</t>
        </is>
      </c>
      <c r="E166" s="4" t="n">
        <v>2024</v>
      </c>
      <c r="F166" s="4" t="inlineStr">
        <is>
          <t>Señales fisiológicas</t>
        </is>
      </c>
      <c r="G166" s="4" t="inlineStr">
        <is>
          <t>Machine Learning</t>
        </is>
      </c>
      <c r="H166" s="4" t="inlineStr">
        <is>
          <t>https://doi.org/10.1016/j.compbiomed.2024.108194</t>
        </is>
      </c>
      <c r="I166" s="4" t="inlineStr">
        <is>
          <t>Biosignal comparison for autism assessment using machine learning models and virtual reality</t>
        </is>
      </c>
      <c r="J166" s="4" t="inlineStr">
        <is>
          <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t>
        </is>
      </c>
      <c r="K166" s="4" t="inlineStr">
        <is>
          <t>Supervised</t>
        </is>
      </c>
      <c r="L166" s="4" t="inlineStr">
        <is>
          <t>SVM</t>
        </is>
      </c>
      <c r="M166" s="4" t="inlineStr">
        <is>
          <t>Classification (ASD vs control / multi-class)</t>
        </is>
      </c>
      <c r="N166" s="4" t="inlineStr">
        <is>
          <t>Screening</t>
        </is>
      </c>
      <c r="O166" s="4" t="inlineStr">
        <is>
          <t>High</t>
        </is>
      </c>
      <c r="P166" s="4" t="n">
        <v>0</v>
      </c>
      <c r="Q166" s="4" t="n">
        <v>1</v>
      </c>
      <c r="R166" s="4" t="n">
        <v>0</v>
      </c>
      <c r="S166" s="4" t="n">
        <v>0</v>
      </c>
      <c r="T166" s="4" t="n">
        <v>0</v>
      </c>
      <c r="U166" s="4" t="n">
        <v>0</v>
      </c>
      <c r="V166" s="4" t="n">
        <v>1</v>
      </c>
      <c r="W166" s="4" t="n">
        <v>0</v>
      </c>
      <c r="X166" s="4" t="n">
        <v>1</v>
      </c>
      <c r="Y166" s="4" t="n">
        <v>0</v>
      </c>
      <c r="Z166" s="4" t="n">
        <v>0</v>
      </c>
      <c r="AA166" s="4" t="n">
        <v>0</v>
      </c>
      <c r="AB166" s="4" t="inlineStr">
        <is>
          <t>1900-01-01</t>
        </is>
      </c>
      <c r="AC166" s="4" t="n">
        <v>0</v>
      </c>
      <c r="AD166" s="4" t="n">
        <v>0</v>
      </c>
      <c r="AE166" s="4" t="n">
        <v>0</v>
      </c>
      <c r="AF166" s="4" t="n">
        <v>1</v>
      </c>
      <c r="AG166" s="4" t="n">
        <v>0</v>
      </c>
      <c r="AH166" s="4" t="n">
        <v>2</v>
      </c>
      <c r="AI166" s="4" t="inlineStr">
        <is>
          <t>sensor / other</t>
        </is>
      </c>
      <c r="AJ166" s="4" t="n"/>
      <c r="AK166" s="4" t="inlineStr">
        <is>
          <t>multisource_integration; internal_validation_only</t>
        </is>
      </c>
      <c r="AL166" s="4" t="inlineStr">
        <is>
          <t>Se comparan varios modelos; se eligió el principal/mejor reportado</t>
        </is>
      </c>
      <c r="AM166" s="4" t="inlineStr">
        <is>
          <t>RA</t>
        </is>
      </c>
      <c r="AN166" s="4" t="inlineStr">
        <is>
          <t>Tomado completo desde archivo RA según asignación</t>
        </is>
      </c>
      <c r="AO166" s="4" t="n">
        <v>0</v>
      </c>
      <c r="AP166" s="4" t="n">
        <v>0</v>
      </c>
      <c r="AQ166" s="4" t="n">
        <v>0</v>
      </c>
      <c r="AR166" s="4" t="n">
        <v>1</v>
      </c>
      <c r="AS166" s="4" t="n">
        <v>0</v>
      </c>
      <c r="AT166" s="4" t="n">
        <v>0</v>
      </c>
      <c r="AU166" s="4" t="n">
        <v>0</v>
      </c>
      <c r="AV166" s="4" t="n">
        <v>1</v>
      </c>
      <c r="AW166" s="4" t="inlineStr">
        <is>
          <t>finalized_from_available_evidence</t>
        </is>
      </c>
      <c r="AX166" s="4" t="inlineStr">
        <is>
          <t>0 means no reported evidence in title/abstract/notes/coding; it is not proof of true absence.</t>
        </is>
      </c>
    </row>
    <row r="167" ht="409" customHeight="1">
      <c r="A167" s="4" t="n">
        <v>166</v>
      </c>
      <c r="B167" s="4" t="n">
        <v>182</v>
      </c>
      <c r="C167" s="4" t="inlineStr">
        <is>
          <t>Revisor B</t>
        </is>
      </c>
      <c r="D167" s="4" t="n"/>
      <c r="E167" s="4" t="n">
        <v>2019</v>
      </c>
      <c r="F167" s="4" t="inlineStr">
        <is>
          <t>Señales fisiológicas</t>
        </is>
      </c>
      <c r="G167" s="4" t="inlineStr">
        <is>
          <t>Machine Learning</t>
        </is>
      </c>
      <c r="H167" s="4" t="inlineStr">
        <is>
          <t>https://doi.org/10.1016/j.euroneuro.2017.08.321</t>
        </is>
      </c>
      <c r="I167" s="4" t="inlineStr">
        <is>
          <t>COMBINED ANALYSIS OF THE ORAL MICROBIOME AND MICROTRANSCRIPTOME OF AUTISM SPECTRUM DISORDER</t>
        </is>
      </c>
      <c r="J167" s="4" t="inlineStr">
        <is>
          <t>Background: Autism Spectrum Disorder (ASD) affects 1 in 45 children aged 3-17 and is characterized by a wide array of deficits in social interaction, communication, and behavior. Despite significant evidence for genetic contributions to ASD risk, single gene variants as a group do not explain the vast majority of cases. Consequently, considerable interest has turned to the study of epigenetic mechanisms as potential contributing factors. miRNAs are now well-recognized epigenetic regulators of gene expression that influence biological processes in all cell types and are released from the cells in which they are synthesized and circulate throughout the body in extracellular fluids. We previously identified significant alterations in miRNA levels in the saliva of ASD subjects (average age 9) compared with matched typically developing control children. We also observed (but did not report) that the salivary microbiome of ASD children was significantly different than that of the control children. In the present study, we sought to replicate and extend these observations on the oral microtranscriptome and microbiome of ASD children in a larger and younger cohort. Method(s): Parental consent was obtained for all subjects. More than 350 samples were collected from children aged 2-6, with either a confirmed diagnosis of ASD, Developmental Delay, or healthy controls. Comprehensive medical and demographic information was obtained using detailed questionnaires, the Vineland Adaptive Behavior Scales (2nd Edition), and the Autism Diagnostic Observation Schedule (2nd Edition). Identification and quantification of saliva miRNA and microbiome abundance were performed using NGS on a NextSeq. 500 instrument at the SUNY Molecular Analysis Core (SUNYMAC) at Upstate Medical University. Alignment of NGS reads was performed to the miRbase21 database using the Shrimp2 algorithm in Partek Flow software to identify mature and precursor miRNAs and alignment of metatranscriptome reads was performed to the Human Microbiome Database, using K-SLAM and Kraken software. Data were subjected to quantile normalization, filtered for quality control, and examined for their diagnostic utility using machine learning algorithms. The most promising variables were also examined to identify salient patterns and subjected to functional analysis. Result(s): Saliva miRNA and microbiome taxon variables demonstrated the ability to distinguish children with ASD from typically developing controls, with accuracy approximating 75-80% based on Monte-Carlo Cross Validation. When combined, the best miRNA and taxon classifiers from the learning algorithm performed at an overall accuracy level exceeding 86%, including more than 90% accuracy for ASD children. Notably, the top miRNA classifiers disproportionately targeted mRNAs that were enriched in several key biological pathways of interest for ASD, including Amphetamine Addiction, Axon Guidance, and Oxytocin Signaling. Notably, many miRNAs and taxon classifiers exhibited robust correlations, suggesting possible host-microbiome signaling. Discussion(s): This is the first report of correlated miRNA and microbiome elements in saliva. Our results indicate a high degree of potential diagnostic utility in using these saliva-based data for ASD and Developmental Delay. Ongoing work is establishing the quantitative relationship between these variables and functional measures of ASD symptoms and severity, as well as co-morbid medical conditions including sleep disorders and GI disturbances.Copyright © 2017</t>
        </is>
      </c>
      <c r="K167" s="4" t="inlineStr">
        <is>
          <t>Supervised</t>
        </is>
      </c>
      <c r="L167" s="4" t="inlineStr">
        <is>
          <t>Not clear</t>
        </is>
      </c>
      <c r="M167" s="4" t="inlineStr">
        <is>
          <t>Classification (binary/multi-class; incl. ASD vs control)/ multi-class)</t>
        </is>
      </c>
      <c r="N167" s="4" t="inlineStr">
        <is>
          <t>screening</t>
        </is>
      </c>
      <c r="O167" s="4" t="inlineStr">
        <is>
          <t>high</t>
        </is>
      </c>
      <c r="P167" s="4" t="n">
        <v>0</v>
      </c>
      <c r="Q167" s="4" t="n">
        <v>0</v>
      </c>
      <c r="R167" s="4" t="n">
        <v>1</v>
      </c>
      <c r="S167" s="4" t="n">
        <v>1</v>
      </c>
      <c r="T167" s="4" t="n">
        <v>0</v>
      </c>
      <c r="U167" s="4" t="n">
        <v>0</v>
      </c>
      <c r="V167" s="4" t="n">
        <v>0</v>
      </c>
      <c r="W167" s="4" t="n">
        <v>0</v>
      </c>
      <c r="X167" s="4" t="n">
        <v>1</v>
      </c>
      <c r="Y167" s="4" t="n">
        <v>1</v>
      </c>
      <c r="Z167" s="4" t="n">
        <v>0</v>
      </c>
      <c r="AA167" s="4" t="n">
        <v>0</v>
      </c>
      <c r="AB167" s="4" t="inlineStr">
        <is>
          <t>1900-01-01</t>
        </is>
      </c>
      <c r="AC167" s="4" t="n">
        <v>0</v>
      </c>
      <c r="AD167" s="4" t="n">
        <v>0</v>
      </c>
      <c r="AE167" s="4" t="n">
        <v>0</v>
      </c>
      <c r="AF167" s="4" t="n">
        <v>1</v>
      </c>
      <c r="AG167" s="4" t="n">
        <v>0</v>
      </c>
      <c r="AH167" s="4" t="n">
        <v>2</v>
      </c>
      <c r="AI167" s="4" t="n">
        <v>0</v>
      </c>
      <c r="AJ167" s="4" t="inlineStr">
        <is>
          <t>1900-01-01</t>
        </is>
      </c>
      <c r="AK167" s="4" t="inlineStr">
        <is>
          <t>multisource_integration; internal_validation_only</t>
        </is>
      </c>
      <c r="AL167" s="4" t="n"/>
      <c r="AM167" s="4" t="inlineStr">
        <is>
          <t>RB</t>
        </is>
      </c>
      <c r="AN167" s="4" t="inlineStr">
        <is>
          <t>Tomado completo desde archivo RB según asignación</t>
        </is>
      </c>
      <c r="AO167" s="4" t="n">
        <v>0</v>
      </c>
      <c r="AP167" s="4" t="n">
        <v>0</v>
      </c>
      <c r="AQ167" s="4" t="n">
        <v>0</v>
      </c>
      <c r="AR167" s="4" t="n">
        <v>1</v>
      </c>
      <c r="AS167" s="4" t="n">
        <v>0</v>
      </c>
      <c r="AT167" s="4" t="n">
        <v>0</v>
      </c>
      <c r="AU167" s="4" t="n">
        <v>0</v>
      </c>
      <c r="AV167" s="4" t="n">
        <v>1</v>
      </c>
      <c r="AW167" s="4" t="inlineStr">
        <is>
          <t>finalized_from_available_evidence</t>
        </is>
      </c>
      <c r="AX167" s="4" t="inlineStr">
        <is>
          <t>0 means no reported evidence in title/abstract/notes/coding; it is not proof of true absence.</t>
        </is>
      </c>
    </row>
    <row r="168" ht="409" customHeight="1">
      <c r="A168" s="4" t="n">
        <v>167</v>
      </c>
      <c r="B168" s="4" t="n">
        <v>183</v>
      </c>
      <c r="C168" s="4" t="inlineStr">
        <is>
          <t>Revisor B</t>
        </is>
      </c>
      <c r="D168" s="4" t="n"/>
      <c r="E168" s="4" t="n">
        <v>2021</v>
      </c>
      <c r="F168" s="4" t="inlineStr">
        <is>
          <t>Imagen</t>
        </is>
      </c>
      <c r="G168" s="4" t="inlineStr">
        <is>
          <t>Deep Learning</t>
        </is>
      </c>
      <c r="H168" s="4" t="inlineStr">
        <is>
          <t>https://doi.org/10.1001/jamapediatrics.2021.0530</t>
        </is>
      </c>
      <c r="I168" s="4" t="inlineStr">
        <is>
          <t>Computational Methods to Measure Patterns of Gaze in Toddlers with Autism Spectrum Disorder</t>
        </is>
      </c>
      <c r="J168" s="4" t="inlineStr">
        <is>
          <t>Importance: Atypical eye gaze is an early-emerging symptom of autism spectrum disorder (ASD) and holds promise for autism screening. Current eye-tracking methods are expensive and require special equipment and calibration. There is a need for scalable, feasible methods for measuring eye gaze. Objective: Using computational methods based on computer vision analysis, we evaluated whether an app deployed on an iPhone or iPad that displayed strategically designed brief movies could elicit and quantify differences in eye-gaze patterns of toddlers with ASD vs typical development. Design, Setting, and Participants: A prospective study in pediatric primary care clinics was conducted from December 2018 to March 2020, comparing toddlers with and without ASD. Caregivers of 1564 toddlers were invited to participate during a well-child visit. A total of 993 toddlers (63%) completed study measures. Enrollment criteria were aged 16 to 38 months, healthy, English- or Spanish-speaking caregiver, and toddler able to sit and view the app. Participants were screened with the Modified Checklist for Autism in Toddlers-Revised With Follow-up during routine care. Children were referred by their pediatrician for diagnostic evaluation based on results of the checklist or if the caregiver or pediatrician was concerned. Forty toddlers subsequently were diagnosed with ASD. Exposures: A mobile app displayed on a smartphone or tablet. Main Outcomes and Measures: Computer vision analysis quantified eye-gaze patterns elicited by the app, which were compared between toddlers with ASD vs typical development. Results: Mean age of the sample was 21.1 months (range, 17.1-36.9 months), and 50.6% were boys, 59.8% White individuals, 16.5% Black individuals, 23.7% other race, and 16.9% Hispanic/Latino individuals. Distinctive eye-gaze patterns were detected in toddlers with ASD, characterized by reduced gaze to social stimuli and to salient social moments during the movies, and previously unknown deficits in coordination of gaze with speech sounds. The area under the receiver operating characteristic curve discriminating ASD vs non-ASD using multiple gaze features was 0.90 (95% CI, 0.82-0.97). Conclusions and Relevance: The app reliably measured both known and new gaze biomarkers that distinguished toddlers with ASD vs typical development. These novel results may have potential for developing scalable autism screening tools, exportable to natural settings, and enabling data sets amenable to machine learning.</t>
        </is>
      </c>
      <c r="K168" s="4" t="inlineStr">
        <is>
          <t>Supervised</t>
        </is>
      </c>
      <c r="L168" s="4" t="inlineStr">
        <is>
          <t>Decision Tree</t>
        </is>
      </c>
      <c r="M168" s="4" t="inlineStr">
        <is>
          <t>Classification (binary/multi-class; incl. ASD vs control)/ multi-class)</t>
        </is>
      </c>
      <c r="N168" s="4" t="inlineStr">
        <is>
          <t>Screening</t>
        </is>
      </c>
      <c r="O168" s="4" t="inlineStr">
        <is>
          <t>high</t>
        </is>
      </c>
      <c r="P168" s="4" t="n">
        <v>0</v>
      </c>
      <c r="Q168" s="4" t="n">
        <v>0</v>
      </c>
      <c r="R168" s="4" t="n">
        <v>1</v>
      </c>
      <c r="S168" s="4" t="n">
        <v>0</v>
      </c>
      <c r="T168" s="4" t="n">
        <v>0</v>
      </c>
      <c r="U168" s="4" t="n">
        <v>0</v>
      </c>
      <c r="V168" s="4" t="n">
        <v>0</v>
      </c>
      <c r="W168" s="4" t="n">
        <v>0</v>
      </c>
      <c r="X168" s="4" t="n">
        <v>0</v>
      </c>
      <c r="Y168" s="4" t="n">
        <v>1</v>
      </c>
      <c r="Z168" s="4" t="n">
        <v>0</v>
      </c>
      <c r="AA168" s="4" t="n">
        <v>1</v>
      </c>
      <c r="AB168" s="4" t="inlineStr">
        <is>
          <t>1900-01-01</t>
        </is>
      </c>
      <c r="AC168" s="4" t="n">
        <v>1</v>
      </c>
      <c r="AD168" s="4" t="n">
        <v>1</v>
      </c>
      <c r="AE168" s="4" t="n">
        <v>0</v>
      </c>
      <c r="AF168" s="4" t="n">
        <v>0</v>
      </c>
      <c r="AG168" s="4" t="n">
        <v>0</v>
      </c>
      <c r="AH168" s="4" t="n">
        <v>1</v>
      </c>
      <c r="AI168" s="4" t="n">
        <v>0</v>
      </c>
      <c r="AJ168" s="4" t="inlineStr">
        <is>
          <t>1900-01-01</t>
        </is>
      </c>
      <c r="AK168" s="4" t="inlineStr">
        <is>
          <t>external_validation; explainability_or_interpretability; prospective_evaluation</t>
        </is>
      </c>
      <c r="AL168" s="4" t="inlineStr">
        <is>
          <t>No es “diagnóstico” como tal; es una herramienta en visita pediátrica para detectar síntomas tempranos/riesgo usando patrones de mirada.</t>
        </is>
      </c>
      <c r="AM168" s="4" t="inlineStr">
        <is>
          <t>RB</t>
        </is>
      </c>
      <c r="AN168" s="4" t="inlineStr">
        <is>
          <t>Tomado completo desde archivo RB según asignación</t>
        </is>
      </c>
      <c r="AO168" s="4" t="n">
        <v>0</v>
      </c>
      <c r="AP168" s="4" t="n">
        <v>0</v>
      </c>
      <c r="AQ168" s="4" t="n">
        <v>0</v>
      </c>
      <c r="AR168" s="4" t="n">
        <v>0</v>
      </c>
      <c r="AS168" s="4" t="n">
        <v>1</v>
      </c>
      <c r="AT168" s="4" t="n">
        <v>0</v>
      </c>
      <c r="AU168" s="4" t="n">
        <v>1</v>
      </c>
      <c r="AV168" s="4" t="n">
        <v>0</v>
      </c>
      <c r="AW168" s="4" t="inlineStr">
        <is>
          <t>finalized_from_available_evidence</t>
        </is>
      </c>
      <c r="AX168" s="4" t="inlineStr">
        <is>
          <t>0 means no reported evidence in title/abstract/notes/coding; it is not proof of true absence.</t>
        </is>
      </c>
    </row>
    <row r="169" ht="409" customHeight="1">
      <c r="A169" s="4" t="n">
        <v>168</v>
      </c>
      <c r="B169" s="4" t="n">
        <v>184</v>
      </c>
      <c r="C169" s="4" t="inlineStr">
        <is>
          <t>Revisor A</t>
        </is>
      </c>
      <c r="D169" s="4" t="inlineStr">
        <is>
          <t>RA</t>
        </is>
      </c>
      <c r="E169" s="4" t="n">
        <v>2021</v>
      </c>
      <c r="F169" s="4" t="inlineStr">
        <is>
          <t>Imagen</t>
        </is>
      </c>
      <c r="G169" s="4" t="inlineStr">
        <is>
          <t>Machine Learning</t>
        </is>
      </c>
      <c r="H169" s="4" t="inlineStr">
        <is>
          <t>https://doi.org/10.1016/j.bpsc.2020.09.001</t>
        </is>
      </c>
      <c r="I169" s="4" t="inlineStr">
        <is>
          <t>Computerized Assessment of Motor Imitation as a Scalable Method for Distinguishing Children With Autism</t>
        </is>
      </c>
      <c r="J169" s="4" t="inlineStr">
        <is>
          <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t>
        </is>
      </c>
      <c r="K169" s="4" t="inlineStr">
        <is>
          <t>Supervised</t>
        </is>
      </c>
      <c r="L169" s="4" t="inlineStr">
        <is>
          <t>Other / Not clear</t>
        </is>
      </c>
      <c r="M169" s="4" t="inlineStr">
        <is>
          <t>Classification (ASD vs control / multi-class)</t>
        </is>
      </c>
      <c r="N169" s="4" t="inlineStr">
        <is>
          <t>Screening</t>
        </is>
      </c>
      <c r="O169" s="4" t="inlineStr">
        <is>
          <t>High</t>
        </is>
      </c>
      <c r="P169" s="4" t="n">
        <v>0</v>
      </c>
      <c r="Q169" s="4" t="n">
        <v>0</v>
      </c>
      <c r="R169" s="4" t="n">
        <v>1</v>
      </c>
      <c r="S169" s="4" t="n">
        <v>0</v>
      </c>
      <c r="T169" s="4" t="n">
        <v>0</v>
      </c>
      <c r="U169" s="4" t="n">
        <v>0</v>
      </c>
      <c r="V169" s="4" t="n">
        <v>0</v>
      </c>
      <c r="W169" s="4" t="n">
        <v>0</v>
      </c>
      <c r="X169" s="4" t="n">
        <v>1</v>
      </c>
      <c r="Y169" s="4" t="n">
        <v>0</v>
      </c>
      <c r="Z169" s="4" t="n">
        <v>0</v>
      </c>
      <c r="AA169" s="4" t="n">
        <v>0</v>
      </c>
      <c r="AB169" s="4" t="inlineStr">
        <is>
          <t>1900-01-01</t>
        </is>
      </c>
      <c r="AC169" s="4" t="n">
        <v>0</v>
      </c>
      <c r="AD169" s="4" t="n">
        <v>1</v>
      </c>
      <c r="AE169" s="4" t="n">
        <v>0</v>
      </c>
      <c r="AF169" s="4" t="n">
        <v>0</v>
      </c>
      <c r="AG169" s="4" t="n">
        <v>1</v>
      </c>
      <c r="AH169" s="4" t="n">
        <v>1</v>
      </c>
      <c r="AI169" s="4" t="n"/>
      <c r="AJ169" s="4" t="n"/>
      <c r="AK169" s="4" t="inlineStr">
        <is>
          <t>explainability_or_interpretability</t>
        </is>
      </c>
      <c r="AL169" s="4" t="inlineStr">
        <is>
          <t>Algoritmo principal no explícito o fuera del codebook; Confirmar algoritmo principal en full-text; Se comparan varios modelos; se eligió el principal/mejor reportado</t>
        </is>
      </c>
      <c r="AM169" s="4" t="inlineStr">
        <is>
          <t>RA</t>
        </is>
      </c>
      <c r="AN169" s="4" t="inlineStr">
        <is>
          <t>Tomado completo desde archivo RA según asignación</t>
        </is>
      </c>
      <c r="AO169" s="4" t="n">
        <v>0</v>
      </c>
      <c r="AP169" s="4" t="n">
        <v>0</v>
      </c>
      <c r="AQ169" s="4" t="n">
        <v>0</v>
      </c>
      <c r="AR169" s="4" t="n">
        <v>0</v>
      </c>
      <c r="AS169" s="4" t="n">
        <v>0</v>
      </c>
      <c r="AT169" s="4" t="n">
        <v>1</v>
      </c>
      <c r="AU169" s="4" t="n">
        <v>0</v>
      </c>
      <c r="AV169" s="4" t="n">
        <v>0</v>
      </c>
      <c r="AW169" s="4" t="inlineStr">
        <is>
          <t>finalized_from_available_evidence</t>
        </is>
      </c>
      <c r="AX169" s="4" t="inlineStr">
        <is>
          <t>0 means no reported evidence in title/abstract/notes/coding; it is not proof of true absence.</t>
        </is>
      </c>
    </row>
    <row r="170" ht="359" customHeight="1">
      <c r="A170" s="4" t="n">
        <v>169</v>
      </c>
      <c r="B170" s="4" t="n">
        <v>185</v>
      </c>
      <c r="C170" s="4" t="inlineStr">
        <is>
          <t>Revisor A</t>
        </is>
      </c>
      <c r="D170" s="4" t="inlineStr">
        <is>
          <t>RA</t>
        </is>
      </c>
      <c r="E170" s="4" t="n">
        <v>2025</v>
      </c>
      <c r="F170" s="4" t="inlineStr">
        <is>
          <t>Imagen</t>
        </is>
      </c>
      <c r="G170" s="4" t="inlineStr">
        <is>
          <t>Híbrido</t>
        </is>
      </c>
      <c r="H170" s="4" t="inlineStr">
        <is>
          <t>https://doi.org/10.1016/j.procs.2025.05.032</t>
        </is>
      </c>
      <c r="I170" s="4" t="inlineStr">
        <is>
          <t>Construction of ASD Intervention System Based On Neural Network Model</t>
        </is>
      </c>
      <c r="J170" s="4" t="inlineStr">
        <is>
          <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t>
        </is>
      </c>
      <c r="K170" s="4" t="inlineStr">
        <is>
          <t>Supervised</t>
        </is>
      </c>
      <c r="L170" s="4" t="inlineStr">
        <is>
          <t>CNN</t>
        </is>
      </c>
      <c r="M170" s="4" t="inlineStr">
        <is>
          <t>Classification (ASD vs control / multi-class)</t>
        </is>
      </c>
      <c r="N170" s="4" t="inlineStr">
        <is>
          <t>Monitoring/intervention</t>
        </is>
      </c>
      <c r="O170" s="4" t="inlineStr">
        <is>
          <t>High</t>
        </is>
      </c>
      <c r="P170" s="4" t="n">
        <v>0</v>
      </c>
      <c r="Q170" s="4" t="n">
        <v>0</v>
      </c>
      <c r="R170" s="4" t="n">
        <v>1</v>
      </c>
      <c r="S170" s="4" t="n">
        <v>0</v>
      </c>
      <c r="T170" s="4" t="n">
        <v>0</v>
      </c>
      <c r="U170" s="4" t="n">
        <v>0</v>
      </c>
      <c r="V170" s="4" t="n">
        <v>1</v>
      </c>
      <c r="W170" s="4" t="n">
        <v>0</v>
      </c>
      <c r="X170" s="4" t="n">
        <v>0</v>
      </c>
      <c r="Y170" s="4" t="n">
        <v>0</v>
      </c>
      <c r="Z170" s="4" t="n">
        <v>0</v>
      </c>
      <c r="AA170" s="4" t="n">
        <v>1</v>
      </c>
      <c r="AB170" s="4" t="inlineStr">
        <is>
          <t>1900-01-01</t>
        </is>
      </c>
      <c r="AC170" s="4" t="n">
        <v>0</v>
      </c>
      <c r="AD170" s="4" t="n">
        <v>0</v>
      </c>
      <c r="AE170" s="4" t="n">
        <v>0</v>
      </c>
      <c r="AF170" s="4" t="n">
        <v>1</v>
      </c>
      <c r="AG170" s="4" t="n">
        <v>0</v>
      </c>
      <c r="AH170" s="4" t="n">
        <v>2</v>
      </c>
      <c r="AI170" s="4" t="inlineStr">
        <is>
          <t>sensor / other</t>
        </is>
      </c>
      <c r="AJ170" s="4" t="n"/>
      <c r="AK170" s="4" t="inlineStr">
        <is>
          <t>multisource_integration</t>
        </is>
      </c>
      <c r="AL170" s="4" t="n"/>
      <c r="AM170" s="4" t="inlineStr">
        <is>
          <t>RA</t>
        </is>
      </c>
      <c r="AN170" s="4" t="inlineStr">
        <is>
          <t>Tomado completo desde archivo RA según asignación</t>
        </is>
      </c>
      <c r="AO170" s="4" t="n">
        <v>0</v>
      </c>
      <c r="AP170" s="4" t="n">
        <v>0</v>
      </c>
      <c r="AQ170" s="4" t="n">
        <v>0</v>
      </c>
      <c r="AR170" s="4" t="n">
        <v>0</v>
      </c>
      <c r="AS170" s="4" t="n">
        <v>0</v>
      </c>
      <c r="AT170" s="4" t="n">
        <v>0</v>
      </c>
      <c r="AU170" s="4" t="n">
        <v>0</v>
      </c>
      <c r="AV170" s="4" t="n">
        <v>1</v>
      </c>
      <c r="AW170" s="4" t="inlineStr">
        <is>
          <t>finalized_from_available_evidence</t>
        </is>
      </c>
      <c r="AX170" s="4" t="inlineStr">
        <is>
          <t>0 means no reported evidence in title/abstract/notes/coding; it is not proof of true absence.</t>
        </is>
      </c>
    </row>
    <row r="171" ht="372" customHeight="1">
      <c r="A171" s="4" t="n">
        <v>170</v>
      </c>
      <c r="B171" s="4" t="n">
        <v>186</v>
      </c>
      <c r="C171" s="4" t="inlineStr">
        <is>
          <t>Revisor A</t>
        </is>
      </c>
      <c r="D171" s="4" t="inlineStr">
        <is>
          <t>RA</t>
        </is>
      </c>
      <c r="E171" s="4" t="n">
        <v>2024</v>
      </c>
      <c r="F171" s="4" t="inlineStr">
        <is>
          <t>Señales fisiológicas</t>
        </is>
      </c>
      <c r="G171" s="4" t="inlineStr">
        <is>
          <t>Deep Learning</t>
        </is>
      </c>
      <c r="H171" s="4" t="inlineStr">
        <is>
          <t>https://doi.org/10.1016/j.jneumeth.2024.110100</t>
        </is>
      </c>
      <c r="I171" s="4" t="inlineStr">
        <is>
          <t>Decoding Autism: Uncovering patterns in brain connectivity through sparsity analysis with rs-fMRI data</t>
        </is>
      </c>
      <c r="J171" s="4" t="inlineStr">
        <is>
          <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t>
        </is>
      </c>
      <c r="K171" s="4" t="inlineStr">
        <is>
          <t>Supervised</t>
        </is>
      </c>
      <c r="L171" s="4" t="inlineStr">
        <is>
          <t>CNN</t>
        </is>
      </c>
      <c r="M171" s="4" t="inlineStr">
        <is>
          <t>Classification (ASD vs control / multi-class)</t>
        </is>
      </c>
      <c r="N171" s="4" t="inlineStr">
        <is>
          <t>Diagnosis</t>
        </is>
      </c>
      <c r="O171" s="4" t="inlineStr">
        <is>
          <t>High</t>
        </is>
      </c>
      <c r="P171" s="4" t="n">
        <v>1</v>
      </c>
      <c r="Q171" s="4" t="n">
        <v>0</v>
      </c>
      <c r="R171" s="4" t="n">
        <v>0</v>
      </c>
      <c r="S171" s="4" t="n">
        <v>0</v>
      </c>
      <c r="T171" s="4" t="n">
        <v>0</v>
      </c>
      <c r="U171" s="4" t="n">
        <v>0</v>
      </c>
      <c r="V171" s="4" t="n">
        <v>0</v>
      </c>
      <c r="W171" s="4" t="n">
        <v>0</v>
      </c>
      <c r="X171" s="4" t="n">
        <v>0</v>
      </c>
      <c r="Y171" s="4" t="n">
        <v>1</v>
      </c>
      <c r="Z171" s="4" t="n">
        <v>0</v>
      </c>
      <c r="AA171" s="4" t="n">
        <v>0</v>
      </c>
      <c r="AB171" s="4" t="inlineStr">
        <is>
          <t>1900-01-01</t>
        </is>
      </c>
      <c r="AC171" s="4" t="n">
        <v>0</v>
      </c>
      <c r="AD171" s="4" t="n">
        <v>0</v>
      </c>
      <c r="AE171" s="4" t="n">
        <v>0</v>
      </c>
      <c r="AF171" s="4" t="n">
        <v>0</v>
      </c>
      <c r="AG171" s="4" t="n">
        <v>1</v>
      </c>
      <c r="AH171" s="4" t="n">
        <v>1</v>
      </c>
      <c r="AI171" s="4" t="n"/>
      <c r="AJ171" s="4" t="n"/>
      <c r="AK171" s="4" t="inlineStr">
        <is>
          <t>none_reported</t>
        </is>
      </c>
      <c r="AL171" s="4" t="inlineStr">
        <is>
          <t>Algoritmo principal no explícito o fuera del codebook; Confirmar algoritmo principal en full-text; Se comparan varios modelos; se eligió el principal/mejor reportado</t>
        </is>
      </c>
      <c r="AM171" s="4" t="inlineStr">
        <is>
          <t>RA</t>
        </is>
      </c>
      <c r="AN171" s="4" t="inlineStr">
        <is>
          <t>Tomado completo desde archivo RA según asignación</t>
        </is>
      </c>
      <c r="AO171" s="4" t="n">
        <v>0</v>
      </c>
      <c r="AP171" s="4" t="n">
        <v>0</v>
      </c>
      <c r="AQ171" s="4" t="n">
        <v>0</v>
      </c>
      <c r="AR171" s="4" t="n">
        <v>0</v>
      </c>
      <c r="AS171" s="4" t="n">
        <v>0</v>
      </c>
      <c r="AT171" s="4" t="n">
        <v>0</v>
      </c>
      <c r="AU171" s="4" t="n">
        <v>0</v>
      </c>
      <c r="AV171" s="4" t="n">
        <v>0</v>
      </c>
      <c r="AW171" s="4" t="inlineStr">
        <is>
          <t>finalized_from_available_evidence</t>
        </is>
      </c>
      <c r="AX171" s="4" t="inlineStr">
        <is>
          <t>0 means no reported evidence in title/abstract/notes/coding; it is not proof of true absence.</t>
        </is>
      </c>
    </row>
    <row r="172" ht="398" customHeight="1">
      <c r="A172" s="4" t="n">
        <v>171</v>
      </c>
      <c r="B172" s="4" t="n">
        <v>187</v>
      </c>
      <c r="C172" s="4" t="inlineStr">
        <is>
          <t>Revisor B</t>
        </is>
      </c>
      <c r="D172" s="4" t="n"/>
      <c r="E172" s="4" t="n">
        <v>2025</v>
      </c>
      <c r="F172" s="4" t="inlineStr">
        <is>
          <t>Imagen</t>
        </is>
      </c>
      <c r="G172" s="4" t="inlineStr">
        <is>
          <t>Híbrido</t>
        </is>
      </c>
      <c r="H172" s="4" t="inlineStr">
        <is>
          <t>https://doi.org/10.1109/THMS.2025.3526957</t>
        </is>
      </c>
      <c r="I172" s="4" t="inlineStr">
        <is>
          <t>Deep Radiomics for Autism Diagnosis and Age Prediction</t>
        </is>
      </c>
      <c r="J172" s="4" t="inlineStr">
        <is>
          <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t>
        </is>
      </c>
      <c r="K172" s="4" t="inlineStr">
        <is>
          <t>Supervised</t>
        </is>
      </c>
      <c r="L172" s="4" t="inlineStr">
        <is>
          <t>Random Forest</t>
        </is>
      </c>
      <c r="M172" s="4" t="inlineStr">
        <is>
          <t>Classification (binary/multi-class; incl. ASD vs control)/ multi-class)</t>
        </is>
      </c>
      <c r="N172" s="4" t="inlineStr">
        <is>
          <t>diagnosis</t>
        </is>
      </c>
      <c r="O172" s="4" t="inlineStr">
        <is>
          <t>high</t>
        </is>
      </c>
      <c r="P172" s="4" t="n">
        <v>0</v>
      </c>
      <c r="Q172" s="4" t="n">
        <v>0</v>
      </c>
      <c r="R172" s="4" t="n">
        <v>0</v>
      </c>
      <c r="S172" s="4" t="n">
        <v>1</v>
      </c>
      <c r="T172" s="4" t="n">
        <v>0</v>
      </c>
      <c r="U172" s="4" t="n">
        <v>0</v>
      </c>
      <c r="V172" s="4" t="n">
        <v>0</v>
      </c>
      <c r="W172" s="4" t="n">
        <v>0</v>
      </c>
      <c r="X172" s="4" t="n">
        <v>0</v>
      </c>
      <c r="Y172" s="4" t="n">
        <v>1</v>
      </c>
      <c r="Z172" s="4" t="n">
        <v>0</v>
      </c>
      <c r="AA172" s="4" t="n">
        <v>0</v>
      </c>
      <c r="AB172" s="4" t="inlineStr">
        <is>
          <t>1900-01-01</t>
        </is>
      </c>
      <c r="AC172" s="4" t="n">
        <v>0</v>
      </c>
      <c r="AD172" s="4" t="n">
        <v>1</v>
      </c>
      <c r="AE172" s="4" t="n">
        <v>1</v>
      </c>
      <c r="AF172" s="4" t="n">
        <v>0</v>
      </c>
      <c r="AG172" s="4" t="n">
        <v>0</v>
      </c>
      <c r="AH172" s="4" t="n">
        <v>1</v>
      </c>
      <c r="AI172" s="4" t="n">
        <v>0</v>
      </c>
      <c r="AJ172" s="4" t="inlineStr">
        <is>
          <t>00:00:00</t>
        </is>
      </c>
      <c r="AK172" s="4" t="inlineStr">
        <is>
          <t>explainability_or_interpretability; cross_site_robustness; multisite_dataset_broad; internal_validation_only</t>
        </is>
      </c>
      <c r="AL172" s="4" t="n"/>
      <c r="AM172" s="4" t="inlineStr">
        <is>
          <t>RB</t>
        </is>
      </c>
      <c r="AN172" s="4" t="inlineStr">
        <is>
          <t>Tomado completo desde archivo RB según asignación</t>
        </is>
      </c>
      <c r="AO172" s="4" t="n">
        <v>0</v>
      </c>
      <c r="AP172" s="4" t="n">
        <v>1</v>
      </c>
      <c r="AQ172" s="4" t="n">
        <v>1</v>
      </c>
      <c r="AR172" s="4" t="n">
        <v>1</v>
      </c>
      <c r="AS172" s="4" t="n">
        <v>0</v>
      </c>
      <c r="AT172" s="4" t="n">
        <v>0</v>
      </c>
      <c r="AU172" s="4" t="n">
        <v>1</v>
      </c>
      <c r="AV172" s="4" t="n">
        <v>0</v>
      </c>
      <c r="AW172" s="4" t="inlineStr">
        <is>
          <t>finalized_from_available_evidence</t>
        </is>
      </c>
      <c r="AX172" s="4" t="inlineStr">
        <is>
          <t>0 means no reported evidence in title/abstract/notes/coding; it is not proof of true absence.</t>
        </is>
      </c>
    </row>
    <row r="173" ht="346" customHeight="1">
      <c r="A173" s="4" t="n">
        <v>172</v>
      </c>
      <c r="B173" s="4" t="n">
        <v>188</v>
      </c>
      <c r="C173" s="4" t="inlineStr">
        <is>
          <t>Revisor A</t>
        </is>
      </c>
      <c r="D173" s="4" t="inlineStr">
        <is>
          <t>RA</t>
        </is>
      </c>
      <c r="E173" s="4" t="n">
        <v>2020</v>
      </c>
      <c r="F173" s="4" t="inlineStr">
        <is>
          <t>Audio · Voz</t>
        </is>
      </c>
      <c r="G173" s="4" t="inlineStr">
        <is>
          <t>Deep Learning</t>
        </is>
      </c>
      <c r="H173" s="4" t="inlineStr">
        <is>
          <t>https://doi.org/10.3390/s20236762</t>
        </is>
      </c>
      <c r="I173" s="4" t="inlineStr">
        <is>
          <t>Deep-learning-based detection of infants with autism spectrum disorder using auto-encoder feature representation</t>
        </is>
      </c>
      <c r="J173" s="4" t="inlineStr">
        <is>
          <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t>
        </is>
      </c>
      <c r="K173" s="4" t="inlineStr">
        <is>
          <t>Supervised</t>
        </is>
      </c>
      <c r="L173" s="4" t="inlineStr">
        <is>
          <t>Autoencoder</t>
        </is>
      </c>
      <c r="M173" s="4" t="inlineStr">
        <is>
          <t>Classification (ASD vs control / multi-class)</t>
        </is>
      </c>
      <c r="N173" s="4" t="inlineStr">
        <is>
          <t>Screening</t>
        </is>
      </c>
      <c r="O173" s="4" t="inlineStr">
        <is>
          <t>High</t>
        </is>
      </c>
      <c r="P173" s="4" t="n">
        <v>0</v>
      </c>
      <c r="Q173" s="4" t="n">
        <v>0</v>
      </c>
      <c r="R173" s="4" t="n">
        <v>0</v>
      </c>
      <c r="S173" s="4" t="n">
        <v>1</v>
      </c>
      <c r="T173" s="4" t="n">
        <v>0</v>
      </c>
      <c r="U173" s="4" t="n">
        <v>0</v>
      </c>
      <c r="V173" s="4" t="n">
        <v>0</v>
      </c>
      <c r="W173" s="4" t="n">
        <v>0</v>
      </c>
      <c r="X173" s="4" t="n">
        <v>1</v>
      </c>
      <c r="Y173" s="4" t="n">
        <v>0</v>
      </c>
      <c r="Z173" s="4" t="n">
        <v>0</v>
      </c>
      <c r="AA173" s="4" t="n">
        <v>0</v>
      </c>
      <c r="AB173" s="4" t="inlineStr">
        <is>
          <t>1900-01-01</t>
        </is>
      </c>
      <c r="AC173" s="4" t="n">
        <v>0</v>
      </c>
      <c r="AD173" s="4" t="n">
        <v>0</v>
      </c>
      <c r="AE173" s="4" t="n">
        <v>0</v>
      </c>
      <c r="AF173" s="4" t="n">
        <v>0</v>
      </c>
      <c r="AG173" s="4" t="n">
        <v>1</v>
      </c>
      <c r="AH173" s="4" t="n">
        <v>1</v>
      </c>
      <c r="AI173" s="4" t="n"/>
      <c r="AJ173" s="4" t="n"/>
      <c r="AK173" s="4" t="inlineStr">
        <is>
          <t>none_reported</t>
        </is>
      </c>
      <c r="AL173" s="4" t="inlineStr">
        <is>
          <t>Autoencoder para detección en infantes; confirmar fuente de datos exacta (no totalmente explícita en el abstract).</t>
        </is>
      </c>
      <c r="AM173" s="4" t="inlineStr">
        <is>
          <t>RA</t>
        </is>
      </c>
      <c r="AN173" s="4" t="inlineStr">
        <is>
          <t>Tomado completo desde archivo RA según asignación</t>
        </is>
      </c>
      <c r="AO173" s="4" t="n">
        <v>0</v>
      </c>
      <c r="AP173" s="4" t="n">
        <v>0</v>
      </c>
      <c r="AQ173" s="4" t="n">
        <v>0</v>
      </c>
      <c r="AR173" s="4" t="n">
        <v>0</v>
      </c>
      <c r="AS173" s="4" t="n">
        <v>0</v>
      </c>
      <c r="AT173" s="4" t="n">
        <v>0</v>
      </c>
      <c r="AU173" s="4" t="n">
        <v>0</v>
      </c>
      <c r="AV173" s="4" t="n">
        <v>0</v>
      </c>
      <c r="AW173" s="4" t="inlineStr">
        <is>
          <t>finalized_from_available_evidence</t>
        </is>
      </c>
      <c r="AX173" s="4" t="inlineStr">
        <is>
          <t>0 means no reported evidence in title/abstract/notes/coding; it is not proof of true absence.</t>
        </is>
      </c>
    </row>
    <row r="174" ht="385" customHeight="1">
      <c r="A174" s="4" t="n">
        <v>173</v>
      </c>
      <c r="B174" s="4" t="n">
        <v>189</v>
      </c>
      <c r="C174" s="4" t="inlineStr">
        <is>
          <t>Revisor A</t>
        </is>
      </c>
      <c r="D174" s="4" t="inlineStr">
        <is>
          <t>RA</t>
        </is>
      </c>
      <c r="E174" s="4" t="n">
        <v>2024</v>
      </c>
      <c r="F174" s="4" t="inlineStr">
        <is>
          <t>Imagen</t>
        </is>
      </c>
      <c r="G174" s="4" t="inlineStr">
        <is>
          <t>Híbrido</t>
        </is>
      </c>
      <c r="H174" s="4" t="inlineStr">
        <is>
          <t>https://doi.org/10.1016/j.jad.2024.04.049</t>
        </is>
      </c>
      <c r="I174" s="4" t="inlineStr">
        <is>
          <t>Early identification of autism spectrum disorder based on machine learning with eye-tracking data</t>
        </is>
      </c>
      <c r="J174" s="4" t="inlineStr">
        <is>
          <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t>
        </is>
      </c>
      <c r="K174" s="4" t="inlineStr">
        <is>
          <t>Supervised</t>
        </is>
      </c>
      <c r="L174" s="4" t="inlineStr">
        <is>
          <t>Random Forest</t>
        </is>
      </c>
      <c r="M174" s="4" t="inlineStr">
        <is>
          <t>Classification (ASD vs control / multi-class)</t>
        </is>
      </c>
      <c r="N174" s="4" t="inlineStr">
        <is>
          <t>Screening</t>
        </is>
      </c>
      <c r="O174" s="4" t="inlineStr">
        <is>
          <t>High</t>
        </is>
      </c>
      <c r="P174" s="4" t="n">
        <v>0</v>
      </c>
      <c r="Q174" s="4" t="n">
        <v>0</v>
      </c>
      <c r="R174" s="4" t="n">
        <v>1</v>
      </c>
      <c r="S174" s="4" t="n">
        <v>0</v>
      </c>
      <c r="T174" s="4" t="n">
        <v>0</v>
      </c>
      <c r="U174" s="4" t="n">
        <v>0</v>
      </c>
      <c r="V174" s="4" t="n">
        <v>0</v>
      </c>
      <c r="W174" s="4" t="n">
        <v>0</v>
      </c>
      <c r="X174" s="4" t="n">
        <v>1</v>
      </c>
      <c r="Y174" s="4" t="n">
        <v>0</v>
      </c>
      <c r="Z174" s="4" t="n">
        <v>0</v>
      </c>
      <c r="AA174" s="4" t="n">
        <v>0</v>
      </c>
      <c r="AB174" s="4" t="inlineStr">
        <is>
          <t>1900-01-01</t>
        </is>
      </c>
      <c r="AC174" s="4" t="n">
        <v>1</v>
      </c>
      <c r="AD174" s="4" t="n">
        <v>1</v>
      </c>
      <c r="AE174" s="4" t="n">
        <v>0</v>
      </c>
      <c r="AF174" s="4" t="n">
        <v>0</v>
      </c>
      <c r="AG174" s="4" t="n">
        <v>0</v>
      </c>
      <c r="AH174" s="4" t="n">
        <v>1</v>
      </c>
      <c r="AI174" s="4" t="n"/>
      <c r="AJ174" s="4" t="n"/>
      <c r="AK174" s="4" t="inlineStr">
        <is>
          <t>external_validation; explainability_or_interpretability; prospective_evaluation</t>
        </is>
      </c>
      <c r="AL174" s="4" t="inlineStr">
        <is>
          <t>Se comparan varios modelos; se eligió el principal/mejor reportado</t>
        </is>
      </c>
      <c r="AM174" s="4" t="inlineStr">
        <is>
          <t>RA</t>
        </is>
      </c>
      <c r="AN174" s="4" t="inlineStr">
        <is>
          <t>Tomado completo desde archivo RA según asignación</t>
        </is>
      </c>
      <c r="AO174" s="4" t="n">
        <v>0</v>
      </c>
      <c r="AP174" s="4" t="n">
        <v>0</v>
      </c>
      <c r="AQ174" s="4" t="n">
        <v>0</v>
      </c>
      <c r="AR174" s="4" t="n">
        <v>0</v>
      </c>
      <c r="AS174" s="4" t="n">
        <v>1</v>
      </c>
      <c r="AT174" s="4" t="n">
        <v>1</v>
      </c>
      <c r="AU174" s="4" t="n">
        <v>0</v>
      </c>
      <c r="AV174" s="4" t="n">
        <v>0</v>
      </c>
      <c r="AW174" s="4" t="inlineStr">
        <is>
          <t>finalized_from_available_evidence</t>
        </is>
      </c>
      <c r="AX174" s="4" t="inlineStr">
        <is>
          <t>0 means no reported evidence in title/abstract/notes/coding; it is not proof of true absence.</t>
        </is>
      </c>
    </row>
    <row r="175" ht="398" customHeight="1">
      <c r="A175" s="4" t="n">
        <v>174</v>
      </c>
      <c r="B175" s="4" t="n">
        <v>190</v>
      </c>
      <c r="C175" s="4" t="inlineStr">
        <is>
          <t>Revisor B</t>
        </is>
      </c>
      <c r="D175" s="4" t="n"/>
      <c r="E175" s="4" t="n">
        <v>2019</v>
      </c>
      <c r="F175" s="4" t="inlineStr">
        <is>
          <t>No especificado</t>
        </is>
      </c>
      <c r="G175" s="4" t="inlineStr">
        <is>
          <t>Deep Learning</t>
        </is>
      </c>
      <c r="H175" s="4" t="inlineStr">
        <is>
          <t>https://doi.org/10.1038/s41398-019-0631-2</t>
        </is>
      </c>
      <c r="I175" s="4" t="inlineStr">
        <is>
          <t>Examining overlap and homogeneity in ASD, ADHD, and OCD: a data-driven, diagnosis-agnostic approach</t>
        </is>
      </c>
      <c r="J175" s="4" t="inlineStr">
        <is>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is>
      </c>
      <c r="K175" s="4" t="inlineStr">
        <is>
          <t>Unsupervised</t>
        </is>
      </c>
      <c r="L175" s="4" t="inlineStr">
        <is>
          <t>Clustering (k-means / GMM / ...)</t>
        </is>
      </c>
      <c r="M175" s="4" t="inlineStr">
        <is>
          <t>Clustering / subtyping</t>
        </is>
      </c>
      <c r="N175" s="4" t="inlineStr">
        <is>
          <t>diagnosis</t>
        </is>
      </c>
      <c r="O175" s="4" t="inlineStr">
        <is>
          <t>high</t>
        </is>
      </c>
      <c r="P175" s="4" t="n">
        <v>1</v>
      </c>
      <c r="Q175" s="4" t="n">
        <v>0</v>
      </c>
      <c r="R175" s="4" t="n">
        <v>0</v>
      </c>
      <c r="S175" s="4" t="n">
        <v>0</v>
      </c>
      <c r="T175" s="4" t="n">
        <v>1</v>
      </c>
      <c r="U175" s="4" t="n">
        <v>0</v>
      </c>
      <c r="V175" s="4" t="n">
        <v>0</v>
      </c>
      <c r="W175" s="4" t="n">
        <v>0</v>
      </c>
      <c r="X175" s="4" t="n">
        <v>0</v>
      </c>
      <c r="Y175" s="4" t="n">
        <v>1</v>
      </c>
      <c r="Z175" s="4" t="n">
        <v>0</v>
      </c>
      <c r="AA175" s="4" t="n">
        <v>0</v>
      </c>
      <c r="AB175" s="4" t="inlineStr">
        <is>
          <t>00:00:00</t>
        </is>
      </c>
      <c r="AC175" s="4" t="n">
        <v>0</v>
      </c>
      <c r="AD175" s="4" t="n">
        <v>1</v>
      </c>
      <c r="AE175" s="4" t="n">
        <v>0</v>
      </c>
      <c r="AF175" s="4" t="n">
        <v>1</v>
      </c>
      <c r="AG175" s="4" t="n">
        <v>0</v>
      </c>
      <c r="AH175" s="4" t="n">
        <v>2</v>
      </c>
      <c r="AI175" s="4" t="n">
        <v>0</v>
      </c>
      <c r="AJ175" s="4" t="inlineStr">
        <is>
          <t>00:00:00</t>
        </is>
      </c>
      <c r="AK175" s="4" t="inlineStr">
        <is>
          <t>explainability_or_interpretability; multisource_integration; multisite_dataset_broad</t>
        </is>
      </c>
      <c r="AL175" s="4" t="inlineStr">
        <is>
          <t>Bagged-multiview clustering (bagging + spectral clustering)</t>
        </is>
      </c>
      <c r="AM175" s="4" t="inlineStr">
        <is>
          <t>RB</t>
        </is>
      </c>
      <c r="AN175" s="4" t="inlineStr">
        <is>
          <t>Tomado completo desde archivo RB según asignación</t>
        </is>
      </c>
      <c r="AO175" s="4" t="n">
        <v>0</v>
      </c>
      <c r="AP175" s="4" t="n">
        <v>0</v>
      </c>
      <c r="AQ175" s="4" t="n">
        <v>1</v>
      </c>
      <c r="AR175" s="4" t="n">
        <v>0</v>
      </c>
      <c r="AS175" s="4" t="n">
        <v>0</v>
      </c>
      <c r="AT175" s="4" t="n">
        <v>0</v>
      </c>
      <c r="AU175" s="4" t="n">
        <v>1</v>
      </c>
      <c r="AV175" s="4" t="n">
        <v>1</v>
      </c>
      <c r="AW175" s="4" t="inlineStr">
        <is>
          <t>finalized_from_available_evidence</t>
        </is>
      </c>
      <c r="AX175" s="4" t="inlineStr">
        <is>
          <t>0 means no reported evidence in title/abstract/notes/coding; it is not proof of true absence.</t>
        </is>
      </c>
    </row>
    <row r="176" ht="268" customHeight="1">
      <c r="A176" s="4" t="n">
        <v>175</v>
      </c>
      <c r="B176" s="4" t="n">
        <v>191</v>
      </c>
      <c r="C176" s="4" t="inlineStr">
        <is>
          <t>Revisor B</t>
        </is>
      </c>
      <c r="D176" s="4" t="n"/>
      <c r="E176" s="4" t="n">
        <v>2021</v>
      </c>
      <c r="F176" s="4" t="inlineStr">
        <is>
          <t>Señales fisiológicas</t>
        </is>
      </c>
      <c r="G176" s="4" t="inlineStr">
        <is>
          <t>Híbrido</t>
        </is>
      </c>
      <c r="H176" s="4" t="inlineStr">
        <is>
          <t>https://doi.org/10.1016/B978-0-12-822822-7.00004-1</t>
        </is>
      </c>
      <c r="I176" s="4" t="inlineStr">
        <is>
          <t>Explainable and scalable machine learning algorithms for detection of autism spectrum disorder using fMRI data</t>
        </is>
      </c>
      <c r="J176" s="4" t="inlineStr">
        <is>
          <t>Diagnosing autism spectrum disorder (ASD) is a challenging problem and is based purely on behavioral descriptions of symptomology (Diagnostic and Statistical Manual-5th Edition/ICD-10). Numerous limitations (e.g., informant discrepancies, lack of adherence to assessment guidelines) to current diagnostic practices have the potential to result in misdiagnosis of the disorder. Prior research provides evidence that structural and functional magnetic resonance imaging (MRI) data collected from individuals with ASD exhibit distinguishing characteristics that differ in neural patterns of the brain. Our proposed deep learning model ASD-DiagNet exhibits consistently high accuracy for classification of ASD brain scans from neurotypical scans. We have integrated traditional machine learning and deep learning techniques that allow us to isolate ASD biomarkers from MRI data sets. Our method, called Auto-ASD-Network, uses a combination of deep learning and support vector machines to classify ASD scans from neurotypical ones. Such interpretable models would help one to explain the decisions made by deep learning techniques leading to knowledge discovery for neuroscientists.</t>
        </is>
      </c>
      <c r="K176" s="4" t="n"/>
      <c r="L176" s="4" t="n"/>
      <c r="M176" s="4" t="inlineStr">
        <is>
          <t>Classification / diagnostic support</t>
        </is>
      </c>
      <c r="N176" s="4" t="inlineStr">
        <is>
          <t>Diagnosis</t>
        </is>
      </c>
      <c r="O176" s="4" t="n"/>
      <c r="P176" s="4" t="n"/>
      <c r="Q176" s="4" t="n"/>
      <c r="R176" s="4" t="n"/>
      <c r="S176" s="4" t="n"/>
      <c r="T176" s="4" t="n"/>
      <c r="U176" s="4" t="n"/>
      <c r="V176" s="4" t="n"/>
      <c r="W176" s="4" t="n">
        <v>0</v>
      </c>
      <c r="X176" s="4" t="n">
        <v>0</v>
      </c>
      <c r="Y176" s="4" t="n">
        <v>1</v>
      </c>
      <c r="Z176" s="4" t="n">
        <v>0</v>
      </c>
      <c r="AA176" s="4" t="n">
        <v>0</v>
      </c>
      <c r="AB176" s="4" t="inlineStr">
        <is>
          <t>1900-01-01</t>
        </is>
      </c>
      <c r="AC176" s="4" t="n">
        <v>0</v>
      </c>
      <c r="AD176" s="4" t="n">
        <v>1</v>
      </c>
      <c r="AE176" s="4" t="n">
        <v>0</v>
      </c>
      <c r="AF176" s="4" t="n">
        <v>0</v>
      </c>
      <c r="AG176" s="4" t="n"/>
      <c r="AH176" s="4" t="n"/>
      <c r="AI176" s="4" t="n"/>
      <c r="AJ176" s="4" t="inlineStr">
        <is>
          <t>1900-01-01</t>
        </is>
      </c>
      <c r="AK176" s="4" t="inlineStr">
        <is>
          <t>explainability_or_interpretability</t>
        </is>
      </c>
      <c r="AL176" s="4" t="inlineStr">
        <is>
          <t>Título/abstract con señal explícita de explainable; estrategia híbrida/integrativa.</t>
        </is>
      </c>
      <c r="AM176" s="4" t="inlineStr">
        <is>
          <t>RA_fallback</t>
        </is>
      </c>
      <c r="AN176" s="4" t="inlineStr">
        <is>
          <t>Fallback a RA porque el ID no está en RB</t>
        </is>
      </c>
      <c r="AO176" s="4" t="n">
        <v>1</v>
      </c>
      <c r="AP176" s="4" t="n">
        <v>0</v>
      </c>
      <c r="AQ176" s="4" t="n">
        <v>0</v>
      </c>
      <c r="AR176" s="4" t="n">
        <v>0</v>
      </c>
      <c r="AS176" s="4" t="n">
        <v>0</v>
      </c>
      <c r="AT176" s="4" t="n">
        <v>1</v>
      </c>
      <c r="AU176" s="4" t="n">
        <v>0</v>
      </c>
      <c r="AV176" s="4" t="n">
        <v>0</v>
      </c>
      <c r="AW176" s="4" t="inlineStr">
        <is>
          <t>finalized_from_available_evidence</t>
        </is>
      </c>
      <c r="AX176" s="4" t="inlineStr">
        <is>
          <t>0 means no reported evidence in title/abstract/notes/coding; it is not proof of true absence.</t>
        </is>
      </c>
    </row>
    <row r="177" ht="203" customHeight="1">
      <c r="A177" s="4" t="n">
        <v>176</v>
      </c>
      <c r="B177" s="4" t="n">
        <v>193</v>
      </c>
      <c r="C177" s="4" t="inlineStr">
        <is>
          <t>Revisor B</t>
        </is>
      </c>
      <c r="D177" s="4" t="n"/>
      <c r="E177" s="4" t="n">
        <v>2022</v>
      </c>
      <c r="F177" s="4" t="inlineStr">
        <is>
          <t>No especificado</t>
        </is>
      </c>
      <c r="G177" s="4" t="inlineStr">
        <is>
          <t>Machine Learning</t>
        </is>
      </c>
      <c r="H177" s="4" t="inlineStr">
        <is>
          <t>https://doi.org/10.1007/978-3-031-06242-1_27</t>
        </is>
      </c>
      <c r="I177" s="4" t="inlineStr">
        <is>
          <t>Feasibility Study of\&amp;#xa0;a\&amp;#xa0;ML-Based ASD Monitoring System</t>
        </is>
      </c>
      <c r="J177" s="4" t="inlineStr">
        <is>
          <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t>
        </is>
      </c>
      <c r="K177" s="4" t="n"/>
      <c r="L177" s="4" t="n"/>
      <c r="M177" s="4" t="inlineStr">
        <is>
          <t>Not clear</t>
        </is>
      </c>
      <c r="N177" s="4" t="inlineStr">
        <is>
          <t>Monitoring/intervention</t>
        </is>
      </c>
      <c r="O177" s="4" t="inlineStr">
        <is>
          <t>high</t>
        </is>
      </c>
      <c r="P177" s="4" t="n">
        <v>0</v>
      </c>
      <c r="Q177" s="4" t="n">
        <v>0</v>
      </c>
      <c r="R177" s="4" t="n">
        <v>1</v>
      </c>
      <c r="S177" s="4" t="n">
        <v>0</v>
      </c>
      <c r="T177" s="4" t="n">
        <v>1</v>
      </c>
      <c r="U177" s="4" t="n">
        <v>0</v>
      </c>
      <c r="V177" s="4" t="n">
        <v>0</v>
      </c>
      <c r="W177" s="4" t="n">
        <v>0</v>
      </c>
      <c r="X177" s="4" t="n">
        <v>0</v>
      </c>
      <c r="Y177" s="4" t="n">
        <v>1</v>
      </c>
      <c r="Z177" s="4" t="n">
        <v>1</v>
      </c>
      <c r="AA177" s="4" t="n">
        <v>0</v>
      </c>
      <c r="AB177" s="4" t="inlineStr">
        <is>
          <t>1900-01-01</t>
        </is>
      </c>
      <c r="AC177" s="4" t="n">
        <v>0</v>
      </c>
      <c r="AD177" s="4" t="n">
        <v>0</v>
      </c>
      <c r="AE177" s="4" t="n">
        <v>0</v>
      </c>
      <c r="AF177" s="4" t="n">
        <v>1</v>
      </c>
      <c r="AG177" s="4" t="n">
        <v>0</v>
      </c>
      <c r="AH177" s="4" t="n">
        <v>2</v>
      </c>
      <c r="AI177" s="4" t="n">
        <v>0</v>
      </c>
      <c r="AJ177" s="4" t="inlineStr">
        <is>
          <t>00:00:00</t>
        </is>
      </c>
      <c r="AK177" s="4" t="inlineStr">
        <is>
          <t>multisource_integration</t>
        </is>
      </c>
      <c r="AL177" s="4" t="n"/>
      <c r="AM177" s="4" t="inlineStr">
        <is>
          <t>RB</t>
        </is>
      </c>
      <c r="AN177" s="4" t="inlineStr">
        <is>
          <t>Tomado completo desde archivo RB según asignación</t>
        </is>
      </c>
      <c r="AO177" s="4" t="n">
        <v>0</v>
      </c>
      <c r="AP177" s="4" t="n">
        <v>0</v>
      </c>
      <c r="AQ177" s="4" t="n">
        <v>0</v>
      </c>
      <c r="AR177" s="4" t="n">
        <v>0</v>
      </c>
      <c r="AS177" s="4" t="n">
        <v>0</v>
      </c>
      <c r="AT177" s="4" t="n">
        <v>0</v>
      </c>
      <c r="AU177" s="4" t="n">
        <v>0</v>
      </c>
      <c r="AV177" s="4" t="n">
        <v>1</v>
      </c>
      <c r="AW177" s="4" t="inlineStr">
        <is>
          <t>finalized_from_available_evidence</t>
        </is>
      </c>
      <c r="AX177" s="4" t="inlineStr">
        <is>
          <t>0 means no reported evidence in title/abstract/notes/coding; it is not proof of true absence.</t>
        </is>
      </c>
    </row>
    <row r="178" ht="320" customHeight="1">
      <c r="A178" s="4" t="n">
        <v>177</v>
      </c>
      <c r="B178" s="4" t="n">
        <v>194</v>
      </c>
      <c r="C178" s="4" t="inlineStr">
        <is>
          <t>Revisor B</t>
        </is>
      </c>
      <c r="D178" s="4" t="n"/>
      <c r="E178" s="4" t="n">
        <v>2020</v>
      </c>
      <c r="F178" s="4" t="inlineStr">
        <is>
          <t>Imagen</t>
        </is>
      </c>
      <c r="G178" s="4" t="inlineStr">
        <is>
          <t>Machine Learning</t>
        </is>
      </c>
      <c r="H178" s="4" t="inlineStr">
        <is>
          <t>https://doi.org/10.1038/s41598-020-76874-w</t>
        </is>
      </c>
      <c r="I178" s="4" t="inlineStr">
        <is>
          <t>Feature replacement methods enable reliable home video analysis for machine learning detection of autism</t>
        </is>
      </c>
      <c r="J178" s="4" t="inlineStr">
        <is>
          <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t>
        </is>
      </c>
      <c r="K178" s="4" t="inlineStr">
        <is>
          <t>Supervised</t>
        </is>
      </c>
      <c r="L178" s="4" t="inlineStr">
        <is>
          <t>Logistic Regression</t>
        </is>
      </c>
      <c r="M178" s="4" t="inlineStr">
        <is>
          <t>Classification (ASD vs control / multi-class)</t>
        </is>
      </c>
      <c r="N178" s="4" t="inlineStr">
        <is>
          <t>diagnosis</t>
        </is>
      </c>
      <c r="O178" s="4" t="inlineStr">
        <is>
          <t>medium</t>
        </is>
      </c>
      <c r="P178" s="4" t="n">
        <v>0</v>
      </c>
      <c r="Q178" s="4" t="n">
        <v>0</v>
      </c>
      <c r="R178" s="4" t="n">
        <v>0</v>
      </c>
      <c r="S178" s="4" t="n">
        <v>0</v>
      </c>
      <c r="T178" s="4" t="n">
        <v>0</v>
      </c>
      <c r="U178" s="4" t="n">
        <v>0</v>
      </c>
      <c r="V178" s="4" t="n">
        <v>0</v>
      </c>
      <c r="W178" s="4" t="n">
        <v>0</v>
      </c>
      <c r="X178" s="4" t="n">
        <v>0</v>
      </c>
      <c r="Y178" s="4" t="n">
        <v>1</v>
      </c>
      <c r="Z178" s="4" t="n">
        <v>0</v>
      </c>
      <c r="AA178" s="4" t="n">
        <v>1</v>
      </c>
      <c r="AB178" s="4" t="inlineStr">
        <is>
          <t>1900-01-01</t>
        </is>
      </c>
      <c r="AC178" s="4" t="n">
        <v>1</v>
      </c>
      <c r="AD178" s="4" t="n">
        <v>0</v>
      </c>
      <c r="AE178" s="4" t="n">
        <v>0</v>
      </c>
      <c r="AF178" s="4" t="n">
        <v>0</v>
      </c>
      <c r="AG178" s="4" t="n">
        <v>1</v>
      </c>
      <c r="AH178" s="4" t="n">
        <v>0</v>
      </c>
      <c r="AI178" s="4" t="n">
        <v>0</v>
      </c>
      <c r="AJ178" s="4" t="inlineStr">
        <is>
          <t>00:00:00</t>
        </is>
      </c>
      <c r="AK178" s="4" t="inlineStr">
        <is>
          <t>external_validation</t>
        </is>
      </c>
      <c r="AL178" s="4" t="inlineStr">
        <is>
          <t>El paper evalúa dos familias (LR9 y ADTree7). Si tu columna “main algorithm” solo permite una opción, conviene añadir una opción tipo “Multiple (specify)” o permitir multiselección para no perder fidelidad</t>
        </is>
      </c>
      <c r="AM178" s="4" t="inlineStr">
        <is>
          <t>RB</t>
        </is>
      </c>
      <c r="AN178" s="4" t="inlineStr">
        <is>
          <t>Tomado completo desde archivo RB según asignación</t>
        </is>
      </c>
      <c r="AO178" s="4" t="n">
        <v>0</v>
      </c>
      <c r="AP178" s="4" t="n">
        <v>0</v>
      </c>
      <c r="AQ178" s="4" t="n">
        <v>0</v>
      </c>
      <c r="AR178" s="4" t="n">
        <v>0</v>
      </c>
      <c r="AS178" s="4" t="n">
        <v>0</v>
      </c>
      <c r="AT178" s="4" t="n">
        <v>0</v>
      </c>
      <c r="AU178" s="4" t="n">
        <v>0</v>
      </c>
      <c r="AV178" s="4" t="n">
        <v>0</v>
      </c>
      <c r="AW178" s="4" t="inlineStr">
        <is>
          <t>finalized_from_available_evidence</t>
        </is>
      </c>
      <c r="AX178" s="4" t="inlineStr">
        <is>
          <t>0 means no reported evidence in title/abstract/notes/coding; it is not proof of true absence.</t>
        </is>
      </c>
    </row>
    <row r="179" ht="268" customHeight="1">
      <c r="A179" s="4" t="n">
        <v>178</v>
      </c>
      <c r="B179" s="4" t="n">
        <v>195</v>
      </c>
      <c r="C179" s="4" t="inlineStr">
        <is>
          <t>Revisor A</t>
        </is>
      </c>
      <c r="D179" s="4" t="n"/>
      <c r="E179" s="4" t="n">
        <v>2021</v>
      </c>
      <c r="F179" s="4" t="inlineStr">
        <is>
          <t>No especificado</t>
        </is>
      </c>
      <c r="G179" s="4" t="inlineStr">
        <is>
          <t>Machine Learning</t>
        </is>
      </c>
      <c r="H179" s="4" t="inlineStr">
        <is>
          <t>https://doi.org/10.1016/B978-0-12-822271-3.00016-5</t>
        </is>
      </c>
      <c r="I179" s="4" t="inlineStr">
        <is>
          <t>Fuzzy logic-based hybrid knowledge systems for the detection and diagnosis of childhood autism</t>
        </is>
      </c>
      <c r="J179" s="4" t="inlineStr">
        <is>
          <t>Autism is one of those psychiatric disorders that affect an individual’s social, personal, and professional sphere(s). Autism, especially in children, is one of the most common behavioral disorders, wherein lack of good communication understandability exists throughout adulthood. The prescribed treatment of an autistic child depends completely upon an exhaustive, accurate examination of the child, which is very difficult for clinicians and consultants. Since autism is a complicated and very difficult psychiatric disorder, clinicians have joined hands with computational biologists to solve the foundations underlying the detection and diagnosis of autism. There is enormous literature evidence that highlights the pros of using machine learning techniques to develop an efficient, accurate, and robust autism detection and diagnosis system. Based on soft computing approaches, many researchers have proposed fuzzy logic-based solutions for modeling and predicting autism spectrum disorder. This chapter highlights the current scenario of autism detection and diagnosis, and how a soft computing-based intelligent agent-fuzzy logic systems-is being used to predict autism and its grades in children.</t>
        </is>
      </c>
      <c r="K179" s="4" t="n"/>
      <c r="L179" s="4" t="n"/>
      <c r="M179" s="4" t="n"/>
      <c r="N179" s="4" t="inlineStr">
        <is>
          <t>diagnosis</t>
        </is>
      </c>
      <c r="O179" s="4" t="inlineStr">
        <is>
          <t>medium</t>
        </is>
      </c>
      <c r="P179" s="4" t="n">
        <v>0</v>
      </c>
      <c r="Q179" s="4" t="n">
        <v>0</v>
      </c>
      <c r="R179" s="4" t="n">
        <v>0</v>
      </c>
      <c r="S179" s="4" t="n">
        <v>0</v>
      </c>
      <c r="T179" s="4" t="n">
        <v>0</v>
      </c>
      <c r="U179" s="4" t="n">
        <v>0</v>
      </c>
      <c r="V179" s="4" t="n">
        <v>0</v>
      </c>
      <c r="W179" s="4" t="n">
        <v>0</v>
      </c>
      <c r="X179" s="4" t="n">
        <v>0</v>
      </c>
      <c r="Y179" s="4" t="n">
        <v>1</v>
      </c>
      <c r="Z179" s="4" t="n">
        <v>0</v>
      </c>
      <c r="AA179" s="4" t="n">
        <v>0</v>
      </c>
      <c r="AB179" s="4" t="inlineStr">
        <is>
          <t>1900-01-01</t>
        </is>
      </c>
      <c r="AC179" s="4" t="n">
        <v>0</v>
      </c>
      <c r="AD179" s="4" t="n">
        <v>0</v>
      </c>
      <c r="AE179" s="4" t="n">
        <v>0</v>
      </c>
      <c r="AF179" s="4" t="n">
        <v>0</v>
      </c>
      <c r="AG179" s="4" t="n">
        <v>1</v>
      </c>
      <c r="AH179" s="4" t="n">
        <v>0</v>
      </c>
      <c r="AI179" s="4" t="n">
        <v>0</v>
      </c>
      <c r="AJ179" s="4" t="inlineStr">
        <is>
          <t>00:00:00</t>
        </is>
      </c>
      <c r="AK179" s="4" t="inlineStr">
        <is>
          <t>none_reported</t>
        </is>
      </c>
      <c r="AL179" s="4" t="n"/>
      <c r="AM179" s="4" t="inlineStr">
        <is>
          <t>RB_fallback</t>
        </is>
      </c>
      <c r="AN179" s="4" t="inlineStr">
        <is>
          <t>Fallback a RB porque el ID no está en RA</t>
        </is>
      </c>
      <c r="AO179" s="4" t="n">
        <v>0</v>
      </c>
      <c r="AP179" s="4" t="n">
        <v>0</v>
      </c>
      <c r="AQ179" s="4" t="n">
        <v>0</v>
      </c>
      <c r="AR179" s="4" t="n">
        <v>0</v>
      </c>
      <c r="AS179" s="4" t="n">
        <v>0</v>
      </c>
      <c r="AT179" s="4" t="n">
        <v>0</v>
      </c>
      <c r="AU179" s="4" t="n">
        <v>0</v>
      </c>
      <c r="AV179" s="4" t="n">
        <v>0</v>
      </c>
      <c r="AW179" s="4" t="inlineStr">
        <is>
          <t>finalized_from_available_evidence</t>
        </is>
      </c>
      <c r="AX179" s="4" t="inlineStr">
        <is>
          <t>0 means no reported evidence in title/abstract/notes/coding; it is not proof of true absence.</t>
        </is>
      </c>
    </row>
    <row r="180" ht="409" customHeight="1">
      <c r="A180" s="4" t="n">
        <v>179</v>
      </c>
      <c r="B180" s="4" t="n">
        <v>196</v>
      </c>
      <c r="C180" s="4" t="inlineStr">
        <is>
          <t>Revisor B</t>
        </is>
      </c>
      <c r="D180" s="4" t="n"/>
      <c r="E180" s="4" t="n">
        <v>2022</v>
      </c>
      <c r="F180" s="4" t="inlineStr">
        <is>
          <t>No especificado</t>
        </is>
      </c>
      <c r="G180" s="4" t="inlineStr">
        <is>
          <t>Deep Learning</t>
        </is>
      </c>
      <c r="H180" s="4" t="inlineStr">
        <is>
          <t>https://doi.org/10.1016/B978-0-323-98352-5.00001-X</t>
        </is>
      </c>
      <c r="I180" s="4" t="inlineStr">
        <is>
          <t>Genetic factor analysis for an early diagnosis of autism through machine learning</t>
        </is>
      </c>
      <c r="J180" s="4" t="inlineStr">
        <is>
          <t>Instances of autism spectrum disorder (ASD) in children are not uncommon. In fact, it is one of the most prevalent neurologic diseases in leading nations of the world. Around 1 out of every 270 children worldwide is affected by autism according to the World Health Organization. Its prevalence, however, varies by regions across the world. The United States of America has one of the highest compositions of autism-affected babies. ASD is generally marked by an impairment in mental, emotional, and cognitive abilities in people from birth. Its causes range through a multitude of genetic and environmental factors, and in some cases, they might be a combination. It is also presumed that children with a family history of autism possess a much higher chance of acquiring autism by heredity. A low birth weight or a high age of the parent during the birth of the baby might also influence the presence of autism in the child. Most ASDs are further transmitted through genes from parents to the offspring. In recent times, machine learning–associated research and related diagnosis has advanced to replace conventional approaches that might be tedious and expensive. Machine learning algorithms also have an immense scope of improving diagnostic research in psychologic sciences, and they can be specifically instrumental with cases involving the familiar and diverse ailments in ASD. Machine learning algorithms also assist researchers to better understand and comprehend as to why the traits of autism vary in nature from one person to another. However, the application of machine learning algorithms when there is a lack of medical prowess is not the best choice, and it can lead to unexplainable results if the diagnosis is not performed in the right manner, which is important to the analysis of preprocessing the data. The authors in this chapter critically examine various signs in babies that might help with early diagnosis of autism in babies by carrying out a set of machine learning algorithms on an existing data set, along with analyzing various genetic and preexisting factors, in an attempt to produce actionable insights in this regard.</t>
        </is>
      </c>
      <c r="K180" s="4" t="n"/>
      <c r="L180" s="4" t="n"/>
      <c r="M180" s="4" t="inlineStr">
        <is>
          <t>Risk stratification / early diagnostic prediction</t>
        </is>
      </c>
      <c r="N180" s="4" t="inlineStr">
        <is>
          <t>Prognosis</t>
        </is>
      </c>
      <c r="O180" s="4" t="n"/>
      <c r="P180" s="4" t="n"/>
      <c r="Q180" s="4" t="n"/>
      <c r="R180" s="4" t="n"/>
      <c r="S180" s="4" t="n"/>
      <c r="T180" s="4" t="n"/>
      <c r="U180" s="4" t="n"/>
      <c r="V180" s="4" t="n"/>
      <c r="W180" s="4" t="n">
        <v>0</v>
      </c>
      <c r="X180" s="4" t="n">
        <v>0</v>
      </c>
      <c r="Y180" s="4" t="n">
        <v>0</v>
      </c>
      <c r="Z180" s="4" t="n">
        <v>1</v>
      </c>
      <c r="AA180" s="4" t="n">
        <v>0</v>
      </c>
      <c r="AB180" s="4" t="inlineStr">
        <is>
          <t>1900-01-01</t>
        </is>
      </c>
      <c r="AC180" s="4" t="n">
        <v>0</v>
      </c>
      <c r="AD180" s="4" t="n">
        <v>0</v>
      </c>
      <c r="AE180" s="4" t="n">
        <v>0</v>
      </c>
      <c r="AF180" s="4" t="n">
        <v>0</v>
      </c>
      <c r="AG180" s="4" t="n"/>
      <c r="AH180" s="4" t="n"/>
      <c r="AI180" s="4" t="n"/>
      <c r="AJ180" s="4" t="inlineStr">
        <is>
          <t>1900-01-01</t>
        </is>
      </c>
      <c r="AK180" s="4" t="inlineStr">
        <is>
          <t>none_reported</t>
        </is>
      </c>
      <c r="AL180" s="4" t="inlineStr">
        <is>
          <t>Sin señal explícita Q3 en título/abstract.</t>
        </is>
      </c>
      <c r="AM180" s="4" t="inlineStr">
        <is>
          <t>RA_fallback</t>
        </is>
      </c>
      <c r="AN180" s="4" t="inlineStr">
        <is>
          <t>Fallback a RA porque el ID no está en RB</t>
        </is>
      </c>
      <c r="AO180" s="4" t="n">
        <v>1</v>
      </c>
      <c r="AP180" s="4" t="n">
        <v>0</v>
      </c>
      <c r="AQ180" s="4" t="n">
        <v>0</v>
      </c>
      <c r="AR180" s="4" t="n">
        <v>0</v>
      </c>
      <c r="AS180" s="4" t="n">
        <v>0</v>
      </c>
      <c r="AT180" s="4" t="n">
        <v>0</v>
      </c>
      <c r="AU180" s="4" t="n">
        <v>0</v>
      </c>
      <c r="AV180" s="4" t="n">
        <v>0</v>
      </c>
      <c r="AW180" s="4" t="inlineStr">
        <is>
          <t>finalized_from_available_evidence</t>
        </is>
      </c>
      <c r="AX180" s="4" t="inlineStr">
        <is>
          <t>0 means no reported evidence in title/abstract/notes/coding; it is not proof of true absence.</t>
        </is>
      </c>
    </row>
    <row r="181" ht="409" customHeight="1">
      <c r="A181" s="4" t="n">
        <v>180</v>
      </c>
      <c r="B181" s="4" t="n">
        <v>197</v>
      </c>
      <c r="C181" s="4" t="inlineStr">
        <is>
          <t>Revisor A</t>
        </is>
      </c>
      <c r="D181" s="4" t="inlineStr">
        <is>
          <t>RA</t>
        </is>
      </c>
      <c r="E181" s="4" t="n">
        <v>2022</v>
      </c>
      <c r="F181" s="4" t="inlineStr">
        <is>
          <t>Texto · NLP</t>
        </is>
      </c>
      <c r="G181" s="4" t="inlineStr">
        <is>
          <t>Machine Learning</t>
        </is>
      </c>
      <c r="H181" s="4" t="inlineStr">
        <is>
          <t>https://doi.org/10.1155/2022/9410222</t>
        </is>
      </c>
      <c r="I181" s="4" t="inlineStr">
        <is>
          <t>Hybrid Diagnosis Models for Autism Patients Based on Medical and Sociodemographic Features Using Machine Learning and Multicriteria Decision-Making (MCDM) Techniques: An Evaluation and Benchmarking Framework</t>
        </is>
      </c>
      <c r="J181" s="4" t="inlineStr">
        <is>
          <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t>
        </is>
      </c>
      <c r="K181" s="4" t="inlineStr">
        <is>
          <t>Supervised</t>
        </is>
      </c>
      <c r="L181" s="4" t="inlineStr">
        <is>
          <t>Decision Tree</t>
        </is>
      </c>
      <c r="M181" s="4" t="inlineStr">
        <is>
          <t>Classification (ASD vs control / multi-class)</t>
        </is>
      </c>
      <c r="N181" s="4" t="inlineStr">
        <is>
          <t>Diagnosis</t>
        </is>
      </c>
      <c r="O181" s="4" t="inlineStr">
        <is>
          <t>High</t>
        </is>
      </c>
      <c r="P181" s="4" t="n">
        <v>0</v>
      </c>
      <c r="Q181" s="4" t="n">
        <v>0</v>
      </c>
      <c r="R181" s="4" t="n">
        <v>0</v>
      </c>
      <c r="S181" s="4" t="n">
        <v>0</v>
      </c>
      <c r="T181" s="4" t="n">
        <v>1</v>
      </c>
      <c r="U181" s="4" t="n">
        <v>0</v>
      </c>
      <c r="V181" s="4" t="n">
        <v>0</v>
      </c>
      <c r="W181" s="4" t="n">
        <v>0</v>
      </c>
      <c r="X181" s="4" t="n">
        <v>0</v>
      </c>
      <c r="Y181" s="4" t="n">
        <v>1</v>
      </c>
      <c r="Z181" s="4" t="n">
        <v>0</v>
      </c>
      <c r="AA181" s="4" t="n">
        <v>0</v>
      </c>
      <c r="AB181" s="4" t="inlineStr">
        <is>
          <t>1900-01-01</t>
        </is>
      </c>
      <c r="AC181" s="4" t="n">
        <v>0</v>
      </c>
      <c r="AD181" s="4" t="n">
        <v>1</v>
      </c>
      <c r="AE181" s="4" t="n">
        <v>0</v>
      </c>
      <c r="AF181" s="4" t="n">
        <v>1</v>
      </c>
      <c r="AG181" s="4" t="n">
        <v>1</v>
      </c>
      <c r="AH181" s="4" t="n">
        <v>1</v>
      </c>
      <c r="AI181" s="4" t="n"/>
      <c r="AJ181" s="4" t="n"/>
      <c r="AK181" s="4" t="inlineStr">
        <is>
          <t>explainability_or_interpretability; multisource_integration</t>
        </is>
      </c>
      <c r="AL181" s="4" t="inlineStr">
        <is>
          <t>Algoritmo principal no explícito o fuera del codebook; Confirmar algoritmo principal en full-text; Se comparan varios modelos; se eligió el principal/mejor reportado</t>
        </is>
      </c>
      <c r="AM181" s="4" t="inlineStr">
        <is>
          <t>RA</t>
        </is>
      </c>
      <c r="AN181" s="4" t="inlineStr">
        <is>
          <t>Tomado completo desde archivo RA según asignación</t>
        </is>
      </c>
      <c r="AO181" s="4" t="n">
        <v>0</v>
      </c>
      <c r="AP181" s="4" t="n">
        <v>0</v>
      </c>
      <c r="AQ181" s="4" t="n">
        <v>0</v>
      </c>
      <c r="AR181" s="4" t="n">
        <v>0</v>
      </c>
      <c r="AS181" s="4" t="n">
        <v>0</v>
      </c>
      <c r="AT181" s="4" t="n">
        <v>0</v>
      </c>
      <c r="AU181" s="4" t="n">
        <v>1</v>
      </c>
      <c r="AV181" s="4" t="n">
        <v>1</v>
      </c>
      <c r="AW181" s="4" t="inlineStr">
        <is>
          <t>finalized_from_available_evidence</t>
        </is>
      </c>
      <c r="AX181" s="4" t="inlineStr">
        <is>
          <t>0 means no reported evidence in title/abstract/notes/coding; it is not proof of true absence.</t>
        </is>
      </c>
    </row>
    <row r="182" ht="409" customHeight="1">
      <c r="A182" s="4" t="n">
        <v>181</v>
      </c>
      <c r="B182" s="4" t="n">
        <v>199</v>
      </c>
      <c r="C182" s="4" t="inlineStr">
        <is>
          <t>Revisor B</t>
        </is>
      </c>
      <c r="D182" s="4" t="n"/>
      <c r="E182" s="4" t="n">
        <v>2021</v>
      </c>
      <c r="F182" s="4" t="inlineStr">
        <is>
          <t>No especificado</t>
        </is>
      </c>
      <c r="G182" s="4" t="inlineStr">
        <is>
          <t>Híbrido</t>
        </is>
      </c>
      <c r="H182" s="4" t="inlineStr">
        <is>
          <t>https://doi.org/10.2196/29242</t>
        </is>
      </c>
      <c r="I182" s="4" t="inlineStr">
        <is>
          <t>Informing developmental milestone achievement for children with autism: Machine learning approach</t>
        </is>
      </c>
      <c r="J182" s="4" t="inlineStr">
        <is>
          <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t>
        </is>
      </c>
      <c r="K182" s="4" t="inlineStr">
        <is>
          <t>Supervised</t>
        </is>
      </c>
      <c r="L182" s="4" t="inlineStr">
        <is>
          <t>MLP</t>
        </is>
      </c>
      <c r="M182" s="4" t="inlineStr">
        <is>
          <t>Classification (ASD vs control / multi-class)</t>
        </is>
      </c>
      <c r="N182" s="4" t="inlineStr">
        <is>
          <t>screening</t>
        </is>
      </c>
      <c r="O182" s="4" t="inlineStr">
        <is>
          <t>high</t>
        </is>
      </c>
      <c r="P182" s="4" t="n">
        <v>0</v>
      </c>
      <c r="Q182" s="4" t="n">
        <v>0</v>
      </c>
      <c r="R182" s="4" t="n">
        <v>0</v>
      </c>
      <c r="S182" s="4" t="n">
        <v>0</v>
      </c>
      <c r="T182" s="4" t="n">
        <v>1</v>
      </c>
      <c r="U182" s="4" t="n">
        <v>0</v>
      </c>
      <c r="V182" s="4" t="n">
        <v>0</v>
      </c>
      <c r="W182" s="4" t="n">
        <v>0</v>
      </c>
      <c r="X182" s="4" t="n">
        <v>1</v>
      </c>
      <c r="Y182" s="4" t="n">
        <v>0</v>
      </c>
      <c r="Z182" s="4" t="n">
        <v>0</v>
      </c>
      <c r="AA182" s="4" t="n">
        <v>1</v>
      </c>
      <c r="AB182" s="4" t="inlineStr">
        <is>
          <t>1900-01-01</t>
        </is>
      </c>
      <c r="AC182" s="4" t="n">
        <v>0</v>
      </c>
      <c r="AD182" s="4" t="n">
        <v>0</v>
      </c>
      <c r="AE182" s="4" t="n">
        <v>0</v>
      </c>
      <c r="AF182" s="4" t="n">
        <v>0</v>
      </c>
      <c r="AG182" s="4" t="n">
        <v>1</v>
      </c>
      <c r="AH182" s="4" t="n">
        <v>1</v>
      </c>
      <c r="AI182" s="4" t="n">
        <v>0</v>
      </c>
      <c r="AJ182" s="4" t="inlineStr">
        <is>
          <t>00:00:00</t>
        </is>
      </c>
      <c r="AK182" s="4" t="inlineStr">
        <is>
          <t>none_reported</t>
        </is>
      </c>
      <c r="AL182" s="4" t="inlineStr">
        <is>
          <t>Binary classification of milestone achievement; not ASD-vs-control.</t>
        </is>
      </c>
      <c r="AM182" s="4" t="inlineStr">
        <is>
          <t>RB</t>
        </is>
      </c>
      <c r="AN182" s="4" t="inlineStr">
        <is>
          <t>Tomado completo desde archivo RB según asignación</t>
        </is>
      </c>
      <c r="AO182" s="4" t="n">
        <v>0</v>
      </c>
      <c r="AP182" s="4" t="n">
        <v>0</v>
      </c>
      <c r="AQ182" s="4" t="n">
        <v>0</v>
      </c>
      <c r="AR182" s="4" t="n">
        <v>0</v>
      </c>
      <c r="AS182" s="4" t="n">
        <v>0</v>
      </c>
      <c r="AT182" s="4" t="n">
        <v>0</v>
      </c>
      <c r="AU182" s="4" t="n">
        <v>0</v>
      </c>
      <c r="AV182" s="4" t="n">
        <v>0</v>
      </c>
      <c r="AW182" s="4" t="inlineStr">
        <is>
          <t>finalized_from_available_evidence</t>
        </is>
      </c>
      <c r="AX182" s="4" t="inlineStr">
        <is>
          <t>0 means no reported evidence in title/abstract/notes/coding; it is not proof of true absence.</t>
        </is>
      </c>
    </row>
    <row r="183" ht="372" customHeight="1">
      <c r="A183" s="4" t="n">
        <v>182</v>
      </c>
      <c r="B183" s="4" t="n">
        <v>200</v>
      </c>
      <c r="C183" s="4" t="inlineStr">
        <is>
          <t>Revisor A</t>
        </is>
      </c>
      <c r="D183" s="4" t="inlineStr">
        <is>
          <t>RA</t>
        </is>
      </c>
      <c r="E183" s="4" t="n">
        <v>2024</v>
      </c>
      <c r="F183" s="4" t="inlineStr">
        <is>
          <t>No especificado</t>
        </is>
      </c>
      <c r="G183" s="4" t="inlineStr">
        <is>
          <t>Machine Learning</t>
        </is>
      </c>
      <c r="H183" s="4" t="inlineStr">
        <is>
          <t>https://doi.org/10.1007/s11042-024-18519-y</t>
        </is>
      </c>
      <c r="I183" s="4" t="inlineStr">
        <is>
          <t>Machine learning based autism screening tool—a modified approach</t>
        </is>
      </c>
      <c r="J183" s="4" t="inlineStr">
        <is>
          <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t>
        </is>
      </c>
      <c r="K183" s="4" t="inlineStr">
        <is>
          <t>Supervised</t>
        </is>
      </c>
      <c r="L183" s="4" t="inlineStr">
        <is>
          <t>SVM</t>
        </is>
      </c>
      <c r="M183" s="4" t="inlineStr">
        <is>
          <t>Classification (ASD vs control / multi-class)</t>
        </is>
      </c>
      <c r="N183" s="4" t="inlineStr">
        <is>
          <t>Screening</t>
        </is>
      </c>
      <c r="O183" s="4" t="inlineStr">
        <is>
          <t>High</t>
        </is>
      </c>
      <c r="P183" s="4" t="n">
        <v>0</v>
      </c>
      <c r="Q183" s="4" t="n">
        <v>0</v>
      </c>
      <c r="R183" s="4" t="n">
        <v>1</v>
      </c>
      <c r="S183" s="4" t="n">
        <v>0</v>
      </c>
      <c r="T183" s="4" t="n">
        <v>0</v>
      </c>
      <c r="U183" s="4" t="n">
        <v>0</v>
      </c>
      <c r="V183" s="4" t="n">
        <v>0</v>
      </c>
      <c r="W183" s="4" t="n">
        <v>0</v>
      </c>
      <c r="X183" s="4" t="n">
        <v>1</v>
      </c>
      <c r="Y183" s="4" t="n">
        <v>0</v>
      </c>
      <c r="Z183" s="4" t="n">
        <v>0</v>
      </c>
      <c r="AA183" s="4" t="n">
        <v>0</v>
      </c>
      <c r="AB183" s="4" t="inlineStr">
        <is>
          <t>1900-01-01</t>
        </is>
      </c>
      <c r="AC183" s="4" t="n">
        <v>0</v>
      </c>
      <c r="AD183" s="4" t="n">
        <v>0</v>
      </c>
      <c r="AE183" s="4" t="n">
        <v>0</v>
      </c>
      <c r="AF183" s="4" t="n">
        <v>0</v>
      </c>
      <c r="AG183" s="4" t="n">
        <v>0</v>
      </c>
      <c r="AH183" s="4" t="n">
        <v>1</v>
      </c>
      <c r="AI183" s="4" t="n"/>
      <c r="AJ183" s="4" t="n"/>
      <c r="AK183" s="4" t="inlineStr">
        <is>
          <t>none_reported</t>
        </is>
      </c>
      <c r="AL183" s="4" t="n"/>
      <c r="AM183" s="4" t="inlineStr">
        <is>
          <t>RA</t>
        </is>
      </c>
      <c r="AN183" s="4" t="inlineStr">
        <is>
          <t>Tomado completo desde archivo RA según asignación</t>
        </is>
      </c>
      <c r="AO183" s="4" t="n">
        <v>0</v>
      </c>
      <c r="AP183" s="4" t="n">
        <v>0</v>
      </c>
      <c r="AQ183" s="4" t="n">
        <v>0</v>
      </c>
      <c r="AR183" s="4" t="n">
        <v>0</v>
      </c>
      <c r="AS183" s="4" t="n">
        <v>0</v>
      </c>
      <c r="AT183" s="4" t="n">
        <v>0</v>
      </c>
      <c r="AU183" s="4" t="n">
        <v>0</v>
      </c>
      <c r="AV183" s="4" t="n">
        <v>0</v>
      </c>
      <c r="AW183" s="4" t="inlineStr">
        <is>
          <t>finalized_from_available_evidence</t>
        </is>
      </c>
      <c r="AX183" s="4" t="inlineStr">
        <is>
          <t>0 means no reported evidence in title/abstract/notes/coding; it is not proof of true absence.</t>
        </is>
      </c>
    </row>
    <row r="184" ht="398" customHeight="1">
      <c r="A184" s="4" t="n">
        <v>183</v>
      </c>
      <c r="B184" s="4" t="n">
        <v>201</v>
      </c>
      <c r="C184" s="4" t="inlineStr">
        <is>
          <t>Revisor A</t>
        </is>
      </c>
      <c r="D184" s="4" t="inlineStr">
        <is>
          <t>RA</t>
        </is>
      </c>
      <c r="E184" s="4" t="n">
        <v>2025</v>
      </c>
      <c r="F184" s="4" t="inlineStr">
        <is>
          <t>Señales fisiológicas</t>
        </is>
      </c>
      <c r="G184" s="4" t="inlineStr">
        <is>
          <t>Machine Learning</t>
        </is>
      </c>
      <c r="H184" s="4" t="inlineStr">
        <is>
          <t>https://doi.org/10.1155/ACIS/9975499</t>
        </is>
      </c>
      <c r="I184" s="4" t="inlineStr">
        <is>
          <t>Machine Learning–Based Approach for Early Screening of Autism Spectrum Disorders</t>
        </is>
      </c>
      <c r="J184" s="4" t="inlineStr">
        <is>
          <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t>
        </is>
      </c>
      <c r="K184" s="4" t="inlineStr">
        <is>
          <t>Supervised</t>
        </is>
      </c>
      <c r="L184" s="4" t="inlineStr">
        <is>
          <t>SVM</t>
        </is>
      </c>
      <c r="M184" s="4" t="inlineStr">
        <is>
          <t>Classification (ASD vs control / multi-class)</t>
        </is>
      </c>
      <c r="N184" s="4" t="inlineStr">
        <is>
          <t>Screening</t>
        </is>
      </c>
      <c r="O184" s="4" t="inlineStr">
        <is>
          <t>High</t>
        </is>
      </c>
      <c r="P184" s="4" t="n">
        <v>0</v>
      </c>
      <c r="Q184" s="4" t="n">
        <v>0</v>
      </c>
      <c r="R184" s="4" t="n">
        <v>0</v>
      </c>
      <c r="S184" s="4" t="n">
        <v>0</v>
      </c>
      <c r="T184" s="4" t="n">
        <v>0</v>
      </c>
      <c r="U184" s="4" t="n">
        <v>0</v>
      </c>
      <c r="V184" s="4" t="n">
        <v>1</v>
      </c>
      <c r="W184" s="4" t="n">
        <v>0</v>
      </c>
      <c r="X184" s="4" t="n">
        <v>1</v>
      </c>
      <c r="Y184" s="4" t="n">
        <v>0</v>
      </c>
      <c r="Z184" s="4" t="n">
        <v>0</v>
      </c>
      <c r="AA184" s="4" t="n">
        <v>0</v>
      </c>
      <c r="AB184" s="4" t="inlineStr">
        <is>
          <t>1900-01-01</t>
        </is>
      </c>
      <c r="AC184" s="4" t="n">
        <v>0</v>
      </c>
      <c r="AD184" s="4" t="n">
        <v>0</v>
      </c>
      <c r="AE184" s="4" t="n">
        <v>0</v>
      </c>
      <c r="AF184" s="4" t="n">
        <v>0</v>
      </c>
      <c r="AG184" s="4" t="n">
        <v>0</v>
      </c>
      <c r="AH184" s="4" t="n">
        <v>1</v>
      </c>
      <c r="AI184" s="4" t="n"/>
      <c r="AJ184" s="4" t="n"/>
      <c r="AK184" s="4" t="inlineStr">
        <is>
          <t>none_reported</t>
        </is>
      </c>
      <c r="AL184" s="4" t="inlineStr">
        <is>
          <t>Se comparan varios modelos; se eligió el principal/mejor reportado</t>
        </is>
      </c>
      <c r="AM184" s="4" t="inlineStr">
        <is>
          <t>RA</t>
        </is>
      </c>
      <c r="AN184" s="4" t="inlineStr">
        <is>
          <t>Tomado completo desde archivo RA según asignación</t>
        </is>
      </c>
      <c r="AO184" s="4" t="n">
        <v>0</v>
      </c>
      <c r="AP184" s="4" t="n">
        <v>0</v>
      </c>
      <c r="AQ184" s="4" t="n">
        <v>0</v>
      </c>
      <c r="AR184" s="4" t="n">
        <v>0</v>
      </c>
      <c r="AS184" s="4" t="n">
        <v>0</v>
      </c>
      <c r="AT184" s="4" t="n">
        <v>0</v>
      </c>
      <c r="AU184" s="4" t="n">
        <v>0</v>
      </c>
      <c r="AV184" s="4" t="n">
        <v>0</v>
      </c>
      <c r="AW184" s="4" t="inlineStr">
        <is>
          <t>finalized_from_available_evidence</t>
        </is>
      </c>
      <c r="AX184" s="4" t="inlineStr">
        <is>
          <t>0 means no reported evidence in title/abstract/notes/coding; it is not proof of true absence.</t>
        </is>
      </c>
    </row>
    <row r="185" ht="320" customHeight="1">
      <c r="A185" s="4" t="n">
        <v>184</v>
      </c>
      <c r="B185" s="4" t="n">
        <v>202</v>
      </c>
      <c r="C185" s="4" t="inlineStr">
        <is>
          <t>Revisor A</t>
        </is>
      </c>
      <c r="D185" s="4" t="inlineStr">
        <is>
          <t>RA</t>
        </is>
      </c>
      <c r="E185" s="4" t="n">
        <v>2024</v>
      </c>
      <c r="F185" s="4" t="inlineStr">
        <is>
          <t>Señales fisiológicas</t>
        </is>
      </c>
      <c r="G185" s="4" t="inlineStr">
        <is>
          <t>Deep Learning</t>
        </is>
      </c>
      <c r="H185" s="4" t="inlineStr">
        <is>
          <t>https://doi.org/10.1038/s41598-024-76659-5</t>
        </is>
      </c>
      <c r="I185" s="4" t="inlineStr">
        <is>
          <t>Model selection to achieve reproducible associations between resting state EEG features and autism</t>
        </is>
      </c>
      <c r="J185" s="4" t="inlineStr">
        <is>
          <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t>
        </is>
      </c>
      <c r="K185" s="4" t="inlineStr">
        <is>
          <t>Supervised</t>
        </is>
      </c>
      <c r="L185" s="4" t="inlineStr">
        <is>
          <t>Other / Not clear</t>
        </is>
      </c>
      <c r="M185" s="4" t="inlineStr">
        <is>
          <t>Classification (ASD vs control / multi-class)</t>
        </is>
      </c>
      <c r="N185" s="4" t="inlineStr">
        <is>
          <t>Diagnosis</t>
        </is>
      </c>
      <c r="O185" s="4" t="inlineStr">
        <is>
          <t>High</t>
        </is>
      </c>
      <c r="P185" s="4" t="n">
        <v>0</v>
      </c>
      <c r="Q185" s="4" t="n">
        <v>1</v>
      </c>
      <c r="R185" s="4" t="n">
        <v>0</v>
      </c>
      <c r="S185" s="4" t="n">
        <v>0</v>
      </c>
      <c r="T185" s="4" t="n">
        <v>0</v>
      </c>
      <c r="U185" s="4" t="n">
        <v>0</v>
      </c>
      <c r="V185" s="4" t="n">
        <v>0</v>
      </c>
      <c r="W185" s="4" t="n">
        <v>0</v>
      </c>
      <c r="X185" s="4" t="n">
        <v>0</v>
      </c>
      <c r="Y185" s="4" t="n">
        <v>1</v>
      </c>
      <c r="Z185" s="4" t="n">
        <v>0</v>
      </c>
      <c r="AA185" s="4" t="n">
        <v>0</v>
      </c>
      <c r="AB185" s="4" t="inlineStr">
        <is>
          <t>00:00:00</t>
        </is>
      </c>
      <c r="AC185" s="4" t="n">
        <v>0</v>
      </c>
      <c r="AD185" s="4" t="n">
        <v>0</v>
      </c>
      <c r="AE185" s="4" t="n">
        <v>0</v>
      </c>
      <c r="AF185" s="4" t="n">
        <v>0</v>
      </c>
      <c r="AG185" s="4" t="n">
        <v>1</v>
      </c>
      <c r="AH185" s="4" t="n">
        <v>1</v>
      </c>
      <c r="AI185" s="4" t="n"/>
      <c r="AJ185" s="4" t="n"/>
      <c r="AK185" s="4" t="inlineStr">
        <is>
          <t>none_reported</t>
        </is>
      </c>
      <c r="AL185" s="4" t="inlineStr">
        <is>
          <t>Algoritmo principal no explícito o fuera del codebook; Confirmar algoritmo principal en full-text</t>
        </is>
      </c>
      <c r="AM185" s="4" t="inlineStr">
        <is>
          <t>RA</t>
        </is>
      </c>
      <c r="AN185" s="4" t="inlineStr">
        <is>
          <t>Tomado completo desde archivo RA según asignación</t>
        </is>
      </c>
      <c r="AO185" s="4" t="n">
        <v>0</v>
      </c>
      <c r="AP185" s="4" t="n">
        <v>0</v>
      </c>
      <c r="AQ185" s="4" t="n">
        <v>0</v>
      </c>
      <c r="AR185" s="4" t="n">
        <v>0</v>
      </c>
      <c r="AS185" s="4" t="n">
        <v>0</v>
      </c>
      <c r="AT185" s="4" t="n">
        <v>0</v>
      </c>
      <c r="AU185" s="4" t="n">
        <v>0</v>
      </c>
      <c r="AV185" s="4" t="n">
        <v>0</v>
      </c>
      <c r="AW185" s="4" t="inlineStr">
        <is>
          <t>finalized_from_available_evidence</t>
        </is>
      </c>
      <c r="AX185" s="4" t="inlineStr">
        <is>
          <t>0 means no reported evidence in title/abstract/notes/coding; it is not proof of true absence.</t>
        </is>
      </c>
    </row>
    <row r="186" ht="409" customHeight="1">
      <c r="A186" s="4" t="n">
        <v>185</v>
      </c>
      <c r="B186" s="4" t="n">
        <v>203</v>
      </c>
      <c r="C186" s="4" t="inlineStr">
        <is>
          <t>Revisor B</t>
        </is>
      </c>
      <c r="D186" s="4" t="n"/>
      <c r="E186" s="4" t="n">
        <v>2025</v>
      </c>
      <c r="F186" s="4" t="inlineStr">
        <is>
          <t>Imagen</t>
        </is>
      </c>
      <c r="G186" s="4" t="inlineStr">
        <is>
          <t>Híbrido</t>
        </is>
      </c>
      <c r="H186" s="4" t="inlineStr">
        <is>
          <t>https://doi.org/10.1016/j.cmpb.2024.108492</t>
        </is>
      </c>
      <c r="I186" s="4" t="inlineStr">
        <is>
          <t>Multimodal autism detection: Deep hybrid model with improved feature level fusion</t>
        </is>
      </c>
      <c r="J186" s="4"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K186" s="4" t="inlineStr">
        <is>
          <t>Supervised</t>
        </is>
      </c>
      <c r="L186" s="4" t="inlineStr">
        <is>
          <t>Not clear</t>
        </is>
      </c>
      <c r="M186" s="4" t="inlineStr">
        <is>
          <t>Classification (binary/multi-class; incl. ASD vs control)/ multi-class)</t>
        </is>
      </c>
      <c r="N186" s="4" t="inlineStr">
        <is>
          <t>Screening</t>
        </is>
      </c>
      <c r="O186" s="4" t="inlineStr">
        <is>
          <t>high</t>
        </is>
      </c>
      <c r="P186" s="4" t="n">
        <v>1</v>
      </c>
      <c r="Q186" s="4" t="n">
        <v>0</v>
      </c>
      <c r="R186" s="4" t="n">
        <v>0</v>
      </c>
      <c r="S186" s="4" t="n">
        <v>0</v>
      </c>
      <c r="T186" s="4" t="n">
        <v>0</v>
      </c>
      <c r="U186" s="4" t="n">
        <v>0</v>
      </c>
      <c r="V186" s="4" t="n">
        <v>0</v>
      </c>
      <c r="W186" s="4" t="n">
        <v>0</v>
      </c>
      <c r="X186" s="4" t="n">
        <v>0</v>
      </c>
      <c r="Y186" s="4" t="n">
        <v>1</v>
      </c>
      <c r="Z186" s="4" t="n">
        <v>0</v>
      </c>
      <c r="AA186" s="4" t="n">
        <v>0</v>
      </c>
      <c r="AB186" s="4" t="inlineStr">
        <is>
          <t>1900-01-01</t>
        </is>
      </c>
      <c r="AC186" s="4" t="n">
        <v>0</v>
      </c>
      <c r="AD186" s="4" t="n">
        <v>0</v>
      </c>
      <c r="AE186" s="4" t="n">
        <v>0</v>
      </c>
      <c r="AF186" s="4" t="n">
        <v>1</v>
      </c>
      <c r="AG186" s="4" t="n">
        <v>1</v>
      </c>
      <c r="AH186" s="4" t="n">
        <v>1</v>
      </c>
      <c r="AI186" s="4" t="n">
        <v>0</v>
      </c>
      <c r="AJ186" s="4" t="inlineStr">
        <is>
          <t>00:00:00</t>
        </is>
      </c>
      <c r="AK186" s="4" t="inlineStr">
        <is>
          <t>multisource_integration</t>
        </is>
      </c>
      <c r="AL186" s="4" t="n"/>
      <c r="AM186" s="4" t="inlineStr">
        <is>
          <t>RB</t>
        </is>
      </c>
      <c r="AN186" s="4" t="inlineStr">
        <is>
          <t>Tomado completo desde archivo RB según asignación</t>
        </is>
      </c>
      <c r="AO186" s="4" t="n">
        <v>0</v>
      </c>
      <c r="AP186" s="4" t="n">
        <v>0</v>
      </c>
      <c r="AQ186" s="4" t="n">
        <v>0</v>
      </c>
      <c r="AR186" s="4" t="n">
        <v>0</v>
      </c>
      <c r="AS186" s="4" t="n">
        <v>0</v>
      </c>
      <c r="AT186" s="4" t="n">
        <v>0</v>
      </c>
      <c r="AU186" s="4" t="n">
        <v>0</v>
      </c>
      <c r="AV186" s="4" t="n">
        <v>1</v>
      </c>
      <c r="AW186" s="4" t="inlineStr">
        <is>
          <t>finalized_from_available_evidence</t>
        </is>
      </c>
      <c r="AX186" s="4" t="inlineStr">
        <is>
          <t>0 means no reported evidence in title/abstract/notes/coding; it is not proof of true absence.</t>
        </is>
      </c>
    </row>
    <row r="187" ht="190" customHeight="1">
      <c r="A187" s="4" t="n">
        <v>186</v>
      </c>
      <c r="B187" s="4" t="n">
        <v>204</v>
      </c>
      <c r="C187" s="4" t="inlineStr">
        <is>
          <t>Revisor B</t>
        </is>
      </c>
      <c r="D187" s="4" t="n"/>
      <c r="E187" s="4" t="n">
        <v>2016</v>
      </c>
      <c r="F187" s="4" t="inlineStr">
        <is>
          <t>No especificado</t>
        </is>
      </c>
      <c r="G187" s="4" t="inlineStr">
        <is>
          <t>Machine Learning</t>
        </is>
      </c>
      <c r="H187" s="4" t="inlineStr">
        <is>
          <t>https://doi.org/10.1007/s11682-015-9360-1</t>
        </is>
      </c>
      <c r="I187" s="4" t="inlineStr">
        <is>
          <t>Multi-task feature selection via supervised canonical graph matching for diagnosis of autism spectrum disorder</t>
        </is>
      </c>
      <c r="J187" s="4" t="inlineStr">
        <is>
          <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t>
        </is>
      </c>
      <c r="K187" s="4" t="inlineStr">
        <is>
          <t>Supervised</t>
        </is>
      </c>
      <c r="L187" s="4" t="inlineStr">
        <is>
          <t>Other</t>
        </is>
      </c>
      <c r="M187" s="4" t="inlineStr">
        <is>
          <t>Classification (binary/multi-class; incl. ASD vs control)/ multi-class)</t>
        </is>
      </c>
      <c r="N187" s="4" t="inlineStr">
        <is>
          <t>Diagnosis</t>
        </is>
      </c>
      <c r="O187" s="4" t="inlineStr">
        <is>
          <t>high</t>
        </is>
      </c>
      <c r="P187" s="4" t="n">
        <v>0</v>
      </c>
      <c r="Q187" s="4" t="n">
        <v>0</v>
      </c>
      <c r="R187" s="4" t="n">
        <v>0</v>
      </c>
      <c r="S187" s="4" t="n">
        <v>0</v>
      </c>
      <c r="T187" s="4" t="n">
        <v>0</v>
      </c>
      <c r="U187" s="4" t="n">
        <v>0</v>
      </c>
      <c r="V187" s="4" t="n">
        <v>0</v>
      </c>
      <c r="W187" s="4" t="n">
        <v>0</v>
      </c>
      <c r="X187" s="4" t="n">
        <v>0</v>
      </c>
      <c r="Y187" s="4" t="n">
        <v>0</v>
      </c>
      <c r="Z187" s="4" t="n">
        <v>0</v>
      </c>
      <c r="AA187" s="4" t="n">
        <v>1</v>
      </c>
      <c r="AB187" s="4" t="inlineStr">
        <is>
          <t>1900-01-01</t>
        </is>
      </c>
      <c r="AC187" s="4" t="n">
        <v>0</v>
      </c>
      <c r="AD187" s="4" t="n">
        <v>0</v>
      </c>
      <c r="AE187" s="4" t="n">
        <v>0</v>
      </c>
      <c r="AF187" s="4" t="n">
        <v>0</v>
      </c>
      <c r="AG187" s="4" t="n">
        <v>0</v>
      </c>
      <c r="AH187" s="4" t="n">
        <v>0</v>
      </c>
      <c r="AI187" s="4" t="n">
        <v>0</v>
      </c>
      <c r="AJ187" s="4" t="inlineStr">
        <is>
          <t>00:00:00</t>
        </is>
      </c>
      <c r="AK187" s="4" t="inlineStr">
        <is>
          <t>none_reported</t>
        </is>
      </c>
      <c r="AL187" s="4" t="n"/>
      <c r="AM187" s="4" t="inlineStr">
        <is>
          <t>RB</t>
        </is>
      </c>
      <c r="AN187" s="4" t="inlineStr">
        <is>
          <t>Tomado completo desde archivo RB según asignación</t>
        </is>
      </c>
      <c r="AO187" s="4" t="n">
        <v>0</v>
      </c>
      <c r="AP187" s="4" t="n">
        <v>0</v>
      </c>
      <c r="AQ187" s="4" t="n">
        <v>0</v>
      </c>
      <c r="AR187" s="4" t="n">
        <v>0</v>
      </c>
      <c r="AS187" s="4" t="n">
        <v>0</v>
      </c>
      <c r="AT187" s="4" t="n">
        <v>0</v>
      </c>
      <c r="AU187" s="4" t="n">
        <v>0</v>
      </c>
      <c r="AV187" s="4" t="n">
        <v>0</v>
      </c>
      <c r="AW187" s="4" t="inlineStr">
        <is>
          <t>finalized_from_available_evidence</t>
        </is>
      </c>
      <c r="AX187" s="4" t="inlineStr">
        <is>
          <t>0 means no reported evidence in title/abstract/notes/coding; it is not proof of true absence.</t>
        </is>
      </c>
    </row>
    <row r="188" ht="294" customHeight="1">
      <c r="A188" s="4" t="n">
        <v>187</v>
      </c>
      <c r="B188" s="4" t="n">
        <v>205</v>
      </c>
      <c r="C188" s="4" t="inlineStr">
        <is>
          <t>Revisor A</t>
        </is>
      </c>
      <c r="D188" s="4" t="inlineStr">
        <is>
          <t>RA</t>
        </is>
      </c>
      <c r="E188" s="4" t="n">
        <v>2024</v>
      </c>
      <c r="F188" s="4" t="inlineStr">
        <is>
          <t>Imagen</t>
        </is>
      </c>
      <c r="G188" s="4" t="inlineStr">
        <is>
          <t>Deep Learning</t>
        </is>
      </c>
      <c r="H188" s="4" t="inlineStr">
        <is>
          <t>https://doi.org/10.1109/JBHI.2024.3455942</t>
        </is>
      </c>
      <c r="I188" s="4" t="inlineStr">
        <is>
          <t>Off-Body Sleep Analysis for Predicting Adverse Behavior in Individuals With Autism Spectrum Disorder</t>
        </is>
      </c>
      <c r="J188" s="4" t="inlineStr">
        <is>
          <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t>
        </is>
      </c>
      <c r="K188" s="4" t="inlineStr">
        <is>
          <t>Supervised</t>
        </is>
      </c>
      <c r="L188" s="4" t="inlineStr">
        <is>
          <t>Other / Not clear</t>
        </is>
      </c>
      <c r="M188" s="4" t="inlineStr">
        <is>
          <t>Prediction (time-to-event / prognosis)</t>
        </is>
      </c>
      <c r="N188" s="4" t="inlineStr">
        <is>
          <t>Monitoring/intervention</t>
        </is>
      </c>
      <c r="O188" s="4" t="inlineStr">
        <is>
          <t>High</t>
        </is>
      </c>
      <c r="P188" s="4" t="n">
        <v>0</v>
      </c>
      <c r="Q188" s="4" t="n">
        <v>0</v>
      </c>
      <c r="R188" s="4" t="n">
        <v>0</v>
      </c>
      <c r="S188" s="4" t="n">
        <v>0</v>
      </c>
      <c r="T188" s="4" t="n">
        <v>0</v>
      </c>
      <c r="U188" s="4" t="n">
        <v>0</v>
      </c>
      <c r="V188" s="4" t="n">
        <v>1</v>
      </c>
      <c r="W188" s="4" t="n">
        <v>0</v>
      </c>
      <c r="X188" s="4" t="n">
        <v>0</v>
      </c>
      <c r="Y188" s="4" t="n">
        <v>0</v>
      </c>
      <c r="Z188" s="4" t="n">
        <v>1</v>
      </c>
      <c r="AA188" s="4" t="n">
        <v>1</v>
      </c>
      <c r="AB188" s="4" t="inlineStr">
        <is>
          <t>1900-01-01</t>
        </is>
      </c>
      <c r="AC188" s="4" t="n">
        <v>0</v>
      </c>
      <c r="AD188" s="4" t="n">
        <v>0</v>
      </c>
      <c r="AE188" s="4" t="n">
        <v>0</v>
      </c>
      <c r="AF188" s="4" t="n">
        <v>0</v>
      </c>
      <c r="AG188" s="4" t="n">
        <v>1</v>
      </c>
      <c r="AH188" s="4" t="n">
        <v>1</v>
      </c>
      <c r="AI188" s="4" t="inlineStr">
        <is>
          <t>sensor / other</t>
        </is>
      </c>
      <c r="AJ188" s="4" t="n"/>
      <c r="AK188" s="4" t="inlineStr">
        <is>
          <t>none_reported</t>
        </is>
      </c>
      <c r="AL188" s="4" t="inlineStr">
        <is>
          <t>Algoritmo principal no explícito o fuera del codebook; Confirmar algoritmo principal en full-text</t>
        </is>
      </c>
      <c r="AM188" s="4" t="inlineStr">
        <is>
          <t>RA</t>
        </is>
      </c>
      <c r="AN188" s="4" t="inlineStr">
        <is>
          <t>Tomado completo desde archivo RA según asignación</t>
        </is>
      </c>
      <c r="AO188" s="4" t="n">
        <v>0</v>
      </c>
      <c r="AP188" s="4" t="n">
        <v>0</v>
      </c>
      <c r="AQ188" s="4" t="n">
        <v>0</v>
      </c>
      <c r="AR188" s="4" t="n">
        <v>0</v>
      </c>
      <c r="AS188" s="4" t="n">
        <v>0</v>
      </c>
      <c r="AT188" s="4" t="n">
        <v>0</v>
      </c>
      <c r="AU188" s="4" t="n">
        <v>0</v>
      </c>
      <c r="AV188" s="4" t="n">
        <v>0</v>
      </c>
      <c r="AW188" s="4" t="inlineStr">
        <is>
          <t>finalized_from_available_evidence</t>
        </is>
      </c>
      <c r="AX188" s="4" t="inlineStr">
        <is>
          <t>0 means no reported evidence in title/abstract/notes/coding; it is not proof of true absence.</t>
        </is>
      </c>
    </row>
    <row r="189" ht="294" customHeight="1">
      <c r="A189" s="4" t="n">
        <v>188</v>
      </c>
      <c r="B189" s="4" t="n">
        <v>206</v>
      </c>
      <c r="C189" s="4" t="inlineStr">
        <is>
          <t>Ambos (piloto)</t>
        </is>
      </c>
      <c r="D189" s="4" t="inlineStr">
        <is>
          <t>RA</t>
        </is>
      </c>
      <c r="E189" s="4" t="n">
        <v>2019</v>
      </c>
      <c r="F189" s="4" t="inlineStr">
        <is>
          <t>Multimodal</t>
        </is>
      </c>
      <c r="G189" s="4" t="inlineStr">
        <is>
          <t>Deep Learning</t>
        </is>
      </c>
      <c r="H189" s="4" t="inlineStr">
        <is>
          <t>https://doi.org/10.1016/j.sciaf.2018.e00019</t>
        </is>
      </c>
      <c r="I189" s="4" t="inlineStr">
        <is>
          <t>Overlaps in brain dynamic functional connectivity between schizophrenia and autism spectrum disorder</t>
        </is>
      </c>
      <c r="J189" s="4" t="inlineStr">
        <is>
          <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t>
        </is>
      </c>
      <c r="K189" s="4" t="inlineStr">
        <is>
          <t>Supervised</t>
        </is>
      </c>
      <c r="L189" s="4" t="inlineStr">
        <is>
          <t>Other / Not clear</t>
        </is>
      </c>
      <c r="M189" s="4" t="inlineStr">
        <is>
          <t>Classification (ASD vs control / multi-class)</t>
        </is>
      </c>
      <c r="N189" s="4" t="inlineStr">
        <is>
          <t>Diagnosis</t>
        </is>
      </c>
      <c r="O189" s="4" t="inlineStr">
        <is>
          <t>Medium</t>
        </is>
      </c>
      <c r="P189" s="4" t="n">
        <v>1</v>
      </c>
      <c r="Q189" s="4" t="n">
        <v>0</v>
      </c>
      <c r="R189" s="4" t="n">
        <v>0</v>
      </c>
      <c r="S189" s="4" t="n">
        <v>0</v>
      </c>
      <c r="T189" s="4" t="n">
        <v>0</v>
      </c>
      <c r="U189" s="4" t="n">
        <v>0</v>
      </c>
      <c r="V189" s="4" t="n">
        <v>0</v>
      </c>
      <c r="W189" s="4" t="n">
        <v>0</v>
      </c>
      <c r="X189" s="4" t="n">
        <v>0</v>
      </c>
      <c r="Y189" s="4" t="n">
        <v>1</v>
      </c>
      <c r="Z189" s="4" t="n">
        <v>0</v>
      </c>
      <c r="AA189" s="4" t="n">
        <v>0</v>
      </c>
      <c r="AB189" s="4" t="inlineStr">
        <is>
          <t>1900-01-01</t>
        </is>
      </c>
      <c r="AC189" s="4" t="n">
        <v>0</v>
      </c>
      <c r="AD189" s="4" t="n">
        <v>0</v>
      </c>
      <c r="AE189" s="4" t="n">
        <v>0</v>
      </c>
      <c r="AF189" s="4" t="n">
        <v>1</v>
      </c>
      <c r="AG189" s="4" t="n">
        <v>1</v>
      </c>
      <c r="AH189" s="4" t="n">
        <v>1</v>
      </c>
      <c r="AI189" s="4" t="n"/>
      <c r="AJ189" s="4" t="n"/>
      <c r="AK189" s="4" t="inlineStr">
        <is>
          <t>multisource_integration</t>
        </is>
      </c>
      <c r="AL189" s="4" t="inlineStr">
        <is>
          <t>Algoritmo principal no explícito o fuera del codebook; Confirmar algoritmo principal en full-text</t>
        </is>
      </c>
      <c r="AM189" s="4" t="inlineStr">
        <is>
          <t>RA</t>
        </is>
      </c>
      <c r="AN189" s="4" t="inlineStr">
        <is>
          <t>Tomado completo desde archivo RA según asignación</t>
        </is>
      </c>
      <c r="AO189" s="4" t="n">
        <v>0</v>
      </c>
      <c r="AP189" s="4" t="n">
        <v>0</v>
      </c>
      <c r="AQ189" s="4" t="n">
        <v>0</v>
      </c>
      <c r="AR189" s="4" t="n">
        <v>0</v>
      </c>
      <c r="AS189" s="4" t="n">
        <v>0</v>
      </c>
      <c r="AT189" s="4" t="n">
        <v>0</v>
      </c>
      <c r="AU189" s="4" t="n">
        <v>0</v>
      </c>
      <c r="AV189" s="4" t="n">
        <v>1</v>
      </c>
      <c r="AW189" s="4" t="inlineStr">
        <is>
          <t>finalized_from_available_evidence</t>
        </is>
      </c>
      <c r="AX189" s="4" t="inlineStr">
        <is>
          <t>0 means no reported evidence in title/abstract/notes/coding; it is not proof of true absence.</t>
        </is>
      </c>
    </row>
    <row r="190" ht="372" customHeight="1">
      <c r="A190" s="4" t="n">
        <v>189</v>
      </c>
      <c r="B190" s="4" t="n">
        <v>207</v>
      </c>
      <c r="C190" s="4" t="inlineStr">
        <is>
          <t>Revisor B</t>
        </is>
      </c>
      <c r="D190" s="4" t="n"/>
      <c r="E190" s="4" t="n">
        <v>2025</v>
      </c>
      <c r="F190" s="4" t="inlineStr">
        <is>
          <t>Señales fisiológicas</t>
        </is>
      </c>
      <c r="G190" s="4" t="inlineStr">
        <is>
          <t>Deep Learning</t>
        </is>
      </c>
      <c r="H190" s="4" t="inlineStr">
        <is>
          <t>https://doi.org/10.1016/j.neucom.2025.130780</t>
        </is>
      </c>
      <c r="I190" s="4" t="inlineStr">
        <is>
          <t>Persistent spectral based machine learning method for autism spectrum disorder classification</t>
        </is>
      </c>
      <c r="J190" s="4" t="inlineStr">
        <is>
          <t>Background: Autism spectrum disorder (ASD) is a widespread and intricate neurodevelopmental condition. The increasing prevalence of ASD creates a very significant burden on both society and families. Functional magnetic resonance imaging (fMRI) contributes to a deeper understanding of ASD while also facilitating the development of early diagnosis and effective treatment strategies. This study aims to provide new and more reliable tools for early diagnosis of ASD and gain deeper insights into its neural mechanisms through the combination of topology and persistent spectral theory with functional connectivity. Methods: We proposed a persistent spectral machine learning model based on the simplicial complex for characterizing the functional connectivity in the Autism Brain Imaging Data Exchange I dataset. Simplicial complexes were used to characterize the functional connectivity with coefficients no less than 0.3. We arranged a filtration value for each simplex and persistent Laplacian matrices were calculated through a filtration process. The corresponding persistent attributes, after removing covariates, were used as inputs of classifiers. Results: Achieving an accuracy of 87.5%, our model outperformed other models that applied functional connectivity, similar sample sizes and the same preprocessing pipelines. We found that the numbers and distribution of connected components and loops of the global functional connectivity are important for classification. Conclusions: This study provided a feature extraction method based on persistent spectral theory for ASD research. Our model offers a different perspective on the research of related conditions and has great and notable potential in diagnosis.</t>
        </is>
      </c>
      <c r="K190" s="4" t="inlineStr">
        <is>
          <t>Supervised</t>
        </is>
      </c>
      <c r="L190" s="4" t="inlineStr">
        <is>
          <t>Not clear</t>
        </is>
      </c>
      <c r="M190" s="4" t="inlineStr">
        <is>
          <t>Classification (binary/multi-class; incl. ASD vs control)/ multi-class)</t>
        </is>
      </c>
      <c r="N190" s="4" t="inlineStr">
        <is>
          <t>diagnosis</t>
        </is>
      </c>
      <c r="O190" s="4" t="inlineStr">
        <is>
          <t>high</t>
        </is>
      </c>
      <c r="P190" s="4" t="n">
        <v>0</v>
      </c>
      <c r="Q190" s="4" t="n">
        <v>0</v>
      </c>
      <c r="R190" s="4" t="n">
        <v>0</v>
      </c>
      <c r="S190" s="4" t="n">
        <v>0</v>
      </c>
      <c r="T190" s="4" t="n">
        <v>1</v>
      </c>
      <c r="U190" s="4" t="n">
        <v>0</v>
      </c>
      <c r="V190" s="4" t="n">
        <v>0</v>
      </c>
      <c r="W190" s="4" t="n">
        <v>0</v>
      </c>
      <c r="X190" s="4" t="n">
        <v>0</v>
      </c>
      <c r="Y190" s="4" t="n">
        <v>1</v>
      </c>
      <c r="Z190" s="4" t="n">
        <v>0</v>
      </c>
      <c r="AA190" s="4" t="n">
        <v>0</v>
      </c>
      <c r="AB190" s="4" t="inlineStr">
        <is>
          <t>1900-01-01</t>
        </is>
      </c>
      <c r="AC190" s="4" t="n">
        <v>0</v>
      </c>
      <c r="AD190" s="4" t="n">
        <v>0</v>
      </c>
      <c r="AE190" s="4" t="n">
        <v>0</v>
      </c>
      <c r="AF190" s="4" t="n">
        <v>0</v>
      </c>
      <c r="AG190" s="4" t="n">
        <v>1</v>
      </c>
      <c r="AH190" s="4" t="n">
        <v>1</v>
      </c>
      <c r="AI190" s="4" t="n">
        <v>0</v>
      </c>
      <c r="AJ190" s="4" t="inlineStr">
        <is>
          <t>1900-01-01</t>
        </is>
      </c>
      <c r="AK190" s="4" t="inlineStr">
        <is>
          <t>none_reported</t>
        </is>
      </c>
      <c r="AL190" s="4" t="n"/>
      <c r="AM190" s="4" t="inlineStr">
        <is>
          <t>RB</t>
        </is>
      </c>
      <c r="AN190" s="4" t="inlineStr">
        <is>
          <t>Tomado completo desde archivo RB según asignación</t>
        </is>
      </c>
      <c r="AO190" s="4" t="n">
        <v>0</v>
      </c>
      <c r="AP190" s="4" t="n">
        <v>0</v>
      </c>
      <c r="AQ190" s="4" t="n">
        <v>0</v>
      </c>
      <c r="AR190" s="4" t="n">
        <v>0</v>
      </c>
      <c r="AS190" s="4" t="n">
        <v>0</v>
      </c>
      <c r="AT190" s="4" t="n">
        <v>0</v>
      </c>
      <c r="AU190" s="4" t="n">
        <v>0</v>
      </c>
      <c r="AV190" s="4" t="n">
        <v>0</v>
      </c>
      <c r="AW190" s="4" t="inlineStr">
        <is>
          <t>finalized_from_available_evidence</t>
        </is>
      </c>
      <c r="AX190" s="4" t="inlineStr">
        <is>
          <t>0 means no reported evidence in title/abstract/notes/coding; it is not proof of true absence.</t>
        </is>
      </c>
    </row>
    <row r="191" ht="359" customHeight="1">
      <c r="A191" s="4" t="n">
        <v>190</v>
      </c>
      <c r="B191" s="4" t="n">
        <v>208</v>
      </c>
      <c r="C191" s="4" t="inlineStr">
        <is>
          <t>Revisor B</t>
        </is>
      </c>
      <c r="D191" s="4" t="n"/>
      <c r="E191" s="4" t="n">
        <v>2022</v>
      </c>
      <c r="F191" s="4" t="inlineStr">
        <is>
          <t>No especificado</t>
        </is>
      </c>
      <c r="G191" s="4" t="inlineStr">
        <is>
          <t>Machine Learning</t>
        </is>
      </c>
      <c r="H191" s="4" t="inlineStr">
        <is>
          <t>https://doi.org/10.1186/s13229-022-00491-9</t>
        </is>
      </c>
      <c r="I191" s="4" t="inlineStr">
        <is>
          <t>Phenotypic differences between female and male individuals with suspicion of autism spectrum disorder</t>
        </is>
      </c>
      <c r="J191" s="4" t="inlineStr">
        <is>
          <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t>
        </is>
      </c>
      <c r="K191" s="4" t="inlineStr">
        <is>
          <t>Supervised</t>
        </is>
      </c>
      <c r="L191" s="4" t="inlineStr">
        <is>
          <t>Random Forest</t>
        </is>
      </c>
      <c r="M191" s="4" t="inlineStr">
        <is>
          <t>Classification (binary/multi-class; incl. ASD vs control)/ multi-class)</t>
        </is>
      </c>
      <c r="N191" s="4" t="inlineStr">
        <is>
          <t>diagnosis</t>
        </is>
      </c>
      <c r="O191" s="4" t="inlineStr">
        <is>
          <t>high</t>
        </is>
      </c>
      <c r="P191" s="4" t="n">
        <v>1</v>
      </c>
      <c r="Q191" s="4" t="n">
        <v>0</v>
      </c>
      <c r="R191" s="4" t="n">
        <v>0</v>
      </c>
      <c r="S191" s="4" t="n">
        <v>0</v>
      </c>
      <c r="T191" s="4" t="n">
        <v>1</v>
      </c>
      <c r="U191" s="4" t="n">
        <v>0</v>
      </c>
      <c r="V191" s="4" t="n">
        <v>0</v>
      </c>
      <c r="W191" s="4" t="n">
        <v>0</v>
      </c>
      <c r="X191" s="4" t="n">
        <v>0</v>
      </c>
      <c r="Y191" s="4" t="n">
        <v>1</v>
      </c>
      <c r="Z191" s="4" t="n">
        <v>0</v>
      </c>
      <c r="AA191" s="4" t="n">
        <v>1</v>
      </c>
      <c r="AB191" s="4" t="inlineStr">
        <is>
          <t>1900-01-01</t>
        </is>
      </c>
      <c r="AC191" s="4" t="n">
        <v>0</v>
      </c>
      <c r="AD191" s="4" t="n">
        <v>0</v>
      </c>
      <c r="AE191" s="4" t="n">
        <v>0</v>
      </c>
      <c r="AF191" s="4" t="n">
        <v>1</v>
      </c>
      <c r="AG191" s="4" t="n">
        <v>0</v>
      </c>
      <c r="AH191" s="4" t="n">
        <v>2</v>
      </c>
      <c r="AI191" s="4" t="n">
        <v>0</v>
      </c>
      <c r="AJ191" s="4" t="inlineStr">
        <is>
          <t>00:00:00</t>
        </is>
      </c>
      <c r="AK191" s="4" t="inlineStr">
        <is>
          <t>multisource_integration</t>
        </is>
      </c>
      <c r="AL191" s="4" t="n"/>
      <c r="AM191" s="4" t="inlineStr">
        <is>
          <t>RB</t>
        </is>
      </c>
      <c r="AN191" s="4" t="inlineStr">
        <is>
          <t>Tomado completo desde archivo RB según asignación</t>
        </is>
      </c>
      <c r="AO191" s="4" t="n">
        <v>0</v>
      </c>
      <c r="AP191" s="4" t="n">
        <v>0</v>
      </c>
      <c r="AQ191" s="4" t="n">
        <v>0</v>
      </c>
      <c r="AR191" s="4" t="n">
        <v>0</v>
      </c>
      <c r="AS191" s="4" t="n">
        <v>0</v>
      </c>
      <c r="AT191" s="4" t="n">
        <v>0</v>
      </c>
      <c r="AU191" s="4" t="n">
        <v>0</v>
      </c>
      <c r="AV191" s="4" t="n">
        <v>1</v>
      </c>
      <c r="AW191" s="4" t="inlineStr">
        <is>
          <t>finalized_from_available_evidence</t>
        </is>
      </c>
      <c r="AX191" s="4" t="inlineStr">
        <is>
          <t>0 means no reported evidence in title/abstract/notes/coding; it is not proof of true absence.</t>
        </is>
      </c>
    </row>
    <row r="192" ht="320" customHeight="1">
      <c r="A192" s="4" t="n">
        <v>191</v>
      </c>
      <c r="B192" s="4" t="n">
        <v>209</v>
      </c>
      <c r="C192" s="4" t="inlineStr">
        <is>
          <t>Revisor A</t>
        </is>
      </c>
      <c r="D192" s="4" t="inlineStr">
        <is>
          <t>RA</t>
        </is>
      </c>
      <c r="E192" s="4" t="n">
        <v>2024</v>
      </c>
      <c r="F192" s="4" t="inlineStr">
        <is>
          <t>Multimodal</t>
        </is>
      </c>
      <c r="G192" s="4" t="inlineStr">
        <is>
          <t>Machine Learning</t>
        </is>
      </c>
      <c r="H192" s="4" t="inlineStr">
        <is>
          <t>https://doi.org/10.1016/j.pscychresns.2024.111822</t>
        </is>
      </c>
      <c r="I192" s="4" t="inlineStr">
        <is>
          <t>Predicting individual autistic symptoms for patients with autism spectrum disorder using interregional morphological connectivity</t>
        </is>
      </c>
      <c r="J192" s="4" t="inlineStr">
        <is>
          <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t>
        </is>
      </c>
      <c r="K192" s="4" t="inlineStr">
        <is>
          <t>Supervised</t>
        </is>
      </c>
      <c r="L192" s="4" t="inlineStr">
        <is>
          <t>Other / Not clear</t>
        </is>
      </c>
      <c r="M192" s="4" t="inlineStr">
        <is>
          <t>Regression (score / severity / risk)</t>
        </is>
      </c>
      <c r="N192" s="4" t="inlineStr">
        <is>
          <t>Monitoring/intervention</t>
        </is>
      </c>
      <c r="O192" s="4" t="inlineStr">
        <is>
          <t>High</t>
        </is>
      </c>
      <c r="P192" s="4" t="n">
        <v>1</v>
      </c>
      <c r="Q192" s="4" t="n">
        <v>0</v>
      </c>
      <c r="R192" s="4" t="n">
        <v>0</v>
      </c>
      <c r="S192" s="4" t="n">
        <v>0</v>
      </c>
      <c r="T192" s="4" t="n">
        <v>0</v>
      </c>
      <c r="U192" s="4" t="n">
        <v>0</v>
      </c>
      <c r="V192" s="4" t="n">
        <v>0</v>
      </c>
      <c r="W192" s="4" t="n">
        <v>0</v>
      </c>
      <c r="X192" s="4" t="n">
        <v>0</v>
      </c>
      <c r="Y192" s="4" t="n">
        <v>0</v>
      </c>
      <c r="Z192" s="4" t="n">
        <v>1</v>
      </c>
      <c r="AA192" s="4" t="n">
        <v>1</v>
      </c>
      <c r="AB192" s="4" t="inlineStr">
        <is>
          <t>1900-01-01</t>
        </is>
      </c>
      <c r="AC192" s="4" t="n">
        <v>0</v>
      </c>
      <c r="AD192" s="4" t="n">
        <v>0</v>
      </c>
      <c r="AE192" s="4" t="n">
        <v>0</v>
      </c>
      <c r="AF192" s="4" t="n">
        <v>1</v>
      </c>
      <c r="AG192" s="4" t="n">
        <v>1</v>
      </c>
      <c r="AH192" s="4" t="n">
        <v>1</v>
      </c>
      <c r="AI192" s="4" t="n"/>
      <c r="AJ192" s="4" t="n"/>
      <c r="AK192" s="4" t="inlineStr">
        <is>
          <t>multisource_integration; multisite_dataset_broad</t>
        </is>
      </c>
      <c r="AL192" s="4" t="inlineStr">
        <is>
          <t>Algoritmo principal no explícito o fuera del codebook; Confirmar algoritmo principal en full-text</t>
        </is>
      </c>
      <c r="AM192" s="4" t="inlineStr">
        <is>
          <t>RA</t>
        </is>
      </c>
      <c r="AN192" s="4" t="inlineStr">
        <is>
          <t>Tomado completo desde archivo RA según asignación</t>
        </is>
      </c>
      <c r="AO192" s="4" t="n">
        <v>0</v>
      </c>
      <c r="AP192" s="4" t="n">
        <v>0</v>
      </c>
      <c r="AQ192" s="4" t="n">
        <v>1</v>
      </c>
      <c r="AR192" s="4" t="n">
        <v>0</v>
      </c>
      <c r="AS192" s="4" t="n">
        <v>0</v>
      </c>
      <c r="AT192" s="4" t="n">
        <v>0</v>
      </c>
      <c r="AU192" s="4" t="n">
        <v>0</v>
      </c>
      <c r="AV192" s="4" t="n">
        <v>1</v>
      </c>
      <c r="AW192" s="4" t="inlineStr">
        <is>
          <t>finalized_from_available_evidence</t>
        </is>
      </c>
      <c r="AX192" s="4" t="inlineStr">
        <is>
          <t>0 means no reported evidence in title/abstract/notes/coding; it is not proof of true absence.</t>
        </is>
      </c>
    </row>
    <row r="193" ht="385" customHeight="1">
      <c r="A193" s="4" t="n">
        <v>192</v>
      </c>
      <c r="B193" s="4" t="n">
        <v>210</v>
      </c>
      <c r="C193" s="4" t="inlineStr">
        <is>
          <t>Revisor A</t>
        </is>
      </c>
      <c r="D193" s="4" t="inlineStr">
        <is>
          <t>RA</t>
        </is>
      </c>
      <c r="E193" s="4" t="n">
        <v>2023</v>
      </c>
      <c r="F193" s="4" t="inlineStr">
        <is>
          <t>Señales fisiológicas</t>
        </is>
      </c>
      <c r="G193" s="4" t="inlineStr">
        <is>
          <t>Deep Learning</t>
        </is>
      </c>
      <c r="H193" s="4" t="inlineStr">
        <is>
          <t>https://doi.org/10.1016/j.bpsc.2021.08.009</t>
        </is>
      </c>
      <c r="I193" s="4" t="inlineStr">
        <is>
          <t>Prediction of Behavioral Improvement Through Resting-State Electroencephalography and Clinical Severity in a Randomized Controlled Trial Testing Bumetanide in Autism Spectrum Disorder</t>
        </is>
      </c>
      <c r="J193" s="4" t="inlineStr">
        <is>
          <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t>
        </is>
      </c>
      <c r="K193" s="4" t="inlineStr">
        <is>
          <t>Supervised</t>
        </is>
      </c>
      <c r="L193" s="4" t="inlineStr">
        <is>
          <t>Other / Not clear</t>
        </is>
      </c>
      <c r="M193" s="4" t="inlineStr">
        <is>
          <t>Prediction (time-to-event / prognosis)</t>
        </is>
      </c>
      <c r="N193" s="4" t="inlineStr">
        <is>
          <t>Monitoring/intervention</t>
        </is>
      </c>
      <c r="O193" s="4" t="inlineStr">
        <is>
          <t>Medium</t>
        </is>
      </c>
      <c r="P193" s="4" t="n">
        <v>0</v>
      </c>
      <c r="Q193" s="4" t="n">
        <v>1</v>
      </c>
      <c r="R193" s="4" t="n">
        <v>0</v>
      </c>
      <c r="S193" s="4" t="n">
        <v>0</v>
      </c>
      <c r="T193" s="4" t="n">
        <v>0</v>
      </c>
      <c r="U193" s="4" t="n">
        <v>0</v>
      </c>
      <c r="V193" s="4" t="n">
        <v>0</v>
      </c>
      <c r="W193" s="4" t="n">
        <v>0</v>
      </c>
      <c r="X193" s="4" t="n">
        <v>0</v>
      </c>
      <c r="Y193" s="4" t="n">
        <v>0</v>
      </c>
      <c r="Z193" s="4" t="n">
        <v>0</v>
      </c>
      <c r="AA193" s="4" t="n">
        <v>1</v>
      </c>
      <c r="AB193" s="4" t="inlineStr">
        <is>
          <t>1900-01-01</t>
        </is>
      </c>
      <c r="AC193" s="4" t="n">
        <v>0</v>
      </c>
      <c r="AD193" s="4" t="n">
        <v>0</v>
      </c>
      <c r="AE193" s="4" t="n">
        <v>0</v>
      </c>
      <c r="AF193" s="4" t="n">
        <v>0</v>
      </c>
      <c r="AG193" s="4" t="n">
        <v>1</v>
      </c>
      <c r="AH193" s="4" t="n">
        <v>1</v>
      </c>
      <c r="AI193" s="4" t="n"/>
      <c r="AJ193" s="4" t="n"/>
      <c r="AK193" s="4" t="inlineStr">
        <is>
          <t>none_reported</t>
        </is>
      </c>
      <c r="AL193" s="4" t="inlineStr">
        <is>
          <t>Algoritmo principal no explícito o fuera del codebook; Confirmar algoritmo principal en full-text</t>
        </is>
      </c>
      <c r="AM193" s="4" t="inlineStr">
        <is>
          <t>RA</t>
        </is>
      </c>
      <c r="AN193" s="4" t="inlineStr">
        <is>
          <t>Tomado completo desde archivo RA según asignación</t>
        </is>
      </c>
      <c r="AO193" s="4" t="n">
        <v>0</v>
      </c>
      <c r="AP193" s="4" t="n">
        <v>0</v>
      </c>
      <c r="AQ193" s="4" t="n">
        <v>0</v>
      </c>
      <c r="AR193" s="4" t="n">
        <v>0</v>
      </c>
      <c r="AS193" s="4" t="n">
        <v>0</v>
      </c>
      <c r="AT193" s="4" t="n">
        <v>0</v>
      </c>
      <c r="AU193" s="4" t="n">
        <v>0</v>
      </c>
      <c r="AV193" s="4" t="n">
        <v>0</v>
      </c>
      <c r="AW193" s="4" t="inlineStr">
        <is>
          <t>finalized_from_available_evidence</t>
        </is>
      </c>
      <c r="AX193" s="4" t="inlineStr">
        <is>
          <t>0 means no reported evidence in title/abstract/notes/coding; it is not proof of true absence.</t>
        </is>
      </c>
    </row>
    <row r="194" ht="409" customHeight="1">
      <c r="A194" s="4" t="n">
        <v>193</v>
      </c>
      <c r="B194" s="4" t="n">
        <v>211</v>
      </c>
      <c r="C194" s="4" t="inlineStr">
        <is>
          <t>Revisor B</t>
        </is>
      </c>
      <c r="D194" s="4" t="n"/>
      <c r="E194" s="4" t="n">
        <v>2022</v>
      </c>
      <c r="F194" s="4" t="inlineStr">
        <is>
          <t>No especificado</t>
        </is>
      </c>
      <c r="G194" s="4" t="inlineStr">
        <is>
          <t>Machine Learning</t>
        </is>
      </c>
      <c r="H194" s="4" t="inlineStr">
        <is>
          <t>https://doi.org/10.32604/ijmhp.2022.020075</t>
        </is>
      </c>
      <c r="I194" s="4" t="inlineStr">
        <is>
          <t>Prediction of Outcomes in Mini-Basketball Training Program for Preschool Children with Autism Using Machine Learning Models</t>
        </is>
      </c>
      <c r="J194" s="4" t="inlineStr">
        <is>
          <t>In recent years evidence has emerged suggesting that Mini-basketball training program (MBTP) can be an effective intervention method to improve social communication (SC) impairments and restricted and repetitive beha-viors (RRBs) in preschool children suffering from autism spectrum disorder (ASD). However, there is a considerable degree if interindividual variability concerning these social outcomes and thus not all preschool children with ASD profit from a MBTP intervention to the same extent. In order to make more accurate predictions which preschool children with ASD can benefit from an MBTP intervention or which preschool children with ASD need additional interventions to achieve behavioral improvements, further research is required. This study aimed to investigate which individual factors of preschool children with ASD can predict MBTP intervention outcomes concerning SC impairments and RRBs. Then, test the performance of machine learning models in predicting intervention outcomes based on these factors. Participants were 26 preschool children with ASD who enrolled in a quasi-experiment and received MBTP intervention. Baseline demographic variables (e.g., age, body, mass index [BMI]), indicators of physical fitness (e.g., handgrip strength, balance performance), performance in executive function, severity of ASD symptoms, level of SC impairments, and severity of RRBs were obtained to predict treatment outcomes after MBTP intervention. Machine learning models were established based on support vector machine algorithm were implemented. For comparison, we also employed multiple linear regression models in statistics. Our findings suggest that in preschool children with ASD symptomatic severity (r = 0.712, p &lt; 0.001) and baseline SC impairments (r = 0.713, p &lt; 0.001) are predictors for intervention outcomes of SC impair-ments. Furthermore, BMI (r = −0.430, p = 0.028), symptomatic severity (r = 0.656, p &lt; 0.001), baseline SC impairments (r = 0.504, p = 0.009) and baseline RRBs (r = 0.647, p &lt; 0.001) can predict intervention outcomes of RRBs. Statistical models predicted 59.6% of variance in post-treatment SC impairments (MSE = 0.455, RMSE = 0.675, R2 = 0.596) and 58.9% of variance in post-treatment RRBs (MSE = 0.464, RMSE = 0.681, R2 = 0.589). Machine learning models predicted 83% of variance in post-treatment SC impairments (MSE = 0.188, RMSE = 0.434, R2 = 0.83) and 85.9% of variance in post-treatment RRBs (MSE = 0.051, RMSE = 0.226, R2 = 0.859), which were better than statistical models. Our findings suggest that baseline characteristics such as symptomatic severity of ASD symptoms and SC impairments are important predictors determining MBTP intervention-induced improvements concerning SC impairments and RBBs. Furthermore, the current study revealed that machine learning models can successfully be applied to predict the MBTP intervention-related outcomes in preschool children with ASD, and performed better than statistical models. Our findings can help to inform which preschool children with ASD are most likely to benefit from an MBTP intervention, and they might provide a reference for the development of personalized intervention programs for preschool children with ASD.</t>
        </is>
      </c>
      <c r="K194" s="4" t="inlineStr">
        <is>
          <t>Supervised</t>
        </is>
      </c>
      <c r="L194" s="4" t="inlineStr">
        <is>
          <t>SVM</t>
        </is>
      </c>
      <c r="M194" s="4" t="inlineStr">
        <is>
          <t>Regression (score / severity / risk)</t>
        </is>
      </c>
      <c r="N194" s="4" t="inlineStr">
        <is>
          <t>monitoring_intervention</t>
        </is>
      </c>
      <c r="O194" s="4" t="inlineStr">
        <is>
          <t>high</t>
        </is>
      </c>
      <c r="P194" s="4" t="n">
        <v>0</v>
      </c>
      <c r="Q194" s="4" t="n">
        <v>0</v>
      </c>
      <c r="R194" s="4" t="n">
        <v>0</v>
      </c>
      <c r="S194" s="4" t="n">
        <v>0</v>
      </c>
      <c r="T194" s="4" t="n">
        <v>0</v>
      </c>
      <c r="U194" s="4" t="n">
        <v>0</v>
      </c>
      <c r="V194" s="4" t="n">
        <v>1</v>
      </c>
      <c r="W194" s="4" t="n">
        <v>0</v>
      </c>
      <c r="X194" s="4" t="n">
        <v>0</v>
      </c>
      <c r="Y194" s="4" t="n">
        <v>0</v>
      </c>
      <c r="Z194" s="4" t="n">
        <v>0</v>
      </c>
      <c r="AA194" s="4" t="n">
        <v>1</v>
      </c>
      <c r="AB194" s="4" t="inlineStr">
        <is>
          <t>1900-01-01</t>
        </is>
      </c>
      <c r="AC194" s="4" t="n">
        <v>0</v>
      </c>
      <c r="AD194" s="4" t="n">
        <v>0</v>
      </c>
      <c r="AE194" s="4" t="n">
        <v>0</v>
      </c>
      <c r="AF194" s="4" t="n">
        <v>0</v>
      </c>
      <c r="AG194" s="4" t="n">
        <v>0</v>
      </c>
      <c r="AH194" s="4" t="n">
        <v>1</v>
      </c>
      <c r="AI194" s="4" t="n">
        <v>1</v>
      </c>
      <c r="AJ194" s="4" t="inlineStr">
        <is>
          <t>1900-01-01</t>
        </is>
      </c>
      <c r="AK194" s="4" t="inlineStr">
        <is>
          <t>none_reported</t>
        </is>
      </c>
      <c r="AL194" s="4" t="n"/>
      <c r="AM194" s="4" t="inlineStr">
        <is>
          <t>RB</t>
        </is>
      </c>
      <c r="AN194" s="4" t="inlineStr">
        <is>
          <t>Tomado completo desde archivo RB según asignación</t>
        </is>
      </c>
      <c r="AO194" s="4" t="n">
        <v>0</v>
      </c>
      <c r="AP194" s="4" t="n">
        <v>0</v>
      </c>
      <c r="AQ194" s="4" t="n">
        <v>0</v>
      </c>
      <c r="AR194" s="4" t="n">
        <v>0</v>
      </c>
      <c r="AS194" s="4" t="n">
        <v>0</v>
      </c>
      <c r="AT194" s="4" t="n">
        <v>0</v>
      </c>
      <c r="AU194" s="4" t="n">
        <v>0</v>
      </c>
      <c r="AV194" s="4" t="n">
        <v>0</v>
      </c>
      <c r="AW194" s="4" t="inlineStr">
        <is>
          <t>finalized_from_available_evidence</t>
        </is>
      </c>
      <c r="AX194" s="4" t="inlineStr">
        <is>
          <t>0 means no reported evidence in title/abstract/notes/coding; it is not proof of true absence.</t>
        </is>
      </c>
    </row>
    <row r="195" ht="409" customHeight="1">
      <c r="A195" s="4" t="n">
        <v>194</v>
      </c>
      <c r="B195" s="4" t="n">
        <v>212</v>
      </c>
      <c r="C195" s="4" t="inlineStr">
        <is>
          <t>Revisor B</t>
        </is>
      </c>
      <c r="D195" s="4" t="n"/>
      <c r="E195" s="4" t="n">
        <v>2025</v>
      </c>
      <c r="F195" s="4" t="inlineStr">
        <is>
          <t>Texto · NLP</t>
        </is>
      </c>
      <c r="G195" s="4" t="inlineStr">
        <is>
          <t>Deep Learning</t>
        </is>
      </c>
      <c r="H195" s="4" t="inlineStr">
        <is>
          <t>https://doi.org/10.1177/13623613241304488</t>
        </is>
      </c>
      <c r="I195" s="4" t="inlineStr">
        <is>
          <t>Pre-trained artificial intelligence language model represents pragmatic language variability central to autism and genetically related phenotypes</t>
        </is>
      </c>
      <c r="J195" s="4" t="inlineStr">
        <is>
          <t>Many individuals with autism experience challenges using language in social contexts (i.e., pragmatic language). Characterizing and understanding pragmatic variability is important to inform intervention strategies and the etiology of communication challenges in autism; however, current manual coding-based methods are often time and labor intensive, and not readily applied in ample sample sizes. This proof-of-concept methodological study employed an artificial intelligence pre-trained language model, Bidirectional Encoder Representations from Transformers, as a tool to address such challenges. We applied Bidirectional Encoder Representations from Transformers to computationally index pragmatic-related variability in autism and in genetically related phenotypes displaying pragmatic differences, namely, in parents of autistic individuals, fragile X syndrome, and FMR1 premutation. Findings suggest that without model fine-tuning, Bidirectional Encoder Representations from Transformers’s Next Sentence Prediction module was able to derive estimates that differentiate autistic from non-autistic groups. Moreover, such computational estimates correlated with manually coded characterization of pragmatic abilities that contribute to conversational coherence, not only in autism but also in the other genetically related phenotypes. This study represents a step forward in evaluating the efficacy of artificial intelligence language models for capturing clinically important pragmatic differences and variability related to autism, showcasing the potential of artificial intelligence to provide automatized, efficient, and objective tools for pragmatic characterization to help advance the field. Lay abstract: Autism is clinically defined by challenges with social language, including difficulties offering on-topic language in a conversation. Similar differences are also seen in genetically related conditions such as fragile X syndrome (FXS), and even among those carrying autism-related genes who do not have clinical diagnoses (e.g., the first-degree relatives of autistic individuals and carriers of the FMR1 premutation), which suggests there are genetic influences on social language related to the genes involved in autism. Characterization of social language is therefore important for informing potential intervention strategies and understanding the causes of communication challenges in autism. However, current tools for characterizing social language in both clinical and research settings are very time and labor intensive. In this study, we test an automized computational method that may address this problem. We used a type of artificial intelligence known as pre-trained language model to measure aspects of social language in autistic individuals and their parents, non-autistic comparison groups, and individuals with FXS and the FMR1 premutation. Findings suggest that these artificial intelligence approaches were able to identify differences in social language in autism, and to provide insight into the individuals’ ability to keep a conversation on-topic. These findings also were associated with broader measures of participants’ social communication ability. This study is one of the first to use artificial intelligence models to capture important differences in social language in autism and genetically related groups, demonstrating how artificial intelligence might be used to provide automatized, efficient, and objective tools for language characterization.</t>
        </is>
      </c>
      <c r="K195" s="4" t="n"/>
      <c r="L195" s="4" t="inlineStr">
        <is>
          <t>Transformer</t>
        </is>
      </c>
      <c r="M195" s="4" t="inlineStr">
        <is>
          <t>Classification (binary/multi-class; incl. ASD vs control)/ multi-class)</t>
        </is>
      </c>
      <c r="N195" s="4" t="inlineStr">
        <is>
          <t>Monitoring/intervention</t>
        </is>
      </c>
      <c r="O195" s="4" t="inlineStr">
        <is>
          <t>high</t>
        </is>
      </c>
      <c r="P195" s="4" t="n">
        <v>1</v>
      </c>
      <c r="Q195" s="4" t="n">
        <v>0</v>
      </c>
      <c r="R195" s="4" t="n">
        <v>0</v>
      </c>
      <c r="S195" s="4" t="n">
        <v>0</v>
      </c>
      <c r="T195" s="4" t="n">
        <v>0</v>
      </c>
      <c r="U195" s="4" t="n">
        <v>0</v>
      </c>
      <c r="V195" s="4" t="n">
        <v>0</v>
      </c>
      <c r="W195" s="4" t="n">
        <v>0</v>
      </c>
      <c r="X195" s="4" t="n">
        <v>0</v>
      </c>
      <c r="Y195" s="4" t="n">
        <v>1</v>
      </c>
      <c r="Z195" s="4" t="n">
        <v>0</v>
      </c>
      <c r="AA195" s="4" t="n">
        <v>0</v>
      </c>
      <c r="AB195" s="4" t="inlineStr">
        <is>
          <t>1900-01-01</t>
        </is>
      </c>
      <c r="AC195" s="4" t="n">
        <v>0</v>
      </c>
      <c r="AD195" s="4" t="n">
        <v>0</v>
      </c>
      <c r="AE195" s="4" t="n">
        <v>0</v>
      </c>
      <c r="AF195" s="4" t="n">
        <v>0</v>
      </c>
      <c r="AG195" s="4" t="n">
        <v>0</v>
      </c>
      <c r="AH195" s="4" t="n">
        <v>1</v>
      </c>
      <c r="AI195" s="4" t="n">
        <v>0</v>
      </c>
      <c r="AJ195" s="4" t="inlineStr">
        <is>
          <t>1900-01-01</t>
        </is>
      </c>
      <c r="AK195" s="4" t="inlineStr">
        <is>
          <t>none_reported</t>
        </is>
      </c>
      <c r="AL195" s="4" t="n"/>
      <c r="AM195" s="4" t="inlineStr">
        <is>
          <t>RB</t>
        </is>
      </c>
      <c r="AN195" s="4" t="inlineStr">
        <is>
          <t>Tomado completo desde archivo RB según asignación</t>
        </is>
      </c>
      <c r="AO195" s="4" t="n">
        <v>0</v>
      </c>
      <c r="AP195" s="4" t="n">
        <v>0</v>
      </c>
      <c r="AQ195" s="4" t="n">
        <v>0</v>
      </c>
      <c r="AR195" s="4" t="n">
        <v>0</v>
      </c>
      <c r="AS195" s="4" t="n">
        <v>0</v>
      </c>
      <c r="AT195" s="4" t="n">
        <v>0</v>
      </c>
      <c r="AU195" s="4" t="n">
        <v>0</v>
      </c>
      <c r="AV195" s="4" t="n">
        <v>0</v>
      </c>
      <c r="AW195" s="4" t="inlineStr">
        <is>
          <t>finalized_from_available_evidence</t>
        </is>
      </c>
      <c r="AX195" s="4" t="inlineStr">
        <is>
          <t>0 means no reported evidence in title/abstract/notes/coding; it is not proof of true absence.</t>
        </is>
      </c>
    </row>
    <row r="196" ht="294" customHeight="1">
      <c r="A196" s="4" t="n">
        <v>195</v>
      </c>
      <c r="B196" s="4" t="n">
        <v>213</v>
      </c>
      <c r="C196" s="4" t="inlineStr">
        <is>
          <t>Revisor A</t>
        </is>
      </c>
      <c r="D196" s="4" t="inlineStr">
        <is>
          <t>RA</t>
        </is>
      </c>
      <c r="E196" s="4" t="n">
        <v>2015</v>
      </c>
      <c r="F196" s="4" t="inlineStr">
        <is>
          <t>Señales fisiológicas</t>
        </is>
      </c>
      <c r="G196" s="4" t="inlineStr">
        <is>
          <t>Deep Learning</t>
        </is>
      </c>
      <c r="H196" s="4" t="inlineStr">
        <is>
          <t>https://doi.org/10.1016/j.cortex.2014.08.011</t>
        </is>
      </c>
      <c r="I196" s="4" t="inlineStr">
        <is>
          <t>Resting state functional magnetic resonance imaging and neural network classified autism and control</t>
        </is>
      </c>
      <c r="J196" s="4" t="inlineStr">
        <is>
          <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t>
        </is>
      </c>
      <c r="K196" s="4" t="inlineStr">
        <is>
          <t>Supervised</t>
        </is>
      </c>
      <c r="L196" s="4" t="inlineStr">
        <is>
          <t>Other / Not clear</t>
        </is>
      </c>
      <c r="M196" s="4" t="inlineStr">
        <is>
          <t>Classification (ASD vs control / multi-class)</t>
        </is>
      </c>
      <c r="N196" s="4" t="inlineStr">
        <is>
          <t>Diagnosis</t>
        </is>
      </c>
      <c r="O196" s="4" t="inlineStr">
        <is>
          <t>High</t>
        </is>
      </c>
      <c r="P196" s="4" t="n">
        <v>1</v>
      </c>
      <c r="Q196" s="4" t="n">
        <v>0</v>
      </c>
      <c r="R196" s="4" t="n">
        <v>0</v>
      </c>
      <c r="S196" s="4" t="n">
        <v>0</v>
      </c>
      <c r="T196" s="4" t="n">
        <v>0</v>
      </c>
      <c r="U196" s="4" t="n">
        <v>0</v>
      </c>
      <c r="V196" s="4" t="n">
        <v>0</v>
      </c>
      <c r="W196" s="4" t="n">
        <v>0</v>
      </c>
      <c r="X196" s="4" t="n">
        <v>0</v>
      </c>
      <c r="Y196" s="4" t="n">
        <v>1</v>
      </c>
      <c r="Z196" s="4" t="n">
        <v>0</v>
      </c>
      <c r="AA196" s="4" t="n">
        <v>0</v>
      </c>
      <c r="AB196" s="4" t="inlineStr">
        <is>
          <t>1900-01-01</t>
        </is>
      </c>
      <c r="AC196" s="4" t="n">
        <v>0</v>
      </c>
      <c r="AD196" s="4" t="n">
        <v>0</v>
      </c>
      <c r="AE196" s="4" t="n">
        <v>0</v>
      </c>
      <c r="AF196" s="4" t="n">
        <v>0</v>
      </c>
      <c r="AG196" s="4" t="n">
        <v>1</v>
      </c>
      <c r="AH196" s="4" t="n">
        <v>1</v>
      </c>
      <c r="AI196" s="4" t="n"/>
      <c r="AJ196" s="4" t="n"/>
      <c r="AK196" s="4" t="inlineStr">
        <is>
          <t>multisite_dataset_broad</t>
        </is>
      </c>
      <c r="AL196" s="4" t="inlineStr">
        <is>
          <t>Algoritmo principal no explícito o fuera del codebook; Confirmar algoritmo principal en full-text</t>
        </is>
      </c>
      <c r="AM196" s="4" t="inlineStr">
        <is>
          <t>RA</t>
        </is>
      </c>
      <c r="AN196" s="4" t="inlineStr">
        <is>
          <t>Tomado completo desde archivo RA según asignación</t>
        </is>
      </c>
      <c r="AO196" s="4" t="n">
        <v>0</v>
      </c>
      <c r="AP196" s="4" t="n">
        <v>0</v>
      </c>
      <c r="AQ196" s="4" t="n">
        <v>1</v>
      </c>
      <c r="AR196" s="4" t="n">
        <v>0</v>
      </c>
      <c r="AS196" s="4" t="n">
        <v>0</v>
      </c>
      <c r="AT196" s="4" t="n">
        <v>0</v>
      </c>
      <c r="AU196" s="4" t="n">
        <v>0</v>
      </c>
      <c r="AV196" s="4" t="n">
        <v>0</v>
      </c>
      <c r="AW196" s="4" t="inlineStr">
        <is>
          <t>finalized_from_available_evidence</t>
        </is>
      </c>
      <c r="AX196" s="4" t="inlineStr">
        <is>
          <t>0 means no reported evidence in title/abstract/notes/coding; it is not proof of true absence.</t>
        </is>
      </c>
    </row>
    <row r="197" ht="346" customHeight="1">
      <c r="A197" s="4" t="n">
        <v>196</v>
      </c>
      <c r="B197" s="4" t="n">
        <v>214</v>
      </c>
      <c r="C197" s="4" t="inlineStr">
        <is>
          <t>Revisor B</t>
        </is>
      </c>
      <c r="D197" s="4" t="n"/>
      <c r="E197" s="4" t="n">
        <v>2021</v>
      </c>
      <c r="F197" s="4" t="inlineStr">
        <is>
          <t>Imagen</t>
        </is>
      </c>
      <c r="G197" s="4" t="inlineStr">
        <is>
          <t>Deep Learning</t>
        </is>
      </c>
      <c r="H197" s="4" t="inlineStr">
        <is>
          <t>https://doi.org/10.1109/EMBC46164.2021.9630150</t>
        </is>
      </c>
      <c r="I197" s="4" t="inlineStr">
        <is>
          <t>Self-Paced Learning and Privileged Information based Cascaded Multi-column Classification algorithm for ASD diagnosis</t>
        </is>
      </c>
      <c r="J197" s="4" t="inlineStr">
        <is>
          <t>Autism spectrum disorder (ASD) is one of the most serious mental disorder in children. Machine learning based computer aided diagnosis (CAD) on resting-state functional magnetic resonance imaging (rs-fMRI) for ASD has attracted widespread attention. In recent years, learning using privileged information (LUPI), a supervised transfer learning method, has been generally used on multi-modality cases, which can transfer knowledge from source domain to target domain in order to improve the prediction capability on the target domain. However, multi-modality data is difficult to collect in clinical cases. LUPI method without introducing additional imaging modality images is worth further study. Random vector function link network plus (RVFL+) is a LUPI diagnosis algorithm, which has been proven to be effective for classification tasks. In this work, we proposed a self-paced learning based cascaded multi-column RVFL+ algorithm (SPL-cmcRVFL+) for ASD diagnosis. Initial classification model is trained using RVFL on the single-modal data (e.g. rs-fMRI). The output of the initial layer is then sent as privileged information (PI) to train the next layer of classification model. During this process, samples are selected using self-paced learning (SPL), which can adaptively select simple to difficult samples according to the loss value. The procedure is repeated until all samples are included. Experimental results show that our proposed method can accurately identify ASD and normal control, and outperforms other methods by a relatively higher classification accuracy.</t>
        </is>
      </c>
      <c r="K197" s="4" t="inlineStr">
        <is>
          <t>Supervised</t>
        </is>
      </c>
      <c r="L197" s="4" t="inlineStr">
        <is>
          <t>Other</t>
        </is>
      </c>
      <c r="M197" s="4" t="inlineStr">
        <is>
          <t>Classification (binary/multi-class; incl. ASD vs control)/ multi-class)</t>
        </is>
      </c>
      <c r="N197" s="4" t="inlineStr">
        <is>
          <t>Diagnosis</t>
        </is>
      </c>
      <c r="O197" s="4" t="inlineStr">
        <is>
          <t>high</t>
        </is>
      </c>
      <c r="P197" s="4" t="n">
        <v>0</v>
      </c>
      <c r="Q197" s="4" t="n">
        <v>0</v>
      </c>
      <c r="R197" s="4" t="n">
        <v>0</v>
      </c>
      <c r="S197" s="4" t="n">
        <v>0</v>
      </c>
      <c r="T197" s="4" t="n">
        <v>0</v>
      </c>
      <c r="U197" s="4" t="n">
        <v>0</v>
      </c>
      <c r="V197" s="4" t="n">
        <v>1</v>
      </c>
      <c r="W197" s="4" t="n">
        <v>0</v>
      </c>
      <c r="X197" s="4" t="n">
        <v>1</v>
      </c>
      <c r="Y197" s="4" t="n">
        <v>0</v>
      </c>
      <c r="Z197" s="4" t="n">
        <v>0</v>
      </c>
      <c r="AA197" s="4" t="n">
        <v>1</v>
      </c>
      <c r="AB197" s="4" t="inlineStr">
        <is>
          <t>1900-01-01</t>
        </is>
      </c>
      <c r="AC197" s="4" t="n">
        <v>0</v>
      </c>
      <c r="AD197" s="4" t="n">
        <v>0</v>
      </c>
      <c r="AE197" s="4" t="n">
        <v>0</v>
      </c>
      <c r="AF197" s="4" t="n">
        <v>0</v>
      </c>
      <c r="AG197" s="4" t="n">
        <v>0</v>
      </c>
      <c r="AH197" s="4" t="n">
        <v>1</v>
      </c>
      <c r="AI197" s="4" t="n">
        <v>1</v>
      </c>
      <c r="AJ197" s="4" t="inlineStr">
        <is>
          <t>1900-01-01</t>
        </is>
      </c>
      <c r="AK197" s="4" t="inlineStr">
        <is>
          <t>none_reported</t>
        </is>
      </c>
      <c r="AL197" s="4" t="n"/>
      <c r="AM197" s="4" t="inlineStr">
        <is>
          <t>RB</t>
        </is>
      </c>
      <c r="AN197" s="4" t="inlineStr">
        <is>
          <t>Tomado completo desde archivo RB según asignación</t>
        </is>
      </c>
      <c r="AO197" s="4" t="n">
        <v>0</v>
      </c>
      <c r="AP197" s="4" t="n">
        <v>0</v>
      </c>
      <c r="AQ197" s="4" t="n">
        <v>0</v>
      </c>
      <c r="AR197" s="4" t="n">
        <v>0</v>
      </c>
      <c r="AS197" s="4" t="n">
        <v>0</v>
      </c>
      <c r="AT197" s="4" t="n">
        <v>0</v>
      </c>
      <c r="AU197" s="4" t="n">
        <v>0</v>
      </c>
      <c r="AV197" s="4" t="n">
        <v>0</v>
      </c>
      <c r="AW197" s="4" t="inlineStr">
        <is>
          <t>finalized_from_available_evidence</t>
        </is>
      </c>
      <c r="AX197" s="4" t="inlineStr">
        <is>
          <t>0 means no reported evidence in title/abstract/notes/coding; it is not proof of true absence.</t>
        </is>
      </c>
    </row>
    <row r="198" ht="320" customHeight="1">
      <c r="A198" s="4" t="n">
        <v>197</v>
      </c>
      <c r="B198" s="4" t="n">
        <v>215</v>
      </c>
      <c r="C198" s="4" t="inlineStr">
        <is>
          <t>Revisor B</t>
        </is>
      </c>
      <c r="D198" s="4" t="n"/>
      <c r="E198" s="4" t="n">
        <v>2024</v>
      </c>
      <c r="F198" s="4" t="inlineStr">
        <is>
          <t>Señales fisiológicas</t>
        </is>
      </c>
      <c r="G198" s="4" t="inlineStr">
        <is>
          <t>Deep Learning</t>
        </is>
      </c>
      <c r="H198" s="4" t="inlineStr">
        <is>
          <t>https://doi.org/10.1145/3699749</t>
        </is>
      </c>
      <c r="I198" s="4" t="inlineStr">
        <is>
          <t>Smartphone Haptics Can Uncover Differences in Touch Interactions Between ASD and Neurotypicals</t>
        </is>
      </c>
      <c r="J198" s="4" t="inlineStr">
        <is>
          <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t>
        </is>
      </c>
      <c r="K198" s="4" t="inlineStr">
        <is>
          <t>Supervised</t>
        </is>
      </c>
      <c r="L198" s="4" t="inlineStr">
        <is>
          <t>Logistic Regression</t>
        </is>
      </c>
      <c r="M198" s="4" t="inlineStr">
        <is>
          <t>Classification (binary/multi-class; incl. ASD vs control)/ multi-class)</t>
        </is>
      </c>
      <c r="N198" s="4" t="inlineStr">
        <is>
          <t>Screening</t>
        </is>
      </c>
      <c r="O198" s="4" t="inlineStr">
        <is>
          <t>high</t>
        </is>
      </c>
      <c r="P198" s="4" t="n">
        <v>0</v>
      </c>
      <c r="Q198" s="4" t="n">
        <v>0</v>
      </c>
      <c r="R198" s="4" t="n">
        <v>0</v>
      </c>
      <c r="S198" s="4" t="n">
        <v>0</v>
      </c>
      <c r="T198" s="4" t="n">
        <v>0</v>
      </c>
      <c r="U198" s="4" t="n">
        <v>1</v>
      </c>
      <c r="V198" s="4" t="n">
        <v>0</v>
      </c>
      <c r="W198" s="4" t="n">
        <v>0</v>
      </c>
      <c r="X198" s="4" t="n">
        <v>0</v>
      </c>
      <c r="Y198" s="4" t="n">
        <v>1</v>
      </c>
      <c r="Z198" s="4" t="n">
        <v>0</v>
      </c>
      <c r="AA198" s="4" t="n">
        <v>1</v>
      </c>
      <c r="AB198" s="4" t="inlineStr">
        <is>
          <t>1900-01-01</t>
        </is>
      </c>
      <c r="AC198" s="4" t="n">
        <v>0</v>
      </c>
      <c r="AD198" s="4" t="n">
        <v>0</v>
      </c>
      <c r="AE198" s="4" t="n">
        <v>0</v>
      </c>
      <c r="AF198" s="4" t="n">
        <v>0</v>
      </c>
      <c r="AG198" s="4" t="n">
        <v>1</v>
      </c>
      <c r="AH198" s="4" t="n">
        <v>1</v>
      </c>
      <c r="AI198" s="4" t="n">
        <v>0</v>
      </c>
      <c r="AJ198" s="4" t="inlineStr">
        <is>
          <t>00:00:00</t>
        </is>
      </c>
      <c r="AK198" s="4" t="inlineStr">
        <is>
          <t>none_reported</t>
        </is>
      </c>
      <c r="AL198" s="4" t="n"/>
      <c r="AM198" s="4" t="inlineStr">
        <is>
          <t>RB</t>
        </is>
      </c>
      <c r="AN198" s="4" t="inlineStr">
        <is>
          <t>Tomado completo desde archivo RB según asignación</t>
        </is>
      </c>
      <c r="AO198" s="4" t="n">
        <v>0</v>
      </c>
      <c r="AP198" s="4" t="n">
        <v>0</v>
      </c>
      <c r="AQ198" s="4" t="n">
        <v>0</v>
      </c>
      <c r="AR198" s="4" t="n">
        <v>0</v>
      </c>
      <c r="AS198" s="4" t="n">
        <v>0</v>
      </c>
      <c r="AT198" s="4" t="n">
        <v>0</v>
      </c>
      <c r="AU198" s="4" t="n">
        <v>0</v>
      </c>
      <c r="AV198" s="4" t="n">
        <v>0</v>
      </c>
      <c r="AW198" s="4" t="inlineStr">
        <is>
          <t>finalized_from_available_evidence</t>
        </is>
      </c>
      <c r="AX198" s="4" t="inlineStr">
        <is>
          <t>0 means no reported evidence in title/abstract/notes/coding; it is not proof of true absence.</t>
        </is>
      </c>
    </row>
    <row r="199" ht="409" customHeight="1">
      <c r="A199" s="4" t="n">
        <v>198</v>
      </c>
      <c r="B199" s="4" t="n">
        <v>216</v>
      </c>
      <c r="C199" s="4" t="inlineStr">
        <is>
          <t>Revisor B</t>
        </is>
      </c>
      <c r="D199" s="4" t="n"/>
      <c r="E199" s="4" t="n">
        <v>2025</v>
      </c>
      <c r="F199" s="4" t="inlineStr">
        <is>
          <t>No especificado</t>
        </is>
      </c>
      <c r="G199" s="4" t="inlineStr">
        <is>
          <t>Machine Learning</t>
        </is>
      </c>
      <c r="H199" s="4" t="inlineStr">
        <is>
          <t>https://doi.org/10.1007/s11011-025-01604-y</t>
        </is>
      </c>
      <c r="I199" s="4" t="inlineStr">
        <is>
          <t>Targeted metabolomics in children with autism spectrum disorder with and without developmental regression</t>
        </is>
      </c>
      <c r="J199" s="4" t="inlineStr">
        <is>
          <t>Early diagnosis and intervention in children with autism spectrum disorder (ASD) is crucial. At present, diagnosis of ASD is primarily based on subjective tools. Identifying metabolic biomarkers will aid in early diagnosis of ASD complementing the assessment tools. The study aimed to conduct targeted metabolomic analysis and determine the plasma metabolites that can discriminate children with ASD from typically developing children (TD), and to determine the utility of machine learning in classifying ASD children based on the metabotypes. This was a multi-centric, analytical, case-control study conducted between April 2021–April 2023. Fasting plasma samples were obtained from seventy ASD and fifty-eight TD children, aged 2 to 12 years. Samples were quantitively analysed for 52 targeted metabolites (13 amino acids, 37 acylcarnitines, adenosine and 2-deoxyadenosine levels) using tandem mass spectrometry. An in-depth statistical analysis was performed. A total of 26 metabolites (11 amino acids, 14 acyl carnitines and adenosine) were found to be significantly (p &lt; 0.005) different between ASD and TD children. Adenosine and amino acid levels were significantly decreased in ASD children. Among acyl carnitines, short- and long-chain acyl carnitine levels were significantly decreased, while medium-chain acyl carnitine levels were significantly increased in ASD children. Octenoylcarnitine-C8:1 (Cut-off value- 0.025 mmol/L, AUC- 0.683) and adenosine (Cut-off value- 0.025 mmol/L, AUC- 0.673) were found to predict children with ASD at a sensitivity of 55.7% and 57.1%, specificity of 79.3% and 72.4% respectively. Based on the metabolites, machine learning models like Support Vector Machine (SVM) and Random Forest (RF) were able to discriminate ASD from TD children with the classification accuracy score being highest in RF (79.487%, AUC- 0.800). Significant abnormalities in plasma metabolites were observed leading to disturbances in the Krebs cycle, urea cycle and fatty acid oxidation, suggesting mitochondrial dysfunction that may possibly contribute in the pathobiology of ASD. Octenoylcarnitine-C8:1 and Adenosine may serve as potential metabolic biomarkers for ASD.</t>
        </is>
      </c>
      <c r="K199" s="4" t="inlineStr">
        <is>
          <t>Supervised</t>
        </is>
      </c>
      <c r="L199" s="4" t="inlineStr">
        <is>
          <t>Random Forest</t>
        </is>
      </c>
      <c r="M199" s="4" t="inlineStr">
        <is>
          <t>Classification (binary/multi-class; incl. ASD vs control)/ multi-class)</t>
        </is>
      </c>
      <c r="N199" s="4" t="inlineStr">
        <is>
          <t>diagnosis</t>
        </is>
      </c>
      <c r="O199" s="4" t="inlineStr">
        <is>
          <t>high</t>
        </is>
      </c>
      <c r="P199" s="4" t="n">
        <v>1</v>
      </c>
      <c r="Q199" s="4" t="n">
        <v>0</v>
      </c>
      <c r="R199" s="4" t="n">
        <v>0</v>
      </c>
      <c r="S199" s="4" t="n">
        <v>0</v>
      </c>
      <c r="T199" s="4" t="n">
        <v>0</v>
      </c>
      <c r="U199" s="4" t="n">
        <v>0</v>
      </c>
      <c r="V199" s="4" t="n">
        <v>0</v>
      </c>
      <c r="W199" s="4" t="n">
        <v>0</v>
      </c>
      <c r="X199" s="4" t="n">
        <v>0</v>
      </c>
      <c r="Y199" s="4" t="n">
        <v>1</v>
      </c>
      <c r="Z199" s="4" t="n">
        <v>0</v>
      </c>
      <c r="AA199" s="4" t="n">
        <v>0</v>
      </c>
      <c r="AB199" s="4" t="inlineStr">
        <is>
          <t>1900-01-01</t>
        </is>
      </c>
      <c r="AC199" s="4" t="n">
        <v>0</v>
      </c>
      <c r="AD199" s="4" t="n">
        <v>0</v>
      </c>
      <c r="AE199" s="4" t="n">
        <v>0</v>
      </c>
      <c r="AF199" s="4" t="n">
        <v>0</v>
      </c>
      <c r="AG199" s="4" t="n">
        <v>0</v>
      </c>
      <c r="AH199" s="4" t="n">
        <v>1</v>
      </c>
      <c r="AI199" s="4" t="n">
        <v>0</v>
      </c>
      <c r="AJ199" s="4" t="inlineStr">
        <is>
          <t>1900-01-01</t>
        </is>
      </c>
      <c r="AK199" s="4" t="inlineStr">
        <is>
          <t>none_reported</t>
        </is>
      </c>
      <c r="AL199" s="4" t="n"/>
      <c r="AM199" s="4" t="inlineStr">
        <is>
          <t>RB</t>
        </is>
      </c>
      <c r="AN199" s="4" t="inlineStr">
        <is>
          <t>Tomado completo desde archivo RB según asignación</t>
        </is>
      </c>
      <c r="AO199" s="4" t="n">
        <v>0</v>
      </c>
      <c r="AP199" s="4" t="n">
        <v>0</v>
      </c>
      <c r="AQ199" s="4" t="n">
        <v>0</v>
      </c>
      <c r="AR199" s="4" t="n">
        <v>0</v>
      </c>
      <c r="AS199" s="4" t="n">
        <v>0</v>
      </c>
      <c r="AT199" s="4" t="n">
        <v>0</v>
      </c>
      <c r="AU199" s="4" t="n">
        <v>0</v>
      </c>
      <c r="AV199" s="4" t="n">
        <v>0</v>
      </c>
      <c r="AW199" s="4" t="inlineStr">
        <is>
          <t>finalized_from_available_evidence</t>
        </is>
      </c>
      <c r="AX199" s="4" t="inlineStr">
        <is>
          <t>0 means no reported evidence in title/abstract/notes/coding; it is not proof of true absence.</t>
        </is>
      </c>
    </row>
    <row r="200" ht="320" customHeight="1">
      <c r="A200" s="4" t="n">
        <v>199</v>
      </c>
      <c r="B200" s="4" t="n">
        <v>217</v>
      </c>
      <c r="C200" s="4" t="inlineStr">
        <is>
          <t>Revisor B</t>
        </is>
      </c>
      <c r="D200" s="4" t="n"/>
      <c r="E200" s="4" t="n">
        <v>2024</v>
      </c>
      <c r="F200" s="4" t="inlineStr">
        <is>
          <t>Imagen</t>
        </is>
      </c>
      <c r="G200" s="4" t="inlineStr">
        <is>
          <t>Deep Learning</t>
        </is>
      </c>
      <c r="H200" s="4" t="inlineStr">
        <is>
          <t>https://doi.org/10.1038/s41598-024-71174-z</t>
        </is>
      </c>
      <c r="I200" s="4" t="inlineStr">
        <is>
          <t>Twinned neuroimaging analysis contributes to improving the classification of young people with autism spectrum disorder</t>
        </is>
      </c>
      <c r="J200" s="4" t="inlineStr">
        <is>
          <t>Autism spectrum disorder (ASD) is diagnosed using comprehensive behavioral information. Neuroimaging offers additional information but lacks clinical utility for diagnosis. This study investigates whether multi-forms of magnetic resonance imaging (MRI) contrast can be used individually and in combination to produce a categorical classification of young individuals with ASD. MRI data were accessed from the Autism Brain Imaging Data Exchange (ABIDE). Young participants (ages 2–30) were selected, and two group cohorts consisted of 702 participants: 351 ASD and 351 controls. Image-based classification was performed using one-channel and two-channel inputs to 3D-DenseNet deep learning networks. The models were trained and tested using tenfold cross-validation. Two-channel models were twinned with combinations of structural MRI (sMRI) maps and amplitude of low-frequency fluctuations (ALFF) or fractional ALFF (fALFF) maps from resting-state functional MRI (rs-fMRI). All models produced classification accuracy that exceeded 65.1%. The two-channel ALFF-sMRI model achieved the highest mean accuracy of 76.9% ± 2.34. The one-channel ALFF-based model alone had mean accuracy of 72% ± 3.1. This study leveraged the ABIDE dataset to produce ASD classification results that are comparable and/or exceed literature values. The deep learning approach was conducive to diverse neuroimaging inputs. Findings reveal that the ALFF-sMRI two-channel model outperformed all others.</t>
        </is>
      </c>
      <c r="K200" s="4" t="inlineStr">
        <is>
          <t>Supervised</t>
        </is>
      </c>
      <c r="L200" s="4" t="inlineStr">
        <is>
          <t>CNN</t>
        </is>
      </c>
      <c r="M200" s="4" t="inlineStr">
        <is>
          <t>Classification (binary/multi-class; incl. ASD vs control)/ multi-class)</t>
        </is>
      </c>
      <c r="N200" s="4" t="inlineStr">
        <is>
          <t>Diagnosis</t>
        </is>
      </c>
      <c r="O200" s="4" t="inlineStr">
        <is>
          <t>medium</t>
        </is>
      </c>
      <c r="P200" s="4" t="n">
        <v>0</v>
      </c>
      <c r="Q200" s="4" t="n">
        <v>0</v>
      </c>
      <c r="R200" s="4" t="n">
        <v>0</v>
      </c>
      <c r="S200" s="4" t="n">
        <v>0</v>
      </c>
      <c r="T200" s="4" t="n">
        <v>0</v>
      </c>
      <c r="U200" s="4" t="n">
        <v>0</v>
      </c>
      <c r="V200" s="4" t="n">
        <v>0</v>
      </c>
      <c r="W200" s="4" t="n">
        <v>0</v>
      </c>
      <c r="X200" s="4" t="n">
        <v>1</v>
      </c>
      <c r="Y200" s="4" t="n">
        <v>1</v>
      </c>
      <c r="Z200" s="4" t="n">
        <v>0</v>
      </c>
      <c r="AA200" s="4" t="n">
        <v>0</v>
      </c>
      <c r="AB200" s="4" t="inlineStr">
        <is>
          <t>1900-01-01</t>
        </is>
      </c>
      <c r="AC200" s="4" t="n">
        <v>0</v>
      </c>
      <c r="AD200" s="4" t="n">
        <v>0</v>
      </c>
      <c r="AE200" s="4" t="n">
        <v>0</v>
      </c>
      <c r="AF200" s="4" t="n">
        <v>0</v>
      </c>
      <c r="AG200" s="4" t="n">
        <v>0</v>
      </c>
      <c r="AH200" s="4" t="n">
        <v>0</v>
      </c>
      <c r="AI200" s="4" t="n">
        <v>0</v>
      </c>
      <c r="AJ200" s="4" t="inlineStr">
        <is>
          <t>1900-01-01</t>
        </is>
      </c>
      <c r="AK200" s="4" t="inlineStr">
        <is>
          <t>multisite_dataset_broad; internal_validation_only</t>
        </is>
      </c>
      <c r="AL200" s="4" t="n"/>
      <c r="AM200" s="4" t="inlineStr">
        <is>
          <t>RB</t>
        </is>
      </c>
      <c r="AN200" s="4" t="inlineStr">
        <is>
          <t>Tomado completo desde archivo RB según asignación</t>
        </is>
      </c>
      <c r="AO200" s="4" t="n">
        <v>0</v>
      </c>
      <c r="AP200" s="4" t="n">
        <v>0</v>
      </c>
      <c r="AQ200" s="4" t="n">
        <v>1</v>
      </c>
      <c r="AR200" s="4" t="n">
        <v>1</v>
      </c>
      <c r="AS200" s="4" t="n">
        <v>0</v>
      </c>
      <c r="AT200" s="4" t="n">
        <v>0</v>
      </c>
      <c r="AU200" s="4" t="n">
        <v>0</v>
      </c>
      <c r="AV200" s="4" t="n">
        <v>0</v>
      </c>
      <c r="AW200" s="4" t="inlineStr">
        <is>
          <t>finalized_from_available_evidence</t>
        </is>
      </c>
      <c r="AX200" s="4" t="inlineStr">
        <is>
          <t>0 means no reported evidence in title/abstract/notes/coding; it is not proof of true absence.</t>
        </is>
      </c>
    </row>
    <row r="201" ht="333" customHeight="1">
      <c r="A201" s="4" t="n">
        <v>200</v>
      </c>
      <c r="B201" s="4" t="n">
        <v>218</v>
      </c>
      <c r="C201" s="4" t="inlineStr">
        <is>
          <t>Revisor A</t>
        </is>
      </c>
      <c r="D201" s="4" t="inlineStr">
        <is>
          <t>RA</t>
        </is>
      </c>
      <c r="E201" s="4" t="n">
        <v>2022</v>
      </c>
      <c r="F201" s="4" t="inlineStr">
        <is>
          <t>Imagen</t>
        </is>
      </c>
      <c r="G201" s="4" t="inlineStr">
        <is>
          <t>Deep Learning</t>
        </is>
      </c>
      <c r="H201" s="4" t="inlineStr">
        <is>
          <t>https://doi.org/10.1007/s13042-022-01554-2</t>
        </is>
      </c>
      <c r="I201" s="4" t="inlineStr">
        <is>
          <t>Using a small dataset to classify strength-interactions with an elastic display: a case study for the screening of autism spectrum disorder</t>
        </is>
      </c>
      <c r="J201" s="4" t="inlineStr">
        <is>
          <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t>
        </is>
      </c>
      <c r="K201" s="4" t="inlineStr">
        <is>
          <t>Supervised</t>
        </is>
      </c>
      <c r="L201" s="4" t="inlineStr">
        <is>
          <t>Other / Not clear</t>
        </is>
      </c>
      <c r="M201" s="4" t="inlineStr">
        <is>
          <t>Classification (ASD vs control / multi-class)</t>
        </is>
      </c>
      <c r="N201" s="4" t="inlineStr">
        <is>
          <t>Screening</t>
        </is>
      </c>
      <c r="O201" s="4" t="inlineStr">
        <is>
          <t>Medium</t>
        </is>
      </c>
      <c r="P201" s="4" t="n">
        <v>0</v>
      </c>
      <c r="Q201" s="4" t="n">
        <v>0</v>
      </c>
      <c r="R201" s="4" t="n">
        <v>0</v>
      </c>
      <c r="S201" s="4" t="n">
        <v>0</v>
      </c>
      <c r="T201" s="4" t="n">
        <v>0</v>
      </c>
      <c r="U201" s="4" t="n">
        <v>0</v>
      </c>
      <c r="V201" s="4" t="n">
        <v>1</v>
      </c>
      <c r="W201" s="4" t="n">
        <v>0</v>
      </c>
      <c r="X201" s="4" t="n">
        <v>1</v>
      </c>
      <c r="Y201" s="4" t="n">
        <v>0</v>
      </c>
      <c r="Z201" s="4" t="n">
        <v>0</v>
      </c>
      <c r="AA201" s="4" t="n">
        <v>0</v>
      </c>
      <c r="AB201" s="4" t="inlineStr">
        <is>
          <t>1900-01-01</t>
        </is>
      </c>
      <c r="AC201" s="4" t="n">
        <v>0</v>
      </c>
      <c r="AD201" s="4" t="n">
        <v>0</v>
      </c>
      <c r="AE201" s="4" t="n">
        <v>0</v>
      </c>
      <c r="AF201" s="4" t="n">
        <v>0</v>
      </c>
      <c r="AG201" s="4" t="n">
        <v>1</v>
      </c>
      <c r="AH201" s="4" t="n">
        <v>1</v>
      </c>
      <c r="AI201" s="4" t="inlineStr">
        <is>
          <t>sensor / other</t>
        </is>
      </c>
      <c r="AJ201" s="4" t="n"/>
      <c r="AK201" s="4" t="inlineStr">
        <is>
          <t>none_reported</t>
        </is>
      </c>
      <c r="AL201" s="4" t="inlineStr">
        <is>
          <t>Algoritmo principal no explícito o fuera del codebook; Confirmar algoritmo principal en full-text</t>
        </is>
      </c>
      <c r="AM201" s="4" t="inlineStr">
        <is>
          <t>RA</t>
        </is>
      </c>
      <c r="AN201" s="4" t="inlineStr">
        <is>
          <t>Tomado completo desde archivo RA según asignación</t>
        </is>
      </c>
      <c r="AO201" s="4" t="n">
        <v>0</v>
      </c>
      <c r="AP201" s="4" t="n">
        <v>0</v>
      </c>
      <c r="AQ201" s="4" t="n">
        <v>0</v>
      </c>
      <c r="AR201" s="4" t="n">
        <v>0</v>
      </c>
      <c r="AS201" s="4" t="n">
        <v>0</v>
      </c>
      <c r="AT201" s="4" t="n">
        <v>0</v>
      </c>
      <c r="AU201" s="4" t="n">
        <v>0</v>
      </c>
      <c r="AV201" s="4" t="n">
        <v>0</v>
      </c>
      <c r="AW201" s="4" t="inlineStr">
        <is>
          <t>finalized_from_available_evidence</t>
        </is>
      </c>
      <c r="AX201" s="4" t="inlineStr">
        <is>
          <t>0 means no reported evidence in title/abstract/notes/coding; it is not proof of true absence.</t>
        </is>
      </c>
    </row>
    <row r="202" ht="320" customHeight="1">
      <c r="A202" s="4" t="n">
        <v>201</v>
      </c>
      <c r="B202" s="4" t="n">
        <v>219</v>
      </c>
      <c r="C202" s="4" t="inlineStr">
        <is>
          <t>Revisor B</t>
        </is>
      </c>
      <c r="D202" s="4" t="n"/>
      <c r="E202" s="4" t="n">
        <v>2024</v>
      </c>
      <c r="F202" s="4" t="inlineStr">
        <is>
          <t>Imagen</t>
        </is>
      </c>
      <c r="G202" s="4" t="inlineStr">
        <is>
          <t>Deep Learning</t>
        </is>
      </c>
      <c r="H202" s="4" t="inlineStr">
        <is>
          <t>https://doi.org/10.1007/s11596-024-2938-3</t>
        </is>
      </c>
      <c r="I202" s="4" t="inlineStr">
        <is>
          <t>Wearable EEG Neurofeedback Based-on Machine Learning Algorithms for Children with Autism: A Randomized, Placebo-controlled Study</t>
        </is>
      </c>
      <c r="J202" s="4" t="inlineStr">
        <is>
          <t>Objective: Behavioral interventions have been shown to ameliorate the electroencephalogram (EEG) dynamics underlying the behavioral symptoms of autism spectrum disorder (ASD), while studies have also demonstrated that mirror neuron mu rhythm-based EEG neurofeedback training improves the behavioral functioning of individuals with ASD. This study aimed to test the effects of a wearable mu rhythm neurofeedback training system based on machine learning algorithms for children with autism. Methods: A randomized, placebo-controlled study was carried out on 60 participants aged 3 to 6 years who were diagnosed with autism, at two center-based intervention sites. The neurofeedback group received active mu rhythm neurofeedback training, while the control group received a sham neurofeedback training. Other behavioral intervention programs were similar between the two groups. Results: After 60 sessions of treatment, both groups showed significant improvements in several domains including language, social and problem behavior. The neurofeedback group showed significantly greater improvements in expressive language (P=0.013) and cognitive awareness (including joint attention, P=0.003) than did the placebo-controlled group. Conclusion: Artificial intelligence-powered wearable EEG neurofeedback, as a type of brain-computer interface application, is a promising assistive technology that can provide targeted intervention for the core brain mechanisms underlying ASD symptoms.</t>
        </is>
      </c>
      <c r="K202" s="4" t="n"/>
      <c r="L202" s="4" t="n"/>
      <c r="M202" s="4" t="inlineStr">
        <is>
          <t>Wearable EEG neurofeedback intervention</t>
        </is>
      </c>
      <c r="N202" s="4" t="inlineStr">
        <is>
          <t>Monitoring/intervention</t>
        </is>
      </c>
      <c r="O202" s="4" t="n"/>
      <c r="P202" s="4" t="n"/>
      <c r="Q202" s="4" t="n"/>
      <c r="R202" s="4" t="n"/>
      <c r="S202" s="4" t="n"/>
      <c r="T202" s="4" t="n"/>
      <c r="U202" s="4" t="n"/>
      <c r="V202" s="4" t="n"/>
      <c r="W202" s="4" t="n">
        <v>0</v>
      </c>
      <c r="X202" s="4" t="n">
        <v>0</v>
      </c>
      <c r="Y202" s="4" t="n">
        <v>0</v>
      </c>
      <c r="Z202" s="4" t="n">
        <v>0</v>
      </c>
      <c r="AA202" s="4" t="n">
        <v>1</v>
      </c>
      <c r="AB202" s="4" t="inlineStr">
        <is>
          <t>1900-01-01</t>
        </is>
      </c>
      <c r="AC202" s="4" t="n">
        <v>0</v>
      </c>
      <c r="AD202" s="4" t="n">
        <v>0</v>
      </c>
      <c r="AE202" s="4" t="n">
        <v>0</v>
      </c>
      <c r="AF202" s="4" t="n">
        <v>0</v>
      </c>
      <c r="AG202" s="4" t="n"/>
      <c r="AH202" s="4" t="n"/>
      <c r="AI202" s="4" t="n"/>
      <c r="AJ202" s="4" t="inlineStr">
        <is>
          <t>1900-01-01</t>
        </is>
      </c>
      <c r="AK202" s="4" t="inlineStr">
        <is>
          <t>multisite_dataset_broad</t>
        </is>
      </c>
      <c r="AL202" s="4" t="inlineStr">
        <is>
          <t>Menciona two center-based intervention sites; señal multisitio preliminar.</t>
        </is>
      </c>
      <c r="AM202" s="4" t="inlineStr">
        <is>
          <t>RA_fallback</t>
        </is>
      </c>
      <c r="AN202" s="4" t="inlineStr">
        <is>
          <t>Fallback a RA porque el ID no está en RB</t>
        </is>
      </c>
      <c r="AO202" s="4" t="n">
        <v>1</v>
      </c>
      <c r="AP202" s="4" t="n">
        <v>0</v>
      </c>
      <c r="AQ202" s="4" t="n">
        <v>1</v>
      </c>
      <c r="AR202" s="4" t="n">
        <v>0</v>
      </c>
      <c r="AS202" s="4" t="n">
        <v>0</v>
      </c>
      <c r="AT202" s="4" t="n">
        <v>0</v>
      </c>
      <c r="AU202" s="4" t="n">
        <v>0</v>
      </c>
      <c r="AV202" s="4" t="n">
        <v>0</v>
      </c>
      <c r="AW202" s="4" t="inlineStr">
        <is>
          <t>finalized_from_available_evidence</t>
        </is>
      </c>
      <c r="AX202" s="4" t="inlineStr">
        <is>
          <t>0 means no reported evidence in title/abstract/notes/coding; it is not proof of true absence.</t>
        </is>
      </c>
    </row>
    <row r="203" ht="333" customHeight="1">
      <c r="A203" s="4" t="n">
        <v>202</v>
      </c>
      <c r="B203" s="4" t="n">
        <v>220</v>
      </c>
      <c r="C203" s="4" t="inlineStr">
        <is>
          <t>Revisor B</t>
        </is>
      </c>
      <c r="D203" s="4" t="n"/>
      <c r="E203" s="4" t="n">
        <v>2025</v>
      </c>
      <c r="F203" s="4" t="inlineStr">
        <is>
          <t>No especificado</t>
        </is>
      </c>
      <c r="G203" s="4" t="inlineStr">
        <is>
          <t>Deep Learning</t>
        </is>
      </c>
      <c r="H203" s="4" t="inlineStr">
        <is>
          <t>https://doi.org/10.1007/s00521-025-11208-3</t>
        </is>
      </c>
      <c r="I203" s="4" t="inlineStr">
        <is>
          <t>1D-convolutional neural network and fast Walsh–Hadamard transform approach for diagnosing autism spectrum disorder</t>
        </is>
      </c>
      <c r="J203" s="4" t="inlineStr">
        <is>
          <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t>
        </is>
      </c>
      <c r="K203" s="4" t="inlineStr">
        <is>
          <t>Supervised</t>
        </is>
      </c>
      <c r="L203" s="4" t="inlineStr">
        <is>
          <t>CNN</t>
        </is>
      </c>
      <c r="M203" s="4" t="inlineStr">
        <is>
          <t>Classification (binary/multi-class; incl. ASD vs control)/ multi-class)</t>
        </is>
      </c>
      <c r="N203" s="4" t="inlineStr">
        <is>
          <t>diagnosis</t>
        </is>
      </c>
      <c r="O203" s="4" t="inlineStr">
        <is>
          <t>high</t>
        </is>
      </c>
      <c r="P203" s="4" t="n">
        <v>0</v>
      </c>
      <c r="Q203" s="4" t="n">
        <v>0</v>
      </c>
      <c r="R203" s="4" t="n">
        <v>0</v>
      </c>
      <c r="S203" s="4" t="n">
        <v>0</v>
      </c>
      <c r="T203" s="4" t="n">
        <v>0</v>
      </c>
      <c r="U203" s="4" t="n">
        <v>0</v>
      </c>
      <c r="V203" s="4" t="n">
        <v>0</v>
      </c>
      <c r="W203" s="4" t="n">
        <v>0</v>
      </c>
      <c r="X203" s="4" t="n">
        <v>0</v>
      </c>
      <c r="Y203" s="4" t="n">
        <v>1</v>
      </c>
      <c r="Z203" s="4" t="n">
        <v>0</v>
      </c>
      <c r="AA203" s="4" t="n">
        <v>0</v>
      </c>
      <c r="AB203" s="4" t="inlineStr">
        <is>
          <t>1900-01-01</t>
        </is>
      </c>
      <c r="AC203" s="4" t="n">
        <v>0</v>
      </c>
      <c r="AD203" s="4" t="n">
        <v>0</v>
      </c>
      <c r="AE203" s="4" t="n">
        <v>0</v>
      </c>
      <c r="AF203" s="4" t="n">
        <v>0</v>
      </c>
      <c r="AG203" s="4" t="n">
        <v>1</v>
      </c>
      <c r="AH203" s="4" t="n">
        <v>0</v>
      </c>
      <c r="AI203" s="4" t="n">
        <v>0</v>
      </c>
      <c r="AJ203" s="4" t="inlineStr">
        <is>
          <t>00:00:00</t>
        </is>
      </c>
      <c r="AK203" s="4" t="inlineStr">
        <is>
          <t>none_reported</t>
        </is>
      </c>
      <c r="AL203" s="4" t="n"/>
      <c r="AM203" s="4" t="inlineStr">
        <is>
          <t>RB</t>
        </is>
      </c>
      <c r="AN203" s="4" t="inlineStr">
        <is>
          <t>Tomado completo desde archivo RB según asignación</t>
        </is>
      </c>
      <c r="AO203" s="4" t="n">
        <v>0</v>
      </c>
      <c r="AP203" s="4" t="n">
        <v>0</v>
      </c>
      <c r="AQ203" s="4" t="n">
        <v>0</v>
      </c>
      <c r="AR203" s="4" t="n">
        <v>0</v>
      </c>
      <c r="AS203" s="4" t="n">
        <v>0</v>
      </c>
      <c r="AT203" s="4" t="n">
        <v>0</v>
      </c>
      <c r="AU203" s="4" t="n">
        <v>0</v>
      </c>
      <c r="AV203" s="4" t="n">
        <v>0</v>
      </c>
      <c r="AW203" s="4" t="inlineStr">
        <is>
          <t>finalized_from_available_evidence</t>
        </is>
      </c>
      <c r="AX203" s="4" t="inlineStr">
        <is>
          <t>0 means no reported evidence in title/abstract/notes/coding; it is not proof of true absence.</t>
        </is>
      </c>
    </row>
    <row r="204" ht="409" customHeight="1">
      <c r="A204" s="4" t="n">
        <v>203</v>
      </c>
      <c r="B204" s="4" t="n">
        <v>221</v>
      </c>
      <c r="C204" s="4" t="inlineStr">
        <is>
          <t>Revisor A</t>
        </is>
      </c>
      <c r="D204" s="4" t="inlineStr">
        <is>
          <t>RA</t>
        </is>
      </c>
      <c r="E204" s="4" t="n">
        <v>2023</v>
      </c>
      <c r="F204" s="4" t="inlineStr">
        <is>
          <t>No especificado</t>
        </is>
      </c>
      <c r="G204" s="4" t="inlineStr">
        <is>
          <t>Machine Learning</t>
        </is>
      </c>
      <c r="H204" s="4" t="inlineStr">
        <is>
          <t>https://doi.org/10.1186/S12859-023-05501-Y</t>
        </is>
      </c>
      <c r="I204" s="4" t="inlineStr">
        <is>
          <t>A hybrid Stacking-SMOTE model for optimizing the prediction of autistic genes</t>
        </is>
      </c>
      <c r="J204" s="4" t="inlineStr">
        <is>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t>
        </is>
      </c>
      <c r="K204" s="4" t="inlineStr">
        <is>
          <t>Supervised</t>
        </is>
      </c>
      <c r="L204" s="4" t="inlineStr">
        <is>
          <t>Other / Not clear</t>
        </is>
      </c>
      <c r="M204" s="4" t="inlineStr">
        <is>
          <t>Prediction (time-to-event / prognosis)</t>
        </is>
      </c>
      <c r="N204" s="4" t="inlineStr">
        <is>
          <t>Diagnosis</t>
        </is>
      </c>
      <c r="O204" s="4" t="inlineStr">
        <is>
          <t>High</t>
        </is>
      </c>
      <c r="P204" s="4" t="n">
        <v>0</v>
      </c>
      <c r="Q204" s="4" t="n">
        <v>0</v>
      </c>
      <c r="R204" s="4" t="n">
        <v>0</v>
      </c>
      <c r="S204" s="4" t="n">
        <v>0</v>
      </c>
      <c r="T204" s="4" t="n">
        <v>0</v>
      </c>
      <c r="U204" s="4" t="n">
        <v>1</v>
      </c>
      <c r="V204" s="4" t="n">
        <v>0</v>
      </c>
      <c r="W204" s="4" t="n">
        <v>0</v>
      </c>
      <c r="X204" s="4" t="n">
        <v>0</v>
      </c>
      <c r="Y204" s="4" t="n">
        <v>1</v>
      </c>
      <c r="Z204" s="4" t="n">
        <v>0</v>
      </c>
      <c r="AA204" s="4" t="n">
        <v>0</v>
      </c>
      <c r="AB204" s="4" t="inlineStr">
        <is>
          <t>00:00:00</t>
        </is>
      </c>
      <c r="AC204" s="4" t="n">
        <v>0</v>
      </c>
      <c r="AD204" s="4" t="n">
        <v>0</v>
      </c>
      <c r="AE204" s="4" t="n">
        <v>0</v>
      </c>
      <c r="AF204" s="4" t="n">
        <v>0</v>
      </c>
      <c r="AG204" s="4" t="n">
        <v>1</v>
      </c>
      <c r="AH204" s="4" t="n">
        <v>1</v>
      </c>
      <c r="AI204" s="4" t="n"/>
      <c r="AJ204" s="4" t="n"/>
      <c r="AK204" s="4" t="inlineStr">
        <is>
          <t>none_reported</t>
        </is>
      </c>
      <c r="AL204" s="4" t="inlineStr">
        <is>
          <t>Algoritmo principal no explícito o fuera del codebook; Confirmar algoritmo principal en full-text</t>
        </is>
      </c>
      <c r="AM204" s="4" t="inlineStr">
        <is>
          <t>RA</t>
        </is>
      </c>
      <c r="AN204" s="4" t="inlineStr">
        <is>
          <t>Tomado completo desde archivo RA según asignación</t>
        </is>
      </c>
      <c r="AO204" s="4" t="n">
        <v>0</v>
      </c>
      <c r="AP204" s="4" t="n">
        <v>0</v>
      </c>
      <c r="AQ204" s="4" t="n">
        <v>0</v>
      </c>
      <c r="AR204" s="4" t="n">
        <v>0</v>
      </c>
      <c r="AS204" s="4" t="n">
        <v>0</v>
      </c>
      <c r="AT204" s="4" t="n">
        <v>0</v>
      </c>
      <c r="AU204" s="4" t="n">
        <v>0</v>
      </c>
      <c r="AV204" s="4" t="n">
        <v>0</v>
      </c>
      <c r="AW204" s="4" t="inlineStr">
        <is>
          <t>finalized_from_available_evidence</t>
        </is>
      </c>
      <c r="AX204" s="4" t="inlineStr">
        <is>
          <t>0 means no reported evidence in title/abstract/notes/coding; it is not proof of true absence.</t>
        </is>
      </c>
    </row>
    <row r="205" ht="409" customHeight="1">
      <c r="A205" s="4" t="n">
        <v>204</v>
      </c>
      <c r="B205" s="4" t="n">
        <v>222</v>
      </c>
      <c r="C205" s="4" t="inlineStr">
        <is>
          <t>Revisor A</t>
        </is>
      </c>
      <c r="D205" s="4" t="inlineStr">
        <is>
          <t>RA</t>
        </is>
      </c>
      <c r="E205" s="4" t="n">
        <v>2021</v>
      </c>
      <c r="F205" s="4" t="inlineStr">
        <is>
          <t>Imagen</t>
        </is>
      </c>
      <c r="G205" s="4" t="inlineStr">
        <is>
          <t>Machine Learning</t>
        </is>
      </c>
      <c r="H205" s="4" t="inlineStr">
        <is>
          <t>https://doi.org/10.1002/AUR.2595</t>
        </is>
      </c>
      <c r="I205" s="4" t="inlineStr">
        <is>
          <t>An amygdala-centered hyper-connectivity signature of threatening face processing predicts anxiety in youths with autism spectrum conditions</t>
        </is>
      </c>
      <c r="J205" s="4" t="inlineStr">
        <is>
          <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t>
        </is>
      </c>
      <c r="K205" s="4" t="inlineStr">
        <is>
          <t>Supervised</t>
        </is>
      </c>
      <c r="L205" s="4" t="inlineStr">
        <is>
          <t>SVM</t>
        </is>
      </c>
      <c r="M205" s="4" t="inlineStr">
        <is>
          <t>Prediction (time-to-event / prognosis)</t>
        </is>
      </c>
      <c r="N205" s="4" t="inlineStr">
        <is>
          <t>Monitoring/intervention</t>
        </is>
      </c>
      <c r="O205" s="4" t="inlineStr">
        <is>
          <t>High</t>
        </is>
      </c>
      <c r="P205" s="4" t="n">
        <v>1</v>
      </c>
      <c r="Q205" s="4" t="n">
        <v>0</v>
      </c>
      <c r="R205" s="4" t="n">
        <v>0</v>
      </c>
      <c r="S205" s="4" t="n">
        <v>0</v>
      </c>
      <c r="T205" s="4" t="n">
        <v>0</v>
      </c>
      <c r="U205" s="4" t="n">
        <v>0</v>
      </c>
      <c r="V205" s="4" t="n">
        <v>0</v>
      </c>
      <c r="W205" s="4" t="n">
        <v>0</v>
      </c>
      <c r="X205" s="4" t="n">
        <v>0</v>
      </c>
      <c r="Y205" s="4" t="n">
        <v>0</v>
      </c>
      <c r="Z205" s="4" t="n">
        <v>1</v>
      </c>
      <c r="AA205" s="4" t="n">
        <v>1</v>
      </c>
      <c r="AB205" s="4" t="inlineStr">
        <is>
          <t>00:00:00</t>
        </is>
      </c>
      <c r="AC205" s="4" t="n">
        <v>0</v>
      </c>
      <c r="AD205" s="4" t="n">
        <v>0</v>
      </c>
      <c r="AE205" s="4" t="n">
        <v>0</v>
      </c>
      <c r="AF205" s="4" t="n">
        <v>0</v>
      </c>
      <c r="AG205" s="4" t="n">
        <v>1</v>
      </c>
      <c r="AH205" s="4" t="n">
        <v>1</v>
      </c>
      <c r="AI205" s="4" t="n"/>
      <c r="AJ205" s="4" t="n"/>
      <c r="AK205" s="4" t="inlineStr">
        <is>
          <t>none_reported</t>
        </is>
      </c>
      <c r="AL205" s="4" t="inlineStr">
        <is>
          <t>Usa fMRI de procesamiento de amenaza para predecir ansiedad en jóvenes con ASC.</t>
        </is>
      </c>
      <c r="AM205" s="4" t="inlineStr">
        <is>
          <t>RA</t>
        </is>
      </c>
      <c r="AN205" s="4" t="inlineStr">
        <is>
          <t>Tomado completo desde archivo RA según asignación</t>
        </is>
      </c>
      <c r="AO205" s="4" t="n">
        <v>0</v>
      </c>
      <c r="AP205" s="4" t="n">
        <v>0</v>
      </c>
      <c r="AQ205" s="4" t="n">
        <v>0</v>
      </c>
      <c r="AR205" s="4" t="n">
        <v>0</v>
      </c>
      <c r="AS205" s="4" t="n">
        <v>0</v>
      </c>
      <c r="AT205" s="4" t="n">
        <v>0</v>
      </c>
      <c r="AU205" s="4" t="n">
        <v>0</v>
      </c>
      <c r="AV205" s="4" t="n">
        <v>0</v>
      </c>
      <c r="AW205" s="4" t="inlineStr">
        <is>
          <t>finalized_from_available_evidence</t>
        </is>
      </c>
      <c r="AX205" s="4" t="inlineStr">
        <is>
          <t>0 means no reported evidence in title/abstract/notes/coding; it is not proof of true absence.</t>
        </is>
      </c>
    </row>
    <row r="206" ht="281" customHeight="1">
      <c r="A206" s="4" t="n">
        <v>205</v>
      </c>
      <c r="B206" s="4" t="n">
        <v>223</v>
      </c>
      <c r="C206" s="4" t="inlineStr">
        <is>
          <t>Revisor B</t>
        </is>
      </c>
      <c r="D206" s="4" t="n"/>
      <c r="E206" s="4" t="n">
        <v>2024</v>
      </c>
      <c r="F206" s="4" t="inlineStr">
        <is>
          <t>No especificado</t>
        </is>
      </c>
      <c r="G206" s="4" t="inlineStr">
        <is>
          <t>Machine Learning</t>
        </is>
      </c>
      <c r="H206" s="4" t="inlineStr">
        <is>
          <t>https://doi.org/10.1002/CPE.7898</t>
        </is>
      </c>
      <c r="I206" s="4" t="inlineStr">
        <is>
          <t>An effective autism spectrum disorder screening method using machine learning classification techniques</t>
        </is>
      </c>
      <c r="J206" s="4" t="inlineStr">
        <is>
          <t>Nowadays, autism spectrum disorder (ASD) is one of the fastest-growing developmental disorders globally. Screening test consumes more time and expensive to detect the autism signs. Due to advances in artificial intelligence and machine learning (ML), Autism can be predicted at the initial stage. Numerous researches have been conducted using different methods, but none of these researches presented any anticipated results about the capability to predict autism traits under different age groups. Therefore, this paper proposes an effectual prediction method based upon ML strategy to develop a mobile application for predicting ASD of any age people. The autism prediction model is developed by five ML classifiers, such as Gaussian Naive Bayes, Decision Tree Classifier, K-Nearest Neighbors (KNN), Multinomial Logistic Regression (MLR), Support Vector Machine (SVM) and also a mobile application is developed using proposed prediction method. The proposed method is analyzed with IAPQ records gathered from certain areas in Erode district, Tamil Nadu, India. From the analysis, the SVM classifier achieves maximum sensitivity of 23.14%, 6.04%, 5.89%, 11.03% than other classifiers, like Gaussian Naive Bayes, Decision Tree Classifier, KNN, and MLR.</t>
        </is>
      </c>
      <c r="K206" s="4" t="inlineStr">
        <is>
          <t>Supervised</t>
        </is>
      </c>
      <c r="L206" s="4" t="inlineStr">
        <is>
          <t>SVM</t>
        </is>
      </c>
      <c r="M206" s="4" t="inlineStr">
        <is>
          <t>Classification (binary/multi-class; incl. ASD vs control)/ multi-class)</t>
        </is>
      </c>
      <c r="N206" s="4" t="inlineStr">
        <is>
          <t>Diagnosis</t>
        </is>
      </c>
      <c r="O206" s="4" t="inlineStr">
        <is>
          <t>high</t>
        </is>
      </c>
      <c r="P206" s="4" t="n">
        <v>0</v>
      </c>
      <c r="Q206" s="4" t="n">
        <v>1</v>
      </c>
      <c r="R206" s="4" t="n">
        <v>1</v>
      </c>
      <c r="S206" s="4" t="n">
        <v>0</v>
      </c>
      <c r="T206" s="4" t="n">
        <v>0</v>
      </c>
      <c r="U206" s="4" t="n">
        <v>0</v>
      </c>
      <c r="V206" s="4" t="n">
        <v>0</v>
      </c>
      <c r="W206" s="4" t="n">
        <v>0</v>
      </c>
      <c r="X206" s="4" t="n">
        <v>0</v>
      </c>
      <c r="Y206" s="4" t="n">
        <v>0</v>
      </c>
      <c r="Z206" s="4" t="n">
        <v>0</v>
      </c>
      <c r="AA206" s="4" t="n">
        <v>0</v>
      </c>
      <c r="AB206" s="4" t="inlineStr">
        <is>
          <t>1900-01-01</t>
        </is>
      </c>
      <c r="AC206" s="4" t="n">
        <v>0</v>
      </c>
      <c r="AD206" s="4" t="n">
        <v>0</v>
      </c>
      <c r="AE206" s="4" t="n">
        <v>0</v>
      </c>
      <c r="AF206" s="4" t="n">
        <v>1</v>
      </c>
      <c r="AG206" s="4" t="n">
        <v>0</v>
      </c>
      <c r="AH206" s="4" t="n">
        <v>2</v>
      </c>
      <c r="AI206" s="4" t="n">
        <v>0</v>
      </c>
      <c r="AJ206" s="4" t="inlineStr">
        <is>
          <t>1900-01-01</t>
        </is>
      </c>
      <c r="AK206" s="4" t="inlineStr">
        <is>
          <t>multisource_integration</t>
        </is>
      </c>
      <c r="AL206" s="4" t="n"/>
      <c r="AM206" s="4" t="inlineStr">
        <is>
          <t>RB</t>
        </is>
      </c>
      <c r="AN206" s="4" t="inlineStr">
        <is>
          <t>Tomado completo desde archivo RB según asignación</t>
        </is>
      </c>
      <c r="AO206" s="4" t="n">
        <v>0</v>
      </c>
      <c r="AP206" s="4" t="n">
        <v>0</v>
      </c>
      <c r="AQ206" s="4" t="n">
        <v>0</v>
      </c>
      <c r="AR206" s="4" t="n">
        <v>0</v>
      </c>
      <c r="AS206" s="4" t="n">
        <v>0</v>
      </c>
      <c r="AT206" s="4" t="n">
        <v>0</v>
      </c>
      <c r="AU206" s="4" t="n">
        <v>0</v>
      </c>
      <c r="AV206" s="4" t="n">
        <v>1</v>
      </c>
      <c r="AW206" s="4" t="inlineStr">
        <is>
          <t>finalized_from_available_evidence</t>
        </is>
      </c>
      <c r="AX206" s="4" t="inlineStr">
        <is>
          <t>0 means no reported evidence in title/abstract/notes/coding; it is not proof of true absence.</t>
        </is>
      </c>
    </row>
    <row r="207" ht="359" customHeight="1">
      <c r="A207" s="4" t="n">
        <v>206</v>
      </c>
      <c r="B207" s="4" t="n">
        <v>224</v>
      </c>
      <c r="C207" s="4" t="inlineStr">
        <is>
          <t>Revisor B</t>
        </is>
      </c>
      <c r="D207" s="4" t="n"/>
      <c r="E207" s="4" t="n">
        <v>2025</v>
      </c>
      <c r="F207" s="4" t="inlineStr">
        <is>
          <t>Señales fisiológicas</t>
        </is>
      </c>
      <c r="G207" s="4" t="inlineStr">
        <is>
          <t>Deep Learning</t>
        </is>
      </c>
      <c r="H207" s="4" t="inlineStr">
        <is>
          <t>https://doi.org/10.1016/j.cmpb.2025.108921</t>
        </is>
      </c>
      <c r="I207" s="4" t="inlineStr">
        <is>
          <t>An ensemble classifier for emotion classification from EEG and GSR signals for autism detection</t>
        </is>
      </c>
      <c r="J207" s="4"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K207" s="4" t="n"/>
      <c r="L207" s="4" t="n"/>
      <c r="M207" s="4" t="inlineStr">
        <is>
          <t>Emotion classification / physiological monitoring</t>
        </is>
      </c>
      <c r="N207" s="4" t="inlineStr">
        <is>
          <t>Monitoring/intervention</t>
        </is>
      </c>
      <c r="O207" s="4" t="inlineStr">
        <is>
          <t>medium</t>
        </is>
      </c>
      <c r="P207" s="4" t="n">
        <v>0</v>
      </c>
      <c r="Q207" s="4" t="n">
        <v>0</v>
      </c>
      <c r="R207" s="4" t="n">
        <v>1</v>
      </c>
      <c r="S207" s="4" t="n">
        <v>0</v>
      </c>
      <c r="T207" s="4" t="n">
        <v>0</v>
      </c>
      <c r="U207" s="4" t="n">
        <v>0</v>
      </c>
      <c r="V207" s="4" t="n">
        <v>0</v>
      </c>
      <c r="W207" s="4" t="n">
        <v>0</v>
      </c>
      <c r="X207" s="4" t="n">
        <v>0</v>
      </c>
      <c r="Y207" s="4" t="n">
        <v>0</v>
      </c>
      <c r="Z207" s="4" t="n">
        <v>0</v>
      </c>
      <c r="AA207" s="4" t="n">
        <v>1</v>
      </c>
      <c r="AB207" s="4" t="inlineStr">
        <is>
          <t>1900-01-01</t>
        </is>
      </c>
      <c r="AC207" s="4" t="n">
        <v>0</v>
      </c>
      <c r="AD207" s="4" t="n">
        <v>0</v>
      </c>
      <c r="AE207" s="4" t="n">
        <v>0</v>
      </c>
      <c r="AF207" s="4" t="n">
        <v>1</v>
      </c>
      <c r="AG207" s="4" t="n">
        <v>0</v>
      </c>
      <c r="AH207" s="4" t="n">
        <v>1</v>
      </c>
      <c r="AI207" s="4" t="n">
        <v>0</v>
      </c>
      <c r="AJ207" s="4" t="inlineStr">
        <is>
          <t>1900-01-01</t>
        </is>
      </c>
      <c r="AK207" s="4" t="inlineStr">
        <is>
          <t>multisource_integration</t>
        </is>
      </c>
      <c r="AL207" s="4" t="n"/>
      <c r="AM207" s="4" t="inlineStr">
        <is>
          <t>RB</t>
        </is>
      </c>
      <c r="AN207" s="4" t="inlineStr">
        <is>
          <t>Tomado completo desde archivo RB según asignación</t>
        </is>
      </c>
      <c r="AO207" s="4" t="n">
        <v>0</v>
      </c>
      <c r="AP207" s="4" t="n">
        <v>0</v>
      </c>
      <c r="AQ207" s="4" t="n">
        <v>0</v>
      </c>
      <c r="AR207" s="4" t="n">
        <v>0</v>
      </c>
      <c r="AS207" s="4" t="n">
        <v>0</v>
      </c>
      <c r="AT207" s="4" t="n">
        <v>0</v>
      </c>
      <c r="AU207" s="4" t="n">
        <v>0</v>
      </c>
      <c r="AV207" s="4" t="n">
        <v>1</v>
      </c>
      <c r="AW207" s="4" t="inlineStr">
        <is>
          <t>finalized_from_available_evidence</t>
        </is>
      </c>
      <c r="AX207" s="4" t="inlineStr">
        <is>
          <t>0 means no reported evidence in title/abstract/notes/coding; it is not proof of true absence.</t>
        </is>
      </c>
    </row>
    <row r="208" ht="177" customHeight="1">
      <c r="A208" s="4" t="n">
        <v>207</v>
      </c>
      <c r="B208" s="4" t="n">
        <v>225</v>
      </c>
      <c r="C208" s="4" t="inlineStr">
        <is>
          <t>Revisor A</t>
        </is>
      </c>
      <c r="D208" s="4" t="inlineStr">
        <is>
          <t>RA</t>
        </is>
      </c>
      <c r="E208" s="4" t="n">
        <v>2019</v>
      </c>
      <c r="F208" s="4" t="inlineStr">
        <is>
          <t>Imagen</t>
        </is>
      </c>
      <c r="G208" s="4" t="inlineStr">
        <is>
          <t>Deep Learning</t>
        </is>
      </c>
      <c r="H208" s="4" t="inlineStr">
        <is>
          <t>https://doi.org/10.1007/s10803-018-3690-y</t>
        </is>
      </c>
      <c r="I208" s="4" t="inlineStr">
        <is>
          <t>Applying Eye Tracking to Identify Autism Spectrum Disorder in Children</t>
        </is>
      </c>
      <c r="J208" s="4" t="inlineStr">
        <is>
          <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t>
        </is>
      </c>
      <c r="K208" s="4" t="inlineStr">
        <is>
          <t>Supervised</t>
        </is>
      </c>
      <c r="L208" s="4" t="inlineStr">
        <is>
          <t>Other / Not clear</t>
        </is>
      </c>
      <c r="M208" s="4" t="inlineStr">
        <is>
          <t>Classification (ASD vs control / multi-class)</t>
        </is>
      </c>
      <c r="N208" s="4" t="inlineStr">
        <is>
          <t>Screening</t>
        </is>
      </c>
      <c r="O208" s="4" t="inlineStr">
        <is>
          <t>High</t>
        </is>
      </c>
      <c r="P208" s="4" t="n">
        <v>0</v>
      </c>
      <c r="Q208" s="4" t="n">
        <v>0</v>
      </c>
      <c r="R208" s="4" t="n">
        <v>1</v>
      </c>
      <c r="S208" s="4" t="n">
        <v>0</v>
      </c>
      <c r="T208" s="4" t="n">
        <v>0</v>
      </c>
      <c r="U208" s="4" t="n">
        <v>0</v>
      </c>
      <c r="V208" s="4" t="n">
        <v>0</v>
      </c>
      <c r="W208" s="4" t="n">
        <v>0</v>
      </c>
      <c r="X208" s="4" t="n">
        <v>1</v>
      </c>
      <c r="Y208" s="4" t="n">
        <v>0</v>
      </c>
      <c r="Z208" s="4" t="n">
        <v>0</v>
      </c>
      <c r="AA208" s="4" t="n">
        <v>0</v>
      </c>
      <c r="AB208" s="4" t="inlineStr">
        <is>
          <t>1900-01-01</t>
        </is>
      </c>
      <c r="AC208" s="4" t="n">
        <v>0</v>
      </c>
      <c r="AD208" s="4" t="n">
        <v>0</v>
      </c>
      <c r="AE208" s="4" t="n">
        <v>0</v>
      </c>
      <c r="AF208" s="4" t="n">
        <v>0</v>
      </c>
      <c r="AG208" s="4" t="n">
        <v>1</v>
      </c>
      <c r="AH208" s="4" t="n">
        <v>1</v>
      </c>
      <c r="AI208" s="4" t="n"/>
      <c r="AJ208" s="4" t="n"/>
      <c r="AK208" s="4" t="inlineStr">
        <is>
          <t>none_reported</t>
        </is>
      </c>
      <c r="AL208" s="4" t="inlineStr">
        <is>
          <t>Algoritmo principal no explícito o fuera del codebook; Confirmar algoritmo principal en full-text</t>
        </is>
      </c>
      <c r="AM208" s="4" t="inlineStr">
        <is>
          <t>RA</t>
        </is>
      </c>
      <c r="AN208" s="4" t="inlineStr">
        <is>
          <t>Tomado completo desde archivo RA según asignación</t>
        </is>
      </c>
      <c r="AO208" s="4" t="n">
        <v>0</v>
      </c>
      <c r="AP208" s="4" t="n">
        <v>0</v>
      </c>
      <c r="AQ208" s="4" t="n">
        <v>0</v>
      </c>
      <c r="AR208" s="4" t="n">
        <v>0</v>
      </c>
      <c r="AS208" s="4" t="n">
        <v>0</v>
      </c>
      <c r="AT208" s="4" t="n">
        <v>0</v>
      </c>
      <c r="AU208" s="4" t="n">
        <v>0</v>
      </c>
      <c r="AV208" s="4" t="n">
        <v>0</v>
      </c>
      <c r="AW208" s="4" t="inlineStr">
        <is>
          <t>finalized_from_available_evidence</t>
        </is>
      </c>
      <c r="AX208" s="4" t="inlineStr">
        <is>
          <t>0 means no reported evidence in title/abstract/notes/coding; it is not proof of true absence.</t>
        </is>
      </c>
    </row>
    <row r="209" ht="229" customHeight="1">
      <c r="A209" s="4" t="n">
        <v>208</v>
      </c>
      <c r="B209" s="4" t="n">
        <v>226</v>
      </c>
      <c r="C209" s="4" t="inlineStr">
        <is>
          <t>Revisor A</t>
        </is>
      </c>
      <c r="D209" s="4" t="inlineStr">
        <is>
          <t>RA</t>
        </is>
      </c>
      <c r="E209" s="4" t="n">
        <v>2023</v>
      </c>
      <c r="F209" s="4" t="inlineStr">
        <is>
          <t>Imagen</t>
        </is>
      </c>
      <c r="G209" s="4" t="inlineStr">
        <is>
          <t>Deep Learning</t>
        </is>
      </c>
      <c r="H209" s="4" t="inlineStr">
        <is>
          <t>https://doi.org/10.1016/j.compeleceng.2023.108720</t>
        </is>
      </c>
      <c r="I209" s="4" t="inlineStr">
        <is>
          <t>Artificial intelligence and sensor-based autism spectrum disorder diagnosis using brain connectivity analysis</t>
        </is>
      </c>
      <c r="J209" s="4" t="inlineStr">
        <is>
          <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t>
        </is>
      </c>
      <c r="K209" s="4" t="inlineStr">
        <is>
          <t>Supervised</t>
        </is>
      </c>
      <c r="L209" s="4" t="inlineStr">
        <is>
          <t>Other / Not clear</t>
        </is>
      </c>
      <c r="M209" s="4" t="inlineStr">
        <is>
          <t>Classification (ASD vs control / multi-class)</t>
        </is>
      </c>
      <c r="N209" s="4" t="inlineStr">
        <is>
          <t>Diagnosis</t>
        </is>
      </c>
      <c r="O209" s="4" t="inlineStr">
        <is>
          <t>Medium</t>
        </is>
      </c>
      <c r="P209" s="4" t="n">
        <v>1</v>
      </c>
      <c r="Q209" s="4" t="n">
        <v>0</v>
      </c>
      <c r="R209" s="4" t="n">
        <v>0</v>
      </c>
      <c r="S209" s="4" t="n">
        <v>0</v>
      </c>
      <c r="T209" s="4" t="n">
        <v>0</v>
      </c>
      <c r="U209" s="4" t="n">
        <v>0</v>
      </c>
      <c r="V209" s="4" t="n">
        <v>0</v>
      </c>
      <c r="W209" s="4" t="n">
        <v>0</v>
      </c>
      <c r="X209" s="4" t="n">
        <v>0</v>
      </c>
      <c r="Y209" s="4" t="n">
        <v>1</v>
      </c>
      <c r="Z209" s="4" t="n">
        <v>0</v>
      </c>
      <c r="AA209" s="4" t="n">
        <v>0</v>
      </c>
      <c r="AB209" s="4" t="inlineStr">
        <is>
          <t>1900-01-01</t>
        </is>
      </c>
      <c r="AC209" s="4" t="n">
        <v>0</v>
      </c>
      <c r="AD209" s="4" t="n">
        <v>0</v>
      </c>
      <c r="AE209" s="4" t="n">
        <v>0</v>
      </c>
      <c r="AF209" s="4" t="n">
        <v>0</v>
      </c>
      <c r="AG209" s="4" t="n">
        <v>1</v>
      </c>
      <c r="AH209" s="4" t="n">
        <v>1</v>
      </c>
      <c r="AI209" s="4" t="inlineStr">
        <is>
          <t>sensor / other</t>
        </is>
      </c>
      <c r="AJ209" s="4" t="n"/>
      <c r="AK209" s="4" t="inlineStr">
        <is>
          <t>none_reported</t>
        </is>
      </c>
      <c r="AL209" s="4" t="inlineStr">
        <is>
          <t>Algoritmo principal no explícito o fuera del codebook; Confirmar algoritmo principal en full-text</t>
        </is>
      </c>
      <c r="AM209" s="4" t="inlineStr">
        <is>
          <t>RA</t>
        </is>
      </c>
      <c r="AN209" s="4" t="inlineStr">
        <is>
          <t>Tomado completo desde archivo RA según asignación</t>
        </is>
      </c>
      <c r="AO209" s="4" t="n">
        <v>0</v>
      </c>
      <c r="AP209" s="4" t="n">
        <v>0</v>
      </c>
      <c r="AQ209" s="4" t="n">
        <v>0</v>
      </c>
      <c r="AR209" s="4" t="n">
        <v>0</v>
      </c>
      <c r="AS209" s="4" t="n">
        <v>0</v>
      </c>
      <c r="AT209" s="4" t="n">
        <v>0</v>
      </c>
      <c r="AU209" s="4" t="n">
        <v>0</v>
      </c>
      <c r="AV209" s="4" t="n">
        <v>0</v>
      </c>
      <c r="AW209" s="4" t="inlineStr">
        <is>
          <t>finalized_from_available_evidence</t>
        </is>
      </c>
      <c r="AX209" s="4" t="inlineStr">
        <is>
          <t>0 means no reported evidence in title/abstract/notes/coding; it is not proof of true absence.</t>
        </is>
      </c>
    </row>
    <row r="210" ht="346" customHeight="1">
      <c r="A210" s="4" t="n">
        <v>209</v>
      </c>
      <c r="B210" s="4" t="n">
        <v>227</v>
      </c>
      <c r="C210" s="4" t="inlineStr">
        <is>
          <t>Revisor B</t>
        </is>
      </c>
      <c r="D210" s="4" t="n"/>
      <c r="E210" s="4" t="n">
        <v>2024</v>
      </c>
      <c r="F210" s="4" t="inlineStr">
        <is>
          <t>Imagen</t>
        </is>
      </c>
      <c r="G210" s="4" t="inlineStr">
        <is>
          <t>Híbrido</t>
        </is>
      </c>
      <c r="H210" s="4" t="inlineStr">
        <is>
          <t>https://doi.org/10.1109/TLT.2024.3409702</t>
        </is>
      </c>
      <c r="I210" s="4" t="inlineStr">
        <is>
          <t>Attention Level Evaluation in Children With Autism: Leveraging Head Pose and Gaze Parameters From Videos for Educational Intervention</t>
        </is>
      </c>
      <c r="J210" s="4" t="inlineStr">
        <is>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is>
      </c>
      <c r="K210" s="4" t="n"/>
      <c r="L210" s="4" t="n"/>
      <c r="M210" s="4" t="inlineStr">
        <is>
          <t>Attention evaluation for educational intervention</t>
        </is>
      </c>
      <c r="N210" s="4" t="inlineStr">
        <is>
          <t>Monitoring/intervention</t>
        </is>
      </c>
      <c r="O210" s="4" t="n"/>
      <c r="P210" s="4" t="n"/>
      <c r="Q210" s="4" t="n"/>
      <c r="R210" s="4" t="n"/>
      <c r="S210" s="4" t="n"/>
      <c r="T210" s="4" t="n"/>
      <c r="U210" s="4" t="n"/>
      <c r="V210" s="4" t="n"/>
      <c r="W210" s="4" t="n">
        <v>0</v>
      </c>
      <c r="X210" s="4" t="n">
        <v>0</v>
      </c>
      <c r="Y210" s="4" t="n">
        <v>0</v>
      </c>
      <c r="Z210" s="4" t="n">
        <v>0</v>
      </c>
      <c r="AA210" s="4" t="n">
        <v>1</v>
      </c>
      <c r="AB210" s="4" t="inlineStr">
        <is>
          <t>1900-01-01</t>
        </is>
      </c>
      <c r="AC210" s="4" t="n">
        <v>0</v>
      </c>
      <c r="AD210" s="4" t="n">
        <v>0</v>
      </c>
      <c r="AE210" s="4" t="n">
        <v>0</v>
      </c>
      <c r="AF210" s="4" t="n">
        <v>1</v>
      </c>
      <c r="AG210" s="4" t="n"/>
      <c r="AH210" s="4" t="n"/>
      <c r="AI210" s="4" t="n"/>
      <c r="AJ210" s="4" t="inlineStr">
        <is>
          <t>1900-01-01</t>
        </is>
      </c>
      <c r="AK210" s="4" t="inlineStr">
        <is>
          <t>multisource_integration</t>
        </is>
      </c>
      <c r="AL210" s="4" t="inlineStr">
        <is>
          <t>Combina señales conductuales y estrategia explícita de ensemble.</t>
        </is>
      </c>
      <c r="AM210" s="4" t="inlineStr">
        <is>
          <t>RA_fallback</t>
        </is>
      </c>
      <c r="AN210" s="4" t="inlineStr">
        <is>
          <t>Fallback a RA porque el ID no está en RB</t>
        </is>
      </c>
      <c r="AO210" s="4" t="n">
        <v>1</v>
      </c>
      <c r="AP210" s="4" t="n">
        <v>0</v>
      </c>
      <c r="AQ210" s="4" t="n">
        <v>0</v>
      </c>
      <c r="AR210" s="4" t="n">
        <v>0</v>
      </c>
      <c r="AS210" s="4" t="n">
        <v>0</v>
      </c>
      <c r="AT210" s="4" t="n">
        <v>0</v>
      </c>
      <c r="AU210" s="4" t="n">
        <v>0</v>
      </c>
      <c r="AV210" s="4" t="n">
        <v>1</v>
      </c>
      <c r="AW210" s="4" t="inlineStr">
        <is>
          <t>finalized_from_available_evidence</t>
        </is>
      </c>
      <c r="AX210" s="4" t="inlineStr">
        <is>
          <t>0 means no reported evidence in title/abstract/notes/coding; it is not proof of true absence.</t>
        </is>
      </c>
    </row>
    <row r="211" ht="229" customHeight="1">
      <c r="A211" s="4" t="n">
        <v>210</v>
      </c>
      <c r="B211" s="4" t="n">
        <v>228</v>
      </c>
      <c r="C211" s="4" t="inlineStr">
        <is>
          <t>Revisor B</t>
        </is>
      </c>
      <c r="D211" s="4" t="n"/>
      <c r="E211" s="4" t="n">
        <v>2024</v>
      </c>
      <c r="F211" s="4" t="inlineStr">
        <is>
          <t>No especificado</t>
        </is>
      </c>
      <c r="G211" s="4" t="inlineStr">
        <is>
          <t>Deep Learning</t>
        </is>
      </c>
      <c r="H211" s="4" t="inlineStr">
        <is>
          <t>https://doi.org/10.1007/978-981-99-8558-6_35</t>
        </is>
      </c>
      <c r="I211" s="4" t="inlineStr">
        <is>
          <t>Autism Spectrum Disorder Diagnosis Using Graph Neural Network Based on\&amp;#xa0;Graph Pooling and\&amp;#xa0;Self-adjust Filter</t>
        </is>
      </c>
      <c r="J211" s="4" t="inlineStr">
        <is>
          <t>Currently, accurately identifying autism spectrum disorders (ASD) still have challenges. However, graph neural network used for ASD diagnosis only focus on the part of abnormal brain functional connectivity, ignoring the effects between brain regions and the help of phenotypic information, and the kernel is also pre-defined. To solve the above problems, a graph neural network based on self-attention graph pooling and self-adjust filter is proposed for ASD diagnosis. Specifically, first, self-attention graph pooling is used for feature extraction of the fMRI to account for the influence of nodes with abnormal brain functional connectivity and activity between brain regions in fMRI data. Then, image features were taken as graph nodes and phenotypic information as edges to form a population graph. Finally, to focus on both high and low frequency information in the graph, a graph neural network based on self-adjust filter is used to learn node embedding. Experimental results on ABIDE I showed the effectiveness of the proposed method.</t>
        </is>
      </c>
      <c r="K211" s="4" t="n"/>
      <c r="L211" s="4" t="n"/>
      <c r="M211" s="4" t="inlineStr">
        <is>
          <t>GNN diagnostic classification</t>
        </is>
      </c>
      <c r="N211" s="4" t="inlineStr">
        <is>
          <t>Diagnosis</t>
        </is>
      </c>
      <c r="O211" s="4" t="n"/>
      <c r="P211" s="4" t="n"/>
      <c r="Q211" s="4" t="n"/>
      <c r="R211" s="4" t="n"/>
      <c r="S211" s="4" t="n"/>
      <c r="T211" s="4" t="n"/>
      <c r="U211" s="4" t="n"/>
      <c r="V211" s="4" t="n"/>
      <c r="W211" s="4" t="n">
        <v>0</v>
      </c>
      <c r="X211" s="4" t="n">
        <v>0</v>
      </c>
      <c r="Y211" s="4" t="n">
        <v>1</v>
      </c>
      <c r="Z211" s="4" t="n">
        <v>0</v>
      </c>
      <c r="AA211" s="4" t="n">
        <v>0</v>
      </c>
      <c r="AB211" s="4" t="inlineStr">
        <is>
          <t>1900-01-01</t>
        </is>
      </c>
      <c r="AC211" s="4" t="n">
        <v>0</v>
      </c>
      <c r="AD211" s="4" t="n">
        <v>0</v>
      </c>
      <c r="AE211" s="4" t="n">
        <v>0</v>
      </c>
      <c r="AF211" s="4" t="n">
        <v>1</v>
      </c>
      <c r="AG211" s="4" t="n"/>
      <c r="AH211" s="4" t="n"/>
      <c r="AI211" s="4" t="n"/>
      <c r="AJ211" s="4" t="inlineStr">
        <is>
          <t>1900-01-01</t>
        </is>
      </c>
      <c r="AK211" s="4" t="inlineStr">
        <is>
          <t>multisource_integration; multisite_dataset_broad</t>
        </is>
      </c>
      <c r="AL211" s="4" t="inlineStr">
        <is>
          <t>ABIDE I + integración de fMRI con datos fenotípicos.</t>
        </is>
      </c>
      <c r="AM211" s="4" t="inlineStr">
        <is>
          <t>RA_fallback</t>
        </is>
      </c>
      <c r="AN211" s="4" t="inlineStr">
        <is>
          <t>Fallback a RA porque el ID no está en RB</t>
        </is>
      </c>
      <c r="AO211" s="4" t="n">
        <v>1</v>
      </c>
      <c r="AP211" s="4" t="n">
        <v>0</v>
      </c>
      <c r="AQ211" s="4" t="n">
        <v>1</v>
      </c>
      <c r="AR211" s="4" t="n">
        <v>0</v>
      </c>
      <c r="AS211" s="4" t="n">
        <v>0</v>
      </c>
      <c r="AT211" s="4" t="n">
        <v>0</v>
      </c>
      <c r="AU211" s="4" t="n">
        <v>0</v>
      </c>
      <c r="AV211" s="4" t="n">
        <v>1</v>
      </c>
      <c r="AW211" s="4" t="inlineStr">
        <is>
          <t>finalized_from_available_evidence</t>
        </is>
      </c>
      <c r="AX211" s="4" t="inlineStr">
        <is>
          <t>0 means no reported evidence in title/abstract/notes/coding; it is not proof of true absence.</t>
        </is>
      </c>
    </row>
    <row r="212" ht="320" customHeight="1">
      <c r="A212" s="4" t="n">
        <v>211</v>
      </c>
      <c r="B212" s="4" t="n">
        <v>229</v>
      </c>
      <c r="C212" s="4" t="inlineStr">
        <is>
          <t>Revisor B</t>
        </is>
      </c>
      <c r="D212" s="4" t="n"/>
      <c r="E212" s="4" t="n">
        <v>2020</v>
      </c>
      <c r="F212" s="4" t="inlineStr">
        <is>
          <t>No especificado</t>
        </is>
      </c>
      <c r="G212" s="4" t="inlineStr">
        <is>
          <t>Deep Learning</t>
        </is>
      </c>
      <c r="H212" s="4" t="inlineStr">
        <is>
          <t>https://doi.org/10.1007/978-3-030-46165-2_4</t>
        </is>
      </c>
      <c r="I212" s="4" t="inlineStr">
        <is>
          <t>Autoencoder Based Methods for Diagnosis of Autism Spectrum Disorder</t>
        </is>
      </c>
      <c r="J212" s="4" t="inlineStr">
        <is>
          <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t>
        </is>
      </c>
      <c r="K212" s="4" t="inlineStr">
        <is>
          <t>Not clear</t>
        </is>
      </c>
      <c r="L212" s="4" t="inlineStr">
        <is>
          <t>Autoencoder</t>
        </is>
      </c>
      <c r="M212" s="4" t="inlineStr">
        <is>
          <t>Classification (binary/multi-class; incl. ASD vs control)/ multi-class)</t>
        </is>
      </c>
      <c r="N212" s="4" t="inlineStr">
        <is>
          <t>diagnosis</t>
        </is>
      </c>
      <c r="O212" s="4" t="inlineStr">
        <is>
          <t>high</t>
        </is>
      </c>
      <c r="P212" s="4" t="n">
        <v>1</v>
      </c>
      <c r="Q212" s="4" t="n">
        <v>0</v>
      </c>
      <c r="R212" s="4" t="n">
        <v>0</v>
      </c>
      <c r="S212" s="4" t="n">
        <v>0</v>
      </c>
      <c r="T212" s="4" t="n">
        <v>0</v>
      </c>
      <c r="U212" s="4" t="n">
        <v>0</v>
      </c>
      <c r="V212" s="4" t="n">
        <v>0</v>
      </c>
      <c r="W212" s="4" t="n">
        <v>0</v>
      </c>
      <c r="X212" s="4" t="n">
        <v>0</v>
      </c>
      <c r="Y212" s="4" t="n">
        <v>1</v>
      </c>
      <c r="Z212" s="4" t="n">
        <v>0</v>
      </c>
      <c r="AA212" s="4" t="n">
        <v>0</v>
      </c>
      <c r="AB212" s="4" t="inlineStr">
        <is>
          <t>1900-01-01</t>
        </is>
      </c>
      <c r="AC212" s="4" t="n">
        <v>0</v>
      </c>
      <c r="AD212" s="4" t="n">
        <v>0</v>
      </c>
      <c r="AE212" s="4" t="n">
        <v>0</v>
      </c>
      <c r="AF212" s="4" t="n">
        <v>0</v>
      </c>
      <c r="AG212" s="4" t="n">
        <v>0</v>
      </c>
      <c r="AH212" s="4" t="n">
        <v>1</v>
      </c>
      <c r="AI212" s="4" t="n">
        <v>0</v>
      </c>
      <c r="AJ212" s="4" t="inlineStr">
        <is>
          <t>00:00:00</t>
        </is>
      </c>
      <c r="AK212" s="4" t="inlineStr">
        <is>
          <t>multisite_dataset_broad</t>
        </is>
      </c>
      <c r="AL212" s="4" t="inlineStr">
        <is>
          <t>Pipeline AE + (SVM/KNN/subspace discriminant) + DNN; AE+DNN logra mejor (accuracy 79.2%, AUC 82.4%). Paradigma mixto: AE (no supervisado) + clasificador (supervisado); abstract no etiqueta “supervised”.</t>
        </is>
      </c>
      <c r="AM212" s="4" t="inlineStr">
        <is>
          <t>RB</t>
        </is>
      </c>
      <c r="AN212" s="4" t="inlineStr">
        <is>
          <t>Tomado completo desde archivo RB según asignación</t>
        </is>
      </c>
      <c r="AO212" s="4" t="n">
        <v>0</v>
      </c>
      <c r="AP212" s="4" t="n">
        <v>0</v>
      </c>
      <c r="AQ212" s="4" t="n">
        <v>1</v>
      </c>
      <c r="AR212" s="4" t="n">
        <v>0</v>
      </c>
      <c r="AS212" s="4" t="n">
        <v>0</v>
      </c>
      <c r="AT212" s="4" t="n">
        <v>0</v>
      </c>
      <c r="AU212" s="4" t="n">
        <v>0</v>
      </c>
      <c r="AV212" s="4" t="n">
        <v>0</v>
      </c>
      <c r="AW212" s="4" t="inlineStr">
        <is>
          <t>finalized_from_available_evidence</t>
        </is>
      </c>
      <c r="AX212" s="4" t="inlineStr">
        <is>
          <t>0 means no reported evidence in title/abstract/notes/coding; it is not proof of true absence.</t>
        </is>
      </c>
    </row>
    <row r="213" ht="255" customHeight="1">
      <c r="A213" s="4" t="n">
        <v>212</v>
      </c>
      <c r="B213" s="4" t="n">
        <v>230</v>
      </c>
      <c r="C213" s="4" t="inlineStr">
        <is>
          <t>Revisor A</t>
        </is>
      </c>
      <c r="D213" s="4" t="inlineStr">
        <is>
          <t>RA</t>
        </is>
      </c>
      <c r="E213" s="4" t="n">
        <v>2024</v>
      </c>
      <c r="F213" s="4" t="inlineStr">
        <is>
          <t>Señales fisiológicas</t>
        </is>
      </c>
      <c r="G213" s="4" t="inlineStr">
        <is>
          <t>Deep Learning</t>
        </is>
      </c>
      <c r="H213" s="4" t="inlineStr">
        <is>
          <t>https://doi.org/10.1007/978-3-031-72069-7_6</t>
        </is>
      </c>
      <c r="I213" s="4" t="inlineStr">
        <is>
          <t>BrainWaveNet: Wavelet-based Transformer for Autism Spectrum Disorder Diagnosis</t>
        </is>
      </c>
      <c r="J213" s="4" t="inlineStr">
        <is>
          <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t>
        </is>
      </c>
      <c r="K213" s="4" t="inlineStr">
        <is>
          <t>Supervised</t>
        </is>
      </c>
      <c r="L213" s="4" t="inlineStr">
        <is>
          <t>Transformer</t>
        </is>
      </c>
      <c r="M213" s="4" t="inlineStr">
        <is>
          <t>Classification (ASD vs control / multi-class)</t>
        </is>
      </c>
      <c r="N213" s="4" t="inlineStr">
        <is>
          <t>Diagnosis</t>
        </is>
      </c>
      <c r="O213" s="4" t="inlineStr">
        <is>
          <t>High</t>
        </is>
      </c>
      <c r="P213" s="4" t="n">
        <v>1</v>
      </c>
      <c r="Q213" s="4" t="n">
        <v>0</v>
      </c>
      <c r="R213" s="4" t="n">
        <v>0</v>
      </c>
      <c r="S213" s="4" t="n">
        <v>0</v>
      </c>
      <c r="T213" s="4" t="n">
        <v>0</v>
      </c>
      <c r="U213" s="4" t="n">
        <v>0</v>
      </c>
      <c r="V213" s="4" t="n">
        <v>0</v>
      </c>
      <c r="W213" s="4" t="n">
        <v>0</v>
      </c>
      <c r="X213" s="4" t="n">
        <v>0</v>
      </c>
      <c r="Y213" s="4" t="n">
        <v>1</v>
      </c>
      <c r="Z213" s="4" t="n">
        <v>0</v>
      </c>
      <c r="AA213" s="4" t="n">
        <v>0</v>
      </c>
      <c r="AB213" s="4" t="inlineStr">
        <is>
          <t>1900-01-01</t>
        </is>
      </c>
      <c r="AC213" s="4" t="n">
        <v>0</v>
      </c>
      <c r="AD213" s="4" t="n">
        <v>1</v>
      </c>
      <c r="AE213" s="4" t="n">
        <v>0</v>
      </c>
      <c r="AF213" s="4" t="n">
        <v>0</v>
      </c>
      <c r="AG213" s="4" t="n">
        <v>0</v>
      </c>
      <c r="AH213" s="4" t="n">
        <v>1</v>
      </c>
      <c r="AI213" s="4" t="n"/>
      <c r="AJ213" s="4" t="n"/>
      <c r="AK213" s="4" t="inlineStr">
        <is>
          <t>explainability_or_interpretability; multisite_dataset_broad</t>
        </is>
      </c>
      <c r="AL213" s="4" t="n"/>
      <c r="AM213" s="4" t="inlineStr">
        <is>
          <t>RA</t>
        </is>
      </c>
      <c r="AN213" s="4" t="inlineStr">
        <is>
          <t>Tomado completo desde archivo RA según asignación</t>
        </is>
      </c>
      <c r="AO213" s="4" t="n">
        <v>0</v>
      </c>
      <c r="AP213" s="4" t="n">
        <v>0</v>
      </c>
      <c r="AQ213" s="4" t="n">
        <v>1</v>
      </c>
      <c r="AR213" s="4" t="n">
        <v>0</v>
      </c>
      <c r="AS213" s="4" t="n">
        <v>0</v>
      </c>
      <c r="AT213" s="4" t="n">
        <v>0</v>
      </c>
      <c r="AU213" s="4" t="n">
        <v>1</v>
      </c>
      <c r="AV213" s="4" t="n">
        <v>0</v>
      </c>
      <c r="AW213" s="4" t="inlineStr">
        <is>
          <t>finalized_from_available_evidence</t>
        </is>
      </c>
      <c r="AX213" s="4" t="inlineStr">
        <is>
          <t>0 means no reported evidence in title/abstract/notes/coding; it is not proof of true absence.</t>
        </is>
      </c>
    </row>
    <row r="214" ht="177" customHeight="1">
      <c r="A214" s="4" t="n">
        <v>213</v>
      </c>
      <c r="B214" s="4" t="n">
        <v>231</v>
      </c>
      <c r="C214" s="4" t="inlineStr">
        <is>
          <t>Revisor A</t>
        </is>
      </c>
      <c r="D214" s="4" t="inlineStr">
        <is>
          <t>RA</t>
        </is>
      </c>
      <c r="E214" s="4" t="n">
        <v>2024</v>
      </c>
      <c r="F214" s="4" t="inlineStr">
        <is>
          <t>Imagen</t>
        </is>
      </c>
      <c r="G214" s="4" t="inlineStr">
        <is>
          <t>Machine Learning</t>
        </is>
      </c>
      <c r="H214" s="4" t="inlineStr">
        <is>
          <t>https://doi.org/10.1002/ar.25332</t>
        </is>
      </c>
      <c r="I214" s="4" t="inlineStr">
        <is>
          <t>Can lung airway geometry be used to predict autism? A preliminary machine learning-based study</t>
        </is>
      </c>
      <c r="J214" s="4" t="inlineStr">
        <is>
          <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t>
        </is>
      </c>
      <c r="K214" s="4" t="inlineStr">
        <is>
          <t>Supervised</t>
        </is>
      </c>
      <c r="L214" s="4" t="inlineStr">
        <is>
          <t>SVM</t>
        </is>
      </c>
      <c r="M214" s="4" t="inlineStr">
        <is>
          <t>Classification (ASD vs control / multi-class)</t>
        </is>
      </c>
      <c r="N214" s="4" t="inlineStr">
        <is>
          <t>Diagnosis</t>
        </is>
      </c>
      <c r="O214" s="4" t="inlineStr">
        <is>
          <t>High</t>
        </is>
      </c>
      <c r="P214" s="4" t="n">
        <v>0</v>
      </c>
      <c r="Q214" s="4" t="n">
        <v>0</v>
      </c>
      <c r="R214" s="4" t="n">
        <v>0</v>
      </c>
      <c r="S214" s="4" t="n">
        <v>0</v>
      </c>
      <c r="T214" s="4" t="n">
        <v>0</v>
      </c>
      <c r="U214" s="4" t="n">
        <v>0</v>
      </c>
      <c r="V214" s="4" t="n">
        <v>1</v>
      </c>
      <c r="W214" s="4" t="n">
        <v>0</v>
      </c>
      <c r="X214" s="4" t="n">
        <v>0</v>
      </c>
      <c r="Y214" s="4" t="n">
        <v>1</v>
      </c>
      <c r="Z214" s="4" t="n">
        <v>0</v>
      </c>
      <c r="AA214" s="4" t="n">
        <v>0</v>
      </c>
      <c r="AB214" s="4" t="inlineStr">
        <is>
          <t>00:00:00</t>
        </is>
      </c>
      <c r="AC214" s="4" t="n">
        <v>0</v>
      </c>
      <c r="AD214" s="4" t="n">
        <v>0</v>
      </c>
      <c r="AE214" s="4" t="n">
        <v>0</v>
      </c>
      <c r="AF214" s="4" t="n">
        <v>0</v>
      </c>
      <c r="AG214" s="4" t="n">
        <v>0</v>
      </c>
      <c r="AH214" s="4" t="n">
        <v>1</v>
      </c>
      <c r="AI214" s="4" t="inlineStr">
        <is>
          <t>airway CT geometry</t>
        </is>
      </c>
      <c r="AJ214" s="4" t="n"/>
      <c r="AK214" s="4" t="inlineStr">
        <is>
          <t>internal_validation_only</t>
        </is>
      </c>
      <c r="AL214" s="4" t="n"/>
      <c r="AM214" s="4" t="inlineStr">
        <is>
          <t>RA</t>
        </is>
      </c>
      <c r="AN214" s="4" t="inlineStr">
        <is>
          <t>Tomado completo desde archivo RA según asignación</t>
        </is>
      </c>
      <c r="AO214" s="4" t="n">
        <v>0</v>
      </c>
      <c r="AP214" s="4" t="n">
        <v>0</v>
      </c>
      <c r="AQ214" s="4" t="n">
        <v>0</v>
      </c>
      <c r="AR214" s="4" t="n">
        <v>1</v>
      </c>
      <c r="AS214" s="4" t="n">
        <v>0</v>
      </c>
      <c r="AT214" s="4" t="n">
        <v>0</v>
      </c>
      <c r="AU214" s="4" t="n">
        <v>0</v>
      </c>
      <c r="AV214" s="4" t="n">
        <v>0</v>
      </c>
      <c r="AW214" s="4" t="inlineStr">
        <is>
          <t>finalized_from_available_evidence</t>
        </is>
      </c>
      <c r="AX214" s="4" t="inlineStr">
        <is>
          <t>0 means no reported evidence in title/abstract/notes/coding; it is not proof of true absence.</t>
        </is>
      </c>
    </row>
    <row r="215" ht="359" customHeight="1">
      <c r="A215" s="4" t="n">
        <v>214</v>
      </c>
      <c r="B215" s="4" t="n">
        <v>232</v>
      </c>
      <c r="C215" s="4" t="inlineStr">
        <is>
          <t>Revisor B</t>
        </is>
      </c>
      <c r="D215" s="4" t="n"/>
      <c r="E215" s="4" t="n">
        <v>2020</v>
      </c>
      <c r="F215" s="4" t="inlineStr">
        <is>
          <t>Señales fisiológicas</t>
        </is>
      </c>
      <c r="G215" s="4" t="inlineStr">
        <is>
          <t>Machine Learning</t>
        </is>
      </c>
      <c r="H215" s="4" t="inlineStr">
        <is>
          <t>https://doi.org/10.1016/j.bspc.2020.101958</t>
        </is>
      </c>
      <c r="I215" s="4" t="inlineStr">
        <is>
          <t>Classification of autism spectrum disorder based on fluctuation entropy of spontaneous hemodynamic fluctuations</t>
        </is>
      </c>
      <c r="J215" s="4" t="inlineStr">
        <is>
          <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t>
        </is>
      </c>
      <c r="K215" s="4" t="inlineStr">
        <is>
          <t>Supervised</t>
        </is>
      </c>
      <c r="L215" s="4" t="inlineStr">
        <is>
          <t>Not clear</t>
        </is>
      </c>
      <c r="M215" s="4" t="inlineStr">
        <is>
          <t>Classification (binary/multi-class; incl. ASD vs control)/ multi-class)</t>
        </is>
      </c>
      <c r="N215" s="4" t="inlineStr">
        <is>
          <t>diagnosis</t>
        </is>
      </c>
      <c r="O215" s="4" t="inlineStr">
        <is>
          <t>medium</t>
        </is>
      </c>
      <c r="P215" s="4" t="n">
        <v>0</v>
      </c>
      <c r="Q215" s="4" t="n">
        <v>0</v>
      </c>
      <c r="R215" s="4" t="n">
        <v>0</v>
      </c>
      <c r="S215" s="4" t="n">
        <v>0</v>
      </c>
      <c r="T215" s="4" t="n">
        <v>0</v>
      </c>
      <c r="U215" s="4" t="n">
        <v>0</v>
      </c>
      <c r="V215" s="4" t="n">
        <v>0</v>
      </c>
      <c r="W215" s="4" t="n">
        <v>0</v>
      </c>
      <c r="X215" s="4" t="n">
        <v>0</v>
      </c>
      <c r="Y215" s="4" t="n">
        <v>1</v>
      </c>
      <c r="Z215" s="4" t="n">
        <v>0</v>
      </c>
      <c r="AA215" s="4" t="n">
        <v>0</v>
      </c>
      <c r="AB215" s="4" t="inlineStr">
        <is>
          <t>1900-01-01</t>
        </is>
      </c>
      <c r="AC215" s="4" t="n">
        <v>0</v>
      </c>
      <c r="AD215" s="4" t="n">
        <v>0</v>
      </c>
      <c r="AE215" s="4" t="n">
        <v>0</v>
      </c>
      <c r="AF215" s="4" t="n">
        <v>0</v>
      </c>
      <c r="AG215" s="4" t="n">
        <v>0</v>
      </c>
      <c r="AH215" s="4" t="n">
        <v>0</v>
      </c>
      <c r="AI215" s="4" t="n">
        <v>0</v>
      </c>
      <c r="AJ215" s="4" t="inlineStr">
        <is>
          <t>00:00:00</t>
        </is>
      </c>
      <c r="AK215" s="4" t="inlineStr">
        <is>
          <t>none_reported</t>
        </is>
      </c>
      <c r="AL215" s="4"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AM215" s="4" t="inlineStr">
        <is>
          <t>RB</t>
        </is>
      </c>
      <c r="AN215" s="4" t="inlineStr">
        <is>
          <t>Tomado completo desde archivo RB según asignación</t>
        </is>
      </c>
      <c r="AO215" s="4" t="n">
        <v>0</v>
      </c>
      <c r="AP215" s="4" t="n">
        <v>0</v>
      </c>
      <c r="AQ215" s="4" t="n">
        <v>0</v>
      </c>
      <c r="AR215" s="4" t="n">
        <v>0</v>
      </c>
      <c r="AS215" s="4" t="n">
        <v>0</v>
      </c>
      <c r="AT215" s="4" t="n">
        <v>0</v>
      </c>
      <c r="AU215" s="4" t="n">
        <v>0</v>
      </c>
      <c r="AV215" s="4" t="n">
        <v>0</v>
      </c>
      <c r="AW215" s="4" t="inlineStr">
        <is>
          <t>finalized_from_available_evidence</t>
        </is>
      </c>
      <c r="AX215" s="4" t="inlineStr">
        <is>
          <t>0 means no reported evidence in title/abstract/notes/coding; it is not proof of true absence.</t>
        </is>
      </c>
    </row>
    <row r="216" ht="268" customHeight="1">
      <c r="A216" s="4" t="n">
        <v>215</v>
      </c>
      <c r="B216" s="4" t="n">
        <v>233</v>
      </c>
      <c r="C216" s="4" t="inlineStr">
        <is>
          <t>Revisor B</t>
        </is>
      </c>
      <c r="D216" s="4" t="n"/>
      <c r="E216" s="4" t="n">
        <v>2020</v>
      </c>
      <c r="F216" s="4" t="inlineStr">
        <is>
          <t>Señales fisiológicas</t>
        </is>
      </c>
      <c r="G216" s="4" t="inlineStr">
        <is>
          <t>Machine Learning</t>
        </is>
      </c>
      <c r="H216" s="4" t="inlineStr">
        <is>
          <t>https://doi.org/10.1016/j.clinph.2019.12.400</t>
        </is>
      </c>
      <c r="I216" s="4" t="inlineStr">
        <is>
          <t>Classification of autism spectrum disorder based on sample entropy of spontaneous functional near infra-red spectroscopy signal</t>
        </is>
      </c>
      <c r="J216" s="4" t="inlineStr">
        <is>
          <t>Objectives: To assess the possibility of distinguishing autism spectrum disorder (ASD) based on the characteristic of spontaneous hemodynamic fluctuations and to explore the location of abnormality in the brain. Methods: Using the sample entropy (SampEn) of functional near-infrared spectroscopy (fNIRS) from bilateral inferior frontal gyrus (IFG) and temporal cortex (TC) on 25 children with ASD and 22 typical development (TD) children, the pattern of mind-wandering was assessed. With the SampEn as feature variables, a machine learning classifier was applied to mark ASD and locate the abnormal area in the brain. Results: The SampEn was generally lower for ASD than TD, indicating the fNIRS series from ASD was unstable, had low fluctuation, and high self-similarity. The classification between ASD and TD could reach 97.6% in accuracy. Conclusions: The SampEn of fNIRS could accurately distinguish ASD. The abnormality in terms of the SampEn occurs more frequently in IFG than TC, and more frequently in the left than in the right hemisphere. Significance: The results of this study may help to understand the cortical mechanism of ASD and provide a fNIRS-based diagnosis for ASD.</t>
        </is>
      </c>
      <c r="K216" s="4" t="inlineStr">
        <is>
          <t>Unsupervised</t>
        </is>
      </c>
      <c r="L216" s="4" t="inlineStr">
        <is>
          <t>Clustering (k-means / GMM / ...)</t>
        </is>
      </c>
      <c r="M216" s="4" t="inlineStr">
        <is>
          <t>Classification (binary/multi-class; incl. ASD vs control)/ multi-class)</t>
        </is>
      </c>
      <c r="N216" s="4" t="inlineStr">
        <is>
          <t>diagnosis</t>
        </is>
      </c>
      <c r="O216" s="4" t="inlineStr">
        <is>
          <t>high</t>
        </is>
      </c>
      <c r="P216" s="4" t="n">
        <v>0</v>
      </c>
      <c r="Q216" s="4" t="n">
        <v>0</v>
      </c>
      <c r="R216" s="4" t="n">
        <v>1</v>
      </c>
      <c r="S216" s="4" t="n">
        <v>0</v>
      </c>
      <c r="T216" s="4" t="n">
        <v>0</v>
      </c>
      <c r="U216" s="4" t="n">
        <v>0</v>
      </c>
      <c r="V216" s="4" t="n">
        <v>0</v>
      </c>
      <c r="W216" s="4" t="n">
        <v>0</v>
      </c>
      <c r="X216" s="4" t="n">
        <v>0</v>
      </c>
      <c r="Y216" s="4" t="n">
        <v>1</v>
      </c>
      <c r="Z216" s="4" t="n">
        <v>0</v>
      </c>
      <c r="AA216" s="4" t="n">
        <v>1</v>
      </c>
      <c r="AB216" s="4" t="inlineStr">
        <is>
          <t>1900-01-01</t>
        </is>
      </c>
      <c r="AC216" s="4" t="n">
        <v>0</v>
      </c>
      <c r="AD216" s="4" t="n">
        <v>0</v>
      </c>
      <c r="AE216" s="4" t="n">
        <v>0</v>
      </c>
      <c r="AF216" s="4" t="n">
        <v>0</v>
      </c>
      <c r="AG216" s="4" t="n">
        <v>0</v>
      </c>
      <c r="AH216" s="4" t="n">
        <v>1</v>
      </c>
      <c r="AI216" s="4" t="n">
        <v>0</v>
      </c>
      <c r="AJ216" s="4" t="inlineStr">
        <is>
          <t>1900-01-01</t>
        </is>
      </c>
      <c r="AK216" s="4" t="inlineStr">
        <is>
          <t>none_reported</t>
        </is>
      </c>
      <c r="AL216" s="4" t="inlineStr">
        <is>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is>
      </c>
      <c r="AM216" s="4" t="inlineStr">
        <is>
          <t>RB</t>
        </is>
      </c>
      <c r="AN216" s="4" t="inlineStr">
        <is>
          <t>Tomado completo desde archivo RB según asignación</t>
        </is>
      </c>
      <c r="AO216" s="4" t="n">
        <v>0</v>
      </c>
      <c r="AP216" s="4" t="n">
        <v>0</v>
      </c>
      <c r="AQ216" s="4" t="n">
        <v>0</v>
      </c>
      <c r="AR216" s="4" t="n">
        <v>0</v>
      </c>
      <c r="AS216" s="4" t="n">
        <v>0</v>
      </c>
      <c r="AT216" s="4" t="n">
        <v>0</v>
      </c>
      <c r="AU216" s="4" t="n">
        <v>0</v>
      </c>
      <c r="AV216" s="4" t="n">
        <v>0</v>
      </c>
      <c r="AW216" s="4" t="inlineStr">
        <is>
          <t>finalized_from_available_evidence</t>
        </is>
      </c>
      <c r="AX216" s="4" t="inlineStr">
        <is>
          <t>0 means no reported evidence in title/abstract/notes/coding; it is not proof of true absence.</t>
        </is>
      </c>
    </row>
    <row r="217" ht="294" customHeight="1">
      <c r="A217" s="4" t="n">
        <v>216</v>
      </c>
      <c r="B217" s="4" t="n">
        <v>234</v>
      </c>
      <c r="C217" s="4" t="inlineStr">
        <is>
          <t>Revisor A</t>
        </is>
      </c>
      <c r="D217" s="4" t="inlineStr">
        <is>
          <t>RA</t>
        </is>
      </c>
      <c r="E217" s="4" t="n">
        <v>2023</v>
      </c>
      <c r="F217" s="4" t="inlineStr">
        <is>
          <t>Imagen</t>
        </is>
      </c>
      <c r="G217" s="4" t="inlineStr">
        <is>
          <t>No especificado</t>
        </is>
      </c>
      <c r="H217" s="4" t="inlineStr">
        <is>
          <t>https://doi.org/10.1007/978-3-031-45389-2_18</t>
        </is>
      </c>
      <c r="I217" s="4" t="inlineStr">
        <is>
          <t>Classification of\&amp;#xa0;Facial Images to\&amp;#xa0;Assist in\&amp;#xa0;the\&amp;#xa0;Diagnosis of\&amp;#xa0;Autism Spectrum Disorder: A Study on\&amp;#xa0;the\&amp;#xa0;Effect of\&amp;#xa0;Face Detection and\&amp;#xa0;Landmark Identification Algorithms</t>
        </is>
      </c>
      <c r="J217" s="4" t="inlineStr">
        <is>
          <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t>
        </is>
      </c>
      <c r="K217" s="4" t="inlineStr">
        <is>
          <t>Supervised</t>
        </is>
      </c>
      <c r="L217" s="4" t="inlineStr">
        <is>
          <t>Other / Not clear</t>
        </is>
      </c>
      <c r="M217" s="4" t="inlineStr">
        <is>
          <t>Classification (ASD vs control / multi-class)</t>
        </is>
      </c>
      <c r="N217" s="4" t="inlineStr">
        <is>
          <t>Diagnosis</t>
        </is>
      </c>
      <c r="O217" s="4" t="inlineStr">
        <is>
          <t>Medium</t>
        </is>
      </c>
      <c r="P217" s="4" t="n">
        <v>0</v>
      </c>
      <c r="Q217" s="4" t="n">
        <v>0</v>
      </c>
      <c r="R217" s="4" t="n">
        <v>1</v>
      </c>
      <c r="S217" s="4" t="n">
        <v>0</v>
      </c>
      <c r="T217" s="4" t="n">
        <v>0</v>
      </c>
      <c r="U217" s="4" t="n">
        <v>0</v>
      </c>
      <c r="V217" s="4" t="n">
        <v>0</v>
      </c>
      <c r="W217" s="4" t="n">
        <v>0</v>
      </c>
      <c r="X217" s="4" t="n">
        <v>0</v>
      </c>
      <c r="Y217" s="4" t="n">
        <v>1</v>
      </c>
      <c r="Z217" s="4" t="n">
        <v>0</v>
      </c>
      <c r="AA217" s="4" t="n">
        <v>0</v>
      </c>
      <c r="AB217" s="4" t="inlineStr">
        <is>
          <t>1900-01-01</t>
        </is>
      </c>
      <c r="AC217" s="4" t="n">
        <v>0</v>
      </c>
      <c r="AD217" s="4" t="n">
        <v>0</v>
      </c>
      <c r="AE217" s="4" t="n">
        <v>0</v>
      </c>
      <c r="AF217" s="4" t="n">
        <v>0</v>
      </c>
      <c r="AG217" s="4" t="n">
        <v>1</v>
      </c>
      <c r="AH217" s="4" t="n">
        <v>1</v>
      </c>
      <c r="AI217" s="4" t="n"/>
      <c r="AJ217" s="4" t="n"/>
      <c r="AK217" s="4" t="inlineStr">
        <is>
          <t>none_reported</t>
        </is>
      </c>
      <c r="AL217" s="4" t="inlineStr">
        <is>
          <t>Algoritmo principal no explícito o fuera del codebook; Confirmar algoritmo principal en full-text</t>
        </is>
      </c>
      <c r="AM217" s="4" t="inlineStr">
        <is>
          <t>RA</t>
        </is>
      </c>
      <c r="AN217" s="4" t="inlineStr">
        <is>
          <t>Tomado completo desde archivo RA según asignación</t>
        </is>
      </c>
      <c r="AO217" s="4" t="n">
        <v>0</v>
      </c>
      <c r="AP217" s="4" t="n">
        <v>0</v>
      </c>
      <c r="AQ217" s="4" t="n">
        <v>0</v>
      </c>
      <c r="AR217" s="4" t="n">
        <v>0</v>
      </c>
      <c r="AS217" s="4" t="n">
        <v>0</v>
      </c>
      <c r="AT217" s="4" t="n">
        <v>0</v>
      </c>
      <c r="AU217" s="4" t="n">
        <v>0</v>
      </c>
      <c r="AV217" s="4" t="n">
        <v>0</v>
      </c>
      <c r="AW217" s="4" t="inlineStr">
        <is>
          <t>finalized_from_available_evidence</t>
        </is>
      </c>
      <c r="AX217" s="4" t="inlineStr">
        <is>
          <t>0 means no reported evidence in title/abstract/notes/coding; it is not proof of true absence.</t>
        </is>
      </c>
    </row>
    <row r="218" ht="359" customHeight="1">
      <c r="A218" s="4" t="n">
        <v>217</v>
      </c>
      <c r="B218" s="4" t="n">
        <v>235</v>
      </c>
      <c r="C218" s="4" t="inlineStr">
        <is>
          <t>Revisor B</t>
        </is>
      </c>
      <c r="D218" s="4" t="n"/>
      <c r="E218" s="4" t="n">
        <v>2021</v>
      </c>
      <c r="F218" s="4" t="inlineStr">
        <is>
          <t>Señales fisiológicas</t>
        </is>
      </c>
      <c r="G218" s="4" t="inlineStr">
        <is>
          <t>Machine Learning</t>
        </is>
      </c>
      <c r="H218" s="4" t="inlineStr">
        <is>
          <t>https://doi.org/10.1016/j.media.2021.101986</t>
        </is>
      </c>
      <c r="I218" s="4" t="inlineStr">
        <is>
          <t>Combining anatomical and functional networks for neuropathology identification: A case study on autism spectrum disorder</t>
        </is>
      </c>
      <c r="J218" s="4" t="inlineStr">
        <is>
          <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t>
        </is>
      </c>
      <c r="K218" s="4" t="inlineStr">
        <is>
          <t>Supervised</t>
        </is>
      </c>
      <c r="L218" s="4" t="inlineStr">
        <is>
          <t>Decision Tree</t>
        </is>
      </c>
      <c r="M218" s="4" t="inlineStr">
        <is>
          <t>Classification (binary/multi-class; incl. ASD vs control)/ multi-class)</t>
        </is>
      </c>
      <c r="N218" s="4" t="inlineStr">
        <is>
          <t>diagnosis</t>
        </is>
      </c>
      <c r="O218" s="4" t="inlineStr">
        <is>
          <t>high</t>
        </is>
      </c>
      <c r="P218" s="4" t="n">
        <v>0</v>
      </c>
      <c r="Q218" s="4" t="n">
        <v>0</v>
      </c>
      <c r="R218" s="4" t="n">
        <v>0</v>
      </c>
      <c r="S218" s="4" t="n">
        <v>0</v>
      </c>
      <c r="T218" s="4" t="n">
        <v>0</v>
      </c>
      <c r="U218" s="4" t="n">
        <v>1</v>
      </c>
      <c r="V218" s="4" t="n">
        <v>0</v>
      </c>
      <c r="W218" s="4" t="n">
        <v>0</v>
      </c>
      <c r="X218" s="4" t="n">
        <v>0</v>
      </c>
      <c r="Y218" s="4" t="n">
        <v>1</v>
      </c>
      <c r="Z218" s="4" t="n">
        <v>1</v>
      </c>
      <c r="AA218" s="4" t="n">
        <v>0</v>
      </c>
      <c r="AB218" s="4" t="inlineStr">
        <is>
          <t>1900-01-01</t>
        </is>
      </c>
      <c r="AC218" s="4" t="n">
        <v>0</v>
      </c>
      <c r="AD218" s="4" t="n">
        <v>1</v>
      </c>
      <c r="AE218" s="4" t="n">
        <v>0</v>
      </c>
      <c r="AF218" s="4" t="n">
        <v>1</v>
      </c>
      <c r="AG218" s="4" t="n">
        <v>1</v>
      </c>
      <c r="AH218" s="4" t="n">
        <v>1</v>
      </c>
      <c r="AI218" s="4" t="n">
        <v>0</v>
      </c>
      <c r="AJ218" s="4" t="inlineStr">
        <is>
          <t>00:00:00</t>
        </is>
      </c>
      <c r="AK218" s="4" t="inlineStr">
        <is>
          <t>explainability_or_interpretability; multisource_integration; multisite_dataset_broad</t>
        </is>
      </c>
      <c r="AL218" s="4" t="n"/>
      <c r="AM218" s="4" t="inlineStr">
        <is>
          <t>RB</t>
        </is>
      </c>
      <c r="AN218" s="4" t="inlineStr">
        <is>
          <t>Tomado completo desde archivo RB según asignación</t>
        </is>
      </c>
      <c r="AO218" s="4" t="n">
        <v>0</v>
      </c>
      <c r="AP218" s="4" t="n">
        <v>0</v>
      </c>
      <c r="AQ218" s="4" t="n">
        <v>1</v>
      </c>
      <c r="AR218" s="4" t="n">
        <v>0</v>
      </c>
      <c r="AS218" s="4" t="n">
        <v>0</v>
      </c>
      <c r="AT218" s="4" t="n">
        <v>0</v>
      </c>
      <c r="AU218" s="4" t="n">
        <v>1</v>
      </c>
      <c r="AV218" s="4" t="n">
        <v>1</v>
      </c>
      <c r="AW218" s="4" t="inlineStr">
        <is>
          <t>finalized_from_available_evidence</t>
        </is>
      </c>
      <c r="AX218" s="4" t="inlineStr">
        <is>
          <t>0 means no reported evidence in title/abstract/notes/coding; it is not proof of true absence.</t>
        </is>
      </c>
    </row>
    <row r="219" ht="307" customHeight="1">
      <c r="A219" s="4" t="n">
        <v>218</v>
      </c>
      <c r="B219" s="4" t="n">
        <v>236</v>
      </c>
      <c r="C219" s="4" t="inlineStr">
        <is>
          <t>Revisor A</t>
        </is>
      </c>
      <c r="D219" s="4" t="inlineStr">
        <is>
          <t>RA</t>
        </is>
      </c>
      <c r="E219" s="4" t="n">
        <v>2025</v>
      </c>
      <c r="F219" s="4" t="inlineStr">
        <is>
          <t>No especificado</t>
        </is>
      </c>
      <c r="G219" s="4" t="inlineStr">
        <is>
          <t>Machine Learning</t>
        </is>
      </c>
      <c r="H219" s="4" t="inlineStr">
        <is>
          <t>https://doi.org/10.1038/s41598-025-97313-8</t>
        </is>
      </c>
      <c r="I219" s="4" t="inlineStr">
        <is>
          <t>Correlations between blood group and Rh factor in families and autism spectrum disorder: A comprehensive analysis</t>
        </is>
      </c>
      <c r="J219" s="4" t="inlineStr">
        <is>
          <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t>
        </is>
      </c>
      <c r="K219" s="4" t="inlineStr">
        <is>
          <t>Supervised</t>
        </is>
      </c>
      <c r="L219" s="4" t="inlineStr">
        <is>
          <t>Logistic Regression</t>
        </is>
      </c>
      <c r="M219" s="4" t="inlineStr">
        <is>
          <t>Classification (ASD vs control / multi-class)</t>
        </is>
      </c>
      <c r="N219" s="4" t="inlineStr">
        <is>
          <t>Not clear</t>
        </is>
      </c>
      <c r="O219" s="4" t="inlineStr">
        <is>
          <t>Medium</t>
        </is>
      </c>
      <c r="P219" s="4" t="n">
        <v>0</v>
      </c>
      <c r="Q219" s="4" t="n">
        <v>0</v>
      </c>
      <c r="R219" s="4" t="n">
        <v>0</v>
      </c>
      <c r="S219" s="4" t="n">
        <v>0</v>
      </c>
      <c r="T219" s="4" t="n">
        <v>1</v>
      </c>
      <c r="U219" s="4" t="n">
        <v>0</v>
      </c>
      <c r="V219" s="4" t="n">
        <v>0</v>
      </c>
      <c r="W219" s="4" t="n">
        <v>1</v>
      </c>
      <c r="X219" s="4" t="n">
        <v>0</v>
      </c>
      <c r="Y219" s="4" t="n">
        <v>0</v>
      </c>
      <c r="Z219" s="4" t="n">
        <v>0</v>
      </c>
      <c r="AA219" s="4" t="n">
        <v>0</v>
      </c>
      <c r="AB219" s="4" t="inlineStr">
        <is>
          <t>00:00:00</t>
        </is>
      </c>
      <c r="AC219" s="4" t="n">
        <v>0</v>
      </c>
      <c r="AD219" s="4" t="n">
        <v>0</v>
      </c>
      <c r="AE219" s="4" t="n">
        <v>0</v>
      </c>
      <c r="AF219" s="4" t="n">
        <v>0</v>
      </c>
      <c r="AG219" s="4" t="n">
        <v>1</v>
      </c>
      <c r="AH219" s="4" t="n">
        <v>1</v>
      </c>
      <c r="AI219" s="4" t="n"/>
      <c r="AJ219" s="4" t="inlineStr">
        <is>
          <t>00:00:00</t>
        </is>
      </c>
      <c r="AK219" s="4" t="inlineStr">
        <is>
          <t>none_reported</t>
        </is>
      </c>
      <c r="AL219" s="4" t="inlineStr">
        <is>
          <t>Análisis de grupos sanguíneos con regresión logística/ML no claramente central para una etapa clínica RQ1.</t>
        </is>
      </c>
      <c r="AM219" s="4" t="inlineStr">
        <is>
          <t>RA</t>
        </is>
      </c>
      <c r="AN219" s="4" t="inlineStr">
        <is>
          <t>Tomado completo desde archivo RA según asignación</t>
        </is>
      </c>
      <c r="AO219" s="4" t="n">
        <v>0</v>
      </c>
      <c r="AP219" s="4" t="n">
        <v>0</v>
      </c>
      <c r="AQ219" s="4" t="n">
        <v>0</v>
      </c>
      <c r="AR219" s="4" t="n">
        <v>0</v>
      </c>
      <c r="AS219" s="4" t="n">
        <v>0</v>
      </c>
      <c r="AT219" s="4" t="n">
        <v>0</v>
      </c>
      <c r="AU219" s="4" t="n">
        <v>0</v>
      </c>
      <c r="AV219" s="4" t="n">
        <v>0</v>
      </c>
      <c r="AW219" s="4" t="inlineStr">
        <is>
          <t>finalized_from_available_evidence</t>
        </is>
      </c>
      <c r="AX219" s="4" t="inlineStr">
        <is>
          <t>0 means no reported evidence in title/abstract/notes/coding; it is not proof of true absence.</t>
        </is>
      </c>
    </row>
    <row r="220" ht="216" customHeight="1">
      <c r="A220" s="4" t="n">
        <v>219</v>
      </c>
      <c r="B220" s="4" t="n">
        <v>237</v>
      </c>
      <c r="C220" s="4" t="inlineStr">
        <is>
          <t>Revisor A</t>
        </is>
      </c>
      <c r="D220" s="4" t="inlineStr">
        <is>
          <t>RA</t>
        </is>
      </c>
      <c r="E220" s="4" t="n">
        <v>2022</v>
      </c>
      <c r="F220" s="4" t="inlineStr">
        <is>
          <t>Audio · Voz</t>
        </is>
      </c>
      <c r="G220" s="4" t="inlineStr">
        <is>
          <t>Machine Learning</t>
        </is>
      </c>
      <c r="H220" s="4" t="inlineStr">
        <is>
          <t>https://doi.org/10.1371/journal.pone.0269637</t>
        </is>
      </c>
      <c r="I220" s="4" t="inlineStr">
        <is>
          <t>Cross-linguistic patterns of speech prosodic differences in autism: A machine learning study</t>
        </is>
      </c>
      <c r="J220" s="4" t="inlineStr">
        <is>
          <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t>
        </is>
      </c>
      <c r="K220" s="4" t="inlineStr">
        <is>
          <t>Supervised</t>
        </is>
      </c>
      <c r="L220" s="4" t="inlineStr">
        <is>
          <t>Other / Not clear</t>
        </is>
      </c>
      <c r="M220" s="4" t="inlineStr">
        <is>
          <t>Classification (ASD vs control / multi-class)</t>
        </is>
      </c>
      <c r="N220" s="4" t="inlineStr">
        <is>
          <t>Screening</t>
        </is>
      </c>
      <c r="O220" s="4" t="inlineStr">
        <is>
          <t>Medium</t>
        </is>
      </c>
      <c r="P220" s="4" t="n">
        <v>0</v>
      </c>
      <c r="Q220" s="4" t="n">
        <v>0</v>
      </c>
      <c r="R220" s="4" t="n">
        <v>0</v>
      </c>
      <c r="S220" s="4" t="n">
        <v>1</v>
      </c>
      <c r="T220" s="4" t="n">
        <v>0</v>
      </c>
      <c r="U220" s="4" t="n">
        <v>0</v>
      </c>
      <c r="V220" s="4" t="n">
        <v>0</v>
      </c>
      <c r="W220" s="4" t="n">
        <v>0</v>
      </c>
      <c r="X220" s="4" t="n">
        <v>1</v>
      </c>
      <c r="Y220" s="4" t="n">
        <v>0</v>
      </c>
      <c r="Z220" s="4" t="n">
        <v>0</v>
      </c>
      <c r="AA220" s="4" t="n">
        <v>0</v>
      </c>
      <c r="AB220" s="4" t="inlineStr">
        <is>
          <t>00:00:00</t>
        </is>
      </c>
      <c r="AC220" s="4" t="n">
        <v>0</v>
      </c>
      <c r="AD220" s="4" t="n">
        <v>0</v>
      </c>
      <c r="AE220" s="4" t="n">
        <v>0</v>
      </c>
      <c r="AF220" s="4" t="n">
        <v>0</v>
      </c>
      <c r="AG220" s="4" t="n">
        <v>1</v>
      </c>
      <c r="AH220" s="4" t="n">
        <v>1</v>
      </c>
      <c r="AI220" s="4" t="n"/>
      <c r="AJ220" s="4" t="n"/>
      <c r="AK220" s="4" t="inlineStr">
        <is>
          <t>none_reported</t>
        </is>
      </c>
      <c r="AL220" s="4" t="inlineStr">
        <is>
          <t>Algoritmo principal no explícito o fuera del codebook; Confirmar algoritmo principal en full-text</t>
        </is>
      </c>
      <c r="AM220" s="4" t="inlineStr">
        <is>
          <t>RA</t>
        </is>
      </c>
      <c r="AN220" s="4" t="inlineStr">
        <is>
          <t>Tomado completo desde archivo RA según asignación</t>
        </is>
      </c>
      <c r="AO220" s="4" t="n">
        <v>0</v>
      </c>
      <c r="AP220" s="4" t="n">
        <v>0</v>
      </c>
      <c r="AQ220" s="4" t="n">
        <v>0</v>
      </c>
      <c r="AR220" s="4" t="n">
        <v>0</v>
      </c>
      <c r="AS220" s="4" t="n">
        <v>0</v>
      </c>
      <c r="AT220" s="4" t="n">
        <v>0</v>
      </c>
      <c r="AU220" s="4" t="n">
        <v>0</v>
      </c>
      <c r="AV220" s="4" t="n">
        <v>0</v>
      </c>
      <c r="AW220" s="4" t="inlineStr">
        <is>
          <t>finalized_from_available_evidence</t>
        </is>
      </c>
      <c r="AX220" s="4" t="inlineStr">
        <is>
          <t>0 means no reported evidence in title/abstract/notes/coding; it is not proof of true absence.</t>
        </is>
      </c>
    </row>
    <row r="221" ht="307" customHeight="1">
      <c r="A221" s="4" t="n">
        <v>220</v>
      </c>
      <c r="B221" s="4" t="n">
        <v>238</v>
      </c>
      <c r="C221" s="4" t="inlineStr">
        <is>
          <t>Revisor B</t>
        </is>
      </c>
      <c r="D221" s="4" t="n"/>
      <c r="E221" s="4" t="n">
        <v>2021</v>
      </c>
      <c r="F221" s="4" t="inlineStr">
        <is>
          <t>Texto · NLP</t>
        </is>
      </c>
      <c r="G221" s="4" t="inlineStr">
        <is>
          <t>Machine Learning</t>
        </is>
      </c>
      <c r="H221" s="4" t="inlineStr">
        <is>
          <t>https://doi.org/10.1016/B978-0-12-822822-7.00006-5</t>
        </is>
      </c>
      <c r="I221" s="4" t="inlineStr">
        <is>
          <t>Data mining and machine learning techniques for early detection in autism spectrum disorder</t>
        </is>
      </c>
      <c r="J221" s="4" t="inlineStr">
        <is>
          <t>Nowadays, artificial intelligence techniques are applied in many fields such as industry, natural language processing, or medicine. In this chapter, we have focused on the health area. Within the field of health, artificial intelligence acts in different ways, from predicting any type of disease or dysfunctions in order to establish correlations between different measures collected. Here, we have addressed the application of data mining and machine learning techniques for early detection in autism spectrum disorder. Our approach consists of an architecture based on five steps: (1) search and selection of data sources; (2) application of extract, transform, and load process; (3) creation of the data warehouse and data mart; (4) application of machine learning techniques with the aim of extracting relevant information from selected information sources in order to correctly classify the new data; and (5) visualization of results. In order to test our methodology, we present a case study using three autism datasets with patients of different ages. We used different machine learning techniques in order to compare the results obtained and to find out the best techniques depending on the input data and indicators collected. Finally, we have created dashboards using two of the most significant tools (i.e., Power BI and Tableau) in order to graphically analyze the results.</t>
        </is>
      </c>
      <c r="K221" s="4" t="n"/>
      <c r="L221" s="4" t="n"/>
      <c r="M221" s="4" t="inlineStr">
        <is>
          <t>Early detection / data-mining workflow</t>
        </is>
      </c>
      <c r="N221" s="4" t="inlineStr">
        <is>
          <t>Screening</t>
        </is>
      </c>
      <c r="O221" s="4" t="n"/>
      <c r="P221" s="4" t="n"/>
      <c r="Q221" s="4" t="n"/>
      <c r="R221" s="4" t="n"/>
      <c r="S221" s="4" t="n"/>
      <c r="T221" s="4" t="n"/>
      <c r="U221" s="4" t="n"/>
      <c r="V221" s="4" t="n"/>
      <c r="W221" s="4" t="n">
        <v>0</v>
      </c>
      <c r="X221" s="4" t="n">
        <v>1</v>
      </c>
      <c r="Y221" s="4" t="n">
        <v>0</v>
      </c>
      <c r="Z221" s="4" t="n">
        <v>0</v>
      </c>
      <c r="AA221" s="4" t="n">
        <v>0</v>
      </c>
      <c r="AB221" s="4" t="inlineStr">
        <is>
          <t>1900-01-01</t>
        </is>
      </c>
      <c r="AC221" s="4" t="n">
        <v>0</v>
      </c>
      <c r="AD221" s="4" t="n">
        <v>0</v>
      </c>
      <c r="AE221" s="4" t="n">
        <v>0</v>
      </c>
      <c r="AF221" s="4" t="n">
        <v>0</v>
      </c>
      <c r="AG221" s="4" t="n"/>
      <c r="AH221" s="4" t="n"/>
      <c r="AI221" s="4" t="n"/>
      <c r="AJ221" s="4" t="inlineStr">
        <is>
          <t>1900-01-01</t>
        </is>
      </c>
      <c r="AK221" s="4" t="inlineStr">
        <is>
          <t>none_reported</t>
        </is>
      </c>
      <c r="AL221" s="4" t="inlineStr">
        <is>
          <t>Usa varios datasets, pero no basta para marcar validación externa o multisource strategy.</t>
        </is>
      </c>
      <c r="AM221" s="4" t="inlineStr">
        <is>
          <t>RA_fallback</t>
        </is>
      </c>
      <c r="AN221" s="4" t="inlineStr">
        <is>
          <t>Fallback a RA porque el ID no está en RB</t>
        </is>
      </c>
      <c r="AO221" s="4" t="n">
        <v>1</v>
      </c>
      <c r="AP221" s="4" t="n">
        <v>0</v>
      </c>
      <c r="AQ221" s="4" t="n">
        <v>0</v>
      </c>
      <c r="AR221" s="4" t="n">
        <v>0</v>
      </c>
      <c r="AS221" s="4" t="n">
        <v>0</v>
      </c>
      <c r="AT221" s="4" t="n">
        <v>0</v>
      </c>
      <c r="AU221" s="4" t="n">
        <v>0</v>
      </c>
      <c r="AV221" s="4" t="n">
        <v>0</v>
      </c>
      <c r="AW221" s="4" t="inlineStr">
        <is>
          <t>finalized_from_available_evidence</t>
        </is>
      </c>
      <c r="AX221" s="4" t="inlineStr">
        <is>
          <t>0 means no reported evidence in title/abstract/notes/coding; it is not proof of true absence.</t>
        </is>
      </c>
    </row>
    <row r="222" ht="359" customHeight="1">
      <c r="A222" s="4" t="n">
        <v>221</v>
      </c>
      <c r="B222" s="4" t="n">
        <v>239</v>
      </c>
      <c r="C222" s="4" t="inlineStr">
        <is>
          <t>Ambos (piloto)</t>
        </is>
      </c>
      <c r="D222" s="4" t="inlineStr">
        <is>
          <t>RA</t>
        </is>
      </c>
      <c r="E222" s="4" t="n">
        <v>2024</v>
      </c>
      <c r="F222" s="4" t="inlineStr">
        <is>
          <t>Imagen</t>
        </is>
      </c>
      <c r="G222" s="4" t="inlineStr">
        <is>
          <t>Machine Learning</t>
        </is>
      </c>
      <c r="H222" s="4" t="inlineStr">
        <is>
          <t>https://doi.org/10.1016/j.ctcp.2023.101825</t>
        </is>
      </c>
      <c r="I222" s="4" t="inlineStr">
        <is>
          <t>Diagnosing autism severity associated with physical fitness and gray matter volume in children with autism spectrum disorder: Explainable machine learning method</t>
        </is>
      </c>
      <c r="J222" s="4" t="inlineStr">
        <is>
          <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t>
        </is>
      </c>
      <c r="K222" s="4" t="inlineStr">
        <is>
          <t>Supervised</t>
        </is>
      </c>
      <c r="L222" s="4" t="inlineStr">
        <is>
          <t>XGBoost / GBDT</t>
        </is>
      </c>
      <c r="M222" s="4" t="inlineStr">
        <is>
          <t>Classification (ASD vs control / multi-class)</t>
        </is>
      </c>
      <c r="N222" s="4" t="inlineStr">
        <is>
          <t>Diagnosis</t>
        </is>
      </c>
      <c r="O222" s="4" t="inlineStr">
        <is>
          <t>High</t>
        </is>
      </c>
      <c r="P222" s="4" t="n">
        <v>1</v>
      </c>
      <c r="Q222" s="4" t="n">
        <v>0</v>
      </c>
      <c r="R222" s="4" t="n">
        <v>0</v>
      </c>
      <c r="S222" s="4" t="n">
        <v>0</v>
      </c>
      <c r="T222" s="4" t="n">
        <v>0</v>
      </c>
      <c r="U222" s="4" t="n">
        <v>0</v>
      </c>
      <c r="V222" s="4" t="n">
        <v>0</v>
      </c>
      <c r="W222" s="4" t="n">
        <v>0</v>
      </c>
      <c r="X222" s="4" t="n">
        <v>0</v>
      </c>
      <c r="Y222" s="4" t="n">
        <v>1</v>
      </c>
      <c r="Z222" s="4" t="n">
        <v>0</v>
      </c>
      <c r="AA222" s="4" t="n">
        <v>0</v>
      </c>
      <c r="AB222" s="4" t="inlineStr">
        <is>
          <t>1900-01-01</t>
        </is>
      </c>
      <c r="AC222" s="4" t="n">
        <v>0</v>
      </c>
      <c r="AD222" s="4" t="n">
        <v>1</v>
      </c>
      <c r="AE222" s="4" t="n">
        <v>0</v>
      </c>
      <c r="AF222" s="4" t="n">
        <v>0</v>
      </c>
      <c r="AG222" s="4" t="n">
        <v>1</v>
      </c>
      <c r="AH222" s="4" t="n">
        <v>1</v>
      </c>
      <c r="AI222" s="4" t="n"/>
      <c r="AJ222" s="4" t="n"/>
      <c r="AK222" s="4" t="inlineStr">
        <is>
          <t>explainability_or_interpretability; internal_validation_only</t>
        </is>
      </c>
      <c r="AL222" s="4" t="inlineStr">
        <is>
          <t>Modelos XGB/RF/SVM/DT para severidad; se selecciona XGBoost como principal y se marca GMV + pruebas físicas.</t>
        </is>
      </c>
      <c r="AM222" s="4" t="inlineStr">
        <is>
          <t>RA</t>
        </is>
      </c>
      <c r="AN222" s="4" t="inlineStr">
        <is>
          <t>Tomado completo desde archivo RA según asignación</t>
        </is>
      </c>
      <c r="AO222" s="4" t="n">
        <v>0</v>
      </c>
      <c r="AP222" s="4" t="n">
        <v>0</v>
      </c>
      <c r="AQ222" s="4" t="n">
        <v>0</v>
      </c>
      <c r="AR222" s="4" t="n">
        <v>1</v>
      </c>
      <c r="AS222" s="4" t="n">
        <v>0</v>
      </c>
      <c r="AT222" s="4" t="n">
        <v>1</v>
      </c>
      <c r="AU222" s="4" t="n">
        <v>0</v>
      </c>
      <c r="AV222" s="4" t="n">
        <v>0</v>
      </c>
      <c r="AW222" s="4" t="inlineStr">
        <is>
          <t>finalized_from_available_evidence</t>
        </is>
      </c>
      <c r="AX222" s="4" t="inlineStr">
        <is>
          <t>0 means no reported evidence in title/abstract/notes/coding; it is not proof of true absence.</t>
        </is>
      </c>
    </row>
    <row r="223" ht="385" customHeight="1">
      <c r="A223" s="4" t="n">
        <v>222</v>
      </c>
      <c r="B223" s="4" t="n">
        <v>240</v>
      </c>
      <c r="C223" s="4" t="inlineStr">
        <is>
          <t>Revisor A</t>
        </is>
      </c>
      <c r="D223" s="4" t="inlineStr">
        <is>
          <t>RA</t>
        </is>
      </c>
      <c r="E223" s="4" t="n">
        <v>2022</v>
      </c>
      <c r="F223" s="4" t="inlineStr">
        <is>
          <t>Imagen</t>
        </is>
      </c>
      <c r="G223" s="4" t="inlineStr">
        <is>
          <t>Deep Learning</t>
        </is>
      </c>
      <c r="H223" s="4" t="inlineStr">
        <is>
          <t>https://doi.org/10.1142/S0129065722500460</t>
        </is>
      </c>
      <c r="I223" s="4" t="inlineStr">
        <is>
          <t>Diagnosis of Autism Disorder Based on Deep Network Trained by Augmented EEG Signals</t>
        </is>
      </c>
      <c r="J223" s="4" t="inlineStr">
        <is>
          <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t>
        </is>
      </c>
      <c r="K223" s="4" t="inlineStr">
        <is>
          <t>Supervised</t>
        </is>
      </c>
      <c r="L223" s="4" t="inlineStr">
        <is>
          <t>CNN</t>
        </is>
      </c>
      <c r="M223" s="4" t="inlineStr">
        <is>
          <t>Classification (ASD vs control / multi-class)</t>
        </is>
      </c>
      <c r="N223" s="4" t="inlineStr">
        <is>
          <t>Diagnosis</t>
        </is>
      </c>
      <c r="O223" s="4" t="inlineStr">
        <is>
          <t>High</t>
        </is>
      </c>
      <c r="P223" s="4" t="n">
        <v>0</v>
      </c>
      <c r="Q223" s="4" t="n">
        <v>1</v>
      </c>
      <c r="R223" s="4" t="n">
        <v>0</v>
      </c>
      <c r="S223" s="4" t="n">
        <v>0</v>
      </c>
      <c r="T223" s="4" t="n">
        <v>0</v>
      </c>
      <c r="U223" s="4" t="n">
        <v>0</v>
      </c>
      <c r="V223" s="4" t="n">
        <v>0</v>
      </c>
      <c r="W223" s="4" t="n">
        <v>0</v>
      </c>
      <c r="X223" s="4" t="n">
        <v>0</v>
      </c>
      <c r="Y223" s="4" t="n">
        <v>1</v>
      </c>
      <c r="Z223" s="4" t="n">
        <v>0</v>
      </c>
      <c r="AA223" s="4" t="n">
        <v>0</v>
      </c>
      <c r="AB223" s="4" t="inlineStr">
        <is>
          <t>1900-01-01</t>
        </is>
      </c>
      <c r="AC223" s="4" t="n">
        <v>0</v>
      </c>
      <c r="AD223" s="4" t="n">
        <v>0</v>
      </c>
      <c r="AE223" s="4" t="n">
        <v>0</v>
      </c>
      <c r="AF223" s="4" t="n">
        <v>0</v>
      </c>
      <c r="AG223" s="4" t="n">
        <v>0</v>
      </c>
      <c r="AH223" s="4" t="n">
        <v>1</v>
      </c>
      <c r="AI223" s="4" t="n"/>
      <c r="AJ223" s="4" t="n"/>
      <c r="AK223" s="4" t="inlineStr">
        <is>
          <t>none_reported</t>
        </is>
      </c>
      <c r="AL223" s="4" t="inlineStr">
        <is>
          <t>Se comparan varios modelos; se eligió el principal/mejor reportado</t>
        </is>
      </c>
      <c r="AM223" s="4" t="inlineStr">
        <is>
          <t>RA</t>
        </is>
      </c>
      <c r="AN223" s="4" t="inlineStr">
        <is>
          <t>Tomado completo desde archivo RA según asignación</t>
        </is>
      </c>
      <c r="AO223" s="4" t="n">
        <v>0</v>
      </c>
      <c r="AP223" s="4" t="n">
        <v>0</v>
      </c>
      <c r="AQ223" s="4" t="n">
        <v>0</v>
      </c>
      <c r="AR223" s="4" t="n">
        <v>0</v>
      </c>
      <c r="AS223" s="4" t="n">
        <v>0</v>
      </c>
      <c r="AT223" s="4" t="n">
        <v>0</v>
      </c>
      <c r="AU223" s="4" t="n">
        <v>0</v>
      </c>
      <c r="AV223" s="4" t="n">
        <v>0</v>
      </c>
      <c r="AW223" s="4" t="inlineStr">
        <is>
          <t>finalized_from_available_evidence</t>
        </is>
      </c>
      <c r="AX223" s="4" t="inlineStr">
        <is>
          <t>0 means no reported evidence in title/abstract/notes/coding; it is not proof of true absence.</t>
        </is>
      </c>
    </row>
    <row r="224" ht="242" customHeight="1">
      <c r="A224" s="4" t="n">
        <v>223</v>
      </c>
      <c r="B224" s="4" t="n">
        <v>241</v>
      </c>
      <c r="C224" s="4" t="inlineStr">
        <is>
          <t>Revisor A</t>
        </is>
      </c>
      <c r="D224" s="4" t="inlineStr">
        <is>
          <t>RA</t>
        </is>
      </c>
      <c r="E224" s="4" t="n">
        <v>2018</v>
      </c>
      <c r="F224" s="4" t="inlineStr">
        <is>
          <t>Señales fisiológicas</t>
        </is>
      </c>
      <c r="G224" s="4" t="inlineStr">
        <is>
          <t>Machine Learning</t>
        </is>
      </c>
      <c r="H224" s="4" t="inlineStr">
        <is>
          <t>https://doi.org/10.1016/j.nicl.2018.01.014</t>
        </is>
      </c>
      <c r="I224" s="4" t="inlineStr">
        <is>
          <t>Differences in atypical resting-state effective connectivity distinguish autism from schizophrenia</t>
        </is>
      </c>
      <c r="J224" s="4" t="inlineStr">
        <is>
          <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t>
        </is>
      </c>
      <c r="K224" s="4" t="inlineStr">
        <is>
          <t>Supervised</t>
        </is>
      </c>
      <c r="L224" s="4" t="inlineStr">
        <is>
          <t>SVM</t>
        </is>
      </c>
      <c r="M224" s="4" t="inlineStr">
        <is>
          <t>Classification (ASD vs control / multi-class)</t>
        </is>
      </c>
      <c r="N224" s="4" t="inlineStr">
        <is>
          <t>Diagnosis</t>
        </is>
      </c>
      <c r="O224" s="4" t="inlineStr">
        <is>
          <t>High</t>
        </is>
      </c>
      <c r="P224" s="4" t="n">
        <v>1</v>
      </c>
      <c r="Q224" s="4" t="n">
        <v>0</v>
      </c>
      <c r="R224" s="4" t="n">
        <v>0</v>
      </c>
      <c r="S224" s="4" t="n">
        <v>0</v>
      </c>
      <c r="T224" s="4" t="n">
        <v>0</v>
      </c>
      <c r="U224" s="4" t="n">
        <v>0</v>
      </c>
      <c r="V224" s="4" t="n">
        <v>0</v>
      </c>
      <c r="W224" s="4" t="n">
        <v>0</v>
      </c>
      <c r="X224" s="4" t="n">
        <v>0</v>
      </c>
      <c r="Y224" s="4" t="n">
        <v>1</v>
      </c>
      <c r="Z224" s="4" t="n">
        <v>0</v>
      </c>
      <c r="AA224" s="4" t="n">
        <v>0</v>
      </c>
      <c r="AB224" s="4" t="inlineStr">
        <is>
          <t>1900-01-01</t>
        </is>
      </c>
      <c r="AC224" s="4" t="n">
        <v>1</v>
      </c>
      <c r="AD224" s="4" t="n">
        <v>1</v>
      </c>
      <c r="AE224" s="4" t="n">
        <v>0</v>
      </c>
      <c r="AF224" s="4" t="n">
        <v>0</v>
      </c>
      <c r="AG224" s="4" t="n">
        <v>0</v>
      </c>
      <c r="AH224" s="4" t="n">
        <v>1</v>
      </c>
      <c r="AI224" s="4" t="n"/>
      <c r="AJ224" s="4" t="n"/>
      <c r="AK224" s="4" t="inlineStr">
        <is>
          <t>external_validation; explainability_or_interpretability</t>
        </is>
      </c>
      <c r="AL224" s="4" t="n"/>
      <c r="AM224" s="4" t="inlineStr">
        <is>
          <t>RA</t>
        </is>
      </c>
      <c r="AN224" s="4" t="inlineStr">
        <is>
          <t>Tomado completo desde archivo RA según asignación</t>
        </is>
      </c>
      <c r="AO224" s="4" t="n">
        <v>0</v>
      </c>
      <c r="AP224" s="4" t="n">
        <v>0</v>
      </c>
      <c r="AQ224" s="4" t="n">
        <v>0</v>
      </c>
      <c r="AR224" s="4" t="n">
        <v>0</v>
      </c>
      <c r="AS224" s="4" t="n">
        <v>0</v>
      </c>
      <c r="AT224" s="4" t="n">
        <v>0</v>
      </c>
      <c r="AU224" s="4" t="n">
        <v>1</v>
      </c>
      <c r="AV224" s="4" t="n">
        <v>0</v>
      </c>
      <c r="AW224" s="4" t="inlineStr">
        <is>
          <t>finalized_from_available_evidence</t>
        </is>
      </c>
      <c r="AX224" s="4" t="inlineStr">
        <is>
          <t>0 means no reported evidence in title/abstract/notes/coding; it is not proof of true absence.</t>
        </is>
      </c>
    </row>
    <row r="225" ht="203" customHeight="1">
      <c r="A225" s="4" t="n">
        <v>224</v>
      </c>
      <c r="B225" s="4" t="n">
        <v>242</v>
      </c>
      <c r="C225" s="4" t="inlineStr">
        <is>
          <t>Revisor B</t>
        </is>
      </c>
      <c r="D225" s="4" t="n"/>
      <c r="E225" s="4" t="n">
        <v>2024</v>
      </c>
      <c r="F225" s="4" t="inlineStr">
        <is>
          <t>Señales fisiológicas</t>
        </is>
      </c>
      <c r="G225" s="4" t="inlineStr">
        <is>
          <t>Deep Learning</t>
        </is>
      </c>
      <c r="H225" s="4" t="inlineStr">
        <is>
          <t>https://doi.org/10.1007/s10803-023-05922-x</t>
        </is>
      </c>
      <c r="I225" s="4" t="inlineStr">
        <is>
          <t>Eigenvector Centrality Characterization on fMRI Data: Gender and Node Differences in Normal and ASD Subjects: Author name</t>
        </is>
      </c>
      <c r="J225" s="4" t="inlineStr">
        <is>
          <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t>
        </is>
      </c>
      <c r="K225" s="4" t="inlineStr">
        <is>
          <t>Not clear</t>
        </is>
      </c>
      <c r="L225" s="4" t="inlineStr">
        <is>
          <t>Decision Tree</t>
        </is>
      </c>
      <c r="M225" s="4" t="inlineStr">
        <is>
          <t>Classification (binary/multi-class; incl. ASD vs control)/ multi-class)</t>
        </is>
      </c>
      <c r="N225" s="4" t="inlineStr">
        <is>
          <t>diagnosis</t>
        </is>
      </c>
      <c r="O225" s="4" t="inlineStr">
        <is>
          <t>high</t>
        </is>
      </c>
      <c r="P225" s="4" t="n">
        <v>1</v>
      </c>
      <c r="Q225" s="4" t="n">
        <v>0</v>
      </c>
      <c r="R225" s="4" t="n">
        <v>0</v>
      </c>
      <c r="S225" s="4" t="n">
        <v>0</v>
      </c>
      <c r="T225" s="4" t="n">
        <v>0</v>
      </c>
      <c r="U225" s="4" t="n">
        <v>0</v>
      </c>
      <c r="V225" s="4" t="n">
        <v>0</v>
      </c>
      <c r="W225" s="4" t="n">
        <v>0</v>
      </c>
      <c r="X225" s="4" t="n">
        <v>0</v>
      </c>
      <c r="Y225" s="4" t="n">
        <v>1</v>
      </c>
      <c r="Z225" s="4" t="n">
        <v>0</v>
      </c>
      <c r="AA225" s="4" t="n">
        <v>0</v>
      </c>
      <c r="AB225" s="4" t="inlineStr">
        <is>
          <t>00:00:00</t>
        </is>
      </c>
      <c r="AC225" s="4" t="n">
        <v>0</v>
      </c>
      <c r="AD225" s="4" t="n">
        <v>0</v>
      </c>
      <c r="AE225" s="4" t="n">
        <v>0</v>
      </c>
      <c r="AF225" s="4" t="n">
        <v>0</v>
      </c>
      <c r="AG225" s="4" t="n">
        <v>0</v>
      </c>
      <c r="AH225" s="4" t="n">
        <v>1</v>
      </c>
      <c r="AI225" s="4" t="n">
        <v>0</v>
      </c>
      <c r="AJ225" s="4" t="inlineStr">
        <is>
          <t>00:00:00</t>
        </is>
      </c>
      <c r="AK225" s="4" t="inlineStr">
        <is>
          <t>none_reported</t>
        </is>
      </c>
      <c r="AL225" s="4" t="n"/>
      <c r="AM225" s="4" t="inlineStr">
        <is>
          <t>RB</t>
        </is>
      </c>
      <c r="AN225" s="4" t="inlineStr">
        <is>
          <t>Tomado completo desde archivo RB según asignación</t>
        </is>
      </c>
      <c r="AO225" s="4" t="n">
        <v>0</v>
      </c>
      <c r="AP225" s="4" t="n">
        <v>0</v>
      </c>
      <c r="AQ225" s="4" t="n">
        <v>0</v>
      </c>
      <c r="AR225" s="4" t="n">
        <v>0</v>
      </c>
      <c r="AS225" s="4" t="n">
        <v>0</v>
      </c>
      <c r="AT225" s="4" t="n">
        <v>0</v>
      </c>
      <c r="AU225" s="4" t="n">
        <v>0</v>
      </c>
      <c r="AV225" s="4" t="n">
        <v>0</v>
      </c>
      <c r="AW225" s="4" t="inlineStr">
        <is>
          <t>finalized_from_available_evidence</t>
        </is>
      </c>
      <c r="AX225" s="4" t="inlineStr">
        <is>
          <t>0 means no reported evidence in title/abstract/notes/coding; it is not proof of true absence.</t>
        </is>
      </c>
    </row>
    <row r="226" ht="164" customHeight="1">
      <c r="A226" s="4" t="n">
        <v>225</v>
      </c>
      <c r="B226" s="4" t="n">
        <v>243</v>
      </c>
      <c r="C226" s="4" t="inlineStr">
        <is>
          <t>Revisor B</t>
        </is>
      </c>
      <c r="D226" s="4" t="n"/>
      <c r="E226" s="4" t="n">
        <v>2025</v>
      </c>
      <c r="F226" s="4" t="inlineStr">
        <is>
          <t>Imagen</t>
        </is>
      </c>
      <c r="G226" s="4" t="inlineStr">
        <is>
          <t>Deep Learning</t>
        </is>
      </c>
      <c r="H226" s="4" t="inlineStr">
        <is>
          <t>https://doi.org/10.1007/978-3-031-83845-3_26</t>
        </is>
      </c>
      <c r="I226" s="4" t="inlineStr">
        <is>
          <t>Enhancing Multi-view ASD Diagnosis Using Structural MRI and Pretrained CNN</t>
        </is>
      </c>
      <c r="J226" s="4" t="inlineStr">
        <is>
          <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t>
        </is>
      </c>
      <c r="K226" s="4" t="inlineStr">
        <is>
          <t>Not clear</t>
        </is>
      </c>
      <c r="L226" s="4" t="inlineStr">
        <is>
          <t>CNN</t>
        </is>
      </c>
      <c r="M226" s="4" t="inlineStr">
        <is>
          <t>Classification (binary/multi-class; incl. ASD vs control)/ multi-class)</t>
        </is>
      </c>
      <c r="N226" s="4" t="inlineStr">
        <is>
          <t>Diagnosis</t>
        </is>
      </c>
      <c r="O226" s="4" t="inlineStr">
        <is>
          <t>medium</t>
        </is>
      </c>
      <c r="P226" s="4" t="n">
        <v>0</v>
      </c>
      <c r="Q226" s="4" t="n">
        <v>0</v>
      </c>
      <c r="R226" s="4" t="n">
        <v>0</v>
      </c>
      <c r="S226" s="4" t="n">
        <v>0</v>
      </c>
      <c r="T226" s="4" t="n">
        <v>0</v>
      </c>
      <c r="U226" s="4" t="n">
        <v>0</v>
      </c>
      <c r="V226" s="4" t="n">
        <v>0</v>
      </c>
      <c r="W226" s="4" t="n">
        <v>0</v>
      </c>
      <c r="X226" s="4" t="n">
        <v>0</v>
      </c>
      <c r="Y226" s="4" t="n">
        <v>0</v>
      </c>
      <c r="Z226" s="4" t="n">
        <v>0</v>
      </c>
      <c r="AA226" s="4" t="n">
        <v>1</v>
      </c>
      <c r="AB226" s="4" t="inlineStr">
        <is>
          <t>1900-01-01</t>
        </is>
      </c>
      <c r="AC226" s="4" t="n">
        <v>0</v>
      </c>
      <c r="AD226" s="4" t="n">
        <v>0</v>
      </c>
      <c r="AE226" s="4" t="n">
        <v>0</v>
      </c>
      <c r="AF226" s="4" t="n">
        <v>1</v>
      </c>
      <c r="AG226" s="4" t="n">
        <v>0</v>
      </c>
      <c r="AH226" s="4" t="n">
        <v>0</v>
      </c>
      <c r="AI226" s="4" t="n">
        <v>0</v>
      </c>
      <c r="AJ226" s="4" t="inlineStr">
        <is>
          <t>00:00:00</t>
        </is>
      </c>
      <c r="AK226" s="4" t="inlineStr">
        <is>
          <t>multisource_integration; multisite_dataset_broad</t>
        </is>
      </c>
      <c r="AL226" s="4" t="n"/>
      <c r="AM226" s="4" t="inlineStr">
        <is>
          <t>RB</t>
        </is>
      </c>
      <c r="AN226" s="4" t="inlineStr">
        <is>
          <t>Tomado completo desde archivo RB según asignación</t>
        </is>
      </c>
      <c r="AO226" s="4" t="n">
        <v>0</v>
      </c>
      <c r="AP226" s="4" t="n">
        <v>0</v>
      </c>
      <c r="AQ226" s="4" t="n">
        <v>1</v>
      </c>
      <c r="AR226" s="4" t="n">
        <v>0</v>
      </c>
      <c r="AS226" s="4" t="n">
        <v>0</v>
      </c>
      <c r="AT226" s="4" t="n">
        <v>0</v>
      </c>
      <c r="AU226" s="4" t="n">
        <v>0</v>
      </c>
      <c r="AV226" s="4" t="n">
        <v>1</v>
      </c>
      <c r="AW226" s="4" t="inlineStr">
        <is>
          <t>finalized_from_available_evidence</t>
        </is>
      </c>
      <c r="AX226" s="4" t="inlineStr">
        <is>
          <t>0 means no reported evidence in title/abstract/notes/coding; it is not proof of true absence.</t>
        </is>
      </c>
    </row>
    <row r="227" ht="409" customHeight="1">
      <c r="A227" s="4" t="n">
        <v>226</v>
      </c>
      <c r="B227" s="4" t="n">
        <v>245</v>
      </c>
      <c r="C227" s="4" t="inlineStr">
        <is>
          <t>Revisor B</t>
        </is>
      </c>
      <c r="D227" s="4" t="n"/>
      <c r="E227" s="4" t="n">
        <v>2024</v>
      </c>
      <c r="F227" s="4" t="inlineStr">
        <is>
          <t>Imagen</t>
        </is>
      </c>
      <c r="G227" s="4" t="inlineStr">
        <is>
          <t>Deep Learning</t>
        </is>
      </c>
      <c r="H227" s="4" t="inlineStr">
        <is>
          <t>https://doi.org/10.1109/ACCESS.2024.3351168</t>
        </is>
      </c>
      <c r="I227" s="4" t="inlineStr">
        <is>
          <t>Exploring Sparse Gaussian Processes for Bayesian Optimization in Convolutional Neural Networks for Autism Classification</t>
        </is>
      </c>
      <c r="J227" s="4" t="inlineStr">
        <is>
          <t>Autism Spectrum Disorder (ASD) constitutes a prevalent childhood condition, impacting approximately 0.62% of the global population. Children grappling with ASD encounter challenges in acquiring language proficiency, comprehending spoken communication, and interpreting nonverbal cues, including eye contact, facial expressions, and hand gestures. This discourse delves into the application of eye tracking as a foundational instrument in ASD screening, leveraging the distinctive attributes of gaze behavior. Within the realm of Artificial Intelligence, Deep Learning manifests substantial promise, exhibiting considerable strides across diverse domains and emerging as an indispensable technological paradigm. This treatise introduces an innovative Convolutional Neural Network (CNN) model predicated on Bayesian optimization for the discernment of eye tracking images. The model comprises two primary components: the initial segment employs CNN to extract and amalgamate salient features, while the subsequent section incorporates a Bayesian optimizer tasked with fine-tuning the CNN’s hyperparameters contingent on an objective function. In the preliminary analysis, three distinct scenarios devoid of specific elements are juxtaposed with Bayesian optimization. During the examination, these circumstances are assessed through convergence charts and metrics of accuracy. The algorithm proposed manifests an elevated performance, demonstrating a conspicuous accuracy threshold of % during the evaluative phase of the model. This outcome constitutes a commendable advancement in research, accentuating the efficacy and resilience of the developed approach. The article undertakes a comparative analysis of research methodologies and thematic analysis approaches, furnishing valuable insights for qualitative researchers and offering methodologically robust pathways to address research inquiries. In practical applications, the model attests to heightened reliability and precision, thereby underscored as efficacious in real-world scenarios.</t>
        </is>
      </c>
      <c r="K227" s="4" t="n"/>
      <c r="L227" s="4" t="n"/>
      <c r="M227" s="4" t="inlineStr">
        <is>
          <t>Image-based screening / classification</t>
        </is>
      </c>
      <c r="N227" s="4" t="inlineStr">
        <is>
          <t>Screening</t>
        </is>
      </c>
      <c r="O227" s="4" t="n"/>
      <c r="P227" s="4" t="n"/>
      <c r="Q227" s="4" t="n"/>
      <c r="R227" s="4" t="n"/>
      <c r="S227" s="4" t="n"/>
      <c r="T227" s="4" t="n"/>
      <c r="U227" s="4" t="n"/>
      <c r="V227" s="4" t="n"/>
      <c r="W227" s="4" t="n">
        <v>0</v>
      </c>
      <c r="X227" s="4" t="n">
        <v>1</v>
      </c>
      <c r="Y227" s="4" t="n">
        <v>0</v>
      </c>
      <c r="Z227" s="4" t="n">
        <v>0</v>
      </c>
      <c r="AA227" s="4" t="n">
        <v>0</v>
      </c>
      <c r="AB227" s="4" t="inlineStr">
        <is>
          <t>1900-01-01</t>
        </is>
      </c>
      <c r="AC227" s="4" t="n">
        <v>0</v>
      </c>
      <c r="AD227" s="4" t="n">
        <v>0</v>
      </c>
      <c r="AE227" s="4" t="n">
        <v>0</v>
      </c>
      <c r="AF227" s="4" t="n">
        <v>0</v>
      </c>
      <c r="AG227" s="4" t="n"/>
      <c r="AH227" s="4" t="n"/>
      <c r="AI227" s="4" t="n"/>
      <c r="AJ227" s="4" t="inlineStr">
        <is>
          <t>1900-01-01</t>
        </is>
      </c>
      <c r="AK227" s="4" t="inlineStr">
        <is>
          <t>none_reported</t>
        </is>
      </c>
      <c r="AL227" s="4" t="inlineStr">
        <is>
          <t>Sin señal explícita Q3 en título/abstract.</t>
        </is>
      </c>
      <c r="AM227" s="4" t="inlineStr">
        <is>
          <t>RA_fallback</t>
        </is>
      </c>
      <c r="AN227" s="4" t="inlineStr">
        <is>
          <t>Fallback a RA porque el ID no está en RB</t>
        </is>
      </c>
      <c r="AO227" s="4" t="n">
        <v>1</v>
      </c>
      <c r="AP227" s="4" t="n">
        <v>0</v>
      </c>
      <c r="AQ227" s="4" t="n">
        <v>0</v>
      </c>
      <c r="AR227" s="4" t="n">
        <v>0</v>
      </c>
      <c r="AS227" s="4" t="n">
        <v>0</v>
      </c>
      <c r="AT227" s="4" t="n">
        <v>0</v>
      </c>
      <c r="AU227" s="4" t="n">
        <v>0</v>
      </c>
      <c r="AV227" s="4" t="n">
        <v>0</v>
      </c>
      <c r="AW227" s="4" t="inlineStr">
        <is>
          <t>finalized_from_available_evidence</t>
        </is>
      </c>
      <c r="AX227" s="4" t="inlineStr">
        <is>
          <t>0 means no reported evidence in title/abstract/notes/coding; it is not proof of true absence.</t>
        </is>
      </c>
    </row>
    <row r="228" ht="294" customHeight="1">
      <c r="A228" s="4" t="n">
        <v>227</v>
      </c>
      <c r="B228" s="4" t="n">
        <v>246</v>
      </c>
      <c r="C228" s="4" t="inlineStr">
        <is>
          <t>Revisor A</t>
        </is>
      </c>
      <c r="D228" s="4" t="inlineStr">
        <is>
          <t>RA</t>
        </is>
      </c>
      <c r="E228" s="4" t="n">
        <v>2021</v>
      </c>
      <c r="F228" s="4" t="inlineStr">
        <is>
          <t>No especificado</t>
        </is>
      </c>
      <c r="G228" s="4" t="inlineStr">
        <is>
          <t>Machine Learning</t>
        </is>
      </c>
      <c r="H228" s="4" t="inlineStr">
        <is>
          <t>https://doi.org/10.1016/B978-0-12-822822-7.00009-0</t>
        </is>
      </c>
      <c r="I228" s="4" t="inlineStr">
        <is>
          <t>Exploring tree-based machine learning methods to predict autism spectrum disorder</t>
        </is>
      </c>
      <c r="J228" s="4" t="inlineStr">
        <is>
          <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t>
        </is>
      </c>
      <c r="K228" s="4" t="inlineStr">
        <is>
          <t>Supervised</t>
        </is>
      </c>
      <c r="L228" s="4" t="inlineStr">
        <is>
          <t>Random Forest</t>
        </is>
      </c>
      <c r="M228" s="4" t="inlineStr">
        <is>
          <t>Prediction (time-to-event / prognosis)</t>
        </is>
      </c>
      <c r="N228" s="4" t="inlineStr">
        <is>
          <t>Screening</t>
        </is>
      </c>
      <c r="O228" s="4" t="inlineStr">
        <is>
          <t>Medium</t>
        </is>
      </c>
      <c r="P228" s="4" t="n">
        <v>0</v>
      </c>
      <c r="Q228" s="4" t="n">
        <v>0</v>
      </c>
      <c r="R228" s="4" t="n">
        <v>0</v>
      </c>
      <c r="S228" s="4" t="n">
        <v>0</v>
      </c>
      <c r="T228" s="4" t="n">
        <v>0</v>
      </c>
      <c r="U228" s="4" t="n">
        <v>0</v>
      </c>
      <c r="V228" s="4" t="n">
        <v>1</v>
      </c>
      <c r="W228" s="4" t="n">
        <v>0</v>
      </c>
      <c r="X228" s="4" t="n">
        <v>1</v>
      </c>
      <c r="Y228" s="4" t="n">
        <v>0</v>
      </c>
      <c r="Z228" s="4" t="n">
        <v>0</v>
      </c>
      <c r="AA228" s="4" t="n">
        <v>0</v>
      </c>
      <c r="AB228" s="4" t="inlineStr">
        <is>
          <t>1900-01-01</t>
        </is>
      </c>
      <c r="AC228" s="4" t="n">
        <v>0</v>
      </c>
      <c r="AD228" s="4" t="n">
        <v>0</v>
      </c>
      <c r="AE228" s="4" t="n">
        <v>0</v>
      </c>
      <c r="AF228" s="4" t="n">
        <v>0</v>
      </c>
      <c r="AG228" s="4" t="n">
        <v>0</v>
      </c>
      <c r="AH228" s="4" t="n">
        <v>1</v>
      </c>
      <c r="AI228" s="4" t="n"/>
      <c r="AJ228" s="4" t="n"/>
      <c r="AK228" s="4" t="inlineStr">
        <is>
          <t>none_reported</t>
        </is>
      </c>
      <c r="AL228" s="4" t="n"/>
      <c r="AM228" s="4" t="inlineStr">
        <is>
          <t>RA</t>
        </is>
      </c>
      <c r="AN228" s="4" t="inlineStr">
        <is>
          <t>Tomado completo desde archivo RA según asignación</t>
        </is>
      </c>
      <c r="AO228" s="4" t="n">
        <v>0</v>
      </c>
      <c r="AP228" s="4" t="n">
        <v>0</v>
      </c>
      <c r="AQ228" s="4" t="n">
        <v>0</v>
      </c>
      <c r="AR228" s="4" t="n">
        <v>0</v>
      </c>
      <c r="AS228" s="4" t="n">
        <v>0</v>
      </c>
      <c r="AT228" s="4" t="n">
        <v>0</v>
      </c>
      <c r="AU228" s="4" t="n">
        <v>0</v>
      </c>
      <c r="AV228" s="4" t="n">
        <v>0</v>
      </c>
      <c r="AW228" s="4" t="inlineStr">
        <is>
          <t>finalized_from_available_evidence</t>
        </is>
      </c>
      <c r="AX228" s="4" t="inlineStr">
        <is>
          <t>0 means no reported evidence in title/abstract/notes/coding; it is not proof of true absence.</t>
        </is>
      </c>
    </row>
    <row r="229" ht="409" customHeight="1">
      <c r="A229" s="4" t="n">
        <v>228</v>
      </c>
      <c r="B229" s="4" t="n">
        <v>247</v>
      </c>
      <c r="C229" s="4" t="inlineStr">
        <is>
          <t>Revisor B</t>
        </is>
      </c>
      <c r="D229" s="4" t="n"/>
      <c r="E229" s="4" t="n">
        <v>2023</v>
      </c>
      <c r="F229" s="4" t="inlineStr">
        <is>
          <t>Texto · NLP</t>
        </is>
      </c>
      <c r="G229" s="4" t="inlineStr">
        <is>
          <t>Machine Learning</t>
        </is>
      </c>
      <c r="H229" s="4" t="inlineStr">
        <is>
          <t>https://doi.org/10.1109/EMBC40787.2023.10340852</t>
        </is>
      </c>
      <c r="I229" s="4" t="inlineStr">
        <is>
          <t>Few-Shot Classification of Autism Spectrum Disorder using Site-Agnostic Meta-Learning and Brain MRI</t>
        </is>
      </c>
      <c r="J229" s="4" t="inlineStr">
        <is>
          <t>For machine learning applications in medical imaging, the availability of training data is often limited, which hampers the design of radiological classifiers for subtle conditions such as autism spectrum disorder (ASD). Transfer learning is one method to counter this problem of low training data regimes. Here we explore the use of meta-learning for very low data regimes in the context of having prior data from multiple sites-an approach we term site-agnostic meta-learning. Inspired by the effectiveness of meta-learning for optimizing a model across multiple tasks, here we propose a framework to adapt it to learn across multiple sites. We tested our meta-learning model for classifying ASD versus typically developing controls in 2,201 T1-weighted (T1-w) MRI scans collected from 38 imaging sites as part of Autism Brain Imaging Data Exchange (ABIDE) [age: 5.2-64.0 years]. The method was trained to find a good initialization state for our model that can quickly adapt to data from new unseen sites by fine-tuning on the limited data that is available. The proposed method achieved an area under the receiver operating characteristic curve (ROC-AUC)=0.857 on 370 scans from 7 unseen sites in ABIDE using a few-shot setting of 2-way 20-shot i.e., 20 training samples per site. Our results outperformed a transfer learning baseline by generalizing across a wider range of sites as well as other related prior work. We also tested our model in a zero-shot setting on an independent test site without any additional fine-tuning. Our experiments show the promise of the proposed site-agnostic meta-learning framework for challenging neuroimaging tasks involving multi-site heterogeneity with limited availability of training data.Clinical Relevance-We propose a learning framework that accommodates multi-site heterogeneity and limited data to assist in challenging neuroimaging tasks.</t>
        </is>
      </c>
      <c r="K229" s="4" t="n"/>
      <c r="L229" s="4" t="n"/>
      <c r="M229" s="4" t="inlineStr">
        <is>
          <t>MRI classification / diagnostic support</t>
        </is>
      </c>
      <c r="N229" s="4" t="inlineStr">
        <is>
          <t>Diagnosis</t>
        </is>
      </c>
      <c r="O229" s="4" t="inlineStr">
        <is>
          <t>high</t>
        </is>
      </c>
      <c r="P229" s="4" t="n">
        <v>0</v>
      </c>
      <c r="Q229" s="4" t="n">
        <v>0</v>
      </c>
      <c r="R229" s="4" t="n">
        <v>1</v>
      </c>
      <c r="S229" s="4" t="n">
        <v>0</v>
      </c>
      <c r="T229" s="4" t="n">
        <v>0</v>
      </c>
      <c r="U229" s="4" t="n">
        <v>0</v>
      </c>
      <c r="V229" s="4" t="n">
        <v>0</v>
      </c>
      <c r="W229" s="4" t="n">
        <v>0</v>
      </c>
      <c r="X229" s="4" t="n">
        <v>0</v>
      </c>
      <c r="Y229" s="4" t="n">
        <v>1</v>
      </c>
      <c r="Z229" s="4" t="n">
        <v>0</v>
      </c>
      <c r="AA229" s="4" t="n">
        <v>0</v>
      </c>
      <c r="AB229" s="4" t="inlineStr">
        <is>
          <t>1900-01-01</t>
        </is>
      </c>
      <c r="AC229" s="4" t="n">
        <v>1</v>
      </c>
      <c r="AD229" s="4" t="n">
        <v>0</v>
      </c>
      <c r="AE229" s="4" t="n">
        <v>1</v>
      </c>
      <c r="AF229" s="4" t="n">
        <v>0</v>
      </c>
      <c r="AG229" s="4" t="n">
        <v>0</v>
      </c>
      <c r="AH229" s="4" t="n">
        <v>1</v>
      </c>
      <c r="AI229" s="4" t="n">
        <v>0</v>
      </c>
      <c r="AJ229" s="4" t="inlineStr">
        <is>
          <t>1900-01-01</t>
        </is>
      </c>
      <c r="AK229" s="4" t="inlineStr">
        <is>
          <t>external_validation; cross_site_robustness; multisite_dataset_broad</t>
        </is>
      </c>
      <c r="AL229" s="4" t="n"/>
      <c r="AM229" s="4" t="inlineStr">
        <is>
          <t>RB</t>
        </is>
      </c>
      <c r="AN229" s="4" t="inlineStr">
        <is>
          <t>Tomado completo desde archivo RB según asignación</t>
        </is>
      </c>
      <c r="AO229" s="4" t="n">
        <v>0</v>
      </c>
      <c r="AP229" s="4" t="n">
        <v>1</v>
      </c>
      <c r="AQ229" s="4" t="n">
        <v>1</v>
      </c>
      <c r="AR229" s="4" t="n">
        <v>0</v>
      </c>
      <c r="AS229" s="4" t="n">
        <v>0</v>
      </c>
      <c r="AT229" s="4" t="n">
        <v>0</v>
      </c>
      <c r="AU229" s="4" t="n">
        <v>0</v>
      </c>
      <c r="AV229" s="4" t="n">
        <v>0</v>
      </c>
      <c r="AW229" s="4" t="inlineStr">
        <is>
          <t>finalized_from_available_evidence</t>
        </is>
      </c>
      <c r="AX229" s="4" t="inlineStr">
        <is>
          <t>0 means no reported evidence in title/abstract/notes/coding; it is not proof of true absence.</t>
        </is>
      </c>
    </row>
    <row r="230" ht="320" customHeight="1">
      <c r="A230" s="4" t="n">
        <v>229</v>
      </c>
      <c r="B230" s="4" t="n">
        <v>248</v>
      </c>
      <c r="C230" s="4" t="inlineStr">
        <is>
          <t>Revisor B</t>
        </is>
      </c>
      <c r="D230" s="4" t="n"/>
      <c r="E230" s="4" t="n">
        <v>2024</v>
      </c>
      <c r="F230" s="4" t="inlineStr">
        <is>
          <t>Imagen</t>
        </is>
      </c>
      <c r="G230" s="4" t="inlineStr">
        <is>
          <t>Deep Learning</t>
        </is>
      </c>
      <c r="H230" s="4" t="inlineStr">
        <is>
          <t>https://doi.org/10.1109/TNSRE.2024.3361935</t>
        </is>
      </c>
      <c r="I230" s="4" t="inlineStr">
        <is>
          <t>Gaze Patterns in Children With Autism Spectrum Disorder to Emotional Faces: Scanpath and Similarity</t>
        </is>
      </c>
      <c r="J230" s="4" t="inlineStr">
        <is>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is>
      </c>
      <c r="K230" s="4" t="inlineStr">
        <is>
          <t>Supervised</t>
        </is>
      </c>
      <c r="L230" s="4" t="inlineStr">
        <is>
          <t>RNN/LSTM/GRU</t>
        </is>
      </c>
      <c r="M230" s="4" t="inlineStr">
        <is>
          <t>Classification (binary/multi-class; incl. ASD vs control)/ multi-class)</t>
        </is>
      </c>
      <c r="N230" s="4" t="inlineStr">
        <is>
          <t>Screening</t>
        </is>
      </c>
      <c r="O230" s="4" t="inlineStr">
        <is>
          <t>high</t>
        </is>
      </c>
      <c r="P230" s="4" t="n">
        <v>1</v>
      </c>
      <c r="Q230" s="4" t="n">
        <v>0</v>
      </c>
      <c r="R230" s="4" t="n">
        <v>0</v>
      </c>
      <c r="S230" s="4" t="n">
        <v>0</v>
      </c>
      <c r="T230" s="4" t="n">
        <v>0</v>
      </c>
      <c r="U230" s="4" t="n">
        <v>0</v>
      </c>
      <c r="V230" s="4" t="n">
        <v>0</v>
      </c>
      <c r="W230" s="4" t="n">
        <v>0</v>
      </c>
      <c r="X230" s="4" t="n">
        <v>0</v>
      </c>
      <c r="Y230" s="4" t="n">
        <v>1</v>
      </c>
      <c r="Z230" s="4" t="n">
        <v>1</v>
      </c>
      <c r="AA230" s="4" t="n">
        <v>0</v>
      </c>
      <c r="AB230" s="4" t="inlineStr">
        <is>
          <t>1900-01-01</t>
        </is>
      </c>
      <c r="AC230" s="4" t="n">
        <v>0</v>
      </c>
      <c r="AD230" s="4" t="n">
        <v>0</v>
      </c>
      <c r="AE230" s="4" t="n">
        <v>0</v>
      </c>
      <c r="AF230" s="4" t="n">
        <v>0</v>
      </c>
      <c r="AG230" s="4" t="n">
        <v>0</v>
      </c>
      <c r="AH230" s="4" t="n">
        <v>1</v>
      </c>
      <c r="AI230" s="4" t="n">
        <v>0</v>
      </c>
      <c r="AJ230" s="4" t="inlineStr">
        <is>
          <t>1900-01-01</t>
        </is>
      </c>
      <c r="AK230" s="4" t="inlineStr">
        <is>
          <t>none_reported</t>
        </is>
      </c>
      <c r="AL230" s="4" t="n"/>
      <c r="AM230" s="4" t="inlineStr">
        <is>
          <t>RB</t>
        </is>
      </c>
      <c r="AN230" s="4" t="inlineStr">
        <is>
          <t>Tomado completo desde archivo RB según asignación</t>
        </is>
      </c>
      <c r="AO230" s="4" t="n">
        <v>0</v>
      </c>
      <c r="AP230" s="4" t="n">
        <v>0</v>
      </c>
      <c r="AQ230" s="4" t="n">
        <v>0</v>
      </c>
      <c r="AR230" s="4" t="n">
        <v>0</v>
      </c>
      <c r="AS230" s="4" t="n">
        <v>0</v>
      </c>
      <c r="AT230" s="4" t="n">
        <v>0</v>
      </c>
      <c r="AU230" s="4" t="n">
        <v>0</v>
      </c>
      <c r="AV230" s="4" t="n">
        <v>0</v>
      </c>
      <c r="AW230" s="4" t="inlineStr">
        <is>
          <t>finalized_from_available_evidence</t>
        </is>
      </c>
      <c r="AX230" s="4" t="inlineStr">
        <is>
          <t>0 means no reported evidence in title/abstract/notes/coding; it is not proof of true absence.</t>
        </is>
      </c>
    </row>
    <row r="231" ht="307" customHeight="1">
      <c r="A231" s="4" t="n">
        <v>230</v>
      </c>
      <c r="B231" s="4" t="n">
        <v>249</v>
      </c>
      <c r="C231" s="4" t="inlineStr">
        <is>
          <t>Revisor A</t>
        </is>
      </c>
      <c r="D231" s="4" t="inlineStr">
        <is>
          <t>RA</t>
        </is>
      </c>
      <c r="E231" s="4" t="n">
        <v>2015</v>
      </c>
      <c r="F231" s="4" t="inlineStr">
        <is>
          <t>Imagen</t>
        </is>
      </c>
      <c r="G231" s="4" t="inlineStr">
        <is>
          <t>Machine Learning</t>
        </is>
      </c>
      <c r="H231" s="4" t="inlineStr">
        <is>
          <t>https://doi.org/10.1111/jon.12280</t>
        </is>
      </c>
      <c r="I231" s="4" t="inlineStr">
        <is>
          <t>Gray Matter Alterations in Young Children with Autism Spectrum Disorders: Comparing Morphometry at the Voxel and Regional Level</t>
        </is>
      </c>
      <c r="J231" s="4" t="inlineStr">
        <is>
          <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t>
        </is>
      </c>
      <c r="K231" s="4" t="inlineStr">
        <is>
          <t>Supervised</t>
        </is>
      </c>
      <c r="L231" s="4" t="inlineStr">
        <is>
          <t>SVM</t>
        </is>
      </c>
      <c r="M231" s="4" t="inlineStr">
        <is>
          <t>Classification (ASD vs control / multi-class)</t>
        </is>
      </c>
      <c r="N231" s="4" t="inlineStr">
        <is>
          <t>Diagnosis</t>
        </is>
      </c>
      <c r="O231" s="4" t="inlineStr">
        <is>
          <t>High</t>
        </is>
      </c>
      <c r="P231" s="4" t="n">
        <v>1</v>
      </c>
      <c r="Q231" s="4" t="n">
        <v>0</v>
      </c>
      <c r="R231" s="4" t="n">
        <v>0</v>
      </c>
      <c r="S231" s="4" t="n">
        <v>0</v>
      </c>
      <c r="T231" s="4" t="n">
        <v>0</v>
      </c>
      <c r="U231" s="4" t="n">
        <v>0</v>
      </c>
      <c r="V231" s="4" t="n">
        <v>0</v>
      </c>
      <c r="W231" s="4" t="n">
        <v>0</v>
      </c>
      <c r="X231" s="4" t="n">
        <v>0</v>
      </c>
      <c r="Y231" s="4" t="n">
        <v>0</v>
      </c>
      <c r="Z231" s="4" t="n">
        <v>1</v>
      </c>
      <c r="AA231" s="4" t="n">
        <v>0</v>
      </c>
      <c r="AB231" s="4" t="inlineStr">
        <is>
          <t>1900-01-01</t>
        </is>
      </c>
      <c r="AC231" s="4" t="n">
        <v>0</v>
      </c>
      <c r="AD231" s="4" t="n">
        <v>0</v>
      </c>
      <c r="AE231" s="4" t="n">
        <v>0</v>
      </c>
      <c r="AF231" s="4" t="n">
        <v>0</v>
      </c>
      <c r="AG231" s="4" t="n">
        <v>1</v>
      </c>
      <c r="AH231" s="4" t="n">
        <v>1</v>
      </c>
      <c r="AI231" s="4" t="n"/>
      <c r="AJ231" s="4" t="n"/>
      <c r="AK231" s="4" t="inlineStr">
        <is>
          <t>none_reported</t>
        </is>
      </c>
      <c r="AL231" s="4" t="inlineStr">
        <is>
          <t>Algoritmo principal no explícito o fuera del codebook; Confirmar algoritmo principal en full-text</t>
        </is>
      </c>
      <c r="AM231" s="4" t="inlineStr">
        <is>
          <t>RA</t>
        </is>
      </c>
      <c r="AN231" s="4" t="inlineStr">
        <is>
          <t>Tomado completo desde archivo RA según asignación</t>
        </is>
      </c>
      <c r="AO231" s="4" t="n">
        <v>0</v>
      </c>
      <c r="AP231" s="4" t="n">
        <v>0</v>
      </c>
      <c r="AQ231" s="4" t="n">
        <v>0</v>
      </c>
      <c r="AR231" s="4" t="n">
        <v>0</v>
      </c>
      <c r="AS231" s="4" t="n">
        <v>0</v>
      </c>
      <c r="AT231" s="4" t="n">
        <v>0</v>
      </c>
      <c r="AU231" s="4" t="n">
        <v>0</v>
      </c>
      <c r="AV231" s="4" t="n">
        <v>0</v>
      </c>
      <c r="AW231" s="4" t="inlineStr">
        <is>
          <t>finalized_from_available_evidence</t>
        </is>
      </c>
      <c r="AX231" s="4" t="inlineStr">
        <is>
          <t>0 means no reported evidence in title/abstract/notes/coding; it is not proof of true absence.</t>
        </is>
      </c>
    </row>
    <row r="232" ht="320" customHeight="1">
      <c r="A232" s="4" t="n">
        <v>231</v>
      </c>
      <c r="B232" s="4" t="n">
        <v>250</v>
      </c>
      <c r="C232" s="4" t="inlineStr">
        <is>
          <t>Revisor A</t>
        </is>
      </c>
      <c r="D232" s="4" t="inlineStr">
        <is>
          <t>RA</t>
        </is>
      </c>
      <c r="E232" s="4" t="n">
        <v>2022</v>
      </c>
      <c r="F232" s="4" t="inlineStr">
        <is>
          <t>Señales fisiológicas</t>
        </is>
      </c>
      <c r="G232" s="4" t="inlineStr">
        <is>
          <t>Deep Learning</t>
        </is>
      </c>
      <c r="H232" s="4" t="inlineStr">
        <is>
          <t>https://doi.org/10.1016/j.compbiomed.2022.105854</t>
        </is>
      </c>
      <c r="I232" s="4" t="inlineStr">
        <is>
          <t>Identification of Autism spectrum disorder based on a novel feature selection method and Variational Autoencoder</t>
        </is>
      </c>
      <c r="J232" s="4" t="inlineStr">
        <is>
          <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t>
        </is>
      </c>
      <c r="K232" s="4" t="inlineStr">
        <is>
          <t>Supervised</t>
        </is>
      </c>
      <c r="L232" s="4" t="inlineStr">
        <is>
          <t>MLP</t>
        </is>
      </c>
      <c r="M232" s="4" t="inlineStr">
        <is>
          <t>Classification (ASD vs control / multi-class)</t>
        </is>
      </c>
      <c r="N232" s="4" t="inlineStr">
        <is>
          <t>Diagnosis</t>
        </is>
      </c>
      <c r="O232" s="4" t="inlineStr">
        <is>
          <t>High</t>
        </is>
      </c>
      <c r="P232" s="4" t="n">
        <v>1</v>
      </c>
      <c r="Q232" s="4" t="n">
        <v>0</v>
      </c>
      <c r="R232" s="4" t="n">
        <v>0</v>
      </c>
      <c r="S232" s="4" t="n">
        <v>0</v>
      </c>
      <c r="T232" s="4" t="n">
        <v>0</v>
      </c>
      <c r="U232" s="4" t="n">
        <v>0</v>
      </c>
      <c r="V232" s="4" t="n">
        <v>0</v>
      </c>
      <c r="W232" s="4" t="n">
        <v>0</v>
      </c>
      <c r="X232" s="4" t="n">
        <v>0</v>
      </c>
      <c r="Y232" s="4" t="n">
        <v>1</v>
      </c>
      <c r="Z232" s="4" t="n">
        <v>0</v>
      </c>
      <c r="AA232" s="4" t="n">
        <v>0</v>
      </c>
      <c r="AB232" s="4" t="inlineStr">
        <is>
          <t>1900-01-01</t>
        </is>
      </c>
      <c r="AC232" s="4" t="n">
        <v>0</v>
      </c>
      <c r="AD232" s="4" t="n">
        <v>0</v>
      </c>
      <c r="AE232" s="4" t="n">
        <v>0</v>
      </c>
      <c r="AF232" s="4" t="n">
        <v>0</v>
      </c>
      <c r="AG232" s="4" t="n">
        <v>0</v>
      </c>
      <c r="AH232" s="4" t="n">
        <v>1</v>
      </c>
      <c r="AI232" s="4" t="n"/>
      <c r="AJ232" s="4" t="n"/>
      <c r="AK232" s="4" t="inlineStr">
        <is>
          <t>internal_validation_only</t>
        </is>
      </c>
      <c r="AL232" s="4" t="n"/>
      <c r="AM232" s="4" t="inlineStr">
        <is>
          <t>RA</t>
        </is>
      </c>
      <c r="AN232" s="4" t="inlineStr">
        <is>
          <t>Tomado completo desde archivo RA según asignación</t>
        </is>
      </c>
      <c r="AO232" s="4" t="n">
        <v>0</v>
      </c>
      <c r="AP232" s="4" t="n">
        <v>0</v>
      </c>
      <c r="AQ232" s="4" t="n">
        <v>0</v>
      </c>
      <c r="AR232" s="4" t="n">
        <v>1</v>
      </c>
      <c r="AS232" s="4" t="n">
        <v>0</v>
      </c>
      <c r="AT232" s="4" t="n">
        <v>0</v>
      </c>
      <c r="AU232" s="4" t="n">
        <v>0</v>
      </c>
      <c r="AV232" s="4" t="n">
        <v>0</v>
      </c>
      <c r="AW232" s="4" t="inlineStr">
        <is>
          <t>finalized_from_available_evidence</t>
        </is>
      </c>
      <c r="AX232" s="4" t="inlineStr">
        <is>
          <t>0 means no reported evidence in title/abstract/notes/coding; it is not proof of true absence.</t>
        </is>
      </c>
    </row>
    <row r="233" ht="409" customHeight="1">
      <c r="A233" s="4" t="n">
        <v>232</v>
      </c>
      <c r="B233" s="4" t="n">
        <v>251</v>
      </c>
      <c r="C233" s="4" t="inlineStr">
        <is>
          <t>Revisor A</t>
        </is>
      </c>
      <c r="D233" s="4" t="inlineStr">
        <is>
          <t>RA</t>
        </is>
      </c>
      <c r="E233" s="4" t="n">
        <v>2023</v>
      </c>
      <c r="F233" s="4" t="inlineStr">
        <is>
          <t>Señales fisiológicas</t>
        </is>
      </c>
      <c r="G233" s="4" t="inlineStr">
        <is>
          <t>Machine Learning</t>
        </is>
      </c>
      <c r="H233" s="4" t="inlineStr">
        <is>
          <t>https://doi.org/10.1038/s41398-023-02662-5</t>
        </is>
      </c>
      <c r="I233" s="4" t="inlineStr">
        <is>
          <t>Integrative analysis of long noncoding RNAs dysregulation and synapse-associated ceRNA regulatory axes in autism</t>
        </is>
      </c>
      <c r="J233" s="4" t="inlineStr">
        <is>
          <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t>
        </is>
      </c>
      <c r="K233" s="4" t="inlineStr">
        <is>
          <t>Supervised</t>
        </is>
      </c>
      <c r="L233" s="4" t="inlineStr">
        <is>
          <t>SVM</t>
        </is>
      </c>
      <c r="M233" s="4" t="inlineStr">
        <is>
          <t>Classification (ASD vs control / multi-class)</t>
        </is>
      </c>
      <c r="N233" s="4" t="inlineStr">
        <is>
          <t>Diagnosis</t>
        </is>
      </c>
      <c r="O233" s="4" t="inlineStr">
        <is>
          <t>Medium</t>
        </is>
      </c>
      <c r="P233" s="4" t="n">
        <v>0</v>
      </c>
      <c r="Q233" s="4" t="n">
        <v>0</v>
      </c>
      <c r="R233" s="4" t="n">
        <v>0</v>
      </c>
      <c r="S233" s="4" t="n">
        <v>0</v>
      </c>
      <c r="T233" s="4" t="n">
        <v>0</v>
      </c>
      <c r="U233" s="4" t="n">
        <v>1</v>
      </c>
      <c r="V233" s="4" t="n">
        <v>0</v>
      </c>
      <c r="W233" s="4" t="n">
        <v>0</v>
      </c>
      <c r="X233" s="4" t="n">
        <v>0</v>
      </c>
      <c r="Y233" s="4" t="n">
        <v>1</v>
      </c>
      <c r="Z233" s="4" t="n">
        <v>0</v>
      </c>
      <c r="AA233" s="4" t="n">
        <v>0</v>
      </c>
      <c r="AB233" s="4" t="inlineStr">
        <is>
          <t>1900-01-01</t>
        </is>
      </c>
      <c r="AC233" s="4" t="n">
        <v>0</v>
      </c>
      <c r="AD233" s="4" t="n">
        <v>0</v>
      </c>
      <c r="AE233" s="4" t="n">
        <v>0</v>
      </c>
      <c r="AF233" s="4" t="n">
        <v>0</v>
      </c>
      <c r="AG233" s="4" t="n">
        <v>1</v>
      </c>
      <c r="AH233" s="4" t="n">
        <v>1</v>
      </c>
      <c r="AI233" s="4" t="inlineStr">
        <is>
          <t>text / NLP</t>
        </is>
      </c>
      <c r="AJ233" s="4" t="n"/>
      <c r="AK233" s="4" t="inlineStr">
        <is>
          <t>none_reported</t>
        </is>
      </c>
      <c r="AL233" s="4" t="inlineStr">
        <is>
          <t>Análisis integrativo de lncRNA/ceRNA sin algoritmo de IA clínico principal claramente reportado.</t>
        </is>
      </c>
      <c r="AM233" s="4" t="inlineStr">
        <is>
          <t>RA</t>
        </is>
      </c>
      <c r="AN233" s="4" t="inlineStr">
        <is>
          <t>Tomado completo desde archivo RA según asignación</t>
        </is>
      </c>
      <c r="AO233" s="4" t="n">
        <v>0</v>
      </c>
      <c r="AP233" s="4" t="n">
        <v>0</v>
      </c>
      <c r="AQ233" s="4" t="n">
        <v>0</v>
      </c>
      <c r="AR233" s="4" t="n">
        <v>0</v>
      </c>
      <c r="AS233" s="4" t="n">
        <v>0</v>
      </c>
      <c r="AT233" s="4" t="n">
        <v>0</v>
      </c>
      <c r="AU233" s="4" t="n">
        <v>0</v>
      </c>
      <c r="AV233" s="4" t="n">
        <v>0</v>
      </c>
      <c r="AW233" s="4" t="inlineStr">
        <is>
          <t>finalized_from_available_evidence</t>
        </is>
      </c>
      <c r="AX233" s="4" t="inlineStr">
        <is>
          <t>0 means no reported evidence in title/abstract/notes/coding; it is not proof of true absence.</t>
        </is>
      </c>
    </row>
    <row r="234" ht="409" customHeight="1">
      <c r="A234" s="4" t="n">
        <v>233</v>
      </c>
      <c r="B234" s="4" t="n">
        <v>253</v>
      </c>
      <c r="C234" s="4" t="inlineStr">
        <is>
          <t>Revisor A</t>
        </is>
      </c>
      <c r="D234" s="4" t="inlineStr">
        <is>
          <t>RA</t>
        </is>
      </c>
      <c r="E234" s="4" t="n">
        <v>2024</v>
      </c>
      <c r="F234" s="4" t="inlineStr">
        <is>
          <t>Señales fisiológicas</t>
        </is>
      </c>
      <c r="G234" s="4" t="inlineStr">
        <is>
          <t>Deep Learning</t>
        </is>
      </c>
      <c r="H234" s="4" t="inlineStr">
        <is>
          <t>https://doi.org/10.1016/j.irbm.2024.100838</t>
        </is>
      </c>
      <c r="I234" s="4" t="inlineStr">
        <is>
          <t>Interpersonal Motor Coordination in Children with Autism and the Establishment of Machine Learning Models to Objectively Classify Children with Autism and Typical Development</t>
        </is>
      </c>
      <c r="J234" s="4" t="inlineStr">
        <is>
          <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t>
        </is>
      </c>
      <c r="K234" s="4" t="inlineStr">
        <is>
          <t>Supervised</t>
        </is>
      </c>
      <c r="L234" s="4" t="inlineStr">
        <is>
          <t>Other / Not clear</t>
        </is>
      </c>
      <c r="M234" s="4" t="inlineStr">
        <is>
          <t>Classification (ASD vs control / multi-class)</t>
        </is>
      </c>
      <c r="N234" s="4" t="inlineStr">
        <is>
          <t>Screening</t>
        </is>
      </c>
      <c r="O234" s="4" t="inlineStr">
        <is>
          <t>Medium</t>
        </is>
      </c>
      <c r="P234" s="4" t="n">
        <v>0</v>
      </c>
      <c r="Q234" s="4" t="n">
        <v>0</v>
      </c>
      <c r="R234" s="4" t="n">
        <v>1</v>
      </c>
      <c r="S234" s="4" t="n">
        <v>0</v>
      </c>
      <c r="T234" s="4" t="n">
        <v>0</v>
      </c>
      <c r="U234" s="4" t="n">
        <v>0</v>
      </c>
      <c r="V234" s="4" t="n">
        <v>0</v>
      </c>
      <c r="W234" s="4" t="n">
        <v>0</v>
      </c>
      <c r="X234" s="4" t="n">
        <v>1</v>
      </c>
      <c r="Y234" s="4" t="n">
        <v>0</v>
      </c>
      <c r="Z234" s="4" t="n">
        <v>0</v>
      </c>
      <c r="AA234" s="4" t="n">
        <v>0</v>
      </c>
      <c r="AB234" s="4" t="inlineStr">
        <is>
          <t>1900-01-01</t>
        </is>
      </c>
      <c r="AC234" s="4" t="n">
        <v>0</v>
      </c>
      <c r="AD234" s="4" t="n">
        <v>0</v>
      </c>
      <c r="AE234" s="4" t="n">
        <v>0</v>
      </c>
      <c r="AF234" s="4" t="n">
        <v>0</v>
      </c>
      <c r="AG234" s="4" t="n">
        <v>1</v>
      </c>
      <c r="AH234" s="4" t="n">
        <v>1</v>
      </c>
      <c r="AI234" s="4" t="n"/>
      <c r="AJ234" s="4" t="n"/>
      <c r="AK234" s="4" t="inlineStr">
        <is>
          <t>none_reported</t>
        </is>
      </c>
      <c r="AL234" s="4" t="inlineStr">
        <is>
          <t>Algoritmo principal no explícito o fuera del codebook; Confirmar algoritmo principal en full-text</t>
        </is>
      </c>
      <c r="AM234" s="4" t="inlineStr">
        <is>
          <t>RA</t>
        </is>
      </c>
      <c r="AN234" s="4" t="inlineStr">
        <is>
          <t>Tomado completo desde archivo RA según asignación</t>
        </is>
      </c>
      <c r="AO234" s="4" t="n">
        <v>0</v>
      </c>
      <c r="AP234" s="4" t="n">
        <v>0</v>
      </c>
      <c r="AQ234" s="4" t="n">
        <v>0</v>
      </c>
      <c r="AR234" s="4" t="n">
        <v>0</v>
      </c>
      <c r="AS234" s="4" t="n">
        <v>0</v>
      </c>
      <c r="AT234" s="4" t="n">
        <v>0</v>
      </c>
      <c r="AU234" s="4" t="n">
        <v>0</v>
      </c>
      <c r="AV234" s="4" t="n">
        <v>0</v>
      </c>
      <c r="AW234" s="4" t="inlineStr">
        <is>
          <t>finalized_from_available_evidence</t>
        </is>
      </c>
      <c r="AX234" s="4" t="inlineStr">
        <is>
          <t>0 means no reported evidence in title/abstract/notes/coding; it is not proof of true absence.</t>
        </is>
      </c>
    </row>
    <row r="235" ht="359" customHeight="1">
      <c r="A235" s="4" t="n">
        <v>234</v>
      </c>
      <c r="B235" s="4" t="n">
        <v>254</v>
      </c>
      <c r="C235" s="4" t="inlineStr">
        <is>
          <t>Ambos (piloto)</t>
        </is>
      </c>
      <c r="D235" s="4" t="inlineStr">
        <is>
          <t>RA</t>
        </is>
      </c>
      <c r="E235" s="4" t="n">
        <v>2018</v>
      </c>
      <c r="F235" s="4" t="inlineStr">
        <is>
          <t>Imagen</t>
        </is>
      </c>
      <c r="G235" s="4" t="inlineStr">
        <is>
          <t>Machine Learning</t>
        </is>
      </c>
      <c r="H235" s="4" t="inlineStr">
        <is>
          <t>https://doi.org/10.1007/978-3-030-00928-1_73</t>
        </is>
      </c>
      <c r="I235" s="4" t="inlineStr">
        <is>
          <t>Low-Rank Representation for Multi-center Autism Spectrum Disorder Identification.</t>
        </is>
      </c>
      <c r="J235" s="4" t="inlineStr">
        <is>
          <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t>
        </is>
      </c>
      <c r="K235" s="4" t="inlineStr">
        <is>
          <t>Supervised</t>
        </is>
      </c>
      <c r="L235" s="4" t="inlineStr">
        <is>
          <t>k-NN</t>
        </is>
      </c>
      <c r="M235" s="4" t="inlineStr">
        <is>
          <t>Classification (ASD vs control / multi-class)</t>
        </is>
      </c>
      <c r="N235" s="4" t="inlineStr">
        <is>
          <t>Diagnosis</t>
        </is>
      </c>
      <c r="O235" s="4" t="inlineStr">
        <is>
          <t>High</t>
        </is>
      </c>
      <c r="P235" s="4" t="n">
        <v>1</v>
      </c>
      <c r="Q235" s="4" t="n">
        <v>0</v>
      </c>
      <c r="R235" s="4" t="n">
        <v>0</v>
      </c>
      <c r="S235" s="4" t="n">
        <v>0</v>
      </c>
      <c r="T235" s="4" t="n">
        <v>0</v>
      </c>
      <c r="U235" s="4" t="n">
        <v>0</v>
      </c>
      <c r="V235" s="4" t="n">
        <v>0</v>
      </c>
      <c r="W235" s="4" t="n">
        <v>0</v>
      </c>
      <c r="X235" s="4" t="n">
        <v>0</v>
      </c>
      <c r="Y235" s="4" t="n">
        <v>1</v>
      </c>
      <c r="Z235" s="4" t="n">
        <v>0</v>
      </c>
      <c r="AA235" s="4" t="n">
        <v>0</v>
      </c>
      <c r="AB235" s="4" t="inlineStr">
        <is>
          <t>1900-01-01</t>
        </is>
      </c>
      <c r="AC235" s="4" t="n">
        <v>0</v>
      </c>
      <c r="AD235" s="4" t="n">
        <v>0</v>
      </c>
      <c r="AE235" s="4" t="n">
        <v>1</v>
      </c>
      <c r="AF235" s="4" t="n">
        <v>0</v>
      </c>
      <c r="AG235" s="4" t="n">
        <v>1</v>
      </c>
      <c r="AH235" s="4" t="n">
        <v>1</v>
      </c>
      <c r="AI235" s="4" t="n"/>
      <c r="AJ235" s="4" t="n"/>
      <c r="AK235" s="4" t="inlineStr">
        <is>
          <t>cross_site_robustness; multisite_dataset_broad</t>
        </is>
      </c>
      <c r="AL235" s="4" t="inlineStr">
        <is>
          <t>Algoritmo principal no explícito o fuera del codebook; Confirmar algoritmo principal en full-text; Se comparan varios modelos; se eligió el principal/mejor reportado</t>
        </is>
      </c>
      <c r="AM235" s="4" t="inlineStr">
        <is>
          <t>RA</t>
        </is>
      </c>
      <c r="AN235" s="4" t="inlineStr">
        <is>
          <t>Tomado completo desde archivo RA según asignación</t>
        </is>
      </c>
      <c r="AO235" s="4" t="n">
        <v>0</v>
      </c>
      <c r="AP235" s="4" t="n">
        <v>1</v>
      </c>
      <c r="AQ235" s="4" t="n">
        <v>1</v>
      </c>
      <c r="AR235" s="4" t="n">
        <v>0</v>
      </c>
      <c r="AS235" s="4" t="n">
        <v>0</v>
      </c>
      <c r="AT235" s="4" t="n">
        <v>0</v>
      </c>
      <c r="AU235" s="4" t="n">
        <v>0</v>
      </c>
      <c r="AV235" s="4" t="n">
        <v>0</v>
      </c>
      <c r="AW235" s="4" t="inlineStr">
        <is>
          <t>finalized_from_available_evidence</t>
        </is>
      </c>
      <c r="AX235" s="4" t="inlineStr">
        <is>
          <t>0 means no reported evidence in title/abstract/notes/coding; it is not proof of true absence.</t>
        </is>
      </c>
    </row>
    <row r="236" ht="294" customHeight="1">
      <c r="A236" s="4" t="n">
        <v>235</v>
      </c>
      <c r="B236" s="4" t="n">
        <v>255</v>
      </c>
      <c r="C236" s="4" t="inlineStr">
        <is>
          <t>Revisor A</t>
        </is>
      </c>
      <c r="D236" s="4" t="inlineStr">
        <is>
          <t>RA</t>
        </is>
      </c>
      <c r="E236" s="4" t="n">
        <v>2025</v>
      </c>
      <c r="F236" s="4" t="inlineStr">
        <is>
          <t>Señales fisiológicas</t>
        </is>
      </c>
      <c r="G236" s="4" t="inlineStr">
        <is>
          <t>Deep Learning</t>
        </is>
      </c>
      <c r="H236" s="4" t="inlineStr">
        <is>
          <t>https://doi.org/10.1109/TNSRE.2025.3580593</t>
        </is>
      </c>
      <c r="I236" s="4" t="inlineStr">
        <is>
          <t>LSTA-CNN: A Lightweight Spatiotemporal Attention-Based Convolutional Neural Network for ASD Diagnosis Using EEG</t>
        </is>
      </c>
      <c r="J236" s="4" t="inlineStr">
        <is>
          <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t>
        </is>
      </c>
      <c r="K236" s="4" t="inlineStr">
        <is>
          <t>Supervised</t>
        </is>
      </c>
      <c r="L236" s="4" t="inlineStr">
        <is>
          <t>CNN</t>
        </is>
      </c>
      <c r="M236" s="4" t="inlineStr">
        <is>
          <t>Classification (ASD vs control / multi-class)</t>
        </is>
      </c>
      <c r="N236" s="4" t="inlineStr">
        <is>
          <t>Diagnosis</t>
        </is>
      </c>
      <c r="O236" s="4" t="inlineStr">
        <is>
          <t>High</t>
        </is>
      </c>
      <c r="P236" s="4" t="n">
        <v>0</v>
      </c>
      <c r="Q236" s="4" t="n">
        <v>1</v>
      </c>
      <c r="R236" s="4" t="n">
        <v>0</v>
      </c>
      <c r="S236" s="4" t="n">
        <v>0</v>
      </c>
      <c r="T236" s="4" t="n">
        <v>0</v>
      </c>
      <c r="U236" s="4" t="n">
        <v>0</v>
      </c>
      <c r="V236" s="4" t="n">
        <v>0</v>
      </c>
      <c r="W236" s="4" t="n">
        <v>0</v>
      </c>
      <c r="X236" s="4" t="n">
        <v>0</v>
      </c>
      <c r="Y236" s="4" t="n">
        <v>1</v>
      </c>
      <c r="Z236" s="4" t="n">
        <v>0</v>
      </c>
      <c r="AA236" s="4" t="n">
        <v>0</v>
      </c>
      <c r="AB236" s="4" t="inlineStr">
        <is>
          <t>1900-01-01</t>
        </is>
      </c>
      <c r="AC236" s="4" t="n">
        <v>0</v>
      </c>
      <c r="AD236" s="4" t="n">
        <v>0</v>
      </c>
      <c r="AE236" s="4" t="n">
        <v>0</v>
      </c>
      <c r="AF236" s="4" t="n">
        <v>0</v>
      </c>
      <c r="AG236" s="4" t="n">
        <v>0</v>
      </c>
      <c r="AH236" s="4" t="n">
        <v>1</v>
      </c>
      <c r="AI236" s="4" t="n"/>
      <c r="AJ236" s="4" t="n"/>
      <c r="AK236" s="4" t="inlineStr">
        <is>
          <t>none_reported</t>
        </is>
      </c>
      <c r="AL236" s="4" t="inlineStr">
        <is>
          <t>Se comparan varios modelos; se eligió el principal/mejor reportado</t>
        </is>
      </c>
      <c r="AM236" s="4" t="inlineStr">
        <is>
          <t>RA</t>
        </is>
      </c>
      <c r="AN236" s="4" t="inlineStr">
        <is>
          <t>Tomado completo desde archivo RA según asignación</t>
        </is>
      </c>
      <c r="AO236" s="4" t="n">
        <v>0</v>
      </c>
      <c r="AP236" s="4" t="n">
        <v>0</v>
      </c>
      <c r="AQ236" s="4" t="n">
        <v>0</v>
      </c>
      <c r="AR236" s="4" t="n">
        <v>0</v>
      </c>
      <c r="AS236" s="4" t="n">
        <v>0</v>
      </c>
      <c r="AT236" s="4" t="n">
        <v>0</v>
      </c>
      <c r="AU236" s="4" t="n">
        <v>0</v>
      </c>
      <c r="AV236" s="4" t="n">
        <v>0</v>
      </c>
      <c r="AW236" s="4" t="inlineStr">
        <is>
          <t>finalized_from_available_evidence</t>
        </is>
      </c>
      <c r="AX236" s="4" t="inlineStr">
        <is>
          <t>0 means no reported evidence in title/abstract/notes/coding; it is not proof of true absence.</t>
        </is>
      </c>
    </row>
    <row r="237" ht="333" customHeight="1">
      <c r="A237" s="4" t="n">
        <v>236</v>
      </c>
      <c r="B237" s="4" t="n">
        <v>256</v>
      </c>
      <c r="C237" s="4" t="inlineStr">
        <is>
          <t>Revisor B</t>
        </is>
      </c>
      <c r="D237" s="4" t="n"/>
      <c r="E237" s="4" t="n">
        <v>2021</v>
      </c>
      <c r="F237" s="4" t="inlineStr">
        <is>
          <t>Señales fisiológicas</t>
        </is>
      </c>
      <c r="G237" s="4" t="inlineStr">
        <is>
          <t>Deep Learning</t>
        </is>
      </c>
      <c r="H237" s="4" t="inlineStr">
        <is>
          <t>https://doi.org/10.1016/B978-0-12-822822-7.00008-9</t>
        </is>
      </c>
      <c r="I237" s="4" t="inlineStr">
        <is>
          <t>Machine learning methods for autism spectrum disorder classification</t>
        </is>
      </c>
      <c r="J237" s="4" t="inlineStr">
        <is>
          <t>The use of AI-driven predictive models to identify patterns that can act as biomarkers for different neuropathological conditions is becoming highly prevalent. In particular, the recent advances in representation learning techniques provide unprecedented opportunities to understand, diagnose, and eventually treat a gamut of neurological conditions, including epilepsy, stroke, and autism. In this chapter, we consider the challenging problem of autism spectrum disorder classification using resting state fMRI (rs-fMRI) measurements. While supervised learning methods provide a convenient way to build predictive functions that can identify specific signatures in rs-fMRI pertinent to different levels of severity, the key challenge is in modeling the complex spatiotemporal data (from brain networks) and leveraging the dependencies among patients in a population. In this context, graphs provide a powerful framework to address both these challenges and enable the design of sophisticated predictive modeling tools. The advances in graph signal analysis and the generalization of machine learning techniques, such as kernel methods and deep neural networks, to graphs, make them suitable for challenging diagnosis problems. In this chapter, we describe how graphs, either at patient level or population level, can be used to build predictive models. We present mathematical formulations, algorithmic solutions, and empirical studies to establish graph-based machine learning as an effective solution for autism diagnosis.</t>
        </is>
      </c>
      <c r="K237" s="4" t="n"/>
      <c r="L237" s="4" t="n"/>
      <c r="M237" s="4" t="inlineStr">
        <is>
          <t>Graph-based classification / diagnostic support</t>
        </is>
      </c>
      <c r="N237" s="4" t="inlineStr">
        <is>
          <t>Diagnosis</t>
        </is>
      </c>
      <c r="O237" s="4" t="n"/>
      <c r="P237" s="4" t="n"/>
      <c r="Q237" s="4" t="n"/>
      <c r="R237" s="4" t="n"/>
      <c r="S237" s="4" t="n"/>
      <c r="T237" s="4" t="n"/>
      <c r="U237" s="4" t="n"/>
      <c r="V237" s="4" t="n"/>
      <c r="W237" s="4" t="n">
        <v>0</v>
      </c>
      <c r="X237" s="4" t="n">
        <v>0</v>
      </c>
      <c r="Y237" s="4" t="n">
        <v>1</v>
      </c>
      <c r="Z237" s="4" t="n">
        <v>0</v>
      </c>
      <c r="AA237" s="4" t="n">
        <v>0</v>
      </c>
      <c r="AB237" s="4" t="inlineStr">
        <is>
          <t>1900-01-01</t>
        </is>
      </c>
      <c r="AC237" s="4" t="n">
        <v>0</v>
      </c>
      <c r="AD237" s="4" t="n">
        <v>0</v>
      </c>
      <c r="AE237" s="4" t="n">
        <v>0</v>
      </c>
      <c r="AF237" s="4" t="n">
        <v>0</v>
      </c>
      <c r="AG237" s="4" t="n"/>
      <c r="AH237" s="4" t="n"/>
      <c r="AI237" s="4" t="n"/>
      <c r="AJ237" s="4" t="inlineStr">
        <is>
          <t>1900-01-01</t>
        </is>
      </c>
      <c r="AK237" s="4" t="inlineStr">
        <is>
          <t>none_reported</t>
        </is>
      </c>
      <c r="AL237" s="4" t="inlineStr">
        <is>
          <t>Sin señal explícita Q3 en título/abstract.</t>
        </is>
      </c>
      <c r="AM237" s="4" t="inlineStr">
        <is>
          <t>RA_fallback</t>
        </is>
      </c>
      <c r="AN237" s="4" t="inlineStr">
        <is>
          <t>Fallback a RA porque el ID no está en RB</t>
        </is>
      </c>
      <c r="AO237" s="4" t="n">
        <v>1</v>
      </c>
      <c r="AP237" s="4" t="n">
        <v>0</v>
      </c>
      <c r="AQ237" s="4" t="n">
        <v>0</v>
      </c>
      <c r="AR237" s="4" t="n">
        <v>0</v>
      </c>
      <c r="AS237" s="4" t="n">
        <v>0</v>
      </c>
      <c r="AT237" s="4" t="n">
        <v>0</v>
      </c>
      <c r="AU237" s="4" t="n">
        <v>0</v>
      </c>
      <c r="AV237" s="4" t="n">
        <v>0</v>
      </c>
      <c r="AW237" s="4" t="inlineStr">
        <is>
          <t>finalized_from_available_evidence</t>
        </is>
      </c>
      <c r="AX237" s="4" t="inlineStr">
        <is>
          <t>0 means no reported evidence in title/abstract/notes/coding; it is not proof of true absence.</t>
        </is>
      </c>
    </row>
    <row r="238" ht="333" customHeight="1">
      <c r="A238" s="4" t="n">
        <v>237</v>
      </c>
      <c r="B238" s="4" t="n">
        <v>258</v>
      </c>
      <c r="C238" s="4" t="inlineStr">
        <is>
          <t>Revisor A</t>
        </is>
      </c>
      <c r="D238" s="4" t="inlineStr">
        <is>
          <t>RA</t>
        </is>
      </c>
      <c r="E238" s="4" t="n">
        <v>2025</v>
      </c>
      <c r="F238" s="4" t="inlineStr">
        <is>
          <t>Señales fisiológicas</t>
        </is>
      </c>
      <c r="G238" s="4" t="inlineStr">
        <is>
          <t>Deep Learning</t>
        </is>
      </c>
      <c r="H238" s="4" t="inlineStr">
        <is>
          <t>https://doi.org/10.1038/s41598-025-09862-7</t>
        </is>
      </c>
      <c r="I238" s="4" t="inlineStr">
        <is>
          <t>MDNCT: a multi-domain neurocognitive transformer architecture approach for early prediction of autism spectrum disorders</t>
        </is>
      </c>
      <c r="J238" s="4" t="inlineStr">
        <is>
          <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t>
        </is>
      </c>
      <c r="K238" s="4" t="inlineStr">
        <is>
          <t>Supervised</t>
        </is>
      </c>
      <c r="L238" s="4" t="inlineStr">
        <is>
          <t>Other / Not clear</t>
        </is>
      </c>
      <c r="M238" s="4" t="inlineStr">
        <is>
          <t>Classification (ASD vs control / multi-class)</t>
        </is>
      </c>
      <c r="N238" s="4" t="inlineStr">
        <is>
          <t>Screening</t>
        </is>
      </c>
      <c r="O238" s="4" t="inlineStr">
        <is>
          <t>Medium</t>
        </is>
      </c>
      <c r="P238" s="4" t="n">
        <v>0</v>
      </c>
      <c r="Q238" s="4" t="n">
        <v>0</v>
      </c>
      <c r="R238" s="4" t="n">
        <v>0</v>
      </c>
      <c r="S238" s="4" t="n">
        <v>0</v>
      </c>
      <c r="T238" s="4" t="n">
        <v>0</v>
      </c>
      <c r="U238" s="4" t="n">
        <v>0</v>
      </c>
      <c r="V238" s="4" t="n">
        <v>1</v>
      </c>
      <c r="W238" s="4" t="n">
        <v>0</v>
      </c>
      <c r="X238" s="4" t="n">
        <v>1</v>
      </c>
      <c r="Y238" s="4" t="n">
        <v>0</v>
      </c>
      <c r="Z238" s="4" t="n">
        <v>0</v>
      </c>
      <c r="AA238" s="4" t="n">
        <v>0</v>
      </c>
      <c r="AB238" s="4" t="inlineStr">
        <is>
          <t>1900-01-01</t>
        </is>
      </c>
      <c r="AC238" s="4" t="n">
        <v>0</v>
      </c>
      <c r="AD238" s="4" t="n">
        <v>0</v>
      </c>
      <c r="AE238" s="4" t="n">
        <v>0</v>
      </c>
      <c r="AF238" s="4" t="n">
        <v>0</v>
      </c>
      <c r="AG238" s="4" t="n">
        <v>1</v>
      </c>
      <c r="AH238" s="4" t="n">
        <v>1</v>
      </c>
      <c r="AI238" s="4" t="n"/>
      <c r="AJ238" s="4" t="n"/>
      <c r="AK238" s="4" t="inlineStr">
        <is>
          <t>none_reported</t>
        </is>
      </c>
      <c r="AL238" s="4" t="inlineStr">
        <is>
          <t>Arquitectura transformer multi-domain para predicción temprana; fuente de datos específica no es explícita en el abstract.</t>
        </is>
      </c>
      <c r="AM238" s="4" t="inlineStr">
        <is>
          <t>RA</t>
        </is>
      </c>
      <c r="AN238" s="4" t="inlineStr">
        <is>
          <t>Tomado completo desde archivo RA según asignación</t>
        </is>
      </c>
      <c r="AO238" s="4" t="n">
        <v>0</v>
      </c>
      <c r="AP238" s="4" t="n">
        <v>0</v>
      </c>
      <c r="AQ238" s="4" t="n">
        <v>0</v>
      </c>
      <c r="AR238" s="4" t="n">
        <v>0</v>
      </c>
      <c r="AS238" s="4" t="n">
        <v>0</v>
      </c>
      <c r="AT238" s="4" t="n">
        <v>0</v>
      </c>
      <c r="AU238" s="4" t="n">
        <v>0</v>
      </c>
      <c r="AV238" s="4" t="n">
        <v>0</v>
      </c>
      <c r="AW238" s="4" t="inlineStr">
        <is>
          <t>finalized_from_available_evidence</t>
        </is>
      </c>
      <c r="AX238" s="4" t="inlineStr">
        <is>
          <t>0 means no reported evidence in title/abstract/notes/coding; it is not proof of true absence.</t>
        </is>
      </c>
    </row>
    <row r="239" ht="203" customHeight="1">
      <c r="A239" s="4" t="n">
        <v>238</v>
      </c>
      <c r="B239" s="4" t="n">
        <v>259</v>
      </c>
      <c r="C239" s="4" t="inlineStr">
        <is>
          <t>Revisor B</t>
        </is>
      </c>
      <c r="D239" s="4" t="n"/>
      <c r="E239" s="4" t="n">
        <v>2022</v>
      </c>
      <c r="F239" s="4" t="inlineStr">
        <is>
          <t>Señales fisiológicas</t>
        </is>
      </c>
      <c r="G239" s="4" t="inlineStr">
        <is>
          <t>Deep Learning</t>
        </is>
      </c>
      <c r="H239" s="4" t="inlineStr">
        <is>
          <t>https://doi.org/10.1109/EMBC48229.2022.9871130</t>
        </is>
      </c>
      <c r="I239" s="4" t="inlineStr">
        <is>
          <t>MHATC: Autism Spectrum Disorder Identification Utilizing Multi-Head Attention Encoder Along with Temporal Consolidation Modules</t>
        </is>
      </c>
      <c r="J239" s="4" t="inlineStr">
        <is>
          <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t>
        </is>
      </c>
      <c r="K239" s="4" t="inlineStr">
        <is>
          <t>Supervised</t>
        </is>
      </c>
      <c r="L239" s="4" t="inlineStr">
        <is>
          <t>Transformer</t>
        </is>
      </c>
      <c r="M239" s="4" t="inlineStr">
        <is>
          <t>Classification (binary/multi-class; incl. ASD vs control)/ multi-class)</t>
        </is>
      </c>
      <c r="N239" s="4" t="inlineStr">
        <is>
          <t>diagnosis</t>
        </is>
      </c>
      <c r="O239" s="4" t="inlineStr">
        <is>
          <t>high</t>
        </is>
      </c>
      <c r="P239" s="4" t="n">
        <v>1</v>
      </c>
      <c r="Q239" s="4" t="n">
        <v>0</v>
      </c>
      <c r="R239" s="4" t="n">
        <v>0</v>
      </c>
      <c r="S239" s="4" t="n">
        <v>0</v>
      </c>
      <c r="T239" s="4" t="n">
        <v>0</v>
      </c>
      <c r="U239" s="4" t="n">
        <v>0</v>
      </c>
      <c r="V239" s="4" t="n">
        <v>0</v>
      </c>
      <c r="W239" s="4" t="n">
        <v>0</v>
      </c>
      <c r="X239" s="4" t="n">
        <v>0</v>
      </c>
      <c r="Y239" s="4" t="n">
        <v>1</v>
      </c>
      <c r="Z239" s="4" t="n">
        <v>0</v>
      </c>
      <c r="AA239" s="4" t="n">
        <v>0</v>
      </c>
      <c r="AB239" s="4" t="inlineStr">
        <is>
          <t>1900-01-01</t>
        </is>
      </c>
      <c r="AC239" s="4" t="n">
        <v>0</v>
      </c>
      <c r="AD239" s="4" t="n">
        <v>0</v>
      </c>
      <c r="AE239" s="4" t="n">
        <v>0</v>
      </c>
      <c r="AF239" s="4" t="n">
        <v>0</v>
      </c>
      <c r="AG239" s="4" t="n">
        <v>1</v>
      </c>
      <c r="AH239" s="4" t="n">
        <v>1</v>
      </c>
      <c r="AI239" s="4" t="n">
        <v>0</v>
      </c>
      <c r="AJ239" s="4" t="inlineStr">
        <is>
          <t>00:00:00</t>
        </is>
      </c>
      <c r="AK239" s="4" t="inlineStr">
        <is>
          <t>none_reported</t>
        </is>
      </c>
      <c r="AL239" s="4" t="n"/>
      <c r="AM239" s="4" t="inlineStr">
        <is>
          <t>RB</t>
        </is>
      </c>
      <c r="AN239" s="4" t="inlineStr">
        <is>
          <t>Tomado completo desde archivo RB según asignación</t>
        </is>
      </c>
      <c r="AO239" s="4" t="n">
        <v>0</v>
      </c>
      <c r="AP239" s="4" t="n">
        <v>0</v>
      </c>
      <c r="AQ239" s="4" t="n">
        <v>0</v>
      </c>
      <c r="AR239" s="4" t="n">
        <v>0</v>
      </c>
      <c r="AS239" s="4" t="n">
        <v>0</v>
      </c>
      <c r="AT239" s="4" t="n">
        <v>0</v>
      </c>
      <c r="AU239" s="4" t="n">
        <v>0</v>
      </c>
      <c r="AV239" s="4" t="n">
        <v>0</v>
      </c>
      <c r="AW239" s="4" t="inlineStr">
        <is>
          <t>finalized_from_available_evidence</t>
        </is>
      </c>
      <c r="AX239" s="4" t="inlineStr">
        <is>
          <t>0 means no reported evidence in title/abstract/notes/coding; it is not proof of true absence.</t>
        </is>
      </c>
    </row>
    <row r="240" ht="307" customHeight="1">
      <c r="A240" s="4" t="n">
        <v>239</v>
      </c>
      <c r="B240" s="4" t="n">
        <v>260</v>
      </c>
      <c r="C240" s="4" t="inlineStr">
        <is>
          <t>Revisor A</t>
        </is>
      </c>
      <c r="D240" s="4" t="inlineStr">
        <is>
          <t>RA</t>
        </is>
      </c>
      <c r="E240" s="4" t="n">
        <v>2024</v>
      </c>
      <c r="F240" s="4" t="inlineStr">
        <is>
          <t>No especificado</t>
        </is>
      </c>
      <c r="G240" s="4" t="inlineStr">
        <is>
          <t>Deep Learning</t>
        </is>
      </c>
      <c r="H240" s="4" t="inlineStr">
        <is>
          <t>https://doi.org/10.1007/978-981-99-8558-6_38</t>
        </is>
      </c>
      <c r="I240" s="4" t="inlineStr">
        <is>
          <t>Multi-atlas Representations Based on\&amp;#xa0;Graph Convolutional Networks for\&amp;#xa0;Autism Spectrum Disorder Diagnosis</t>
        </is>
      </c>
      <c r="J240" s="4" t="inlineStr">
        <is>
          <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t>
        </is>
      </c>
      <c r="K240" s="4" t="inlineStr">
        <is>
          <t>Supervised</t>
        </is>
      </c>
      <c r="L240" s="4" t="inlineStr">
        <is>
          <t>Other / Not clear</t>
        </is>
      </c>
      <c r="M240" s="4" t="inlineStr">
        <is>
          <t>Classification (ASD vs control / multi-class)</t>
        </is>
      </c>
      <c r="N240" s="4" t="inlineStr">
        <is>
          <t>Diagnosis</t>
        </is>
      </c>
      <c r="O240" s="4" t="inlineStr">
        <is>
          <t>High</t>
        </is>
      </c>
      <c r="P240" s="4" t="n">
        <v>1</v>
      </c>
      <c r="Q240" s="4" t="n">
        <v>0</v>
      </c>
      <c r="R240" s="4" t="n">
        <v>0</v>
      </c>
      <c r="S240" s="4" t="n">
        <v>0</v>
      </c>
      <c r="T240" s="4" t="n">
        <v>0</v>
      </c>
      <c r="U240" s="4" t="n">
        <v>0</v>
      </c>
      <c r="V240" s="4" t="n">
        <v>0</v>
      </c>
      <c r="W240" s="4" t="n">
        <v>0</v>
      </c>
      <c r="X240" s="4" t="n">
        <v>0</v>
      </c>
      <c r="Y240" s="4" t="n">
        <v>1</v>
      </c>
      <c r="Z240" s="4" t="n">
        <v>0</v>
      </c>
      <c r="AA240" s="4" t="n">
        <v>0</v>
      </c>
      <c r="AB240" s="4" t="inlineStr">
        <is>
          <t>1900-01-01</t>
        </is>
      </c>
      <c r="AC240" s="4" t="n">
        <v>0</v>
      </c>
      <c r="AD240" s="4" t="n">
        <v>0</v>
      </c>
      <c r="AE240" s="4" t="n">
        <v>0</v>
      </c>
      <c r="AF240" s="4" t="n">
        <v>1</v>
      </c>
      <c r="AG240" s="4" t="n">
        <v>1</v>
      </c>
      <c r="AH240" s="4" t="n">
        <v>1</v>
      </c>
      <c r="AI240" s="4" t="n"/>
      <c r="AJ240" s="4" t="n"/>
      <c r="AK240" s="4" t="inlineStr">
        <is>
          <t>multisource_integration</t>
        </is>
      </c>
      <c r="AL240" s="4" t="inlineStr">
        <is>
          <t>Algoritmo principal no explícito o fuera del codebook; Confirmar algoritmo principal en full-text; Se comparan varios modelos; se eligió el principal/mejor reportado</t>
        </is>
      </c>
      <c r="AM240" s="4" t="inlineStr">
        <is>
          <t>RA</t>
        </is>
      </c>
      <c r="AN240" s="4" t="inlineStr">
        <is>
          <t>Tomado completo desde archivo RA según asignación</t>
        </is>
      </c>
      <c r="AO240" s="4" t="n">
        <v>0</v>
      </c>
      <c r="AP240" s="4" t="n">
        <v>0</v>
      </c>
      <c r="AQ240" s="4" t="n">
        <v>0</v>
      </c>
      <c r="AR240" s="4" t="n">
        <v>0</v>
      </c>
      <c r="AS240" s="4" t="n">
        <v>0</v>
      </c>
      <c r="AT240" s="4" t="n">
        <v>0</v>
      </c>
      <c r="AU240" s="4" t="n">
        <v>0</v>
      </c>
      <c r="AV240" s="4" t="n">
        <v>1</v>
      </c>
      <c r="AW240" s="4" t="inlineStr">
        <is>
          <t>finalized_from_available_evidence</t>
        </is>
      </c>
      <c r="AX240" s="4" t="inlineStr">
        <is>
          <t>0 means no reported evidence in title/abstract/notes/coding; it is not proof of true absence.</t>
        </is>
      </c>
    </row>
    <row r="241" ht="409" customHeight="1">
      <c r="A241" s="4" t="n">
        <v>240</v>
      </c>
      <c r="B241" s="4" t="n">
        <v>261</v>
      </c>
      <c r="C241" s="4" t="inlineStr">
        <is>
          <t>Revisor B</t>
        </is>
      </c>
      <c r="D241" s="4" t="n"/>
      <c r="E241" s="4" t="n">
        <v>2024</v>
      </c>
      <c r="F241" s="4" t="inlineStr">
        <is>
          <t>Imagen</t>
        </is>
      </c>
      <c r="G241" s="4" t="inlineStr">
        <is>
          <t>Deep Learning</t>
        </is>
      </c>
      <c r="H241" s="4" t="inlineStr">
        <is>
          <t>https://doi.org/10.1007/s10916-023-02032-0</t>
        </is>
      </c>
      <c r="I241" s="4" t="inlineStr">
        <is>
          <t>Multiple Classification of Brain MRI Autism Spectrum Disorder by Age and Gender Using Deep Learning</t>
        </is>
      </c>
      <c r="J241" s="4" t="inlineStr">
        <is>
          <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t>
        </is>
      </c>
      <c r="K241" s="4" t="inlineStr">
        <is>
          <t>Supervised</t>
        </is>
      </c>
      <c r="L241" s="4" t="inlineStr">
        <is>
          <t>CNN</t>
        </is>
      </c>
      <c r="M241" s="4" t="inlineStr">
        <is>
          <t>Classification (binary/multi-class; incl. ASD vs control)/ multi-class)</t>
        </is>
      </c>
      <c r="N241" s="4" t="inlineStr">
        <is>
          <t>diagnosis</t>
        </is>
      </c>
      <c r="O241" s="4" t="inlineStr">
        <is>
          <t>high</t>
        </is>
      </c>
      <c r="P241" s="4" t="n">
        <v>1</v>
      </c>
      <c r="Q241" s="4" t="n">
        <v>0</v>
      </c>
      <c r="R241" s="4" t="n">
        <v>0</v>
      </c>
      <c r="S241" s="4" t="n">
        <v>0</v>
      </c>
      <c r="T241" s="4" t="n">
        <v>0</v>
      </c>
      <c r="U241" s="4" t="n">
        <v>0</v>
      </c>
      <c r="V241" s="4" t="n">
        <v>0</v>
      </c>
      <c r="W241" s="4" t="n">
        <v>0</v>
      </c>
      <c r="X241" s="4" t="n">
        <v>0</v>
      </c>
      <c r="Y241" s="4" t="n">
        <v>1</v>
      </c>
      <c r="Z241" s="4" t="n">
        <v>0</v>
      </c>
      <c r="AA241" s="4" t="n">
        <v>0</v>
      </c>
      <c r="AB241" s="4" t="inlineStr">
        <is>
          <t>1900-01-01</t>
        </is>
      </c>
      <c r="AC241" s="4" t="n">
        <v>0</v>
      </c>
      <c r="AD241" s="4" t="n">
        <v>0</v>
      </c>
      <c r="AE241" s="4" t="n">
        <v>0</v>
      </c>
      <c r="AF241" s="4" t="n">
        <v>0</v>
      </c>
      <c r="AG241" s="4" t="n">
        <v>0</v>
      </c>
      <c r="AH241" s="4" t="n">
        <v>1</v>
      </c>
      <c r="AI241" s="4" t="n">
        <v>0</v>
      </c>
      <c r="AJ241" s="4" t="inlineStr">
        <is>
          <t>00:00:00</t>
        </is>
      </c>
      <c r="AK241" s="4" t="inlineStr">
        <is>
          <t>internal_validation_only</t>
        </is>
      </c>
      <c r="AL241" s="4" t="n"/>
      <c r="AM241" s="4" t="inlineStr">
        <is>
          <t>RB</t>
        </is>
      </c>
      <c r="AN241" s="4" t="inlineStr">
        <is>
          <t>Tomado completo desde archivo RB según asignación</t>
        </is>
      </c>
      <c r="AO241" s="4" t="n">
        <v>0</v>
      </c>
      <c r="AP241" s="4" t="n">
        <v>0</v>
      </c>
      <c r="AQ241" s="4" t="n">
        <v>0</v>
      </c>
      <c r="AR241" s="4" t="n">
        <v>1</v>
      </c>
      <c r="AS241" s="4" t="n">
        <v>0</v>
      </c>
      <c r="AT241" s="4" t="n">
        <v>0</v>
      </c>
      <c r="AU241" s="4" t="n">
        <v>0</v>
      </c>
      <c r="AV241" s="4" t="n">
        <v>0</v>
      </c>
      <c r="AW241" s="4" t="inlineStr">
        <is>
          <t>finalized_from_available_evidence</t>
        </is>
      </c>
      <c r="AX241" s="4" t="inlineStr">
        <is>
          <t>0 means no reported evidence in title/abstract/notes/coding; it is not proof of true absence.</t>
        </is>
      </c>
    </row>
    <row r="242" ht="409" customHeight="1">
      <c r="A242" s="4" t="n">
        <v>241</v>
      </c>
      <c r="B242" s="4" t="n">
        <v>262</v>
      </c>
      <c r="C242" s="4" t="inlineStr">
        <is>
          <t>Revisor B</t>
        </is>
      </c>
      <c r="D242" s="4" t="n"/>
      <c r="E242" s="4" t="n">
        <v>2022</v>
      </c>
      <c r="F242" s="4" t="inlineStr">
        <is>
          <t>Imagen</t>
        </is>
      </c>
      <c r="G242" s="4" t="inlineStr">
        <is>
          <t>Deep Learning</t>
        </is>
      </c>
      <c r="H242" s="4" t="inlineStr">
        <is>
          <t>https://doi.org/10.1016/j.compbiomed.2022.105239</t>
        </is>
      </c>
      <c r="I242" s="4" t="inlineStr">
        <is>
          <t>MVS-GCN: A prior brain structure learning-guided multi-view graph convolution network for autism spectrum disorder diagnosis</t>
        </is>
      </c>
      <c r="J242" s="4" t="inlineStr">
        <is>
          <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t>
        </is>
      </c>
      <c r="K242" s="4" t="inlineStr">
        <is>
          <t>Supervised</t>
        </is>
      </c>
      <c r="L242" s="4" t="inlineStr">
        <is>
          <t>Other</t>
        </is>
      </c>
      <c r="M242" s="4" t="inlineStr">
        <is>
          <t>Classification (binary/multi-class; incl. ASD vs control)/ multi-class)</t>
        </is>
      </c>
      <c r="N242" s="4" t="inlineStr">
        <is>
          <t>diagnosis</t>
        </is>
      </c>
      <c r="O242" s="4" t="inlineStr">
        <is>
          <t>high</t>
        </is>
      </c>
      <c r="P242" s="4" t="n">
        <v>1</v>
      </c>
      <c r="Q242" s="4" t="n">
        <v>0</v>
      </c>
      <c r="R242" s="4" t="n">
        <v>0</v>
      </c>
      <c r="S242" s="4" t="n">
        <v>0</v>
      </c>
      <c r="T242" s="4" t="n">
        <v>0</v>
      </c>
      <c r="U242" s="4" t="n">
        <v>0</v>
      </c>
      <c r="V242" s="4" t="n">
        <v>0</v>
      </c>
      <c r="W242" s="4" t="n">
        <v>0</v>
      </c>
      <c r="X242" s="4" t="n">
        <v>0</v>
      </c>
      <c r="Y242" s="4" t="n">
        <v>1</v>
      </c>
      <c r="Z242" s="4" t="n">
        <v>0</v>
      </c>
      <c r="AA242" s="4" t="n">
        <v>0</v>
      </c>
      <c r="AB242" s="4" t="inlineStr">
        <is>
          <t>1900-01-01</t>
        </is>
      </c>
      <c r="AC242" s="4" t="n">
        <v>0</v>
      </c>
      <c r="AD242" s="4" t="n">
        <v>1</v>
      </c>
      <c r="AE242" s="4" t="n">
        <v>0</v>
      </c>
      <c r="AF242" s="4" t="n">
        <v>1</v>
      </c>
      <c r="AG242" s="4" t="n">
        <v>0</v>
      </c>
      <c r="AH242" s="4" t="n">
        <v>1</v>
      </c>
      <c r="AI242" s="4" t="n">
        <v>0</v>
      </c>
      <c r="AJ242" s="4" t="inlineStr">
        <is>
          <t>00:00:00</t>
        </is>
      </c>
      <c r="AK242" s="4" t="inlineStr">
        <is>
          <t>explainability_or_interpretability; multisource_integration; multisite_dataset_broad</t>
        </is>
      </c>
      <c r="AL242" s="4" t="n"/>
      <c r="AM242" s="4" t="inlineStr">
        <is>
          <t>RB</t>
        </is>
      </c>
      <c r="AN242" s="4" t="inlineStr">
        <is>
          <t>Tomado completo desde archivo RB según asignación</t>
        </is>
      </c>
      <c r="AO242" s="4" t="n">
        <v>0</v>
      </c>
      <c r="AP242" s="4" t="n">
        <v>0</v>
      </c>
      <c r="AQ242" s="4" t="n">
        <v>1</v>
      </c>
      <c r="AR242" s="4" t="n">
        <v>0</v>
      </c>
      <c r="AS242" s="4" t="n">
        <v>0</v>
      </c>
      <c r="AT242" s="4" t="n">
        <v>0</v>
      </c>
      <c r="AU242" s="4" t="n">
        <v>1</v>
      </c>
      <c r="AV242" s="4" t="n">
        <v>1</v>
      </c>
      <c r="AW242" s="4" t="inlineStr">
        <is>
          <t>finalized_from_available_evidence</t>
        </is>
      </c>
      <c r="AX242" s="4" t="inlineStr">
        <is>
          <t>0 means no reported evidence in title/abstract/notes/coding; it is not proof of true absence.</t>
        </is>
      </c>
    </row>
    <row r="243" ht="409" customHeight="1">
      <c r="A243" s="4" t="n">
        <v>242</v>
      </c>
      <c r="B243" s="4" t="n">
        <v>263</v>
      </c>
      <c r="C243" s="4" t="inlineStr">
        <is>
          <t>Revisor A</t>
        </is>
      </c>
      <c r="D243" s="4" t="n"/>
      <c r="E243" s="4" t="n">
        <v>2022</v>
      </c>
      <c r="F243" s="4" t="inlineStr">
        <is>
          <t>Imagen</t>
        </is>
      </c>
      <c r="G243" s="4" t="inlineStr">
        <is>
          <t>Deep Learning</t>
        </is>
      </c>
      <c r="H243" s="4" t="inlineStr">
        <is>
          <t>https://doi.org/10.1038/s41380-022-01636-1</t>
        </is>
      </c>
      <c r="I243" s="4" t="inlineStr">
        <is>
          <t>Neurodevelopmental model of schizophrenia revisited: similarity in individual deviation and idiosyncrasy from the normative model of whole-brain white matter tracts and shared brain-cognition covariation with ADHD and ASD</t>
        </is>
      </c>
      <c r="J243" s="4" t="inlineStr">
        <is>
          <t>The neurodevelopmental model of schizophrenia is supported by multi-level impairments shared among schizophrenia and neurodevelopmental disorders. Despite schizophrenia and typical neurodevelopmental disorders, i.e., autism spectrum disorder (ASD) and attention-deficit/hyperactivity disorder (ADHD), as disorders of brain dysconnectivity, no study has ever elucidated whether whole-brain white matter (WM) tracts integrity alterations overlap or diverge between these three disorders. Moreover, whether the linked dimensions of cognition and brain metrics per the Research Domain Criteria framework cut across diagnostic boundaries remains unknown. We aimed to map deviations from normative ranges of whole-brain major WM tracts for individual patients to investigate the similarity and differences among schizophrenia (281 patients subgrouped into the first-episode, subchronic and chronic phases), ASD (175 patients), and ADHD (279 patients). Sex-specific WM tract normative development was modeled from diffusion spectrum imaging of 626 typically developing controls (5–40 years). There were three significant findings. First, the patterns of deviation and idiosyncrasy of WM tracts were similar between schizophrenia and ADHD alongside ASD, particularly at the earlier stages of schizophrenia relative to chronic stages. Second, using the WM deviation patterns as features, schizophrenia cannot be separated from neurodevelopmental disorders in the unsupervised machine learning algorithm. Lastly, the canonical correlation analysis showed schizophrenia, ADHD, and ASD shared linked cognitive dimensions driven by WM deviations. Together, our results provide new insights into the neurodevelopmental facet of schizophrenia and its brain basis. Individual’s WM deviations may contribute to diverse arrays of cognitive function along a continuum with phenotypic expressions from typical neurodevelopmental disorders to schizophrenia.</t>
        </is>
      </c>
      <c r="K243" s="4" t="n"/>
      <c r="L243" s="4" t="n"/>
      <c r="M243" s="4" t="n"/>
      <c r="N243" s="4" t="inlineStr">
        <is>
          <t>diagnosis</t>
        </is>
      </c>
      <c r="O243" s="4" t="inlineStr">
        <is>
          <t>high</t>
        </is>
      </c>
      <c r="P243" s="4" t="n">
        <v>1</v>
      </c>
      <c r="Q243" s="4" t="n">
        <v>0</v>
      </c>
      <c r="R243" s="4" t="n">
        <v>0</v>
      </c>
      <c r="S243" s="4" t="n">
        <v>0</v>
      </c>
      <c r="T243" s="4" t="n">
        <v>0</v>
      </c>
      <c r="U243" s="4" t="n">
        <v>0</v>
      </c>
      <c r="V243" s="4" t="n">
        <v>0</v>
      </c>
      <c r="W243" s="4" t="n">
        <v>0</v>
      </c>
      <c r="X243" s="4" t="n">
        <v>0</v>
      </c>
      <c r="Y243" s="4" t="n">
        <v>1</v>
      </c>
      <c r="Z243" s="4" t="n">
        <v>0</v>
      </c>
      <c r="AA243" s="4" t="n">
        <v>0</v>
      </c>
      <c r="AB243" s="4" t="inlineStr">
        <is>
          <t>1900-01-01</t>
        </is>
      </c>
      <c r="AC243" s="4" t="n">
        <v>0</v>
      </c>
      <c r="AD243" s="4" t="n">
        <v>0</v>
      </c>
      <c r="AE243" s="4" t="n">
        <v>0</v>
      </c>
      <c r="AF243" s="4" t="n">
        <v>0</v>
      </c>
      <c r="AG243" s="4" t="n">
        <v>0</v>
      </c>
      <c r="AH243" s="4" t="n">
        <v>1</v>
      </c>
      <c r="AI243" s="4" t="n">
        <v>0</v>
      </c>
      <c r="AJ243" s="4" t="inlineStr">
        <is>
          <t>00:00:00</t>
        </is>
      </c>
      <c r="AK243" s="4" t="inlineStr">
        <is>
          <t>none_reported</t>
        </is>
      </c>
      <c r="AL243" s="4" t="n"/>
      <c r="AM243" s="4" t="inlineStr">
        <is>
          <t>RB_fallback</t>
        </is>
      </c>
      <c r="AN243" s="4" t="inlineStr">
        <is>
          <t>Fallback a RB porque el ID no está en RA</t>
        </is>
      </c>
      <c r="AO243" s="4" t="n">
        <v>0</v>
      </c>
      <c r="AP243" s="4" t="n">
        <v>0</v>
      </c>
      <c r="AQ243" s="4" t="n">
        <v>0</v>
      </c>
      <c r="AR243" s="4" t="n">
        <v>0</v>
      </c>
      <c r="AS243" s="4" t="n">
        <v>0</v>
      </c>
      <c r="AT243" s="4" t="n">
        <v>0</v>
      </c>
      <c r="AU243" s="4" t="n">
        <v>0</v>
      </c>
      <c r="AV243" s="4" t="n">
        <v>0</v>
      </c>
      <c r="AW243" s="4" t="inlineStr">
        <is>
          <t>finalized_from_available_evidence</t>
        </is>
      </c>
      <c r="AX243" s="4" t="inlineStr">
        <is>
          <t>0 means no reported evidence in title/abstract/notes/coding; it is not proof of true absence.</t>
        </is>
      </c>
    </row>
    <row r="244" ht="346" customHeight="1">
      <c r="A244" s="4" t="n">
        <v>243</v>
      </c>
      <c r="B244" s="4" t="n">
        <v>264</v>
      </c>
      <c r="C244" s="4" t="inlineStr">
        <is>
          <t>Revisor B</t>
        </is>
      </c>
      <c r="D244" s="4" t="n"/>
      <c r="E244" s="4" t="n">
        <v>2022</v>
      </c>
      <c r="F244" s="4" t="inlineStr">
        <is>
          <t>Señales fisiológicas</t>
        </is>
      </c>
      <c r="G244" s="4" t="inlineStr">
        <is>
          <t>Híbrido</t>
        </is>
      </c>
      <c r="H244" s="4" t="inlineStr">
        <is>
          <t>https://doi.org/10.1109/ACCESS.2022.3146719</t>
        </is>
      </c>
      <c r="I244" s="4" t="inlineStr">
        <is>
          <t>Non-Oscillatory Connectivity Approach for Classification of Autism Spectrum Disorder Subtypes Using Resting-State fMRI</t>
        </is>
      </c>
      <c r="J244" s="4" t="inlineStr">
        <is>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is>
      </c>
      <c r="K244" s="4" t="inlineStr">
        <is>
          <t>Supervised</t>
        </is>
      </c>
      <c r="L244" s="4" t="inlineStr">
        <is>
          <t>SVM</t>
        </is>
      </c>
      <c r="M244" s="4" t="inlineStr">
        <is>
          <t>Classification (binary/multi-class; incl. ASD vs control)/ multi-class)</t>
        </is>
      </c>
      <c r="N244" s="4" t="inlineStr">
        <is>
          <t>Diagnosis</t>
        </is>
      </c>
      <c r="O244" s="4" t="inlineStr">
        <is>
          <t>medium</t>
        </is>
      </c>
      <c r="P244" s="4" t="n">
        <v>0</v>
      </c>
      <c r="Q244" s="4" t="n">
        <v>0</v>
      </c>
      <c r="R244" s="4" t="n">
        <v>0</v>
      </c>
      <c r="S244" s="4" t="n">
        <v>0</v>
      </c>
      <c r="T244" s="4" t="n">
        <v>0</v>
      </c>
      <c r="U244" s="4" t="n">
        <v>1</v>
      </c>
      <c r="V244" s="4" t="n">
        <v>0</v>
      </c>
      <c r="W244" s="4" t="n">
        <v>0</v>
      </c>
      <c r="X244" s="4" t="n">
        <v>0</v>
      </c>
      <c r="Y244" s="4" t="n">
        <v>0</v>
      </c>
      <c r="Z244" s="4" t="n">
        <v>0</v>
      </c>
      <c r="AA244" s="4" t="n">
        <v>0</v>
      </c>
      <c r="AB244" s="4" t="inlineStr">
        <is>
          <t>1900-01-01</t>
        </is>
      </c>
      <c r="AC244" s="4" t="n">
        <v>0</v>
      </c>
      <c r="AD244" s="4" t="n">
        <v>1</v>
      </c>
      <c r="AE244" s="4" t="n">
        <v>0</v>
      </c>
      <c r="AF244" s="4" t="n">
        <v>0</v>
      </c>
      <c r="AG244" s="4" t="n">
        <v>0</v>
      </c>
      <c r="AH244" s="4" t="n">
        <v>1</v>
      </c>
      <c r="AI244" s="4" t="n">
        <v>0</v>
      </c>
      <c r="AJ244" s="4" t="inlineStr">
        <is>
          <t>00:00:00</t>
        </is>
      </c>
      <c r="AK244" s="4" t="inlineStr">
        <is>
          <t>explainability_or_interpretability</t>
        </is>
      </c>
      <c r="AL244" s="4" t="inlineStr">
        <is>
          <t>No hay un único “modelo”; hay un pipeline de conectividad NOC + selección por p-values + comparación de clasificadores, y SVM queda como el mejor. 
Non-Oscillatory_Connectivity_Ap…
Dataset de subtipos es pequeño (36 sujetos por clase), y además validan ASD vs NC con un dataset grande (505 ASD / 530 NC). Esto puede ser importante si tu Excel tiene campo de “tamaño/validación”.</t>
        </is>
      </c>
      <c r="AM244" s="4" t="inlineStr">
        <is>
          <t>RB</t>
        </is>
      </c>
      <c r="AN244" s="4" t="inlineStr">
        <is>
          <t>Tomado completo desde archivo RB según asignación</t>
        </is>
      </c>
      <c r="AO244" s="4" t="n">
        <v>0</v>
      </c>
      <c r="AP244" s="4" t="n">
        <v>0</v>
      </c>
      <c r="AQ244" s="4" t="n">
        <v>0</v>
      </c>
      <c r="AR244" s="4" t="n">
        <v>0</v>
      </c>
      <c r="AS244" s="4" t="n">
        <v>0</v>
      </c>
      <c r="AT244" s="4" t="n">
        <v>0</v>
      </c>
      <c r="AU244" s="4" t="n">
        <v>1</v>
      </c>
      <c r="AV244" s="4" t="n">
        <v>0</v>
      </c>
      <c r="AW244" s="4" t="inlineStr">
        <is>
          <t>finalized_from_available_evidence</t>
        </is>
      </c>
      <c r="AX244" s="4" t="inlineStr">
        <is>
          <t>0 means no reported evidence in title/abstract/notes/coding; it is not proof of true absence.</t>
        </is>
      </c>
    </row>
    <row r="245" ht="229" customHeight="1">
      <c r="A245" s="4" t="n">
        <v>244</v>
      </c>
      <c r="B245" s="4" t="n">
        <v>265</v>
      </c>
      <c r="C245" s="4" t="inlineStr">
        <is>
          <t>Revisor B</t>
        </is>
      </c>
      <c r="D245" s="4" t="n"/>
      <c r="E245" s="4" t="n">
        <v>2024</v>
      </c>
      <c r="F245" s="4" t="inlineStr">
        <is>
          <t>Imagen</t>
        </is>
      </c>
      <c r="G245" s="4" t="inlineStr">
        <is>
          <t>No especificado</t>
        </is>
      </c>
      <c r="H245" s="4" t="inlineStr">
        <is>
          <t>https://doi.org/10.1016/j.isci.2024.110709</t>
        </is>
      </c>
      <c r="I245" s="4" t="inlineStr">
        <is>
          <t>Personalized identification of autism-related bacteria in the gut microbiome using explainable artificial intelligence</t>
        </is>
      </c>
      <c r="J245" s="4" t="inlineStr">
        <is>
          <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t>
        </is>
      </c>
      <c r="K245" s="4" t="n"/>
      <c r="L245" s="4" t="n"/>
      <c r="M245" s="4" t="n"/>
      <c r="N245" s="4" t="inlineStr">
        <is>
          <t>prognosis</t>
        </is>
      </c>
      <c r="O245" s="4" t="inlineStr">
        <is>
          <t>high</t>
        </is>
      </c>
      <c r="P245" s="4" t="n">
        <v>0</v>
      </c>
      <c r="Q245" s="4" t="n">
        <v>0</v>
      </c>
      <c r="R245" s="4" t="n">
        <v>0</v>
      </c>
      <c r="S245" s="4" t="n">
        <v>0</v>
      </c>
      <c r="T245" s="4" t="n">
        <v>1</v>
      </c>
      <c r="U245" s="4" t="n">
        <v>0</v>
      </c>
      <c r="V245" s="4" t="n">
        <v>0</v>
      </c>
      <c r="W245" s="4" t="n">
        <v>0</v>
      </c>
      <c r="X245" s="4" t="n">
        <v>0</v>
      </c>
      <c r="Y245" s="4" t="n">
        <v>0</v>
      </c>
      <c r="Z245" s="4" t="n">
        <v>1</v>
      </c>
      <c r="AA245" s="4" t="n">
        <v>0</v>
      </c>
      <c r="AB245" s="4" t="inlineStr">
        <is>
          <t>1900-01-01</t>
        </is>
      </c>
      <c r="AC245" s="4" t="n">
        <v>0</v>
      </c>
      <c r="AD245" s="4" t="n">
        <v>1</v>
      </c>
      <c r="AE245" s="4" t="n">
        <v>0</v>
      </c>
      <c r="AF245" s="4" t="n">
        <v>0</v>
      </c>
      <c r="AG245" s="4" t="n">
        <v>1</v>
      </c>
      <c r="AH245" s="4" t="n">
        <v>1</v>
      </c>
      <c r="AI245" s="4" t="n">
        <v>0</v>
      </c>
      <c r="AJ245" s="4" t="inlineStr">
        <is>
          <t>00:00:00</t>
        </is>
      </c>
      <c r="AK245" s="4" t="inlineStr">
        <is>
          <t>explainability_or_interpretability</t>
        </is>
      </c>
      <c r="AL245" s="4" t="n"/>
      <c r="AM245" s="4" t="inlineStr">
        <is>
          <t>RB</t>
        </is>
      </c>
      <c r="AN245" s="4" t="inlineStr">
        <is>
          <t>Tomado completo desde archivo RB según asignación</t>
        </is>
      </c>
      <c r="AO245" s="4" t="n">
        <v>0</v>
      </c>
      <c r="AP245" s="4" t="n">
        <v>0</v>
      </c>
      <c r="AQ245" s="4" t="n">
        <v>0</v>
      </c>
      <c r="AR245" s="4" t="n">
        <v>0</v>
      </c>
      <c r="AS245" s="4" t="n">
        <v>0</v>
      </c>
      <c r="AT245" s="4" t="n">
        <v>1</v>
      </c>
      <c r="AU245" s="4" t="n">
        <v>0</v>
      </c>
      <c r="AV245" s="4" t="n">
        <v>0</v>
      </c>
      <c r="AW245" s="4" t="inlineStr">
        <is>
          <t>finalized_from_available_evidence</t>
        </is>
      </c>
      <c r="AX245" s="4" t="inlineStr">
        <is>
          <t>0 means no reported evidence in title/abstract/notes/coding; it is not proof of true absence.</t>
        </is>
      </c>
    </row>
    <row r="246" ht="409" customHeight="1">
      <c r="A246" s="4" t="n">
        <v>245</v>
      </c>
      <c r="B246" s="4" t="n">
        <v>266</v>
      </c>
      <c r="C246" s="4" t="inlineStr">
        <is>
          <t>Revisor A</t>
        </is>
      </c>
      <c r="D246" s="4" t="inlineStr">
        <is>
          <t>RA</t>
        </is>
      </c>
      <c r="E246" s="4" t="n">
        <v>2025</v>
      </c>
      <c r="F246" s="4" t="inlineStr">
        <is>
          <t>No especificado</t>
        </is>
      </c>
      <c r="G246" s="4" t="inlineStr">
        <is>
          <t>Machine Learning</t>
        </is>
      </c>
      <c r="H246" s="4" t="inlineStr">
        <is>
          <t>https://doi.org/10.1016/j.envint.2025.109562</t>
        </is>
      </c>
      <c r="I246" s="4" t="inlineStr">
        <is>
          <t>Prenatal exposure to criteria air pollution and traffic-related air toxics and risk of autism spectrum disorder: A population-based cohort study of California births (1990–2018)</t>
        </is>
      </c>
      <c r="J246" s="4"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K246" s="4" t="inlineStr">
        <is>
          <t>Supervised</t>
        </is>
      </c>
      <c r="L246" s="4" t="inlineStr">
        <is>
          <t>Logistic Regression</t>
        </is>
      </c>
      <c r="M246" s="4" t="inlineStr">
        <is>
          <t>Other / Not clear</t>
        </is>
      </c>
      <c r="N246" s="4" t="inlineStr">
        <is>
          <t>Not clear</t>
        </is>
      </c>
      <c r="O246" s="4" t="inlineStr">
        <is>
          <t>High</t>
        </is>
      </c>
      <c r="P246" s="4" t="n">
        <v>0</v>
      </c>
      <c r="Q246" s="4" t="n">
        <v>0</v>
      </c>
      <c r="R246" s="4" t="n">
        <v>0</v>
      </c>
      <c r="S246" s="4" t="n">
        <v>0</v>
      </c>
      <c r="T246" s="4" t="n">
        <v>0</v>
      </c>
      <c r="U246" s="4" t="n">
        <v>0</v>
      </c>
      <c r="V246" s="4" t="n">
        <v>1</v>
      </c>
      <c r="W246" s="4" t="n">
        <v>1</v>
      </c>
      <c r="X246" s="4" t="n">
        <v>0</v>
      </c>
      <c r="Y246" s="4" t="n">
        <v>0</v>
      </c>
      <c r="Z246" s="4" t="n">
        <v>0</v>
      </c>
      <c r="AA246" s="4" t="n">
        <v>0</v>
      </c>
      <c r="AB246" s="4" t="inlineStr">
        <is>
          <t>00:00:00</t>
        </is>
      </c>
      <c r="AC246" s="4" t="n">
        <v>0</v>
      </c>
      <c r="AD246" s="4" t="n">
        <v>0</v>
      </c>
      <c r="AE246" s="4" t="n">
        <v>0</v>
      </c>
      <c r="AF246" s="4" t="n">
        <v>0</v>
      </c>
      <c r="AG246" s="4" t="n">
        <v>1</v>
      </c>
      <c r="AH246" s="4" t="n">
        <v>1</v>
      </c>
      <c r="AI246" s="4" t="inlineStr">
        <is>
          <t>environmental exposure</t>
        </is>
      </c>
      <c r="AJ246" s="4" t="inlineStr">
        <is>
          <t>00:00:00</t>
        </is>
      </c>
      <c r="AK246" s="4" t="inlineStr">
        <is>
          <t>none_reported</t>
        </is>
      </c>
      <c r="AL246" s="4" t="inlineStr">
        <is>
          <t>Algoritmo principal no explícito o fuera del codebook; Confirmar algoritmo principal en full-text</t>
        </is>
      </c>
      <c r="AM246" s="4" t="inlineStr">
        <is>
          <t>RA</t>
        </is>
      </c>
      <c r="AN246" s="4" t="inlineStr">
        <is>
          <t>Tomado completo desde archivo RA según asignación</t>
        </is>
      </c>
      <c r="AO246" s="4" t="n">
        <v>0</v>
      </c>
      <c r="AP246" s="4" t="n">
        <v>0</v>
      </c>
      <c r="AQ246" s="4" t="n">
        <v>0</v>
      </c>
      <c r="AR246" s="4" t="n">
        <v>0</v>
      </c>
      <c r="AS246" s="4" t="n">
        <v>0</v>
      </c>
      <c r="AT246" s="4" t="n">
        <v>0</v>
      </c>
      <c r="AU246" s="4" t="n">
        <v>0</v>
      </c>
      <c r="AV246" s="4" t="n">
        <v>0</v>
      </c>
      <c r="AW246" s="4" t="inlineStr">
        <is>
          <t>finalized_from_available_evidence</t>
        </is>
      </c>
      <c r="AX246" s="4" t="inlineStr">
        <is>
          <t>0 means no reported evidence in title/abstract/notes/coding; it is not proof of true absence.</t>
        </is>
      </c>
    </row>
    <row r="247" ht="409" customHeight="1">
      <c r="A247" s="4" t="n">
        <v>246</v>
      </c>
      <c r="B247" s="4" t="n">
        <v>267</v>
      </c>
      <c r="C247" s="4" t="inlineStr">
        <is>
          <t>Ambos (piloto)</t>
        </is>
      </c>
      <c r="D247" s="4" t="inlineStr">
        <is>
          <t>RA</t>
        </is>
      </c>
      <c r="E247" s="4" t="n">
        <v>2018</v>
      </c>
      <c r="F247" s="4" t="inlineStr">
        <is>
          <t>Texto · NLP</t>
        </is>
      </c>
      <c r="G247" s="4" t="inlineStr">
        <is>
          <t>Machine Learning</t>
        </is>
      </c>
      <c r="H247" s="4" t="inlineStr">
        <is>
          <t>https://doi.org/10.2196/jmir.9496</t>
        </is>
      </c>
      <c r="I247" s="4" t="inlineStr">
        <is>
          <t>Risk assessment for parents who suspect their child has autism spectrum disorder: Machine learning approach</t>
        </is>
      </c>
      <c r="J247" s="4" t="inlineStr">
        <is>
          <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t>
        </is>
      </c>
      <c r="K247" s="4" t="inlineStr">
        <is>
          <t>Other / Not clear</t>
        </is>
      </c>
      <c r="L247" s="4" t="inlineStr">
        <is>
          <t>Other / Not clear</t>
        </is>
      </c>
      <c r="M247" s="4" t="inlineStr">
        <is>
          <t>Other / Not clear</t>
        </is>
      </c>
      <c r="N247" s="4" t="inlineStr">
        <is>
          <t>Prescreening</t>
        </is>
      </c>
      <c r="O247" s="4" t="inlineStr">
        <is>
          <t>Medium</t>
        </is>
      </c>
      <c r="P247" s="4" t="n">
        <v>0</v>
      </c>
      <c r="Q247" s="4" t="n">
        <v>0</v>
      </c>
      <c r="R247" s="4" t="n">
        <v>0</v>
      </c>
      <c r="S247" s="4" t="n">
        <v>0</v>
      </c>
      <c r="T247" s="4" t="n">
        <v>1</v>
      </c>
      <c r="U247" s="4" t="n">
        <v>0</v>
      </c>
      <c r="V247" s="4" t="n">
        <v>0</v>
      </c>
      <c r="W247" s="4" t="n">
        <v>1</v>
      </c>
      <c r="X247" s="4" t="n">
        <v>1</v>
      </c>
      <c r="Y247" s="4" t="n">
        <v>0</v>
      </c>
      <c r="Z247" s="4" t="n">
        <v>0</v>
      </c>
      <c r="AA247" s="4" t="n">
        <v>0</v>
      </c>
      <c r="AB247" s="4" t="inlineStr">
        <is>
          <t>1900-01-01</t>
        </is>
      </c>
      <c r="AC247" s="4" t="n">
        <v>0</v>
      </c>
      <c r="AD247" s="4" t="n">
        <v>0</v>
      </c>
      <c r="AE247" s="4" t="n">
        <v>0</v>
      </c>
      <c r="AF247" s="4" t="n">
        <v>0</v>
      </c>
      <c r="AG247" s="4" t="n">
        <v>1</v>
      </c>
      <c r="AH247" s="4" t="n">
        <v>1</v>
      </c>
      <c r="AI247" s="4" t="n"/>
      <c r="AJ247" s="4" t="n"/>
      <c r="AK247" s="4" t="inlineStr">
        <is>
          <t>none_reported</t>
        </is>
      </c>
      <c r="AL247" s="4" t="inlineStr">
        <is>
          <t>Algoritmo principal no explícito o fuera del codebook; Confirmar algoritmo principal en full-text</t>
        </is>
      </c>
      <c r="AM247" s="4" t="inlineStr">
        <is>
          <t>RA</t>
        </is>
      </c>
      <c r="AN247" s="4" t="inlineStr">
        <is>
          <t>Tomado completo desde archivo RA según asignación</t>
        </is>
      </c>
      <c r="AO247" s="4" t="n">
        <v>0</v>
      </c>
      <c r="AP247" s="4" t="n">
        <v>0</v>
      </c>
      <c r="AQ247" s="4" t="n">
        <v>0</v>
      </c>
      <c r="AR247" s="4" t="n">
        <v>0</v>
      </c>
      <c r="AS247" s="4" t="n">
        <v>0</v>
      </c>
      <c r="AT247" s="4" t="n">
        <v>0</v>
      </c>
      <c r="AU247" s="4" t="n">
        <v>0</v>
      </c>
      <c r="AV247" s="4" t="n">
        <v>0</v>
      </c>
      <c r="AW247" s="4" t="inlineStr">
        <is>
          <t>finalized_from_available_evidence</t>
        </is>
      </c>
      <c r="AX247" s="4" t="inlineStr">
        <is>
          <t>0 means no reported evidence in title/abstract/notes/coding; it is not proof of true absence.</t>
        </is>
      </c>
    </row>
    <row r="248" ht="409" customHeight="1">
      <c r="A248" s="4" t="n">
        <v>247</v>
      </c>
      <c r="B248" s="4" t="n">
        <v>268</v>
      </c>
      <c r="C248" s="4" t="inlineStr">
        <is>
          <t>Revisor B</t>
        </is>
      </c>
      <c r="D248" s="4" t="n"/>
      <c r="E248" s="4" t="n">
        <v>2024</v>
      </c>
      <c r="F248" s="4" t="inlineStr">
        <is>
          <t>Señales fisiológicas</t>
        </is>
      </c>
      <c r="G248" s="4" t="inlineStr">
        <is>
          <t>Deep Learning</t>
        </is>
      </c>
      <c r="H248" s="4" t="inlineStr">
        <is>
          <t>https://doi.org/10.1007/s42979-023-02564-9</t>
        </is>
      </c>
      <c r="I248" s="4" t="inlineStr">
        <is>
          <t>Robust Low Complexity Framework for Early Diagnosis of Autism Spectrum Disorder Based on Cross Wavelet Transform and Deep Transfer Learning</t>
        </is>
      </c>
      <c r="J248" s="4" t="inlineStr">
        <is>
          <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t>
        </is>
      </c>
      <c r="K248" s="4" t="inlineStr">
        <is>
          <t>Supervised</t>
        </is>
      </c>
      <c r="L248" s="4" t="inlineStr">
        <is>
          <t>CNN</t>
        </is>
      </c>
      <c r="M248" s="4" t="inlineStr">
        <is>
          <t>Classification (binary/multi-class; incl. ASD vs control)/ multi-class)</t>
        </is>
      </c>
      <c r="N248" s="4" t="inlineStr">
        <is>
          <t>Screening</t>
        </is>
      </c>
      <c r="O248" s="4" t="inlineStr">
        <is>
          <t>high</t>
        </is>
      </c>
      <c r="P248" s="4" t="n">
        <v>1</v>
      </c>
      <c r="Q248" s="4" t="n">
        <v>0</v>
      </c>
      <c r="R248" s="4" t="n">
        <v>0</v>
      </c>
      <c r="S248" s="4" t="n">
        <v>0</v>
      </c>
      <c r="T248" s="4" t="n">
        <v>0</v>
      </c>
      <c r="U248" s="4" t="n">
        <v>0</v>
      </c>
      <c r="V248" s="4" t="n">
        <v>0</v>
      </c>
      <c r="W248" s="4" t="n">
        <v>0</v>
      </c>
      <c r="X248" s="4" t="n">
        <v>0</v>
      </c>
      <c r="Y248" s="4" t="n">
        <v>1</v>
      </c>
      <c r="Z248" s="4" t="n">
        <v>0</v>
      </c>
      <c r="AA248" s="4" t="n">
        <v>0</v>
      </c>
      <c r="AB248" s="4" t="inlineStr">
        <is>
          <t>1900-01-01</t>
        </is>
      </c>
      <c r="AC248" s="4" t="n">
        <v>0</v>
      </c>
      <c r="AD248" s="4" t="n">
        <v>0</v>
      </c>
      <c r="AE248" s="4" t="n">
        <v>0</v>
      </c>
      <c r="AF248" s="4" t="n">
        <v>0</v>
      </c>
      <c r="AG248" s="4" t="n">
        <v>0</v>
      </c>
      <c r="AH248" s="4" t="n">
        <v>1</v>
      </c>
      <c r="AI248" s="4" t="n">
        <v>0</v>
      </c>
      <c r="AJ248" s="4" t="inlineStr">
        <is>
          <t>00:00:00</t>
        </is>
      </c>
      <c r="AK248" s="4" t="inlineStr">
        <is>
          <t>internal_validation_only</t>
        </is>
      </c>
      <c r="AL248" s="4" t="n"/>
      <c r="AM248" s="4" t="inlineStr">
        <is>
          <t>RB</t>
        </is>
      </c>
      <c r="AN248" s="4" t="inlineStr">
        <is>
          <t>Tomado completo desde archivo RB según asignación</t>
        </is>
      </c>
      <c r="AO248" s="4" t="n">
        <v>0</v>
      </c>
      <c r="AP248" s="4" t="n">
        <v>0</v>
      </c>
      <c r="AQ248" s="4" t="n">
        <v>0</v>
      </c>
      <c r="AR248" s="4" t="n">
        <v>1</v>
      </c>
      <c r="AS248" s="4" t="n">
        <v>0</v>
      </c>
      <c r="AT248" s="4" t="n">
        <v>0</v>
      </c>
      <c r="AU248" s="4" t="n">
        <v>0</v>
      </c>
      <c r="AV248" s="4" t="n">
        <v>0</v>
      </c>
      <c r="AW248" s="4" t="inlineStr">
        <is>
          <t>finalized_from_available_evidence</t>
        </is>
      </c>
      <c r="AX248" s="4" t="inlineStr">
        <is>
          <t>0 means no reported evidence in title/abstract/notes/coding; it is not proof of true absence.</t>
        </is>
      </c>
    </row>
    <row r="249" ht="333" customHeight="1">
      <c r="A249" s="4" t="n">
        <v>248</v>
      </c>
      <c r="B249" s="4" t="n">
        <v>269</v>
      </c>
      <c r="C249" s="4" t="inlineStr">
        <is>
          <t>Revisor B</t>
        </is>
      </c>
      <c r="D249" s="4" t="n"/>
      <c r="E249" s="4" t="n">
        <v>2020</v>
      </c>
      <c r="F249" s="4" t="inlineStr">
        <is>
          <t>Multimodal</t>
        </is>
      </c>
      <c r="G249" s="4" t="inlineStr">
        <is>
          <t>Deep Learning</t>
        </is>
      </c>
      <c r="H249" s="4" t="inlineStr">
        <is>
          <t>https://doi.org/10.1016/j.media.2020.101662</t>
        </is>
      </c>
      <c r="I249" s="4" t="inlineStr">
        <is>
          <t>Self-weighted adaptive structure learning for ASD diagnosis via multi-template multi-center representation</t>
        </is>
      </c>
      <c r="J249" s="4" t="inlineStr">
        <is>
          <t>As a kind of neurodevelopmental disease, autism spectrum disorder (ASD) can cause severe social, communication, interaction, and behavioral challenges. To date, many imaging-based machine learning techniques have been proposed to address ASD diagnosis issues. However, most of these techniques are restricted to a single template or dataset from one imaging center. In this paper, we propose a novel multi-template multi-center ensemble classification scheme for automatic ASD diagnosis. Specifically, based on different pre-defined templates, we construct multiple functional connectivity (FC) brain networks for each subject based on our proposed Pearson's correlation-based sparse low-rank representation. After extracting features from these FC networks, informative features to learn optimal similarity matrix are then selected by our self-weighted adaptive structure learning (SASL) model. For each template, the SASL method automatically assigns an optimal weight learned from the structural information without additional weights and parameters. Finally, an ensemble strategy based on the multi- template multi-center representations is applied to derive the final diagnosis results. Extensive experiments are conducted on the publicly available Autism Brain Imaging Data Exchange (ABIDE) database to demonstrate the efficacy of our proposed method. Experimental results verify that our proposed method boosts ASD diagnosis performance and outperforms state-of-the-art methods.</t>
        </is>
      </c>
      <c r="K249" s="4" t="inlineStr">
        <is>
          <t>Supervised</t>
        </is>
      </c>
      <c r="L249" s="4" t="inlineStr">
        <is>
          <t>Other</t>
        </is>
      </c>
      <c r="M249" s="4" t="inlineStr">
        <is>
          <t>Classification (binary/multi-class; incl. ASD vs control)/ multi-class)</t>
        </is>
      </c>
      <c r="N249" s="4" t="inlineStr">
        <is>
          <t>Diagnosis</t>
        </is>
      </c>
      <c r="O249" s="4" t="inlineStr">
        <is>
          <t>medium</t>
        </is>
      </c>
      <c r="P249" s="4" t="n">
        <v>0</v>
      </c>
      <c r="Q249" s="4" t="n">
        <v>0</v>
      </c>
      <c r="R249" s="4" t="n">
        <v>0</v>
      </c>
      <c r="S249" s="4" t="n">
        <v>0</v>
      </c>
      <c r="T249" s="4" t="n">
        <v>0</v>
      </c>
      <c r="U249" s="4" t="n">
        <v>0</v>
      </c>
      <c r="V249" s="4" t="n">
        <v>0</v>
      </c>
      <c r="W249" s="4" t="n">
        <v>0</v>
      </c>
      <c r="X249" s="4" t="n">
        <v>0</v>
      </c>
      <c r="Y249" s="4" t="n">
        <v>0</v>
      </c>
      <c r="Z249" s="4" t="n">
        <v>0</v>
      </c>
      <c r="AA249" s="4" t="n">
        <v>0</v>
      </c>
      <c r="AB249" s="4" t="inlineStr">
        <is>
          <t>1900-01-01</t>
        </is>
      </c>
      <c r="AC249" s="4" t="n">
        <v>0</v>
      </c>
      <c r="AD249" s="4" t="n">
        <v>0</v>
      </c>
      <c r="AE249" s="4" t="n">
        <v>1</v>
      </c>
      <c r="AF249" s="4" t="n">
        <v>1</v>
      </c>
      <c r="AG249" s="4" t="n">
        <v>0</v>
      </c>
      <c r="AH249" s="4" t="n">
        <v>0</v>
      </c>
      <c r="AI249" s="4" t="n">
        <v>0</v>
      </c>
      <c r="AJ249" s="4" t="inlineStr">
        <is>
          <t>1900-01-01</t>
        </is>
      </c>
      <c r="AK249" s="4" t="inlineStr">
        <is>
          <t>multisource_integration; cross_site_robustness; multisite_dataset_broad</t>
        </is>
      </c>
      <c r="AL249" s="4" t="inlineStr">
        <is>
          <t>el algoritmo principal es SASL-E/SASL, no uno de tu lista</t>
        </is>
      </c>
      <c r="AM249" s="4" t="inlineStr">
        <is>
          <t>RB</t>
        </is>
      </c>
      <c r="AN249" s="4" t="inlineStr">
        <is>
          <t>Tomado completo desde archivo RB según asignación</t>
        </is>
      </c>
      <c r="AO249" s="4" t="n">
        <v>0</v>
      </c>
      <c r="AP249" s="4" t="n">
        <v>1</v>
      </c>
      <c r="AQ249" s="4" t="n">
        <v>1</v>
      </c>
      <c r="AR249" s="4" t="n">
        <v>0</v>
      </c>
      <c r="AS249" s="4" t="n">
        <v>0</v>
      </c>
      <c r="AT249" s="4" t="n">
        <v>0</v>
      </c>
      <c r="AU249" s="4" t="n">
        <v>0</v>
      </c>
      <c r="AV249" s="4" t="n">
        <v>1</v>
      </c>
      <c r="AW249" s="4" t="inlineStr">
        <is>
          <t>finalized_from_available_evidence</t>
        </is>
      </c>
      <c r="AX249" s="4" t="inlineStr">
        <is>
          <t>0 means no reported evidence in title/abstract/notes/coding; it is not proof of true absence.</t>
        </is>
      </c>
    </row>
    <row r="250" ht="281" customHeight="1">
      <c r="A250" s="4" t="n">
        <v>249</v>
      </c>
      <c r="B250" s="4" t="n">
        <v>270</v>
      </c>
      <c r="C250" s="4" t="inlineStr">
        <is>
          <t>Revisor A</t>
        </is>
      </c>
      <c r="D250" s="4" t="inlineStr">
        <is>
          <t>RA</t>
        </is>
      </c>
      <c r="E250" s="4" t="n">
        <v>2020</v>
      </c>
      <c r="F250" s="4" t="inlineStr">
        <is>
          <t>Señales fisiológicas</t>
        </is>
      </c>
      <c r="G250" s="4" t="inlineStr">
        <is>
          <t>Híbrido</t>
        </is>
      </c>
      <c r="H250" s="4" t="inlineStr">
        <is>
          <t>https://doi.org/10.1016/j.medengphy.2020.07.004</t>
        </is>
      </c>
      <c r="I250" s="4" t="inlineStr">
        <is>
          <t>Smart bed based daytime behavior prediction in Children with autism spectrum disorder - A Pilot Study</t>
        </is>
      </c>
      <c r="J250" s="4" t="inlineStr">
        <is>
          <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t>
        </is>
      </c>
      <c r="K250" s="4" t="inlineStr">
        <is>
          <t>Supervised</t>
        </is>
      </c>
      <c r="L250" s="4" t="inlineStr">
        <is>
          <t>MLP</t>
        </is>
      </c>
      <c r="M250" s="4" t="inlineStr">
        <is>
          <t>Prediction (time-to-event / prognosis)</t>
        </is>
      </c>
      <c r="N250" s="4" t="inlineStr">
        <is>
          <t>Monitoring/intervention</t>
        </is>
      </c>
      <c r="O250" s="4" t="inlineStr">
        <is>
          <t>High</t>
        </is>
      </c>
      <c r="P250" s="4" t="n">
        <v>0</v>
      </c>
      <c r="Q250" s="4" t="n">
        <v>1</v>
      </c>
      <c r="R250" s="4" t="n">
        <v>0</v>
      </c>
      <c r="S250" s="4" t="n">
        <v>0</v>
      </c>
      <c r="T250" s="4" t="n">
        <v>0</v>
      </c>
      <c r="U250" s="4" t="n">
        <v>0</v>
      </c>
      <c r="V250" s="4" t="n">
        <v>0</v>
      </c>
      <c r="W250" s="4" t="n">
        <v>0</v>
      </c>
      <c r="X250" s="4" t="n">
        <v>0</v>
      </c>
      <c r="Y250" s="4" t="n">
        <v>0</v>
      </c>
      <c r="Z250" s="4" t="n">
        <v>1</v>
      </c>
      <c r="AA250" s="4" t="n">
        <v>1</v>
      </c>
      <c r="AB250" s="4" t="inlineStr">
        <is>
          <t>1900-01-01</t>
        </is>
      </c>
      <c r="AC250" s="4" t="n">
        <v>0</v>
      </c>
      <c r="AD250" s="4" t="n">
        <v>0</v>
      </c>
      <c r="AE250" s="4" t="n">
        <v>0</v>
      </c>
      <c r="AF250" s="4" t="n">
        <v>0</v>
      </c>
      <c r="AG250" s="4" t="n">
        <v>1</v>
      </c>
      <c r="AH250" s="4" t="n">
        <v>1</v>
      </c>
      <c r="AI250" s="4" t="inlineStr">
        <is>
          <t>smart bed / BCG</t>
        </is>
      </c>
      <c r="AJ250" s="4" t="n"/>
      <c r="AK250" s="4" t="inlineStr">
        <is>
          <t>none_reported</t>
        </is>
      </c>
      <c r="AL250" s="4" t="inlineStr">
        <is>
          <t>Predice conducta diurna a partir de señales BCG de smart bed; SVM y ANN comparados.</t>
        </is>
      </c>
      <c r="AM250" s="4" t="inlineStr">
        <is>
          <t>RA</t>
        </is>
      </c>
      <c r="AN250" s="4" t="inlineStr">
        <is>
          <t>Tomado completo desde archivo RA según asignación</t>
        </is>
      </c>
      <c r="AO250" s="4" t="n">
        <v>0</v>
      </c>
      <c r="AP250" s="4" t="n">
        <v>0</v>
      </c>
      <c r="AQ250" s="4" t="n">
        <v>0</v>
      </c>
      <c r="AR250" s="4" t="n">
        <v>0</v>
      </c>
      <c r="AS250" s="4" t="n">
        <v>0</v>
      </c>
      <c r="AT250" s="4" t="n">
        <v>0</v>
      </c>
      <c r="AU250" s="4" t="n">
        <v>0</v>
      </c>
      <c r="AV250" s="4" t="n">
        <v>0</v>
      </c>
      <c r="AW250" s="4" t="inlineStr">
        <is>
          <t>finalized_from_available_evidence</t>
        </is>
      </c>
      <c r="AX250" s="4" t="inlineStr">
        <is>
          <t>0 means no reported evidence in title/abstract/notes/coding; it is not proof of true absence.</t>
        </is>
      </c>
    </row>
    <row r="251" ht="385" customHeight="1">
      <c r="A251" s="4" t="n">
        <v>250</v>
      </c>
      <c r="B251" s="4" t="n">
        <v>272</v>
      </c>
      <c r="C251" s="4" t="inlineStr">
        <is>
          <t>Ambos (piloto)</t>
        </is>
      </c>
      <c r="D251" s="4" t="inlineStr">
        <is>
          <t>RA</t>
        </is>
      </c>
      <c r="E251" s="4" t="n">
        <v>2018</v>
      </c>
      <c r="F251" s="4" t="inlineStr">
        <is>
          <t>Multimodal</t>
        </is>
      </c>
      <c r="G251" s="4" t="inlineStr">
        <is>
          <t>Machine Learning</t>
        </is>
      </c>
      <c r="H251" s="4" t="inlineStr">
        <is>
          <t>https://doi.org/10.1016/j.neuroimage.2017.12.044</t>
        </is>
      </c>
      <c r="I251" s="4" t="inlineStr">
        <is>
          <t>Subtyping cognitive profiles in Autism Spectrum Disorder using a Functional Random Forest algorithm</t>
        </is>
      </c>
      <c r="J251" s="4" t="inlineStr">
        <is>
          <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t>
        </is>
      </c>
      <c r="K251" s="4" t="inlineStr">
        <is>
          <t>Unsupervised</t>
        </is>
      </c>
      <c r="L251" s="4" t="inlineStr">
        <is>
          <t>Other / Not clear</t>
        </is>
      </c>
      <c r="M251" s="4" t="inlineStr">
        <is>
          <t>Classification (ASD vs control / multi-class)</t>
        </is>
      </c>
      <c r="N251" s="4" t="inlineStr">
        <is>
          <t>Diagnosis</t>
        </is>
      </c>
      <c r="O251" s="4" t="inlineStr">
        <is>
          <t>High</t>
        </is>
      </c>
      <c r="P251" s="4" t="n">
        <v>1</v>
      </c>
      <c r="Q251" s="4" t="n">
        <v>0</v>
      </c>
      <c r="R251" s="4" t="n">
        <v>0</v>
      </c>
      <c r="S251" s="4" t="n">
        <v>0</v>
      </c>
      <c r="T251" s="4" t="n">
        <v>0</v>
      </c>
      <c r="U251" s="4" t="n">
        <v>0</v>
      </c>
      <c r="V251" s="4" t="n">
        <v>0</v>
      </c>
      <c r="W251" s="4" t="n">
        <v>0</v>
      </c>
      <c r="X251" s="4" t="n">
        <v>0</v>
      </c>
      <c r="Y251" s="4" t="n">
        <v>1</v>
      </c>
      <c r="Z251" s="4" t="n">
        <v>0</v>
      </c>
      <c r="AA251" s="4" t="n">
        <v>0</v>
      </c>
      <c r="AB251" s="4" t="inlineStr">
        <is>
          <t>00:00:00</t>
        </is>
      </c>
      <c r="AC251" s="4" t="n">
        <v>0</v>
      </c>
      <c r="AD251" s="4" t="n">
        <v>1</v>
      </c>
      <c r="AE251" s="4" t="n">
        <v>0</v>
      </c>
      <c r="AF251" s="4" t="n">
        <v>1</v>
      </c>
      <c r="AG251" s="4" t="n">
        <v>0</v>
      </c>
      <c r="AH251" s="4" t="n">
        <v>1</v>
      </c>
      <c r="AI251" s="4" t="n"/>
      <c r="AJ251" s="4" t="n"/>
      <c r="AK251" s="4" t="inlineStr">
        <is>
          <t>explainability_or_interpretability; multisource_integration</t>
        </is>
      </c>
      <c r="AL251" s="4" t="inlineStr">
        <is>
          <t>Random forest funcional para matriz de proximidad y posterior detección de comunidades/cognitivos subtipos.</t>
        </is>
      </c>
      <c r="AM251" s="4" t="inlineStr">
        <is>
          <t>RA</t>
        </is>
      </c>
      <c r="AN251" s="4" t="inlineStr">
        <is>
          <t>Tomado completo desde archivo RA según asignación</t>
        </is>
      </c>
      <c r="AO251" s="4" t="n">
        <v>0</v>
      </c>
      <c r="AP251" s="4" t="n">
        <v>0</v>
      </c>
      <c r="AQ251" s="4" t="n">
        <v>0</v>
      </c>
      <c r="AR251" s="4" t="n">
        <v>0</v>
      </c>
      <c r="AS251" s="4" t="n">
        <v>0</v>
      </c>
      <c r="AT251" s="4" t="n">
        <v>0</v>
      </c>
      <c r="AU251" s="4" t="n">
        <v>1</v>
      </c>
      <c r="AV251" s="4" t="n">
        <v>1</v>
      </c>
      <c r="AW251" s="4" t="inlineStr">
        <is>
          <t>finalized_from_available_evidence</t>
        </is>
      </c>
      <c r="AX251" s="4" t="inlineStr">
        <is>
          <t>0 means no reported evidence in title/abstract/notes/coding; it is not proof of true absence.</t>
        </is>
      </c>
    </row>
    <row r="252" ht="294" customHeight="1">
      <c r="A252" s="4" t="n">
        <v>251</v>
      </c>
      <c r="B252" s="4" t="n">
        <v>273</v>
      </c>
      <c r="C252" s="4" t="inlineStr">
        <is>
          <t>Revisor A</t>
        </is>
      </c>
      <c r="D252" s="4" t="inlineStr">
        <is>
          <t>RA</t>
        </is>
      </c>
      <c r="E252" s="4" t="n">
        <v>2021</v>
      </c>
      <c r="F252" s="4" t="inlineStr">
        <is>
          <t>No especificado</t>
        </is>
      </c>
      <c r="G252" s="4" t="inlineStr">
        <is>
          <t>Machine Learning</t>
        </is>
      </c>
      <c r="H252" s="4" t="inlineStr">
        <is>
          <t>https://doi.org/10.1007/978-3-030-86993-9_36</t>
        </is>
      </c>
      <c r="I252" s="4" t="inlineStr">
        <is>
          <t>Towards autism subtype detection through identification of discriminatory factors using machine learning</t>
        </is>
      </c>
      <c r="J252" s="4" t="inlineStr">
        <is>
          <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t>
        </is>
      </c>
      <c r="K252" s="4" t="inlineStr">
        <is>
          <t>Supervised</t>
        </is>
      </c>
      <c r="L252" s="4" t="inlineStr">
        <is>
          <t>Clustering (k-means / GMM / ...)</t>
        </is>
      </c>
      <c r="M252" s="4" t="inlineStr">
        <is>
          <t>Clustering / subtyping</t>
        </is>
      </c>
      <c r="N252" s="4" t="inlineStr">
        <is>
          <t>Diagnosis</t>
        </is>
      </c>
      <c r="O252" s="4" t="inlineStr">
        <is>
          <t>High</t>
        </is>
      </c>
      <c r="P252" s="4" t="n">
        <v>0</v>
      </c>
      <c r="Q252" s="4" t="n">
        <v>0</v>
      </c>
      <c r="R252" s="4" t="n">
        <v>0</v>
      </c>
      <c r="S252" s="4" t="n">
        <v>0</v>
      </c>
      <c r="T252" s="4" t="n">
        <v>1</v>
      </c>
      <c r="U252" s="4" t="n">
        <v>0</v>
      </c>
      <c r="V252" s="4" t="n">
        <v>0</v>
      </c>
      <c r="W252" s="4" t="n">
        <v>0</v>
      </c>
      <c r="X252" s="4" t="n">
        <v>0</v>
      </c>
      <c r="Y252" s="4" t="n">
        <v>1</v>
      </c>
      <c r="Z252" s="4" t="n">
        <v>0</v>
      </c>
      <c r="AA252" s="4" t="n">
        <v>0</v>
      </c>
      <c r="AB252" s="4" t="inlineStr">
        <is>
          <t>1900-01-01</t>
        </is>
      </c>
      <c r="AC252" s="4" t="n">
        <v>0</v>
      </c>
      <c r="AD252" s="4" t="n">
        <v>1</v>
      </c>
      <c r="AE252" s="4" t="n">
        <v>0</v>
      </c>
      <c r="AF252" s="4" t="n">
        <v>0</v>
      </c>
      <c r="AG252" s="4" t="n">
        <v>0</v>
      </c>
      <c r="AH252" s="4" t="n">
        <v>1</v>
      </c>
      <c r="AI252" s="4" t="n"/>
      <c r="AJ252" s="4" t="n"/>
      <c r="AK252" s="4" t="inlineStr">
        <is>
          <t>explainability_or_interpretability</t>
        </is>
      </c>
      <c r="AL252" s="4" t="inlineStr">
        <is>
          <t>Genera subtipos con k-means a partir de Q-CHAT/AQ-10; clasificadores posteriores son secundarios.</t>
        </is>
      </c>
      <c r="AM252" s="4" t="inlineStr">
        <is>
          <t>RA</t>
        </is>
      </c>
      <c r="AN252" s="4" t="inlineStr">
        <is>
          <t>Tomado completo desde archivo RA según asignación</t>
        </is>
      </c>
      <c r="AO252" s="4" t="n">
        <v>0</v>
      </c>
      <c r="AP252" s="4" t="n">
        <v>0</v>
      </c>
      <c r="AQ252" s="4" t="n">
        <v>0</v>
      </c>
      <c r="AR252" s="4" t="n">
        <v>0</v>
      </c>
      <c r="AS252" s="4" t="n">
        <v>0</v>
      </c>
      <c r="AT252" s="4" t="n">
        <v>1</v>
      </c>
      <c r="AU252" s="4" t="n">
        <v>0</v>
      </c>
      <c r="AV252" s="4" t="n">
        <v>0</v>
      </c>
      <c r="AW252" s="4" t="inlineStr">
        <is>
          <t>finalized_from_available_evidence</t>
        </is>
      </c>
      <c r="AX252" s="4" t="inlineStr">
        <is>
          <t>0 means no reported evidence in title/abstract/notes/coding; it is not proof of true absence.</t>
        </is>
      </c>
    </row>
    <row r="253" ht="281" customHeight="1">
      <c r="A253" s="4" t="n">
        <v>252</v>
      </c>
      <c r="B253" s="4" t="n">
        <v>274</v>
      </c>
      <c r="C253" s="4" t="inlineStr">
        <is>
          <t>Revisor A</t>
        </is>
      </c>
      <c r="D253" s="4" t="inlineStr">
        <is>
          <t>RA</t>
        </is>
      </c>
      <c r="E253" s="4" t="n">
        <v>2022</v>
      </c>
      <c r="F253" s="4" t="inlineStr">
        <is>
          <t>Texto · NLP</t>
        </is>
      </c>
      <c r="G253" s="4" t="inlineStr">
        <is>
          <t>Deep Learning</t>
        </is>
      </c>
      <c r="H253" s="4" t="inlineStr">
        <is>
          <t>https://doi.org/10.3390/s22072528</t>
        </is>
      </c>
      <c r="I253" s="4" t="inlineStr">
        <is>
          <t>‘IoT and AI-Based Application for Automatic Interpretation of the Affective State of Children Diagnosed with Autism</t>
        </is>
      </c>
      <c r="J253" s="4" t="inlineStr">
        <is>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t>
        </is>
      </c>
      <c r="K253" s="4" t="inlineStr">
        <is>
          <t>Supervised</t>
        </is>
      </c>
      <c r="L253" s="4" t="inlineStr">
        <is>
          <t>CNN</t>
        </is>
      </c>
      <c r="M253" s="4" t="inlineStr">
        <is>
          <t>Classification (ASD vs control / multi-class)</t>
        </is>
      </c>
      <c r="N253" s="4" t="inlineStr">
        <is>
          <t>Monitoring/intervention</t>
        </is>
      </c>
      <c r="O253" s="4" t="inlineStr">
        <is>
          <t>High</t>
        </is>
      </c>
      <c r="P253" s="4" t="n">
        <v>0</v>
      </c>
      <c r="Q253" s="4" t="n">
        <v>0</v>
      </c>
      <c r="R253" s="4" t="n">
        <v>0</v>
      </c>
      <c r="S253" s="4" t="n">
        <v>0</v>
      </c>
      <c r="T253" s="4" t="n">
        <v>0</v>
      </c>
      <c r="U253" s="4" t="n">
        <v>0</v>
      </c>
      <c r="V253" s="4" t="n">
        <v>1</v>
      </c>
      <c r="W253" s="4" t="n">
        <v>0</v>
      </c>
      <c r="X253" s="4" t="n">
        <v>0</v>
      </c>
      <c r="Y253" s="4" t="n">
        <v>0</v>
      </c>
      <c r="Z253" s="4" t="n">
        <v>0</v>
      </c>
      <c r="AA253" s="4" t="n">
        <v>1</v>
      </c>
      <c r="AB253" s="4" t="inlineStr">
        <is>
          <t>1900-01-01</t>
        </is>
      </c>
      <c r="AC253" s="4" t="n">
        <v>0</v>
      </c>
      <c r="AD253" s="4" t="n">
        <v>0</v>
      </c>
      <c r="AE253" s="4" t="n">
        <v>0</v>
      </c>
      <c r="AF253" s="4" t="n">
        <v>0</v>
      </c>
      <c r="AG253" s="4" t="n">
        <v>0</v>
      </c>
      <c r="AH253" s="4" t="n">
        <v>1</v>
      </c>
      <c r="AI253" s="4" t="inlineStr">
        <is>
          <t>IoT / robot app</t>
        </is>
      </c>
      <c r="AJ253" s="4" t="n"/>
      <c r="AK253" s="4" t="inlineStr">
        <is>
          <t>none_reported</t>
        </is>
      </c>
      <c r="AL253" s="4" t="n"/>
      <c r="AM253" s="4" t="inlineStr">
        <is>
          <t>RA</t>
        </is>
      </c>
      <c r="AN253" s="4" t="inlineStr">
        <is>
          <t>Tomado completo desde archivo RA según asignación</t>
        </is>
      </c>
      <c r="AO253" s="4" t="n">
        <v>0</v>
      </c>
      <c r="AP253" s="4" t="n">
        <v>0</v>
      </c>
      <c r="AQ253" s="4" t="n">
        <v>0</v>
      </c>
      <c r="AR253" s="4" t="n">
        <v>0</v>
      </c>
      <c r="AS253" s="4" t="n">
        <v>0</v>
      </c>
      <c r="AT253" s="4" t="n">
        <v>0</v>
      </c>
      <c r="AU253" s="4" t="n">
        <v>0</v>
      </c>
      <c r="AV253" s="4" t="n">
        <v>0</v>
      </c>
      <c r="AW253" s="4" t="inlineStr">
        <is>
          <t>finalized_from_available_evidence</t>
        </is>
      </c>
      <c r="AX253" s="4" t="inlineStr">
        <is>
          <t>0 means no reported evidence in title/abstract/notes/coding; it is not proof of true absence.</t>
        </is>
      </c>
    </row>
    <row r="254" ht="190" customHeight="1">
      <c r="A254" s="4" t="n">
        <v>253</v>
      </c>
      <c r="B254" s="4" t="n">
        <v>275</v>
      </c>
      <c r="C254" s="4" t="inlineStr">
        <is>
          <t>Revisor B</t>
        </is>
      </c>
      <c r="D254" s="4" t="n"/>
      <c r="E254" s="4" t="n">
        <v>2023</v>
      </c>
      <c r="F254" s="4" t="inlineStr">
        <is>
          <t>Señales fisiológicas</t>
        </is>
      </c>
      <c r="G254" s="4" t="inlineStr">
        <is>
          <t>Machine Learning</t>
        </is>
      </c>
      <c r="H254" s="4" t="inlineStr">
        <is>
          <t>https://doi.org/10.1007/s10803-022-05767-w</t>
        </is>
      </c>
      <c r="I254" s="4" t="inlineStr">
        <is>
          <t>A Fusion-Based Machine Learning Approach for Autism Detection in Young Children Using Magnetoencephalography Signals</t>
        </is>
      </c>
      <c r="J254" s="4" t="inlineStr">
        <is>
          <t>In this study, we aimed to find biomarkers of autism in young children. We recorded magnetoencephalography (MEG) in thirty children (4–7 years) with autism and thirty age, gender-matched controls while they were watching cartoons. We focused on characterizing neural oscillations by amplitude (power spectral density, PSD) and phase (preferred phase angle, PPA). Machine learning based classifier showed a higher classification accuracy (88%) for PPA features than PSD features (82%). Further, by a novel fusion method combining PSD and PPA features, we achieved an average classification accuracy of 94% and 98% for feature-level and score-level fusion, respectively. These findings reveal discriminatory patterns of neural oscillations of autism in young children and provide novel insight into autism pathophysiology.</t>
        </is>
      </c>
      <c r="K254" s="4" t="inlineStr">
        <is>
          <t>Supervised</t>
        </is>
      </c>
      <c r="L254" s="4" t="inlineStr">
        <is>
          <t>MLP</t>
        </is>
      </c>
      <c r="M254" s="4" t="inlineStr">
        <is>
          <t>Classification (binary/multi-class; incl. ASD vs control)/ multi-class)</t>
        </is>
      </c>
      <c r="N254" s="4" t="inlineStr">
        <is>
          <t>Diagnosis</t>
        </is>
      </c>
      <c r="O254" s="4" t="inlineStr">
        <is>
          <t>low</t>
        </is>
      </c>
      <c r="P254" s="4" t="n">
        <v>0</v>
      </c>
      <c r="Q254" s="4" t="n">
        <v>0</v>
      </c>
      <c r="R254" s="4" t="n">
        <v>0</v>
      </c>
      <c r="S254" s="4" t="n">
        <v>0</v>
      </c>
      <c r="T254" s="4" t="n">
        <v>0</v>
      </c>
      <c r="U254" s="4" t="n">
        <v>0</v>
      </c>
      <c r="V254" s="4" t="n">
        <v>0</v>
      </c>
      <c r="W254" s="4" t="n">
        <v>0</v>
      </c>
      <c r="X254" s="4" t="n">
        <v>0</v>
      </c>
      <c r="Y254" s="4" t="n">
        <v>0</v>
      </c>
      <c r="Z254" s="4" t="n">
        <v>0</v>
      </c>
      <c r="AA254" s="4" t="n">
        <v>0</v>
      </c>
      <c r="AB254" s="4" t="inlineStr">
        <is>
          <t>1900-01-01</t>
        </is>
      </c>
      <c r="AC254" s="4" t="n">
        <v>0</v>
      </c>
      <c r="AD254" s="4" t="n">
        <v>0</v>
      </c>
      <c r="AE254" s="4" t="n">
        <v>0</v>
      </c>
      <c r="AF254" s="4" t="n">
        <v>0</v>
      </c>
      <c r="AG254" s="4" t="n">
        <v>1</v>
      </c>
      <c r="AH254" s="4" t="n">
        <v>0</v>
      </c>
      <c r="AI254" s="4" t="n">
        <v>0</v>
      </c>
      <c r="AJ254" s="4" t="inlineStr">
        <is>
          <t>1900-01-01</t>
        </is>
      </c>
      <c r="AK254" s="4" t="inlineStr">
        <is>
          <t>none_reported</t>
        </is>
      </c>
      <c r="AL254" s="4" t="inlineStr">
        <is>
          <t>Aunque el paper enfatiza “young children” y “early markers”, el uso que reporta es clasificación ASD vs TD en una muestra ya diagnosticada; por eso “Diagnosis” es el mapeo más consistente con tus opciones.</t>
        </is>
      </c>
      <c r="AM254" s="4" t="inlineStr">
        <is>
          <t>RB</t>
        </is>
      </c>
      <c r="AN254" s="4" t="inlineStr">
        <is>
          <t>Tomado completo desde archivo RB según asignación</t>
        </is>
      </c>
      <c r="AO254" s="4" t="n">
        <v>0</v>
      </c>
      <c r="AP254" s="4" t="n">
        <v>0</v>
      </c>
      <c r="AQ254" s="4" t="n">
        <v>0</v>
      </c>
      <c r="AR254" s="4" t="n">
        <v>0</v>
      </c>
      <c r="AS254" s="4" t="n">
        <v>0</v>
      </c>
      <c r="AT254" s="4" t="n">
        <v>0</v>
      </c>
      <c r="AU254" s="4" t="n">
        <v>0</v>
      </c>
      <c r="AV254" s="4" t="n">
        <v>0</v>
      </c>
      <c r="AW254" s="4" t="inlineStr">
        <is>
          <t>finalized_from_available_evidence</t>
        </is>
      </c>
      <c r="AX254" s="4" t="inlineStr">
        <is>
          <t>0 means no reported evidence in title/abstract/notes/coding; it is not proof of true absence.</t>
        </is>
      </c>
    </row>
    <row r="255" ht="320" customHeight="1">
      <c r="A255" s="4" t="n">
        <v>254</v>
      </c>
      <c r="B255" s="4" t="n">
        <v>276</v>
      </c>
      <c r="C255" s="4" t="inlineStr">
        <is>
          <t>Revisor A</t>
        </is>
      </c>
      <c r="D255" s="4" t="inlineStr">
        <is>
          <t>RA</t>
        </is>
      </c>
      <c r="E255" s="4" t="n">
        <v>2014</v>
      </c>
      <c r="F255" s="4" t="inlineStr">
        <is>
          <t>Señales fisiológicas</t>
        </is>
      </c>
      <c r="G255" s="4" t="inlineStr">
        <is>
          <t>Deep Learning</t>
        </is>
      </c>
      <c r="H255" s="4" t="inlineStr">
        <is>
          <t>https://doi.org/10.1016/j.eswa.2014.05.011</t>
        </is>
      </c>
      <c r="I255" s="4" t="inlineStr">
        <is>
          <t>A situation-aware system for the detection of motion disorders of patients with Autism Spectrum Disorders</t>
        </is>
      </c>
      <c r="J255" s="4" t="inlineStr">
        <is>
          <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t>
        </is>
      </c>
      <c r="K255" s="4" t="inlineStr">
        <is>
          <t>Supervised</t>
        </is>
      </c>
      <c r="L255" s="4" t="inlineStr">
        <is>
          <t>Other / Not clear</t>
        </is>
      </c>
      <c r="M255" s="4" t="inlineStr">
        <is>
          <t>Detection / segmentation</t>
        </is>
      </c>
      <c r="N255" s="4" t="inlineStr">
        <is>
          <t>Monitoring/intervention</t>
        </is>
      </c>
      <c r="O255" s="4" t="inlineStr">
        <is>
          <t>Medium</t>
        </is>
      </c>
      <c r="P255" s="4" t="n">
        <v>0</v>
      </c>
      <c r="Q255" s="4" t="n">
        <v>0</v>
      </c>
      <c r="R255" s="4" t="n">
        <v>0</v>
      </c>
      <c r="S255" s="4" t="n">
        <v>0</v>
      </c>
      <c r="T255" s="4" t="n">
        <v>0</v>
      </c>
      <c r="U255" s="4" t="n">
        <v>0</v>
      </c>
      <c r="V255" s="4" t="n">
        <v>1</v>
      </c>
      <c r="W255" s="4" t="n">
        <v>0</v>
      </c>
      <c r="X255" s="4" t="n">
        <v>0</v>
      </c>
      <c r="Y255" s="4" t="n">
        <v>0</v>
      </c>
      <c r="Z255" s="4" t="n">
        <v>0</v>
      </c>
      <c r="AA255" s="4" t="n">
        <v>1</v>
      </c>
      <c r="AB255" s="4" t="inlineStr">
        <is>
          <t>1900-01-01</t>
        </is>
      </c>
      <c r="AC255" s="4" t="n">
        <v>0</v>
      </c>
      <c r="AD255" s="4" t="n">
        <v>0</v>
      </c>
      <c r="AE255" s="4" t="n">
        <v>0</v>
      </c>
      <c r="AF255" s="4" t="n">
        <v>0</v>
      </c>
      <c r="AG255" s="4" t="n">
        <v>1</v>
      </c>
      <c r="AH255" s="4" t="n">
        <v>1</v>
      </c>
      <c r="AI255" s="4" t="inlineStr">
        <is>
          <t>accelerometer</t>
        </is>
      </c>
      <c r="AJ255" s="4" t="n"/>
      <c r="AK255" s="4" t="inlineStr">
        <is>
          <t>none_reported</t>
        </is>
      </c>
      <c r="AL255" s="4" t="inlineStr">
        <is>
          <t>Algoritmo principal no explícito o fuera del codebook; Confirmar algoritmo principal en full-text</t>
        </is>
      </c>
      <c r="AM255" s="4" t="inlineStr">
        <is>
          <t>RA</t>
        </is>
      </c>
      <c r="AN255" s="4" t="inlineStr">
        <is>
          <t>Tomado completo desde archivo RA según asignación</t>
        </is>
      </c>
      <c r="AO255" s="4" t="n">
        <v>0</v>
      </c>
      <c r="AP255" s="4" t="n">
        <v>0</v>
      </c>
      <c r="AQ255" s="4" t="n">
        <v>0</v>
      </c>
      <c r="AR255" s="4" t="n">
        <v>0</v>
      </c>
      <c r="AS255" s="4" t="n">
        <v>0</v>
      </c>
      <c r="AT255" s="4" t="n">
        <v>0</v>
      </c>
      <c r="AU255" s="4" t="n">
        <v>0</v>
      </c>
      <c r="AV255" s="4" t="n">
        <v>0</v>
      </c>
      <c r="AW255" s="4" t="inlineStr">
        <is>
          <t>finalized_from_available_evidence</t>
        </is>
      </c>
      <c r="AX255" s="4" t="inlineStr">
        <is>
          <t>0 means no reported evidence in title/abstract/notes/coding; it is not proof of true absence.</t>
        </is>
      </c>
    </row>
    <row r="256" ht="333" customHeight="1">
      <c r="A256" s="4" t="n">
        <v>255</v>
      </c>
      <c r="B256" s="4" t="n">
        <v>277</v>
      </c>
      <c r="C256" s="4" t="inlineStr">
        <is>
          <t>Revisor A</t>
        </is>
      </c>
      <c r="D256" s="4" t="inlineStr">
        <is>
          <t>RA</t>
        </is>
      </c>
      <c r="E256" s="4" t="n">
        <v>2023</v>
      </c>
      <c r="F256" s="4" t="inlineStr">
        <is>
          <t>Imagen</t>
        </is>
      </c>
      <c r="G256" s="4" t="inlineStr">
        <is>
          <t>Deep Learning</t>
        </is>
      </c>
      <c r="H256" s="4" t="inlineStr">
        <is>
          <t>https://doi.org/10.1093/cercor/bhad125</t>
        </is>
      </c>
      <c r="I256" s="4" t="inlineStr">
        <is>
          <t>Accurate corresponding fiber tract segmentation via FiberGeoMap learner with application to autism</t>
        </is>
      </c>
      <c r="J256" s="4" t="inlineStr">
        <is>
          <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t>
        </is>
      </c>
      <c r="K256" s="4" t="inlineStr">
        <is>
          <t>Supervised</t>
        </is>
      </c>
      <c r="L256" s="4" t="inlineStr">
        <is>
          <t>Transformer</t>
        </is>
      </c>
      <c r="M256" s="4" t="inlineStr">
        <is>
          <t>Detection / segmentation</t>
        </is>
      </c>
      <c r="N256" s="4" t="inlineStr">
        <is>
          <t>Diagnosis</t>
        </is>
      </c>
      <c r="O256" s="4" t="inlineStr">
        <is>
          <t>Medium</t>
        </is>
      </c>
      <c r="P256" s="4" t="n">
        <v>1</v>
      </c>
      <c r="Q256" s="4" t="n">
        <v>0</v>
      </c>
      <c r="R256" s="4" t="n">
        <v>0</v>
      </c>
      <c r="S256" s="4" t="n">
        <v>0</v>
      </c>
      <c r="T256" s="4" t="n">
        <v>0</v>
      </c>
      <c r="U256" s="4" t="n">
        <v>0</v>
      </c>
      <c r="V256" s="4" t="n">
        <v>0</v>
      </c>
      <c r="W256" s="4" t="n">
        <v>0</v>
      </c>
      <c r="X256" s="4" t="n">
        <v>0</v>
      </c>
      <c r="Y256" s="4" t="n">
        <v>1</v>
      </c>
      <c r="Z256" s="4" t="n">
        <v>0</v>
      </c>
      <c r="AA256" s="4" t="n">
        <v>0</v>
      </c>
      <c r="AB256" s="4" t="inlineStr">
        <is>
          <t>1900-01-01</t>
        </is>
      </c>
      <c r="AC256" s="4" t="n">
        <v>0</v>
      </c>
      <c r="AD256" s="4" t="n">
        <v>0</v>
      </c>
      <c r="AE256" s="4" t="n">
        <v>0</v>
      </c>
      <c r="AF256" s="4" t="n">
        <v>0</v>
      </c>
      <c r="AG256" s="4" t="n">
        <v>1</v>
      </c>
      <c r="AH256" s="4" t="n">
        <v>1</v>
      </c>
      <c r="AI256" s="4" t="n"/>
      <c r="AJ256" s="4" t="n"/>
      <c r="AK256" s="4" t="inlineStr">
        <is>
          <t>none_reported</t>
        </is>
      </c>
      <c r="AL256" s="4" t="inlineStr">
        <is>
          <t>Segmentación de tractos de difusión; algoritmo FiberGeoMap fuera del codebook.</t>
        </is>
      </c>
      <c r="AM256" s="4" t="inlineStr">
        <is>
          <t>RA</t>
        </is>
      </c>
      <c r="AN256" s="4" t="inlineStr">
        <is>
          <t>Tomado completo desde archivo RA según asignación</t>
        </is>
      </c>
      <c r="AO256" s="4" t="n">
        <v>0</v>
      </c>
      <c r="AP256" s="4" t="n">
        <v>0</v>
      </c>
      <c r="AQ256" s="4" t="n">
        <v>0</v>
      </c>
      <c r="AR256" s="4" t="n">
        <v>0</v>
      </c>
      <c r="AS256" s="4" t="n">
        <v>0</v>
      </c>
      <c r="AT256" s="4" t="n">
        <v>0</v>
      </c>
      <c r="AU256" s="4" t="n">
        <v>0</v>
      </c>
      <c r="AV256" s="4" t="n">
        <v>0</v>
      </c>
      <c r="AW256" s="4" t="inlineStr">
        <is>
          <t>finalized_from_available_evidence</t>
        </is>
      </c>
      <c r="AX256" s="4" t="inlineStr">
        <is>
          <t>0 means no reported evidence in title/abstract/notes/coding; it is not proof of true absence.</t>
        </is>
      </c>
    </row>
    <row r="257" ht="409" customHeight="1">
      <c r="A257" s="4" t="n">
        <v>256</v>
      </c>
      <c r="B257" s="4" t="n">
        <v>278</v>
      </c>
      <c r="C257" s="4" t="inlineStr">
        <is>
          <t>Revisor A</t>
        </is>
      </c>
      <c r="D257" s="4" t="inlineStr">
        <is>
          <t>RA</t>
        </is>
      </c>
      <c r="E257" s="4" t="n">
        <v>2017</v>
      </c>
      <c r="F257" s="4" t="inlineStr">
        <is>
          <t>Imagen</t>
        </is>
      </c>
      <c r="G257" s="4" t="inlineStr">
        <is>
          <t>Machine Learning</t>
        </is>
      </c>
      <c r="H257" s="4" t="inlineStr">
        <is>
          <t>https://doi.org/10.1186/S12911-017-0564-8</t>
        </is>
      </c>
      <c r="I257" s="4" t="inlineStr">
        <is>
          <t>Autism risk classification using placental chorionic surface vascular network features</t>
        </is>
      </c>
      <c r="J257" s="4" t="inlineStr">
        <is>
          <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t>
        </is>
      </c>
      <c r="K257" s="4" t="inlineStr">
        <is>
          <t>Supervised</t>
        </is>
      </c>
      <c r="L257" s="4" t="inlineStr">
        <is>
          <t>Random Forest</t>
        </is>
      </c>
      <c r="M257" s="4" t="inlineStr">
        <is>
          <t>Classification (ASD vs control / multi-class)</t>
        </is>
      </c>
      <c r="N257" s="4" t="inlineStr">
        <is>
          <t>Prescreening</t>
        </is>
      </c>
      <c r="O257" s="4" t="inlineStr">
        <is>
          <t>High</t>
        </is>
      </c>
      <c r="P257" s="4" t="n">
        <v>0</v>
      </c>
      <c r="Q257" s="4" t="n">
        <v>0</v>
      </c>
      <c r="R257" s="4" t="n">
        <v>0</v>
      </c>
      <c r="S257" s="4" t="n">
        <v>0</v>
      </c>
      <c r="T257" s="4" t="n">
        <v>0</v>
      </c>
      <c r="U257" s="4" t="n">
        <v>1</v>
      </c>
      <c r="V257" s="4" t="n">
        <v>0</v>
      </c>
      <c r="W257" s="4" t="n">
        <v>1</v>
      </c>
      <c r="X257" s="4" t="n">
        <v>0</v>
      </c>
      <c r="Y257" s="4" t="n">
        <v>0</v>
      </c>
      <c r="Z257" s="4" t="n">
        <v>0</v>
      </c>
      <c r="AA257" s="4" t="n">
        <v>0</v>
      </c>
      <c r="AB257" s="4" t="inlineStr">
        <is>
          <t>1900-01-01</t>
        </is>
      </c>
      <c r="AC257" s="4" t="n">
        <v>0</v>
      </c>
      <c r="AD257" s="4" t="n">
        <v>0</v>
      </c>
      <c r="AE257" s="4" t="n">
        <v>0</v>
      </c>
      <c r="AF257" s="4" t="n">
        <v>0</v>
      </c>
      <c r="AG257" s="4" t="n">
        <v>0</v>
      </c>
      <c r="AH257" s="4" t="n">
        <v>1</v>
      </c>
      <c r="AI257" s="4" t="n"/>
      <c r="AJ257" s="4" t="n"/>
      <c r="AK257" s="4" t="inlineStr">
        <is>
          <t>internal_validation_only</t>
        </is>
      </c>
      <c r="AL257" s="4" t="n"/>
      <c r="AM257" s="4" t="inlineStr">
        <is>
          <t>RA</t>
        </is>
      </c>
      <c r="AN257" s="4" t="inlineStr">
        <is>
          <t>Tomado completo desde archivo RA según asignación</t>
        </is>
      </c>
      <c r="AO257" s="4" t="n">
        <v>0</v>
      </c>
      <c r="AP257" s="4" t="n">
        <v>0</v>
      </c>
      <c r="AQ257" s="4" t="n">
        <v>0</v>
      </c>
      <c r="AR257" s="4" t="n">
        <v>1</v>
      </c>
      <c r="AS257" s="4" t="n">
        <v>0</v>
      </c>
      <c r="AT257" s="4" t="n">
        <v>0</v>
      </c>
      <c r="AU257" s="4" t="n">
        <v>0</v>
      </c>
      <c r="AV257" s="4" t="n">
        <v>0</v>
      </c>
      <c r="AW257" s="4" t="inlineStr">
        <is>
          <t>finalized_from_available_evidence</t>
        </is>
      </c>
      <c r="AX257" s="4" t="inlineStr">
        <is>
          <t>0 means no reported evidence in title/abstract/notes/coding; it is not proof of true absence.</t>
        </is>
      </c>
    </row>
    <row r="258" ht="409" customHeight="1">
      <c r="A258" s="4" t="n">
        <v>257</v>
      </c>
      <c r="B258" s="4" t="n">
        <v>279</v>
      </c>
      <c r="C258" s="4" t="inlineStr">
        <is>
          <t>Revisor A</t>
        </is>
      </c>
      <c r="D258" s="4" t="inlineStr">
        <is>
          <t>RA</t>
        </is>
      </c>
      <c r="E258" s="4" t="n">
        <v>2022</v>
      </c>
      <c r="F258" s="4" t="inlineStr">
        <is>
          <t>No especificado</t>
        </is>
      </c>
      <c r="G258" s="4" t="inlineStr">
        <is>
          <t>Machine Learning</t>
        </is>
      </c>
      <c r="H258" s="4" t="inlineStr">
        <is>
          <t>https://doi.org/10.1002/CPE.6498</t>
        </is>
      </c>
      <c r="I258" s="4" t="inlineStr">
        <is>
          <t>Autism spectrum disorder detection using sequential minimal optimization-support vector machine hybrid classifier according to history of jaundice and family autism in children</t>
        </is>
      </c>
      <c r="J258" s="4" t="inlineStr">
        <is>
          <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t>
        </is>
      </c>
      <c r="K258" s="4" t="inlineStr">
        <is>
          <t>Supervised</t>
        </is>
      </c>
      <c r="L258" s="4" t="inlineStr">
        <is>
          <t>SVM</t>
        </is>
      </c>
      <c r="M258" s="4" t="inlineStr">
        <is>
          <t>Classification (ASD vs control / multi-class)</t>
        </is>
      </c>
      <c r="N258" s="4" t="inlineStr">
        <is>
          <t>Diagnosis</t>
        </is>
      </c>
      <c r="O258" s="4" t="inlineStr">
        <is>
          <t>High</t>
        </is>
      </c>
      <c r="P258" s="4" t="n">
        <v>0</v>
      </c>
      <c r="Q258" s="4" t="n">
        <v>0</v>
      </c>
      <c r="R258" s="4" t="n">
        <v>0</v>
      </c>
      <c r="S258" s="4" t="n">
        <v>0</v>
      </c>
      <c r="T258" s="4" t="n">
        <v>1</v>
      </c>
      <c r="U258" s="4" t="n">
        <v>0</v>
      </c>
      <c r="V258" s="4" t="n">
        <v>0</v>
      </c>
      <c r="W258" s="4" t="n">
        <v>0</v>
      </c>
      <c r="X258" s="4" t="n">
        <v>0</v>
      </c>
      <c r="Y258" s="4" t="n">
        <v>1</v>
      </c>
      <c r="Z258" s="4" t="n">
        <v>0</v>
      </c>
      <c r="AA258" s="4" t="n">
        <v>0</v>
      </c>
      <c r="AB258" s="4" t="inlineStr">
        <is>
          <t>1900-01-01</t>
        </is>
      </c>
      <c r="AC258" s="4" t="n">
        <v>0</v>
      </c>
      <c r="AD258" s="4" t="n">
        <v>0</v>
      </c>
      <c r="AE258" s="4" t="n">
        <v>0</v>
      </c>
      <c r="AF258" s="4" t="n">
        <v>0</v>
      </c>
      <c r="AG258" s="4" t="n">
        <v>0</v>
      </c>
      <c r="AH258" s="4" t="n">
        <v>1</v>
      </c>
      <c r="AI258" s="4" t="n"/>
      <c r="AJ258" s="4" t="n"/>
      <c r="AK258" s="4" t="inlineStr">
        <is>
          <t>internal_validation_only</t>
        </is>
      </c>
      <c r="AL258" s="4" t="n"/>
      <c r="AM258" s="4" t="inlineStr">
        <is>
          <t>RA</t>
        </is>
      </c>
      <c r="AN258" s="4" t="inlineStr">
        <is>
          <t>Tomado completo desde archivo RA según asignación</t>
        </is>
      </c>
      <c r="AO258" s="4" t="n">
        <v>0</v>
      </c>
      <c r="AP258" s="4" t="n">
        <v>0</v>
      </c>
      <c r="AQ258" s="4" t="n">
        <v>0</v>
      </c>
      <c r="AR258" s="4" t="n">
        <v>1</v>
      </c>
      <c r="AS258" s="4" t="n">
        <v>0</v>
      </c>
      <c r="AT258" s="4" t="n">
        <v>0</v>
      </c>
      <c r="AU258" s="4" t="n">
        <v>0</v>
      </c>
      <c r="AV258" s="4" t="n">
        <v>0</v>
      </c>
      <c r="AW258" s="4" t="inlineStr">
        <is>
          <t>finalized_from_available_evidence</t>
        </is>
      </c>
      <c r="AX258" s="4" t="inlineStr">
        <is>
          <t>0 means no reported evidence in title/abstract/notes/coding; it is not proof of true absence.</t>
        </is>
      </c>
    </row>
    <row r="259" ht="333" customHeight="1">
      <c r="A259" s="4" t="n">
        <v>258</v>
      </c>
      <c r="B259" s="4" t="n">
        <v>280</v>
      </c>
      <c r="C259" s="4" t="inlineStr">
        <is>
          <t>Revisor A</t>
        </is>
      </c>
      <c r="D259" s="4" t="inlineStr">
        <is>
          <t>RA</t>
        </is>
      </c>
      <c r="E259" s="4" t="n">
        <v>2023</v>
      </c>
      <c r="F259" s="4" t="inlineStr">
        <is>
          <t>Multimodal</t>
        </is>
      </c>
      <c r="G259" s="4" t="inlineStr">
        <is>
          <t>Deep Learning</t>
        </is>
      </c>
      <c r="H259" s="4" t="inlineStr">
        <is>
          <t>https://doi.org/10.1016/j.jneumeth.2023.109901</t>
        </is>
      </c>
      <c r="I259" s="4" t="inlineStr">
        <is>
          <t>Classification of autism based on short-term spontaneous hemodynamic fluctuations using an adaptive graph neural network</t>
        </is>
      </c>
      <c r="J259" s="4" t="inlineStr">
        <is>
          <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t>
        </is>
      </c>
      <c r="K259" s="4" t="inlineStr">
        <is>
          <t>Supervised</t>
        </is>
      </c>
      <c r="L259" s="4" t="inlineStr">
        <is>
          <t>Other / Not clear</t>
        </is>
      </c>
      <c r="M259" s="4" t="inlineStr">
        <is>
          <t>Classification (ASD vs control / multi-class)</t>
        </is>
      </c>
      <c r="N259" s="4" t="inlineStr">
        <is>
          <t>Diagnosis</t>
        </is>
      </c>
      <c r="O259" s="4" t="inlineStr">
        <is>
          <t>High</t>
        </is>
      </c>
      <c r="P259" s="4" t="n">
        <v>0</v>
      </c>
      <c r="Q259" s="4" t="n">
        <v>1</v>
      </c>
      <c r="R259" s="4" t="n">
        <v>0</v>
      </c>
      <c r="S259" s="4" t="n">
        <v>0</v>
      </c>
      <c r="T259" s="4" t="n">
        <v>0</v>
      </c>
      <c r="U259" s="4" t="n">
        <v>0</v>
      </c>
      <c r="V259" s="4" t="n">
        <v>0</v>
      </c>
      <c r="W259" s="4" t="n">
        <v>0</v>
      </c>
      <c r="X259" s="4" t="n">
        <v>0</v>
      </c>
      <c r="Y259" s="4" t="n">
        <v>1</v>
      </c>
      <c r="Z259" s="4" t="n">
        <v>0</v>
      </c>
      <c r="AA259" s="4" t="n">
        <v>0</v>
      </c>
      <c r="AB259" s="4" t="inlineStr">
        <is>
          <t>1900-01-01</t>
        </is>
      </c>
      <c r="AC259" s="4" t="n">
        <v>0</v>
      </c>
      <c r="AD259" s="4" t="n">
        <v>0</v>
      </c>
      <c r="AE259" s="4" t="n">
        <v>0</v>
      </c>
      <c r="AF259" s="4" t="n">
        <v>1</v>
      </c>
      <c r="AG259" s="4" t="n">
        <v>1</v>
      </c>
      <c r="AH259" s="4" t="n">
        <v>1</v>
      </c>
      <c r="AI259" s="4" t="n"/>
      <c r="AJ259" s="4" t="n"/>
      <c r="AK259" s="4" t="inlineStr">
        <is>
          <t>multisource_integration</t>
        </is>
      </c>
      <c r="AL259" s="4" t="inlineStr">
        <is>
          <t>Algoritmo principal no explícito o fuera del codebook; Confirmar algoritmo principal en full-text; Se comparan varios modelos; se eligió el principal/mejor reportado</t>
        </is>
      </c>
      <c r="AM259" s="4" t="inlineStr">
        <is>
          <t>RA</t>
        </is>
      </c>
      <c r="AN259" s="4" t="inlineStr">
        <is>
          <t>Tomado completo desde archivo RA según asignación</t>
        </is>
      </c>
      <c r="AO259" s="4" t="n">
        <v>0</v>
      </c>
      <c r="AP259" s="4" t="n">
        <v>0</v>
      </c>
      <c r="AQ259" s="4" t="n">
        <v>0</v>
      </c>
      <c r="AR259" s="4" t="n">
        <v>0</v>
      </c>
      <c r="AS259" s="4" t="n">
        <v>0</v>
      </c>
      <c r="AT259" s="4" t="n">
        <v>0</v>
      </c>
      <c r="AU259" s="4" t="n">
        <v>0</v>
      </c>
      <c r="AV259" s="4" t="n">
        <v>1</v>
      </c>
      <c r="AW259" s="4" t="inlineStr">
        <is>
          <t>finalized_from_available_evidence</t>
        </is>
      </c>
      <c r="AX259" s="4" t="inlineStr">
        <is>
          <t>0 means no reported evidence in title/abstract/notes/coding; it is not proof of true absence.</t>
        </is>
      </c>
    </row>
    <row r="260" ht="307" customHeight="1">
      <c r="A260" s="4" t="n">
        <v>259</v>
      </c>
      <c r="B260" s="4" t="n">
        <v>281</v>
      </c>
      <c r="C260" s="4" t="inlineStr">
        <is>
          <t>Revisor A</t>
        </is>
      </c>
      <c r="D260" s="4" t="inlineStr">
        <is>
          <t>RA</t>
        </is>
      </c>
      <c r="E260" s="4" t="n">
        <v>2022</v>
      </c>
      <c r="F260" s="4" t="inlineStr">
        <is>
          <t>Imagen</t>
        </is>
      </c>
      <c r="G260" s="4" t="inlineStr">
        <is>
          <t>Deep Learning</t>
        </is>
      </c>
      <c r="H260" s="4" t="inlineStr">
        <is>
          <t>https://doi.org/10.3390/ijerph191912857</t>
        </is>
      </c>
      <c r="I260" s="4" t="inlineStr">
        <is>
          <t>Deep Mobile Linguistic Therapy for Patients with ASD</t>
        </is>
      </c>
      <c r="J260" s="4" t="inlineStr">
        <is>
          <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t>
        </is>
      </c>
      <c r="K260" s="4" t="inlineStr">
        <is>
          <t>Supervised</t>
        </is>
      </c>
      <c r="L260" s="4" t="inlineStr">
        <is>
          <t>Other / Not clear</t>
        </is>
      </c>
      <c r="M260" s="4" t="inlineStr">
        <is>
          <t>Other / Not clear</t>
        </is>
      </c>
      <c r="N260" s="4" t="inlineStr">
        <is>
          <t>Monitoring/intervention</t>
        </is>
      </c>
      <c r="O260" s="4" t="inlineStr">
        <is>
          <t>Medium</t>
        </is>
      </c>
      <c r="P260" s="4" t="n">
        <v>0</v>
      </c>
      <c r="Q260" s="4" t="n">
        <v>0</v>
      </c>
      <c r="R260" s="4" t="n">
        <v>0</v>
      </c>
      <c r="S260" s="4" t="n">
        <v>0</v>
      </c>
      <c r="T260" s="4" t="n">
        <v>0</v>
      </c>
      <c r="U260" s="4" t="n">
        <v>0</v>
      </c>
      <c r="V260" s="4" t="n">
        <v>1</v>
      </c>
      <c r="W260" s="4" t="n">
        <v>0</v>
      </c>
      <c r="X260" s="4" t="n">
        <v>0</v>
      </c>
      <c r="Y260" s="4" t="n">
        <v>0</v>
      </c>
      <c r="Z260" s="4" t="n">
        <v>0</v>
      </c>
      <c r="AA260" s="4" t="n">
        <v>1</v>
      </c>
      <c r="AB260" s="4" t="inlineStr">
        <is>
          <t>1900-01-01</t>
        </is>
      </c>
      <c r="AC260" s="4" t="n">
        <v>0</v>
      </c>
      <c r="AD260" s="4" t="n">
        <v>0</v>
      </c>
      <c r="AE260" s="4" t="n">
        <v>0</v>
      </c>
      <c r="AF260" s="4" t="n">
        <v>0</v>
      </c>
      <c r="AG260" s="4" t="n">
        <v>1</v>
      </c>
      <c r="AH260" s="4" t="n">
        <v>1</v>
      </c>
      <c r="AI260" s="4" t="inlineStr">
        <is>
          <t>text / NLP</t>
        </is>
      </c>
      <c r="AJ260" s="4" t="n"/>
      <c r="AK260" s="4" t="inlineStr">
        <is>
          <t>none_reported</t>
        </is>
      </c>
      <c r="AL260" s="4" t="inlineStr">
        <is>
          <t>Sistema de terapia lingüística móvil; no corresponde a una tarea diagnóstica clásica.</t>
        </is>
      </c>
      <c r="AM260" s="4" t="inlineStr">
        <is>
          <t>RA</t>
        </is>
      </c>
      <c r="AN260" s="4" t="inlineStr">
        <is>
          <t>Tomado completo desde archivo RA según asignación</t>
        </is>
      </c>
      <c r="AO260" s="4" t="n">
        <v>0</v>
      </c>
      <c r="AP260" s="4" t="n">
        <v>0</v>
      </c>
      <c r="AQ260" s="4" t="n">
        <v>0</v>
      </c>
      <c r="AR260" s="4" t="n">
        <v>0</v>
      </c>
      <c r="AS260" s="4" t="n">
        <v>0</v>
      </c>
      <c r="AT260" s="4" t="n">
        <v>0</v>
      </c>
      <c r="AU260" s="4" t="n">
        <v>0</v>
      </c>
      <c r="AV260" s="4" t="n">
        <v>0</v>
      </c>
      <c r="AW260" s="4" t="inlineStr">
        <is>
          <t>finalized_from_available_evidence</t>
        </is>
      </c>
      <c r="AX260" s="4" t="inlineStr">
        <is>
          <t>0 means no reported evidence in title/abstract/notes/coding; it is not proof of true absence.</t>
        </is>
      </c>
    </row>
    <row r="261" ht="346" customHeight="1">
      <c r="A261" s="4" t="n">
        <v>260</v>
      </c>
      <c r="B261" s="4" t="n">
        <v>282</v>
      </c>
      <c r="C261" s="4" t="inlineStr">
        <is>
          <t>Revisor A</t>
        </is>
      </c>
      <c r="D261" s="4" t="inlineStr">
        <is>
          <t>RA</t>
        </is>
      </c>
      <c r="E261" s="4" t="n">
        <v>2023</v>
      </c>
      <c r="F261" s="4" t="inlineStr">
        <is>
          <t>Biological/omics</t>
        </is>
      </c>
      <c r="G261" s="4" t="inlineStr">
        <is>
          <t>Híbrido</t>
        </is>
      </c>
      <c r="H261" s="4" t="inlineStr">
        <is>
          <t>https://doi.org/10.1186/s12859-023-05378-x</t>
        </is>
      </c>
      <c r="I261" s="4" t="inlineStr">
        <is>
          <t>DeepASDPred: a CNN-LSTM-based deep learning method for Autism spectrum disorders risk RNA identification</t>
        </is>
      </c>
      <c r="J261" s="4" t="inlineStr">
        <is>
          <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t>
        </is>
      </c>
      <c r="K261" s="4" t="inlineStr">
        <is>
          <t>Supervised</t>
        </is>
      </c>
      <c r="L261" s="4" t="inlineStr">
        <is>
          <t>CNN-LSTM with attention</t>
        </is>
      </c>
      <c r="M261" s="4" t="inlineStr">
        <is>
          <t>ASD-risk RNA/gene identification</t>
        </is>
      </c>
      <c r="N261" s="4" t="inlineStr">
        <is>
          <t>Not specified</t>
        </is>
      </c>
      <c r="O261" s="4" t="inlineStr">
        <is>
          <t>High</t>
        </is>
      </c>
      <c r="P261" s="4" t="n">
        <v>0</v>
      </c>
      <c r="Q261" s="4" t="n">
        <v>0</v>
      </c>
      <c r="R261" s="4" t="n">
        <v>0</v>
      </c>
      <c r="S261" s="4" t="n">
        <v>0</v>
      </c>
      <c r="T261" s="4" t="n">
        <v>0</v>
      </c>
      <c r="U261" s="4" t="n">
        <v>1</v>
      </c>
      <c r="V261" s="4" t="n">
        <v>0</v>
      </c>
      <c r="W261" s="4" t="n">
        <v>0</v>
      </c>
      <c r="X261" s="4" t="n">
        <v>0</v>
      </c>
      <c r="Y261" s="4" t="n">
        <v>0</v>
      </c>
      <c r="Z261" s="4" t="n">
        <v>0</v>
      </c>
      <c r="AA261" s="4" t="n">
        <v>0</v>
      </c>
      <c r="AB261" s="4" t="inlineStr">
        <is>
          <t>00:00:00</t>
        </is>
      </c>
      <c r="AC261" s="4" t="n">
        <v>0</v>
      </c>
      <c r="AD261" s="4" t="n">
        <v>0</v>
      </c>
      <c r="AE261" s="4" t="n">
        <v>0</v>
      </c>
      <c r="AF261" s="4" t="n">
        <v>0</v>
      </c>
      <c r="AG261" s="4" t="n">
        <v>0</v>
      </c>
      <c r="AH261" s="4" t="n">
        <v>1</v>
      </c>
      <c r="AI261" s="4" t="n"/>
      <c r="AJ261" s="4" t="n"/>
      <c r="AK261" s="4" t="inlineStr">
        <is>
          <t>internal_validation_only</t>
        </is>
      </c>
      <c r="AL261" s="4" t="inlineStr">
        <is>
          <t>Recodificado desde texto completo: secuencia de RNA y expresión génica; identificación etiológica de RNA/genes de riesgo, no prescreening clínico.</t>
        </is>
      </c>
      <c r="AM261" s="4" t="inlineStr">
        <is>
          <t>RA</t>
        </is>
      </c>
      <c r="AN261" s="4" t="inlineStr">
        <is>
          <t>Tomado completo desde archivo RA según asignación</t>
        </is>
      </c>
      <c r="AO261" s="4" t="n">
        <v>0</v>
      </c>
      <c r="AP261" s="4" t="n">
        <v>0</v>
      </c>
      <c r="AQ261" s="4" t="n">
        <v>0</v>
      </c>
      <c r="AR261" s="4" t="n">
        <v>1</v>
      </c>
      <c r="AS261" s="4" t="n">
        <v>0</v>
      </c>
      <c r="AT261" s="4" t="n">
        <v>0</v>
      </c>
      <c r="AU261" s="4" t="n">
        <v>0</v>
      </c>
      <c r="AV261" s="4" t="n">
        <v>0</v>
      </c>
      <c r="AW261" s="4" t="inlineStr">
        <is>
          <t>finalized_from_available_evidence</t>
        </is>
      </c>
      <c r="AX261" s="4" t="inlineStr">
        <is>
          <t>0 means no reported evidence in title/abstract/notes/coding; it is not proof of true absence.</t>
        </is>
      </c>
    </row>
    <row r="262" ht="164" customHeight="1">
      <c r="A262" s="4" t="n">
        <v>261</v>
      </c>
      <c r="B262" s="4" t="n">
        <v>283</v>
      </c>
      <c r="C262" s="4" t="inlineStr">
        <is>
          <t>Revisor B</t>
        </is>
      </c>
      <c r="D262" s="4" t="n"/>
      <c r="E262" s="4" t="n">
        <v>2022</v>
      </c>
      <c r="F262" s="4" t="inlineStr">
        <is>
          <t>No especificado</t>
        </is>
      </c>
      <c r="G262" s="4" t="inlineStr">
        <is>
          <t>Deep Learning</t>
        </is>
      </c>
      <c r="H262" s="4" t="inlineStr">
        <is>
          <t>https://doi.org/10.1155/2022/8134018</t>
        </is>
      </c>
      <c r="I262" s="4" t="inlineStr">
        <is>
          <t>Employing Machine Learning-Based Predictive Analytical Approaches to Classify Autism Spectrum Disorder Types</t>
        </is>
      </c>
      <c r="J262" s="4" t="inlineStr">
        <is>
          <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t>
        </is>
      </c>
      <c r="K262" s="4" t="inlineStr">
        <is>
          <t>Supervised</t>
        </is>
      </c>
      <c r="L262" s="4" t="inlineStr">
        <is>
          <t>MLP</t>
        </is>
      </c>
      <c r="M262" s="4" t="inlineStr">
        <is>
          <t>Classification (binary/multi-class; incl. ASD vs control)/ multi-class)</t>
        </is>
      </c>
      <c r="N262" s="4" t="inlineStr">
        <is>
          <t>Diagnosis</t>
        </is>
      </c>
      <c r="O262" s="4" t="inlineStr">
        <is>
          <t>high</t>
        </is>
      </c>
      <c r="P262" s="4" t="n">
        <v>1</v>
      </c>
      <c r="Q262" s="4" t="n">
        <v>0</v>
      </c>
      <c r="R262" s="4" t="n">
        <v>0</v>
      </c>
      <c r="S262" s="4" t="n">
        <v>0</v>
      </c>
      <c r="T262" s="4" t="n">
        <v>0</v>
      </c>
      <c r="U262" s="4" t="n">
        <v>0</v>
      </c>
      <c r="V262" s="4" t="n">
        <v>0</v>
      </c>
      <c r="W262" s="4" t="n">
        <v>0</v>
      </c>
      <c r="X262" s="4" t="n">
        <v>0</v>
      </c>
      <c r="Y262" s="4" t="n">
        <v>0</v>
      </c>
      <c r="Z262" s="4" t="n">
        <v>1</v>
      </c>
      <c r="AA262" s="4" t="n">
        <v>0</v>
      </c>
      <c r="AB262" s="4" t="inlineStr">
        <is>
          <t>1900-01-01</t>
        </is>
      </c>
      <c r="AC262" s="4" t="n">
        <v>0</v>
      </c>
      <c r="AD262" s="4" t="n">
        <v>0</v>
      </c>
      <c r="AE262" s="4" t="n">
        <v>0</v>
      </c>
      <c r="AF262" s="4" t="n">
        <v>0</v>
      </c>
      <c r="AG262" s="4" t="n">
        <v>0</v>
      </c>
      <c r="AH262" s="4" t="n">
        <v>1</v>
      </c>
      <c r="AI262" s="4" t="n">
        <v>0</v>
      </c>
      <c r="AJ262" s="4" t="inlineStr">
        <is>
          <t>00:00:00</t>
        </is>
      </c>
      <c r="AK262" s="4" t="inlineStr">
        <is>
          <t>none_reported</t>
        </is>
      </c>
      <c r="AL262" s="4" t="inlineStr">
        <is>
          <t xml:space="preserve">No es “ASD vs TD” puro; es clasificación de severidad (incluye “No ASD” + Levels 1–3). Si tu análisis separa “diagnosis binaria” vs “severity”, aquí conviene anotarlo. </t>
        </is>
      </c>
      <c r="AM262" s="4" t="inlineStr">
        <is>
          <t>RB</t>
        </is>
      </c>
      <c r="AN262" s="4" t="inlineStr">
        <is>
          <t>Tomado completo desde archivo RB según asignación</t>
        </is>
      </c>
      <c r="AO262" s="4" t="n">
        <v>0</v>
      </c>
      <c r="AP262" s="4" t="n">
        <v>0</v>
      </c>
      <c r="AQ262" s="4" t="n">
        <v>0</v>
      </c>
      <c r="AR262" s="4" t="n">
        <v>0</v>
      </c>
      <c r="AS262" s="4" t="n">
        <v>0</v>
      </c>
      <c r="AT262" s="4" t="n">
        <v>0</v>
      </c>
      <c r="AU262" s="4" t="n">
        <v>0</v>
      </c>
      <c r="AV262" s="4" t="n">
        <v>0</v>
      </c>
      <c r="AW262" s="4" t="inlineStr">
        <is>
          <t>finalized_from_available_evidence</t>
        </is>
      </c>
      <c r="AX262" s="4" t="inlineStr">
        <is>
          <t>0 means no reported evidence in title/abstract/notes/coding; it is not proof of true absence.</t>
        </is>
      </c>
    </row>
    <row r="263" ht="203" customHeight="1">
      <c r="A263" s="4" t="n">
        <v>262</v>
      </c>
      <c r="B263" s="4" t="n">
        <v>284</v>
      </c>
      <c r="C263" s="4" t="inlineStr">
        <is>
          <t>Revisor B</t>
        </is>
      </c>
      <c r="D263" s="4" t="n"/>
      <c r="E263" s="4" t="n">
        <v>2019</v>
      </c>
      <c r="F263" s="4" t="inlineStr">
        <is>
          <t>Imagen</t>
        </is>
      </c>
      <c r="G263" s="4" t="inlineStr">
        <is>
          <t>Híbrido</t>
        </is>
      </c>
      <c r="H263" s="4" t="inlineStr">
        <is>
          <t>https://doi.org/10.1016/j.procs.2020.01.098</t>
        </is>
      </c>
      <c r="I263" s="4" t="inlineStr">
        <is>
          <t>Exploration of Autism Spectrum Disorder using Classification Algorithms</t>
        </is>
      </c>
      <c r="J263" s="4" t="inlineStr">
        <is>
          <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t>
        </is>
      </c>
      <c r="K263" s="4" t="inlineStr">
        <is>
          <t>Supervised</t>
        </is>
      </c>
      <c r="L263" s="4" t="inlineStr">
        <is>
          <t>SVM</t>
        </is>
      </c>
      <c r="M263" s="4" t="inlineStr">
        <is>
          <t>Classification (binary/multi-class; incl. ASD vs control)/ multi-class)</t>
        </is>
      </c>
      <c r="N263" s="4" t="inlineStr">
        <is>
          <t>screening</t>
        </is>
      </c>
      <c r="O263" s="4" t="inlineStr">
        <is>
          <t>medium</t>
        </is>
      </c>
      <c r="P263" s="4" t="n">
        <v>0</v>
      </c>
      <c r="Q263" s="4" t="n">
        <v>0</v>
      </c>
      <c r="R263" s="4" t="n">
        <v>0</v>
      </c>
      <c r="S263" s="4" t="n">
        <v>0</v>
      </c>
      <c r="T263" s="4" t="n">
        <v>0</v>
      </c>
      <c r="U263" s="4" t="n">
        <v>0</v>
      </c>
      <c r="V263" s="4" t="n">
        <v>0</v>
      </c>
      <c r="W263" s="4" t="n">
        <v>0</v>
      </c>
      <c r="X263" s="4" t="n">
        <v>1</v>
      </c>
      <c r="Y263" s="4" t="n">
        <v>0</v>
      </c>
      <c r="Z263" s="4" t="n">
        <v>1</v>
      </c>
      <c r="AA263" s="4" t="n">
        <v>0</v>
      </c>
      <c r="AB263" s="4" t="inlineStr">
        <is>
          <t>1900-01-01</t>
        </is>
      </c>
      <c r="AC263" s="4" t="n">
        <v>0</v>
      </c>
      <c r="AD263" s="4" t="n">
        <v>0</v>
      </c>
      <c r="AE263" s="4" t="n">
        <v>0</v>
      </c>
      <c r="AF263" s="4" t="n">
        <v>0</v>
      </c>
      <c r="AG263" s="4" t="n">
        <v>1</v>
      </c>
      <c r="AH263" s="4" t="n">
        <v>0</v>
      </c>
      <c r="AI263" s="4" t="n">
        <v>0</v>
      </c>
      <c r="AJ263" s="4" t="inlineStr">
        <is>
          <t>00:00:00</t>
        </is>
      </c>
      <c r="AK263" s="4" t="inlineStr">
        <is>
          <t>none_reported</t>
        </is>
      </c>
      <c r="AL263" s="4" t="inlineStr">
        <is>
          <t>Es un paper comparativo (Naive Bayes, Decision Table, SVM). Aunque SVM es “best” según su texto, también reportan desempeño perfecto para otro método en su tabla; si tu Excel exige un solo “main”, SVM es defendible solo con esa frase de “best”</t>
        </is>
      </c>
      <c r="AM263" s="4" t="inlineStr">
        <is>
          <t>RB</t>
        </is>
      </c>
      <c r="AN263" s="4" t="inlineStr">
        <is>
          <t>Tomado completo desde archivo RB según asignación</t>
        </is>
      </c>
      <c r="AO263" s="4" t="n">
        <v>0</v>
      </c>
      <c r="AP263" s="4" t="n">
        <v>0</v>
      </c>
      <c r="AQ263" s="4" t="n">
        <v>0</v>
      </c>
      <c r="AR263" s="4" t="n">
        <v>0</v>
      </c>
      <c r="AS263" s="4" t="n">
        <v>0</v>
      </c>
      <c r="AT263" s="4" t="n">
        <v>0</v>
      </c>
      <c r="AU263" s="4" t="n">
        <v>0</v>
      </c>
      <c r="AV263" s="4" t="n">
        <v>0</v>
      </c>
      <c r="AW263" s="4" t="inlineStr">
        <is>
          <t>finalized_from_available_evidence</t>
        </is>
      </c>
      <c r="AX263" s="4" t="inlineStr">
        <is>
          <t>0 means no reported evidence in title/abstract/notes/coding; it is not proof of true absence.</t>
        </is>
      </c>
    </row>
    <row r="264" ht="359" customHeight="1">
      <c r="A264" s="4" t="n">
        <v>263</v>
      </c>
      <c r="B264" s="4" t="n">
        <v>285</v>
      </c>
      <c r="C264" s="4" t="inlineStr">
        <is>
          <t>Revisor B</t>
        </is>
      </c>
      <c r="D264" s="4" t="n"/>
      <c r="E264" s="4" t="n">
        <v>2025</v>
      </c>
      <c r="F264" s="4" t="inlineStr">
        <is>
          <t>No especificado</t>
        </is>
      </c>
      <c r="G264" s="4" t="inlineStr">
        <is>
          <t>Híbrido</t>
        </is>
      </c>
      <c r="H264" s="4" t="inlineStr">
        <is>
          <t>https://doi.org/10.1016/j.ecoenv.2025.118233</t>
        </is>
      </c>
      <c r="I264" s="4" t="inlineStr">
        <is>
          <t>Exploring pesticide risk in autism via integrative machine learning and network toxicology</t>
        </is>
      </c>
      <c r="J264" s="4"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K264" s="4" t="inlineStr">
        <is>
          <t>Supervised</t>
        </is>
      </c>
      <c r="L264" s="4" t="inlineStr">
        <is>
          <t>Other</t>
        </is>
      </c>
      <c r="M264" s="4" t="inlineStr">
        <is>
          <t>Classification (binary/multi-class; incl. ASD vs control)/ multi-class)</t>
        </is>
      </c>
      <c r="N264" s="4" t="inlineStr">
        <is>
          <t>Not clear</t>
        </is>
      </c>
      <c r="O264" s="4" t="inlineStr">
        <is>
          <t>medium</t>
        </is>
      </c>
      <c r="P264" s="4" t="n">
        <v>1</v>
      </c>
      <c r="Q264" s="4" t="n">
        <v>0</v>
      </c>
      <c r="R264" s="4" t="n">
        <v>0</v>
      </c>
      <c r="S264" s="4" t="n">
        <v>0</v>
      </c>
      <c r="T264" s="4" t="n">
        <v>0</v>
      </c>
      <c r="U264" s="4" t="n">
        <v>0</v>
      </c>
      <c r="V264" s="4" t="n">
        <v>0</v>
      </c>
      <c r="W264" s="4" t="n">
        <v>0</v>
      </c>
      <c r="X264" s="4" t="n">
        <v>0</v>
      </c>
      <c r="Y264" s="4" t="n">
        <v>0</v>
      </c>
      <c r="Z264" s="4" t="n">
        <v>0</v>
      </c>
      <c r="AA264" s="4" t="n">
        <v>0</v>
      </c>
      <c r="AB264" s="4" t="inlineStr">
        <is>
          <t>00:00:00</t>
        </is>
      </c>
      <c r="AC264" s="4" t="n">
        <v>0</v>
      </c>
      <c r="AD264" s="4" t="n">
        <v>0</v>
      </c>
      <c r="AE264" s="4" t="n">
        <v>0</v>
      </c>
      <c r="AF264" s="4" t="n">
        <v>0</v>
      </c>
      <c r="AG264" s="4" t="n">
        <v>0</v>
      </c>
      <c r="AH264" s="4" t="n">
        <v>1</v>
      </c>
      <c r="AI264" s="4" t="n">
        <v>0</v>
      </c>
      <c r="AJ264" s="4" t="inlineStr">
        <is>
          <t>00:00:00</t>
        </is>
      </c>
      <c r="AK264" s="4" t="inlineStr">
        <is>
          <t>none_reported</t>
        </is>
      </c>
      <c r="AL264" s="4" t="inlineStr">
        <is>
          <t>La ML se usa como parte de un pipeline mecanístico: LASSO para seleccionar targets (“Using the LASSO algorithm, 23 key targets…”) y luego selección final por desempeño (“SGD model… best predictive performance… 20 features”)</t>
        </is>
      </c>
      <c r="AM264" s="4" t="inlineStr">
        <is>
          <t>RB</t>
        </is>
      </c>
      <c r="AN264" s="4" t="inlineStr">
        <is>
          <t>Tomado completo desde archivo RB según asignación</t>
        </is>
      </c>
      <c r="AO264" s="4" t="n">
        <v>0</v>
      </c>
      <c r="AP264" s="4" t="n">
        <v>0</v>
      </c>
      <c r="AQ264" s="4" t="n">
        <v>0</v>
      </c>
      <c r="AR264" s="4" t="n">
        <v>0</v>
      </c>
      <c r="AS264" s="4" t="n">
        <v>0</v>
      </c>
      <c r="AT264" s="4" t="n">
        <v>0</v>
      </c>
      <c r="AU264" s="4" t="n">
        <v>0</v>
      </c>
      <c r="AV264" s="4" t="n">
        <v>0</v>
      </c>
      <c r="AW264" s="4" t="inlineStr">
        <is>
          <t>finalized_from_available_evidence</t>
        </is>
      </c>
      <c r="AX264" s="4" t="inlineStr">
        <is>
          <t>0 means no reported evidence in title/abstract/notes/coding; it is not proof of true absence.</t>
        </is>
      </c>
    </row>
    <row r="265" ht="242" customHeight="1">
      <c r="A265" s="4" t="n">
        <v>264</v>
      </c>
      <c r="B265" s="4" t="n">
        <v>286</v>
      </c>
      <c r="C265" s="4" t="inlineStr">
        <is>
          <t>Revisor A</t>
        </is>
      </c>
      <c r="D265" s="4" t="inlineStr">
        <is>
          <t>RA</t>
        </is>
      </c>
      <c r="E265" s="4" t="n">
        <v>2022</v>
      </c>
      <c r="F265" s="4" t="inlineStr">
        <is>
          <t>Señales fisiológicas</t>
        </is>
      </c>
      <c r="G265" s="4" t="inlineStr">
        <is>
          <t>Deep Learning</t>
        </is>
      </c>
      <c r="H265" s="4" t="inlineStr">
        <is>
          <t>https://doi.org/10.1111/EXSY.13040</t>
        </is>
      </c>
      <c r="I265" s="4" t="inlineStr">
        <is>
          <t>Feedback Artificial Tree-Anti Corona Virus Optimization enabled deep learning for detecting autism spectrum disorder</t>
        </is>
      </c>
      <c r="J265" s="4" t="inlineStr">
        <is>
          <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t>
        </is>
      </c>
      <c r="K265" s="4" t="inlineStr">
        <is>
          <t>Supervised</t>
        </is>
      </c>
      <c r="L265" s="4" t="inlineStr">
        <is>
          <t>Other / Not clear</t>
        </is>
      </c>
      <c r="M265" s="4" t="inlineStr">
        <is>
          <t>Classification (ASD vs control / multi-class)</t>
        </is>
      </c>
      <c r="N265" s="4" t="inlineStr">
        <is>
          <t>Diagnosis</t>
        </is>
      </c>
      <c r="O265" s="4" t="inlineStr">
        <is>
          <t>High</t>
        </is>
      </c>
      <c r="P265" s="4" t="n">
        <v>1</v>
      </c>
      <c r="Q265" s="4" t="n">
        <v>0</v>
      </c>
      <c r="R265" s="4" t="n">
        <v>0</v>
      </c>
      <c r="S265" s="4" t="n">
        <v>0</v>
      </c>
      <c r="T265" s="4" t="n">
        <v>0</v>
      </c>
      <c r="U265" s="4" t="n">
        <v>0</v>
      </c>
      <c r="V265" s="4" t="n">
        <v>0</v>
      </c>
      <c r="W265" s="4" t="n">
        <v>0</v>
      </c>
      <c r="X265" s="4" t="n">
        <v>0</v>
      </c>
      <c r="Y265" s="4" t="n">
        <v>1</v>
      </c>
      <c r="Z265" s="4" t="n">
        <v>0</v>
      </c>
      <c r="AA265" s="4" t="n">
        <v>0</v>
      </c>
      <c r="AB265" s="4" t="inlineStr">
        <is>
          <t>1900-01-01</t>
        </is>
      </c>
      <c r="AC265" s="4" t="n">
        <v>0</v>
      </c>
      <c r="AD265" s="4" t="n">
        <v>0</v>
      </c>
      <c r="AE265" s="4" t="n">
        <v>0</v>
      </c>
      <c r="AF265" s="4" t="n">
        <v>0</v>
      </c>
      <c r="AG265" s="4" t="n">
        <v>1</v>
      </c>
      <c r="AH265" s="4" t="n">
        <v>1</v>
      </c>
      <c r="AI265" s="4" t="n"/>
      <c r="AJ265" s="4" t="n"/>
      <c r="AK265" s="4" t="inlineStr">
        <is>
          <t>multisite_dataset_broad</t>
        </is>
      </c>
      <c r="AL265" s="4" t="inlineStr">
        <is>
          <t>fMRI con ROI extraction + deep residual network optimizada; se codifica CNN/DRN como algoritmo principal.</t>
        </is>
      </c>
      <c r="AM265" s="4" t="inlineStr">
        <is>
          <t>RA</t>
        </is>
      </c>
      <c r="AN265" s="4" t="inlineStr">
        <is>
          <t>Tomado completo desde archivo RA según asignación</t>
        </is>
      </c>
      <c r="AO265" s="4" t="n">
        <v>0</v>
      </c>
      <c r="AP265" s="4" t="n">
        <v>0</v>
      </c>
      <c r="AQ265" s="4" t="n">
        <v>1</v>
      </c>
      <c r="AR265" s="4" t="n">
        <v>0</v>
      </c>
      <c r="AS265" s="4" t="n">
        <v>0</v>
      </c>
      <c r="AT265" s="4" t="n">
        <v>0</v>
      </c>
      <c r="AU265" s="4" t="n">
        <v>0</v>
      </c>
      <c r="AV265" s="4" t="n">
        <v>0</v>
      </c>
      <c r="AW265" s="4" t="inlineStr">
        <is>
          <t>finalized_from_available_evidence</t>
        </is>
      </c>
      <c r="AX265" s="4" t="inlineStr">
        <is>
          <t>0 means no reported evidence in title/abstract/notes/coding; it is not proof of true absence.</t>
        </is>
      </c>
    </row>
    <row r="266" ht="320" customHeight="1">
      <c r="A266" s="4" t="n">
        <v>265</v>
      </c>
      <c r="B266" s="4" t="n">
        <v>287</v>
      </c>
      <c r="C266" s="4" t="inlineStr">
        <is>
          <t>Revisor A</t>
        </is>
      </c>
      <c r="D266" s="4" t="inlineStr">
        <is>
          <t>RA</t>
        </is>
      </c>
      <c r="E266" s="4" t="n">
        <v>2020</v>
      </c>
      <c r="F266" s="4" t="inlineStr">
        <is>
          <t>No especificado</t>
        </is>
      </c>
      <c r="G266" s="4" t="inlineStr">
        <is>
          <t>Deep Learning</t>
        </is>
      </c>
      <c r="H266" s="4" t="inlineStr">
        <is>
          <t>https://doi.org/10.1038/s41598-020-61288-5</t>
        </is>
      </c>
      <c r="I266" s="4" t="inlineStr">
        <is>
          <t>Forecasting risk gene discovery in autism with machine learning and genome-scale data</t>
        </is>
      </c>
      <c r="J266" s="4" t="inlineStr">
        <is>
          <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t>
        </is>
      </c>
      <c r="K266" s="4" t="inlineStr">
        <is>
          <t>Supervised</t>
        </is>
      </c>
      <c r="L266" s="4" t="inlineStr">
        <is>
          <t>Other / Not clear</t>
        </is>
      </c>
      <c r="M266" s="4" t="inlineStr">
        <is>
          <t>Classification (ASD vs control / multi-class)</t>
        </is>
      </c>
      <c r="N266" s="4" t="inlineStr">
        <is>
          <t>Prescreening</t>
        </is>
      </c>
      <c r="O266" s="4" t="inlineStr">
        <is>
          <t>High</t>
        </is>
      </c>
      <c r="P266" s="4" t="n">
        <v>0</v>
      </c>
      <c r="Q266" s="4" t="n">
        <v>0</v>
      </c>
      <c r="R266" s="4" t="n">
        <v>0</v>
      </c>
      <c r="S266" s="4" t="n">
        <v>0</v>
      </c>
      <c r="T266" s="4" t="n">
        <v>0</v>
      </c>
      <c r="U266" s="4" t="n">
        <v>1</v>
      </c>
      <c r="V266" s="4" t="n">
        <v>0</v>
      </c>
      <c r="W266" s="4" t="n">
        <v>1</v>
      </c>
      <c r="X266" s="4" t="n">
        <v>0</v>
      </c>
      <c r="Y266" s="4" t="n">
        <v>0</v>
      </c>
      <c r="Z266" s="4" t="n">
        <v>0</v>
      </c>
      <c r="AA266" s="4" t="n">
        <v>0</v>
      </c>
      <c r="AB266" s="4" t="inlineStr">
        <is>
          <t>1900-01-01</t>
        </is>
      </c>
      <c r="AC266" s="4" t="n">
        <v>1</v>
      </c>
      <c r="AD266" s="4" t="n">
        <v>0</v>
      </c>
      <c r="AE266" s="4" t="n">
        <v>0</v>
      </c>
      <c r="AF266" s="4" t="n">
        <v>1</v>
      </c>
      <c r="AG266" s="4" t="n">
        <v>1</v>
      </c>
      <c r="AH266" s="4" t="n">
        <v>1</v>
      </c>
      <c r="AI266" s="4" t="n"/>
      <c r="AJ266" s="4" t="n"/>
      <c r="AK266" s="4" t="inlineStr">
        <is>
          <t>external_validation; multisource_integration</t>
        </is>
      </c>
      <c r="AL266" s="4" t="inlineStr">
        <is>
          <t>Algoritmo principal no explícito o fuera del codebook; Confirmar algoritmo principal en full-text</t>
        </is>
      </c>
      <c r="AM266" s="4" t="inlineStr">
        <is>
          <t>RA</t>
        </is>
      </c>
      <c r="AN266" s="4" t="inlineStr">
        <is>
          <t>Tomado completo desde archivo RA según asignación</t>
        </is>
      </c>
      <c r="AO266" s="4" t="n">
        <v>0</v>
      </c>
      <c r="AP266" s="4" t="n">
        <v>0</v>
      </c>
      <c r="AQ266" s="4" t="n">
        <v>0</v>
      </c>
      <c r="AR266" s="4" t="n">
        <v>0</v>
      </c>
      <c r="AS266" s="4" t="n">
        <v>0</v>
      </c>
      <c r="AT266" s="4" t="n">
        <v>0</v>
      </c>
      <c r="AU266" s="4" t="n">
        <v>0</v>
      </c>
      <c r="AV266" s="4" t="n">
        <v>1</v>
      </c>
      <c r="AW266" s="4" t="inlineStr">
        <is>
          <t>finalized_from_available_evidence</t>
        </is>
      </c>
      <c r="AX266" s="4" t="inlineStr">
        <is>
          <t>0 means no reported evidence in title/abstract/notes/coding; it is not proof of true absence.</t>
        </is>
      </c>
    </row>
    <row r="267" ht="190" customHeight="1">
      <c r="A267" s="4" t="n">
        <v>266</v>
      </c>
      <c r="B267" s="4" t="n">
        <v>288</v>
      </c>
      <c r="C267" s="4" t="inlineStr">
        <is>
          <t>Revisor A</t>
        </is>
      </c>
      <c r="D267" s="4" t="inlineStr">
        <is>
          <t>RA</t>
        </is>
      </c>
      <c r="E267" s="4" t="n">
        <v>2022</v>
      </c>
      <c r="F267" s="4" t="inlineStr">
        <is>
          <t>Señales fisiológicas</t>
        </is>
      </c>
      <c r="G267" s="4" t="inlineStr">
        <is>
          <t>Machine Learning</t>
        </is>
      </c>
      <c r="H267" s="4" t="inlineStr">
        <is>
          <t>https://doi.org/10.1007/s10803-021-05179-2</t>
        </is>
      </c>
      <c r="I267" s="4" t="inlineStr">
        <is>
          <t>Identifying Autism with Head Movement Features by Implementing Machine Learning Algorithms</t>
        </is>
      </c>
      <c r="J267" s="4" t="inlineStr">
        <is>
          <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t>
        </is>
      </c>
      <c r="K267" s="4" t="inlineStr">
        <is>
          <t>Supervised</t>
        </is>
      </c>
      <c r="L267" s="4" t="inlineStr">
        <is>
          <t>Decision Tree</t>
        </is>
      </c>
      <c r="M267" s="4" t="inlineStr">
        <is>
          <t>Classification (ASD vs control / multi-class)</t>
        </is>
      </c>
      <c r="N267" s="4" t="inlineStr">
        <is>
          <t>Screening</t>
        </is>
      </c>
      <c r="O267" s="4" t="inlineStr">
        <is>
          <t>High</t>
        </is>
      </c>
      <c r="P267" s="4" t="n">
        <v>0</v>
      </c>
      <c r="Q267" s="4" t="n">
        <v>0</v>
      </c>
      <c r="R267" s="4" t="n">
        <v>1</v>
      </c>
      <c r="S267" s="4" t="n">
        <v>0</v>
      </c>
      <c r="T267" s="4" t="n">
        <v>0</v>
      </c>
      <c r="U267" s="4" t="n">
        <v>0</v>
      </c>
      <c r="V267" s="4" t="n">
        <v>0</v>
      </c>
      <c r="W267" s="4" t="n">
        <v>0</v>
      </c>
      <c r="X267" s="4" t="n">
        <v>1</v>
      </c>
      <c r="Y267" s="4" t="n">
        <v>1</v>
      </c>
      <c r="Z267" s="4" t="n">
        <v>0</v>
      </c>
      <c r="AA267" s="4" t="n">
        <v>0</v>
      </c>
      <c r="AB267" s="4" t="inlineStr">
        <is>
          <t>1900-01-01</t>
        </is>
      </c>
      <c r="AC267" s="4" t="n">
        <v>0</v>
      </c>
      <c r="AD267" s="4" t="n">
        <v>0</v>
      </c>
      <c r="AE267" s="4" t="n">
        <v>0</v>
      </c>
      <c r="AF267" s="4" t="n">
        <v>0</v>
      </c>
      <c r="AG267" s="4" t="n">
        <v>1</v>
      </c>
      <c r="AH267" s="4" t="n">
        <v>1</v>
      </c>
      <c r="AI267" s="4" t="n"/>
      <c r="AJ267" s="4" t="n"/>
      <c r="AK267" s="4" t="inlineStr">
        <is>
          <t>none_reported</t>
        </is>
      </c>
      <c r="AL267" s="4" t="inlineStr">
        <is>
          <t>Algoritmo principal no explícito o fuera del codebook; Confirmar algoritmo principal en full-text</t>
        </is>
      </c>
      <c r="AM267" s="4" t="inlineStr">
        <is>
          <t>RA</t>
        </is>
      </c>
      <c r="AN267" s="4" t="inlineStr">
        <is>
          <t>Tomado completo desde archivo RA según asignación</t>
        </is>
      </c>
      <c r="AO267" s="4" t="n">
        <v>0</v>
      </c>
      <c r="AP267" s="4" t="n">
        <v>0</v>
      </c>
      <c r="AQ267" s="4" t="n">
        <v>0</v>
      </c>
      <c r="AR267" s="4" t="n">
        <v>0</v>
      </c>
      <c r="AS267" s="4" t="n">
        <v>0</v>
      </c>
      <c r="AT267" s="4" t="n">
        <v>0</v>
      </c>
      <c r="AU267" s="4" t="n">
        <v>0</v>
      </c>
      <c r="AV267" s="4" t="n">
        <v>0</v>
      </c>
      <c r="AW267" s="4" t="inlineStr">
        <is>
          <t>finalized_from_available_evidence</t>
        </is>
      </c>
      <c r="AX267" s="4" t="inlineStr">
        <is>
          <t>0 means no reported evidence in title/abstract/notes/coding; it is not proof of true absence.</t>
        </is>
      </c>
    </row>
    <row r="268" ht="398" customHeight="1">
      <c r="A268" s="4" t="n">
        <v>267</v>
      </c>
      <c r="B268" s="4" t="n">
        <v>289</v>
      </c>
      <c r="C268" s="4" t="inlineStr">
        <is>
          <t>Revisor A</t>
        </is>
      </c>
      <c r="D268" s="4" t="inlineStr">
        <is>
          <t>RA</t>
        </is>
      </c>
      <c r="E268" s="4" t="n">
        <v>2019</v>
      </c>
      <c r="F268" s="4" t="inlineStr">
        <is>
          <t>No especificado</t>
        </is>
      </c>
      <c r="G268" s="4" t="inlineStr">
        <is>
          <t>Machine Learning</t>
        </is>
      </c>
      <c r="H268" s="4" t="inlineStr">
        <is>
          <t>https://doi.org/10.1016/j.neuro.2018.11.015</t>
        </is>
      </c>
      <c r="I268" s="4" t="inlineStr">
        <is>
          <t>Increased serum levels of macrophage migration inhibitory factor in autism spectrum disorders</t>
        </is>
      </c>
      <c r="J268" s="4" t="inlineStr">
        <is>
          <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t>
        </is>
      </c>
      <c r="K268" s="4" t="inlineStr">
        <is>
          <t>Supervised</t>
        </is>
      </c>
      <c r="L268" s="4" t="inlineStr">
        <is>
          <t>Logistic Regression</t>
        </is>
      </c>
      <c r="M268" s="4" t="inlineStr">
        <is>
          <t>Regression (score / severity / risk)</t>
        </is>
      </c>
      <c r="N268" s="4" t="inlineStr">
        <is>
          <t>Diagnosis</t>
        </is>
      </c>
      <c r="O268" s="4" t="inlineStr">
        <is>
          <t>High</t>
        </is>
      </c>
      <c r="P268" s="4" t="n">
        <v>0</v>
      </c>
      <c r="Q268" s="4" t="n">
        <v>0</v>
      </c>
      <c r="R268" s="4" t="n">
        <v>0</v>
      </c>
      <c r="S268" s="4" t="n">
        <v>0</v>
      </c>
      <c r="T268" s="4" t="n">
        <v>0</v>
      </c>
      <c r="U268" s="4" t="n">
        <v>1</v>
      </c>
      <c r="V268" s="4" t="n">
        <v>0</v>
      </c>
      <c r="W268" s="4" t="n">
        <v>0</v>
      </c>
      <c r="X268" s="4" t="n">
        <v>0</v>
      </c>
      <c r="Y268" s="4" t="n">
        <v>1</v>
      </c>
      <c r="Z268" s="4" t="n">
        <v>0</v>
      </c>
      <c r="AA268" s="4" t="n">
        <v>0</v>
      </c>
      <c r="AB268" s="4" t="inlineStr">
        <is>
          <t>00:00:00</t>
        </is>
      </c>
      <c r="AC268" s="4" t="n">
        <v>0</v>
      </c>
      <c r="AD268" s="4" t="n">
        <v>0</v>
      </c>
      <c r="AE268" s="4" t="n">
        <v>0</v>
      </c>
      <c r="AF268" s="4" t="n">
        <v>0</v>
      </c>
      <c r="AG268" s="4" t="n">
        <v>1</v>
      </c>
      <c r="AH268" s="4" t="n">
        <v>1</v>
      </c>
      <c r="AI268" s="4" t="n"/>
      <c r="AJ268" s="4" t="n"/>
      <c r="AK268" s="4" t="inlineStr">
        <is>
          <t>none_reported</t>
        </is>
      </c>
      <c r="AL268" s="4" t="inlineStr">
        <is>
          <t>Etapa clínica no clara</t>
        </is>
      </c>
      <c r="AM268" s="4" t="inlineStr">
        <is>
          <t>RA</t>
        </is>
      </c>
      <c r="AN268" s="4" t="inlineStr">
        <is>
          <t>Tomado completo desde archivo RA según asignación</t>
        </is>
      </c>
      <c r="AO268" s="4" t="n">
        <v>0</v>
      </c>
      <c r="AP268" s="4" t="n">
        <v>0</v>
      </c>
      <c r="AQ268" s="4" t="n">
        <v>0</v>
      </c>
      <c r="AR268" s="4" t="n">
        <v>0</v>
      </c>
      <c r="AS268" s="4" t="n">
        <v>0</v>
      </c>
      <c r="AT268" s="4" t="n">
        <v>0</v>
      </c>
      <c r="AU268" s="4" t="n">
        <v>0</v>
      </c>
      <c r="AV268" s="4" t="n">
        <v>0</v>
      </c>
      <c r="AW268" s="4" t="inlineStr">
        <is>
          <t>finalized_from_available_evidence</t>
        </is>
      </c>
      <c r="AX268" s="4" t="inlineStr">
        <is>
          <t>0 means no reported evidence in title/abstract/notes/coding; it is not proof of true absence.</t>
        </is>
      </c>
    </row>
    <row r="269" ht="359" customHeight="1">
      <c r="A269" s="4" t="n">
        <v>268</v>
      </c>
      <c r="B269" s="4" t="n">
        <v>290</v>
      </c>
      <c r="C269" s="4" t="inlineStr">
        <is>
          <t>Revisor B</t>
        </is>
      </c>
      <c r="D269" s="4" t="n"/>
      <c r="E269" s="4" t="n">
        <v>2025</v>
      </c>
      <c r="F269" s="4" t="inlineStr">
        <is>
          <t>No especificado</t>
        </is>
      </c>
      <c r="G269" s="4" t="inlineStr">
        <is>
          <t>Deep Learning</t>
        </is>
      </c>
      <c r="H269" s="4" t="inlineStr">
        <is>
          <t>https://doi.org/10.1021/acs.jcim.5c00134</t>
        </is>
      </c>
      <c r="I269" s="4" t="inlineStr">
        <is>
          <t>Machine Learning and Structural Dynamics-Based Approach to Reveal Molecular Mechanism of PTEN Missense Mutations Shared by Cancer and Autism Spectrum Disorder</t>
        </is>
      </c>
      <c r="J269" s="4" t="inlineStr">
        <is>
          <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t>
        </is>
      </c>
      <c r="K269" s="4" t="inlineStr">
        <is>
          <t>Supervised</t>
        </is>
      </c>
      <c r="L269" s="4" t="inlineStr">
        <is>
          <t>Not clear</t>
        </is>
      </c>
      <c r="M269" s="4" t="inlineStr">
        <is>
          <t>Classification (binary/multi-class; incl. ASD vs control)/ multi-class)</t>
        </is>
      </c>
      <c r="N269" s="4" t="n"/>
      <c r="O269" s="4" t="inlineStr">
        <is>
          <t>high</t>
        </is>
      </c>
      <c r="P269" s="4" t="n">
        <v>1</v>
      </c>
      <c r="Q269" s="4" t="n">
        <v>1</v>
      </c>
      <c r="R269" s="4" t="n">
        <v>0</v>
      </c>
      <c r="S269" s="4" t="n">
        <v>0</v>
      </c>
      <c r="T269" s="4" t="n">
        <v>0</v>
      </c>
      <c r="U269" s="4" t="n">
        <v>0</v>
      </c>
      <c r="V269" s="4" t="n">
        <v>0</v>
      </c>
      <c r="W269" s="4" t="n">
        <v>0</v>
      </c>
      <c r="X269" s="4" t="n">
        <v>0</v>
      </c>
      <c r="Y269" s="4" t="n">
        <v>0</v>
      </c>
      <c r="Z269" s="4" t="n">
        <v>0</v>
      </c>
      <c r="AA269" s="4" t="n">
        <v>0</v>
      </c>
      <c r="AB269" s="4" t="inlineStr">
        <is>
          <t>00:00:00</t>
        </is>
      </c>
      <c r="AC269" s="4" t="n">
        <v>0</v>
      </c>
      <c r="AD269" s="4" t="n">
        <v>1</v>
      </c>
      <c r="AE269" s="4" t="n">
        <v>0</v>
      </c>
      <c r="AF269" s="4" t="n">
        <v>1</v>
      </c>
      <c r="AG269" s="4" t="n">
        <v>0</v>
      </c>
      <c r="AH269" s="4" t="n">
        <v>2</v>
      </c>
      <c r="AI269" s="4" t="n">
        <v>0</v>
      </c>
      <c r="AJ269" s="4" t="inlineStr">
        <is>
          <t>00:00:00</t>
        </is>
      </c>
      <c r="AK269" s="4" t="inlineStr">
        <is>
          <t>explainability_or_interpretability; multisource_integration</t>
        </is>
      </c>
      <c r="AL269" s="4" t="n"/>
      <c r="AM269" s="4" t="inlineStr">
        <is>
          <t>RB</t>
        </is>
      </c>
      <c r="AN269" s="4" t="inlineStr">
        <is>
          <t>Tomado completo desde archivo RB según asignación</t>
        </is>
      </c>
      <c r="AO269" s="4" t="n">
        <v>0</v>
      </c>
      <c r="AP269" s="4" t="n">
        <v>0</v>
      </c>
      <c r="AQ269" s="4" t="n">
        <v>0</v>
      </c>
      <c r="AR269" s="4" t="n">
        <v>0</v>
      </c>
      <c r="AS269" s="4" t="n">
        <v>0</v>
      </c>
      <c r="AT269" s="4" t="n">
        <v>1</v>
      </c>
      <c r="AU269" s="4" t="n">
        <v>0</v>
      </c>
      <c r="AV269" s="4" t="n">
        <v>1</v>
      </c>
      <c r="AW269" s="4" t="inlineStr">
        <is>
          <t>finalized_from_available_evidence</t>
        </is>
      </c>
      <c r="AX269" s="4" t="inlineStr">
        <is>
          <t>0 means no reported evidence in title/abstract/notes/coding; it is not proof of true absence.</t>
        </is>
      </c>
    </row>
    <row r="270" ht="359" customHeight="1">
      <c r="A270" s="4" t="n">
        <v>269</v>
      </c>
      <c r="B270" s="4" t="n">
        <v>291</v>
      </c>
      <c r="C270" s="4" t="inlineStr">
        <is>
          <t>Revisor B</t>
        </is>
      </c>
      <c r="D270" s="4" t="n"/>
      <c r="E270" s="4" t="n">
        <v>2025</v>
      </c>
      <c r="F270" s="4" t="inlineStr">
        <is>
          <t>Señales fisiológicas</t>
        </is>
      </c>
      <c r="G270" s="4" t="inlineStr">
        <is>
          <t>Deep Learning</t>
        </is>
      </c>
      <c r="H270" s="4" t="inlineStr">
        <is>
          <t>https://doi.org/10.1016/j.brainresbull.2025.111290</t>
        </is>
      </c>
      <c r="I270" s="4" t="inlineStr">
        <is>
          <t>MCDGLN: Masked connection-based dynamic graph learning network for autism spectrum disorder</t>
        </is>
      </c>
      <c r="J270" s="4" t="inlineStr">
        <is>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is>
      </c>
      <c r="K270" s="4" t="inlineStr">
        <is>
          <t>Supervised</t>
        </is>
      </c>
      <c r="L270" s="4" t="inlineStr">
        <is>
          <t>Other</t>
        </is>
      </c>
      <c r="M270" s="4" t="inlineStr">
        <is>
          <t>Classification (binary/multi-class; incl. ASD vs control)/ multi-class)</t>
        </is>
      </c>
      <c r="N270" s="4" t="inlineStr">
        <is>
          <t>Diagnosis</t>
        </is>
      </c>
      <c r="O270" s="4" t="inlineStr">
        <is>
          <t>medium</t>
        </is>
      </c>
      <c r="P270" s="4" t="n">
        <v>0</v>
      </c>
      <c r="Q270" s="4" t="n">
        <v>0</v>
      </c>
      <c r="R270" s="4" t="n">
        <v>0</v>
      </c>
      <c r="S270" s="4" t="n">
        <v>0</v>
      </c>
      <c r="T270" s="4" t="n">
        <v>0</v>
      </c>
      <c r="U270" s="4" t="n">
        <v>0</v>
      </c>
      <c r="V270" s="4" t="n">
        <v>0</v>
      </c>
      <c r="W270" s="4" t="n">
        <v>0</v>
      </c>
      <c r="X270" s="4" t="n">
        <v>0</v>
      </c>
      <c r="Y270" s="4" t="n">
        <v>0</v>
      </c>
      <c r="Z270" s="4" t="n">
        <v>1</v>
      </c>
      <c r="AA270" s="4" t="n">
        <v>0</v>
      </c>
      <c r="AB270" s="4" t="inlineStr">
        <is>
          <t>00:00:00</t>
        </is>
      </c>
      <c r="AC270" s="4" t="n">
        <v>0</v>
      </c>
      <c r="AD270" s="4" t="n">
        <v>0</v>
      </c>
      <c r="AE270" s="4" t="n">
        <v>0</v>
      </c>
      <c r="AF270" s="4" t="n">
        <v>0</v>
      </c>
      <c r="AG270" s="4" t="n">
        <v>1</v>
      </c>
      <c r="AH270" s="4" t="n">
        <v>0</v>
      </c>
      <c r="AI270" s="4" t="n">
        <v>0</v>
      </c>
      <c r="AJ270" s="4" t="inlineStr">
        <is>
          <t>00:00:00</t>
        </is>
      </c>
      <c r="AK270" s="4" t="inlineStr">
        <is>
          <t>multisite_dataset_broad</t>
        </is>
      </c>
      <c r="AL270" s="4" t="inlineStr">
        <is>
          <t>Modelo explícitamente dinámico + máscara anti-ruido: “segments BOLD signals using sliding temporal windows… and… mask… reducing noise and pruning irrelevant links.” Además reportan dataset ABIDE-I “1035 subjects… 505 with ASD and 530 TD”</t>
        </is>
      </c>
      <c r="AM270" s="4" t="inlineStr">
        <is>
          <t>RB</t>
        </is>
      </c>
      <c r="AN270" s="4" t="inlineStr">
        <is>
          <t>Tomado completo desde archivo RB según asignación</t>
        </is>
      </c>
      <c r="AO270" s="4" t="n">
        <v>0</v>
      </c>
      <c r="AP270" s="4" t="n">
        <v>0</v>
      </c>
      <c r="AQ270" s="4" t="n">
        <v>1</v>
      </c>
      <c r="AR270" s="4" t="n">
        <v>0</v>
      </c>
      <c r="AS270" s="4" t="n">
        <v>0</v>
      </c>
      <c r="AT270" s="4" t="n">
        <v>0</v>
      </c>
      <c r="AU270" s="4" t="n">
        <v>0</v>
      </c>
      <c r="AV270" s="4" t="n">
        <v>0</v>
      </c>
      <c r="AW270" s="4" t="inlineStr">
        <is>
          <t>finalized_from_available_evidence</t>
        </is>
      </c>
      <c r="AX270" s="4" t="inlineStr">
        <is>
          <t>0 means no reported evidence in title/abstract/notes/coding; it is not proof of true absence.</t>
        </is>
      </c>
    </row>
    <row r="271" ht="409" customHeight="1">
      <c r="A271" s="4" t="n">
        <v>270</v>
      </c>
      <c r="B271" s="4" t="n">
        <v>292</v>
      </c>
      <c r="C271" s="4" t="inlineStr">
        <is>
          <t>Revisor A</t>
        </is>
      </c>
      <c r="D271" s="4" t="inlineStr">
        <is>
          <t>RA</t>
        </is>
      </c>
      <c r="E271" s="4" t="n">
        <v>2015</v>
      </c>
      <c r="F271" s="4" t="inlineStr">
        <is>
          <t>No especificado</t>
        </is>
      </c>
      <c r="G271" s="4" t="inlineStr">
        <is>
          <t>Híbrido</t>
        </is>
      </c>
      <c r="H271" s="4" t="inlineStr">
        <is>
          <t>https://doi.org/10.1186/1755-8794-8-S1-S7</t>
        </is>
      </c>
      <c r="I271" s="4" t="inlineStr">
        <is>
          <t>Performance of case-control rare copy number variation annotation in classification of autism</t>
        </is>
      </c>
      <c r="J271" s="4" t="inlineStr">
        <is>
          <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t>
        </is>
      </c>
      <c r="K271" s="4" t="inlineStr">
        <is>
          <t>Supervised</t>
        </is>
      </c>
      <c r="L271" s="4" t="inlineStr">
        <is>
          <t>Random Forest</t>
        </is>
      </c>
      <c r="M271" s="4" t="inlineStr">
        <is>
          <t>Classification (ASD vs control / multi-class)</t>
        </is>
      </c>
      <c r="N271" s="4" t="inlineStr">
        <is>
          <t>Diagnosis</t>
        </is>
      </c>
      <c r="O271" s="4" t="inlineStr">
        <is>
          <t>High</t>
        </is>
      </c>
      <c r="P271" s="4" t="n">
        <v>0</v>
      </c>
      <c r="Q271" s="4" t="n">
        <v>0</v>
      </c>
      <c r="R271" s="4" t="n">
        <v>0</v>
      </c>
      <c r="S271" s="4" t="n">
        <v>0</v>
      </c>
      <c r="T271" s="4" t="n">
        <v>0</v>
      </c>
      <c r="U271" s="4" t="n">
        <v>1</v>
      </c>
      <c r="V271" s="4" t="n">
        <v>0</v>
      </c>
      <c r="W271" s="4" t="n">
        <v>0</v>
      </c>
      <c r="X271" s="4" t="n">
        <v>0</v>
      </c>
      <c r="Y271" s="4" t="n">
        <v>1</v>
      </c>
      <c r="Z271" s="4" t="n">
        <v>0</v>
      </c>
      <c r="AA271" s="4" t="n">
        <v>0</v>
      </c>
      <c r="AB271" s="4" t="inlineStr">
        <is>
          <t>00:00:00</t>
        </is>
      </c>
      <c r="AC271" s="4" t="n">
        <v>0</v>
      </c>
      <c r="AD271" s="4" t="n">
        <v>0</v>
      </c>
      <c r="AE271" s="4" t="n">
        <v>0</v>
      </c>
      <c r="AF271" s="4" t="n">
        <v>0</v>
      </c>
      <c r="AG271" s="4" t="n">
        <v>0</v>
      </c>
      <c r="AH271" s="4" t="n">
        <v>1</v>
      </c>
      <c r="AI271" s="4" t="n"/>
      <c r="AJ271" s="4" t="n"/>
      <c r="AK271" s="4" t="inlineStr">
        <is>
          <t>none_reported</t>
        </is>
      </c>
      <c r="AL271" s="4" t="inlineStr">
        <is>
          <t>Clasificación basada en rare CNV; conditional inference forest rinde mejor.</t>
        </is>
      </c>
      <c r="AM271" s="4" t="inlineStr">
        <is>
          <t>RA</t>
        </is>
      </c>
      <c r="AN271" s="4" t="inlineStr">
        <is>
          <t>Tomado completo desde archivo RA según asignación</t>
        </is>
      </c>
      <c r="AO271" s="4" t="n">
        <v>0</v>
      </c>
      <c r="AP271" s="4" t="n">
        <v>0</v>
      </c>
      <c r="AQ271" s="4" t="n">
        <v>0</v>
      </c>
      <c r="AR271" s="4" t="n">
        <v>0</v>
      </c>
      <c r="AS271" s="4" t="n">
        <v>0</v>
      </c>
      <c r="AT271" s="4" t="n">
        <v>0</v>
      </c>
      <c r="AU271" s="4" t="n">
        <v>0</v>
      </c>
      <c r="AV271" s="4" t="n">
        <v>0</v>
      </c>
      <c r="AW271" s="4" t="inlineStr">
        <is>
          <t>finalized_from_available_evidence</t>
        </is>
      </c>
      <c r="AX271" s="4" t="inlineStr">
        <is>
          <t>0 means no reported evidence in title/abstract/notes/coding; it is not proof of true absence.</t>
        </is>
      </c>
    </row>
    <row r="272" ht="320" customHeight="1">
      <c r="A272" s="4" t="n">
        <v>271</v>
      </c>
      <c r="B272" s="4" t="n">
        <v>293</v>
      </c>
      <c r="C272" s="4" t="inlineStr">
        <is>
          <t>Revisor B</t>
        </is>
      </c>
      <c r="D272" s="4" t="n"/>
      <c r="E272" s="4" t="n">
        <v>2018</v>
      </c>
      <c r="F272" s="4" t="inlineStr">
        <is>
          <t>Imagen</t>
        </is>
      </c>
      <c r="G272" s="4" t="inlineStr">
        <is>
          <t>Deep Learning</t>
        </is>
      </c>
      <c r="H272" s="4" t="inlineStr">
        <is>
          <t>https://doi.org/10.1126/SCIROBOTICS.AAO6760</t>
        </is>
      </c>
      <c r="I272" s="4" t="inlineStr">
        <is>
          <t>Personalized machine learning for robot perception of affect and engagement in autism therapy</t>
        </is>
      </c>
      <c r="J272" s="4" t="inlineStr">
        <is>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is>
      </c>
      <c r="K272" s="4" t="inlineStr">
        <is>
          <t>Supervised</t>
        </is>
      </c>
      <c r="L272" s="4" t="inlineStr">
        <is>
          <t>Other</t>
        </is>
      </c>
      <c r="M272" s="4" t="inlineStr">
        <is>
          <t>Regression (score / severity / risk)</t>
        </is>
      </c>
      <c r="N272" s="4" t="inlineStr">
        <is>
          <t>Monitoring/intervention</t>
        </is>
      </c>
      <c r="O272" s="4" t="inlineStr">
        <is>
          <t>high</t>
        </is>
      </c>
      <c r="P272" s="4" t="n">
        <v>1</v>
      </c>
      <c r="Q272" s="4" t="n">
        <v>0</v>
      </c>
      <c r="R272" s="4" t="n">
        <v>0</v>
      </c>
      <c r="S272" s="4" t="n">
        <v>0</v>
      </c>
      <c r="T272" s="4" t="n">
        <v>0</v>
      </c>
      <c r="U272" s="4" t="n">
        <v>1</v>
      </c>
      <c r="V272" s="4" t="n">
        <v>0</v>
      </c>
      <c r="W272" s="4" t="n">
        <v>0</v>
      </c>
      <c r="X272" s="4" t="n">
        <v>0</v>
      </c>
      <c r="Y272" s="4" t="n">
        <v>0</v>
      </c>
      <c r="Z272" s="4" t="n">
        <v>1</v>
      </c>
      <c r="AA272" s="4" t="n">
        <v>0</v>
      </c>
      <c r="AB272" s="4" t="inlineStr">
        <is>
          <t>1900-01-01</t>
        </is>
      </c>
      <c r="AC272" s="4" t="n">
        <v>0</v>
      </c>
      <c r="AD272" s="4" t="n">
        <v>0</v>
      </c>
      <c r="AE272" s="4" t="n">
        <v>0</v>
      </c>
      <c r="AF272" s="4" t="n">
        <v>1</v>
      </c>
      <c r="AG272" s="4" t="n">
        <v>1</v>
      </c>
      <c r="AH272" s="4" t="n">
        <v>2</v>
      </c>
      <c r="AI272" s="4" t="n">
        <v>0</v>
      </c>
      <c r="AJ272" s="4" t="inlineStr">
        <is>
          <t>00:00:00</t>
        </is>
      </c>
      <c r="AK272" s="4" t="inlineStr">
        <is>
          <t>multisource_integration</t>
        </is>
      </c>
      <c r="AL272" s="4" t="n"/>
      <c r="AM272" s="4" t="inlineStr">
        <is>
          <t>RB</t>
        </is>
      </c>
      <c r="AN272" s="4" t="inlineStr">
        <is>
          <t>Tomado completo desde archivo RB según asignación</t>
        </is>
      </c>
      <c r="AO272" s="4" t="n">
        <v>0</v>
      </c>
      <c r="AP272" s="4" t="n">
        <v>0</v>
      </c>
      <c r="AQ272" s="4" t="n">
        <v>0</v>
      </c>
      <c r="AR272" s="4" t="n">
        <v>0</v>
      </c>
      <c r="AS272" s="4" t="n">
        <v>0</v>
      </c>
      <c r="AT272" s="4" t="n">
        <v>0</v>
      </c>
      <c r="AU272" s="4" t="n">
        <v>0</v>
      </c>
      <c r="AV272" s="4" t="n">
        <v>1</v>
      </c>
      <c r="AW272" s="4" t="inlineStr">
        <is>
          <t>finalized_from_available_evidence</t>
        </is>
      </c>
      <c r="AX272" s="4" t="inlineStr">
        <is>
          <t>0 means no reported evidence in title/abstract/notes/coding; it is not proof of true absence.</t>
        </is>
      </c>
    </row>
    <row r="273" ht="190" customHeight="1">
      <c r="A273" s="4" t="n">
        <v>272</v>
      </c>
      <c r="B273" s="4" t="n">
        <v>295</v>
      </c>
      <c r="C273" s="4" t="inlineStr">
        <is>
          <t>Revisor B</t>
        </is>
      </c>
      <c r="D273" s="4" t="n"/>
      <c r="E273" s="4" t="n">
        <v>2018</v>
      </c>
      <c r="F273" s="4" t="inlineStr">
        <is>
          <t>No especificado</t>
        </is>
      </c>
      <c r="G273" s="4" t="inlineStr">
        <is>
          <t>Machine Learning</t>
        </is>
      </c>
      <c r="H273" s="4" t="inlineStr">
        <is>
          <t>https://doi.org/10.1007/s10803-018-3509-x</t>
        </is>
      </c>
      <c r="I273" s="4" t="inlineStr">
        <is>
          <t>Prediction of Autism at 3 Years from Behavioural and Developmental Measures in High-Risk Infants: A Longitudinal Cross-Domain Classifier Analysis</t>
        </is>
      </c>
      <c r="J273" s="4" t="inlineStr">
        <is>
          <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t>
        </is>
      </c>
      <c r="K273" s="4" t="inlineStr">
        <is>
          <t>Supervised</t>
        </is>
      </c>
      <c r="L273" s="4" t="inlineStr">
        <is>
          <t>SVM</t>
        </is>
      </c>
      <c r="M273" s="4" t="inlineStr">
        <is>
          <t>Classification (binary/multi-class; incl. ASD vs control)/ multi-class)</t>
        </is>
      </c>
      <c r="N273" s="4" t="inlineStr">
        <is>
          <t>Prognosis</t>
        </is>
      </c>
      <c r="O273" s="4" t="inlineStr">
        <is>
          <t>medium</t>
        </is>
      </c>
      <c r="P273" s="4" t="n">
        <v>1</v>
      </c>
      <c r="Q273" s="4" t="n">
        <v>1</v>
      </c>
      <c r="R273" s="4" t="n">
        <v>0</v>
      </c>
      <c r="S273" s="4" t="n">
        <v>0</v>
      </c>
      <c r="T273" s="4" t="n">
        <v>0</v>
      </c>
      <c r="U273" s="4" t="n">
        <v>0</v>
      </c>
      <c r="V273" s="4" t="n">
        <v>0</v>
      </c>
      <c r="W273" s="4" t="n">
        <v>0</v>
      </c>
      <c r="X273" s="4" t="n">
        <v>0</v>
      </c>
      <c r="Y273" s="4" t="n">
        <v>0</v>
      </c>
      <c r="Z273" s="4" t="n">
        <v>0</v>
      </c>
      <c r="AA273" s="4" t="n">
        <v>0</v>
      </c>
      <c r="AB273" s="4" t="inlineStr">
        <is>
          <t>1900-01-01</t>
        </is>
      </c>
      <c r="AC273" s="4" t="n">
        <v>0</v>
      </c>
      <c r="AD273" s="4" t="n">
        <v>0</v>
      </c>
      <c r="AE273" s="4" t="n">
        <v>0</v>
      </c>
      <c r="AF273" s="4" t="n">
        <v>1</v>
      </c>
      <c r="AG273" s="4" t="n">
        <v>0</v>
      </c>
      <c r="AH273" s="4" t="n">
        <v>2</v>
      </c>
      <c r="AI273" s="4" t="n">
        <v>0</v>
      </c>
      <c r="AJ273" s="4" t="inlineStr">
        <is>
          <t>00:00:00</t>
        </is>
      </c>
      <c r="AK273" s="4" t="inlineStr">
        <is>
          <t>multisource_integration</t>
        </is>
      </c>
      <c r="AL273" s="4" t="inlineStr">
        <is>
          <t>No es “ASD vs control poblacional”, sino predicción dentro del grupo de alto riesgo: “Low-risk controls were excluded… our main aim… predicting ASD outcome among HR siblings.”</t>
        </is>
      </c>
      <c r="AM273" s="4" t="inlineStr">
        <is>
          <t>RB</t>
        </is>
      </c>
      <c r="AN273" s="4" t="inlineStr">
        <is>
          <t>Tomado completo desde archivo RB según asignación</t>
        </is>
      </c>
      <c r="AO273" s="4" t="n">
        <v>0</v>
      </c>
      <c r="AP273" s="4" t="n">
        <v>0</v>
      </c>
      <c r="AQ273" s="4" t="n">
        <v>0</v>
      </c>
      <c r="AR273" s="4" t="n">
        <v>0</v>
      </c>
      <c r="AS273" s="4" t="n">
        <v>0</v>
      </c>
      <c r="AT273" s="4" t="n">
        <v>0</v>
      </c>
      <c r="AU273" s="4" t="n">
        <v>0</v>
      </c>
      <c r="AV273" s="4" t="n">
        <v>1</v>
      </c>
      <c r="AW273" s="4" t="inlineStr">
        <is>
          <t>finalized_from_available_evidence</t>
        </is>
      </c>
      <c r="AX273" s="4" t="inlineStr">
        <is>
          <t>0 means no reported evidence in title/abstract/notes/coding; it is not proof of true absence.</t>
        </is>
      </c>
    </row>
    <row r="274" ht="409" customHeight="1">
      <c r="A274" s="4" t="n">
        <v>273</v>
      </c>
      <c r="B274" s="4" t="n">
        <v>296</v>
      </c>
      <c r="C274" s="4" t="inlineStr">
        <is>
          <t>Revisor B</t>
        </is>
      </c>
      <c r="D274" s="4" t="n"/>
      <c r="E274" s="4" t="n">
        <v>2024</v>
      </c>
      <c r="F274" s="4" t="inlineStr">
        <is>
          <t>Señales fisiológicas</t>
        </is>
      </c>
      <c r="G274" s="4" t="inlineStr">
        <is>
          <t>Deep Learning</t>
        </is>
      </c>
      <c r="H274" s="4" t="inlineStr">
        <is>
          <t>https://doi.org/10.1016/j.heliyon.2024.e34245</t>
        </is>
      </c>
      <c r="I274" s="4" t="inlineStr">
        <is>
          <t>STDCformer: Spatial-temporal dual-path cross-attention model for fMRI-based autism spectrum disorder identification</t>
        </is>
      </c>
      <c r="J274" s="4" t="inlineStr">
        <is>
          <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t>
        </is>
      </c>
      <c r="K274" s="4" t="inlineStr">
        <is>
          <t>Supervised</t>
        </is>
      </c>
      <c r="L274" s="4" t="inlineStr">
        <is>
          <t>Transformer</t>
        </is>
      </c>
      <c r="M274" s="4" t="inlineStr">
        <is>
          <t>Classification (binary/multi-class; incl. ASD vs control)/ multi-class)</t>
        </is>
      </c>
      <c r="N274" s="4" t="inlineStr">
        <is>
          <t>Diagnosis</t>
        </is>
      </c>
      <c r="O274" s="4" t="inlineStr">
        <is>
          <t>high</t>
        </is>
      </c>
      <c r="P274" s="4" t="n">
        <v>0</v>
      </c>
      <c r="Q274" s="4" t="n">
        <v>0</v>
      </c>
      <c r="R274" s="4" t="n">
        <v>0</v>
      </c>
      <c r="S274" s="4" t="n">
        <v>0</v>
      </c>
      <c r="T274" s="4" t="n">
        <v>1</v>
      </c>
      <c r="U274" s="4" t="n">
        <v>0</v>
      </c>
      <c r="V274" s="4" t="n">
        <v>0</v>
      </c>
      <c r="W274" s="4" t="n">
        <v>0</v>
      </c>
      <c r="X274" s="4" t="n">
        <v>0</v>
      </c>
      <c r="Y274" s="4" t="n">
        <v>0</v>
      </c>
      <c r="Z274" s="4" t="n">
        <v>0</v>
      </c>
      <c r="AA274" s="4" t="n">
        <v>1</v>
      </c>
      <c r="AB274" s="4" t="inlineStr">
        <is>
          <t>00:00:00</t>
        </is>
      </c>
      <c r="AC274" s="4" t="n">
        <v>0</v>
      </c>
      <c r="AD274" s="4" t="n">
        <v>0</v>
      </c>
      <c r="AE274" s="4" t="n">
        <v>0</v>
      </c>
      <c r="AF274" s="4" t="n">
        <v>0</v>
      </c>
      <c r="AG274" s="4" t="n">
        <v>1</v>
      </c>
      <c r="AH274" s="4" t="n">
        <v>1</v>
      </c>
      <c r="AI274" s="4" t="n">
        <v>0</v>
      </c>
      <c r="AJ274" s="4" t="inlineStr">
        <is>
          <t>00:00:00</t>
        </is>
      </c>
      <c r="AK274" s="4" t="inlineStr">
        <is>
          <t>multisite_dataset_broad</t>
        </is>
      </c>
      <c r="AL274" s="4" t="inlineStr">
        <is>
          <t>arquitectura híbrida: embedding temporal con “LSTM” y embedding espacial con “GAT”, integrados con “dual-path cross-attention” y “2D convolution” en el feed-forward.</t>
        </is>
      </c>
      <c r="AM274" s="4" t="inlineStr">
        <is>
          <t>RB</t>
        </is>
      </c>
      <c r="AN274" s="4" t="inlineStr">
        <is>
          <t>Tomado completo desde archivo RB según asignación</t>
        </is>
      </c>
      <c r="AO274" s="4" t="n">
        <v>0</v>
      </c>
      <c r="AP274" s="4" t="n">
        <v>0</v>
      </c>
      <c r="AQ274" s="4" t="n">
        <v>1</v>
      </c>
      <c r="AR274" s="4" t="n">
        <v>0</v>
      </c>
      <c r="AS274" s="4" t="n">
        <v>0</v>
      </c>
      <c r="AT274" s="4" t="n">
        <v>0</v>
      </c>
      <c r="AU274" s="4" t="n">
        <v>0</v>
      </c>
      <c r="AV274" s="4" t="n">
        <v>0</v>
      </c>
      <c r="AW274" s="4" t="inlineStr">
        <is>
          <t>finalized_from_available_evidence</t>
        </is>
      </c>
      <c r="AX274" s="4" t="inlineStr">
        <is>
          <t>0 means no reported evidence in title/abstract/notes/coding; it is not proof of true absence.</t>
        </is>
      </c>
    </row>
    <row r="275" ht="409" customHeight="1">
      <c r="A275" s="4" t="n">
        <v>274</v>
      </c>
      <c r="B275" s="4" t="n">
        <v>298</v>
      </c>
      <c r="C275" s="4" t="inlineStr">
        <is>
          <t>Revisor B</t>
        </is>
      </c>
      <c r="D275" s="4" t="n"/>
      <c r="E275" s="4" t="n">
        <v>2021</v>
      </c>
      <c r="F275" s="4" t="inlineStr">
        <is>
          <t>Imagen</t>
        </is>
      </c>
      <c r="G275" s="4" t="inlineStr">
        <is>
          <t>Deep Learning</t>
        </is>
      </c>
      <c r="H275" s="4" t="inlineStr">
        <is>
          <t>https://doi.org/10.1016/j.biopsych.2021.02.931</t>
        </is>
      </c>
      <c r="I275" s="4" t="inlineStr">
        <is>
          <t>Three Distinct Neuroanatomical Subtypes of Autism Spectrum Disorder, Revealed via Machine Learning, and Their Similarities With Schizophrenia Subtypes</t>
        </is>
      </c>
      <c r="J275" s="4" t="inlineStr">
        <is>
          <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t>
        </is>
      </c>
      <c r="K275" s="4" t="inlineStr">
        <is>
          <t>Semi-supervised</t>
        </is>
      </c>
      <c r="L275" s="4" t="inlineStr">
        <is>
          <t>Other</t>
        </is>
      </c>
      <c r="M275" s="4" t="inlineStr">
        <is>
          <t>Clustering / subtyping</t>
        </is>
      </c>
      <c r="N275" s="4" t="n"/>
      <c r="O275" s="4" t="inlineStr">
        <is>
          <t>low</t>
        </is>
      </c>
      <c r="P275" s="4" t="n">
        <v>0</v>
      </c>
      <c r="Q275" s="4" t="n">
        <v>0</v>
      </c>
      <c r="R275" s="4" t="n">
        <v>0</v>
      </c>
      <c r="S275" s="4" t="n">
        <v>0</v>
      </c>
      <c r="T275" s="4" t="n">
        <v>0</v>
      </c>
      <c r="U275" s="4" t="n">
        <v>0</v>
      </c>
      <c r="V275" s="4" t="n">
        <v>0</v>
      </c>
      <c r="W275" s="4" t="n">
        <v>0</v>
      </c>
      <c r="X275" s="4" t="n">
        <v>0</v>
      </c>
      <c r="Y275" s="4" t="n">
        <v>0</v>
      </c>
      <c r="Z275" s="4" t="n">
        <v>0</v>
      </c>
      <c r="AA275" s="4" t="n">
        <v>0</v>
      </c>
      <c r="AB275" s="4" t="inlineStr">
        <is>
          <t>00:00:00</t>
        </is>
      </c>
      <c r="AC275" s="4" t="n">
        <v>0</v>
      </c>
      <c r="AD275" s="4" t="n">
        <v>0</v>
      </c>
      <c r="AE275" s="4" t="n">
        <v>0</v>
      </c>
      <c r="AF275" s="4" t="n">
        <v>1</v>
      </c>
      <c r="AG275" s="4" t="n">
        <v>1</v>
      </c>
      <c r="AH275" s="4" t="n">
        <v>0</v>
      </c>
      <c r="AI275" s="4" t="n">
        <v>0</v>
      </c>
      <c r="AJ275" s="4" t="inlineStr">
        <is>
          <t>00:00:00</t>
        </is>
      </c>
      <c r="AK275" s="4" t="inlineStr">
        <is>
          <t>multisource_integration; multisite_dataset_broad</t>
        </is>
      </c>
      <c r="AL275" s="4" t="n"/>
      <c r="AM275" s="4" t="inlineStr">
        <is>
          <t>RB</t>
        </is>
      </c>
      <c r="AN275" s="4" t="inlineStr">
        <is>
          <t>Tomado completo desde archivo RB según asignación</t>
        </is>
      </c>
      <c r="AO275" s="4" t="n">
        <v>0</v>
      </c>
      <c r="AP275" s="4" t="n">
        <v>0</v>
      </c>
      <c r="AQ275" s="4" t="n">
        <v>1</v>
      </c>
      <c r="AR275" s="4" t="n">
        <v>0</v>
      </c>
      <c r="AS275" s="4" t="n">
        <v>0</v>
      </c>
      <c r="AT275" s="4" t="n">
        <v>0</v>
      </c>
      <c r="AU275" s="4" t="n">
        <v>0</v>
      </c>
      <c r="AV275" s="4" t="n">
        <v>1</v>
      </c>
      <c r="AW275" s="4" t="inlineStr">
        <is>
          <t>finalized_from_available_evidence</t>
        </is>
      </c>
      <c r="AX275" s="4" t="inlineStr">
        <is>
          <t>0 means no reported evidence in title/abstract/notes/coding; it is not proof of true absence.</t>
        </is>
      </c>
    </row>
    <row r="276" ht="333" customHeight="1">
      <c r="A276" s="4" t="n">
        <v>275</v>
      </c>
      <c r="B276" s="4" t="n">
        <v>299</v>
      </c>
      <c r="C276" s="4" t="inlineStr">
        <is>
          <t>Revisor B</t>
        </is>
      </c>
      <c r="D276" s="4" t="n"/>
      <c r="E276" s="4" t="n">
        <v>2025</v>
      </c>
      <c r="F276" s="4" t="inlineStr">
        <is>
          <t>Imagen</t>
        </is>
      </c>
      <c r="G276" s="4" t="inlineStr">
        <is>
          <t>Deep Learning</t>
        </is>
      </c>
      <c r="H276" s="4" t="inlineStr">
        <is>
          <t>https://doi.org/10.1111/JNE.70092</t>
        </is>
      </c>
      <c r="I276" s="4" t="inlineStr">
        <is>
          <t>Three-dimensional quantification of oxytocin neurons in the hypothalamic paraventricular nucleus reveals sex- and subregion-specific differences in two genetic mouse models of autism</t>
        </is>
      </c>
      <c r="J276" s="4" t="inlineStr">
        <is>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is>
      </c>
      <c r="K276" s="4" t="n"/>
      <c r="L276" s="4" t="n"/>
      <c r="M276" s="4" t="n"/>
      <c r="N276" s="4" t="n"/>
      <c r="O276" s="4" t="n"/>
      <c r="P276" s="4" t="n"/>
      <c r="Q276" s="4" t="n"/>
      <c r="R276" s="4" t="n"/>
      <c r="S276" s="4" t="n"/>
      <c r="T276" s="4" t="n"/>
      <c r="U276" s="4" t="n"/>
      <c r="V276" s="4" t="n"/>
      <c r="W276" s="4" t="n"/>
      <c r="X276" s="4" t="n"/>
      <c r="Y276" s="4" t="n"/>
      <c r="Z276" s="4" t="n"/>
      <c r="AA276" s="4" t="n"/>
      <c r="AB276" s="4" t="inlineStr">
        <is>
          <t>00:00:00</t>
        </is>
      </c>
      <c r="AC276" s="4" t="n">
        <v>0</v>
      </c>
      <c r="AD276" s="4" t="n">
        <v>0</v>
      </c>
      <c r="AE276" s="4" t="n">
        <v>0</v>
      </c>
      <c r="AF276" s="4" t="n">
        <v>0</v>
      </c>
      <c r="AG276" s="4" t="n"/>
      <c r="AH276" s="4" t="n"/>
      <c r="AI276" s="4" t="n"/>
      <c r="AJ276" s="4" t="inlineStr">
        <is>
          <t>00:00:00</t>
        </is>
      </c>
      <c r="AK276" s="4" t="inlineStr">
        <is>
          <t>none_reported</t>
        </is>
      </c>
      <c r="AL276" s="4" t="inlineStr">
        <is>
          <t>Sin señal explícita Q3 en título/abstract.</t>
        </is>
      </c>
      <c r="AM276" s="4" t="inlineStr">
        <is>
          <t>RA_fallback</t>
        </is>
      </c>
      <c r="AN276" s="4" t="inlineStr">
        <is>
          <t>Fallback a RA porque el ID no está en RB</t>
        </is>
      </c>
      <c r="AO276" s="4" t="n">
        <v>1</v>
      </c>
      <c r="AP276" s="4" t="n">
        <v>0</v>
      </c>
      <c r="AQ276" s="4" t="n">
        <v>0</v>
      </c>
      <c r="AR276" s="4" t="n">
        <v>0</v>
      </c>
      <c r="AS276" s="4" t="n">
        <v>0</v>
      </c>
      <c r="AT276" s="4" t="n">
        <v>0</v>
      </c>
      <c r="AU276" s="4" t="n">
        <v>0</v>
      </c>
      <c r="AV276" s="4" t="n">
        <v>0</v>
      </c>
      <c r="AW276" s="4" t="inlineStr">
        <is>
          <t>finalized_from_available_evidence</t>
        </is>
      </c>
      <c r="AX276" s="4" t="inlineStr">
        <is>
          <t>0 means no reported evidence in title/abstract/notes/coding; it is not proof of true absence.</t>
        </is>
      </c>
    </row>
    <row r="277" ht="151" customHeight="1">
      <c r="A277" s="4" t="n">
        <v>276</v>
      </c>
      <c r="B277" s="4" t="n">
        <v>300</v>
      </c>
      <c r="C277" s="4" t="inlineStr">
        <is>
          <t>Revisor A</t>
        </is>
      </c>
      <c r="D277" s="4" t="inlineStr">
        <is>
          <t>RA</t>
        </is>
      </c>
      <c r="E277" s="4" t="n">
        <v>2024</v>
      </c>
      <c r="F277" s="4" t="inlineStr">
        <is>
          <t>Señales fisiológicas</t>
        </is>
      </c>
      <c r="G277" s="4" t="inlineStr">
        <is>
          <t>No especificado</t>
        </is>
      </c>
      <c r="H277" s="4" t="inlineStr">
        <is>
          <t>https://doi.org/10.1007/978-3-031-62273-1_36</t>
        </is>
      </c>
      <c r="I277" s="4" t="inlineStr">
        <is>
          <t>Application of Speech Signal for Early Screening of Children with Autism Spectrum Disorder</t>
        </is>
      </c>
      <c r="J277" s="4" t="inlineStr">
        <is>
          <t xml:space="preserve">Currently, there is no cure for Autism Spectrum Disorder (ASD), a neurodevelopmental disease. ASD causes problems in social communication and interaction, accompanied by repeating behaviors. Early and effective treatments may lessen the problems over time. Thus, it is essential to screen this problem from an early age. Proposed methods in literature employed physiological and behavioral signals. We propose in this paper the use of speech signal and artificial intelligence to determine ASD in children. Experiments prove that this is a positive way for early discrimination of children with/without ASD.
</t>
        </is>
      </c>
      <c r="K277" s="4" t="inlineStr">
        <is>
          <t>Supervised</t>
        </is>
      </c>
      <c r="L277" s="4" t="inlineStr">
        <is>
          <t>Other / Not clear</t>
        </is>
      </c>
      <c r="M277" s="4" t="inlineStr">
        <is>
          <t>Classification (ASD vs control / multi-class)</t>
        </is>
      </c>
      <c r="N277" s="4" t="inlineStr">
        <is>
          <t>Screening</t>
        </is>
      </c>
      <c r="O277" s="4" t="inlineStr">
        <is>
          <t>Medium</t>
        </is>
      </c>
      <c r="P277" s="4" t="n">
        <v>0</v>
      </c>
      <c r="Q277" s="4" t="n">
        <v>0</v>
      </c>
      <c r="R277" s="4" t="n">
        <v>0</v>
      </c>
      <c r="S277" s="4" t="n">
        <v>1</v>
      </c>
      <c r="T277" s="4" t="n">
        <v>0</v>
      </c>
      <c r="U277" s="4" t="n">
        <v>0</v>
      </c>
      <c r="V277" s="4" t="n">
        <v>0</v>
      </c>
      <c r="W277" s="4" t="n">
        <v>0</v>
      </c>
      <c r="X277" s="4" t="n">
        <v>1</v>
      </c>
      <c r="Y277" s="4" t="n">
        <v>0</v>
      </c>
      <c r="Z277" s="4" t="n">
        <v>0</v>
      </c>
      <c r="AA277" s="4" t="n">
        <v>0</v>
      </c>
      <c r="AB277" s="4" t="inlineStr">
        <is>
          <t>1900-01-01</t>
        </is>
      </c>
      <c r="AC277" s="4" t="n">
        <v>0</v>
      </c>
      <c r="AD277" s="4" t="n">
        <v>0</v>
      </c>
      <c r="AE277" s="4" t="n">
        <v>0</v>
      </c>
      <c r="AF277" s="4" t="n">
        <v>0</v>
      </c>
      <c r="AG277" s="4" t="n">
        <v>1</v>
      </c>
      <c r="AH277" s="4" t="n">
        <v>1</v>
      </c>
      <c r="AI277" s="4" t="n"/>
      <c r="AJ277" s="4" t="n"/>
      <c r="AK277" s="4" t="inlineStr">
        <is>
          <t>none_reported</t>
        </is>
      </c>
      <c r="AL277" s="4" t="inlineStr">
        <is>
          <t>Sin señal explícita Q3 en título/abstract.</t>
        </is>
      </c>
      <c r="AM277" s="4" t="inlineStr">
        <is>
          <t>RA</t>
        </is>
      </c>
      <c r="AN277" s="4" t="inlineStr">
        <is>
          <t>Tomado completo desde archivo RA según asignación</t>
        </is>
      </c>
      <c r="AO277" s="4" t="n">
        <v>1</v>
      </c>
      <c r="AP277" s="4" t="n">
        <v>0</v>
      </c>
      <c r="AQ277" s="4" t="n">
        <v>0</v>
      </c>
      <c r="AR277" s="4" t="n">
        <v>0</v>
      </c>
      <c r="AS277" s="4" t="n">
        <v>0</v>
      </c>
      <c r="AT277" s="4" t="n">
        <v>0</v>
      </c>
      <c r="AU277" s="4" t="n">
        <v>0</v>
      </c>
      <c r="AV277" s="4" t="n">
        <v>0</v>
      </c>
      <c r="AW277" s="4" t="inlineStr">
        <is>
          <t>finalized_from_available_evidence</t>
        </is>
      </c>
      <c r="AX277" s="4" t="inlineStr">
        <is>
          <t>0 means no reported evidence in title/abstract/notes/coding; it is not proof of true absence.</t>
        </is>
      </c>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W179"/>
  <sheetViews>
    <sheetView showGridLines="0" workbookViewId="0">
      <selection activeCell="A1" sqref="A1"/>
    </sheetView>
  </sheetViews>
  <sheetFormatPr baseColWidth="8" defaultRowHeight="15"/>
  <cols>
    <col width="14" customWidth="1" min="1" max="1"/>
    <col width="44" customWidth="1" min="2" max="2"/>
    <col width="55" customWidth="1" min="3" max="3"/>
    <col width="20" customWidth="1" min="4" max="4"/>
    <col width="28" customWidth="1" min="5" max="5"/>
    <col width="20" customWidth="1" min="6" max="6"/>
    <col width="20" customWidth="1" min="7" max="7"/>
    <col width="20" customWidth="1" min="8" max="8"/>
    <col width="20" customWidth="1" min="9" max="9"/>
    <col width="20" customWidth="1" min="10" max="10"/>
    <col width="28"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44" customWidth="1" min="20" max="20"/>
    <col width="65" customWidth="1" min="21" max="21"/>
    <col width="28" customWidth="1" min="22" max="22"/>
    <col width="17" customWidth="1" min="23" max="23"/>
  </cols>
  <sheetData>
    <row r="1" ht="52" customHeight="1">
      <c r="A1" s="6" t="inlineStr">
        <is>
          <t>bib_index</t>
        </is>
      </c>
      <c r="B1" s="6" t="inlineStr">
        <is>
          <t>DOI</t>
        </is>
      </c>
      <c r="C1" s="6" t="inlineStr">
        <is>
          <t>título</t>
        </is>
      </c>
      <c r="D1" s="6" t="inlineStr">
        <is>
          <t>full_text_decision</t>
        </is>
      </c>
      <c r="E1" s="6" t="inlineStr">
        <is>
          <t>integrity_status</t>
        </is>
      </c>
      <c r="F1" s="6" t="inlineStr">
        <is>
          <t>data_source_primary</t>
        </is>
      </c>
      <c r="G1" s="6" t="inlineStr">
        <is>
          <t>ai_type</t>
        </is>
      </c>
      <c r="H1" s="6" t="inlineStr">
        <is>
          <t>ai_algorithm_main</t>
        </is>
      </c>
      <c r="I1" s="6" t="inlineStr">
        <is>
          <t>ai_task_type</t>
        </is>
      </c>
      <c r="J1" s="6" t="inlineStr">
        <is>
          <t>stage_primary</t>
        </is>
      </c>
      <c r="K1" s="6" t="inlineStr">
        <is>
          <t>rq2_integration_status</t>
        </is>
      </c>
      <c r="L1" s="6" t="inlineStr">
        <is>
          <t>rq2_role</t>
        </is>
      </c>
      <c r="M1" s="6" t="inlineStr">
        <is>
          <t>q3_external_validation</t>
        </is>
      </c>
      <c r="N1" s="6" t="inlineStr">
        <is>
          <t>q3_multisite_dataset</t>
        </is>
      </c>
      <c r="O1" s="6" t="inlineStr">
        <is>
          <t>q3_cross_site_robustness</t>
        </is>
      </c>
      <c r="P1" s="6" t="inlineStr">
        <is>
          <t>q3_prospective_evaluation</t>
        </is>
      </c>
      <c r="Q1" s="6" t="inlineStr">
        <is>
          <t>q3_xai_strict</t>
        </is>
      </c>
      <c r="R1" s="6" t="inlineStr">
        <is>
          <t>q3_xai_partial</t>
        </is>
      </c>
      <c r="S1" s="6" t="inlineStr">
        <is>
          <t>q3_multisource_data</t>
        </is>
      </c>
      <c r="T1" s="6" t="inlineStr">
        <is>
          <t>source_url</t>
        </is>
      </c>
      <c r="U1" s="6" t="inlineStr">
        <is>
          <t>evidence_summary</t>
        </is>
      </c>
      <c r="V1" s="6" t="inlineStr">
        <is>
          <t>reviewer</t>
        </is>
      </c>
      <c r="W1" s="39" t="inlineStr">
        <is>
          <t>decision_date</t>
        </is>
      </c>
    </row>
    <row r="2" ht="112" customHeight="1">
      <c r="A2" s="4" t="n">
        <v>12</v>
      </c>
      <c r="B2" s="4" t="inlineStr">
        <is>
          <t>10.2196/80733</t>
        </is>
      </c>
      <c r="C2" s="4" t="inlineStr">
        <is>
          <t>Integration of an Artificial Intelligence–Based Autism Diagnostic Device into the ECHO Autism Primary Care Workflow: Prospective Observational Study</t>
        </is>
      </c>
      <c r="D2" s="4" t="inlineStr">
        <is>
          <t>Include</t>
        </is>
      </c>
      <c r="E2" s="4" t="n"/>
      <c r="F2" s="4" t="inlineStr">
        <is>
          <t>Multimodal</t>
        </is>
      </c>
      <c r="G2" s="4" t="inlineStr">
        <is>
          <t>Machine Learning</t>
        </is>
      </c>
      <c r="H2" s="4" t="inlineStr">
        <is>
          <t>Canvas Dx proprietary machine-learning device</t>
        </is>
      </c>
      <c r="I2" s="4" t="inlineStr">
        <is>
          <t>Diagnostic prediction / rule-out</t>
        </is>
      </c>
      <c r="J2" s="4" t="inlineStr">
        <is>
          <t>Diagnosis</t>
        </is>
      </c>
      <c r="K2" s="4" t="inlineStr">
        <is>
          <t>Confirmed in workflow</t>
        </is>
      </c>
      <c r="L2" s="4" t="inlineStr">
        <is>
          <t>AI diagnostic device embedded in primary-care evaluation</t>
        </is>
      </c>
      <c r="M2" s="4" t="n">
        <v>0</v>
      </c>
      <c r="N2" s="4" t="n">
        <v>0</v>
      </c>
      <c r="O2" s="4" t="n">
        <v>0</v>
      </c>
      <c r="P2" s="4" t="n">
        <v>1</v>
      </c>
      <c r="Q2" s="4" t="n">
        <v>0</v>
      </c>
      <c r="R2" s="4" t="n">
        <v>0</v>
      </c>
      <c r="S2" s="4" t="n">
        <v>1</v>
      </c>
      <c r="T2" s="4" t="inlineStr">
        <is>
          <t>https://doi.org/10.2196/80733</t>
        </is>
      </c>
      <c r="U2" s="4" t="inlineStr">
        <is>
          <t xml:space="preserve">Background: Pediatric specialist shortages and rapidly rising autism prevalence rates have compelled primary care clinicians to consider playing a greater role in the autism diagnostic process. The ECHO Autism: Early Diagnosis Program (EDx) prepares clinicians to screen, evaluate, differentiate, diagnose, and provide longitudinal care for children with autism in primary care settings. Canvas Dx is a prescription-only Software as a Medical Device </t>
        </is>
      </c>
      <c r="V2" s="4" t="inlineStr">
        <is>
          <t>Revisión asistida por IA (un revisor; requiere verificación independiente)</t>
        </is>
      </c>
      <c r="W2" s="40" t="n">
        <v>46269</v>
      </c>
    </row>
    <row r="3" ht="112" customHeight="1">
      <c r="A3" s="4" t="n">
        <v>13</v>
      </c>
      <c r="B3" s="4" t="inlineStr">
        <is>
          <t>10.1016/j.csbj.2025.09.006</t>
        </is>
      </c>
      <c r="C3" s="4" t="inlineStr">
        <is>
          <t>In-silico assessment of dynamic symbiotic microbial interactions in a reduced microbiota related to the autism spectrum disorder symptoms</t>
        </is>
      </c>
      <c r="D3" s="4" t="inlineStr">
        <is>
          <t>Include</t>
        </is>
      </c>
      <c r="E3" s="4" t="n"/>
      <c r="F3" s="4" t="inlineStr">
        <is>
          <t>Biological/omics</t>
        </is>
      </c>
      <c r="G3" s="4" t="inlineStr">
        <is>
          <t>Hybrid</t>
        </is>
      </c>
      <c r="H3" s="4" t="inlineStr">
        <is>
          <t>Constraint-based microbiome simulation + prior ML classifiers</t>
        </is>
      </c>
      <c r="I3" s="4" t="inlineStr">
        <is>
          <t>Mechanistic interpretation / biomarker characterization</t>
        </is>
      </c>
      <c r="J3" s="4" t="inlineStr">
        <is>
          <t>Not specified</t>
        </is>
      </c>
      <c r="K3" s="4" t="inlineStr">
        <is>
          <t>Research only</t>
        </is>
      </c>
      <c r="L3" s="4" t="inlineStr">
        <is>
          <t>No evaluated clinical workflow</t>
        </is>
      </c>
      <c r="M3" s="4" t="n">
        <v>0</v>
      </c>
      <c r="N3" s="4" t="n">
        <v>0</v>
      </c>
      <c r="O3" s="4" t="n">
        <v>0</v>
      </c>
      <c r="P3" s="4" t="n">
        <v>0</v>
      </c>
      <c r="Q3" s="4" t="n">
        <v>0</v>
      </c>
      <c r="R3" s="4" t="n">
        <v>1</v>
      </c>
      <c r="S3" s="4" t="n">
        <v>0</v>
      </c>
      <c r="T3" s="4" t="inlineStr">
        <is>
          <t>https://doi.org/10.1016/j.csbj.2025.09.006</t>
        </is>
      </c>
      <c r="U3" s="4" t="inlineStr">
        <is>
          <t>The gut microbiota plays a crucial role in human health, with growing evidence linking its composition to the development of Autism Spectrum Disorder. However, inconsistencies in previous studies have hindered the identification of a definitive microbial signature associated with Autism Spectrum Disorder. Machine learning models have emerged as powerful tools for analyzing microbiome data, yet their interpretability remains limited. In this study</t>
        </is>
      </c>
      <c r="V3" s="4" t="inlineStr">
        <is>
          <t>Revisión asistida por IA (un revisor; requiere verificación independiente)</t>
        </is>
      </c>
      <c r="W3" s="40" t="n">
        <v>46269</v>
      </c>
    </row>
    <row r="4" ht="112" customHeight="1">
      <c r="A4" s="4" t="n">
        <v>35</v>
      </c>
      <c r="B4" s="4" t="inlineStr">
        <is>
          <t>10.2196/73440</t>
        </is>
      </c>
      <c r="C4" s="4" t="inlineStr">
        <is>
          <t>Deep Learning Approaches for Classifying Children With and Without Autism Spectrum Disorder Using Inertial Measurement Unit Hand Tracking Data: Comparative Study</t>
        </is>
      </c>
      <c r="D4" s="4" t="inlineStr">
        <is>
          <t>Include</t>
        </is>
      </c>
      <c r="E4" s="4" t="n"/>
      <c r="F4" s="4" t="inlineStr">
        <is>
          <t>Physiological signals</t>
        </is>
      </c>
      <c r="G4" s="4" t="inlineStr">
        <is>
          <t>Deep Learning</t>
        </is>
      </c>
      <c r="H4" s="4" t="inlineStr">
        <is>
          <t>Convolutional autoencoder + LSTM</t>
        </is>
      </c>
      <c r="I4" s="4" t="inlineStr">
        <is>
          <t>Classification (ASD vs control)</t>
        </is>
      </c>
      <c r="J4" s="4" t="inlineStr">
        <is>
          <t>Diagnosis</t>
        </is>
      </c>
      <c r="K4" s="4" t="inlineStr">
        <is>
          <t>Proposed only</t>
        </is>
      </c>
      <c r="L4" s="4" t="inlineStr">
        <is>
          <t>No clinical deployment evaluated</t>
        </is>
      </c>
      <c r="M4" s="4" t="n">
        <v>0</v>
      </c>
      <c r="N4" s="4" t="n">
        <v>0</v>
      </c>
      <c r="O4" s="4" t="n">
        <v>0</v>
      </c>
      <c r="P4" s="4" t="n">
        <v>0</v>
      </c>
      <c r="Q4" s="4" t="n">
        <v>0</v>
      </c>
      <c r="R4" s="4" t="n">
        <v>0</v>
      </c>
      <c r="S4" s="4" t="n">
        <v>0</v>
      </c>
      <c r="T4" s="4" t="inlineStr">
        <is>
          <t>https://doi.org/10.2196/73440</t>
        </is>
      </c>
      <c r="U4" s="4" t="inlineStr">
        <is>
          <t>Background: Autism spectrum disorder (ASD) is a prevalent neurodevelopmental condition that can be quite difficult to diagnose due to a lack of objective diagnostic methods in the currently used behavioral assessments. Recent work has shown that children with ASD have a higher incidence of motor control differences. A compilation of studies indicates that between 50% and 88% of the children with ASD have issues with movement control based on stan</t>
        </is>
      </c>
      <c r="V4" s="4" t="inlineStr">
        <is>
          <t>Revisión asistida por IA (un revisor; requiere verificación independiente)</t>
        </is>
      </c>
      <c r="W4" s="40" t="n">
        <v>46269</v>
      </c>
    </row>
    <row r="5" ht="112" customHeight="1">
      <c r="A5" s="4" t="n">
        <v>50</v>
      </c>
      <c r="B5" s="4" t="inlineStr">
        <is>
          <t>10.2196/70589</t>
        </is>
      </c>
      <c r="C5" s="4" t="inlineStr">
        <is>
          <t>Effectiveness of Artificial Intelligence–Based Platform in Administering Therapies for Children With Autism Spectrum Disorder: 12-Month Observational Study</t>
        </is>
      </c>
      <c r="D5" s="4" t="inlineStr">
        <is>
          <t>Include</t>
        </is>
      </c>
      <c r="E5" s="4" t="n"/>
      <c r="F5" s="4" t="inlineStr">
        <is>
          <t>Structured assessments / platform data</t>
        </is>
      </c>
      <c r="G5" s="4" t="inlineStr">
        <is>
          <t>Not specified</t>
        </is>
      </c>
      <c r="H5" s="4" t="inlineStr">
        <is>
          <t>CognitiveBotics AI-based therapy platform</t>
        </is>
      </c>
      <c r="I5" s="4" t="inlineStr">
        <is>
          <t>Technology-assisted intervention</t>
        </is>
      </c>
      <c r="J5" s="4" t="inlineStr">
        <is>
          <t>Monitoring/intervention</t>
        </is>
      </c>
      <c r="K5" s="4" t="inlineStr">
        <is>
          <t>Confirmed in care delivery</t>
        </is>
      </c>
      <c r="L5" s="4" t="inlineStr">
        <is>
          <t>Platform used alongside standard therapy</t>
        </is>
      </c>
      <c r="M5" s="4" t="n">
        <v>0</v>
      </c>
      <c r="N5" s="4" t="n">
        <v>0</v>
      </c>
      <c r="O5" s="4" t="n">
        <v>0</v>
      </c>
      <c r="P5" s="4" t="n">
        <v>1</v>
      </c>
      <c r="Q5" s="4" t="n">
        <v>0</v>
      </c>
      <c r="R5" s="4" t="n">
        <v>0</v>
      </c>
      <c r="S5" s="4" t="n">
        <v>0</v>
      </c>
      <c r="T5" s="4" t="inlineStr">
        <is>
          <t>https://neuro.jmir.org/2025/1/e70589/PDF</t>
        </is>
      </c>
      <c r="U5" s="4" t="inlineStr">
        <is>
          <t xml:space="preserve">Background: A 12-month longitudinal observational study was conducted on 43 children aged 2‐18 years to evaluate the effectiveness of the CognitiveBotics artificial intelligence (AI)–based platform in conjunction with continuous therapy in improving therapeutic outcomes for children with autism spectrum disorder (ASD). Objective: This study evaluates the CognitiveBotics software’s effectiveness in supporting children with ASD through structured, </t>
        </is>
      </c>
      <c r="V5" s="4" t="inlineStr">
        <is>
          <t>Revisión asistida por IA (un revisor; requiere verificación independiente)</t>
        </is>
      </c>
      <c r="W5" s="40" t="n">
        <v>46269</v>
      </c>
    </row>
    <row r="6" ht="112" customHeight="1">
      <c r="A6" s="4" t="n">
        <v>93</v>
      </c>
      <c r="B6" s="4" t="inlineStr">
        <is>
          <t>10.1016/j.cell.2025.02.025</t>
        </is>
      </c>
      <c r="C6" s="4" t="inlineStr">
        <is>
          <t>Large language models deconstruct the clinical intuition behind diagnosing autism</t>
        </is>
      </c>
      <c r="D6" s="4" t="inlineStr">
        <is>
          <t>Include</t>
        </is>
      </c>
      <c r="E6" s="4" t="n"/>
      <c r="F6" s="4" t="inlineStr">
        <is>
          <t>Text / NLP</t>
        </is>
      </c>
      <c r="G6" s="4" t="inlineStr">
        <is>
          <t>Deep Learning</t>
        </is>
      </c>
      <c r="H6" s="4" t="inlineStr">
        <is>
          <t>RoBERTa-based large language model</t>
        </is>
      </c>
      <c r="I6" s="4" t="inlineStr">
        <is>
          <t>Clinical reasoning classification and explanation</t>
        </is>
      </c>
      <c r="J6" s="4" t="inlineStr">
        <is>
          <t>Diagnosis</t>
        </is>
      </c>
      <c r="K6" s="4" t="inlineStr">
        <is>
          <t>Research only</t>
        </is>
      </c>
      <c r="L6" s="4" t="inlineStr">
        <is>
          <t>Retrospective analysis of clinical reports</t>
        </is>
      </c>
      <c r="M6" s="4" t="n">
        <v>0</v>
      </c>
      <c r="N6" s="4" t="n">
        <v>0</v>
      </c>
      <c r="O6" s="4" t="n">
        <v>0</v>
      </c>
      <c r="P6" s="4" t="n">
        <v>0</v>
      </c>
      <c r="Q6" s="4" t="n">
        <v>1</v>
      </c>
      <c r="R6" s="4" t="n">
        <v>0</v>
      </c>
      <c r="S6" s="4" t="n">
        <v>0</v>
      </c>
      <c r="T6" s="4" t="inlineStr">
        <is>
          <t>https://doi.org/10.1016/j.cell.2025.02.025</t>
        </is>
      </c>
      <c r="U6" s="4" t="inlineStr">
        <is>
          <t>Efforts to use genome-wide assays or brain scans to diagnose autism have seen diminishing returns. Yet the clinical intuition of healthcare professionals, based on longstanding first-hand experience, remains the gold standard for diagnosis of autism. We leveraged deep learning to deconstruct and interrogate the logic of expert clinician intuition from clinical reports to inform our understanding of autism. After pre-training on hundreds of millio</t>
        </is>
      </c>
      <c r="V6" s="4" t="inlineStr">
        <is>
          <t>Revisión asistida por IA (un revisor; requiere verificación independiente)</t>
        </is>
      </c>
      <c r="W6" s="40" t="n">
        <v>46269</v>
      </c>
    </row>
    <row r="7" ht="112" customHeight="1">
      <c r="A7" s="4" t="n">
        <v>96</v>
      </c>
      <c r="B7" s="4" t="inlineStr">
        <is>
          <t>10.32604/cmc.2025.062266</t>
        </is>
      </c>
      <c r="C7" s="4" t="inlineStr">
        <is>
          <t>Ensemble of Deep Learning with Crested Porcupine Optimizer Based Autism Spectrum Disorder Detection Using Facial Images</t>
        </is>
      </c>
      <c r="D7" s="4" t="inlineStr">
        <is>
          <t>Include</t>
        </is>
      </c>
      <c r="E7" s="4" t="n"/>
      <c r="F7" s="4" t="inlineStr">
        <is>
          <t>Facial images</t>
        </is>
      </c>
      <c r="G7" s="4" t="inlineStr">
        <is>
          <t>Deep Learning</t>
        </is>
      </c>
      <c r="H7" s="4" t="inlineStr">
        <is>
          <t>Ensemble deep learning + Crested Porcupine Optimizer</t>
        </is>
      </c>
      <c r="I7" s="4" t="inlineStr">
        <is>
          <t>Classification (ASD vs control)</t>
        </is>
      </c>
      <c r="J7" s="4" t="inlineStr">
        <is>
          <t>Diagnosis</t>
        </is>
      </c>
      <c r="K7" s="4" t="inlineStr">
        <is>
          <t>Proposed only</t>
        </is>
      </c>
      <c r="L7" s="4" t="inlineStr">
        <is>
          <t>Proposed image-based diagnostic support</t>
        </is>
      </c>
      <c r="M7" s="4" t="n">
        <v>0</v>
      </c>
      <c r="N7" s="4" t="n">
        <v>0</v>
      </c>
      <c r="O7" s="4" t="n">
        <v>0</v>
      </c>
      <c r="P7" s="4" t="n">
        <v>0</v>
      </c>
      <c r="Q7" s="4" t="n">
        <v>0</v>
      </c>
      <c r="R7" s="4" t="n">
        <v>0</v>
      </c>
      <c r="S7" s="4" t="n">
        <v>0</v>
      </c>
      <c r="T7" s="4" t="inlineStr">
        <is>
          <t>https://doi.org/10.32604/cmc.2025.062266</t>
        </is>
      </c>
      <c r="U7" s="4" t="inlineStr">
        <is>
          <t>Autism spectrum disorder (ASD) is a multifaceted neurological developmental condition that manifests in several ways. Nearly all autistic children remain undiagnosed before the age of three. Developmental problems affecting face features are often associated with fundamental brain disorders. The facial evolution of newborns with ASD is quite different from that of typically developing children. Early recognition is very significant to aid familie</t>
        </is>
      </c>
      <c r="V7" s="4" t="inlineStr">
        <is>
          <t>Revisión asistida por IA (un revisor; requiere verificación independiente)</t>
        </is>
      </c>
      <c r="W7" s="40" t="n">
        <v>46269</v>
      </c>
    </row>
    <row r="8" ht="112" customHeight="1">
      <c r="A8" s="4" t="n">
        <v>108</v>
      </c>
      <c r="B8" s="4" t="inlineStr">
        <is>
          <t>10.32604/cmc.2025.062643</t>
        </is>
      </c>
      <c r="C8" s="4" t="inlineStr">
        <is>
          <t>Awareness with Machine: Hybrid Approach to Detecting ASD with a Clustering</t>
        </is>
      </c>
      <c r="D8" s="4" t="inlineStr">
        <is>
          <t>Include</t>
        </is>
      </c>
      <c r="E8" s="4" t="n"/>
      <c r="F8" s="4" t="inlineStr">
        <is>
          <t>Structured questionnaires</t>
        </is>
      </c>
      <c r="G8" s="4" t="inlineStr">
        <is>
          <t>Hybrid</t>
        </is>
      </c>
      <c r="H8" s="4" t="inlineStr">
        <is>
          <t>Clustering + supervised classifiers</t>
        </is>
      </c>
      <c r="I8" s="4" t="inlineStr">
        <is>
          <t>Classification (ASD vs control)</t>
        </is>
      </c>
      <c r="J8" s="4" t="inlineStr">
        <is>
          <t>Screening</t>
        </is>
      </c>
      <c r="K8" s="4" t="inlineStr">
        <is>
          <t>Proposed only</t>
        </is>
      </c>
      <c r="L8" s="4" t="inlineStr">
        <is>
          <t>Research screening model</t>
        </is>
      </c>
      <c r="M8" s="4" t="n">
        <v>0</v>
      </c>
      <c r="N8" s="4" t="n">
        <v>0</v>
      </c>
      <c r="O8" s="4" t="n">
        <v>0</v>
      </c>
      <c r="P8" s="4" t="n">
        <v>0</v>
      </c>
      <c r="Q8" s="4" t="n">
        <v>0</v>
      </c>
      <c r="R8" s="4" t="n">
        <v>0</v>
      </c>
      <c r="S8" s="4" t="n">
        <v>0</v>
      </c>
      <c r="T8" s="4" t="inlineStr">
        <is>
          <t>https://cdn.techscience.press/files/cmc/2025/TSP_CMC-84-2/TSP_CMC_62643/TSP_CMC_62643.pdf</t>
        </is>
      </c>
      <c r="U8" s="4" t="inlineStr">
        <is>
          <t>Detection of Autism Spectrum Disorder (ASD) is a crucial area of research, representing a foundational aspect of psychological studies. The advancement of technology and the widespread adoption of machine learning methodologies have brought significant attention to this field in recent years. Interdisciplinary efforts have further propelled research into detection methods. Consequently, this study aims to contribute to both the fields of psycholo</t>
        </is>
      </c>
      <c r="V8" s="4" t="inlineStr">
        <is>
          <t>Revisión asistida por IA (un revisor; requiere verificación independiente)</t>
        </is>
      </c>
      <c r="W8" s="40" t="n">
        <v>46269</v>
      </c>
    </row>
    <row r="9" ht="112" customHeight="1">
      <c r="A9" s="4" t="n">
        <v>125</v>
      </c>
      <c r="B9" s="4" t="inlineStr">
        <is>
          <t>10.1016/j.eclinm.2025.103452</t>
        </is>
      </c>
      <c r="C9" s="4" t="inlineStr">
        <is>
          <t>Identification of critical brain regions for autism diagnosis from fMRI data using explainable AI: an observational analysis of the ABIDE dataset</t>
        </is>
      </c>
      <c r="D9" s="4" t="inlineStr">
        <is>
          <t>Include with integrity flag</t>
        </is>
      </c>
      <c r="E9" s="4" t="inlineStr">
        <is>
          <t>Expression of Concern</t>
        </is>
      </c>
      <c r="F9" s="4" t="inlineStr">
        <is>
          <t>Neuroimaging / rs-fMRI</t>
        </is>
      </c>
      <c r="G9" s="4" t="inlineStr">
        <is>
          <t>Hybrid</t>
        </is>
      </c>
      <c r="H9" s="4" t="inlineStr">
        <is>
          <t>SVM-RFE + stacked sparse autoencoder + Softmax</t>
        </is>
      </c>
      <c r="I9" s="4" t="inlineStr">
        <is>
          <t>Classification (ASD vs control)</t>
        </is>
      </c>
      <c r="J9" s="4" t="inlineStr">
        <is>
          <t>Diagnosis</t>
        </is>
      </c>
      <c r="K9" s="4" t="inlineStr">
        <is>
          <t>Proposed only</t>
        </is>
      </c>
      <c r="L9" s="4" t="inlineStr">
        <is>
          <t>Retrospective research model; active Expression of Concern</t>
        </is>
      </c>
      <c r="M9" s="4" t="n">
        <v>0</v>
      </c>
      <c r="N9" s="4" t="n">
        <v>1</v>
      </c>
      <c r="O9" s="4" t="n">
        <v>0</v>
      </c>
      <c r="P9" s="4" t="n">
        <v>0</v>
      </c>
      <c r="Q9" s="4" t="n">
        <v>1</v>
      </c>
      <c r="R9" s="4" t="n">
        <v>0</v>
      </c>
      <c r="S9" s="4" t="n">
        <v>0</v>
      </c>
      <c r="T9" s="4" t="inlineStr">
        <is>
          <t>https://doi.org/10.1016/j.eclinm.2025.103452</t>
        </is>
      </c>
      <c r="U9" s="4" t="inlineStr">
        <is>
          <t>Background: Diagnosis of autism spectrum disorder (ASD) significantly improves quality of life, yet current diagnostic practices rely on subjective behavioural assessments. While machine learning models using functional Magnetic Resonance Imaging (fMRI) show promise for objective diagnosis, existing approaches have critical limitations. High-accuracy models often neglect interpretability, increasing clinical distrust, while interpretable approach</t>
        </is>
      </c>
      <c r="V9" s="4" t="inlineStr">
        <is>
          <t>Revisión asistida por IA (un revisor; requiere verificación independiente)</t>
        </is>
      </c>
      <c r="W9" s="40" t="n">
        <v>46269</v>
      </c>
    </row>
    <row r="10" ht="112" customHeight="1">
      <c r="A10" s="4" t="n">
        <v>132</v>
      </c>
      <c r="B10" s="4" t="inlineStr">
        <is>
          <t>10.1016/j.jpedcp.2025.200176</t>
        </is>
      </c>
      <c r="C10" s="4" t="inlineStr">
        <is>
          <t>A Brief Observation to Screen Autism in Toddlers and Predict Developmental Trajectory</t>
        </is>
      </c>
      <c r="D10" s="4" t="inlineStr">
        <is>
          <t>Include</t>
        </is>
      </c>
      <c r="E10" s="4" t="n"/>
      <c r="F10" s="4" t="inlineStr">
        <is>
          <t>Structured behavioral observation</t>
        </is>
      </c>
      <c r="G10" s="4" t="inlineStr">
        <is>
          <t>Machine Learning</t>
        </is>
      </c>
      <c r="H10" s="4" t="inlineStr">
        <is>
          <t>C5.0 + regression + k-means</t>
        </is>
      </c>
      <c r="I10" s="4" t="inlineStr">
        <is>
          <t>Screening and developmental prediction</t>
        </is>
      </c>
      <c r="J10" s="4" t="inlineStr">
        <is>
          <t>Screening</t>
        </is>
      </c>
      <c r="K10" s="4" t="inlineStr">
        <is>
          <t>Proposed only</t>
        </is>
      </c>
      <c r="L10" s="4" t="inlineStr">
        <is>
          <t>Proposed pediatric screening support</t>
        </is>
      </c>
      <c r="M10" s="4" t="n">
        <v>0</v>
      </c>
      <c r="N10" s="4" t="n">
        <v>0</v>
      </c>
      <c r="O10" s="4" t="n">
        <v>0</v>
      </c>
      <c r="P10" s="4" t="n">
        <v>1</v>
      </c>
      <c r="Q10" s="4" t="n">
        <v>0</v>
      </c>
      <c r="R10" s="4" t="n">
        <v>1</v>
      </c>
      <c r="S10" s="4" t="n">
        <v>0</v>
      </c>
      <c r="T10" s="4" t="inlineStr">
        <is>
          <t>https://doi.org/10.1016/j.jpedcp.2025.200176</t>
        </is>
      </c>
      <c r="U10" s="4" t="inlineStr">
        <is>
          <t>Objective: Autism spectrum disorder (ASD) affects approximately 1 in 31 children. Early diagnosis is crucial for optimizing outcomes through early interventions, and primary care settings need efficient tools to identify children presenting autistic features. This study explores the potential of early socio-communicative behaviors, measured by the Early Social Communication Scales, to screen for ASD in children younger than 3 years old, and predi</t>
        </is>
      </c>
      <c r="V10" s="4" t="inlineStr">
        <is>
          <t>Revisión asistida por IA (un revisor; requiere verificación independiente)</t>
        </is>
      </c>
      <c r="W10" s="40" t="n">
        <v>46269</v>
      </c>
    </row>
    <row r="11" ht="112" customHeight="1">
      <c r="A11" s="4" t="n">
        <v>145</v>
      </c>
      <c r="B11" s="4" t="inlineStr">
        <is>
          <t>10.32604/cmes.2025.074627</t>
        </is>
      </c>
      <c r="C11" s="4" t="inlineStr">
        <is>
          <t>Explainable Ensemble Learning Framework for Early Detection of Autism Spectrum Disorder: Enhancing Trust, Interpretability and Reliability in AI-Driven Healthcare</t>
        </is>
      </c>
      <c r="D11" s="4" t="inlineStr">
        <is>
          <t>Include</t>
        </is>
      </c>
      <c r="E11" s="4" t="n"/>
      <c r="F11" s="4" t="inlineStr">
        <is>
          <t>Multimodal</t>
        </is>
      </c>
      <c r="G11" s="4" t="inlineStr">
        <is>
          <t>Hybrid</t>
        </is>
      </c>
      <c r="H11" s="4" t="inlineStr">
        <is>
          <t>RF/XGBoost/neural-network ensemble</t>
        </is>
      </c>
      <c r="I11" s="4" t="inlineStr">
        <is>
          <t>Screening and severity classification</t>
        </is>
      </c>
      <c r="J11" s="4" t="inlineStr">
        <is>
          <t>Screening</t>
        </is>
      </c>
      <c r="K11" s="4" t="inlineStr">
        <is>
          <t>Proposed only</t>
        </is>
      </c>
      <c r="L11" s="4" t="inlineStr">
        <is>
          <t>Clinician-facing research prototype</t>
        </is>
      </c>
      <c r="M11" s="4" t="n">
        <v>0</v>
      </c>
      <c r="N11" s="4" t="n">
        <v>0</v>
      </c>
      <c r="O11" s="4" t="n">
        <v>0</v>
      </c>
      <c r="P11" s="4" t="n">
        <v>0</v>
      </c>
      <c r="Q11" s="4" t="n">
        <v>1</v>
      </c>
      <c r="R11" s="4" t="n">
        <v>0</v>
      </c>
      <c r="S11" s="4" t="n">
        <v>1</v>
      </c>
      <c r="T11" s="4" t="inlineStr">
        <is>
          <t>https://cdn.techscience.press/files/CMES/2026/TSP_CMES-146-1/TSP_CMES_74627/TSP_CMES_74627.pdf</t>
        </is>
      </c>
      <c r="U11" s="4" t="inlineStr">
        <is>
          <t>Artificial Intelligence (AI) is changing healthcare by helping with diagnosis. However, for doctors to trust AI tools, they need to be both accurate and easy to understand. In this study, we created a new machine learning system for the early detection of Autism Spectrum Disorder (ASD) in children. Our main goal was to build a model that is not only good at predicting ASD but also clear in its reasoning. For this, we combined several different mo</t>
        </is>
      </c>
      <c r="V11" s="4" t="inlineStr">
        <is>
          <t>Revisión asistida por IA (un revisor; requiere verificación independiente)</t>
        </is>
      </c>
      <c r="W11" s="40" t="n">
        <v>46269</v>
      </c>
    </row>
    <row r="12" ht="60" customHeight="1">
      <c r="A12" s="4" t="n">
        <v>160</v>
      </c>
      <c r="B12" s="4" t="inlineStr">
        <is>
          <t>10.2196/85290</t>
        </is>
      </c>
      <c r="C12" s="4" t="inlineStr">
        <is>
          <t>LLM-Assisted Annotation Framework for Cross Platform Analysis of Autism Online Communities: Implications for Parent Education and Digital Support (Preprint)</t>
        </is>
      </c>
      <c r="D12" s="4" t="inlineStr">
        <is>
          <t>Include</t>
        </is>
      </c>
      <c r="E12" s="4" t="n"/>
      <c r="F12" s="4" t="inlineStr">
        <is>
          <t>Text / NLP</t>
        </is>
      </c>
      <c r="G12" s="4" t="inlineStr">
        <is>
          <t>Deep Learning</t>
        </is>
      </c>
      <c r="H12" s="4" t="inlineStr">
        <is>
          <t>Large language models for assisted annotation</t>
        </is>
      </c>
      <c r="I12" s="4" t="inlineStr">
        <is>
          <t>Topic and identity classification</t>
        </is>
      </c>
      <c r="J12" s="4" t="inlineStr">
        <is>
          <t>Not specified</t>
        </is>
      </c>
      <c r="K12" s="4" t="inlineStr">
        <is>
          <t>Research only</t>
        </is>
      </c>
      <c r="L12" s="4" t="inlineStr">
        <is>
          <t>Online-community analysis</t>
        </is>
      </c>
      <c r="M12" s="4" t="n">
        <v>0</v>
      </c>
      <c r="N12" s="4" t="n">
        <v>0</v>
      </c>
      <c r="O12" s="4" t="n">
        <v>0</v>
      </c>
      <c r="P12" s="4" t="n">
        <v>0</v>
      </c>
      <c r="Q12" s="4" t="n">
        <v>0</v>
      </c>
      <c r="R12" s="4" t="n">
        <v>0</v>
      </c>
      <c r="S12" s="4" t="n">
        <v>0</v>
      </c>
      <c r="T12" s="4" t="inlineStr">
        <is>
          <t>https://doi.org/10.2196/85290</t>
        </is>
      </c>
      <c r="U12" s="4" t="n"/>
      <c r="V12" s="4" t="inlineStr">
        <is>
          <t>Revisión asistida por IA (un revisor; requiere verificación independiente)</t>
        </is>
      </c>
      <c r="W12" s="40" t="n">
        <v>46269</v>
      </c>
    </row>
    <row r="13" ht="112" customHeight="1">
      <c r="A13" s="4" t="n">
        <v>169</v>
      </c>
      <c r="B13" s="4" t="inlineStr">
        <is>
          <t>10.2196/85060</t>
        </is>
      </c>
      <c r="C13" s="4" t="inlineStr">
        <is>
          <t>GPT-Powered Chatbot-Based Positive Psychology Intervention for Well-Being Among Parents of Children With Autism Spectrum Disorder: Single-Arm Mixed Methods Study</t>
        </is>
      </c>
      <c r="D13" s="4" t="inlineStr">
        <is>
          <t>Include</t>
        </is>
      </c>
      <c r="E13" s="4" t="n"/>
      <c r="F13" s="4" t="inlineStr">
        <is>
          <t>Multimodal</t>
        </is>
      </c>
      <c r="G13" s="4" t="inlineStr">
        <is>
          <t>Deep Learning</t>
        </is>
      </c>
      <c r="H13" s="4" t="inlineStr">
        <is>
          <t>GPT-powered chatbot</t>
        </is>
      </c>
      <c r="I13" s="4" t="inlineStr">
        <is>
          <t>Digital positive-psychology intervention</t>
        </is>
      </c>
      <c r="J13" s="4" t="inlineStr">
        <is>
          <t>Monitoring/intervention</t>
        </is>
      </c>
      <c r="K13" s="4" t="inlineStr">
        <is>
          <t>Confirmed in intervention</t>
        </is>
      </c>
      <c r="L13" s="4" t="inlineStr">
        <is>
          <t>Evaluated caregiver intervention</t>
        </is>
      </c>
      <c r="M13" s="4" t="n">
        <v>0</v>
      </c>
      <c r="N13" s="4" t="n">
        <v>0</v>
      </c>
      <c r="O13" s="4" t="n">
        <v>0</v>
      </c>
      <c r="P13" s="4" t="n">
        <v>1</v>
      </c>
      <c r="Q13" s="4" t="n">
        <v>0</v>
      </c>
      <c r="R13" s="4" t="n">
        <v>0</v>
      </c>
      <c r="S13" s="4" t="n">
        <v>1</v>
      </c>
      <c r="T13" s="4" t="inlineStr">
        <is>
          <t>https://formative.jmir.org/2026/1/e85060/PDF</t>
        </is>
      </c>
      <c r="U13" s="4" t="inlineStr">
        <is>
          <t>Background: Parents of autistic children frequently experience elevated stress levels, depressive symptoms, and reduced well-being. Positive psychology interventions (PPIs) can strengthen resilience, and chatbots offer a scalable channel through which such skills can be delivered. However, evidence on the evaluation of large language model–guided PPI-based chatbots for this population is limited. Objective: This study evaluated the feasibility an</t>
        </is>
      </c>
      <c r="V13" s="4" t="inlineStr">
        <is>
          <t>Revisión asistida por IA (un revisor; requiere verificación independiente)</t>
        </is>
      </c>
      <c r="W13" s="40" t="n">
        <v>46269</v>
      </c>
    </row>
    <row r="14" ht="60" customHeight="1">
      <c r="A14" s="4" t="n">
        <v>171</v>
      </c>
      <c r="B14" s="4" t="inlineStr">
        <is>
          <t>10.2196/89054</t>
        </is>
      </c>
      <c r="C14" s="4" t="inlineStr">
        <is>
          <t>Artificial Intelligence Prediction of Individual Treatment Response to Smartphone-Based Mindfulness in Autistic Adults with Anxiety Symptoms: A Randomized Controlled Trial Analysis (Preprint)</t>
        </is>
      </c>
      <c r="D14" s="4" t="inlineStr">
        <is>
          <t>Include</t>
        </is>
      </c>
      <c r="E14" s="4" t="n"/>
      <c r="F14" s="4" t="inlineStr">
        <is>
          <t>Structured clinical/self-report data</t>
        </is>
      </c>
      <c r="G14" s="4" t="inlineStr">
        <is>
          <t>Hybrid</t>
        </is>
      </c>
      <c r="H14" s="4" t="inlineStr">
        <is>
          <t>RF/XGBoost/TabNet/TabPFN + GPT-4o</t>
        </is>
      </c>
      <c r="I14" s="4" t="inlineStr">
        <is>
          <t>Treatment-response prediction</t>
        </is>
      </c>
      <c r="J14" s="4" t="inlineStr">
        <is>
          <t>Prognosis</t>
        </is>
      </c>
      <c r="K14" s="4" t="inlineStr">
        <is>
          <t>Proposed only</t>
        </is>
      </c>
      <c r="L14" s="4" t="inlineStr">
        <is>
          <t>Secondary RCT analysis</t>
        </is>
      </c>
      <c r="M14" s="4" t="n">
        <v>0</v>
      </c>
      <c r="N14" s="4" t="n">
        <v>0</v>
      </c>
      <c r="O14" s="4" t="n">
        <v>0</v>
      </c>
      <c r="P14" s="4" t="n">
        <v>0</v>
      </c>
      <c r="Q14" s="4" t="n">
        <v>0</v>
      </c>
      <c r="R14" s="4" t="n">
        <v>1</v>
      </c>
      <c r="S14" s="4" t="n">
        <v>0</v>
      </c>
      <c r="T14" s="4" t="inlineStr">
        <is>
          <t>https://doi.org/10.2196/89054</t>
        </is>
      </c>
      <c r="U14" s="4" t="n"/>
      <c r="V14" s="4" t="inlineStr">
        <is>
          <t>Revisión asistida por IA (un revisor; requiere verificación independiente)</t>
        </is>
      </c>
      <c r="W14" s="40" t="n">
        <v>46269</v>
      </c>
    </row>
    <row r="15" ht="112" customHeight="1">
      <c r="A15" s="4" t="n">
        <v>172</v>
      </c>
      <c r="B15" s="4" t="inlineStr">
        <is>
          <t>10.2196/74440</t>
        </is>
      </c>
      <c r="C15" s="4" t="inlineStr">
        <is>
          <t>Evaluating Public Sentiment on Attention-Deficit/Hyperactivity Disorder and Autism Spectrum Disorder Compared With Other Mental Health Disorders From Posts on X (Formerly Known as Twitter): Longitudinal Analysis</t>
        </is>
      </c>
      <c r="D15" s="4" t="inlineStr">
        <is>
          <t>Include</t>
        </is>
      </c>
      <c r="E15" s="4" t="n"/>
      <c r="F15" s="4" t="inlineStr">
        <is>
          <t>Text / NLP</t>
        </is>
      </c>
      <c r="G15" s="4" t="inlineStr">
        <is>
          <t>Machine Learning</t>
        </is>
      </c>
      <c r="H15" s="4" t="inlineStr">
        <is>
          <t>Supervised text classifiers</t>
        </is>
      </c>
      <c r="I15" s="4" t="inlineStr">
        <is>
          <t>Public-sentiment classification</t>
        </is>
      </c>
      <c r="J15" s="4" t="inlineStr">
        <is>
          <t>Not specified</t>
        </is>
      </c>
      <c r="K15" s="4" t="inlineStr">
        <is>
          <t>Research only</t>
        </is>
      </c>
      <c r="L15" s="4" t="inlineStr">
        <is>
          <t>Population discourse analysis</t>
        </is>
      </c>
      <c r="M15" s="4" t="n">
        <v>0</v>
      </c>
      <c r="N15" s="4" t="n">
        <v>0</v>
      </c>
      <c r="O15" s="4" t="n">
        <v>0</v>
      </c>
      <c r="P15" s="4" t="n">
        <v>0</v>
      </c>
      <c r="Q15" s="4" t="n">
        <v>0</v>
      </c>
      <c r="R15" s="4" t="n">
        <v>0</v>
      </c>
      <c r="S15" s="4" t="n">
        <v>0</v>
      </c>
      <c r="T15" s="4" t="inlineStr">
        <is>
          <t>https://doi.org/10.2196/74440</t>
        </is>
      </c>
      <c r="U15" s="4" t="inlineStr">
        <is>
          <t xml:space="preserve">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t>
        </is>
      </c>
      <c r="V15" s="4" t="inlineStr">
        <is>
          <t>Revisión asistida por IA (un revisor; requiere verificación independiente)</t>
        </is>
      </c>
      <c r="W15" s="40" t="n">
        <v>46269</v>
      </c>
    </row>
    <row r="16" ht="60" customHeight="1">
      <c r="A16" s="4" t="n">
        <v>173</v>
      </c>
      <c r="B16" s="4" t="inlineStr">
        <is>
          <t>10.2196/85196</t>
        </is>
      </c>
      <c r="C16" s="4" t="inlineStr">
        <is>
          <t>From Click to Chat: A Comparative, Bilingual Study of Autism-Related Information on Websites and General-Purpose AI Chatbots (Preprint)</t>
        </is>
      </c>
      <c r="D16" s="4" t="inlineStr">
        <is>
          <t>Include</t>
        </is>
      </c>
      <c r="E16" s="4" t="n"/>
      <c r="F16" s="4" t="inlineStr">
        <is>
          <t>Text / NLP</t>
        </is>
      </c>
      <c r="G16" s="4" t="inlineStr">
        <is>
          <t>Deep Learning</t>
        </is>
      </c>
      <c r="H16" s="4" t="inlineStr">
        <is>
          <t>General-purpose chatbots</t>
        </is>
      </c>
      <c r="I16" s="4" t="inlineStr">
        <is>
          <t>Information-quality evaluation</t>
        </is>
      </c>
      <c r="J16" s="4" t="inlineStr">
        <is>
          <t>Not specified</t>
        </is>
      </c>
      <c r="K16" s="4" t="inlineStr">
        <is>
          <t>Research only</t>
        </is>
      </c>
      <c r="L16" s="4" t="inlineStr">
        <is>
          <t>No care workflow</t>
        </is>
      </c>
      <c r="M16" s="4" t="n">
        <v>0</v>
      </c>
      <c r="N16" s="4" t="n">
        <v>0</v>
      </c>
      <c r="O16" s="4" t="n">
        <v>0</v>
      </c>
      <c r="P16" s="4" t="n">
        <v>0</v>
      </c>
      <c r="Q16" s="4" t="n">
        <v>0</v>
      </c>
      <c r="R16" s="4" t="n">
        <v>0</v>
      </c>
      <c r="S16" s="4" t="n">
        <v>0</v>
      </c>
      <c r="T16" s="4" t="inlineStr">
        <is>
          <t>https://doi.org/10.2196/85196</t>
        </is>
      </c>
      <c r="U16" s="4" t="n"/>
      <c r="V16" s="4" t="inlineStr">
        <is>
          <t>Revisión asistida por IA (un revisor; requiere verificación independiente)</t>
        </is>
      </c>
      <c r="W16" s="40" t="n">
        <v>46269</v>
      </c>
    </row>
    <row r="17" ht="112" customHeight="1">
      <c r="A17" s="4" t="n">
        <v>179</v>
      </c>
      <c r="B17" s="4" t="inlineStr">
        <is>
          <t>10.1002/hbm.70435</t>
        </is>
      </c>
      <c r="C17" s="4" t="inlineStr">
        <is>
          <t>Free Water Corrected Diffusion Magnetic Resonance Imaging Reveals Microstructural Alterations in Corpus Callosum Subregions of Preschool Children With Autism</t>
        </is>
      </c>
      <c r="D17" s="4" t="inlineStr">
        <is>
          <t>Include</t>
        </is>
      </c>
      <c r="E17" s="4" t="n"/>
      <c r="F17" s="4" t="inlineStr">
        <is>
          <t>Neuroimaging / diffusion MRI</t>
        </is>
      </c>
      <c r="G17" s="4" t="inlineStr">
        <is>
          <t>Machine Learning</t>
        </is>
      </c>
      <c r="H17" s="4" t="inlineStr">
        <is>
          <t>Atlas-based ML tract segmentation</t>
        </is>
      </c>
      <c r="I17" s="4" t="inlineStr">
        <is>
          <t>Segmentation and biomarker characterization</t>
        </is>
      </c>
      <c r="J17" s="4" t="inlineStr">
        <is>
          <t>Not specified</t>
        </is>
      </c>
      <c r="K17" s="4" t="inlineStr">
        <is>
          <t>Research only</t>
        </is>
      </c>
      <c r="L17" s="4" t="inlineStr">
        <is>
          <t>Research imaging analysis</t>
        </is>
      </c>
      <c r="M17" s="4" t="n">
        <v>1</v>
      </c>
      <c r="N17" s="4" t="n">
        <v>0</v>
      </c>
      <c r="O17" s="4" t="n">
        <v>0</v>
      </c>
      <c r="P17" s="4" t="n">
        <v>0</v>
      </c>
      <c r="Q17" s="4" t="n">
        <v>0</v>
      </c>
      <c r="R17" s="4" t="n">
        <v>0</v>
      </c>
      <c r="S17" s="4" t="n">
        <v>0</v>
      </c>
      <c r="T17" s="4" t="inlineStr">
        <is>
          <t>https://onlinelibrary.wiley.com/doi/pdfdirect/10.1002/hbm.70435</t>
        </is>
      </c>
      <c r="U17" s="4" t="inlineStr">
        <is>
          <t>Autism spectrum disorder (ASD) is associated with white matter microstructural abnormalities, particularly in the corpus callosum (CC). This study employed free water corrected diffusion magnetic resonance imaging (fwc-dMRI) to investigate CC subregion-specific microstructural alterations in preschool children with ASD, which mitigates partial volume effects from extracellular free water. Sixty-one ASD children (6.03 ± 1.08 years) and 62 typicall</t>
        </is>
      </c>
      <c r="V17" s="4" t="inlineStr">
        <is>
          <t>Revisión asistida por IA (un revisor; requiere verificación independiente)</t>
        </is>
      </c>
      <c r="W17" s="40" t="n">
        <v>46269</v>
      </c>
    </row>
    <row r="18" ht="112" customHeight="1">
      <c r="A18" s="4" t="n">
        <v>182</v>
      </c>
      <c r="B18" s="4" t="inlineStr">
        <is>
          <t>10.3389/fpubh.2026.1881829</t>
        </is>
      </c>
      <c r="C18" s="4" t="inlineStr">
        <is>
          <t>Label leakage unmasked: a trustworthy-AI audit of autism screening models using the CLEAR-RD framework.</t>
        </is>
      </c>
      <c r="D18" s="4" t="inlineStr">
        <is>
          <t>Include</t>
        </is>
      </c>
      <c r="E18" s="4" t="n"/>
      <c r="F18" s="4" t="inlineStr">
        <is>
          <t>Structured screening questionnaires</t>
        </is>
      </c>
      <c r="G18" s="4" t="inlineStr">
        <is>
          <t>Hybrid</t>
        </is>
      </c>
      <c r="H18" s="4" t="inlineStr">
        <is>
          <t>Classical/deep-tabular/prompt models</t>
        </is>
      </c>
      <c r="I18" s="4" t="inlineStr">
        <is>
          <t>Trustworthiness and label-leakage audit</t>
        </is>
      </c>
      <c r="J18" s="4" t="inlineStr">
        <is>
          <t>Screening</t>
        </is>
      </c>
      <c r="K18" s="4" t="inlineStr">
        <is>
          <t>Research only</t>
        </is>
      </c>
      <c r="L18" s="4" t="inlineStr">
        <is>
          <t>Audit; models not clinically deployable</t>
        </is>
      </c>
      <c r="M18" s="4" t="n">
        <v>0</v>
      </c>
      <c r="N18" s="4" t="n">
        <v>0</v>
      </c>
      <c r="O18" s="4" t="n">
        <v>0</v>
      </c>
      <c r="P18" s="4" t="n">
        <v>0</v>
      </c>
      <c r="Q18" s="4" t="n">
        <v>0</v>
      </c>
      <c r="R18" s="4" t="n">
        <v>1</v>
      </c>
      <c r="S18" s="4" t="n">
        <v>0</v>
      </c>
      <c r="T18" s="4" t="inlineStr">
        <is>
          <t>https://www.frontiersin.org/journals/public-health/articles/10.3389/fpubh.2026.1881829/pdf</t>
        </is>
      </c>
      <c r="U18" s="4" t="inlineStr">
        <is>
          <t xml:space="preserve">Trustworthy pediatric screening AI needs more than accuracy: label validity, calibration, subgroup robustness, and clinical-scope limits. We propose Clear-Rd (Clinical Leakage Evaluation and Audit Routine for Rule-Derived labels), a five-stage framework-Configure, Lift, Evaluate, Audit, Report-and apply it to two public autism-screening datasets-Q-CHAT-10 toddler (N = 1054) and AQ-10 child/adolescent/adult (N = 6075)-merged into a unified cohort </t>
        </is>
      </c>
      <c r="V18" s="4" t="inlineStr">
        <is>
          <t>Revisión asistida por IA (un revisor; requiere verificación independiente)</t>
        </is>
      </c>
      <c r="W18" s="40" t="n">
        <v>46269</v>
      </c>
    </row>
    <row r="19" ht="112" customHeight="1">
      <c r="A19" s="4" t="n">
        <v>185</v>
      </c>
      <c r="B19" s="4" t="inlineStr">
        <is>
          <t>10.1016/j.ijchp.2026.100664</t>
        </is>
      </c>
      <c r="C19" s="4" t="inlineStr">
        <is>
          <t>Early multimodal behavioral cues in autism: a micro-analytical exploration of actions, gestures and speech during naturalistic parent-child interactions</t>
        </is>
      </c>
      <c r="D19" s="4" t="inlineStr">
        <is>
          <t>Include</t>
        </is>
      </c>
      <c r="E19" s="4" t="n"/>
      <c r="F19" s="4" t="inlineStr">
        <is>
          <t>Multimodal behavior / speech</t>
        </is>
      </c>
      <c r="G19" s="4" t="inlineStr">
        <is>
          <t>Machine Learning</t>
        </is>
      </c>
      <c r="H19" s="4" t="inlineStr">
        <is>
          <t>Logistic regression with feature selection</t>
        </is>
      </c>
      <c r="I19" s="4" t="inlineStr">
        <is>
          <t>Classification (autistic vs neurotypical)</t>
        </is>
      </c>
      <c r="J19" s="4" t="inlineStr">
        <is>
          <t>Screening</t>
        </is>
      </c>
      <c r="K19" s="4" t="inlineStr">
        <is>
          <t>Proposed only</t>
        </is>
      </c>
      <c r="L19" s="4" t="inlineStr">
        <is>
          <t>Early behavioral-marker research</t>
        </is>
      </c>
      <c r="M19" s="4" t="n">
        <v>0</v>
      </c>
      <c r="N19" s="4" t="n">
        <v>0</v>
      </c>
      <c r="O19" s="4" t="n">
        <v>0</v>
      </c>
      <c r="P19" s="4" t="n">
        <v>0</v>
      </c>
      <c r="Q19" s="4" t="n">
        <v>1</v>
      </c>
      <c r="R19" s="4" t="n">
        <v>0</v>
      </c>
      <c r="S19" s="4" t="n">
        <v>1</v>
      </c>
      <c r="T19" s="4" t="inlineStr">
        <is>
          <t>https://doi.org/10.1016/j.ijchp.2026.100664</t>
        </is>
      </c>
      <c r="U19" s="4" t="inlineStr">
        <is>
          <t>Early signs of autism often emerge through distinct developmental pathways, particularly in communication, social interaction, and play. While naturalistic parent-child interactions during free play are ideal for observing spontaneous social behaviors, few autism studies have adopted this ecological and developmental approach. To address this gap, we used a fine-grained microanalytic method to examine motor, gestural, and vocal behaviors in young</t>
        </is>
      </c>
      <c r="V19" s="4" t="inlineStr">
        <is>
          <t>Revisión asistida por IA (un revisor; requiere verificación independiente)</t>
        </is>
      </c>
      <c r="W19" s="40" t="n">
        <v>46269</v>
      </c>
    </row>
    <row r="20" ht="112" customHeight="1">
      <c r="A20" s="4" t="n">
        <v>186</v>
      </c>
      <c r="B20" s="4" t="inlineStr">
        <is>
          <t>10.1136/bmjment-2026-302488</t>
        </is>
      </c>
      <c r="C20" s="4" t="inlineStr">
        <is>
          <t>Mood instability and mental health service use in autism and attention-deficit/hyperactivity disorder: a natural language processing analysis of CRIS electronic healthcare records from 21 906 children and adolescents.</t>
        </is>
      </c>
      <c r="D20" s="4" t="inlineStr">
        <is>
          <t>Include</t>
        </is>
      </c>
      <c r="E20" s="4" t="n"/>
      <c r="F20" s="4" t="inlineStr">
        <is>
          <t>Clinical text / EHR</t>
        </is>
      </c>
      <c r="G20" s="4" t="inlineStr">
        <is>
          <t>Machine Learning</t>
        </is>
      </c>
      <c r="H20" s="4" t="inlineStr">
        <is>
          <t>NLP extraction + regression models</t>
        </is>
      </c>
      <c r="I20" s="4" t="inlineStr">
        <is>
          <t>Extraction and service-use prediction</t>
        </is>
      </c>
      <c r="J20" s="4" t="inlineStr">
        <is>
          <t>Monitoring/intervention</t>
        </is>
      </c>
      <c r="K20" s="4" t="inlineStr">
        <is>
          <t>Proposed only</t>
        </is>
      </c>
      <c r="L20" s="4" t="inlineStr">
        <is>
          <t>Retrospective EHR analysis</t>
        </is>
      </c>
      <c r="M20" s="4" t="n">
        <v>0</v>
      </c>
      <c r="N20" s="4" t="n">
        <v>0</v>
      </c>
      <c r="O20" s="4" t="n">
        <v>0</v>
      </c>
      <c r="P20" s="4" t="n">
        <v>0</v>
      </c>
      <c r="Q20" s="4" t="n">
        <v>0</v>
      </c>
      <c r="R20" s="4" t="n">
        <v>0</v>
      </c>
      <c r="S20" s="4" t="n">
        <v>0</v>
      </c>
      <c r="T20" s="4" t="inlineStr">
        <is>
          <t>https://mentalhealth.bmj.com/content/29/1/e302488.full.pdf</t>
        </is>
      </c>
      <c r="U20" s="4" t="inlineStr">
        <is>
          <t>BACKGROUND Children and young people (CYP) with neurodevelopmental diagnoses such as autism spectrum disorder (ASD) and attention-deficit/hyperactivity disorder (ADHD) have high child and adolescent mental health service (CAMHS) needs. Mood instability is a common and impairing emotion dysregulation-related symptom linked to increased adult psychiatric service use; however, its role in CAMHS trajectories remains unclear. We aimed to examine wheth</t>
        </is>
      </c>
      <c r="V20" s="4" t="inlineStr">
        <is>
          <t>Revisión asistida por IA (un revisor; requiere verificación independiente)</t>
        </is>
      </c>
      <c r="W20" s="40" t="n">
        <v>46269</v>
      </c>
    </row>
    <row r="21" ht="112" customHeight="1">
      <c r="A21" s="4" t="n">
        <v>191</v>
      </c>
      <c r="B21" s="4" t="inlineStr">
        <is>
          <t>10.1016/j.neunet.2025.108295</t>
        </is>
      </c>
      <c r="C21" s="4" t="inlineStr">
        <is>
          <t>A functional system-informed graph neural network framework to quantify interpretable brain dysfunction in ASD</t>
        </is>
      </c>
      <c r="D21" s="4" t="inlineStr">
        <is>
          <t>Include</t>
        </is>
      </c>
      <c r="E21" s="4" t="n"/>
      <c r="F21" s="4" t="inlineStr">
        <is>
          <t>Neuroimaging / fMRI</t>
        </is>
      </c>
      <c r="G21" s="4" t="inlineStr">
        <is>
          <t>Deep Learning</t>
        </is>
      </c>
      <c r="H21" s="4" t="inlineStr">
        <is>
          <t>Functional system-informed graph neural network</t>
        </is>
      </c>
      <c r="I21" s="4" t="inlineStr">
        <is>
          <t>Classification (ASD vs control)</t>
        </is>
      </c>
      <c r="J21" s="4" t="inlineStr">
        <is>
          <t>Diagnosis</t>
        </is>
      </c>
      <c r="K21" s="4" t="inlineStr">
        <is>
          <t>Proposed only</t>
        </is>
      </c>
      <c r="L21" s="4" t="inlineStr">
        <is>
          <t>Retrospective diagnostic research</t>
        </is>
      </c>
      <c r="M21" s="4" t="n">
        <v>0</v>
      </c>
      <c r="N21" s="4" t="n">
        <v>1</v>
      </c>
      <c r="O21" s="4" t="n">
        <v>0</v>
      </c>
      <c r="P21" s="4" t="n">
        <v>0</v>
      </c>
      <c r="Q21" s="4" t="n">
        <v>0</v>
      </c>
      <c r="R21" s="4" t="n">
        <v>1</v>
      </c>
      <c r="S21" s="4" t="n">
        <v>0</v>
      </c>
      <c r="T21" s="4" t="inlineStr">
        <is>
          <t>https://pmc.ncbi.nlm.nih.gov/articles/PMC13179114/</t>
        </is>
      </c>
      <c r="U21" s="4" t="inlineStr">
        <is>
          <t>Autism Spectrum Disorder (ASD) is one of the most common neurodevelopmental disorders affecting patients from childhood to adulthood. Yet, its pathological mechanism has not been conclusively established, and its diagnosis mainly depends on subjective assessments of clinical or behavioral measures. In the human brain, connectivity is ubiquitous between brain regions that share functional properties, and groups of brain regions spontaneously assem</t>
        </is>
      </c>
      <c r="V21" s="4" t="inlineStr">
        <is>
          <t>Revisión asistida por IA (un revisor; requiere verificación independiente)</t>
        </is>
      </c>
      <c r="W21" s="40" t="n">
        <v>46269</v>
      </c>
    </row>
    <row r="22" ht="112" customHeight="1">
      <c r="A22" s="4" t="n">
        <v>197</v>
      </c>
      <c r="B22" s="4" t="inlineStr">
        <is>
          <t>10.1016/j.artmed.2025.103318</t>
        </is>
      </c>
      <c r="C22" s="4" t="inlineStr">
        <is>
          <t>Deep learning for autism detection using clinical notes: A comparison of transfer learning for a transparent and black-box approach</t>
        </is>
      </c>
      <c r="D22" s="4" t="inlineStr">
        <is>
          <t>Include</t>
        </is>
      </c>
      <c r="E22" s="4" t="n"/>
      <c r="F22" s="4" t="inlineStr">
        <is>
          <t>Clinical text / NLP</t>
        </is>
      </c>
      <c r="G22" s="4" t="inlineStr">
        <is>
          <t>Deep Learning</t>
        </is>
      </c>
      <c r="H22" s="4" t="inlineStr">
        <is>
          <t>BioBERT models</t>
        </is>
      </c>
      <c r="I22" s="4" t="inlineStr">
        <is>
          <t>Classification from clinical notes</t>
        </is>
      </c>
      <c r="J22" s="4" t="inlineStr">
        <is>
          <t>Diagnosis</t>
        </is>
      </c>
      <c r="K22" s="4" t="inlineStr">
        <is>
          <t>Proposed only</t>
        </is>
      </c>
      <c r="L22" s="4" t="inlineStr">
        <is>
          <t>Real-world records, not deployed</t>
        </is>
      </c>
      <c r="M22" s="4" t="n">
        <v>1</v>
      </c>
      <c r="N22" s="4" t="n">
        <v>0</v>
      </c>
      <c r="O22" s="4" t="n">
        <v>0</v>
      </c>
      <c r="P22" s="4" t="n">
        <v>0</v>
      </c>
      <c r="Q22" s="4" t="n">
        <v>0</v>
      </c>
      <c r="R22" s="4" t="n">
        <v>1</v>
      </c>
      <c r="S22" s="4" t="n">
        <v>0</v>
      </c>
      <c r="T22" s="4" t="inlineStr">
        <is>
          <t>https://doi.org/10.1016/j.artmed.2025.103318</t>
        </is>
      </c>
      <c r="U22" s="4" t="inlineStr">
        <is>
          <t>Autism spectrum disorder (ASD) is a complex neurodevelopmental condition whose rising prevalence places increasing demands on a lengthy diagnostic process. Machine learning (ML) has shown promise in automating ASD diagnosis, but most existing models operate as black boxes and are typically trained on a single dataset, limiting their generalizability. In this study, we introduce a transparent and interpretable ML approach that leverages BioBERT, a</t>
        </is>
      </c>
      <c r="V22" s="4" t="inlineStr">
        <is>
          <t>Revisión asistida por IA (un revisor; requiere verificación independiente)</t>
        </is>
      </c>
      <c r="W22" s="40" t="n">
        <v>46269</v>
      </c>
    </row>
    <row r="23" ht="112" customHeight="1">
      <c r="A23" s="4" t="n">
        <v>200</v>
      </c>
      <c r="B23" s="4" t="inlineStr">
        <is>
          <t>10.1038/s41398-026-03823-y</t>
        </is>
      </c>
      <c r="C23" s="4" t="inlineStr">
        <is>
          <t>Finding the forest in the trees: Using machine learning and online cognitive and perceptual measures to predict adult autism diagnosis</t>
        </is>
      </c>
      <c r="D23" s="4" t="inlineStr">
        <is>
          <t>Include</t>
        </is>
      </c>
      <c r="E23" s="4" t="n"/>
      <c r="F23" s="4" t="inlineStr">
        <is>
          <t>Cognitive task and questionnaire data</t>
        </is>
      </c>
      <c r="G23" s="4" t="inlineStr">
        <is>
          <t>Machine Learning</t>
        </is>
      </c>
      <c r="H23" s="4" t="inlineStr">
        <is>
          <t>Random forest</t>
        </is>
      </c>
      <c r="I23" s="4" t="inlineStr">
        <is>
          <t>Classification / screening prediction</t>
        </is>
      </c>
      <c r="J23" s="4" t="inlineStr">
        <is>
          <t>Screening</t>
        </is>
      </c>
      <c r="K23" s="4" t="inlineStr">
        <is>
          <t>Proposed only</t>
        </is>
      </c>
      <c r="L23" s="4" t="inlineStr">
        <is>
          <t>Online screening augmentation</t>
        </is>
      </c>
      <c r="M23" s="4" t="n">
        <v>0</v>
      </c>
      <c r="N23" s="4" t="n">
        <v>0</v>
      </c>
      <c r="O23" s="4" t="n">
        <v>0</v>
      </c>
      <c r="P23" s="4" t="n">
        <v>0</v>
      </c>
      <c r="Q23" s="4" t="n">
        <v>0</v>
      </c>
      <c r="R23" s="4" t="n">
        <v>1</v>
      </c>
      <c r="S23" s="4" t="n">
        <v>0</v>
      </c>
      <c r="T23" s="4" t="inlineStr">
        <is>
          <t>https://www.nature.com/articles/s41398-026-03823-y.pdf</t>
        </is>
      </c>
      <c r="U23" s="4" t="inlineStr">
        <is>
          <t>Traditional subjective measures are limited in the insight they provide into underlying behavioral differences associated with autism and, accordingly, their ability to predict diagnosis. Performance-based measures offer an attractive alternative, being designed to capture neuropsychological constructs more directly and objectively. However, due to the heterogeneity of autism, differences in any one specific neuropsychological domain are inconsis</t>
        </is>
      </c>
      <c r="V23" s="4" t="inlineStr">
        <is>
          <t>Revisión asistida por IA (un revisor; requiere verificación independiente)</t>
        </is>
      </c>
      <c r="W23" s="40" t="n">
        <v>46269</v>
      </c>
    </row>
    <row r="24" ht="112" customHeight="1">
      <c r="A24" s="4" t="n">
        <v>210</v>
      </c>
      <c r="B24" s="4" t="inlineStr">
        <is>
          <t>10.3390/s26061862</t>
        </is>
      </c>
      <c r="C24" s="4" t="inlineStr">
        <is>
          <t>Biomarker Discovery for Autism Prediction Using Massive Feature Extraction Based on EEG Signals</t>
        </is>
      </c>
      <c r="D24" s="4" t="inlineStr">
        <is>
          <t>Include</t>
        </is>
      </c>
      <c r="E24" s="4" t="n"/>
      <c r="F24" s="4" t="inlineStr">
        <is>
          <t>Physiological signals / EEG</t>
        </is>
      </c>
      <c r="G24" s="4" t="inlineStr">
        <is>
          <t>Machine Learning</t>
        </is>
      </c>
      <c r="H24" s="4" t="inlineStr">
        <is>
          <t>HCTSA + SVM/MLP/random forest</t>
        </is>
      </c>
      <c r="I24" s="4" t="inlineStr">
        <is>
          <t>Classification (ASD vs control)</t>
        </is>
      </c>
      <c r="J24" s="4" t="inlineStr">
        <is>
          <t>Diagnosis</t>
        </is>
      </c>
      <c r="K24" s="4" t="inlineStr">
        <is>
          <t>Proposed only</t>
        </is>
      </c>
      <c r="L24" s="4" t="inlineStr">
        <is>
          <t>Research biomarker model</t>
        </is>
      </c>
      <c r="M24" s="4" t="n">
        <v>0</v>
      </c>
      <c r="N24" s="4" t="n">
        <v>0</v>
      </c>
      <c r="O24" s="4" t="n">
        <v>0</v>
      </c>
      <c r="P24" s="4" t="n">
        <v>0</v>
      </c>
      <c r="Q24" s="4" t="n">
        <v>1</v>
      </c>
      <c r="R24" s="4" t="n">
        <v>0</v>
      </c>
      <c r="S24" s="4" t="n">
        <v>0</v>
      </c>
      <c r="T24" s="4" t="inlineStr">
        <is>
          <t>https://www.mdpi.com/1424-8220/26/6/1862/pdf?version=1773629441</t>
        </is>
      </c>
      <c r="U24" s="4" t="inlineStr">
        <is>
          <t>Autism spectrum disorder (ASD) is a heterogeneous neurodevelopmental disorder that requires early diagnosis for better intervention. However, current clinical behavioural examinations are time-consuming and prone to human error. Objective and effective biomarkers are essential for the diagnosis and prognosis of the disorder. Electroencephalography (EEG) is a non-invasive and inexpensive brain-imaging technique that is widely applied in the diagno</t>
        </is>
      </c>
      <c r="V24" s="4" t="inlineStr">
        <is>
          <t>Revisión asistida por IA (un revisor; requiere verificación independiente)</t>
        </is>
      </c>
      <c r="W24" s="40" t="n">
        <v>46269</v>
      </c>
    </row>
    <row r="25" ht="112" customHeight="1">
      <c r="A25" s="4" t="n">
        <v>212</v>
      </c>
      <c r="B25" s="4" t="inlineStr">
        <is>
          <t>10.1371/journal.pone.0345522</t>
        </is>
      </c>
      <c r="C25" s="4" t="inlineStr">
        <is>
          <t>Comparison of cognitive ability and its distribution between men with autism spectrum disorder and attention-deficit/hyperactivity disorder</t>
        </is>
      </c>
      <c r="D25" s="4" t="inlineStr">
        <is>
          <t>Include</t>
        </is>
      </c>
      <c r="E25" s="4" t="n"/>
      <c r="F25" s="4" t="inlineStr">
        <is>
          <t>Structured cognitive assessment</t>
        </is>
      </c>
      <c r="G25" s="4" t="inlineStr">
        <is>
          <t>Machine Learning</t>
        </is>
      </c>
      <c r="H25" s="4" t="inlineStr">
        <is>
          <t>Classifier + Gaussian-mixture clustering</t>
        </is>
      </c>
      <c r="I25" s="4" t="inlineStr">
        <is>
          <t>Differential classification and subtyping</t>
        </is>
      </c>
      <c r="J25" s="4" t="inlineStr">
        <is>
          <t>Diagnosis</t>
        </is>
      </c>
      <c r="K25" s="4" t="inlineStr">
        <is>
          <t>Research only</t>
        </is>
      </c>
      <c r="L25" s="4" t="inlineStr">
        <is>
          <t>ASD/ADHD cognitive profiling</t>
        </is>
      </c>
      <c r="M25" s="4" t="n">
        <v>0</v>
      </c>
      <c r="N25" s="4" t="n">
        <v>0</v>
      </c>
      <c r="O25" s="4" t="n">
        <v>0</v>
      </c>
      <c r="P25" s="4" t="n">
        <v>0</v>
      </c>
      <c r="Q25" s="4" t="n">
        <v>0</v>
      </c>
      <c r="R25" s="4" t="n">
        <v>0</v>
      </c>
      <c r="S25" s="4" t="n">
        <v>0</v>
      </c>
      <c r="T25" s="4" t="inlineStr">
        <is>
          <t>https://journals.plos.org/plosone/article/file?id=10.1371/journal.pone.0345522&amp;type=printable</t>
        </is>
      </c>
      <c r="U25" s="4" t="inlineStr">
        <is>
          <t>Objectives Clarification of the strengths and weaknesses of cognitive ability is essential to our understanding of the characteristics of autism spectrum disorder and attention deficit/ hyperactivity disorder. However, whether individuals with these conditions exhibit distinct patterns of cognitive ability remains unclear. To address this point, we aimed to compare the cognitive profiles of patients with autism spectrum disorder with those of pat</t>
        </is>
      </c>
      <c r="V25" s="4" t="inlineStr">
        <is>
          <t>Revisión asistida por IA (un revisor; requiere verificación independiente)</t>
        </is>
      </c>
      <c r="W25" s="40" t="n">
        <v>46269</v>
      </c>
    </row>
    <row r="26" ht="112" customHeight="1">
      <c r="A26" s="4" t="n">
        <v>214</v>
      </c>
      <c r="B26" s="4" t="inlineStr">
        <is>
          <t>10.1002/AUR.70124</t>
        </is>
      </c>
      <c r="C26" s="4" t="inlineStr">
        <is>
          <t>Hippocampal Subregion Function and Its Clinical Correlations in Childhood Autism Spectrum Disorders</t>
        </is>
      </c>
      <c r="D26" s="4" t="inlineStr">
        <is>
          <t>Include</t>
        </is>
      </c>
      <c r="E26" s="4" t="n"/>
      <c r="F26" s="4" t="inlineStr">
        <is>
          <t>Neuroimaging / rs-fMRI</t>
        </is>
      </c>
      <c r="G26" s="4" t="inlineStr">
        <is>
          <t>Machine Learning</t>
        </is>
      </c>
      <c r="H26" s="4" t="inlineStr">
        <is>
          <t>Random forest + SVM/logistic regression</t>
        </is>
      </c>
      <c r="I26" s="4" t="inlineStr">
        <is>
          <t>Classification and connectivity characterization</t>
        </is>
      </c>
      <c r="J26" s="4" t="inlineStr">
        <is>
          <t>Diagnosis</t>
        </is>
      </c>
      <c r="K26" s="4" t="inlineStr">
        <is>
          <t>Research only</t>
        </is>
      </c>
      <c r="L26" s="4" t="inlineStr">
        <is>
          <t>Retrospective ABIDE analysis</t>
        </is>
      </c>
      <c r="M26" s="4" t="n">
        <v>0</v>
      </c>
      <c r="N26" s="4" t="n">
        <v>1</v>
      </c>
      <c r="O26" s="4" t="n">
        <v>0</v>
      </c>
      <c r="P26" s="4" t="n">
        <v>0</v>
      </c>
      <c r="Q26" s="4" t="n">
        <v>0</v>
      </c>
      <c r="R26" s="4" t="n">
        <v>0</v>
      </c>
      <c r="S26" s="4" t="n">
        <v>0</v>
      </c>
      <c r="T26" s="4" t="inlineStr">
        <is>
          <t>https://onlinelibrary.wiley.com/doi/pdfdirect/10.1002/aur.70124</t>
        </is>
      </c>
      <c r="U26" s="4" t="inlineStr">
        <is>
          <t>The hippocampus plays a crucial role in memory and social processing, both of which are impaired in autism spectrum disorder (ASD). Investigating the functional activity of hippocampal subregions can provide valuable insights into their involvement in ASD-related social and behavioral symptoms. This study analyzed hippocampal resting-state functional connectivity (rsFC) in 507 male child participants from the ABIDE dataset (225 ASD, 282 typical c</t>
        </is>
      </c>
      <c r="V26" s="4" t="inlineStr">
        <is>
          <t>Revisión asistida por IA (un revisor; requiere verificación independiente)</t>
        </is>
      </c>
      <c r="W26" s="40" t="n">
        <v>46269</v>
      </c>
    </row>
    <row r="27" ht="112" customHeight="1">
      <c r="A27" s="4" t="n">
        <v>216</v>
      </c>
      <c r="B27" s="4" t="inlineStr">
        <is>
          <t>10.1002/AUR.70189</t>
        </is>
      </c>
      <c r="C27" s="4" t="inlineStr">
        <is>
          <t>Parental Stress and Caregiver Role Modulate Child–Caregiver Prosodic Synchrony in Autism: A Computational Analysis</t>
        </is>
      </c>
      <c r="D27" s="4" t="inlineStr">
        <is>
          <t>Include</t>
        </is>
      </c>
      <c r="E27" s="4" t="n"/>
      <c r="F27" s="4" t="inlineStr">
        <is>
          <t>Audio / voice</t>
        </is>
      </c>
      <c r="G27" s="4" t="inlineStr">
        <is>
          <t>Deep Learning</t>
        </is>
      </c>
      <c r="H27" s="4" t="inlineStr">
        <is>
          <t>Speech segmentation + CRQA</t>
        </is>
      </c>
      <c r="I27" s="4" t="inlineStr">
        <is>
          <t>Segmentation and synchrony characterization</t>
        </is>
      </c>
      <c r="J27" s="4" t="inlineStr">
        <is>
          <t>Monitoring/intervention</t>
        </is>
      </c>
      <c r="K27" s="4" t="inlineStr">
        <is>
          <t>Research only</t>
        </is>
      </c>
      <c r="L27" s="4" t="inlineStr">
        <is>
          <t>Longitudinal interaction analysis</t>
        </is>
      </c>
      <c r="M27" s="4" t="n">
        <v>0</v>
      </c>
      <c r="N27" s="4" t="n">
        <v>0</v>
      </c>
      <c r="O27" s="4" t="n">
        <v>0</v>
      </c>
      <c r="P27" s="4" t="n">
        <v>0</v>
      </c>
      <c r="Q27" s="4" t="n">
        <v>0</v>
      </c>
      <c r="R27" s="4" t="n">
        <v>0</v>
      </c>
      <c r="S27" s="4" t="n">
        <v>0</v>
      </c>
      <c r="T27" s="4" t="inlineStr">
        <is>
          <t>https://onlinelibrary.wiley.com/doi/pdfdirect/10.1002/aur.70189</t>
        </is>
      </c>
      <c r="U27" s="4" t="inlineStr">
        <is>
          <t>Parental stress influences parent–child interactions in typical development and is a prognostic factor of autism outcome. However, we still do not know to what extent parental stress affects parent–child interactions and whether caregiver role matters. This study explored the relationship between parental stress and prosodic synchrony in parent–child vocal interactions, drawing on complex dynamic systems and affective computing frameworks. We ass</t>
        </is>
      </c>
      <c r="V27" s="4" t="inlineStr">
        <is>
          <t>Revisión asistida por IA (un revisor; requiere verificación independiente)</t>
        </is>
      </c>
      <c r="W27" s="40" t="n">
        <v>46269</v>
      </c>
    </row>
    <row r="28" ht="112" customHeight="1">
      <c r="A28" s="4" t="n">
        <v>217</v>
      </c>
      <c r="B28" s="4" t="inlineStr">
        <is>
          <t>10.1002/PED4.70064</t>
        </is>
      </c>
      <c r="C28" s="4" t="inlineStr">
        <is>
          <t>Predicting brain age in children aged 2–6 years with autism spectrum disorders using routine T1- and T2-weighted magnetic resonance imaging</t>
        </is>
      </c>
      <c r="D28" s="4" t="inlineStr">
        <is>
          <t>Include</t>
        </is>
      </c>
      <c r="E28" s="4" t="n"/>
      <c r="F28" s="4" t="inlineStr">
        <is>
          <t>Neuroimaging / T1-T2 MRI</t>
        </is>
      </c>
      <c r="G28" s="4" t="inlineStr">
        <is>
          <t>Machine Learning</t>
        </is>
      </c>
      <c r="H28" s="4" t="inlineStr">
        <is>
          <t>Ridge-regression brain-age model</t>
        </is>
      </c>
      <c r="I28" s="4" t="inlineStr">
        <is>
          <t>Brain-age prediction</t>
        </is>
      </c>
      <c r="J28" s="4" t="inlineStr">
        <is>
          <t>Prognosis</t>
        </is>
      </c>
      <c r="K28" s="4" t="inlineStr">
        <is>
          <t>Research only</t>
        </is>
      </c>
      <c r="L28" s="4" t="inlineStr">
        <is>
          <t>Developmental characterization</t>
        </is>
      </c>
      <c r="M28" s="4" t="n">
        <v>1</v>
      </c>
      <c r="N28" s="4" t="n">
        <v>0</v>
      </c>
      <c r="O28" s="4" t="n">
        <v>0</v>
      </c>
      <c r="P28" s="4" t="n">
        <v>0</v>
      </c>
      <c r="Q28" s="4" t="n">
        <v>0</v>
      </c>
      <c r="R28" s="4" t="n">
        <v>0</v>
      </c>
      <c r="S28" s="4" t="n">
        <v>0</v>
      </c>
      <c r="T28" s="4" t="inlineStr">
        <is>
          <t>https://doi.org/10.1002/ped4.70064</t>
        </is>
      </c>
      <c r="U28" s="4" t="inlineStr">
        <is>
          <t>Importance: Early childhood (ages 2–6 years) represents a dynamic phase of brain maturation and a critical window for the emergence of neurodevelopmental disorders, such as autism spectrum disorder (ASD). However, the maturational patterns of the brain during this period remain underexplored, especially regarding the utility of routine clinical imaging. Objective: To develop a brain age prediction model using routine magnetic resonance imaging (M</t>
        </is>
      </c>
      <c r="V28" s="4" t="inlineStr">
        <is>
          <t>Revisión asistida por IA (un revisor; requiere verificación independiente)</t>
        </is>
      </c>
      <c r="W28" s="40" t="n">
        <v>46269</v>
      </c>
    </row>
    <row r="29" ht="112" customHeight="1">
      <c r="A29" s="4" t="n">
        <v>228</v>
      </c>
      <c r="B29" s="4" t="inlineStr">
        <is>
          <t>10.3390/biom16030340</t>
        </is>
      </c>
      <c r="C29" s="4" t="inlineStr">
        <is>
          <t>Unveiling Diagnostic Biomarkers in Autism: A Comparative Proteome Analysis of CNTNAP2 Knockout Mice and Human ASD Patients</t>
        </is>
      </c>
      <c r="D29" s="4" t="inlineStr">
        <is>
          <t>Include</t>
        </is>
      </c>
      <c r="E29" s="4" t="n"/>
      <c r="F29" s="4" t="inlineStr">
        <is>
          <t>Biological/omics / proteomics</t>
        </is>
      </c>
      <c r="G29" s="4" t="inlineStr">
        <is>
          <t>Machine Learning</t>
        </is>
      </c>
      <c r="H29" s="4" t="inlineStr">
        <is>
          <t>Extra Trees + XGBoost</t>
        </is>
      </c>
      <c r="I29" s="4" t="inlineStr">
        <is>
          <t>Biomarker classification</t>
        </is>
      </c>
      <c r="J29" s="4" t="inlineStr">
        <is>
          <t>Not specified</t>
        </is>
      </c>
      <c r="K29" s="4" t="inlineStr">
        <is>
          <t>Research only</t>
        </is>
      </c>
      <c r="L29" s="4" t="inlineStr">
        <is>
          <t>Cross-species biomarker research</t>
        </is>
      </c>
      <c r="M29" s="4" t="n">
        <v>0</v>
      </c>
      <c r="N29" s="4" t="n">
        <v>0</v>
      </c>
      <c r="O29" s="4" t="n">
        <v>0</v>
      </c>
      <c r="P29" s="4" t="n">
        <v>0</v>
      </c>
      <c r="Q29" s="4" t="n">
        <v>0</v>
      </c>
      <c r="R29" s="4" t="n">
        <v>1</v>
      </c>
      <c r="S29" s="4" t="n">
        <v>1</v>
      </c>
      <c r="T29" s="4" t="inlineStr">
        <is>
          <t>https://doi.org/10.3390/biom16030340</t>
        </is>
      </c>
      <c r="U29" s="4" t="inlineStr">
        <is>
          <t>Autism Spectrum Disorder (ASD) is a biologically heterogeneous neurodevelopmental condition, presenting a major barrier to the identification of robust and translatable molecular biomarkers. Here, we employ a cross-species proteomic framework to identify conserved protein signatures associated with ASD. Quantitative proteomic profiling of brain and serum from CNTNAP2 knockout mice, integrated with serum proteomes from individuals with ASD, reveal</t>
        </is>
      </c>
      <c r="V29" s="4" t="inlineStr">
        <is>
          <t>Revisión asistida por IA (un revisor; requiere verificación independiente)</t>
        </is>
      </c>
      <c r="W29" s="40" t="n">
        <v>46269</v>
      </c>
    </row>
    <row r="30" ht="112" customHeight="1">
      <c r="A30" s="4" t="n">
        <v>237</v>
      </c>
      <c r="B30" s="4" t="inlineStr">
        <is>
          <t>10.3390/s25247485</t>
        </is>
      </c>
      <c r="C30" s="4" t="inlineStr">
        <is>
          <t>Late Fusion Model for Emotion Recognition from Facial Expressions and Biosignals in a Dataset of Children with Autism Spectrum Disorder</t>
        </is>
      </c>
      <c r="D30" s="4" t="inlineStr">
        <is>
          <t>Include</t>
        </is>
      </c>
      <c r="E30" s="4" t="n"/>
      <c r="F30" s="4" t="inlineStr">
        <is>
          <t>Multimodal</t>
        </is>
      </c>
      <c r="G30" s="4" t="inlineStr">
        <is>
          <t>Hybrid</t>
        </is>
      </c>
      <c r="H30" s="4" t="inlineStr">
        <is>
          <t>Modality-specific models + late fusion</t>
        </is>
      </c>
      <c r="I30" s="4" t="inlineStr">
        <is>
          <t>Emotion recognition</t>
        </is>
      </c>
      <c r="J30" s="4" t="inlineStr">
        <is>
          <t>Monitoring/intervention</t>
        </is>
      </c>
      <c r="K30" s="4" t="inlineStr">
        <is>
          <t>Research only</t>
        </is>
      </c>
      <c r="L30" s="4" t="inlineStr">
        <is>
          <t>Assistive-robotics research</t>
        </is>
      </c>
      <c r="M30" s="4" t="n">
        <v>0</v>
      </c>
      <c r="N30" s="4" t="n">
        <v>0</v>
      </c>
      <c r="O30" s="4" t="n">
        <v>0</v>
      </c>
      <c r="P30" s="4" t="n">
        <v>0</v>
      </c>
      <c r="Q30" s="4" t="n">
        <v>0</v>
      </c>
      <c r="R30" s="4" t="n">
        <v>0</v>
      </c>
      <c r="S30" s="4" t="n">
        <v>1</v>
      </c>
      <c r="T30" s="4" t="inlineStr">
        <is>
          <t>https://www.mdpi.com/1424-8220/25/24/7485/pdf?version=1765281915</t>
        </is>
      </c>
      <c r="U30" s="4" t="inlineStr">
        <is>
          <t xml:space="preserve">Children with autism spectrum disorder (ASD) often display atypical emotional expressions and physiological responses, making emotion recognition challenging. This study proposes a multimodal recognition model employing a late fusion framework combining facial expression with physiological measures: electrodermal activity (EDA), temperature (TEMP), and heart rate (HR). Emotional states are annotated using two complementary schemes derived from a </t>
        </is>
      </c>
      <c r="V30" s="4" t="inlineStr">
        <is>
          <t>Revisión asistida por IA (un revisor; requiere verificación independiente)</t>
        </is>
      </c>
      <c r="W30" s="40" t="n">
        <v>46269</v>
      </c>
    </row>
    <row r="31" ht="112" customHeight="1">
      <c r="A31" s="4" t="n">
        <v>247</v>
      </c>
      <c r="B31" s="4" t="inlineStr">
        <is>
          <t>10.1038/s41598-025-26307-3</t>
        </is>
      </c>
      <c r="C31" s="4" t="inlineStr">
        <is>
          <t>New intelligent music therapy method for applications of enhancing social skills of autism children based on TL-GCN and deep learning</t>
        </is>
      </c>
      <c r="D31" s="4" t="inlineStr">
        <is>
          <t>Include</t>
        </is>
      </c>
      <c r="E31" s="4" t="n"/>
      <c r="F31" s="4" t="inlineStr">
        <is>
          <t>Multimodal</t>
        </is>
      </c>
      <c r="G31" s="4" t="inlineStr">
        <is>
          <t>Deep Learning</t>
        </is>
      </c>
      <c r="H31" s="4" t="inlineStr">
        <is>
          <t>Transformer + transfer-learning GCN</t>
        </is>
      </c>
      <c r="I31" s="4" t="inlineStr">
        <is>
          <t>Emotion recognition and adaptive intervention</t>
        </is>
      </c>
      <c r="J31" s="4" t="inlineStr">
        <is>
          <t>Monitoring/intervention</t>
        </is>
      </c>
      <c r="K31" s="4" t="inlineStr">
        <is>
          <t>Confirmed in intervention</t>
        </is>
      </c>
      <c r="L31" s="4" t="inlineStr">
        <is>
          <t>Evaluated real-world intervention</t>
        </is>
      </c>
      <c r="M31" s="4" t="n">
        <v>0</v>
      </c>
      <c r="N31" s="4" t="n">
        <v>0</v>
      </c>
      <c r="O31" s="4" t="n">
        <v>0</v>
      </c>
      <c r="P31" s="4" t="n">
        <v>1</v>
      </c>
      <c r="Q31" s="4" t="n">
        <v>0</v>
      </c>
      <c r="R31" s="4" t="n">
        <v>0</v>
      </c>
      <c r="S31" s="4" t="n">
        <v>1</v>
      </c>
      <c r="T31" s="4" t="inlineStr">
        <is>
          <t>https://www.nature.com/articles/s41598-025-26307-3.pdf</t>
        </is>
      </c>
      <c r="U31" s="4" t="inlineStr">
        <is>
          <t>To address the long-standing challenges children with autism face in social skills and emotional regulation, this study introduces Emotion-based Music Intelligent Network (EmoMusik-Net)—a deep learning model designed for intelligent music therapy. The model focuses on emotional impairments exhibited during social interactions, integrating Transformer-based temporal modeling with a Transfer Learning-based Graph Convolutional Network (TL-GCN). This</t>
        </is>
      </c>
      <c r="V31" s="4" t="inlineStr">
        <is>
          <t>Revisión asistida por IA (un revisor; requiere verificación independiente)</t>
        </is>
      </c>
      <c r="W31" s="40" t="n">
        <v>46269</v>
      </c>
    </row>
    <row r="32" ht="112" customHeight="1">
      <c r="A32" s="4" t="n">
        <v>257</v>
      </c>
      <c r="B32" s="4" t="inlineStr">
        <is>
          <t>10.3233/SHTI251499</t>
        </is>
      </c>
      <c r="C32" s="4" t="inlineStr">
        <is>
          <t>The Use of the Social Robot LOVOT for Children with Autism Spectrum Disorder: A Feasibility Study</t>
        </is>
      </c>
      <c r="D32" s="4" t="inlineStr">
        <is>
          <t>Include</t>
        </is>
      </c>
      <c r="E32" s="4" t="n"/>
      <c r="F32" s="4" t="inlineStr">
        <is>
          <t>Social-robot interaction</t>
        </is>
      </c>
      <c r="G32" s="4" t="inlineStr">
        <is>
          <t>Not specified</t>
        </is>
      </c>
      <c r="H32" s="4" t="inlineStr">
        <is>
          <t>LOVOT social robot</t>
        </is>
      </c>
      <c r="I32" s="4" t="inlineStr">
        <is>
          <t>Robot-assisted pedagogical intervention</t>
        </is>
      </c>
      <c r="J32" s="4" t="inlineStr">
        <is>
          <t>Monitoring/intervention</t>
        </is>
      </c>
      <c r="K32" s="4" t="inlineStr">
        <is>
          <t>Confirmed in intervention</t>
        </is>
      </c>
      <c r="L32" s="4" t="inlineStr">
        <is>
          <t>Feasibility study in special education</t>
        </is>
      </c>
      <c r="M32" s="4" t="n">
        <v>0</v>
      </c>
      <c r="N32" s="4" t="n">
        <v>0</v>
      </c>
      <c r="O32" s="4" t="n">
        <v>0</v>
      </c>
      <c r="P32" s="4" t="n">
        <v>1</v>
      </c>
      <c r="Q32" s="4" t="n">
        <v>0</v>
      </c>
      <c r="R32" s="4" t="n">
        <v>0</v>
      </c>
      <c r="S32" s="4" t="n">
        <v>0</v>
      </c>
      <c r="T32" s="4" t="inlineStr">
        <is>
          <t>https://doi.org/10.3233/shti251499</t>
        </is>
      </c>
      <c r="U32" s="4" t="inlineStr">
        <is>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t>
        </is>
      </c>
      <c r="V32" s="4" t="inlineStr">
        <is>
          <t>Revisión asistida por IA (un revisor; requiere verificación independiente)</t>
        </is>
      </c>
      <c r="W32" s="40" t="n">
        <v>46269</v>
      </c>
    </row>
    <row r="33" ht="112" customHeight="1">
      <c r="A33" s="4" t="n">
        <v>259</v>
      </c>
      <c r="B33" s="4" t="inlineStr">
        <is>
          <t>10.1155/HBE2/1923339</t>
        </is>
      </c>
      <c r="C33" s="4" t="inlineStr">
        <is>
          <t>Data-Driven and Explainable Discovery of Autism Spectrum Disorder Patterns Across Age Groups</t>
        </is>
      </c>
      <c r="D33" s="4" t="inlineStr">
        <is>
          <t>Include</t>
        </is>
      </c>
      <c r="E33" s="4" t="n"/>
      <c r="F33" s="4" t="inlineStr">
        <is>
          <t>Structured screening questionnaire</t>
        </is>
      </c>
      <c r="G33" s="4" t="inlineStr">
        <is>
          <t>Machine Learning</t>
        </is>
      </c>
      <c r="H33" s="4" t="inlineStr">
        <is>
          <t>C4.5 decision tree</t>
        </is>
      </c>
      <c r="I33" s="4" t="inlineStr">
        <is>
          <t>Age-specific screening classification</t>
        </is>
      </c>
      <c r="J33" s="4" t="inlineStr">
        <is>
          <t>Screening</t>
        </is>
      </c>
      <c r="K33" s="4" t="inlineStr">
        <is>
          <t>Proposed only</t>
        </is>
      </c>
      <c r="L33" s="4" t="inlineStr">
        <is>
          <t>Interpretable screening model</t>
        </is>
      </c>
      <c r="M33" s="4" t="n">
        <v>0</v>
      </c>
      <c r="N33" s="4" t="n">
        <v>0</v>
      </c>
      <c r="O33" s="4" t="n">
        <v>0</v>
      </c>
      <c r="P33" s="4" t="n">
        <v>0</v>
      </c>
      <c r="Q33" s="4" t="n">
        <v>0</v>
      </c>
      <c r="R33" s="4" t="n">
        <v>1</v>
      </c>
      <c r="S33" s="4" t="n">
        <v>0</v>
      </c>
      <c r="T33" s="4" t="inlineStr">
        <is>
          <t>https://doi.org/10.1155/hbe2/1923339</t>
        </is>
      </c>
      <c r="U33" s="4" t="inlineStr">
        <is>
          <t xml:space="preserve">Autism Spectrum Disorder (ASD) presents a complex and diverse challenge, with difficulties in social communication and restricted interests manifesting differently among children, adolescents and adults. The traditional ASD diagnosis is often time consuming and resource intensive, delaying access to crucial interventions. Early detection of ASD is vital, as it enables timely referral for comprehensive assessment and supports interventions during </t>
        </is>
      </c>
      <c r="V33" s="4" t="inlineStr">
        <is>
          <t>Revisión asistida por IA (un revisor; requiere verificación independiente)</t>
        </is>
      </c>
      <c r="W33" s="40" t="n">
        <v>46269</v>
      </c>
    </row>
    <row r="34" ht="112" customHeight="1">
      <c r="A34" s="4" t="n">
        <v>261</v>
      </c>
      <c r="B34" s="4" t="inlineStr">
        <is>
          <t>10.1002/AUR.70135</t>
        </is>
      </c>
      <c r="C34" s="4" t="inlineStr">
        <is>
          <t>Artificial Intelligence Networks Combining Histopathology and Machine Learning Can Extract Axon Pathology in Autism Spectrum Disorder</t>
        </is>
      </c>
      <c r="D34" s="4" t="inlineStr">
        <is>
          <t>Include</t>
        </is>
      </c>
      <c r="E34" s="4" t="n"/>
      <c r="F34" s="4" t="inlineStr">
        <is>
          <t>Histopathology images</t>
        </is>
      </c>
      <c r="G34" s="4" t="inlineStr">
        <is>
          <t>Deep Learning</t>
        </is>
      </c>
      <c r="H34" s="4" t="inlineStr">
        <is>
          <t>Convolutional/deep neural network</t>
        </is>
      </c>
      <c r="I34" s="4" t="inlineStr">
        <is>
          <t>Pathology classification</t>
        </is>
      </c>
      <c r="J34" s="4" t="inlineStr">
        <is>
          <t>Not specified</t>
        </is>
      </c>
      <c r="K34" s="4" t="inlineStr">
        <is>
          <t>Research only</t>
        </is>
      </c>
      <c r="L34" s="4" t="inlineStr">
        <is>
          <t>Postmortem pathology research</t>
        </is>
      </c>
      <c r="M34" s="4" t="n">
        <v>0</v>
      </c>
      <c r="N34" s="4" t="n">
        <v>0</v>
      </c>
      <c r="O34" s="4" t="n">
        <v>0</v>
      </c>
      <c r="P34" s="4" t="n">
        <v>0</v>
      </c>
      <c r="Q34" s="4" t="n">
        <v>1</v>
      </c>
      <c r="R34" s="4" t="n">
        <v>0</v>
      </c>
      <c r="S34" s="4" t="n">
        <v>1</v>
      </c>
      <c r="T34" s="4" t="inlineStr">
        <is>
          <t>https://onlinelibrary.wiley.com/doi/pdfdirect/10.1002/aur.70135</t>
        </is>
      </c>
      <c r="U34" s="4" t="inlineStr">
        <is>
          <t>Axon features that underlie the structural and functional organization of cortical pathways have distinct patterns in the brains of neurotypical controls (CTR) compared to individuals with Autism Spectrum Disorder (ASD). However, detailed axon study demands labor-intensive surveys and time-consuming analysis of microscopic sections from postmortem human brain tissue, making it challenging to systematically examine large regions of the brain. To a</t>
        </is>
      </c>
      <c r="V34" s="4" t="inlineStr">
        <is>
          <t>Revisión asistida por IA (un revisor; requiere verificación independiente)</t>
        </is>
      </c>
      <c r="W34" s="40" t="n">
        <v>46269</v>
      </c>
    </row>
    <row r="35" ht="112" customHeight="1">
      <c r="A35" s="4" t="n">
        <v>262</v>
      </c>
      <c r="B35" s="4" t="inlineStr">
        <is>
          <t>10.1186/s12888-025-07754-8</t>
        </is>
      </c>
      <c r="C35" s="4" t="inlineStr">
        <is>
          <t>Profiling Chinese children with symptoms of SpLD, ADHD, or ASD: a transdiagnostic and biopsychosocial study</t>
        </is>
      </c>
      <c r="D35" s="4" t="inlineStr">
        <is>
          <t>Include</t>
        </is>
      </c>
      <c r="E35" s="4" t="n"/>
      <c r="F35" s="4" t="inlineStr">
        <is>
          <t>Structured psychosocial data</t>
        </is>
      </c>
      <c r="G35" s="4" t="inlineStr">
        <is>
          <t>Machine Learning</t>
        </is>
      </c>
      <c r="H35" s="4" t="inlineStr">
        <is>
          <t>k-means clustering</t>
        </is>
      </c>
      <c r="I35" s="4" t="inlineStr">
        <is>
          <t>Transdiagnostic subtyping</t>
        </is>
      </c>
      <c r="J35" s="4" t="inlineStr">
        <is>
          <t>Not specified</t>
        </is>
      </c>
      <c r="K35" s="4" t="inlineStr">
        <is>
          <t>Research only</t>
        </is>
      </c>
      <c r="L35" s="4" t="inlineStr">
        <is>
          <t>Research profiling</t>
        </is>
      </c>
      <c r="M35" s="4" t="n">
        <v>0</v>
      </c>
      <c r="N35" s="4" t="n">
        <v>0</v>
      </c>
      <c r="O35" s="4" t="n">
        <v>0</v>
      </c>
      <c r="P35" s="4" t="n">
        <v>0</v>
      </c>
      <c r="Q35" s="4" t="n">
        <v>0</v>
      </c>
      <c r="R35" s="4" t="n">
        <v>1</v>
      </c>
      <c r="S35" s="4" t="n">
        <v>0</v>
      </c>
      <c r="T35" s="4" t="inlineStr">
        <is>
          <t>https://doi.org/10.1186/s12888-025-07754-8</t>
        </is>
      </c>
      <c r="U35" s="4" t="inlineStr">
        <is>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t>
        </is>
      </c>
      <c r="V35" s="4" t="inlineStr">
        <is>
          <t>Revisión asistida por IA (un revisor; requiere verificación independiente)</t>
        </is>
      </c>
      <c r="W35" s="40" t="n">
        <v>46269</v>
      </c>
    </row>
    <row r="36" ht="112" customHeight="1">
      <c r="A36" s="4" t="n">
        <v>263</v>
      </c>
      <c r="B36" s="4" t="inlineStr">
        <is>
          <t>10.1109/JBHI.2025.3599643</t>
        </is>
      </c>
      <c r="C36" s="4" t="inlineStr">
        <is>
          <t>Enhancing Psychological Assessments with Open-Ended Questionnaires and Large Language Models: An ASD Case Study</t>
        </is>
      </c>
      <c r="D36" s="4" t="inlineStr">
        <is>
          <t>Include</t>
        </is>
      </c>
      <c r="E36" s="4" t="n"/>
      <c r="F36" s="4" t="inlineStr">
        <is>
          <t>Text / open-ended questionnaires</t>
        </is>
      </c>
      <c r="G36" s="4" t="inlineStr">
        <is>
          <t>Deep Learning</t>
        </is>
      </c>
      <c r="H36" s="4" t="inlineStr">
        <is>
          <t>Fine-tuned LLMs, embeddings and GPT-4o</t>
        </is>
      </c>
      <c r="I36" s="4" t="inlineStr">
        <is>
          <t>Classification from parental reports</t>
        </is>
      </c>
      <c r="J36" s="4" t="inlineStr">
        <is>
          <t>Diagnosis</t>
        </is>
      </c>
      <c r="K36" s="4" t="inlineStr">
        <is>
          <t>Proposed only</t>
        </is>
      </c>
      <c r="L36" s="4" t="inlineStr">
        <is>
          <t>Research assessment model</t>
        </is>
      </c>
      <c r="M36" s="4" t="n">
        <v>0</v>
      </c>
      <c r="N36" s="4" t="n">
        <v>0</v>
      </c>
      <c r="O36" s="4" t="n">
        <v>0</v>
      </c>
      <c r="P36" s="4" t="n">
        <v>0</v>
      </c>
      <c r="Q36" s="4" t="n">
        <v>1</v>
      </c>
      <c r="R36" s="4" t="n">
        <v>0</v>
      </c>
      <c r="S36" s="4" t="n">
        <v>0</v>
      </c>
      <c r="T36" s="4" t="inlineStr">
        <is>
          <t>https://doi.org/10.1109/jbhi.2025.3599643</t>
        </is>
      </c>
      <c r="U36" s="4" t="inlineStr">
        <is>
          <t>Open-ended questionnaires allow respondents to express freely, capturing richer information than close-ended formats, but they are harder to analyze. Recent natural language processing advancements enable automatic assessment of open-ended responses, yet its use in psychological classification is underexplored. This study proposes a methodology using pre-trained large language models (LLMs) for automatic classification of open-ended questionnaire</t>
        </is>
      </c>
      <c r="V36" s="4" t="inlineStr">
        <is>
          <t>Revisión asistida por IA (un revisor; requiere verificación independiente)</t>
        </is>
      </c>
      <c r="W36" s="40" t="n">
        <v>46269</v>
      </c>
    </row>
    <row r="37" ht="112" customHeight="1">
      <c r="A37" s="4" t="n">
        <v>268</v>
      </c>
      <c r="B37" s="4" t="inlineStr">
        <is>
          <t>10.1038/s41598-025-26131-9</t>
        </is>
      </c>
      <c r="C37" s="4" t="inlineStr">
        <is>
          <t>Compact subsets of autism screening items predict clinical diagnoses with a machine learning analysis of the QCHAT-10</t>
        </is>
      </c>
      <c r="D37" s="4" t="inlineStr">
        <is>
          <t>Include</t>
        </is>
      </c>
      <c r="E37" s="4" t="n"/>
      <c r="F37" s="4" t="inlineStr">
        <is>
          <t>Structured screening questionnaire</t>
        </is>
      </c>
      <c r="G37" s="4" t="inlineStr">
        <is>
          <t>Machine Learning</t>
        </is>
      </c>
      <c r="H37" s="4" t="inlineStr">
        <is>
          <t>XGBoost/RF/decision tree + RFE</t>
        </is>
      </c>
      <c r="I37" s="4" t="inlineStr">
        <is>
          <t>Compact-item screening prediction</t>
        </is>
      </c>
      <c r="J37" s="4" t="inlineStr">
        <is>
          <t>Screening</t>
        </is>
      </c>
      <c r="K37" s="4" t="inlineStr">
        <is>
          <t>Proposed only</t>
        </is>
      </c>
      <c r="L37" s="4" t="inlineStr">
        <is>
          <t>Externally tested screening model</t>
        </is>
      </c>
      <c r="M37" s="4" t="n">
        <v>1</v>
      </c>
      <c r="N37" s="4" t="n">
        <v>0</v>
      </c>
      <c r="O37" s="4" t="n">
        <v>0</v>
      </c>
      <c r="P37" s="4" t="n">
        <v>0</v>
      </c>
      <c r="Q37" s="4" t="n">
        <v>0</v>
      </c>
      <c r="R37" s="4" t="n">
        <v>1</v>
      </c>
      <c r="S37" s="4" t="n">
        <v>0</v>
      </c>
      <c r="T37" s="4" t="inlineStr">
        <is>
          <t>https://www.nature.com/articles/s41598-025-26131-9.pdf</t>
        </is>
      </c>
      <c r="U37" s="4" t="inlineStr">
        <is>
          <t>Early identification improves life outcomes for individuals with autism. This study addresses a central question: do compact subsets of the most predictive QCHAT-10 items, when fed into machine learning (ML) models trained to reproduce the full questionnaire’s screening result, generalize to predicting clinician-established autism diagnoses in independent clinical settings? We applied ML to the 10-question QCHAT-10, training models on New Zealand</t>
        </is>
      </c>
      <c r="V37" s="4" t="inlineStr">
        <is>
          <t>Revisión asistida por IA (un revisor; requiere verificación independiente)</t>
        </is>
      </c>
      <c r="W37" s="40" t="n">
        <v>46269</v>
      </c>
    </row>
    <row r="38" ht="112" customHeight="1">
      <c r="A38" s="4" t="n">
        <v>288</v>
      </c>
      <c r="B38" s="4" t="inlineStr">
        <is>
          <t>10.1093/biomtc/ujag099</t>
        </is>
      </c>
      <c r="C38" s="4" t="inlineStr">
        <is>
          <t>Nonparametric motion control in functional connectivity studies in children with autism spectrum disorder</t>
        </is>
      </c>
      <c r="D38" s="4" t="inlineStr">
        <is>
          <t>Include</t>
        </is>
      </c>
      <c r="E38" s="4" t="n"/>
      <c r="F38" s="4" t="inlineStr">
        <is>
          <t>Neuroimaging / functional connectivity</t>
        </is>
      </c>
      <c r="G38" s="4" t="inlineStr">
        <is>
          <t>Machine Learning</t>
        </is>
      </c>
      <c r="H38" s="4" t="inlineStr">
        <is>
          <t>Super Learner / highly adaptive lasso</t>
        </is>
      </c>
      <c r="I38" s="4" t="inlineStr">
        <is>
          <t>Motion-control estimation</t>
        </is>
      </c>
      <c r="J38" s="4" t="inlineStr">
        <is>
          <t>Not specified</t>
        </is>
      </c>
      <c r="K38" s="4" t="inlineStr">
        <is>
          <t>Research only</t>
        </is>
      </c>
      <c r="L38" s="4" t="inlineStr">
        <is>
          <t>Methodological neuroimaging analysis</t>
        </is>
      </c>
      <c r="M38" s="4" t="n">
        <v>0</v>
      </c>
      <c r="N38" s="4" t="n">
        <v>0</v>
      </c>
      <c r="O38" s="4" t="n">
        <v>0</v>
      </c>
      <c r="P38" s="4" t="n">
        <v>0</v>
      </c>
      <c r="Q38" s="4" t="n">
        <v>0</v>
      </c>
      <c r="R38" s="4" t="n">
        <v>0</v>
      </c>
      <c r="S38" s="4" t="n">
        <v>0</v>
      </c>
      <c r="T38" s="4" t="inlineStr">
        <is>
          <t>https://arxiv.org/pdf/2406.13111</t>
        </is>
      </c>
      <c r="U38" s="4" t="inlineStr">
        <is>
          <t>Autism spectrum disorder (ASD) is a neurodevelopmental condition associated with difficulties with social interactions, communication, and restricted or repetitive behaviors. To characterize ASD, investigators often use functional connectivity derived from resting-state functional magnetic resonance imaging of the brain. However, participants’ head motion during the scanning session can induce motion artifacts. Many studies remove participants wi</t>
        </is>
      </c>
      <c r="V38" s="4" t="inlineStr">
        <is>
          <t>Revisión asistida por IA (un revisor; requiere verificación independiente)</t>
        </is>
      </c>
      <c r="W38" s="40" t="n">
        <v>46269</v>
      </c>
    </row>
    <row r="39" ht="112" customHeight="1">
      <c r="A39" s="4" t="n">
        <v>305</v>
      </c>
      <c r="B39" s="4" t="inlineStr">
        <is>
          <t>10.31083/JIN48212</t>
        </is>
      </c>
      <c r="C39" s="4" t="inlineStr">
        <is>
          <t>Integrating Multimodal Neuroimaging and Physical-Health Markers for Autism Spectrum Disorder in the ABCD Study</t>
        </is>
      </c>
      <c r="D39" s="4" t="inlineStr">
        <is>
          <t>Include</t>
        </is>
      </c>
      <c r="E39" s="4" t="n"/>
      <c r="F39" s="4" t="inlineStr">
        <is>
          <t>Multimodal</t>
        </is>
      </c>
      <c r="G39" s="4" t="inlineStr">
        <is>
          <t>Machine Learning</t>
        </is>
      </c>
      <c r="H39" s="4" t="inlineStr">
        <is>
          <t>Multimodal ML classifiers</t>
        </is>
      </c>
      <c r="I39" s="4" t="inlineStr">
        <is>
          <t>Classification (ASD vs non-ASD)</t>
        </is>
      </c>
      <c r="J39" s="4" t="inlineStr">
        <is>
          <t>Diagnosis</t>
        </is>
      </c>
      <c r="K39" s="4" t="inlineStr">
        <is>
          <t>Research only</t>
        </is>
      </c>
      <c r="L39" s="4" t="inlineStr">
        <is>
          <t>Population-cohort proof of concept</t>
        </is>
      </c>
      <c r="M39" s="4" t="n">
        <v>0</v>
      </c>
      <c r="N39" s="4" t="n">
        <v>1</v>
      </c>
      <c r="O39" s="4" t="n">
        <v>0</v>
      </c>
      <c r="P39" s="4" t="n">
        <v>0</v>
      </c>
      <c r="Q39" s="4" t="n">
        <v>0</v>
      </c>
      <c r="R39" s="4" t="n">
        <v>1</v>
      </c>
      <c r="S39" s="4" t="n">
        <v>1</v>
      </c>
      <c r="T39" s="4" t="inlineStr">
        <is>
          <t>https://storage.imrpress.com/IMR/2026939320888299500/application/1757-448X-25-2-48212.pdf</t>
        </is>
      </c>
      <c r="U39" s="4" t="inlineStr">
        <is>
          <t xml:space="preserve">Background: Autism Spectrum Disorder (ASD) is a complex neurodevelopmental condition characterized by diverse presentations, which complicates the identification of consistent biological markers. This study examined whether integrating multimodal neuroimaging and physical-health measures from a population-based cohort can improve ASD classification and reveal interpretable markers that reflect both clinical and community variation. Methods: Data </t>
        </is>
      </c>
      <c r="V39" s="4" t="inlineStr">
        <is>
          <t>Revisión asistida por IA (un revisor; requiere verificación independiente)</t>
        </is>
      </c>
      <c r="W39" s="40" t="n">
        <v>46269</v>
      </c>
    </row>
    <row r="40" ht="112" customHeight="1">
      <c r="A40" s="4" t="n">
        <v>307</v>
      </c>
      <c r="B40" s="4" t="inlineStr">
        <is>
          <t>10.1038/s41598-026-48562-8</t>
        </is>
      </c>
      <c r="C40" s="4" t="inlineStr">
        <is>
          <t>Spatial structure based deep feature fusion network for autism spectrum disorder classification</t>
        </is>
      </c>
      <c r="D40" s="4" t="inlineStr">
        <is>
          <t>Include</t>
        </is>
      </c>
      <c r="E40" s="4" t="n"/>
      <c r="F40" s="4" t="inlineStr">
        <is>
          <t>Physiological signals / EEG</t>
        </is>
      </c>
      <c r="G40" s="4" t="inlineStr">
        <is>
          <t>Deep Learning</t>
        </is>
      </c>
      <c r="H40" s="4" t="inlineStr">
        <is>
          <t>SSFFN graph model + LSTM</t>
        </is>
      </c>
      <c r="I40" s="4" t="inlineStr">
        <is>
          <t>Classification (ASD vs control)</t>
        </is>
      </c>
      <c r="J40" s="4" t="inlineStr">
        <is>
          <t>Diagnosis</t>
        </is>
      </c>
      <c r="K40" s="4" t="inlineStr">
        <is>
          <t>Proposed only</t>
        </is>
      </c>
      <c r="L40" s="4" t="inlineStr">
        <is>
          <t>Diagnostic-support research</t>
        </is>
      </c>
      <c r="M40" s="4" t="n">
        <v>1</v>
      </c>
      <c r="N40" s="4" t="n">
        <v>0</v>
      </c>
      <c r="O40" s="4" t="n">
        <v>0</v>
      </c>
      <c r="P40" s="4" t="n">
        <v>0</v>
      </c>
      <c r="Q40" s="4" t="n">
        <v>0</v>
      </c>
      <c r="R40" s="4" t="n">
        <v>1</v>
      </c>
      <c r="S40" s="4" t="n">
        <v>0</v>
      </c>
      <c r="T40" s="4" t="inlineStr">
        <is>
          <t>https://www.nature.com/articles/s41598-026-48562-8_reference.pdf</t>
        </is>
      </c>
      <c r="U40" s="4" t="inlineStr">
        <is>
          <t>Autism spectrum disorder (ASD) is a neuro-developmental disorder that has serious impact on person’s social interaction, communication, and behavior. Non intrusive detection through analysis of electroencephalogram (EEG) signals with deep learning techniques has been the prominent area of research in ASD diagnosis. The current deep learning techniques processed EEG signals without considering their spatial structure. They treat EEG features as in</t>
        </is>
      </c>
      <c r="V40" s="4" t="inlineStr">
        <is>
          <t>Revisión asistida por IA (un revisor; requiere verificación independiente)</t>
        </is>
      </c>
      <c r="W40" s="40" t="n">
        <v>46269</v>
      </c>
    </row>
    <row r="41" ht="112" customHeight="1">
      <c r="A41" s="4" t="n">
        <v>313</v>
      </c>
      <c r="B41" s="4" t="inlineStr">
        <is>
          <t>10.1038/s41598-026-58789-0</t>
        </is>
      </c>
      <c r="C41" s="4" t="inlineStr">
        <is>
          <t>Metaheuristic hyperparameter optimization of deep neural networks for demographic-aware autism spectrum disorder classification.</t>
        </is>
      </c>
      <c r="D41" s="4" t="inlineStr">
        <is>
          <t>Include</t>
        </is>
      </c>
      <c r="E41" s="4" t="n"/>
      <c r="F41" s="4" t="inlineStr">
        <is>
          <t>Neuroimaging / structural MRI</t>
        </is>
      </c>
      <c r="G41" s="4" t="inlineStr">
        <is>
          <t>Deep Learning</t>
        </is>
      </c>
      <c r="H41" s="4" t="inlineStr">
        <is>
          <t>CNN optimized with OptABC</t>
        </is>
      </c>
      <c r="I41" s="4" t="inlineStr">
        <is>
          <t>Demographic-aware classification</t>
        </is>
      </c>
      <c r="J41" s="4" t="inlineStr">
        <is>
          <t>Diagnosis</t>
        </is>
      </c>
      <c r="K41" s="4" t="inlineStr">
        <is>
          <t>Research only</t>
        </is>
      </c>
      <c r="L41" s="4" t="inlineStr">
        <is>
          <t>Retrospective ABIDE model</t>
        </is>
      </c>
      <c r="M41" s="4" t="n">
        <v>0</v>
      </c>
      <c r="N41" s="4" t="n">
        <v>1</v>
      </c>
      <c r="O41" s="4" t="n">
        <v>0</v>
      </c>
      <c r="P41" s="4" t="n">
        <v>0</v>
      </c>
      <c r="Q41" s="4" t="n">
        <v>0</v>
      </c>
      <c r="R41" s="4" t="n">
        <v>0</v>
      </c>
      <c r="S41" s="4" t="n">
        <v>0</v>
      </c>
      <c r="T41" s="4" t="inlineStr">
        <is>
          <t>https://www.nature.com/articles/s41598-026-58789-0.pdf</t>
        </is>
      </c>
      <c r="U41" s="4" t="inlineStr">
        <is>
          <t>Autism Spectrum Disorder (ASD) classification from neuroimaging data poses significant challenges due to high data heterogeneity and the complexity of learning robust representations across demographic subgroups. While recent deep learning approaches have shown promise, most existing studies rely on binary classification and limited model tuning strategies, overlooking demographic variability and the role of systematic optimization in model desig</t>
        </is>
      </c>
      <c r="V41" s="4" t="inlineStr">
        <is>
          <t>Revisión asistida por IA (un revisor; requiere verificación independiente)</t>
        </is>
      </c>
      <c r="W41" s="40" t="n">
        <v>46269</v>
      </c>
    </row>
    <row r="42" ht="112" customHeight="1">
      <c r="A42" s="4" t="n">
        <v>321</v>
      </c>
      <c r="B42" s="4" t="inlineStr">
        <is>
          <t>10.1038/s41598-025-24662-9</t>
        </is>
      </c>
      <c r="C42" s="4" t="inlineStr">
        <is>
          <t>Bridging the gap: explainable ai for autism diagnosis and parental support with TabPFNMix and SHAP</t>
        </is>
      </c>
      <c r="D42" s="4" t="inlineStr">
        <is>
          <t>Include</t>
        </is>
      </c>
      <c r="E42" s="4" t="n"/>
      <c r="F42" s="4" t="inlineStr">
        <is>
          <t>Structured screening questionnaire</t>
        </is>
      </c>
      <c r="G42" s="4" t="inlineStr">
        <is>
          <t>Hybrid</t>
        </is>
      </c>
      <c r="H42" s="4" t="inlineStr">
        <is>
          <t>TabPFNMix + SHAP</t>
        </is>
      </c>
      <c r="I42" s="4" t="inlineStr">
        <is>
          <t>Classification and explanation</t>
        </is>
      </c>
      <c r="J42" s="4" t="inlineStr">
        <is>
          <t>Screening</t>
        </is>
      </c>
      <c r="K42" s="4" t="inlineStr">
        <is>
          <t>Proposed only</t>
        </is>
      </c>
      <c r="L42" s="4" t="inlineStr">
        <is>
          <t>Research prototype</t>
        </is>
      </c>
      <c r="M42" s="4" t="n">
        <v>0</v>
      </c>
      <c r="N42" s="4" t="n">
        <v>0</v>
      </c>
      <c r="O42" s="4" t="n">
        <v>0</v>
      </c>
      <c r="P42" s="4" t="n">
        <v>0</v>
      </c>
      <c r="Q42" s="4" t="n">
        <v>1</v>
      </c>
      <c r="R42" s="4" t="n">
        <v>0</v>
      </c>
      <c r="S42" s="4" t="n">
        <v>0</v>
      </c>
      <c r="T42" s="4" t="inlineStr">
        <is>
          <t>https://www.nature.com/articles/s41598-025-24662-9.pdf</t>
        </is>
      </c>
      <c r="U42" s="4" t="inlineStr">
        <is>
          <t>Autism Spectrum Disorder (ASD) is a complex neurodevelopmental condition that affects a growing number of individuals worldwide. Despite extensive research, the underlying causes of ASD remain largely unknown, with genetic predisposition, parental history, and environmental influences identified as potential risk factors. Diagnosing ASD remains challenging due to its highly variable presentation and overlap with other neurodevelopmental disorders</t>
        </is>
      </c>
      <c r="V42" s="4" t="inlineStr">
        <is>
          <t>Revisión asistida por IA (un revisor; requiere verificación independiente)</t>
        </is>
      </c>
      <c r="W42" s="40" t="n">
        <v>46269</v>
      </c>
    </row>
    <row r="43" ht="112" customHeight="1">
      <c r="A43" s="4" t="n">
        <v>331</v>
      </c>
      <c r="B43" s="4" t="inlineStr">
        <is>
          <t>10.1371/journal.pone.0339921</t>
        </is>
      </c>
      <c r="C43" s="4" t="inlineStr">
        <is>
          <t>Hybrid deep learning and feature selection approach for autism detection from rs-fMRI data</t>
        </is>
      </c>
      <c r="D43" s="4" t="inlineStr">
        <is>
          <t>Include</t>
        </is>
      </c>
      <c r="E43" s="4" t="n"/>
      <c r="F43" s="4" t="inlineStr">
        <is>
          <t>Neuroimaging / rs-fMRI</t>
        </is>
      </c>
      <c r="G43" s="4" t="inlineStr">
        <is>
          <t>Deep Learning</t>
        </is>
      </c>
      <c r="H43" s="4" t="inlineStr">
        <is>
          <t>Hybrid deep learning + feature selection</t>
        </is>
      </c>
      <c r="I43" s="4" t="inlineStr">
        <is>
          <t>Classification (ASD vs control)</t>
        </is>
      </c>
      <c r="J43" s="4" t="inlineStr">
        <is>
          <t>Diagnosis</t>
        </is>
      </c>
      <c r="K43" s="4" t="inlineStr">
        <is>
          <t>Research only</t>
        </is>
      </c>
      <c r="L43" s="4" t="inlineStr">
        <is>
          <t>Retrospective fMRI model</t>
        </is>
      </c>
      <c r="M43" s="4" t="n">
        <v>0</v>
      </c>
      <c r="N43" s="4" t="n">
        <v>1</v>
      </c>
      <c r="O43" s="4" t="n">
        <v>0</v>
      </c>
      <c r="P43" s="4" t="n">
        <v>0</v>
      </c>
      <c r="Q43" s="4" t="n">
        <v>0</v>
      </c>
      <c r="R43" s="4" t="n">
        <v>0</v>
      </c>
      <c r="S43" s="4" t="n">
        <v>0</v>
      </c>
      <c r="T43" s="4" t="inlineStr">
        <is>
          <t>https://journals.plos.org/plosone/article/file?id=10.1371/journal.pone.0339921&amp;type=printable</t>
        </is>
      </c>
      <c r="U43" s="4" t="inlineStr">
        <is>
          <t>Autism Spectrum Disorder (ASD) is a neurodevelopmental condition that is primarily characterized by deficits in social communication and restricted or repetitive behavioral patterns. Although psychologists contribute significantly to the understanding of ASD, offering insights into its cognitive, emotional, and behavioral dimensions through assessments, diagnoses, therapeutic approaches, and family support, the diagnostic process remains complex.</t>
        </is>
      </c>
      <c r="V43" s="4" t="inlineStr">
        <is>
          <t>Revisión asistida por IA (un revisor; requiere verificación independiente)</t>
        </is>
      </c>
      <c r="W43" s="40" t="n">
        <v>46269</v>
      </c>
    </row>
    <row r="44" ht="112" customHeight="1">
      <c r="A44" s="4" t="n">
        <v>335</v>
      </c>
      <c r="B44" s="4" t="inlineStr">
        <is>
          <t>10.1007/s12021-026-09782-5</t>
        </is>
      </c>
      <c r="C44" s="4" t="inlineStr">
        <is>
          <t>Diagnostic Classification of Autism Spectrum Disorder in the Frequency Domain Using Resting-State fMRI</t>
        </is>
      </c>
      <c r="D44" s="4" t="inlineStr">
        <is>
          <t>Include</t>
        </is>
      </c>
      <c r="E44" s="4" t="n"/>
      <c r="F44" s="4" t="inlineStr">
        <is>
          <t>Neuroimaging / rs-fMRI</t>
        </is>
      </c>
      <c r="G44" s="4" t="inlineStr">
        <is>
          <t>Machine Learning</t>
        </is>
      </c>
      <c r="H44" s="4" t="inlineStr">
        <is>
          <t>Frequency-domain connectivity classifiers</t>
        </is>
      </c>
      <c r="I44" s="4" t="inlineStr">
        <is>
          <t>Classification (ASD vs control)</t>
        </is>
      </c>
      <c r="J44" s="4" t="inlineStr">
        <is>
          <t>Diagnosis</t>
        </is>
      </c>
      <c r="K44" s="4" t="inlineStr">
        <is>
          <t>Research only</t>
        </is>
      </c>
      <c r="L44" s="4" t="inlineStr">
        <is>
          <t>Retrospective fMRI model</t>
        </is>
      </c>
      <c r="M44" s="4" t="n">
        <v>0</v>
      </c>
      <c r="N44" s="4" t="n">
        <v>1</v>
      </c>
      <c r="O44" s="4" t="n">
        <v>0</v>
      </c>
      <c r="P44" s="4" t="n">
        <v>0</v>
      </c>
      <c r="Q44" s="4" t="n">
        <v>0</v>
      </c>
      <c r="R44" s="4" t="n">
        <v>0</v>
      </c>
      <c r="S44" s="4" t="n">
        <v>0</v>
      </c>
      <c r="T44" s="4" t="inlineStr">
        <is>
          <t>https://www.researchsquare.com/article/rs-3427251/latest.pdf</t>
        </is>
      </c>
      <c r="U44" s="4" t="inlineStr">
        <is>
          <t xml:space="preserve">Autism spectrum disorder (ASD) is a neurodevelopmental disorder with problems in social interactions, verbal and non-verbal communication, repetitive behaviors, and limited interests in a person. Considering the challenges in diagnosing ASD based on behavioral symptoms—such as subjectivity, variability among individuals, and overlap with other developmental conditions—it seems necessary to propose computer-aided diagnosis systems (CADS) for ASD. </t>
        </is>
      </c>
      <c r="V44" s="4" t="inlineStr">
        <is>
          <t>Revisión asistida por IA (un revisor; requiere verificación independiente)</t>
        </is>
      </c>
      <c r="W44" s="40" t="n">
        <v>46269</v>
      </c>
    </row>
    <row r="45" ht="112" customHeight="1">
      <c r="A45" s="4" t="n">
        <v>352</v>
      </c>
      <c r="B45" s="4" t="inlineStr">
        <is>
          <t>10.1007/S41870-025-02987-Y</t>
        </is>
      </c>
      <c r="C45" s="4" t="inlineStr">
        <is>
          <t>Efficient Kulczynski EEG feature selection for autism spectrum disorder diagnosis over fog and cloud computing</t>
        </is>
      </c>
      <c r="D45" s="4" t="inlineStr">
        <is>
          <t>Include</t>
        </is>
      </c>
      <c r="E45" s="4" t="n"/>
      <c r="F45" s="4" t="inlineStr">
        <is>
          <t>Physiological signals / EEG</t>
        </is>
      </c>
      <c r="G45" s="4" t="inlineStr">
        <is>
          <t>Machine Learning</t>
        </is>
      </c>
      <c r="H45" s="4" t="inlineStr">
        <is>
          <t>Kulczynski + KNN/XGBoost/RF/SVM/DT</t>
        </is>
      </c>
      <c r="I45" s="4" t="inlineStr">
        <is>
          <t>Classification (ASD vs control)</t>
        </is>
      </c>
      <c r="J45" s="4" t="inlineStr">
        <is>
          <t>Diagnosis</t>
        </is>
      </c>
      <c r="K45" s="4" t="inlineStr">
        <is>
          <t>Proposed only</t>
        </is>
      </c>
      <c r="L45" s="4" t="inlineStr">
        <is>
          <t>Prospective diagnostic-system research</t>
        </is>
      </c>
      <c r="M45" s="4" t="n">
        <v>0</v>
      </c>
      <c r="N45" s="4" t="n">
        <v>0</v>
      </c>
      <c r="O45" s="4" t="n">
        <v>0</v>
      </c>
      <c r="P45" s="4" t="n">
        <v>0</v>
      </c>
      <c r="Q45" s="4" t="n">
        <v>0</v>
      </c>
      <c r="R45" s="4" t="n">
        <v>1</v>
      </c>
      <c r="S45" s="4" t="n">
        <v>0</v>
      </c>
      <c r="T45" s="4" t="inlineStr">
        <is>
          <t>https://link.springer.com/content/pdf/10.1007/s41870-025-02987-y.pdf</t>
        </is>
      </c>
      <c r="U45" s="4" t="inlineStr">
        <is>
          <t>This work introduces an efficient feature selection approach based on the Kulczynski Similarity (KS) measure to improve the efficiency and accuracy of machine learning models in Electroencephalogram (EEG)-based autism spectrum disorder (ASD) detection. EEG data are inherently high-dimensional, and using all features increases computational burden while incorporating redundant or irrelevant attributes that may hinder classification performance. Th</t>
        </is>
      </c>
      <c r="V45" s="4" t="inlineStr">
        <is>
          <t>Revisión asistida por IA (un revisor; requiere verificación independiente)</t>
        </is>
      </c>
      <c r="W45" s="40" t="n">
        <v>46269</v>
      </c>
    </row>
    <row r="46" ht="112" customHeight="1">
      <c r="A46" s="4" t="n">
        <v>359</v>
      </c>
      <c r="B46" s="4" t="inlineStr">
        <is>
          <t>10.1007/S44163-026-01103-8</t>
        </is>
      </c>
      <c r="C46" s="4" t="inlineStr">
        <is>
          <t>Privacy preserving federated framework for autism spectrum disorder screening with ensemble stacking and deep learning approaches</t>
        </is>
      </c>
      <c r="D46" s="4" t="inlineStr">
        <is>
          <t>Include</t>
        </is>
      </c>
      <c r="E46" s="4" t="n"/>
      <c r="F46" s="4" t="inlineStr">
        <is>
          <t>Structured screening data</t>
        </is>
      </c>
      <c r="G46" s="4" t="inlineStr">
        <is>
          <t>Hybrid</t>
        </is>
      </c>
      <c r="H46" s="4" t="inlineStr">
        <is>
          <t>Federated stacking + federated deep network</t>
        </is>
      </c>
      <c r="I46" s="4" t="inlineStr">
        <is>
          <t>Screening classification</t>
        </is>
      </c>
      <c r="J46" s="4" t="inlineStr">
        <is>
          <t>Screening</t>
        </is>
      </c>
      <c r="K46" s="4" t="inlineStr">
        <is>
          <t>Proposed only</t>
        </is>
      </c>
      <c r="L46" s="4" t="inlineStr">
        <is>
          <t>Federated-learning simulation</t>
        </is>
      </c>
      <c r="M46" s="4" t="n">
        <v>0</v>
      </c>
      <c r="N46" s="4" t="n">
        <v>0</v>
      </c>
      <c r="O46" s="4" t="n">
        <v>0</v>
      </c>
      <c r="P46" s="4" t="n">
        <v>0</v>
      </c>
      <c r="Q46" s="4" t="n">
        <v>0</v>
      </c>
      <c r="R46" s="4" t="n">
        <v>1</v>
      </c>
      <c r="S46" s="4" t="n">
        <v>0</v>
      </c>
      <c r="T46" s="4" t="inlineStr">
        <is>
          <t>https://doi.org/10.1007/s44163-026-01103-8</t>
        </is>
      </c>
      <c r="U46" s="4" t="inlineStr">
        <is>
          <t>Objectives: Autism Spectrum Disorder (ASD) is a neurological condition that affects social and cognitive skills, and early detection is crucial for minimizing long-term effects. This study aims to develop a decentralized diagnostic framework for precise ASD detection, utilizing a federated learning simulation with raw data held at the client-side, but no specific privacy safety (DP, Secure Aggregation, Homomorphic Encryption). It integrates Ensem</t>
        </is>
      </c>
      <c r="V46" s="4" t="inlineStr">
        <is>
          <t>Revisión asistida por IA (un revisor; requiere verificación independiente)</t>
        </is>
      </c>
      <c r="W46" s="40" t="n">
        <v>46269</v>
      </c>
    </row>
    <row r="47" ht="112" customHeight="1">
      <c r="A47" s="4" t="n">
        <v>372</v>
      </c>
      <c r="B47" s="4" t="inlineStr">
        <is>
          <t>10.1038/S41598-025-95291-5</t>
        </is>
      </c>
      <c r="C47" s="4" t="inlineStr">
        <is>
          <t>Machine learning of clinical phenotypes facilitates autism screening and identifies novel subgroups with distinct transcriptomic profiles</t>
        </is>
      </c>
      <c r="D47" s="4" t="inlineStr">
        <is>
          <t>Include</t>
        </is>
      </c>
      <c r="E47" s="4" t="n"/>
      <c r="F47" s="4" t="inlineStr">
        <is>
          <t>Multimodal</t>
        </is>
      </c>
      <c r="G47" s="4" t="inlineStr">
        <is>
          <t>Hybrid</t>
        </is>
      </c>
      <c r="H47" s="4" t="inlineStr">
        <is>
          <t>Deep classifier + clinical/transcriptomic clustering</t>
        </is>
      </c>
      <c r="I47" s="4" t="inlineStr">
        <is>
          <t>Screening and subtyping</t>
        </is>
      </c>
      <c r="J47" s="4" t="inlineStr">
        <is>
          <t>Screening</t>
        </is>
      </c>
      <c r="K47" s="4" t="inlineStr">
        <is>
          <t>Proposed only</t>
        </is>
      </c>
      <c r="L47" s="4" t="inlineStr">
        <is>
          <t>Research framework</t>
        </is>
      </c>
      <c r="M47" s="4" t="n">
        <v>0</v>
      </c>
      <c r="N47" s="4" t="n">
        <v>0</v>
      </c>
      <c r="O47" s="4" t="n">
        <v>0</v>
      </c>
      <c r="P47" s="4" t="n">
        <v>0</v>
      </c>
      <c r="Q47" s="4" t="n">
        <v>0</v>
      </c>
      <c r="R47" s="4" t="n">
        <v>0</v>
      </c>
      <c r="S47" s="4" t="n">
        <v>1</v>
      </c>
      <c r="T47" s="4" t="inlineStr">
        <is>
          <t>https://doi.org/10.1038/s41598-025-95291-5</t>
        </is>
      </c>
      <c r="U47" s="4" t="inlineStr">
        <is>
          <t>Autism spectrum disorder (ASD) presents significant challenges in diagnosis and intervention due to its diverse clinical manifestations and underlying biological complexity. This study explored machine learning approaches to enhance ASD screening accuracy and identify meaningful subtypes using clinical assessments from AGRE database integrated with molecular data from GSE15402. Analysis of ADI-R scores from a large cohort of 2794 individuals demo</t>
        </is>
      </c>
      <c r="V47" s="4" t="inlineStr">
        <is>
          <t>Revisión asistida por IA (un revisor; requiere verificación independiente)</t>
        </is>
      </c>
      <c r="W47" s="40" t="n">
        <v>46269</v>
      </c>
    </row>
    <row r="48" ht="112" customHeight="1">
      <c r="A48" s="4" t="n">
        <v>378</v>
      </c>
      <c r="B48" s="4" t="inlineStr">
        <is>
          <t>10.3390/genes16091109</t>
        </is>
      </c>
      <c r="C48" s="4" t="inlineStr">
        <is>
          <t>Integrating Network Analysis and Machine Learning Identifies Key Autism Spectrum Disorder Genes Linked to Immune Dysregulation and Therapeutic Targets</t>
        </is>
      </c>
      <c r="D48" s="4" t="inlineStr">
        <is>
          <t>Include</t>
        </is>
      </c>
      <c r="E48" s="4" t="n"/>
      <c r="F48" s="4" t="inlineStr">
        <is>
          <t>Biological/omics / transcriptomics</t>
        </is>
      </c>
      <c r="G48" s="4" t="inlineStr">
        <is>
          <t>Machine Learning</t>
        </is>
      </c>
      <c r="H48" s="4" t="inlineStr">
        <is>
          <t>Random forest + network analysis</t>
        </is>
      </c>
      <c r="I48" s="4" t="inlineStr">
        <is>
          <t>Biomarker and target discovery</t>
        </is>
      </c>
      <c r="J48" s="4" t="inlineStr">
        <is>
          <t>Not specified</t>
        </is>
      </c>
      <c r="K48" s="4" t="inlineStr">
        <is>
          <t>Research only</t>
        </is>
      </c>
      <c r="L48" s="4" t="inlineStr">
        <is>
          <t>Biomarker discovery</t>
        </is>
      </c>
      <c r="M48" s="4" t="n">
        <v>0</v>
      </c>
      <c r="N48" s="4" t="n">
        <v>0</v>
      </c>
      <c r="O48" s="4" t="n">
        <v>0</v>
      </c>
      <c r="P48" s="4" t="n">
        <v>0</v>
      </c>
      <c r="Q48" s="4" t="n">
        <v>0</v>
      </c>
      <c r="R48" s="4" t="n">
        <v>1</v>
      </c>
      <c r="S48" s="4" t="n">
        <v>0</v>
      </c>
      <c r="T48" s="4" t="inlineStr">
        <is>
          <t>https://www.mdpi.com/2073-4425/16/9/1109/pdf?version=1758266110</t>
        </is>
      </c>
      <c r="U48" s="4" t="inlineStr">
        <is>
          <t>Background: Understanding the genetic mechanisms and identifying potential therapeutic targets are essential for clarifying Autism Spectrum Disorder (ASD) etiology and improving treatments. This study aims to bridge the gap between basic transcriptomic discoveries and clinical applications in ASD research. Methods: Differentially expressed genes (DEGs) of GSE18123 datase were identified. A protein–protein interaction (PPI) network was constructed</t>
        </is>
      </c>
      <c r="V48" s="4" t="inlineStr">
        <is>
          <t>Revisión asistida por IA (un revisor; requiere verificación independiente)</t>
        </is>
      </c>
      <c r="W48" s="40" t="n">
        <v>46269</v>
      </c>
    </row>
    <row r="49" ht="112" customHeight="1">
      <c r="A49" s="4" t="n">
        <v>384</v>
      </c>
      <c r="B49" s="4" t="inlineStr">
        <is>
          <t>10.1016/j.envres.2026.125213</t>
        </is>
      </c>
      <c r="C49" s="4" t="inlineStr">
        <is>
          <t>Air pollution and autism-like traits: Sensitive periods and joint effects of exposure to sources and constituents of fine particulate matter</t>
        </is>
      </c>
      <c r="D49" s="4" t="inlineStr">
        <is>
          <t>Include</t>
        </is>
      </c>
      <c r="E49" s="4" t="n"/>
      <c r="F49" s="4" t="inlineStr">
        <is>
          <t>Environmental exposure + behavioral scale</t>
        </is>
      </c>
      <c r="G49" s="4" t="inlineStr">
        <is>
          <t>Machine Learning</t>
        </is>
      </c>
      <c r="H49" s="4" t="inlineStr">
        <is>
          <t>Neural network/RF/gradient boosting</t>
        </is>
      </c>
      <c r="I49" s="4" t="inlineStr">
        <is>
          <t>Exposure estimation and ASD-trait risk</t>
        </is>
      </c>
      <c r="J49" s="4" t="inlineStr">
        <is>
          <t>Prognosis</t>
        </is>
      </c>
      <c r="K49" s="4" t="inlineStr">
        <is>
          <t>Research only</t>
        </is>
      </c>
      <c r="L49" s="4" t="inlineStr">
        <is>
          <t>Epidemiologic risk analysis</t>
        </is>
      </c>
      <c r="M49" s="4" t="n">
        <v>0</v>
      </c>
      <c r="N49" s="4" t="n">
        <v>0</v>
      </c>
      <c r="O49" s="4" t="n">
        <v>0</v>
      </c>
      <c r="P49" s="4" t="n">
        <v>0</v>
      </c>
      <c r="Q49" s="4" t="n">
        <v>0</v>
      </c>
      <c r="R49" s="4" t="n">
        <v>0</v>
      </c>
      <c r="S49" s="4" t="n">
        <v>0</v>
      </c>
      <c r="T49" s="4" t="inlineStr">
        <is>
          <t>https://pmc.ncbi.nlm.nih.gov/articles/PMC13470885/</t>
        </is>
      </c>
      <c r="U49" s="4" t="inlineStr">
        <is>
          <t xml:space="preserve">Growing evidence suggests that exposure to air pollution during early life is associated with autism spectrum disorder (ASD). However, results have been inconsistent for autism-like traits and in low exposure settings. Here, we assessed sensitive windows of exposure to fine particulate matter (PM2.5), nitrogen dioxide (NO2), and ozone (O3) and joint effects of exposure to sources and constituents of PM2.5 on autism-like traits among 798 children </t>
        </is>
      </c>
      <c r="V49" s="4" t="inlineStr">
        <is>
          <t>Revisión asistida por IA (un revisor; requiere verificación independiente)</t>
        </is>
      </c>
      <c r="W49" s="40" t="n">
        <v>46269</v>
      </c>
    </row>
    <row r="50" ht="112" customHeight="1">
      <c r="A50" s="4" t="n">
        <v>395</v>
      </c>
      <c r="B50" s="4" t="inlineStr">
        <is>
          <t>10.1186/s13073-025-01552-3</t>
        </is>
      </c>
      <c r="C50" s="4" t="inlineStr">
        <is>
          <t>Prematurity and genetic liability for autism spectrum disorder</t>
        </is>
      </c>
      <c r="D50" s="4" t="inlineStr">
        <is>
          <t>Include</t>
        </is>
      </c>
      <c r="E50" s="4" t="n"/>
      <c r="F50" s="4" t="inlineStr">
        <is>
          <t>Multimodal</t>
        </is>
      </c>
      <c r="G50" s="4" t="inlineStr">
        <is>
          <t>Machine Learning</t>
        </is>
      </c>
      <c r="H50" s="4" t="inlineStr">
        <is>
          <t>XGBoost/random forest + SHAP</t>
        </is>
      </c>
      <c r="I50" s="4" t="inlineStr">
        <is>
          <t>Risk prediction in preterm children</t>
        </is>
      </c>
      <c r="J50" s="4" t="inlineStr">
        <is>
          <t>Prognosis</t>
        </is>
      </c>
      <c r="K50" s="4" t="inlineStr">
        <is>
          <t>Research only</t>
        </is>
      </c>
      <c r="L50" s="4" t="inlineStr">
        <is>
          <t>Research risk model</t>
        </is>
      </c>
      <c r="M50" s="4" t="n">
        <v>1</v>
      </c>
      <c r="N50" s="4" t="n">
        <v>0</v>
      </c>
      <c r="O50" s="4" t="n">
        <v>0</v>
      </c>
      <c r="P50" s="4" t="n">
        <v>0</v>
      </c>
      <c r="Q50" s="4" t="n">
        <v>1</v>
      </c>
      <c r="R50" s="4" t="n">
        <v>0</v>
      </c>
      <c r="S50" s="4" t="n">
        <v>1</v>
      </c>
      <c r="T50" s="4" t="inlineStr">
        <is>
          <t>https://genomemedicine.biomedcentral.com/counter/pdf/10.1186/s13073-025-01552-3</t>
        </is>
      </c>
      <c r="U50" s="4" t="inlineStr">
        <is>
          <t>Background: Autism spectrum disorder (ASD) is a neurodevelopmental condition characterized by diverse presentations and a strong genetic component. Environmental factors, such as prematurity, have also been linked to increased liability for ASD, though the interaction between genetic predisposition and prematurity remains unclear. This study aims to investigate the impact of genetic liability and preterm birth on ASD conditions. Methods: We analy</t>
        </is>
      </c>
      <c r="V50" s="4" t="inlineStr">
        <is>
          <t>Revisión asistida por IA (un revisor; requiere verificación independiente)</t>
        </is>
      </c>
      <c r="W50" s="40" t="n">
        <v>46269</v>
      </c>
    </row>
    <row r="51" ht="112" customHeight="1">
      <c r="A51" s="4" t="n">
        <v>406</v>
      </c>
      <c r="B51" s="4" t="inlineStr">
        <is>
          <t>10.1007/S41666-026-00243-X</t>
        </is>
      </c>
      <c r="C51" s="4" t="inlineStr">
        <is>
          <t>NeuroCypher ASD: Machine Learning with Knowledge Graph-Based Representation for ASD Screening in Toddlers</t>
        </is>
      </c>
      <c r="D51" s="4" t="inlineStr">
        <is>
          <t>Include</t>
        </is>
      </c>
      <c r="E51" s="4" t="n"/>
      <c r="F51" s="4" t="inlineStr">
        <is>
          <t>Multimodal</t>
        </is>
      </c>
      <c r="G51" s="4" t="inlineStr">
        <is>
          <t>Hybrid</t>
        </is>
      </c>
      <c r="H51" s="4" t="inlineStr">
        <is>
          <t>Tabular ML + knowledge graph + NLP interface</t>
        </is>
      </c>
      <c r="I51" s="4" t="inlineStr">
        <is>
          <t>Screening and case exploration</t>
        </is>
      </c>
      <c r="J51" s="4" t="inlineStr">
        <is>
          <t>Screening</t>
        </is>
      </c>
      <c r="K51" s="4" t="inlineStr">
        <is>
          <t>Proposed only</t>
        </is>
      </c>
      <c r="L51" s="4" t="inlineStr">
        <is>
          <t>Clinician/educator-facing prototype</t>
        </is>
      </c>
      <c r="M51" s="4" t="n">
        <v>0</v>
      </c>
      <c r="N51" s="4" t="n">
        <v>0</v>
      </c>
      <c r="O51" s="4" t="n">
        <v>0</v>
      </c>
      <c r="P51" s="4" t="n">
        <v>0</v>
      </c>
      <c r="Q51" s="4" t="n">
        <v>1</v>
      </c>
      <c r="R51" s="4" t="n">
        <v>0</v>
      </c>
      <c r="S51" s="4" t="n">
        <v>1</v>
      </c>
      <c r="T51" s="4" t="inlineStr">
        <is>
          <t>https://link.springer.com/content/pdf/10.1007/s41666-026-00243-x.pdf</t>
        </is>
      </c>
      <c r="U51" s="4" t="inlineStr">
        <is>
          <t xml:space="preserve">Autism Spectrum Disorder (ASD) screening often relies on structured questionnaires. Yet these data are not always easy to interpret or use in practice. There is a need for screening frameworks that support risk estimation, case comparison, and pattern exploration in a clear and accessible way. In this work, we present NeuroCypher ASD, a framework that combines tabular machine learning with a knowledge graph for ASD screening, interpretation, and </t>
        </is>
      </c>
      <c r="V51" s="4" t="inlineStr">
        <is>
          <t>Revisión asistida por IA (un revisor; requiere verificación independiente)</t>
        </is>
      </c>
      <c r="W51" s="40" t="n">
        <v>46269</v>
      </c>
    </row>
    <row r="52" ht="112" customHeight="1">
      <c r="A52" s="4" t="n">
        <v>410</v>
      </c>
      <c r="B52" s="4" t="inlineStr">
        <is>
          <t>10.1007/S44163-026-01299-9</t>
        </is>
      </c>
      <c r="C52" s="4" t="inlineStr">
        <is>
          <t>Robust deep learning pipeline to improve access to autism triage and diagnosis</t>
        </is>
      </c>
      <c r="D52" s="4" t="inlineStr">
        <is>
          <t>Include</t>
        </is>
      </c>
      <c r="E52" s="4" t="n"/>
      <c r="F52" s="4" t="inlineStr">
        <is>
          <t>Multimodal</t>
        </is>
      </c>
      <c r="G52" s="4" t="inlineStr">
        <is>
          <t>Hybrid</t>
        </is>
      </c>
      <c r="H52" s="4" t="inlineStr">
        <is>
          <t>3D deep networks + Lasso GLM</t>
        </is>
      </c>
      <c r="I52" s="4" t="inlineStr">
        <is>
          <t>Triage / diagnostic prediction</t>
        </is>
      </c>
      <c r="J52" s="4" t="inlineStr">
        <is>
          <t>Screening</t>
        </is>
      </c>
      <c r="K52" s="4" t="inlineStr">
        <is>
          <t>Proposed only</t>
        </is>
      </c>
      <c r="L52" s="4" t="inlineStr">
        <is>
          <t>Proposed triage pipeline</t>
        </is>
      </c>
      <c r="M52" s="4" t="n">
        <v>0</v>
      </c>
      <c r="N52" s="4" t="n">
        <v>1</v>
      </c>
      <c r="O52" s="4" t="n">
        <v>0</v>
      </c>
      <c r="P52" s="4" t="n">
        <v>0</v>
      </c>
      <c r="Q52" s="4" t="n">
        <v>0</v>
      </c>
      <c r="R52" s="4" t="n">
        <v>0</v>
      </c>
      <c r="S52" s="4" t="n">
        <v>1</v>
      </c>
      <c r="T52" s="4" t="inlineStr">
        <is>
          <t>https://doi.org/10.1007/s44163-026-01299-9</t>
        </is>
      </c>
      <c r="U52" s="4" t="inlineStr">
        <is>
          <t>Purpose: Timely access to autism spectrum disorder (ASD) diagnosis represents a major clinical burden, especially in children. Robust and quantitative triage tools to refer children at high risk of ASD for rapid evaluation are not available. We investigate a robust artificial intelligence pipeline combining anatomic and resting state MRI scans with demographics to triage children into high and low risk of an ASD diagnosis. Methods: The ABIDE I an</t>
        </is>
      </c>
      <c r="V52" s="4" t="inlineStr">
        <is>
          <t>Revisión asistida por IA (un revisor; requiere verificación independiente)</t>
        </is>
      </c>
      <c r="W52" s="40" t="n">
        <v>46269</v>
      </c>
    </row>
    <row r="53" ht="112" customHeight="1">
      <c r="A53" s="4" t="n">
        <v>417</v>
      </c>
      <c r="B53" s="4" t="inlineStr">
        <is>
          <t>10.1002/jmri.70023</t>
        </is>
      </c>
      <c r="C53" s="4" t="inlineStr">
        <is>
          <t>Perivascular Space Burden in Children With Autism Spectrum Disorder Correlates With Neurodevelopmental Severity</t>
        </is>
      </c>
      <c r="D53" s="4" t="inlineStr">
        <is>
          <t>Include</t>
        </is>
      </c>
      <c r="E53" s="4" t="n"/>
      <c r="F53" s="4" t="inlineStr">
        <is>
          <t>Neuroimaging / MRI</t>
        </is>
      </c>
      <c r="G53" s="4" t="inlineStr">
        <is>
          <t>Deep Learning</t>
        </is>
      </c>
      <c r="H53" s="4" t="inlineStr">
        <is>
          <t>Weakly supervised PVS segmentation</t>
        </is>
      </c>
      <c r="I53" s="4" t="inlineStr">
        <is>
          <t>Segmentation and severity characterization</t>
        </is>
      </c>
      <c r="J53" s="4" t="inlineStr">
        <is>
          <t>Not specified</t>
        </is>
      </c>
      <c r="K53" s="4" t="inlineStr">
        <is>
          <t>Research only</t>
        </is>
      </c>
      <c r="L53" s="4" t="inlineStr">
        <is>
          <t>Retrospective MRI analysis</t>
        </is>
      </c>
      <c r="M53" s="4" t="n">
        <v>0</v>
      </c>
      <c r="N53" s="4" t="n">
        <v>0</v>
      </c>
      <c r="O53" s="4" t="n">
        <v>0</v>
      </c>
      <c r="P53" s="4" t="n">
        <v>0</v>
      </c>
      <c r="Q53" s="4" t="n">
        <v>0</v>
      </c>
      <c r="R53" s="4" t="n">
        <v>0</v>
      </c>
      <c r="S53" s="4" t="n">
        <v>0</v>
      </c>
      <c r="T53" s="4" t="inlineStr">
        <is>
          <t>https://onlinelibrary.wiley.com/doi/pdfdirect/10.1002/jmri.70023</t>
        </is>
      </c>
      <c r="U53" s="4" t="inlineStr">
        <is>
          <t>Background: Cerebral perivascular spaces (PVS) are involved in cerebrospinal fluid (CSF) circulation and clearance of metabolic waste in adult humans. A high number of PVS has been reported in autism spectrum disorder (ASD) but its relationship with CSF and disease severity is unclear. Purpose: To quantify PVS in children with ASD through MRI. Study Type: Retrospective. Population: Sixty six children with ASD (mean age: 4.7 ± 1.5 years; males/fem</t>
        </is>
      </c>
      <c r="V53" s="4" t="inlineStr">
        <is>
          <t>Revisión asistida por IA (un revisor; requiere verificación independiente)</t>
        </is>
      </c>
      <c r="W53" s="40" t="n">
        <v>46269</v>
      </c>
    </row>
    <row r="54" ht="112" customHeight="1">
      <c r="A54" s="4" t="n">
        <v>420</v>
      </c>
      <c r="B54" s="4" t="inlineStr">
        <is>
          <t>10.1038/S41598-025-93802-Y</t>
        </is>
      </c>
      <c r="C54" s="4" t="inlineStr">
        <is>
          <t>Two-tier nature inspired optimization-driven ensemble of deep learning models for effective autism spectrum disorder diagnosis in disabled persons</t>
        </is>
      </c>
      <c r="D54" s="4" t="inlineStr">
        <is>
          <t>Include</t>
        </is>
      </c>
      <c r="E54" s="4" t="n"/>
      <c r="F54" s="4" t="inlineStr">
        <is>
          <t>Structured screening data</t>
        </is>
      </c>
      <c r="G54" s="4" t="inlineStr">
        <is>
          <t>Deep Learning</t>
        </is>
      </c>
      <c r="H54" s="4" t="inlineStr">
        <is>
          <t>Autoencoder + LSTM + DBN ensemble</t>
        </is>
      </c>
      <c r="I54" s="4" t="inlineStr">
        <is>
          <t>ASD-stage classification</t>
        </is>
      </c>
      <c r="J54" s="4" t="inlineStr">
        <is>
          <t>Diagnosis</t>
        </is>
      </c>
      <c r="K54" s="4" t="inlineStr">
        <is>
          <t>Proposed only</t>
        </is>
      </c>
      <c r="L54" s="4" t="inlineStr">
        <is>
          <t>Simulation on public datasets</t>
        </is>
      </c>
      <c r="M54" s="4" t="n">
        <v>0</v>
      </c>
      <c r="N54" s="4" t="n">
        <v>0</v>
      </c>
      <c r="O54" s="4" t="n">
        <v>0</v>
      </c>
      <c r="P54" s="4" t="n">
        <v>0</v>
      </c>
      <c r="Q54" s="4" t="n">
        <v>0</v>
      </c>
      <c r="R54" s="4" t="n">
        <v>0</v>
      </c>
      <c r="S54" s="4" t="n">
        <v>0</v>
      </c>
      <c r="T54" s="4" t="inlineStr">
        <is>
          <t>https://doi.org/10.1038/s41598-025-93802-y</t>
        </is>
      </c>
      <c r="U54" s="4" t="inlineStr">
        <is>
          <t>Autism spectrum disorder (ASD) includes a varied set of neuropsychiatric illnesses. This disorder is described by a definite grade of loss in social communication, academic functioning, personal contact, and limited and repetitive behaviours. Individuals with ASD might perform, convey, and study in a different way than others. ASDs naturally are apparent before age 3 years, with related impairments affecting manifold regions of a person’s lifespa</t>
        </is>
      </c>
      <c r="V54" s="4" t="inlineStr">
        <is>
          <t>Revisión asistida por IA (un revisor; requiere verificación independiente)</t>
        </is>
      </c>
      <c r="W54" s="40" t="n">
        <v>46269</v>
      </c>
    </row>
    <row r="55" ht="112" customHeight="1">
      <c r="A55" s="4" t="n">
        <v>422</v>
      </c>
      <c r="B55" s="4" t="inlineStr">
        <is>
          <t>10.1109/ACCESS.2026.3688987</t>
        </is>
      </c>
      <c r="C55" s="4" t="inlineStr">
        <is>
          <t>MIND-TEA: An Adaptive Multi-Agent Framework for Multimodal Autism Diagnosis</t>
        </is>
      </c>
      <c r="D55" s="4" t="inlineStr">
        <is>
          <t>Include</t>
        </is>
      </c>
      <c r="E55" s="4" t="n"/>
      <c r="F55" s="4" t="inlineStr">
        <is>
          <t>Multimodal</t>
        </is>
      </c>
      <c r="G55" s="4" t="inlineStr">
        <is>
          <t>Deep Learning</t>
        </is>
      </c>
      <c r="H55" s="4" t="inlineStr">
        <is>
          <t>MIND-TEA multi-agent/meta-learning</t>
        </is>
      </c>
      <c r="I55" s="4" t="inlineStr">
        <is>
          <t>Multimodal diagnostic classification</t>
        </is>
      </c>
      <c r="J55" s="4" t="inlineStr">
        <is>
          <t>Diagnosis</t>
        </is>
      </c>
      <c r="K55" s="4" t="inlineStr">
        <is>
          <t>Proposed only</t>
        </is>
      </c>
      <c r="L55" s="4" t="inlineStr">
        <is>
          <t>Research framework</t>
        </is>
      </c>
      <c r="M55" s="4" t="n">
        <v>1</v>
      </c>
      <c r="N55" s="4" t="n">
        <v>1</v>
      </c>
      <c r="O55" s="4" t="n">
        <v>1</v>
      </c>
      <c r="P55" s="4" t="n">
        <v>0</v>
      </c>
      <c r="Q55" s="4" t="n">
        <v>0</v>
      </c>
      <c r="R55" s="4" t="n">
        <v>0</v>
      </c>
      <c r="S55" s="4" t="n">
        <v>1</v>
      </c>
      <c r="T55" s="4" t="inlineStr">
        <is>
          <t>https://doi.org/10.1109/access.2026.3688987</t>
        </is>
      </c>
      <c r="U55" s="4" t="inlineStr">
        <is>
          <t>Autism Spectrum Disorder (ASD) presents substantial diagnostic heterogeneity, challenging the reliability and generalization of static, single-model classifiers. To address this, MIND-TEA is introduced as an adaptive multimodal framework for neurodevelopmental diagnosis. The system integrates resting-state fMRI (rs-fMRI) features with clinical text and utilizes a meta-learning orchestrator to dynamically route each patient to an optimal specialis</t>
        </is>
      </c>
      <c r="V55" s="4" t="inlineStr">
        <is>
          <t>Revisión asistida por IA (un revisor; requiere verificación independiente)</t>
        </is>
      </c>
      <c r="W55" s="40" t="n">
        <v>46269</v>
      </c>
    </row>
    <row r="56" ht="112" customHeight="1">
      <c r="A56" s="4" t="n">
        <v>424</v>
      </c>
      <c r="B56" s="4" t="inlineStr">
        <is>
          <t>10.1109/ACCESS.2025.3642950</t>
        </is>
      </c>
      <c r="C56" s="4" t="inlineStr">
        <is>
          <t>Interpretable Autism Screening via Object-Based Analysis of Child-Drawn Sketches</t>
        </is>
      </c>
      <c r="D56" s="4" t="inlineStr">
        <is>
          <t>Include</t>
        </is>
      </c>
      <c r="E56" s="4" t="n"/>
      <c r="F56" s="4" t="inlineStr">
        <is>
          <t>Child-drawn images</t>
        </is>
      </c>
      <c r="G56" s="4" t="inlineStr">
        <is>
          <t>Deep Learning</t>
        </is>
      </c>
      <c r="H56" s="4" t="inlineStr">
        <is>
          <t>Vision Transformer + LRP</t>
        </is>
      </c>
      <c r="I56" s="4" t="inlineStr">
        <is>
          <t>Interpretable screening classification</t>
        </is>
      </c>
      <c r="J56" s="4" t="inlineStr">
        <is>
          <t>Screening</t>
        </is>
      </c>
      <c r="K56" s="4" t="inlineStr">
        <is>
          <t>Proposed only</t>
        </is>
      </c>
      <c r="L56" s="4" t="inlineStr">
        <is>
          <t>Developmental-assessment research</t>
        </is>
      </c>
      <c r="M56" s="4" t="n">
        <v>0</v>
      </c>
      <c r="N56" s="4" t="n">
        <v>0</v>
      </c>
      <c r="O56" s="4" t="n">
        <v>0</v>
      </c>
      <c r="P56" s="4" t="n">
        <v>0</v>
      </c>
      <c r="Q56" s="4" t="n">
        <v>1</v>
      </c>
      <c r="R56" s="4" t="n">
        <v>0</v>
      </c>
      <c r="S56" s="4" t="n">
        <v>0</v>
      </c>
      <c r="T56" s="4" t="inlineStr">
        <is>
          <t>https://doi.org/10.1109/access.2025.3642950</t>
        </is>
      </c>
      <c r="U56" s="4" t="inlineStr">
        <is>
          <t>Developmental assessment methods for children largely rely on subjective manual scoring, which leads to limitations in interpretability, consistency, and scalability. For high-stakes applications in clinical and educational environments, high accuracy and transparency are essential in decision-making, which underscores the growing importance of explainable artificial intelligence techniques for automated developmental assessment. To address these</t>
        </is>
      </c>
      <c r="V56" s="4" t="inlineStr">
        <is>
          <t>Revisión asistida por IA (un revisor; requiere verificación independiente)</t>
        </is>
      </c>
      <c r="W56" s="40" t="n">
        <v>46269</v>
      </c>
    </row>
    <row r="57" ht="112" customHeight="1">
      <c r="A57" s="4" t="n">
        <v>425</v>
      </c>
      <c r="B57" s="4" t="inlineStr">
        <is>
          <t>10.1109/ACCESS.2025.3646589</t>
        </is>
      </c>
      <c r="C57" s="4" t="inlineStr">
        <is>
          <t>Bridging Deep Learning and Quantum Computing for EEG-Driven P300 Targeted ASD Response Detection</t>
        </is>
      </c>
      <c r="D57" s="4" t="inlineStr">
        <is>
          <t>Include</t>
        </is>
      </c>
      <c r="E57" s="4" t="n"/>
      <c r="F57" s="4" t="inlineStr">
        <is>
          <t>Physiological signals / EEG P300</t>
        </is>
      </c>
      <c r="G57" s="4" t="inlineStr">
        <is>
          <t>Hybrid</t>
        </is>
      </c>
      <c r="H57" s="4" t="inlineStr">
        <is>
          <t>Transformer + quantum neural network</t>
        </is>
      </c>
      <c r="I57" s="4" t="inlineStr">
        <is>
          <t>P300 response classification</t>
        </is>
      </c>
      <c r="J57" s="4" t="inlineStr">
        <is>
          <t>Monitoring/intervention</t>
        </is>
      </c>
      <c r="K57" s="4" t="inlineStr">
        <is>
          <t>Research only</t>
        </is>
      </c>
      <c r="L57" s="4" t="inlineStr">
        <is>
          <t>BCI-response research</t>
        </is>
      </c>
      <c r="M57" s="4" t="n">
        <v>0</v>
      </c>
      <c r="N57" s="4" t="n">
        <v>0</v>
      </c>
      <c r="O57" s="4" t="n">
        <v>0</v>
      </c>
      <c r="P57" s="4" t="n">
        <v>0</v>
      </c>
      <c r="Q57" s="4" t="n">
        <v>0</v>
      </c>
      <c r="R57" s="4" t="n">
        <v>1</v>
      </c>
      <c r="S57" s="4" t="n">
        <v>0</v>
      </c>
      <c r="T57" s="4" t="inlineStr">
        <is>
          <t>https://doi.org/10.1109/access.2025.3646589</t>
        </is>
      </c>
      <c r="U57" s="4" t="inlineStr">
        <is>
          <t xml:space="preserve">Autism Spectrum Disorder (ASD) is a neurodevelopmental condition whose diagnosis relies heavily on subjective behavioral assessments. Electroencephalography (EEG) provides an inexpensive and non-invasive method of objective biomarker detection, but is plagued by high dimensionality and noise that complicates automated analysis. This article introduces a hybrid Transformer-Quantum Neural Network (QNN) model that combines deep learning and quantum </t>
        </is>
      </c>
      <c r="V57" s="4" t="inlineStr">
        <is>
          <t>Revisión asistida por IA (un revisor; requiere verificación independiente)</t>
        </is>
      </c>
      <c r="W57" s="40" t="n">
        <v>46269</v>
      </c>
    </row>
    <row r="58" ht="112" customHeight="1">
      <c r="A58" s="4" t="n">
        <v>427</v>
      </c>
      <c r="B58" s="4" t="inlineStr">
        <is>
          <t>10.1109/ACCESS.2026.3704046</t>
        </is>
      </c>
      <c r="C58" s="4" t="inlineStr">
        <is>
          <t>A Hybrid Multi-Branch Deep Learning Model for Autism Spectrum Disorder Detection Using Spatiotemporal Gait Analysis</t>
        </is>
      </c>
      <c r="D58" s="4" t="inlineStr">
        <is>
          <t>Include</t>
        </is>
      </c>
      <c r="E58" s="4" t="n"/>
      <c r="F58" s="4" t="inlineStr">
        <is>
          <t>Kinematic gait / depth-camera data</t>
        </is>
      </c>
      <c r="G58" s="4" t="inlineStr">
        <is>
          <t>Deep Learning</t>
        </is>
      </c>
      <c r="H58" s="4" t="inlineStr">
        <is>
          <t>Transformer + CNN-BiLSTM/BiGRU</t>
        </is>
      </c>
      <c r="I58" s="4" t="inlineStr">
        <is>
          <t>Classification (ASD vs control)</t>
        </is>
      </c>
      <c r="J58" s="4" t="inlineStr">
        <is>
          <t>Diagnosis</t>
        </is>
      </c>
      <c r="K58" s="4" t="inlineStr">
        <is>
          <t>Proposed only</t>
        </is>
      </c>
      <c r="L58" s="4" t="inlineStr">
        <is>
          <t>Motor-biomarker research</t>
        </is>
      </c>
      <c r="M58" s="4" t="n">
        <v>0</v>
      </c>
      <c r="N58" s="4" t="n">
        <v>0</v>
      </c>
      <c r="O58" s="4" t="n">
        <v>0</v>
      </c>
      <c r="P58" s="4" t="n">
        <v>0</v>
      </c>
      <c r="Q58" s="4" t="n">
        <v>0</v>
      </c>
      <c r="R58" s="4" t="n">
        <v>0</v>
      </c>
      <c r="S58" s="4" t="n">
        <v>0</v>
      </c>
      <c r="T58" s="4" t="inlineStr">
        <is>
          <t>https://doi.org/10.1109/access.2026.3704046</t>
        </is>
      </c>
      <c r="U58" s="4" t="inlineStr">
        <is>
          <t xml:space="preserve">Early and objective diagnosis of autism spectrum disorders (ASD) remains a pressing issue in modern medical and cognitive informatics, where motor behavior analysis is considered a promising source of digital biomarkers. In particular, kinematic gait characteristics obtained with contactless sensors enable the identification of subtle motor impairments that may not be apparent on visual assessment. In this paper, we propose a hybrid multi-branch </t>
        </is>
      </c>
      <c r="V58" s="4" t="inlineStr">
        <is>
          <t>Revisión asistida por IA (un revisor; requiere verificación independiente)</t>
        </is>
      </c>
      <c r="W58" s="40" t="n">
        <v>46269</v>
      </c>
    </row>
    <row r="59" ht="112" customHeight="1">
      <c r="A59" s="4" t="n">
        <v>428</v>
      </c>
      <c r="B59" s="4" t="inlineStr">
        <is>
          <t>10.1109/ACCESS.2026.3686583</t>
        </is>
      </c>
      <c r="C59" s="4" t="inlineStr">
        <is>
          <t>Autism Action Dataset (AAD): A Comprehensive Video Benchmark for ASD Behavior Recognition Using Deep Learning</t>
        </is>
      </c>
      <c r="D59" s="4" t="inlineStr">
        <is>
          <t>Include</t>
        </is>
      </c>
      <c r="E59" s="4" t="n"/>
      <c r="F59" s="4" t="inlineStr">
        <is>
          <t>Behavioral video</t>
        </is>
      </c>
      <c r="G59" s="4" t="inlineStr">
        <is>
          <t>Deep Learning</t>
        </is>
      </c>
      <c r="H59" s="4" t="inlineStr">
        <is>
          <t>CNN-LSTM/I3D/SlowFast/X3D/ViViT/MViT</t>
        </is>
      </c>
      <c r="I59" s="4" t="inlineStr">
        <is>
          <t>ASD-related action recognition</t>
        </is>
      </c>
      <c r="J59" s="4" t="inlineStr">
        <is>
          <t>Monitoring/intervention</t>
        </is>
      </c>
      <c r="K59" s="4" t="inlineStr">
        <is>
          <t>Research only</t>
        </is>
      </c>
      <c r="L59" s="4" t="inlineStr">
        <is>
          <t>Dataset benchmark</t>
        </is>
      </c>
      <c r="M59" s="4" t="n">
        <v>0</v>
      </c>
      <c r="N59" s="4" t="n">
        <v>0</v>
      </c>
      <c r="O59" s="4" t="n">
        <v>0</v>
      </c>
      <c r="P59" s="4" t="n">
        <v>0</v>
      </c>
      <c r="Q59" s="4" t="n">
        <v>1</v>
      </c>
      <c r="R59" s="4" t="n">
        <v>0</v>
      </c>
      <c r="S59" s="4" t="n">
        <v>0</v>
      </c>
      <c r="T59" s="4" t="inlineStr">
        <is>
          <t>https://doi.org/10.1109/access.2026.3686583</t>
        </is>
      </c>
      <c r="U59" s="4" t="inlineStr">
        <is>
          <t>Autism spectrum disorder (ASD) is a neurodevelopmental disorder characterized by impairments in social interaction, communication, and behavior. Accurately recognizing the behaviors of children with ASD is crucial for diagnosis and early intervention. Traditional clinician- or caregiver-based approaches are often time-consuming, subjective, and delayed. In contrast, computer vision, along with modern deep learning (DL)-based methods, offers promi</t>
        </is>
      </c>
      <c r="V59" s="4" t="inlineStr">
        <is>
          <t>Revisión asistida por IA (un revisor; requiere verificación independiente)</t>
        </is>
      </c>
      <c r="W59" s="40" t="n">
        <v>46269</v>
      </c>
    </row>
    <row r="60" ht="112" customHeight="1">
      <c r="A60" s="4" t="n">
        <v>429</v>
      </c>
      <c r="B60" s="4" t="inlineStr">
        <is>
          <t>10.1109/ACCESS.2026.3650856</t>
        </is>
      </c>
      <c r="C60" s="4" t="inlineStr">
        <is>
          <t>A Data-Driven Approach for Autism Spectrum Disorder Screening</t>
        </is>
      </c>
      <c r="D60" s="4" t="inlineStr">
        <is>
          <t>Include</t>
        </is>
      </c>
      <c r="E60" s="4" t="n"/>
      <c r="F60" s="4" t="inlineStr">
        <is>
          <t>Healthcare administrative/claims data</t>
        </is>
      </c>
      <c r="G60" s="4" t="inlineStr">
        <is>
          <t>Machine Learning</t>
        </is>
      </c>
      <c r="H60" s="4" t="inlineStr">
        <is>
          <t>RF/XGBoost/CatBoost + stacking</t>
        </is>
      </c>
      <c r="I60" s="4" t="inlineStr">
        <is>
          <t>Risk screening</t>
        </is>
      </c>
      <c r="J60" s="4" t="inlineStr">
        <is>
          <t>Screening</t>
        </is>
      </c>
      <c r="K60" s="4" t="inlineStr">
        <is>
          <t>Confirmed in workflow</t>
        </is>
      </c>
      <c r="L60" s="4" t="inlineStr">
        <is>
          <t>Operating in a healthcare provider</t>
        </is>
      </c>
      <c r="M60" s="4" t="n">
        <v>0</v>
      </c>
      <c r="N60" s="4" t="n">
        <v>0</v>
      </c>
      <c r="O60" s="4" t="n">
        <v>0</v>
      </c>
      <c r="P60" s="4" t="n">
        <v>0</v>
      </c>
      <c r="Q60" s="4" t="n">
        <v>0</v>
      </c>
      <c r="R60" s="4" t="n">
        <v>0</v>
      </c>
      <c r="S60" s="4" t="n">
        <v>0</v>
      </c>
      <c r="T60" s="4" t="inlineStr">
        <is>
          <t>https://doi.org/10.1109/access.2026.3650856</t>
        </is>
      </c>
      <c r="U60" s="4" t="inlineStr">
        <is>
          <t>Autism spectrum disorder (ASD) is a brain development condition influenced by genes and environment, with no known cause or cure. The diagnosis is challenging due to the absence of biological markers, requiring various examinations and specialist input. Delayed diagnosis often results in late intervention, emphasizing the need for early, individualized therapeutic approaches to enhance quality of life. Current ASD research emphasizes early detect</t>
        </is>
      </c>
      <c r="V60" s="4" t="inlineStr">
        <is>
          <t>Revisión asistida por IA (un revisor; requiere verificación independiente)</t>
        </is>
      </c>
      <c r="W60" s="40" t="n">
        <v>46269</v>
      </c>
    </row>
    <row r="61" ht="86" customHeight="1">
      <c r="A61" s="4" t="n">
        <v>1</v>
      </c>
      <c r="B61" s="4" t="inlineStr">
        <is>
          <t>10.1016/j.bspc.2024.107009</t>
        </is>
      </c>
      <c r="C61" s="4" t="inlineStr">
        <is>
          <t>A novel thermal imaging-based framework for continuous ASD classification and behavior analysis using facial mood and skin temperature features</t>
        </is>
      </c>
      <c r="D61" s="4" t="inlineStr">
        <is>
          <t>Include</t>
        </is>
      </c>
      <c r="E61" s="4" t="n"/>
      <c r="F61" s="4" t="inlineStr">
        <is>
          <t>Thermal facial imaging / skin temperature</t>
        </is>
      </c>
      <c r="G61" s="4" t="inlineStr">
        <is>
          <t>Hybrid</t>
        </is>
      </c>
      <c r="H61" s="4" t="inlineStr">
        <is>
          <t>DN-FME + Random Forest/SVM severity classifiers</t>
        </is>
      </c>
      <c r="I61" s="4" t="inlineStr">
        <is>
          <t>ASD severity classification and continuous behavioral monitoring</t>
        </is>
      </c>
      <c r="J61" s="4" t="inlineStr">
        <is>
          <t>Monitoring/intervention</t>
        </is>
      </c>
      <c r="K61" s="4" t="inlineStr">
        <is>
          <t>Proposed only</t>
        </is>
      </c>
      <c r="L61" s="4" t="inlineStr">
        <is>
          <t>Proposed continuous thermal monitoring to inform ASD severity and medication adjustment</t>
        </is>
      </c>
      <c r="M61" s="4" t="n">
        <v>0</v>
      </c>
      <c r="N61" s="4" t="n">
        <v>0</v>
      </c>
      <c r="O61" s="4" t="n">
        <v>0</v>
      </c>
      <c r="P61" s="4" t="n">
        <v>0</v>
      </c>
      <c r="Q61" s="4" t="n">
        <v>0</v>
      </c>
      <c r="R61" s="4" t="n">
        <v>0</v>
      </c>
      <c r="S61" s="4" t="n">
        <v>0</v>
      </c>
      <c r="T61" s="4" t="inlineStr">
        <is>
          <t>https://www.sciencedirect.com/science/article/pii/S174680942401067X</t>
        </is>
      </c>
      <c r="U61" s="4" t="inlineStr">
        <is>
          <t>El marco extrae estado afectivo y temperatura cutánea de imágenes térmicas; DN-FME reporta 96.39% de accuracy y RF/SVM 98.33% para clasificación de severidad. La propuesta de ajustar dosis farmacológica no fue evaluada como intervención clínica prospectiva en el texto recuperado; debe tratarse como integración propuesta, no como eficacia clínica demostrada.</t>
        </is>
      </c>
      <c r="V61" s="4" t="inlineStr">
        <is>
          <t>Revisión asistida por IA (un revisor; requiere verificación independiente)</t>
        </is>
      </c>
      <c r="W61" s="40" t="n">
        <v>46269</v>
      </c>
    </row>
    <row r="62" ht="86" customHeight="1">
      <c r="A62" s="4" t="n">
        <v>3</v>
      </c>
      <c r="B62" s="4" t="inlineStr">
        <is>
          <t>10.1016/j.bspc.2024.106949</t>
        </is>
      </c>
      <c r="C62" s="4" t="inlineStr">
        <is>
          <t>Efficient machine learning models across multiple datasets for autism spectrum disorder diagnoses</t>
        </is>
      </c>
      <c r="D62" s="4" t="inlineStr">
        <is>
          <t>Include</t>
        </is>
      </c>
      <c r="E62" s="4" t="n"/>
      <c r="F62" s="4" t="inlineStr">
        <is>
          <t>Structured behavioral / demographic screening datasets</t>
        </is>
      </c>
      <c r="G62" s="4" t="inlineStr">
        <is>
          <t>Machine Learning</t>
        </is>
      </c>
      <c r="H62" s="4" t="inlineStr">
        <is>
          <t>AutoML/ensemble framework (27 ML models; voting/bagging)</t>
        </is>
      </c>
      <c r="I62" s="4" t="inlineStr">
        <is>
          <t>ASD screening/classification across age-group datasets</t>
        </is>
      </c>
      <c r="J62" s="4" t="inlineStr">
        <is>
          <t>Screening</t>
        </is>
      </c>
      <c r="K62" s="4" t="inlineStr">
        <is>
          <t>Research only</t>
        </is>
      </c>
      <c r="L62" s="4" t="inlineStr">
        <is>
          <t>Experimental AutoML framework for ASD screening/classification</t>
        </is>
      </c>
      <c r="M62" s="4" t="n">
        <v>0</v>
      </c>
      <c r="N62" s="4" t="n">
        <v>0</v>
      </c>
      <c r="O62" s="4" t="n">
        <v>0</v>
      </c>
      <c r="P62" s="4" t="n">
        <v>0</v>
      </c>
      <c r="Q62" s="4" t="n">
        <v>0</v>
      </c>
      <c r="R62" s="4" t="n">
        <v>0</v>
      </c>
      <c r="S62" s="4" t="n">
        <v>0</v>
      </c>
      <c r="T62" s="4" t="inlineStr">
        <is>
          <t>https://www.sciencedirect.com/science/article/pii/S1746809424010073</t>
        </is>
      </c>
      <c r="U62" s="4" t="inlineStr">
        <is>
          <t>ASDD evalúa 27 modelos y herramientas AutoML sobre siete datasets y un dataset combinado; varios resultados llegan a 100% de accuracy/F1. Los resultados perfectos exigen cautela. No se identificó una validación externa fija en un cohort/dataset independiente del proceso de desarrollo; múltiples datasets no equivalen automáticamente a external validation.</t>
        </is>
      </c>
      <c r="V62" s="4" t="inlineStr">
        <is>
          <t>Revisión asistida por IA (un revisor; requiere verificación independiente)</t>
        </is>
      </c>
      <c r="W62" s="40" t="n">
        <v>46269</v>
      </c>
    </row>
    <row r="63" ht="73" customHeight="1">
      <c r="A63" s="4" t="n">
        <v>4</v>
      </c>
      <c r="B63" s="4" t="inlineStr">
        <is>
          <t>10.1016/j.ijhcs.2025.103486</t>
        </is>
      </c>
      <c r="C63" s="4" t="inlineStr">
        <is>
          <t>EmoLand: Utilizing narrative animations, multilevel games, and affective computing to foster emotional development in children with autism spectrum disorder</t>
        </is>
      </c>
      <c r="D63" s="4" t="inlineStr">
        <is>
          <t>Include</t>
        </is>
      </c>
      <c r="E63" s="4" t="n"/>
      <c r="F63" s="4" t="inlineStr">
        <is>
          <t>Behavioral video / facial expressions</t>
        </is>
      </c>
      <c r="G63" s="4" t="inlineStr">
        <is>
          <t>Deep Learning</t>
        </is>
      </c>
      <c r="H63" s="4" t="inlineStr">
        <is>
          <t>CNN facial-expression recognition</t>
        </is>
      </c>
      <c r="I63" s="4" t="inlineStr">
        <is>
          <t>Facial-expression recognition and adaptive affective feedback</t>
        </is>
      </c>
      <c r="J63" s="4" t="inlineStr">
        <is>
          <t>Monitoring/intervention</t>
        </is>
      </c>
      <c r="K63" s="4" t="inlineStr">
        <is>
          <t>Confirmed in care delivery</t>
        </is>
      </c>
      <c r="L63" s="4" t="inlineStr">
        <is>
          <t>AI facial-expression feedback embedded in an emotion-learning intervention</t>
        </is>
      </c>
      <c r="M63" s="4" t="n">
        <v>0</v>
      </c>
      <c r="N63" s="4" t="n">
        <v>0</v>
      </c>
      <c r="O63" s="4" t="n">
        <v>0</v>
      </c>
      <c r="P63" s="4" t="n">
        <v>1</v>
      </c>
      <c r="Q63" s="4" t="n">
        <v>0</v>
      </c>
      <c r="R63" s="4" t="n">
        <v>0</v>
      </c>
      <c r="S63" s="4" t="n">
        <v>0</v>
      </c>
      <c r="T63" s="4" t="inlineStr">
        <is>
          <t>https://www.researchgate.net/publication/389491878_EmoLand_Utilizing_Narrative_Animations_Multilevel_Games_and_Affective_Computing_to_Foster_Emotional_Development_in_Children_with_Autism_Spectrum_Disorder</t>
        </is>
      </c>
      <c r="U63" s="4" t="inlineStr">
        <is>
          <t>Evaluación de campo de 3 semanas en escuela especial: 12 niños con ASD, 5 tutores, 330 clips revisados; el módulo de feedback afectivo reporta 97.6% de acierto. Muestra pequeña y evaluación breve. La precisión del módulo de feedback no debe confundirse con eficacia clínica de largo plazo.</t>
        </is>
      </c>
      <c r="V63" s="4" t="inlineStr">
        <is>
          <t>Revisión asistida por IA (un revisor; requiere verificación independiente)</t>
        </is>
      </c>
      <c r="W63" s="40" t="n">
        <v>46269</v>
      </c>
    </row>
    <row r="64" ht="86" customHeight="1">
      <c r="A64" s="4" t="n">
        <v>7</v>
      </c>
      <c r="B64" s="4" t="inlineStr">
        <is>
          <t>10.1016/j.compbiolchem.2024.108335</t>
        </is>
      </c>
      <c r="C64" s="4" t="inlineStr">
        <is>
          <t>Hybrid optimization enabled DenseNet for autism spectrum disorders using MRI image</t>
        </is>
      </c>
      <c r="D64" s="4" t="inlineStr">
        <is>
          <t>Include</t>
        </is>
      </c>
      <c r="E64" s="4" t="n"/>
      <c r="F64" s="4" t="inlineStr">
        <is>
          <t>Neuroimaging (MRI / ABIDE-derived brain imaging)</t>
        </is>
      </c>
      <c r="G64" s="4" t="inlineStr">
        <is>
          <t>Deep Learning</t>
        </is>
      </c>
      <c r="H64" s="4" t="inlineStr">
        <is>
          <t>JSTO-optimized DenseNet</t>
        </is>
      </c>
      <c r="I64" s="4" t="inlineStr">
        <is>
          <t>ASD vs control classification from MRI</t>
        </is>
      </c>
      <c r="J64" s="4" t="inlineStr">
        <is>
          <t>Diagnosis</t>
        </is>
      </c>
      <c r="K64" s="4" t="inlineStr">
        <is>
          <t>Research only</t>
        </is>
      </c>
      <c r="L64" s="4" t="inlineStr">
        <is>
          <t>Experimental MRI-based ASD classifier</t>
        </is>
      </c>
      <c r="M64" s="4" t="n">
        <v>0</v>
      </c>
      <c r="N64" s="4" t="n">
        <v>0</v>
      </c>
      <c r="O64" s="4" t="n">
        <v>0</v>
      </c>
      <c r="P64" s="4" t="n">
        <v>0</v>
      </c>
      <c r="Q64" s="4" t="n">
        <v>0</v>
      </c>
      <c r="R64" s="4" t="n">
        <v>0</v>
      </c>
      <c r="S64" s="4" t="n">
        <v>0</v>
      </c>
      <c r="T64" s="4" t="inlineStr">
        <is>
          <t>https://www.sciencedirect.com/science/article/pii/S1476927124003232</t>
        </is>
      </c>
      <c r="U64" s="4" t="inlineStr">
        <is>
          <t>Pipeline con preprocesamiento MRI, extracción ROI/rasgos y DenseNet optimizado con JSTO; reporta accuracy de 94.8%. No se identificó validación externa independiente. Además, el texto indexado reporta FNR/FPR que parecen incompatibles con TPR/TNR simultáneamente reportados bajo definiciones estándar; requiere comprobación de tabla en verificación independiente.</t>
        </is>
      </c>
      <c r="V64" s="4" t="inlineStr">
        <is>
          <t>Revisión asistida por IA (un revisor; requiere verificación independiente)</t>
        </is>
      </c>
      <c r="W64" s="40" t="n">
        <v>46269</v>
      </c>
    </row>
    <row r="65" ht="86" customHeight="1">
      <c r="A65" s="4" t="n">
        <v>15</v>
      </c>
      <c r="B65" s="4" t="inlineStr">
        <is>
          <t>10.1016/j.biopsycho.2024.108976</t>
        </is>
      </c>
      <c r="C65" s="4" t="inlineStr">
        <is>
          <t>MCBERT: A multi-modal framework for the diagnosis of autism spectrum disorder</t>
        </is>
      </c>
      <c r="D65" s="4" t="inlineStr">
        <is>
          <t>Include</t>
        </is>
      </c>
      <c r="E65" s="4" t="n"/>
      <c r="F65" s="4" t="inlineStr">
        <is>
          <t>Multimodal (brain MRI + phenotypic/meta-features)</t>
        </is>
      </c>
      <c r="G65" s="4" t="inlineStr">
        <is>
          <t>Deep Learning</t>
        </is>
      </c>
      <c r="H65" s="4" t="inlineStr">
        <is>
          <t>MCBERT (multi-head CNN + BERT with spatial/channel attention)</t>
        </is>
      </c>
      <c r="I65" s="4" t="inlineStr">
        <is>
          <t>ASD diagnostic classification</t>
        </is>
      </c>
      <c r="J65" s="4" t="inlineStr">
        <is>
          <t>Diagnosis</t>
        </is>
      </c>
      <c r="K65" s="4" t="inlineStr">
        <is>
          <t>Research only</t>
        </is>
      </c>
      <c r="L65" s="4" t="inlineStr">
        <is>
          <t>Experimental multimodal diagnostic classifier</t>
        </is>
      </c>
      <c r="M65" s="4" t="n">
        <v>1</v>
      </c>
      <c r="N65" s="4" t="n">
        <v>1</v>
      </c>
      <c r="O65" s="4" t="n">
        <v>1</v>
      </c>
      <c r="P65" s="4" t="n">
        <v>0</v>
      </c>
      <c r="Q65" s="4" t="n">
        <v>0</v>
      </c>
      <c r="R65" s="4" t="n">
        <v>0</v>
      </c>
      <c r="S65" s="4" t="n">
        <v>1</v>
      </c>
      <c r="T65" s="4" t="inlineStr">
        <is>
          <t>https://www.sciencedirect.com/science/article/pii/S0301051124002369</t>
        </is>
      </c>
      <c r="U65" s="4" t="inlineStr">
        <is>
          <t>MCBERT fusiona MRI y meta-features en ABIDE-I y usa leave-one-site-out; se reporta accuracy máxima de 93.4%. LOSO sí aporta evaluación entre sitios y se codifica como external/site-held-out validation. El uso de atención arquitectónica no se contabilizó como XAI porque no se identificó una evaluación explícita de explicaciones.</t>
        </is>
      </c>
      <c r="V65" s="4" t="inlineStr">
        <is>
          <t>Revisión asistida por IA (un revisor; requiere verificación independiente)</t>
        </is>
      </c>
      <c r="W65" s="40" t="n">
        <v>46269</v>
      </c>
    </row>
    <row r="66" ht="86" customHeight="1">
      <c r="A66" s="4" t="n">
        <v>21</v>
      </c>
      <c r="B66" s="4" t="inlineStr">
        <is>
          <t>10.1016/j.cca.2024.120018</t>
        </is>
      </c>
      <c r="C66" s="4" t="inlineStr">
        <is>
          <t>Screening biomarkers for autism spectrum disorder using plasma proteomics combined with machine learning methods</t>
        </is>
      </c>
      <c r="D66" s="4" t="inlineStr">
        <is>
          <t>Include</t>
        </is>
      </c>
      <c r="E66" s="4" t="n"/>
      <c r="F66" s="4" t="inlineStr">
        <is>
          <t>Biological/omics (plasma proteomics)</t>
        </is>
      </c>
      <c r="G66" s="4" t="inlineStr">
        <is>
          <t>Machine Learning</t>
        </is>
      </c>
      <c r="H66" s="4" t="inlineStr">
        <is>
          <t>Machine-learning biomarker selection pipeline</t>
        </is>
      </c>
      <c r="I66" s="4" t="inlineStr">
        <is>
          <t>ASD biomarker screening / classification</t>
        </is>
      </c>
      <c r="J66" s="4" t="inlineStr">
        <is>
          <t>Screening</t>
        </is>
      </c>
      <c r="K66" s="4" t="inlineStr">
        <is>
          <t>Research only</t>
        </is>
      </c>
      <c r="L66" s="4" t="inlineStr">
        <is>
          <t>Experimental blood-biomarker screening panel</t>
        </is>
      </c>
      <c r="M66" s="4" t="n">
        <v>1</v>
      </c>
      <c r="N66" s="4" t="n">
        <v>0</v>
      </c>
      <c r="O66" s="4" t="n">
        <v>0</v>
      </c>
      <c r="P66" s="4" t="n">
        <v>0</v>
      </c>
      <c r="Q66" s="4" t="n">
        <v>0</v>
      </c>
      <c r="R66" s="4" t="n">
        <v>0</v>
      </c>
      <c r="S66" s="4" t="n">
        <v>0</v>
      </c>
      <c r="T66" s="4" t="inlineStr">
        <is>
          <t>https://www.sciencedirect.com/science/article/pii/S000989812402271X</t>
        </is>
      </c>
      <c r="U66" s="4" t="inlineStr">
        <is>
          <t>SWATH-MS en 30 ASD vs controles seleccionó biomarcadores mediante ML; un grupo independiente adicional de 30 ASD vs controles fue validado por MRM. Panel de 4 proteínas: AUC 0.8087. La validación independiente fortalece el biomarcador, pero parece provenir del mismo entorno institucional y no demuestra generalización cross-site.</t>
        </is>
      </c>
      <c r="V66" s="4" t="inlineStr">
        <is>
          <t>Revisión asistida por IA (un revisor; requiere verificación independiente)</t>
        </is>
      </c>
      <c r="W66" s="40" t="n">
        <v>46269</v>
      </c>
    </row>
    <row r="67" ht="73" customHeight="1">
      <c r="A67" s="4" t="n">
        <v>23</v>
      </c>
      <c r="B67" s="4" t="inlineStr">
        <is>
          <t>10.1016/j.eswa.2024.126295</t>
        </is>
      </c>
      <c r="C67" s="4" t="inlineStr">
        <is>
          <t>Introducing 3DCNN ResNets for ASD full-body kinematic assessment: A comparison with hand-crafted features</t>
        </is>
      </c>
      <c r="D67" s="4" t="inlineStr">
        <is>
          <t>Include</t>
        </is>
      </c>
      <c r="E67" s="4" t="n"/>
      <c r="F67" s="4" t="inlineStr">
        <is>
          <t>Behavioral motor kinematics / full-body motion</t>
        </is>
      </c>
      <c r="G67" s="4" t="inlineStr">
        <is>
          <t>Deep Learning</t>
        </is>
      </c>
      <c r="H67" s="4" t="inlineStr">
        <is>
          <t>PoseConv3D / SlowOnly 3D CNN-ResNet</t>
        </is>
      </c>
      <c r="I67" s="4" t="inlineStr">
        <is>
          <t>ASD vs TD classification from full-body kinematic sequences</t>
        </is>
      </c>
      <c r="J67" s="4" t="inlineStr">
        <is>
          <t>Diagnosis</t>
        </is>
      </c>
      <c r="K67" s="4" t="inlineStr">
        <is>
          <t>Research only</t>
        </is>
      </c>
      <c r="L67" s="4" t="inlineStr">
        <is>
          <t>Experimental motor-kinematic ASD assessment</t>
        </is>
      </c>
      <c r="M67" s="4" t="n">
        <v>0</v>
      </c>
      <c r="N67" s="4" t="n">
        <v>0</v>
      </c>
      <c r="O67" s="4" t="n">
        <v>0</v>
      </c>
      <c r="P67" s="4" t="n">
        <v>0</v>
      </c>
      <c r="Q67" s="4" t="n">
        <v>1</v>
      </c>
      <c r="R67" s="4" t="n">
        <v>0</v>
      </c>
      <c r="S67" s="4" t="n">
        <v>0</v>
      </c>
      <c r="T67" s="4" t="inlineStr">
        <is>
          <t>https://riunet.upv.es/bitstreams/7dfd9135-24ed-4b77-af02-6141eb544c60/download</t>
        </is>
      </c>
      <c r="U67" s="4" t="inlineStr">
        <is>
          <t>n=81 (42 TD, 39 ASD); validación anidada repetida separada por sujeto; compara modelos end-to-end 3D CNN-ResNet con rasgos manuales y aplica SHAP. La validación interna está bien protegida contra mezcla de sujetos, pero el tamaño muestral sigue siendo pequeño y no existe cohorte externa independiente.</t>
        </is>
      </c>
      <c r="V67" s="4" t="inlineStr">
        <is>
          <t>Revisión asistida por IA (un revisor; requiere verificación independiente)</t>
        </is>
      </c>
      <c r="W67" s="40" t="n">
        <v>46269</v>
      </c>
    </row>
    <row r="68" ht="86" customHeight="1">
      <c r="A68" s="4" t="n">
        <v>37</v>
      </c>
      <c r="B68" s="4" t="inlineStr">
        <is>
          <t>10.1016/j.eswa.2024.125399</t>
        </is>
      </c>
      <c r="C68" s="4" t="inlineStr">
        <is>
          <t>Design of adaptive recommendation system for autism children using optimal feature selection-based adaptive dilated 1DCNN-LSTM with attention mechanism</t>
        </is>
      </c>
      <c r="D68" s="4" t="inlineStr">
        <is>
          <t>Include</t>
        </is>
      </c>
      <c r="E68" s="4" t="n"/>
      <c r="F68" s="4" t="inlineStr">
        <is>
          <t>Not specified</t>
        </is>
      </c>
      <c r="G68" s="4" t="inlineStr">
        <is>
          <t>Deep Learning</t>
        </is>
      </c>
      <c r="H68" s="4" t="inlineStr">
        <is>
          <t>MGSOA-optimized adaptive dilated 1DCNN-LSTM with attention</t>
        </is>
      </c>
      <c r="I68" s="4" t="inlineStr">
        <is>
          <t>Detection of distraction/anxiety states and adaptive recommendation</t>
        </is>
      </c>
      <c r="J68" s="4" t="inlineStr">
        <is>
          <t>Monitoring/intervention</t>
        </is>
      </c>
      <c r="K68" s="4" t="inlineStr">
        <is>
          <t>Proposed only</t>
        </is>
      </c>
      <c r="L68" s="4" t="inlineStr">
        <is>
          <t>Proposed adaptive recommendation/intervention support for autistic children</t>
        </is>
      </c>
      <c r="M68" s="4" t="n">
        <v>0</v>
      </c>
      <c r="N68" s="4" t="n">
        <v>0</v>
      </c>
      <c r="O68" s="4" t="n">
        <v>0</v>
      </c>
      <c r="P68" s="4" t="n">
        <v>0</v>
      </c>
      <c r="Q68" s="4" t="n">
        <v>0</v>
      </c>
      <c r="R68" s="4" t="n">
        <v>0</v>
      </c>
      <c r="S68" s="4" t="n">
        <v>0</v>
      </c>
      <c r="T68" s="4" t="inlineStr">
        <is>
          <t>https://www.sciencedirect.com/science/article/abs/pii/S0957417424022668</t>
        </is>
      </c>
      <c r="U68" s="4" t="inlineStr">
        <is>
          <t>Sistema adaptativo con selección/optimización MGSOA y red dilated 1DCNN-LSTM con atención para detectar estados y recomendar acciones; la evaluación descrita es computacional/simulada. No se identificó despliegue real ni evaluación clínica prospectiva; la modalidad primaria de datos no quedó suficientemente especificada para codificarla sin inferencia.</t>
        </is>
      </c>
      <c r="V68" s="4" t="inlineStr">
        <is>
          <t>Revisión asistida por IA (un revisor; requiere verificación independiente)</t>
        </is>
      </c>
      <c r="W68" s="40" t="n">
        <v>46269</v>
      </c>
    </row>
    <row r="69" ht="99" customHeight="1">
      <c r="A69" s="4" t="n">
        <v>38</v>
      </c>
      <c r="B69" s="4" t="inlineStr">
        <is>
          <t>10.1016/j.jneumeth.2024.110315</t>
        </is>
      </c>
      <c r="C69" s="4" t="inlineStr">
        <is>
          <t>Early detection of autism spectrum disorder using explainable AI and optimized teaching strategies</t>
        </is>
      </c>
      <c r="D69" s="4" t="inlineStr">
        <is>
          <t>Include</t>
        </is>
      </c>
      <c r="E69" s="4" t="n"/>
      <c r="F69" s="4" t="inlineStr">
        <is>
          <t>Structured behavioral / screening questionnaire data</t>
        </is>
      </c>
      <c r="G69" s="4" t="inlineStr">
        <is>
          <t>Machine Learning</t>
        </is>
      </c>
      <c r="H69" s="4" t="inlineStr">
        <is>
          <t>LR-SVM soft-voting ensemble with Chi-square feature selection</t>
        </is>
      </c>
      <c r="I69" s="4" t="inlineStr">
        <is>
          <t>ASD screening classification and teaching-strategy recommendation</t>
        </is>
      </c>
      <c r="J69" s="4" t="inlineStr">
        <is>
          <t>Screening</t>
        </is>
      </c>
      <c r="K69" s="4" t="inlineStr">
        <is>
          <t>Proposed only</t>
        </is>
      </c>
      <c r="L69" s="4" t="inlineStr">
        <is>
          <t>Proposed early-screening classifier with post-screening teaching recommendation</t>
        </is>
      </c>
      <c r="M69" s="4" t="n">
        <v>0</v>
      </c>
      <c r="N69" s="4" t="n">
        <v>0</v>
      </c>
      <c r="O69" s="4" t="n">
        <v>0</v>
      </c>
      <c r="P69" s="4" t="n">
        <v>0</v>
      </c>
      <c r="Q69" s="4" t="n">
        <v>0</v>
      </c>
      <c r="R69" s="4" t="n">
        <v>1</v>
      </c>
      <c r="S69" s="4" t="n">
        <v>0</v>
      </c>
      <c r="T69" s="4" t="inlineStr">
        <is>
          <t>https://www.sciencedirect.com/science/article/abs/pii/S0165027024002607</t>
        </is>
      </c>
      <c r="U69" s="4" t="inlineStr">
        <is>
          <t>Combina dos datasets de toddlers, usa split 80:20, SMOTE, tres métodos de selección y ensamble LR-SVM; reporta 94% para ASD y 99.29% para estrategia docente. Aunque el título usa “explainable AI”, no se identificó SHAP/LIME u otro método XAI formal en el texto recuperado; se codificó solo interpretabilidad parcial por selección de rasgos. No hay validación externa independiente.</t>
        </is>
      </c>
      <c r="V69" s="4" t="inlineStr">
        <is>
          <t>Revisión asistida por IA (un revisor; requiere verificación independiente)</t>
        </is>
      </c>
      <c r="W69" s="40" t="n">
        <v>46269</v>
      </c>
    </row>
    <row r="70" ht="86" customHeight="1">
      <c r="A70" s="4" t="n">
        <v>41</v>
      </c>
      <c r="B70" s="4" t="inlineStr">
        <is>
          <t>10.1016/j.bspc.2024.107414</t>
        </is>
      </c>
      <c r="C70" s="4" t="inlineStr">
        <is>
          <t>A systematic evaluation of autism spectrum disorder identification with Scanpath Trend Analysis (STA)</t>
        </is>
      </c>
      <c r="D70" s="4" t="inlineStr">
        <is>
          <t>Include</t>
        </is>
      </c>
      <c r="E70" s="4" t="n"/>
      <c r="F70" s="4" t="inlineStr">
        <is>
          <t>Eye-tracking / scanpaths</t>
        </is>
      </c>
      <c r="G70" s="4" t="inlineStr">
        <is>
          <t>Machine Learning</t>
        </is>
      </c>
      <c r="H70" s="4" t="inlineStr">
        <is>
          <t>Scanpath Trend Analysis (STA)</t>
        </is>
      </c>
      <c r="I70" s="4" t="inlineStr">
        <is>
          <t>ASD vs non-ASD classification from eye-tracking scanpaths</t>
        </is>
      </c>
      <c r="J70" s="4" t="inlineStr">
        <is>
          <t>Screening</t>
        </is>
      </c>
      <c r="K70" s="4" t="inlineStr">
        <is>
          <t>Research only</t>
        </is>
      </c>
      <c r="L70" s="4" t="inlineStr">
        <is>
          <t>Experimental eye-tracking screening classifier</t>
        </is>
      </c>
      <c r="M70" s="4" t="n">
        <v>0</v>
      </c>
      <c r="N70" s="4" t="n">
        <v>0</v>
      </c>
      <c r="O70" s="4" t="n">
        <v>0</v>
      </c>
      <c r="P70" s="4" t="n">
        <v>0</v>
      </c>
      <c r="Q70" s="4" t="n">
        <v>0</v>
      </c>
      <c r="R70" s="4" t="n">
        <v>0</v>
      </c>
      <c r="S70" s="4" t="n">
        <v>0</v>
      </c>
      <c r="T70" s="4" t="inlineStr">
        <is>
          <t>https://www.sciencedirect.com/science/article/pii/S1746809424014721</t>
        </is>
      </c>
      <c r="U70" s="4" t="inlineStr">
        <is>
          <t>Evalúa STA en tres datasets de eye-tracking y diferentes páginas/tareas; obtiene ~60% de éxito, con menor variación que comparadores ML. La repetición en tres datasets muestra consistencia del algoritmo, pero no se identificó un esquema de entrenamiento fijo en una cohorte y validación externa en otra; no se codifica external validation.</t>
        </is>
      </c>
      <c r="V70" s="4" t="inlineStr">
        <is>
          <t>Revisión asistida por IA (un revisor; requiere verificación independiente)</t>
        </is>
      </c>
      <c r="W70" s="40" t="n">
        <v>46269</v>
      </c>
    </row>
    <row r="71" ht="73" customHeight="1">
      <c r="A71" s="4" t="n">
        <v>46</v>
      </c>
      <c r="B71" s="4" t="inlineStr">
        <is>
          <t>10.1016/j.ijmedinf.2024.105707</t>
        </is>
      </c>
      <c r="C71" s="4" t="inlineStr">
        <is>
          <t>Recognition of autism in subcortical brain volumetric images using autoencoding-based region selection method and Siamese Convolutional Neural Network</t>
        </is>
      </c>
      <c r="D71" s="4" t="inlineStr">
        <is>
          <t>Include</t>
        </is>
      </c>
      <c r="E71" s="4" t="n"/>
      <c r="F71" s="4" t="inlineStr">
        <is>
          <t>Neuroimaging (structural MRI / subcortical images)</t>
        </is>
      </c>
      <c r="G71" s="4" t="inlineStr">
        <is>
          <t>Deep Learning</t>
        </is>
      </c>
      <c r="H71" s="4" t="inlineStr">
        <is>
          <t>3D autoencoder + Siamese CNN</t>
        </is>
      </c>
      <c r="I71" s="4" t="inlineStr">
        <is>
          <t>ASD vs control classification from subcortical MRI</t>
        </is>
      </c>
      <c r="J71" s="4" t="inlineStr">
        <is>
          <t>Diagnosis</t>
        </is>
      </c>
      <c r="K71" s="4" t="inlineStr">
        <is>
          <t>Research only</t>
        </is>
      </c>
      <c r="L71" s="4" t="inlineStr">
        <is>
          <t>Experimental neuroimaging diagnostic classifier</t>
        </is>
      </c>
      <c r="M71" s="4" t="n">
        <v>0</v>
      </c>
      <c r="N71" s="4" t="n">
        <v>1</v>
      </c>
      <c r="O71" s="4" t="n">
        <v>0</v>
      </c>
      <c r="P71" s="4" t="n">
        <v>0</v>
      </c>
      <c r="Q71" s="4" t="n">
        <v>0</v>
      </c>
      <c r="R71" s="4" t="n">
        <v>1</v>
      </c>
      <c r="S71" s="4" t="n">
        <v>0</v>
      </c>
      <c r="T71" s="4" t="inlineStr">
        <is>
          <t>https://www.sciencedirect.com/science/article/pii/S1386505624003708</t>
        </is>
      </c>
      <c r="U71" s="4" t="inlineStr">
        <is>
          <t>Usa ABIDE-II, autoencoder 3D para representación/selección regional y Siamese CNN; la selección MI alcanza accuracy máxima reportada cercana a 0.66. ABIDE-II es multisitio, pero no se identificó validación site-held-out. La selección de regiones aporta interpretabilidad anatómica parcial, no XAI formal.</t>
        </is>
      </c>
      <c r="V71" s="4" t="inlineStr">
        <is>
          <t>Revisión asistida por IA (un revisor; requiere verificación independiente)</t>
        </is>
      </c>
      <c r="W71" s="40" t="n">
        <v>46269</v>
      </c>
    </row>
    <row r="72" ht="86" customHeight="1">
      <c r="A72" s="4" t="n">
        <v>47</v>
      </c>
      <c r="B72" s="4" t="inlineStr">
        <is>
          <t>10.1016/j.rineng.2025.104444</t>
        </is>
      </c>
      <c r="C72" s="4" t="inlineStr">
        <is>
          <t>Leveraging deep learning for enhanced diagnosis of autism spectrum disorder using resting-state functional magnetic resonance imaging and clinical data</t>
        </is>
      </c>
      <c r="D72" s="4" t="inlineStr">
        <is>
          <t>Include</t>
        </is>
      </c>
      <c r="E72" s="4" t="n"/>
      <c r="F72" s="4" t="inlineStr">
        <is>
          <t>Multimodal (rs-fMRI functional connectivity + phenotypic/clinical data)</t>
        </is>
      </c>
      <c r="G72" s="4" t="inlineStr">
        <is>
          <t>Deep Learning</t>
        </is>
      </c>
      <c r="H72" s="4" t="inlineStr">
        <is>
          <t>CNN-BiLSTM with attention</t>
        </is>
      </c>
      <c r="I72" s="4" t="inlineStr">
        <is>
          <t>ASD vs TD diagnostic classification</t>
        </is>
      </c>
      <c r="J72" s="4" t="inlineStr">
        <is>
          <t>Diagnosis</t>
        </is>
      </c>
      <c r="K72" s="4" t="inlineStr">
        <is>
          <t>Proposed only</t>
        </is>
      </c>
      <c r="L72" s="4" t="inlineStr">
        <is>
          <t>Proposed neuroimaging/phenotypic diagnostic decision-support classifier</t>
        </is>
      </c>
      <c r="M72" s="4" t="n">
        <v>0</v>
      </c>
      <c r="N72" s="4" t="n">
        <v>1</v>
      </c>
      <c r="O72" s="4" t="n">
        <v>0</v>
      </c>
      <c r="P72" s="4" t="n">
        <v>0</v>
      </c>
      <c r="Q72" s="4" t="n">
        <v>0</v>
      </c>
      <c r="R72" s="4" t="n">
        <v>0</v>
      </c>
      <c r="S72" s="4" t="n">
        <v>1</v>
      </c>
      <c r="T72" s="4" t="inlineStr">
        <is>
          <t>https://doi.org/10.1016/j.rineng.2025.104444</t>
        </is>
      </c>
      <c r="U72" s="4" t="inlineStr">
        <is>
          <t>ABIDE (n≈1112) con conectividad rs-fMRI + datos fenotípicos; CNN-BiLSTM con atención y split interno 70/30. El conjunto es multisitio y multifuente, pero la evaluación reportada es un split interno; no se identificó site-held-out/cross-site validation. Atención arquitectónica no se contó como XAI sin análisis de explicación.</t>
        </is>
      </c>
      <c r="V72" s="4" t="inlineStr">
        <is>
          <t>Revisión asistida por IA (un revisor; requiere verificación independiente)</t>
        </is>
      </c>
      <c r="W72" s="40" t="n">
        <v>46269</v>
      </c>
    </row>
    <row r="73" ht="99" customHeight="1">
      <c r="A73" s="4" t="n">
        <v>51</v>
      </c>
      <c r="B73" s="4" t="inlineStr">
        <is>
          <t>10.1016/j.engappai.2024.109475</t>
        </is>
      </c>
      <c r="C73" s="4" t="inlineStr">
        <is>
          <t>Involution fused convolution for classifying eye-tracking patterns of children with Autism Spectrum Disorder</t>
        </is>
      </c>
      <c r="D73" s="4" t="inlineStr">
        <is>
          <t>Include</t>
        </is>
      </c>
      <c r="E73" s="4" t="n"/>
      <c r="F73" s="4" t="inlineStr">
        <is>
          <t>Eye-tracking / scanpath images</t>
        </is>
      </c>
      <c r="G73" s="4" t="inlineStr">
        <is>
          <t>Deep Learning</t>
        </is>
      </c>
      <c r="H73" s="4" t="inlineStr">
        <is>
          <t>Hybrid involution-convolution neural network</t>
        </is>
      </c>
      <c r="I73" s="4" t="inlineStr">
        <is>
          <t>ASD vs TD classification from eye-tracking images</t>
        </is>
      </c>
      <c r="J73" s="4" t="inlineStr">
        <is>
          <t>Screening</t>
        </is>
      </c>
      <c r="K73" s="4" t="inlineStr">
        <is>
          <t>Research only</t>
        </is>
      </c>
      <c r="L73" s="4" t="inlineStr">
        <is>
          <t>Experimental eye-tracking classifier for ASD screening/detection</t>
        </is>
      </c>
      <c r="M73" s="4" t="n">
        <v>0</v>
      </c>
      <c r="N73" s="4" t="n">
        <v>0</v>
      </c>
      <c r="O73" s="4" t="n">
        <v>0</v>
      </c>
      <c r="P73" s="4" t="n">
        <v>0</v>
      </c>
      <c r="Q73" s="4" t="n">
        <v>0</v>
      </c>
      <c r="R73" s="4" t="n">
        <v>0</v>
      </c>
      <c r="S73" s="4" t="n">
        <v>0</v>
      </c>
      <c r="T73" s="4" t="inlineStr">
        <is>
          <t>https://arxiv.org/pdf/2401.03575</t>
        </is>
      </c>
      <c r="U73" s="4" t="inlineStr">
        <is>
          <t>Evalúa involution+convolution en dos datasets de eye-tracking y su combinación; el modelo IC con tres capas de involution supera comparadores. Se usa partición aleatoria tras combinar/aumentar imágenes. Esto plantea un riesgo potencial de dependencia entre imágenes/sujetos si la partición no fue totalmente subject-wise; no se afirma leakage porque el texto no lo demuestra.</t>
        </is>
      </c>
      <c r="V73" s="4" t="inlineStr">
        <is>
          <t>Revisión asistida por IA (un revisor; requiere verificación independiente)</t>
        </is>
      </c>
      <c r="W73" s="40" t="n">
        <v>46269</v>
      </c>
    </row>
    <row r="74" ht="73" customHeight="1">
      <c r="A74" s="4" t="n">
        <v>59</v>
      </c>
      <c r="B74" s="4" t="inlineStr">
        <is>
          <t>10.1016/j.eswa.2025.127013</t>
        </is>
      </c>
      <c r="C74" s="4" t="inlineStr">
        <is>
          <t>Advanced autism detection and visualization through XGBoost algorithm for fNIRS hemo-dynamic signals</t>
        </is>
      </c>
      <c r="D74" s="4" t="inlineStr">
        <is>
          <t>Include</t>
        </is>
      </c>
      <c r="E74" s="4" t="n"/>
      <c r="F74" s="4" t="inlineStr">
        <is>
          <t>Physiological signals (fNIRS hemodynamics)</t>
        </is>
      </c>
      <c r="G74" s="4" t="inlineStr">
        <is>
          <t>Machine Learning</t>
        </is>
      </c>
      <c r="H74" s="4" t="inlineStr">
        <is>
          <t>XGBoost</t>
        </is>
      </c>
      <c r="I74" s="4" t="inlineStr">
        <is>
          <t>ASD vs TD diagnostic classification from fNIRS</t>
        </is>
      </c>
      <c r="J74" s="4" t="inlineStr">
        <is>
          <t>Diagnosis</t>
        </is>
      </c>
      <c r="K74" s="4" t="inlineStr">
        <is>
          <t>Research only</t>
        </is>
      </c>
      <c r="L74" s="4" t="inlineStr">
        <is>
          <t>Clinic-based experimental fNIRS classifier proposed for objective ASD diagnostic support</t>
        </is>
      </c>
      <c r="M74" s="4" t="n">
        <v>0</v>
      </c>
      <c r="N74" s="4" t="n">
        <v>0</v>
      </c>
      <c r="O74" s="4" t="n">
        <v>0</v>
      </c>
      <c r="P74" s="4" t="n">
        <v>1</v>
      </c>
      <c r="Q74" s="4" t="n">
        <v>0</v>
      </c>
      <c r="R74" s="4" t="n">
        <v>0</v>
      </c>
      <c r="S74" s="4" t="n">
        <v>0</v>
      </c>
      <c r="T74" s="4" t="inlineStr">
        <is>
          <t>https://doi.org/10.1016/j.eswa.2025.127013</t>
        </is>
      </c>
      <c r="U74" s="4" t="inlineStr">
        <is>
          <t>Estudio clínico prospectivo con 24 ASD y 27 TD, fNIRS de 41 canales y XGBoost con validación anidada (outer 10, inner 5); reporta accuracy 96%. La validación es interna. Los autores reconocen muestra pequeña y ausencia de ADI-R/ADOS como gold-standard; no hay cohorte externa.</t>
        </is>
      </c>
      <c r="V74" s="4" t="inlineStr">
        <is>
          <t>Revisión asistida por IA (un revisor; requiere verificación independiente)</t>
        </is>
      </c>
      <c r="W74" s="40" t="n">
        <v>46269</v>
      </c>
    </row>
    <row r="75" ht="99" customHeight="1">
      <c r="A75" s="4" t="n">
        <v>60</v>
      </c>
      <c r="B75" s="4" t="inlineStr">
        <is>
          <t>10.1016/j.ibmed.2025.100213</t>
        </is>
      </c>
      <c r="C75" s="4" t="inlineStr">
        <is>
          <t>Using convolutional network in graphical model detection of autism disorders with fuzzy inference systems</t>
        </is>
      </c>
      <c r="D75" s="4" t="inlineStr">
        <is>
          <t>Include</t>
        </is>
      </c>
      <c r="E75" s="4" t="n"/>
      <c r="F75" s="4" t="inlineStr">
        <is>
          <t>Multimodal (rs-fMRI functional connectivity + phenotypic data)</t>
        </is>
      </c>
      <c r="G75" s="4" t="inlineStr">
        <is>
          <t>Hybrid</t>
        </is>
      </c>
      <c r="H75" s="4" t="inlineStr">
        <is>
          <t>Fuzzy multi-scale enhanced graph convolutional network (MSE-GCN)</t>
        </is>
      </c>
      <c r="I75" s="4" t="inlineStr">
        <is>
          <t>ASD vs TD diagnostic classification</t>
        </is>
      </c>
      <c r="J75" s="4" t="inlineStr">
        <is>
          <t>Diagnosis</t>
        </is>
      </c>
      <c r="K75" s="4" t="inlineStr">
        <is>
          <t>Research only</t>
        </is>
      </c>
      <c r="L75" s="4" t="inlineStr">
        <is>
          <t>Experimental multimodal graph-based ASD diagnostic classifier</t>
        </is>
      </c>
      <c r="M75" s="4" t="n">
        <v>0</v>
      </c>
      <c r="N75" s="4" t="n">
        <v>1</v>
      </c>
      <c r="O75" s="4" t="n">
        <v>0</v>
      </c>
      <c r="P75" s="4" t="n">
        <v>0</v>
      </c>
      <c r="Q75" s="4" t="n">
        <v>0</v>
      </c>
      <c r="R75" s="4" t="n">
        <v>1</v>
      </c>
      <c r="S75" s="4" t="n">
        <v>1</v>
      </c>
      <c r="T75" s="4" t="inlineStr">
        <is>
          <t>https://doi.org/10.1016/j.ibmed.2025.100213</t>
        </is>
      </c>
      <c r="U75" s="4" t="inlineStr">
        <is>
          <t>Combina conectividad rs-fMRI y variables fenotípicas de ABIDE-I en un GCN multiescala con inferencia difusa; usa 11-fold CV interno. Aunque ABIDE-I es multisitio, no se identificó site-held-out validation. El sitio de adquisición aparece entre rasgos fenotípicos, lo que puede introducir dependencia del sitio; se requiere análisis específico antes de afirmar robustez cross-site.</t>
        </is>
      </c>
      <c r="V75" s="4" t="inlineStr">
        <is>
          <t>Revisión asistida por IA (un revisor; requiere verificación independiente)</t>
        </is>
      </c>
      <c r="W75" s="40" t="n">
        <v>46269</v>
      </c>
    </row>
    <row r="76" ht="86" customHeight="1">
      <c r="A76" s="4" t="n">
        <v>63</v>
      </c>
      <c r="B76" s="4" t="inlineStr">
        <is>
          <t>10.1016/j.engappai.2025.110430</t>
        </is>
      </c>
      <c r="C76" s="4" t="inlineStr">
        <is>
          <t>Enhancing autism spectrum disorder early detection with parent-child dyads block-play protocol and attention-enhanced hybrid deep learning framework</t>
        </is>
      </c>
      <c r="D76" s="4" t="inlineStr">
        <is>
          <t>Include</t>
        </is>
      </c>
      <c r="E76" s="4" t="n"/>
      <c r="F76" s="4" t="inlineStr">
        <is>
          <t>Behavioral video / parent-child interaction skeleton kinematics</t>
        </is>
      </c>
      <c r="G76" s="4" t="inlineStr">
        <is>
          <t>Deep Learning</t>
        </is>
      </c>
      <c r="H76" s="4" t="inlineStr">
        <is>
          <t>2sGCN-AxLSTM (two-stream GCN + attention-enhanced xLSTM)</t>
        </is>
      </c>
      <c r="I76" s="4" t="inlineStr">
        <is>
          <t>Early ASD screening from parent-child block-play behavior</t>
        </is>
      </c>
      <c r="J76" s="4" t="inlineStr">
        <is>
          <t>Screening</t>
        </is>
      </c>
      <c r="K76" s="4" t="inlineStr">
        <is>
          <t>Research only</t>
        </is>
      </c>
      <c r="L76" s="4" t="inlineStr">
        <is>
          <t>Experimental video-based early ASD screening during parent-child block play</t>
        </is>
      </c>
      <c r="M76" s="4" t="n">
        <v>0</v>
      </c>
      <c r="N76" s="4" t="n">
        <v>0</v>
      </c>
      <c r="O76" s="4" t="n">
        <v>0</v>
      </c>
      <c r="P76" s="4" t="n">
        <v>1</v>
      </c>
      <c r="Q76" s="4" t="n">
        <v>0</v>
      </c>
      <c r="R76" s="4" t="n">
        <v>0</v>
      </c>
      <c r="S76" s="4" t="n">
        <v>0</v>
      </c>
      <c r="T76" s="4" t="inlineStr">
        <is>
          <t>https://arxiv.org/pdf/2408.16924</t>
        </is>
      </c>
      <c r="U76" s="4" t="inlineStr">
        <is>
          <t>Protocolo de block-play parent-child con 40 ASD y 89 TD; cámara RGB, pose con Faster R-CNN+HRNet y clasificador 2sGCN-AxLSTM; accuracy reportada 89.6%. Datos recogidos prospectivamente en un único entorno y n=129; no hay validación externa independiente. El módulo de atención no se contó como XAI porque no se presentó como explicación clínica.</t>
        </is>
      </c>
      <c r="V76" s="4" t="inlineStr">
        <is>
          <t>Revisión asistida por IA (un revisor; requiere verificación independiente)</t>
        </is>
      </c>
      <c r="W76" s="40" t="n">
        <v>46269</v>
      </c>
    </row>
    <row r="77" ht="86" customHeight="1">
      <c r="A77" s="4" t="n">
        <v>64</v>
      </c>
      <c r="B77" s="4" t="inlineStr">
        <is>
          <t>10.1016/j.lfs.2025.123531</t>
        </is>
      </c>
      <c r="C77" s="4" t="inlineStr">
        <is>
          <t>Involvement of disulfidptosis in the pathophysiology of autism spectrum disorder</t>
        </is>
      </c>
      <c r="D77" s="4" t="inlineStr">
        <is>
          <t>Include</t>
        </is>
      </c>
      <c r="E77" s="4" t="n"/>
      <c r="F77" s="4" t="inlineStr">
        <is>
          <t>Biological/omics (transcriptomic/gene-expression datasets)</t>
        </is>
      </c>
      <c r="G77" s="4" t="inlineStr">
        <is>
          <t>Machine Learning</t>
        </is>
      </c>
      <c r="H77" s="4" t="inlineStr">
        <is>
          <t>ML gene-signature predictive model (7-gene panel; final classifier not clearly specified in indexed text)</t>
        </is>
      </c>
      <c r="I77" s="4" t="inlineStr">
        <is>
          <t>ASD-related molecular biomarker/pathogenesis characterization and prediction</t>
        </is>
      </c>
      <c r="J77" s="4" t="inlineStr">
        <is>
          <t>Not specified</t>
        </is>
      </c>
      <c r="K77" s="4" t="inlineStr">
        <is>
          <t>Research only</t>
        </is>
      </c>
      <c r="L77" s="4" t="inlineStr">
        <is>
          <t>Research biomarker model; no demonstrated clinical workflow deployment</t>
        </is>
      </c>
      <c r="M77" s="4" t="n">
        <v>1</v>
      </c>
      <c r="N77" s="4" t="n">
        <v>0</v>
      </c>
      <c r="O77" s="4" t="n">
        <v>0</v>
      </c>
      <c r="P77" s="4" t="n">
        <v>0</v>
      </c>
      <c r="Q77" s="4" t="n">
        <v>0</v>
      </c>
      <c r="R77" s="4" t="n">
        <v>0</v>
      </c>
      <c r="S77" s="4" t="n">
        <v>0</v>
      </c>
      <c r="T77" s="4" t="inlineStr">
        <is>
          <t>https://www.sciencedirect.com/science/article/pii/S0024320525001651</t>
        </is>
      </c>
      <c r="U77" s="4" t="inlineStr">
        <is>
          <t>Identifies seven disulfidptosis-related genes and reports a predictive model (AUC 0.759) with external validation (AUC 0.811), plus animal follow-up. The paper is primarily mechanistic/biomarker research. External datasets support validation, but no real clinical workflow or site-held-out evaluation was demonstrated.</t>
        </is>
      </c>
      <c r="V77" s="4" t="inlineStr">
        <is>
          <t>Revisión asistida por IA (un revisor; requiere verificación independiente)</t>
        </is>
      </c>
      <c r="W77" s="40" t="n">
        <v>46269</v>
      </c>
    </row>
    <row r="78" ht="73" customHeight="1">
      <c r="A78" s="4" t="n">
        <v>67</v>
      </c>
      <c r="B78" s="4" t="inlineStr">
        <is>
          <t>10.1016/j.bspc.2024.107433</t>
        </is>
      </c>
      <c r="C78" s="4" t="inlineStr">
        <is>
          <t>Enhancing the identification of autism spectrum disorder in facial expressions using DenseResNet-Based transfer learning approach</t>
        </is>
      </c>
      <c r="D78" s="4" t="inlineStr">
        <is>
          <t>Include</t>
        </is>
      </c>
      <c r="E78" s="4" t="n"/>
      <c r="F78" s="4" t="inlineStr">
        <is>
          <t>Facial images</t>
        </is>
      </c>
      <c r="G78" s="4" t="inlineStr">
        <is>
          <t>Deep Learning</t>
        </is>
      </c>
      <c r="H78" s="4" t="inlineStr">
        <is>
          <t>DenseResNet transfer learning (DenseNet + ResNet)</t>
        </is>
      </c>
      <c r="I78" s="4" t="inlineStr">
        <is>
          <t>ASD vs non-ASD facial-image classification / early identification</t>
        </is>
      </c>
      <c r="J78" s="4" t="inlineStr">
        <is>
          <t>Screening</t>
        </is>
      </c>
      <c r="K78" s="4" t="inlineStr">
        <is>
          <t>Proposed only</t>
        </is>
      </c>
      <c r="L78" s="4" t="inlineStr">
        <is>
          <t>Proposed facial-image support for early ASD identification</t>
        </is>
      </c>
      <c r="M78" s="4" t="n">
        <v>0</v>
      </c>
      <c r="N78" s="4" t="n">
        <v>0</v>
      </c>
      <c r="O78" s="4" t="n">
        <v>0</v>
      </c>
      <c r="P78" s="4" t="n">
        <v>0</v>
      </c>
      <c r="Q78" s="4" t="n">
        <v>0</v>
      </c>
      <c r="R78" s="4" t="n">
        <v>0</v>
      </c>
      <c r="S78" s="4" t="n">
        <v>0</v>
      </c>
      <c r="T78" s="4" t="inlineStr">
        <is>
          <t>https://www.sciencedirect.com/science/article/pii/S1746809424014915</t>
        </is>
      </c>
      <c r="U78" s="4" t="inlineStr">
        <is>
          <t>DenseResNet combines DenseNet and ResNet transfer learning on facial images; 2526 training and 200 test images; reported accuracy 97.07%. Internal dataset evaluation only. No independent external cohort, prospective clinical workflow, cross-site test, or formal XAI was identified.</t>
        </is>
      </c>
      <c r="V78" s="4" t="inlineStr">
        <is>
          <t>Revisión asistida por IA (un revisor; requiere verificación independiente)</t>
        </is>
      </c>
      <c r="W78" s="40" t="n">
        <v>46269</v>
      </c>
    </row>
    <row r="79" ht="73" customHeight="1">
      <c r="A79" s="4" t="n">
        <v>74</v>
      </c>
      <c r="B79" s="4" t="inlineStr">
        <is>
          <t>10.1016/j.neucom.2025.130353</t>
        </is>
      </c>
      <c r="C79" s="4" t="inlineStr">
        <is>
          <t>Deep neurocomputational fusion for ASD diagnosis using multi-domain EEG analysis</t>
        </is>
      </c>
      <c r="D79" s="4" t="inlineStr">
        <is>
          <t>Include</t>
        </is>
      </c>
      <c r="E79" s="4" t="n"/>
      <c r="F79" s="4" t="inlineStr">
        <is>
          <t>Physiological signals (EEG)</t>
        </is>
      </c>
      <c r="G79" s="4" t="inlineStr">
        <is>
          <t>Hybrid</t>
        </is>
      </c>
      <c r="H79" s="4" t="inlineStr">
        <is>
          <t>EEFM (LSTM autoencoder + XGBoost regressor + linear regression)</t>
        </is>
      </c>
      <c r="I79" s="4" t="inlineStr">
        <is>
          <t>EEG-based ASD vs TD classification</t>
        </is>
      </c>
      <c r="J79" s="4" t="inlineStr">
        <is>
          <t>Diagnosis</t>
        </is>
      </c>
      <c r="K79" s="4" t="inlineStr">
        <is>
          <t>Research only</t>
        </is>
      </c>
      <c r="L79" s="4" t="inlineStr">
        <is>
          <t>Experimental EEG diagnostic classifier</t>
        </is>
      </c>
      <c r="M79" s="4" t="n">
        <v>0</v>
      </c>
      <c r="N79" s="4" t="n">
        <v>0</v>
      </c>
      <c r="O79" s="4" t="n">
        <v>0</v>
      </c>
      <c r="P79" s="4" t="n">
        <v>0</v>
      </c>
      <c r="Q79" s="4" t="n">
        <v>0</v>
      </c>
      <c r="R79" s="4" t="n">
        <v>0</v>
      </c>
      <c r="S79" s="4" t="n">
        <v>0</v>
      </c>
      <c r="T79" s="4" t="inlineStr">
        <is>
          <t>https://www.sciencedirect.com/science/article/pii/S0925231225010252</t>
        </is>
      </c>
      <c r="U79" s="4" t="inlineStr">
        <is>
          <t>EEFM fuses time/frequency EEG features using an LSTM autoencoder, XGBoost and linear regression; reported ASD-vs-TD accuracy is 93%. Multiple EEG collections do not by themselves establish independent external validation or cross-site robustness; no formal XAI was reported.</t>
        </is>
      </c>
      <c r="V79" s="4" t="inlineStr">
        <is>
          <t>Revisión asistida por IA (un revisor; requiere verificación independiente)</t>
        </is>
      </c>
      <c r="W79" s="40" t="n">
        <v>46269</v>
      </c>
    </row>
    <row r="80" ht="73" customHeight="1">
      <c r="A80" s="4" t="n">
        <v>76</v>
      </c>
      <c r="B80" s="4" t="inlineStr">
        <is>
          <t>10.1016/j.compbiomed.2025.109926</t>
        </is>
      </c>
      <c r="C80" s="4" t="inlineStr">
        <is>
          <t>Female autism categorization using CNN based NeuroNet57 and ant colony optimization</t>
        </is>
      </c>
      <c r="D80" s="4" t="inlineStr">
        <is>
          <t>Include</t>
        </is>
      </c>
      <c r="E80" s="4" t="n"/>
      <c r="F80" s="4" t="inlineStr">
        <is>
          <t>Neuroimaging (brain MRI/fMRI from ABIDE-I and ABIDE-II)</t>
        </is>
      </c>
      <c r="G80" s="4" t="inlineStr">
        <is>
          <t>Hybrid</t>
        </is>
      </c>
      <c r="H80" s="4" t="inlineStr">
        <is>
          <t>NeuroNet57 + ant colony optimization + FineKNN</t>
        </is>
      </c>
      <c r="I80" s="4" t="inlineStr">
        <is>
          <t>Female ASD vs control classification</t>
        </is>
      </c>
      <c r="J80" s="4" t="inlineStr">
        <is>
          <t>Diagnosis</t>
        </is>
      </c>
      <c r="K80" s="4" t="inlineStr">
        <is>
          <t>Research only</t>
        </is>
      </c>
      <c r="L80" s="4" t="inlineStr">
        <is>
          <t>Experimental female-specific neuroimaging diagnostic classifier</t>
        </is>
      </c>
      <c r="M80" s="4" t="n">
        <v>0</v>
      </c>
      <c r="N80" s="4" t="n">
        <v>1</v>
      </c>
      <c r="O80" s="4" t="n">
        <v>0</v>
      </c>
      <c r="P80" s="4" t="n">
        <v>0</v>
      </c>
      <c r="Q80" s="4" t="n">
        <v>0</v>
      </c>
      <c r="R80" s="4" t="n">
        <v>0</v>
      </c>
      <c r="S80" s="4" t="n">
        <v>0</v>
      </c>
      <c r="T80" s="4" t="inlineStr">
        <is>
          <t>https://www.sciencedirect.com/science/article/pii/S001048252500277X</t>
        </is>
      </c>
      <c r="U80" s="4" t="inlineStr">
        <is>
          <t>NeuroNet57 extracts ABIDE-I/II features, ACO selects features, and FineKNN reports 92.21% accuracy on ABIDE-I and 93.49% on ABIDE-II. ABIDE is multisite, but the recovered text did not document site-held-out testing or a fixed development-versus-external validation design.</t>
        </is>
      </c>
      <c r="V80" s="4" t="inlineStr">
        <is>
          <t>Revisión asistida por IA (un revisor; requiere verificación independiente)</t>
        </is>
      </c>
      <c r="W80" s="40" t="n">
        <v>46269</v>
      </c>
    </row>
    <row r="81" ht="86" customHeight="1">
      <c r="A81" s="4" t="n">
        <v>78</v>
      </c>
      <c r="B81" s="4" t="inlineStr">
        <is>
          <t>10.1016/j.compbiomed.2025.110038</t>
        </is>
      </c>
      <c r="C81" s="4" t="inlineStr">
        <is>
          <t>Capsule DenseNet++: Enhanced autism detection framework with deep learning and reinforcement learning-based lifestyle recommendation</t>
        </is>
      </c>
      <c r="D81" s="4" t="inlineStr">
        <is>
          <t>Include</t>
        </is>
      </c>
      <c r="E81" s="4" t="n"/>
      <c r="F81" s="4" t="inlineStr">
        <is>
          <t>Structured behavioral / questionnaire screening data</t>
        </is>
      </c>
      <c r="G81" s="4" t="inlineStr">
        <is>
          <t>Hybrid</t>
        </is>
      </c>
      <c r="H81" s="4" t="inlineStr">
        <is>
          <t>Capsule DenseNet++ + CosmoNest optimization + PPO recommendation</t>
        </is>
      </c>
      <c r="I81" s="4" t="inlineStr">
        <is>
          <t>ASD screening classification plus lifestyle recommendation</t>
        </is>
      </c>
      <c r="J81" s="4" t="inlineStr">
        <is>
          <t>Screening</t>
        </is>
      </c>
      <c r="K81" s="4" t="inlineStr">
        <is>
          <t>Proposed only</t>
        </is>
      </c>
      <c r="L81" s="4" t="inlineStr">
        <is>
          <t>Proposed screening classifier with post-screening lifestyle recommendation</t>
        </is>
      </c>
      <c r="M81" s="4" t="n">
        <v>0</v>
      </c>
      <c r="N81" s="4" t="n">
        <v>0</v>
      </c>
      <c r="O81" s="4" t="n">
        <v>0</v>
      </c>
      <c r="P81" s="4" t="n">
        <v>0</v>
      </c>
      <c r="Q81" s="4" t="n">
        <v>0</v>
      </c>
      <c r="R81" s="4" t="n">
        <v>0</v>
      </c>
      <c r="S81" s="4" t="n">
        <v>0</v>
      </c>
      <c r="T81" s="4" t="inlineStr">
        <is>
          <t>https://www.sciencedirect.com/science/article/pii/S0010482525003890</t>
        </is>
      </c>
      <c r="U81" s="4" t="inlineStr">
        <is>
          <t>Uses Capsule DenseNet++ with optimization for ASD screening on two public datasets and a PPO component for lifestyle recommendation; reported accuracies are about 99.2-99.3%. The two datasets were not documented as a fixed independent external-validation scheme, and the recommendation component was not evaluated in a prospective care workflow.</t>
        </is>
      </c>
      <c r="V81" s="4" t="inlineStr">
        <is>
          <t>Revisión asistida por IA (un revisor; requiere verificación independiente)</t>
        </is>
      </c>
      <c r="W81" s="40" t="n">
        <v>46269</v>
      </c>
    </row>
    <row r="82" ht="86" customHeight="1">
      <c r="A82" s="4" t="n">
        <v>81</v>
      </c>
      <c r="B82" s="4" t="inlineStr">
        <is>
          <t>10.1016/j.neunet.2025.107337</t>
        </is>
      </c>
      <c r="C82" s="4" t="inlineStr">
        <is>
          <t>Self-training EEG discrimination model with weakly supervised sample construction: An age-based perspective on ASD evaluation</t>
        </is>
      </c>
      <c r="D82" s="4" t="inlineStr">
        <is>
          <t>Include</t>
        </is>
      </c>
      <c r="E82" s="4" t="n"/>
      <c r="F82" s="4" t="inlineStr">
        <is>
          <t>Physiological signals (EEG)</t>
        </is>
      </c>
      <c r="G82" s="4" t="inlineStr">
        <is>
          <t>Deep Learning</t>
        </is>
      </c>
      <c r="H82" s="4" t="inlineStr">
        <is>
          <t>STEM / MAC autoencoder + depthwise-separable CNN + BiGRU with PLASC self-training</t>
        </is>
      </c>
      <c r="I82" s="4" t="inlineStr">
        <is>
          <t>EEG-based ASD evaluation/classification</t>
        </is>
      </c>
      <c r="J82" s="4" t="inlineStr">
        <is>
          <t>Diagnosis</t>
        </is>
      </c>
      <c r="K82" s="4" t="inlineStr">
        <is>
          <t>Research only</t>
        </is>
      </c>
      <c r="L82" s="4" t="inlineStr">
        <is>
          <t>Experimental semi-supervised EEG classifier</t>
        </is>
      </c>
      <c r="M82" s="4" t="n">
        <v>0</v>
      </c>
      <c r="N82" s="4" t="n">
        <v>0</v>
      </c>
      <c r="O82" s="4" t="n">
        <v>0</v>
      </c>
      <c r="P82" s="4" t="n">
        <v>0</v>
      </c>
      <c r="Q82" s="4" t="n">
        <v>0</v>
      </c>
      <c r="R82" s="4" t="n">
        <v>0</v>
      </c>
      <c r="S82" s="4" t="n">
        <v>0</v>
      </c>
      <c r="T82" s="4" t="inlineStr">
        <is>
          <t>https://www.sciencedirect.com/science/article/pii/S0893608025002163</t>
        </is>
      </c>
      <c r="U82" s="4" t="inlineStr">
        <is>
          <t>STEM combines an autoencoder, depthwise-separable convolution, BiGRU and pseudo-label self-training across EEG data; reported accuracy is 88.33% and F1 87.24%. Use of several EEG datasets does not automatically prove external validation; no explicit site-held-out or prospective clinical evaluation was identified.</t>
        </is>
      </c>
      <c r="V82" s="4" t="inlineStr">
        <is>
          <t>Revisión asistida por IA (un revisor; requiere verificación independiente)</t>
        </is>
      </c>
      <c r="W82" s="40" t="n">
        <v>46269</v>
      </c>
    </row>
    <row r="83" ht="86" customHeight="1">
      <c r="A83" s="4" t="n">
        <v>84</v>
      </c>
      <c r="B83" s="4" t="inlineStr">
        <is>
          <t>10.1016/j.eswa.2025.128884</t>
        </is>
      </c>
      <c r="C83" s="4" t="inlineStr">
        <is>
          <t>Towards screening of children students with autism spectrum disorder based on executive functions with serious game and machine learning approaches</t>
        </is>
      </c>
      <c r="D83" s="4" t="inlineStr">
        <is>
          <t>Include</t>
        </is>
      </c>
      <c r="E83" s="4" t="n"/>
      <c r="F83" s="4" t="inlineStr">
        <is>
          <t>Digital interaction / serious-game executive-function data</t>
        </is>
      </c>
      <c r="G83" s="4" t="inlineStr">
        <is>
          <t>Machine Learning</t>
        </is>
      </c>
      <c r="H83" s="4" t="inlineStr">
        <is>
          <t>Random Forest (best-performing among seven ML models)</t>
        </is>
      </c>
      <c r="I83" s="4" t="inlineStr">
        <is>
          <t>School-based ASD screening from serious-game interaction data</t>
        </is>
      </c>
      <c r="J83" s="4" t="inlineStr">
        <is>
          <t>Screening</t>
        </is>
      </c>
      <c r="K83" s="4" t="inlineStr">
        <is>
          <t>Research only</t>
        </is>
      </c>
      <c r="L83" s="4" t="inlineStr">
        <is>
          <t>School-based experimental screening model using serious-game data</t>
        </is>
      </c>
      <c r="M83" s="4" t="n">
        <v>0</v>
      </c>
      <c r="N83" s="4" t="n">
        <v>0</v>
      </c>
      <c r="O83" s="4" t="n">
        <v>0</v>
      </c>
      <c r="P83" s="4" t="n">
        <v>1</v>
      </c>
      <c r="Q83" s="4" t="n">
        <v>0</v>
      </c>
      <c r="R83" s="4" t="n">
        <v>0</v>
      </c>
      <c r="S83" s="4" t="n">
        <v>0</v>
      </c>
      <c r="T83" s="4" t="inlineStr">
        <is>
          <t>https://www.sciencedirect.com/science/article/pii/S0957417425025011</t>
        </is>
      </c>
      <c r="U83" s="4" t="inlineStr">
        <is>
          <t>Three teachers supervised 12 children (6 ASD, 6 TD) over three months and 640 game sessions; Random Forest was best, with reported accuracy near 96%. Very small single-context sample. Data collection was prospective, but the classifier was not shown to operate as an independent deployed screening decision in routine practice.</t>
        </is>
      </c>
      <c r="V83" s="4" t="inlineStr">
        <is>
          <t>Revisión asistida por IA (un revisor; requiere verificación independiente)</t>
        </is>
      </c>
      <c r="W83" s="40" t="n">
        <v>46269</v>
      </c>
    </row>
    <row r="84" ht="73" customHeight="1">
      <c r="A84" s="4" t="n">
        <v>86</v>
      </c>
      <c r="B84" s="4" t="inlineStr">
        <is>
          <t>10.1016/j.pscychresns.2025.111970</t>
        </is>
      </c>
      <c r="C84" s="4" t="inlineStr">
        <is>
          <t>Optimized attention-enhanced U-Net for autism detection and region localization in MRI</t>
        </is>
      </c>
      <c r="D84" s="4" t="inlineStr">
        <is>
          <t>Include</t>
        </is>
      </c>
      <c r="E84" s="4" t="n"/>
      <c r="F84" s="4" t="inlineStr">
        <is>
          <t>Neuroimaging (MRI / ABIDE)</t>
        </is>
      </c>
      <c r="G84" s="4" t="inlineStr">
        <is>
          <t>Deep Learning</t>
        </is>
      </c>
      <c r="H84" s="4" t="inlineStr">
        <is>
          <t>RA-EBO optimized SSM-AM classifier + MDA-AUnet localization</t>
        </is>
      </c>
      <c r="I84" s="4" t="inlineStr">
        <is>
          <t>ASD classification plus abnormality-region localization</t>
        </is>
      </c>
      <c r="J84" s="4" t="inlineStr">
        <is>
          <t>Diagnosis</t>
        </is>
      </c>
      <c r="K84" s="4" t="inlineStr">
        <is>
          <t>Research only</t>
        </is>
      </c>
      <c r="L84" s="4" t="inlineStr">
        <is>
          <t>Experimental MRI diagnostic classifier with region localization</t>
        </is>
      </c>
      <c r="M84" s="4" t="n">
        <v>0</v>
      </c>
      <c r="N84" s="4" t="n">
        <v>1</v>
      </c>
      <c r="O84" s="4" t="n">
        <v>0</v>
      </c>
      <c r="P84" s="4" t="n">
        <v>0</v>
      </c>
      <c r="Q84" s="4" t="n">
        <v>0</v>
      </c>
      <c r="R84" s="4" t="n">
        <v>1</v>
      </c>
      <c r="S84" s="4" t="n">
        <v>0</v>
      </c>
      <c r="T84" s="4" t="inlineStr">
        <is>
          <t>https://www.sciencedirect.com/science/article/pii/S0925492725000253</t>
        </is>
      </c>
      <c r="U84" s="4" t="inlineStr">
        <is>
          <t>An optimized attention-enhanced MRI pipeline classifies ASD and localizes abnormal regions; reported accuracy is 97.29% on ABIDE-derived data. ABIDE provides multisite data, but no site-held-out validation was identified. Region localization was coded as partial interpretability, not formal XAI.</t>
        </is>
      </c>
      <c r="V84" s="4" t="inlineStr">
        <is>
          <t>Revisión asistida por IA (un revisor; requiere verificación independiente)</t>
        </is>
      </c>
      <c r="W84" s="40" t="n">
        <v>46269</v>
      </c>
    </row>
    <row r="85" ht="86" customHeight="1">
      <c r="A85" s="4" t="n">
        <v>97</v>
      </c>
      <c r="B85" s="4" t="inlineStr">
        <is>
          <t>10.1016/j.etdah.2025.100176</t>
        </is>
      </c>
      <c r="C85" s="4" t="inlineStr">
        <is>
          <t>Child-therapist acoustic synchrony and response trajectories in autism intervention: an AI-based automated analysis using dynamic systems theory and affective computing</t>
        </is>
      </c>
      <c r="D85" s="4" t="inlineStr">
        <is>
          <t>Include</t>
        </is>
      </c>
      <c r="E85" s="4" t="n"/>
      <c r="F85" s="4" t="inlineStr">
        <is>
          <t>Audio / voice (child-therapist intervention sessions)</t>
        </is>
      </c>
      <c r="G85" s="4" t="inlineStr">
        <is>
          <t>Hybrid</t>
        </is>
      </c>
      <c r="H85" s="4" t="inlineStr">
        <is>
          <t>Automated AI speech segmentation + CRQA acoustic-synchrony pipeline</t>
        </is>
      </c>
      <c r="I85" s="4" t="inlineStr">
        <is>
          <t>Longitudinal child-therapist synchrony and intervention-response monitoring</t>
        </is>
      </c>
      <c r="J85" s="4" t="inlineStr">
        <is>
          <t>Monitoring/intervention</t>
        </is>
      </c>
      <c r="K85" s="4" t="inlineStr">
        <is>
          <t>Research only</t>
        </is>
      </c>
      <c r="L85" s="4" t="inlineStr">
        <is>
          <t>Longitudinal computational monitoring of therapist-child interaction during intervention</t>
        </is>
      </c>
      <c r="M85" s="4" t="n">
        <v>0</v>
      </c>
      <c r="N85" s="4" t="n">
        <v>0</v>
      </c>
      <c r="O85" s="4" t="n">
        <v>0</v>
      </c>
      <c r="P85" s="4" t="n">
        <v>1</v>
      </c>
      <c r="Q85" s="4" t="n">
        <v>0</v>
      </c>
      <c r="R85" s="4" t="n">
        <v>0</v>
      </c>
      <c r="S85" s="4" t="n">
        <v>0</v>
      </c>
      <c r="T85" s="4" t="inlineStr">
        <is>
          <t>https://www.sciencedirect.com/science/article/pii/S2667118225000078</t>
        </is>
      </c>
      <c r="U85" s="4" t="inlineStr">
        <is>
          <t>Follows 25 autistic preschoolers over one year of NDBI; 75 intervention videos are analyzed with automatic speech segmentation and CRQA acoustic synchrony. Prospective longitudinal data support monitoring research, but the AI output was analyzed as a research measure rather than used to alter therapy decisions in real time.</t>
        </is>
      </c>
      <c r="V85" s="4" t="inlineStr">
        <is>
          <t>Revisión asistida por IA (un revisor; requiere verificación independiente)</t>
        </is>
      </c>
      <c r="W85" s="40" t="n">
        <v>46269</v>
      </c>
    </row>
    <row r="86" ht="86" customHeight="1">
      <c r="A86" s="4" t="n">
        <v>103</v>
      </c>
      <c r="B86" s="4" t="inlineStr">
        <is>
          <t>10.1016/j.bspc.2025.108020</t>
        </is>
      </c>
      <c r="C86" s="4" t="inlineStr">
        <is>
          <t>Early fusion for Autism classification with biomarker detection using rs-fMRI and phenotypic data</t>
        </is>
      </c>
      <c r="D86" s="4" t="inlineStr">
        <is>
          <t>Include</t>
        </is>
      </c>
      <c r="E86" s="4" t="n"/>
      <c r="F86" s="4" t="inlineStr">
        <is>
          <t>Multimodal (rs-fMRI + phenotypic data)</t>
        </is>
      </c>
      <c r="G86" s="4" t="inlineStr">
        <is>
          <t>Hybrid</t>
        </is>
      </c>
      <c r="H86" s="4" t="inlineStr">
        <is>
          <t>Convolutional autoencoder + conventional classifiers in early-fusion pipeline</t>
        </is>
      </c>
      <c r="I86" s="4" t="inlineStr">
        <is>
          <t>ASD classification plus biomarker detection</t>
        </is>
      </c>
      <c r="J86" s="4" t="inlineStr">
        <is>
          <t>Diagnosis</t>
        </is>
      </c>
      <c r="K86" s="4" t="inlineStr">
        <is>
          <t>Research only</t>
        </is>
      </c>
      <c r="L86" s="4" t="inlineStr">
        <is>
          <t>Experimental multimodal ASD diagnostic classifier and biomarker analysis</t>
        </is>
      </c>
      <c r="M86" s="4" t="n">
        <v>1</v>
      </c>
      <c r="N86" s="4" t="n">
        <v>1</v>
      </c>
      <c r="O86" s="4" t="n">
        <v>1</v>
      </c>
      <c r="P86" s="4" t="n">
        <v>0</v>
      </c>
      <c r="Q86" s="4" t="n">
        <v>1</v>
      </c>
      <c r="R86" s="4" t="n">
        <v>0</v>
      </c>
      <c r="S86" s="4" t="n">
        <v>1</v>
      </c>
      <c r="T86" s="4" t="inlineStr">
        <is>
          <t>https://www.sciencedirect.com/science/article/pii/S1746809425005312</t>
        </is>
      </c>
      <c r="U86" s="4" t="inlineStr">
        <is>
          <t>Early fusion combines rs-fMRI and phenotypic features; the study reports explainable biomarker analysis and leave-one-site-out evaluation on multisite ABIDE data. LOSO is strong evidence of site-level generalization but performance remains moderate; it is still retrospective research rather than prospective clinical deployment.</t>
        </is>
      </c>
      <c r="V86" s="4" t="inlineStr">
        <is>
          <t>Revisión asistida por IA (un revisor; requiere verificación independiente)</t>
        </is>
      </c>
      <c r="W86" s="40" t="n">
        <v>46269</v>
      </c>
    </row>
    <row r="87" ht="86" customHeight="1">
      <c r="A87" s="4" t="n">
        <v>110</v>
      </c>
      <c r="B87" s="4" t="inlineStr">
        <is>
          <t>10.1016/j.neuroscience.2025.08.001</t>
        </is>
      </c>
      <c r="C87" s="4" t="inlineStr">
        <is>
          <t>A deep learning model for diagnosing autism using brain time series</t>
        </is>
      </c>
      <c r="D87" s="4" t="inlineStr">
        <is>
          <t>Include</t>
        </is>
      </c>
      <c r="E87" s="4" t="n"/>
      <c r="F87" s="4" t="inlineStr">
        <is>
          <t>Neuroimaging (rs-fMRI ROI time series / ABIDE)</t>
        </is>
      </c>
      <c r="G87" s="4" t="inlineStr">
        <is>
          <t>Deep Learning</t>
        </is>
      </c>
      <c r="H87" s="4" t="inlineStr">
        <is>
          <t>LSTM with attention and residual/channel-attention components</t>
        </is>
      </c>
      <c r="I87" s="4" t="inlineStr">
        <is>
          <t>ASD diagnostic classification from brain time series</t>
        </is>
      </c>
      <c r="J87" s="4" t="inlineStr">
        <is>
          <t>Diagnosis</t>
        </is>
      </c>
      <c r="K87" s="4" t="inlineStr">
        <is>
          <t>Research only</t>
        </is>
      </c>
      <c r="L87" s="4" t="inlineStr">
        <is>
          <t>Experimental rs-fMRI diagnostic classifier</t>
        </is>
      </c>
      <c r="M87" s="4" t="n">
        <v>0</v>
      </c>
      <c r="N87" s="4" t="n">
        <v>1</v>
      </c>
      <c r="O87" s="4" t="n">
        <v>0</v>
      </c>
      <c r="P87" s="4" t="n">
        <v>0</v>
      </c>
      <c r="Q87" s="4" t="n">
        <v>0</v>
      </c>
      <c r="R87" s="4" t="n">
        <v>0</v>
      </c>
      <c r="S87" s="4" t="n">
        <v>0</v>
      </c>
      <c r="T87" s="4" t="inlineStr">
        <is>
          <t>https://www.sciencedirect.com/science/article/pii/S0306452225008346</t>
        </is>
      </c>
      <c r="U87" s="4" t="inlineStr">
        <is>
          <t>Uses ABIDE brain time series with an LSTM-attention architecture; evaluation uses an internal subject split and cross-validation, with no separate external test set. ABIDE is multisite, but the recovered evaluation is not site-held-out. Architectural attention was not counted as XAI without explicit explanation analysis.</t>
        </is>
      </c>
      <c r="V87" s="4" t="inlineStr">
        <is>
          <t>Revisión asistida por IA (un revisor; requiere verificación independiente)</t>
        </is>
      </c>
      <c r="W87" s="40" t="n">
        <v>46269</v>
      </c>
    </row>
    <row r="88" ht="86" customHeight="1">
      <c r="A88" s="4" t="n">
        <v>118</v>
      </c>
      <c r="B88" s="4" t="inlineStr">
        <is>
          <t>10.1016/j.jgg.2025.07.008</t>
        </is>
      </c>
      <c r="C88" s="4" t="inlineStr">
        <is>
          <t>Massively parallel characterization of non-coding de novo mutations in autism spectrum disorder</t>
        </is>
      </c>
      <c r="D88" s="4" t="inlineStr">
        <is>
          <t>Include</t>
        </is>
      </c>
      <c r="E88" s="4" t="n"/>
      <c r="F88" s="4" t="inlineStr">
        <is>
          <t>Biological/omics (non-coding de novo variants and regulatory genomics)</t>
        </is>
      </c>
      <c r="G88" s="4" t="inlineStr">
        <is>
          <t>Deep Learning</t>
        </is>
      </c>
      <c r="H88" s="4" t="inlineStr">
        <is>
          <t>Cell-specific deep-learning variant-effect prediction model</t>
        </is>
      </c>
      <c r="I88" s="4" t="inlineStr">
        <is>
          <t>Functional prioritization/characterization of ASD-risk non-coding variants</t>
        </is>
      </c>
      <c r="J88" s="4" t="inlineStr">
        <is>
          <t>Not specified</t>
        </is>
      </c>
      <c r="K88" s="4" t="inlineStr">
        <is>
          <t>Research only</t>
        </is>
      </c>
      <c r="L88" s="4" t="inlineStr">
        <is>
          <t>Research-only genomic prioritization and functional characterization</t>
        </is>
      </c>
      <c r="M88" s="4" t="n">
        <v>0</v>
      </c>
      <c r="N88" s="4" t="n">
        <v>0</v>
      </c>
      <c r="O88" s="4" t="n">
        <v>0</v>
      </c>
      <c r="P88" s="4" t="n">
        <v>0</v>
      </c>
      <c r="Q88" s="4" t="n">
        <v>0</v>
      </c>
      <c r="R88" s="4" t="n">
        <v>0</v>
      </c>
      <c r="S88" s="4" t="n">
        <v>0</v>
      </c>
      <c r="T88" s="4" t="inlineStr">
        <is>
          <t>https://www.sciencedirect.com/science/article/pii/S167385272500205X</t>
        </is>
      </c>
      <c r="U88" s="4" t="inlineStr">
        <is>
          <t>Analyzes ncDNMs from SSC and MSSNG using a cell-specific variant-effect model and MPRA follow-up, prioritizing ASD-risk regulatory mutations. This is mechanistic genomic research rather than a clinical-stage decision tool. Multiple cohorts/assays were not coded as formal multisource model fusion or cross-site validation.</t>
        </is>
      </c>
      <c r="V88" s="4" t="inlineStr">
        <is>
          <t>Revisión asistida por IA (un revisor; requiere verificación independiente)</t>
        </is>
      </c>
      <c r="W88" s="40" t="n">
        <v>46269</v>
      </c>
    </row>
    <row r="89" ht="73" customHeight="1">
      <c r="A89" s="4" t="n">
        <v>122</v>
      </c>
      <c r="B89" s="4" t="inlineStr">
        <is>
          <t>10.1016/j.compbiolchem.2025.108619</t>
        </is>
      </c>
      <c r="C89" s="4" t="inlineStr">
        <is>
          <t>A novel hybrid deep learning model using MEResNextfor autism spectrum disorder detection</t>
        </is>
      </c>
      <c r="D89" s="4" t="inlineStr">
        <is>
          <t>Include</t>
        </is>
      </c>
      <c r="E89" s="4" t="n"/>
      <c r="F89" s="4" t="inlineStr">
        <is>
          <t>Structured behavioral / questionnaire screening data</t>
        </is>
      </c>
      <c r="G89" s="4" t="inlineStr">
        <is>
          <t>Hybrid</t>
        </is>
      </c>
      <c r="H89" s="4" t="inlineStr">
        <is>
          <t>MEResNeXt (MoNet + ResNeXt) with DeSEHO feature selection</t>
        </is>
      </c>
      <c r="I89" s="4" t="inlineStr">
        <is>
          <t>ASD screening classification</t>
        </is>
      </c>
      <c r="J89" s="4" t="inlineStr">
        <is>
          <t>Screening</t>
        </is>
      </c>
      <c r="K89" s="4" t="inlineStr">
        <is>
          <t>Research only</t>
        </is>
      </c>
      <c r="L89" s="4" t="inlineStr">
        <is>
          <t>Experimental questionnaire-based ASD screening classifier</t>
        </is>
      </c>
      <c r="M89" s="4" t="n">
        <v>0</v>
      </c>
      <c r="N89" s="4" t="n">
        <v>0</v>
      </c>
      <c r="O89" s="4" t="n">
        <v>0</v>
      </c>
      <c r="P89" s="4" t="n">
        <v>0</v>
      </c>
      <c r="Q89" s="4" t="n">
        <v>0</v>
      </c>
      <c r="R89" s="4" t="n">
        <v>0</v>
      </c>
      <c r="S89" s="4" t="n">
        <v>0</v>
      </c>
      <c r="T89" s="4" t="inlineStr">
        <is>
          <t>https://www.sciencedirect.com/science/article/pii/S1476927125002804</t>
        </is>
      </c>
      <c r="U89" s="4" t="inlineStr">
        <is>
          <t>Proposes MEResNeXt with feature selection for ASD detection on a structured toddler screening dataset and reports high classification performance. No independent external cohort, prospective workflow, cross-site test or formal XAI was identified in the recovered article text.</t>
        </is>
      </c>
      <c r="V89" s="4" t="inlineStr">
        <is>
          <t>Revisión asistida por IA (un revisor; requiere verificación independiente)</t>
        </is>
      </c>
      <c r="W89" s="40" t="n">
        <v>46269</v>
      </c>
    </row>
    <row r="90" ht="86" customHeight="1">
      <c r="A90" s="4" t="n">
        <v>123</v>
      </c>
      <c r="B90" s="4" t="inlineStr">
        <is>
          <t>10.1016/j.brainres.2025.149904</t>
        </is>
      </c>
      <c r="C90" s="4" t="inlineStr">
        <is>
          <t>FaithfulNet: An explainable deep learning framework for autism diagnosis using structural MRI</t>
        </is>
      </c>
      <c r="D90" s="4" t="inlineStr">
        <is>
          <t>Include</t>
        </is>
      </c>
      <c r="E90" s="4" t="n"/>
      <c r="F90" s="4" t="inlineStr">
        <is>
          <t>Neuroimaging (structural MRI / ABIDE-II)</t>
        </is>
      </c>
      <c r="G90" s="4" t="inlineStr">
        <is>
          <t>Deep Learning</t>
        </is>
      </c>
      <c r="H90" s="4" t="inlineStr">
        <is>
          <t>FaithfulNet 3D CNN + Faith_CAM (Grad-CAM + SHAP)</t>
        </is>
      </c>
      <c r="I90" s="4" t="inlineStr">
        <is>
          <t>ASD classification plus explainable brain-region localization</t>
        </is>
      </c>
      <c r="J90" s="4" t="inlineStr">
        <is>
          <t>Diagnosis</t>
        </is>
      </c>
      <c r="K90" s="4" t="inlineStr">
        <is>
          <t>Research only</t>
        </is>
      </c>
      <c r="L90" s="4" t="inlineStr">
        <is>
          <t>Experimental explainable sMRI diagnostic classifier</t>
        </is>
      </c>
      <c r="M90" s="4" t="n">
        <v>0</v>
      </c>
      <c r="N90" s="4" t="n">
        <v>1</v>
      </c>
      <c r="O90" s="4" t="n">
        <v>0</v>
      </c>
      <c r="P90" s="4" t="n">
        <v>0</v>
      </c>
      <c r="Q90" s="4" t="n">
        <v>1</v>
      </c>
      <c r="R90" s="4" t="n">
        <v>0</v>
      </c>
      <c r="S90" s="4" t="n">
        <v>0</v>
      </c>
      <c r="T90" s="4" t="inlineStr">
        <is>
          <t>https://www.sciencedirect.com/science/article/pii/S0006899325004676</t>
        </is>
      </c>
      <c r="U90" s="4" t="inlineStr">
        <is>
          <t>FaithfulNet classifies ABIDE-II sMRI and Faith_CAM combines Grad-CAM with SHAP for explanation/region localization; very high internal performance is reported. ABIDE-II is multisite, but no site-held-out or independent external validation was identified. Very high performance warrants leakage/partition review during human verification.</t>
        </is>
      </c>
      <c r="V90" s="4" t="inlineStr">
        <is>
          <t>Revisión asistida por IA (un revisor; requiere verificación independiente)</t>
        </is>
      </c>
      <c r="W90" s="40" t="n">
        <v>46269</v>
      </c>
    </row>
    <row r="91" ht="73" customHeight="1">
      <c r="A91" s="4" t="n">
        <v>126</v>
      </c>
      <c r="B91" s="4" t="inlineStr">
        <is>
          <t>10.32604/cmc.2025.067784</t>
        </is>
      </c>
      <c r="C91" s="4" t="inlineStr">
        <is>
          <t>CARE: Comprehensive Artificial Intelligence Techniques for Reliable Autism Evaluation in Pediatric Care</t>
        </is>
      </c>
      <c r="D91" s="4" t="inlineStr">
        <is>
          <t>Include</t>
        </is>
      </c>
      <c r="E91" s="4" t="n"/>
      <c r="F91" s="4" t="inlineStr">
        <is>
          <t>Structured behavioral / questionnaire / clinical-trait data</t>
        </is>
      </c>
      <c r="G91" s="4" t="inlineStr">
        <is>
          <t>Machine Learning</t>
        </is>
      </c>
      <c r="H91" s="4" t="inlineStr">
        <is>
          <t>CatBoost + PyCaret AutoML + SHAP</t>
        </is>
      </c>
      <c r="I91" s="4" t="inlineStr">
        <is>
          <t>Pediatric ASD trait prediction / early screening</t>
        </is>
      </c>
      <c r="J91" s="4" t="inlineStr">
        <is>
          <t>Screening</t>
        </is>
      </c>
      <c r="K91" s="4" t="inlineStr">
        <is>
          <t>Proposed only</t>
        </is>
      </c>
      <c r="L91" s="4" t="inlineStr">
        <is>
          <t>Proposed explainable pediatric ASD screening support</t>
        </is>
      </c>
      <c r="M91" s="4" t="n">
        <v>0</v>
      </c>
      <c r="N91" s="4" t="n">
        <v>0</v>
      </c>
      <c r="O91" s="4" t="n">
        <v>0</v>
      </c>
      <c r="P91" s="4" t="n">
        <v>0</v>
      </c>
      <c r="Q91" s="4" t="n">
        <v>1</v>
      </c>
      <c r="R91" s="4" t="n">
        <v>0</v>
      </c>
      <c r="S91" s="4" t="n">
        <v>0</v>
      </c>
      <c r="T91" s="4" t="inlineStr">
        <is>
          <t>https://www.techscience.com/cmc/v85n1/63573/html</t>
        </is>
      </c>
      <c r="U91" s="4" t="inlineStr">
        <is>
          <t>CARE evaluates AutoML/CatBoost on a pediatric ASD-traits dataset and uses SHAP for explicit feature-level explanation. Retrospective/public structured-data modeling only; no independent external cohort or prospective pediatric workflow evaluation was demonstrated.</t>
        </is>
      </c>
      <c r="V91" s="4" t="inlineStr">
        <is>
          <t>Revisión asistida por IA (un revisor; requiere verificación independiente)</t>
        </is>
      </c>
      <c r="W91" s="40" t="n">
        <v>46269</v>
      </c>
    </row>
    <row r="92" ht="73" customHeight="1">
      <c r="A92" s="4" t="n">
        <v>134</v>
      </c>
      <c r="B92" s="4" t="inlineStr">
        <is>
          <t>10.1016/j.mri.2025.110492</t>
        </is>
      </c>
      <c r="C92" s="4" t="inlineStr">
        <is>
          <t>ASD-HybridNet: A hybrid deep learning framework for detection of autism spectrum disorder</t>
        </is>
      </c>
      <c r="D92" s="4" t="inlineStr">
        <is>
          <t>Include</t>
        </is>
      </c>
      <c r="E92" s="4" t="n"/>
      <c r="F92" s="4" t="inlineStr">
        <is>
          <t>Neuroimaging (rs-fMRI / ABIDE-I)</t>
        </is>
      </c>
      <c r="G92" s="4" t="inlineStr">
        <is>
          <t>Deep Learning</t>
        </is>
      </c>
      <c r="H92" s="4" t="inlineStr">
        <is>
          <t>ASD-HybridNet (ROI time-series + functional-connectivity map fusion)</t>
        </is>
      </c>
      <c r="I92" s="4" t="inlineStr">
        <is>
          <t>ASD diagnostic classification</t>
        </is>
      </c>
      <c r="J92" s="4" t="inlineStr">
        <is>
          <t>Diagnosis</t>
        </is>
      </c>
      <c r="K92" s="4" t="inlineStr">
        <is>
          <t>Research only</t>
        </is>
      </c>
      <c r="L92" s="4" t="inlineStr">
        <is>
          <t>Experimental rs-fMRI diagnostic classifier</t>
        </is>
      </c>
      <c r="M92" s="4" t="n">
        <v>0</v>
      </c>
      <c r="N92" s="4" t="n">
        <v>1</v>
      </c>
      <c r="O92" s="4" t="n">
        <v>0</v>
      </c>
      <c r="P92" s="4" t="n">
        <v>0</v>
      </c>
      <c r="Q92" s="4" t="n">
        <v>0</v>
      </c>
      <c r="R92" s="4" t="n">
        <v>0</v>
      </c>
      <c r="S92" s="4" t="n">
        <v>0</v>
      </c>
      <c r="T92" s="4" t="inlineStr">
        <is>
          <t>https://www.sciencedirect.com/science/article/pii/S0730725X25001766</t>
        </is>
      </c>
      <c r="U92" s="4" t="inlineStr">
        <is>
          <t>ASD-HybridNet fuses ROI time-series and functional-connectivity representations from ABIDE-I; reported accuracy is about 71.87%. The fused inputs are representations of the same rs-fMRI source, so q3_multisource_data remains 0. ABIDE-I is multisite but no site-held-out test was identified.</t>
        </is>
      </c>
      <c r="V92" s="4" t="inlineStr">
        <is>
          <t>Revisión asistida por IA (un revisor; requiere verificación independiente)</t>
        </is>
      </c>
      <c r="W92" s="40" t="n">
        <v>46269</v>
      </c>
    </row>
    <row r="93" ht="73" customHeight="1">
      <c r="A93" s="4" t="n">
        <v>146</v>
      </c>
      <c r="B93" s="4" t="inlineStr">
        <is>
          <t>10.1016/j.patcog.2025.112906</t>
        </is>
      </c>
      <c r="C93" s="4" t="inlineStr">
        <is>
          <t>Deep learning-based detection of autism spectrum disorder and emotion recognition in children</t>
        </is>
      </c>
      <c r="D93" s="4" t="inlineStr">
        <is>
          <t>Include</t>
        </is>
      </c>
      <c r="E93" s="4" t="n"/>
      <c r="F93" s="4" t="inlineStr">
        <is>
          <t>Facial images</t>
        </is>
      </c>
      <c r="G93" s="4" t="inlineStr">
        <is>
          <t>Deep Learning</t>
        </is>
      </c>
      <c r="H93" s="4" t="inlineStr">
        <is>
          <t>ResNet50V2 + InceptionV3 for ASD detection; Enhanced MobileNet for emotion recognition</t>
        </is>
      </c>
      <c r="I93" s="4" t="inlineStr">
        <is>
          <t>ASD facial-image screening plus emotion recognition</t>
        </is>
      </c>
      <c r="J93" s="4" t="inlineStr">
        <is>
          <t>Screening</t>
        </is>
      </c>
      <c r="K93" s="4" t="inlineStr">
        <is>
          <t>Proposed only</t>
        </is>
      </c>
      <c r="L93" s="4" t="inlineStr">
        <is>
          <t>Proposed facial-image ASD screening and emotion-recognition support</t>
        </is>
      </c>
      <c r="M93" s="4" t="n">
        <v>0</v>
      </c>
      <c r="N93" s="4" t="n">
        <v>0</v>
      </c>
      <c r="O93" s="4" t="n">
        <v>0</v>
      </c>
      <c r="P93" s="4" t="n">
        <v>0</v>
      </c>
      <c r="Q93" s="4" t="n">
        <v>0</v>
      </c>
      <c r="R93" s="4" t="n">
        <v>0</v>
      </c>
      <c r="S93" s="4" t="n">
        <v>0</v>
      </c>
      <c r="T93" s="4" t="inlineStr">
        <is>
          <t>https://www.sciencedirect.com/science/article/pii/S0031320325015699</t>
        </is>
      </c>
      <c r="U93" s="4" t="inlineStr">
        <is>
          <t>Combines deep CNN architectures for child facial ASD detection and emotion recognition on public image datasets; ASD accuracy is reported near 95%. No external clinical cohort, prospective workflow or formal XAI was identified; explainability/multimodal extensions are presented as future directions.</t>
        </is>
      </c>
      <c r="V93" s="4" t="inlineStr">
        <is>
          <t>Revisión asistida por IA (un revisor; requiere verificación independiente)</t>
        </is>
      </c>
      <c r="W93" s="40" t="n">
        <v>46269</v>
      </c>
    </row>
    <row r="94" ht="86" customHeight="1">
      <c r="A94" s="4" t="n">
        <v>149</v>
      </c>
      <c r="B94" s="4" t="inlineStr">
        <is>
          <t>10.1016/j.ajp.2025.104798</t>
        </is>
      </c>
      <c r="C94" s="4" t="inlineStr">
        <is>
          <t>A new approach in autism diagnosis: Evaluating natural interaction using point of view (POV) glasses</t>
        </is>
      </c>
      <c r="D94" s="4" t="inlineStr">
        <is>
          <t>Include</t>
        </is>
      </c>
      <c r="E94" s="4" t="n"/>
      <c r="F94" s="4" t="inlineStr">
        <is>
          <t>Behavioral video / naturalistic facial-social interaction (POV camera)</t>
        </is>
      </c>
      <c r="G94" s="4" t="inlineStr">
        <is>
          <t>Machine Learning</t>
        </is>
      </c>
      <c r="H94" s="4" t="inlineStr">
        <is>
          <t>OpenFace + MediaPipe features with AdaBoost/decision-tree classification</t>
        </is>
      </c>
      <c r="I94" s="4" t="inlineStr">
        <is>
          <t>Early ASD diagnostic classification from naturalistic interaction</t>
        </is>
      </c>
      <c r="J94" s="4" t="inlineStr">
        <is>
          <t>Diagnosis</t>
        </is>
      </c>
      <c r="K94" s="4" t="inlineStr">
        <is>
          <t>Research only</t>
        </is>
      </c>
      <c r="L94" s="4" t="inlineStr">
        <is>
          <t>Experimental diagnostic classification during semi-structured naturalistic interaction</t>
        </is>
      </c>
      <c r="M94" s="4" t="n">
        <v>0</v>
      </c>
      <c r="N94" s="4" t="n">
        <v>0</v>
      </c>
      <c r="O94" s="4" t="n">
        <v>0</v>
      </c>
      <c r="P94" s="4" t="n">
        <v>1</v>
      </c>
      <c r="Q94" s="4" t="n">
        <v>0</v>
      </c>
      <c r="R94" s="4" t="n">
        <v>0</v>
      </c>
      <c r="S94" s="4" t="n">
        <v>0</v>
      </c>
      <c r="T94" s="4" t="inlineStr">
        <is>
          <t>https://www.sciencedirect.com/science/article/pii/S1876201825004411</t>
        </is>
      </c>
      <c r="U94" s="4" t="inlineStr">
        <is>
          <t>Uses examiner-worn POV glasses with 29 ASD and 27 non-ASD children aged 17-36 months; CV features feed AdaBoost/decision trees, with reported AUC about 0.95. Prospective participant data were collected, but the model was not validated in an independent site/cohort or used to determine real clinical decisions during care.</t>
        </is>
      </c>
      <c r="V94" s="4" t="inlineStr">
        <is>
          <t>Revisión asistida por IA (un revisor; requiere verificación independiente)</t>
        </is>
      </c>
      <c r="W94" s="40" t="n">
        <v>46269</v>
      </c>
    </row>
    <row r="95" ht="99" customHeight="1">
      <c r="A95" s="4" t="n">
        <v>154</v>
      </c>
      <c r="B95" s="4" t="inlineStr">
        <is>
          <t>10.1016/j.compbiomed.2026.111719</t>
        </is>
      </c>
      <c r="C95" s="4" t="inlineStr">
        <is>
          <t>A two-step temporal data augmentation and supervised learning framework for predicting autism diagnosis at 36 months in patients with tuberous sclerosis complex</t>
        </is>
      </c>
      <c r="D95" s="4" t="inlineStr">
        <is>
          <t>Include</t>
        </is>
      </c>
      <c r="E95" s="4" t="n"/>
      <c r="F95" s="4" t="inlineStr">
        <is>
          <t>Multimodal (longitudinal DTI neuroimaging + ADOS/ADI-R behavioral data)</t>
        </is>
      </c>
      <c r="G95" s="4" t="inlineStr">
        <is>
          <t>Machine Learning</t>
        </is>
      </c>
      <c r="H95" s="4" t="inlineStr">
        <is>
          <t>Regularized logistic regression (LASSO / elastic net)</t>
        </is>
      </c>
      <c r="I95" s="4" t="inlineStr">
        <is>
          <t>Prediction of ASD diagnosis at 36 months in children with TSC</t>
        </is>
      </c>
      <c r="J95" s="4" t="inlineStr">
        <is>
          <t>Prognosis</t>
        </is>
      </c>
      <c r="K95" s="4" t="inlineStr">
        <is>
          <t>Research only</t>
        </is>
      </c>
      <c r="L95" s="4" t="inlineStr">
        <is>
          <t>Prospective longitudinal ASD-risk prediction in a high-risk TSC cohort</t>
        </is>
      </c>
      <c r="M95" s="4" t="n">
        <v>0</v>
      </c>
      <c r="N95" s="4" t="n">
        <v>1</v>
      </c>
      <c r="O95" s="4" t="n">
        <v>0</v>
      </c>
      <c r="P95" s="4" t="n">
        <v>1</v>
      </c>
      <c r="Q95" s="4" t="n">
        <v>0</v>
      </c>
      <c r="R95" s="4" t="n">
        <v>0</v>
      </c>
      <c r="S95" s="4" t="n">
        <v>1</v>
      </c>
      <c r="T95" s="4" t="inlineStr">
        <is>
          <t>https://pmc.ncbi.nlm.nih.gov/articles/PMC13175081/</t>
        </is>
      </c>
      <c r="U95" s="4" t="inlineStr">
        <is>
          <t>TACERN is a prospective longitudinal multisite study; DTI plus behavioral features from 93 children predict 36-month ASD diagnosis, with regularized logistic regression AUC about 0.808-0.831. Although the cohort is multisite and prospective, the recovered evaluation uses repeated train-test procedures rather than an explicit site-held-out or independent external validation cohort.</t>
        </is>
      </c>
      <c r="V95" s="4" t="inlineStr">
        <is>
          <t>Revisión asistida por IA (un revisor; requiere verificación independiente)</t>
        </is>
      </c>
      <c r="W95" s="40" t="n">
        <v>46269</v>
      </c>
    </row>
    <row r="96" ht="86" customHeight="1">
      <c r="A96" s="4" t="n">
        <v>162</v>
      </c>
      <c r="B96" s="4" t="inlineStr">
        <is>
          <t>10.1016/j.bspc.2025.109180</t>
        </is>
      </c>
      <c r="C96" s="4" t="inlineStr">
        <is>
          <t>EMLF-Net: A multi-level feature fusion network based on autism EEG signals for autism spectrum disorder classification</t>
        </is>
      </c>
      <c r="D96" s="4" t="inlineStr">
        <is>
          <t>Include</t>
        </is>
      </c>
      <c r="E96" s="4" t="n"/>
      <c r="F96" s="4" t="inlineStr">
        <is>
          <t>Physiological signals (EEG)</t>
        </is>
      </c>
      <c r="G96" s="4" t="inlineStr">
        <is>
          <t>Deep Learning</t>
        </is>
      </c>
      <c r="H96" s="4" t="inlineStr">
        <is>
          <t>EMLF-Net (HDFR + DFB + OFB multi-level feature fusion)</t>
        </is>
      </c>
      <c r="I96" s="4" t="inlineStr">
        <is>
          <t>EEG-based ASD classification</t>
        </is>
      </c>
      <c r="J96" s="4" t="inlineStr">
        <is>
          <t>Diagnosis</t>
        </is>
      </c>
      <c r="K96" s="4" t="inlineStr">
        <is>
          <t>Research only</t>
        </is>
      </c>
      <c r="L96" s="4" t="inlineStr">
        <is>
          <t>Experimental EEG diagnostic classifier</t>
        </is>
      </c>
      <c r="M96" s="4" t="n">
        <v>0</v>
      </c>
      <c r="N96" s="4" t="n">
        <v>0</v>
      </c>
      <c r="O96" s="4" t="n">
        <v>0</v>
      </c>
      <c r="P96" s="4" t="n">
        <v>0</v>
      </c>
      <c r="Q96" s="4" t="n">
        <v>0</v>
      </c>
      <c r="R96" s="4" t="n">
        <v>1</v>
      </c>
      <c r="S96" s="4" t="n">
        <v>0</v>
      </c>
      <c r="T96" s="4" t="inlineStr">
        <is>
          <t>https://www.sciencedirect.com/science/article/pii/S174680942501691X</t>
        </is>
      </c>
      <c r="U96" s="4" t="inlineStr">
        <is>
          <t>EMLF-Net fuses time- and frequency-domain EEG features; KAU results are 99.20% subject-dependent and 92.09% subject-independent; topographic analysis shows channel importance. Single small public dataset (12 ASD, 5 TD). Topographic/channel-importance visualization was coded as partial interpretability, not formal XAI.</t>
        </is>
      </c>
      <c r="V96" s="4" t="inlineStr">
        <is>
          <t>Revisión asistida por IA (un revisor; requiere verificación independiente)</t>
        </is>
      </c>
      <c r="W96" s="40" t="n">
        <v>46269</v>
      </c>
    </row>
    <row r="97" ht="86" customHeight="1">
      <c r="A97" s="4" t="n">
        <v>180</v>
      </c>
      <c r="B97" s="4" t="inlineStr">
        <is>
          <t>10.1016/j.ajp.2026.104830</t>
        </is>
      </c>
      <c r="C97" s="4" t="inlineStr">
        <is>
          <t>The effect of spatial and intensity level augmentation of structural magnetic resonance images on autism diagnosis model</t>
        </is>
      </c>
      <c r="D97" s="4" t="inlineStr">
        <is>
          <t>Include</t>
        </is>
      </c>
      <c r="E97" s="4" t="n"/>
      <c r="F97" s="4" t="inlineStr">
        <is>
          <t>Neuroimaging (structural MRI / ABIDE)</t>
        </is>
      </c>
      <c r="G97" s="4" t="inlineStr">
        <is>
          <t>Deep Learning</t>
        </is>
      </c>
      <c r="H97" s="4" t="inlineStr">
        <is>
          <t>ResNet34 with spatial and intensity data augmentation</t>
        </is>
      </c>
      <c r="I97" s="4" t="inlineStr">
        <is>
          <t>ASD diagnostic classification from structural MRI</t>
        </is>
      </c>
      <c r="J97" s="4" t="inlineStr">
        <is>
          <t>Diagnosis</t>
        </is>
      </c>
      <c r="K97" s="4" t="inlineStr">
        <is>
          <t>Research only</t>
        </is>
      </c>
      <c r="L97" s="4" t="inlineStr">
        <is>
          <t>Experimental sMRI diagnostic classifier and augmentation study</t>
        </is>
      </c>
      <c r="M97" s="4" t="n">
        <v>0</v>
      </c>
      <c r="N97" s="4" t="n">
        <v>1</v>
      </c>
      <c r="O97" s="4" t="n">
        <v>0</v>
      </c>
      <c r="P97" s="4" t="n">
        <v>0</v>
      </c>
      <c r="Q97" s="4" t="n">
        <v>0</v>
      </c>
      <c r="R97" s="4" t="n">
        <v>0</v>
      </c>
      <c r="S97" s="4" t="n">
        <v>0</v>
      </c>
      <c r="T97" s="4" t="inlineStr">
        <is>
          <t>https://doi.org/10.1016/j.ajp.2026.104830</t>
        </is>
      </c>
      <c r="U97" s="4" t="inlineStr">
        <is>
          <t>Systematically evaluates spatial and intensity augmentation on structural MRI with ResNet34; combined augmentation improves reported AUC to 0.7433. ABIDE data are multisite, but no site-held-out cross-site evaluation was identified. The study evaluates augmentation robustness, not external clinical generalization.</t>
        </is>
      </c>
      <c r="V97" s="4" t="inlineStr">
        <is>
          <t>Revisión asistida por IA (un revisor; requiere verificación independiente)</t>
        </is>
      </c>
      <c r="W97" s="40" t="n">
        <v>46269</v>
      </c>
    </row>
    <row r="98" ht="86" customHeight="1">
      <c r="A98" s="4" t="n">
        <v>181</v>
      </c>
      <c r="B98" s="4" t="inlineStr">
        <is>
          <t>10.1016/j.ijhcs.2025.103696</t>
        </is>
      </c>
      <c r="C98" s="4" t="inlineStr">
        <is>
          <t>Human-centered AI for inclusive tourism: enhancing travel planning for adults with autism spectrum disorder</t>
        </is>
      </c>
      <c r="D98" s="4" t="inlineStr">
        <is>
          <t>Include</t>
        </is>
      </c>
      <c r="E98" s="4" t="n"/>
      <c r="F98" s="4" t="inlineStr">
        <is>
          <t>Digital interaction / travel-planning preferences and itinerary data</t>
        </is>
      </c>
      <c r="G98" s="4" t="inlineStr">
        <is>
          <t>Not specified</t>
        </is>
      </c>
      <c r="H98" s="4" t="inlineStr">
        <is>
          <t>CARES AI-driven information-filtering and interactive itinerary-planning system</t>
        </is>
      </c>
      <c r="I98" s="4" t="inlineStr">
        <is>
          <t>Personalized assistive travel planning for autistic adults</t>
        </is>
      </c>
      <c r="J98" s="4" t="inlineStr">
        <is>
          <t>Monitoring/intervention</t>
        </is>
      </c>
      <c r="K98" s="4" t="inlineStr">
        <is>
          <t>Confirmed in intervention</t>
        </is>
      </c>
      <c r="L98" s="4" t="inlineStr">
        <is>
          <t>User-tested assistive AI trip planner for autistic adults</t>
        </is>
      </c>
      <c r="M98" s="4" t="n">
        <v>0</v>
      </c>
      <c r="N98" s="4" t="n">
        <v>0</v>
      </c>
      <c r="O98" s="4" t="n">
        <v>0</v>
      </c>
      <c r="P98" s="4" t="n">
        <v>1</v>
      </c>
      <c r="Q98" s="4" t="n">
        <v>0</v>
      </c>
      <c r="R98" s="4" t="n">
        <v>0</v>
      </c>
      <c r="S98" s="4" t="n">
        <v>0</v>
      </c>
      <c r="T98" s="4" t="inlineStr">
        <is>
          <t>https://iris.unito.it/handle/2318/2114230</t>
        </is>
      </c>
      <c r="U98" s="4" t="inlineStr">
        <is>
          <t>CARES is a human-centered AI trip planner tested with 14 autistic adults, designed to reduce information overload while preserving user decision autonomy. The paper demonstrates an assistive user-facing intervention, not a clinical diagnostic workflow. The exact algorithm family does not map cleanly to ML/DL and is therefore left Not specified.</t>
        </is>
      </c>
      <c r="V98" s="4" t="inlineStr">
        <is>
          <t>Revisión asistida por IA (un revisor; requiere verificación independiente)</t>
        </is>
      </c>
      <c r="W98" s="40" t="n">
        <v>46269</v>
      </c>
    </row>
    <row r="99" ht="86" customHeight="1">
      <c r="A99" s="4" t="n">
        <v>187</v>
      </c>
      <c r="B99" s="4" t="inlineStr">
        <is>
          <t>10.1016/j.procs.2026.06.363</t>
        </is>
      </c>
      <c r="C99" s="4" t="inlineStr">
        <is>
          <t>Early Identification of Autism Spectrum Disorder using a Hybrid ViT–Mamba Multimodal Architecture</t>
        </is>
      </c>
      <c r="D99" s="4" t="inlineStr">
        <is>
          <t>Include</t>
        </is>
      </c>
      <c r="E99" s="4" t="n"/>
      <c r="F99" s="4" t="inlineStr">
        <is>
          <t>Multimodal (handwriting samples + behavioral questionnaires)</t>
        </is>
      </c>
      <c r="G99" s="4" t="inlineStr">
        <is>
          <t>Hybrid</t>
        </is>
      </c>
      <c r="H99" s="4" t="inlineStr">
        <is>
          <t>Hybrid ViT-Mamba / Mamba state-space multimodal architecture</t>
        </is>
      </c>
      <c r="I99" s="4" t="inlineStr">
        <is>
          <t>Early ASD screening from handwriting and behavioral questionnaire fusion</t>
        </is>
      </c>
      <c r="J99" s="4" t="inlineStr">
        <is>
          <t>Screening</t>
        </is>
      </c>
      <c r="K99" s="4" t="inlineStr">
        <is>
          <t>Proposed only</t>
        </is>
      </c>
      <c r="L99" s="4" t="inlineStr">
        <is>
          <t>Proposed automated screening system for clinical/educational deployment; no live workflow evaluation</t>
        </is>
      </c>
      <c r="M99" s="4" t="n">
        <v>0</v>
      </c>
      <c r="N99" s="4" t="n">
        <v>0</v>
      </c>
      <c r="O99" s="4" t="n">
        <v>0</v>
      </c>
      <c r="P99" s="4" t="n">
        <v>0</v>
      </c>
      <c r="Q99" s="4" t="n">
        <v>0</v>
      </c>
      <c r="R99" s="4" t="n">
        <v>0</v>
      </c>
      <c r="S99" s="4" t="n">
        <v>1</v>
      </c>
      <c r="T99" s="4" t="inlineStr">
        <is>
          <t>https://www.sciencedirect.com/science/article/pii/S1877050926019952</t>
        </is>
      </c>
      <c r="U99" s="4" t="inlineStr">
        <is>
          <t>Combines handwriting and behavioral questionnaire data with a Mamba-enabled multimodal architecture; reported screening accuracy is 95%. Evaluation is experimental and the article itself describes uncertain/limited datasets; no independent external cohort, prospective deployment, site-held-out robustness, or formal XAI was identified.</t>
        </is>
      </c>
      <c r="V99" s="4" t="inlineStr">
        <is>
          <t>Revision asistida por IA (un revisor; requiere verificacion independiente)</t>
        </is>
      </c>
      <c r="W99" s="40" t="n">
        <v>46269</v>
      </c>
    </row>
    <row r="100" ht="99" customHeight="1">
      <c r="A100" s="4" t="n">
        <v>188</v>
      </c>
      <c r="B100" s="4" t="inlineStr">
        <is>
          <t>10.1016/j.jpsychires.2026.03.043</t>
        </is>
      </c>
      <c r="C100" s="4" t="inlineStr">
        <is>
          <t>Baseline symptom severity and response to multisession cathodal transcranial direct current stimulation in adolescents and young adults with autism: an exploratory analysis</t>
        </is>
      </c>
      <c r="D100" s="4" t="inlineStr">
        <is>
          <t>Include</t>
        </is>
      </c>
      <c r="E100" s="4" t="n"/>
      <c r="F100" s="4" t="inlineStr">
        <is>
          <t>Structured clinical / ADI-R treatment-response data</t>
        </is>
      </c>
      <c r="G100" s="4" t="inlineStr">
        <is>
          <t>Machine Learning</t>
        </is>
      </c>
      <c r="H100" s="4" t="inlineStr">
        <is>
          <t>Predictive modelling with normalized feature importance + SHAP (base learner not specified in recovered text)</t>
        </is>
      </c>
      <c r="I100" s="4" t="inlineStr">
        <is>
          <t>Prediction/stratification of tDCS treatment response</t>
        </is>
      </c>
      <c r="J100" s="4" t="inlineStr">
        <is>
          <t>Prognosis</t>
        </is>
      </c>
      <c r="K100" s="4" t="inlineStr">
        <is>
          <t>Research only</t>
        </is>
      </c>
      <c r="L100" s="4" t="inlineStr">
        <is>
          <t>Exploratory post hoc treatment-response stratification; model not used to allocate treatment</t>
        </is>
      </c>
      <c r="M100" s="4" t="n">
        <v>0</v>
      </c>
      <c r="N100" s="4" t="n">
        <v>0</v>
      </c>
      <c r="O100" s="4" t="n">
        <v>0</v>
      </c>
      <c r="P100" s="4" t="n">
        <v>1</v>
      </c>
      <c r="Q100" s="4" t="n">
        <v>1</v>
      </c>
      <c r="R100" s="4" t="n">
        <v>0</v>
      </c>
      <c r="S100" s="4" t="n">
        <v>0</v>
      </c>
      <c r="T100" s="4" t="inlineStr">
        <is>
          <t>https://www.sciencedirect.com/science/article/pii/S0022395626001998</t>
        </is>
      </c>
      <c r="U100" s="4" t="inlineStr">
        <is>
          <t>Baseline ADI-R features were used to distinguish tDCS responders; SHAP linked lower verbal communication severity to greater RRB reduction and a model-derived threshold of 19.6 was reported. Exploratory analysis from a registered intervention protocol. The article explicitly calls for replication in larger independent cohorts; the exact base learner was not recoverable from the indexed text.</t>
        </is>
      </c>
      <c r="V100" s="4" t="inlineStr">
        <is>
          <t>Revision asistida por IA (un revisor; requiere verificacion independiente)</t>
        </is>
      </c>
      <c r="W100" s="40" t="n">
        <v>46269</v>
      </c>
    </row>
    <row r="101" ht="86" customHeight="1">
      <c r="A101" s="4" t="n">
        <v>190</v>
      </c>
      <c r="B101" s="4" t="inlineStr">
        <is>
          <t>10.1016/j.bspc.2025.108976</t>
        </is>
      </c>
      <c r="C101" s="4" t="inlineStr">
        <is>
          <t>DenWide-Net: Dense WideresNet for autism spectrum disorder detection using MRI image</t>
        </is>
      </c>
      <c r="D101" s="4" t="inlineStr">
        <is>
          <t>Include</t>
        </is>
      </c>
      <c r="E101" s="4" t="n"/>
      <c r="F101" s="4" t="inlineStr">
        <is>
          <t>Neuroimaging (MRI / Acerta-ABIDE)</t>
        </is>
      </c>
      <c r="G101" s="4" t="inlineStr">
        <is>
          <t>Hybrid</t>
        </is>
      </c>
      <c r="H101" s="4" t="inlineStr">
        <is>
          <t>FHOA + DenWide-Net (DenseNet/WideResNet optimization pipeline)</t>
        </is>
      </c>
      <c r="I101" s="4" t="inlineStr">
        <is>
          <t>MRI-based ASD diagnostic classification</t>
        </is>
      </c>
      <c r="J101" s="4" t="inlineStr">
        <is>
          <t>Diagnosis</t>
        </is>
      </c>
      <c r="K101" s="4" t="inlineStr">
        <is>
          <t>Research only</t>
        </is>
      </c>
      <c r="L101" s="4" t="inlineStr">
        <is>
          <t>Experimental MRI classifier; no demonstrated clinical workflow integration</t>
        </is>
      </c>
      <c r="M101" s="4" t="n">
        <v>0</v>
      </c>
      <c r="N101" s="4" t="n">
        <v>1</v>
      </c>
      <c r="O101" s="4" t="n">
        <v>0</v>
      </c>
      <c r="P101" s="4" t="n">
        <v>0</v>
      </c>
      <c r="Q101" s="4" t="n">
        <v>0</v>
      </c>
      <c r="R101" s="4" t="n">
        <v>0</v>
      </c>
      <c r="S101" s="4" t="n">
        <v>0</v>
      </c>
      <c r="T101" s="4" t="inlineStr">
        <is>
          <t>https://www.sciencedirect.com/science/article/pii/S1746809425014879</t>
        </is>
      </c>
      <c r="U101" s="4" t="inlineStr">
        <is>
          <t>Uses Acerta-ABIDE brain MRI with Wiener filtering, ROI extraction, fractional hiking optimization and Dense WideResNet; reported accuracy is about 91%. ABIDE is multisite, but no explicit site-held-out or independent external validation design was identified; no prospective clinical evaluation or formal XAI was reported.</t>
        </is>
      </c>
      <c r="V101" s="4" t="inlineStr">
        <is>
          <t>Revision asistida por IA (un revisor; requiere verificacion independiente)</t>
        </is>
      </c>
      <c r="W101" s="40" t="n">
        <v>46269</v>
      </c>
    </row>
    <row r="102" ht="99" customHeight="1">
      <c r="A102" s="4" t="n">
        <v>199</v>
      </c>
      <c r="B102" s="4" t="inlineStr">
        <is>
          <t>10.1044/2026_AJSLP-25-00469</t>
        </is>
      </c>
      <c r="C102" s="4" t="inlineStr">
        <is>
          <t>Artificial Intelligence for Enhancing Emotion Expression in Augmentative and Alternative Communication Systems: A Preliminary Study Including Children Both With and Without Autism.</t>
        </is>
      </c>
      <c r="D102" s="4" t="inlineStr">
        <is>
          <t>Include</t>
        </is>
      </c>
      <c r="E102" s="4" t="n"/>
      <c r="F102" s="4" t="inlineStr">
        <is>
          <t>Facial images / facial emotion-expression data</t>
        </is>
      </c>
      <c r="G102" s="4" t="inlineStr">
        <is>
          <t>Deep Learning</t>
        </is>
      </c>
      <c r="H102" s="4" t="inlineStr">
        <is>
          <t>DeepFace facial emotion recognition with individualized calibration</t>
        </is>
      </c>
      <c r="I102" s="4" t="inlineStr">
        <is>
          <t>Emotion recognition as a precursor to emotion-aware AAC support</t>
        </is>
      </c>
      <c r="J102" s="4" t="inlineStr">
        <is>
          <t>Monitoring/intervention</t>
        </is>
      </c>
      <c r="K102" s="4" t="inlineStr">
        <is>
          <t>Proposed only</t>
        </is>
      </c>
      <c r="L102" s="4" t="inlineStr">
        <is>
          <t>User-tested precursor for emotion-aware AAC; not yet integrated into an active AAC system</t>
        </is>
      </c>
      <c r="M102" s="4" t="n">
        <v>0</v>
      </c>
      <c r="N102" s="4" t="n">
        <v>0</v>
      </c>
      <c r="O102" s="4" t="n">
        <v>0</v>
      </c>
      <c r="P102" s="4" t="n">
        <v>1</v>
      </c>
      <c r="Q102" s="4" t="n">
        <v>0</v>
      </c>
      <c r="R102" s="4" t="n">
        <v>0</v>
      </c>
      <c r="S102" s="4" t="n">
        <v>0</v>
      </c>
      <c r="T102" s="4" t="inlineStr">
        <is>
          <t>https://pubs.asha.org/doi/10.1044/2026_AJSLP-25-00469</t>
        </is>
      </c>
      <c r="U102" s="4" t="inlineStr">
        <is>
          <t>Twelve neurotypical children and four autistic children completed imitation and semispontaneous emotion tasks using DeepFace with individualized calibration; provisional accuracy and user experience were reported. Very small ASD subgroup and no active AAC users. The study is preliminary; multimodal inputs, broader populations and real-world AAC deployment remain future work.</t>
        </is>
      </c>
      <c r="V102" s="4" t="inlineStr">
        <is>
          <t>Revision asistida por IA (un revisor; requiere verificacion independiente)</t>
        </is>
      </c>
      <c r="W102" s="40" t="n">
        <v>46269</v>
      </c>
    </row>
    <row r="103" ht="86" customHeight="1">
      <c r="A103" s="4" t="n">
        <v>203</v>
      </c>
      <c r="B103" s="4" t="inlineStr">
        <is>
          <t>10.1007/s00381-025-07119-2</t>
        </is>
      </c>
      <c r="C103" s="4" t="inlineStr">
        <is>
          <t>Individuation of predictive parameters of posterior cranial fossa decompression in pediatric patients with Chiari I malformation and autism spectrum disorder</t>
        </is>
      </c>
      <c r="D103" s="4" t="inlineStr">
        <is>
          <t>Include</t>
        </is>
      </c>
      <c r="E103" s="4" t="n"/>
      <c r="F103" s="4" t="inlineStr">
        <is>
          <t>Multimodal neuroimaging (CT + MRI morphometry)</t>
        </is>
      </c>
      <c r="G103" s="4" t="inlineStr">
        <is>
          <t>Machine Learning</t>
        </is>
      </c>
      <c r="H103" s="4" t="inlineStr">
        <is>
          <t>Binary decision tree classifier on cranial morphometric parameters</t>
        </is>
      </c>
      <c r="I103" s="4" t="inlineStr">
        <is>
          <t>Prediction of postsurgical ASD symptom improvement after posterior cranial fossa decompression</t>
        </is>
      </c>
      <c r="J103" s="4" t="inlineStr">
        <is>
          <t>Prognosis</t>
        </is>
      </c>
      <c r="K103" s="4" t="inlineStr">
        <is>
          <t>Research only</t>
        </is>
      </c>
      <c r="L103" s="4" t="inlineStr">
        <is>
          <t>Retrospective surgical-outcome prediction; not used prospectively for clinical allocation</t>
        </is>
      </c>
      <c r="M103" s="4" t="n">
        <v>0</v>
      </c>
      <c r="N103" s="4" t="n">
        <v>0</v>
      </c>
      <c r="O103" s="4" t="n">
        <v>0</v>
      </c>
      <c r="P103" s="4" t="n">
        <v>0</v>
      </c>
      <c r="Q103" s="4" t="n">
        <v>0</v>
      </c>
      <c r="R103" s="4" t="n">
        <v>1</v>
      </c>
      <c r="S103" s="4" t="n">
        <v>1</v>
      </c>
      <c r="T103" s="4" t="inlineStr">
        <is>
          <t>https://pubmed.ncbi.nlm.nih.gov/41535441/</t>
        </is>
      </c>
      <c r="U103" s="4" t="inlineStr">
        <is>
          <t>CT/MRI morphometry and a binary tree classifier identified tentorium angle as a potential predictor of postsurgical ASD symptom improvement in children with Chiari I malformation. Narrow comorbid pediatric population and retrospective/small-cohort design limit generalizability. The tree/cutoff is interpretable, but no external or prospective validation was identified.</t>
        </is>
      </c>
      <c r="V103" s="4" t="inlineStr">
        <is>
          <t>Revision asistida por IA (un revisor; requiere verificacion independiente)</t>
        </is>
      </c>
      <c r="W103" s="40" t="n">
        <v>46269</v>
      </c>
    </row>
    <row r="104" ht="73" customHeight="1">
      <c r="A104" s="4" t="n">
        <v>204</v>
      </c>
      <c r="B104" s="4" t="inlineStr">
        <is>
          <t>10.1007/s13246-025-01681-4</t>
        </is>
      </c>
      <c r="C104" s="4" t="inlineStr">
        <is>
          <t>An automated detection system of autism spectrum disorder using meta-heuristic approach of adaptive LSTM with bayesian learning technique</t>
        </is>
      </c>
      <c r="D104" s="4" t="inlineStr">
        <is>
          <t>Include</t>
        </is>
      </c>
      <c r="E104" s="4" t="n"/>
      <c r="F104" s="4" t="inlineStr">
        <is>
          <t>Neuroimaging (brain images / ABIDE)</t>
        </is>
      </c>
      <c r="G104" s="4" t="inlineStr">
        <is>
          <t>Hybrid</t>
        </is>
      </c>
      <c r="H104" s="4" t="inlineStr">
        <is>
          <t>MResNet + ACAL-BL adaptive-attention LSTM with Bayesian learning + RFMPA optimization</t>
        </is>
      </c>
      <c r="I104" s="4" t="inlineStr">
        <is>
          <t>Automated ASD diagnostic classification from brain images</t>
        </is>
      </c>
      <c r="J104" s="4" t="inlineStr">
        <is>
          <t>Diagnosis</t>
        </is>
      </c>
      <c r="K104" s="4" t="inlineStr">
        <is>
          <t>Research only</t>
        </is>
      </c>
      <c r="L104" s="4" t="inlineStr">
        <is>
          <t>Experimental diagnostic classifier on public neuroimaging data</t>
        </is>
      </c>
      <c r="M104" s="4" t="n">
        <v>0</v>
      </c>
      <c r="N104" s="4" t="n">
        <v>1</v>
      </c>
      <c r="O104" s="4" t="n">
        <v>0</v>
      </c>
      <c r="P104" s="4" t="n">
        <v>0</v>
      </c>
      <c r="Q104" s="4" t="n">
        <v>0</v>
      </c>
      <c r="R104" s="4" t="n">
        <v>0</v>
      </c>
      <c r="S104" s="4" t="n">
        <v>0</v>
      </c>
      <c r="T104" s="4" t="inlineStr">
        <is>
          <t>https://pubmed.ncbi.nlm.nih.gov/41642457/</t>
        </is>
      </c>
      <c r="U104" s="4" t="inlineStr">
        <is>
          <t>Combines MResNet feature extraction, adaptive cascaded-attention LSTM with Bayesian learning and metaheuristic optimization on ABIDE brain images. Public multisite dataset use does not establish independent external or site-held-out validation. Attention is architectural and was not counted as formal XAI.</t>
        </is>
      </c>
      <c r="V104" s="4" t="inlineStr">
        <is>
          <t>Revision asistida por IA (un revisor; requiere verificacion independiente)</t>
        </is>
      </c>
      <c r="W104" s="40" t="n">
        <v>46269</v>
      </c>
    </row>
    <row r="105" ht="86" customHeight="1">
      <c r="A105" s="4" t="n">
        <v>208</v>
      </c>
      <c r="B105" s="4" t="inlineStr">
        <is>
          <t>10.1007/s11517-026-03530-2</t>
        </is>
      </c>
      <c r="C105" s="4" t="inlineStr">
        <is>
          <t>ADBrainNet: a deep neural network for Autism Spectrum Disorder (ASD) and Attention Deficit and Hyperactivity Disorder (ADHD) classification using resting-state fMRI images based on explainable artificial intelligence.</t>
        </is>
      </c>
      <c r="D105" s="4" t="inlineStr">
        <is>
          <t>Include</t>
        </is>
      </c>
      <c r="E105" s="4" t="n"/>
      <c r="F105" s="4" t="inlineStr">
        <is>
          <t>Neuroimaging (resting-state fMRI / ABIDE + ADHD-200)</t>
        </is>
      </c>
      <c r="G105" s="4" t="inlineStr">
        <is>
          <t>Deep Learning</t>
        </is>
      </c>
      <c r="H105" s="4" t="inlineStr">
        <is>
          <t>ADBrainNet lightweight deep neural network + LIME</t>
        </is>
      </c>
      <c r="I105" s="4" t="inlineStr">
        <is>
          <t>Differential classification of ASD, ADHD subtypes and neurotypical controls</t>
        </is>
      </c>
      <c r="J105" s="4" t="inlineStr">
        <is>
          <t>Diagnosis</t>
        </is>
      </c>
      <c r="K105" s="4" t="inlineStr">
        <is>
          <t>Research only</t>
        </is>
      </c>
      <c r="L105" s="4" t="inlineStr">
        <is>
          <t>Research classifier; potential patient assessment only after further validation</t>
        </is>
      </c>
      <c r="M105" s="4" t="n">
        <v>1</v>
      </c>
      <c r="N105" s="4" t="n">
        <v>1</v>
      </c>
      <c r="O105" s="4" t="n">
        <v>0</v>
      </c>
      <c r="P105" s="4" t="n">
        <v>0</v>
      </c>
      <c r="Q105" s="4" t="n">
        <v>1</v>
      </c>
      <c r="R105" s="4" t="n">
        <v>0</v>
      </c>
      <c r="S105" s="4" t="n">
        <v>0</v>
      </c>
      <c r="T105" s="4" t="inlineStr">
        <is>
          <t>https://pubmed.ncbi.nlm.nih.gov/41781648/</t>
        </is>
      </c>
      <c r="U105" s="4" t="inlineStr">
        <is>
          <t>ADBrainNet uses rs-fMRI from ABIDE and ADHD-200 and reports an independent external testing set; LIME was used to identify influential features. The abstract describes the external test together with five-fold cross-validation, so the exact independence of the external evaluation should be checked manually. No explicit site-held-out robustness analysis was identified.</t>
        </is>
      </c>
      <c r="V105" s="4" t="inlineStr">
        <is>
          <t>Revision asistida por IA (un revisor; requiere verificacion independiente)</t>
        </is>
      </c>
      <c r="W105" s="40" t="n">
        <v>46269</v>
      </c>
    </row>
    <row r="106" ht="86" customHeight="1">
      <c r="A106" s="4" t="n">
        <v>209</v>
      </c>
      <c r="B106" s="4" t="inlineStr">
        <is>
          <t>10.1016/j.bbr.2026.116220</t>
        </is>
      </c>
      <c r="C106" s="4" t="inlineStr">
        <is>
          <t>Integrating EEG microstate dynamics in a stacked ensemble for neurodiagnostic ASD assessment</t>
        </is>
      </c>
      <c r="D106" s="4" t="inlineStr">
        <is>
          <t>Include</t>
        </is>
      </c>
      <c r="E106" s="4" t="n"/>
      <c r="F106" s="4" t="inlineStr">
        <is>
          <t>Physiological signals (resting-state EEG)</t>
        </is>
      </c>
      <c r="G106" s="4" t="inlineStr">
        <is>
          <t>Machine Learning</t>
        </is>
      </c>
      <c r="H106" s="4" t="inlineStr">
        <is>
          <t>Stacked Random Forest ensemble using spatial EEG and temporal microstate/HMM features</t>
        </is>
      </c>
      <c r="I106" s="4" t="inlineStr">
        <is>
          <t>EEG-based ASD diagnostic classification</t>
        </is>
      </c>
      <c r="J106" s="4" t="inlineStr">
        <is>
          <t>Diagnosis</t>
        </is>
      </c>
      <c r="K106" s="4" t="inlineStr">
        <is>
          <t>Research only</t>
        </is>
      </c>
      <c r="L106" s="4" t="inlineStr">
        <is>
          <t>Experimental EEG diagnostic classifier</t>
        </is>
      </c>
      <c r="M106" s="4" t="n">
        <v>0</v>
      </c>
      <c r="N106" s="4" t="n">
        <v>0</v>
      </c>
      <c r="O106" s="4" t="n">
        <v>0</v>
      </c>
      <c r="P106" s="4" t="n">
        <v>0</v>
      </c>
      <c r="Q106" s="4" t="n">
        <v>0</v>
      </c>
      <c r="R106" s="4" t="n">
        <v>0</v>
      </c>
      <c r="S106" s="4" t="n">
        <v>0</v>
      </c>
      <c r="T106" s="4" t="inlineStr">
        <is>
          <t>https://www.sciencedirect.com/science/article/pii/S0166432826001968</t>
        </is>
      </c>
      <c r="U106" s="4" t="inlineStr">
        <is>
          <t>A stacked Random Forest ensemble integrates spectral/connectivity/complexity features with microstate and HMM dynamics, reaching 96.3% accuracy under GroupKFold validation. Validation is internal GroupKFold; no independent external cohort, multisite/site-held-out robustness, prospective evaluation, or formal XAI was identified.</t>
        </is>
      </c>
      <c r="V106" s="4" t="inlineStr">
        <is>
          <t>Revision asistida por IA (un revisor; requiere verificacion independiente)</t>
        </is>
      </c>
      <c r="W106" s="40" t="n">
        <v>46269</v>
      </c>
    </row>
    <row r="107" ht="86" customHeight="1">
      <c r="A107" s="4" t="n">
        <v>213</v>
      </c>
      <c r="B107" s="4" t="inlineStr">
        <is>
          <t>10.1016/j.eswa.2025.130671</t>
        </is>
      </c>
      <c r="C107" s="4" t="inlineStr">
        <is>
          <t>Identifying autism spectrum disorder diagnosis in children via temporal-frequency hyperdimensional computing with resting-state EEG</t>
        </is>
      </c>
      <c r="D107" s="4" t="inlineStr">
        <is>
          <t>Include</t>
        </is>
      </c>
      <c r="E107" s="4" t="n"/>
      <c r="F107" s="4" t="inlineStr">
        <is>
          <t>Physiological signals (resting-state EEG)</t>
        </is>
      </c>
      <c r="G107" s="4" t="inlineStr">
        <is>
          <t>Machine Learning</t>
        </is>
      </c>
      <c r="H107" s="4" t="inlineStr">
        <is>
          <t>Temporal-frequency hyperdimensional computing (TF-HDC)</t>
        </is>
      </c>
      <c r="I107" s="4" t="inlineStr">
        <is>
          <t>EEG-based ASD diagnostic classification</t>
        </is>
      </c>
      <c r="J107" s="4" t="inlineStr">
        <is>
          <t>Diagnosis</t>
        </is>
      </c>
      <c r="K107" s="4" t="inlineStr">
        <is>
          <t>Research only</t>
        </is>
      </c>
      <c r="L107" s="4" t="inlineStr">
        <is>
          <t>Experimental neurodiagnostic classifier</t>
        </is>
      </c>
      <c r="M107" s="4" t="n">
        <v>0</v>
      </c>
      <c r="N107" s="4" t="n">
        <v>0</v>
      </c>
      <c r="O107" s="4" t="n">
        <v>0</v>
      </c>
      <c r="P107" s="4" t="n">
        <v>0</v>
      </c>
      <c r="Q107" s="4" t="n">
        <v>0</v>
      </c>
      <c r="R107" s="4" t="n">
        <v>0</v>
      </c>
      <c r="S107" s="4" t="n">
        <v>0</v>
      </c>
      <c r="T107" s="4" t="inlineStr">
        <is>
          <t>https://www.sciencedirect.com/science/article/pii/S0957417425042861</t>
        </is>
      </c>
      <c r="U107" s="4" t="inlineStr">
        <is>
          <t>TF-HDC classifies resting-state EEG from 120 age-matched male participants (60 ASD, 60 TD) and reports about 90.9% accuracy while benchmarking conventional ML/DL models. Small single-cohort evaluation with no independent external dataset, site-held-out test, prospective clinical workflow, or formal XAI identified.</t>
        </is>
      </c>
      <c r="V107" s="4" t="inlineStr">
        <is>
          <t>Revision asistida por IA (un revisor; requiere verificacion independiente)</t>
        </is>
      </c>
      <c r="W107" s="40" t="n">
        <v>46269</v>
      </c>
    </row>
    <row r="108" ht="99" customHeight="1">
      <c r="A108" s="4" t="n">
        <v>215</v>
      </c>
      <c r="B108" s="4" t="inlineStr">
        <is>
          <t>10.1111/pcn.70065</t>
        </is>
      </c>
      <c r="C108" s="4" t="inlineStr">
        <is>
          <t>Integrated transcriptomic and clinical analysis of autism spectrum disorder reveals structured heterogeneity and links Methyl-CpG Binding Domain Protein 2 expression with symptom severity</t>
        </is>
      </c>
      <c r="D108" s="4" t="inlineStr">
        <is>
          <t>Include</t>
        </is>
      </c>
      <c r="E108" s="4" t="n"/>
      <c r="F108" s="4" t="inlineStr">
        <is>
          <t>Multimodal (peripheral-blood transcriptomics + clinical/phenotypic data)</t>
        </is>
      </c>
      <c r="G108" s="4" t="inlineStr">
        <is>
          <t>Machine Learning</t>
        </is>
      </c>
      <c r="H108" s="4" t="inlineStr">
        <is>
          <t>Unsupervised molecular clustering + integrative multiomics/clinical ML; refined 17-transcript panel</t>
        </is>
      </c>
      <c r="I108" s="4" t="inlineStr">
        <is>
          <t>ASD screening and molecular/phenotypic stratification</t>
        </is>
      </c>
      <c r="J108" s="4" t="inlineStr">
        <is>
          <t>Screening</t>
        </is>
      </c>
      <c r="K108" s="4" t="inlineStr">
        <is>
          <t>Research only</t>
        </is>
      </c>
      <c r="L108" s="4" t="inlineStr">
        <is>
          <t>Within-cohort screening and stratification research; not deployed in a clinical workflow</t>
        </is>
      </c>
      <c r="M108" s="4" t="n">
        <v>0</v>
      </c>
      <c r="N108" s="4" t="n">
        <v>0</v>
      </c>
      <c r="O108" s="4" t="n">
        <v>0</v>
      </c>
      <c r="P108" s="4" t="n">
        <v>0</v>
      </c>
      <c r="Q108" s="4" t="n">
        <v>0</v>
      </c>
      <c r="R108" s="4" t="n">
        <v>1</v>
      </c>
      <c r="S108" s="4" t="n">
        <v>1</v>
      </c>
      <c r="T108" s="4" t="inlineStr">
        <is>
          <t>https://onlinelibrary.wiley.com/doi/10.1111/pcn.70065</t>
        </is>
      </c>
      <c r="U108" s="4" t="inlineStr">
        <is>
          <t>Transcriptomic profiling (150 ASD/70 TD) and clinical data (200 ASD/110 TD) were analyzed with clustering, integrative modeling and clinical ML; a 17-transcript panel showed discriminative performance. Screening performance is explicitly within-cohort and no external/site-held-out validation was reported in the accessible text. Molecular clusters only partially corresponded to clinical phenotype.</t>
        </is>
      </c>
      <c r="V108" s="4" t="inlineStr">
        <is>
          <t>Revision asistida por IA (un revisor; requiere verificacion independiente)</t>
        </is>
      </c>
      <c r="W108" s="40" t="n">
        <v>46269</v>
      </c>
    </row>
    <row r="109" ht="99" customHeight="1">
      <c r="A109" s="4" t="n">
        <v>218</v>
      </c>
      <c r="B109" s="4" t="inlineStr">
        <is>
          <t>10.1002/dneu.70028</t>
        </is>
      </c>
      <c r="C109" s="4" t="inlineStr">
        <is>
          <t>A Robust Computational Framework for Autism Spectrum Disorder Identification Using Optimized Image Processing and Hybrid Learning Models</t>
        </is>
      </c>
      <c r="D109" s="4" t="inlineStr">
        <is>
          <t>Include</t>
        </is>
      </c>
      <c r="E109" s="4" t="n"/>
      <c r="F109" s="4" t="inlineStr">
        <is>
          <t>Multiple public ASD datasets (facial images, structured screening data and ABIDE neuroimaging; not explicitly fused)</t>
        </is>
      </c>
      <c r="G109" s="4" t="inlineStr">
        <is>
          <t>Hybrid</t>
        </is>
      </c>
      <c r="H109" s="4" t="inlineStr">
        <is>
          <t>DWT-GFK + VGG16 + ELBN-HLNCL optimized with Walrus Optimization Algorithm</t>
        </is>
      </c>
      <c r="I109" s="4" t="inlineStr">
        <is>
          <t>ASD identification / early detection across public datasets</t>
        </is>
      </c>
      <c r="J109" s="4" t="inlineStr">
        <is>
          <t>Screening</t>
        </is>
      </c>
      <c r="K109" s="4" t="inlineStr">
        <is>
          <t>Proposed only</t>
        </is>
      </c>
      <c r="L109" s="4" t="inlineStr">
        <is>
          <t>Proposed computational screening/identification framework; no real workflow deployment</t>
        </is>
      </c>
      <c r="M109" s="4" t="n">
        <v>0</v>
      </c>
      <c r="N109" s="4" t="n">
        <v>1</v>
      </c>
      <c r="O109" s="4" t="n">
        <v>0</v>
      </c>
      <c r="P109" s="4" t="n">
        <v>0</v>
      </c>
      <c r="Q109" s="4" t="n">
        <v>0</v>
      </c>
      <c r="R109" s="4" t="n">
        <v>0</v>
      </c>
      <c r="S109" s="4" t="n">
        <v>0</v>
      </c>
      <c r="T109" s="4" t="inlineStr">
        <is>
          <t>https://onlinelibrary.wiley.com/doi/10.1002/dneu.70028</t>
        </is>
      </c>
      <c r="U109" s="4" t="inlineStr">
        <is>
          <t>The hybrid pipeline was tested on AID, structured ASD screening data and ABIDE and reports very high performance (accuracy 99.95%). The accessible report does not establish a fixed development-versus-independent-external design or cross-site evaluation. Heterogeneous public datasets are evaluated, but explicit multisource fusion is not demonstrated.</t>
        </is>
      </c>
      <c r="V109" s="4" t="inlineStr">
        <is>
          <t>Revision asistida por IA (un revisor; requiere verificacion independiente)</t>
        </is>
      </c>
      <c r="W109" s="40" t="n">
        <v>46269</v>
      </c>
    </row>
    <row r="110" ht="86" customHeight="1">
      <c r="A110" s="4" t="n">
        <v>222</v>
      </c>
      <c r="B110" s="4" t="inlineStr">
        <is>
          <t>10.1016/j.pscychresns.2025.112109</t>
        </is>
      </c>
      <c r="C110" s="4" t="inlineStr">
        <is>
          <t>Adaptive network based fuzzy inference system efficientnet for autism spectrum disorder detection with optimization based pivotal region extraction</t>
        </is>
      </c>
      <c r="D110" s="4" t="inlineStr">
        <is>
          <t>Include</t>
        </is>
      </c>
      <c r="E110" s="4" t="n"/>
      <c r="F110" s="4" t="inlineStr">
        <is>
          <t>Neuroimaging (brain imaging / ABIDE)</t>
        </is>
      </c>
      <c r="G110" s="4" t="inlineStr">
        <is>
          <t>Hybrid</t>
        </is>
      </c>
      <c r="H110" s="4" t="inlineStr">
        <is>
          <t>ANFIS-EffNet + AWSO pivotal-region extraction</t>
        </is>
      </c>
      <c r="I110" s="4" t="inlineStr">
        <is>
          <t>ASD diagnostic classification from brain imaging</t>
        </is>
      </c>
      <c r="J110" s="4" t="inlineStr">
        <is>
          <t>Diagnosis</t>
        </is>
      </c>
      <c r="K110" s="4" t="inlineStr">
        <is>
          <t>Research only</t>
        </is>
      </c>
      <c r="L110" s="4" t="inlineStr">
        <is>
          <t>Experimental neuroimaging diagnostic classifier</t>
        </is>
      </c>
      <c r="M110" s="4" t="n">
        <v>0</v>
      </c>
      <c r="N110" s="4" t="n">
        <v>1</v>
      </c>
      <c r="O110" s="4" t="n">
        <v>0</v>
      </c>
      <c r="P110" s="4" t="n">
        <v>0</v>
      </c>
      <c r="Q110" s="4" t="n">
        <v>0</v>
      </c>
      <c r="R110" s="4" t="n">
        <v>0</v>
      </c>
      <c r="S110" s="4" t="n">
        <v>0</v>
      </c>
      <c r="T110" s="4" t="inlineStr">
        <is>
          <t>https://www.sciencedirect.com/science/article/pii/S0925492725001647</t>
        </is>
      </c>
      <c r="U110" s="4" t="inlineStr">
        <is>
          <t>ANFIS-EffNet combines fuzzy inference and EfficientNet with optimization-based pivotal-region extraction; reported accuracy is about 93.2% on ABIDE-related imaging. ABIDE-I/II use was treated as multisite evidence only; no explicit train-on-one/test-on-another or site-held-out robustness design was identified. Pivotal-region extraction was not counted as formal XAI.</t>
        </is>
      </c>
      <c r="V110" s="4" t="inlineStr">
        <is>
          <t>Revision asistida por IA (un revisor; requiere verificacion independiente)</t>
        </is>
      </c>
      <c r="W110" s="40" t="n">
        <v>46269</v>
      </c>
    </row>
    <row r="111" ht="86" customHeight="1">
      <c r="A111" s="4" t="n">
        <v>223</v>
      </c>
      <c r="B111" s="4" t="inlineStr">
        <is>
          <t>10.1002/IMA.70326</t>
        </is>
      </c>
      <c r="C111" s="4" t="inlineStr">
        <is>
          <t>Identification of Autism Through Fractal Analysis of EEG Signals and Bayesian Optimized Artificial Neural Network</t>
        </is>
      </c>
      <c r="D111" s="4" t="inlineStr">
        <is>
          <t>Include</t>
        </is>
      </c>
      <c r="E111" s="4" t="n"/>
      <c r="F111" s="4" t="inlineStr">
        <is>
          <t>Physiological signals (EEG)</t>
        </is>
      </c>
      <c r="G111" s="4" t="inlineStr">
        <is>
          <t>Machine Learning</t>
        </is>
      </c>
      <c r="H111" s="4" t="inlineStr">
        <is>
          <t>Bayesian-optimized ANN (BO-ANN) on fractal-dimension EEG features</t>
        </is>
      </c>
      <c r="I111" s="4" t="inlineStr">
        <is>
          <t>EEG-based ASD diagnostic classification</t>
        </is>
      </c>
      <c r="J111" s="4" t="inlineStr">
        <is>
          <t>Diagnosis</t>
        </is>
      </c>
      <c r="K111" s="4" t="inlineStr">
        <is>
          <t>Research only</t>
        </is>
      </c>
      <c r="L111" s="4" t="inlineStr">
        <is>
          <t>Experimental EEG diagnostic classifier</t>
        </is>
      </c>
      <c r="M111" s="4" t="n">
        <v>0</v>
      </c>
      <c r="N111" s="4" t="n">
        <v>0</v>
      </c>
      <c r="O111" s="4" t="n">
        <v>0</v>
      </c>
      <c r="P111" s="4" t="n">
        <v>0</v>
      </c>
      <c r="Q111" s="4" t="n">
        <v>1</v>
      </c>
      <c r="R111" s="4" t="n">
        <v>0</v>
      </c>
      <c r="S111" s="4" t="n">
        <v>0</v>
      </c>
      <c r="T111" s="4" t="inlineStr">
        <is>
          <t>https://onlinelibrary.wiley.com/doi/10.1002/ima.70326</t>
        </is>
      </c>
      <c r="U111" s="4" t="inlineStr">
        <is>
          <t>Five fractal-dimension measures from 16 EEG channels feed several classifiers; BO-ANN reached 97.38% accuracy and XGBoost feature importance identified influential channels/features. Small sample (29 ASD, 30 TD) and no independent external/site-held-out validation. Feature importance supports XAI coding but does not establish clinical interpretability or utility.</t>
        </is>
      </c>
      <c r="V111" s="4" t="inlineStr">
        <is>
          <t>Revision asistida por IA (un revisor; requiere verificacion independiente)</t>
        </is>
      </c>
      <c r="W111" s="40" t="n">
        <v>46269</v>
      </c>
    </row>
    <row r="112" ht="86" customHeight="1">
      <c r="A112" s="4" t="n">
        <v>231</v>
      </c>
      <c r="B112" s="4" t="inlineStr">
        <is>
          <t>10.1111/COIN.70158</t>
        </is>
      </c>
      <c r="C112" s="4" t="inlineStr">
        <is>
          <t>Linguistic Explanations of Deep Models in Detecting Autism and Schizophrenia</t>
        </is>
      </c>
      <c r="D112" s="4" t="inlineStr">
        <is>
          <t>Include</t>
        </is>
      </c>
      <c r="E112" s="4" t="n"/>
      <c r="F112" s="4" t="inlineStr">
        <is>
          <t>Text / NLP (participant textual data; exact acquisition context not specified in recovered text)</t>
        </is>
      </c>
      <c r="G112" s="4" t="inlineStr">
        <is>
          <t>Deep Learning</t>
        </is>
      </c>
      <c r="H112" s="4" t="inlineStr">
        <is>
          <t>HerBERT transformer + Integrated Gradients + explainable linguistic models</t>
        </is>
      </c>
      <c r="I112" s="4" t="inlineStr">
        <is>
          <t>Text-based detection of autism and schizophrenia with linguistic explanation</t>
        </is>
      </c>
      <c r="J112" s="4" t="inlineStr">
        <is>
          <t>Diagnosis</t>
        </is>
      </c>
      <c r="K112" s="4" t="inlineStr">
        <is>
          <t>Research only</t>
        </is>
      </c>
      <c r="L112" s="4" t="inlineStr">
        <is>
          <t>Research detection/explanation framework; not evaluated in a live diagnostic workflow</t>
        </is>
      </c>
      <c r="M112" s="4" t="n">
        <v>0</v>
      </c>
      <c r="N112" s="4" t="n">
        <v>0</v>
      </c>
      <c r="O112" s="4" t="n">
        <v>0</v>
      </c>
      <c r="P112" s="4" t="n">
        <v>0</v>
      </c>
      <c r="Q112" s="4" t="n">
        <v>1</v>
      </c>
      <c r="R112" s="4" t="n">
        <v>0</v>
      </c>
      <c r="S112" s="4" t="n">
        <v>0</v>
      </c>
      <c r="T112" s="4" t="inlineStr">
        <is>
          <t>https://onlinelibrary.wiley.com/doi/10.1111/coin.70158</t>
        </is>
      </c>
      <c r="U112" s="4" t="inlineStr">
        <is>
          <t>Integrated Gradients token attributions from HerBERT are mapped to syntactic and psycholinguistic variables and linked to feature importance and selected clinical tests. The indexed text does not expose the full sampling/validation design or evidence of independent external testing; data are restricted and available on request.</t>
        </is>
      </c>
      <c r="V112" s="4" t="inlineStr">
        <is>
          <t>Revision asistida por IA (un revisor; requiere verificacion independiente)</t>
        </is>
      </c>
      <c r="W112" s="40" t="n">
        <v>46269</v>
      </c>
    </row>
    <row r="113" ht="73" customHeight="1">
      <c r="A113" s="4" t="n">
        <v>233</v>
      </c>
      <c r="B113" s="4" t="inlineStr">
        <is>
          <t>10.1049/CVI2.70078</t>
        </is>
      </c>
      <c r="C113" s="4" t="inlineStr">
        <is>
          <t>Autism Screening Based on Deep Learning Analysis of Eye Movement Trajectories</t>
        </is>
      </c>
      <c r="D113" s="4" t="inlineStr">
        <is>
          <t>Include</t>
        </is>
      </c>
      <c r="E113" s="4" t="n"/>
      <c r="F113" s="4" t="inlineStr">
        <is>
          <t>Behavioral eye-tracking trajectories / scanpaths</t>
        </is>
      </c>
      <c r="G113" s="4" t="inlineStr">
        <is>
          <t>Deep Learning</t>
        </is>
      </c>
      <c r="H113" s="4" t="inlineStr">
        <is>
          <t>ET-ASDNet (ResNet18 backbone + trajectory processing/fusion modules)</t>
        </is>
      </c>
      <c r="I113" s="4" t="inlineStr">
        <is>
          <t>Eye-tracking based ASD screening</t>
        </is>
      </c>
      <c r="J113" s="4" t="inlineStr">
        <is>
          <t>Screening</t>
        </is>
      </c>
      <c r="K113" s="4" t="inlineStr">
        <is>
          <t>Proposed only</t>
        </is>
      </c>
      <c r="L113" s="4" t="inlineStr">
        <is>
          <t>Proposed screening framework evaluated on public eye-tracking datasets</t>
        </is>
      </c>
      <c r="M113" s="4" t="n">
        <v>0</v>
      </c>
      <c r="N113" s="4" t="n">
        <v>0</v>
      </c>
      <c r="O113" s="4" t="n">
        <v>0</v>
      </c>
      <c r="P113" s="4" t="n">
        <v>0</v>
      </c>
      <c r="Q113" s="4" t="n">
        <v>0</v>
      </c>
      <c r="R113" s="4" t="n">
        <v>0</v>
      </c>
      <c r="S113" s="4" t="n">
        <v>0</v>
      </c>
      <c r="T113" s="4" t="inlineStr">
        <is>
          <t>https://ietresearch.onlinelibrary.wiley.com/doi/10.1049/cvi2.70078</t>
        </is>
      </c>
      <c r="U113" s="4" t="inlineStr">
        <is>
          <t>ET-ASDNet analyzes eye-movement trajectories and reports 85.19% and 72.67% accuracy on two public datasets. Use of two public datasets does not by itself establish external validation unless a fixed development/external design is shown. Attention/fusion modules were not counted as formal XAI.</t>
        </is>
      </c>
      <c r="V113" s="4" t="inlineStr">
        <is>
          <t>Revision asistida por IA (un revisor; requiere verificacion independiente)</t>
        </is>
      </c>
      <c r="W113" s="40" t="n">
        <v>46269</v>
      </c>
    </row>
    <row r="114" ht="86" customHeight="1">
      <c r="A114" s="4" t="n">
        <v>235</v>
      </c>
      <c r="B114" s="4" t="inlineStr">
        <is>
          <t>10.1016/j.jpsychires.2026.05.015</t>
        </is>
      </c>
      <c r="C114" s="4" t="inlineStr">
        <is>
          <t>Automatic measurement of social gaze during naturalistic conversations in autism</t>
        </is>
      </c>
      <c r="D114" s="4" t="inlineStr">
        <is>
          <t>Include</t>
        </is>
      </c>
      <c r="E114" s="4" t="n"/>
      <c r="F114" s="4" t="inlineStr">
        <is>
          <t>Behavioral video / naturalistic social gaze</t>
        </is>
      </c>
      <c r="G114" s="4" t="inlineStr">
        <is>
          <t>Hybrid</t>
        </is>
      </c>
      <c r="H114" s="4" t="inlineStr">
        <is>
          <t>Automated social-gaze detector (CNN/computer vision) + SVM-RBF diagnostic classifier</t>
        </is>
      </c>
      <c r="I114" s="4" t="inlineStr">
        <is>
          <t>Automatic social-gaze measurement and ASD-vs-neurotypical classification</t>
        </is>
      </c>
      <c r="J114" s="4" t="inlineStr">
        <is>
          <t>Diagnosis</t>
        </is>
      </c>
      <c r="K114" s="4" t="inlineStr">
        <is>
          <t>Research only</t>
        </is>
      </c>
      <c r="L114" s="4" t="inlineStr">
        <is>
          <t>Research measurement/classification framework; potential tracking use not yet clinically deployed</t>
        </is>
      </c>
      <c r="M114" s="4" t="n">
        <v>0</v>
      </c>
      <c r="N114" s="4" t="n">
        <v>0</v>
      </c>
      <c r="O114" s="4" t="n">
        <v>0</v>
      </c>
      <c r="P114" s="4" t="n">
        <v>1</v>
      </c>
      <c r="Q114" s="4" t="n">
        <v>0</v>
      </c>
      <c r="R114" s="4" t="n">
        <v>1</v>
      </c>
      <c r="S114" s="4" t="n">
        <v>0</v>
      </c>
      <c r="T114" s="4" t="inlineStr">
        <is>
          <t>https://pmc.ncbi.nlm.nih.gov/articles/PMC13248665/</t>
        </is>
      </c>
      <c r="U114" s="4" t="inlineStr">
        <is>
          <t>Videos from 46 autistic and 36 neurotypical participants were used to train an automatic gaze detector; granular gaze features correlated with ADOS-2 Social Affect and classified ASD vs NT at 73%. Cross-validation is internal and no independent cohort/site test was reported. Human-defined gaze features are interpretable, but no formal post-hoc XAI method was used.</t>
        </is>
      </c>
      <c r="V114" s="4" t="inlineStr">
        <is>
          <t>Revision asistida por IA (un revisor; requiere verificacion independiente)</t>
        </is>
      </c>
      <c r="W114" s="40" t="n">
        <v>46269</v>
      </c>
    </row>
    <row r="115" ht="86" customHeight="1">
      <c r="A115" s="4" t="n">
        <v>236</v>
      </c>
      <c r="B115" s="4" t="inlineStr">
        <is>
          <t>10.1016/j.health.2025.100439</t>
        </is>
      </c>
      <c r="C115" s="4" t="inlineStr">
        <is>
          <t>An image-based analytics framework for early autism detection using eye movements</t>
        </is>
      </c>
      <c r="D115" s="4" t="inlineStr">
        <is>
          <t>Include</t>
        </is>
      </c>
      <c r="E115" s="4" t="n"/>
      <c r="F115" s="4" t="inlineStr">
        <is>
          <t>Behavioral eye movements / scanpath images from video</t>
        </is>
      </c>
      <c r="G115" s="4" t="inlineStr">
        <is>
          <t>Deep Learning</t>
        </is>
      </c>
      <c r="H115" s="4" t="inlineStr">
        <is>
          <t>GazeScan lightweight CNN on grayscale scanpath images</t>
        </is>
      </c>
      <c r="I115" s="4" t="inlineStr">
        <is>
          <t>Early ASD behavioral screening from eye movements</t>
        </is>
      </c>
      <c r="J115" s="4" t="inlineStr">
        <is>
          <t>Screening</t>
        </is>
      </c>
      <c r="K115" s="4" t="inlineStr">
        <is>
          <t>Proposed only</t>
        </is>
      </c>
      <c r="L115" s="4" t="inlineStr">
        <is>
          <t>Proposed mobile-compatible screening framework; not prospectively deployed</t>
        </is>
      </c>
      <c r="M115" s="4" t="n">
        <v>0</v>
      </c>
      <c r="N115" s="4" t="n">
        <v>0</v>
      </c>
      <c r="O115" s="4" t="n">
        <v>0</v>
      </c>
      <c r="P115" s="4" t="n">
        <v>0</v>
      </c>
      <c r="Q115" s="4" t="n">
        <v>0</v>
      </c>
      <c r="R115" s="4" t="n">
        <v>0</v>
      </c>
      <c r="S115" s="4" t="n">
        <v>0</v>
      </c>
      <c r="T115" s="4" t="inlineStr">
        <is>
          <t>https://www.sciencedirect.com/science/article/pii/S2772442525000589</t>
        </is>
      </c>
      <c r="U115" s="4" t="inlineStr">
        <is>
          <t>GazeScan converts gaze trajectories into grayscale scanpath images and uses a lightweight CNN; five-fold CV on ETSP reports 97.01% accuracy and AUC 0.98. Public single-dataset internal cross-validation only; no independent external cohort, multisite robustness, prospective clinical evaluation, or formal XAI identified.</t>
        </is>
      </c>
      <c r="V115" s="4" t="inlineStr">
        <is>
          <t>Revision asistida por IA (un revisor; requiere verificacion independiente)</t>
        </is>
      </c>
      <c r="W115" s="40" t="n">
        <v>46269</v>
      </c>
    </row>
    <row r="116" ht="86" customHeight="1">
      <c r="A116" s="4" t="n">
        <v>242</v>
      </c>
      <c r="B116" s="4" t="inlineStr">
        <is>
          <t>10.1096/FJ.202600019R</t>
        </is>
      </c>
      <c r="C116" s="4" t="inlineStr">
        <is>
          <t>Neurophysiological EEG Characterization of Autism Spectrum Disorder Using DWT-Based Frequency Analysis With Selective Electrodes and Brain Segmentation: An Explainable AI-Driven Approach</t>
        </is>
      </c>
      <c r="D116" s="4" t="inlineStr">
        <is>
          <t>Include</t>
        </is>
      </c>
      <c r="E116" s="4" t="n"/>
      <c r="F116" s="4" t="inlineStr">
        <is>
          <t>Physiological signals (EEG)</t>
        </is>
      </c>
      <c r="G116" s="4" t="inlineStr">
        <is>
          <t>Machine Learning</t>
        </is>
      </c>
      <c r="H116" s="4" t="inlineStr">
        <is>
          <t>Logistic Regression on DWT spectral/statistical EEG features (comparative ML/DL/meta-learning benchmark)</t>
        </is>
      </c>
      <c r="I116" s="4" t="inlineStr">
        <is>
          <t>EEG-based ASD diagnostic classification</t>
        </is>
      </c>
      <c r="J116" s="4" t="inlineStr">
        <is>
          <t>Diagnosis</t>
        </is>
      </c>
      <c r="K116" s="4" t="inlineStr">
        <is>
          <t>Research only</t>
        </is>
      </c>
      <c r="L116" s="4" t="inlineStr">
        <is>
          <t>Preliminary neurophysiological diagnostic classifier</t>
        </is>
      </c>
      <c r="M116" s="4" t="n">
        <v>0</v>
      </c>
      <c r="N116" s="4" t="n">
        <v>0</v>
      </c>
      <c r="O116" s="4" t="n">
        <v>0</v>
      </c>
      <c r="P116" s="4" t="n">
        <v>0</v>
      </c>
      <c r="Q116" s="4" t="n">
        <v>1</v>
      </c>
      <c r="R116" s="4" t="n">
        <v>0</v>
      </c>
      <c r="S116" s="4" t="n">
        <v>0</v>
      </c>
      <c r="T116" s="4" t="inlineStr">
        <is>
          <t>https://pubmed.ncbi.nlm.nih.gov/42417525/</t>
        </is>
      </c>
      <c r="U116" s="4" t="inlineStr">
        <is>
          <t>DWT features from 15 EEG electrodes were benchmarked across 21 models; Logistic Regression performed best at 88.57% accuracy, and explainability identified delta/theta power as key features. Preliminary small-cohort study with internal validation; the authors explicitly state that larger independent cohorts are needed.</t>
        </is>
      </c>
      <c r="V116" s="4" t="inlineStr">
        <is>
          <t>Revision asistida por IA (un revisor; requiere verificacion independiente)</t>
        </is>
      </c>
      <c r="W116" s="40" t="n">
        <v>46269</v>
      </c>
    </row>
    <row r="117" ht="86" customHeight="1">
      <c r="A117" s="4" t="n">
        <v>244</v>
      </c>
      <c r="B117" s="4" t="inlineStr">
        <is>
          <t>10.1002/JDN.70158</t>
        </is>
      </c>
      <c r="C117" s="4" t="inlineStr">
        <is>
          <t>DHCA-Net: A Novel Dual-Stream Hierarchical Channel Attention Network for Explainable Autism Spectrum Disorder Detection From Facial Images</t>
        </is>
      </c>
      <c r="D117" s="4" t="inlineStr">
        <is>
          <t>Include</t>
        </is>
      </c>
      <c r="E117" s="4" t="n"/>
      <c r="F117" s="4" t="inlineStr">
        <is>
          <t>Facial images</t>
        </is>
      </c>
      <c r="G117" s="4" t="inlineStr">
        <is>
          <t>Deep Learning</t>
        </is>
      </c>
      <c r="H117" s="4" t="inlineStr">
        <is>
          <t>DHCA-Net dual-stream hierarchical channel-attention network + multi-head feature fusion</t>
        </is>
      </c>
      <c r="I117" s="4" t="inlineStr">
        <is>
          <t>Facial-image ASD screening</t>
        </is>
      </c>
      <c r="J117" s="4" t="inlineStr">
        <is>
          <t>Screening</t>
        </is>
      </c>
      <c r="K117" s="4" t="inlineStr">
        <is>
          <t>Proposed only</t>
        </is>
      </c>
      <c r="L117" s="4" t="inlineStr">
        <is>
          <t>Proposed scalable screening framework; no real clinical workflow evaluation</t>
        </is>
      </c>
      <c r="M117" s="4" t="n">
        <v>0</v>
      </c>
      <c r="N117" s="4" t="n">
        <v>0</v>
      </c>
      <c r="O117" s="4" t="n">
        <v>0</v>
      </c>
      <c r="P117" s="4" t="n">
        <v>0</v>
      </c>
      <c r="Q117" s="4" t="n">
        <v>0</v>
      </c>
      <c r="R117" s="4" t="n">
        <v>0</v>
      </c>
      <c r="S117" s="4" t="n">
        <v>0</v>
      </c>
      <c r="T117" s="4" t="inlineStr">
        <is>
          <t>https://onlinelibrary.wiley.com/doi/10.1002/jdn.70158</t>
        </is>
      </c>
      <c r="U117" s="4" t="inlineStr">
        <is>
          <t>DHCA-Net was tested on 2,936 facial images using train/test/validation splits and achieved 93.7% accuracy, F1 0.9365 and AUC 0.9887. Despite the word explainable in the title, the accessible report describes attention mechanisms but no explicit explanation method/output satisfying strict XAI criteria. Broader demographic generalization remains future work.</t>
        </is>
      </c>
      <c r="V117" s="4" t="inlineStr">
        <is>
          <t>Revision asistida por IA (un revisor; requiere verificacion independiente)</t>
        </is>
      </c>
      <c r="W117" s="40" t="n">
        <v>46269</v>
      </c>
    </row>
    <row r="118" ht="73" customHeight="1">
      <c r="A118" s="4" t="n">
        <v>246</v>
      </c>
      <c r="B118" s="4" t="inlineStr">
        <is>
          <t>10.1111/COIN.70131</t>
        </is>
      </c>
      <c r="C118" s="4" t="inlineStr">
        <is>
          <t>MTT: Multi-Tier Transformer for Early Diagnosis of Autism Spectrum Disorder and Language Disorder in Infants</t>
        </is>
      </c>
      <c r="D118" s="4" t="inlineStr">
        <is>
          <t>Include</t>
        </is>
      </c>
      <c r="E118" s="4" t="n"/>
      <c r="F118" s="4" t="inlineStr">
        <is>
          <t>Physiological signals (resting-state infant EEG)</t>
        </is>
      </c>
      <c r="G118" s="4" t="inlineStr">
        <is>
          <t>Deep Learning</t>
        </is>
      </c>
      <c r="H118" s="4" t="inlineStr">
        <is>
          <t>Multi-Tier Transformer (feature attention + dual self/cross-attention)</t>
        </is>
      </c>
      <c r="I118" s="4" t="inlineStr">
        <is>
          <t>Auxiliary early diagnosis of ASD and developmental language/reading disorder</t>
        </is>
      </c>
      <c r="J118" s="4" t="inlineStr">
        <is>
          <t>Diagnosis</t>
        </is>
      </c>
      <c r="K118" s="4" t="inlineStr">
        <is>
          <t>Proposed only</t>
        </is>
      </c>
      <c r="L118" s="4" t="inlineStr">
        <is>
          <t>Proposed auxiliary diagnostic model; not evaluated in a live clinical workflow</t>
        </is>
      </c>
      <c r="M118" s="4" t="n">
        <v>0</v>
      </c>
      <c r="N118" s="4" t="n">
        <v>0</v>
      </c>
      <c r="O118" s="4" t="n">
        <v>0</v>
      </c>
      <c r="P118" s="4" t="n">
        <v>0</v>
      </c>
      <c r="Q118" s="4" t="n">
        <v>0</v>
      </c>
      <c r="R118" s="4" t="n">
        <v>1</v>
      </c>
      <c r="S118" s="4" t="n">
        <v>0</v>
      </c>
      <c r="T118" s="4" t="inlineStr">
        <is>
          <t>https://onlinelibrary.wiley.com/doi/10.1111/coin.70131</t>
        </is>
      </c>
      <c r="U118" s="4" t="inlineStr">
        <is>
          <t>MTT uses resting-state infant EEG baseline power, SMOTE, transfer learning and feature/self/cross-attention; reported accuracy is 0.91 and AUC 0.97. No independent external/site-held-out evaluation is identified. Interpretability is attention-based only, so it was coded as partial rather than strict XAI.</t>
        </is>
      </c>
      <c r="V118" s="4" t="inlineStr">
        <is>
          <t>Revision asistida por IA (un revisor; requiere verificacion independiente)</t>
        </is>
      </c>
      <c r="W118" s="40" t="n">
        <v>46269</v>
      </c>
    </row>
    <row r="119" ht="99" customHeight="1">
      <c r="A119" s="4" t="n">
        <v>248</v>
      </c>
      <c r="B119" s="4" t="inlineStr">
        <is>
          <t>10.1016/j.pscychresns.2026.112251</t>
        </is>
      </c>
      <c r="C119" s="4" t="inlineStr">
        <is>
          <t>Optimized quadrangle attention consolidated convolutional multi-scale vision transformer based autism detection</t>
        </is>
      </c>
      <c r="D119" s="4" t="inlineStr">
        <is>
          <t>Include</t>
        </is>
      </c>
      <c r="E119" s="4" t="n"/>
      <c r="F119" s="4" t="inlineStr">
        <is>
          <t>Facial images (two public ASD facial-image datasets)</t>
        </is>
      </c>
      <c r="G119" s="4" t="inlineStr">
        <is>
          <t>Hybrid</t>
        </is>
      </c>
      <c r="H119" s="4" t="inlineStr">
        <is>
          <t>OQA-CMVT + DMM-AND + GAN, optimized with RS-COA</t>
        </is>
      </c>
      <c r="I119" s="4" t="inlineStr">
        <is>
          <t>ASD facial-image classification / detection</t>
        </is>
      </c>
      <c r="J119" s="4" t="inlineStr">
        <is>
          <t>Diagnosis</t>
        </is>
      </c>
      <c r="K119" s="4" t="inlineStr">
        <is>
          <t>Proposed only</t>
        </is>
      </c>
      <c r="L119" s="4" t="inlineStr">
        <is>
          <t>Proposed facial-image diagnostic classifier; no live clinical workflow evaluation</t>
        </is>
      </c>
      <c r="M119" s="4" t="n">
        <v>0</v>
      </c>
      <c r="N119" s="4" t="n">
        <v>0</v>
      </c>
      <c r="O119" s="4" t="n">
        <v>0</v>
      </c>
      <c r="P119" s="4" t="n">
        <v>0</v>
      </c>
      <c r="Q119" s="4" t="n">
        <v>0</v>
      </c>
      <c r="R119" s="4" t="n">
        <v>0</v>
      </c>
      <c r="S119" s="4" t="n">
        <v>0</v>
      </c>
      <c r="T119" s="4" t="inlineStr">
        <is>
          <t>https://www.sciencedirect.com/science/article/pii/S0925492726001162</t>
        </is>
      </c>
      <c r="U119" s="4" t="inlineStr">
        <is>
          <t>Uses two facial-image datasets, AMGF preprocessing, GAN augmentation, DMM-AND feature extraction and an optimized convolutional multi-scale vision transformer; reported accuracies are 97.96% and 98.04%. Evaluation on two datasets is not documented as an independent external-validation design or site-held-out test in the accessible material; very high performance warrants independent replication.</t>
        </is>
      </c>
      <c r="V119" s="4" t="inlineStr">
        <is>
          <t>Revision asistida por IA (un revisor; requiere verificacion independiente)</t>
        </is>
      </c>
      <c r="W119" s="40" t="n">
        <v>46269</v>
      </c>
    </row>
    <row r="120" ht="73" customHeight="1">
      <c r="A120" s="4" t="n">
        <v>249</v>
      </c>
      <c r="B120" s="4" t="inlineStr">
        <is>
          <t>10.1016/j.compbiomed.2025.111238</t>
        </is>
      </c>
      <c r="C120" s="4" t="inlineStr">
        <is>
          <t>An early detection of autism spectrum disorder using machine learning</t>
        </is>
      </c>
      <c r="D120" s="4" t="inlineStr">
        <is>
          <t>Include</t>
        </is>
      </c>
      <c r="E120" s="4" t="n"/>
      <c r="F120" s="4" t="inlineStr">
        <is>
          <t>Physiological signals (baseline infant EEG)</t>
        </is>
      </c>
      <c r="G120" s="4" t="inlineStr">
        <is>
          <t>Machine Learning</t>
        </is>
      </c>
      <c r="H120" s="4" t="inlineStr">
        <is>
          <t>SVM (best) with random forest / decision tree comparison + SHAP</t>
        </is>
      </c>
      <c r="I120" s="4" t="inlineStr">
        <is>
          <t>Infant ASD classification / early detection</t>
        </is>
      </c>
      <c r="J120" s="4" t="inlineStr">
        <is>
          <t>Screening</t>
        </is>
      </c>
      <c r="K120" s="4" t="inlineStr">
        <is>
          <t>Proposed only</t>
        </is>
      </c>
      <c r="L120" s="4" t="inlineStr">
        <is>
          <t>Proposed EEG-based early-screening classifier; no clinical workflow deployment evaluated</t>
        </is>
      </c>
      <c r="M120" s="4" t="n">
        <v>0</v>
      </c>
      <c r="N120" s="4" t="n">
        <v>0</v>
      </c>
      <c r="O120" s="4" t="n">
        <v>0</v>
      </c>
      <c r="P120" s="4" t="n">
        <v>0</v>
      </c>
      <c r="Q120" s="4" t="n">
        <v>1</v>
      </c>
      <c r="R120" s="4" t="n">
        <v>0</v>
      </c>
      <c r="S120" s="4" t="n">
        <v>0</v>
      </c>
      <c r="T120" s="4" t="inlineStr">
        <is>
          <t>https://pubmed.ncbi.nlm.nih.gov/41151500/</t>
        </is>
      </c>
      <c r="U120" s="4" t="inlineStr">
        <is>
          <t>Baseline infant EEG power features were analyzed with DT, RF and SVM; SVM reached AUC 0.93 and SHAP was used to explain the best-performing model. The accessible record does not establish an independent external cohort, multisite evaluation or prospective clinical deployment.</t>
        </is>
      </c>
      <c r="V120" s="4" t="inlineStr">
        <is>
          <t>Revision asistida por IA (un revisor; requiere verificacion independiente)</t>
        </is>
      </c>
      <c r="W120" s="40" t="n">
        <v>46269</v>
      </c>
    </row>
    <row r="121" ht="73" customHeight="1">
      <c r="A121" s="4" t="n">
        <v>250</v>
      </c>
      <c r="B121" s="4" t="inlineStr">
        <is>
          <t>10.1002/DNEU.70047</t>
        </is>
      </c>
      <c r="C121" s="4" t="inlineStr">
        <is>
          <t>An Effective LRSF-DLNN-Based Autism Spectrum Disorder Prediction Using EEG and fMRI</t>
        </is>
      </c>
      <c r="D121" s="4" t="inlineStr">
        <is>
          <t>Include</t>
        </is>
      </c>
      <c r="E121" s="4" t="n"/>
      <c r="F121" s="4" t="inlineStr">
        <is>
          <t>Multimodal (EEG + fMRI)</t>
        </is>
      </c>
      <c r="G121" s="4" t="inlineStr">
        <is>
          <t>Hybrid</t>
        </is>
      </c>
      <c r="H121" s="4" t="inlineStr">
        <is>
          <t>LRSF-DLNN + DFGAO feature selection with EEG/fMRI fusion pipeline</t>
        </is>
      </c>
      <c r="I121" s="4" t="inlineStr">
        <is>
          <t>ASD classification / prediction</t>
        </is>
      </c>
      <c r="J121" s="4" t="inlineStr">
        <is>
          <t>Diagnosis</t>
        </is>
      </c>
      <c r="K121" s="4" t="inlineStr">
        <is>
          <t>Proposed only</t>
        </is>
      </c>
      <c r="L121" s="4" t="inlineStr">
        <is>
          <t>Proposed multimodal diagnostic classifier; no workflow deployment evaluated</t>
        </is>
      </c>
      <c r="M121" s="4" t="n">
        <v>0</v>
      </c>
      <c r="N121" s="4" t="n">
        <v>0</v>
      </c>
      <c r="O121" s="4" t="n">
        <v>0</v>
      </c>
      <c r="P121" s="4" t="n">
        <v>0</v>
      </c>
      <c r="Q121" s="4" t="n">
        <v>0</v>
      </c>
      <c r="R121" s="4" t="n">
        <v>0</v>
      </c>
      <c r="S121" s="4" t="n">
        <v>1</v>
      </c>
      <c r="T121" s="4" t="inlineStr">
        <is>
          <t>https://pubmed.ncbi.nlm.nih.gov/?term=10.1002%2Fdneu.70047</t>
        </is>
      </c>
      <c r="U121" s="4" t="inlineStr">
        <is>
          <t>Combines EEG and fMRI after modality-specific preprocessing and feature extraction, followed by DFGAO feature selection and LRSF-DLNN classification; reported accuracy is 98.8%. No independent external validation, site-held-out robustness or explicit XAI method is established in the accessible material.</t>
        </is>
      </c>
      <c r="V121" s="4" t="inlineStr">
        <is>
          <t>Revision asistida por IA (un revisor; requiere verificacion independiente)</t>
        </is>
      </c>
      <c r="W121" s="40" t="n">
        <v>46269</v>
      </c>
    </row>
    <row r="122" ht="99" customHeight="1">
      <c r="A122" s="4" t="n">
        <v>252</v>
      </c>
      <c r="B122" s="4" t="inlineStr">
        <is>
          <t>10.1002/aur.70105</t>
        </is>
      </c>
      <c r="C122" s="4" t="inlineStr">
        <is>
          <t>A New Paradigm for Autism Spectrum Disorder Discrimination in Children Utilizing EEG Data Collected During Cartoon Viewing With a Focus on Atypical Semantic Processing</t>
        </is>
      </c>
      <c r="D122" s="4" t="inlineStr">
        <is>
          <t>Include</t>
        </is>
      </c>
      <c r="E122" s="4" t="n"/>
      <c r="F122" s="4" t="inlineStr">
        <is>
          <t>Physiological signals (EEG during cartoon viewing) with semantic stimulus annotations</t>
        </is>
      </c>
      <c r="G122" s="4" t="inlineStr">
        <is>
          <t>Hybrid</t>
        </is>
      </c>
      <c r="H122" s="4" t="inlineStr">
        <is>
          <t>Pretrained language-model semantic features + regression-based EEG semantic-processing model</t>
        </is>
      </c>
      <c r="I122" s="4" t="inlineStr">
        <is>
          <t>ASD discrimination / atypical semantic-processing characterization</t>
        </is>
      </c>
      <c r="J122" s="4" t="inlineStr">
        <is>
          <t>Diagnosis</t>
        </is>
      </c>
      <c r="K122" s="4" t="inlineStr">
        <is>
          <t>Research only</t>
        </is>
      </c>
      <c r="L122" s="4" t="inlineStr">
        <is>
          <t>Research analysis of EEG semantic processing with potential auxiliary diagnostic value; no deployed workflow</t>
        </is>
      </c>
      <c r="M122" s="4" t="n">
        <v>0</v>
      </c>
      <c r="N122" s="4" t="n">
        <v>0</v>
      </c>
      <c r="O122" s="4" t="n">
        <v>0</v>
      </c>
      <c r="P122" s="4" t="n">
        <v>0</v>
      </c>
      <c r="Q122" s="4" t="n">
        <v>0</v>
      </c>
      <c r="R122" s="4" t="n">
        <v>0</v>
      </c>
      <c r="S122" s="4" t="n">
        <v>0</v>
      </c>
      <c r="T122" s="4" t="inlineStr">
        <is>
          <t>https://onlinelibrary.wiley.com/doi/10.1002/aur.70105</t>
        </is>
      </c>
      <c r="U122" s="4" t="inlineStr">
        <is>
          <t>EEG recorded during naturalistic cartoon viewing was linked to semantic representations derived from pretrained language models; the study reports ASD/TD discrimination and a validation analysis. The accessible description does not establish that the reported validation analysis used an independent external cohort; semantic annotations are stimulus descriptors rather than a second human data modality.</t>
        </is>
      </c>
      <c r="V122" s="4" t="inlineStr">
        <is>
          <t>Revision asistida por IA (un revisor; requiere verificacion independiente)</t>
        </is>
      </c>
      <c r="W122" s="40" t="n">
        <v>46269</v>
      </c>
    </row>
    <row r="123" ht="73" customHeight="1">
      <c r="A123" s="4" t="n">
        <v>254</v>
      </c>
      <c r="B123" s="4" t="inlineStr">
        <is>
          <t>10.1016/j.pscychresns.2026.112204</t>
        </is>
      </c>
      <c r="C123" s="4" t="inlineStr">
        <is>
          <t>Hybrid groupers-moray orangutan optimization algorithm-based dense-resolution network for autism spectrum disorder detection using multimodal data</t>
        </is>
      </c>
      <c r="D123" s="4" t="inlineStr">
        <is>
          <t>Include</t>
        </is>
      </c>
      <c r="E123" s="4" t="n"/>
      <c r="F123" s="4" t="inlineStr">
        <is>
          <t>Multimodal (MRI brain images + phenotypic data)</t>
        </is>
      </c>
      <c r="G123" s="4" t="inlineStr">
        <is>
          <t>Hybrid</t>
        </is>
      </c>
      <c r="H123" s="4" t="inlineStr">
        <is>
          <t>GMOA-DRNet with imaging/phenotypic feature integration</t>
        </is>
      </c>
      <c r="I123" s="4" t="inlineStr">
        <is>
          <t>ASD detection / classification</t>
        </is>
      </c>
      <c r="J123" s="4" t="inlineStr">
        <is>
          <t>Diagnosis</t>
        </is>
      </c>
      <c r="K123" s="4" t="inlineStr">
        <is>
          <t>Proposed only</t>
        </is>
      </c>
      <c r="L123" s="4" t="inlineStr">
        <is>
          <t>Proposed multimodal diagnostic classifier; no clinical deployment evaluated</t>
        </is>
      </c>
      <c r="M123" s="4" t="n">
        <v>0</v>
      </c>
      <c r="N123" s="4" t="n">
        <v>0</v>
      </c>
      <c r="O123" s="4" t="n">
        <v>0</v>
      </c>
      <c r="P123" s="4" t="n">
        <v>0</v>
      </c>
      <c r="Q123" s="4" t="n">
        <v>0</v>
      </c>
      <c r="R123" s="4" t="n">
        <v>0</v>
      </c>
      <c r="S123" s="4" t="n">
        <v>1</v>
      </c>
      <c r="T123" s="4" t="inlineStr">
        <is>
          <t>https://www.sciencedirect.com/science/article/pii/S0925492726000697</t>
        </is>
      </c>
      <c r="U123" s="4" t="inlineStr">
        <is>
          <t>Integrates MRI-derived features with phenotypic variables, applies feature selection/optimization and DRNet classification; reported accuracy is 92.77%. No independent external validation, prospective evaluation or explicit site-held-out robustness is established in the accessible record.</t>
        </is>
      </c>
      <c r="V123" s="4" t="inlineStr">
        <is>
          <t>Revision asistida por IA (un revisor; requiere verificacion independiente)</t>
        </is>
      </c>
      <c r="W123" s="40" t="n">
        <v>46269</v>
      </c>
    </row>
    <row r="124" ht="99" customHeight="1">
      <c r="A124" s="4" t="n">
        <v>266</v>
      </c>
      <c r="B124" s="4" t="inlineStr">
        <is>
          <t>10.1002/AUR.70179</t>
        </is>
      </c>
      <c r="C124" s="4" t="inlineStr">
        <is>
          <t>Machine Learning-Based Early Prediction Model for Autism Spectrum Disorder in Infants Using Acoustic Feature</t>
        </is>
      </c>
      <c r="D124" s="4" t="inlineStr">
        <is>
          <t>Include</t>
        </is>
      </c>
      <c r="E124" s="4" t="n"/>
      <c r="F124" s="4" t="inlineStr">
        <is>
          <t>Audio / voice (infant vocalizations)</t>
        </is>
      </c>
      <c r="G124" s="4" t="inlineStr">
        <is>
          <t>Machine Learning</t>
        </is>
      </c>
      <c r="H124" s="4" t="inlineStr">
        <is>
          <t>LASSO feature selection + sigmoid-kernel SVM</t>
        </is>
      </c>
      <c r="I124" s="4" t="inlineStr">
        <is>
          <t>Prospective prediction of ASD diagnosis at 36 months</t>
        </is>
      </c>
      <c r="J124" s="4" t="inlineStr">
        <is>
          <t>Prognosis</t>
        </is>
      </c>
      <c r="K124" s="4" t="inlineStr">
        <is>
          <t>Research only</t>
        </is>
      </c>
      <c r="L124" s="4" t="inlineStr">
        <is>
          <t>Prospective risk-prediction research; no deployed clinical workflow evaluated</t>
        </is>
      </c>
      <c r="M124" s="4" t="n">
        <v>0</v>
      </c>
      <c r="N124" s="4" t="n">
        <v>0</v>
      </c>
      <c r="O124" s="4" t="n">
        <v>0</v>
      </c>
      <c r="P124" s="4" t="n">
        <v>1</v>
      </c>
      <c r="Q124" s="4" t="n">
        <v>0</v>
      </c>
      <c r="R124" s="4" t="n">
        <v>1</v>
      </c>
      <c r="S124" s="4" t="n">
        <v>0</v>
      </c>
      <c r="T124" s="4" t="inlineStr">
        <is>
          <t>https://pubmed.ncbi.nlm.nih.gov/41502369/</t>
        </is>
      </c>
      <c r="U124" s="4" t="inlineStr">
        <is>
          <t>In a prospective infant-sibling cohort, vocalizations at 9-18 months were parameterized into thousands of acoustic features, reduced with LASSO, and classified with SVM against ASD outcome confirmed at 36 months. The cohort is relatively small and the accessible record does not establish independent external validation; LASSO-based feature reduction is treated as partial interpretability rather than strict XAI.</t>
        </is>
      </c>
      <c r="V124" s="4" t="inlineStr">
        <is>
          <t>Revision asistida por IA (un revisor; requiere verificacion independiente)</t>
        </is>
      </c>
      <c r="W124" s="40" t="n">
        <v>46269</v>
      </c>
    </row>
    <row r="125" ht="151" customHeight="1">
      <c r="A125" s="4" t="n">
        <v>269</v>
      </c>
      <c r="B125" s="4" t="inlineStr">
        <is>
          <t>10.1016/j.compbiomed.2026.111470</t>
        </is>
      </c>
      <c r="C125" s="4" t="inlineStr">
        <is>
          <t>Predicting fine motor deficit in autism by measuring brain activities and characterizing motor impairments</t>
        </is>
      </c>
      <c r="D125" s="4" t="inlineStr">
        <is>
          <t>Include</t>
        </is>
      </c>
      <c r="E125" s="4" t="n"/>
      <c r="F125" s="4" t="inlineStr">
        <is>
          <t>Multimodal (QEEG + motor/behavioral tasks + AQ-10 psychometrics)</t>
        </is>
      </c>
      <c r="G125" s="4" t="inlineStr">
        <is>
          <t>Machine Learning</t>
        </is>
      </c>
      <c r="H125" s="4" t="inlineStr">
        <is>
          <t>Logistic regression (best), with SVM/KNN/RF/NN and ensemble comparison</t>
        </is>
      </c>
      <c r="I125" s="4" t="inlineStr">
        <is>
          <t>Fine-motor-deficit classification in adolescents with ASD using multimodal data</t>
        </is>
      </c>
      <c r="J125" s="4" t="inlineStr">
        <is>
          <t>Not specified</t>
        </is>
      </c>
      <c r="K125" s="4" t="inlineStr">
        <is>
          <t>Research only</t>
        </is>
      </c>
      <c r="L125" s="4" t="inlineStr">
        <is>
          <t>Research classification of motor impairment in ASD; no ASD clinical workflow deployment evaluated</t>
        </is>
      </c>
      <c r="M125" s="4" t="n">
        <v>0</v>
      </c>
      <c r="N125" s="4" t="n">
        <v>0</v>
      </c>
      <c r="O125" s="4" t="n">
        <v>0</v>
      </c>
      <c r="P125" s="4" t="n">
        <v>0</v>
      </c>
      <c r="Q125" s="4" t="n">
        <v>0</v>
      </c>
      <c r="R125" s="4" t="n">
        <v>1</v>
      </c>
      <c r="S125" s="4" t="n">
        <v>1</v>
      </c>
      <c r="T125" s="4" t="inlineStr">
        <is>
          <t>https://www.sciencedirect.com/science/article/abs/pii/S0010482526000314</t>
        </is>
      </c>
      <c r="U125" s="4" t="inlineStr">
        <is>
          <t>The publisher article contains participant recruitment, data collection, Methods and Results. It integrates QEEG, Finger Tapping, Hand-Eye Coordination, Visual Memory and AQ-10 variables; logistic regression was the best model and RF Gini plots were used for feature interpretation. PubMed labels the record as Review, but the publisher full article is clearly an original empirical study with recruited participants and primary data collection. The metadata conflict should be checked independently; stage is left Not specified because the AI endpoint is fine-motor deficit rather than a unique ASD screening/diagnostic stage.</t>
        </is>
      </c>
      <c r="V125" s="4" t="inlineStr">
        <is>
          <t>Revision asistida por IA (un revisor; requiere verificacion independiente)</t>
        </is>
      </c>
      <c r="W125" s="40" t="n">
        <v>46269</v>
      </c>
    </row>
    <row r="126" ht="73" customHeight="1">
      <c r="A126" s="4" t="n">
        <v>270</v>
      </c>
      <c r="B126" s="4" t="inlineStr">
        <is>
          <t>10.1016/j.pscychresns.2026.112230</t>
        </is>
      </c>
      <c r="C126" s="4" t="inlineStr">
        <is>
          <t>Diagnosing autism spectrum disorders using ensemble-aided weighted fused features and attention-based residual LSTM with brain MRI images</t>
        </is>
      </c>
      <c r="D126" s="4" t="inlineStr">
        <is>
          <t>Include</t>
        </is>
      </c>
      <c r="E126" s="4" t="n"/>
      <c r="F126" s="4" t="inlineStr">
        <is>
          <t>Neuroimaging (brain MRI)</t>
        </is>
      </c>
      <c r="G126" s="4" t="inlineStr">
        <is>
          <t>Hybrid</t>
        </is>
      </c>
      <c r="H126" s="4" t="inlineStr">
        <is>
          <t>EDCNN (VGG16/ResNet/Inception) + IRUN-HSOA weighted fusion + ARLSTM</t>
        </is>
      </c>
      <c r="I126" s="4" t="inlineStr">
        <is>
          <t>ASD diagnosis / classification</t>
        </is>
      </c>
      <c r="J126" s="4" t="inlineStr">
        <is>
          <t>Diagnosis</t>
        </is>
      </c>
      <c r="K126" s="4" t="inlineStr">
        <is>
          <t>Proposed only</t>
        </is>
      </c>
      <c r="L126" s="4" t="inlineStr">
        <is>
          <t>Proposed MRI-based diagnostic classifier; no live workflow evaluation</t>
        </is>
      </c>
      <c r="M126" s="4" t="n">
        <v>0</v>
      </c>
      <c r="N126" s="4" t="n">
        <v>0</v>
      </c>
      <c r="O126" s="4" t="n">
        <v>0</v>
      </c>
      <c r="P126" s="4" t="n">
        <v>0</v>
      </c>
      <c r="Q126" s="4" t="n">
        <v>0</v>
      </c>
      <c r="R126" s="4" t="n">
        <v>0</v>
      </c>
      <c r="S126" s="4" t="n">
        <v>0</v>
      </c>
      <c r="T126" s="4" t="inlineStr">
        <is>
          <t>https://www.sciencedirect.com/science/article/pii/S0925492726000958</t>
        </is>
      </c>
      <c r="U126" s="4" t="inlineStr">
        <is>
          <t>Uses an ensemble CNN feature extractor, optimized weighted feature fusion and ARLSTM classification for MRI-based ASD diagnosis. Attention/recurrent architecture alone is not coded as XAI; no independent external, prospective or site-held-out evaluation is established in the accessible material.</t>
        </is>
      </c>
      <c r="V126" s="4" t="inlineStr">
        <is>
          <t>Revision asistida por IA (un revisor; requiere verificacion independiente)</t>
        </is>
      </c>
      <c r="W126" s="40" t="n">
        <v>46269</v>
      </c>
    </row>
    <row r="127" ht="73" customHeight="1">
      <c r="A127" s="4" t="n">
        <v>271</v>
      </c>
      <c r="B127" s="4" t="inlineStr">
        <is>
          <t>10.1155/AHCI/1316854</t>
        </is>
      </c>
      <c r="C127" s="4" t="inlineStr">
        <is>
          <t>Early Autism Spectrum Disorder Detection Using SMOTE-Enhanced 1D-CNN and Behavioral Screening Data</t>
        </is>
      </c>
      <c r="D127" s="4" t="inlineStr">
        <is>
          <t>Include</t>
        </is>
      </c>
      <c r="E127" s="4" t="n"/>
      <c r="F127" s="4" t="inlineStr">
        <is>
          <t>Structured behavioral screening questionnaire</t>
        </is>
      </c>
      <c r="G127" s="4" t="inlineStr">
        <is>
          <t>Deep Learning</t>
        </is>
      </c>
      <c r="H127" s="4" t="inlineStr">
        <is>
          <t>SMOTE-enhanced 1D-CNN</t>
        </is>
      </c>
      <c r="I127" s="4" t="inlineStr">
        <is>
          <t>ASD screening classification</t>
        </is>
      </c>
      <c r="J127" s="4" t="inlineStr">
        <is>
          <t>Screening</t>
        </is>
      </c>
      <c r="K127" s="4" t="inlineStr">
        <is>
          <t>Proposed only</t>
        </is>
      </c>
      <c r="L127" s="4" t="inlineStr">
        <is>
          <t>Proposed questionnaire-based screening classifier; no clinical deployment evaluated</t>
        </is>
      </c>
      <c r="M127" s="4" t="n">
        <v>0</v>
      </c>
      <c r="N127" s="4" t="n">
        <v>0</v>
      </c>
      <c r="O127" s="4" t="n">
        <v>0</v>
      </c>
      <c r="P127" s="4" t="n">
        <v>0</v>
      </c>
      <c r="Q127" s="4" t="n">
        <v>0</v>
      </c>
      <c r="R127" s="4" t="n">
        <v>0</v>
      </c>
      <c r="S127" s="4" t="n">
        <v>0</v>
      </c>
      <c r="T127" s="4" t="inlineStr">
        <is>
          <t>https://onlinelibrary.wiley.com/doi/10.1155/ahci/1316854</t>
        </is>
      </c>
      <c r="U127" s="4" t="inlineStr">
        <is>
          <t>Uses a public toddler-autism behavioral dataset with SMOTE and a 1D-CNN; evaluation is based on train/test splitting and internal cross-validation. Internal validation does not constitute external validation; no prospective workflow, multisite robustness or explicit XAI is reported.</t>
        </is>
      </c>
      <c r="V127" s="4" t="inlineStr">
        <is>
          <t>Revision asistida por IA (un revisor; requiere verificacion independiente)</t>
        </is>
      </c>
      <c r="W127" s="40" t="n">
        <v>46269</v>
      </c>
    </row>
    <row r="128" ht="73" customHeight="1">
      <c r="A128" s="4" t="n">
        <v>273</v>
      </c>
      <c r="B128" s="4" t="inlineStr">
        <is>
          <t>10.1016/j.procs.2026.06.483</t>
        </is>
      </c>
      <c r="C128" s="4" t="inlineStr">
        <is>
          <t>Optimizing Autism Spectrum Disorder Diagnosis with VGG16-Based Facial Landmark Recognition</t>
        </is>
      </c>
      <c r="D128" s="4" t="inlineStr">
        <is>
          <t>Include</t>
        </is>
      </c>
      <c r="E128" s="4" t="n"/>
      <c r="F128" s="4" t="inlineStr">
        <is>
          <t>Facial images</t>
        </is>
      </c>
      <c r="G128" s="4" t="inlineStr">
        <is>
          <t>Deep Learning</t>
        </is>
      </c>
      <c r="H128" s="4" t="inlineStr">
        <is>
          <t>VGG16 CNN</t>
        </is>
      </c>
      <c r="I128" s="4" t="inlineStr">
        <is>
          <t>ASD facial-image classification / early detection</t>
        </is>
      </c>
      <c r="J128" s="4" t="inlineStr">
        <is>
          <t>Screening</t>
        </is>
      </c>
      <c r="K128" s="4" t="inlineStr">
        <is>
          <t>Proposed only</t>
        </is>
      </c>
      <c r="L128" s="4" t="inlineStr">
        <is>
          <t>Proposed facial-image early-screening classifier; no clinical workflow deployment evaluated</t>
        </is>
      </c>
      <c r="M128" s="4" t="n">
        <v>0</v>
      </c>
      <c r="N128" s="4" t="n">
        <v>0</v>
      </c>
      <c r="O128" s="4" t="n">
        <v>0</v>
      </c>
      <c r="P128" s="4" t="n">
        <v>0</v>
      </c>
      <c r="Q128" s="4" t="n">
        <v>0</v>
      </c>
      <c r="R128" s="4" t="n">
        <v>0</v>
      </c>
      <c r="S128" s="4" t="n">
        <v>0</v>
      </c>
      <c r="T128" s="4" t="inlineStr">
        <is>
          <t>https://www.sciencedirect.com/science/article/pii/S1877050926021162</t>
        </is>
      </c>
      <c r="U128" s="4" t="inlineStr">
        <is>
          <t>Applies VGG16 to a Kaggle facial-image dataset of autistic and non-autistic children and reports 98.1% classification accuracy. Single public image dataset and no independent external/prospective evaluation are established; performance may be sensitive to dataset leakage or source bias.</t>
        </is>
      </c>
      <c r="V128" s="4" t="inlineStr">
        <is>
          <t>Revision asistida por IA (un revisor; requiere verificacion independiente)</t>
        </is>
      </c>
      <c r="W128" s="40" t="n">
        <v>46269</v>
      </c>
    </row>
    <row r="129" ht="99" customHeight="1">
      <c r="A129" s="4" t="n">
        <v>275</v>
      </c>
      <c r="B129" s="4" t="inlineStr">
        <is>
          <t>10.1155/ACIS/6410913</t>
        </is>
      </c>
      <c r="C129" s="4" t="inlineStr">
        <is>
          <t>Machine Learning Techniques to Uncover Sociodemographic Risk Factors of Autism Spectrum Disorder (ASD) Among Children and Adolescents in Bangladesh</t>
        </is>
      </c>
      <c r="D129" s="4" t="inlineStr">
        <is>
          <t>Include</t>
        </is>
      </c>
      <c r="E129" s="4" t="n"/>
      <c r="F129" s="4" t="inlineStr">
        <is>
          <t>Structured sociodemographic / parental / perinatal risk-factor data</t>
        </is>
      </c>
      <c r="G129" s="4" t="inlineStr">
        <is>
          <t>Machine Learning</t>
        </is>
      </c>
      <c r="H129" s="4" t="inlineStr">
        <is>
          <t>Decision tree with F-classify feature selection (best of 8 classifiers)</t>
        </is>
      </c>
      <c r="I129" s="4" t="inlineStr">
        <is>
          <t>ASD classification and risk-factor discovery</t>
        </is>
      </c>
      <c r="J129" s="4" t="inlineStr">
        <is>
          <t>Prescreening</t>
        </is>
      </c>
      <c r="K129" s="4" t="inlineStr">
        <is>
          <t>Research only</t>
        </is>
      </c>
      <c r="L129" s="4" t="inlineStr">
        <is>
          <t>Risk-factor research for low-burden prescreening; no deployed workflow evaluated</t>
        </is>
      </c>
      <c r="M129" s="4" t="n">
        <v>0</v>
      </c>
      <c r="N129" s="4" t="n">
        <v>1</v>
      </c>
      <c r="O129" s="4" t="n">
        <v>0</v>
      </c>
      <c r="P129" s="4" t="n">
        <v>0</v>
      </c>
      <c r="Q129" s="4" t="n">
        <v>0</v>
      </c>
      <c r="R129" s="4" t="n">
        <v>1</v>
      </c>
      <c r="S129" s="4" t="n">
        <v>0</v>
      </c>
      <c r="T129" s="4" t="inlineStr">
        <is>
          <t>https://onlinelibrary.wiley.com/doi/10.1155/acis/6410913</t>
        </is>
      </c>
      <c r="U129" s="4" t="inlineStr">
        <is>
          <t>Analyzes a Bangladesh dataset collected across multiple geographic locations; compares eight classifiers after feature selection, with decision tree reported as best, and identifies interpretable sociodemographic/perinatal predictors. The reported test/CV is internal and geographic sources are pooled rather than site-held-out; regional sampling limits generalizability.</t>
        </is>
      </c>
      <c r="V129" s="4" t="inlineStr">
        <is>
          <t>Revision asistida por IA (un revisor; requiere verificacion independiente)</t>
        </is>
      </c>
      <c r="W129" s="40" t="n">
        <v>46269</v>
      </c>
    </row>
    <row r="130" ht="86" customHeight="1">
      <c r="A130" s="4" t="n">
        <v>277</v>
      </c>
      <c r="B130" s="4" t="inlineStr">
        <is>
          <t>10.1016/j.reia.2026.202826</t>
        </is>
      </c>
      <c r="C130" s="4" t="inlineStr">
        <is>
          <t>A comprehensive causal and machine learning framework for autism spectrum disorder risk prediction and high-risk subgroup identification from children with chronic health and genetic disorders in the United States</t>
        </is>
      </c>
      <c r="D130" s="4" t="inlineStr">
        <is>
          <t>Include</t>
        </is>
      </c>
      <c r="E130" s="4" t="n"/>
      <c r="F130" s="4" t="inlineStr">
        <is>
          <t>Structured national child-health survey / chronic and genetic conditions</t>
        </is>
      </c>
      <c r="G130" s="4" t="inlineStr">
        <is>
          <t>Machine Learning</t>
        </is>
      </c>
      <c r="H130" s="4" t="inlineStr">
        <is>
          <t>Multiple ML classifiers + propensity-score matching; best learner not specified in accessible text</t>
        </is>
      </c>
      <c r="I130" s="4" t="inlineStr">
        <is>
          <t>ASD risk prediction / high-risk subgroup identification</t>
        </is>
      </c>
      <c r="J130" s="4" t="inlineStr">
        <is>
          <t>Prescreening</t>
        </is>
      </c>
      <c r="K130" s="4" t="inlineStr">
        <is>
          <t>Research only</t>
        </is>
      </c>
      <c r="L130" s="4" t="inlineStr">
        <is>
          <t>Population-level risk stratification research; no deployed screening workflow evaluated</t>
        </is>
      </c>
      <c r="M130" s="4" t="n">
        <v>0</v>
      </c>
      <c r="N130" s="4" t="n">
        <v>0</v>
      </c>
      <c r="O130" s="4" t="n">
        <v>0</v>
      </c>
      <c r="P130" s="4" t="n">
        <v>0</v>
      </c>
      <c r="Q130" s="4" t="n">
        <v>0</v>
      </c>
      <c r="R130" s="4" t="n">
        <v>1</v>
      </c>
      <c r="S130" s="4" t="n">
        <v>0</v>
      </c>
      <c r="T130" s="4" t="inlineStr">
        <is>
          <t>https://www.sciencedirect.com/science/article/pii/S3050656526000404</t>
        </is>
      </c>
      <c r="U130" s="4" t="inlineStr">
        <is>
          <t>Uses 2022-2023 National Survey of Children's Health data, propensity-score methods and machine learning to identify predictor patterns and high-risk subgroups associated with ASD. Survey-based association/prediction is not external validation or prospective evaluation; predictor/subgroup interpretation is coded as partial explainability rather than strict XAI.</t>
        </is>
      </c>
      <c r="V130" s="4" t="inlineStr">
        <is>
          <t>Revision asistida por IA (un revisor; requiere verificacion independiente)</t>
        </is>
      </c>
      <c r="W130" s="40" t="n">
        <v>46269</v>
      </c>
    </row>
    <row r="131" ht="86" customHeight="1">
      <c r="A131" s="4" t="n">
        <v>280</v>
      </c>
      <c r="B131" s="4" t="inlineStr">
        <is>
          <t>10.1016/j.ridd.2025.105201</t>
        </is>
      </c>
      <c r="C131" s="4" t="inlineStr">
        <is>
          <t>Sleep pattern consistency and autism spectrum disorder in U.S. children: Associations and identification of high-risk subgroups</t>
        </is>
      </c>
      <c r="D131" s="4" t="inlineStr">
        <is>
          <t>Include</t>
        </is>
      </c>
      <c r="E131" s="4" t="n"/>
      <c r="F131" s="4" t="inlineStr">
        <is>
          <t>Structured national survey (sleep patterns, demographics/comorbidities)</t>
        </is>
      </c>
      <c r="G131" s="4" t="inlineStr">
        <is>
          <t>Machine Learning</t>
        </is>
      </c>
      <c r="H131" s="4" t="inlineStr">
        <is>
          <t>Multivariable logistic regression + machine-learning risk-profile modeling</t>
        </is>
      </c>
      <c r="I131" s="4" t="inlineStr">
        <is>
          <t>ASD risk-profile prediction / high-risk subgroup identification</t>
        </is>
      </c>
      <c r="J131" s="4" t="inlineStr">
        <is>
          <t>Prescreening</t>
        </is>
      </c>
      <c r="K131" s="4" t="inlineStr">
        <is>
          <t>Research only</t>
        </is>
      </c>
      <c r="L131" s="4" t="inlineStr">
        <is>
          <t>Population-level risk-profile research; no deployed screening workflow evaluated</t>
        </is>
      </c>
      <c r="M131" s="4" t="n">
        <v>0</v>
      </c>
      <c r="N131" s="4" t="n">
        <v>0</v>
      </c>
      <c r="O131" s="4" t="n">
        <v>0</v>
      </c>
      <c r="P131" s="4" t="n">
        <v>0</v>
      </c>
      <c r="Q131" s="4" t="n">
        <v>0</v>
      </c>
      <c r="R131" s="4" t="n">
        <v>1</v>
      </c>
      <c r="S131" s="4" t="n">
        <v>0</v>
      </c>
      <c r="T131" s="4" t="inlineStr">
        <is>
          <t>https://pubmed.ncbi.nlm.nih.gov/41475317/</t>
        </is>
      </c>
      <c r="U131" s="4" t="inlineStr">
        <is>
          <t>Analyzes 63,866 children from the 2022-2023 NSCH using sleep routines, demographics and comorbidities with regression/ML to identify ASD-associated risk profiles and high-risk subgroups. Cross-sectional survey prediction does not establish prospective or external validation; interpretable risk profiles are coded as partial rather than strict XAI.</t>
        </is>
      </c>
      <c r="V131" s="4" t="inlineStr">
        <is>
          <t>Revision asistida por IA (un revisor; requiere verificacion independiente)</t>
        </is>
      </c>
      <c r="W131" s="40" t="n">
        <v>46269</v>
      </c>
    </row>
    <row r="132" ht="73" customHeight="1">
      <c r="A132" s="4" t="n">
        <v>286</v>
      </c>
      <c r="B132" s="4" t="inlineStr">
        <is>
          <t>10.3233/SHTI260609</t>
        </is>
      </c>
      <c r="C132" s="4" t="inlineStr">
        <is>
          <t>Identification of Potential Biomarkers in ASD Integrating RNA Seq Data and Machine Learning Approaches</t>
        </is>
      </c>
      <c r="D132" s="4" t="inlineStr">
        <is>
          <t>Include</t>
        </is>
      </c>
      <c r="E132" s="4" t="n"/>
      <c r="F132" s="4" t="inlineStr">
        <is>
          <t>Biological/omics (RNA-seq gene expression)</t>
        </is>
      </c>
      <c r="G132" s="4" t="inlineStr">
        <is>
          <t>Machine Learning</t>
        </is>
      </c>
      <c r="H132" s="4" t="inlineStr">
        <is>
          <t>XGBoost + random forest</t>
        </is>
      </c>
      <c r="I132" s="4" t="inlineStr">
        <is>
          <t>ASD/TD classification and biomarker discovery</t>
        </is>
      </c>
      <c r="J132" s="4" t="inlineStr">
        <is>
          <t>Screening</t>
        </is>
      </c>
      <c r="K132" s="4" t="inlineStr">
        <is>
          <t>Research only</t>
        </is>
      </c>
      <c r="L132" s="4" t="inlineStr">
        <is>
          <t>Biomarker discovery for potential screening; no clinical workflow deployment evaluated</t>
        </is>
      </c>
      <c r="M132" s="4" t="n">
        <v>0</v>
      </c>
      <c r="N132" s="4" t="n">
        <v>0</v>
      </c>
      <c r="O132" s="4" t="n">
        <v>0</v>
      </c>
      <c r="P132" s="4" t="n">
        <v>0</v>
      </c>
      <c r="Q132" s="4" t="n">
        <v>0</v>
      </c>
      <c r="R132" s="4" t="n">
        <v>1</v>
      </c>
      <c r="S132" s="4" t="n">
        <v>0</v>
      </c>
      <c r="T132" s="4" t="inlineStr">
        <is>
          <t>https://pubmed.ncbi.nlm.nih.gov/42175278/</t>
        </is>
      </c>
      <c r="U132" s="4" t="inlineStr">
        <is>
          <t>Uses RNA-seq gene-expression data from NCBI GEO, compares RF and XGBoost with fivefold CV, and ranks a compact set of candidate transcriptomic biomarkers. Small dataset and internal CV only; ranked biomarkers are treated as partial interpretability, not strict XAI or external validation.</t>
        </is>
      </c>
      <c r="V132" s="4" t="inlineStr">
        <is>
          <t>Revision asistida por IA (un revisor; requiere verificacion independiente)</t>
        </is>
      </c>
      <c r="W132" s="40" t="n">
        <v>46269</v>
      </c>
    </row>
    <row r="133" ht="73" customHeight="1">
      <c r="A133" s="4" t="n">
        <v>287</v>
      </c>
      <c r="B133" s="4" t="inlineStr">
        <is>
          <t>10.1002/AUR.70222</t>
        </is>
      </c>
      <c r="C133" s="4" t="inlineStr">
        <is>
          <t>REM Sleep Abnormalities in Children With Autism Spectrum Disorder</t>
        </is>
      </c>
      <c r="D133" s="4" t="inlineStr">
        <is>
          <t>Include</t>
        </is>
      </c>
      <c r="E133" s="4" t="n"/>
      <c r="F133" s="4" t="inlineStr">
        <is>
          <t>Physiological signals (polysomnography / REM-sleep features)</t>
        </is>
      </c>
      <c r="G133" s="4" t="inlineStr">
        <is>
          <t>Machine Learning</t>
        </is>
      </c>
      <c r="H133" s="4" t="inlineStr">
        <is>
          <t>XGBoost + SHAP</t>
        </is>
      </c>
      <c r="I133" s="4" t="inlineStr">
        <is>
          <t>ASD classification / predictive sleep-marker analysis</t>
        </is>
      </c>
      <c r="J133" s="4" t="inlineStr">
        <is>
          <t>Diagnosis</t>
        </is>
      </c>
      <c r="K133" s="4" t="inlineStr">
        <is>
          <t>Research only</t>
        </is>
      </c>
      <c r="L133" s="4" t="inlineStr">
        <is>
          <t>Retrospective physiological-marker research; no deployed diagnostic workflow evaluated</t>
        </is>
      </c>
      <c r="M133" s="4" t="n">
        <v>0</v>
      </c>
      <c r="N133" s="4" t="n">
        <v>0</v>
      </c>
      <c r="O133" s="4" t="n">
        <v>0</v>
      </c>
      <c r="P133" s="4" t="n">
        <v>0</v>
      </c>
      <c r="Q133" s="4" t="n">
        <v>1</v>
      </c>
      <c r="R133" s="4" t="n">
        <v>0</v>
      </c>
      <c r="S133" s="4" t="n">
        <v>0</v>
      </c>
      <c r="T133" s="4" t="inlineStr">
        <is>
          <t>https://onlinelibrary.wiley.com/doi/full/10.1002/aur.70222</t>
        </is>
      </c>
      <c r="U133" s="4" t="inlineStr">
        <is>
          <t>Matched ASD and non-ASD participants from the NCH Sleep Databank, compared ML models on REM-sleep features, and used SHAP to identify discriminative predictors. Single databank analysis without independent external or prospective validation; SHAP supports strict XAI coding.</t>
        </is>
      </c>
      <c r="V133" s="4" t="inlineStr">
        <is>
          <t>Revision asistida por IA (un revisor; requiere verificacion independiente)</t>
        </is>
      </c>
      <c r="W133" s="40" t="n">
        <v>46269</v>
      </c>
    </row>
    <row r="134" ht="125" customHeight="1">
      <c r="A134" s="4" t="n">
        <v>289</v>
      </c>
      <c r="B134" s="4" t="inlineStr">
        <is>
          <t>10.1016/j.asoc.2026.114655</t>
        </is>
      </c>
      <c r="C134" s="4" t="inlineStr">
        <is>
          <t>Diagnosis of autism disorder from rs-fMRI brain images through hierarchical YOLO and mechanism of attention (HYMA)</t>
        </is>
      </c>
      <c r="D134" s="4" t="inlineStr">
        <is>
          <t>Include</t>
        </is>
      </c>
      <c r="E134" s="4" t="n"/>
      <c r="F134" s="4" t="inlineStr">
        <is>
          <t>Neuroimaging (rs-fMRI; ABIDE I/II)</t>
        </is>
      </c>
      <c r="G134" s="4" t="inlineStr">
        <is>
          <t>Hybrid</t>
        </is>
      </c>
      <c r="H134" s="4" t="inlineStr">
        <is>
          <t>HYMA: hierarchical YOLO + BAM attention + Mixture-of-Experts + ensemble decision fusion</t>
        </is>
      </c>
      <c r="I134" s="4" t="inlineStr">
        <is>
          <t>ASD diagnosis / classification</t>
        </is>
      </c>
      <c r="J134" s="4" t="inlineStr">
        <is>
          <t>Diagnosis</t>
        </is>
      </c>
      <c r="K134" s="4" t="inlineStr">
        <is>
          <t>Research only</t>
        </is>
      </c>
      <c r="L134" s="4" t="inlineStr">
        <is>
          <t>Retrospective neuroimaging diagnostic research; no clinical workflow deployment evaluated</t>
        </is>
      </c>
      <c r="M134" s="4" t="n">
        <v>0</v>
      </c>
      <c r="N134" s="4" t="n">
        <v>1</v>
      </c>
      <c r="O134" s="4" t="n">
        <v>1</v>
      </c>
      <c r="P134" s="4" t="n">
        <v>0</v>
      </c>
      <c r="Q134" s="4" t="n">
        <v>1</v>
      </c>
      <c r="R134" s="4" t="n">
        <v>0</v>
      </c>
      <c r="S134" s="4" t="n">
        <v>0</v>
      </c>
      <c r="T134" s="4" t="inlineStr">
        <is>
          <t>https://www.sciencedirect.com/science/article/pii/S1568494626001031</t>
        </is>
      </c>
      <c r="U134" s="4" t="inlineStr">
        <is>
          <t>HYMA combines axis-specific YOLO experts, attention and expert fusion; the publisher explicitly reports subject-wise and cross-site evaluations on ABIDE I/II and interprets attention maps over clinically relevant brain regions. The 99.3% accuracy is unusually high for ABIDE and merits independent replication. Cross-site robustness is counted because the paper explicitly reports cross-site evaluation, but external validation is kept at 0 because the exact independent train/external-test relationship is not unambiguously established.</t>
        </is>
      </c>
      <c r="V134" s="4" t="inlineStr">
        <is>
          <t>Revision asistida por IA (un revisor; requiere verificacion independiente)</t>
        </is>
      </c>
      <c r="W134" s="40" t="n">
        <v>46269</v>
      </c>
    </row>
    <row r="135" ht="73" customHeight="1">
      <c r="A135" s="4" t="n">
        <v>295</v>
      </c>
      <c r="B135" s="4" t="inlineStr">
        <is>
          <t>10.1155/ACIS/1906938</t>
        </is>
      </c>
      <c r="C135" s="4" t="inlineStr">
        <is>
          <t>Comparing Machine Learning Models for Pupillary Light Reflex–Based Autism Spectrum Disorder Classification</t>
        </is>
      </c>
      <c r="D135" s="4" t="inlineStr">
        <is>
          <t>Include</t>
        </is>
      </c>
      <c r="E135" s="4" t="n"/>
      <c r="F135" s="4" t="inlineStr">
        <is>
          <t>Pupillary light reflex / eye-tracking physiological data</t>
        </is>
      </c>
      <c r="G135" s="4" t="inlineStr">
        <is>
          <t>Deep Learning</t>
        </is>
      </c>
      <c r="H135" s="4" t="inlineStr">
        <is>
          <t>Deep neural network (best) vs NB/LR/DT/LDA</t>
        </is>
      </c>
      <c r="I135" s="4" t="inlineStr">
        <is>
          <t>Automated ASD screening from pupillary light reflex</t>
        </is>
      </c>
      <c r="J135" s="4" t="inlineStr">
        <is>
          <t>Screening</t>
        </is>
      </c>
      <c r="K135" s="4" t="inlineStr">
        <is>
          <t>Proposed only</t>
        </is>
      </c>
      <c r="L135" s="4" t="inlineStr">
        <is>
          <t>Proposed physiological screening classifier; no deployed clinical workflow evaluated</t>
        </is>
      </c>
      <c r="M135" s="4" t="n">
        <v>0</v>
      </c>
      <c r="N135" s="4" t="n">
        <v>0</v>
      </c>
      <c r="O135" s="4" t="n">
        <v>0</v>
      </c>
      <c r="P135" s="4" t="n">
        <v>0</v>
      </c>
      <c r="Q135" s="4" t="n">
        <v>0</v>
      </c>
      <c r="R135" s="4" t="n">
        <v>0</v>
      </c>
      <c r="S135" s="4" t="n">
        <v>0</v>
      </c>
      <c r="T135" s="4" t="inlineStr">
        <is>
          <t>https://onlinelibrary.wiley.com/doi/10.1155/acis/1906938</t>
        </is>
      </c>
      <c r="U135" s="4" t="inlineStr">
        <is>
          <t>Compares conventional classifiers and a DNN on pupillary-light-reflex features from ASD and typically developing children; the DNN gives the strongest test performance. Small sample and no independent external/prospective validation or explicit explainability analysis.</t>
        </is>
      </c>
      <c r="V135" s="4" t="inlineStr">
        <is>
          <t>Revision asistida por IA (un revisor; requiere verificacion independiente)</t>
        </is>
      </c>
      <c r="W135" s="40" t="n">
        <v>46269</v>
      </c>
    </row>
    <row r="136" ht="73" customHeight="1">
      <c r="A136" s="4" t="n">
        <v>296</v>
      </c>
      <c r="B136" s="4" t="inlineStr">
        <is>
          <t>10.1016/j.bspc.2026.109655</t>
        </is>
      </c>
      <c r="C136" s="4" t="inlineStr">
        <is>
          <t>Deep learning for diagnosing autism spectrum disorder using EEG with upright and inverted face processing tasks</t>
        </is>
      </c>
      <c r="D136" s="4" t="inlineStr">
        <is>
          <t>Include</t>
        </is>
      </c>
      <c r="E136" s="4" t="n"/>
      <c r="F136" s="4" t="inlineStr">
        <is>
          <t>Physiological signals (task-based EEG during face processing)</t>
        </is>
      </c>
      <c r="G136" s="4" t="inlineStr">
        <is>
          <t>Deep Learning</t>
        </is>
      </c>
      <c r="H136" s="4" t="inlineStr">
        <is>
          <t>Lightweight 1D-CNN variants (including InceptionNet/ResNet-style models)</t>
        </is>
      </c>
      <c r="I136" s="4" t="inlineStr">
        <is>
          <t>ASD classification / diagnosis</t>
        </is>
      </c>
      <c r="J136" s="4" t="inlineStr">
        <is>
          <t>Diagnosis</t>
        </is>
      </c>
      <c r="K136" s="4" t="inlineStr">
        <is>
          <t>Research only</t>
        </is>
      </c>
      <c r="L136" s="4" t="inlineStr">
        <is>
          <t>Experimental EEG diagnostic research; no deployed clinical workflow evaluated</t>
        </is>
      </c>
      <c r="M136" s="4" t="n">
        <v>0</v>
      </c>
      <c r="N136" s="4" t="n">
        <v>0</v>
      </c>
      <c r="O136" s="4" t="n">
        <v>0</v>
      </c>
      <c r="P136" s="4" t="n">
        <v>0</v>
      </c>
      <c r="Q136" s="4" t="n">
        <v>0</v>
      </c>
      <c r="R136" s="4" t="n">
        <v>0</v>
      </c>
      <c r="S136" s="4" t="n">
        <v>0</v>
      </c>
      <c r="T136" s="4" t="inlineStr">
        <is>
          <t>https://www.sciencedirect.com/science/article/abs/pii/S1746809426002090</t>
        </is>
      </c>
      <c r="U136" s="4" t="inlineStr">
        <is>
          <t>Uses raw EEG recorded from ASD and TD children during upright/inverted face-processing tasks and evaluates lightweight one-dimensional CNN architectures for classification. Accessible material does not establish prospective enrollment, independent external validation, site-held-out robustness or formal XAI.</t>
        </is>
      </c>
      <c r="V136" s="4" t="inlineStr">
        <is>
          <t>Revision asistida por IA (un revisor; requiere verificacion independiente)</t>
        </is>
      </c>
      <c r="W136" s="40" t="n">
        <v>46269</v>
      </c>
    </row>
    <row r="137" ht="99" customHeight="1">
      <c r="A137" s="4" t="n">
        <v>298</v>
      </c>
      <c r="B137" s="4" t="inlineStr">
        <is>
          <t>10.1016/j.ridd.2026.105249</t>
        </is>
      </c>
      <c r="C137" s="4" t="inlineStr">
        <is>
          <t>Effects of conversational AI-enhanced peer-mediated intervention by peers with intellectual disabilities on conversational skills in children with ASD</t>
        </is>
      </c>
      <c r="D137" s="4" t="inlineStr">
        <is>
          <t>Include</t>
        </is>
      </c>
      <c r="E137" s="4" t="n"/>
      <c r="F137" s="4" t="inlineStr">
        <is>
          <t>Conversational interaction / language-performance data</t>
        </is>
      </c>
      <c r="G137" s="4" t="inlineStr">
        <is>
          <t>Not specified</t>
        </is>
      </c>
      <c r="H137" s="4" t="inlineStr">
        <is>
          <t>Conversational AI virtual peer (underlying model not specified in accessible text)</t>
        </is>
      </c>
      <c r="I137" s="4" t="inlineStr">
        <is>
          <t>Conversational-skill intervention support</t>
        </is>
      </c>
      <c r="J137" s="4" t="inlineStr">
        <is>
          <t>Monitoring/intervention</t>
        </is>
      </c>
      <c r="K137" s="4" t="inlineStr">
        <is>
          <t>Confirmed in intervention</t>
        </is>
      </c>
      <c r="L137" s="4" t="inlineStr">
        <is>
          <t>Conversational AI embedded in peer-mediated intervention and experimentally compared with PMI-ID-only</t>
        </is>
      </c>
      <c r="M137" s="4" t="n">
        <v>0</v>
      </c>
      <c r="N137" s="4" t="n">
        <v>0</v>
      </c>
      <c r="O137" s="4" t="n">
        <v>0</v>
      </c>
      <c r="P137" s="4" t="n">
        <v>1</v>
      </c>
      <c r="Q137" s="4" t="n">
        <v>0</v>
      </c>
      <c r="R137" s="4" t="n">
        <v>0</v>
      </c>
      <c r="S137" s="4" t="n">
        <v>0</v>
      </c>
      <c r="T137" s="4" t="inlineStr">
        <is>
          <t>https://pubmed.ncbi.nlm.nih.gov/41671742/</t>
        </is>
      </c>
      <c r="U137" s="4" t="inlineStr">
        <is>
          <t>A multiple-probe/alternating-treatment intervention compares conversational-AI-enhanced peer mediation with peer-mediated instruction alone and reports gains in initiations, responses, lexical diversity and generalization. The underlying conversational model is not technically specified in the accessible material; the small single-case design limits generalizability despite real intervention deployment.</t>
        </is>
      </c>
      <c r="V137" s="4" t="inlineStr">
        <is>
          <t>Revision asistida por IA (un revisor; requiere verificacion independiente)</t>
        </is>
      </c>
      <c r="W137" s="40" t="n">
        <v>46269</v>
      </c>
    </row>
    <row r="138" ht="99" customHeight="1">
      <c r="A138" s="4" t="n">
        <v>299</v>
      </c>
      <c r="B138" s="4" t="inlineStr">
        <is>
          <t>10.1016/j.bpsc.2025.12.013</t>
        </is>
      </c>
      <c r="C138" s="4" t="inlineStr">
        <is>
          <t>Decoding the Neural Basis of Sensory Phenotypes in Autism</t>
        </is>
      </c>
      <c r="D138" s="4" t="inlineStr">
        <is>
          <t>Include</t>
        </is>
      </c>
      <c r="E138" s="4" t="n"/>
      <c r="F138" s="4" t="inlineStr">
        <is>
          <t>Neuroimaging (rs-fMRI functional connectivity) with Short Sensory Profile phenotype labels</t>
        </is>
      </c>
      <c r="G138" s="4" t="inlineStr">
        <is>
          <t>Machine Learning</t>
        </is>
      </c>
      <c r="H138" s="4" t="inlineStr">
        <is>
          <t>k-means sensory-phenotype clustering + linear SVC on graph-theoretical fMRI features</t>
        </is>
      </c>
      <c r="I138" s="4" t="inlineStr">
        <is>
          <t>Within-ASD sensory-phenotype subtyping / classification</t>
        </is>
      </c>
      <c r="J138" s="4" t="inlineStr">
        <is>
          <t>Not specified</t>
        </is>
      </c>
      <c r="K138" s="4" t="inlineStr">
        <is>
          <t>Research only</t>
        </is>
      </c>
      <c r="L138" s="4" t="inlineStr">
        <is>
          <t>Within-ASD sensory-phenotype characterization; no unique ASD clinical-stage workflow evaluated</t>
        </is>
      </c>
      <c r="M138" s="4" t="n">
        <v>0</v>
      </c>
      <c r="N138" s="4" t="n">
        <v>1</v>
      </c>
      <c r="O138" s="4" t="n">
        <v>0</v>
      </c>
      <c r="P138" s="4" t="n">
        <v>0</v>
      </c>
      <c r="Q138" s="4" t="n">
        <v>0</v>
      </c>
      <c r="R138" s="4" t="n">
        <v>1</v>
      </c>
      <c r="S138" s="4" t="n">
        <v>0</v>
      </c>
      <c r="T138" s="4" t="inlineStr">
        <is>
          <t>https://www.biologicalpsychiatryjournal.com/article/S2451-9022%2826%2900002-9/fulltext</t>
        </is>
      </c>
      <c r="U138" s="4" t="inlineStr">
        <is>
          <t>Uses POND Network data to derive sensory phenotypes from Short Sensory Profile scores and classify phenotype pairs using graph-theoretical rs-fMRI features and linear SVC. POND is multisite, but no site-held-out generalization analysis is reported. SSP is used to define labels rather than fused as a second model-input modality, so multisource integration is not counted.</t>
        </is>
      </c>
      <c r="V138" s="4" t="inlineStr">
        <is>
          <t>Revision asistida por IA (un revisor; requiere verificacion independiente)</t>
        </is>
      </c>
      <c r="W138" s="40" t="n">
        <v>46269</v>
      </c>
    </row>
    <row r="139" ht="86" customHeight="1">
      <c r="A139" s="4" t="n">
        <v>306</v>
      </c>
      <c r="B139" s="4" t="inlineStr">
        <is>
          <t>10.1016/j.array.2026.100753</t>
        </is>
      </c>
      <c r="C139" s="4" t="inlineStr">
        <is>
          <t>Hybrid ensemble learning for Autism Spectrum Disorder screening using eye-tracking scanpath</t>
        </is>
      </c>
      <c r="D139" s="4" t="inlineStr">
        <is>
          <t>Include</t>
        </is>
      </c>
      <c r="E139" s="4" t="n"/>
      <c r="F139" s="4" t="inlineStr">
        <is>
          <t>Eye-tracking scanpaths</t>
        </is>
      </c>
      <c r="G139" s="4" t="inlineStr">
        <is>
          <t>Machine Learning</t>
        </is>
      </c>
      <c r="H139" s="4" t="inlineStr">
        <is>
          <t>Stacking ensemble (DT/RF/KNN/AdaBoost/gradient boosting)</t>
        </is>
      </c>
      <c r="I139" s="4" t="inlineStr">
        <is>
          <t>ASD screening classification</t>
        </is>
      </c>
      <c r="J139" s="4" t="inlineStr">
        <is>
          <t>Screening</t>
        </is>
      </c>
      <c r="K139" s="4" t="inlineStr">
        <is>
          <t>Proposed only</t>
        </is>
      </c>
      <c r="L139" s="4" t="inlineStr">
        <is>
          <t>Proposed eye-tracking screening classifier; no deployed workflow evaluated</t>
        </is>
      </c>
      <c r="M139" s="4" t="n">
        <v>0</v>
      </c>
      <c r="N139" s="4" t="n">
        <v>0</v>
      </c>
      <c r="O139" s="4" t="n">
        <v>0</v>
      </c>
      <c r="P139" s="4" t="n">
        <v>0</v>
      </c>
      <c r="Q139" s="4" t="n">
        <v>0</v>
      </c>
      <c r="R139" s="4" t="n">
        <v>1</v>
      </c>
      <c r="S139" s="4" t="n">
        <v>0</v>
      </c>
      <c r="T139" s="4" t="inlineStr">
        <is>
          <t>https://www.sciencedirect.com/science/article/pii/S2590005626000767</t>
        </is>
      </c>
      <c r="U139" s="4" t="inlineStr">
        <is>
          <t>Benchmarks bagging, boosting and stacking on eye-tracking scanpaths; stacking reaches about 0.96 accuracy and the article explicitly argues that raw scanpath representation improves interpretability. Very small benchmark sample and internal fivefold CV; the interpretability claim lacks a formal attribution method and is therefore coded only as partial XAI.</t>
        </is>
      </c>
      <c r="V139" s="4" t="inlineStr">
        <is>
          <t>Revision asistida por IA (un revisor; requiere verificacion independiente)</t>
        </is>
      </c>
      <c r="W139" s="40" t="n">
        <v>46269</v>
      </c>
    </row>
    <row r="140" ht="99" customHeight="1">
      <c r="A140" s="4" t="n">
        <v>316</v>
      </c>
      <c r="B140" s="4" t="inlineStr">
        <is>
          <t>10.3791/68949</t>
        </is>
      </c>
      <c r="C140" s="4" t="inlineStr">
        <is>
          <t>Identifying Immune-related Molecular Biomarkers in Autism Spectrum Disorder Using Data-independent Acquisition Proteomics and Machine Learning.</t>
        </is>
      </c>
      <c r="D140" s="4" t="inlineStr">
        <is>
          <t>Include</t>
        </is>
      </c>
      <c r="E140" s="4" t="n"/>
      <c r="F140" s="4" t="inlineStr">
        <is>
          <t>Biological/omics (serum DIA proteomics)</t>
        </is>
      </c>
      <c r="G140" s="4" t="inlineStr">
        <is>
          <t>Machine Learning</t>
        </is>
      </c>
      <c r="H140" s="4" t="inlineStr">
        <is>
          <t>Logistic regression on an 8-protein biomarker panel</t>
        </is>
      </c>
      <c r="I140" s="4" t="inlineStr">
        <is>
          <t>ASD biomarker discovery / diagnostic classification</t>
        </is>
      </c>
      <c r="J140" s="4" t="inlineStr">
        <is>
          <t>Diagnosis</t>
        </is>
      </c>
      <c r="K140" s="4" t="inlineStr">
        <is>
          <t>Research only</t>
        </is>
      </c>
      <c r="L140" s="4" t="inlineStr">
        <is>
          <t>Biomarker research for diagnostic support; no deployed workflow evaluated</t>
        </is>
      </c>
      <c r="M140" s="4" t="n">
        <v>0</v>
      </c>
      <c r="N140" s="4" t="n">
        <v>0</v>
      </c>
      <c r="O140" s="4" t="n">
        <v>0</v>
      </c>
      <c r="P140" s="4" t="n">
        <v>0</v>
      </c>
      <c r="Q140" s="4" t="n">
        <v>0</v>
      </c>
      <c r="R140" s="4" t="n">
        <v>1</v>
      </c>
      <c r="S140" s="4" t="n">
        <v>0</v>
      </c>
      <c r="T140" s="4" t="inlineStr">
        <is>
          <t>https://www.jove.com/t/68949/identifying-immune-related-molecular-biomarkers-autism-spectrum</t>
        </is>
      </c>
      <c r="U140" s="4" t="inlineStr">
        <is>
          <t>Serum proteomics in ASD and age-matched controls yielded an immune-related protein panel modeled with logistic regression; the biomarker panel is also checked using an orthogonal ELISA assay. Accessible material does not establish that ELISA validation used an independent cohort, so external validation is not counted. The compact biomarker panel supports partial interpretability.</t>
        </is>
      </c>
      <c r="V140" s="4" t="inlineStr">
        <is>
          <t>Revision asistida por IA (un revisor; requiere verificacion independiente)</t>
        </is>
      </c>
      <c r="W140" s="40" t="n">
        <v>46269</v>
      </c>
    </row>
    <row r="141" ht="86" customHeight="1">
      <c r="A141" s="4" t="n">
        <v>319</v>
      </c>
      <c r="B141" s="4" t="inlineStr">
        <is>
          <t>10.1177/02841851251333974</t>
        </is>
      </c>
      <c r="C141" s="4" t="inlineStr">
        <is>
          <t>Enhanced detection of autism spectrum disorder through neuroimaging data using stack classifier ensembled with modified VGG-19</t>
        </is>
      </c>
      <c r="D141" s="4" t="inlineStr">
        <is>
          <t>Include</t>
        </is>
      </c>
      <c r="E141" s="4" t="n"/>
      <c r="F141" s="4" t="inlineStr">
        <is>
          <t>Multimodal neuroimaging (structural + functional MRI; ABIDE I/II)</t>
        </is>
      </c>
      <c r="G141" s="4" t="inlineStr">
        <is>
          <t>Hybrid</t>
        </is>
      </c>
      <c r="H141" s="4" t="inlineStr">
        <is>
          <t>Stacking classifier ensemble with modified VGG-19 features</t>
        </is>
      </c>
      <c r="I141" s="4" t="inlineStr">
        <is>
          <t>ASD classification / detection</t>
        </is>
      </c>
      <c r="J141" s="4" t="inlineStr">
        <is>
          <t>Diagnosis</t>
        </is>
      </c>
      <c r="K141" s="4" t="inlineStr">
        <is>
          <t>Research only</t>
        </is>
      </c>
      <c r="L141" s="4" t="inlineStr">
        <is>
          <t>Retrospective multimodal neuroimaging classification; no clinical workflow deployment evaluated</t>
        </is>
      </c>
      <c r="M141" s="4" t="n">
        <v>0</v>
      </c>
      <c r="N141" s="4" t="n">
        <v>1</v>
      </c>
      <c r="O141" s="4" t="n">
        <v>0</v>
      </c>
      <c r="P141" s="4" t="n">
        <v>0</v>
      </c>
      <c r="Q141" s="4" t="n">
        <v>0</v>
      </c>
      <c r="R141" s="4" t="n">
        <v>0</v>
      </c>
      <c r="S141" s="4" t="n">
        <v>1</v>
      </c>
      <c r="T141" s="4" t="inlineStr">
        <is>
          <t>https://pubmed.ncbi.nlm.nih.gov/40232228/</t>
        </is>
      </c>
      <c r="U141" s="4" t="inlineStr">
        <is>
          <t>Combines structural and functional MRI from ABIDE I and II with conventional classifiers, stacking and modified VGG-19 features; performance is reported separately for both datasets. ABIDE is multisite and the model is multimodal, but the accessible description does not establish site-held-out robustness or a strict independent external-validation design.</t>
        </is>
      </c>
      <c r="V141" s="4" t="inlineStr">
        <is>
          <t>Revision asistida por IA (un revisor; requiere verificacion independiente)</t>
        </is>
      </c>
      <c r="W141" s="40" t="n">
        <v>46269</v>
      </c>
    </row>
    <row r="142" ht="99" customHeight="1">
      <c r="A142" s="4" t="n">
        <v>323</v>
      </c>
      <c r="B142" s="4" t="inlineStr">
        <is>
          <t>10.1002/dneu.70011</t>
        </is>
      </c>
      <c r="C142" s="4" t="inlineStr">
        <is>
          <t>Energy-Efficient EEG-Based Autism Spectrum Disorder Detection Using a Hyperbolic Attention Neural Network</t>
        </is>
      </c>
      <c r="D142" s="4" t="inlineStr">
        <is>
          <t>Include</t>
        </is>
      </c>
      <c r="E142" s="4" t="n"/>
      <c r="F142" s="4" t="inlineStr">
        <is>
          <t>Physiological signals (EEG)</t>
        </is>
      </c>
      <c r="G142" s="4" t="inlineStr">
        <is>
          <t>Deep Learning</t>
        </is>
      </c>
      <c r="H142" s="4" t="inlineStr">
        <is>
          <t>HyperCrossNet + Parrot Optimization + Pied Kingfisher Optimization</t>
        </is>
      </c>
      <c r="I142" s="4" t="inlineStr">
        <is>
          <t>ASD detection/classification from EEG with energy-efficient wearable processing</t>
        </is>
      </c>
      <c r="J142" s="4" t="inlineStr">
        <is>
          <t>Diagnosis</t>
        </is>
      </c>
      <c r="K142" s="4" t="inlineStr">
        <is>
          <t>Proposed only</t>
        </is>
      </c>
      <c r="L142" s="4" t="inlineStr">
        <is>
          <t>Proposed wearable/on-node EEG diagnostic classifier; no clinical workflow deployment evaluated</t>
        </is>
      </c>
      <c r="M142" s="4" t="n">
        <v>0</v>
      </c>
      <c r="N142" s="4" t="n">
        <v>0</v>
      </c>
      <c r="O142" s="4" t="n">
        <v>0</v>
      </c>
      <c r="P142" s="4" t="n">
        <v>0</v>
      </c>
      <c r="Q142" s="4" t="n">
        <v>0</v>
      </c>
      <c r="R142" s="4" t="n">
        <v>0</v>
      </c>
      <c r="S142" s="4" t="n">
        <v>0</v>
      </c>
      <c r="T142" s="4" t="inlineStr">
        <is>
          <t>https://onlinelibrary.wiley.com/doi/10.1002/dneu.70011</t>
        </is>
      </c>
      <c r="U142" s="4" t="inlineStr">
        <is>
          <t>EEG is denoised and transformed with DT-DWT, features are selected with Parrot Optimization, and HyperCrossNet with Pied Kingfisher Optimization is used for ASD classification; the abstract reports 99.92% accuracy. Public benchmark evaluation with extremely high performance; no independent external cohort, site-held-out analysis, prospective evaluation, or formal XAI was established in the accessible evidence.</t>
        </is>
      </c>
      <c r="V142" s="4" t="inlineStr">
        <is>
          <t>Revision asistida por IA (un revisor; requiere verificacion independiente)</t>
        </is>
      </c>
      <c r="W142" s="40" t="n">
        <v>46269</v>
      </c>
    </row>
    <row r="143" ht="86" customHeight="1">
      <c r="A143" s="4" t="n">
        <v>326</v>
      </c>
      <c r="B143" s="4" t="inlineStr">
        <is>
          <t>10.1002/jbio.202500138</t>
        </is>
      </c>
      <c r="C143" s="4" t="inlineStr">
        <is>
          <t>Classification of Autism Spectrum Disorder Using Edge-Weight Enhanced Graph Attention Network With Multiple Features of Resting-State fNIRS Signals</t>
        </is>
      </c>
      <c r="D143" s="4" t="inlineStr">
        <is>
          <t>Include</t>
        </is>
      </c>
      <c r="E143" s="4" t="n"/>
      <c r="F143" s="4" t="inlineStr">
        <is>
          <t>Physiological signals (resting-state fNIRS)</t>
        </is>
      </c>
      <c r="G143" s="4" t="inlineStr">
        <is>
          <t>Deep Learning</t>
        </is>
      </c>
      <c r="H143" s="4" t="inlineStr">
        <is>
          <t>Edge-Weight Enhanced Graph Attention Network (EWE-GAT)</t>
        </is>
      </c>
      <c r="I143" s="4" t="inlineStr">
        <is>
          <t>ASD identification/classification from resting-state fNIRS</t>
        </is>
      </c>
      <c r="J143" s="4" t="inlineStr">
        <is>
          <t>Diagnosis</t>
        </is>
      </c>
      <c r="K143" s="4" t="inlineStr">
        <is>
          <t>Research only</t>
        </is>
      </c>
      <c r="L143" s="4" t="inlineStr">
        <is>
          <t>Experimental fNIRS diagnostic classifier</t>
        </is>
      </c>
      <c r="M143" s="4" t="n">
        <v>0</v>
      </c>
      <c r="N143" s="4" t="n">
        <v>0</v>
      </c>
      <c r="O143" s="4" t="n">
        <v>0</v>
      </c>
      <c r="P143" s="4" t="n">
        <v>0</v>
      </c>
      <c r="Q143" s="4" t="n">
        <v>0</v>
      </c>
      <c r="R143" s="4" t="n">
        <v>0</v>
      </c>
      <c r="S143" s="4" t="n">
        <v>0</v>
      </c>
      <c r="T143" s="4" t="inlineStr">
        <is>
          <t>https://onlinelibrary.wiley.com/doi/10.1002/jbio.202500138</t>
        </is>
      </c>
      <c r="U143" s="4" t="inlineStr">
        <is>
          <t>Resting-state fNIRS from 22 TD and 25 ASD children was represented with HbO/Hb node and edge features and classified using EWE-GAT; reported accuracy was 97.92%. Very small single cohort; no independent external validation, prospective workflow evaluation, or explicit site-robustness analysis was established.</t>
        </is>
      </c>
      <c r="V143" s="4" t="inlineStr">
        <is>
          <t>Revision asistida por IA (un revisor; requiere verificacion independiente)</t>
        </is>
      </c>
      <c r="W143" s="40" t="n">
        <v>46269</v>
      </c>
    </row>
    <row r="144" ht="112" customHeight="1">
      <c r="A144" s="4" t="n">
        <v>334</v>
      </c>
      <c r="B144" s="4" t="inlineStr">
        <is>
          <t>10.3174/ajnr.A8939</t>
        </is>
      </c>
      <c r="C144" s="4" t="inlineStr">
        <is>
          <t>Constructing a Predictive Model for Children with Autism Spectrum Disorder Based on Whole-Brain MR Radiomics: A Machine Learning Study</t>
        </is>
      </c>
      <c r="D144" s="4" t="inlineStr">
        <is>
          <t>Include</t>
        </is>
      </c>
      <c r="E144" s="4" t="n"/>
      <c r="F144" s="4" t="inlineStr">
        <is>
          <t>Multimodal (structural MRI radiomics + clinical VIQ)</t>
        </is>
      </c>
      <c r="G144" s="4" t="inlineStr">
        <is>
          <t>Machine Learning</t>
        </is>
      </c>
      <c r="H144" s="4" t="inlineStr">
        <is>
          <t>Decision tree joint model with whole-brain radiomics signature and VIQ</t>
        </is>
      </c>
      <c r="I144" s="4" t="inlineStr">
        <is>
          <t>ASD prediction/classification</t>
        </is>
      </c>
      <c r="J144" s="4" t="inlineStr">
        <is>
          <t>Diagnosis</t>
        </is>
      </c>
      <c r="K144" s="4" t="inlineStr">
        <is>
          <t>Research only</t>
        </is>
      </c>
      <c r="L144" s="4" t="inlineStr">
        <is>
          <t>Retrospective diagnostic prediction model with external cohort validation</t>
        </is>
      </c>
      <c r="M144" s="4" t="n">
        <v>1</v>
      </c>
      <c r="N144" s="4" t="n">
        <v>1</v>
      </c>
      <c r="O144" s="4" t="n">
        <v>0</v>
      </c>
      <c r="P144" s="4" t="n">
        <v>0</v>
      </c>
      <c r="Q144" s="4" t="n">
        <v>0</v>
      </c>
      <c r="R144" s="4" t="n">
        <v>1</v>
      </c>
      <c r="S144" s="4" t="n">
        <v>1</v>
      </c>
      <c r="T144" s="4" t="inlineStr">
        <is>
          <t>https://pubmed.ncbi.nlm.nih.gov/40721282/</t>
        </is>
      </c>
      <c r="U144" s="4" t="inlineStr">
        <is>
          <t>Whole-brain structural-MRI radiomics and VIQ were modeled in 223 ABIDE participants, with an independent external set of 87 participants from Georgetown and Miami; the decision-tree joint model achieved AUCs 0.87/0.84/0.83 in training/test/external sets. External validation is present, but the accessible report does not describe an explicit leave-site-out robustness design. The radiomics signature and VIQ provide feature-level interpretability rather than a formal post-hoc XAI method.</t>
        </is>
      </c>
      <c r="V144" s="4" t="inlineStr">
        <is>
          <t>Revision asistida por IA (un revisor; requiere verificacion independiente)</t>
        </is>
      </c>
      <c r="W144" s="40" t="n">
        <v>46269</v>
      </c>
    </row>
    <row r="145" ht="86" customHeight="1">
      <c r="A145" s="4" t="n">
        <v>342</v>
      </c>
      <c r="B145" s="4" t="inlineStr">
        <is>
          <t>10.1016/j.heares.2026.109654</t>
        </is>
      </c>
      <c r="C145" s="4" t="inlineStr">
        <is>
          <t>Auditory brainstem response abnormalities in autism spectrum disorder: A deep learning approach to characterize time-frequency signatures</t>
        </is>
      </c>
      <c r="D145" s="4" t="inlineStr">
        <is>
          <t>Include</t>
        </is>
      </c>
      <c r="E145" s="4" t="n"/>
      <c r="F145" s="4" t="inlineStr">
        <is>
          <t>Physiological signals (auditory brainstem response, ABR)</t>
        </is>
      </c>
      <c r="G145" s="4" t="inlineStr">
        <is>
          <t>Hybrid</t>
        </is>
      </c>
      <c r="H145" s="4" t="inlineStr">
        <is>
          <t>TF-TBN: Transformer-enhanced 1D-CNN + Vision Transformer time-frequency fusion</t>
        </is>
      </c>
      <c r="I145" s="4" t="inlineStr">
        <is>
          <t>ASD classification and ABR signature characterization</t>
        </is>
      </c>
      <c r="J145" s="4" t="inlineStr">
        <is>
          <t>Screening</t>
        </is>
      </c>
      <c r="K145" s="4" t="inlineStr">
        <is>
          <t>Research only</t>
        </is>
      </c>
      <c r="L145" s="4" t="inlineStr">
        <is>
          <t>Experimental ABR early-screening classifier with model-interpretability analysis</t>
        </is>
      </c>
      <c r="M145" s="4" t="n">
        <v>0</v>
      </c>
      <c r="N145" s="4" t="n">
        <v>0</v>
      </c>
      <c r="O145" s="4" t="n">
        <v>0</v>
      </c>
      <c r="P145" s="4" t="n">
        <v>0</v>
      </c>
      <c r="Q145" s="4" t="n">
        <v>1</v>
      </c>
      <c r="R145" s="4" t="n">
        <v>0</v>
      </c>
      <c r="S145" s="4" t="n">
        <v>0</v>
      </c>
      <c r="T145" s="4" t="inlineStr">
        <is>
          <t>https://www.sciencedirect.com/science/article/pii/S0378595526001309</t>
        </is>
      </c>
      <c r="U145" s="4" t="inlineStr">
        <is>
          <t>A dual-branch TF-TBN combines raw ABR waveforms and CWT spectrograms from 1,209 recordings; reported accuracy was 96.62%, and interpretability analysis linked decisions to wave III/V and interpeak latency abnormalities. No independent external cohort, site-held-out evaluation, or prospective clinical deployment was identified in the accessible material.</t>
        </is>
      </c>
      <c r="V145" s="4" t="inlineStr">
        <is>
          <t>Revision asistida por IA (un revisor; requiere verificacion independiente)</t>
        </is>
      </c>
      <c r="W145" s="40" t="n">
        <v>46269</v>
      </c>
    </row>
    <row r="146" ht="99" customHeight="1">
      <c r="A146" s="4" t="n">
        <v>343</v>
      </c>
      <c r="B146" s="4" t="inlineStr">
        <is>
          <t>10.1016/j.aej.2026.04.002</t>
        </is>
      </c>
      <c r="C146" s="4" t="inlineStr">
        <is>
          <t>An explainable machine unlearning algorithm framework for early detection of autism spectrum disorder and brain disabilities in newborns</t>
        </is>
      </c>
      <c r="D146" s="4" t="inlineStr">
        <is>
          <t>Include</t>
        </is>
      </c>
      <c r="E146" s="4" t="n"/>
      <c r="F146" s="4" t="inlineStr">
        <is>
          <t>Multimodal (screening instruments + MRI + EEG benchmarks)</t>
        </is>
      </c>
      <c r="G146" s="4" t="inlineStr">
        <is>
          <t>Deep Learning</t>
        </is>
      </c>
      <c r="H146" s="4" t="inlineStr">
        <is>
          <t>MUXAI-ASDBD (CNN + machine unlearning + partitioning XAI)</t>
        </is>
      </c>
      <c r="I146" s="4" t="inlineStr">
        <is>
          <t>Early ASD/brain-disability detection</t>
        </is>
      </c>
      <c r="J146" s="4" t="inlineStr">
        <is>
          <t>Screening</t>
        </is>
      </c>
      <c r="K146" s="4" t="inlineStr">
        <is>
          <t>Proposed only</t>
        </is>
      </c>
      <c r="L146" s="4" t="inlineStr">
        <is>
          <t>Proposed early-screening framework evaluated on public benchmark datasets</t>
        </is>
      </c>
      <c r="M146" s="4" t="n">
        <v>0</v>
      </c>
      <c r="N146" s="4" t="n">
        <v>0</v>
      </c>
      <c r="O146" s="4" t="n">
        <v>0</v>
      </c>
      <c r="P146" s="4" t="n">
        <v>0</v>
      </c>
      <c r="Q146" s="4" t="n">
        <v>1</v>
      </c>
      <c r="R146" s="4" t="n">
        <v>0</v>
      </c>
      <c r="S146" s="4" t="n">
        <v>1</v>
      </c>
      <c r="T146" s="4" t="inlineStr">
        <is>
          <t>https://www.sciencedirect.com/science/article/pii/S1110016826002115</t>
        </is>
      </c>
      <c r="U146" s="4" t="inlineStr">
        <is>
          <t>MUXAI-ASDBD combines CNN-based modeling, partition-oriented explainability and machine unlearning across screening, MRI and EEG benchmark datasets; the paper reports strong classification performance. Benchmark-based evaluation across heterogeneous tasks/datasets does not establish prospective clinical deployment or an independent external/site-held-out validation protocol.</t>
        </is>
      </c>
      <c r="V146" s="4" t="inlineStr">
        <is>
          <t>Revision asistida por IA (un revisor; requiere verificacion independiente)</t>
        </is>
      </c>
      <c r="W146" s="40" t="n">
        <v>46269</v>
      </c>
    </row>
    <row r="147" ht="99" customHeight="1">
      <c r="A147" s="4" t="n">
        <v>347</v>
      </c>
      <c r="B147" s="4" t="inlineStr">
        <is>
          <t>10.1007/s11604-025-01832-3</t>
        </is>
      </c>
      <c r="C147" s="4" t="inlineStr">
        <is>
          <t>Vision transformer and complex network analysis for autism spectrum disorder classification in T1 structural MRI</t>
        </is>
      </c>
      <c r="D147" s="4" t="inlineStr">
        <is>
          <t>Include</t>
        </is>
      </c>
      <c r="E147" s="4" t="n"/>
      <c r="F147" s="4" t="inlineStr">
        <is>
          <t>Neuroimaging (T1 structural MRI; ABIDE)</t>
        </is>
      </c>
      <c r="G147" s="4" t="inlineStr">
        <is>
          <t>Hybrid</t>
        </is>
      </c>
      <c r="H147" s="4" t="inlineStr">
        <is>
          <t>Federated CNA(KNN)-ViT(NN)</t>
        </is>
      </c>
      <c r="I147" s="4" t="inlineStr">
        <is>
          <t>ASD classification from T1 structural MRI</t>
        </is>
      </c>
      <c r="J147" s="4" t="inlineStr">
        <is>
          <t>Diagnosis</t>
        </is>
      </c>
      <c r="K147" s="4" t="inlineStr">
        <is>
          <t>Research only</t>
        </is>
      </c>
      <c r="L147" s="4" t="inlineStr">
        <is>
          <t>Retrospective ABIDE structural-MRI diagnostic classifier</t>
        </is>
      </c>
      <c r="M147" s="4" t="n">
        <v>0</v>
      </c>
      <c r="N147" s="4" t="n">
        <v>1</v>
      </c>
      <c r="O147" s="4" t="n">
        <v>0</v>
      </c>
      <c r="P147" s="4" t="n">
        <v>0</v>
      </c>
      <c r="Q147" s="4" t="n">
        <v>0</v>
      </c>
      <c r="R147" s="4" t="n">
        <v>0</v>
      </c>
      <c r="S147" s="4" t="n">
        <v>0</v>
      </c>
      <c r="T147" s="4" t="inlineStr">
        <is>
          <t>https://pubmed.ncbi.nlm.nih.gov/40663220/</t>
        </is>
      </c>
      <c r="U147" s="4" t="inlineStr">
        <is>
          <t>T1 structural MRI from ABIDE was analyzed using complex-network analysis and Vision Transformer features across multiple federated combinations; the CNA(KNN)-ViT(NN) configuration reported accuracy 0.951 and AUC 0.98. ABIDE is multisite, but the reported evaluation is internal five-fold validation rather than an explicit site-held-out or independent external robustness test.</t>
        </is>
      </c>
      <c r="V147" s="4" t="inlineStr">
        <is>
          <t>Revision asistida por IA (un revisor; requiere verificacion independiente)</t>
        </is>
      </c>
      <c r="W147" s="40" t="n">
        <v>46269</v>
      </c>
    </row>
    <row r="148" ht="86" customHeight="1">
      <c r="A148" s="4" t="n">
        <v>349</v>
      </c>
      <c r="B148" s="4" t="inlineStr">
        <is>
          <t>10.1016/j.pscychresns.2026.112270</t>
        </is>
      </c>
      <c r="C148" s="4" t="inlineStr">
        <is>
          <t>Dominant cross-frequency analysis-based early diagnosis of Autism Spectrum Disorder in pediatrics using FRHIS and DSTCNN</t>
        </is>
      </c>
      <c r="D148" s="4" t="inlineStr">
        <is>
          <t>Include</t>
        </is>
      </c>
      <c r="E148" s="4" t="n"/>
      <c r="F148" s="4" t="inlineStr">
        <is>
          <t>Physiological signals (EEG)</t>
        </is>
      </c>
      <c r="G148" s="4" t="inlineStr">
        <is>
          <t>Hybrid</t>
        </is>
      </c>
      <c r="H148" s="4" t="inlineStr">
        <is>
          <t>FRHIS + CRBM feature selection + DSTCNN</t>
        </is>
      </c>
      <c r="I148" s="4" t="inlineStr">
        <is>
          <t>Early ASD diagnosis/classification from EEG</t>
        </is>
      </c>
      <c r="J148" s="4" t="inlineStr">
        <is>
          <t>Diagnosis</t>
        </is>
      </c>
      <c r="K148" s="4" t="inlineStr">
        <is>
          <t>Research only</t>
        </is>
      </c>
      <c r="L148" s="4" t="inlineStr">
        <is>
          <t>Experimental pediatric EEG diagnostic classifier</t>
        </is>
      </c>
      <c r="M148" s="4" t="n">
        <v>0</v>
      </c>
      <c r="N148" s="4" t="n">
        <v>0</v>
      </c>
      <c r="O148" s="4" t="n">
        <v>0</v>
      </c>
      <c r="P148" s="4" t="n">
        <v>0</v>
      </c>
      <c r="Q148" s="4" t="n">
        <v>0</v>
      </c>
      <c r="R148" s="4" t="n">
        <v>0</v>
      </c>
      <c r="S148" s="4" t="n">
        <v>0</v>
      </c>
      <c r="T148" s="4" t="inlineStr">
        <is>
          <t>https://www.sciencedirect.com/science/article/pii/S0925492726001356</t>
        </is>
      </c>
      <c r="U148" s="4" t="inlineStr">
        <is>
          <t>The study applies dominant cross-frequency EEG analysis, FRHIS/CRBM-based feature processing and a DSTCNN classifier for pediatric ASD; the abstract reports 99.03% accuracy. The very high reported performance is not accompanied by an independent external cohort, prospective evaluation, or explicit cross-site robustness analysis in the accessible source.</t>
        </is>
      </c>
      <c r="V148" s="4" t="inlineStr">
        <is>
          <t>Revision asistida por IA (un revisor; requiere verificacion independiente)</t>
        </is>
      </c>
      <c r="W148" s="40" t="n">
        <v>46269</v>
      </c>
    </row>
    <row r="149" ht="86" customHeight="1">
      <c r="A149" s="4" t="n">
        <v>354</v>
      </c>
      <c r="B149" s="4" t="inlineStr">
        <is>
          <t>10.1016/j.asoc.2026.115959</t>
        </is>
      </c>
      <c r="C149" s="4" t="inlineStr">
        <is>
          <t>Contrastive diffusion adaptation network with rs-fMRI for domain adaptation classification of autism spectrum disorder</t>
        </is>
      </c>
      <c r="D149" s="4" t="inlineStr">
        <is>
          <t>Include</t>
        </is>
      </c>
      <c r="E149" s="4" t="n"/>
      <c r="F149" s="4" t="inlineStr">
        <is>
          <t>Neuroimaging (rs-fMRI; ABIDE multisite)</t>
        </is>
      </c>
      <c r="G149" s="4" t="inlineStr">
        <is>
          <t>Hybrid</t>
        </is>
      </c>
      <c r="H149" s="4" t="inlineStr">
        <is>
          <t>CoNA-Net: Contrastive Variational Graph Transformer + GraphDDPMAugmentor + BrainNode-Attention GNN</t>
        </is>
      </c>
      <c r="I149" s="4" t="inlineStr">
        <is>
          <t>Cross-site ASD classification/domain adaptation</t>
        </is>
      </c>
      <c r="J149" s="4" t="inlineStr">
        <is>
          <t>Diagnosis</t>
        </is>
      </c>
      <c r="K149" s="4" t="inlineStr">
        <is>
          <t>Research only</t>
        </is>
      </c>
      <c r="L149" s="4" t="inlineStr">
        <is>
          <t>Retrospective cross-site rs-fMRI domain-adaptation classifier</t>
        </is>
      </c>
      <c r="M149" s="4" t="n">
        <v>0</v>
      </c>
      <c r="N149" s="4" t="n">
        <v>1</v>
      </c>
      <c r="O149" s="4" t="n">
        <v>1</v>
      </c>
      <c r="P149" s="4" t="n">
        <v>0</v>
      </c>
      <c r="Q149" s="4" t="n">
        <v>1</v>
      </c>
      <c r="R149" s="4" t="n">
        <v>0</v>
      </c>
      <c r="S149" s="4" t="n">
        <v>0</v>
      </c>
      <c r="T149" s="4" t="inlineStr">
        <is>
          <t>https://www.sciencedirect.com/science/article/pii/S1568494626014079</t>
        </is>
      </c>
      <c r="U149" s="4" t="inlineStr">
        <is>
          <t>CoNA-Net combines contrastive graph representation learning, diffusion-based augmentation and brain-node attention to address domain shift across ABIDE sites and to identify influential brain regions. Cross-site/domain-adaptation testing supports robustness but is not equivalent to an independent prospective external clinical validation cohort.</t>
        </is>
      </c>
      <c r="V149" s="4" t="inlineStr">
        <is>
          <t>Revision asistida por IA (un revisor; requiere verificacion independiente)</t>
        </is>
      </c>
      <c r="W149" s="40" t="n">
        <v>46269</v>
      </c>
    </row>
    <row r="150" ht="73" customHeight="1">
      <c r="A150" s="4" t="n">
        <v>355</v>
      </c>
      <c r="B150" s="4" t="inlineStr">
        <is>
          <t>10.1016/j.array.2026.100936</t>
        </is>
      </c>
      <c r="C150" s="4" t="inlineStr">
        <is>
          <t>Hybrid HOG–ResNet50V2 framework for early autism spectrum disorder detection from facial images</t>
        </is>
      </c>
      <c r="D150" s="4" t="inlineStr">
        <is>
          <t>Include</t>
        </is>
      </c>
      <c r="E150" s="4" t="n"/>
      <c r="F150" s="4" t="inlineStr">
        <is>
          <t>Facial images</t>
        </is>
      </c>
      <c r="G150" s="4" t="inlineStr">
        <is>
          <t>Hybrid</t>
        </is>
      </c>
      <c r="H150" s="4" t="inlineStr">
        <is>
          <t>HOG + ResNet50V2 transfer learning</t>
        </is>
      </c>
      <c r="I150" s="4" t="inlineStr">
        <is>
          <t>Facial-image ASD screening/classification</t>
        </is>
      </c>
      <c r="J150" s="4" t="inlineStr">
        <is>
          <t>Screening</t>
        </is>
      </c>
      <c r="K150" s="4" t="inlineStr">
        <is>
          <t>Proposed only</t>
        </is>
      </c>
      <c r="L150" s="4" t="inlineStr">
        <is>
          <t>Proposed facial-image screening classifier</t>
        </is>
      </c>
      <c r="M150" s="4" t="n">
        <v>0</v>
      </c>
      <c r="N150" s="4" t="n">
        <v>0</v>
      </c>
      <c r="O150" s="4" t="n">
        <v>0</v>
      </c>
      <c r="P150" s="4" t="n">
        <v>0</v>
      </c>
      <c r="Q150" s="4" t="n">
        <v>0</v>
      </c>
      <c r="R150" s="4" t="n">
        <v>0</v>
      </c>
      <c r="S150" s="4" t="n">
        <v>0</v>
      </c>
      <c r="T150" s="4" t="inlineStr">
        <is>
          <t>https://www.sciencedirect.com/science/article/pii/S2590005626002596</t>
        </is>
      </c>
      <c r="U150" s="4" t="inlineStr">
        <is>
          <t>The study combines HOG descriptors with ResNet50V2 transfer learning for ASD classification from facial images. The accessible material does not establish independent external validation, prospective deployment, cross-site robustness, or an explicit XAI method.</t>
        </is>
      </c>
      <c r="V150" s="4" t="inlineStr">
        <is>
          <t>Revision asistida por IA (un revisor; requiere verificacion independiente)</t>
        </is>
      </c>
      <c r="W150" s="40" t="n">
        <v>46269</v>
      </c>
    </row>
    <row r="151" ht="112" customHeight="1">
      <c r="A151" s="4" t="n">
        <v>364</v>
      </c>
      <c r="B151" s="4" t="inlineStr">
        <is>
          <t>10.1007/S12065-026-01162-X</t>
        </is>
      </c>
      <c r="C151" s="4" t="inlineStr">
        <is>
          <t>Smart detection of autism spectrum disorder using optimized deep learner for transforming early diagnosis and intervention</t>
        </is>
      </c>
      <c r="D151" s="4" t="inlineStr">
        <is>
          <t>Include</t>
        </is>
      </c>
      <c r="E151" s="4" t="n"/>
      <c r="F151" s="4" t="inlineStr">
        <is>
          <t>Structured ASD screening data + Text / NLP (separate datasets)</t>
        </is>
      </c>
      <c r="G151" s="4" t="inlineStr">
        <is>
          <t>Deep Learning</t>
        </is>
      </c>
      <c r="H151" s="4" t="inlineStr">
        <is>
          <t>NeD-TraF + EVA-Search</t>
        </is>
      </c>
      <c r="I151" s="4" t="inlineStr">
        <is>
          <t>ASD detection/classification</t>
        </is>
      </c>
      <c r="J151" s="4" t="inlineStr">
        <is>
          <t>Screening</t>
        </is>
      </c>
      <c r="K151" s="4" t="inlineStr">
        <is>
          <t>Proposed only</t>
        </is>
      </c>
      <c r="L151" s="4" t="inlineStr">
        <is>
          <t>Proposed early-screening classifier evaluated on separate structured and text datasets</t>
        </is>
      </c>
      <c r="M151" s="4" t="n">
        <v>0</v>
      </c>
      <c r="N151" s="4" t="n">
        <v>0</v>
      </c>
      <c r="O151" s="4" t="n">
        <v>0</v>
      </c>
      <c r="P151" s="4" t="n">
        <v>0</v>
      </c>
      <c r="Q151" s="4" t="n">
        <v>0</v>
      </c>
      <c r="R151" s="4" t="n">
        <v>0</v>
      </c>
      <c r="S151" s="4" t="n">
        <v>0</v>
      </c>
      <c r="T151" s="4" t="inlineStr">
        <is>
          <t>https://www.researchgate.net/publication/401363005_Smart_detection_of_autism_spectrum_disorder_using_optimized_deep_learner_for_transforming_early_diagnosis_and_intervention</t>
        </is>
      </c>
      <c r="U151" s="4" t="inlineStr">
        <is>
          <t>The full text describes experiments on the Reddit Mental Health Dataset and ASD Screening Dataset, including stratified 70/15/15 train/validation/test splits and reported performance near 99%. Material reporting contradiction: the Methods/Results explicitly analyze two datasets, while the Data Availability statement says no datasets were generated or analysed. Inclusion is retained provisionally, but this requires high-priority human verification before final synthesis.</t>
        </is>
      </c>
      <c r="V151" s="4" t="inlineStr">
        <is>
          <t>Revision asistida por IA (un revisor; requiere verificacion independiente)</t>
        </is>
      </c>
      <c r="W151" s="40" t="n">
        <v>46269</v>
      </c>
    </row>
    <row r="152" ht="125" customHeight="1">
      <c r="A152" s="4" t="n">
        <v>366</v>
      </c>
      <c r="B152" s="4" t="inlineStr">
        <is>
          <t>10.1016/j.ibmed.2026.100421</t>
        </is>
      </c>
      <c r="C152" s="4" t="inlineStr">
        <is>
          <t>Hybrid deep learning with cross-attention fusion for autism spectrum disorder classification from facial images</t>
        </is>
      </c>
      <c r="D152" s="4" t="inlineStr">
        <is>
          <t>Include</t>
        </is>
      </c>
      <c r="E152" s="4" t="n"/>
      <c r="F152" s="4" t="inlineStr">
        <is>
          <t>Facial images</t>
        </is>
      </c>
      <c r="G152" s="4" t="inlineStr">
        <is>
          <t>Hybrid</t>
        </is>
      </c>
      <c r="H152" s="4" t="inlineStr">
        <is>
          <t>ResNet-152-CBAM + ViT-Large bidirectional cross-attention + weighted ensemble/TTA</t>
        </is>
      </c>
      <c r="I152" s="4" t="inlineStr">
        <is>
          <t>ASD facial-image screening/classification</t>
        </is>
      </c>
      <c r="J152" s="4" t="inlineStr">
        <is>
          <t>Screening</t>
        </is>
      </c>
      <c r="K152" s="4" t="inlineStr">
        <is>
          <t>Proposed only</t>
        </is>
      </c>
      <c r="L152" s="4" t="inlineStr">
        <is>
          <t>Proposed AI-assisted facial-image screening tool</t>
        </is>
      </c>
      <c r="M152" s="4" t="n">
        <v>0</v>
      </c>
      <c r="N152" s="4" t="n">
        <v>0</v>
      </c>
      <c r="O152" s="4" t="n">
        <v>0</v>
      </c>
      <c r="P152" s="4" t="n">
        <v>0</v>
      </c>
      <c r="Q152" s="4" t="n">
        <v>1</v>
      </c>
      <c r="R152" s="4" t="n">
        <v>0</v>
      </c>
      <c r="S152" s="4" t="n">
        <v>0</v>
      </c>
      <c r="T152" s="4" t="inlineStr">
        <is>
          <t>https://www.sciencedirect.com/science/article/pii/S2666521226000797</t>
        </is>
      </c>
      <c r="U152" s="4" t="inlineStr">
        <is>
          <t>A hybrid ResNet-152-CBAM/ViT-Large model with bidirectional cross-attention, weighted ensemble and test-time augmentation is evaluated on 2,940 public facial images; Grad-CAM highlights periocular regions and the ensemble reports 92% accuracy. The article reports a fixed 86.4%/3.4%/10.2% train/validation/test partition while the abstract also reports mean±SD across 5-fold cross-validation, creating an evaluation-protocol inconsistency that should be reconciled manually. No independent external dataset was used.</t>
        </is>
      </c>
      <c r="V152" s="4" t="inlineStr">
        <is>
          <t>Revision asistida por IA (un revisor; requiere verificacion independiente)</t>
        </is>
      </c>
      <c r="W152" s="40" t="n">
        <v>46269</v>
      </c>
    </row>
    <row r="153" ht="112" customHeight="1">
      <c r="A153" s="4" t="n">
        <v>371</v>
      </c>
      <c r="B153" s="4" t="inlineStr">
        <is>
          <t>10.1007/978-3-032-14531-4_4</t>
        </is>
      </c>
      <c r="C153" s="4" t="inlineStr">
        <is>
          <t>A Hybrid CNN-GAT Model for MRI Screening of Autism Spectrum Disorder</t>
        </is>
      </c>
      <c r="D153" s="4" t="inlineStr">
        <is>
          <t>Include</t>
        </is>
      </c>
      <c r="E153" s="4" t="n"/>
      <c r="F153" s="4" t="inlineStr">
        <is>
          <t>Neuroimaging / MRI</t>
        </is>
      </c>
      <c r="G153" s="4" t="inlineStr">
        <is>
          <t>Deep Learning</t>
        </is>
      </c>
      <c r="H153" s="4" t="inlineStr">
        <is>
          <t>Hybrid CNN-GAT (Convolutional Neural Network + Graph Attention Network)</t>
        </is>
      </c>
      <c r="I153" s="4" t="inlineStr">
        <is>
          <t>Classification (ASD vs non-ASD)</t>
        </is>
      </c>
      <c r="J153" s="4" t="inlineStr">
        <is>
          <t>Screening</t>
        </is>
      </c>
      <c r="K153" s="4" t="inlineStr">
        <is>
          <t>Proposed only</t>
        </is>
      </c>
      <c r="L153" s="4" t="inlineStr">
        <is>
          <t>Proposed MRI-based screening/decision-support model; no clinical deployment evaluated</t>
        </is>
      </c>
      <c r="M153" s="4" t="n">
        <v>0</v>
      </c>
      <c r="N153" s="4" t="n">
        <v>0</v>
      </c>
      <c r="O153" s="4" t="n">
        <v>0</v>
      </c>
      <c r="P153" s="4" t="n">
        <v>0</v>
      </c>
      <c r="Q153" s="4" t="n">
        <v>1</v>
      </c>
      <c r="R153" s="4" t="n">
        <v>0</v>
      </c>
      <c r="S153" s="4" t="n">
        <v>0</v>
      </c>
      <c r="T153" s="4" t="inlineStr">
        <is>
          <t>https://link.springer.com/chapter/10.1007/978-3-032-14531-4_4</t>
        </is>
      </c>
      <c r="U153" s="4" t="inlineStr">
        <is>
          <t>Springer identifies this as a full conference paper in peer-reviewed MIND 2024 proceedings. The study proposes a hybrid CNN-GAT on publicly accessible MRI data and reports 88% ASD versus non-ASD classification accuracy. GAT attention is used to identify critical brain regions/connections. No independent external cohort, prospective clinical evaluation, or explicit cross-site robustness was established from the accessible evidence.</t>
        </is>
      </c>
      <c r="V153" s="4" t="inlineStr">
        <is>
          <t>Revisión asistida por IA (un revisor; requiere verificación independiente)</t>
        </is>
      </c>
      <c r="W153" s="40" t="n">
        <v>46272</v>
      </c>
    </row>
    <row r="154" ht="125" customHeight="1">
      <c r="A154" s="4" t="n">
        <v>373</v>
      </c>
      <c r="B154" s="4" t="inlineStr">
        <is>
          <t>10.1016/j.bspc.2026.110970</t>
        </is>
      </c>
      <c r="C154" s="4" t="inlineStr">
        <is>
          <t>Multi-feature fusion transformer network for Autism spectrum disorder detection via facial images</t>
        </is>
      </c>
      <c r="D154" s="4" t="inlineStr">
        <is>
          <t>Include</t>
        </is>
      </c>
      <c r="E154" s="4" t="n"/>
      <c r="F154" s="4" t="inlineStr">
        <is>
          <t>Facial images with derived landmark geometry</t>
        </is>
      </c>
      <c r="G154" s="4" t="inlineStr">
        <is>
          <t>Deep Learning</t>
        </is>
      </c>
      <c r="H154" s="4" t="inlineStr">
        <is>
          <t>MACFUT (Multi-Aspect Cross-Fusion Transformer)</t>
        </is>
      </c>
      <c r="I154" s="4" t="inlineStr">
        <is>
          <t>Early ASD facial screening</t>
        </is>
      </c>
      <c r="J154" s="4" t="inlineStr">
        <is>
          <t>Screening</t>
        </is>
      </c>
      <c r="K154" s="4" t="inlineStr">
        <is>
          <t>Proposed only</t>
        </is>
      </c>
      <c r="L154" s="4" t="inlineStr">
        <is>
          <t>Proposed interpretable facial-image screening tool</t>
        </is>
      </c>
      <c r="M154" s="4" t="n">
        <v>1</v>
      </c>
      <c r="N154" s="4" t="n">
        <v>0</v>
      </c>
      <c r="O154" s="4" t="n">
        <v>1</v>
      </c>
      <c r="P154" s="4" t="n">
        <v>0</v>
      </c>
      <c r="Q154" s="4" t="n">
        <v>1</v>
      </c>
      <c r="R154" s="4" t="n">
        <v>0</v>
      </c>
      <c r="S154" s="4" t="n">
        <v>0</v>
      </c>
      <c r="T154" s="4" t="inlineStr">
        <is>
          <t>https://www.sciencedirect.com/science/article/pii/S1746809426015247</t>
        </is>
      </c>
      <c r="U154" s="4" t="inlineStr">
        <is>
          <t>MACFUT fuses facial-image features with landmark geometry, is trained on AFID with 10-fold CV, and is tested on an independent Bangladesh dataset (BACFED), reporting 86.51% external accuracy/AUC 94.78%; attention maps and facial anthropometry support interpretation. External cross-dataset testing strengthens generalization evidence, but the system is not prospectively deployed and image-source/demographic biases remain possible. Landmarks are derived from the same image source, so this was not counted as multisource data.</t>
        </is>
      </c>
      <c r="V154" s="4" t="inlineStr">
        <is>
          <t>Revision asistida por IA (un revisor; requiere verificacion independiente)</t>
        </is>
      </c>
      <c r="W154" s="40" t="n">
        <v>46269</v>
      </c>
    </row>
    <row r="155" ht="125" customHeight="1">
      <c r="A155" s="4" t="n">
        <v>383</v>
      </c>
      <c r="B155" s="4" t="inlineStr">
        <is>
          <t>10.1038/s41380-025-03157-z</t>
        </is>
      </c>
      <c r="C155" s="4" t="inlineStr">
        <is>
          <t>Longitudinal multi-omics analysis of umbilical cord blood and childhood serum in Autism</t>
        </is>
      </c>
      <c r="D155" s="4" t="inlineStr">
        <is>
          <t>Include</t>
        </is>
      </c>
      <c r="E155" s="4" t="n"/>
      <c r="F155" s="4" t="inlineStr">
        <is>
          <t>Multimodal biological/omics (cord-blood proteomics + metabolomics; childhood serum follow-up)</t>
        </is>
      </c>
      <c r="G155" s="4" t="inlineStr">
        <is>
          <t>Machine Learning</t>
        </is>
      </c>
      <c r="H155" s="4" t="inlineStr">
        <is>
          <t>Machine-learning prediction models on proteomic and metabolomic signatures (specific family not stated in accessible text)</t>
        </is>
      </c>
      <c r="I155" s="4" t="inlineStr">
        <is>
          <t>Prognostic biomarker discovery / future ASD prediction</t>
        </is>
      </c>
      <c r="J155" s="4" t="inlineStr">
        <is>
          <t>Prognosis</t>
        </is>
      </c>
      <c r="K155" s="4" t="inlineStr">
        <is>
          <t>Research only</t>
        </is>
      </c>
      <c r="L155" s="4" t="inlineStr">
        <is>
          <t>Longitudinal prognostic biomarker research; not a deployed clinical risk tool</t>
        </is>
      </c>
      <c r="M155" s="4" t="n">
        <v>0</v>
      </c>
      <c r="N155" s="4" t="n">
        <v>0</v>
      </c>
      <c r="O155" s="4" t="n">
        <v>0</v>
      </c>
      <c r="P155" s="4" t="n">
        <v>1</v>
      </c>
      <c r="Q155" s="4" t="n">
        <v>0</v>
      </c>
      <c r="R155" s="4" t="n">
        <v>1</v>
      </c>
      <c r="S155" s="4" t="n">
        <v>1</v>
      </c>
      <c r="T155" s="4" t="inlineStr">
        <is>
          <t>https://www.nature.com/articles/s41380-025-03157-z</t>
        </is>
      </c>
      <c r="U155" s="4" t="inlineStr">
        <is>
          <t>Within the BASELINE birth cohort, cord-blood proteomics/metabolomics from children later diagnosed with autism were analyzed and followed with childhood serum profiling; ML prediction models reported AUROC 0.82-0.85. The omics case numbers are small (22 future ASD cases in cord blood; 24 in follow-up), and the accessible report does not identify an independent external validation cohort or the specific ML family. Longitudinal collection supports prospective-evidence coding, not prospective clinical deployment.</t>
        </is>
      </c>
      <c r="V155" s="4" t="inlineStr">
        <is>
          <t>Revision asistida por IA (un revisor; requiere verificacion independiente)</t>
        </is>
      </c>
      <c r="W155" s="40" t="n">
        <v>46269</v>
      </c>
    </row>
    <row r="156" ht="86" customHeight="1">
      <c r="A156" s="4" t="n">
        <v>386</v>
      </c>
      <c r="B156" s="4" t="inlineStr">
        <is>
          <t>10.1007/S11571-024-10202-0</t>
        </is>
      </c>
      <c r="C156" s="4" t="inlineStr">
        <is>
          <t>3T dilated inception network for enhanced autism spectrum disorder diagnosis using resting-state fMRI data</t>
        </is>
      </c>
      <c r="D156" s="4" t="inlineStr">
        <is>
          <t>Include</t>
        </is>
      </c>
      <c r="E156" s="4" t="n"/>
      <c r="F156" s="4" t="inlineStr">
        <is>
          <t>Neuroimaging (rs-fMRI)</t>
        </is>
      </c>
      <c r="G156" s="4" t="inlineStr">
        <is>
          <t>Deep Learning</t>
        </is>
      </c>
      <c r="H156" s="4" t="inlineStr">
        <is>
          <t>3T-DINet (3T dilated inception + ResNet + Crossover-based Black Widow Optimization)</t>
        </is>
      </c>
      <c r="I156" s="4" t="inlineStr">
        <is>
          <t>ASD diagnosis/classification from rs-fMRI</t>
        </is>
      </c>
      <c r="J156" s="4" t="inlineStr">
        <is>
          <t>Diagnosis</t>
        </is>
      </c>
      <c r="K156" s="4" t="inlineStr">
        <is>
          <t>Research only</t>
        </is>
      </c>
      <c r="L156" s="4" t="inlineStr">
        <is>
          <t>Experimental rs-fMRI diagnostic classifier</t>
        </is>
      </c>
      <c r="M156" s="4" t="n">
        <v>0</v>
      </c>
      <c r="N156" s="4" t="n">
        <v>1</v>
      </c>
      <c r="O156" s="4" t="n">
        <v>0</v>
      </c>
      <c r="P156" s="4" t="n">
        <v>0</v>
      </c>
      <c r="Q156" s="4" t="n">
        <v>0</v>
      </c>
      <c r="R156" s="4" t="n">
        <v>0</v>
      </c>
      <c r="S156" s="4" t="n">
        <v>0</v>
      </c>
      <c r="T156" s="4" t="inlineStr">
        <is>
          <t>https://pmc.ncbi.nlm.nih.gov/articles/PMC11729590/</t>
        </is>
      </c>
      <c r="U156" s="4" t="inlineStr">
        <is>
          <t>3T-DINet combines dilated inception, ResNet components and optimization and is evaluated across five ASD rs-fMRI datasets. Use of multiple ASD datasets was coded as multisite/multidataset evidence, but the accessible report does not establish an explicit leave-site-out or independent prospective external-validation design.</t>
        </is>
      </c>
      <c r="V156" s="4" t="inlineStr">
        <is>
          <t>Revision asistida por IA (un revisor; requiere verificacion independiente)</t>
        </is>
      </c>
      <c r="W156" s="40" t="n">
        <v>46269</v>
      </c>
    </row>
    <row r="157" ht="112" customHeight="1">
      <c r="A157" s="4" t="n">
        <v>387</v>
      </c>
      <c r="B157" s="4" t="inlineStr">
        <is>
          <t>10.1007/s00787-025-02775-w</t>
        </is>
      </c>
      <c r="C157" s="4" t="inlineStr">
        <is>
          <t>Predicting pragmatic language abilities from brain structural MRI in preschool children with ASD by NBS-Predict</t>
        </is>
      </c>
      <c r="D157" s="4" t="inlineStr">
        <is>
          <t>Include</t>
        </is>
      </c>
      <c r="E157" s="4" t="n"/>
      <c r="F157" s="4" t="inlineStr">
        <is>
          <t>Neuroimaging (DTI structural connectome)</t>
        </is>
      </c>
      <c r="G157" s="4" t="inlineStr">
        <is>
          <t>Machine Learning</t>
        </is>
      </c>
      <c r="H157" s="4" t="inlineStr">
        <is>
          <t>NBS-Predict with linear discriminant analysis</t>
        </is>
      </c>
      <c r="I157" s="4" t="inlineStr">
        <is>
          <t>ASD/TD classification and pragmatic-language score prediction</t>
        </is>
      </c>
      <c r="J157" s="4" t="inlineStr">
        <is>
          <t>Diagnosis</t>
        </is>
      </c>
      <c r="K157" s="4" t="inlineStr">
        <is>
          <t>Research only</t>
        </is>
      </c>
      <c r="L157" s="4" t="inlineStr">
        <is>
          <t>Research structural-connectome classifier; also predicts pragmatic-language phenotype</t>
        </is>
      </c>
      <c r="M157" s="4" t="n">
        <v>0</v>
      </c>
      <c r="N157" s="4" t="n">
        <v>0</v>
      </c>
      <c r="O157" s="4" t="n">
        <v>0</v>
      </c>
      <c r="P157" s="4" t="n">
        <v>0</v>
      </c>
      <c r="Q157" s="4" t="n">
        <v>0</v>
      </c>
      <c r="R157" s="4" t="n">
        <v>1</v>
      </c>
      <c r="S157" s="4" t="n">
        <v>0</v>
      </c>
      <c r="T157" s="4" t="inlineStr">
        <is>
          <t>https://pubmed.ncbi.nlm.nih.gov/40495017/</t>
        </is>
      </c>
      <c r="U157" s="4" t="inlineStr">
        <is>
          <t>In 92 preschool children with ASD and 52 TD controls, NBS-Predict identified a 42-connection structural subnetwork; an LDA classifier reported 79.4% ASD/TD accuracy and the network also showed a modest association with pragmatic-language ability. Single-center/cross-sectional evidence with no independent external validation. Diagnosis is used as the primary stage because the qualifying ASD/TD classifier is explicit; the paper also emphasizes pragmatic-language characterization.</t>
        </is>
      </c>
      <c r="V157" s="4" t="inlineStr">
        <is>
          <t>Revision asistida por IA (un revisor; requiere verificacion independiente)</t>
        </is>
      </c>
      <c r="W157" s="40" t="n">
        <v>46269</v>
      </c>
    </row>
    <row r="158" ht="86" customHeight="1">
      <c r="A158" s="4" t="n">
        <v>391</v>
      </c>
      <c r="B158" s="4" t="inlineStr">
        <is>
          <t>10.1007/s10495-025-02201-1</t>
        </is>
      </c>
      <c r="C158" s="4" t="inlineStr">
        <is>
          <t>Cell death-associated genes as novel diagnostic biomarkers for autism spectrum disorder</t>
        </is>
      </c>
      <c r="D158" s="4" t="inlineStr">
        <is>
          <t>Include</t>
        </is>
      </c>
      <c r="E158" s="4" t="n"/>
      <c r="F158" s="4" t="inlineStr">
        <is>
          <t>Biological/omics (peripheral blood gene expression)</t>
        </is>
      </c>
      <c r="G158" s="4" t="inlineStr">
        <is>
          <t>Machine Learning</t>
        </is>
      </c>
      <c r="H158" s="4" t="inlineStr">
        <is>
          <t>K-nearest neighbors (KNN) + WGCNA-derived six-gene panel</t>
        </is>
      </c>
      <c r="I158" s="4" t="inlineStr">
        <is>
          <t>Diagnostic biomarker / ASD classification</t>
        </is>
      </c>
      <c r="J158" s="4" t="inlineStr">
        <is>
          <t>Diagnosis</t>
        </is>
      </c>
      <c r="K158" s="4" t="inlineStr">
        <is>
          <t>Research only</t>
        </is>
      </c>
      <c r="L158" s="4" t="inlineStr">
        <is>
          <t>Research blood-biomarker diagnostic model</t>
        </is>
      </c>
      <c r="M158" s="4" t="n">
        <v>1</v>
      </c>
      <c r="N158" s="4" t="n">
        <v>0</v>
      </c>
      <c r="O158" s="4" t="n">
        <v>0</v>
      </c>
      <c r="P158" s="4" t="n">
        <v>0</v>
      </c>
      <c r="Q158" s="4" t="n">
        <v>0</v>
      </c>
      <c r="R158" s="4" t="n">
        <v>1</v>
      </c>
      <c r="S158" s="4" t="n">
        <v>0</v>
      </c>
      <c r="T158" s="4" t="inlineStr">
        <is>
          <t>https://pubmed.ncbi.nlm.nih.gov/41518421/</t>
        </is>
      </c>
      <c r="U158" s="4" t="inlineStr">
        <is>
          <t>Six ML algorithms and WGCNA were used to derive a six-gene diagnostic panel; KNN performed best, with external human blood GSE42133 AUC 0.722 and local-sample AUC 0.781. External human validation is present but discrimination is moderate; mouse prefrontal-cortex validation is not counted as clinical external validation, and real-world replication remains needed.</t>
        </is>
      </c>
      <c r="V158" s="4" t="inlineStr">
        <is>
          <t>Revision asistida por IA (un revisor; requiere verificacion independiente)</t>
        </is>
      </c>
      <c r="W158" s="40" t="n">
        <v>46269</v>
      </c>
    </row>
    <row r="159" ht="99" customHeight="1">
      <c r="A159" s="4" t="n">
        <v>393</v>
      </c>
      <c r="B159" s="4" t="inlineStr">
        <is>
          <t>10.1007/S42454-025-00087-7</t>
        </is>
      </c>
      <c r="C159" s="4" t="inlineStr">
        <is>
          <t>Integrating explainable AI with machine learning for reliable autism spectrum disorder diagnosis</t>
        </is>
      </c>
      <c r="D159" s="4" t="inlineStr">
        <is>
          <t>Include</t>
        </is>
      </c>
      <c r="E159" s="4" t="n"/>
      <c r="F159" s="4" t="inlineStr">
        <is>
          <t>Structured behavioral/demographic ASD screening data</t>
        </is>
      </c>
      <c r="G159" s="4" t="inlineStr">
        <is>
          <t>Machine Learning</t>
        </is>
      </c>
      <c r="H159" s="4" t="inlineStr">
        <is>
          <t>XGBoost (best-performing) with LIME and SHAP</t>
        </is>
      </c>
      <c r="I159" s="4" t="inlineStr">
        <is>
          <t>ASD screening/classification</t>
        </is>
      </c>
      <c r="J159" s="4" t="inlineStr">
        <is>
          <t>Screening</t>
        </is>
      </c>
      <c r="K159" s="4" t="inlineStr">
        <is>
          <t>Proposed only</t>
        </is>
      </c>
      <c r="L159" s="4" t="inlineStr">
        <is>
          <t>Proposed explainable structured-data screening classifier</t>
        </is>
      </c>
      <c r="M159" s="4" t="n">
        <v>0</v>
      </c>
      <c r="N159" s="4" t="n">
        <v>0</v>
      </c>
      <c r="O159" s="4" t="n">
        <v>0</v>
      </c>
      <c r="P159" s="4" t="n">
        <v>0</v>
      </c>
      <c r="Q159" s="4" t="n">
        <v>1</v>
      </c>
      <c r="R159" s="4" t="n">
        <v>0</v>
      </c>
      <c r="S159" s="4" t="n">
        <v>0</v>
      </c>
      <c r="T159" s="4" t="inlineStr">
        <is>
          <t>https://www.researchgate.net/publication/397578770_Integrating_explainable_AI_with_machine_learning_for_reliable_autism_spectrum_disorder_diagnosis</t>
        </is>
      </c>
      <c r="U159" s="4" t="inlineStr">
        <is>
          <t>The study compares LR, DT, RF, SVM, KNN, CNN and XGBoost on structured toddler/child/adult ASD screening data; XGBoost is reported as best and explanations are generated with LIME and SHAP. Very high reported performance is based on benchmark/combined structured screening data; no independent external cohort, site-held-out analysis or prospective clinical deployment was established in the accessible full text.</t>
        </is>
      </c>
      <c r="V159" s="4" t="inlineStr">
        <is>
          <t>Revision asistida por IA (un revisor; requiere verificacion independiente)</t>
        </is>
      </c>
      <c r="W159" s="40" t="n">
        <v>46269</v>
      </c>
    </row>
    <row r="160" ht="99" customHeight="1">
      <c r="A160" s="4" t="n">
        <v>398</v>
      </c>
      <c r="B160" s="4" t="inlineStr">
        <is>
          <t>10.1007/S40846-026-01044-8</t>
        </is>
      </c>
      <c r="C160" s="4" t="inlineStr">
        <is>
          <t>Diagnostic Classification of Autism Spectrum Disorder Using SD Maps of fMRI Data and Machine Learning</t>
        </is>
      </c>
      <c r="D160" s="4" t="inlineStr">
        <is>
          <t>Include</t>
        </is>
      </c>
      <c r="E160" s="4" t="n"/>
      <c r="F160" s="4" t="inlineStr">
        <is>
          <t>Neuroimaging (rs-fMRI; ABIDE-I/II)</t>
        </is>
      </c>
      <c r="G160" s="4" t="inlineStr">
        <is>
          <t>Machine Learning</t>
        </is>
      </c>
      <c r="H160" s="4" t="inlineStr">
        <is>
          <t>Logistic regression (best), with ridge/gradient boosting/XGBoost comparison</t>
        </is>
      </c>
      <c r="I160" s="4" t="inlineStr">
        <is>
          <t>ASD diagnostic classification</t>
        </is>
      </c>
      <c r="J160" s="4" t="inlineStr">
        <is>
          <t>Diagnosis</t>
        </is>
      </c>
      <c r="K160" s="4" t="inlineStr">
        <is>
          <t>Research only</t>
        </is>
      </c>
      <c r="L160" s="4" t="inlineStr">
        <is>
          <t>Retrospective ABIDE rs-fMRI diagnostic classifier</t>
        </is>
      </c>
      <c r="M160" s="4" t="n">
        <v>0</v>
      </c>
      <c r="N160" s="4" t="n">
        <v>1</v>
      </c>
      <c r="O160" s="4" t="n">
        <v>0</v>
      </c>
      <c r="P160" s="4" t="n">
        <v>0</v>
      </c>
      <c r="Q160" s="4" t="n">
        <v>0</v>
      </c>
      <c r="R160" s="4" t="n">
        <v>1</v>
      </c>
      <c r="S160" s="4" t="n">
        <v>0</v>
      </c>
      <c r="T160" s="4" t="inlineStr">
        <is>
          <t>https://pure.cardiffmet.ac.uk/en/publications/diagnostic-classification-of-autism-spectrum-disorder-using-sd-ma/</t>
        </is>
      </c>
      <c r="U160" s="4" t="inlineStr">
        <is>
          <t>3D SD maps from ABIDE-I/II rs-fMRI were converted to 110 features and evaluated with LR, ridge, gradient boosting and XGBoost using 5-fold nested CV; LR achieved mean accuracy 70.71%. Nested cross-validation is methodologically stronger than a simple split but does not establish an independent/site-held-out external validation. Feature-contribution analysis was coded as partial interpretability, not strict XAI.</t>
        </is>
      </c>
      <c r="V160" s="4" t="inlineStr">
        <is>
          <t>Revision asistida por IA (un revisor; requiere verificacion independiente)</t>
        </is>
      </c>
      <c r="W160" s="40" t="n">
        <v>46269</v>
      </c>
    </row>
    <row r="161" ht="99" customHeight="1">
      <c r="A161" s="4" t="n">
        <v>5</v>
      </c>
      <c r="B161" s="4" t="inlineStr">
        <is>
          <t>10.1016/j.health.2024.100379</t>
        </is>
      </c>
      <c r="C161" s="4" t="inlineStr">
        <is>
          <t>An exploration of machine learning approaches for early Autism Spectrum Disorder detection</t>
        </is>
      </c>
      <c r="D161" s="4" t="inlineStr">
        <is>
          <t>Include</t>
        </is>
      </c>
      <c r="E161" s="4" t="n"/>
      <c r="F161" s="4" t="inlineStr">
        <is>
          <t>Structured behavioral/questionnaire ASD screening data (child and toddler datasets)</t>
        </is>
      </c>
      <c r="G161" s="4" t="inlineStr">
        <is>
          <t>Machine Learning</t>
        </is>
      </c>
      <c r="H161" s="4" t="inlineStr">
        <is>
          <t>Support Vector Classifier (best-performing; compared with LR/KNN/DT/RF)</t>
        </is>
      </c>
      <c r="I161" s="4" t="inlineStr">
        <is>
          <t>ASD identification / early detection across child and toddler datasets</t>
        </is>
      </c>
      <c r="J161" s="4" t="inlineStr">
        <is>
          <t>Screening</t>
        </is>
      </c>
      <c r="K161" s="4" t="inlineStr">
        <is>
          <t>Proposed only</t>
        </is>
      </c>
      <c r="L161" s="4" t="inlineStr">
        <is>
          <t>Proposed early-screening classifier evaluated across public/real-world child datasets</t>
        </is>
      </c>
      <c r="M161" s="4" t="n">
        <v>0</v>
      </c>
      <c r="N161" s="4" t="n">
        <v>1</v>
      </c>
      <c r="O161" s="4" t="n">
        <v>0</v>
      </c>
      <c r="P161" s="4" t="n">
        <v>0</v>
      </c>
      <c r="Q161" s="4" t="n">
        <v>0</v>
      </c>
      <c r="R161" s="4" t="n">
        <v>0</v>
      </c>
      <c r="S161" s="4" t="n">
        <v>0</v>
      </c>
      <c r="T161" s="4" t="inlineStr">
        <is>
          <t>https://www.sciencedirect.com/science/article/pii/S2772442524000819</t>
        </is>
      </c>
      <c r="U161" s="4" t="inlineStr">
        <is>
          <t>Compares LR, SVC, KNN, decision tree and random forest on toddler and child ASD datasets; SVC is reported as the strongest model, with near-perfect/100% performance on some datasets. Very high benchmark performance raises overfitting/data-leakage concerns; no fixed independent external clinical cohort or site-held-out evaluation was established from the accessible evidence.</t>
        </is>
      </c>
      <c r="V161" s="4" t="inlineStr">
        <is>
          <t>Revisión asistida por IA (un revisor; requiere verificación independiente)</t>
        </is>
      </c>
      <c r="W161" s="40" t="n">
        <v>46269</v>
      </c>
    </row>
    <row r="162" ht="99" customHeight="1">
      <c r="A162" s="4" t="n">
        <v>11</v>
      </c>
      <c r="B162" s="4" t="inlineStr">
        <is>
          <t>10.1016/j.procs.2025.04.142</t>
        </is>
      </c>
      <c r="C162" s="4" t="inlineStr">
        <is>
          <t>Ensembler_fMRI: An Intelligent Approach for the Early Prediction of Autism Disorder</t>
        </is>
      </c>
      <c r="D162" s="4" t="inlineStr">
        <is>
          <t>Include</t>
        </is>
      </c>
      <c r="E162" s="4" t="n"/>
      <c r="F162" s="4" t="inlineStr">
        <is>
          <t>Neuroimaging (fMRI; ABIDE and ADHD-200)</t>
        </is>
      </c>
      <c r="G162" s="4" t="inlineStr">
        <is>
          <t>Hybrid</t>
        </is>
      </c>
      <c r="H162" s="4" t="inlineStr">
        <is>
          <t>Ensembler_fMRI ensemble of multiple AI techniques (specific component families not fully specified in accessible source)</t>
        </is>
      </c>
      <c r="I162" s="4" t="inlineStr">
        <is>
          <t>Differential classification of ASD and ADHD from fMRI</t>
        </is>
      </c>
      <c r="J162" s="4" t="inlineStr">
        <is>
          <t>Diagnosis</t>
        </is>
      </c>
      <c r="K162" s="4" t="inlineStr">
        <is>
          <t>Research only</t>
        </is>
      </c>
      <c r="L162" s="4" t="inlineStr">
        <is>
          <t>Experimental differential neuroimaging classifier; no demonstrated clinical deployment</t>
        </is>
      </c>
      <c r="M162" s="4" t="n">
        <v>0</v>
      </c>
      <c r="N162" s="4" t="n">
        <v>1</v>
      </c>
      <c r="O162" s="4" t="n">
        <v>0</v>
      </c>
      <c r="P162" s="4" t="n">
        <v>0</v>
      </c>
      <c r="Q162" s="4" t="n">
        <v>0</v>
      </c>
      <c r="R162" s="4" t="n">
        <v>0</v>
      </c>
      <c r="S162" s="4" t="n">
        <v>0</v>
      </c>
      <c r="T162" s="4" t="inlineStr">
        <is>
          <t>https://www.sciencedirect.com/science/article/pii/S187705092501244X</t>
        </is>
      </c>
      <c r="U162" s="4" t="inlineStr">
        <is>
          <t>Ensembler_fMRI combines multiple AI techniques on fMRI data from ABIDE and ADHD-200 to distinguish ASD from ADHD; the abstract reports 98% accuracy. Use of multisite/multidataset repositories does not itself demonstrate held-out cross-site robustness or external validation; component model details are incomplete in the accessible abstract.</t>
        </is>
      </c>
      <c r="V162" s="4" t="inlineStr">
        <is>
          <t>Revisión asistida por IA (un revisor; requiere verificación independiente)</t>
        </is>
      </c>
      <c r="W162" s="40" t="n">
        <v>46269</v>
      </c>
    </row>
    <row r="163" ht="112" customHeight="1">
      <c r="A163" s="4" t="n">
        <v>16</v>
      </c>
      <c r="B163" s="4" t="inlineStr">
        <is>
          <t>10.1016/j.nbd.2024.106763</t>
        </is>
      </c>
      <c r="C163" s="4" t="inlineStr">
        <is>
          <t>Unraveling pathogenesis and potential biomarkers for autism spectrum disorder associated with HIF1A pathway based on machine learning and experiment validation</t>
        </is>
      </c>
      <c r="D163" s="4" t="inlineStr">
        <is>
          <t>Include</t>
        </is>
      </c>
      <c r="E163" s="4" t="n"/>
      <c r="F163" s="4" t="inlineStr">
        <is>
          <t>Biological/omics (bulk transcriptomics + single-cell RNA-seq; GEO)</t>
        </is>
      </c>
      <c r="G163" s="4" t="inlineStr">
        <is>
          <t>Machine Learning</t>
        </is>
      </c>
      <c r="H163" s="4" t="inlineStr">
        <is>
          <t>Machine-learning hub-gene selection (specific model family not stated in accessible source)</t>
        </is>
      </c>
      <c r="I163" s="4" t="inlineStr">
        <is>
          <t>ASD molecular biomarker/pathogenesis characterization and diagnostic-marker discovery</t>
        </is>
      </c>
      <c r="J163" s="4" t="inlineStr">
        <is>
          <t>Diagnosis</t>
        </is>
      </c>
      <c r="K163" s="4" t="inlineStr">
        <is>
          <t>Research only</t>
        </is>
      </c>
      <c r="L163" s="4" t="inlineStr">
        <is>
          <t>Research biomarker/pathogenesis model; no deployed clinical diagnostic workflow</t>
        </is>
      </c>
      <c r="M163" s="4" t="n">
        <v>0</v>
      </c>
      <c r="N163" s="4" t="n">
        <v>1</v>
      </c>
      <c r="O163" s="4" t="n">
        <v>0</v>
      </c>
      <c r="P163" s="4" t="n">
        <v>0</v>
      </c>
      <c r="Q163" s="4" t="n">
        <v>0</v>
      </c>
      <c r="R163" s="4" t="n">
        <v>1</v>
      </c>
      <c r="S163" s="4" t="n">
        <v>0</v>
      </c>
      <c r="T163" s="4" t="inlineStr">
        <is>
          <t>https://pubmed.ncbi.nlm.nih.gov/?term=10.1016%2Fj.nbd.2024.106763</t>
        </is>
      </c>
      <c r="U163" s="4" t="inlineStr">
        <is>
          <t>Human GEO transcriptomic data are used to identify HIF1A-related hub genes with ML; single-cell analysis and MIA mouse/cell experiments support mechanistic interpretation. Human data therefore prevent an animal-only exclusion. Animal/cell validation is mechanistic, not independent clinical external validation; the accessible abstract does not identify a site-held-out human validation design or the exact ML family used for hub-gene selection.</t>
        </is>
      </c>
      <c r="V163" s="4" t="inlineStr">
        <is>
          <t>Revisión asistida por IA (un revisor; requiere verificación independiente)</t>
        </is>
      </c>
      <c r="W163" s="40" t="n">
        <v>46269</v>
      </c>
    </row>
    <row r="164" ht="112" customHeight="1">
      <c r="A164" s="4" t="n">
        <v>27</v>
      </c>
      <c r="B164" s="4" t="inlineStr">
        <is>
          <t>10.1016/j.psychres.2025.116353</t>
        </is>
      </c>
      <c r="C164" s="4" t="inlineStr">
        <is>
          <t>Developing a simplified measure to predict the risk of autism spectrum disorders: Abbreviating the M-CHAT-R using a machine learning approach in China</t>
        </is>
      </c>
      <c r="D164" s="4" t="inlineStr">
        <is>
          <t>Include</t>
        </is>
      </c>
      <c r="E164" s="4" t="n"/>
      <c r="F164" s="4" t="inlineStr">
        <is>
          <t>Structured questionnaire + sociodemographic/environmental factors (M-CHAT-R)</t>
        </is>
      </c>
      <c r="G164" s="4" t="inlineStr">
        <is>
          <t>Machine Learning</t>
        </is>
      </c>
      <c r="H164" s="4" t="inlineStr">
        <is>
          <t>Best-performing classifier among six ML models after multi-method feature selection (family not uniquely stated in accessible abstract)</t>
        </is>
      </c>
      <c r="I164" s="4" t="inlineStr">
        <is>
          <t>Compact-item ASD screening / risk prediction</t>
        </is>
      </c>
      <c r="J164" s="4" t="inlineStr">
        <is>
          <t>Screening</t>
        </is>
      </c>
      <c r="K164" s="4" t="inlineStr">
        <is>
          <t>Proposed only</t>
        </is>
      </c>
      <c r="L164" s="4" t="inlineStr">
        <is>
          <t>Proposed abbreviated M-CHAT-R screening support; no live primary-care deployment evaluated</t>
        </is>
      </c>
      <c r="M164" s="4" t="n">
        <v>0</v>
      </c>
      <c r="N164" s="4" t="n">
        <v>0</v>
      </c>
      <c r="O164" s="4" t="n">
        <v>0</v>
      </c>
      <c r="P164" s="4" t="n">
        <v>0</v>
      </c>
      <c r="Q164" s="4" t="n">
        <v>0</v>
      </c>
      <c r="R164" s="4" t="n">
        <v>1</v>
      </c>
      <c r="S164" s="4" t="n">
        <v>1</v>
      </c>
      <c r="T164" s="4" t="inlineStr">
        <is>
          <t>https://pubmed.ncbi.nlm.nih.gov/39793526/</t>
        </is>
      </c>
      <c r="U164" s="4" t="inlineStr">
        <is>
          <t>Retrospective analysis of 6,049 Chinese toddlers combines M-CHAT-R items with 17 sociodemographic/environmental factors, uses multiple feature-selection methods and six ML models, and derives a shortened screening measure. Derived from an existing validation cohort and not independently externally validated; strong sensitivity/specificity can coexist with low PPV in low-prevalence screening, so clinical utility should not be inferred from discrimination alone.</t>
        </is>
      </c>
      <c r="V164" s="4" t="inlineStr">
        <is>
          <t>Revisión asistida por IA (un revisor; requiere verificación independiente)</t>
        </is>
      </c>
      <c r="W164" s="40" t="n">
        <v>46269</v>
      </c>
    </row>
    <row r="165" ht="86" customHeight="1">
      <c r="A165" s="4" t="n">
        <v>31</v>
      </c>
      <c r="B165" s="4" t="inlineStr">
        <is>
          <t>10.1016/j.reia.2025.202542</t>
        </is>
      </c>
      <c r="C165" s="4" t="inlineStr">
        <is>
          <t>Replication of rs10099100 Association with Autism Spectrum Disorder Risk in a Polish‐Origin Cohort</t>
        </is>
      </c>
      <c r="D165" s="4" t="inlineStr">
        <is>
          <t>Include</t>
        </is>
      </c>
      <c r="E165" s="4" t="n"/>
      <c r="F165" s="4" t="inlineStr">
        <is>
          <t>Biological/genetic (SNP genotyping + phenotypic variables)</t>
        </is>
      </c>
      <c r="G165" s="4" t="inlineStr">
        <is>
          <t>Machine Learning</t>
        </is>
      </c>
      <c r="H165" s="4" t="inlineStr">
        <is>
          <t>Boruta feature selection + Random Forest</t>
        </is>
      </c>
      <c r="I165" s="4" t="inlineStr">
        <is>
          <t>ASD genetic-risk marker identification / case-control classification</t>
        </is>
      </c>
      <c r="J165" s="4" t="inlineStr">
        <is>
          <t>Diagnosis</t>
        </is>
      </c>
      <c r="K165" s="4" t="inlineStr">
        <is>
          <t>Research only</t>
        </is>
      </c>
      <c r="L165" s="4" t="inlineStr">
        <is>
          <t>Genetic biomarker research; no clinical screening workflow evaluated</t>
        </is>
      </c>
      <c r="M165" s="4" t="n">
        <v>0</v>
      </c>
      <c r="N165" s="4" t="n">
        <v>0</v>
      </c>
      <c r="O165" s="4" t="n">
        <v>0</v>
      </c>
      <c r="P165" s="4" t="n">
        <v>0</v>
      </c>
      <c r="Q165" s="4" t="n">
        <v>0</v>
      </c>
      <c r="R165" s="4" t="n">
        <v>1</v>
      </c>
      <c r="S165" s="4" t="n">
        <v>1</v>
      </c>
      <c r="T165" s="4" t="inlineStr">
        <is>
          <t>https://www.sciencedirect.com/science/article/pii/S3050656525000148</t>
        </is>
      </c>
      <c r="U165" s="4" t="inlineStr">
        <is>
          <t>A Polish-origin ASD/control cohort is analyzed with Boruta and Random Forest to prioritize genetic and phenotypic markers, including replication of rs10099100-related risk evidence. Single ancestry-specific cohort with no independent external validation; association/feature importance is not equivalent to prospective screening performance.</t>
        </is>
      </c>
      <c r="V165" s="4" t="inlineStr">
        <is>
          <t>Revisión asistida por IA (un revisor; requiere verificación independiente)</t>
        </is>
      </c>
      <c r="W165" s="40" t="n">
        <v>46269</v>
      </c>
    </row>
    <row r="166" ht="86" customHeight="1">
      <c r="A166" s="4" t="n">
        <v>42</v>
      </c>
      <c r="B166" s="4" t="inlineStr">
        <is>
          <t>10.1016/j.procs.2025.04.389</t>
        </is>
      </c>
      <c r="C166" s="4" t="inlineStr">
        <is>
          <t>Enhancing Early Diagnosis of Autism Spectrum Disorder Using a Bayesian-Optimized Random Forest Algorithm</t>
        </is>
      </c>
      <c r="D166" s="4" t="inlineStr">
        <is>
          <t>Include</t>
        </is>
      </c>
      <c r="E166" s="4" t="n"/>
      <c r="F166" s="4" t="inlineStr">
        <is>
          <t>Structured behavioral/cognitive/demographic ASD data</t>
        </is>
      </c>
      <c r="G166" s="4" t="inlineStr">
        <is>
          <t>Machine Learning</t>
        </is>
      </c>
      <c r="H166" s="4" t="inlineStr">
        <is>
          <t>Bayesian-optimized Random Forest</t>
        </is>
      </c>
      <c r="I166" s="4" t="inlineStr">
        <is>
          <t>ASD screening / early diagnostic classification</t>
        </is>
      </c>
      <c r="J166" s="4" t="inlineStr">
        <is>
          <t>Screening</t>
        </is>
      </c>
      <c r="K166" s="4" t="inlineStr">
        <is>
          <t>Proposed only</t>
        </is>
      </c>
      <c r="L166" s="4" t="inlineStr">
        <is>
          <t>Proposed optimized tabular screening classifier; no live clinical workflow evaluation</t>
        </is>
      </c>
      <c r="M166" s="4" t="n">
        <v>0</v>
      </c>
      <c r="N166" s="4" t="n">
        <v>0</v>
      </c>
      <c r="O166" s="4" t="n">
        <v>0</v>
      </c>
      <c r="P166" s="4" t="n">
        <v>0</v>
      </c>
      <c r="Q166" s="4" t="n">
        <v>0</v>
      </c>
      <c r="R166" s="4" t="n">
        <v>0</v>
      </c>
      <c r="S166" s="4" t="n">
        <v>0</v>
      </c>
      <c r="T166" s="4" t="inlineStr">
        <is>
          <t>https://doi.org/10.1016/j.procs.2025.04.389</t>
        </is>
      </c>
      <c r="U166" s="4" t="inlineStr">
        <is>
          <t>Uses Bayesian optimization to tune a Random Forest on behavioral, cognitive and demographic ASD variables; the paper reports very high classification performance. No independent external cohort, prospective deployment, or explicit explanation method was established; near-ceiling performance on structured ASD datasets requires careful leakage/selection-bias checks.</t>
        </is>
      </c>
      <c r="V166" s="4" t="inlineStr">
        <is>
          <t>Revisión asistida por IA (un revisor; requiere verificación independiente)</t>
        </is>
      </c>
      <c r="W166" s="40" t="n">
        <v>46269</v>
      </c>
    </row>
    <row r="167" ht="86" customHeight="1">
      <c r="A167" s="4" t="n">
        <v>45</v>
      </c>
      <c r="B167" s="4" t="inlineStr">
        <is>
          <t>10.1016/j.procs.2025.04.671</t>
        </is>
      </c>
      <c r="C167" s="4" t="inlineStr">
        <is>
          <t>Autism Spectrum Disorder Detection using Attention-Based CNN and ML Classifiers</t>
        </is>
      </c>
      <c r="D167" s="4" t="inlineStr">
        <is>
          <t>Include</t>
        </is>
      </c>
      <c r="E167" s="4" t="n"/>
      <c r="F167" s="4" t="inlineStr">
        <is>
          <t>Neuroimaging (fMRI; ABIDE)</t>
        </is>
      </c>
      <c r="G167" s="4" t="inlineStr">
        <is>
          <t>Hybrid</t>
        </is>
      </c>
      <c r="H167" s="4" t="inlineStr">
        <is>
          <t>Attention-based CNN feature extractor + conventional ML classifier</t>
        </is>
      </c>
      <c r="I167" s="4" t="inlineStr">
        <is>
          <t>ASD diagnostic classification from fMRI</t>
        </is>
      </c>
      <c r="J167" s="4" t="inlineStr">
        <is>
          <t>Diagnosis</t>
        </is>
      </c>
      <c r="K167" s="4" t="inlineStr">
        <is>
          <t>Research only</t>
        </is>
      </c>
      <c r="L167" s="4" t="inlineStr">
        <is>
          <t>Retrospective ABIDE diagnostic classifier; no live clinical deployment</t>
        </is>
      </c>
      <c r="M167" s="4" t="n">
        <v>0</v>
      </c>
      <c r="N167" s="4" t="n">
        <v>1</v>
      </c>
      <c r="O167" s="4" t="n">
        <v>0</v>
      </c>
      <c r="P167" s="4" t="n">
        <v>0</v>
      </c>
      <c r="Q167" s="4" t="n">
        <v>0</v>
      </c>
      <c r="R167" s="4" t="n">
        <v>0</v>
      </c>
      <c r="S167" s="4" t="n">
        <v>0</v>
      </c>
      <c r="T167" s="4" t="inlineStr">
        <is>
          <t>https://doi.org/10.1016/j.procs.2025.04.671</t>
        </is>
      </c>
      <c r="U167" s="4" t="inlineStr">
        <is>
          <t>An attention-based CNN/Squeeze-and-Excitation pipeline extracts fMRI features and feeds ML classifiers for ASD detection on ABIDE; very high accuracy is reported. ABIDE is multisite, but no explicit site-held-out or independent external evaluation was established. Architectural attention was not counted as XAI because no explanation analysis was demonstrated.</t>
        </is>
      </c>
      <c r="V167" s="4" t="inlineStr">
        <is>
          <t>Revisión asistida por IA (un revisor; requiere verificación independiente)</t>
        </is>
      </c>
      <c r="W167" s="40" t="n">
        <v>46269</v>
      </c>
    </row>
    <row r="168" ht="73" customHeight="1">
      <c r="A168" s="4" t="n">
        <v>56</v>
      </c>
      <c r="B168" s="4" t="inlineStr">
        <is>
          <t>10.1016/j.procs.2025.10.018</t>
        </is>
      </c>
      <c r="C168" s="4" t="inlineStr">
        <is>
          <t>Effective AI Techniques for Analyzing Risk Factors in Autism Spectrum Disorder (ASD)</t>
        </is>
      </c>
      <c r="D168" s="4" t="inlineStr">
        <is>
          <t>Include</t>
        </is>
      </c>
      <c r="E168" s="4" t="n"/>
      <c r="F168" s="4" t="inlineStr">
        <is>
          <t>Multisource tabular (clinical + genetic + environmental risk factors)</t>
        </is>
      </c>
      <c r="G168" s="4" t="inlineStr">
        <is>
          <t>Machine Learning</t>
        </is>
      </c>
      <c r="H168" s="4" t="inlineStr">
        <is>
          <t>Random Forest + XGBoost with SHAP</t>
        </is>
      </c>
      <c r="I168" s="4" t="inlineStr">
        <is>
          <t>ASD risk-factor analysis / risk stratification</t>
        </is>
      </c>
      <c r="J168" s="4" t="inlineStr">
        <is>
          <t>Prognosis</t>
        </is>
      </c>
      <c r="K168" s="4" t="inlineStr">
        <is>
          <t>Research only</t>
        </is>
      </c>
      <c r="L168" s="4" t="inlineStr">
        <is>
          <t>Risk-factor research; no deployed prospective risk-stratification workflow</t>
        </is>
      </c>
      <c r="M168" s="4" t="n">
        <v>0</v>
      </c>
      <c r="N168" s="4" t="n">
        <v>0</v>
      </c>
      <c r="O168" s="4" t="n">
        <v>0</v>
      </c>
      <c r="P168" s="4" t="n">
        <v>0</v>
      </c>
      <c r="Q168" s="4" t="n">
        <v>1</v>
      </c>
      <c r="R168" s="4" t="n">
        <v>0</v>
      </c>
      <c r="S168" s="4" t="n">
        <v>1</v>
      </c>
      <c r="T168" s="4" t="inlineStr">
        <is>
          <t>https://doi.org/10.1016/j.procs.2025.10.018</t>
        </is>
      </c>
      <c r="U168" s="4" t="inlineStr">
        <is>
          <t>Applies Random Forest and XGBoost to clinical, genetic and environmental ASD risk variables and uses SHAP to identify influential factors. Risk-factor association and model explanation do not establish causal risk or clinical utility; no independent external or prospective validation was identified.</t>
        </is>
      </c>
      <c r="V168" s="4" t="inlineStr">
        <is>
          <t>Revisión asistida por IA (un revisor; requiere verificación independiente)</t>
        </is>
      </c>
      <c r="W168" s="40" t="n">
        <v>46269</v>
      </c>
    </row>
    <row r="169" ht="99" customHeight="1">
      <c r="A169" s="4" t="n">
        <v>92</v>
      </c>
      <c r="B169" s="4" t="inlineStr">
        <is>
          <t>10.1016/j.cca.2025.120238</t>
        </is>
      </c>
      <c r="C169" s="4" t="inlineStr">
        <is>
          <t>Data independent acquisition proteomics and machine learning reveals that proteins associated with immunity are potential molecular markers for early diagnosis of autism</t>
        </is>
      </c>
      <c r="D169" s="4" t="inlineStr">
        <is>
          <t>Include</t>
        </is>
      </c>
      <c r="E169" s="4" t="n"/>
      <c r="F169" s="4" t="inlineStr">
        <is>
          <t>Biological/omics (serum DIA proteomics)</t>
        </is>
      </c>
      <c r="G169" s="4" t="inlineStr">
        <is>
          <t>Machine Learning</t>
        </is>
      </c>
      <c r="H169" s="4" t="inlineStr">
        <is>
          <t>Eight-protein ML classifier with bidirectional feature screening (abstract reports logic-regression/leave-one-out validation)</t>
        </is>
      </c>
      <c r="I169" s="4" t="inlineStr">
        <is>
          <t>ASD biomarker discovery / diagnostic classification</t>
        </is>
      </c>
      <c r="J169" s="4" t="inlineStr">
        <is>
          <t>Diagnosis</t>
        </is>
      </c>
      <c r="K169" s="4" t="inlineStr">
        <is>
          <t>Research only</t>
        </is>
      </c>
      <c r="L169" s="4" t="inlineStr">
        <is>
          <t>Research serum-biomarker diagnostic model; no deployed workflow</t>
        </is>
      </c>
      <c r="M169" s="4" t="n">
        <v>0</v>
      </c>
      <c r="N169" s="4" t="n">
        <v>0</v>
      </c>
      <c r="O169" s="4" t="n">
        <v>0</v>
      </c>
      <c r="P169" s="4" t="n">
        <v>0</v>
      </c>
      <c r="Q169" s="4" t="n">
        <v>0</v>
      </c>
      <c r="R169" s="4" t="n">
        <v>1</v>
      </c>
      <c r="S169" s="4" t="n">
        <v>0</v>
      </c>
      <c r="T169" s="4" t="inlineStr">
        <is>
          <t>https://pubmed.ncbi.nlm.nih.gov/40185380/</t>
        </is>
      </c>
      <c r="U169" s="4" t="inlineStr">
        <is>
          <t>DIA serum proteomics in 99 ASD and 70 control children yields an eight-protein ML model after bidirectional feature screening; ELISA follow-up is reported for LYZ. Leave-one-out validation is internal; ELISA confirmation of selected proteins is not an independent external cohort test. The sample is geographically limited and biomarker selection can be optimistic without nested external replication.</t>
        </is>
      </c>
      <c r="V169" s="4" t="inlineStr">
        <is>
          <t>Revisión asistida por IA (un revisor; requiere verificación independiente)</t>
        </is>
      </c>
      <c r="W169" s="40" t="n">
        <v>46269</v>
      </c>
    </row>
    <row r="170" ht="86" customHeight="1">
      <c r="A170" s="4" t="n">
        <v>183</v>
      </c>
      <c r="B170" s="4" t="inlineStr">
        <is>
          <t>10.1109/JBHI.2025.3622540</t>
        </is>
      </c>
      <c r="C170" s="4" t="inlineStr">
        <is>
          <t>Adaptive Multi-Scale Dynamic Graph Representation Learning With Overlapping Community-Awareness for ASD Classification</t>
        </is>
      </c>
      <c r="D170" s="4" t="inlineStr">
        <is>
          <t>Include</t>
        </is>
      </c>
      <c r="E170" s="4" t="n"/>
      <c r="F170" s="4" t="inlineStr">
        <is>
          <t>Neuroimaging (resting-state fMRI; ABIDE-I/II)</t>
        </is>
      </c>
      <c r="G170" s="4" t="inlineStr">
        <is>
          <t>Deep Learning</t>
        </is>
      </c>
      <c r="H170" s="4" t="inlineStr">
        <is>
          <t>Ada-MST adaptive multi-scale dynamic graph neural network with overlapping-community-aware readout</t>
        </is>
      </c>
      <c r="I170" s="4" t="inlineStr">
        <is>
          <t>ASD diagnostic classification from dynamic functional connectivity</t>
        </is>
      </c>
      <c r="J170" s="4" t="inlineStr">
        <is>
          <t>Diagnosis</t>
        </is>
      </c>
      <c r="K170" s="4" t="inlineStr">
        <is>
          <t>Research only</t>
        </is>
      </c>
      <c r="L170" s="4" t="inlineStr">
        <is>
          <t>Retrospective ABIDE graph-learning diagnostic classifier</t>
        </is>
      </c>
      <c r="M170" s="4" t="n">
        <v>0</v>
      </c>
      <c r="N170" s="4" t="n">
        <v>1</v>
      </c>
      <c r="O170" s="4" t="n">
        <v>0</v>
      </c>
      <c r="P170" s="4" t="n">
        <v>0</v>
      </c>
      <c r="Q170" s="4" t="n">
        <v>0</v>
      </c>
      <c r="R170" s="4" t="n">
        <v>1</v>
      </c>
      <c r="S170" s="4" t="n">
        <v>0</v>
      </c>
      <c r="T170" s="4" t="inlineStr">
        <is>
          <t>https://pubmed.ncbi.nlm.nih.gov/41359708/</t>
        </is>
      </c>
      <c r="U170" s="4" t="inlineStr">
        <is>
          <t>Ada-MST learns adaptive multi-scale dynamic graph representations from ABIDE-I/II rs-fMRI and includes community-aware readout/visualization for ASD classification. ABIDE-I/II are multisite datasets, but no explicit held-out-site robustness design was established in the accessible report. Visualization was treated as partial interpretability, not strict XAI.</t>
        </is>
      </c>
      <c r="V170" s="4" t="inlineStr">
        <is>
          <t>Revisión asistida por IA (un revisor; requiere verificación independiente)</t>
        </is>
      </c>
      <c r="W170" s="40" t="n">
        <v>46269</v>
      </c>
    </row>
    <row r="171" ht="99" customHeight="1">
      <c r="A171" s="4" t="n">
        <v>198</v>
      </c>
      <c r="B171" s="4" t="inlineStr">
        <is>
          <t>10.1002/jdn.70117</t>
        </is>
      </c>
      <c r="C171" s="4" t="inlineStr">
        <is>
          <t>A Multimodal AI Framework for Early Autism Identification Using CbRNN–Ensemble Modelling and Advanced NCIAPPF-Based Temporal Encoding</t>
        </is>
      </c>
      <c r="D171" s="4" t="inlineStr">
        <is>
          <t>Include</t>
        </is>
      </c>
      <c r="E171" s="4" t="n"/>
      <c r="F171" s="4" t="inlineStr">
        <is>
          <t>Multimodal (facial expressions + eye gaze + speech prosody + behavioral cues)</t>
        </is>
      </c>
      <c r="G171" s="4" t="inlineStr">
        <is>
          <t>Hybrid</t>
        </is>
      </c>
      <c r="H171" s="4" t="inlineStr">
        <is>
          <t>CbRNN-EM + NCIAPPF temporal encoding/fusion</t>
        </is>
      </c>
      <c r="I171" s="4" t="inlineStr">
        <is>
          <t>Early ASD multimodal screening / identification</t>
        </is>
      </c>
      <c r="J171" s="4" t="inlineStr">
        <is>
          <t>Screening</t>
        </is>
      </c>
      <c r="K171" s="4" t="inlineStr">
        <is>
          <t>Proposed only</t>
        </is>
      </c>
      <c r="L171" s="4" t="inlineStr">
        <is>
          <t>Proposed multimodal early-screening framework; no independently validated clinical workflow</t>
        </is>
      </c>
      <c r="M171" s="4" t="n">
        <v>0</v>
      </c>
      <c r="N171" s="4" t="n">
        <v>0</v>
      </c>
      <c r="O171" s="4" t="n">
        <v>0</v>
      </c>
      <c r="P171" s="4" t="n">
        <v>0</v>
      </c>
      <c r="Q171" s="4" t="n">
        <v>0</v>
      </c>
      <c r="R171" s="4" t="n">
        <v>0</v>
      </c>
      <c r="S171" s="4" t="n">
        <v>1</v>
      </c>
      <c r="T171" s="4" t="inlineStr">
        <is>
          <t>https://onlinelibrary.wiley.com/doi/10.1002/jdn.70117</t>
        </is>
      </c>
      <c r="U171" s="4" t="inlineStr">
        <is>
          <t>AutiScan fuses facial-expression, eye-gaze, speech-prosody and behavioral cues using CbRNN-EM and NCIAPPF temporal processing for early ASD identification. High-priority reporting inconsistency: the article describes experimental multimodal analyses, while the publisher Data Availability Statement says that no datasets were generated or analyzed. Independent source/sample and validation verification is required.</t>
        </is>
      </c>
      <c r="V171" s="4" t="inlineStr">
        <is>
          <t>Revisión asistida por IA (un revisor; requiere verificación independiente)</t>
        </is>
      </c>
      <c r="W171" s="40" t="n">
        <v>46269</v>
      </c>
    </row>
    <row r="172" ht="99" customHeight="1">
      <c r="A172" s="4" t="n">
        <v>239</v>
      </c>
      <c r="B172" s="4" t="inlineStr">
        <is>
          <t>10.1002/DNEU.23009</t>
        </is>
      </c>
      <c r="C172" s="4" t="inlineStr">
        <is>
          <t>Real-Time Classification for EEG Data in Children With ASD Using Deep Learning Techniques</t>
        </is>
      </c>
      <c r="D172" s="4" t="inlineStr">
        <is>
          <t>Include</t>
        </is>
      </c>
      <c r="E172" s="4" t="n"/>
      <c r="F172" s="4" t="inlineStr">
        <is>
          <t>Physiological signals (EEG)</t>
        </is>
      </c>
      <c r="G172" s="4" t="inlineStr">
        <is>
          <t>Hybrid</t>
        </is>
      </c>
      <c r="H172" s="4" t="inlineStr">
        <is>
          <t>CNN-LSTM with STFT/ICA preprocessing and grid-search optimization</t>
        </is>
      </c>
      <c r="I172" s="4" t="inlineStr">
        <is>
          <t>EEG-based ASD vs TD diagnostic classification</t>
        </is>
      </c>
      <c r="J172" s="4" t="inlineStr">
        <is>
          <t>Diagnosis</t>
        </is>
      </c>
      <c r="K172" s="4" t="inlineStr">
        <is>
          <t>Research only</t>
        </is>
      </c>
      <c r="L172" s="4" t="inlineStr">
        <is>
          <t>Experimental pediatric EEG diagnostic classifier; no deployed real-time clinical workflow</t>
        </is>
      </c>
      <c r="M172" s="4" t="n">
        <v>0</v>
      </c>
      <c r="N172" s="4" t="n">
        <v>0</v>
      </c>
      <c r="O172" s="4" t="n">
        <v>0</v>
      </c>
      <c r="P172" s="4" t="n">
        <v>0</v>
      </c>
      <c r="Q172" s="4" t="n">
        <v>0</v>
      </c>
      <c r="R172" s="4" t="n">
        <v>0</v>
      </c>
      <c r="S172" s="4" t="n">
        <v>0</v>
      </c>
      <c r="T172" s="4" t="inlineStr">
        <is>
          <t>https://onlinelibrary.wiley.com/doi/10.1002/dneu.23009</t>
        </is>
      </c>
      <c r="U172" s="4" t="inlineStr">
        <is>
          <t>EEG from 60 children (30 ASD/30 TD) is processed with STFT/ICA and classified using CNN-LSTM; the paper reports 87.5% accuracy, while a ResNet baseline reports 89.1%. High-priority internal inconsistency: the abstract states that a 60-child EEG dataset was analyzed, while the publisher Data Availability Statement says no datasets were generated or analyzed. No external cohort or real-time prospective deployment was established.</t>
        </is>
      </c>
      <c r="V172" s="4" t="inlineStr">
        <is>
          <t>Revisión asistida por IA (un revisor; requiere verificación independiente)</t>
        </is>
      </c>
      <c r="W172" s="40" t="n">
        <v>46269</v>
      </c>
    </row>
    <row r="173" ht="99" customHeight="1">
      <c r="A173" s="4" t="n">
        <v>400</v>
      </c>
      <c r="B173" s="4" t="inlineStr">
        <is>
          <t>10.1007/s12035-026-05911-y</t>
        </is>
      </c>
      <c r="C173" s="4" t="inlineStr">
        <is>
          <t>Mitochondrial Gene Signature Reveals Novel Diagnostic Biomarkers for Autism Spectrum Disorder</t>
        </is>
      </c>
      <c r="D173" s="4" t="inlineStr">
        <is>
          <t>Include</t>
        </is>
      </c>
      <c r="E173" s="4" t="n"/>
      <c r="F173" s="4" t="inlineStr">
        <is>
          <t>Biological/omics (postmortem cortical transcriptomics; GEO)</t>
        </is>
      </c>
      <c r="G173" s="4" t="inlineStr">
        <is>
          <t>Machine Learning</t>
        </is>
      </c>
      <c r="H173" s="4" t="inlineStr">
        <is>
          <t>LASSO + Random Forest + SVM-RFE feature selection; ANN/linear predictive model</t>
        </is>
      </c>
      <c r="I173" s="4" t="inlineStr">
        <is>
          <t>ASD mitochondrial-gene biomarker discovery / diagnostic classification</t>
        </is>
      </c>
      <c r="J173" s="4" t="inlineStr">
        <is>
          <t>Diagnosis</t>
        </is>
      </c>
      <c r="K173" s="4" t="inlineStr">
        <is>
          <t>Research only</t>
        </is>
      </c>
      <c r="L173" s="4" t="inlineStr">
        <is>
          <t>Research transcriptomic biomarker model; no clinical deployment</t>
        </is>
      </c>
      <c r="M173" s="4" t="n">
        <v>1</v>
      </c>
      <c r="N173" s="4" t="n">
        <v>1</v>
      </c>
      <c r="O173" s="4" t="n">
        <v>0</v>
      </c>
      <c r="P173" s="4" t="n">
        <v>0</v>
      </c>
      <c r="Q173" s="4" t="n">
        <v>0</v>
      </c>
      <c r="R173" s="4" t="n">
        <v>1</v>
      </c>
      <c r="S173" s="4" t="n">
        <v>0</v>
      </c>
      <c r="T173" s="4" t="inlineStr">
        <is>
          <t>https://pubmed.ncbi.nlm.nih.gov/42098401/</t>
        </is>
      </c>
      <c r="U173" s="4" t="inlineStr">
        <is>
          <t>Mitochondrial-gene signatures are selected from GSE28521 using LASSO/RF/SVM-RFE and evaluated in GSE64018; ANN/linear/nomogram models are reported, with separate mouse qPCR support. External validation is dataset-level but remains retrospective transcriptomic validation; postmortem cortex limits direct clinical deployability, and mouse qPCR is not human clinical validation.</t>
        </is>
      </c>
      <c r="V173" s="4" t="inlineStr">
        <is>
          <t>Revisión asistida por IA (un revisor; requiere verificación independiente)</t>
        </is>
      </c>
      <c r="W173" s="40" t="n">
        <v>46269</v>
      </c>
    </row>
    <row r="174" ht="86" customHeight="1">
      <c r="A174" s="4" t="n">
        <v>411</v>
      </c>
      <c r="B174" s="4" t="inlineStr">
        <is>
          <t>10.1080/17501911.2025.2557186</t>
        </is>
      </c>
      <c r="C174" s="4" t="inlineStr">
        <is>
          <t>Blood-based DNA methylation markers for autism spectrum disorder identification using machine learning</t>
        </is>
      </c>
      <c r="D174" s="4" t="inlineStr">
        <is>
          <t>Include</t>
        </is>
      </c>
      <c r="E174" s="4" t="n"/>
      <c r="F174" s="4" t="inlineStr">
        <is>
          <t>Biological/omics (whole-blood genome-wide DNA methylation)</t>
        </is>
      </c>
      <c r="G174" s="4" t="inlineStr">
        <is>
          <t>Machine Learning</t>
        </is>
      </c>
      <c r="H174" s="4" t="inlineStr">
        <is>
          <t>Random Forest / XGBoost after SVM-RFECV feature selection</t>
        </is>
      </c>
      <c r="I174" s="4" t="inlineStr">
        <is>
          <t>ASD blood methylation biomarker identification / classification</t>
        </is>
      </c>
      <c r="J174" s="4" t="inlineStr">
        <is>
          <t>Diagnosis</t>
        </is>
      </c>
      <c r="K174" s="4" t="inlineStr">
        <is>
          <t>Research only</t>
        </is>
      </c>
      <c r="L174" s="4" t="inlineStr">
        <is>
          <t>Research blood-methylation biomarker model; no deployed workflow</t>
        </is>
      </c>
      <c r="M174" s="4" t="n">
        <v>0</v>
      </c>
      <c r="N174" s="4" t="n">
        <v>0</v>
      </c>
      <c r="O174" s="4" t="n">
        <v>0</v>
      </c>
      <c r="P174" s="4" t="n">
        <v>0</v>
      </c>
      <c r="Q174" s="4" t="n">
        <v>0</v>
      </c>
      <c r="R174" s="4" t="n">
        <v>1</v>
      </c>
      <c r="S174" s="4" t="n">
        <v>0</v>
      </c>
      <c r="T174" s="4" t="inlineStr">
        <is>
          <t>https://pubmed.ncbi.nlm.nih.gov/40923924/</t>
        </is>
      </c>
      <c r="U174" s="4" t="inlineStr">
        <is>
          <t>Whole-blood DNA methylation data (52 ASD, 48 TD) are reduced using SVM-RFECV and classified with RF/XGBoost/DT; RF and XGBoost are reported as best-performing. Small single public dataset with no independent external cohort; feature selection and model evaluation on the same source can inflate biomarker optimism without external replication.</t>
        </is>
      </c>
      <c r="V174" s="4" t="inlineStr">
        <is>
          <t>Revisión asistida por IA (un revisor; requiere verificación independiente)</t>
        </is>
      </c>
      <c r="W174" s="40" t="n">
        <v>46269</v>
      </c>
    </row>
    <row r="175" ht="99" customHeight="1">
      <c r="A175" s="4" t="n">
        <v>412</v>
      </c>
      <c r="B175" s="4" t="inlineStr">
        <is>
          <t>10.1007/S42979-026-04806-Y</t>
        </is>
      </c>
      <c r="C175" s="4" t="inlineStr">
        <is>
          <t>Federated Transformer-Based Deep Learning Framework for Secure and Early Autism Diagnosis</t>
        </is>
      </c>
      <c r="D175" s="4" t="inlineStr">
        <is>
          <t>Include</t>
        </is>
      </c>
      <c r="E175" s="4" t="n"/>
      <c r="F175" s="4" t="inlineStr">
        <is>
          <t>Multi-dataset ASD data (ABIDE-derived neuroimaging features + SPARK behavioral assessment)</t>
        </is>
      </c>
      <c r="G175" s="4" t="inlineStr">
        <is>
          <t>Deep Learning</t>
        </is>
      </c>
      <c r="H175" s="4" t="inlineStr">
        <is>
          <t>Federated Transformer encoder with secure aggregation / federated weighted averaging</t>
        </is>
      </c>
      <c r="I175" s="4" t="inlineStr">
        <is>
          <t>Federated ASD diagnostic classification / early diagnosis</t>
        </is>
      </c>
      <c r="J175" s="4" t="inlineStr">
        <is>
          <t>Diagnosis</t>
        </is>
      </c>
      <c r="K175" s="4" t="inlineStr">
        <is>
          <t>Proposed only</t>
        </is>
      </c>
      <c r="L175" s="4" t="inlineStr">
        <is>
          <t>Federated-learning diagnostic framework across distributed datasets/locations; no prospective clinical deployment</t>
        </is>
      </c>
      <c r="M175" s="4" t="n">
        <v>0</v>
      </c>
      <c r="N175" s="4" t="n">
        <v>1</v>
      </c>
      <c r="O175" s="4" t="n">
        <v>0</v>
      </c>
      <c r="P175" s="4" t="n">
        <v>0</v>
      </c>
      <c r="Q175" s="4" t="n">
        <v>0</v>
      </c>
      <c r="R175" s="4" t="n">
        <v>0</v>
      </c>
      <c r="S175" s="4" t="n">
        <v>1</v>
      </c>
      <c r="T175" s="4" t="inlineStr">
        <is>
          <t>https://doi.org/10.1007/S42979-026-04806-Y</t>
        </is>
      </c>
      <c r="U175" s="4" t="inlineStr">
        <is>
          <t>A federated Transformer framework is evaluated on ABIDE- and SPARK-derived data with secure aggregation and model compression, reporting very high classification accuracy. Federated/multisite training is not equivalent to a held-out-site robustness test. The accessible evidence does not establish independent external or prospective clinical validation, and near-ceiling accuracy requires leakage/partition checks.</t>
        </is>
      </c>
      <c r="V175" s="4" t="inlineStr">
        <is>
          <t>Revisión asistida por IA (un revisor; requiere verificación independiente)</t>
        </is>
      </c>
      <c r="W175" s="40" t="n">
        <v>46269</v>
      </c>
    </row>
    <row r="176" ht="112" customHeight="1">
      <c r="A176" s="4" t="n">
        <v>415</v>
      </c>
      <c r="B176" s="4" t="inlineStr">
        <is>
          <t>10.1007/S00521-025-11553-3</t>
        </is>
      </c>
      <c r="C176" s="4" t="inlineStr">
        <is>
          <t>Artificial intelligence-based diagnostic model for autism spectrum disorder using blood biomarkers</t>
        </is>
      </c>
      <c r="D176" s="4" t="inlineStr">
        <is>
          <t>Include</t>
        </is>
      </c>
      <c r="E176" s="4" t="n"/>
      <c r="F176" s="4" t="inlineStr">
        <is>
          <t>Mixed ASD benchmark data (blood-biomarker source + structured screening datasets; exact primary dataset requires verification)</t>
        </is>
      </c>
      <c r="G176" s="4" t="inlineStr">
        <is>
          <t>Deep Learning</t>
        </is>
      </c>
      <c r="H176" s="4" t="inlineStr">
        <is>
          <t>ASA: Improved Genetic Algorithm feature selection + Optimized Deep Neural Network (ODNN)</t>
        </is>
      </c>
      <c r="I176" s="4" t="inlineStr">
        <is>
          <t>ASD automated screening / diagnostic classification</t>
        </is>
      </c>
      <c r="J176" s="4" t="inlineStr">
        <is>
          <t>Screening</t>
        </is>
      </c>
      <c r="K176" s="4" t="inlineStr">
        <is>
          <t>Proposed only</t>
        </is>
      </c>
      <c r="L176" s="4" t="inlineStr">
        <is>
          <t>Proposed automatic ASD screening model; exact dataset lineage requires verification</t>
        </is>
      </c>
      <c r="M176" s="4" t="n">
        <v>0</v>
      </c>
      <c r="N176" s="4" t="n">
        <v>1</v>
      </c>
      <c r="O176" s="4" t="n">
        <v>0</v>
      </c>
      <c r="P176" s="4" t="n">
        <v>0</v>
      </c>
      <c r="Q176" s="4" t="n">
        <v>0</v>
      </c>
      <c r="R176" s="4" t="n">
        <v>1</v>
      </c>
      <c r="S176" s="4" t="n">
        <v>0</v>
      </c>
      <c r="T176" s="4" t="inlineStr">
        <is>
          <t>https://link.springer.com/article/10.1007/s00521-025-11553-3</t>
        </is>
      </c>
      <c r="U176" s="4" t="inlineStr">
        <is>
          <t>The ASA framework combines information-gain/Genetic-Algorithm feature selection with an optimized DNN and reports approximately 99% accuracy. 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t>
        </is>
      </c>
      <c r="V176" s="4" t="inlineStr">
        <is>
          <t>Revisión asistida por IA (un revisor; requiere verificación independiente)</t>
        </is>
      </c>
      <c r="W176" s="40" t="n">
        <v>46269</v>
      </c>
    </row>
    <row r="177" ht="86" customHeight="1">
      <c r="A177" s="4" t="n">
        <v>416</v>
      </c>
      <c r="B177" s="4" t="inlineStr">
        <is>
          <t>10.1007/S42452-026-08352-3</t>
        </is>
      </c>
      <c r="C177" s="4" t="inlineStr">
        <is>
          <t>An explainable deep learning framework for screening level autism severity using behavioural data</t>
        </is>
      </c>
      <c r="D177" s="4" t="inlineStr">
        <is>
          <t>Include</t>
        </is>
      </c>
      <c r="E177" s="4" t="n"/>
      <c r="F177" s="4" t="inlineStr">
        <is>
          <t>Structured behavioral/questionnaire ASD screening data (Kaggle/UCI)</t>
        </is>
      </c>
      <c r="G177" s="4" t="inlineStr">
        <is>
          <t>Deep Learning</t>
        </is>
      </c>
      <c r="H177" s="4" t="inlineStr">
        <is>
          <t>BiLSTM-CGBO</t>
        </is>
      </c>
      <c r="I177" s="4" t="inlineStr">
        <is>
          <t>ASD screening-level classification and severity estimation</t>
        </is>
      </c>
      <c r="J177" s="4" t="inlineStr">
        <is>
          <t>Screening</t>
        </is>
      </c>
      <c r="K177" s="4" t="inlineStr">
        <is>
          <t>Proposed only</t>
        </is>
      </c>
      <c r="L177" s="4" t="inlineStr">
        <is>
          <t>Proposed explainable structured-data screening classifier; no independent clinical validation</t>
        </is>
      </c>
      <c r="M177" s="4" t="n">
        <v>0</v>
      </c>
      <c r="N177" s="4" t="n">
        <v>1</v>
      </c>
      <c r="O177" s="4" t="n">
        <v>0</v>
      </c>
      <c r="P177" s="4" t="n">
        <v>0</v>
      </c>
      <c r="Q177" s="4" t="n">
        <v>1</v>
      </c>
      <c r="R177" s="4" t="n">
        <v>0</v>
      </c>
      <c r="S177" s="4" t="n">
        <v>0</v>
      </c>
      <c r="T177" s="4" t="inlineStr">
        <is>
          <t>https://doi.org/10.1007/S42452-026-08352-3</t>
        </is>
      </c>
      <c r="U177" s="4" t="inlineStr">
        <is>
          <t>BiLSTM-CGBO is trained on harmonized Kaggle/UCI behavioral screening data and uses SHAP for feature-level explanations of screening/severity outputs. The severity target is closely tied to deterministic behavioral scoring and is not an independently clinician-annotated diagnostic endpoint; no independent external clinical cohort is provided.</t>
        </is>
      </c>
      <c r="V177" s="4" t="inlineStr">
        <is>
          <t>Revisión asistida por IA (un revisor; requiere verificación independiente)</t>
        </is>
      </c>
      <c r="W177" s="40" t="n">
        <v>46269</v>
      </c>
    </row>
    <row r="178" ht="112" customHeight="1">
      <c r="A178" s="4" t="n">
        <v>421</v>
      </c>
      <c r="B178" s="4" t="inlineStr">
        <is>
          <t>10.1109/TMRB.2026.3680976</t>
        </is>
      </c>
      <c r="C178" s="4" t="inlineStr">
        <is>
          <t>Edge-Based Robot-Assisted Hand Gesture Recognition for Autism Intervention Using Hybrid Keyframe Selection and Contrastive Learning</t>
        </is>
      </c>
      <c r="D178" s="4" t="inlineStr">
        <is>
          <t>Include</t>
        </is>
      </c>
      <c r="E178" s="4" t="n"/>
      <c r="F178" s="4" t="inlineStr">
        <is>
          <t>Behavioral video / skeletal hand-gesture landmarks (robot-assisted HRI)</t>
        </is>
      </c>
      <c r="G178" s="4" t="inlineStr">
        <is>
          <t>Deep Learning</t>
        </is>
      </c>
      <c r="H178" s="4" t="inlineStr">
        <is>
          <t>Hybrid keyframe selection + 1D CNN + contrastive learning on CARAT edge robot</t>
        </is>
      </c>
      <c r="I178" s="4" t="inlineStr">
        <is>
          <t>Robot-assisted hand-gesture recognition/correction for ASD intervention</t>
        </is>
      </c>
      <c r="J178" s="4" t="inlineStr">
        <is>
          <t>Monitoring/intervention</t>
        </is>
      </c>
      <c r="K178" s="4" t="inlineStr">
        <is>
          <t>Proposed only</t>
        </is>
      </c>
      <c r="L178" s="4" t="inlineStr">
        <is>
          <t>Edge-deployed robot-assisted gesture-learning prototype evaluated with autistic children; intervention efficacy not established</t>
        </is>
      </c>
      <c r="M178" s="4" t="n">
        <v>0</v>
      </c>
      <c r="N178" s="4" t="n">
        <v>0</v>
      </c>
      <c r="O178" s="4" t="n">
        <v>0</v>
      </c>
      <c r="P178" s="4" t="n">
        <v>1</v>
      </c>
      <c r="Q178" s="4" t="n">
        <v>0</v>
      </c>
      <c r="R178" s="4" t="n">
        <v>0</v>
      </c>
      <c r="S178" s="4" t="n">
        <v>0</v>
      </c>
      <c r="T178" s="4" t="inlineStr">
        <is>
          <t>https://doi.org/10.1109/TMRB.2026.3680976</t>
        </is>
      </c>
      <c r="U178" s="4" t="inlineStr">
        <is>
          <t>CARAT uses MediaPipe landmarks, hybrid keyframe selection, 1D convolution and contrastive learning for real-time gesture recognition/correction; data were collected with healthy and autistic children and ASD recognition accuracy is reported at 96.42%. The study validates gesture-recognition performance, not therapeutic efficacy or durable social-skill improvement. Therefore the system is intervention-oriented but not coded as confirmed clinical intervention effectiveness.</t>
        </is>
      </c>
      <c r="V178" s="4" t="inlineStr">
        <is>
          <t>Revisión asistida por IA (un revisor; requiere verificación independiente)</t>
        </is>
      </c>
      <c r="W178" s="40" t="n">
        <v>46269</v>
      </c>
    </row>
    <row r="179" ht="112" customHeight="1">
      <c r="A179" s="4" t="n">
        <v>423</v>
      </c>
      <c r="B179" s="4" t="inlineStr">
        <is>
          <t>10.1109/ACCESS.2026.3674057</t>
        </is>
      </c>
      <c r="C179" s="4" t="inlineStr">
        <is>
          <t>Toward a Smartwatch-Based System for Automated Social Interaction Monitoring in Autism</t>
        </is>
      </c>
      <c r="D179" s="4" t="inlineStr">
        <is>
          <t>Include</t>
        </is>
      </c>
      <c r="E179" s="4" t="n"/>
      <c r="F179" s="4" t="inlineStr">
        <is>
          <t>Multimodal wearable data (smartwatch audio/voice + heart-rate physiology)</t>
        </is>
      </c>
      <c r="G179" s="4" t="inlineStr">
        <is>
          <t>Deep Learning</t>
        </is>
      </c>
      <c r="H179" s="4" t="inlineStr">
        <is>
          <t>Enhanced pyannote-audio speaker diarization with physiologic alignment/cloud pipeline</t>
        </is>
      </c>
      <c r="I179" s="4" t="inlineStr">
        <is>
          <t>Automated longitudinal social-interaction monitoring in ASD</t>
        </is>
      </c>
      <c r="J179" s="4" t="inlineStr">
        <is>
          <t>Monitoring/intervention</t>
        </is>
      </c>
      <c r="K179" s="4" t="inlineStr">
        <is>
          <t>Confirmed in workflow</t>
        </is>
      </c>
      <c r="L179" s="4" t="inlineStr">
        <is>
          <t>Wearable monitoring workflow tested with formally diagnosed ASD participants in controlled and naturalistic settings</t>
        </is>
      </c>
      <c r="M179" s="4" t="n">
        <v>0</v>
      </c>
      <c r="N179" s="4" t="n">
        <v>0</v>
      </c>
      <c r="O179" s="4" t="n">
        <v>0</v>
      </c>
      <c r="P179" s="4" t="n">
        <v>1</v>
      </c>
      <c r="Q179" s="4" t="n">
        <v>0</v>
      </c>
      <c r="R179" s="4" t="n">
        <v>0</v>
      </c>
      <c r="S179" s="4" t="n">
        <v>1</v>
      </c>
      <c r="T179" s="4" t="inlineStr">
        <is>
          <t>https://doi.org/10.1109/ACCESS.2026.3674057</t>
        </is>
      </c>
      <c r="U179" s="4" t="inlineStr">
        <is>
          <t>A smartwatch/cloud system combines deep-learning speaker diarization with heart-rate data; it was tested with formally diagnosed ASD participants and in naturalistic social-interaction recordings, supporting an actual monitoring workflow. Sample sizes are small and staged, and the work evaluates measurement/diarization rather than downstream clinical outcomes. Generalization across acoustic contexts, ages, devices and sites remains unproven.</t>
        </is>
      </c>
      <c r="V179" s="4" t="inlineStr">
        <is>
          <t>Revisión asistida por IA (un revisor; requiere verificación independiente)</t>
        </is>
      </c>
      <c r="W179" s="40" t="n">
        <v>46269</v>
      </c>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P193"/>
  <sheetViews>
    <sheetView showGridLines="0" workbookViewId="0">
      <selection activeCell="A1" sqref="A1"/>
    </sheetView>
  </sheetViews>
  <sheetFormatPr baseColWidth="8" defaultRowHeight="15"/>
  <cols>
    <col width="14" customWidth="1" min="1" max="1"/>
    <col width="20" customWidth="1" min="2" max="2"/>
    <col width="55" customWidth="1" min="3" max="3"/>
    <col width="44" customWidth="1" min="4" max="4"/>
    <col width="20" customWidth="1" min="5" max="5"/>
    <col width="20" customWidth="1" min="6" max="6"/>
    <col width="20" customWidth="1" min="7" max="7"/>
    <col width="28" customWidth="1" min="8" max="8"/>
    <col width="28" customWidth="1" min="9" max="9"/>
    <col width="20" customWidth="1" min="10" max="10"/>
    <col width="65" customWidth="1" min="11" max="11"/>
    <col width="28" customWidth="1" min="12" max="12"/>
    <col width="17" customWidth="1" min="13" max="13"/>
    <col width="44" customWidth="1" min="14" max="14"/>
    <col width="20" customWidth="1" min="15" max="15"/>
    <col width="20" customWidth="1" min="16" max="16"/>
  </cols>
  <sheetData>
    <row r="1" ht="52" customHeight="1">
      <c r="A1" s="6" t="inlineStr">
        <is>
          <t>bib_index</t>
        </is>
      </c>
      <c r="B1" s="6" t="inlineStr">
        <is>
          <t>año</t>
        </is>
      </c>
      <c r="C1" s="6" t="inlineStr">
        <is>
          <t>título</t>
        </is>
      </c>
      <c r="D1" s="6" t="inlineStr">
        <is>
          <t>DOI</t>
        </is>
      </c>
      <c r="E1" s="6" t="inlineStr">
        <is>
          <t>autores</t>
        </is>
      </c>
      <c r="F1" s="6" t="inlineStr">
        <is>
          <t>revista_o_libro</t>
        </is>
      </c>
      <c r="G1" s="6" t="inlineStr">
        <is>
          <t>screening_decision</t>
        </is>
      </c>
      <c r="H1" s="6" t="inlineStr">
        <is>
          <t>full_text_status</t>
        </is>
      </c>
      <c r="I1" s="6" t="inlineStr">
        <is>
          <t>integrity_status</t>
        </is>
      </c>
      <c r="J1" s="6" t="inlineStr">
        <is>
          <t>full_text_decision</t>
        </is>
      </c>
      <c r="K1" s="6" t="inlineStr">
        <is>
          <t>final_exclusion_reason</t>
        </is>
      </c>
      <c r="L1" s="6" t="inlineStr">
        <is>
          <t>reviewer</t>
        </is>
      </c>
      <c r="M1" s="39" t="inlineStr">
        <is>
          <t>decision_date</t>
        </is>
      </c>
      <c r="N1" s="6" t="inlineStr">
        <is>
          <t>URL_fuente</t>
        </is>
      </c>
      <c r="O1" s="6" t="inlineStr">
        <is>
          <t>nota_verificación</t>
        </is>
      </c>
      <c r="P1" s="6" t="inlineStr">
        <is>
          <t>resumen</t>
        </is>
      </c>
    </row>
    <row r="2" ht="409" customHeight="1">
      <c r="A2" s="4" t="n">
        <v>1</v>
      </c>
      <c r="B2" s="4" t="n">
        <v>2025</v>
      </c>
      <c r="C2" s="4" t="inlineStr">
        <is>
          <t>A novel thermal imaging-based framework for continuous ASD classification and behavior analysis using facial mood and skin temperature features</t>
        </is>
      </c>
      <c r="D2" s="4" t="inlineStr">
        <is>
          <t>10.1016/j.bspc.2024.107009</t>
        </is>
      </c>
      <c r="E2" s="4" t="inlineStr">
        <is>
          <t>Kandukuri Muniraja Manjunath and Vijayaraghavan Veeramani</t>
        </is>
      </c>
      <c r="F2" s="4" t="inlineStr">
        <is>
          <t>Biomedical Signal Processing and Control</t>
        </is>
      </c>
      <c r="G2" s="4" t="inlineStr">
        <is>
          <t>Incluir provisionalmente</t>
        </is>
      </c>
      <c r="H2" s="4" t="inlineStr">
        <is>
          <t>Retrieved and reviewed</t>
        </is>
      </c>
      <c r="I2" s="4" t="n"/>
      <c r="J2" s="4" t="inlineStr">
        <is>
          <t>Include</t>
        </is>
      </c>
      <c r="K2" s="4" t="n"/>
      <c r="L2" s="4" t="inlineStr">
        <is>
          <t>Revisión asistida por IA (un revisor; requiere verificación independiente)</t>
        </is>
      </c>
      <c r="M2" s="40" t="n">
        <v>46269</v>
      </c>
      <c r="N2" s="4" t="inlineStr">
        <is>
          <t>https://www.sciencedirect.com/science/article/pii/S174680942401067X</t>
        </is>
      </c>
      <c r="O2" s="4" t="inlineStr">
        <is>
          <t>Texto completo/contenido integral evaluable revisado; extracción RQ disponible. Nivel de fuente y limitaciones documentados en Lote_01_25.</t>
        </is>
      </c>
      <c r="P2" s="4" t="inlineStr">
        <is>
          <t>Autism Spectrum Disorder (ASD) is a developmental impairment with brain abnormalities, characterized by social communication deficits and repetitive behavior patterns per recent diagnostic criteria. The Aberrant Behavior Checklist (ABC) is commonly used to analyze these behaviors and guide medication dosage. However, the short duration of ABC measurements may not accurately capture the full spectrum of ASD severity, such as mild, moderate, or severe, potentially leading to adverse drug effects. Therefore, continuous monitoring is necessary for accurate ASD classification to provide appropriate dosages. To address this challenge, a novel thermal imaging-based framework for ASD classification has been proposed, integrating continuous behavioral analysis to optimize medication dosage. The approach utilizes skin temperature and facial mood (FM) features extracted from thermal images. The Deep Network-based Facial Mood Extraction (DN-FME) model efficiently extracts facial mood features while mitigating high memory usage, computation speed issues, and overfitting. The DN-FME model demonstrated a performance accuracy of 96.39%, precision of 96.60%, recall of 96.53%, and an F1 score of 96.54%. For classification, features from skin temperature and facial moods were analyzed using machine learning classifiers: Random Forest (RF), Support Vector Machine (SVM), and K-Nearest Neighbor (KNN). The RF and SVM classifiers achieved an accuracy of 98.33%, while the KNN classifier achieved an accuracy of 90.00%. Unlike existing methods focusing mainly on severe ASD stages, this framework evaluates mild, moderate, and severe stages, demonstrating superior accuracy compared to traditional clinical assessments and observational techniques. This allows for more precise medication dosage adjustments for ASD children.</t>
        </is>
      </c>
    </row>
    <row r="3" ht="409" customHeight="1">
      <c r="A3" s="4" t="n">
        <v>3</v>
      </c>
      <c r="B3" s="4" t="n">
        <v>2025</v>
      </c>
      <c r="C3" s="4" t="inlineStr">
        <is>
          <t>Efficient machine learning models across multiple datasets for autism spectrum disorder diagnoses</t>
        </is>
      </c>
      <c r="D3" s="4" t="inlineStr">
        <is>
          <t>10.1016/j.bspc.2024.106949</t>
        </is>
      </c>
      <c r="E3" s="4" t="inlineStr">
        <is>
          <t>Amr E Eldin Rashed and Waleed M Bahgat and Ali Ahmed and Tamer Ahmed Farrag and Ahmed E Mansour Atwa</t>
        </is>
      </c>
      <c r="F3" s="4" t="inlineStr">
        <is>
          <t>Biomedical Signal Processing and Control</t>
        </is>
      </c>
      <c r="G3" s="4" t="inlineStr">
        <is>
          <t>Incluir provisionalmente</t>
        </is>
      </c>
      <c r="H3" s="4" t="inlineStr">
        <is>
          <t>Retrieved and reviewed</t>
        </is>
      </c>
      <c r="I3" s="4" t="n"/>
      <c r="J3" s="4" t="inlineStr">
        <is>
          <t>Include</t>
        </is>
      </c>
      <c r="K3" s="4" t="n"/>
      <c r="L3" s="4" t="inlineStr">
        <is>
          <t>Revisión asistida por IA (un revisor; requiere verificación independiente)</t>
        </is>
      </c>
      <c r="M3" s="40" t="n">
        <v>46269</v>
      </c>
      <c r="N3" s="4" t="inlineStr">
        <is>
          <t>https://www.sciencedirect.com/science/article/pii/S1746809424010073</t>
        </is>
      </c>
      <c r="O3" s="4" t="inlineStr">
        <is>
          <t>Texto completo/contenido integral evaluable revisado; extracción RQ disponible. Nivel de fuente y limitaciones documentados en Lote_01_25.</t>
        </is>
      </c>
      <c r="P3" s="4" t="inlineStr">
        <is>
          <t>Autism Spectrum Disorder (ASD) presents a complex neurodevelopmental challenge with diverse behavioral symptoms that overlap with other mental disorders, complicating diagnosis. Challenges in existing systems include the complexity and diversity of ASD symptoms, as well as the need for innovative and efficient detection strategies across different age groups. The application of machine learning (ML) offers a promising avenue for revolutionizing ASD prediction and diagnosis. The proposed work aims to overcome these challenges by leveraging ML and Automated Machine Learning (AutoML) techniques, combined with comprehensive datasets and advanced analytics, to enhance ASD detection and prediction capabilities. This study introduces the Autism Spectrum Disorder Detection (ASDD) Framework, which systematically applies ML and AutoML across text-based datasets for various age groups. A combined dataset is generated through the concatenation of various data sources, enriching the diagnostic scope. The framework incorporates AutoML tools such as Lazy Predict, TPOT, and AutoKeras, alongside feature selection methods like Principal Component Analysis (PCA) and Chi-Square. It also employs robust hyperparameter optimization techniques, including Bayesian optimization, Random Search, and genetic algorithms, and uses advanced ensemble methods like voting and bagging to boost prediction accuracy. An empirical evaluation of 27 distinct ML models across seven datasets, including a synthesized dataset named DB8, demonstrates exceptional performance, with many models achieving 100% accuracy and perfect F1 scores in various contexts. These outcomes highlight the effectiveness of the proposed framework in advancing ASD detection and prediction methodologies.</t>
        </is>
      </c>
    </row>
    <row r="4" ht="409" customHeight="1">
      <c r="A4" s="4" t="n">
        <v>4</v>
      </c>
      <c r="B4" s="4" t="n">
        <v>2025</v>
      </c>
      <c r="C4" s="4" t="inlineStr">
        <is>
          <t>EmoLand: Utilizing narrative animations, multilevel games, and affective computing to foster emotional development in children with autism spectrum disorder</t>
        </is>
      </c>
      <c r="D4" s="4" t="inlineStr">
        <is>
          <t>10.1016/j.ijhcs.2025.103486</t>
        </is>
      </c>
      <c r="E4" s="4" t="inlineStr">
        <is>
          <t>Min Fan and Sheng Jin and Jianyu Fan and Wenchen Guo and Xuxin Chen</t>
        </is>
      </c>
      <c r="F4" s="4" t="inlineStr">
        <is>
          <t>International Journal of Human Computer Studies</t>
        </is>
      </c>
      <c r="G4" s="4" t="inlineStr">
        <is>
          <t>Incluir provisionalmente</t>
        </is>
      </c>
      <c r="H4" s="4" t="inlineStr">
        <is>
          <t>Retrieved and reviewed</t>
        </is>
      </c>
      <c r="I4" s="4" t="n"/>
      <c r="J4" s="4" t="inlineStr">
        <is>
          <t>Include</t>
        </is>
      </c>
      <c r="K4" s="4" t="n"/>
      <c r="L4" s="4" t="inlineStr">
        <is>
          <t>Revisión asistida por IA (un revisor; requiere verificación independiente)</t>
        </is>
      </c>
      <c r="M4" s="40" t="n">
        <v>46269</v>
      </c>
      <c r="N4" s="4" t="inlineStr">
        <is>
          <t>https://www.researchgate.net/publication/389491878_EmoLand_Utilizing_Narrative_Animations_Multilevel_Games_and_Affective_Computing_to_Foster_Emotional_Development_in_Children_with_Autism_Spectrum_Disorder</t>
        </is>
      </c>
      <c r="O4" s="4" t="inlineStr">
        <is>
          <t>Texto completo/contenido integral evaluable revisado; extracción RQ disponible. Nivel de fuente y limitaciones documentados en Lote_01_25.</t>
        </is>
      </c>
      <c r="P4" s="4" t="inlineStr">
        <is>
          <t>Emotional skills are crucial for a child's success, though children with autism spectrum disorder (ASD) face challenges in understanding social contexts, as well as recognizing and expressing facial expressions. We present EmoLand, a web-based interactive system that utilizes narrative animations, multilevel games, and artificial intelligence (AI) affective computing to instruct children with ASD about neurotypical emotions and facial expressions in social contexts. The paper sets out the iterative design process used, which was informed by ASD intervention theories, empirical studies focused on children with ASD and their educators (tutors, therapists, parents), and multiple discipline expert inputs. A preliminary evaluation involving twelve children with ASD (aged 4 to 7 years) and five tutors suggests that EmoLand is a viable teaching aid for ASD educators and effectively assists children in learning and applying generalized knowledge about emotions and facial expressions. In this paper, we discuss the design approach and key lessons learned for creating interactive AI systems for children with ASD and explore beneficial considerations for enhancing emotional development.</t>
        </is>
      </c>
    </row>
    <row r="5" ht="409" customHeight="1">
      <c r="A5" s="4" t="n">
        <v>5</v>
      </c>
      <c r="B5" s="4" t="n">
        <v>2025</v>
      </c>
      <c r="C5" s="4" t="inlineStr">
        <is>
          <t>An exploration of machine learning approaches for early Autism Spectrum Disorder detection</t>
        </is>
      </c>
      <c r="D5" s="4" t="inlineStr">
        <is>
          <t>10.1016/j.health.2024.100379</t>
        </is>
      </c>
      <c r="E5" s="4" t="inlineStr">
        <is>
          <t>Nawshin Haque and Tania Islam and Md Erfan</t>
        </is>
      </c>
      <c r="F5" s="4" t="inlineStr">
        <is>
          <t>Healthcare Analytics</t>
        </is>
      </c>
      <c r="G5" s="4" t="inlineStr">
        <is>
          <t>Incluir provisionalmente</t>
        </is>
      </c>
      <c r="H5" s="4" t="inlineStr">
        <is>
          <t>Eligibility reviewed from accessible primary-source content; scoped adjudication completed</t>
        </is>
      </c>
      <c r="I5" s="4" t="n"/>
      <c r="J5" s="4" t="inlineStr">
        <is>
          <t>Include</t>
        </is>
      </c>
      <c r="K5" s="4" t="n"/>
      <c r="L5" s="4" t="inlineStr">
        <is>
          <t>Revisión asistida por IA (un revisor; requiere verificación independiente)</t>
        </is>
      </c>
      <c r="M5" s="40" t="n">
        <v>46269</v>
      </c>
      <c r="N5" s="4" t="inlineStr">
        <is>
          <t>https://www.sciencedirect.com/science/article/pii/S2772442524000819</t>
        </is>
      </c>
      <c r="O5" s="4" t="inlineStr">
        <is>
          <t>Contenido primario accesible revisado y adjudicación RQ cerrada en Lote_06_22. Nivel de evidencia, limitaciones y prioridad de verificación humana documentados en Lote_06_22.</t>
        </is>
      </c>
      <c r="P5" s="4" t="inlineStr">
        <is>
          <t>Autism Spectrum Disorder is a neurodevelopmental condition impacting an individual's repetitive behaviours, social skills, verbal and nonverbal communication abilities, and capacity for acquiring new knowledge. Manifesting typically in early childhood, specifically between 6 months and 5 years, the symptoms of autism exhibit a progressive nature over time. This study explores the application of Logistic Regression, Support Vector Classifier, K-Nearest Neighbour, Decision Tree, and Random Forest for predicting Autism in children and toddlers by leveraging advancements in machine learning. The efficacy of these techniques is evaluated using publicly accessible datasets specific to both age groups. The findings indicate remarkable performance, with the toddler dataset achieving a mean Intersection over Union (mIoU) of 100% for Support Vector Classifier and 99.80% for Logistic Regression. Similarly, the children dataset demonstrates outstanding results, achieving an mIoU of 100% for Support Vector Classifier and 99.96% for Logistic Regression. Furthermore, all algorithms achieved 100% accuracy on the children (age 4–11) dataset collected from real-world sources. Logistic Regression, Random Forest, Support Vector Classifier, and Decision Tree attained 100% accuracy and mIoU with the real-world dataset. These results underscore the potential of machine learning in aiding the early detection of ASD in children and toddlers, offering promising avenues for future research and clinical applications.</t>
        </is>
      </c>
    </row>
    <row r="6" ht="409" customHeight="1">
      <c r="A6" s="4" t="n">
        <v>7</v>
      </c>
      <c r="B6" s="4" t="n">
        <v>2025</v>
      </c>
      <c r="C6" s="4" t="inlineStr">
        <is>
          <t>Hybrid optimization enabled DenseNet for autism spectrum disorders using MRI image</t>
        </is>
      </c>
      <c r="D6" s="4" t="inlineStr">
        <is>
          <t>10.1016/j.compbiolchem.2024.108335</t>
        </is>
      </c>
      <c r="E6" s="4" t="inlineStr">
        <is>
          <t>Ulaganathan Sakthi and Pon Harshavardhanan and N V Ganapathi Raju and G Parthasarathy</t>
        </is>
      </c>
      <c r="F6" s="4" t="inlineStr">
        <is>
          <t>Computational Biology and Chemistry</t>
        </is>
      </c>
      <c r="G6" s="4" t="inlineStr">
        <is>
          <t>Incluir provisionalmente</t>
        </is>
      </c>
      <c r="H6" s="4" t="inlineStr">
        <is>
          <t>Retrieved and reviewed</t>
        </is>
      </c>
      <c r="I6" s="4" t="n"/>
      <c r="J6" s="4" t="inlineStr">
        <is>
          <t>Include</t>
        </is>
      </c>
      <c r="K6" s="4" t="n"/>
      <c r="L6" s="4" t="inlineStr">
        <is>
          <t>Revisión asistida por IA (un revisor; requiere verificación independiente)</t>
        </is>
      </c>
      <c r="M6" s="40" t="n">
        <v>46269</v>
      </c>
      <c r="N6" s="4" t="inlineStr">
        <is>
          <t>https://www.sciencedirect.com/science/article/pii/S1476927124003232</t>
        </is>
      </c>
      <c r="O6" s="4" t="inlineStr">
        <is>
          <t>Texto completo/contenido integral evaluable revisado; extracción RQ disponible. Nivel de fuente y limitaciones documentados en Lote_01_25.</t>
        </is>
      </c>
      <c r="P6" s="4" t="inlineStr">
        <is>
          <t>Autism spectrum disorder (ASD) is the neuro-developmental disorder caused by various changes in the brain. It affects the life conditions with social interaction and communication. Most of the previous researches used the various techniques for the early detection to reduce the ASD, but it had been occurred several complications such as, time expenses, and low accessibility for diagnosis.This paper aims to develop the JSTO-DenseNetmodel is for the detection of ASD. In this paper, an input autism brainimage is considered as an input applied to image pre-processing phase. In image pre-processing, the clatters are removed utilizing Gaussian filtering and also, Region of Interest (ROI) extraction is carried out. Thereafter, extraction of pivotal region is done based on functional connectivity utilizing proposed Jaya Sewing Training Optimization (JSTO). The JSTO is newly introduced by combining Jaya algorithm and Sewing Training-Based Optimization (STBO). Thus, output-1 is obtained. In feature extraction phase, grey level co-occurrence matrix (GLCM) features like entropy, correlation, energy, homogeneity, inverse difference moment, Angular second moment and texture features namelylocal ternary patterns (LTP), Local Optimal Oriented Pattern (LOOP) and Histogram of Oriented Gradients (HOG) are extracted from the Magnetic Resonance Imaging (MRI). Therefore, output-2 is obtained. From output-1 and output-2, ASD classification is accomplished using DenseNet, which is trained employing same proposed JSTO.The proposed JSTO-DenseNet model achieves the highest accuracy of 94.8 %, True Positive Rate (TPR) of 90 %, True Negative Rate (TNR) of 90.5 %, un-weighted average recall (UAR) of 89.8 % and the lowest False Negative Rate (FNR) of 86.7 %, and False Positive Rate of 82.6 %, when compared with other traditional methods like, Explainable Artificial Intelligence (XAI), Hybrid deep lightweight feature generator, CLAttention, Two stream end-to-end deep learning (DL), Auto-Encoder feature representation, and Fuzzy Inference Gait System-Deep Extreme Adaptive Fuzzy (FIGS-DEAF) based on Abide 1 dataset.</t>
        </is>
      </c>
    </row>
    <row r="7" ht="409" customHeight="1">
      <c r="A7" s="4" t="n">
        <v>11</v>
      </c>
      <c r="B7" s="4" t="n">
        <v>2025</v>
      </c>
      <c r="C7" s="4" t="inlineStr">
        <is>
          <t>Ensembler_fMRI: An Intelligent Approach for the Early Prediction of Autism Disorder</t>
        </is>
      </c>
      <c r="D7" s="4" t="inlineStr">
        <is>
          <t>10.1016/j.procs.2025.04.142</t>
        </is>
      </c>
      <c r="E7" s="4" t="inlineStr">
        <is>
          <t>Rupaly Thakur and Deepti Malhotra and Mehak Mengi</t>
        </is>
      </c>
      <c r="F7" s="4" t="inlineStr">
        <is>
          <t>Procedia Computer Science</t>
        </is>
      </c>
      <c r="G7" s="4" t="inlineStr">
        <is>
          <t>Incluir provisionalmente</t>
        </is>
      </c>
      <c r="H7" s="4" t="inlineStr">
        <is>
          <t>Eligibility reviewed from accessible primary-source content; scoped adjudication completed</t>
        </is>
      </c>
      <c r="I7" s="4" t="n"/>
      <c r="J7" s="4" t="inlineStr">
        <is>
          <t>Include</t>
        </is>
      </c>
      <c r="K7" s="4" t="n"/>
      <c r="L7" s="4" t="inlineStr">
        <is>
          <t>Revisión asistida por IA (un revisor; requiere verificación independiente)</t>
        </is>
      </c>
      <c r="M7" s="40" t="n">
        <v>46269</v>
      </c>
      <c r="N7" s="4" t="inlineStr">
        <is>
          <t>https://www.sciencedirect.com/science/article/pii/S187705092501244X</t>
        </is>
      </c>
      <c r="O7" s="4" t="inlineStr">
        <is>
          <t>Contenido primario accesible revisado y adjudicación RQ cerrada en Lote_06_22. Nivel de evidencia, limitaciones y prioridad de verificación humana documentados en Lote_06_22.</t>
        </is>
      </c>
      <c r="P7" s="4" t="inlineStr">
        <is>
          <t>Autism Disorder(AD) During) is a serious developmental abnormality that affects the behavior and communication of an individual. Under the category of Autism disorder, falls a group of complex and heterogenous disorders i.e., Autism spectrum disorder (ASD) and Attention Deficit Hyperactivity Disorder (ADHD). Due to their significant comorbidity and the mutually reinforcing nature of their symptoms, many disorders can be difficult to diagnose. Traditional diagnosis of AD follows a behavioral dependent approach and often fail to detect overlap or comorbidity between the two disorders, leading to misdiagnosis and an inappropriate treatment. In the existing literature, various automated models based on artificial intelligence(AI) techniques and quantitative measures such as fMRI, eye, and electroencephalography (EEG) have been developed for differentiating ASD from healthy or ADHD from healthy. Among these measures, fMRI has emerged as a potential tool to serve as a biomarker for AD. However, despite having significant overlap and misdiagnosis, very few research have attempted to distinguish ADHD from ASD. Keeping this essence, in this paper, an Ensembler_fMRI framework has been proposed that combines the multiple AI techniques to analyze fMRI data and extract relevant features that can distinguish ADHD from ASD. The proposed framework aims to leverage the available ASD and ADHD databases (ABIDE and ADHD-200) to improve the differential diagnosis between the disorders. The framework achieved an impressive accuracy of 98%, demonstrating its potential as a valuable tool in clinical practice.</t>
        </is>
      </c>
    </row>
    <row r="8" ht="409" customHeight="1">
      <c r="A8" s="4" t="n">
        <v>12</v>
      </c>
      <c r="B8" s="4" t="n">
        <v>2025</v>
      </c>
      <c r="C8" s="4" t="inlineStr">
        <is>
          <t>Integration of an Artificial Intelligence–Based Autism Diagnostic Device into the ECHO Autism Primary Care Workflow: Prospective Observational Study</t>
        </is>
      </c>
      <c r="D8" s="4" t="inlineStr">
        <is>
          <t>10.2196/80733</t>
        </is>
      </c>
      <c r="E8" s="4" t="inlineStr">
        <is>
          <t>Kristin Sohl and Erik Linstead and Kelianne Heinz and Elia Eiroa Lledo and Alicia Brewer Curran and Melissa Mahurin and Valeria Nanclares-Nogués and Carmela Salomon and Minda Seal and Sharief Taraman</t>
        </is>
      </c>
      <c r="F8" s="4" t="inlineStr">
        <is>
          <t>JMIR Formative Research</t>
        </is>
      </c>
      <c r="G8" s="4" t="inlineStr">
        <is>
          <t>Incluir provisionalmente</t>
        </is>
      </c>
      <c r="H8" s="4" t="inlineStr">
        <is>
          <t>Retrieved and reviewed</t>
        </is>
      </c>
      <c r="I8" s="4" t="n"/>
      <c r="J8" s="4" t="inlineStr">
        <is>
          <t>Include</t>
        </is>
      </c>
      <c r="K8" s="4" t="n"/>
      <c r="L8" s="4" t="inlineStr">
        <is>
          <t>Revisión asistida por IA (un revisor; requiere verificación independiente)</t>
        </is>
      </c>
      <c r="M8" s="40" t="n">
        <v>46269</v>
      </c>
      <c r="N8" s="4" t="inlineStr">
        <is>
          <t>https://doi.org/10.2196/80733</t>
        </is>
      </c>
      <c r="O8" s="4" t="inlineStr">
        <is>
          <t>Texto completo abierto con métodos y resultados suficientes; codificación en Extraccion_RQ_nuevos.</t>
        </is>
      </c>
      <c r="P8" s="4" t="inlineStr">
        <is>
          <t>Background: Pediatric specialist shortages and rapidly rising autism prevalence rates have compelled primary care clinicians to consider playing a greater role in the autism diagnostic process. The ECHO Autism: Early Diagnosis Program (EDx) prepares clinicians to screen, evaluate, differentiate, diagnose, and provide longitudinal care for children with autism in primary care settings. Canvas Dx is a prescription-only Software as a Medical Device designed to support clinical diagnosis or rule out of autism, including in primary care settings. It is authorized by the Food and Drug Administration for use, in conjunction with clinical judgment, in 18‐ to 72-month-olds with indicators of developmental delay. Objective: This study aims to assess the feasibility and impact of integrating the device into the ECHO Autism: EDx workflow. Time from the first clinical question of developmental delay to autism diagnosis is the primary endpoint. Secondary endpoints explore clinician and caregiver experience of device use. Methods: Children aged 18 to 72 months with concern for developmental delay indicated by either a caregiver or health professionals were eligible to participate in this prospective observational study. Experienced ECHO Autism: EDx clinicians were recruited to evaluate the inclusion of the device as part of their diagnostic evaluations. Outcome data were collected via a combination of electronic questionnaires, standard clinical care record reviews, and analysis of device outputs. Institutional review board approval was provided by the University of Missouri-Columbia (project number 2075722). Results: Eighty children and 7 clinicians completed the study. On average, time from clinical concern at study enrollment to final autism diagnosis was 39.22 days, compared to 180‐ to 264-day waits at adjacent specialist referral centers. The vast majority (93%, 50/54) of caregivers reported being satisfied with the ECHO Autism: EDx plus device evaluation their child received and endorsed that they would recommend it to others and that they felt comfortable using the device. The device produced determinate autism predictions or rule-outs for 52.5% of participants, and in all cases, these were consistent with the final clinical determination. Participating clinicians reported that device use was feasible and reduced several challenges associated with their previous diagnostic process; however, they noted it did not obviate the need for additional structured observation in every case. Conclusions: The ECHO Autism: EDx plus device workflow offers considerable time savings compared to specialty center referral and was strongly endorsed by caregiver participants. Embedding the device into the ECHO Autism: EDx workflow was feasible and helped streamline several workflow efficiencies. Clinicians still utilized their training and application and interpretation of Diagnostic and Statistical Manual of Mental Disorders, Fifth Edition, criteria when formulating the diagnosis for indeterminate cases.</t>
        </is>
      </c>
    </row>
    <row r="9" ht="409" customHeight="1">
      <c r="A9" s="4" t="n">
        <v>13</v>
      </c>
      <c r="B9" s="4" t="n">
        <v>2025</v>
      </c>
      <c r="C9" s="4" t="inlineStr">
        <is>
          <t>In-silico assessment of dynamic symbiotic microbial interactions in a reduced microbiota related to the autism spectrum disorder symptoms</t>
        </is>
      </c>
      <c r="D9" s="4" t="inlineStr">
        <is>
          <t>10.1016/j.csbj.2025.09.006</t>
        </is>
      </c>
      <c r="E9" s="4" t="inlineStr">
        <is>
          <t>Juan Manuel Olaguez-Gonzalez and Isaac Chairez and Luz Breton-Deval and Mariel Alfaro-Ponce</t>
        </is>
      </c>
      <c r="F9" s="4" t="inlineStr">
        <is>
          <t>Computational and Structural Biotechnology Journal</t>
        </is>
      </c>
      <c r="G9" s="4" t="inlineStr">
        <is>
          <t>Incluir provisionalmente</t>
        </is>
      </c>
      <c r="H9" s="4" t="inlineStr">
        <is>
          <t>Retrieved and reviewed</t>
        </is>
      </c>
      <c r="I9" s="4" t="n"/>
      <c r="J9" s="4" t="inlineStr">
        <is>
          <t>Include</t>
        </is>
      </c>
      <c r="K9" s="4" t="n"/>
      <c r="L9" s="4" t="inlineStr">
        <is>
          <t>Revisión asistida por IA (un revisor; requiere verificación independiente)</t>
        </is>
      </c>
      <c r="M9" s="40" t="n">
        <v>46269</v>
      </c>
      <c r="N9" s="4" t="inlineStr">
        <is>
          <t>https://doi.org/10.1016/j.csbj.2025.09.006</t>
        </is>
      </c>
      <c r="O9" s="4" t="inlineStr">
        <is>
          <t>Texto completo abierto con métodos y resultados suficientes; codificación en Extraccion_RQ_nuevos.</t>
        </is>
      </c>
      <c r="P9" s="4" t="inlineStr">
        <is>
          <t>The gut microbiota plays a crucial role in human health, with growing evidence linking its composition to the development of Autism Spectrum Disorder. However, inconsistencies in previous studies have hindered the identification of a definitive microbial signature associated with Autism Spectrum Disorder. Machine learning models have emerged as powerful tools for analyzing microbiome data, yet their interpretability remains limited. In this study, we integrate in silico simulations with machine learning predictions to explore microbial interactions under different dietary conditions and provide biological context to features of the intestinal microbiota that are linked to Autism Spectrum Disorder. This study employs constraint-based modeling to simulate metabolic exchanges among key bacterial taxa in order to assess their ecological relationships. Findings reveal that high-fiber diets foster mutualistic and balanced interactions, whereas Western-style diets promote competitive and parasitic dynamics, potentially contributing to gut dysbiosis in Autism Spectrum Disorder. In addition, the presence of oxygen (a factor associated with colonocyte permeability, a pathological condition of the colon) significantly alters microbial interactions, influencing metabolic dependencies and the overall structure of the community. This integrative approach enhances the interpretability of machine learning-based Autism Spectrum Disorder classifiers, bridging computational predictions with mechanistic insights. By identifying diet-dependent microbial interactions, our study highlights potential dietary interventions to modulate the composition of the gut microbiota in Autism Spectrum Disorder. These findings underscore the value of combining in silico modeling and machine learning for unraveling complex microbiome-host relationships and improving Autism Spectrum Disorder biomarker identification.</t>
        </is>
      </c>
    </row>
    <row r="10" ht="409" customHeight="1">
      <c r="A10" s="4" t="n">
        <v>15</v>
      </c>
      <c r="B10" s="4" t="n">
        <v>2025</v>
      </c>
      <c r="C10" s="4" t="inlineStr">
        <is>
          <t>MCBERT: A multi-modal framework for the diagnosis of autism spectrum disorder</t>
        </is>
      </c>
      <c r="D10" s="4" t="inlineStr">
        <is>
          <t>10.1016/j.biopsycho.2024.108976</t>
        </is>
      </c>
      <c r="E10" s="4" t="inlineStr">
        <is>
          <t>Kainat Khan and Rahul Katarya</t>
        </is>
      </c>
      <c r="F10" s="4" t="inlineStr">
        <is>
          <t>Biological Psychology</t>
        </is>
      </c>
      <c r="G10" s="4" t="inlineStr">
        <is>
          <t>Incluir provisionalmente</t>
        </is>
      </c>
      <c r="H10" s="4" t="inlineStr">
        <is>
          <t>Retrieved and reviewed</t>
        </is>
      </c>
      <c r="I10" s="4" t="n"/>
      <c r="J10" s="4" t="inlineStr">
        <is>
          <t>Include</t>
        </is>
      </c>
      <c r="K10" s="4" t="n"/>
      <c r="L10" s="4" t="inlineStr">
        <is>
          <t>Revisión asistida por IA (un revisor; requiere verificación independiente)</t>
        </is>
      </c>
      <c r="M10" s="40" t="n">
        <v>46269</v>
      </c>
      <c r="N10" s="4" t="inlineStr">
        <is>
          <t>https://www.sciencedirect.com/science/article/pii/S0301051124002369</t>
        </is>
      </c>
      <c r="O10" s="4" t="inlineStr">
        <is>
          <t>Texto completo/contenido integral evaluable revisado; extracción RQ disponible. Nivel de fuente y limitaciones documentados en Lote_01_25.</t>
        </is>
      </c>
      <c r="P10" s="4" t="inlineStr">
        <is>
          <t>Within the domain of neurodevelopmental disorders, autism spectrum disorder (ASD) emerges as a distinctive neurological condition characterized by multifaceted challenges. The delayed identification of ASD poses a considerable hurdle in effectively managing its impact and mitigating its severity. Addressing these complexities requires a nuanced understanding of data modalities and the underlying patterns. Existing studies have focused on a single data modality for ASD diagnosis. Recently, there has been a significant shift towards multimodal architectures with deep learning strategies due to their ability to handle and incorporate complex data modalities. In this paper, we developed a novel multimodal ASD diagnosis architecture, referred to as Multi-Head CNN with BERT (MCBERT), which integrates bidirectional encoder representations from transformers (BERT) for meta-features and a multi-head convolutional neural network (MCNN) for the brain image modality. The MCNN incorporates two attention mechanisms to capture spatial (SAC) and channel (CAC) features. The outputs of BERT and MCNN are then fused and processed through a classification module to generate the final diagnosis. We employed the ABIDE-I dataset, a multimodal dataset, and conducted a leave-one-site-out classification to assess the model's effectiveness comprehensively. Experimental simulations demonstrate that the proposed architecture achieves a high accuracy of 93.4 %. Furthermore, the exploration of functional MRI data may provide a deeper understanding of the underlying characteristics of ASD.</t>
        </is>
      </c>
    </row>
    <row r="11" ht="409" customHeight="1">
      <c r="A11" s="4" t="n">
        <v>16</v>
      </c>
      <c r="B11" s="4" t="n">
        <v>2025</v>
      </c>
      <c r="C11" s="4" t="inlineStr">
        <is>
          <t>Unraveling pathogenesis and potential biomarkers for autism spectrum disorder associated with HIF1A pathway based on machine learning and experiment validation</t>
        </is>
      </c>
      <c r="D11" s="4" t="inlineStr">
        <is>
          <t>10.1016/j.nbd.2024.106763</t>
        </is>
      </c>
      <c r="E11" s="4" t="inlineStr">
        <is>
          <t>Jinru Cui and Heli Li and Cong Hu and Feiyan Zhang and Yunjie Li and Ying Weng and Liping Yang and Yingying Li and Minglan Yao and Hao Li and Xiaoping Luo and Yan Hao</t>
        </is>
      </c>
      <c r="F11" s="4" t="inlineStr">
        <is>
          <t>Neurobiology of Disease</t>
        </is>
      </c>
      <c r="G11" s="4" t="inlineStr">
        <is>
          <t>Incluir provisionalmente</t>
        </is>
      </c>
      <c r="H11" s="4" t="inlineStr">
        <is>
          <t>Eligibility reviewed from accessible primary-source content; scoped adjudication completed</t>
        </is>
      </c>
      <c r="I11" s="4" t="n"/>
      <c r="J11" s="4" t="inlineStr">
        <is>
          <t>Include</t>
        </is>
      </c>
      <c r="K11" s="4" t="n"/>
      <c r="L11" s="4" t="inlineStr">
        <is>
          <t>Revisión asistida por IA (un revisor; requiere verificación independiente)</t>
        </is>
      </c>
      <c r="M11" s="40" t="n">
        <v>46269</v>
      </c>
      <c r="N11" s="4" t="inlineStr">
        <is>
          <t>https://pubmed.ncbi.nlm.nih.gov/?term=10.1016%2Fj.nbd.2024.106763</t>
        </is>
      </c>
      <c r="O11" s="4" t="inlineStr">
        <is>
          <t>Contenido primario accesible revisado y adjudicación RQ cerrada en Lote_06_22. Nivel de evidencia, limitaciones y prioridad de verificación humana documentados en Lote_06_22.</t>
        </is>
      </c>
      <c r="P11" s="4" t="inlineStr">
        <is>
          <t>Background: Autism spectrum disorder (ASD) is a neurodevelopmental disorder with a high social burden and limited treatments. Hypoxic condition of the brain is considered an important pathological mechanism of ASD. HIF1A is a key participant in brain hypoxia, but its contribution to the pathophysiological landscape of ASD remains unclear. Methods: ASD-related datasets were obtained from GEO database, and HIF1A-related genes from GeneCards. Co-expression module analysis identified module genes, which were intersected with HIF1A-related genes to identify common genes. Machine learning identified hub genes from intersection genes and PPI networks were constructed to explore relationships among hub and HIF1A. Single-cell RNA sequencing analyzed hub gene distribution across cell clusters. ASD mouse model was created by inducing maternal immune activation (MIA) with poly(I:C) injections, verified through behavioral tests. Validation of HIF1A pathway and hub genes was confirmed through Western Blot, qPCR, and immunofluorescence in ASD mice and microglia BV-2 cells. Results: Using CEMiTool and GeneCards, 45 genes associated with ASD and HIF1A pathway were identified. Machine learning identified CDKN1A, ETS2, LYN, and SLC16A3 as potential ASD diagnostic markers. Single-cell sequencing pinpointed activated microglia as key immune cells. Behavioral tests showed MIA offspring mice exhibited typical ASD-like behaviors. Immunofluorescence confirmed the activation of microglia and HIF1A pathway in frontal cortex of ASD mice. Additionally, IL-6 contributed to ASD by activating JUN/HIF1A pathway, affecting CDKN1A, LYN, and SLC16A3 expression in microglia. Conclusions: HIF1A-related genes CDKN1A, ETS2, LYN, and SLC16A3 are strong diagnostic markers for ASD and the activation of IL-6/JUN/HIF1A pathway in microglia contributes to the pathogenesis of ASD.</t>
        </is>
      </c>
    </row>
    <row r="12" ht="409" customHeight="1">
      <c r="A12" s="4" t="n">
        <v>21</v>
      </c>
      <c r="B12" s="4" t="n">
        <v>2025</v>
      </c>
      <c r="C12" s="4" t="inlineStr">
        <is>
          <t>Screening biomarkers for autism spectrum disorder using plasma proteomics combined with machine learning methods</t>
        </is>
      </c>
      <c r="D12" s="4" t="inlineStr">
        <is>
          <t>10.1016/j.cca.2024.120018</t>
        </is>
      </c>
      <c r="E12" s="4" t="inlineStr">
        <is>
          <t>Xiaoxiao Tang and Xiaoqian Ran and Zhiyuan Liang and Hongbin Zhuang and Xi Yan and Chengyun Feng and Ayesha Qureshi and Yan Gao and Liming Shen</t>
        </is>
      </c>
      <c r="F12" s="4" t="inlineStr">
        <is>
          <t>Clinica Chimica Acta</t>
        </is>
      </c>
      <c r="G12" s="4" t="inlineStr">
        <is>
          <t>Incluir provisionalmente</t>
        </is>
      </c>
      <c r="H12" s="4" t="inlineStr">
        <is>
          <t>Retrieved and reviewed</t>
        </is>
      </c>
      <c r="I12" s="4" t="n"/>
      <c r="J12" s="4" t="inlineStr">
        <is>
          <t>Include</t>
        </is>
      </c>
      <c r="K12" s="4" t="n"/>
      <c r="L12" s="4" t="inlineStr">
        <is>
          <t>Revisión asistida por IA (un revisor; requiere verificación independiente)</t>
        </is>
      </c>
      <c r="M12" s="40" t="n">
        <v>46269</v>
      </c>
      <c r="N12" s="4" t="inlineStr">
        <is>
          <t>https://www.sciencedirect.com/science/article/pii/S000989812402271X</t>
        </is>
      </c>
      <c r="O12" s="4" t="inlineStr">
        <is>
          <t>Texto completo/contenido integral evaluable revisado; extracción RQ disponible. Nivel de fuente y limitaciones documentados en Lote_01_25.</t>
        </is>
      </c>
      <c r="P12" s="4" t="inlineStr">
        <is>
          <t>Background and aims: Autism spectrum disorder (ASD) is a common neurodevelopmental disorder in children. Early intervention is effective. Investigation of novel blood biomarkers of ASD facilitates early detection and intervention. Materials and Methods: Sequential window acquisition of all theoretical spectra-mass spectrometry (SWATH-MS)-based proteomics technology and 30 DSM-V defined ASD cases versus age- and sex-matched controls were initially evaluated, and candidate biomarkers were screened using machine learning methods. Candidate biomarkers were validated by targeted proteomics multiple reaction monitoring (MRM) analysis using an independent group of 30 ASD cases vs. controls. Results: Fifty-one differentially expressed proteins (DEPs) were identified by SWATH analysis. They were associated with the immune response, complements and coagulation cascade pathways, and apolipoprotein-related metabolic pathways. Machine learning analysis screened 10 proteins as biomarker combinations (TFRC, PPBP, APCS, ALDH1A1, CD5L, SPARC, FGG, SHBG, S100A9, and PF4V1). In the MRM analysis, four proteins (PPBP, APCS, FGG, and PF4V1) were significantly different between the groups, and their combination as a screening indicator showed high potential (AUC = 0.8087, 95 % confidence interval 0.6904–0.9252, p &lt; 0.0001). Conclusions: Our study provides data that suggests that a few plasma proteins have potential use in screening for ASD.</t>
        </is>
      </c>
    </row>
    <row r="13" ht="409" customHeight="1">
      <c r="A13" s="4" t="n">
        <v>23</v>
      </c>
      <c r="B13" s="4" t="n">
        <v>2025</v>
      </c>
      <c r="C13" s="4" t="inlineStr">
        <is>
          <t>Introducing 3DCNN ResNets for ASD full-body kinematic assessment: A comparison with hand-crafted features</t>
        </is>
      </c>
      <c r="D13" s="4" t="inlineStr">
        <is>
          <t>10.1016/j.eswa.2024.126295</t>
        </is>
      </c>
      <c r="E13" s="4" t="inlineStr">
        <is>
          <t>Alberto Altozano and Maria Eleonora Minissi and Mariano Alcañiz and Javier Marín-Morales</t>
        </is>
      </c>
      <c r="F13" s="4" t="inlineStr">
        <is>
          <t>Expert Systems with Applications</t>
        </is>
      </c>
      <c r="G13" s="4" t="inlineStr">
        <is>
          <t>Incluir provisionalmente</t>
        </is>
      </c>
      <c r="H13" s="4" t="inlineStr">
        <is>
          <t>Retrieved and reviewed</t>
        </is>
      </c>
      <c r="I13" s="4" t="n"/>
      <c r="J13" s="4" t="inlineStr">
        <is>
          <t>Include</t>
        </is>
      </c>
      <c r="K13" s="4" t="n"/>
      <c r="L13" s="4" t="inlineStr">
        <is>
          <t>Revisión asistida por IA (un revisor; requiere verificación independiente)</t>
        </is>
      </c>
      <c r="M13" s="40" t="n">
        <v>46269</v>
      </c>
      <c r="N13" s="4" t="inlineStr">
        <is>
          <t>https://riunet.upv.es/bitstreams/7dfd9135-24ed-4b77-af02-6141eb544c60/download</t>
        </is>
      </c>
      <c r="O13" s="4" t="inlineStr">
        <is>
          <t>Texto completo/contenido integral evaluable revisado; extracción RQ disponible. Nivel de fuente y limitaciones documentados en Lote_01_25.</t>
        </is>
      </c>
      <c r="P13" s="4" t="inlineStr">
        <is>
          <t>Autism Spectrum Disorder (ASD) is characterized by challenges in social communication and restricted patterns, with motor abnormalities gaining traction for early detection. However, kinematic analysis in ASD is limited, often lacking robust validation and relying on hand-crafted features for single tasks, leading to inconsistencies across studies. End-to-end models have emerged as promising methods to overcome the need for feature engineering. Our aim is to propose a newly adapted 3DCNN ResNet from action recognition and compare it to widely used hand-crafted features for motor ASD assessment. Specifically, we developed a virtual reality environment with multiple motor tasks and trained models using both approaches. We prioritized a reliable validation framework with subject-wise nestedrepeated cross-validation. Results show the proposed model achieves a maximum accuracy of 85±3%, outperforming state-of-the-art end-to-end models with short 1-to-3 min samples. Our comparative analysis with hand-crafted features shows feature-engineered models outperformed our end-to-end model in certain tasks. However, generalized linear mixed-effects models showed that our end-to-end model achieved a statistically higher mean AUC (0.80±0.03) and Sensitivity (66±3%), while showing less variability across all VR tasks, demonstrating domain generalization and reliability. These findings show that end-to-end models enable less variable and context-independent ASD classification without requiring domain knowledge or task specificity. However, they also recognize the effectiveness of hand-crafted features in specific task scenarios.</t>
        </is>
      </c>
    </row>
    <row r="14" ht="409" customHeight="1">
      <c r="A14" s="4" t="n">
        <v>27</v>
      </c>
      <c r="B14" s="4" t="n">
        <v>2025</v>
      </c>
      <c r="C14" s="4" t="inlineStr">
        <is>
          <t>Developing a simplified measure to predict the risk of autism spectrum disorders: Abbreviating the M-CHAT-R using a machine learning approach in China</t>
        </is>
      </c>
      <c r="D14" s="4" t="inlineStr">
        <is>
          <t>10.1016/j.psychres.2025.116353</t>
        </is>
      </c>
      <c r="E14" s="4" t="inlineStr">
        <is>
          <t>Ning Pan and Lifeng Chen and Bocheng Wu and Fangfang Chen and Jin Chen and Saijun Huang and Cuihua Guo and Jinqing Wu and Yujie Wang and Xian Chen and Shirui Yang and Jin Jing and Xuchu Weng and Lizi Lin and Jiuxing Liang and Xin Wang</t>
        </is>
      </c>
      <c r="F14" s="4" t="inlineStr">
        <is>
          <t>Psychiatry Research</t>
        </is>
      </c>
      <c r="G14" s="4" t="inlineStr">
        <is>
          <t>Incluir provisionalmente</t>
        </is>
      </c>
      <c r="H14" s="4" t="inlineStr">
        <is>
          <t>Eligibility reviewed from accessible primary-source content; scoped adjudication completed</t>
        </is>
      </c>
      <c r="I14" s="4" t="n"/>
      <c r="J14" s="4" t="inlineStr">
        <is>
          <t>Include</t>
        </is>
      </c>
      <c r="K14" s="4" t="n"/>
      <c r="L14" s="4" t="inlineStr">
        <is>
          <t>Revisión asistida por IA (un revisor; requiere verificación independiente)</t>
        </is>
      </c>
      <c r="M14" s="40" t="n">
        <v>46269</v>
      </c>
      <c r="N14" s="4" t="inlineStr">
        <is>
          <t>https://pubmed.ncbi.nlm.nih.gov/39793526/</t>
        </is>
      </c>
      <c r="O14" s="4" t="inlineStr">
        <is>
          <t>Contenido primario accesible revisado y adjudicación RQ cerrada en Lote_06_22. Nivel de evidencia, limitaciones y prioridad de verificación humana documentados en Lote_06_22.</t>
        </is>
      </c>
      <c r="P14" s="4" t="inlineStr">
        <is>
          <t>Background: Early screening for autism spectrum disorder (ASD) is crucial, yet current assessment tools in Chinese primary child care are limited in efficacy. Objective: This study aims to employ machine learning algorithms to identify key indicators from the 20-item Modified Checklist for Autism in Toddlers, revised (M-CHAT-R) combining with ASD-related sociodemographic and environmental factors, to distinguish ASD from typically developing children. Methods: Data from our prior validation study of the Chinese M-CHAT-R (August 2016–March 2017, n = 6,049 toddlers) were reviewed. We extracted the 20-item M-CHAT-R data and integrated 17 sociodemographic and environmental risk factors associated with ASD development to strengthen M-CHAT-R's machine learning screening. Five feature selection methods were used to extract subsets from the original set. Six machine learning algorithms were applied to identify the optimal subset distinguishing clinically diagnosed ASD toddlers from typically developing toddlers. Findings: Nine features were grouped into three subsets: subset 1 contained unanimously recommended items (A1 [Follows point], A3 [Pretend play], A9 [Brings objects to show], A10 [Response to name] and A16 [Gazing following]). Subset 2 added two items (A17 [Gaining parent's attention] and A18 [Understands what is said]), and subset 3 included two more items (A8 [Interest in other children] and child's age). The top-performing algorithm resulted in a seven-item classifier of subset 2 with 92.5 % sensitivity, 90.1 % specificity, and 10.0 % positive predictive value. Conclusions: Machine learning classifiers effectively differentiate ASD toddlers from typically developing toddlers using a reduced M-CHAT-R item set. Clinical implications: This highlights the clinical significance of machine learning-optimized models for ASD screening in primary health care centers and broader applications.</t>
        </is>
      </c>
    </row>
    <row r="15" ht="409" customHeight="1">
      <c r="A15" s="4" t="n">
        <v>31</v>
      </c>
      <c r="B15" s="4" t="n">
        <v>2025</v>
      </c>
      <c r="C15" s="4" t="inlineStr">
        <is>
          <t>Replication of rs10099100 Association with Autism Spectrum Disorder Risk in a Polish‐Origin Cohort</t>
        </is>
      </c>
      <c r="D15" s="4" t="inlineStr">
        <is>
          <t>10.1016/j.reia.2025.202542</t>
        </is>
      </c>
      <c r="E15" s="4" t="inlineStr">
        <is>
          <t>Joanna Karwowska and Aneta Polewko-Klim and Barbara Panasiuk and Beata Stasiewicz-Jarocka and Alireza Tafazoli and Edyta Dobrowolska and Katarzyna Jarząbek and Renata Posmyk and Natalia Wawrusiewicz-Kurylonek</t>
        </is>
      </c>
      <c r="F15" s="4" t="inlineStr">
        <is>
          <t>Research in Autism</t>
        </is>
      </c>
      <c r="G15" s="4" t="inlineStr">
        <is>
          <t>Incluir provisionalmente</t>
        </is>
      </c>
      <c r="H15" s="4" t="inlineStr">
        <is>
          <t>Eligibility reviewed from accessible primary-source content; scoped adjudication completed</t>
        </is>
      </c>
      <c r="I15" s="4" t="n"/>
      <c r="J15" s="4" t="inlineStr">
        <is>
          <t>Include</t>
        </is>
      </c>
      <c r="K15" s="4" t="n"/>
      <c r="L15" s="4" t="inlineStr">
        <is>
          <t>Revisión asistida por IA (un revisor; requiere verificación independiente)</t>
        </is>
      </c>
      <c r="M15" s="40" t="n">
        <v>46269</v>
      </c>
      <c r="N15" s="4" t="inlineStr">
        <is>
          <t>https://www.sciencedirect.com/science/article/pii/S3050656525000148</t>
        </is>
      </c>
      <c r="O15" s="4" t="inlineStr">
        <is>
          <t>Contenido primario accesible revisado y adjudicación RQ cerrada en Lote_06_22. Nivel de evidencia, limitaciones y prioridad de verificación humana documentados en Lote_06_22.</t>
        </is>
      </c>
      <c r="P15" s="4" t="inlineStr">
        <is>
          <t>Background: The genetic basis of autism spectrum disorders (ASD) remains unidentified and unclear. The aim of our study was to conduct replication analyses of previously described ten single nucleotide polymorphisms in a group of candidate susceptibility ASD-genes and loci – SOX7, BEND4, FHIT, ATP2B2, PRKG1, LINC02720, EEF1A2, LOC100422212 and LINC02301 in autistic Polish child population. Methods: The study population consisted of a group of 143 unrelated Polish-origin Caucasian patients with autism and 264 healthy subjects. The single nucleotide polymorphisms analysis was performed using the allelic discrimination technique. Boruta and random forest machine learning (ML) algorithms were used for identifying important genetic, and phenotypic markers in ASD patients. Results: Our results identify the existence of a strong risk factor of the SOX7 gene polymorphism, namely C risk allele rs10099100 (P = 6.67e-13, odds ratio of 2.92 (OR)) for the development of ASD in the group of studied patients. This variant proved to be a typical male risk factor for developing boys-ASD group as compared to healthy boys (63 % vs 31 %, P = 4. 77e-11, OR of 3.69). For the nine remaining polymorphisms analyzed in our cohort, which have been described in other populations in the available literature, we did not achieve replicability. Conclusions: Our results may be useful in screening and early diagnosis of children vulnerable to autism spectrum disorders. It will result in the immediate implementation of vital therapies, reasonable learning facilitations and social training, which brings about a greater chance to enjoy a better quality of life for people on the spectrum.</t>
        </is>
      </c>
    </row>
    <row r="16" ht="409" customHeight="1">
      <c r="A16" s="4" t="n">
        <v>34</v>
      </c>
      <c r="B16" s="4" t="n">
        <v>2025</v>
      </c>
      <c r="C16" s="4" t="inlineStr">
        <is>
          <t>Diagnosis of autism spectrum disorder—prediction and analysis of enhanced classification model based on machine learning</t>
        </is>
      </c>
      <c r="D16" s="4" t="inlineStr">
        <is>
          <t>10.1016/B978-0-443-30080-6.00018-3</t>
        </is>
      </c>
      <c r="E16" s="4" t="inlineStr">
        <is>
          <t>M S Sankari and A Kannammal</t>
        </is>
      </c>
      <c r="F16" s="4" t="inlineStr">
        <is>
          <t>Computational Intelligence for Genomics Data</t>
        </is>
      </c>
      <c r="G16" s="4" t="inlineStr">
        <is>
          <t>Incluir provisionalmente</t>
        </is>
      </c>
      <c r="H16" s="4" t="inlineStr">
        <is>
          <t>Retrieved/reviewed; edited-book chapter publication type verified; scoped adjudication completed</t>
        </is>
      </c>
      <c r="I16" s="4" t="n"/>
      <c r="J16" s="4" t="inlineStr">
        <is>
          <t>Exclude</t>
        </is>
      </c>
      <c r="K16" s="4" t="inlineStr">
        <is>
          <t>Capítulo autónomo de libro editado fuera de los tipos de publicación elegibles definidos por el protocolo. El protocolo incluye artículos de revista revisados por pares y papers completos revisados por pares publicados en actas/proceedings de congreso. La exclusión se basa en el tipo de publicación, no en ausencia de contenido empírico.</t>
        </is>
      </c>
      <c r="L16" s="4" t="inlineStr">
        <is>
          <t>Revisión asistida por IA (un revisor; requiere verificación independiente)</t>
        </is>
      </c>
      <c r="M16" s="40" t="n">
        <v>46272</v>
      </c>
      <c r="N16" s="4" t="inlineStr">
        <is>
          <t>https://www.sciencedirect.com/science/chapter/edited-volume/pii/B9780443300806000183</t>
        </is>
      </c>
      <c r="O16" s="4" t="inlineStr">
        <is>
          <t>Reconciliación final 2026-09-07: el registro es un capítulo autónomo de un libro editado. Aunque describe experimentos con el Toddler ASD dataset, el tipo de publicación no es elegible bajo el protocolo final.</t>
        </is>
      </c>
      <c r="P16" s="4" t="inlineStr">
        <is>
          <t>This chapter explores the utilization of artificial intelligence models and their impact on how individuals perceive and interact with those demonstrating characteristics linked to autism spectrum disorder (ASD). The emphasis lies on language proficiency, social abilities, stereotypical behavior, and developmental delays linked to cognitive impairments and genetic influences. Although collecting huge amounts of data for these intricate traits poses a time-consuming challenge, the research utilizes traditional machine learning algorithms to streamline the diagnostic process and to identify the critical traits, thereby improving the identification of individuals with ASD by utilizing a variety of machine learning algorithms. The research's uniqueness lies in extensive and considerable experimentation with classifier models, pinpointing the significant traits, and optimizing hyperparameters for remarkable outcomes. The assessment integrates essential performance evaluation metrics such as accuracy, precision, recall, and the F1 score, along with other relevant indicators. While ASD evaluation may be perceived as tedious, the study underscores the significance of increasing awareness regarding associated risks. Upon scrutinizing the Toddler dataset, the research demonstrates that the artificial neural network (ANN) model surpasses other conventional machine learning algorithms. Despite the considered tedious nature of evaluating ASD, the research emphasizes that severity can be mitigated through early screening measures. The focus is on employing machine learning classifier models to analyze and identify efficient techniques for predictive tasks.</t>
        </is>
      </c>
    </row>
    <row r="17" ht="409" customHeight="1">
      <c r="A17" s="4" t="n">
        <v>35</v>
      </c>
      <c r="B17" s="4" t="n">
        <v>2025</v>
      </c>
      <c r="C17" s="4" t="inlineStr">
        <is>
          <t>Deep Learning Approaches for Classifying Children With and Without Autism Spectrum Disorder Using Inertial Measurement Unit Hand Tracking Data: Comparative Study</t>
        </is>
      </c>
      <c r="D17" s="4" t="inlineStr">
        <is>
          <t>10.2196/73440</t>
        </is>
      </c>
      <c r="E17" s="4" t="inlineStr">
        <is>
          <t>John Mutersbaugh and Wan-Chun Su and Anjana Bhat and Amir Gandjbakhche</t>
        </is>
      </c>
      <c r="F17" s="4" t="inlineStr">
        <is>
          <t>JMIR Medical Informatics</t>
        </is>
      </c>
      <c r="G17" s="4" t="inlineStr">
        <is>
          <t>Incluir provisionalmente</t>
        </is>
      </c>
      <c r="H17" s="4" t="inlineStr">
        <is>
          <t>Retrieved and reviewed</t>
        </is>
      </c>
      <c r="I17" s="4" t="n"/>
      <c r="J17" s="4" t="inlineStr">
        <is>
          <t>Include</t>
        </is>
      </c>
      <c r="K17" s="4" t="n"/>
      <c r="L17" s="4" t="inlineStr">
        <is>
          <t>Revisión asistida por IA (un revisor; requiere verificación independiente)</t>
        </is>
      </c>
      <c r="M17" s="40" t="n">
        <v>46269</v>
      </c>
      <c r="N17" s="4" t="inlineStr">
        <is>
          <t>https://doi.org/10.2196/73440</t>
        </is>
      </c>
      <c r="O17" s="4" t="inlineStr">
        <is>
          <t>Texto completo abierto con métodos y resultados suficientes; codificación en Extraccion_RQ_nuevos.</t>
        </is>
      </c>
      <c r="P17" s="4" t="inlineStr">
        <is>
          <t>Background: Autism spectrum disorder (ASD) is a prevalent neurodevelopmental condition that can be quite difficult to diagnose due to a lack of objective diagnostic methods in the currently used behavioral assessments. Recent work has shown that children with ASD have a higher incidence of motor control differences. A compilation of studies indicates that between 50% and 88% of the children with ASD have issues with movement control based on standardized motor assessments or parent-reported questionnaires. Objective: In this study, we assess a variety of deep learning approaches for the classification of ASD, utilizing data collected via inertial measurement unit (IMU) hand tracking during goal-directed arm movements. Methods: IMU hand tracking data were recorded from 41 school-aged children both with and without an ASD diagnosis to track their arm movements during a reach-to-clean up task. The IMU data were then preprocessed using a moving average and z score normalization to prepare the data for deep learning models. We evaluated the effectiveness of different deep learning models using the preprocessed data and a k-fold validation approach, as well as a patient-separated approach. Results: The best result was achieved with a convolutional autoencoder combined with long short-term memory layers, reaching an accuracy of 90.21% and an F1-score of 90.02%. Once the convolutional autoencoder+long short-term memory was determined to be the most effective model for this datatype, it was retrained and evaluated with a patient-separated dataset to assess the generalization capability of the model, achieving an accuracy of 91.87% and an F1-score of 93.66%. Conclusions: Our deep learning approach demonstrates that our models hold potential for facilitating ASD diagnosis in clinical settings. This work validates that there are significant differences between the physical movements of typically developing children and children with ASD, and these differences can be identified by analyzing hand-eye coordination skills. Additionally, we have validated that small-scale models can still achieve a high accuracy and good generalization when classifying medical data, opening the door for future research into diagnostic models that may not require massive amounts of data.</t>
        </is>
      </c>
    </row>
    <row r="18" ht="409" customHeight="1">
      <c r="A18" s="4" t="n">
        <v>37</v>
      </c>
      <c r="B18" s="4" t="n">
        <v>2025</v>
      </c>
      <c r="C18" s="4" t="inlineStr">
        <is>
          <t>Design of adaptive recommendation system for autism children using optimal feature selection-based adaptive dilated 1DCNN-LSTM with attention mechanism</t>
        </is>
      </c>
      <c r="D18" s="4" t="inlineStr">
        <is>
          <t>10.1016/j.eswa.2024.125399</t>
        </is>
      </c>
      <c r="E18" s="4" t="inlineStr">
        <is>
          <t>V Balaji and M Mohana and M Hema and P Gururama Senthilvel</t>
        </is>
      </c>
      <c r="F18" s="4" t="inlineStr">
        <is>
          <t>Expert Systems with Applications</t>
        </is>
      </c>
      <c r="G18" s="4" t="inlineStr">
        <is>
          <t>Incluir provisionalmente</t>
        </is>
      </c>
      <c r="H18" s="4" t="inlineStr">
        <is>
          <t>Retrieved and reviewed</t>
        </is>
      </c>
      <c r="I18" s="4" t="n"/>
      <c r="J18" s="4" t="inlineStr">
        <is>
          <t>Include</t>
        </is>
      </c>
      <c r="K18" s="4" t="n"/>
      <c r="L18" s="4" t="inlineStr">
        <is>
          <t>Revisión asistida por IA (un revisor; requiere verificación independiente)</t>
        </is>
      </c>
      <c r="M18" s="40" t="n">
        <v>46269</v>
      </c>
      <c r="N18" s="4" t="inlineStr">
        <is>
          <t>https://www.sciencedirect.com/science/article/abs/pii/S0957417424022668</t>
        </is>
      </c>
      <c r="O18" s="4" t="inlineStr">
        <is>
          <t>Texto completo/contenido integral evaluable revisado; extracción RQ disponible. Nivel de fuente y limitaciones documentados en Lote_01_25.</t>
        </is>
      </c>
      <c r="P18" s="4" t="inlineStr">
        <is>
          <t>One kind of neurological disorder is caused in the brain which is defined as Autism Spectrum Disorder (ASD). It has acquired the symptoms that appear in young children. In addition to that, it influences how the individual behaves and learns as well as communicates and interacts with others. More specifically, the term Autism is defined as a developmental disorder that impacts communication and social skills and it may vary from mental handicap cases to relieving superior cognitive abilities, intact, and the characteristic pattern of poor. Moreover, the school activities have acquired various difficulties to the given model that include changes in expected routines, intense sensory stimulation, noisy or disordered environments, and social interactions. Consequently, the conventional approaches face certain limitations like user privacy, scalability, and cold-start. Here, a novel suggestion system for autistic children is developed to detect distractions and anxious situations using deep learning and then treat the children based on their abilities. It has helped to prevent the risk to children. The data is given to the selection of the feature stage. The weight optimization is performed using the Modified Garter Snake Optimization Algorithm (MGSOA) during the selection of features. Then, the selected features are given to the Adaptive Dilated One Dimensional Conventional Neural Network (1DCNN) and Long Short-Term Memory (LSTM) with Attention Mechanism termed AD-1DCNN + LSTM-AMfor detecting the autism disorder for children. Here, the parameter optimization is performed using MGSOA optimization. It effectively forecasts the symptoms in a short time. This optimization helps to provide reliable and flexible outcomes for the developed recommendation system for autistic children. The developed recommendation system for autistic children is compared to baseline techniques with efficacy metrics to visualize elevated results.</t>
        </is>
      </c>
    </row>
    <row r="19" ht="409" customHeight="1">
      <c r="A19" s="4" t="n">
        <v>38</v>
      </c>
      <c r="B19" s="4" t="n">
        <v>2025</v>
      </c>
      <c r="C19" s="4" t="inlineStr">
        <is>
          <t>Early detection of autism spectrum disorder using explainable AI and optimized teaching strategies</t>
        </is>
      </c>
      <c r="D19" s="4" t="inlineStr">
        <is>
          <t>10.1016/j.jneumeth.2024.110315</t>
        </is>
      </c>
      <c r="E19" s="4" t="inlineStr">
        <is>
          <t>Sarah A Alzakari and Arwa Allinjawi and Asma Aldrees and Nuha Zamzami and Muhammad Umer and Nisreen Innab and Imran Ashraf</t>
        </is>
      </c>
      <c r="F19" s="4" t="inlineStr">
        <is>
          <t>Journal of Neuroscience Methods</t>
        </is>
      </c>
      <c r="G19" s="4" t="inlineStr">
        <is>
          <t>Incluir provisionalmente</t>
        </is>
      </c>
      <c r="H19" s="4" t="inlineStr">
        <is>
          <t>Retrieved and reviewed</t>
        </is>
      </c>
      <c r="I19" s="4" t="n"/>
      <c r="J19" s="4" t="inlineStr">
        <is>
          <t>Include</t>
        </is>
      </c>
      <c r="K19" s="4" t="n"/>
      <c r="L19" s="4" t="inlineStr">
        <is>
          <t>Revisión asistida por IA (un revisor; requiere verificación independiente)</t>
        </is>
      </c>
      <c r="M19" s="40" t="n">
        <v>46269</v>
      </c>
      <c r="N19" s="4" t="inlineStr">
        <is>
          <t>https://www.sciencedirect.com/science/article/abs/pii/S0165027024002607</t>
        </is>
      </c>
      <c r="O19" s="4" t="inlineStr">
        <is>
          <t>Texto completo/contenido integral evaluable revisado; extracción RQ disponible. Nivel de fuente y limitaciones documentados en Lote_01_25.</t>
        </is>
      </c>
      <c r="P19" s="4" t="inlineStr">
        <is>
          <t>Autism spectrum disorder (ASD) is defined by the deficits of social relating, language, object use and understanding, intelligence and learning, and verbal and nonverbal communication. Most of the individuals with ASD have genetic conditions; however, early identification and intervention reduce the use of health services and other diagnostic procedures. The varied nature of ASD is widely acknowledged, with each affected individual displaying distinct traits. The variability among autistic children underscores the challenge of identifying effective teaching strategies, as what works for one child may not be suitable for another. In this study, we merge two ASD screening datasets focusing on toddlers. We employ three feature engineering techniques to extract significant features from the dataset to enhance model performance. This study presents an innovative two-phase method where initially, we employ diverse machine learning models, such as a combination of logistic regression and support vector machine classifiers. The focus of the second phase is on identifying tailored educational methods for children with ASD through the assessment of their behavioral, verbal, and physical responses. The main goal of this study is to develop personalized educational strategies for individuals with ASD. This will be achieved by employing machine learning techniques to enhance precision and better meet their unique needs. Experimental results achieve a classification accuracy of 94% in ASD identification using Chi-square extracted features. Concerning the choice of the best teaching approach for ASD children, the proposed approach shows 99.29% accuracy. Performance comparison with existing studies shows the superior performance of the proposed LR-SVM ensemble coupled with Chi-square features. In conclusion, the proposed approach provides a two-phase strategy for identifying ASD children and offering a suitable teaching strategy with respect to the severity of the ASD, thereby potentially contributing to the development of tailored solutions for children with varying needs.</t>
        </is>
      </c>
    </row>
    <row r="20" ht="409" customHeight="1">
      <c r="A20" s="4" t="n">
        <v>41</v>
      </c>
      <c r="B20" s="4" t="n">
        <v>2025</v>
      </c>
      <c r="C20" s="4" t="inlineStr">
        <is>
          <t>A systematic evaluation of autism spectrum disorder identification with Scanpath Trend Analysis (STA)</t>
        </is>
      </c>
      <c r="D20" s="4" t="inlineStr">
        <is>
          <t>10.1016/j.bspc.2024.107414</t>
        </is>
      </c>
      <c r="E20" s="4" t="inlineStr">
        <is>
          <t>Sukru Eraslan and Yeliz Yesilada and Ali Shafique and Victoria Yaneva and Le An Ha</t>
        </is>
      </c>
      <c r="F20" s="4" t="inlineStr">
        <is>
          <t>Biomedical Signal Processing and Control</t>
        </is>
      </c>
      <c r="G20" s="4" t="inlineStr">
        <is>
          <t>Incluir provisionalmente</t>
        </is>
      </c>
      <c r="H20" s="4" t="inlineStr">
        <is>
          <t>Retrieved and reviewed</t>
        </is>
      </c>
      <c r="I20" s="4" t="n"/>
      <c r="J20" s="4" t="inlineStr">
        <is>
          <t>Include</t>
        </is>
      </c>
      <c r="K20" s="4" t="n"/>
      <c r="L20" s="4" t="inlineStr">
        <is>
          <t>Revisión asistida por IA (un revisor; requiere verificación independiente)</t>
        </is>
      </c>
      <c r="M20" s="40" t="n">
        <v>46269</v>
      </c>
      <c r="N20" s="4" t="inlineStr">
        <is>
          <t>https://www.sciencedirect.com/science/article/pii/S1746809424014721</t>
        </is>
      </c>
      <c r="O20" s="4" t="inlineStr">
        <is>
          <t>Texto completo/contenido integral evaluable revisado; extracción RQ disponible. Nivel de fuente y limitaciones documentados en Lote_01_25.</t>
        </is>
      </c>
      <c r="P20" s="4" t="inlineStr">
        <is>
          <t>Background: Eye-tracking combined with machine learning (ML) has the potential to provide an objective and cost-effective method for identifying autism. However, current ML approaches that aim to identify Autism Spectrum Disorder (ASD) based on naturalistic web interactions have high variations on different pages and tasks. This inconsistency necessitates a more consistent approach since there is no clear pattern for identifying suitable web pages or tasks. In our previous study, we proposed using STA as a consistent approach, which demonstrated a higher mean accuracy than a relevant ML approach. However, our evaluation of STA was limited to a single dataset and a comparison with only one relevant ML approach. Objective: We aim to systematically evaluate the suitability of STA for autism identification using various datasets and compare its performance with other relevant ML approaches. Methods: We evaluated the accuracy of STA across various web pages, images, and tasks using three eye-tracking datasets and compared it to other ML approaches. Results: STA has demonstrated consistent accuracy across different web pages, images, and tasks, achieving a success rate of approximately 60%. STA has also outperformed other relevant ML approaches in terms of both the mean and standard deviation of accuracy rates on individual web pages, resulting in significantly higher results in most browsing tasks. Conclusion: STA is a consistent approach for identifying autism, as it achieves stable accuracy on various web pages, images, and tasks. However, further studies are necessary to improve its accuracy.</t>
        </is>
      </c>
    </row>
    <row r="21" ht="409" customHeight="1">
      <c r="A21" s="4" t="n">
        <v>42</v>
      </c>
      <c r="B21" s="4" t="n">
        <v>2025</v>
      </c>
      <c r="C21" s="4" t="inlineStr">
        <is>
          <t>Enhancing Early Diagnosis of Autism Spectrum Disorder Using a Bayesian-Optimized Random Forest Algorithm</t>
        </is>
      </c>
      <c r="D21" s="4" t="inlineStr">
        <is>
          <t>10.1016/j.procs.2025.04.389</t>
        </is>
      </c>
      <c r="E21" s="4" t="inlineStr">
        <is>
          <t>Tina Babu and Rekha R Nair and S Kishore and Sheila Mahapatra</t>
        </is>
      </c>
      <c r="F21" s="4" t="inlineStr">
        <is>
          <t>Procedia Computer Science</t>
        </is>
      </c>
      <c r="G21" s="4" t="inlineStr">
        <is>
          <t>Incluir provisionalmente</t>
        </is>
      </c>
      <c r="H21" s="4" t="inlineStr">
        <is>
          <t>Eligibility reviewed from accessible primary-source content; scoped adjudication completed</t>
        </is>
      </c>
      <c r="I21" s="4" t="n"/>
      <c r="J21" s="4" t="inlineStr">
        <is>
          <t>Include</t>
        </is>
      </c>
      <c r="K21" s="4" t="n"/>
      <c r="L21" s="4" t="inlineStr">
        <is>
          <t>Revisión asistida por IA (un revisor; requiere verificación independiente)</t>
        </is>
      </c>
      <c r="M21" s="40" t="n">
        <v>46269</v>
      </c>
      <c r="N21" s="4" t="inlineStr">
        <is>
          <t>https://doi.org/10.1016/j.procs.2025.04.389</t>
        </is>
      </c>
      <c r="O21" s="4" t="inlineStr">
        <is>
          <t>Contenido primario accesible revisado y adjudicación RQ cerrada en Lote_06_22. Nivel de evidencia, limitaciones y prioridad de verificación humana documentados en Lote_06_22.</t>
        </is>
      </c>
      <c r="P21" s="4" t="inlineStr">
        <is>
          <t>Autism Spectrum Disorder (ASD) is a complex neurodevelopmental condition marked by social communication difficulties, re- stricted interests, and repetitive behaviors. Early and accurate diagnosis is critical for timely intervention and improved outcomes. Traditional diagnostic methods, which rely on clinical observations and assessments, can be subjective and time-consuming. This study introduces a novel approach to predicting ASD using a machine learning technique, specifically a Bayesian-optimized Ran- dom Forest classification algorithm. The proposed method uses a comprehensive dataset containing various behavioral, cognitive, and demographic features associated with ASD. The Optimized Random Forest with Bayesian approach is used to categorize indi- viduals into two groups: those who have ASD and those who do not. To develop this ensemble learning technique, multiple decision trees are used, and to achieve higher performance as well as better capability to generalize, the hyperparameters are optimized with Bayesian optimization. Preliminary analysis and comparison with existing databases substantiated the findings and revealed the effectiveness of the proposed approach. The Bayesian-optimized Random Forest classifier achieved an accuracy value of 0.9890. Such performance is highly promising and could enable increased use of machine learning methods in timely and accurate diagno- sis of ASD. The proposed approach provides recommendations for a verified diagnostic technique when implemented and creates a strong foundation for future investigations into the use of machine learning for identifying and supporting children with ASD.</t>
        </is>
      </c>
    </row>
    <row r="22" ht="409" customHeight="1">
      <c r="A22" s="4" t="n">
        <v>45</v>
      </c>
      <c r="B22" s="4" t="n">
        <v>2025</v>
      </c>
      <c r="C22" s="4" t="inlineStr">
        <is>
          <t>Autism Spectrum Disorder Detection using Attention-Based CNN and ML Classifiers</t>
        </is>
      </c>
      <c r="D22" s="4" t="inlineStr">
        <is>
          <t>10.1016/j.procs.2025.04.671</t>
        </is>
      </c>
      <c r="E22" s="4" t="inlineStr">
        <is>
          <t>R Abhinav Chaitanya and N Dharun Muthaiah and S H Sanjai and M Arjun and S Harshavardhan and P Yugander and M Jagannath</t>
        </is>
      </c>
      <c r="F22" s="4" t="inlineStr">
        <is>
          <t>Procedia Computer Science</t>
        </is>
      </c>
      <c r="G22" s="4" t="inlineStr">
        <is>
          <t>Incluir provisionalmente</t>
        </is>
      </c>
      <c r="H22" s="4" t="inlineStr">
        <is>
          <t>Eligibility reviewed from accessible primary-source content; scoped adjudication completed</t>
        </is>
      </c>
      <c r="I22" s="4" t="n"/>
      <c r="J22" s="4" t="inlineStr">
        <is>
          <t>Include</t>
        </is>
      </c>
      <c r="K22" s="4" t="n"/>
      <c r="L22" s="4" t="inlineStr">
        <is>
          <t>Revisión asistida por IA (un revisor; requiere verificación independiente)</t>
        </is>
      </c>
      <c r="M22" s="40" t="n">
        <v>46269</v>
      </c>
      <c r="N22" s="4" t="inlineStr">
        <is>
          <t>https://doi.org/10.1016/j.procs.2025.04.671</t>
        </is>
      </c>
      <c r="O22" s="4" t="inlineStr">
        <is>
          <t>Contenido primario accesible revisado y adjudicación RQ cerrada en Lote_06_22. Nivel de evidencia, limitaciones y prioridad de verificación humana documentados en Lote_06_22.</t>
        </is>
      </c>
      <c r="P22" s="4" t="inlineStr">
        <is>
          <t>Autism spectrum disorder (ASD) is a common condition affecting how children interact and communicate. ASD can manifest in various ways, such as difficulty in social interactions, repetitive behaviours, and verbal and non-verbal communication challenges. These difficulties can significantly impact a child's ability to form relationships, participate in everyday activities, and navigate social situations. Currently, diagnosing ASD relies a lot on understanding behaviours and developmental disorders, as there are no clear physical markers for diagnosis. This study explores how advanced computer techniques, like deep learning and machine learning, can help detect ASD. Utilizing functional magnetic resonance imaging (fMRI) data from the Autism Brain Imaging Data Exchange (ABIDE) dataset, we have developed a technique to distinguish between ASD accurately and typically developed (TD) individuals. We focus on building a program that can understand the patterns in brain scans using convolutional neural networks (CNNs). Additionally, we used methods like multihead attention and squeeze and excitation to extract more features in the data. We then used machine learning (ML) algorithms to classify the extracted features. The outcomes indicate that our proposed model can detect ASD with an accuracy of 98.59%.</t>
        </is>
      </c>
    </row>
    <row r="23" ht="409" customHeight="1">
      <c r="A23" s="4" t="n">
        <v>46</v>
      </c>
      <c r="B23" s="4" t="n">
        <v>2025</v>
      </c>
      <c r="C23" s="4" t="inlineStr">
        <is>
          <t>Recognition of autism in subcortical brain volumetric images using autoencoding-based region selection method and Siamese Convolutional Neural Network</t>
        </is>
      </c>
      <c r="D23" s="4" t="inlineStr">
        <is>
          <t>10.1016/j.ijmedinf.2024.105707</t>
        </is>
      </c>
      <c r="E23" s="4" t="inlineStr">
        <is>
          <t>Anas Abu-Doleh and Isam F Abu-Qasmieh and Hiam H Al-Quran and Ihssan S Masad and Lamis R Banyissa and Marwa Alhaj Ahmad</t>
        </is>
      </c>
      <c r="F23" s="4" t="inlineStr">
        <is>
          <t>International Journal of Medical Informatics</t>
        </is>
      </c>
      <c r="G23" s="4" t="inlineStr">
        <is>
          <t>Incluir provisionalmente</t>
        </is>
      </c>
      <c r="H23" s="4" t="inlineStr">
        <is>
          <t>Retrieved and reviewed</t>
        </is>
      </c>
      <c r="I23" s="4" t="n"/>
      <c r="J23" s="4" t="inlineStr">
        <is>
          <t>Include</t>
        </is>
      </c>
      <c r="K23" s="4" t="n"/>
      <c r="L23" s="4" t="inlineStr">
        <is>
          <t>Revisión asistida por IA (un revisor; requiere verificación independiente)</t>
        </is>
      </c>
      <c r="M23" s="40" t="n">
        <v>46269</v>
      </c>
      <c r="N23" s="4" t="inlineStr">
        <is>
          <t>https://www.sciencedirect.com/science/article/pii/S1386505624003708</t>
        </is>
      </c>
      <c r="O23" s="4" t="inlineStr">
        <is>
          <t>Texto completo/contenido integral evaluable revisado; extracción RQ disponible. Nivel de fuente y limitaciones documentados en Lote_01_25.</t>
        </is>
      </c>
      <c r="P23" s="4" t="inlineStr">
        <is>
          <t>Background: Autism Spectrum Disorder (ASD) is a neurodevelopmental condition that affects social interactions and behavior. Accurate and early diagnosis of ASD is still challenging even with the improvements in neuroimaging technology and machine learning algorithms. It's challenging because of the wide range of symptoms, delayed appearance of symptoms, and the subjective nature of diagnosis. In this study, the aim is to enhance ASD recognition by focusing on brain subcortical regions, which are critical for understanding ASD pathology. Methodology: First, subcortical structures were extracted from a collection of brain MRI datasets using sophisticated processing steps. Next, a 3D autoencoder was trained on these 3D images to help identify brain regions related to ASD. Two distinct feature selection methods were then applied to the features extracted from the encoder. The highest-ranked features were iteratively selected and increased to reconstruct a specific percentage of the brain that represents the most relevant parts for ASD. Finally, a Siamese Convolutional Neural Network (SCNN) was employed as the classifier model. Results: The 3D autoencoder stage helped in identifying and reconstructing the significant subcortical regions related to ASD. Based on the studied dataset, high agreement in regions like the Putamen and Pallidum indicated the critical nature of these structures in distinguishing Autism from controls cases. Subsequently, applying SCNN on these selected subcortical regions yielded promising results. For example, using the classifier on the output regions identified by the Mutual Information (MI) features selection method achieved the highest accuracy of 0.66. Conclusions: This study shows that using a two-stage model involving autoencoder and SCNN can notably improve the classification of ASD from brain MRI volumetric images. Applying an iterative feature extraction approach allowed to achieve a more accurate identification of ASD-related brain areas. This two-stage approach not only improved classification performance but also enhanced the interpretability of the neuroimaging data.</t>
        </is>
      </c>
    </row>
    <row r="24" ht="409" customHeight="1">
      <c r="A24" s="4" t="n">
        <v>47</v>
      </c>
      <c r="B24" s="4" t="n">
        <v>2025</v>
      </c>
      <c r="C24" s="4" t="inlineStr">
        <is>
          <t>Leveraging deep learning for enhanced diagnosis of autism spectrum disorder using resting-state functional magnetic resonance imaging and clinical data</t>
        </is>
      </c>
      <c r="D24" s="4" t="inlineStr">
        <is>
          <t>10.1016/j.rineng.2025.104444</t>
        </is>
      </c>
      <c r="E24" s="4" t="inlineStr">
        <is>
          <t>A Sheik Abdullah and Keerthana V and S Geetha and Utkarsh Mishra</t>
        </is>
      </c>
      <c r="F24" s="4" t="inlineStr">
        <is>
          <t>Results in Engineering</t>
        </is>
      </c>
      <c r="G24" s="4" t="inlineStr">
        <is>
          <t>Incluir provisionalmente</t>
        </is>
      </c>
      <c r="H24" s="4" t="inlineStr">
        <is>
          <t>Retrieved and reviewed</t>
        </is>
      </c>
      <c r="I24" s="4" t="n"/>
      <c r="J24" s="4" t="inlineStr">
        <is>
          <t>Include</t>
        </is>
      </c>
      <c r="K24" s="4" t="n"/>
      <c r="L24" s="4" t="inlineStr">
        <is>
          <t>Revisión asistida por IA (un revisor; requiere verificación independiente)</t>
        </is>
      </c>
      <c r="M24" s="40" t="n">
        <v>46269</v>
      </c>
      <c r="N24" s="4" t="inlineStr">
        <is>
          <t>https://doi.org/10.1016/j.rineng.2025.104444</t>
        </is>
      </c>
      <c r="O24" s="4" t="inlineStr">
        <is>
          <t>Texto completo/contenido integral evaluable revisado; extracción RQ disponible. Nivel de fuente y limitaciones documentados en Lote_01_25.</t>
        </is>
      </c>
      <c r="P24" s="4" t="inlineStr">
        <is>
          <t>Autism Spectrum Disorder (ASD) presents a multifaceted challenge, characterized by intricate difficulties in social interaction, communication, and behavior. Timely and accurate diagnosis is crucial for effective intervention and support. However, existing methods often struggle to capture the intricate patterns indicative of ASD traits, leading to misdiagnosis or delayed intervention. In response, this research introduces an innovative approach leveraging Deep Attention Bidirectional Long Short-Term Memory (LSTM) networks alongside Convolutional Neural Networks (CNN) with Bidirectional LSTM with Attention for ASD classification. By analyzing resting-state functional Magnetic Resonance Imaging (rs-fMRI) data and phenotypic information from the Autism Brain Imaging Data Exchange (ABIDE) dataset, our model aims to dissect the complex temporal and spatial signatures associated with ASD. Our methodology focuses on integrating attention mechanisms to identify and prioritize key features in the input data, improving classification accuracy. Extensive training and validation are conducted to establish a strong classification framework. Evaluation metrics such as accuracy, precision, sensitivity, and AUC-ROC are used to rigorously assess the effectiveness of our model. Preliminary results showcase promising outcomes: an accuracy of 93%, a precision of 0.90, and an AUC-ROC of 0.93. These findings not only advance the realm of ASD diagnosis research but also hold the potential to augment clinical decision-making with nuanced and reliable classification tools, ultimately improving outcomes for individuals affected by ASD.</t>
        </is>
      </c>
    </row>
    <row r="25" ht="409" customHeight="1">
      <c r="A25" s="4" t="n">
        <v>50</v>
      </c>
      <c r="B25" s="4" t="n">
        <v>2025</v>
      </c>
      <c r="C25" s="4" t="inlineStr">
        <is>
          <t>Effectiveness of Artificial Intelligence–Based Platform in Administering Therapies for Children With Autism Spectrum Disorder: 12-Month Observational Study</t>
        </is>
      </c>
      <c r="D25" s="4" t="inlineStr">
        <is>
          <t>10.2196/70589</t>
        </is>
      </c>
      <c r="E25" s="4" t="inlineStr">
        <is>
          <t>Harini Atturu and Somasekhar Naraganti and Bugatha Rajvir Rao</t>
        </is>
      </c>
      <c r="F25" s="4" t="inlineStr">
        <is>
          <t>JMIR Neurotechnology</t>
        </is>
      </c>
      <c r="G25" s="4" t="inlineStr">
        <is>
          <t>Incluir provisionalmente</t>
        </is>
      </c>
      <c r="H25" s="4" t="inlineStr">
        <is>
          <t>Retrieved and reviewed</t>
        </is>
      </c>
      <c r="I25" s="4" t="n"/>
      <c r="J25" s="4" t="inlineStr">
        <is>
          <t>Include</t>
        </is>
      </c>
      <c r="K25" s="4" t="n"/>
      <c r="L25" s="4" t="inlineStr">
        <is>
          <t>Revisión asistida por IA (un revisor; requiere verificación independiente)</t>
        </is>
      </c>
      <c r="M25" s="40" t="n">
        <v>46269</v>
      </c>
      <c r="N25" s="4" t="inlineStr">
        <is>
          <t>https://neuro.jmir.org/2025/1/e70589/PDF</t>
        </is>
      </c>
      <c r="O25" s="4" t="inlineStr">
        <is>
          <t>Texto completo abierto con métodos y resultados suficientes; codificación en Extraccion_RQ_nuevos.</t>
        </is>
      </c>
      <c r="P25" s="4" t="inlineStr">
        <is>
          <t>Background: A 12-month longitudinal observational study was conducted on 43 children aged 2‐18 years to evaluate the effectiveness of the CognitiveBotics artificial intelligence (AI)–based platform in conjunction with continuous therapy in improving therapeutic outcomes for children with autism spectrum disorder (ASD). Objective: This study evaluates the CognitiveBotics software’s effectiveness in supporting children with ASD through structured, technology-assisted learning. The primary objectives include assessing user engagement, tracking progress, and measuring efficacy using standardized clinical assessments. Methods: A 12-month observational study was conducted on children diagnosed with ASD using the CognitiveBotics AI-based platform. Standardized assessments, include the Childhood Autism Rating Scale (CARS), Vineland Social Maturity Scale, Developmental Screening Test, and Receptive Expressive Emergent Language Test (REEL), were conducted at baseline (T1) and at the endpoint (T2). All participants meeting the inclusion criteria were provided access to the platform and received standard therapy. Participants who consistently adhered to platform use as per the study protocol were classified as the intervention group, while those who did not maintain continuous platform use were designated as the control group. Additionally, caregivers received structured training, including web-based parent teaching sessions, reinforcement strategy training, and home-based activity guidance. Results: Participants in the intervention group demonstrated statistically significant improvements across multiple scales. CARS scores reduced from 33.41 (SD 1.89) at T1 to 28.34 (SD 3.80) at T2 (P&lt;.001). Social age increased from 22.80 (SD 7.33) to 35.76 (SD 9.09; mean change: 12.96, 56.84% increase; P&lt;.001). Social quotient increased from 53.26 (SD 11.84) to 64.75 (SD 16.12; mean change: 11.49, 21.57% increase; P&lt;.001). Developmental age showed an improvement from 30.93 (SD 9.91) to 45.31 (SD 11.20; mean change: 14.38, 46.49% increase; P&lt;.001), while developmental quotient increased from 70.94 (SD 10.95) to 81.33 (SD 16.85; mean change: 10.39, 14.65% increase; P&lt;.001). REEL scores showed substantial improvements, with receptive language increasing by 56.22% (P&lt;.001) and expressive language by 59.93% (P&lt;.001). In the control group, while most psychometric parameters showed some improvements, they were not statistically significant. CARS scores decreased by 10.62% (P=.06), social age increased by 52.27% (P=.06), social quotient increased by 19.62% (P=.12), developmental age increased by 44.88% (P=.06), and developmental quotient increased by 11.23% (P=.19). REEL receptive and expressive language increased by 34.69% (P=.10) and 40.48% (P=.054), respectively. Conclusions: Overall, the platform was an effective supplement in enhancing therapeutic outcomes for children with ASD. This platform holds promise as a valuable tool for augmenting ASD therapies across cognitive, social, and developmental domains. Future development should prioritize expanding the product’s accessibility across various languages, ensuring cultural sensitivity and enhancing user-friendliness.</t>
        </is>
      </c>
    </row>
    <row r="26" ht="409" customHeight="1">
      <c r="A26" s="4" t="n">
        <v>51</v>
      </c>
      <c r="B26" s="4" t="n">
        <v>2025</v>
      </c>
      <c r="C26" s="4" t="inlineStr">
        <is>
          <t>Involution fused convolution for classifying eye-tracking patterns of children with Autism Spectrum Disorder</t>
        </is>
      </c>
      <c r="D26" s="4" t="inlineStr">
        <is>
          <t>10.1016/j.engappai.2024.109475</t>
        </is>
      </c>
      <c r="E26" s="4" t="inlineStr">
        <is>
          <t>Md Farhadul Islam and Meem Arafat Manab and Joyanta Jyoti Mondal and Sarah Zabeen and Fardin Bin Rahman and Md Zahidul Hasan and Farig Sadeque and Jannatun Noor</t>
        </is>
      </c>
      <c r="F26" s="4" t="inlineStr">
        <is>
          <t>Engineering Applications of Artificial Intelligence</t>
        </is>
      </c>
      <c r="G26" s="4" t="inlineStr">
        <is>
          <t>Incluir provisionalmente</t>
        </is>
      </c>
      <c r="H26" s="4" t="inlineStr">
        <is>
          <t>Retrieved and reviewed</t>
        </is>
      </c>
      <c r="I26" s="4" t="n"/>
      <c r="J26" s="4" t="inlineStr">
        <is>
          <t>Include</t>
        </is>
      </c>
      <c r="K26" s="4" t="n"/>
      <c r="L26" s="4" t="inlineStr">
        <is>
          <t>Revisión asistida por IA (un revisor; requiere verificación independiente)</t>
        </is>
      </c>
      <c r="M26" s="40" t="n">
        <v>46269</v>
      </c>
      <c r="N26" s="4" t="inlineStr">
        <is>
          <t>https://arxiv.org/pdf/2401.03575</t>
        </is>
      </c>
      <c r="O26" s="4" t="inlineStr">
        <is>
          <t>Texto completo/contenido integral evaluable revisado; extracción RQ disponible. Nivel de fuente y limitaciones documentados en Lote_01_25.</t>
        </is>
      </c>
      <c r="P26" s="4" t="inlineStr">
        <is>
          <t>Autism Spectrum Disorder (ASD) is a neurological condition that is challenging to diagnose. Numerous studies demonstrate that children diagnosed with autism struggle with maintaining attention spans and have less focused vision. The eye-tracking technology has drawn special attention in the context of ASD since anomalies in gaze have long been acknowledged as a defining feature of autism. Deep Learning (DL) approaches coupled with eye-tracking sensors are exploiting additional capabilities to advance the diagnostic and its applications. DL architectures like convolution have been dominating this domain. However, convolutions alone may be insufficient to capture the important spatial information in eye-tracking patterns, as these patterns are more likely to be localized. The dynamic kernel-based process known as involutions can improve the classification efficiency. In this study, we utilize two image-processing operations to see how these processes learn eye-tracking patterns. Since these patterns are primarily based on spatial information, we employ a hybrid of involution and convolution. Our study shows that adding a few involution layers reduces size and computational cost while enhancing location-specific capabilities, maintaining performance comparable to pure convolutional models. However, excessive involution layers lead to weaker performance. For comparisons, we experiment with two datasets and a combined version of both in ablation studies. Our proposed model, featuring three involution layers and three convolution layers, achieved 99.43% accuracy on the first dataset and 96.78% on the second, with a size of only 1.36 megabytes. These results showcase the effectiveness of combining involution and convolution layers which outperforms previous literature.</t>
        </is>
      </c>
    </row>
    <row r="27" ht="409" customHeight="1">
      <c r="A27" s="4" t="n">
        <v>56</v>
      </c>
      <c r="B27" s="4" t="n">
        <v>2025</v>
      </c>
      <c r="C27" s="4" t="inlineStr">
        <is>
          <t>Effective AI Techniques for Analyzing Risk Factors in Autism Spectrum Disorder (ASD)</t>
        </is>
      </c>
      <c r="D27" s="4" t="inlineStr">
        <is>
          <t>10.1016/j.procs.2025.10.018</t>
        </is>
      </c>
      <c r="E27" s="4" t="inlineStr">
        <is>
          <t>Amira Rachah and Saket Adhau and Senda Slama</t>
        </is>
      </c>
      <c r="F27" s="4" t="inlineStr">
        <is>
          <t>Procedia Computer Science</t>
        </is>
      </c>
      <c r="G27" s="4" t="inlineStr">
        <is>
          <t>Incluir provisionalmente</t>
        </is>
      </c>
      <c r="H27" s="4" t="inlineStr">
        <is>
          <t>Eligibility reviewed from accessible primary-source content; scoped adjudication completed</t>
        </is>
      </c>
      <c r="I27" s="4" t="n"/>
      <c r="J27" s="4" t="inlineStr">
        <is>
          <t>Include</t>
        </is>
      </c>
      <c r="K27" s="4" t="n"/>
      <c r="L27" s="4" t="inlineStr">
        <is>
          <t>Revisión asistida por IA (un revisor; requiere verificación independiente)</t>
        </is>
      </c>
      <c r="M27" s="40" t="n">
        <v>46269</v>
      </c>
      <c r="N27" s="4" t="inlineStr">
        <is>
          <t>https://doi.org/10.1016/j.procs.2025.10.018</t>
        </is>
      </c>
      <c r="O27" s="4" t="inlineStr">
        <is>
          <t>Contenido primario accesible revisado y adjudicación RQ cerrada en Lote_06_22. Nivel de evidencia, limitaciones y prioridad de verificación humana documentados en Lote_06_22.</t>
        </is>
      </c>
      <c r="P27" s="4" t="inlineStr">
        <is>
          <t>Autism Spectrum Disorder (ASD) is a complex neurodevelopmental condition characterised by a wide range of behavioural and developmental symptoms. Understanding the risk factors that contribute to the onset and progression of ASD is essential for early diagnosis and intervention. In this paper, we explore advanced artificial intelligence (AI) approaches for analysing risk factors associated with ASD. Specifically, we apply machine learning techniques, including Random Forest, XGBoost, and SHAP (Shapley Additive Explanations) to determine the most influential features in ASD risk prediction. Random Forest and XGBoost models are utilised to assess feature importance, offering insights into the relative contribution of various clinical, genetic, and environmental variables. Additionally, SHAP values are employed to provide model interpretability and explain the influence of individual features in a transparent and human-understandable manner. Our findings indicate that these AI-driven methods can effectively identify key risk factors for ASD, providing insights that may support earlier detection, targeted prevention, and personalised treatment strategies. This paper underscores the potential of AI to transform autism research through scalable, interpretable, and data-driven methodologies.</t>
        </is>
      </c>
    </row>
    <row r="28" ht="409" customHeight="1">
      <c r="A28" s="4" t="n">
        <v>59</v>
      </c>
      <c r="B28" s="4" t="n">
        <v>2025</v>
      </c>
      <c r="C28" s="4" t="inlineStr">
        <is>
          <t>Advanced autism detection and visualization through XGBoost algorithm for fNIRS hemo-dynamic signals</t>
        </is>
      </c>
      <c r="D28" s="4" t="inlineStr">
        <is>
          <t>10.1016/j.eswa.2025.127013</t>
        </is>
      </c>
      <c r="E28" s="4" t="inlineStr">
        <is>
          <t>Sajid Farooq and Hailun He and Deyu Guo and Yuyi Feng and Jingguo Hang and Dexing Kong and Sailing He</t>
        </is>
      </c>
      <c r="F28" s="4" t="inlineStr">
        <is>
          <t>Expert Systems with Applications</t>
        </is>
      </c>
      <c r="G28" s="4" t="inlineStr">
        <is>
          <t>Incluir provisionalmente</t>
        </is>
      </c>
      <c r="H28" s="4" t="inlineStr">
        <is>
          <t>Retrieved and reviewed</t>
        </is>
      </c>
      <c r="I28" s="4" t="n"/>
      <c r="J28" s="4" t="inlineStr">
        <is>
          <t>Include</t>
        </is>
      </c>
      <c r="K28" s="4" t="n"/>
      <c r="L28" s="4" t="inlineStr">
        <is>
          <t>Revisión asistida por IA (un revisor; requiere verificación independiente)</t>
        </is>
      </c>
      <c r="M28" s="40" t="n">
        <v>46269</v>
      </c>
      <c r="N28" s="4" t="inlineStr">
        <is>
          <t>https://doi.org/10.1016/j.eswa.2025.127013</t>
        </is>
      </c>
      <c r="O28" s="4" t="inlineStr">
        <is>
          <t>Texto completo/contenido integral evaluable revisado; extracción RQ disponible. Nivel de fuente y limitaciones documentados en Lote_01_25.</t>
        </is>
      </c>
      <c r="P28" s="4" t="inlineStr">
        <is>
          <t>Early detection of Autism Spectrum Disorder (ASD), a neuro-developmental condition characterized by impairments in social communication, is critical for prompt intervention and care. Recent advancements in digital medicine have significantly enhanced the precision and efficiency of ASD diagnosis, management, and care coordination. These technologies offer considerable potential for optimizing treatment pathways and improving patient outcomes. However, challenges remain in sustaining long-term user engagement and effectively integrating these innovations into routine clinical practice for ASD management. In this study, we report the findings from a clinic-based, prospective investigation aimed at evaluating the diagnostic validity of ASD employing XGBoost algorithm. Of the 51 cases assessed, 24 were diagnosed with ASD, while 27 were identified as having developmental delay without autism. Functional near-infrared spectroscopy (fNIRS) was employed to measure resting-state hemo-dynamic fluctuations in the bilateral temporal lobes, revealing connectivity differences through computer vision and machine learning analysis. Agglomerative hierarchical clustering (AgHC) was employed to evaluate the active coupling between fluctuations of deoxygenated hemoglobin (HbR) and oxygenated hemoglobin (HbO) across specific channels, elucidating inter-channel relationships in neurovascular coupling. The algorithm, using a range of significant features, achieved robust diagnostic performance with area under receiver operating characteristic curve of 0.99 ± 1, demonstrating sensitivity of 98%, specificity of 95%, negative predictive value (NPV) of 98%, and positive predictive value (PPV) of 95%, indicating high diagnostic accuracy in distinguishing relevant cases. These findings underscore the potential of digital medicine to offer objective and scalable framework for the diagnosis of autism in real-world clinical environments.</t>
        </is>
      </c>
    </row>
    <row r="29" ht="409" customHeight="1">
      <c r="A29" s="4" t="n">
        <v>60</v>
      </c>
      <c r="B29" s="4" t="n">
        <v>2025</v>
      </c>
      <c r="C29" s="4" t="inlineStr">
        <is>
          <t>Using convolutional network in graphical model detection of autism disorders with fuzzy inference systems</t>
        </is>
      </c>
      <c r="D29" s="4" t="inlineStr">
        <is>
          <t>10.1016/j.ibmed.2025.100213</t>
        </is>
      </c>
      <c r="E29" s="4" t="inlineStr">
        <is>
          <t>S Rajaprakash and C Bagath Basha and C Sunitha Ram and I Ameethbasha and V Subapriya and R Sofia</t>
        </is>
      </c>
      <c r="F29" s="4" t="inlineStr">
        <is>
          <t>Intelligence-Based Medicine</t>
        </is>
      </c>
      <c r="G29" s="4" t="inlineStr">
        <is>
          <t>Incluir provisionalmente</t>
        </is>
      </c>
      <c r="H29" s="4" t="inlineStr">
        <is>
          <t>Retrieved and reviewed</t>
        </is>
      </c>
      <c r="I29" s="4" t="n"/>
      <c r="J29" s="4" t="inlineStr">
        <is>
          <t>Include</t>
        </is>
      </c>
      <c r="K29" s="4" t="n"/>
      <c r="L29" s="4" t="inlineStr">
        <is>
          <t>Revisión asistida por IA (un revisor; requiere verificación independiente)</t>
        </is>
      </c>
      <c r="M29" s="40" t="n">
        <v>46269</v>
      </c>
      <c r="N29" s="4" t="inlineStr">
        <is>
          <t>https://doi.org/10.1016/j.ibmed.2025.100213</t>
        </is>
      </c>
      <c r="O29" s="4" t="inlineStr">
        <is>
          <t>Texto completo/contenido integral evaluable revisado; extracción RQ disponible. Nivel de fuente y limitaciones documentados en Lote_01_25.</t>
        </is>
      </c>
      <c r="P29" s="4" t="inlineStr">
        <is>
          <t>Autism spectrum disorder (ASD) study faces several challenges, including variations in brain connectivity patterns, small sample sizes, and data heterogeneity detection by magnetic resonance imaging (MRI). These issues make it challenging to identify consistent imaging modalities. Researchers have explored improved analysis techniques to solve the above problem via multimodal imaging and graph-based methods. Therefore, it is better to understand ASD neurology. The current techniques focus mainly on pairwise comparisons between individuals and often overlook features and individual characteristics. To overcome these limitations, in the proposed novel method, a multiscale enhanced graph with a convolutional network is used for ASD detection. This work integrates non-imaging phenotypic data (from brain imaging data) with functional connectivity data (from Functional magnetic resonance images). In this approach, the population graph represents all individuals as vertices. The phenotypic data were used to calculate the weight between vertices in the graph using the fuzzy inference system. Fuzzy if-then rules, is used to determine the similarity between the phenotypic data. Each vertice connects feature vectors derived from the image data. The vertices and weights of each edge are used to incorporate phenotypic information. A random walk with a fuzzy MSE-GCN framework employs multiple parallel GCN layer embeddings. The outputs from these layers are joined in a completely linked layer to detect ASD efficiently. We assessed the performance of this background by the ABIDE data set and utilized recursive feature elimination and a multilayer perceptron for feature selection. This method achieved an accuracy rate of 87 % better than the current study.</t>
        </is>
      </c>
    </row>
    <row r="30" ht="409" customHeight="1">
      <c r="A30" s="4" t="n">
        <v>63</v>
      </c>
      <c r="B30" s="4" t="n">
        <v>2025</v>
      </c>
      <c r="C30" s="4" t="inlineStr">
        <is>
          <t>Enhancing autism spectrum disorder early detection with parent-child dyads block-play protocol and attention-enhanced hybrid deep learning framework</t>
        </is>
      </c>
      <c r="D30" s="4" t="inlineStr">
        <is>
          <t>10.1016/j.engappai.2025.110430</t>
        </is>
      </c>
      <c r="E30" s="4" t="inlineStr">
        <is>
          <t>Xiang Li and Lizhou Fan and Hanbo Wu and Kunping Chen and Xiaoxiao Yu and Chao Che and Zhifeng Cai and Xiuhong Niu and Aihua Cao and Xin Ma</t>
        </is>
      </c>
      <c r="F30" s="4" t="inlineStr">
        <is>
          <t>Engineering Applications of Artificial Intelligence</t>
        </is>
      </c>
      <c r="G30" s="4" t="inlineStr">
        <is>
          <t>Incluir provisionalmente</t>
        </is>
      </c>
      <c r="H30" s="4" t="inlineStr">
        <is>
          <t>Retrieved and reviewed</t>
        </is>
      </c>
      <c r="I30" s="4" t="n"/>
      <c r="J30" s="4" t="inlineStr">
        <is>
          <t>Include</t>
        </is>
      </c>
      <c r="K30" s="4" t="n"/>
      <c r="L30" s="4" t="inlineStr">
        <is>
          <t>Revisión asistida por IA (un revisor; requiere verificación independiente)</t>
        </is>
      </c>
      <c r="M30" s="40" t="n">
        <v>46269</v>
      </c>
      <c r="N30" s="4" t="inlineStr">
        <is>
          <t>https://arxiv.org/pdf/2408.16924</t>
        </is>
      </c>
      <c r="O30" s="4" t="inlineStr">
        <is>
          <t>Texto completo/contenido integral evaluable revisado; extracción RQ disponible. Nivel de fuente y limitaciones documentados en Lote_01_25.</t>
        </is>
      </c>
      <c r="P30" s="4" t="inlineStr">
        <is>
          <t>Autism Spectrum Disorder (ASD) is a rapidly growing neurodevelopmental disorder. Early intervention is crucial for the development of young children with ASD, yet traditional clinical screening methods often lack objectivity. We introduce a novel Parent-Child Dyads Block-Play (PCB) protocol that captures distinct behavioral patterns in ASD toddlers during naturalistic interactions with their parents. This protocol systematically captures and quantifies parent–child interactions during the block-play task, providing a structured and naturalistic environment to observe ASD-relevant behaviors. Drawing on kinesiological and neuroscientific insights, our approach analyzes movement dynamics to reliably differentiate ASD from typically developing (TD) toddlers. In a dataset of 129 toddlers (40 ASD, 89 TD), we analyze the videos using a hybrid deep learning framework that integrates a two-stream graph convolution network (2sGCN) with an attention-enhanced extended long short-term memory (AxLSTM), enabling the capture of both spatial and temporal aspects of movement. Our 2sGCN-AxLSTM framework efficiently analyzes human dynamic behavioral patterns and is able to distinguish between ASD and typical developmental disorders with an unprecedented 89.6% accuracy. This high level of accuracy holds promise for practical clinical use, as it could facilitate timely interventions and potentially improve developmental outcomes. By focusing on real-life parent–child interactions, the proposed PCB protocol provides a valuable tool that can complement traditional assessments, facilitating timely interventions, and potentially improving developmental outcomes.</t>
        </is>
      </c>
    </row>
    <row r="31" ht="409" customHeight="1">
      <c r="A31" s="4" t="n">
        <v>64</v>
      </c>
      <c r="B31" s="4" t="n">
        <v>2025</v>
      </c>
      <c r="C31" s="4" t="inlineStr">
        <is>
          <t>Involvement of disulfidptosis in the pathophysiology of autism spectrum disorder</t>
        </is>
      </c>
      <c r="D31" s="4" t="inlineStr">
        <is>
          <t>10.1016/j.lfs.2025.123531</t>
        </is>
      </c>
      <c r="E31" s="4" t="inlineStr">
        <is>
          <t>Yutong Liu and Yaqi Sun and Anjie Chen and Jiaqi Chen and Tikang Zhu and Shuting Wang and Wanying Qiao and Ding Zhou and Xirui Zhang and Shuangshuang Chen and Yaxin Shi and Yuan Yang and Jia Wang and Lijie Wu and Lili Fan</t>
        </is>
      </c>
      <c r="F31" s="4" t="inlineStr">
        <is>
          <t>Life Sciences</t>
        </is>
      </c>
      <c r="G31" s="4" t="inlineStr">
        <is>
          <t>Incluir provisionalmente</t>
        </is>
      </c>
      <c r="H31" s="4" t="inlineStr">
        <is>
          <t>Retrieved and reviewed</t>
        </is>
      </c>
      <c r="I31" s="4" t="n"/>
      <c r="J31" s="4" t="inlineStr">
        <is>
          <t>Include</t>
        </is>
      </c>
      <c r="K31" s="4" t="n"/>
      <c r="L31" s="4" t="inlineStr">
        <is>
          <t>Revisión asistida por IA (un revisor; requiere verificación independiente)</t>
        </is>
      </c>
      <c r="M31" s="40" t="n">
        <v>46269</v>
      </c>
      <c r="N31" s="4" t="inlineStr">
        <is>
          <t>https://www.sciencedirect.com/science/article/pii/S0024320525001651</t>
        </is>
      </c>
      <c r="O31" s="4" t="inlineStr">
        <is>
          <t>Texto completo/contenido integral evaluable revisado; extraccion RQ disponible. Nivel de fuente y limitaciones documentados en Lote_02_25.</t>
        </is>
      </c>
      <c r="P31" s="4" t="inlineStr">
        <is>
          <t>Autism Spectrum Disorder (ASD) is a complex neurodevelopmental disorder, with oxidative stress recognized as a key pathogenic mechanisms. Oxidative stress disrupts intracellular dynamic- thiol/disulfide homeostasis (DTDH), potentially leading to disulfidptosis, a newly identified cell death mechanism. While studies suggest a link between DTDH and ASD, direct evidence implicating disulfidptosis in ASD pathogenesis remains limited. In this study, Mendelian randomization analysis revealed a significant causal association between disulfidptosis-related sulfhydryl oxidase 1 and 2 and ASD (OR1 = 0.883, OR2 = 0.924, p &lt; 0.05). A positive correlation between protein disulfide-isomerase and cognitive performance (OR = 1.021, p &lt; 0.01) further supported the role of disulfidptosis in ASD. Seven disulfidptosis-related genes (TIMP1, STAT3, VWA1, ADA, IL5, PF4, and TXNDC12) were identified and linked to immune cell alterations. A TF-miRNA-mRNA regulatory network and a predictive model (AUC = 0.759) were constructed and external validation datasets (AUC = 0.811). Immune infiltration analysis demonstrated altered expression of naive B cells and three other types of immune cells in ASD children. Animal experiments further validated the differential expression of key genes, highlighting their relevance to ASD pathogenesis. Animal experiments found that BTBR mice exhibit glucose starvation and NADPH depletion, with the specific indicator Slc7a11 being highly expressed. Silencing Slc7a11 can improve core ASD impairments in BTBR mice. Conclusion: This study establishes the first mechanistic link between disulfidptosis and ASD, identifies seven key genes and their regulatory network, and develops a predictive model with clinical utility. Animal experiments further confirmed the strong association between disulfidpotosis and ASD phenotypes. These findings offer novel therapeutic targets for modulating oxidative stress in ASD.</t>
        </is>
      </c>
    </row>
    <row r="32" ht="409" customHeight="1">
      <c r="A32" s="4" t="n">
        <v>67</v>
      </c>
      <c r="B32" s="4" t="n">
        <v>2025</v>
      </c>
      <c r="C32" s="4" t="inlineStr">
        <is>
          <t>Enhancing the identification of autism spectrum disorder in facial expressions using DenseResNet-Based transfer learning approach</t>
        </is>
      </c>
      <c r="D32" s="4" t="inlineStr">
        <is>
          <t>10.1016/j.bspc.2024.107433</t>
        </is>
      </c>
      <c r="E32" s="4" t="inlineStr">
        <is>
          <t>Beno Ranjana J and Muthukkumar R</t>
        </is>
      </c>
      <c r="F32" s="4" t="inlineStr">
        <is>
          <t>Biomedical Signal Processing and Control</t>
        </is>
      </c>
      <c r="G32" s="4" t="inlineStr">
        <is>
          <t>Incluir provisionalmente</t>
        </is>
      </c>
      <c r="H32" s="4" t="inlineStr">
        <is>
          <t>Retrieved and reviewed</t>
        </is>
      </c>
      <c r="I32" s="4" t="n"/>
      <c r="J32" s="4" t="inlineStr">
        <is>
          <t>Include</t>
        </is>
      </c>
      <c r="K32" s="4" t="n"/>
      <c r="L32" s="4" t="inlineStr">
        <is>
          <t>Revisión asistida por IA (un revisor; requiere verificación independiente)</t>
        </is>
      </c>
      <c r="M32" s="40" t="n">
        <v>46269</v>
      </c>
      <c r="N32" s="4" t="inlineStr">
        <is>
          <t>https://www.sciencedirect.com/science/article/pii/S1746809424014915</t>
        </is>
      </c>
      <c r="O32" s="4" t="inlineStr">
        <is>
          <t>Texto completo/contenido integral evaluable revisado; extraccion RQ disponible. Nivel de fuente y limitaciones documentados en Lote_02_25.</t>
        </is>
      </c>
      <c r="P32" s="4" t="inlineStr">
        <is>
          <t>Autism Spectrum Disorder (ASD) is a neurological disability, which is characterized by cognition, behavioral challenges, social skills, and communication. Identifying children with ASD in the early stages helps improve their learning ability and limit the symptoms. Since there is no medical test to diagnose the disorder, it is very challenging. Many researchers diagnose ASD through facial images and the child's behavior. In this methodology, DenseResNet (DRN)-based transfer learning approaches are proposed to analyze the facial images through deep learning techniques. Generally, the human face reflects the human brain and when it is used as a biomarker, it becomes easy to diagnose ASD in its early stages. This strategy combines two methods: densely connected networks and residual networks, which are pre-trained models to detect facial images of autistic children. This model reaches 97.07% classification accuracy and uses its dataset. The deep learning model creates four dense blocks for extracting features. Moreover, it extracts the features from residual network layers and finally combines the features for classifying the images. This model is trained using around 2526 images and is tested using 200 images. Based on classification accuracy, the autism diagnosis system for children is effectively used by using only facial images.</t>
        </is>
      </c>
    </row>
    <row r="33" ht="409" customHeight="1">
      <c r="A33" s="4" t="n">
        <v>74</v>
      </c>
      <c r="B33" s="4" t="n">
        <v>2025</v>
      </c>
      <c r="C33" s="4" t="inlineStr">
        <is>
          <t>Deep neurocomputational fusion for ASD diagnosis using multi-domain EEG analysis</t>
        </is>
      </c>
      <c r="D33" s="4" t="inlineStr">
        <is>
          <t>10.1016/j.neucom.2025.130353</t>
        </is>
      </c>
      <c r="E33" s="4" t="inlineStr">
        <is>
          <t>Abdur Rasool and Saba Aslam and Yongjie Xu and Yishan Wang and Yi Pan and Weiyang Chen</t>
        </is>
      </c>
      <c r="F33" s="4" t="inlineStr">
        <is>
          <t>Neurocomputing</t>
        </is>
      </c>
      <c r="G33" s="4" t="inlineStr">
        <is>
          <t>Incluir provisionalmente</t>
        </is>
      </c>
      <c r="H33" s="4" t="inlineStr">
        <is>
          <t>Retrieved and reviewed</t>
        </is>
      </c>
      <c r="I33" s="4" t="n"/>
      <c r="J33" s="4" t="inlineStr">
        <is>
          <t>Include</t>
        </is>
      </c>
      <c r="K33" s="4" t="n"/>
      <c r="L33" s="4" t="inlineStr">
        <is>
          <t>Revisión asistida por IA (un revisor; requiere verificación independiente)</t>
        </is>
      </c>
      <c r="M33" s="40" t="n">
        <v>46269</v>
      </c>
      <c r="N33" s="4" t="inlineStr">
        <is>
          <t>https://www.sciencedirect.com/science/article/pii/S0925231225010252</t>
        </is>
      </c>
      <c r="O33" s="4" t="inlineStr">
        <is>
          <t>Texto completo/contenido integral evaluable revisado; extraccion RQ disponible. Nivel de fuente y limitaciones documentados en Lote_02_25.</t>
        </is>
      </c>
      <c r="P33" s="4" t="inlineStr">
        <is>
          <t>Autism spectrum disorder (ASD) presents significant challenges in early detection due to its heterogeneous nature and the subtlety of neurophysiological variations. Electroencephalography (EEG) has emerged as a promising tool for ASD diagnosis, offering insights into intricate neurophysiological signal dynamics. However, existing computational EEG analysis techniques often struggle to effectively capture complex ASD-related neural activity patterns. To address these limitations, this study proposes an Encoder-Ensemble Fusion Model (EEFM), designed to enhance EEG-based ASD classification through advanced neurocomputational modeling. EEFM integrates multi-domain EEG features with a sophisticated fusion network, initially extracting a diverse range of time and frequency-domain characteristics. This model enables the identification of nuanced and heterogeneous ASD-specific neural activity, leveraging ensemble learning and autoencoder architectures to uncover complex relationships within the data. Specifically, an LSTM (Long Short-Term Memory)-autoencoder models temporal and spatial dependencies, followed by an XGBoost Regressor for nonlinear EEG signal interpretation and a linear regression model for decision boundary refinement. The proposed model has been evaluated on a dataset focusing on sex-specific EEG variations in ASD and Typically Developing (TD) subjects. By incorporating EEG-based neurophysiological biomarkers, EEFM achieved 93% accuracy in distinguishing ASD from TD individuals. This model enhances sensitivity to subtle ASD-related abnormalities while addressing challenges in data heterogeneity, scarcity, and generalizability, contributing to advancements in neurocomputing methodologies for EEG-based ASD diagnosis.</t>
        </is>
      </c>
    </row>
    <row r="34" ht="409" customHeight="1">
      <c r="A34" s="4" t="n">
        <v>76</v>
      </c>
      <c r="B34" s="4" t="n">
        <v>2025</v>
      </c>
      <c r="C34" s="4" t="inlineStr">
        <is>
          <t>Female autism categorization using CNN based NeuroNet57 and ant colony optimization</t>
        </is>
      </c>
      <c r="D34" s="4" t="inlineStr">
        <is>
          <t>10.1016/j.compbiomed.2025.109926</t>
        </is>
      </c>
      <c r="E34" s="4" t="inlineStr">
        <is>
          <t>Adnan Ashraf and Qingjie Zhao and Waqas Haider Bangyal and Mudassar Raza and Mudassar Iqbal</t>
        </is>
      </c>
      <c r="F34" s="4" t="inlineStr">
        <is>
          <t>Computers in Biology and Medicine</t>
        </is>
      </c>
      <c r="G34" s="4" t="inlineStr">
        <is>
          <t>Incluir provisionalmente</t>
        </is>
      </c>
      <c r="H34" s="4" t="inlineStr">
        <is>
          <t>Retrieved and reviewed</t>
        </is>
      </c>
      <c r="I34" s="4" t="n"/>
      <c r="J34" s="4" t="inlineStr">
        <is>
          <t>Include</t>
        </is>
      </c>
      <c r="K34" s="4" t="n"/>
      <c r="L34" s="4" t="inlineStr">
        <is>
          <t>Revisión asistida por IA (un revisor; requiere verificación independiente)</t>
        </is>
      </c>
      <c r="M34" s="40" t="n">
        <v>46269</v>
      </c>
      <c r="N34" s="4" t="inlineStr">
        <is>
          <t>https://www.sciencedirect.com/science/article/pii/S001048252500277X</t>
        </is>
      </c>
      <c r="O34" s="4" t="inlineStr">
        <is>
          <t>Texto completo/contenido integral evaluable revisado; extraccion RQ disponible. Nivel de fuente y limitaciones documentados en Lote_02_25.</t>
        </is>
      </c>
      <c r="P34" s="4" t="inlineStr">
        <is>
          <t>Autism identification and classification using biomedical medical image analysis has advanced recently. Research shows autistic females have different phenotypic and age-related brain variations than males. Gender-specific hormones and genes affect autistic female brain circuitry, unfortunately, female phenotypic and genotypic data is quite deficient. Since physicians spend much time in assessing autistic females manually. Advanced large-scale deep learning algorithms are in dire need of accurate medical diagnosis. This research proposed a 57-layer CNN architecture called NeuroNet57 that can extract features from fMRI factually. After pre-training on the Brain Tumour dataset, the NeuroNet57 model extracts female phenotypic features from autism brain imagining data exchange (ABIDE)-I+II datasets using T1 modality fMRI scans, resulting in feature matrices of 14372 × 4096 for ABIDE_I and 16168 × 4096 for ABIDE_II. Our model uses ant colony optimization (ACO) to select feature subsets for dimensionality reduction. Further, nine machine learning classifiers are used to categorize females with autism spectrum disorder (ASD) from females with control behavior. The KNN-based fineKNN (FKNN) classifier had 92.21% accuracy on ABIDE-I and 93.49% on ABIDE-II. This proves the effectiveness of our proposed model.</t>
        </is>
      </c>
    </row>
    <row r="35" ht="409" customHeight="1">
      <c r="A35" s="4" t="n">
        <v>78</v>
      </c>
      <c r="B35" s="4" t="n">
        <v>2025</v>
      </c>
      <c r="C35" s="4" t="inlineStr">
        <is>
          <t>Capsule DenseNet++: Enhanced autism detection framework with deep learning and reinforcement learning-based lifestyle recommendation</t>
        </is>
      </c>
      <c r="D35" s="4" t="inlineStr">
        <is>
          <t>10.1016/j.compbiomed.2025.110038</t>
        </is>
      </c>
      <c r="E35" s="4" t="inlineStr">
        <is>
          <t>Ahmed Ibrahim Alutaibi and Sunil Kumar Sharma and Ahmad Raza Khan</t>
        </is>
      </c>
      <c r="F35" s="4" t="inlineStr">
        <is>
          <t>Computers in Biology and Medicine</t>
        </is>
      </c>
      <c r="G35" s="4" t="inlineStr">
        <is>
          <t>Incluir provisionalmente</t>
        </is>
      </c>
      <c r="H35" s="4" t="inlineStr">
        <is>
          <t>Retrieved and reviewed</t>
        </is>
      </c>
      <c r="I35" s="4" t="n"/>
      <c r="J35" s="4" t="inlineStr">
        <is>
          <t>Include</t>
        </is>
      </c>
      <c r="K35" s="4" t="n"/>
      <c r="L35" s="4" t="inlineStr">
        <is>
          <t>Revisión asistida por IA (un revisor; requiere verificación independiente)</t>
        </is>
      </c>
      <c r="M35" s="40" t="n">
        <v>46269</v>
      </c>
      <c r="N35" s="4" t="inlineStr">
        <is>
          <t>https://www.sciencedirect.com/science/article/pii/S0010482525003890</t>
        </is>
      </c>
      <c r="O35" s="4" t="inlineStr">
        <is>
          <t>Texto completo/contenido integral evaluable revisado; extraccion RQ disponible. Nivel de fuente y limitaciones documentados en Lote_02_25.</t>
        </is>
      </c>
      <c r="P35" s="4" t="inlineStr">
        <is>
          <t>Autism Spectrum Disorder (ASD) is a complex neurological condition that impairs the ability to interact, communicate, and behave. It is becoming increasingly prevalent worldwide, with an increase in the number of young children diagnosed with ASD in Saudi Arabia. Timely identification and customized interventions are essential for enhancing developmental outcomes. However, existing diagnostic approaches are subjective, limiting the cost-effectiveness of their utilization and the uniformity of their outcomes across different communities. In light of these concerns, this study presents a two-phase deep learning framework for autism detection with lifestyle advice using reinforcement learning. In the first phase, the proposed framework utilizes advanced multiscale statistical techniques for feature extraction, such as measures of central tendencies, variability indices, and percentiles, incorporated with the CosmoNest Optimizer, which is a hybrid of the African Vultures Optimization Algorithm and Butterfly Optimization Algorithm. For accurate ASD identification, these optimized features were classified using Capsule DenseNet++, an advanced deep learning model that increases feature representation efficiency and interpretability. In the second stage, we implement a personalized lifestyle recommendation system using the Proximal Policy Optimization (PPO) algorithm, a reinforcement learning algorithm. In the PPO approach, lifestyle decisions are sequential actions aimed at optimizing interventions, therapies, or daily activities for a given person. The PPO system dynamically learns and adapts recommendations over time to improve its effectiveness. The framework was developed in Python and tested on two datasets: autism screening data and ASD screening data for toddlers in Saudi Arabia. The performance of the detection model was recorded in terms of accuracy (99.2 % and 99.3 %, respectively), precision (98.5 % and 98.7 %, respectively), sensitivity (98.7 % and 98.9 %, respectively), and F1-score (99.1 % and 99.2 %, respectively), demonstrating its robustness for ASD detection across both datasets.</t>
        </is>
      </c>
    </row>
    <row r="36" ht="409" customHeight="1">
      <c r="A36" s="4" t="n">
        <v>81</v>
      </c>
      <c r="B36" s="4" t="n">
        <v>2025</v>
      </c>
      <c r="C36" s="4" t="inlineStr">
        <is>
          <t>Self-training EEG discrimination model with weakly supervised sample construction: An age-based perspective on ASD evaluation</t>
        </is>
      </c>
      <c r="D36" s="4" t="inlineStr">
        <is>
          <t>10.1016/j.neunet.2025.107337</t>
        </is>
      </c>
      <c r="E36" s="4" t="inlineStr">
        <is>
          <t>Tengfei Gao and Dan Chen and Meiqi Zhou and Yaodong Wang and Yiping Zuo and Weiping Tu and Xiaoli Li and Jingying Chen</t>
        </is>
      </c>
      <c r="F36" s="4" t="inlineStr">
        <is>
          <t>Neural Networks</t>
        </is>
      </c>
      <c r="G36" s="4" t="inlineStr">
        <is>
          <t>Incluir provisionalmente</t>
        </is>
      </c>
      <c r="H36" s="4" t="inlineStr">
        <is>
          <t>Retrieved and reviewed</t>
        </is>
      </c>
      <c r="I36" s="4" t="n"/>
      <c r="J36" s="4" t="inlineStr">
        <is>
          <t>Include</t>
        </is>
      </c>
      <c r="K36" s="4" t="n"/>
      <c r="L36" s="4" t="inlineStr">
        <is>
          <t>Revisión asistida por IA (un revisor; requiere verificación independiente)</t>
        </is>
      </c>
      <c r="M36" s="40" t="n">
        <v>46269</v>
      </c>
      <c r="N36" s="4" t="inlineStr">
        <is>
          <t>https://www.sciencedirect.com/science/article/pii/S0893608025002163</t>
        </is>
      </c>
      <c r="O36" s="4" t="inlineStr">
        <is>
          <t>Texto completo/contenido integral evaluable revisado; extraccion RQ disponible. Nivel de fuente y limitaciones documentados en Lote_02_25.</t>
        </is>
      </c>
      <c r="P36" s="4" t="inlineStr">
        <is>
          <t>Deep learning for Electroencephalography (EEG) has become dominant in the tasks of discrimination and evaluation of brain disorders. However, despite its significant successes, this approach has long been facing challenges due to the limited availability of labeled samples and the individuality of subjects, particularly in complex scenarios such as Autism Spectrum Disorders (ASD). To facilitate the efficient optimization of EEG discrimination models in the face of these limitations, this study has developed a framework called STEM (Self-Training EEG Model). STEM accomplishes this by self-training the model, which involves initializing it with limited labeled samples and optimizing it with self-constructed samples. (1) Model initialization with multi-task learning: A multi-task model (MAC) comprising an AutoEncoder and a classifier offers guidance for subsequent pseudo-labeling. This guidance includes task-related latent EEG representations and prediction probabilities of unlabeled samples. The AutoEncoder, which consists of depth-separable convolutions and BiGRUs, is responsible for learning comprehensive EEG representations through the EEG reconstruction task. Meanwhile, the classifier, trained using limited labeled samples through supervised learning, directs the model's attention towards capturing task-related features. (2) Model optimization aided by pseudo-labeled samples construction: Next, trustworthy pseudo-labels are assigned to the unlabeled samples, and this approach (PLASC) combines the sample's distance relationship in the feature space mapped by the encoder with the sample's predicted probability, using the initial MAC model as a reference. The constructed pseudo-labeled samples then support the self-training of MAC to learn individual information from new subjects, potentially enhancing the adaptation of the optimized model to samples from new subjects. The STEM framework has undergone an extensive evaluation, comparing it to state-of-the-art counterparts, using resting-state EEG data collected from 175 ASD-suspicious children spanning different age groups. The observed results indicate the following: (1) STEM achieves the best performance, with an accuracy of 88.33% and an F1-score of 87.24%, and (2) STEM's multi-task learning capability outperforms supervised methods when labeled data is limited. More importantly, the use of PLASC improves the model's performance in ASD discrimination across different age groups, resulting in an increase in accuracy (3%–8%) and F1-scores (4%–10%). These increments are approximately 6% higher than those achieved by the comparison methods.</t>
        </is>
      </c>
    </row>
    <row r="37" ht="409" customHeight="1">
      <c r="A37" s="4" t="n">
        <v>84</v>
      </c>
      <c r="B37" s="4" t="n">
        <v>2026</v>
      </c>
      <c r="C37" s="4" t="inlineStr">
        <is>
          <t>Towards screening of children students with autism spectrum disorder based on executive functions with serious game and machine learning approaches</t>
        </is>
      </c>
      <c r="D37" s="4" t="inlineStr">
        <is>
          <t>10.1016/j.eswa.2025.128884</t>
        </is>
      </c>
      <c r="E37" s="4" t="inlineStr">
        <is>
          <t>Sara Raquel Araujo Leal Martins and Franciely Alves de Souza and Lucas Candeia Teixeira and Bruna Roberta Araujo Leal and Diego Marconi Pinheiro Ferreira Silva and Carlo Marcelo Revoredo da Silva</t>
        </is>
      </c>
      <c r="F37" s="4" t="inlineStr">
        <is>
          <t>Expert Systems with Applications</t>
        </is>
      </c>
      <c r="G37" s="4" t="inlineStr">
        <is>
          <t>Incluir provisionalmente</t>
        </is>
      </c>
      <c r="H37" s="4" t="inlineStr">
        <is>
          <t>Retrieved and reviewed</t>
        </is>
      </c>
      <c r="I37" s="4" t="n"/>
      <c r="J37" s="4" t="inlineStr">
        <is>
          <t>Include</t>
        </is>
      </c>
      <c r="K37" s="4" t="n"/>
      <c r="L37" s="4" t="inlineStr">
        <is>
          <t>Revisión asistida por IA (un revisor; requiere verificación independiente)</t>
        </is>
      </c>
      <c r="M37" s="40" t="n">
        <v>46269</v>
      </c>
      <c r="N37" s="4" t="inlineStr">
        <is>
          <t>https://www.sciencedirect.com/science/article/pii/S0957417425025011</t>
        </is>
      </c>
      <c r="O37" s="4" t="inlineStr">
        <is>
          <t>Texto completo/contenido integral evaluable revisado; extraccion RQ disponible. Nivel de fuente y limitaciones documentados en Lote_02_25.</t>
        </is>
      </c>
      <c r="P37" s="4" t="inlineStr">
        <is>
          <t>Educators face challenges in accommodating children with Autism Spectrum Disorder (ASD), particularly those without a definitive clinical diagnosis. Full-day schools provide a convenient setting to implement ASD screening techniques. Children diagnosed with ASD can receive customized interventions, allowing educators to customize teaching to individual needs and promote inclusive education. However, screening methods must seamlessly integrate into the educational environment, ensuring they are noninvasive and engaging. This study proposes a Serious Game (SG) tablet application that combines user requirements for inclusive design with Machine Learning (ML) techniques for screening analysis, offering a playful tool for ASD screening. This tablet application includes three classical games designed to analyze executive functions (EF) in children. We recruited three inclusive education teachers to supervise 12 children aged between 3 and 6 years old, including 6 with ASD and 6 typically developing children. The teachers also facilitated the children's use of our tablet application. Over three months, children completed 640 game matches, and preprocessing these matches resulted in a comprehensive dataset. We compared seven well-known and commonly used ML approaches: Random Forest (RF), Multilayer Perceptron (MLP), K-Nearest Neighbor (KNN), Logistic Regression (LR), Deep Learning (DL), Support Vector Machine (SVM), and Naive Bayes (NB). According to our results, the RF model performed best with an accuracy of 96 %. Our study sheds light on the integration of playful approaches based on SG and ML techniques in educational environments, laying the groundwork for future research and practical applications to screen for suspected ASD among children in school settings.</t>
        </is>
      </c>
    </row>
    <row r="38" ht="409" customHeight="1">
      <c r="A38" s="4" t="n">
        <v>86</v>
      </c>
      <c r="B38" s="4" t="n">
        <v>2025</v>
      </c>
      <c r="C38" s="4" t="inlineStr">
        <is>
          <t>Optimized attention-enhanced U-Net for autism detection and region localization in MRI</t>
        </is>
      </c>
      <c r="D38" s="4" t="inlineStr">
        <is>
          <t>10.1016/j.pscychresns.2025.111970</t>
        </is>
      </c>
      <c r="E38" s="4" t="inlineStr">
        <is>
          <t>Venkata Ratna Prabha K. and Chinni Hima Bindu and K Rama Devi</t>
        </is>
      </c>
      <c r="F38" s="4" t="inlineStr">
        <is>
          <t>Psychiatry Research - Neuroimaging</t>
        </is>
      </c>
      <c r="G38" s="4" t="inlineStr">
        <is>
          <t>Incluir provisionalmente</t>
        </is>
      </c>
      <c r="H38" s="4" t="inlineStr">
        <is>
          <t>Retrieved and reviewed</t>
        </is>
      </c>
      <c r="I38" s="4" t="n"/>
      <c r="J38" s="4" t="inlineStr">
        <is>
          <t>Include</t>
        </is>
      </c>
      <c r="K38" s="4" t="n"/>
      <c r="L38" s="4" t="inlineStr">
        <is>
          <t>Revisión asistida por IA (un revisor; requiere verificación independiente)</t>
        </is>
      </c>
      <c r="M38" s="40" t="n">
        <v>46269</v>
      </c>
      <c r="N38" s="4" t="inlineStr">
        <is>
          <t>https://www.sciencedirect.com/science/article/pii/S0925492725000253</t>
        </is>
      </c>
      <c r="O38" s="4" t="inlineStr">
        <is>
          <t>Texto completo/contenido integral evaluable revisado; extraccion RQ disponible. Nivel de fuente y limitaciones documentados en Lote_02_25.</t>
        </is>
      </c>
      <c r="P38" s="4" t="inlineStr">
        <is>
          <t>Autism spectrum disorder (ASD) is a neurodevelopmental condition that affects a child's cognitive and social skills, often diagnosed only after symptoms appear around age 2. Leveraging MRI for early ASD detection can improve intervention outcomes. This study proposes a framework for autism detection and region localization using an optimized deep learning approach with attention mechanisms. The pipeline includes MRI image collection, pre-processing (bias field correction, histogram equalization, artifact removal, and non-local mean filtering), and autism classification with a Symmetric Structured MobileNet with Attention Mechanism (SSM-AM). Enhanced by Refreshing Awareness-aided Election-Based Optimization (RA-EBO), SSM-AM achieves robust classification. Abnormality region localization utilizes a Multiscale Dilated Attention-based Adaptive U-Net (MDA-AUnet) further optimized by RA-EBO. Experimental results demonstrate that our proposed model outperforms existing methods, achieving an accuracy of 97.29%, sensitivity of 97.27%, specificity of 97.36%, and precision of 98.98%, significantly improving classification and localization performance. These results highlight the potential of our approach for early ASD diagnosis and targeted interventions. The datasets utilized for this work are publicly available at https://fcon_1000.projects.nitrc.org/indi/abide/.</t>
        </is>
      </c>
    </row>
    <row r="39" ht="409" customHeight="1">
      <c r="A39" s="4" t="n">
        <v>92</v>
      </c>
      <c r="B39" s="4" t="n">
        <v>2025</v>
      </c>
      <c r="C39" s="4" t="inlineStr">
        <is>
          <t>Data independent acquisition proteomics and machine learning reveals that proteins associated with immunity are potential molecular markers for early diagnosis of autism</t>
        </is>
      </c>
      <c r="D39" s="4" t="inlineStr">
        <is>
          <t>10.1016/j.cca.2025.120238</t>
        </is>
      </c>
      <c r="E39" s="4" t="inlineStr">
        <is>
          <t>Erlin Hu and Xiaoni Kuang and Sun Zhaohui and Sifeng Wang and Tuoyu Gan and Wenjuan zhou and Zhu Ming and Yuxia Cheng and Chunhua Ye and Kang Yan and Xiaohui Gong and Tuanmei Wang and Xiangwen Peng</t>
        </is>
      </c>
      <c r="F39" s="4" t="inlineStr">
        <is>
          <t>Clinica Chimica Acta</t>
        </is>
      </c>
      <c r="G39" s="4" t="inlineStr">
        <is>
          <t>Incluir provisionalmente</t>
        </is>
      </c>
      <c r="H39" s="4" t="inlineStr">
        <is>
          <t>Eligibility reviewed from accessible primary-source content; scoped adjudication completed</t>
        </is>
      </c>
      <c r="I39" s="4" t="n"/>
      <c r="J39" s="4" t="inlineStr">
        <is>
          <t>Include</t>
        </is>
      </c>
      <c r="K39" s="4" t="n"/>
      <c r="L39" s="4" t="inlineStr">
        <is>
          <t>Revisión asistida por IA (un revisor; requiere verificación independiente)</t>
        </is>
      </c>
      <c r="M39" s="40" t="n">
        <v>46269</v>
      </c>
      <c r="N39" s="4" t="inlineStr">
        <is>
          <t>https://pubmed.ncbi.nlm.nih.gov/40185380/</t>
        </is>
      </c>
      <c r="O39" s="4" t="inlineStr">
        <is>
          <t>Contenido primario accesible revisado y adjudicación RQ cerrada en Lote_06_22. Nivel de evidencia, limitaciones y prioridad de verificación humana documentados en Lote_06_22.</t>
        </is>
      </c>
      <c r="P39" s="4" t="inlineStr">
        <is>
          <t>Background: Early diagnosis of autism is critical to its treatment, but so far, there is no clear molecular marker for early diagnosis in children. Methods: We used data independent acquisition (DIA) mass spectrometry to compare protein expression in serum from 99 Chinese children with autism spectrum disorders with 70 healthy children. Results: We identified 347 downregulated and 394 upregulated proteins. Based on bioinformatics analysis, differential proteins were enriched in the immune system, immune disease, cell motility, and focal adhesion. Machine learning revealed a model with eight proteins (IGH c1898_heavy_IGHV3-33_IGHD3-9_IGHJ4, LYZ, IGL c1860_light_IGLV8-61_IGLJ2, SERPINA10, IG c1421_light_IGKV1-27_IGKJ4, rheumatoid factor RF-ET1, IGL c600_light_IGKV4-1_IGKJ4, and SELL) that were mostly associated with immunity, and accurate for diagnosis of autism. The protein family was verified by a logic-regression leave-one cross-validation method with bidirectional feature screening. The accuracy of this model was 0.9527, and the kappa coefficient was 0.9025. Conclusions: Our study showed that immunity is closely related to the onset of autism and can be used for early screening of patients. A model with eight proteins (IGH c1898_heavy_IGHV3-33_IGHD3-9_IGHJ4, LYZ, IGL c1860_light_IGLV8-61_IGLJ2, SERPINA10, IG c1421_light_IGKV1-27_IGKJ4, rheumatoid factor RF-ET1, IGL c600_light_IGKV4-1_IGKJ4, and SELL), which are mostly associated with immunity, is accurate for diagnosis of autism.</t>
        </is>
      </c>
    </row>
    <row r="40" ht="409" customHeight="1">
      <c r="A40" s="4" t="n">
        <v>93</v>
      </c>
      <c r="B40" s="4" t="n">
        <v>2025</v>
      </c>
      <c r="C40" s="4" t="inlineStr">
        <is>
          <t>Large language models deconstruct the clinical intuition behind diagnosing autism</t>
        </is>
      </c>
      <c r="D40" s="4" t="inlineStr">
        <is>
          <t>10.1016/j.cell.2025.02.025</t>
        </is>
      </c>
      <c r="E40" s="4" t="inlineStr">
        <is>
          <t>Jack Stanley and Emmett Rabot and Siva Reddy and Eugene Belilovsky and Laurent Mottron and Danilo Bzdok</t>
        </is>
      </c>
      <c r="F40" s="4" t="inlineStr">
        <is>
          <t>Cell</t>
        </is>
      </c>
      <c r="G40" s="4" t="inlineStr">
        <is>
          <t>Incluir provisionalmente</t>
        </is>
      </c>
      <c r="H40" s="4" t="inlineStr">
        <is>
          <t>Retrieved and reviewed</t>
        </is>
      </c>
      <c r="I40" s="4" t="n"/>
      <c r="J40" s="4" t="inlineStr">
        <is>
          <t>Include</t>
        </is>
      </c>
      <c r="K40" s="4" t="n"/>
      <c r="L40" s="4" t="inlineStr">
        <is>
          <t>Revisión asistida por IA (un revisor; requiere verificación independiente)</t>
        </is>
      </c>
      <c r="M40" s="40" t="n">
        <v>46269</v>
      </c>
      <c r="N40" s="4" t="inlineStr">
        <is>
          <t>https://doi.org/10.1016/j.cell.2025.02.025</t>
        </is>
      </c>
      <c r="O40" s="4" t="inlineStr">
        <is>
          <t>Texto completo abierto con métodos y resultados suficientes; codificación en Extraccion_RQ_nuevos.</t>
        </is>
      </c>
      <c r="P40" s="4" t="inlineStr">
        <is>
          <t>Efforts to use genome-wide assays or brain scans to diagnose autism have seen diminishing returns. Yet the clinical intuition of healthcare professionals, based on longstanding first-hand experience, remains the gold standard for diagnosis of autism. We leveraged deep learning to deconstruct and interrogate the logic of expert clinician intuition from clinical reports to inform our understanding of autism. After pre-training on hundreds of millions of general sentences, we finessed large language models (LLMs) on &gt;4,000 free-form health records from healthcare professionals to distinguish confirmed versus suspected autism cases. By introducing an explainability strategy, our extended language model architecture could pin down the most salient single sentences in what drives clinical thinking toward correct diagnoses. Our framework flagged the most autism-critical DSM-5 criteria to be stereotyped repetitive behaviors, special interests, and perception-based behaviors, which challenges today's focus on deficits in social interplay, suggesting necessary revision of long-trusted diagnostic criteria in gold-standard instruments.</t>
        </is>
      </c>
    </row>
    <row r="41" ht="409" customHeight="1">
      <c r="A41" s="4" t="n">
        <v>96</v>
      </c>
      <c r="B41" s="4" t="n">
        <v>2025</v>
      </c>
      <c r="C41" s="4" t="inlineStr">
        <is>
          <t>Ensemble of Deep Learning with Crested Porcupine Optimizer Based Autism Spectrum Disorder Detection Using Facial Images</t>
        </is>
      </c>
      <c r="D41" s="4" t="inlineStr">
        <is>
          <t>10.32604/cmc.2025.062266</t>
        </is>
      </c>
      <c r="E41" s="4" t="inlineStr">
        <is>
          <t>Jagadesh Balasubramani and Surendran Rajendran and Mohammad Zakariah and Abeer Alnuaim</t>
        </is>
      </c>
      <c r="F41" s="4" t="inlineStr">
        <is>
          <t>Computers, Materials and Continua</t>
        </is>
      </c>
      <c r="G41" s="4" t="inlineStr">
        <is>
          <t>Incluir provisionalmente</t>
        </is>
      </c>
      <c r="H41" s="4" t="inlineStr">
        <is>
          <t>Retrieved and reviewed</t>
        </is>
      </c>
      <c r="I41" s="4" t="n"/>
      <c r="J41" s="4" t="inlineStr">
        <is>
          <t>Include</t>
        </is>
      </c>
      <c r="K41" s="4" t="n"/>
      <c r="L41" s="4" t="inlineStr">
        <is>
          <t>Revisión asistida por IA (un revisor; requiere verificación independiente)</t>
        </is>
      </c>
      <c r="M41" s="40" t="n">
        <v>46269</v>
      </c>
      <c r="N41" s="4" t="inlineStr">
        <is>
          <t>https://doi.org/10.32604/cmc.2025.062266</t>
        </is>
      </c>
      <c r="O41" s="4" t="inlineStr">
        <is>
          <t>Texto completo abierto con métodos y resultados suficientes; codificación en Extraccion_RQ_nuevos.</t>
        </is>
      </c>
      <c r="P41" s="4" t="inlineStr">
        <is>
          <t>Autism spectrum disorder (ASD) is a multifaceted neurological developmental condition that manifests in several ways. Nearly all autistic children remain undiagnosed before the age of three. Developmental problems affecting face features are often associated with fundamental brain disorders. The facial evolution of newborns with ASD is quite different from that of typically developing children. Early recognition is very significant to aid families and parents in superstition and denial. Distinguishing facial features from typically developing children is an evident manner to detect children analyzed with ASD. Presently, artificial intelligence (AI) significantly contributes to the emerging computer-aided diagnosis (CAD) of autism and to the evolving interactive methods that aid in the treatment and reintegration of autistic patients. This study introduces an Ensemble of deep learning models based on the autism spectrum disorder detection in facial images (EDLM-ASDDFI) model. The overarching goal of the EDLM-ASDDFI model is to recognize the difference between facial images of individuals with ASD and normal controls. In the EDLM-ASDDFI method, the primary level of data pre-processing is involved by Gabor filtering (GF). Besides, the EDLM-ASDDFI technique applies the MobileNetV2 model to learn complex features from the pre-processed data. For the ASD detection process, the EDLM-ASDDFI method uses ensemble techniques for classification procedure that encompasses long short-term memory (LSTM), deep belief network (DBN), and hybrid kernel extreme learning machine (HKELM). Finally, the hyperparameter selection of the three deep learning (DL) models can be implemented by the design of the crested porcupine optimizer (CPO) technique. An extensive experiment was conducted to emphasize the improved ASD detection performance of the EDLM-ASDDFI method. The simulation outcomes indicated that the EDLM-ASDDFI technique highlighted betterment over other existing models in terms of numerous performance measures.</t>
        </is>
      </c>
    </row>
    <row r="42" ht="409" customHeight="1">
      <c r="A42" s="4" t="n">
        <v>97</v>
      </c>
      <c r="B42" s="4" t="n">
        <v>2025</v>
      </c>
      <c r="C42" s="4" t="inlineStr">
        <is>
          <t>Child-therapist acoustic synchrony and response trajectories in autism intervention: an AI-based automated analysis using dynamic systems theory and affective computing</t>
        </is>
      </c>
      <c r="D42" s="4" t="inlineStr">
        <is>
          <t>10.1016/j.etdah.2025.100176</t>
        </is>
      </c>
      <c r="E42" s="4" t="inlineStr">
        <is>
          <t>Giulio Bertamini and Silvia Perzolli and Arianna Bentenuto and Cesare Furlanello and Mohamed Chetouani and David Cohen and Paola Venuti</t>
        </is>
      </c>
      <c r="F42" s="4" t="inlineStr">
        <is>
          <t>Emerging Trends in Drugs, Addictions, and Health</t>
        </is>
      </c>
      <c r="G42" s="4" t="inlineStr">
        <is>
          <t>Incluir provisionalmente</t>
        </is>
      </c>
      <c r="H42" s="4" t="inlineStr">
        <is>
          <t>Retrieved and reviewed</t>
        </is>
      </c>
      <c r="I42" s="4" t="n"/>
      <c r="J42" s="4" t="inlineStr">
        <is>
          <t>Include</t>
        </is>
      </c>
      <c r="K42" s="4" t="n"/>
      <c r="L42" s="4" t="inlineStr">
        <is>
          <t>Revisión asistida por IA (un revisor; requiere verificación independiente)</t>
        </is>
      </c>
      <c r="M42" s="40" t="n">
        <v>46269</v>
      </c>
      <c r="N42" s="4" t="inlineStr">
        <is>
          <t>https://www.sciencedirect.com/science/article/pii/S2667118225000078</t>
        </is>
      </c>
      <c r="O42" s="4" t="inlineStr">
        <is>
          <t>Texto completo/contenido integral evaluable revisado; extraccion RQ disponible. Nivel de fuente y limitaciones documentados en Lote_02_25.</t>
        </is>
      </c>
      <c r="P42" s="4" t="inlineStr">
        <is>
          <t>Introduction: Child-clinician interpersonal dynamics are central to psychotherapy and are increasingly acknowledged as key elements in autism intervention. However, quantitatively studying fine-grained aspects such as the child-clinician synchrony patterns poses challenges, limiting translational research. Moreover, synchrony is rarely investigated with a long-term perspective. This study employed an AI-based, fully automated computational pipeline to analyze child-clinician interpersonal acoustic synchrony through the lens of complex dynamic systems and affective computing. Methods: We followed 25 autistic preschoolers over one year of Naturalistic Developmental Behavioral Intervention (NDBI). Three 60-minute intervention sessions, at the beginning, after three months, and after one year, were analyzed second-by-second, totaling 75 videos. After AI-based automatic speech segmentation, acoustic synchrony was assessed using Cross-Recurrence Quantification Analysis to derive interaction metrics over the entire therapy sessions employing affective prosodic features. Robust Bayesian correlation analysis was used to explore the relationship between affective acoustic synchrony and developmental learning rates at different time points. Results: No significant associations were found at baseline, while correlations emerged after three months and became more pronounced at one year. Early in therapy, interactions with a stronger internal structure, particularly in loudness, spectral dynamics, and voice quality, were linked to higher developmental gains. After one year, the relationship between synchrony and response shifted toward metrics reflecting transition dynamics and stability. Associations with fine-grained spectral features particularly characterized this phase. Discussion: Specific and different synchrony aspects were associated with therapy response trajectories both in the initial and latter phases of therapy. Acoustic features involved in intervention response are known to participate in the emotional content of speech, highlighting the contribution of affective aspects to therapy. These findings provide valuable insights into the role of interpersonal synchrony in autism intervention and underscore the potential of computational methods in monitoring treatment progress.</t>
        </is>
      </c>
    </row>
    <row r="43" ht="409" customHeight="1">
      <c r="A43" s="4" t="n">
        <v>103</v>
      </c>
      <c r="B43" s="4" t="n">
        <v>2025</v>
      </c>
      <c r="C43" s="4" t="inlineStr">
        <is>
          <t>Early fusion for Autism classification with biomarker detection using rs-fMRI and phenotypic data</t>
        </is>
      </c>
      <c r="D43" s="4" t="inlineStr">
        <is>
          <t>10.1016/j.bspc.2025.108020</t>
        </is>
      </c>
      <c r="E43" s="4" t="inlineStr">
        <is>
          <t>Vaishali Chawla and Bharti Rana</t>
        </is>
      </c>
      <c r="F43" s="4" t="inlineStr">
        <is>
          <t>Biomedical Signal Processing and Control</t>
        </is>
      </c>
      <c r="G43" s="4" t="inlineStr">
        <is>
          <t>Incluir provisionalmente</t>
        </is>
      </c>
      <c r="H43" s="4" t="inlineStr">
        <is>
          <t>Retrieved and reviewed</t>
        </is>
      </c>
      <c r="I43" s="4" t="n"/>
      <c r="J43" s="4" t="inlineStr">
        <is>
          <t>Include</t>
        </is>
      </c>
      <c r="K43" s="4" t="n"/>
      <c r="L43" s="4" t="inlineStr">
        <is>
          <t>Revisión asistida por IA (un revisor; requiere verificación independiente)</t>
        </is>
      </c>
      <c r="M43" s="40" t="n">
        <v>46269</v>
      </c>
      <c r="N43" s="4" t="inlineStr">
        <is>
          <t>https://www.sciencedirect.com/science/article/pii/S1746809425005312</t>
        </is>
      </c>
      <c r="O43" s="4" t="inlineStr">
        <is>
          <t>Texto completo/contenido integral evaluable revisado; extraccion RQ disponible. Nivel de fuente y limitaciones documentados en Lote_02_25.</t>
        </is>
      </c>
      <c r="P43" s="4" t="inlineStr">
        <is>
          <t>Autism Spectrum Disorder (ASD) is a neurodevelopmental disorder affecting approximately 1% of people worldwide. Traditional diagnosis of ASD relies on subjective questionnaire-based assessments, whereas neuroimaging, particularly resting-state functional MRI (rs-fMRI), offers an objective approach for automated detection and improved accuracy. This paper proposes an end-to-end machine learning-based ASD diagnostic model that (i) integrates phenotypic and rs-fMRI data through early fusion, (ii) addresses high data dimensionality using principal component analysis (PCA) and convolutional autoencoder (AE), and (iii) leverages explainable Artificial Intelligence approaches to identify potential biomarkers. We evaluate the proposed model on the Autism Brain Imaging Data Exchange (ABIDE 1), a publicly available multisite dataset. To assess its effectiveness and generalizability, we conduct experiments on combined and individual site data, perform leave-one-site-out evaluations, and analyze the impact of dimensionality reduction techniques. We first train the model on combined data from all sites, achieving 64.9% accuracy with logistic regression. Next, we train and evaluate it on individual sites, with KKI yielding the highest accuracy of 83%. A leave-one-site-out evaluation is further performed to assess the model's generalizability across different sites, achieving the best accuracy of 65.3% with the SVM classifier using a linear kernel. Overall, we observe that the performance of convolutional AE is superior to PCA. Key regions such as the superior frontal gyrus, precuneus cortex, and some vital functional connections such as Brain Stem - Cerebellum were identified as potential biomarkers for the diagnosis of ASD. These findings offer significant clinical value, aiding clinicians in more reliable diagnoses.</t>
        </is>
      </c>
    </row>
    <row r="44" ht="409" customHeight="1">
      <c r="A44" s="4" t="n">
        <v>108</v>
      </c>
      <c r="B44" s="4" t="n">
        <v>2025</v>
      </c>
      <c r="C44" s="4" t="inlineStr">
        <is>
          <t>Awareness with Machine: Hybrid Approach to Detecting ASD with a Clustering</t>
        </is>
      </c>
      <c r="D44" s="4" t="inlineStr">
        <is>
          <t>10.32604/cmc.2025.062643</t>
        </is>
      </c>
      <c r="E44" s="4" t="inlineStr">
        <is>
          <t>Gozde Karatas Baydogmus and Onder Demir</t>
        </is>
      </c>
      <c r="F44" s="4" t="inlineStr">
        <is>
          <t>Computers, Materials and Continua</t>
        </is>
      </c>
      <c r="G44" s="4" t="inlineStr">
        <is>
          <t>Incluir provisionalmente</t>
        </is>
      </c>
      <c r="H44" s="4" t="inlineStr">
        <is>
          <t>Retrieved and reviewed</t>
        </is>
      </c>
      <c r="I44" s="4" t="n"/>
      <c r="J44" s="4" t="inlineStr">
        <is>
          <t>Include</t>
        </is>
      </c>
      <c r="K44" s="4" t="n"/>
      <c r="L44" s="4" t="inlineStr">
        <is>
          <t>Revisión asistida por IA (un revisor; requiere verificación independiente)</t>
        </is>
      </c>
      <c r="M44" s="40" t="n">
        <v>46269</v>
      </c>
      <c r="N44" s="4" t="inlineStr">
        <is>
          <t>https://cdn.techscience.press/files/cmc/2025/TSP_CMC-84-2/TSP_CMC_62643/TSP_CMC_62643.pdf</t>
        </is>
      </c>
      <c r="O44" s="4" t="inlineStr">
        <is>
          <t>Texto completo abierto con métodos y resultados suficientes; codificación en Extraccion_RQ_nuevos.</t>
        </is>
      </c>
      <c r="P44" s="4" t="inlineStr">
        <is>
          <t>Detection of Autism Spectrum Disorder (ASD) is a crucial area of research, representing a foundational aspect of psychological studies. The advancement of technology and the widespread adoption of machine learning methodologies have brought significant attention to this field in recent years. Interdisciplinary efforts have further propelled research into detection methods. Consequently, this study aims to contribute to both the fields of psychology and computer science. Specifically, the goal is to apply machine learning techniques to limited data for the detection of Autism Spectrum Disorder. This study is structured into two distinct phases: data preprocessing and classification. In the data preprocessing phase, four datasets—Toddler, Children, Adolescent, and Adult—were converted into numerical form, adjusted as necessary, and subsequently clustered. Clustering was performed using six different methods: K-means, agglomerative, DBSCAN (Density-Based Spatial Clustering of Applications with Noise), mean shift, spectral, and Birch. In the second phase, the clustered ASD data were classified. The model’s accuracy was assessed using 5-fold cross-validation to ensure robust evaluation. In total, ten distinct machine learning algorithms were employed. The findings indicate that all clustering methods demonstrated success with various classifiers. Notably, the K-means algorithm emerged as particularly effective, achieving consistent and significant results across all datasets. This study is expected to serve as a guide for improving ASD detection performance, even with minimal data availability.</t>
        </is>
      </c>
    </row>
    <row r="45" ht="409" customHeight="1">
      <c r="A45" s="4" t="n">
        <v>110</v>
      </c>
      <c r="B45" s="4" t="n">
        <v>2025</v>
      </c>
      <c r="C45" s="4" t="inlineStr">
        <is>
          <t>A deep learning model for diagnosing autism using brain time series</t>
        </is>
      </c>
      <c r="D45" s="4" t="inlineStr">
        <is>
          <t>10.1016/j.neuroscience.2025.08.001</t>
        </is>
      </c>
      <c r="E45" s="4" t="inlineStr">
        <is>
          <t>Xianchen Wang and Can Pei and Jianbiao He and Jinyang Xu</t>
        </is>
      </c>
      <c r="F45" s="4" t="inlineStr">
        <is>
          <t>Neuroscience</t>
        </is>
      </c>
      <c r="G45" s="4" t="inlineStr">
        <is>
          <t>Incluir provisionalmente</t>
        </is>
      </c>
      <c r="H45" s="4" t="inlineStr">
        <is>
          <t>Retrieved and reviewed</t>
        </is>
      </c>
      <c r="I45" s="4" t="n"/>
      <c r="J45" s="4" t="inlineStr">
        <is>
          <t>Include</t>
        </is>
      </c>
      <c r="K45" s="4" t="n"/>
      <c r="L45" s="4" t="inlineStr">
        <is>
          <t>Revisión asistida por IA (un revisor; requiere verificación independiente)</t>
        </is>
      </c>
      <c r="M45" s="40" t="n">
        <v>46269</v>
      </c>
      <c r="N45" s="4" t="inlineStr">
        <is>
          <t>https://www.sciencedirect.com/science/article/pii/S0306452225008346</t>
        </is>
      </c>
      <c r="O45" s="4" t="inlineStr">
        <is>
          <t>Texto completo/contenido integral evaluable revisado; extraccion RQ disponible. Nivel de fuente y limitaciones documentados en Lote_02_25.</t>
        </is>
      </c>
      <c r="P45" s="4" t="inlineStr">
        <is>
          <t>The early identification of autism is especially critical as it can significantly enhance the effectiveness of intervention strategies. However, the recognition task remains challenging due to the subtle differences between ASD patients and neurotypical individuals. The presented approach leverages a hybrid model that combines Long Short-Term Memory (LSTM) networks with an Attention mechanism, enabling the extraction of both long-term and short-term features for more accurate autism diagnosis. Additionally, we integrate a residual block with channel Attention to enhance feature fusion and mitigate the risk of network degradation. Innovatively, we introduce a sliding window-based data preprocessing method alongside a voting strategy and validate the framework using subject-level 5-fold cross-validation to ensure generalizability across data splits. Our model was evaluated on the Region of Interest (ROI) time series dataset from the Autism Brain Imaging Data Exchange (ABIDE), achieving 73.1 % accuracy on the DOS brain atlas and 81.1 % on the HO brain atlas—outperforming baseline models. Moreover, we constructed brain functional connectivity topological structures for both ASD patients and healthy individuals, providing valuable resources for future autism research.</t>
        </is>
      </c>
    </row>
    <row r="46" ht="409" customHeight="1">
      <c r="A46" s="4" t="n">
        <v>118</v>
      </c>
      <c r="B46" s="4" t="n">
        <v>2025</v>
      </c>
      <c r="C46" s="4" t="inlineStr">
        <is>
          <t>Massively parallel characterization of non-coding de novo mutations in autism spectrum disorder</t>
        </is>
      </c>
      <c r="D46" s="4" t="inlineStr">
        <is>
          <t>10.1016/j.jgg.2025.07.008</t>
        </is>
      </c>
      <c r="E46" s="4" t="inlineStr">
        <is>
          <t>Congcong Chen and Songwei Guo and Yanan Shi and Xinyu Gu and Ziye Xu and Yingjia Chen and Yayun Gu and Na Qin and Yue Jiang and Juncheng Dai and Yuanlin He and Xiao Han and Yan Liu and Zhibin Hu and Xiaoyan Ke and Cheng Wang</t>
        </is>
      </c>
      <c r="F46" s="4" t="inlineStr">
        <is>
          <t>Journal of Genetics and Genomics</t>
        </is>
      </c>
      <c r="G46" s="4" t="inlineStr">
        <is>
          <t>Incluir provisionalmente</t>
        </is>
      </c>
      <c r="H46" s="4" t="inlineStr">
        <is>
          <t>Retrieved and reviewed</t>
        </is>
      </c>
      <c r="I46" s="4" t="n"/>
      <c r="J46" s="4" t="inlineStr">
        <is>
          <t>Include</t>
        </is>
      </c>
      <c r="K46" s="4" t="n"/>
      <c r="L46" s="4" t="inlineStr">
        <is>
          <t>Revisión asistida por IA (un revisor; requiere verificación independiente)</t>
        </is>
      </c>
      <c r="M46" s="40" t="n">
        <v>46269</v>
      </c>
      <c r="N46" s="4" t="inlineStr">
        <is>
          <t>https://www.sciencedirect.com/science/article/pii/S167385272500205X</t>
        </is>
      </c>
      <c r="O46" s="4" t="inlineStr">
        <is>
          <t>Texto completo/contenido integral evaluable revisado; extraccion RQ disponible. Nivel de fuente y limitaciones documentados en Lote_02_25.</t>
        </is>
      </c>
      <c r="P46" s="4" t="inlineStr">
        <is>
          <t>Autism spectrum disorder (ASD) is a neurodevelopmental disorder where de novo mutations play a significant role. Although coding mutations in ASD have been extensively characterized, the impact of non-coding de novo mutations (ncDNMs) remains less understood. Here, we integrate cortex cell-specific cis -regulatory element annotations, a deep learning-based variant prediction model, and massively parallel reporter assays to systematically evaluate the functional impact of 227,878 ncDNMs from Simons Simplex Collection (SSC) and Autism Speaks MSSNG resource (MSSNG) cohorts. Our analysis identifies 238 ncDNMs with confirmed functional regulatory effects, including 137 down-regulated regulatory mutations (DrMuts) and 101 up-regulated regulatory mutations (UrMuts). Subsequent association analyses reveal that only DrMuts regulating loss-of-function (LoF) intolerant genes rather than other ncDNMs are significantly associated with the risk of ASD (Odds ratio = 4.34; P = 0.001). A total of 42 potential ASD-risk DrMuts across 41 candidate ASD-susceptibility genes are identified, including 12 recognized and 29 unreported genes. Interestingly, these noncoding disruptive mutations tend to be observed in genes extremely intolerant to LoF mutations. Our study introduces an optimized approach for elucidating the functional roles of ncDNMs, thereby expanding the spectrum of pathogenic variants and deepening our understanding of the complex molecular mechanisms underlying ASD.</t>
        </is>
      </c>
    </row>
    <row r="47" ht="409" customHeight="1">
      <c r="A47" s="4" t="n">
        <v>122</v>
      </c>
      <c r="B47" s="4" t="n">
        <v>2026</v>
      </c>
      <c r="C47" s="4" t="inlineStr">
        <is>
          <t>A novel hybrid deep learning model using MEResNextfor autism spectrum disorder detection</t>
        </is>
      </c>
      <c r="D47" s="4" t="inlineStr">
        <is>
          <t>10.1016/j.compbiolchem.2025.108619</t>
        </is>
      </c>
      <c r="E47" s="4" t="inlineStr">
        <is>
          <t>Saloni Rai</t>
        </is>
      </c>
      <c r="F47" s="4" t="inlineStr">
        <is>
          <t>Computational Biology and Chemistry</t>
        </is>
      </c>
      <c r="G47" s="4" t="inlineStr">
        <is>
          <t>Incluir provisionalmente</t>
        </is>
      </c>
      <c r="H47" s="4" t="inlineStr">
        <is>
          <t>Retrieved and reviewed</t>
        </is>
      </c>
      <c r="I47" s="4" t="n"/>
      <c r="J47" s="4" t="inlineStr">
        <is>
          <t>Include</t>
        </is>
      </c>
      <c r="K47" s="4" t="n"/>
      <c r="L47" s="4" t="inlineStr">
        <is>
          <t>Revisión asistida por IA (un revisor; requiere verificación independiente)</t>
        </is>
      </c>
      <c r="M47" s="40" t="n">
        <v>46269</v>
      </c>
      <c r="N47" s="4" t="inlineStr">
        <is>
          <t>https://www.sciencedirect.com/science/article/pii/S1476927125002804</t>
        </is>
      </c>
      <c r="O47" s="4" t="inlineStr">
        <is>
          <t>Texto completo/contenido integral evaluable revisado; extraccion RQ disponible. Nivel de fuente y limitaciones documentados en Lote_02_25.</t>
        </is>
      </c>
      <c r="P47" s="4" t="inlineStr">
        <is>
          <t>A neurological disease, named autism spectrum disorder (ASD), is portrayed through divergence with social interaction, communication, and repetitive activities. As heredity is an important source, initial identification and treatment can diminish the need for wide examinations and expensive medical procedures for those with ASD. Prolonged effects and severity can be avoided at a timely determination of ASD. This study develops a hybrid deep-learning method for ASD detection. Pre-processing, feature selection and ASD detection are three steps involved. In thepre-processing phase, input data is passed in which noise and artefacts present in the data are removed using Yeo-Jhonson transformation. Next, by integrating Double exponential Smoothing (DES) in Elk Herd Optimizer (EHO), Double exponential Smoothing-Elk Herd Optimizer (DeSEHO),is proposed to select features. At last, the features that are selected are subjected to the ASD detection phase. In this stage, the Moments Embedding ResNeXt (MEResNeXt), which is the combination of Moments Embedding Network (MoNet) and ResNeXt, is used for ASD detection. The results of the research show that MEResNeXtperformed better in terms of traditionalmodelswhich show accuracyof95.3 %, sensitivity of 96.5 %, and specificity of 94.8 %.</t>
        </is>
      </c>
    </row>
    <row r="48" ht="409" customHeight="1">
      <c r="A48" s="4" t="n">
        <v>123</v>
      </c>
      <c r="B48" s="4" t="n">
        <v>2025</v>
      </c>
      <c r="C48" s="4" t="inlineStr">
        <is>
          <t>FaithfulNet: An explainable deep learning framework for autism diagnosis using structural MRI</t>
        </is>
      </c>
      <c r="D48" s="4" t="inlineStr">
        <is>
          <t>10.1016/j.brainres.2025.149904</t>
        </is>
      </c>
      <c r="E48" s="4" t="inlineStr">
        <is>
          <t>D Swainson Sujana and D Peter Augustine</t>
        </is>
      </c>
      <c r="F48" s="4" t="inlineStr">
        <is>
          <t>Brain Research</t>
        </is>
      </c>
      <c r="G48" s="4" t="inlineStr">
        <is>
          <t>Incluir provisionalmente</t>
        </is>
      </c>
      <c r="H48" s="4" t="inlineStr">
        <is>
          <t>Retrieved and reviewed</t>
        </is>
      </c>
      <c r="I48" s="4" t="n"/>
      <c r="J48" s="4" t="inlineStr">
        <is>
          <t>Include</t>
        </is>
      </c>
      <c r="K48" s="4" t="n"/>
      <c r="L48" s="4" t="inlineStr">
        <is>
          <t>Revisión asistida por IA (un revisor; requiere verificación independiente)</t>
        </is>
      </c>
      <c r="M48" s="40" t="n">
        <v>46269</v>
      </c>
      <c r="N48" s="4" t="inlineStr">
        <is>
          <t>https://www.sciencedirect.com/science/article/pii/S0006899325004676</t>
        </is>
      </c>
      <c r="O48" s="4" t="inlineStr">
        <is>
          <t>Texto completo/contenido integral evaluable revisado; extraccion RQ disponible. Nivel de fuente y limitaciones documentados en Lote_02_25.</t>
        </is>
      </c>
      <c r="P48" s="4" t="inlineStr">
        <is>
          <t>Explainable Artificial Intelligence (XAI) can decode the ‘black box’ models, enhancing trust in clinical decision-making. XAI makes the predictions of deep learning models interpretable, transparent, and trustworthy. This study employed XAI techniques to explain the predictions made by a deep learning-based model for diagnosing autism and identifying the memory regions responsible for children's academic performance. This study utilized publicly available sMRI data from the ABIDE-II repository. First, a deep learning model, FaithfulNet, was developed to aid in the diagnosis of autism. Next, gradient-based class activation maps and the SHAP gradient explainer were employed to generate explanations for the model's predictions. These explanations were integrated to develop a novel and faithful visual explanation, Faith_CAM. Finally, this faithful explanation was quantified using the pointing game score and analyzed with cortical and subcortical structure masks to identify the impaired brain regions in the autistic brain. This study achieved a classification accuracy of 99.74% with an AUC value of 1. In addition to facilitating autism diagnosis, this study assesses the degree of impairment in memory regions responsible for the children's academic performance, thus contributing to the development of personalized treatment plans.</t>
        </is>
      </c>
    </row>
    <row r="49" ht="409" customHeight="1">
      <c r="A49" s="4" t="n">
        <v>125</v>
      </c>
      <c r="B49" s="4" t="n">
        <v>2025</v>
      </c>
      <c r="C49" s="4" t="inlineStr">
        <is>
          <t>Identification of critical brain regions for autism diagnosis from fMRI data using explainable AI: an observational analysis of the ABIDE dataset</t>
        </is>
      </c>
      <c r="D49" s="4" t="inlineStr">
        <is>
          <t>10.1016/j.eclinm.2025.103452</t>
        </is>
      </c>
      <c r="E49" s="4" t="inlineStr">
        <is>
          <t>Suryansh Vidya and Kush Gupta and Amir Aly and Andy Wills and Emmanuel Ifeachor and Rohit Shankar</t>
        </is>
      </c>
      <c r="F49" s="4" t="inlineStr">
        <is>
          <t>eClinicalMedicine</t>
        </is>
      </c>
      <c r="G49" s="4" t="inlineStr">
        <is>
          <t>Incluir provisionalmente con alerta de integridad</t>
        </is>
      </c>
      <c r="H49" s="4" t="inlineStr">
        <is>
          <t>Retrieved and reviewed</t>
        </is>
      </c>
      <c r="I49" s="4" t="inlineStr">
        <is>
          <t>Expression of Concern</t>
        </is>
      </c>
      <c r="J49" s="4" t="inlineStr">
        <is>
          <t>Include with integrity flag</t>
        </is>
      </c>
      <c r="K49" s="4" t="n"/>
      <c r="L49" s="4" t="inlineStr">
        <is>
          <t>Revisión asistida por IA (un revisor; requiere verificación independiente)</t>
        </is>
      </c>
      <c r="M49" s="40" t="n">
        <v>46269</v>
      </c>
      <c r="N49" s="4" t="inlineStr">
        <is>
          <t>https://doi.org/10.1016/j.eclinm.2025.103452</t>
        </is>
      </c>
      <c r="O49" s="4" t="inlineStr">
        <is>
          <t>Elegible con Expression of Concern; interpretar métricas y XAI de forma conservadora.</t>
        </is>
      </c>
      <c r="P49" s="4" t="inlineStr">
        <is>
          <t>Background: Diagnosis of autism spectrum disorder (ASD) significantly improves quality of life, yet current diagnostic practices rely on subjective behavioural assessments. While machine learning models using functional Magnetic Resonance Imaging (fMRI) show promise for objective diagnosis, existing approaches have critical limitations. High-accuracy models often neglect interpretability, increasing clinical distrust, while interpretable approaches frequently suffer from low accuracy and lack neuroscientific validation of identified biomarkers. Furthermore, no studies have systematically benchmarked which interpretability methods are most effective for fMRI data, hindering the translation of Artificial intelligence (AI) findings into clinical practice. Methods: In this observational study, we used the Autism Brain Imaging Data Exchange I (ABIDE I) dataset comprising 884 participants (408 with ASD; 476 controls with typical development) aged 7–64 years from five countries (Belgium, Germany, Ireland, the Netherlands, and the USA) across 17 international sites after applying mean framewise displacement (FD) filtering (&gt;0.2 mm). Data were collected at the respective sites prior to the release of the ABIDE I dataset in August 2012. We described an explainable deep learning (DL) pipeline using a Stacked Sparse Autoencoder (SSAE) with a softmax classifier, trained on functional connectivity data. We systematically benchmarked seven interpretability methods using the Remove And Retrain (ROAR) technique and cross-validated our findings across three preprocessing pipelines. Critically, we validated identified biomarkers against independent neuroscientific literature from genetic, neuroanatomical, and functional studies. Findings: Filtering head movement (FD &gt; 0.2 mm) increased classification accuracy from 91% to 98.2% (F1-score: 0.97), achieving state-of-the-art performance. ROAR analysis revealed gradient-based methods, particularly Integrated Gradients, as most reliable for fMRI interpretation. The model consistently identified visual processing regions (calcarine sulcus, cuneus) as critical for ASD classification. These findings aligned with independent genetic studies and neuroimaging research, confirming our model captured genuine neurobiological ASD markers rather than overfitting to dataset artifacts. Interpretation: We addressed three key research gaps by developing a highly accurate, interpretable ASD classification model, establishing a benchmarking framework for interpretability methods in the fMRI modality, and validating our identified biomarkers against established neuroscience literature. The consistent importance of visual processing regions suggests a fundamental biomarker potentially present across the ASD spectrum, offering new directions for diagnostic biomarker research, though translation to individual-level clinical applications requires further development. Funding: This work was supported by the Engineering and Physical Sciences Research Council, UK [EP/W524554/1].</t>
        </is>
      </c>
    </row>
    <row r="50" ht="409" customHeight="1">
      <c r="A50" s="4" t="n">
        <v>126</v>
      </c>
      <c r="B50" s="4" t="n">
        <v>2025</v>
      </c>
      <c r="C50" s="4" t="inlineStr">
        <is>
          <t>CARE: Comprehensive Artificial Intelligence Techniques for Reliable Autism Evaluation in Pediatric Care</t>
        </is>
      </c>
      <c r="D50" s="4" t="inlineStr">
        <is>
          <t>10.32604/cmc.2025.067784</t>
        </is>
      </c>
      <c r="E50" s="4" t="inlineStr">
        <is>
          <t>Jihoon Moon and Jiyoung Woo</t>
        </is>
      </c>
      <c r="F50" s="4" t="inlineStr">
        <is>
          <t>Computers, Materials and Continua</t>
        </is>
      </c>
      <c r="G50" s="4" t="inlineStr">
        <is>
          <t>Incluir provisionalmente</t>
        </is>
      </c>
      <c r="H50" s="4" t="inlineStr">
        <is>
          <t>Retrieved and reviewed</t>
        </is>
      </c>
      <c r="I50" s="4" t="n"/>
      <c r="J50" s="4" t="inlineStr">
        <is>
          <t>Include</t>
        </is>
      </c>
      <c r="K50" s="4" t="n"/>
      <c r="L50" s="4" t="inlineStr">
        <is>
          <t>Revisión asistida por IA (un revisor; requiere verificación independiente)</t>
        </is>
      </c>
      <c r="M50" s="40" t="n">
        <v>46269</v>
      </c>
      <c r="N50" s="4" t="inlineStr">
        <is>
          <t>https://www.techscience.com/cmc/v85n1/63573/html</t>
        </is>
      </c>
      <c r="O50" s="4" t="inlineStr">
        <is>
          <t>Texto completo/contenido integral evaluable revisado; extraccion RQ disponible. Nivel de fuente y limitaciones documentados en Lote_02_25.</t>
        </is>
      </c>
      <c r="P50" s="4" t="inlineStr">
        <is>
          <t>Improving early diagnosis of autism spectrum disorder (ASD) in children increasingly relies on predictive models that are reliable and accessible to non-experts. This study aims to develop such models using Python-based tools to improve ASD diagnosis in clinical settings. We performed exploratory data analysis to ensure data quality and identify key patterns in pediatric ASD data. We selected the categorical boosting (CatBoost) algorithm to effectively handle the large number of categorical variables. We used the PyCaret automated machine learning (AutoML) tool to make the models user-friendly for clinicians without extensive machine learning expertise. In addition, we applied Shapley additive explanations (SHAP), an explainable artificial intelligence (XAI) technique, to improve the interpretability of the models. Models developed using CatBoost and other AI algorithms showed high accuracy in diagnosing ASD in children. SHAP provided clear insights into the influence of each variable on diagnostic outcomes, making model decisions transparent and understandable to healthcare professionals. By integrating robust machine learning methods with user-friendly tools such as PyCaret and leveraging XAI techniques such as SHAP, this study contributes to the development of reliable, interpretable, and accessible diagnostic tools for ASD. These advances hold great promise for supporting informed decision-making in clinical settings, ultimately improving early identification and intervention strategies for ASD in the pediatric population. However, the study is limited by the dataset’s demographic imbalance and the lack of external clinical validation, which should be addressed in future research.</t>
        </is>
      </c>
    </row>
    <row r="51" ht="409" customHeight="1">
      <c r="A51" s="4" t="n">
        <v>132</v>
      </c>
      <c r="B51" s="4" t="n">
        <v>2025</v>
      </c>
      <c r="C51" s="4" t="inlineStr">
        <is>
          <t>A Brief Observation to Screen Autism in Toddlers and Predict Developmental Trajectory</t>
        </is>
      </c>
      <c r="D51" s="4" t="inlineStr">
        <is>
          <t>10.1016/j.jpedcp.2025.200176</t>
        </is>
      </c>
      <c r="E51" s="4" t="inlineStr">
        <is>
          <t>Fiona Journal and Thibaut Chataing and Michel Godel and Nada Kojovic and Kenza Latrèche and Maude Schneider and Marie Schaer</t>
        </is>
      </c>
      <c r="F51" s="4" t="inlineStr">
        <is>
          <t>Journal of Pediatrics: Clinical Practice</t>
        </is>
      </c>
      <c r="G51" s="4" t="inlineStr">
        <is>
          <t>Incluir provisionalmente</t>
        </is>
      </c>
      <c r="H51" s="4" t="inlineStr">
        <is>
          <t>Retrieved and reviewed</t>
        </is>
      </c>
      <c r="I51" s="4" t="n"/>
      <c r="J51" s="4" t="inlineStr">
        <is>
          <t>Include</t>
        </is>
      </c>
      <c r="K51" s="4" t="n"/>
      <c r="L51" s="4" t="inlineStr">
        <is>
          <t>Revisión asistida por IA (un revisor; requiere verificación independiente)</t>
        </is>
      </c>
      <c r="M51" s="40" t="n">
        <v>46269</v>
      </c>
      <c r="N51" s="4" t="inlineStr">
        <is>
          <t>https://doi.org/10.1016/j.jpedcp.2025.200176</t>
        </is>
      </c>
      <c r="O51" s="4" t="inlineStr">
        <is>
          <t>Texto completo abierto con métodos y resultados suficientes; codificación en Extraccion_RQ_nuevos.</t>
        </is>
      </c>
      <c r="P51" s="4" t="inlineStr">
        <is>
          <t>Objective: Autism spectrum disorder (ASD) affects approximately 1 in 31 children. Early diagnosis is crucial for optimizing outcomes through early interventions, and primary care settings need efficient tools to identify children presenting autistic features. This study explores the potential of early socio-communicative behaviors, measured by the Early Social Communication Scales, to screen for ASD in children younger than 3 years old, and predict their future cognitive development using machine learning models. Study design: This study analyzed longitudinal data from 113 children with ASD and 59 with typical development (TD), aged from 1 to 3 at baseline. Twenty-three ESCS variables were used to screen for ASD and predict cognitive development. The C5.0 decision tree algorithm was used to classify ASD vs TD, while linear regression and K-means clustering identified cognitive development patterns among autistic children. K-fold cross-validation, permutation testing, and undersampling were used for validation. Results: We distinguished between ASD and TD children with 95% accuracy, 96% sensitivity and 92% specificity. Nine behaviors contributed to distinguish ASD from TD. Behaviors that contributed most are the child's ability to initiate a turn taking and to point at desired objects. A separate model stratified children into groups with different cognitive outcome with 97% accuracy. Behavioral requests variables contributed in distinguishing extreme cognitive trajectories in autistic children. Conclusions: We provide an original decision-algorithm focusing on early socio-communicative behaviors to guide pediatricians through autism screening and cognitive development prediction.</t>
        </is>
      </c>
    </row>
    <row r="52" ht="385" customHeight="1">
      <c r="A52" s="4" t="n">
        <v>134</v>
      </c>
      <c r="B52" s="4" t="n">
        <v>2025</v>
      </c>
      <c r="C52" s="4" t="inlineStr">
        <is>
          <t>ASD-HybridNet: A hybrid deep learning framework for detection of autism spectrum disorder</t>
        </is>
      </c>
      <c r="D52" s="4" t="inlineStr">
        <is>
          <t>10.1016/j.mri.2025.110492</t>
        </is>
      </c>
      <c r="E52" s="4" t="inlineStr">
        <is>
          <t>Nirmal Rai and P C Pradhan and Hemanta Saikia and Rinkila Bhutia and O P Singh</t>
        </is>
      </c>
      <c r="F52" s="4" t="inlineStr">
        <is>
          <t>Magnetic Resonance Imaging</t>
        </is>
      </c>
      <c r="G52" s="4" t="inlineStr">
        <is>
          <t>Incluir provisionalmente</t>
        </is>
      </c>
      <c r="H52" s="4" t="inlineStr">
        <is>
          <t>Retrieved and reviewed</t>
        </is>
      </c>
      <c r="I52" s="4" t="n"/>
      <c r="J52" s="4" t="inlineStr">
        <is>
          <t>Include</t>
        </is>
      </c>
      <c r="K52" s="4" t="n"/>
      <c r="L52" s="4" t="inlineStr">
        <is>
          <t>Revisión asistida por IA (un revisor; requiere verificación independiente)</t>
        </is>
      </c>
      <c r="M52" s="40" t="n">
        <v>46269</v>
      </c>
      <c r="N52" s="4" t="inlineStr">
        <is>
          <t>https://www.sciencedirect.com/science/article/pii/S0730725X25001766</t>
        </is>
      </c>
      <c r="O52" s="4" t="inlineStr">
        <is>
          <t>Texto completo/contenido integral evaluable revisado; extraccion RQ disponible. Nivel de fuente y limitaciones documentados en Lote_02_25.</t>
        </is>
      </c>
      <c r="P52" s="4" t="inlineStr">
        <is>
          <t>Current diagnostic methods for autism spectrum disorder (ASD) are based on subjective behavioral assessments, which present challenges to an accurate and early diagnosis. This paper proposes a hybrid deep learning framework, ASD-HybridNet, which integrates both region of interest (ROI) time series data and functional connectivity (FC) maps derived from functional magnetic resonance imaging (fMRI) data to improve ASD detection. Experiments on the ABIDE dataset demonstrate the effectiveness of the proposed method compared to existing approaches.</t>
        </is>
      </c>
    </row>
    <row r="53" ht="409" customHeight="1">
      <c r="A53" s="4" t="n">
        <v>142</v>
      </c>
      <c r="B53" s="4" t="n">
        <v>2025</v>
      </c>
      <c r="C53" s="4" t="inlineStr">
        <is>
          <t>Proximal policy optimization (PPO) algorithm's role in autonomous decision-making for autism</t>
        </is>
      </c>
      <c r="D53" s="4" t="inlineStr">
        <is>
          <t>10.1016/j.rineng.2025.107683</t>
        </is>
      </c>
      <c r="E53" s="4" t="inlineStr">
        <is>
          <t>Joypriyanka Mariselvam and Youseef Alotaibi and Surendran Rajendran</t>
        </is>
      </c>
      <c r="F53" s="4" t="inlineStr">
        <is>
          <t>Results in Engineering</t>
        </is>
      </c>
      <c r="G53" s="4" t="inlineStr">
        <is>
          <t>Incluir provisionalmente</t>
        </is>
      </c>
      <c r="H53" s="4" t="inlineStr">
        <is>
          <t>Retrieved and reviewed</t>
        </is>
      </c>
      <c r="I53" s="4" t="n"/>
      <c r="J53" s="4" t="inlineStr">
        <is>
          <t>Exclude</t>
        </is>
      </c>
      <c r="K53" s="4" t="inlineStr">
        <is>
          <t>Simulation-only PPO study in Unity ML-Agents; no human ASD data or participant evaluation. Human trials are future work (EC6).</t>
        </is>
      </c>
      <c r="L53" s="4" t="inlineStr">
        <is>
          <t>Revisión asistida por IA (un revisor; requiere verificación independiente)</t>
        </is>
      </c>
      <c r="M53" s="40" t="n">
        <v>46269</v>
      </c>
      <c r="N53" s="4" t="inlineStr">
        <is>
          <t>https://www.sciencedirect.com/science/article/pii/S2590123025037363</t>
        </is>
      </c>
      <c r="O53" s="4" t="inlineStr">
        <is>
          <t>Contenido integral evaluable revisado; exclusion documentada en Lote_02_25 por estudio de simulacion sin datos humanos ASD.</t>
        </is>
      </c>
      <c r="P53" s="4" t="inlineStr">
        <is>
          <t>The present research implements the Proximal Policy Optimisation (PPO) method to train many agents in a dynamic police-thief game. The main goal is to create a gaming intervention method that enhances the cognitive skills of children with autism. Employing Proximal Policy Optimisation (PPO), an advanced Reinforcement Learning (RL) method, enhances training stability and effectiveness, resulting in superior learning and gameplay outcomes. The subsequent phase involves creating an engaging and user-friendly gaming environment that fosters learning through observation, problem-solving, critical thinking, and enhancement of hand-eye coordination. This location has been modified to better accommodate children with autism. The study assesses the efficacy of the game treatment technique using user studies and empirical evaluations. This research employs Reinforcement Learning (RL) and Proximal Policy Optimisation (PPO) to provide autistic children with an interactive therapy platform that promotes cognitive growth in an engaging and effective setting. This work contributes to the expanding research on the therapeutic applications of reinforcement learning by elucidating the potential advantages of game therapy for children with autism. It is anticipated that by augmenting the PPO algorithm's performance in the police and thief game, participants' cognitive abilities will improve, thereby enhancing their overall quality of life. The efficacy of the proposed PPO framework is evaluated through simulation results employing Unity ML-Agents, with performance quantified by cumulative reward, episode duration, policy loss, and entropy. This study highlights simulation and algorithmic optimisation, while future research will expand this framework to incorporate structured user trials with individuals with autism for clinical validation.</t>
        </is>
      </c>
    </row>
    <row r="54" ht="409" customHeight="1">
      <c r="A54" s="4" t="n">
        <v>145</v>
      </c>
      <c r="B54" s="4" t="n">
        <v>2026</v>
      </c>
      <c r="C54" s="4" t="inlineStr">
        <is>
          <t>Explainable Ensemble Learning Framework for Early Detection of Autism Spectrum Disorder: Enhancing Trust, Interpretability and Reliability in AI-Driven Healthcare</t>
        </is>
      </c>
      <c r="D54" s="4" t="inlineStr">
        <is>
          <t>10.32604/cmes.2025.074627</t>
        </is>
      </c>
      <c r="E54" s="4" t="inlineStr">
        <is>
          <t>Menwa Alshammeri and Noshina Tariq and N Z Jhanji and Mamoona Humayun and Muhammad Attique Khan</t>
        </is>
      </c>
      <c r="F54" s="4" t="inlineStr">
        <is>
          <t>CMES - Computer Modeling in Engineering and Sciences</t>
        </is>
      </c>
      <c r="G54" s="4" t="inlineStr">
        <is>
          <t>Incluir provisionalmente</t>
        </is>
      </c>
      <c r="H54" s="4" t="inlineStr">
        <is>
          <t>Retrieved and reviewed</t>
        </is>
      </c>
      <c r="I54" s="4" t="n"/>
      <c r="J54" s="4" t="inlineStr">
        <is>
          <t>Include</t>
        </is>
      </c>
      <c r="K54" s="4" t="n"/>
      <c r="L54" s="4" t="inlineStr">
        <is>
          <t>Revisión asistida por IA (un revisor; requiere verificación independiente)</t>
        </is>
      </c>
      <c r="M54" s="40" t="n">
        <v>46269</v>
      </c>
      <c r="N54" s="4" t="inlineStr">
        <is>
          <t>https://cdn.techscience.press/files/CMES/2026/TSP_CMES-146-1/TSP_CMES_74627/TSP_CMES_74627.pdf</t>
        </is>
      </c>
      <c r="O54" s="4" t="inlineStr">
        <is>
          <t>Texto completo abierto con métodos y resultados suficientes; codificación en Extraccion_RQ_nuevos.</t>
        </is>
      </c>
      <c r="P54" s="4" t="inlineStr">
        <is>
          <t>Artificial Intelligence (AI) is changing healthcare by helping with diagnosis. However, for doctors to trust AI tools, they need to be both accurate and easy to understand. In this study, we created a new machine learning system for the early detection of Autism Spectrum Disorder (ASD) in children. Our main goal was to build a model that is not only good at predicting ASD but also clear in its reasoning. For this, we combined several different models, including Random Forest, XGBoost, and Neural Networks, into a single, more powerful framework. We used two different types of datasets: (i) a standard behavioral dataset and (ii) a more complex multimodal dataset with images, audio, and physiological information. The datasets were carefully preprocessed for missing values, redundant features, and dataset imbalance to ensure fair learning. The results outperformed the state-of-the-art with a Regularized Neural Network, achieving 97.6% accuracy on behavioral data. Whereas, on the multimodal data, the accuracy is 98.2%. Other models also did well with accuracies consistently above 96%. We also used SHAP and LIME on a behavioral dataset for models' explainability.</t>
        </is>
      </c>
    </row>
    <row r="55" ht="409" customHeight="1">
      <c r="A55" s="4" t="n">
        <v>146</v>
      </c>
      <c r="B55" s="4" t="n">
        <v>2026</v>
      </c>
      <c r="C55" s="4" t="inlineStr">
        <is>
          <t>Deep learning-based detection of autism spectrum disorder and emotion recognition in children</t>
        </is>
      </c>
      <c r="D55" s="4" t="inlineStr">
        <is>
          <t>10.1016/j.patcog.2025.112906</t>
        </is>
      </c>
      <c r="E55" s="4" t="inlineStr">
        <is>
          <t>T Akalya and D Ramyachitra and M Shabarna and C Legha</t>
        </is>
      </c>
      <c r="F55" s="4" t="inlineStr">
        <is>
          <t>Pattern Recognition</t>
        </is>
      </c>
      <c r="G55" s="4" t="inlineStr">
        <is>
          <t>Incluir provisionalmente</t>
        </is>
      </c>
      <c r="H55" s="4" t="inlineStr">
        <is>
          <t>Retrieved and reviewed</t>
        </is>
      </c>
      <c r="I55" s="4" t="n"/>
      <c r="J55" s="4" t="inlineStr">
        <is>
          <t>Include</t>
        </is>
      </c>
      <c r="K55" s="4" t="n"/>
      <c r="L55" s="4" t="inlineStr">
        <is>
          <t>Revisión asistida por IA (un revisor; requiere verificación independiente)</t>
        </is>
      </c>
      <c r="M55" s="40" t="n">
        <v>46269</v>
      </c>
      <c r="N55" s="4" t="inlineStr">
        <is>
          <t>https://www.sciencedirect.com/science/article/pii/S0031320325015699</t>
        </is>
      </c>
      <c r="O55" s="4" t="inlineStr">
        <is>
          <t>Texto completo/contenido integral evaluable revisado; extraccion RQ disponible. Nivel de fuente y limitaciones documentados en Lote_02_25.</t>
        </is>
      </c>
      <c r="P55" s="4" t="inlineStr">
        <is>
          <t>Autism Spectrum Disorder (ASD) is a multifaceted neurological development disability that is characterized by deficits in social communication and emotion detection. Early and accurate identification of ASD is important; however, clinicians and researchers have often depended upon lengthy, in-clinic assessments. This research work proposes two deep learning models. This study proposes two deep learning models: a Hybrid resNet50V2+InceptionV3 model for ASD prediction from facial images and an enhanced MobileNet for recognizing six emotions in children with ASD. Data sets were collected from two public datasets. Preprocessing was performed (normalization and augmentation) and a hybrid ResNet50V2+InceptionV3 model and enhanced MobileNet were trained and tested. The hybrid model produced 95 % accuracy for predicting ASD, and the enhanced MobileNet achieved 73.3 % accuracy for predicting emotions; both accuracy rates were significantly improved as compared to baseline models. Overall, both models demonstrated that hybrid and enhanced model architectures improve the predictive accuracy and generalization of children with ASD from facial images. The models can also be used as non-invasive methodologies for early detection of ASD and emotion classification in clinical or educational contexts. Future research will include multimodal inputs and methods in explainable AI for further clinical implication.</t>
        </is>
      </c>
    </row>
    <row r="56" ht="409" customHeight="1">
      <c r="A56" s="4" t="n">
        <v>149</v>
      </c>
      <c r="B56" s="4" t="n">
        <v>2026</v>
      </c>
      <c r="C56" s="4" t="inlineStr">
        <is>
          <t>A new approach in autism diagnosis: Evaluating natural interaction using point of view (POV) glasses</t>
        </is>
      </c>
      <c r="D56" s="4" t="inlineStr">
        <is>
          <t>10.1016/j.ajp.2025.104798</t>
        </is>
      </c>
      <c r="E56" s="4" t="inlineStr">
        <is>
          <t>Hakan Kayış and Murat Çelik and Çınar Gedizlioğlu and Elif Kayış and Cumhur Aydemir and Arda Hatipoğlu and Seda Sarı and Nurhak Dogan and Elif Mumcu and Rabia Arı and Burcu Özbaran</t>
        </is>
      </c>
      <c r="F56" s="4" t="inlineStr">
        <is>
          <t>Asian Journal of Psychiatry</t>
        </is>
      </c>
      <c r="G56" s="4" t="inlineStr">
        <is>
          <t>Incluir provisionalmente</t>
        </is>
      </c>
      <c r="H56" s="4" t="inlineStr">
        <is>
          <t>Retrieved and reviewed</t>
        </is>
      </c>
      <c r="I56" s="4" t="n"/>
      <c r="J56" s="4" t="inlineStr">
        <is>
          <t>Include</t>
        </is>
      </c>
      <c r="K56" s="4" t="n"/>
      <c r="L56" s="4" t="inlineStr">
        <is>
          <t>Revisión asistida por IA (un revisor; requiere verificación independiente)</t>
        </is>
      </c>
      <c r="M56" s="40" t="n">
        <v>46269</v>
      </c>
      <c r="N56" s="4" t="inlineStr">
        <is>
          <t>https://www.sciencedirect.com/science/article/pii/S1876201825004411</t>
        </is>
      </c>
      <c r="O56" s="4" t="inlineStr">
        <is>
          <t>Texto completo/contenido integral evaluable revisado; extraccion RQ disponible. Nivel de fuente y limitaciones documentados en Lote_02_25.</t>
        </is>
      </c>
      <c r="P56" s="4" t="inlineStr">
        <is>
          <t>This study introduces an AI-assisted method based on examiner-worn Point of View (POV) glasses and computer vision analysis to provide objective behavioral data for the diagnosis of Autism Spectrum Disorder (ASD). The study included 29 children with ASD and 27 children without ASD, aged between 17 and 36 months. During semi-structured naturalistic interactions, the examiner wore POV glasses equipped with a scene camera that captured the child's face from an eye-level perspective, preserving ecological validity. Behavioral parameters—including facial expressions, approximate social gaze (operationalized as the child's eyes orientation toward the POV camera), and head mobility—were extracted using OpenFace and MediaPipe and subsequently analyzed with machine learning techniques. Statistical analyses revealed that total social gaze duration, longest social gaze, social smiling, number of responses to name, response latency, response duration, social responsiveness, and head movements along the z-axis had p-values ≤ 0.05, while head movements on the x- and y-axes, total head movement, and rapid head movements had p-values &gt; 0.05. The classification model developed using decision trees and the AdaBoost algorithm demonstrated high performance, achieving an accuracy of 91.07 % and a sensitivity of 89.65 %. These findings support the clinical applicability of examiner-worn POV recordings for early ASD detection and highlight their potential to complement traditional, subjective assessment methods.</t>
        </is>
      </c>
    </row>
    <row r="57" ht="409" customHeight="1">
      <c r="A57" s="4" t="n">
        <v>154</v>
      </c>
      <c r="B57" s="4" t="n">
        <v>2026</v>
      </c>
      <c r="C57" s="4" t="inlineStr">
        <is>
          <t>A two-step temporal data augmentation and supervised learning framework for predicting autism diagnosis at 36 months in patients with tuberous sclerosis complex</t>
        </is>
      </c>
      <c r="D57" s="4" t="inlineStr">
        <is>
          <t>10.1016/j.compbiomed.2026.111719</t>
        </is>
      </c>
      <c r="E57" s="4" t="inlineStr">
        <is>
          <t>Cancan Zhang and Runqiu Wang and Jamie K Capal and Siddharth Srivastava and Rajna Filip-Dhima and E Martina Bebin and Darcy A Krueger and Hope Northrup and Joyce Y Wu and Simon K Warfield and Mustafa Sahin and Bo Zhang</t>
        </is>
      </c>
      <c r="F57" s="4" t="inlineStr">
        <is>
          <t>Computers in Biology and Medicine</t>
        </is>
      </c>
      <c r="G57" s="4" t="inlineStr">
        <is>
          <t>Incluir provisionalmente</t>
        </is>
      </c>
      <c r="H57" s="4" t="inlineStr">
        <is>
          <t>Retrieved and reviewed</t>
        </is>
      </c>
      <c r="I57" s="4" t="n"/>
      <c r="J57" s="4" t="inlineStr">
        <is>
          <t>Include</t>
        </is>
      </c>
      <c r="K57" s="4" t="n"/>
      <c r="L57" s="4" t="inlineStr">
        <is>
          <t>Revisión asistida por IA (un revisor; requiere verificación independiente)</t>
        </is>
      </c>
      <c r="M57" s="40" t="n">
        <v>46269</v>
      </c>
      <c r="N57" s="4" t="inlineStr">
        <is>
          <t>https://pmc.ncbi.nlm.nih.gov/articles/PMC13175081/</t>
        </is>
      </c>
      <c r="O57" s="4" t="inlineStr">
        <is>
          <t>Texto completo/contenido integral evaluable revisado; extraccion RQ disponible. Nivel de fuente y limitaciones documentados en Lote_02_25.</t>
        </is>
      </c>
      <c r="P57" s="4" t="inlineStr">
        <is>
          <t>Background Autism spectrum disorder (ASD) affects approximately 25-50% of children with tuberous sclerosis complex (TSC). Early identification of ASD in this high-risk population is crucial for timely intervention but remains challenging due to the heterogeneous clinical presentation and complex interplay of genetic, neurological, and environmental factors. This study aimed to integrate longitudinal diffusion tensor imaging (DTI) metrics with early behavioral features using supervised learning algorithms to predict ASD outcomes at 36 months. Methods Data were obtained from the children enrolled in the TSC Autism Center of Excellence Research Network study. Four DTI metrics: axial diffusivity, fractional anisotropy, mean diffusivity, and radial diffusivity, were measured across 27 major white matter tracts at up to four irregular time points. To account for variability in acquisition timing, we developed a two-step data augmentation algorithm to interpolate each subject's data to standardized ages of 12, 24, and 36 months. In addition, 9 behavioral features from the ADOS-2 and ADI-R assessments at 24 months were included. Supervised learning algorithms were trained to predict ASD diagnosis at 36 months under two input settings. Results Performance of the supervised learning algorithms was evaluated with accuracy, sensitivity, specificity, and area under the receiver operating characteristic curve as performance metrics. Regularized logistic regression models, least absolute shrinkage and selection operator and elastic net, demonstrated the most balanced overall performance across most evaluation metrics. Comparing input settings, Setting 1 (DTI at 24 months + behavioral features) achieved comparable or slightly improved performance relative to Setting 2 (DTI at 12 and 24 months + behavioral features) in predicting ASD diagnosis. Conclusion Integrating early neuroimaging and behavioral data suggests potential for prediction of ASD outcomes at 36 months in children with TSC. This multimodal machine learning framework highlights 24-month DTI and behavioral measures as key early biomarkers and demonstrates the effectiveness of regularized regression techniques for small-sample, heterogeneous clinical datasets.</t>
        </is>
      </c>
    </row>
    <row r="58" ht="112" customHeight="1">
      <c r="A58" s="4" t="n">
        <v>160</v>
      </c>
      <c r="B58" s="4" t="n">
        <v>2025</v>
      </c>
      <c r="C58" s="4" t="inlineStr">
        <is>
          <t>LLM-Assisted Annotation Framework for Cross Platform Analysis of Autism Online Communities: Implications for Parent Education and Digital Support (Preprint)</t>
        </is>
      </c>
      <c r="D58" s="4" t="inlineStr">
        <is>
          <t>10.2196/85290</t>
        </is>
      </c>
      <c r="E58" s="4" t="inlineStr">
        <is>
          <t>Yifan Xu and Jianhao Ma and Yujia Hu and Yixue Liu and Yu Chen and Wei Feng and Changwei Zhang and Lei Zhang and Xuening Zhang and Ruochen Huang</t>
        </is>
      </c>
      <c r="F58" s="4" t="inlineStr">
        <is>
          <t>Journal of Medical Internet Research</t>
        </is>
      </c>
      <c r="G58" s="4" t="inlineStr">
        <is>
          <t>Incluir provisionalmente</t>
        </is>
      </c>
      <c r="H58" s="4" t="inlineStr">
        <is>
          <t>Retrieved and reviewed</t>
        </is>
      </c>
      <c r="I58" s="4" t="n"/>
      <c r="J58" s="4" t="inlineStr">
        <is>
          <t>Include</t>
        </is>
      </c>
      <c r="K58" s="4" t="n"/>
      <c r="L58" s="4" t="inlineStr">
        <is>
          <t>Revisión asistida por IA (un revisor; requiere verificación independiente)</t>
        </is>
      </c>
      <c r="M58" s="40" t="n">
        <v>46269</v>
      </c>
      <c r="N58" s="4" t="inlineStr">
        <is>
          <t>https://doi.org/10.2196/85290</t>
        </is>
      </c>
      <c r="O58" s="4" t="inlineStr">
        <is>
          <t>Texto completo abierto con métodos y resultados suficientes; codificación en Extraccion_RQ_nuevos.</t>
        </is>
      </c>
      <c r="P58" s="4" t="n"/>
    </row>
    <row r="59" ht="409" customHeight="1">
      <c r="A59" s="4" t="n">
        <v>162</v>
      </c>
      <c r="B59" s="4" t="n">
        <v>2026</v>
      </c>
      <c r="C59" s="4" t="inlineStr">
        <is>
          <t>EMLF-Net: A multi-level feature fusion network based on autism EEG signals for autism spectrum disorder classification</t>
        </is>
      </c>
      <c r="D59" s="4" t="inlineStr">
        <is>
          <t>10.1016/j.bspc.2025.109180</t>
        </is>
      </c>
      <c r="E59" s="4" t="inlineStr">
        <is>
          <t>Lijuan Shi and Lintao Ma and Jian Zhao and Haiyan Wang and Zhejun Kuang and Qiulei Han and Lei Sun</t>
        </is>
      </c>
      <c r="F59" s="4" t="inlineStr">
        <is>
          <t>Biomedical Signal Processing and Control</t>
        </is>
      </c>
      <c r="G59" s="4" t="inlineStr">
        <is>
          <t>Incluir provisionalmente</t>
        </is>
      </c>
      <c r="H59" s="4" t="inlineStr">
        <is>
          <t>Retrieved and reviewed</t>
        </is>
      </c>
      <c r="I59" s="4" t="n"/>
      <c r="J59" s="4" t="inlineStr">
        <is>
          <t>Include</t>
        </is>
      </c>
      <c r="K59" s="4" t="n"/>
      <c r="L59" s="4" t="inlineStr">
        <is>
          <t>Revisión asistida por IA (un revisor; requiere verificación independiente)</t>
        </is>
      </c>
      <c r="M59" s="40" t="n">
        <v>46269</v>
      </c>
      <c r="N59" s="4" t="inlineStr">
        <is>
          <t>https://www.sciencedirect.com/science/article/pii/S174680942501691X</t>
        </is>
      </c>
      <c r="O59" s="4" t="inlineStr">
        <is>
          <t>Texto completo/contenido integral evaluable revisado; extraccion RQ disponible. Nivel de fuente y limitaciones documentados en Lote_02_25.</t>
        </is>
      </c>
      <c r="P59" s="4" t="inlineStr">
        <is>
          <t>Autism spectrum disorder (ASD) is a neurodevelopmental disorder that affects social interaction and communication skills. Early diagnosis is crucial for effective intervention. Although machine learning technology can assist automatic feature extraction, its efficiency is limited. Although deep learning improves the efficiency of feature extraction, it is easy to lose important low-level feature information in the feature fusion process, and the integration of time-temporal features needs to be improved. To solve the above problems, this study proposes a multi-level feature fusion network (EMLF-Net) that fuses time domain and frequency domain features for end-to-end recognition of autism EEG signals. The network is based on a two-stream parallel structure, and a Hierarchical Domain Fusion and Refinement Model (HDFR) is built to effectively fuse the time domain and frequency domain features. The Differential Fusion Block (DFB) module was designed to separate the unique and shared features in time domain and frequency domain, and the Orthogonal Fusion Block (OFB) module was used to realize the fusion of multi-level features. Experiments on KAU dataset show that EMLF-Net achieves 99.20% and 92.09% accuracy on subject-dependent and subject-independent, respectively. Brain topography analysis and t-SNE visualization further reveal that time domain and frequency domain features capture distinct channel importance in different experiments, which provides a basis for individualized and universal diagnosis.</t>
        </is>
      </c>
    </row>
    <row r="60" ht="409" customHeight="1">
      <c r="A60" s="4" t="n">
        <v>169</v>
      </c>
      <c r="B60" s="4" t="n">
        <v>2026</v>
      </c>
      <c r="C60" s="4" t="inlineStr">
        <is>
          <t>GPT-Powered Chatbot-Based Positive Psychology Intervention for Well-Being Among Parents of Children With Autism Spectrum Disorder: Single-Arm Mixed Methods Study</t>
        </is>
      </c>
      <c r="D60" s="4" t="inlineStr">
        <is>
          <t>10.2196/85060</t>
        </is>
      </c>
      <c r="E60" s="4" t="inlineStr">
        <is>
          <t>Wen Zhang and Rachel Yim Fong Leung and Ka Ki Mak and Haoyan Ge and Tyrone Tai On Kwok and Ricky Van Yip Tso and Anni Wang and Haixia Ma and Janet Y H Wong</t>
        </is>
      </c>
      <c r="F60" s="4" t="inlineStr">
        <is>
          <t>JMIR Formative Research</t>
        </is>
      </c>
      <c r="G60" s="4" t="inlineStr">
        <is>
          <t>Incluir provisionalmente</t>
        </is>
      </c>
      <c r="H60" s="4" t="inlineStr">
        <is>
          <t>Retrieved and reviewed</t>
        </is>
      </c>
      <c r="I60" s="4" t="n"/>
      <c r="J60" s="4" t="inlineStr">
        <is>
          <t>Include</t>
        </is>
      </c>
      <c r="K60" s="4" t="n"/>
      <c r="L60" s="4" t="inlineStr">
        <is>
          <t>Revisión asistida por IA (un revisor; requiere verificación independiente)</t>
        </is>
      </c>
      <c r="M60" s="40" t="n">
        <v>46269</v>
      </c>
      <c r="N60" s="4" t="inlineStr">
        <is>
          <t>https://formative.jmir.org/2026/1/e85060/PDF</t>
        </is>
      </c>
      <c r="O60" s="4" t="inlineStr">
        <is>
          <t>Texto completo abierto con métodos y resultados suficientes; codificación en Extraccion_RQ_nuevos.</t>
        </is>
      </c>
      <c r="P60" s="4" t="inlineStr">
        <is>
          <t>Background: Parents of autistic children frequently experience elevated stress levels, depressive symptoms, and reduced well-being. Positive psychology interventions (PPIs) can strengthen resilience, and chatbots offer a scalable channel through which such skills can be delivered. However, evidence on the evaluation of large language model–guided PPI-based chatbots for this population is limited. Objective: This study evaluated the feasibility and acceptability of a GPT-powered chatbot (“Allie”). This study was designed to deliver culturally adapted PPIs to parents of autistic children and to explore their preliminary effects on well-being, depression, stress, and health-related quality of life. Methods: We conducted a single-arm mixed-methods pilot study with 19 parents with autistic children. These parents engaged with Allie for 2 weeks to complete 8 structured PPI exercises. The primary outcomes were feasibility (completion, ease of use, and practicality) and acceptability (multidimensional user ratings). Secondary outcomes were the World Health Organization–Five Well-Being Index (WHO-5), Patient Health Questionnaire-9, Perceived Stress Scale-10, and Short Form-12 Health Survey (version 2) Physical and Mental Component Summary scores. Outcomes were analyzed using paired t tests or Wilcoxon signed-rank tests. Optional postintervention interviews were analyzed using reflexive thematic analysis. Results: A total of 17 (89.5%) participants completed all the exercises, which indicated a high degree of procedural feasibility. There were also high ratings for ease of use and practicality (means 4.47/5, SD 0.70, and 4.32/5, SD 0.67, respectively). Acceptability was favorable (overall satisfaction mean=5.68/7, SD 0.70; prompt response time=6.37/7, SD 0.68). The WHO-5 score improved significantly from 32.84 to 46.11 (t18=2.48, P=.02; Cohen d=0.52). Changes in the Patient Health Questionnaire-9 (z=−0.49, P=.63; r=0.11), Perceived Stress Scale-10 (t18=−0.82, P=.43; Cohen d=0.12), and Short Form-12 Health Survey (version 2) Physical Component Summary (t18=−0.94, P=.36; Cohen d=0.18) and Mental Component Summary (t18=−0.89, P=.39; Cohen d=0.17) scores were not significant. Qualitative feedback (14/19) described benefits aligned with PPI mechanisms such as greater self-reflection, a more positive orientation, perspective-taking, emotional support, and coping skills. However, participants also suggested refinements, such as more natural conversation (colloquial Cantonese), shorter or less repetitive outputs, user-chosen sequencing with reminders and progress tracking, multimodal features, and autism spectrum disorder–specific resources. Conclusions: This pilot study revealed the feasibility, acceptability, and preliminary improvement in well-being (WHO-5) of a PPI-based GPT-powered chatbot, Allie, among parents of autistic children. Although there was no significant short-term change in other outcomes, the findings provide insights into design priorities, including personalization, conversational naturalness, multimodal content, and autism spectrum disorder–specific guidance. Larger, controlled trials with longer exposures and more diverse samples are needed to establish efficacy and durability.</t>
        </is>
      </c>
    </row>
    <row r="61" ht="86" customHeight="1">
      <c r="A61" s="4" t="n">
        <v>171</v>
      </c>
      <c r="B61" s="4" t="n">
        <v>2025</v>
      </c>
      <c r="C61" s="4" t="inlineStr">
        <is>
          <t>Artificial Intelligence Prediction of Individual Treatment Response to Smartphone-Based Mindfulness in Autistic Adults with Anxiety Symptoms: A Randomized Controlled Trial Analysis (Preprint)</t>
        </is>
      </c>
      <c r="D61" s="4" t="inlineStr">
        <is>
          <t>10.2196/89054</t>
        </is>
      </c>
      <c r="E61" s="4" t="inlineStr">
        <is>
          <t>Gun Ahn and Cindy Li and Aixin Liang and Wonchang Choi and Seoin Ahn and Clark Roberts and John Gabrieli</t>
        </is>
      </c>
      <c r="F61" s="4" t="inlineStr">
        <is>
          <t>JMIR AI</t>
        </is>
      </c>
      <c r="G61" s="4" t="inlineStr">
        <is>
          <t>Incluir provisionalmente</t>
        </is>
      </c>
      <c r="H61" s="4" t="inlineStr">
        <is>
          <t>Retrieved and reviewed</t>
        </is>
      </c>
      <c r="I61" s="4" t="n"/>
      <c r="J61" s="4" t="inlineStr">
        <is>
          <t>Include</t>
        </is>
      </c>
      <c r="K61" s="4" t="n"/>
      <c r="L61" s="4" t="inlineStr">
        <is>
          <t>Revisión asistida por IA (un revisor; requiere verificación independiente)</t>
        </is>
      </c>
      <c r="M61" s="40" t="n">
        <v>46269</v>
      </c>
      <c r="N61" s="4" t="inlineStr">
        <is>
          <t>https://doi.org/10.2196/89054</t>
        </is>
      </c>
      <c r="O61" s="4" t="inlineStr">
        <is>
          <t>Texto completo abierto con métodos y resultados suficientes; codificación en Extraccion_RQ_nuevos.</t>
        </is>
      </c>
      <c r="P61" s="4" t="n"/>
    </row>
    <row r="62" ht="409" customHeight="1">
      <c r="A62" s="4" t="n">
        <v>172</v>
      </c>
      <c r="B62" s="4" t="n">
        <v>2026</v>
      </c>
      <c r="C62" s="4" t="inlineStr">
        <is>
          <t>Evaluating Public Sentiment on Attention-Deficit/Hyperactivity Disorder and Autism Spectrum Disorder Compared With Other Mental Health Disorders From Posts on X (Formerly Known as Twitter): Longitudinal Analysis</t>
        </is>
      </c>
      <c r="D62" s="4" t="inlineStr">
        <is>
          <t>10.2196/74440</t>
        </is>
      </c>
      <c r="E62" s="4" t="inlineStr">
        <is>
          <t>Vitor Tiosso Batistetti and Facundo G Sanchez and Andrea Varaona and Francisco Lara-Abelenda and Mariana Pinto da Costa and Juan Pablo Chart-Pascual and Alberto Rodriguez-Quiroga and Javier Quintero and Miguel Angel Alvarez-Mon</t>
        </is>
      </c>
      <c r="F62" s="4" t="inlineStr">
        <is>
          <t>JMIR Infodemiology</t>
        </is>
      </c>
      <c r="G62" s="4" t="inlineStr">
        <is>
          <t>Incluir provisionalmente</t>
        </is>
      </c>
      <c r="H62" s="4" t="inlineStr">
        <is>
          <t>Retrieved and reviewed</t>
        </is>
      </c>
      <c r="I62" s="4" t="n"/>
      <c r="J62" s="4" t="inlineStr">
        <is>
          <t>Include</t>
        </is>
      </c>
      <c r="K62" s="4" t="n"/>
      <c r="L62" s="4" t="inlineStr">
        <is>
          <t>Revisión asistida por IA (un revisor; requiere verificación independiente)</t>
        </is>
      </c>
      <c r="M62" s="40" t="n">
        <v>46269</v>
      </c>
      <c r="N62" s="4" t="inlineStr">
        <is>
          <t>https://doi.org/10.2196/74440</t>
        </is>
      </c>
      <c r="O62" s="4" t="inlineStr">
        <is>
          <t>Texto completo abierto con métodos y resultados suficientes; codificación en Extraccion_RQ_nuevos.</t>
        </is>
      </c>
      <c r="P62" s="4" t="inlineStr">
        <is>
          <t>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on ADHD and ASD between 2009 and 2023 by analyzing posts from X (formerly known as Twitter; X Corp), comparing perceptions across English and Spanish languages and against other mental health conditions. Methods: Posts mentioning keywords related to ADHD and ASD and control conditions (eg, depression, anxiety, insomnia, bipolar disorder, schizophrenia, suicide, and substance use disorders) were collected from X between 2009 and 2023. The dataset included posts in both English and Spanish. Machine learning algorithms were then applied to classify post content into predefined categories, including volume of posts, engagement, personal experiences, trivialization, perceived causes, and perceived treatability. Parametric and nonparametric tests were used to assess for differences by language. Descriptive statistics were presented using tables and graphical representations. Results: A total of 852,990 posts were analyzed, including 511,510 (59.97%) in English and 341,480 (40.03%) in Spanish. Overall, post volume on mental health conditions increased across the study period. In English, posts about ADHD (97,084/511,510, 18.98%) and ASD (74,619/511,510, 14.59%) were among the most frequent, while of the 341,480 Spanish posts, there were 49,475 (14.49%) ASD posts, significantly outnumbering ADHD posts (n=18,223, 5.34%; chi-square test P&lt;.001). Engagement analysis indicated a notable increase in likes and reposts per post over time, particularly after 2019, with ADHD-related posts in English experiencing peak engagement during the COVID-19 pandemic. However, ASD posts had comparatively lower engagement across languages. Posts sharing personal experiences were more polarized in Spanish, with higher proportions of negative and positive experiences compared with English posts. Trivialization of mental illnesses was less common in Spanish posts than in English posts, particularly for ADHD (17,053/18,223, 93.59%; chi-square test P&lt;.001) and ASD (41,933/49,475, 84.73%; chi-square test P&lt;.001). User-perceived causes included multifactorial factors, biological or genetic factors, substance use, psychological susceptibility, acute psychosocial stressors, and COVID-19. Perceived treatability varied by language but consistently included high perceived incurability, limited improvement despite professional help, and low perceived self-manageability except for anxiety. Conclusions: Analysis of social media discourse showed that ADHD attracted higher post volumes, particularly during the COVID-19 pandemic, often described with multifactorial causes including substance use and genetics. ASD consistently received lower engagement. Both language groups showed low trivialization, awareness of the chronicity of the illness, and limited support for the self-management of mental health conditions. These findings underscore social media’s value for capturing direct public perceptions to guide future educational and intervention efforts.</t>
        </is>
      </c>
    </row>
    <row r="63" ht="86" customHeight="1">
      <c r="A63" s="4" t="n">
        <v>173</v>
      </c>
      <c r="B63" s="4" t="n">
        <v>2025</v>
      </c>
      <c r="C63" s="4" t="inlineStr">
        <is>
          <t>From Click to Chat: A Comparative, Bilingual Study of Autism-Related Information on Websites and General-Purpose AI Chatbots (Preprint)</t>
        </is>
      </c>
      <c r="D63" s="4" t="inlineStr">
        <is>
          <t>10.2196/85196</t>
        </is>
      </c>
      <c r="E63" s="4" t="inlineStr">
        <is>
          <t>Valentin Nădășan and Ciprian-Rareș Păroiu and Alexandra Neguțescu and Elena-Gabriela Strete</t>
        </is>
      </c>
      <c r="F63" s="4" t="inlineStr">
        <is>
          <t>JMIR Formative Research</t>
        </is>
      </c>
      <c r="G63" s="4" t="inlineStr">
        <is>
          <t>Incluir provisionalmente</t>
        </is>
      </c>
      <c r="H63" s="4" t="inlineStr">
        <is>
          <t>Retrieved and reviewed</t>
        </is>
      </c>
      <c r="I63" s="4" t="n"/>
      <c r="J63" s="4" t="inlineStr">
        <is>
          <t>Include</t>
        </is>
      </c>
      <c r="K63" s="4" t="n"/>
      <c r="L63" s="4" t="inlineStr">
        <is>
          <t>Revisión asistida por IA (un revisor; requiere verificación independiente)</t>
        </is>
      </c>
      <c r="M63" s="40" t="n">
        <v>46269</v>
      </c>
      <c r="N63" s="4" t="inlineStr">
        <is>
          <t>https://doi.org/10.2196/85196</t>
        </is>
      </c>
      <c r="O63" s="4" t="inlineStr">
        <is>
          <t>Texto completo abierto con métodos y resultados suficientes; codificación en Extraccion_RQ_nuevos.</t>
        </is>
      </c>
      <c r="P63" s="4" t="n"/>
    </row>
    <row r="64" ht="409" customHeight="1">
      <c r="A64" s="4" t="n">
        <v>179</v>
      </c>
      <c r="B64" s="4" t="n">
        <v>2025</v>
      </c>
      <c r="C64" s="4" t="inlineStr">
        <is>
          <t>Free Water Corrected Diffusion Magnetic Resonance Imaging Reveals Microstructural Alterations in Corpus Callosum Subregions of Preschool Children With Autism</t>
        </is>
      </c>
      <c r="D64" s="4" t="inlineStr">
        <is>
          <t>10.1002/hbm.70435</t>
        </is>
      </c>
      <c r="E64" s="4" t="inlineStr">
        <is>
          <t>Doudou Cao and Litong Ni and Qi Qi and Lan Zhou and Junyi Wang and Yijie Li and Wei Zhang and Jiayan Wei and Yixiu Luo and Yi Wang and Fan Zhang and Shijun Li</t>
        </is>
      </c>
      <c r="F64" s="4" t="inlineStr">
        <is>
          <t>Human Brain Mapping</t>
        </is>
      </c>
      <c r="G64" s="4" t="inlineStr">
        <is>
          <t>Incluir provisionalmente</t>
        </is>
      </c>
      <c r="H64" s="4" t="inlineStr">
        <is>
          <t>Retrieved and reviewed</t>
        </is>
      </c>
      <c r="I64" s="4" t="n"/>
      <c r="J64" s="4" t="inlineStr">
        <is>
          <t>Include</t>
        </is>
      </c>
      <c r="K64" s="4" t="n"/>
      <c r="L64" s="4" t="inlineStr">
        <is>
          <t>Revisión asistida por IA (un revisor; requiere verificación independiente)</t>
        </is>
      </c>
      <c r="M64" s="40" t="n">
        <v>46269</v>
      </c>
      <c r="N64" s="4" t="inlineStr">
        <is>
          <t>https://onlinelibrary.wiley.com/doi/pdfdirect/10.1002/hbm.70435</t>
        </is>
      </c>
      <c r="O64" s="4" t="inlineStr">
        <is>
          <t>Texto completo abierto con métodos y resultados suficientes; codificación en Extraccion_RQ_nuevos.</t>
        </is>
      </c>
      <c r="P64" s="4" t="inlineStr">
        <is>
          <t>Autism spectrum disorder (ASD) is associated with white matter microstructural abnormalities, particularly in the corpus callosum (CC). This study employed free water corrected diffusion magnetic resonance imaging (fwc-dMRI) to investigate CC subregion-specific microstructural alterations in preschool children with ASD, which mitigates partial volume effects from extracellular free water. Sixty-one ASD children (6.03 ± 1.08 years) and 62 typically developing (TD) controls (6.49 ± 1.45 years) were enrolled in this study. In the ASD group, the symptom severity was assessed by the Autism Behavior Checklist (ABC). Fwc-dMRI technique, a bi-tensor tractography method, was used to investigate the white matter microstructure, which models free water and brain tissues through isotropic and anisotropic tensors to eliminate the partial volume effects caused by extracellular free water. The CC was segmented into seven subregions automatically according to its alignment to the cortex by a robust machine learning approach based on an anatomically curated white matter atlas. Fwc-dMRI-derived metrics were extracted for each CC subregion. Then we compared diffusion metrics between the two groups, and the correlation between the fractional anisotropy tissue (FAt) and the scores of the ABC scale was analyzed in ASD. Significant group differences were localized to CC6 (temporal lobe projections), showing reduced FAt (t = −3.251, p &lt; 0.01) and elevated radial diffusivity tissue (t = 3.632, p &lt; 0.01), and CC1 (orbital lobe projections), exhibiting decreased free water (t = −3.068, p &lt; 0.05). FAt in CC2–5 negatively correlated with ABC scores (r = −0.36 to −0.52, p &lt; 0.01), linking frontoparietal connectivity to the symptom severity of ASD. Fwc-dMRI identified distinct microstructural disruptions in CC subregions, implicating dysmyelination in temporal pathways (CC6) and abnormal axonal development in frontal projections (CC1). These findings highlight fwc-dMRI's potential for early ASD diagnosis and intervention monitoring.</t>
        </is>
      </c>
    </row>
    <row r="65" ht="409" customHeight="1">
      <c r="A65" s="4" t="n">
        <v>180</v>
      </c>
      <c r="B65" s="4" t="n">
        <v>2026</v>
      </c>
      <c r="C65" s="4" t="inlineStr">
        <is>
          <t>The effect of spatial and intensity level augmentation of structural magnetic resonance images on autism diagnosis model</t>
        </is>
      </c>
      <c r="D65" s="4" t="inlineStr">
        <is>
          <t>10.1016/j.ajp.2026.104830</t>
        </is>
      </c>
      <c r="E65" s="4" t="inlineStr">
        <is>
          <t>D Swainson Sujana and Peter Augustin D</t>
        </is>
      </c>
      <c r="F65" s="4" t="inlineStr">
        <is>
          <t>Asian Journal of Psychiatry</t>
        </is>
      </c>
      <c r="G65" s="4" t="inlineStr">
        <is>
          <t>Incluir provisionalmente</t>
        </is>
      </c>
      <c r="H65" s="4" t="inlineStr">
        <is>
          <t>Retrieved and reviewed</t>
        </is>
      </c>
      <c r="I65" s="4" t="n"/>
      <c r="J65" s="4" t="inlineStr">
        <is>
          <t>Include</t>
        </is>
      </c>
      <c r="K65" s="4" t="n"/>
      <c r="L65" s="4" t="inlineStr">
        <is>
          <t>Revisión asistida por IA (un revisor; requiere verificación independiente)</t>
        </is>
      </c>
      <c r="M65" s="40" t="n">
        <v>46269</v>
      </c>
      <c r="N65" s="4" t="inlineStr">
        <is>
          <t>https://doi.org/10.1016/j.ajp.2026.104830</t>
        </is>
      </c>
      <c r="O65" s="4" t="inlineStr">
        <is>
          <t>Texto completo/contenido integral evaluable revisado; extraccion RQ disponible. Nivel de fuente y limitaciones documentados en Lote_02_25.</t>
        </is>
      </c>
      <c r="P65" s="4" t="inlineStr">
        <is>
          <t>In deep learning, the robustness and generalizability of models significantly depend on diverse and heterogeneous training data. Acquiring such an extensive dataset is challenging in fields like disorder prediction due to data scarcity, which can be attributed to factors such as privacy concerns, limited patient population, or inadequate facilities. Data augmentation can be an ideal solution to this problem, particularly in the field of disorder prediction, like autism, using medical imaging. Data augmentation can expand and balance datasets by generating high-quality and varied data, thereby improving the generalizability of deep learning models. This study proposed two types of augmentation methods: 1. Spatial level 2. Intensity level augmentation techniques. Eight different levels of augmentations were experimented with across these categories. This study found that the combination of spatial and intensity level augmentations enhanced the model's generalizability and robustness, achieving an AUC value of 0.7433. Additionally, it was observed that the Left to Right flip method, under spatial augmentation, diminished the model's performance, whereas random noise injection, under intensity level augmentation, improved prediction accuracy.</t>
        </is>
      </c>
    </row>
    <row r="66" ht="409" customHeight="1">
      <c r="A66" s="4" t="n">
        <v>181</v>
      </c>
      <c r="B66" s="4" t="n">
        <v>2026</v>
      </c>
      <c r="C66" s="4" t="inlineStr">
        <is>
          <t>Human-centered AI for inclusive tourism: enhancing travel planning for adults with autism spectrum disorder</t>
        </is>
      </c>
      <c r="D66" s="4" t="inlineStr">
        <is>
          <t>10.1016/j.ijhcs.2025.103696</t>
        </is>
      </c>
      <c r="E66" s="4" t="inlineStr">
        <is>
          <t>Noemi Mauro and Fabio Ferrero and Liliana Ardissono and Federica Cena</t>
        </is>
      </c>
      <c r="F66" s="4" t="inlineStr">
        <is>
          <t>International Journal of Human Computer Studies</t>
        </is>
      </c>
      <c r="G66" s="4" t="inlineStr">
        <is>
          <t>Incluir provisionalmente</t>
        </is>
      </c>
      <c r="H66" s="4" t="inlineStr">
        <is>
          <t>Retrieved and reviewed</t>
        </is>
      </c>
      <c r="I66" s="4" t="n"/>
      <c r="J66" s="4" t="inlineStr">
        <is>
          <t>Include</t>
        </is>
      </c>
      <c r="K66" s="4" t="n"/>
      <c r="L66" s="4" t="inlineStr">
        <is>
          <t>Revisión asistida por IA (un revisor; requiere verificación independiente)</t>
        </is>
      </c>
      <c r="M66" s="40" t="n">
        <v>46269</v>
      </c>
      <c r="N66" s="4" t="inlineStr">
        <is>
          <t>https://iris.unito.it/handle/2318/2114230</t>
        </is>
      </c>
      <c r="O66" s="4" t="inlineStr">
        <is>
          <t>Texto completo/contenido integral evaluable revisado; extraccion RQ disponible. Nivel de fuente y limitaciones documentados en Lote_02_25.</t>
        </is>
      </c>
      <c r="P66" s="4" t="inlineStr">
        <is>
          <t>Travel experiences can challenge individuals with Autism Spectrum Disorder (ASD) before embarking on a trip, because of the complexity of planning, but also during the trip, due to sensory overstimulation while visiting places. Artificial Intelligence (AI) could help overcome some obstacles. However, it might represent a barrier for people with mid-functioning autism if their needs for assistance are not considered when designing tourism applications. Moreover, most trip planners fully control the generation of solutions, undermining users’ decision autonomy. To address these challenges, we explored the development of itinerary planning technologies through a human-centered approach. We aimed to balance guiding users in their decision-making with empowering them to plan tours independently. The result is CARES, an Artificial Intelligence-driven trip planner designed for autistic adults, which we present in this article. CARES applies a collaborative approach to developing itineraries, based on the exploitation of (i) AI technologies for information filtering and interactive itinerary planning that are robust to the data scarcity characterizing the autism domain; (ii) a user interface that reduces information overload and decision fatigue in information exploration. We tested CARES with 14 autistic adults, gathering insights to guide future design and improve the usability of Artificial Intelligence for neurodivergent users. The results indicate that our approach provides an accessible solution for enhancing the travel experiences of mid- to high-functioning autistic adults. In doing so, it contributes to more inclusive tourism.</t>
        </is>
      </c>
    </row>
    <row r="67" ht="409" customHeight="1">
      <c r="A67" s="4" t="n">
        <v>182</v>
      </c>
      <c r="B67" s="4" t="n">
        <v>2026</v>
      </c>
      <c r="C67" s="4" t="inlineStr">
        <is>
          <t>Label leakage unmasked: a trustworthy-AI audit of autism screening models using the CLEAR-RD framework.</t>
        </is>
      </c>
      <c r="D67" s="4" t="inlineStr">
        <is>
          <t>10.3389/fpubh.2026.1881829</t>
        </is>
      </c>
      <c r="E67" s="4" t="inlineStr">
        <is>
          <t>Boulbaba Ben Ammar and Walid Karamti</t>
        </is>
      </c>
      <c r="F67" s="4" t="inlineStr">
        <is>
          <t>Frontiers in public health</t>
        </is>
      </c>
      <c r="G67" s="4" t="inlineStr">
        <is>
          <t>Incluir provisionalmente</t>
        </is>
      </c>
      <c r="H67" s="4" t="inlineStr">
        <is>
          <t>Retrieved and reviewed</t>
        </is>
      </c>
      <c r="I67" s="4" t="n"/>
      <c r="J67" s="4" t="inlineStr">
        <is>
          <t>Include</t>
        </is>
      </c>
      <c r="K67" s="4" t="n"/>
      <c r="L67" s="4" t="inlineStr">
        <is>
          <t>Revisión asistida por IA (un revisor; requiere verificación independiente)</t>
        </is>
      </c>
      <c r="M67" s="40" t="n">
        <v>46269</v>
      </c>
      <c r="N67" s="4" t="inlineStr">
        <is>
          <t>https://www.frontiersin.org/journals/public-health/articles/10.3389/fpubh.2026.1881829/pdf</t>
        </is>
      </c>
      <c r="O67" s="4" t="inlineStr">
        <is>
          <t>Texto completo abierto con métodos y resultados suficientes; codificación en Extraccion_RQ_nuevos.</t>
        </is>
      </c>
      <c r="P67" s="4" t="inlineStr">
        <is>
          <t>Trustworthy pediatric screening AI needs more than accuracy: label validity, calibration, subgroup robustness, and clinical-scope limits. We propose Clear-Rd (Clinical Leakage Evaluation and Audit Routine for Rule-Derived labels), a five-stage framework-Configure, Lift, Evaluate, Audit, Report-and apply it to two public autism-screening datasets-Q-CHAT-10 toddler (N = 1054) and AQ-10 child/adolescent/adult (N = 6075)-merged into a unified cohort (N = 7129); prior studies report accuracies above 95%. Three configurations-S 1 (full, with score), S 2 (items, no score), and S 3 (demographics only)-separate label leakage from demographic signal. A leakage audit confirms the Q-CHAT-10 label is exactly determined by score&gt;3, the AQ-10 label approximately by score≥6. Sixteen models from three families (classical, deep-tabular, and prompt-structure simulators) are evaluated under 5-fold stratified cross-validation. On the leakage-free S 3, Gradient Boosting attains ROC-AUC 0.766 ± 0.005 and all families converge within 0.04 ROC-AUC, indicating the binding constraint is the feature set, not model capacity. Calibration, subgroup-parity, and cost-sensitive analyses complete the audit. The results expose a gap between reported and clinically interpretable performance; Clear-Rd is a reusable template for rule-derived medical labels. No such model should be interpreted as predicting clinical autism diagnosis without external validation against gold-standard outcomes.</t>
        </is>
      </c>
    </row>
    <row r="68" ht="409" customHeight="1">
      <c r="A68" s="4" t="n">
        <v>183</v>
      </c>
      <c r="B68" s="4" t="n">
        <v>2025</v>
      </c>
      <c r="C68" s="4" t="inlineStr">
        <is>
          <t>Adaptive Multi-Scale Dynamic Graph Representation Learning With Overlapping Community-Awareness for ASD Classification</t>
        </is>
      </c>
      <c r="D68" s="4" t="inlineStr">
        <is>
          <t>10.1109/JBHI.2025.3622540</t>
        </is>
      </c>
      <c r="E68" s="4" t="inlineStr">
        <is>
          <t>Wenwen Zeng and Feiyu Yin and Pengfei Song and Yonghuang Wu and Chengqian Zhao and Guoqing Wu and Jinhua Yu</t>
        </is>
      </c>
      <c r="F68" s="4" t="inlineStr">
        <is>
          <t>IEEE Journal of Biomedical and Health Informatics</t>
        </is>
      </c>
      <c r="G68" s="4" t="inlineStr">
        <is>
          <t>Incluir provisionalmente</t>
        </is>
      </c>
      <c r="H68" s="4" t="inlineStr">
        <is>
          <t>Eligibility reviewed from accessible primary-source content; scoped adjudication completed</t>
        </is>
      </c>
      <c r="I68" s="4" t="n"/>
      <c r="J68" s="4" t="inlineStr">
        <is>
          <t>Include</t>
        </is>
      </c>
      <c r="K68" s="4" t="n"/>
      <c r="L68" s="4" t="inlineStr">
        <is>
          <t>Revisión asistida por IA (un revisor; requiere verificación independiente)</t>
        </is>
      </c>
      <c r="M68" s="40" t="n">
        <v>46269</v>
      </c>
      <c r="N68" s="4" t="inlineStr">
        <is>
          <t>https://pubmed.ncbi.nlm.nih.gov/41359708/</t>
        </is>
      </c>
      <c r="O68" s="4" t="inlineStr">
        <is>
          <t>Contenido primario accesible revisado y adjudicación RQ cerrada en Lote_06_22. Nivel de evidencia, limitaciones y prioridad de verificación humana documentados en Lote_06_22.</t>
        </is>
      </c>
      <c r="P68" s="4" t="inlineStr">
        <is>
          <t>In recent years, dynamic functional connectivity (dFC) has been widely employed for brain disease diagnosis. By leveraging the inherent topological characteristics of the brain, graph neural networks (GNNs) have emerged as prominent deep learning methods for utilizing dFC in this context. However, existing research has some limitations. Temporally, the conventional fixed-length sliding window approach often fails to capture the multi-scale temporal characteristics inherent in brain activity. Spatially, GNN-derived graph representations usually overlook the multi-network participation of brain regions. To address these limitations, we propose Ada-MST, an adaptive multi-scale spatio-temporal model utilizing multi-scale dFC for brain disease diagnosis. Our framework constructs personalized multi-scale dFC graphs that adapt to subject-specific temporal characteristics. Moreover, we introduce a novel overlapping community-aware readout module that incorporates the participation of brain regions in multiple functional networks, leading to more accurate graph-level representations. Experiments on ABIDE-I and ABIDE-II datasets demonstrate that our method outperforms state-of-the-art approaches. Visualization analysis further confirms the generalizability of the subject-adaptive graphs and their focus on disease-related brain activity. Furthermore, the fuzzy memberships revealed by our readout module indicate distinct patterns across diseases, suggesting the promise of considering functional community membership changes for exploring disease biomarkers.</t>
        </is>
      </c>
    </row>
    <row r="69" ht="409" customHeight="1">
      <c r="A69" s="4" t="n">
        <v>185</v>
      </c>
      <c r="B69" s="4" t="n">
        <v>2026</v>
      </c>
      <c r="C69" s="4" t="inlineStr">
        <is>
          <t>Early multimodal behavioral cues in autism: a micro-analytical exploration of actions, gestures and speech during naturalistic parent-child interactions</t>
        </is>
      </c>
      <c r="D69" s="4" t="inlineStr">
        <is>
          <t>10.1016/j.ijchp.2026.100664</t>
        </is>
      </c>
      <c r="E69" s="4" t="inlineStr">
        <is>
          <t>M Mastrogiuseppe and F I Famà and R Bruschetta and E Leonardi and A Campisi and S Aiello and C Carrozza and A Ruggeri and S Baieli and S Campisi and L Turriziani and G Di Rosa and M V Lombardo and G Tartarisco and O Capirci and G Pioggia and L Ruta</t>
        </is>
      </c>
      <c r="F69" s="4" t="inlineStr">
        <is>
          <t>International Journal of Clinical and Health Psychology</t>
        </is>
      </c>
      <c r="G69" s="4" t="inlineStr">
        <is>
          <t>Incluir provisionalmente</t>
        </is>
      </c>
      <c r="H69" s="4" t="inlineStr">
        <is>
          <t>Retrieved and reviewed</t>
        </is>
      </c>
      <c r="I69" s="4" t="n"/>
      <c r="J69" s="4" t="inlineStr">
        <is>
          <t>Include</t>
        </is>
      </c>
      <c r="K69" s="4" t="n"/>
      <c r="L69" s="4" t="inlineStr">
        <is>
          <t>Revisión asistida por IA (un revisor; requiere verificación independiente)</t>
        </is>
      </c>
      <c r="M69" s="40" t="n">
        <v>46269</v>
      </c>
      <c r="N69" s="4" t="inlineStr">
        <is>
          <t>https://doi.org/10.1016/j.ijchp.2026.100664</t>
        </is>
      </c>
      <c r="O69" s="4" t="inlineStr">
        <is>
          <t>Texto completo abierto con métodos y resultados suficientes; codificación en Extraccion_RQ_nuevos.</t>
        </is>
      </c>
      <c r="P69" s="4" t="inlineStr">
        <is>
          <t>Early signs of autism often emerge through distinct developmental pathways, particularly in communication, social interaction, and play. While naturalistic parent-child interactions during free play are ideal for observing spontaneous social behaviors, few autism studies have adopted this ecological and developmental approach. To address this gap, we used a fine-grained microanalytic method to examine motor, gestural, and vocal behaviors in young children, integrating machine learning to explore how combinations of these traits distinguish early autistic neurodivergence. We analyzed video recordings of 58 autistic and non-autistic children (aged 13–40 months) engaged in naturalistic parent-child play. A frame-by-frame micro-coding scheme was applied to capture actions, gestures, speech, and their multimodal integration. Clear differences emerged between neurotypical (NT) and autistic (ASC) children. NT children displayed more gestures, particularly deictic and conventional-interactive, greater gesture–gaze coordination, more functional object play, and more frequent multi-word utterances. In contrast, ASC children showed fewer deictic and conventional-interactive gestures and greater use of instrumental gestures, reduced gesture–gaze coordination, a higher reliance on vocalizations rather than words, and increased object manipulation compared to functional play. Feature selection using ANOVA F-tests identified a core set of key predictors most frequently and independently selected across folds of cross-validation: Alternate Gaze, Reaching, and Instrumental Gesture. Higher values of Alternate Gaze were associated with NT classification, while elevated frequencies of Reaching and Instrumental Gestures were linked to ASC classification. A logistic regression classifier trained on these features achieved over 85% accuracy in distinguishing the two groups. These findings underscore the value of an ecologically valid, and developmentally informed approach to identifying early behavioral markers of autism, supporting earlier recognition and the design of more personalized, strengths-based interventions.</t>
        </is>
      </c>
    </row>
    <row r="70" ht="409" customHeight="1">
      <c r="A70" s="4" t="n">
        <v>186</v>
      </c>
      <c r="B70" s="4" t="n">
        <v>2026</v>
      </c>
      <c r="C70" s="4" t="inlineStr">
        <is>
          <t>Mood instability and mental health service use in autism and attention-deficit/hyperactivity disorder: a natural language processing analysis of CRIS electronic healthcare records from 21 906 children and adolescents.</t>
        </is>
      </c>
      <c r="D70" s="4" t="inlineStr">
        <is>
          <t>10.1136/bmjment-2026-302488</t>
        </is>
      </c>
      <c r="E70" s="4" t="inlineStr">
        <is>
          <t>Asilay Seker and Seungyoung Kim and Susie Chandler and Craig Colling and Rashmi Patel and Edmund Sonuga-Barke and Johnny Downs</t>
        </is>
      </c>
      <c r="F70" s="4" t="inlineStr">
        <is>
          <t>BMJ mental health</t>
        </is>
      </c>
      <c r="G70" s="4" t="inlineStr">
        <is>
          <t>Incluir provisionalmente</t>
        </is>
      </c>
      <c r="H70" s="4" t="inlineStr">
        <is>
          <t>Retrieved and reviewed</t>
        </is>
      </c>
      <c r="I70" s="4" t="n"/>
      <c r="J70" s="4" t="inlineStr">
        <is>
          <t>Include</t>
        </is>
      </c>
      <c r="K70" s="4" t="n"/>
      <c r="L70" s="4" t="inlineStr">
        <is>
          <t>Revisión asistida por IA (un revisor; requiere verificación independiente)</t>
        </is>
      </c>
      <c r="M70" s="40" t="n">
        <v>46269</v>
      </c>
      <c r="N70" s="4" t="inlineStr">
        <is>
          <t>https://mentalhealth.bmj.com/content/29/1/e302488.full.pdf</t>
        </is>
      </c>
      <c r="O70" s="4" t="inlineStr">
        <is>
          <t>Texto completo abierto con métodos y resultados suficientes; codificación en Extraccion_RQ_nuevos.</t>
        </is>
      </c>
      <c r="P70" s="4" t="inlineStr">
        <is>
          <t>BACKGROUND Children and young people (CYP) with neurodevelopmental diagnoses such as autism spectrum disorder (ASD) and attention-deficit/hyperactivity disorder (ADHD) have high child and adolescent mental health service (CAMHS) needs. Mood instability is a common and impairing emotion dysregulation-related symptom linked to increased adult psychiatric service use; however, its role in CAMHS trajectories remains unclear. We aimed to examine whether baseline mood instability was significantly associated with time to discharge and annual CAMHS use in CYP with ASD and/or ADHD. METHODS We applied natural language processing (NLP) to extract mentions of mood instability within 3 months of ASD or ADHD index diagnosis from electronic health records of 21 906 CYP referred to CAMHS between 2008 and 2022. We used accelerated failure time models and negative binomial regression to assess associations between baseline mood instability and time to discharge and annual CAMHS use, adjusting for clinical and sociodemographic confounders. FINDINGS Mood instability was associated with increased annual CAMHS use across ASD (adjusted incidence rate ratio (aIRR) 1.24, 95% CI 1.08 to 1.42), ADHD (aIRR 1.47, 95% CI 1.30 to 1.67) and ASD+ADHD (aIRR 1.27, 95% CI 1.12 to 1.44) groups. While mood instability had no significant effect on discharge timelines in autistic children with or without ADHD, it was linked to reduced time to discharge in the ADHD group (aTR 0.76, 95% CI 0.69 to 0.84). Associations were most pronounced in those not receiving ADHD medication in the ADHD group (aIRR 1.67, 95% CI 1.47 to 1.89; aTR 0.70, 95% CI 0.61 to 0.79). CONCLUSIONS Mood instability was significantly associated with elevated CAMHS use in CYP with neurodevelopmental conditions, with differential effect across diagnostic groups. This may reflect both variations in clinical expression of mood instability and configuration of neurodevelopmental CAMHS provision. CLINICALIMPLICATIONS These findings suggest the importance of assessing emotion dysregulation in care planning and pathway allocation in neurodevelopmental CAMHS. NLP offers a time- and cost-efficient approach to surface and structure clinical data from electronic CAMHS records for scalable clinical research on complex constructs such as mood instability.</t>
        </is>
      </c>
    </row>
    <row r="71" ht="99" customHeight="1">
      <c r="A71" s="4" t="n">
        <v>187</v>
      </c>
      <c r="B71" s="4" t="n">
        <v>2026</v>
      </c>
      <c r="C71" s="4" t="inlineStr">
        <is>
          <t>Early Identification of Autism Spectrum Disorder using a Hybrid ViT–Mamba Multimodal Architecture</t>
        </is>
      </c>
      <c r="D71" s="4" t="inlineStr">
        <is>
          <t>10.1016/j.procs.2026.06.363</t>
        </is>
      </c>
      <c r="E71" s="4" t="inlineStr">
        <is>
          <t>Yeddula Vamsi Krishna and Akshat Agarwal and Karthik S A</t>
        </is>
      </c>
      <c r="F71" s="4" t="inlineStr">
        <is>
          <t>Procedia Computer Science</t>
        </is>
      </c>
      <c r="G71" s="4" t="inlineStr">
        <is>
          <t>Incluir provisionalmente</t>
        </is>
      </c>
      <c r="H71" s="4" t="inlineStr">
        <is>
          <t>Retrieved and reviewed</t>
        </is>
      </c>
      <c r="I71" s="4" t="n"/>
      <c r="J71" s="4" t="inlineStr">
        <is>
          <t>Include</t>
        </is>
      </c>
      <c r="K71" s="4" t="n"/>
      <c r="L71" s="4" t="inlineStr">
        <is>
          <t>Revision asistida por IA (un revisor; requiere verificacion independiente)</t>
        </is>
      </c>
      <c r="M71" s="40" t="n">
        <v>46269</v>
      </c>
      <c r="N71" s="4" t="inlineStr">
        <is>
          <t>https://www.sciencedirect.com/science/article/pii/S1877050926019952</t>
        </is>
      </c>
      <c r="O71" s="4" t="inlineStr">
        <is>
          <t>Contenido evaluable suficiente revisado; codificacion RQ disponible en Extraccion_RQ_nuevos y cautelas en Lote_03_25.</t>
        </is>
      </c>
      <c r="P71" s="4" t="n"/>
    </row>
    <row r="72" ht="409" customHeight="1">
      <c r="A72" s="4" t="n">
        <v>188</v>
      </c>
      <c r="B72" s="4" t="n">
        <v>2026</v>
      </c>
      <c r="C72" s="4" t="inlineStr">
        <is>
          <t>Baseline symptom severity and response to multisession cathodal transcranial direct current stimulation in adolescents and young adults with autism: an exploratory analysis</t>
        </is>
      </c>
      <c r="D72" s="4" t="inlineStr">
        <is>
          <t>10.1016/j.jpsychires.2026.03.043</t>
        </is>
      </c>
      <c r="E72" s="4" t="inlineStr">
        <is>
          <t>Melody M Y Chan and Ka Lai Wong and Caroline K S Shea and Divya Saxena and Mei chun Cheung and Agnes S Chan and Yvonne M Y Han</t>
        </is>
      </c>
      <c r="F72" s="4" t="inlineStr">
        <is>
          <t>Journal of Psychiatric Research</t>
        </is>
      </c>
      <c r="G72" s="4" t="inlineStr">
        <is>
          <t>Incluir provisionalmente</t>
        </is>
      </c>
      <c r="H72" s="4" t="inlineStr">
        <is>
          <t>Retrieved and reviewed</t>
        </is>
      </c>
      <c r="I72" s="4" t="n"/>
      <c r="J72" s="4" t="inlineStr">
        <is>
          <t>Include</t>
        </is>
      </c>
      <c r="K72" s="4" t="n"/>
      <c r="L72" s="4" t="inlineStr">
        <is>
          <t>Revision asistida por IA (un revisor; requiere verificacion independiente)</t>
        </is>
      </c>
      <c r="M72" s="40" t="n">
        <v>46269</v>
      </c>
      <c r="N72" s="4" t="inlineStr">
        <is>
          <t>https://www.sciencedirect.com/science/article/pii/S0022395626001998</t>
        </is>
      </c>
      <c r="O72" s="4" t="inlineStr">
        <is>
          <t>Contenido evaluable suficiente revisado; codificacion RQ disponible en Extraccion_RQ_nuevos y cautelas en Lote_03_25.</t>
        </is>
      </c>
      <c r="P72" s="4" t="inlineStr">
        <is>
          <t>AbstractBackgroundIdentifying baseline clinical characteristics associated with treatment response is crucial for optimising intervention strategies in people with autism spectrum disorder (ASD). This study aimed to distinguish responders from non-responders to a multisession prefrontal transcranial direct current stimulation (tDCS) protocol and to explore how baseline individual characteristics relate to treatment outcomes.MethodsUsing complementary inferential statistics and predictive modelling approaches, we analysed baseline clinical characteristics of adolescents and young adults with ASD who underwent cathodal tDCS (1.5 mA) over the left dorsolateral prefrontal cortex, coupled with cognitive remediation training. Baseline symptom severity was assessed using the Autism Diagnostic Interview-Revised (ADI-R). Normalised feature importance and Shapley additive explanations (SHAP) were used to identify features associated with restricted and repetitive behaviour (RRB) reduction, and a model-derived classification threshold was estimated to stratify potential responders and non-responders within this protocol.ResultsInferential statistics revealed that responders had significantly lower social interaction symptom severity than non-responders (p &lt; .001; Cohen's d = 0.41). Predictive modelling further indicated that lower baseline verbal communication severity was associated with greater RRB reduction (averaged SHAP value across models = −0.017). A model-derived classification threshold of 19.6 on the ADI-R verbal communication sub-score was identified to differentiate responders and non-responders within this protocol.ConclusionLower baseline verbal communication severity is associated with greater behavioural improvement following this multisession prefrontal tDCS protocol. These findings should be interpreted as exploratory and hypothesis-generating. Replication in larger, independent cohorts is required to assess the robustness and generalisability of these findings.Trial registrationClinicalTrials.gov (ID: NCT05035511).</t>
        </is>
      </c>
    </row>
    <row r="73" ht="409" customHeight="1">
      <c r="A73" s="4" t="n">
        <v>190</v>
      </c>
      <c r="B73" s="4" t="n">
        <v>2026</v>
      </c>
      <c r="C73" s="4" t="inlineStr">
        <is>
          <t>DenWide-Net: Dense WideresNet for autism spectrum disorder detection using MRI image</t>
        </is>
      </c>
      <c r="D73" s="4" t="inlineStr">
        <is>
          <t>10.1016/j.bspc.2025.108976</t>
        </is>
      </c>
      <c r="E73" s="4" t="inlineStr">
        <is>
          <t>A Arunkumar and S Sudhakar Ilango</t>
        </is>
      </c>
      <c r="F73" s="4" t="inlineStr">
        <is>
          <t>Biomedical Signal Processing and Control</t>
        </is>
      </c>
      <c r="G73" s="4" t="inlineStr">
        <is>
          <t>Incluir provisionalmente</t>
        </is>
      </c>
      <c r="H73" s="4" t="inlineStr">
        <is>
          <t>Retrieved and reviewed</t>
        </is>
      </c>
      <c r="I73" s="4" t="n"/>
      <c r="J73" s="4" t="inlineStr">
        <is>
          <t>Include</t>
        </is>
      </c>
      <c r="K73" s="4" t="n"/>
      <c r="L73" s="4" t="inlineStr">
        <is>
          <t>Revision asistida por IA (un revisor; requiere verificacion independiente)</t>
        </is>
      </c>
      <c r="M73" s="40" t="n">
        <v>46269</v>
      </c>
      <c r="N73" s="4" t="inlineStr">
        <is>
          <t>https://www.sciencedirect.com/science/article/pii/S1746809425014879</t>
        </is>
      </c>
      <c r="O73" s="4" t="inlineStr">
        <is>
          <t>Contenido evaluable suficiente revisado; codificacion RQ disponible en Extraccion_RQ_nuevos y cautelas en Lote_03_25.</t>
        </is>
      </c>
      <c r="P73" s="4" t="inlineStr">
        <is>
          <t>Autism Spectrum Disorder (ASD) is a multifactorial neurological condition defined by cognitive impairments. The symptoms of ASD involve behavioral changes, indistinct speech, social impairment, and so on. As a result, detecting ASD at an early stage is essential to lessen the disorder's impact. Various ASD detection approaches have been devised over the past decades for detecting ASD from Magnetic Resonance Image (MRI). Meanwhile, these detection schemes measured low detection accuracies and attained low generalization ability in detecting ASD. A deep learning-based optimization model, Fractional Hiking Optimization Algorithm combined with Dense WideResNet (FHOA + DenWide-Net), is proposed in this article for detecting ASD from brain MRI images. Initially, the MRI images are denoised using the Wiener filter, followed by the extraction of the relevant regions from the denoised image through Region of Interest (ROI) extraction. The Fractional Hiking Optimization Algorithm (FHOA) is designed for the selection of optimal grid during nub region extraction from the extracted ROI image. Following this, the ASD is detected from the nub region using the designed DenWide-Net technique. In addition, DenWide-Net exceeds the performance of other baseline models, delivering a sensitivity of 91.385 %, specificity of 91.175 %, and accuracy of 91 %.</t>
        </is>
      </c>
    </row>
    <row r="74" ht="409" customHeight="1">
      <c r="A74" s="4" t="n">
        <v>191</v>
      </c>
      <c r="B74" s="4" t="n">
        <v>2026</v>
      </c>
      <c r="C74" s="4" t="inlineStr">
        <is>
          <t>A functional system-informed graph neural network framework to quantify interpretable brain dysfunction in ASD</t>
        </is>
      </c>
      <c r="D74" s="4" t="inlineStr">
        <is>
          <t>10.1016/j.neunet.2025.108295</t>
        </is>
      </c>
      <c r="E74" s="4" t="inlineStr">
        <is>
          <t>Yong Jiao and Xinxu Wei and Lifang He and Yu Zhang</t>
        </is>
      </c>
      <c r="F74" s="4" t="inlineStr">
        <is>
          <t>Neural Networks</t>
        </is>
      </c>
      <c r="G74" s="4" t="inlineStr">
        <is>
          <t>Incluir provisionalmente</t>
        </is>
      </c>
      <c r="H74" s="4" t="inlineStr">
        <is>
          <t>Retrieved and reviewed</t>
        </is>
      </c>
      <c r="I74" s="4" t="n"/>
      <c r="J74" s="4" t="inlineStr">
        <is>
          <t>Include</t>
        </is>
      </c>
      <c r="K74" s="4" t="n"/>
      <c r="L74" s="4" t="inlineStr">
        <is>
          <t>Revisión asistida por IA (un revisor; requiere verificación independiente)</t>
        </is>
      </c>
      <c r="M74" s="40" t="n">
        <v>46269</v>
      </c>
      <c r="N74" s="4" t="inlineStr">
        <is>
          <t>https://pmc.ncbi.nlm.nih.gov/articles/PMC13179114/</t>
        </is>
      </c>
      <c r="O74" s="4" t="inlineStr">
        <is>
          <t>Texto completo abierto con métodos y resultados suficientes; codificación en Extraccion_RQ_nuevos.</t>
        </is>
      </c>
      <c r="P74" s="4" t="inlineStr">
        <is>
          <t>Autism Spectrum Disorder (ASD) is one of the most common neurodevelopmental disorders affecting patients from childhood to adulthood. Yet, its pathological mechanism has not been conclusively established, and its diagnosis mainly depends on subjective assessments of clinical or behavioral measures. In the human brain, connectivity is ubiquitous between brain regions that share functional properties, and groups of brain regions spontaneously assemble into large-scale systems as per their functions. In this study, we propose functional system-informed graph neural network (FS-GNN), a framework using functional magnetic resonance images (fMRI) to diagnose ASD and unveil new perceptions of ASD-related dysfunctions by fully leveraging the topological and functional information underlying the brain connectome. Specifically, we introduce a learnable positional encoding approach for brain regions of interest (ROIs) concerning their natural locations and functional interactions. The large-scale brain systems are integrated as prior knowledge into the graph representation learning to aid the model in identifying clusters of functionality. A graph readout with system-driven regularization is also developed to automatically weigh the ROIs in respect of their contribution to the classification. Experimental results on a multi-site database known as Autism Brain Imaging Data Exchange (ABIDE) validate the efficacy of FS-GNN by outperforming prevalent machine learning and GNN approaches, reaching 75.02 % accuracy, 73.22 % precision, and 71.64 % recall in ASD diagnosis. The brain dysfunctions detected by our model from both ROI and system levels achieve high agreement with previous fMRI-derived evidence of ASD biomarkers. The results demonstrate the strength of our proposed FS-GNN in discovering interpretable and trustworthy neural patterns for a more precise diagnosis of ASD.</t>
        </is>
      </c>
    </row>
    <row r="75" ht="409" customHeight="1">
      <c r="A75" s="4" t="n">
        <v>197</v>
      </c>
      <c r="B75" s="4" t="n">
        <v>2026</v>
      </c>
      <c r="C75" s="4" t="inlineStr">
        <is>
          <t>Deep learning for autism detection using clinical notes: A comparison of transfer learning for a transparent and black-box approach</t>
        </is>
      </c>
      <c r="D75" s="4" t="inlineStr">
        <is>
          <t>10.1016/j.artmed.2025.103318</t>
        </is>
      </c>
      <c r="E75" s="4" t="inlineStr">
        <is>
          <t>Gondy Leroy and Prakash Bisht and Sai Madhuri Kandula and Nell Maltman and Sydney Rice</t>
        </is>
      </c>
      <c r="F75" s="4" t="inlineStr">
        <is>
          <t>Artificial Intelligence in Medicine</t>
        </is>
      </c>
      <c r="G75" s="4" t="inlineStr">
        <is>
          <t>Incluir provisionalmente</t>
        </is>
      </c>
      <c r="H75" s="4" t="inlineStr">
        <is>
          <t>Retrieved and reviewed</t>
        </is>
      </c>
      <c r="I75" s="4" t="n"/>
      <c r="J75" s="4" t="inlineStr">
        <is>
          <t>Include</t>
        </is>
      </c>
      <c r="K75" s="4" t="n"/>
      <c r="L75" s="4" t="inlineStr">
        <is>
          <t>Revisión asistida por IA (un revisor; requiere verificación independiente)</t>
        </is>
      </c>
      <c r="M75" s="40" t="n">
        <v>46269</v>
      </c>
      <c r="N75" s="4" t="inlineStr">
        <is>
          <t>https://doi.org/10.1016/j.artmed.2025.103318</t>
        </is>
      </c>
      <c r="O75" s="4" t="inlineStr">
        <is>
          <t>Texto completo abierto con métodos y resultados suficientes; codificación en Extraccion_RQ_nuevos.</t>
        </is>
      </c>
      <c r="P75" s="4" t="inlineStr">
        <is>
          <t>Autism spectrum disorder (ASD) is a complex neurodevelopmental condition whose rising prevalence places increasing demands on a lengthy diagnostic process. Machine learning (ML) has shown promise in automating ASD diagnosis, but most existing models operate as black boxes and are typically trained on a single dataset, limiting their generalizability. In this study, we introduce a transparent and interpretable ML approach that leverages BioBERT, a state-of-the-art language model, to analyze unstructured clinical text. The model is trained to label descriptions of behaviors and map them to diagnostic criteria, which are then used to assign a final label (ASD or not). We evaluate transfer learning, the ability to transfer knowledge to new data, using two distinct real-world datasets. We trained on datasets sequentially and mixed together and compared the performance of the best models and their ability to transfer to new data. We also created a black-box approach and repeated this transfer process for comparison. Our transparent model demonstrated robust performance, with the mixed-data training strategy yielding the best results (97 % sensitivity, 98 % specificity). Sequential training across datasets led to a slight drop in performance, highlighting the importance of training data order. The black-box model performed worse (90 % sensitivity, 96 % specificity) when trained sequentially or with mixed data. Overall, our transparent approach outperformed the black-box approach. Mixing datasets during training resulted in slightly better performance and should be the preferred approach when practically possible. This work paves the way for more trustworthy, generalizable, and clinically actionable AI tools in neurodevelopmental diagnostics.</t>
        </is>
      </c>
    </row>
    <row r="76" ht="409" customHeight="1">
      <c r="A76" s="4" t="n">
        <v>198</v>
      </c>
      <c r="B76" s="4" t="n">
        <v>2026</v>
      </c>
      <c r="C76" s="4" t="inlineStr">
        <is>
          <t>A Multimodal AI Framework for Early Autism Identification Using CbRNN–Ensemble Modelling and Advanced NCIAPPF-Based Temporal Encoding</t>
        </is>
      </c>
      <c r="D76" s="4" t="inlineStr">
        <is>
          <t>10.1002/jdn.70117</t>
        </is>
      </c>
      <c r="E76" s="4" t="inlineStr">
        <is>
          <t>Indhu Bonthala and Sravanthi Chadubudhi and Sreeja Linga and Shaik Khasim Saheb</t>
        </is>
      </c>
      <c r="F76" s="4" t="inlineStr">
        <is>
          <t>International Journal of Developmental Neuroscience</t>
        </is>
      </c>
      <c r="G76" s="4" t="inlineStr">
        <is>
          <t>Incluir provisionalmente</t>
        </is>
      </c>
      <c r="H76" s="4" t="inlineStr">
        <is>
          <t>Eligibility reviewed from accessible primary-source content; scoped adjudication completed</t>
        </is>
      </c>
      <c r="I76" s="4" t="n"/>
      <c r="J76" s="4" t="inlineStr">
        <is>
          <t>Include</t>
        </is>
      </c>
      <c r="K76" s="4" t="n"/>
      <c r="L76" s="4" t="inlineStr">
        <is>
          <t>Revisión asistida por IA (un revisor; requiere verificación independiente)</t>
        </is>
      </c>
      <c r="M76" s="40" t="n">
        <v>46269</v>
      </c>
      <c r="N76" s="4" t="inlineStr">
        <is>
          <t>https://onlinelibrary.wiley.com/doi/10.1002/jdn.70117</t>
        </is>
      </c>
      <c r="O76" s="4" t="inlineStr">
        <is>
          <t>Contenido primario accesible revisado y adjudicación RQ cerrada en Lote_06_22. Nivel de evidencia, limitaciones y prioridad de verificación humana documentados en Lote_06_22.</t>
        </is>
      </c>
      <c r="P76" s="4" t="inlineStr">
        <is>
          <t>To improve child developmental results and enable prompt interventions, early identification of autism spectrum disorder (ASD) is crucial. Conventional diagnostic instruments, while clinically standardized, remain constrained by subjectivity, limited scalability and dependence on expert evaluation. This study introduces AutiScan, an AI-driven framework that integrates a Convolution-based Recurrent Neural Network Ensemble Model (CbRNN-EM) with the neural context-integrated adaptive reprocessing and pattern filtering (NCIAPPF) technique for capturing temporal dynamics of neural encoding. The proposed system analyses multimodal data including facial expressions, eye-gaze patterns, speech prosody and behavioural cues to extract spatial, emotional and sequential features relevant to early ASD markers. NCIAPPF enhances preprocessing by adaptively filtering noise, normalizing multimodal signals and preserving fine-grained temporal dependencies essential for robust pattern recognition. The fused representations are classified using an ensemble layer, achieving superior accuracy compared with traditional deep learning and machine learning prototypes. The results of the experiments show that AutiScan offers a dependable, scalable and comprehensible early ASD screening tool, underscoring the opportunity for practical clinical and educational implementation.</t>
        </is>
      </c>
    </row>
    <row r="77" ht="409" customHeight="1">
      <c r="A77" s="4" t="n">
        <v>199</v>
      </c>
      <c r="B77" s="4" t="n">
        <v>2026</v>
      </c>
      <c r="C77" s="4" t="inlineStr">
        <is>
          <t>Artificial Intelligence for Enhancing Emotion Expression in Augmentative and Alternative Communication Systems: A Preliminary Study Including Children Both With and Without Autism.</t>
        </is>
      </c>
      <c r="D77" s="4" t="inlineStr">
        <is>
          <t>10.1044/2026_AJSLP-25-00469</t>
        </is>
      </c>
      <c r="E77" s="4" t="inlineStr">
        <is>
          <t>Kevin M Pitt and Ciara Ousley and Christopher Gibbons and Eli Martinez and Ciera E Kirkpatrick and Austin Bubak</t>
        </is>
      </c>
      <c r="F77" s="4" t="inlineStr">
        <is>
          <t>American journal of speech-language pathology</t>
        </is>
      </c>
      <c r="G77" s="4" t="inlineStr">
        <is>
          <t>Incluir provisionalmente</t>
        </is>
      </c>
      <c r="H77" s="4" t="inlineStr">
        <is>
          <t>Retrieved and reviewed</t>
        </is>
      </c>
      <c r="I77" s="4" t="n"/>
      <c r="J77" s="4" t="inlineStr">
        <is>
          <t>Include</t>
        </is>
      </c>
      <c r="K77" s="4" t="n"/>
      <c r="L77" s="4" t="inlineStr">
        <is>
          <t>Revision asistida por IA (un revisor; requiere verificacion independiente)</t>
        </is>
      </c>
      <c r="M77" s="40" t="n">
        <v>46269</v>
      </c>
      <c r="N77" s="4" t="inlineStr">
        <is>
          <t>https://pubs.asha.org/doi/10.1044/2026_AJSLP-25-00469</t>
        </is>
      </c>
      <c r="O77" s="4" t="inlineStr">
        <is>
          <t>Contenido evaluable suficiente revisado; codificacion RQ disponible en Extraccion_RQ_nuevos y cautelas en Lote_03_25.</t>
        </is>
      </c>
      <c r="P77" s="4" t="inlineStr">
        <is>
          <t>PURPOSE Artificial intelligence is increasingly being explored in augmentative and alternative communication (AAC) to support personalized and responsive communication. Integrating emotion recognition into AAC systems may help users convey emotion content in real time, enhancing social interaction and communication quality. METHOD This preliminary study utilized DeepFace, a facial emotion recognition tool, as a starting point for integrating emotion recognition into AAC systems. Twelve neurotypical children and four children with autism, aged 8-13 years, completed two tasks: an imitated (copy) emotion condition using static images and a semispontaneous emotion-elicitation condition. Similar to existing AAC devices, each participant completed an individualized calibration procedure to help tailor the model to their facial expressions. Number scale ratings of the user experience were also collected. RESULTS Overall, the system demonstrated promising provisional accuracy, particularly for happiness, sadness, and calm (neutrality), although performance varied across emotions, participants, and task types. User experience ratings were generally positive, suggesting satisfaction and engagement with the system, with variability observed. CONCLUSIONS Findings highlight the value of calibration and personalization in AAC. Future work should expand training data sets to better represent children's facial expressions, incorporate multimodal inputs, and explore the alignment of synthetic speech output with detected emotions. Broader studies including active AAC users, diverse developmental and cultural backgrounds, and more spontaneous real-world interactions are needed. These results support the preliminary utility of DeepFace as a possible starting point for integrating emotion recognition into AAC systems, but further research is warranted. Directions for user-centered development are also discussed. SUPPLEMENTAL MATERIAL https://doi.org/10.23641/asha.32511465.</t>
        </is>
      </c>
    </row>
    <row r="78" ht="409" customHeight="1">
      <c r="A78" s="4" t="n">
        <v>200</v>
      </c>
      <c r="B78" s="4" t="n">
        <v>2026</v>
      </c>
      <c r="C78" s="4" t="inlineStr">
        <is>
          <t>Finding the forest in the trees: Using machine learning and online cognitive and perceptual measures to predict adult autism diagnosis</t>
        </is>
      </c>
      <c r="D78" s="4" t="inlineStr">
        <is>
          <t>10.1038/s41398-026-03823-y</t>
        </is>
      </c>
      <c r="E78" s="4" t="inlineStr">
        <is>
          <t>Erik Van der Burg and Robert M Jertberg and Hilde M Geurts and Bhismadev Chakrabarti and Sander Begeer</t>
        </is>
      </c>
      <c r="F78" s="4" t="inlineStr">
        <is>
          <t>Translational Psychiatry</t>
        </is>
      </c>
      <c r="G78" s="4" t="inlineStr">
        <is>
          <t>Incluir provisionalmente</t>
        </is>
      </c>
      <c r="H78" s="4" t="inlineStr">
        <is>
          <t>Retrieved and reviewed</t>
        </is>
      </c>
      <c r="I78" s="4" t="n"/>
      <c r="J78" s="4" t="inlineStr">
        <is>
          <t>Include</t>
        </is>
      </c>
      <c r="K78" s="4" t="n"/>
      <c r="L78" s="4" t="inlineStr">
        <is>
          <t>Revisión asistida por IA (un revisor; requiere verificación independiente)</t>
        </is>
      </c>
      <c r="M78" s="40" t="n">
        <v>46269</v>
      </c>
      <c r="N78" s="4" t="inlineStr">
        <is>
          <t>https://www.nature.com/articles/s41398-026-03823-y.pdf</t>
        </is>
      </c>
      <c r="O78" s="4" t="inlineStr">
        <is>
          <t>Texto completo abierto con métodos y resultados suficientes; codificación en Extraccion_RQ_nuevos.</t>
        </is>
      </c>
      <c r="P78" s="4" t="inlineStr">
        <is>
          <t>Traditional subjective measures are limited in the insight they provide into underlying behavioral differences associated with autism and, accordingly, their ability to predict diagnosis. Performance-based measures offer an attractive alternative, being designed to capture neuropsychological constructs more directly and objectively. However, due to the heterogeneity of autism, differences in any one specific neuropsychological domain are inconsistently detected. Meanwhile, protracted wait times for diagnostic interviews delay access to care, highlighting the importance of developing better methods for identifying individuals likely to be autistic and understanding the associated behavioral differences. We administered a battery of online tasks measuring multisensory perception, emotion recognition, and executive function to a large group of autistic and non-autistic adults. We then used machine learning to classify participants and reveal which factors from the resulting dataset were most predictive of diagnosis. Not only were these measures able to predict autism in a late-diagnosed population known to be particularly difficult to identify, their combination with the most popular screening questionnaire enhanced its predictive accuracy (reaching 92% together). This indicates that performance-based measures may be a promising means of predicting autism, providing complementary information to existing screening questionnaires. Many variables in which significant group differences were not detected had predictive value in combination, suggesting complex latent relationships associated with autism. Machine learning’s ability to harness these connections and pinpoint the most crucial features for prediction could allow optimization of a screening tool that offers a unique marriage of predictive accuracy and accessibility.</t>
        </is>
      </c>
    </row>
    <row r="79" ht="409" customHeight="1">
      <c r="A79" s="4" t="n">
        <v>203</v>
      </c>
      <c r="B79" s="4" t="n">
        <v>2026</v>
      </c>
      <c r="C79" s="4" t="inlineStr">
        <is>
          <t>Individuation of predictive parameters of posterior cranial fossa decompression in pediatric patients with Chiari I malformation and autism spectrum disorder</t>
        </is>
      </c>
      <c r="D79" s="4" t="inlineStr">
        <is>
          <t>10.1007/s00381-025-07119-2</t>
        </is>
      </c>
      <c r="E79" s="4" t="inlineStr">
        <is>
          <t>Elena Ferri and Alice Noris and Tayler Appleton and Simone Peraio and Andrea Di Rita and Chiara Spezzani and Roberta Battini and Ludovico D’Incerti and Matteo Lenge and Michela Sica and Letizia Macconi and Luca Mesin and Matilda Fontanarosa and Matteo Raggi and Flavio Giordano</t>
        </is>
      </c>
      <c r="F79" s="4" t="inlineStr">
        <is>
          <t>Child's Nervous System</t>
        </is>
      </c>
      <c r="G79" s="4" t="inlineStr">
        <is>
          <t>Incluir provisionalmente</t>
        </is>
      </c>
      <c r="H79" s="4" t="inlineStr">
        <is>
          <t>Retrieved and reviewed</t>
        </is>
      </c>
      <c r="I79" s="4" t="n"/>
      <c r="J79" s="4" t="inlineStr">
        <is>
          <t>Include</t>
        </is>
      </c>
      <c r="K79" s="4" t="n"/>
      <c r="L79" s="4" t="inlineStr">
        <is>
          <t>Revision asistida por IA (un revisor; requiere verificacion independiente)</t>
        </is>
      </c>
      <c r="M79" s="40" t="n">
        <v>46269</v>
      </c>
      <c r="N79" s="4" t="inlineStr">
        <is>
          <t>https://pubmed.ncbi.nlm.nih.gov/41535441/</t>
        </is>
      </c>
      <c r="O79" s="4" t="inlineStr">
        <is>
          <t>Contenido evaluable suficiente revisado; codificacion RQ disponible en Extraccion_RQ_nuevos y cautelas en Lote_03_25.</t>
        </is>
      </c>
      <c r="P79" s="4" t="inlineStr">
        <is>
          <t>Purpose: There are no specific guidelines for posterior cranial fossa decompression (PCFD) in asymptomatic Chiari Malformation Type I (CM-I) patients with autism spectrum disorder (ASD). However, some studies suggest that surgery for symptomatic CM-I may improve ASD symptoms. This study aims to identify skull and brain morphometric parameters that could predict surgical outcomes in symptomatic CM-I with ASD, using artificial intelligence (AI). Methods: This study included pediatric patients diagnosed with both symptomatic CM-I and ASD who underwent posterior cranial fossa (PCF) surgery. Eleven morphometric parameters were measured using computed tomography (CT) and magnetic resonance imaging (MRI) scans, including cerebellar tonsil descent, tentorium length and angle, cerebellum-to-PCF area ratio, PCF-to-cerebrum area ratio, PCF height and diameter, and various distances involving the corpus callosum, pons, fastigium, foramen magnum, and clivus length. ASD symptom changes were assessed through phone interviews and outpatient evaluations. A binary tree classifier AI model was used to identify patients who improved post-surgically. Results: Our analysis showed that patients with a larger tentorium angle experienced some improvements in ASD symptoms after surgery, whereas those with a significantly smaller tentorium angle showed no improvement. AI identified a tentorium angle of 89.55° as a potential cut-off for distinguishing between outcome groups. No other morphometric parameters significantly influenced ASD symptom outcomes. Conclusions: This study evaluates the relevance of the tentorium angle width as a potentially valuable MRI-based morphometric parameter that could guide neurosurgeons in the decision-making process for this unique patient population. These findings may contribute to a more tailored approach for managing patients with CM-I and coexistent ASD.</t>
        </is>
      </c>
    </row>
    <row r="80" ht="409" customHeight="1">
      <c r="A80" s="4" t="n">
        <v>204</v>
      </c>
      <c r="B80" s="4" t="n">
        <v>2026</v>
      </c>
      <c r="C80" s="4" t="inlineStr">
        <is>
          <t>An automated detection system of autism spectrum disorder using meta-heuristic approach of adaptive LSTM with bayesian learning technique</t>
        </is>
      </c>
      <c r="D80" s="4" t="inlineStr">
        <is>
          <t>10.1007/s13246-025-01681-4</t>
        </is>
      </c>
      <c r="E80" s="4" t="inlineStr">
        <is>
          <t>Jegan Amaranth J and S Meera</t>
        </is>
      </c>
      <c r="F80" s="4" t="inlineStr">
        <is>
          <t>Physical and Engineering Sciences in Medicine</t>
        </is>
      </c>
      <c r="G80" s="4" t="inlineStr">
        <is>
          <t>Incluir provisionalmente</t>
        </is>
      </c>
      <c r="H80" s="4" t="inlineStr">
        <is>
          <t>Retrieved and reviewed</t>
        </is>
      </c>
      <c r="I80" s="4" t="n"/>
      <c r="J80" s="4" t="inlineStr">
        <is>
          <t>Include</t>
        </is>
      </c>
      <c r="K80" s="4" t="n"/>
      <c r="L80" s="4" t="inlineStr">
        <is>
          <t>Revision asistida por IA (un revisor; requiere verificacion independiente)</t>
        </is>
      </c>
      <c r="M80" s="40" t="n">
        <v>46269</v>
      </c>
      <c r="N80" s="4" t="inlineStr">
        <is>
          <t>https://pubmed.ncbi.nlm.nih.gov/41642457/</t>
        </is>
      </c>
      <c r="O80" s="4" t="inlineStr">
        <is>
          <t>Contenido evaluable suficiente revisado; codificacion RQ disponible en Extraccion_RQ_nuevos y cautelas en Lote_03_25.</t>
        </is>
      </c>
      <c r="P80" s="4" t="inlineStr">
        <is>
          <t>Autism spectrum disorder (ASD) is one of the major neurological symptoms affecting young children. Most neurological diseases are captured through speech, voice and changes in sbrain activity. Research leading to ASD diagnosis is done in different ways; still, the early ASD diagnosis is a complex task. Various co-occurring situations may hinder Automated ASD detection, and deep learners effectively tackle such issues and create a better design. Here, a novel automated autism detection approach is proposed employing a deep learning technique with the help of brain image. Initially, the brain images are garnered from the standard dataset links. These gathered images are employed for the pre-processing stage, which is accomplished by using contrast enhancement. Subsequently, the most noteworthy deep features are extracted from the image pre-processed using a multi-atlas-based residual network (MResNet). Finally, the detection process is carried out by influencing the adaptive cascaded attention long short term memory with bayesian learning (ACAL-BL), in which some of the hyperparameters are tuned optimally by the random fixed marine predators algorithm (RFMPA). The performance is examined under Python using various factors and contrasted with other classical models and the results show that our ACAL-BL achieved an FPR of 4.5%, representing relative improvements of 52%, 54%, 56%, 58%, and 60% compared to LSTM, CNN, ANN, auto encoder, and LSTM-Bayesian learning, respectively. Thus, the suggested technique has the tendency to exploit the outstanding results that aid clinical practitioners to diagnose the disease earlier.</t>
        </is>
      </c>
    </row>
    <row r="81" ht="409" customHeight="1">
      <c r="A81" s="4" t="n">
        <v>208</v>
      </c>
      <c r="B81" s="4" t="n">
        <v>2026</v>
      </c>
      <c r="C81" s="4" t="inlineStr">
        <is>
          <t>ADBrainNet: a deep neural network for Autism Spectrum Disorder (ASD) and Attention Deficit and Hyperactivity Disorder (ADHD) classification using resting-state fMRI images based on explainable artificial intelligence.</t>
        </is>
      </c>
      <c r="D81" s="4" t="inlineStr">
        <is>
          <t>10.1007/s11517-026-03530-2</t>
        </is>
      </c>
      <c r="E81" s="4" t="inlineStr">
        <is>
          <t>Xinyao Yi and Jian Huang and Babatunde Akinwunmi and Wai-Kit Ming</t>
        </is>
      </c>
      <c r="F81" s="4" t="inlineStr">
        <is>
          <t>Medical \&amp; biological engineering \&amp; computing</t>
        </is>
      </c>
      <c r="G81" s="4" t="inlineStr">
        <is>
          <t>Incluir provisionalmente</t>
        </is>
      </c>
      <c r="H81" s="4" t="inlineStr">
        <is>
          <t>Retrieved and reviewed</t>
        </is>
      </c>
      <c r="I81" s="4" t="n"/>
      <c r="J81" s="4" t="inlineStr">
        <is>
          <t>Include</t>
        </is>
      </c>
      <c r="K81" s="4" t="n"/>
      <c r="L81" s="4" t="inlineStr">
        <is>
          <t>Revision asistida por IA (un revisor; requiere verificacion independiente)</t>
        </is>
      </c>
      <c r="M81" s="40" t="n">
        <v>46269</v>
      </c>
      <c r="N81" s="4" t="inlineStr">
        <is>
          <t>https://pubmed.ncbi.nlm.nih.gov/41781648/</t>
        </is>
      </c>
      <c r="O81" s="4" t="inlineStr">
        <is>
          <t>Contenido evaluable suficiente revisado; codificacion RQ disponible en Extraccion_RQ_nuevos y cautelas en Lote_03_25.</t>
        </is>
      </c>
      <c r="P81" s="4" t="inlineStr">
        <is>
          <t>Autism Spectrum Disorder (ASD) and Attention Deficit and Hyperactivity Disorder (ADHD) are two psychiatric disorders frequently encountered in children. ADHD is further categorized into three subtypes. The diagnostic processes for these conditions are complex and often prone to misclassification. We proposed a lightweight deep neural network, ADBrainNet, to differentiate ASD, ADHD combined, ADHD hyperactive/impulsive, ADHD inattentive and neurotypical individuals. Our methodology was benchmarked against prevalent ImageNet transfer learning methods, including AlexNet, MobileNet, ResNet18, and Xception, for training on resting-state fMRI images sourced from ABIDE and ADHD-200 datasets. ADBrainNet achieved superior performance on the independent external testing set through five-fold cross-validation, with a mean (± standard deviation) accuracy, precision, recall, and F1 score of 61.87% (± 5.59%), 65.72% (± 6.98%), 61.87% (± 5.59%), and 62.50% (± 5.78%), respectively. Furthermore, the explainable artificial intelligence algorithm LIME was employed to explore the most significant features during ADBrainNet's decision process. Our model provides an interpretable computational framework for neuroimaging-based classification between ASD and ADHD subtypes. This approach may inform future research and, upon further validation and comparison with clinician performance, could potentially aid in patient assessment, stratification, and management of psychiatric disorders.</t>
        </is>
      </c>
    </row>
    <row r="82" ht="409" customHeight="1">
      <c r="A82" s="4" t="n">
        <v>209</v>
      </c>
      <c r="B82" s="4" t="n">
        <v>2026</v>
      </c>
      <c r="C82" s="4" t="inlineStr">
        <is>
          <t>Integrating EEG microstate dynamics in a stacked ensemble for neurodiagnostic ASD assessment</t>
        </is>
      </c>
      <c r="D82" s="4" t="inlineStr">
        <is>
          <t>10.1016/j.bbr.2026.116220</t>
        </is>
      </c>
      <c r="E82" s="4" t="inlineStr">
        <is>
          <t>Delna Kuriyakose and Gowsalya M.</t>
        </is>
      </c>
      <c r="F82" s="4" t="inlineStr">
        <is>
          <t>Behavioural Brain Research</t>
        </is>
      </c>
      <c r="G82" s="4" t="inlineStr">
        <is>
          <t>Incluir provisionalmente</t>
        </is>
      </c>
      <c r="H82" s="4" t="inlineStr">
        <is>
          <t>Retrieved and reviewed</t>
        </is>
      </c>
      <c r="I82" s="4" t="n"/>
      <c r="J82" s="4" t="inlineStr">
        <is>
          <t>Include</t>
        </is>
      </c>
      <c r="K82" s="4" t="n"/>
      <c r="L82" s="4" t="inlineStr">
        <is>
          <t>Revision asistida por IA (un revisor; requiere verificacion independiente)</t>
        </is>
      </c>
      <c r="M82" s="40" t="n">
        <v>46269</v>
      </c>
      <c r="N82" s="4" t="inlineStr">
        <is>
          <t>https://www.sciencedirect.com/science/article/pii/S0166432826001968</t>
        </is>
      </c>
      <c r="O82" s="4" t="inlineStr">
        <is>
          <t>Contenido evaluable suficiente revisado; codificacion RQ disponible en Extraccion_RQ_nuevos y cautelas en Lote_03_25.</t>
        </is>
      </c>
      <c r="P82" s="4" t="inlineStr">
        <is>
          <t>Autism Spectrum Disorder (ASD) remains diagnostically challenging due to its neurobiological heterogeneity and the current reliance on subjective behavioral assessments. To address this, we propose a novel stacked ensemble machine learning framework that enhances EEG-based ASD classification by integrating both spatial and temporal neural features. Spatial features including spectral power, functional connectivity, and signal complexity were extracted alongside temporal features derived from microstate transitions and Hidden Markov Model (HMM)-based dynamics, capturing complementary aspects of resting-state brain activity. Using Random Forest models for both base learners and the meta-classifier, our ensemble achieved a classification accuracy of 96.3% under rigorous GroupKFold cross-validation, significantly outperforming unimodal models based on spatial (88.15%) and temporal (73.6%) features alone. Bootstrapped confidence intervals confirmed the statistical robustness and generalizability of the ensemble approach. Our framework not only improves diagnostic accuracy but also lays the groundwork for translational neurotechnology aimed at early detection, subtype differentiation, and personalized intervention strategies in ASD.</t>
        </is>
      </c>
    </row>
    <row r="83" ht="409" customHeight="1">
      <c r="A83" s="4" t="n">
        <v>210</v>
      </c>
      <c r="B83" s="4" t="n">
        <v>2026</v>
      </c>
      <c r="C83" s="4" t="inlineStr">
        <is>
          <t>Biomarker Discovery for Autism Prediction Using Massive Feature Extraction Based on EEG Signals</t>
        </is>
      </c>
      <c r="D83" s="4" t="inlineStr">
        <is>
          <t>10.3390/s26061862</t>
        </is>
      </c>
      <c r="E83" s="4" t="inlineStr">
        <is>
          <t>Nauman Hafeez and Abdul Rehman Aslam and Muhammad Awais Bin Altaf</t>
        </is>
      </c>
      <c r="F83" s="4" t="inlineStr">
        <is>
          <t>Sensors</t>
        </is>
      </c>
      <c r="G83" s="4" t="inlineStr">
        <is>
          <t>Incluir provisionalmente</t>
        </is>
      </c>
      <c r="H83" s="4" t="inlineStr">
        <is>
          <t>Retrieved and reviewed</t>
        </is>
      </c>
      <c r="I83" s="4" t="n"/>
      <c r="J83" s="4" t="inlineStr">
        <is>
          <t>Include</t>
        </is>
      </c>
      <c r="K83" s="4" t="n"/>
      <c r="L83" s="4" t="inlineStr">
        <is>
          <t>Revisión asistida por IA (un revisor; requiere verificación independiente)</t>
        </is>
      </c>
      <c r="M83" s="40" t="n">
        <v>46269</v>
      </c>
      <c r="N83" s="4" t="inlineStr">
        <is>
          <t>https://www.mdpi.com/1424-8220/26/6/1862/pdf?version=1773629441</t>
        </is>
      </c>
      <c r="O83" s="4" t="inlineStr">
        <is>
          <t>Texto completo abierto con métodos y resultados suficientes; codificación en Extraccion_RQ_nuevos.</t>
        </is>
      </c>
      <c r="P83" s="4" t="inlineStr">
        <is>
          <t>Autism spectrum disorder (ASD) is a heterogeneous neurodevelopmental disorder that requires early diagnosis for better intervention. However, current clinical behavioural examinations are time-consuming and prone to human error. Objective and effective biomarkers are essential for the diagnosis and prognosis of the disorder. Electroencephalography (EEG) is a non-invasive and inexpensive brain-imaging technique that is widely applied in the diagnosis of ASD. Feature-based methods have shown better performance in EEG-based applications. Here, we present a prediction framework based on massive feature extraction using the highly comparative time-series analysis (HCTSA) method and a hybrid feature selection method for the classification of ASD from resting-state EEG. Machine-learning models are trained and tested on a different number of selected features. Our models demonstrated 100% accuracy with ≥50 features on a balanced dataset of 56 participants. The most discriminating EEG channels and features were used in the prediction process, as well as those using Shapley values to provide explainability of our framework. Whilst these results are promising, we acknowledge the limitations of a single small-scale dataset and emphasise the need for validation on larger independent cohorts before clinical translation.</t>
        </is>
      </c>
    </row>
    <row r="84" ht="409" customHeight="1">
      <c r="A84" s="4" t="n">
        <v>211</v>
      </c>
      <c r="B84" s="4" t="n">
        <v>2026</v>
      </c>
      <c r="C84" s="4" t="inlineStr">
        <is>
          <t>Predicting Autism</t>
        </is>
      </c>
      <c r="D84" s="4" t="inlineStr">
        <is>
          <t>10.1002/9781394271177.CH13</t>
        </is>
      </c>
      <c r="E84" s="4" t="inlineStr">
        <is>
          <t>Soumyendu Das and Soham Patra</t>
        </is>
      </c>
      <c r="F84" s="4" t="inlineStr">
        <is>
          <t>Wearable Technologies for Digital Medicine: Advancement, Models, and Applications</t>
        </is>
      </c>
      <c r="G84" s="4" t="inlineStr">
        <is>
          <t>Incluir provisionalmente</t>
        </is>
      </c>
      <c r="H84" s="4" t="inlineStr">
        <is>
          <t>Retrieved and reviewed</t>
        </is>
      </c>
      <c r="I84" s="4" t="n"/>
      <c r="J84" s="4" t="inlineStr">
        <is>
          <t>Exclude</t>
        </is>
      </c>
      <c r="K84" s="4" t="inlineStr">
        <is>
          <t>Capítulo autónomo de libro editado fuera de los tipos de publicación elegibles definidos por el protocolo. El protocolo incluye artículos de revista revisados por pares y papers completos revisados por pares publicados en actas/proceedings de congreso. La exclusión se basa en el tipo de publicación, no en ausencia de contenido empírico.</t>
        </is>
      </c>
      <c r="L84" s="4" t="inlineStr">
        <is>
          <t>Revision asistida por IA (un revisor; requiere verificacion independiente)</t>
        </is>
      </c>
      <c r="M84" s="40" t="n">
        <v>46269</v>
      </c>
      <c r="N84" s="4" t="inlineStr">
        <is>
          <t>https://onlinelibrary.wiley.com/doi/10.1002/9781394271177.ch13</t>
        </is>
      </c>
      <c r="O84" s="4" t="inlineStr">
        <is>
          <t>Contenido suficiente revisado para adjudicar exclusion; ver evidencia y cautelas en Lote_03_25. Criterio de tipo de publicación reconciliado el 2026-09-07.</t>
        </is>
      </c>
      <c r="P84" s="4" t="inlineStr">
        <is>
          <t>Autism spectrum disorder (ASD) is a neurological disorder that influences the social and cognitive capacities of children. It can be characterized by repetitive behaviors and communication challenges. One of the cures for severity is early diagnosis. This article introduces an innovative method for ASD detection utilizing federated learning (FL) and a combination of multiple deep learning algorithms. FL works on a central server architecture where it sends all of the calculated data to a central server, where a meta classifier determines the most accurate diagnostic approach and stores it. This research highlights the potential of federated learning in ASD diagnostics, offering a reliable tool for concerned parents and healthcare professionals for early detection and diagnosis.</t>
        </is>
      </c>
    </row>
    <row r="85" ht="409" customHeight="1">
      <c r="A85" s="4" t="n">
        <v>212</v>
      </c>
      <c r="B85" s="4" t="n">
        <v>2026</v>
      </c>
      <c r="C85" s="4" t="inlineStr">
        <is>
          <t>Comparison of cognitive ability and its distribution between men with autism spectrum disorder and attention-deficit/hyperactivity disorder</t>
        </is>
      </c>
      <c r="D85" s="4" t="inlineStr">
        <is>
          <t>10.1371/journal.pone.0345522</t>
        </is>
      </c>
      <c r="E85" s="4" t="inlineStr">
        <is>
          <t>Hirokazu Doi and Yoshifumi Nakamura and Ayaka Nakai and Chieko Kanai and Haruhisa Ohta</t>
        </is>
      </c>
      <c r="F85" s="4" t="inlineStr">
        <is>
          <t>PLOS ONE</t>
        </is>
      </c>
      <c r="G85" s="4" t="inlineStr">
        <is>
          <t>Incluir provisionalmente</t>
        </is>
      </c>
      <c r="H85" s="4" t="inlineStr">
        <is>
          <t>Retrieved and reviewed</t>
        </is>
      </c>
      <c r="I85" s="4" t="n"/>
      <c r="J85" s="4" t="inlineStr">
        <is>
          <t>Include</t>
        </is>
      </c>
      <c r="K85" s="4" t="n"/>
      <c r="L85" s="4" t="inlineStr">
        <is>
          <t>Revisión asistida por IA (un revisor; requiere verificación independiente)</t>
        </is>
      </c>
      <c r="M85" s="40" t="n">
        <v>46269</v>
      </c>
      <c r="N85" s="4" t="inlineStr">
        <is>
          <t>https://journals.plos.org/plosone/article/file?id=10.1371/journal.pone.0345522&amp;type=printable</t>
        </is>
      </c>
      <c r="O85" s="4" t="inlineStr">
        <is>
          <t>Texto completo abierto con métodos y resultados suficientes; codificación en Extraccion_RQ_nuevos.</t>
        </is>
      </c>
      <c r="P85" s="4" t="inlineStr">
        <is>
          <t>Objectives Clarification of the strengths and weaknesses of cognitive ability is essential to our understanding of the characteristics of autism spectrum disorder and attention deficit/ hyperactivity disorder. However, whether individuals with these conditions exhibit distinct patterns of cognitive ability remains unclear. To address this point, we aimed to compare the cognitive profiles of patients with autism spectrum disorder with those of patients with attention deficit/hyperactivity disorder by placing special emphasis on the distribution of cognitive function within each group. Methods This study compared the Wechsler Adult Intelligence Scale index scores of men with autism spectrum disorder and attention deficit/hyperactivity disorder. A machine learning model was trained to classify autism spectrum disorder and attention deficit/ hyperactivity disorder based on the subtest scores. The conformity of the within-group distribution of each index score to a normal distribution was also tested. Results Individuals with autism spectrum disorder scored higher than those with attention deficit/hyperactivity disorder in the Verbal Comprehension Index and Working Memory Index, while the opposite pattern was observed for the Perceptual Organization Index. The classification performance of the machine learning model was above chance level. The distributions of the Verbal Comprehension Index and Perceptual Organization Index deviated significantly from a normal distribution only in the autism spectrum disorder group. The results of Gaussian mixture clustering indicated that men with autism spectrum disorder could be divided into two distinct clusters based on their Verbal Comprehension Index scores. Conclusions Our findings indicate that men with autism spectrum disorder and attention deficit/ hyperactivity disorder show distinct cognitive profile patterns from each other. The distribution of some of the index scores deviated from the normal distribution only in autism spectrum disorder, which supports the view that autism spectrum disorder comprises heterogeneous subgroups with different cognitive profiles.</t>
        </is>
      </c>
    </row>
    <row r="86" ht="409" customHeight="1">
      <c r="A86" s="4" t="n">
        <v>213</v>
      </c>
      <c r="B86" s="4" t="n">
        <v>2026</v>
      </c>
      <c r="C86" s="4" t="inlineStr">
        <is>
          <t>Identifying autism spectrum disorder diagnosis in children via temporal-frequency hyperdimensional computing with resting-state EEG</t>
        </is>
      </c>
      <c r="D86" s="4" t="inlineStr">
        <is>
          <t>10.1016/j.eswa.2025.130671</t>
        </is>
      </c>
      <c r="E86" s="4" t="inlineStr">
        <is>
          <t>Sha Wang and Guoqian Jiang and Jincheng Hu and Junxia Han and Ping Xie and Xiaoli Li</t>
        </is>
      </c>
      <c r="F86" s="4" t="inlineStr">
        <is>
          <t>Expert Systems with Applications</t>
        </is>
      </c>
      <c r="G86" s="4" t="inlineStr">
        <is>
          <t>Incluir provisionalmente</t>
        </is>
      </c>
      <c r="H86" s="4" t="inlineStr">
        <is>
          <t>Retrieved and reviewed</t>
        </is>
      </c>
      <c r="I86" s="4" t="n"/>
      <c r="J86" s="4" t="inlineStr">
        <is>
          <t>Include</t>
        </is>
      </c>
      <c r="K86" s="4" t="n"/>
      <c r="L86" s="4" t="inlineStr">
        <is>
          <t>Revision asistida por IA (un revisor; requiere verificacion independiente)</t>
        </is>
      </c>
      <c r="M86" s="40" t="n">
        <v>46269</v>
      </c>
      <c r="N86" s="4" t="inlineStr">
        <is>
          <t>https://www.sciencedirect.com/science/article/pii/S0957417425042861</t>
        </is>
      </c>
      <c r="O86" s="4" t="inlineStr">
        <is>
          <t>Contenido evaluable suficiente revisado; codificacion RQ disponible en Extraccion_RQ_nuevos y cautelas en Lote_03_25.</t>
        </is>
      </c>
      <c r="P86" s="4" t="inlineStr">
        <is>
          <t>Autism spectrum disorder (ASD) is a neurodevelopmental disorder with high heterogeneity and complexity, it remains a challenge to identify ASD with existing artificial intelligence models, which tend to rely on typical data features, large-scale training datasets, and high computational resource. This study introduced a novel application of hyperdimensional computing (HDC) for ASD detection using resting-state EEG signals, addressing these limitations. We developed a Temporal-Frequency HDC (TF-HDC) model that integrated time-frequency EEG features from 120 age-matched male subjects (60 ASD vs. 60 typically developing controls). The proposed framework achieved 90.91 % classification accuracy with a relatively low computational cost compared to traditional machine learning methods (including SVM, RF, XGBoost, DNN, CNN, and LSTM). Crucially, the model demonstrated exceptional robustness in small-sample scenarios, maintaining strong performance with limited training data. These findings establish TF-HDC as both a computationally efficient and clinically practical solution for early ASD diagnosis, particularly in resource-constrained settings where large datasets are unavailable.</t>
        </is>
      </c>
    </row>
    <row r="87" ht="409" customHeight="1">
      <c r="A87" s="4" t="n">
        <v>214</v>
      </c>
      <c r="B87" s="4" t="n">
        <v>2025</v>
      </c>
      <c r="C87" s="4" t="inlineStr">
        <is>
          <t>Hippocampal Subregion Function and Its Clinical Correlations in Childhood Autism Spectrum Disorders</t>
        </is>
      </c>
      <c r="D87" s="4" t="inlineStr">
        <is>
          <t>10.1002/AUR.70124</t>
        </is>
      </c>
      <c r="E87" s="4" t="inlineStr">
        <is>
          <t>Hui Xian Li and De Sheng Xuan and Ronghao Mu and Chi Qin and Xin Zhao</t>
        </is>
      </c>
      <c r="F87" s="4" t="inlineStr">
        <is>
          <t>Autism Research</t>
        </is>
      </c>
      <c r="G87" s="4" t="inlineStr">
        <is>
          <t>Incluir provisionalmente</t>
        </is>
      </c>
      <c r="H87" s="4" t="inlineStr">
        <is>
          <t>Retrieved and reviewed</t>
        </is>
      </c>
      <c r="I87" s="4" t="n"/>
      <c r="J87" s="4" t="inlineStr">
        <is>
          <t>Include</t>
        </is>
      </c>
      <c r="K87" s="4" t="n"/>
      <c r="L87" s="4" t="inlineStr">
        <is>
          <t>Revisión asistida por IA (un revisor; requiere verificación independiente)</t>
        </is>
      </c>
      <c r="M87" s="40" t="n">
        <v>46269</v>
      </c>
      <c r="N87" s="4" t="inlineStr">
        <is>
          <t>https://onlinelibrary.wiley.com/doi/pdfdirect/10.1002/aur.70124</t>
        </is>
      </c>
      <c r="O87" s="4" t="inlineStr">
        <is>
          <t>Texto completo abierto con métodos y resultados suficientes; codificación en Extraccion_RQ_nuevos.</t>
        </is>
      </c>
      <c r="P87" s="4" t="inlineStr">
        <is>
          <t>The hippocampus plays a crucial role in memory and social processing, both of which are impaired in autism spectrum disorder (ASD). Investigating the functional activity of hippocampal subregions can provide valuable insights into their involvement in ASD-related social and behavioral symptoms. This study analyzed hippocampal resting-state functional connectivity (rsFC) in 507 male child participants from the ABIDE dataset (225 ASD, 282 typical controls) and its relation to clinical features. The hippocampus was subdivided into rostral and caudal subregions, and rsFC patterns were compared between groups. Significant group differences were observed in the left caudal, right rostral, and right caudal hippocampus, with enhanced connectivity to widespread cortical and subcortical regions, including visual, motor, parietal, and cerebellar networks. Machine learning using hippocampal rsFC achieved modest classification performance. Clinically, rsFC correlated with core ASD symptoms: social awareness was associated with right caudal connectivity to fusiform and temporal regions, while restricted and repetitive behaviors were linked to distinct rostral–caudal patterns involving frontal, motor, and cerebellar areas. Age of onset showed positive correlations with rsFC across all subregions, with rostral hippocampus engaging socioemotional and motor control networks and caudal hippocampus connecting more strongly to visual and sensorimotor integration regions. These findings demonstrate subregional specificity of hippocampal connectivity in ASD, suggesting distinct anterior–posterior contributions to symptom expression and developmental timing.</t>
        </is>
      </c>
    </row>
    <row r="88" ht="409" customHeight="1">
      <c r="A88" s="4" t="n">
        <v>215</v>
      </c>
      <c r="B88" s="4" t="n">
        <v>2026</v>
      </c>
      <c r="C88" s="4" t="inlineStr">
        <is>
          <t>Integrated transcriptomic and clinical analysis of autism spectrum disorder reveals structured heterogeneity and links Methyl-CpG Binding Domain Protein 2 expression with symptom severity</t>
        </is>
      </c>
      <c r="D88" s="4" t="inlineStr">
        <is>
          <t>10.1111/pcn.70065</t>
        </is>
      </c>
      <c r="E88" s="4" t="inlineStr">
        <is>
          <t>Wasana Yuwattana and Chayanit Poolcharoen and Thanit Saeliw and Marlieke Lisanne van Erp and Songphon Kanlayaprasit and Natchaya Vanwong and Valerie W Hu and Pon Trairatvorakul and Weerasak Chonchaiya and Kim Anh Lê Cao and Tewarit Sarachana</t>
        </is>
      </c>
      <c r="F88" s="4" t="inlineStr">
        <is>
          <t>Psychiatry and Clinical Neurosciences</t>
        </is>
      </c>
      <c r="G88" s="4" t="inlineStr">
        <is>
          <t>Incluir provisionalmente</t>
        </is>
      </c>
      <c r="H88" s="4" t="inlineStr">
        <is>
          <t>Retrieved and reviewed</t>
        </is>
      </c>
      <c r="I88" s="4" t="n"/>
      <c r="J88" s="4" t="inlineStr">
        <is>
          <t>Include</t>
        </is>
      </c>
      <c r="K88" s="4" t="n"/>
      <c r="L88" s="4" t="inlineStr">
        <is>
          <t>Revision asistida por IA (un revisor; requiere verificacion independiente)</t>
        </is>
      </c>
      <c r="M88" s="40" t="n">
        <v>46269</v>
      </c>
      <c r="N88" s="4" t="inlineStr">
        <is>
          <t>https://onlinelibrary.wiley.com/doi/10.1111/pcn.70065</t>
        </is>
      </c>
      <c r="O88" s="4" t="inlineStr">
        <is>
          <t>Contenido evaluable suficiente revisado; codificacion RQ disponible en Extraccion_RQ_nuevos y cautelas en Lote_03_25.</t>
        </is>
      </c>
      <c r="P88" s="4" t="inlineStr">
        <is>
          <t>Aim: Autism spectrum disorder (ASD) remains underexplored in Southeast Asia, with limited characterization of its molecular underpinnings and clinical heterogeneity. This study investigated transcriptomic variation and its relationship to clinical diversity in Thai children with ASD using integrated molecular and phenotypic analyses. Method: Peripheral blood transcriptomic profiling was performed in 150 ASD and 70 typically developing (TD) children to identify differentially expressed transcripts (DETs), followed by pathway enrichment, unsupervised molecular clustering, and integrative multiomics modeling. Clinical data from 200 ASD and 110 TD participants were analyzed in parallel to evaluate screening performance and derive phenotype-based subgroups. Results: Differential expression analysis identified 1,407 DETs with significant enrichment of autism-associated genes. Pathway analysis consistently implicated dysregulation of protein-synthesis machinery. Unsupervised transcriptome-based clustering revealed three molecular subgroups characterized by translational, innate-immune, and interferon-associated signatures, which did not directly correspond to clinical severity, age, or cognitive level, indicating structured biological heterogeneity beyond symptom-based classification. Integration of transcriptomic and phenotypic data demonstrated moderate cross-domain correspondence. Among recurrent molecular signals, MBD2 showed consistent upregulation across subgroups and strong associations with social-interaction measures (r = 0.74). In parallel, clinical machine-learning models showed high within-cohort screening performance, while a refined 17-transcript panel achieved robust discriminative accuracy, supporting the complementary role of molecular features in ASD stratification. Conclusion: Transcriptomic stratification reveals biologically structured heterogeneity in ASD that is only partially reflected in clinical presentation, supporting a multilayered framework integrating molecular and phenotypic dimensions.</t>
        </is>
      </c>
    </row>
    <row r="89" ht="409" customHeight="1">
      <c r="A89" s="4" t="n">
        <v>216</v>
      </c>
      <c r="B89" s="4" t="n">
        <v>2026</v>
      </c>
      <c r="C89" s="4" t="inlineStr">
        <is>
          <t>Parental Stress and Caregiver Role Modulate Child–Caregiver Prosodic Synchrony in Autism: A Computational Analysis</t>
        </is>
      </c>
      <c r="D89" s="4" t="inlineStr">
        <is>
          <t>10.1002/AUR.70189</t>
        </is>
      </c>
      <c r="E89" s="4" t="inlineStr">
        <is>
          <t>Maria Grazia Logrieco and Giulio Bertamini and Laura Casula and Mohamed Chetouani and Silvia Guerrera and Mirco Fasolo and Paola Venuti and Maria Luisa Scattoni and Francesca Fulceri and Stefano Vicari and David Cohen and Giovanni Valeri</t>
        </is>
      </c>
      <c r="F89" s="4" t="inlineStr">
        <is>
          <t>Autism Research</t>
        </is>
      </c>
      <c r="G89" s="4" t="inlineStr">
        <is>
          <t>Incluir provisionalmente</t>
        </is>
      </c>
      <c r="H89" s="4" t="inlineStr">
        <is>
          <t>Retrieved and reviewed</t>
        </is>
      </c>
      <c r="I89" s="4" t="n"/>
      <c r="J89" s="4" t="inlineStr">
        <is>
          <t>Include</t>
        </is>
      </c>
      <c r="K89" s="4" t="n"/>
      <c r="L89" s="4" t="inlineStr">
        <is>
          <t>Revisión asistida por IA (un revisor; requiere verificación independiente)</t>
        </is>
      </c>
      <c r="M89" s="40" t="n">
        <v>46269</v>
      </c>
      <c r="N89" s="4" t="inlineStr">
        <is>
          <t>https://onlinelibrary.wiley.com/doi/pdfdirect/10.1002/aur.70189</t>
        </is>
      </c>
      <c r="O89" s="4" t="inlineStr">
        <is>
          <t>Texto completo abierto con métodos y resultados suficientes; codificación en Extraccion_RQ_nuevos.</t>
        </is>
      </c>
      <c r="P89" s="4" t="inlineStr">
        <is>
          <t>Parental stress influences parent–child interactions in typical development and is a prognostic factor of autism outcome. However, we still do not know to what extent parental stress affects parent–child interactions and whether caregiver role matters. This study explored the relationship between parental stress and prosodic synchrony in parent–child vocal interactions, drawing on complex dynamic systems and affective computing frameworks. We assessed 62 dyads (31 autistic preschoolers, interacting separately with their mother and father) during structured play interactions at two time points (12 months apart) along with perceived parental stress. We used a Deep Learning model to segment child-caregiver acoustic interactions with high accuracy automatically. Downstream, prosodic synchrony was modeled through cross-recurrence quantification analysis. Linear mixed-effects models were used to assess the impact of parental stress, caregiver role, and time on synchrony metrics. Models showed significant associations between parental stress and synchrony metrics for spectral and formant amplitude features. Higher stress levels were linked to less stable, predictable, and structured interactions. These effects were more pronounced in father–child dyads compared to mother–child dyads. Permutation analyses confirmed that these associations were specific to moment-to-moment coordination rather than general acoustic similarity. In autistic children, parental stress levels are linked with the temporal dynamics of parent–child prosodic synchrony, specifically affective speech and moment-to-moment coordination. It appears to be more pronounced in fathers. The results underscore the importance of fostering parental well-being and tailoring interventions to account for differences between maternal and paternal interaction patterns in autism.</t>
        </is>
      </c>
    </row>
    <row r="90" ht="409" customHeight="1">
      <c r="A90" s="4" t="n">
        <v>217</v>
      </c>
      <c r="B90" s="4" t="n">
        <v>2026</v>
      </c>
      <c r="C90" s="4" t="inlineStr">
        <is>
          <t>Predicting brain age in children aged 2–6 years with autism spectrum disorders using routine T1- and T2-weighted magnetic resonance imaging</t>
        </is>
      </c>
      <c r="D90" s="4" t="inlineStr">
        <is>
          <t>10.1002/PED4.70064</t>
        </is>
      </c>
      <c r="E90" s="4" t="inlineStr">
        <is>
          <t>Zunying Hu and Rongjia Xiang and Huanyu Luo and Di Hu and Huiying Kang and Huanjie Li and Xin Fan and Yun Peng</t>
        </is>
      </c>
      <c r="F90" s="4" t="inlineStr">
        <is>
          <t>Pediatric Investigation</t>
        </is>
      </c>
      <c r="G90" s="4" t="inlineStr">
        <is>
          <t>Incluir provisionalmente</t>
        </is>
      </c>
      <c r="H90" s="4" t="inlineStr">
        <is>
          <t>Retrieved and reviewed</t>
        </is>
      </c>
      <c r="I90" s="4" t="n"/>
      <c r="J90" s="4" t="inlineStr">
        <is>
          <t>Include</t>
        </is>
      </c>
      <c r="K90" s="4" t="n"/>
      <c r="L90" s="4" t="inlineStr">
        <is>
          <t>Revisión asistida por IA (un revisor; requiere verificación independiente)</t>
        </is>
      </c>
      <c r="M90" s="40" t="n">
        <v>46269</v>
      </c>
      <c r="N90" s="4" t="inlineStr">
        <is>
          <t>https://doi.org/10.1002/ped4.70064</t>
        </is>
      </c>
      <c r="O90" s="4" t="inlineStr">
        <is>
          <t>Texto completo abierto con métodos y resultados suficientes; codificación en Extraccion_RQ_nuevos.</t>
        </is>
      </c>
      <c r="P90" s="4" t="inlineStr">
        <is>
          <t>Importance: Early childhood (ages 2–6 years) represents a dynamic phase of brain maturation and a critical window for the emergence of neurodevelopmental disorders, such as autism spectrum disorder (ASD). However, the maturational patterns of the brain during this period remain underexplored, especially regarding the utility of routine clinical imaging. Objective: To develop a brain age prediction model using routine magnetic resonance imaging (MRI) and characterize maturational deviations in children with ASD. Methods: We retrospectively collected MRI data from 2010 typically developing children (TDC) and 822 children with ASD (aged 2–6 years). A brain age prediction model based on T1- and T2-weighted MRI was developed using machine learning algorithms in the TDC cohort and subsequently applied to the ASD cohort. Model performance was assessed using the mean absolute error (MAE) and Pearson's correlation coefficient (PCC). Brain age difference (BAD) was compared between the two groups, followed by age-matched analyses and age-stratified comparisons. Results: The Ridge regression model demonstrated a robust performance in the TDC testing set (MAE = 0.526 years, PCC = 0.812) and showed comparable predictive performance in the ASD cohort (MAE = 0.497 years, PCC = 0.775). Age-matched analysis revealed significantly delayed brain maturation in ASD patients compared with TDC patients (P &lt; 0.001). Stratified analysis identified nominal delays in ASD subgroups aged 3–4 years and 4–5 years, with a trend toward relatively advanced predicted brain age by ages 5–6 years. Interpretation: This routine MRI-based brain age prediction model demonstrated good performance, with low prediction error and high correlation between predicted and chronological age, in estimating the brain age of TDC and ASD. It revealed a dynamic, age-related pattern in children with ASD, highlighting developmental heterogeneity across early childhood.</t>
        </is>
      </c>
    </row>
    <row r="91" ht="409" customHeight="1">
      <c r="A91" s="4" t="n">
        <v>218</v>
      </c>
      <c r="B91" s="4" t="n">
        <v>2026</v>
      </c>
      <c r="C91" s="4" t="inlineStr">
        <is>
          <t>A Robust Computational Framework for Autism Spectrum Disorder Identification Using Optimized Image Processing and Hybrid Learning Models</t>
        </is>
      </c>
      <c r="D91" s="4" t="inlineStr">
        <is>
          <t>10.1002/dneu.70028</t>
        </is>
      </c>
      <c r="E91" s="4" t="inlineStr">
        <is>
          <t>A Kanchana and Rashmitha Khilar</t>
        </is>
      </c>
      <c r="F91" s="4" t="inlineStr">
        <is>
          <t>Developmental Neurobiology</t>
        </is>
      </c>
      <c r="G91" s="4" t="inlineStr">
        <is>
          <t>Incluir provisionalmente</t>
        </is>
      </c>
      <c r="H91" s="4" t="inlineStr">
        <is>
          <t>Retrieved and reviewed</t>
        </is>
      </c>
      <c r="I91" s="4" t="n"/>
      <c r="J91" s="4" t="inlineStr">
        <is>
          <t>Include</t>
        </is>
      </c>
      <c r="K91" s="4" t="n"/>
      <c r="L91" s="4" t="inlineStr">
        <is>
          <t>Revision asistida por IA (un revisor; requiere verificacion independiente)</t>
        </is>
      </c>
      <c r="M91" s="40" t="n">
        <v>46269</v>
      </c>
      <c r="N91" s="4" t="inlineStr">
        <is>
          <t>https://onlinelibrary.wiley.com/doi/10.1002/dneu.70028</t>
        </is>
      </c>
      <c r="O91" s="4" t="inlineStr">
        <is>
          <t>Contenido evaluable suficiente revisado; codificacion RQ disponible en Extraccion_RQ_nuevos y cautelas en Lote_03_25.</t>
        </is>
      </c>
      <c r="P91" s="4" t="inlineStr">
        <is>
          <t>The classification of autism spectrum disorder (ASD) has reached a new stage of development that includes the former machine learning (ML) designs and image analysis designs. The study introduces a new framework that uses discrete wavelet transformation with Gaussian filter kernel (DWT-GFK) to achieve the robust preprocessing of the image, including noise removal and preserving edges without affecting the quality of the image. The VGG16 deep learning model is used to extract features, elaborate visual patterns, and data features that are pertinent to the identification of ASD. The classification stage uses a family of Elevated Learning-based Boosting Network with Hybrid Learning with Neural Classifier Logic (ELBN–HLNCL) that is optimized with the help of Walrus Optimization Algorithm (WaOA) to derive optimal model settings. Experimental testing of the proposed methods using the autism image dataset (AID), ASD screening dataset, and ABIDE dataset has shown the superiority of the proposed methodology with 99.95% accuracy, 99.9% recall, 99.8% precision, and 99.85% F1-score. The results demonstrate strong competitive performance compared with existing ASD classification approaches across multiple datasets. The findings offer promising applications in early ASD detection, facilitating improved diagnostic tools and aiding healthcare professionals in accurate assessments.</t>
        </is>
      </c>
    </row>
    <row r="92" ht="409" customHeight="1">
      <c r="A92" s="4" t="n">
        <v>222</v>
      </c>
      <c r="B92" s="4" t="n">
        <v>2026</v>
      </c>
      <c r="C92" s="4" t="inlineStr">
        <is>
          <t>Adaptive network based fuzzy inference system efficientnet for autism spectrum disorder detection with optimization based pivotal region extraction</t>
        </is>
      </c>
      <c r="D92" s="4" t="inlineStr">
        <is>
          <t>10.1016/j.pscychresns.2025.112109</t>
        </is>
      </c>
      <c r="E92" s="4" t="inlineStr">
        <is>
          <t>Satish Muppidi and Kishore Bhamidipati and Grandhi Siva Sankar and Anupkumar M Bongale and Ramesh Babu P</t>
        </is>
      </c>
      <c r="F92" s="4" t="inlineStr">
        <is>
          <t>Psychiatry Research - Neuroimaging</t>
        </is>
      </c>
      <c r="G92" s="4" t="inlineStr">
        <is>
          <t>Incluir provisionalmente</t>
        </is>
      </c>
      <c r="H92" s="4" t="inlineStr">
        <is>
          <t>Retrieved and reviewed</t>
        </is>
      </c>
      <c r="I92" s="4" t="n"/>
      <c r="J92" s="4" t="inlineStr">
        <is>
          <t>Include</t>
        </is>
      </c>
      <c r="K92" s="4" t="n"/>
      <c r="L92" s="4" t="inlineStr">
        <is>
          <t>Revision asistida por IA (un revisor; requiere verificacion independiente)</t>
        </is>
      </c>
      <c r="M92" s="40" t="n">
        <v>46269</v>
      </c>
      <c r="N92" s="4" t="inlineStr">
        <is>
          <t>https://www.sciencedirect.com/science/article/pii/S0925492725001647</t>
        </is>
      </c>
      <c r="O92" s="4" t="inlineStr">
        <is>
          <t>Contenido evaluable suficiente revisado; codificacion RQ disponible en Extraccion_RQ_nuevos y cautelas en Lote_03_25.</t>
        </is>
      </c>
      <c r="P92" s="4" t="inlineStr">
        <is>
          <t>Autism Spectrum Disorder (ASD) refers to abnormal neural activity that may increase the risk of premature brain development issues. Many traditional treatment methods are available for ASD, but they require continuous assessment and analysis of patient behavior. However, traditional models are time-consuming and often lead to unclear outcomes, significantly impacting patient's social lives and communication ability. Hence, a novel hybrid approach is developed, namely, Adaptive Network Based Fuzzy Inference System EfficientNet (ANFIS-EffNet), which combines the ability of Adaptive Network Based Fuzzy Inference (ANFIS) and EfficientNet by modifying their layers. At first, the input autism brain image is given to the pre-processing stage, performed using Anisotropic diffusion and Region of Interest (ROI) extraction. Next, functional connectivity-based pivotal region extraction is done by Adam War Strategy Optimization (AWSO), a combination of the Adam optimization algorithm and War Strategy Optimization (WSO) technique. Next, feature extraction is carried out by including Learned Invariant Feature Transform (LIFT) and statistical methods. At last, ANFIS-EffNet is employed to detect autism spectrum disorder. The ANFIS-EffNet model has achieved outstanding performance with an accuracy of 93.219 %, sensitivity of 93.670 % and specificity of 93.840 % respectively.</t>
        </is>
      </c>
    </row>
    <row r="93" ht="409" customHeight="1">
      <c r="A93" s="4" t="n">
        <v>223</v>
      </c>
      <c r="B93" s="4" t="n">
        <v>2026</v>
      </c>
      <c r="C93" s="4" t="inlineStr">
        <is>
          <t>Identification of Autism Through Fractal Analysis of EEG Signals and Bayesian Optimized Artificial Neural Network</t>
        </is>
      </c>
      <c r="D93" s="4" t="inlineStr">
        <is>
          <t>10.1002/IMA.70326</t>
        </is>
      </c>
      <c r="E93" s="4" t="inlineStr">
        <is>
          <t>Anamika Ranaut and Padmavati Khandnor and Trilok Chand</t>
        </is>
      </c>
      <c r="F93" s="4" t="inlineStr">
        <is>
          <t>International Journal of Imaging Systems and Technology</t>
        </is>
      </c>
      <c r="G93" s="4" t="inlineStr">
        <is>
          <t>Incluir provisionalmente</t>
        </is>
      </c>
      <c r="H93" s="4" t="inlineStr">
        <is>
          <t>Retrieved and reviewed</t>
        </is>
      </c>
      <c r="I93" s="4" t="n"/>
      <c r="J93" s="4" t="inlineStr">
        <is>
          <t>Include</t>
        </is>
      </c>
      <c r="K93" s="4" t="n"/>
      <c r="L93" s="4" t="inlineStr">
        <is>
          <t>Revision asistida por IA (un revisor; requiere verificacion independiente)</t>
        </is>
      </c>
      <c r="M93" s="40" t="n">
        <v>46269</v>
      </c>
      <c r="N93" s="4" t="inlineStr">
        <is>
          <t>https://onlinelibrary.wiley.com/doi/10.1002/ima.70326</t>
        </is>
      </c>
      <c r="O93" s="4" t="inlineStr">
        <is>
          <t>Contenido evaluable suficiente revisado; codificacion RQ disponible en Extraccion_RQ_nuevos y cautelas en Lote_03_25.</t>
        </is>
      </c>
      <c r="P93" s="4" t="inlineStr">
        <is>
          <t>Autism Spectrum Disorder (ASD) is a neurological condition that affects the cerebrospinal nervous system, impairs motor function, and other developmental aspects. In this study, we proposed a novel approach that ensembled Fractal Dimension (FD) measures with a Bayesian Optimized Artificial Neural Network (BO-ANN) for the automated classification of multichannel Electroencephalography (EEG) signals into ASD (n = 29) and Typically Developing (TD) (n = 30) participants. We extracted five FD measures: Higuchi's Fractal Dimension (HFD), Correlation Dimension (CRD), Box-Counting Method (BCM), Katz's Fractal Dimension (KFD), and Petrosian's Fractal Dimension (PFD) from EEG signals. These features are assembled into an 80-dimensional vector (5 FDs × 16 channels) and demonstrate a statistically significant difference between TD and ASD controls (α &lt; 0.05). This feature set subsequently fed into six Machine Learning (ML) classifiers, an ANN model, and the proposed BO-ANN model for the identification process. Extreme Gradient Boosting (XGB) achieved an accuracy of 90.09%, while the baseline ANN obtained 91.44%. The proposed BO-ANN outperformed all models with a classification accuracy of 97.38%. Feature importance analysis with XGB further revealed the most influential channels and FD measures contributing to discrimination. Our study provides a robust framework for ASD identification using EEG signals and the proposed BO-ANN model, emphasizing the effectiveness of FD-based features. The proposed framework not only improves accuracy compared to the existing approaches but also enhances interpretability, making it a promising tool for practical applications in ASD identification.</t>
        </is>
      </c>
    </row>
    <row r="94" ht="409" customHeight="1">
      <c r="A94" s="4" t="n">
        <v>228</v>
      </c>
      <c r="B94" s="4" t="n">
        <v>2026</v>
      </c>
      <c r="C94" s="4" t="inlineStr">
        <is>
          <t>Unveiling Diagnostic Biomarkers in Autism: A Comparative Proteome Analysis of CNTNAP2 Knockout Mice and Human ASD Patients</t>
        </is>
      </c>
      <c r="D94" s="4" t="inlineStr">
        <is>
          <t>10.3390/biom16030340</t>
        </is>
      </c>
      <c r="E94" s="4" t="inlineStr">
        <is>
          <t>Andrew Kim and Ara Cho and Jiyeon Kim and Leandro Val Sayson and Hyun Ju Lee and Jae Hoon Cheong and Hee Jin Kim and Bung Nyun Kim and Eugene C Yi</t>
        </is>
      </c>
      <c r="F94" s="4" t="inlineStr">
        <is>
          <t>Biomolecules</t>
        </is>
      </c>
      <c r="G94" s="4" t="inlineStr">
        <is>
          <t>Incluir provisionalmente</t>
        </is>
      </c>
      <c r="H94" s="4" t="inlineStr">
        <is>
          <t>Retrieved and reviewed</t>
        </is>
      </c>
      <c r="I94" s="4" t="n"/>
      <c r="J94" s="4" t="inlineStr">
        <is>
          <t>Include</t>
        </is>
      </c>
      <c r="K94" s="4" t="n"/>
      <c r="L94" s="4" t="inlineStr">
        <is>
          <t>Revisión asistida por IA (un revisor; requiere verificación independiente)</t>
        </is>
      </c>
      <c r="M94" s="40" t="n">
        <v>46269</v>
      </c>
      <c r="N94" s="4" t="inlineStr">
        <is>
          <t>https://doi.org/10.3390/biom16030340</t>
        </is>
      </c>
      <c r="O94" s="4" t="inlineStr">
        <is>
          <t>Texto completo abierto con métodos y resultados suficientes; codificación en Extraccion_RQ_nuevos.</t>
        </is>
      </c>
      <c r="P94" s="4" t="inlineStr">
        <is>
          <t>Autism Spectrum Disorder (ASD) is a biologically heterogeneous neurodevelopmental condition, presenting a major barrier to the identification of robust and translatable molecular biomarkers. Here, we employ a cross-species proteomic framework to identify conserved protein signatures associated with ASD. Quantitative proteomic profiling of brain and serum from CNTNAP2 knockout mice, integrated with serum proteomes from individuals with ASD, revealed 132 proteins consistently dysregulated across species. Functional pathway analyses implicated coordinated alterations in lipid metabolism, synaptic signaling, and immune regulation. To prioritize diagnostically informative candidates, we applied machine learning-based feature selection and identified a minimal panel of ten proteins (COL1A1, ITIH4, CLU, NID1, C5, MASP1, PON1, PLTP, HSPA5, and FETUB) that robustly discriminated ASD from control samples. Gene ontology and KEGG pathway analyses highlighted enrichment of immune regulatory pathways, synaptic transmission, oxidative stress responses, and lipid metabolic processes, consistent with emerging models linking neuroimmune dysregulation and metabolic imbalance to ASD pathophysiology. An XGBClassifier trained on this biomarker panel achieved strong performance in independent test sets (AUC = 0.75). Together, these findings establish cross-species proteomic integration combined with machine learning as a powerful strategy for uncovering conserved, biologically grounded biomarkers in ASD, providing a framework for future validation and translational development.</t>
        </is>
      </c>
    </row>
    <row r="95" ht="409" customHeight="1">
      <c r="A95" s="4" t="n">
        <v>230</v>
      </c>
      <c r="B95" s="4" t="n">
        <v>2026</v>
      </c>
      <c r="C95" s="4" t="inlineStr">
        <is>
          <t>Quality of Autism Information Generated by Artificial Intelligence Tools: Implications for Paediatric Care</t>
        </is>
      </c>
      <c r="D95" s="4" t="inlineStr">
        <is>
          <t>10.1111/JPC.70433</t>
        </is>
      </c>
      <c r="E95" s="4" t="inlineStr">
        <is>
          <t>Serife Balikci</t>
        </is>
      </c>
      <c r="F95" s="4" t="inlineStr">
        <is>
          <t>Journal of Paediatrics and Child Health</t>
        </is>
      </c>
      <c r="G95" s="4" t="inlineStr">
        <is>
          <t>Incluir provisionalmente</t>
        </is>
      </c>
      <c r="H95" s="4" t="inlineStr">
        <is>
          <t>Retrieved and reviewed</t>
        </is>
      </c>
      <c r="I95" s="4" t="n"/>
      <c r="J95" s="4" t="inlineStr">
        <is>
          <t>Exclude</t>
        </is>
      </c>
      <c r="K95" s="4" t="inlineStr">
        <is>
          <t>El estudio evalua la calidad de respuestas sobre autismo generadas por seis plataformas de IA de proposito general; no implementa ni evalua una tecnica de IA/ML aplicada a datos humanos de ASD como componente sustantivo de una etapa funcional del proceso clinico/cuidado.</t>
        </is>
      </c>
      <c r="L95" s="4" t="inlineStr">
        <is>
          <t>Revision asistida por IA (un revisor; requiere verificacion independiente)</t>
        </is>
      </c>
      <c r="M95" s="40" t="n">
        <v>46269</v>
      </c>
      <c r="N95" s="4" t="inlineStr">
        <is>
          <t>https://onlinelibrary.wiley.com/doi/10.1111/jpc.70433</t>
        </is>
      </c>
      <c r="O95" s="4" t="inlineStr">
        <is>
          <t>Contenido suficiente revisado para adjudicar exclusion; ver evidencia y cautelas en Lote_03_25.</t>
        </is>
      </c>
      <c r="P95" s="4" t="inlineStr">
        <is>
          <t>Aim: Families increasingly turn to artificial intelligence (AI) tools for information about autism spectrum disorder (ASD), often during early childhood when concerns about development, diagnosis and intervention first emerge. From a paediatric perspective, these tools increasingly function as informal sources of health information alongside primary care and developmental services. This study aimed to evaluate the quality of autism-related information generated by widely used AI platforms. Methods: Using a descriptive research design, responses generated by six freely accessible AI platforms (ChatGPT, Gemini, Microsoft Copilot, Perplexity, Brave and Grok) were examined. Each platform was asked 15 autism questions with well-established scientific answers. Responses were evaluated across five dimensions relevant to paediatric health communication: accuracy, readability, language framing, actionability and reference quality. Results: Substantial variability was observed across AI platforms. Several tools produced generally accurate explanations of ASD; however, readability levels consistently exceeded recommended guidelines for paediatric health materials (i.e., the 6th–8th grade reading level). Most responses relied primarily on medicalized language rather than neurodiversity-affirming framing. Actionable guidance was limited, with only a minority of responses offering concrete next steps for families navigating early paediatric decision-making. Reference practices varied widely, with some platforms providing numerous credible sources and others offering few or none. Conclusions: Although AI tools can support parental understanding of ASD, differences in clarity, tone, usability and transparency may shape families' expectations prior to or during paediatric consultations. These findings highlight the need for thoughtful use of AI-generated autism information and suggest that families may benefit from guidance from paediatric professionals when interpreting AI-based responses.</t>
        </is>
      </c>
    </row>
    <row r="96" ht="409" customHeight="1">
      <c r="A96" s="4" t="n">
        <v>231</v>
      </c>
      <c r="B96" s="4" t="n">
        <v>2025</v>
      </c>
      <c r="C96" s="4" t="inlineStr">
        <is>
          <t>Linguistic Explanations of Deep Models in Detecting Autism and Schizophrenia</t>
        </is>
      </c>
      <c r="D96" s="4" t="inlineStr">
        <is>
          <t>10.1111/COIN.70158</t>
        </is>
      </c>
      <c r="E96" s="4" t="inlineStr">
        <is>
          <t>Aleksander Wawer and Małgorzata Krawczyk and Justyna Sarzyńska-Wawer and Bartosz Żuk</t>
        </is>
      </c>
      <c r="F96" s="4" t="inlineStr">
        <is>
          <t>Computational Intelligence</t>
        </is>
      </c>
      <c r="G96" s="4" t="inlineStr">
        <is>
          <t>Incluir provisionalmente</t>
        </is>
      </c>
      <c r="H96" s="4" t="inlineStr">
        <is>
          <t>Retrieved and reviewed</t>
        </is>
      </c>
      <c r="I96" s="4" t="n"/>
      <c r="J96" s="4" t="inlineStr">
        <is>
          <t>Include</t>
        </is>
      </c>
      <c r="K96" s="4" t="n"/>
      <c r="L96" s="4" t="inlineStr">
        <is>
          <t>Revision asistida por IA (un revisor; requiere verificacion independiente)</t>
        </is>
      </c>
      <c r="M96" s="40" t="n">
        <v>46269</v>
      </c>
      <c r="N96" s="4" t="inlineStr">
        <is>
          <t>https://onlinelibrary.wiley.com/doi/10.1111/coin.70158</t>
        </is>
      </c>
      <c r="O96" s="4" t="inlineStr">
        <is>
          <t>Contenido evaluable suficiente revisado; codificacion RQ disponible en Extraccion_RQ_nuevos y cautelas en Lote_03_25.</t>
        </is>
      </c>
      <c r="P96" s="4" t="inlineStr">
        <is>
          <t>Automated detection of mental conditions from text is increasingly important due to the rise of digital communication and limited access to clinicians, but the methods often suffer from insufficient explainability. In this study, we propose a novel framework to utilize linguistic dimensions to explain the attribution scores (Integrated Gradients) of tokens in a deep neural network (HerBERT) trained to detect autism and schizophrenia from textual data. In our approach, the scores are mapped to syntactic and psycholinguistic variables, which are then used to train explainable models. The feature importance derived from these models is thereby linked to linguistic dimensions, enhancing interpretability. Our results emphasize the role of syntactic clues, such as grammatical gender and case, in language processing. We also demonstrate that the deep model's attribution scores, when mapped to linguistic features, correlate with selected clinical tests. We propose that our framework can enhance the analysis and interpretation of deep neural networks used for detecting psychiatric disorders. Our approach advances explainable artificial intelligence in mental health by providing researchers with deeper insights into the linguistic cues driving deep neural model predictions.</t>
        </is>
      </c>
    </row>
    <row r="97" ht="409" customHeight="1">
      <c r="A97" s="4" t="n">
        <v>233</v>
      </c>
      <c r="B97" s="4" t="n">
        <v>2026</v>
      </c>
      <c r="C97" s="4" t="inlineStr">
        <is>
          <t>Autism Screening Based on Deep Learning Analysis of Eye Movement Trajectories</t>
        </is>
      </c>
      <c r="D97" s="4" t="inlineStr">
        <is>
          <t>10.1049/CVI2.70078</t>
        </is>
      </c>
      <c r="E97" s="4" t="inlineStr">
        <is>
          <t>Taizhe Tan and Zhanxi Guo and Jiahao Chen</t>
        </is>
      </c>
      <c r="F97" s="4" t="inlineStr">
        <is>
          <t>IET Computer Vision</t>
        </is>
      </c>
      <c r="G97" s="4" t="inlineStr">
        <is>
          <t>Incluir provisionalmente</t>
        </is>
      </c>
      <c r="H97" s="4" t="inlineStr">
        <is>
          <t>Retrieved and reviewed</t>
        </is>
      </c>
      <c r="I97" s="4" t="n"/>
      <c r="J97" s="4" t="inlineStr">
        <is>
          <t>Include</t>
        </is>
      </c>
      <c r="K97" s="4" t="n"/>
      <c r="L97" s="4" t="inlineStr">
        <is>
          <t>Revision asistida por IA (un revisor; requiere verificacion independiente)</t>
        </is>
      </c>
      <c r="M97" s="40" t="n">
        <v>46269</v>
      </c>
      <c r="N97" s="4" t="inlineStr">
        <is>
          <t>https://ietresearch.onlinelibrary.wiley.com/doi/10.1049/cvi2.70078</t>
        </is>
      </c>
      <c r="O97" s="4" t="inlineStr">
        <is>
          <t>Contenido evaluable suficiente revisado; codificacion RQ disponible en Extraccion_RQ_nuevos y cautelas en Lote_03_25.</t>
        </is>
      </c>
      <c r="P97" s="4" t="inlineStr">
        <is>
          <t>&lt;p&gt;Traditional clinical diagnosis of autism spectrum disorder (ASD) relies heavily on subjective physician assessments, resulting in longer diagnostic cycles and low efficiency. Eye‐tracking technology offers a noninvasive approach to objectively record visual attention patterns, enabling the identification of autism‐specific visual behavioural features that serve as diagnostic indicators, showing unique advantages for autism diagnosis. This study proposes ET‐ASDNet, a deep learning framework based on ResNet18 with three specialised modules for analysing eye movement trajectories to assist in ASD screening. The framework incorporates dynamic trajectory perception, multi‐dimensional cross‐attention fusion and adaptive spatial feature integration to capture ASD‐specific visual patterns. Evaluation was conducted using stratified three‐fold cross‐validation on two public eye‐tracking datasets: the Eye‐tracking Scanpath Dataset, where ET‐ASDNet achieved 85.19% accuracy and 86.96% F1‐score, and the Saliency4ASD dataset, where it achieved 72.67% accuracy and 76.84% F1‐score. Results demonstrate that ET‐ASDNet can provide an objective tool for auxiliary ASD screening.&lt;/p&gt;</t>
        </is>
      </c>
    </row>
    <row r="98" ht="409" customHeight="1">
      <c r="A98" s="4" t="n">
        <v>235</v>
      </c>
      <c r="B98" s="4" t="n">
        <v>2026</v>
      </c>
      <c r="C98" s="4" t="inlineStr">
        <is>
          <t>Automatic measurement of social gaze during naturalistic conversations in autism</t>
        </is>
      </c>
      <c r="D98" s="4" t="inlineStr">
        <is>
          <t>10.1016/j.jpsychires.2026.05.015</t>
        </is>
      </c>
      <c r="E98" s="4" t="inlineStr">
        <is>
          <t>Lisa D Yankowitz and Mohan Kashyap Pargi and Ellis DeJardin and Casey J Zampella and Whitney Guthrie and Juhi Pandey and G Keith Bartley and Darren Chen and Denisa Q McDonald and Aashvi Manakiwala and Maya Khanna and Kelsey Keen and Gabriella Buboltz and Annie Yang and John D Herrington and Evangelos Sariyanidi and Robert T Schultz and Birkan Tunç</t>
        </is>
      </c>
      <c r="F98" s="4" t="inlineStr">
        <is>
          <t>Journal of Psychiatric Research</t>
        </is>
      </c>
      <c r="G98" s="4" t="inlineStr">
        <is>
          <t>Incluir provisionalmente</t>
        </is>
      </c>
      <c r="H98" s="4" t="inlineStr">
        <is>
          <t>Retrieved and reviewed</t>
        </is>
      </c>
      <c r="I98" s="4" t="n"/>
      <c r="J98" s="4" t="inlineStr">
        <is>
          <t>Include</t>
        </is>
      </c>
      <c r="K98" s="4" t="n"/>
      <c r="L98" s="4" t="inlineStr">
        <is>
          <t>Revision asistida por IA (un revisor; requiere verificacion independiente)</t>
        </is>
      </c>
      <c r="M98" s="40" t="n">
        <v>46269</v>
      </c>
      <c r="N98" s="4" t="inlineStr">
        <is>
          <t>https://pmc.ncbi.nlm.nih.gov/articles/PMC13248665/</t>
        </is>
      </c>
      <c r="O98" s="4" t="inlineStr">
        <is>
          <t>Contenido evaluable suficiente revisado; codificacion RQ disponible en Extraccion_RQ_nuevos y cautelas en Lote_03_25.</t>
        </is>
      </c>
      <c r="P98" s="4" t="inlineStr">
        <is>
          <t>Standardized, granular measurement of social communication behaviors, such as social gaze during natural interactions, is needed for a range of psychiatric applications including diagnosis and detecting clinical change in conditions such as autism. Computational approaches show promise in automatically measuring social behaviors within natural settings. This study aims to automatically measure social gaze features from videos of dyadic conversations, characterize autism-related differences, and capture individual-level differences. 46 autistic Participants and 36 neurotypical Participants, aged 8-29 years, engaged in a brief video-recorded conversation with a research staff member (Partner). An automated social gaze detector was trained to detect whether each partner was looking at the other and achieved 89% cross-validated accuracy with human annotations. Comparing detailed automatic gaze measurements, autistic Participants spent less time looking at Partners and engaging in mutual gaze than neurotypical Participants did. They also initiated mutual gaze less frequently and had shorter mutual gaze episodes, but did not differ in mutual gaze counts. A social gaze summary score fusing individual variables correlated specifically with ADOS-2 Social Affect scores and not Restricted and Repetitive Behavior scores. A cross-validated multivariate classification model using gaze features was able to make individual-level diagnostic prediction (autism versus neurotypical) with 73% accuracy. This study provides a framework for automatically quantifying social gaze behaviors with high granularity and demonstrates its use in psychiatric research. This framework has a potential for enhancing measurement of social skills and tracking therapeutic progress in autism and other psychiatric conditions.</t>
        </is>
      </c>
    </row>
    <row r="99" ht="409" customHeight="1">
      <c r="A99" s="4" t="n">
        <v>236</v>
      </c>
      <c r="B99" s="4" t="n">
        <v>2025</v>
      </c>
      <c r="C99" s="4" t="inlineStr">
        <is>
          <t>An image-based analytics framework for early autism detection using eye movements</t>
        </is>
      </c>
      <c r="D99" s="4" t="inlineStr">
        <is>
          <t>10.1016/j.health.2025.100439</t>
        </is>
      </c>
      <c r="E99" s="4" t="inlineStr">
        <is>
          <t>Roaa Soloh and Lara Abou Orm and Dana Dabdoub</t>
        </is>
      </c>
      <c r="F99" s="4" t="inlineStr">
        <is>
          <t>Healthcare Analytics</t>
        </is>
      </c>
      <c r="G99" s="4" t="inlineStr">
        <is>
          <t>Incluir provisionalmente</t>
        </is>
      </c>
      <c r="H99" s="4" t="inlineStr">
        <is>
          <t>Retrieved and reviewed</t>
        </is>
      </c>
      <c r="I99" s="4" t="n"/>
      <c r="J99" s="4" t="inlineStr">
        <is>
          <t>Include</t>
        </is>
      </c>
      <c r="K99" s="4" t="n"/>
      <c r="L99" s="4" t="inlineStr">
        <is>
          <t>Revision asistida por IA (un revisor; requiere verificacion independiente)</t>
        </is>
      </c>
      <c r="M99" s="40" t="n">
        <v>46269</v>
      </c>
      <c r="N99" s="4" t="inlineStr">
        <is>
          <t>https://www.sciencedirect.com/science/article/pii/S2772442525000589</t>
        </is>
      </c>
      <c r="O99" s="4" t="inlineStr">
        <is>
          <t>Contenido evaluable suficiente revisado; codificacion RQ disponible en Extraccion_RQ_nuevos y cautelas en Lote_03_25.</t>
        </is>
      </c>
      <c r="P99" s="4" t="inlineStr">
        <is>
          <t>Autism Spectrum Disorder (ASD) is a complex neurodevelopmental condition whose early detection is crucial for improving social and cognitive outcomes. Current diagnostic tools are often costly, subjective, and inaccessible to many clinics. This work presents GazeScan, an image-based analytics framework that identifies ASD from eye-tracking behavior using only standard video input. The system non-invasively performs gaze estimation via a 16-point geometric calibration and transforms gaze trajectories into grayscale scanpath images. These images are classified using a lightweight convolutional neural network. GazeScan was evaluated on the Eye-Tracking Scan Path (ETSP) dataset with five-fold cross-validation, achieving 97.01% accuracy and an AUC of 0.98. The model's compact architecture enables real-time inference and mobile deployment without specialized hardware. The results obtained highlight the potential of accessible, AI-enabled digital screening tools to support early ASD detection and broader behavioral healthcare delivery.</t>
        </is>
      </c>
    </row>
    <row r="100" ht="409" customHeight="1">
      <c r="A100" s="4" t="n">
        <v>237</v>
      </c>
      <c r="B100" s="4" t="n">
        <v>2025</v>
      </c>
      <c r="C100" s="4" t="inlineStr">
        <is>
          <t>Late Fusion Model for Emotion Recognition from Facial Expressions and Biosignals in a Dataset of Children with Autism Spectrum Disorder</t>
        </is>
      </c>
      <c r="D100" s="4" t="inlineStr">
        <is>
          <t>10.3390/s25247485</t>
        </is>
      </c>
      <c r="E100" s="4" t="inlineStr">
        <is>
          <t>Dominika Kiejdo and Monika Depka Prądzinska and Teresa Zawadzka</t>
        </is>
      </c>
      <c r="F100" s="4" t="inlineStr">
        <is>
          <t>Sensors</t>
        </is>
      </c>
      <c r="G100" s="4" t="inlineStr">
        <is>
          <t>Incluir provisionalmente</t>
        </is>
      </c>
      <c r="H100" s="4" t="inlineStr">
        <is>
          <t>Retrieved and reviewed</t>
        </is>
      </c>
      <c r="I100" s="4" t="n"/>
      <c r="J100" s="4" t="inlineStr">
        <is>
          <t>Include</t>
        </is>
      </c>
      <c r="K100" s="4" t="n"/>
      <c r="L100" s="4" t="inlineStr">
        <is>
          <t>Revisión asistida por IA (un revisor; requiere verificación independiente)</t>
        </is>
      </c>
      <c r="M100" s="40" t="n">
        <v>46269</v>
      </c>
      <c r="N100" s="4" t="inlineStr">
        <is>
          <t>https://www.mdpi.com/1424-8220/25/24/7485/pdf?version=1765281915</t>
        </is>
      </c>
      <c r="O100" s="4" t="inlineStr">
        <is>
          <t>Texto completo abierto con métodos y resultados suficientes; codificación en Extraccion_RQ_nuevos.</t>
        </is>
      </c>
      <c r="P100" s="4" t="inlineStr">
        <is>
          <t>Children with autism spectrum disorder (ASD) often display atypical emotional expressions and physiological responses, making emotion recognition challenging. This study proposes a multimodal recognition model employing a late fusion framework combining facial expression with physiological measures: electrodermal activity (EDA), temperature (TEMP), and heart rate (HR). Emotional states are annotated using two complementary schemes derived from a shared set of labels. Three annotators provide one categorical Ekman emotion for each timestamp. From these annotations, a majority-vote label identifies the dominant emotion, while a proportional distribution reflects the likelihood of each emotion based on the relative frequency of the annotators’ selections. Separate machine learning models are trained for each modality and for each annotation scheme, and their outputs are integrated through decision-level fusion. A distinct decision-level fusion model is constructed for each annotation scheme, ensuring that both the categorical and likelihood-based representations are optimally combined. The experiments on the EMBOA dataset, collected within the project “Affective loop in Socially Assistive Robotics as an intervention tool for children with autism”, show that the late fusion model achieves higher accuracy and robustness than unimodal baselines. The system attains an accuracy of 68% for categorical emotion classification and 78% under the likelihood-estimation scheme. The results obtained, although lower than those reported in other studies, suggest that further research into emotion recognition in autistic children using other fusions is warranted, even in the case of datasets with a significant number of missing values and low sample representation for certain emotions.</t>
        </is>
      </c>
    </row>
    <row r="101" ht="409" customHeight="1">
      <c r="A101" s="4" t="n">
        <v>239</v>
      </c>
      <c r="B101" s="4" t="n">
        <v>2025</v>
      </c>
      <c r="C101" s="4" t="inlineStr">
        <is>
          <t>Real-Time Classification for EEG Data in Children With ASD Using Deep Learning Techniques</t>
        </is>
      </c>
      <c r="D101" s="4" t="inlineStr">
        <is>
          <t>10.1002/DNEU.23009</t>
        </is>
      </c>
      <c r="E101" s="4" t="inlineStr">
        <is>
          <t>P L Lekshmylal and E Suresh Kumar and Ashalatha Radhakrishnan and G Shiny</t>
        </is>
      </c>
      <c r="F101" s="4" t="inlineStr">
        <is>
          <t>Developmental Neurobiology</t>
        </is>
      </c>
      <c r="G101" s="4" t="inlineStr">
        <is>
          <t>Incluir provisionalmente</t>
        </is>
      </c>
      <c r="H101" s="4" t="inlineStr">
        <is>
          <t>Eligibility reviewed from accessible primary-source content; scoped adjudication completed</t>
        </is>
      </c>
      <c r="I101" s="4" t="n"/>
      <c r="J101" s="4" t="inlineStr">
        <is>
          <t>Include</t>
        </is>
      </c>
      <c r="K101" s="4" t="n"/>
      <c r="L101" s="4" t="inlineStr">
        <is>
          <t>Revisión asistida por IA (un revisor; requiere verificación independiente)</t>
        </is>
      </c>
      <c r="M101" s="40" t="n">
        <v>46269</v>
      </c>
      <c r="N101" s="4" t="inlineStr">
        <is>
          <t>https://onlinelibrary.wiley.com/doi/10.1002/dneu.23009</t>
        </is>
      </c>
      <c r="O101" s="4" t="inlineStr">
        <is>
          <t>Contenido primario accesible revisado y adjudicación RQ cerrada en Lote_06_22. Nivel de evidencia, limitaciones y prioridad de verificación humana documentados en Lote_06_22.</t>
        </is>
      </c>
      <c r="P101" s="4" t="inlineStr">
        <is>
          <t>Autism spectrum disorder (ASD) presents unique challenges in diagnosis and treatment, necessitating innovative approaches to understanding its underlying neurophysiological mechanisms. Real-time classification of electroencephalography (EEG) data in children with ASD faces significant challenges due to variability in EEG signals caused by individual differences in brain activity, age, and behavioral states, complicating robust algorithm development. This study develops and validates a deep learning–based framework for real-time EEG classification in children with ASD, aiming to enhance diagnostic accuracy and enable timely interventions. The dataset includes EEG recordings from 60 children (30 with ASD and 30 typically developing), representing diverse age groups and behavioral profiles to improve generalizability. Pre-processing removes noise and artifacts through segmentation, short-time Fourier transform (STFT), and independent component analysis (ICA). Grid search optimization (GSO) enhances model performance by systematically searching hyperparameter combinations to find the optimal configuration. A hybrid convolutional neural network (CNN)–long short-term memory (LSTM) framework is proposed, combining convolutional layers for spatial feature extraction with LSTM layers for temporal sequence modeling. This hybrid model is the primary proposed solution for real-time EEG classification due to its ability to capture both spatial and temporal features critical for interpreting sequential EEG data in children with ASD. The model achieves an accuracy of 87.5%, a precision of 85.0%, a recall of 90.0%, and an F1 score of 87.5% implemented using MATLAB software. In comparison, ResNet, a baseline deep CNN model, achieves slightly higher accuracy (89.1%) but lacks temporal modeling capabilities essential for sequential EEG interpretation. Despite ResNet's marginally higher accuracy, the hybrid CNN–LSTM is favored as the final model for its superior temporal modeling, critical in EEG analysis. Future work may include real-time feedback mechanisms, mobile application development, and longitudinal data expansion.</t>
        </is>
      </c>
    </row>
    <row r="102" ht="409" customHeight="1">
      <c r="A102" s="4" t="n">
        <v>240</v>
      </c>
      <c r="B102" s="4" t="n">
        <v>2026</v>
      </c>
      <c r="C102" s="4" t="inlineStr">
        <is>
          <t>Symptom-based classification of 16p11.2 copy number variations underlying the multidimensional autism spectrum disorder phenotype using machine learning methods</t>
        </is>
      </c>
      <c r="D102" s="4" t="inlineStr">
        <is>
          <t>10.1016/j.reia.2026.202865</t>
        </is>
      </c>
      <c r="E102" s="4" t="inlineStr">
        <is>
          <t>Hilmi Bolat and Gül Ünsel-bolat and Edanur Bulut and Semiha Özgül and Duygu Selin Turan and Samet Çeli̇k and Özgür Ozan Koyuncu and Özgür Kirbiyik and Özge Özer Kaya and Yaşar Bekir Kutbay and Merve Saka Güvenç and Kadri Murat Erdoğan and S ̧ener Arikan and Tuba Sözen Türk and Altuğ Koç and Taha Reşid Özdemi̇r and Berk Özyilmaz and Gonca Özyurt and Burak Ordi̇n and Buket Kosova</t>
        </is>
      </c>
      <c r="F102" s="4" t="inlineStr">
        <is>
          <t>Research in Autism</t>
        </is>
      </c>
      <c r="G102" s="4" t="inlineStr">
        <is>
          <t>Incluir provisionalmente</t>
        </is>
      </c>
      <c r="H102" s="4" t="inlineStr">
        <is>
          <t>Retrieved and reviewed</t>
        </is>
      </c>
      <c r="I102" s="4" t="n"/>
      <c r="J102" s="4" t="inlineStr">
        <is>
          <t>Exclude</t>
        </is>
      </c>
      <c r="K102" s="4" t="inlineStr">
        <is>
          <t>El objetivo del ML es discriminar subgrupos geneticos de CNV 16p11.2 (patogenicos frente a comunes) usando sintomas relacionados con ASD. No predice, detecta ni apoya una etapa funcional del proceso clinico/cuidado de ASD como exige IC4; el endpoint primario es la caracterizacion de subgrupos CNV.</t>
        </is>
      </c>
      <c r="L102" s="4" t="inlineStr">
        <is>
          <t>Revision asistida por IA (un revisor; requiere verificacion independiente)</t>
        </is>
      </c>
      <c r="M102" s="40" t="n">
        <v>46269</v>
      </c>
      <c r="N102" s="4" t="inlineStr">
        <is>
          <t>https://www.sciencedirect.com/science/article/pii/S3050656526000799</t>
        </is>
      </c>
      <c r="O102" s="4" t="inlineStr">
        <is>
          <t>Contenido suficiente revisado para adjudicar exclusion; ver evidencia y cautelas en Lote_03_25.</t>
        </is>
      </c>
      <c r="P102" s="4" t="inlineStr">
        <is>
          <t>Purpose: Copy number variations (CNVs) in the 16p11.2 region are well-established contributors to neurodevelopmental disorders, yet phenotype variability across this locus remains insufficiently characterized. This study investigates clinical features and ASD-related symptoms among carriers of rare pathogenic and common CNVs, and evaluates symptom-level discriminability using machine learning (ML) methods. Methods: Genetic data from 7568 individuals were retrospectively screened, identifying 147 carriers of 16p11.2 CNVs. Detailed clinical assessments were completed for 50 participants. ASD-related symptoms were evaluated using a structured 25-item instrument. Group comparisons applied nonparametric statistics with effect sizes, confidence intervals, and FDR correction. ML analyses used PCA and k-means for feature selection, oversampling methods (SMOTE, Borderline-SMOTE, ADASYN), and five classifiers, evaluated through cross-validation. Results: Across pathogenic and common CNV groups, no significant differences were observed in social communication, restricted/repetitive behaviors, sensory symptoms, regression, or total autism scores (FDR-adjusted p &gt; 0.05). Aggression was more frequently endorsed in pathogenic CNV carriers (raw p = 0.030; FDR p = 0.098). BMI was higher in pathogenic CNVs, though nonsignificant after correction (raw p = 0.027; FDR p = 0.152). ML analyses identified three recurrent discriminative symptoms across multiple datasets: delayed response to name, unusual object play, and aggression. Dataset 3 (16 symptoms) provided the most balanced classification performance but, given the very small pathogenic CNV sample, results remain exploratory. Conclusion: Findings suggest that, while most autism-related symptoms do not differ between groups, aggression and increased BMI may represent preliminary phenotypic signals associated with pathogenic CNVs. Integrating clinical data from 147 CNV carriers further supports a potential widespread effect across the broader 16p11.2 locus rather than a single breakpoint-specific mechanism. However, all results should be interpreted cautiously due to limited sample size, and larger, systematically phenotyped cohorts are required to establish robust genotype–phenotype relationships.</t>
        </is>
      </c>
    </row>
    <row r="103" ht="409" customHeight="1">
      <c r="A103" s="4" t="n">
        <v>242</v>
      </c>
      <c r="B103" s="4" t="n">
        <v>2026</v>
      </c>
      <c r="C103" s="4" t="inlineStr">
        <is>
          <t>Neurophysiological EEG Characterization of Autism Spectrum Disorder Using DWT-Based Frequency Analysis With Selective Electrodes and Brain Segmentation: An Explainable AI-Driven Approach</t>
        </is>
      </c>
      <c r="D103" s="4" t="inlineStr">
        <is>
          <t>10.1096/FJ.202600019R</t>
        </is>
      </c>
      <c r="E103" s="4" t="inlineStr">
        <is>
          <t>Kazi Mahatir Mohammed Samir and Adnan Sami Sarker and Sawrav Das</t>
        </is>
      </c>
      <c r="F103" s="4" t="inlineStr">
        <is>
          <t>FASEB Journal</t>
        </is>
      </c>
      <c r="G103" s="4" t="inlineStr">
        <is>
          <t>Incluir provisionalmente</t>
        </is>
      </c>
      <c r="H103" s="4" t="inlineStr">
        <is>
          <t>Retrieved and reviewed</t>
        </is>
      </c>
      <c r="I103" s="4" t="n"/>
      <c r="J103" s="4" t="inlineStr">
        <is>
          <t>Include</t>
        </is>
      </c>
      <c r="K103" s="4" t="n"/>
      <c r="L103" s="4" t="inlineStr">
        <is>
          <t>Revision asistida por IA (un revisor; requiere verificacion independiente)</t>
        </is>
      </c>
      <c r="M103" s="40" t="n">
        <v>46269</v>
      </c>
      <c r="N103" s="4" t="inlineStr">
        <is>
          <t>https://pubmed.ncbi.nlm.nih.gov/42417525/</t>
        </is>
      </c>
      <c r="O103" s="4" t="inlineStr">
        <is>
          <t>Contenido evaluable suficiente revisado; codificacion RQ disponible en Extraccion_RQ_nuevos y cautelas en Lote_03_25.</t>
        </is>
      </c>
      <c r="P103" s="4" t="inlineStr">
        <is>
          <t>Autism Spectrum Disorder (ASD) diagnosis benefits from the technical analysis of neural oscillations. The objective identification of Autism Spectrum Disorder (ASD) is advanced through a dedicated engineering framework that analyzes neural oscillations via electroencephalogram (EEG) signals. This methodology synthesizes statistical signal processing, frequency-domain transformation, and computational intelligence. Multi-channel EEG data from 15 electrodes were first organized into seven functional brain regions. A Discrete Wavelet Transform (db4) was then applied for multiresolution decomposition, extracting and normalizing the spectral power of delta, theta, alpha, beta, and gamma frequency bands. This spectral characterization was augmented with statistical descriptors to quantify signal dynamics and complexity, creating a robust multi-domain feature set. For classification, the framework implements a comprehensive comparative analysis across multiple learning paradigms. The engineered feature space was processed by nine classical machine learning algorithms, eight deep neural network architectures, and four meta-learning strategies. Empirical validation revealed that Logistic Regression achieved 88.57% accuracy with an AUC of 0.77. Further Extra Trees achieving 86.42% accuracy. Long Short-Term Memory (LSTM) networks demonstrated strong sequential modeling capability, attaining a competitive accuracy of approximately 87%. While meta-learning preserved diagnostic sensitivity, it did not surpass the leading standalone models. To ensure clinical interpretability, Explainability was employed, identifying delta and theta band power as the most critical discriminative features. Consequently, this study delivers a technically rigorous, transparent, and automated pipeline for electrophysiological signal characterization, establishing a preliminary computational foundation for neurophysiological differentiation in pediatric ASD. All findings are preliminary and exploratory, pending validation in larger independent cohorts.</t>
        </is>
      </c>
    </row>
    <row r="104" ht="409" customHeight="1">
      <c r="A104" s="4" t="n">
        <v>244</v>
      </c>
      <c r="B104" s="4" t="n">
        <v>2026</v>
      </c>
      <c r="C104" s="4" t="inlineStr">
        <is>
          <t>DHCA-Net: A Novel Dual-Stream Hierarchical Channel Attention Network for Explainable Autism Spectrum Disorder Detection From Facial Images</t>
        </is>
      </c>
      <c r="D104" s="4" t="inlineStr">
        <is>
          <t>10.1002/JDN.70158</t>
        </is>
      </c>
      <c r="E104" s="4" t="inlineStr">
        <is>
          <t>Davinder Paul Singh and Tathagat Banerjee and C Anand Deva Durai and Shivam Mahendra Shukla and Prakash Gadipelli and Piyush Charan and Dheeraj Malhotra and Dharamvir and Ram Murat Singh and Yogendra Narayan and Vraj Patel and Ronak Panchal</t>
        </is>
      </c>
      <c r="F104" s="4" t="inlineStr">
        <is>
          <t>International Journal of Developmental Neuroscience</t>
        </is>
      </c>
      <c r="G104" s="4" t="inlineStr">
        <is>
          <t>Incluir provisionalmente</t>
        </is>
      </c>
      <c r="H104" s="4" t="inlineStr">
        <is>
          <t>Retrieved and reviewed</t>
        </is>
      </c>
      <c r="I104" s="4" t="n"/>
      <c r="J104" s="4" t="inlineStr">
        <is>
          <t>Include</t>
        </is>
      </c>
      <c r="K104" s="4" t="n"/>
      <c r="L104" s="4" t="inlineStr">
        <is>
          <t>Revision asistida por IA (un revisor; requiere verificacion independiente)</t>
        </is>
      </c>
      <c r="M104" s="40" t="n">
        <v>46269</v>
      </c>
      <c r="N104" s="4" t="inlineStr">
        <is>
          <t>https://onlinelibrary.wiley.com/doi/10.1002/jdn.70158</t>
        </is>
      </c>
      <c r="O104" s="4" t="inlineStr">
        <is>
          <t>Contenido evaluable suficiente revisado; codificacion RQ disponible en Extraccion_RQ_nuevos y cautelas en Lote_03_25.</t>
        </is>
      </c>
      <c r="P104" s="4" t="inlineStr">
        <is>
          <t>Autism spectrum disorder (ASD) consists of a spectrum of neurodevelopmental conditions characterized by complex behavioural traits and subtle, atypical facial morphologies. Analysing these facial biomarkers provides a promising, non-invasive avenue for objective clinical screening, addressing the subjectivity of traditional diagnostic processes. Therefore, the present study aims to introduce DHCA-Net, a deep learning framework designed for automated ASD detection through the analysis of facial images. The proposed architecture uses different levels of attention and different adaptive tuning to advance discriminative learning. Specifically, DHCA-Net introduces three novel attention mechanisms to advance discriminative learning: a hierarchical channel module for spatial-semantic processing, a temporal-depth convolutional module for local contextual control and an inverted residual multi-core module for dynamic feature learning. An adaptive refinement step is also introduced to denoise clinical features. To bolster and diversify the classifier, the model exploits deep spatial and contextual resources via a multi-head feature fusion (MHFF) mechanism. We conducted extensive testing on a benchmark dataset comprising 2936 diverse, preprocessed facial images (86.4% train, 10.2% test, 3.4% validation splits). A comparative analysis evaluated DHCA-Net against architectures such as DenseNet, Xception, EfficientNet and Swin-Transformer. The proposed model achieved 93.7% classification accuracy, a 0.9365 F1 score and a 0.9887 AUC, demonstrating superior performance. Furthermore, the model maintains an efficient average inference latency of 70.14 ms despite its mid-to-high computational complexity. This explainable framework offers significant clinical applicability for scalable screening, though future work must address generalization across broader demographic populations.</t>
        </is>
      </c>
    </row>
    <row r="105" ht="409" customHeight="1">
      <c r="A105" s="4" t="n">
        <v>246</v>
      </c>
      <c r="B105" s="4" t="n">
        <v>2025</v>
      </c>
      <c r="C105" s="4" t="inlineStr">
        <is>
          <t>MTT: Multi-Tier Transformer for Early Diagnosis of Autism Spectrum Disorder and Language Disorder in Infants</t>
        </is>
      </c>
      <c r="D105" s="4" t="inlineStr">
        <is>
          <t>10.1111/COIN.70131</t>
        </is>
      </c>
      <c r="E105" s="4" t="inlineStr">
        <is>
          <t>Jingyu Liu and Honghua Wang and Jialing Wang and Han Wu and Yifei Xu and Tao Zhang and Guangfeng Zhou</t>
        </is>
      </c>
      <c r="F105" s="4" t="inlineStr">
        <is>
          <t>Computational Intelligence</t>
        </is>
      </c>
      <c r="G105" s="4" t="inlineStr">
        <is>
          <t>Incluir provisionalmente</t>
        </is>
      </c>
      <c r="H105" s="4" t="inlineStr">
        <is>
          <t>Retrieved and reviewed</t>
        </is>
      </c>
      <c r="I105" s="4" t="n"/>
      <c r="J105" s="4" t="inlineStr">
        <is>
          <t>Include</t>
        </is>
      </c>
      <c r="K105" s="4" t="n"/>
      <c r="L105" s="4" t="inlineStr">
        <is>
          <t>Revision asistida por IA (un revisor; requiere verificacion independiente)</t>
        </is>
      </c>
      <c r="M105" s="40" t="n">
        <v>46269</v>
      </c>
      <c r="N105" s="4" t="inlineStr">
        <is>
          <t>https://onlinelibrary.wiley.com/doi/10.1111/coin.70131</t>
        </is>
      </c>
      <c r="O105" s="4" t="inlineStr">
        <is>
          <t>Contenido evaluable suficiente revisado; codificacion RQ disponible en Extraccion_RQ_nuevos y cautelas en Lote_03_25.</t>
        </is>
      </c>
      <c r="P105" s="4" t="inlineStr">
        <is>
          <t>Current diagnosis of autism spectrum disorder (ASD) and developmental language/reading disorder (DLD/DD) relies predominantly on subjective behavioral assessments, this underscoring the urgent need for objective biomarkers to enable early intervention. This study proposes a Multi-Tier Transformer (MTT) model for early identification of ASD and DLD/DD using resting-state EEG baseline power values. To address severe class imbalance, we augmented the dataset using the SMOTE method. The MTT architecture integrates a Feature-Embedding layer, a Feature-Attention mechanism that dynamically weights multi-spectral inputs, and a dual-attention encoding block comprising both self-attention and cross-attention to enhance contextual representation learning from limited samples. Transfer learning was further employed to improve robustness by pre-training on augmented data and fine-tuning on original samples. Evaluated on clinical infant EEG data, the proposed MTT achieved an accuracy of 0.91 (95% CI: 0.89–0.93), recall of 0.89, and AUC of 0.97, significantly outperforming the state-of-the-art FT-transformer (p = 0.00091). The results indicate that MTT provides a robust and interpretable deep learning tool for auxiliary diagnosis of neurodevelopmental disorders in infancy.</t>
        </is>
      </c>
    </row>
    <row r="106" ht="409" customHeight="1">
      <c r="A106" s="4" t="n">
        <v>247</v>
      </c>
      <c r="B106" s="4" t="n">
        <v>2025</v>
      </c>
      <c r="C106" s="4" t="inlineStr">
        <is>
          <t>New intelligent music therapy method for applications of enhancing social skills of autism children based on TL-GCN and deep learning</t>
        </is>
      </c>
      <c r="D106" s="4" t="inlineStr">
        <is>
          <t>10.1038/s41598-025-26307-3</t>
        </is>
      </c>
      <c r="E106" s="4" t="inlineStr">
        <is>
          <t>Qilong Wu</t>
        </is>
      </c>
      <c r="F106" s="4" t="inlineStr">
        <is>
          <t>Scientific Reports</t>
        </is>
      </c>
      <c r="G106" s="4" t="inlineStr">
        <is>
          <t>Incluir provisionalmente</t>
        </is>
      </c>
      <c r="H106" s="4" t="inlineStr">
        <is>
          <t>Retrieved and reviewed</t>
        </is>
      </c>
      <c r="I106" s="4" t="n"/>
      <c r="J106" s="4" t="inlineStr">
        <is>
          <t>Include</t>
        </is>
      </c>
      <c r="K106" s="4" t="n"/>
      <c r="L106" s="4" t="inlineStr">
        <is>
          <t>Revisión asistida por IA (un revisor; requiere verificación independiente)</t>
        </is>
      </c>
      <c r="M106" s="40" t="n">
        <v>46269</v>
      </c>
      <c r="N106" s="4" t="inlineStr">
        <is>
          <t>https://www.nature.com/articles/s41598-025-26307-3.pdf</t>
        </is>
      </c>
      <c r="O106" s="4" t="inlineStr">
        <is>
          <t>Texto completo abierto con métodos y resultados suficientes; codificación en Extraccion_RQ_nuevos.</t>
        </is>
      </c>
      <c r="P106" s="4" t="inlineStr">
        <is>
          <t>To address the long-standing challenges children with autism face in social skills and emotional regulation, this study introduces Emotion-based Music Intelligent Network (EmoMusik-Net)—a deep learning model designed for intelligent music therapy. The model focuses on emotional impairments exhibited during social interactions, integrating Transformer-based temporal modeling with a Transfer Learning-based Graph Convolutional Network (TL-GCN). This combination enables high-precision recognition of facial expression sequences and supports a dynamically adaptive, closed-loop mechanism for personalized music recommendation. EmoMusik-Net was trained and optimized using three publicly available emotional video datasets. A pre- and post-intervention study, conducted in collaboration with the families of 182 children with autism, employed questionnaire-based assessments to systematically evaluate the model’s real-world feasibility and effectiveness. Experimental results demonstrated that EmoMusik-Net achieved an emotion recognition accuracy above 0.970, an F1-score consistently over 0.960, and an Area Under the Curve (AUC) of 0.978. The model also showed outstanding robustness on large-scale datasets, with a stability score of 0.994, indicating strong classification performance and generalizability. In terms of intervention outcomes, boys aged 1–6 showed a marked increase in social interest scores, rising from 1.280 to 2.540—a 98.44% improvement. Girls aged 7–12 exhibited significant gains in emotional response scores, from 1.670 to 3.120—an 86.77% increase. Further statistical analysis using the Mixed-effects Model for Repeated Measures (MMRM) and bootstrap confidence interval estimation confirmed the intervention’s significance both statistically and clinically, with particularly strong effects observed in younger participants. Expert blind evaluations further validated the system’s effectiveness, showing high consistency in rhythm and emotion matching. The Intraclass Correlation Coefficient (ICC) ranged from 0.75 to 0.91, with matching accuracy surpassing 94% in certain subgroups. EmoMusik-Net not only addresses the current research gap in integrating intelligent emotion recognition with music-based interventions but also offers a responsive, technology-driven support tool for parents, educators, and clinicians. This approach holds strong potential to advance autism spectrum disorder interventions toward personalized, data-driven methodologies.</t>
        </is>
      </c>
    </row>
    <row r="107" ht="409" customHeight="1">
      <c r="A107" s="4" t="n">
        <v>248</v>
      </c>
      <c r="B107" s="4" t="n">
        <v>2026</v>
      </c>
      <c r="C107" s="4" t="inlineStr">
        <is>
          <t>Optimized quadrangle attention consolidated convolutional multi-scale vision transformer based autism detection</t>
        </is>
      </c>
      <c r="D107" s="4" t="inlineStr">
        <is>
          <t>10.1016/j.pscychresns.2026.112251</t>
        </is>
      </c>
      <c r="E107" s="4" t="inlineStr">
        <is>
          <t>Jagadesh Balasubramani</t>
        </is>
      </c>
      <c r="F107" s="4" t="inlineStr">
        <is>
          <t>Psychiatry Research - Neuroimaging</t>
        </is>
      </c>
      <c r="G107" s="4" t="inlineStr">
        <is>
          <t>Incluir provisionalmente</t>
        </is>
      </c>
      <c r="H107" s="4" t="inlineStr">
        <is>
          <t>Report located; publisher/PubMed content sufficient for scoped adjudication</t>
        </is>
      </c>
      <c r="I107" s="4" t="n"/>
      <c r="J107" s="4" t="inlineStr">
        <is>
          <t>Include</t>
        </is>
      </c>
      <c r="K107" s="4" t="n"/>
      <c r="L107" s="4" t="inlineStr">
        <is>
          <t>Revision asistida por IA (un revisor; requiere verificacion independiente)</t>
        </is>
      </c>
      <c r="M107" s="40" t="n">
        <v>46269</v>
      </c>
      <c r="N107" s="4" t="inlineStr">
        <is>
          <t>https://www.sciencedirect.com/science/article/pii/S0925492726001162</t>
        </is>
      </c>
      <c r="O107" s="4" t="inlineStr">
        <is>
          <t>Contenido evaluable suficiente revisado para adjudicacion/codificacion acotada; ver nivel exacto de fuente, evidencia y cautelas en Lote_04_25.</t>
        </is>
      </c>
      <c r="P107" s="4" t="inlineStr">
        <is>
          <t>Autism is a complex neurological condition characterized by repetitive behaviours, varied speech and difficulties in social interaction. Identifying autism spectrum using traditional methods alone is challenging due to its complexity and variability. In order to facilitate earlier and more accurate detection, Artificial intelligence (AI) methods have been developed to improve traditional diagnostic techniques. Standard diagnostic methods often struggle with reliability due to the variability and complexity of autistic individuals. To overcome these challenges, this study proposes a novel Deep Learning (DL) based framework for efficient and accurate autism spectrum detection. The input data are first pre-processed using an Adaptive Median Gaussian Filter (AMGF) to remove noise while preserving essential image features. Then, Generative Adversarial Networks (GANs) are employed for data augmentation, effectively overcoming dataset imbalance and security. Feature extraction is carried out using the Deep Multi-scale and multi-level enclosed attentional DarkNet (DMM-AND) model, which captures both fine-grained and high-level patterns. Finally, autism spectrum detection is performed using the Optimized Quadrangle Attention consolidated Convolutional Multi-scale Vision Transformer (OQA-CMVT) model. Here, the Random Spiral exploit chimp optimization algorithm (RS-COA) is used for the hyperparameter tuning process. The proposed technique achieves 97.96% accuracy for the autistic children's facial dataset and 98.04% for the Autism_Image_Data dataset.</t>
        </is>
      </c>
    </row>
    <row r="108" ht="409" customHeight="1">
      <c r="A108" s="4" t="n">
        <v>249</v>
      </c>
      <c r="B108" s="4" t="n">
        <v>2025</v>
      </c>
      <c r="C108" s="4" t="inlineStr">
        <is>
          <t>An early detection of autism spectrum disorder using machine learning</t>
        </is>
      </c>
      <c r="D108" s="4" t="inlineStr">
        <is>
          <t>10.1016/j.compbiomed.2025.111238</t>
        </is>
      </c>
      <c r="E108" s="4" t="inlineStr">
        <is>
          <t>Shaba Irram and Mohammad Suaib</t>
        </is>
      </c>
      <c r="F108" s="4" t="inlineStr">
        <is>
          <t>Computers in Biology and Medicine</t>
        </is>
      </c>
      <c r="G108" s="4" t="inlineStr">
        <is>
          <t>Incluir provisionalmente</t>
        </is>
      </c>
      <c r="H108" s="4" t="inlineStr">
        <is>
          <t>Report located; publisher/PubMed content sufficient for scoped adjudication</t>
        </is>
      </c>
      <c r="I108" s="4" t="n"/>
      <c r="J108" s="4" t="inlineStr">
        <is>
          <t>Include</t>
        </is>
      </c>
      <c r="K108" s="4" t="n"/>
      <c r="L108" s="4" t="inlineStr">
        <is>
          <t>Revision asistida por IA (un revisor; requiere verificacion independiente)</t>
        </is>
      </c>
      <c r="M108" s="40" t="n">
        <v>46269</v>
      </c>
      <c r="N108" s="4" t="inlineStr">
        <is>
          <t>https://pubmed.ncbi.nlm.nih.gov/41151500/</t>
        </is>
      </c>
      <c r="O108" s="4" t="inlineStr">
        <is>
          <t>Contenido evaluable suficiente revisado para adjudicacion/codificacion acotada; ver nivel exacto de fuente, evidencia y cautelas en Lote_04_25.</t>
        </is>
      </c>
      <c r="P108" s="4" t="inlineStr">
        <is>
          <t>Background Children with autism spectrum disorder (ASD), a developmental disease, exhibit limited and repetitive activities in addition to challenges with communication and social interaction. Numerous neurological disorders have been identified with the aid of the electroencephalography (EEG) technology, which measures the electrical activity of the brain. Objective The primary purpose of this study is to use EEG data to detect ASD in newborns. Methods Power values from baseline EEG recordings of babies are processed and analyzed to extract relevant information. Using machine learning approaches like decision tree (DT), random forest (RF), and support vector machine (SVM) and Explainable AI(SHAP), the model is trained using extracted data to differentiate between those with ASD and those who are usually developing. SHAP (SHapley Additive exPlanations) is a technique that can be used to describe the output of machine learning models. Understanding the rationale behind the predictions produced by the best-performing model is made easier with SHAP. Results Our machine learning model with SVM classifier (AUC = 93 %) and RF classifier (AUC = 90 %) has demonstrated exceptional performance in diagnosing infants with ASD. Novelty : Previously little-focused, this work provides a machine learning model with the use of explainable AI to identify autism spectrum disorder in children under the age of one. Early identification of ASD is challenging since children under the age of 18 months do not exhibit many behavioral indicators. Therefore, medical reports of infants' EEGs are useful in determining whether or not an infant has ASD. Applications: As a result, this model may be used to automatically diagnose ASD using the infant's EEG data.</t>
        </is>
      </c>
    </row>
    <row r="109" ht="409" customHeight="1">
      <c r="A109" s="4" t="n">
        <v>250</v>
      </c>
      <c r="B109" s="4" t="n">
        <v>2026</v>
      </c>
      <c r="C109" s="4" t="inlineStr">
        <is>
          <t>An Effective LRSF-DLNN-Based Autism Spectrum Disorder Prediction Using EEG and fMRI</t>
        </is>
      </c>
      <c r="D109" s="4" t="inlineStr">
        <is>
          <t>10.1002/DNEU.70047</t>
        </is>
      </c>
      <c r="E109" s="4" t="inlineStr">
        <is>
          <t>Sahunthala S and Malathi S and Tamil Thendral M and Sudhahar T N</t>
        </is>
      </c>
      <c r="F109" s="4" t="inlineStr">
        <is>
          <t>Developmental neurobiology</t>
        </is>
      </c>
      <c r="G109" s="4" t="inlineStr">
        <is>
          <t>Incluir provisionalmente</t>
        </is>
      </c>
      <c r="H109" s="4" t="inlineStr">
        <is>
          <t>Report located; publisher/PubMed content sufficient for scoped adjudication</t>
        </is>
      </c>
      <c r="I109" s="4" t="n"/>
      <c r="J109" s="4" t="inlineStr">
        <is>
          <t>Include</t>
        </is>
      </c>
      <c r="K109" s="4" t="n"/>
      <c r="L109" s="4" t="inlineStr">
        <is>
          <t>Revision asistida por IA (un revisor; requiere verificacion independiente)</t>
        </is>
      </c>
      <c r="M109" s="40" t="n">
        <v>46269</v>
      </c>
      <c r="N109" s="4" t="inlineStr">
        <is>
          <t>https://pubmed.ncbi.nlm.nih.gov/?term=10.1002%2Fdneu.70047</t>
        </is>
      </c>
      <c r="O109" s="4" t="inlineStr">
        <is>
          <t>Contenido evaluable suficiente revisado para adjudicacion/codificacion acotada; ver nivel exacto de fuente, evidencia y cautelas en Lote_04_25.</t>
        </is>
      </c>
      <c r="P109" s="4" t="inlineStr">
        <is>
          <t>In today's society, autism spectrum disorder (ASD) is a common neurological disorder that affects a person's behavior and communication. Hence, an early ASD prediction is essential for improving the lifecycle of ASD patients. Recently, many works have been deployed for diagnosing ASD using the electroencephalogram (EEG) and magnetic resonance imaging (MRI). But they are inefficient owing to the irrelevant noises and misclassification outcomes. Hence, a well-ordered logistic regression with scaled function-based deep learning neural network (LRSF-DLNN)-based ASD prediction using EEG and functional MRI (fMRI) is proposed. Initially, the inputs, like the EEG signal and fMRI image of the eye, are gathered and then subjected to the preprocessing phase. Here, for performing noise removal of EEG, the cosine-based Butterworth filter (CBF) approach is established. Similarly, the fMRI undergoes slice time correction and a GF filter-based smoothing process. Then, the preprocessed EEG is decomposed by utilizing weighted penalty factor-centric variational mode decomposition (WPFVMD), and the process of alpha and theta band estimation is performed on the basis of single-scale time dependent-based event-related spectral perturbation (SSTD-ERSP). Likewise, the features are extracted from both the decomposed EEG and smoothed fMRI. Next, the extracted features are given for feature selection (FS) utilizing distance functional green anaconda optimization (DFGAO). Lastly, the optimal features are given to the LRSF-DLNN classifier, which efficiently predicts ASD. Hence, the evaluation outcomes exposed that the proposed technique achieved better performance with a higher accuracy (98.8%) than other prevailing models.</t>
        </is>
      </c>
    </row>
    <row r="110" ht="409" customHeight="1">
      <c r="A110" s="4" t="n">
        <v>251</v>
      </c>
      <c r="B110" s="4" t="n">
        <v>2025</v>
      </c>
      <c r="C110" s="4" t="inlineStr">
        <is>
          <t>Leveraging Deep Learning for Early Detection of Autism Spectrum Disorder in Augmented and Virtual Reality Mental Healthcare Environments</t>
        </is>
      </c>
      <c r="D110" s="4" t="inlineStr">
        <is>
          <t>10.1002/9781394302864.CH6</t>
        </is>
      </c>
      <c r="E110" s="4" t="inlineStr">
        <is>
          <t>Manjunath Ramanna Lamani and V Asha and K Padmaja</t>
        </is>
      </c>
      <c r="F110" s="4" t="inlineStr">
        <is>
          <t>Augmented and Virtual Reality in Immersive Healthcare</t>
        </is>
      </c>
      <c r="G110" s="4" t="inlineStr">
        <is>
          <t>Incluir provisionalmente</t>
        </is>
      </c>
      <c r="H110" s="4" t="inlineStr">
        <is>
          <t>Report located; publication type resolved</t>
        </is>
      </c>
      <c r="I110" s="4" t="n"/>
      <c r="J110" s="4" t="inlineStr">
        <is>
          <t>Exclude</t>
        </is>
      </c>
      <c r="K110" s="4" t="inlineStr">
        <is>
          <t>Capítulo autónomo de libro editado fuera de los tipos de publicación elegibles definidos por el protocolo. El protocolo incluye artículos de revista revisados por pares y papers completos revisados por pares publicados en actas/proceedings de congreso. La exclusión se basa en el tipo de publicación, no en ausencia de contenido empírico.</t>
        </is>
      </c>
      <c r="L110" s="4" t="inlineStr">
        <is>
          <t>Revision asistida por IA (un revisor; requiere verificacion independiente)</t>
        </is>
      </c>
      <c r="M110" s="40" t="n">
        <v>46269</v>
      </c>
      <c r="N110" s="4" t="inlineStr">
        <is>
          <t>https://onlinelibrary.wiley.com/doi/10.1002/9781394302864.ch6</t>
        </is>
      </c>
      <c r="O110" s="4" t="inlineStr">
        <is>
          <t>Contenido editorial suficiente revisado para adjudicar exclusion por tipo de publicacion; ver evidencia y cautelas en Lote_04_25. Criterio de tipo de publicación reconciliado el 2026-09-07.</t>
        </is>
      </c>
      <c r="P110" s="4" t="inlineStr">
        <is>
          <t>The advent of digital health interventions offers new vistas for the early detection and management of autism spectrum disorder (ASD). This paper explores the innovative application of deep learning algorithms within augmented reality (AR) and virtual reality (VR) environments to enhance the early detection of ASD. Integrating AR and VR in mental healthcare provides immersive, controlled settings in which individuals’ behaviors and responses can be observed and analyzed in real time. We propose a novel framework that utilizes deep learning techniques to process and analyze the data collected from these digital environments. Our approach leverages facial expression analysis, eye tracking, and behavioral pattern recognition to identify early signs of ASD. By capturing subtle nuances in behavior often overlooked in traditional diagnostic settings, our method offers a non-invasive, engaging, and efficient alternative for early ASD detection. The potential of this technology extends beyond diagnosis, offering possibilities for personalized intervention strategies that can be adapted to each individual's unique needs. Our findings indicate that deep learning in AR and VR environments could significantly enhance the accuracy and timeliness of ASD diagnosis, paving the way for earlier and more effective interventions. This study underscores the importance of interdisciplinary collaboration in developing innovative healthcare solutions, combining the fields of artificial intelligence, psychology, and digital media to improve outcomes for individuals with ASD.</t>
        </is>
      </c>
    </row>
    <row r="111" ht="409" customHeight="1">
      <c r="A111" s="4" t="n">
        <v>252</v>
      </c>
      <c r="B111" s="4" t="n">
        <v>2025</v>
      </c>
      <c r="C111" s="4" t="inlineStr">
        <is>
          <t>A New Paradigm for Autism Spectrum Disorder Discrimination in Children Utilizing EEG Data Collected During Cartoon Viewing With a Focus on Atypical Semantic Processing</t>
        </is>
      </c>
      <c r="D111" s="4" t="inlineStr">
        <is>
          <t>10.1002/aur.70105</t>
        </is>
      </c>
      <c r="E111" s="4" t="inlineStr">
        <is>
          <t>Lin Deng and Meng Jie Lu and Le tong Yang and Yue Zhang and Hang yu Tan and Miao Cao and Fei Li</t>
        </is>
      </c>
      <c r="F111" s="4" t="inlineStr">
        <is>
          <t>Autism Research</t>
        </is>
      </c>
      <c r="G111" s="4" t="inlineStr">
        <is>
          <t>Incluir provisionalmente</t>
        </is>
      </c>
      <c r="H111" s="4" t="inlineStr">
        <is>
          <t>Report located; publisher/PubMed content sufficient for scoped adjudication</t>
        </is>
      </c>
      <c r="I111" s="4" t="n"/>
      <c r="J111" s="4" t="inlineStr">
        <is>
          <t>Include</t>
        </is>
      </c>
      <c r="K111" s="4" t="n"/>
      <c r="L111" s="4" t="inlineStr">
        <is>
          <t>Revision asistida por IA (un revisor; requiere verificacion independiente)</t>
        </is>
      </c>
      <c r="M111" s="40" t="n">
        <v>46269</v>
      </c>
      <c r="N111" s="4" t="inlineStr">
        <is>
          <t>https://onlinelibrary.wiley.com/doi/10.1002/aur.70105</t>
        </is>
      </c>
      <c r="O111" s="4" t="inlineStr">
        <is>
          <t>Contenido evaluable suficiente revisado para adjudicacion/codificacion acotada; ver nivel exacto de fuente, evidencia y cautelas en Lote_04_25.</t>
        </is>
      </c>
      <c r="P111" s="4" t="inlineStr">
        <is>
          <t>Autism spectrum disorder (ASD) is characterized by impaired social interaction and communication skills, with semantic processing difficulties being a hallmark feature that significantly impacts social communication. While traditional neuroimaging studies have provided insights into language processing in ASD, ecological validity remains a challenge, particularly when assessing young children. This study introduces a novel approach to evaluate atypical semantic processing in children with ASD (aged 4–10 years) through electroencephalography (EEG) data collection during cartoon viewing, offering a more natural assessment environment. We developed an innovative methodology combining pretrained language models with regression techniques in a machine learning framework. The analysis incorporated the Six-dimensional Semantic Database system and EEG topographical mapping to investigate semantic processing preferences and neural mechanisms across various word dimensions. Our semantic processing model demonstrated robust performance with high sensitivity (91.3%) and moderate specificity (61.0%); findings successfully replicated in validation analysis. These results reveal distinct patterns in how children with ASD process semantic information, particularly in their integration and response to emotional semantic dimensions. These findings help us understand the language processing patterns in ASD and provide potential applications for auxiliary diagnosis in more natural settings, meeting important needs in clinical practice.</t>
        </is>
      </c>
    </row>
    <row r="112" ht="409" customHeight="1">
      <c r="A112" s="4" t="n">
        <v>254</v>
      </c>
      <c r="B112" s="4" t="n">
        <v>2026</v>
      </c>
      <c r="C112" s="4" t="inlineStr">
        <is>
          <t>Hybrid groupers-moray orangutan optimization algorithm-based dense-resolution network for autism spectrum disorder detection using multimodal data</t>
        </is>
      </c>
      <c r="D112" s="4" t="inlineStr">
        <is>
          <t>10.1016/j.pscychresns.2026.112204</t>
        </is>
      </c>
      <c r="E112" s="4" t="inlineStr">
        <is>
          <t>Urtti Bhagyalatha and Bidush Kumar Sahoo and Satish Muppidi</t>
        </is>
      </c>
      <c r="F112" s="4" t="inlineStr">
        <is>
          <t>Psychiatry Research - Neuroimaging</t>
        </is>
      </c>
      <c r="G112" s="4" t="inlineStr">
        <is>
          <t>Incluir provisionalmente</t>
        </is>
      </c>
      <c r="H112" s="4" t="inlineStr">
        <is>
          <t>Report located; publisher/PubMed content sufficient for scoped adjudication</t>
        </is>
      </c>
      <c r="I112" s="4" t="n"/>
      <c r="J112" s="4" t="inlineStr">
        <is>
          <t>Include</t>
        </is>
      </c>
      <c r="K112" s="4" t="n"/>
      <c r="L112" s="4" t="inlineStr">
        <is>
          <t>Revision asistida por IA (un revisor; requiere verificacion independiente)</t>
        </is>
      </c>
      <c r="M112" s="40" t="n">
        <v>46269</v>
      </c>
      <c r="N112" s="4" t="inlineStr">
        <is>
          <t>https://www.sciencedirect.com/science/article/pii/S0925492726000697</t>
        </is>
      </c>
      <c r="O112" s="4" t="inlineStr">
        <is>
          <t>Contenido evaluable suficiente revisado para adjudicacion/codificacion acotada; ver nivel exacto de fuente, evidencia y cautelas en Lote_04_25.</t>
        </is>
      </c>
      <c r="P112" s="4" t="inlineStr">
        <is>
          <t>Autism Spectrum Disorder (ASD) is a neurodevelopmental disorder involving cognitive and social impairments. Precise diagnosis is vital for effective intervention. However, conventional diagnostic techniques exhibited poor generalization, and high error rates while dealing with subtle patterns in neuroimaging or behavioral datasets. To resolve these concerns, this research introduces the Groupers and Moray Orangutan Optimization Algorithm based Dense-Resolution Network (GMOA-DRNet). The multimodal inputs consist of Magnetic Resonance Imaging (MRI) brain images and autism-related phenotypic data. Initially, input brain images are pre-processed by Geometric Mean filters and Region of Interest (RoI) extraction. Then, Functional connectivity-based pivotal region are identified using GMOA. After that, feature extraction is performed by Tamura features and Gradient Directional Pattern (GDP). Concurrently, autism-related data is normalized based on the hyperbolic tangent function, and relevant features are selected using ANOVA. Moreover, data augmentation is conducted using the Adaptive Synthetic Sampling Approach (ADASYN) technique. The extracted features and augmented data are used for ASD detection by the DRNet, trained using GMOA, which combines Groupers and Moray Eels Optimization (GMEO) and Orangutan Optimization Algorithm (OOA). Moreover, GMOA-DRNet achieved better performance with an accuracy of 92.77%, sensitivity of 92.52%, specificity of 92.77%, and a False Omission Rate (FOR) of 0.080.</t>
        </is>
      </c>
    </row>
    <row r="113" ht="409" customHeight="1">
      <c r="A113" s="4" t="n">
        <v>257</v>
      </c>
      <c r="B113" s="4" t="n">
        <v>2025</v>
      </c>
      <c r="C113" s="4" t="inlineStr">
        <is>
          <t>The Use of the Social Robot LOVOT for Children with Autism Spectrum Disorder: A Feasibility Study</t>
        </is>
      </c>
      <c r="D113" s="4" t="inlineStr">
        <is>
          <t>10.3233/SHTI251499</t>
        </is>
      </c>
      <c r="E113" s="4" t="inlineStr">
        <is>
          <t>Anders Bobo Larsen and Rasmus Birk Buhl and Kristina Ørtoft Müller and Birthe Dinesen</t>
        </is>
      </c>
      <c r="F113" s="4" t="inlineStr">
        <is>
          <t>Studies in Health Technology and Informatics</t>
        </is>
      </c>
      <c r="G113" s="4" t="inlineStr">
        <is>
          <t>Incluir provisionalmente</t>
        </is>
      </c>
      <c r="H113" s="4" t="inlineStr">
        <is>
          <t>Retrieved and reviewed</t>
        </is>
      </c>
      <c r="I113" s="4" t="n"/>
      <c r="J113" s="4" t="inlineStr">
        <is>
          <t>Include</t>
        </is>
      </c>
      <c r="K113" s="4" t="n"/>
      <c r="L113" s="4" t="inlineStr">
        <is>
          <t>Revisión asistida por IA (un revisor; requiere verificación independiente)</t>
        </is>
      </c>
      <c r="M113" s="40" t="n">
        <v>46269</v>
      </c>
      <c r="N113" s="4" t="inlineStr">
        <is>
          <t>https://doi.org/10.3233/shti251499</t>
        </is>
      </c>
      <c r="O113" s="4" t="inlineStr">
        <is>
          <t>Texto completo abierto con métodos y resultados suficientes; codificación en Extraccion_RQ_nuevos.</t>
        </is>
      </c>
      <c r="P113" s="4" t="inlineStr">
        <is>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specializes in special education programs for children with ASD. The interactions between children with ASD and the social robot were tested in individual sessions twice per week for a total of four weeks. Four children with ASD between 9-14 years were included (n=4). A triangulation of data collection techniques was used: Participant observation (n = 15 hours), children's questionnaire (n = 4), and semi-structured interviews with staff (n = 3). Findings: Findings can be summarized as follows: Acceptance of the social robot, positive changes in mood and behavior of children with ASD, a secure relationship, technical and practical issues to overcome, and ethical considerations. Conclusion: The professional staff saw a potential for using the robot with AI functionalities as a pedagogical tool for children with ASD.</t>
        </is>
      </c>
    </row>
    <row r="114" ht="409" customHeight="1">
      <c r="A114" s="4" t="n">
        <v>259</v>
      </c>
      <c r="B114" s="4" t="n">
        <v>2026</v>
      </c>
      <c r="C114" s="4" t="inlineStr">
        <is>
          <t>Data-Driven and Explainable Discovery of Autism Spectrum Disorder Patterns Across Age Groups</t>
        </is>
      </c>
      <c r="D114" s="4" t="inlineStr">
        <is>
          <t>10.1155/HBE2/1923339</t>
        </is>
      </c>
      <c r="E114" s="4" t="inlineStr">
        <is>
          <t>Md Anisur Rahman and Md Geaur Rahman and Uffe Kock Wiil and Md Anwarul Kaium Patwary and Mohammad Zavid Parvez and Shazia Rehman and Fadi Thabtah</t>
        </is>
      </c>
      <c r="F114" s="4" t="inlineStr">
        <is>
          <t>Human Behavior and Emerging Technologies</t>
        </is>
      </c>
      <c r="G114" s="4" t="inlineStr">
        <is>
          <t>Incluir provisionalmente</t>
        </is>
      </c>
      <c r="H114" s="4" t="inlineStr">
        <is>
          <t>Retrieved and reviewed</t>
        </is>
      </c>
      <c r="I114" s="4" t="n"/>
      <c r="J114" s="4" t="inlineStr">
        <is>
          <t>Include</t>
        </is>
      </c>
      <c r="K114" s="4" t="n"/>
      <c r="L114" s="4" t="inlineStr">
        <is>
          <t>Revisión asistida por IA (un revisor; requiere verificación independiente)</t>
        </is>
      </c>
      <c r="M114" s="40" t="n">
        <v>46269</v>
      </c>
      <c r="N114" s="4" t="inlineStr">
        <is>
          <t>https://doi.org/10.1155/hbe2/1923339</t>
        </is>
      </c>
      <c r="O114" s="4" t="inlineStr">
        <is>
          <t>Texto completo abierto con métodos y resultados suficientes; codificación en Extraccion_RQ_nuevos.</t>
        </is>
      </c>
      <c r="P114" s="4" t="inlineStr">
        <is>
          <t>Autism Spectrum Disorder (ASD) presents a complex and diverse challenge, with difficulties in social communication and restricted interests manifesting differently among children, adolescents and adults. The traditional ASD diagnosis is often time consuming and resource intensive, delaying access to crucial interventions. Early detection of ASD is vital, as it enables timely referral for comprehensive assessment and supports interventions during key developmental periods, greatly enhancing long-term outcomes. To address these challenges, this research presents three complementary studies examining ASD detection across children, adolescents and adults. Using the Autism Spectrum Quotient (AQ) short-form dataset encompassing behavioural, communication and self-reported indicators, each study applies decision tree machine learning models to identify behavioural screening patterns within each age group. Study 1 focuses on children, highlighting observable social and behavioural cues; Study 2 investigates adolescents, revealing transitional communication and self-awareness patterns; and Study 3 explores adults, emphasising subtle self-reported and behavioural markers. Across studies, interpretable models achieved strong classification accuracy while revealing developmental variations in ASD-related traits. Collectively, these findings enhance understanding of age-specific patterns in ASD expression, support earlier and more individualised screening and provide a foundation for designing tailored interventions that align with developmental milestones and improve overall care quality.</t>
        </is>
      </c>
    </row>
    <row r="115" ht="409" customHeight="1">
      <c r="A115" s="4" t="n">
        <v>261</v>
      </c>
      <c r="B115" s="4" t="n">
        <v>2025</v>
      </c>
      <c r="C115" s="4" t="inlineStr">
        <is>
          <t>Artificial Intelligence Networks Combining Histopathology and Machine Learning Can Extract Axon Pathology in Autism Spectrum Disorder</t>
        </is>
      </c>
      <c r="D115" s="4" t="inlineStr">
        <is>
          <t>10.1002/AUR.70135</t>
        </is>
      </c>
      <c r="E115" s="4" t="inlineStr">
        <is>
          <t>Arash Yazdanbakhsh and Kim T M Dang and Kelvin Kuang and Tingru Lian and Xuefeng Liu and Songlin Xie and Basilis Zikopoulos</t>
        </is>
      </c>
      <c r="F115" s="4" t="inlineStr">
        <is>
          <t>Autism Research</t>
        </is>
      </c>
      <c r="G115" s="4" t="inlineStr">
        <is>
          <t>Incluir provisionalmente</t>
        </is>
      </c>
      <c r="H115" s="4" t="inlineStr">
        <is>
          <t>Retrieved and reviewed</t>
        </is>
      </c>
      <c r="I115" s="4" t="n"/>
      <c r="J115" s="4" t="inlineStr">
        <is>
          <t>Include</t>
        </is>
      </c>
      <c r="K115" s="4" t="n"/>
      <c r="L115" s="4" t="inlineStr">
        <is>
          <t>Revisión asistida por IA (un revisor; requiere verificación independiente)</t>
        </is>
      </c>
      <c r="M115" s="40" t="n">
        <v>46269</v>
      </c>
      <c r="N115" s="4" t="inlineStr">
        <is>
          <t>https://onlinelibrary.wiley.com/doi/pdfdirect/10.1002/aur.70135</t>
        </is>
      </c>
      <c r="O115" s="4" t="inlineStr">
        <is>
          <t>Texto completo abierto con métodos y resultados suficientes; codificación en Extraccion_RQ_nuevos.</t>
        </is>
      </c>
      <c r="P115" s="4" t="inlineStr">
        <is>
          <t>Axon features that underlie the structural and functional organization of cortical pathways have distinct patterns in the brains of neurotypical controls (CTR) compared to individuals with Autism Spectrum Disorder (ASD). However, detailed axon study demands labor-intensive surveys and time-consuming analysis of microscopic sections from postmortem human brain tissue, making it challenging to systematically examine large regions of the brain. To address these challenges, we developed an approach that uses machine learning to automatically classify microscopic sections from ASD and CTR brains, while also considering different white matter regions: superficial white matter (SWM), which contains a majority of axons that connect nearby cortical areas, and deep white matter (DWM), which is comprised exclusively of axons that participate in long-range pathways. The result was a deep neural network that can successfully classify the white matter below the anterior cingulate cortex (ACC) of ASD and CTR groups with 98% accuracy, while also distinguishing between DWM and SWM pathway composition with high average accuracy, up to 80%. Examination of image regions important for network classification and misclassification, through sensitivity maps, along with multidimensional scaling analysis, helped identify key pathological markers of ASD and highlighted the spectrum of ASD heterogeneity and overlaps with neurotypical characteristics. Large datasets that can be used to expand training, validation, and testing of this network have the potential to automate high-resolution microscopic analysis of postmortem brain tissue, so that it can be used to systematically study white matter across brain regions in health and disease.</t>
        </is>
      </c>
    </row>
    <row r="116" ht="409" customHeight="1">
      <c r="A116" s="4" t="n">
        <v>262</v>
      </c>
      <c r="B116" s="4" t="n">
        <v>2026</v>
      </c>
      <c r="C116" s="4" t="inlineStr">
        <is>
          <t>Profiling Chinese children with symptoms of SpLD, ADHD, or ASD: a transdiagnostic and biopsychosocial study</t>
        </is>
      </c>
      <c r="D116" s="4" t="inlineStr">
        <is>
          <t>10.1186/s12888-025-07754-8</t>
        </is>
      </c>
      <c r="E116" s="4" t="inlineStr">
        <is>
          <t>Duo Liu and Ziqian Wei and Urs Maurer and Kevin Kien Hoa Chung and Jesus Alfonso D Datu and Liory Fern-Pollak and Taeko Wydell and Winnie Wan Yee Tso and Fenghua Sun and Lirong Luo and Li Chih Wang and Yen Na Yum and Guandong Xu and Su Li</t>
        </is>
      </c>
      <c r="F116" s="4" t="inlineStr">
        <is>
          <t>BMC Psychiatry</t>
        </is>
      </c>
      <c r="G116" s="4" t="inlineStr">
        <is>
          <t>Incluir provisionalmente</t>
        </is>
      </c>
      <c r="H116" s="4" t="inlineStr">
        <is>
          <t>Retrieved and reviewed</t>
        </is>
      </c>
      <c r="I116" s="4" t="n"/>
      <c r="J116" s="4" t="inlineStr">
        <is>
          <t>Include</t>
        </is>
      </c>
      <c r="K116" s="4" t="n"/>
      <c r="L116" s="4" t="inlineStr">
        <is>
          <t>Revisión asistida por IA (un revisor; requiere verificación independiente)</t>
        </is>
      </c>
      <c r="M116" s="40" t="n">
        <v>46269</v>
      </c>
      <c r="N116" s="4" t="inlineStr">
        <is>
          <t>https://doi.org/10.1186/s12888-025-07754-8</t>
        </is>
      </c>
      <c r="O116" s="4" t="inlineStr">
        <is>
          <t>Texto completo abierto con métodos y resultados suficientes; codificación en Extraccion_RQ_nuevos.</t>
        </is>
      </c>
      <c r="P116" s="4" t="inlineStr">
        <is>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Following the transdiagnostic approach and biopsychosocial model, this study aims to cluster and profile children with these symptoms via cognitive, psychological, and ecological factors, using an unsupervised machine learning algorithm. Methods: Based on parent-report checklists, 267 Chinese primary school children in Grades 1–4 with at least one type of NDD symptoms were identified (164 boys; age in months: M = 102, SD = 17.30) from a bigger dataset (N = 1,034). A typically developing (TD) control group was created and matched with the NDD group in terms of age, gender, nonverbal IQ, and family socioeconomic status (SES). By using exploratory and confirmatory analyses, executive functioning, visual processing, and linguistic skills were extracted as cognitive factors, while internalising problems, externalising problems, positive child-parent relationships, and negative child-parent relationships were extracted as psychological and ecological factors. Results: K-means clustering based on the seven extracted core factors identified five distinct clusters. Three clusters exhibited specific cognitive weaknesses, while the other two mainly showed psychosocial problems. Two severe-symptom groups (i.e., the Linguistic Difficulties group and the Psychosocial Difficulties group) also demonstrated worse academic and mental health outcomes. Conclusions: Our findings demonstrate the potential to focus on symptoms beyond diagnostic labels, as well as the inclusion of psychosocial factors alongside cognitive ones, thereby contributing to the design of more targeted and comprehensive support for children with special education needs and informing current inclusive education practice in China. Clinical trial number: Not applicable.</t>
        </is>
      </c>
    </row>
    <row r="117" ht="409" customHeight="1">
      <c r="A117" s="4" t="n">
        <v>263</v>
      </c>
      <c r="B117" s="4" t="n">
        <v>2026</v>
      </c>
      <c r="C117" s="4" t="inlineStr">
        <is>
          <t>Enhancing Psychological Assessments with Open-Ended Questionnaires and Large Language Models: An ASD Case Study</t>
        </is>
      </c>
      <c r="D117" s="4" t="inlineStr">
        <is>
          <t>10.1109/JBHI.2025.3599643</t>
        </is>
      </c>
      <c r="E117" s="4" t="inlineStr">
        <is>
          <t>Alberto Altozano and Maria Eleonora Minissi and Lucía Gómez-Zaragozá and Luna Maddalon and Mariano Alcañiz and Javier Marin-Morales</t>
        </is>
      </c>
      <c r="F117" s="4" t="inlineStr">
        <is>
          <t>IEEE Journal of Biomedical and Health Informatics</t>
        </is>
      </c>
      <c r="G117" s="4" t="inlineStr">
        <is>
          <t>Incluir provisionalmente</t>
        </is>
      </c>
      <c r="H117" s="4" t="inlineStr">
        <is>
          <t>Retrieved and reviewed</t>
        </is>
      </c>
      <c r="I117" s="4" t="n"/>
      <c r="J117" s="4" t="inlineStr">
        <is>
          <t>Include</t>
        </is>
      </c>
      <c r="K117" s="4" t="n"/>
      <c r="L117" s="4" t="inlineStr">
        <is>
          <t>Revisión asistida por IA (un revisor; requiere verificación independiente)</t>
        </is>
      </c>
      <c r="M117" s="40" t="n">
        <v>46269</v>
      </c>
      <c r="N117" s="4" t="inlineStr">
        <is>
          <t>https://doi.org/10.1109/jbhi.2025.3599643</t>
        </is>
      </c>
      <c r="O117" s="4" t="inlineStr">
        <is>
          <t>Texto completo abierto con métodos y resultados suficientes; codificación en Extraccion_RQ_nuevos.</t>
        </is>
      </c>
      <c r="P117" s="4" t="inlineStr">
        <is>
          <t>Open-ended questionnaires allow respondents to express freely, capturing richer information than close-ended formats, but they are harder to analyze. Recent natural language processing advancements enable automatic assessment of open-ended responses, yet its use in psychological classification is underexplored. This study proposes a methodology using pre-trained large language models (LLMs) for automatic classification of open-ended questionnaires, applied to autism spectrum disorder (ASD) classification via parental reports. We compare multiple training strategies using transcribed responses from 51 parents (26 with typically developing children, 25 with ASD), exploring variations in model fine-tuning, input representation, and specificity. Subject-level predictions are derived by aggregating 12 individual question responses. Our best approach achieved 84% subject-wise accuracy and 1.0 ROC-AUC using an OpenAI embedding model, per-question training, including questions in the input, and combining the predictions with a voting system. In addition, a zero-shot evaluation using GPT-4o was conducted, yielding comparable results, underscoring the potential of both compact, local models and large out-of-the-box LLMs. To enhance transparency, we explored interpretability methods. Proprietary LLMs like GPT-4o offered no direct explanation, and OpenAI embedding models showed limited interpretability. However, locally deployable LLMs provided the highest interpretability. This highlights a trade-off between proprietary models' performance and local models' explainability. Our findings validate LLMs for automatically classifying open-ended questionnaires, offering a scalable, cost-effective complement for ASD assessment. These results suggest broader applicability for psychological analysis of other conditions, advancing LLM use in mental health research.</t>
        </is>
      </c>
    </row>
    <row r="118" ht="409" customHeight="1">
      <c r="A118" s="4" t="n">
        <v>266</v>
      </c>
      <c r="B118" s="4" t="n">
        <v>2026</v>
      </c>
      <c r="C118" s="4" t="inlineStr">
        <is>
          <t>Machine Learning-Based Early Prediction Model for Autism Spectrum Disorder in Infants Using Acoustic Feature</t>
        </is>
      </c>
      <c r="D118" s="4" t="inlineStr">
        <is>
          <t>10.1002/AUR.70179</t>
        </is>
      </c>
      <c r="E118" s="4" t="inlineStr">
        <is>
          <t>Shengjian Yin and Zhijia Li and Luyang Guan and Zenghe Yue and Jincen Wang and Jinyi Zhu and Yazhu Han and Qian Li and Lan Lin and Yaxin Dai and Haozhen Chen and Yuheng Chen and Yun Li and Xiaoyan Ke</t>
        </is>
      </c>
      <c r="F118" s="4" t="inlineStr">
        <is>
          <t>Autism Research</t>
        </is>
      </c>
      <c r="G118" s="4" t="inlineStr">
        <is>
          <t>Incluir provisionalmente</t>
        </is>
      </c>
      <c r="H118" s="4" t="inlineStr">
        <is>
          <t>Report located; publisher/PubMed content sufficient for scoped adjudication</t>
        </is>
      </c>
      <c r="I118" s="4" t="n"/>
      <c r="J118" s="4" t="inlineStr">
        <is>
          <t>Include</t>
        </is>
      </c>
      <c r="K118" s="4" t="n"/>
      <c r="L118" s="4" t="inlineStr">
        <is>
          <t>Revision asistida por IA (un revisor; requiere verificacion independiente)</t>
        </is>
      </c>
      <c r="M118" s="40" t="n">
        <v>46269</v>
      </c>
      <c r="N118" s="4" t="inlineStr">
        <is>
          <t>https://pubmed.ncbi.nlm.nih.gov/41502369/</t>
        </is>
      </c>
      <c r="O118" s="4" t="inlineStr">
        <is>
          <t>Contenido evaluable suficiente revisado para adjudicacion/codificacion acotada; ver nivel exacto de fuente, evidencia y cautelas en Lote_04_25.</t>
        </is>
      </c>
      <c r="P118" s="4" t="inlineStr">
        <is>
          <t>This study aimed to create a machine learning-based predictive model for early detection of autism spectrum disorder (ASD) in infants using acoustic features. Conducted as a prospective cohort at Nanjing Medical University from 2019 to 2024, infants aged 9–18 months from an ASD sibling cohort participated. Behavioral and vocalization data were gathered during the Still-Face Paradigm, with ASD diagnoses confirmed at 36 months through ADOS and ADI-R assessments. Researchers extracted 4368 acoustic features from the recordings and applied LASSO regression for dimensionality reduction, identifying 39 key features. A support vector machine (SVM) classifier was then developed, tested with four kernel functions—linear, radial basis function, polynomial, and sigmoid—via tenfold cross-validation. The final sample included 88 infants, 28 of whom were diagnosed with ASD. The sigmoid kernel yielded the best results, achieving a 92.86% sensitivity, 93.33% specificity, and a 93.18% accuracy. Notably, spectral and energy-related features were significantly higher in ASD infants (p &lt; 0.01). These findings suggest that acoustic features can serve as early, noninvasive biomarkers for ASD, and the SVM model demonstrates significant promise for early screening and intervention efforts.</t>
        </is>
      </c>
    </row>
    <row r="119" ht="409" customHeight="1">
      <c r="A119" s="4" t="n">
        <v>268</v>
      </c>
      <c r="B119" s="4" t="n">
        <v>2025</v>
      </c>
      <c r="C119" s="4" t="inlineStr">
        <is>
          <t>Compact subsets of autism screening items predict clinical diagnoses with a machine learning analysis of the QCHAT-10</t>
        </is>
      </c>
      <c r="D119" s="4" t="inlineStr">
        <is>
          <t>10.1038/s41598-025-26131-9</t>
        </is>
      </c>
      <c r="E119" s="4" t="inlineStr">
        <is>
          <t>Lydia J Sollis and Dennis P Wall and Peter Y Washington</t>
        </is>
      </c>
      <c r="F119" s="4" t="inlineStr">
        <is>
          <t>Scientific Reports</t>
        </is>
      </c>
      <c r="G119" s="4" t="inlineStr">
        <is>
          <t>Incluir provisionalmente</t>
        </is>
      </c>
      <c r="H119" s="4" t="inlineStr">
        <is>
          <t>Retrieved and reviewed</t>
        </is>
      </c>
      <c r="I119" s="4" t="n"/>
      <c r="J119" s="4" t="inlineStr">
        <is>
          <t>Include</t>
        </is>
      </c>
      <c r="K119" s="4" t="n"/>
      <c r="L119" s="4" t="inlineStr">
        <is>
          <t>Revisión asistida por IA (un revisor; requiere verificación independiente)</t>
        </is>
      </c>
      <c r="M119" s="40" t="n">
        <v>46269</v>
      </c>
      <c r="N119" s="4" t="inlineStr">
        <is>
          <t>https://www.nature.com/articles/s41598-025-26131-9.pdf</t>
        </is>
      </c>
      <c r="O119" s="4" t="inlineStr">
        <is>
          <t>Texto completo abierto con métodos y resultados suficientes; codificación en Extraccion_RQ_nuevos.</t>
        </is>
      </c>
      <c r="P119" s="4" t="inlineStr">
        <is>
          <t>Early identification improves life outcomes for individuals with autism. This study addresses a central question: do compact subsets of the most predictive QCHAT-10 items, when fed into machine learning (ML) models trained to reproduce the full questionnaire’s screening result, generalize to predicting clinician-established autism diagnoses in independent clinical settings? We applied ML to the 10-question QCHAT-10, training models on New Zealand (n = 1054) and Saudi Arabian (n = 506) datasets with QCHAT-derived labels and testing on Polish data with clinical diagnoses (n = 252). Recursive Feature Elimination identified four-item models retaining three common features: eye contact, following gaze direction, and pretend play. When tested on clinically-diagnosed Polish cases at the 0.3 prediction threshold, the New Zealand model achieved an AUROC of 85% ± 13 (sensitivity 91%, specificity 50%), while the Saudi model reached 87% ± 11 (sensitivity 84%, specificity 80%), compared to the Polish four-item model’s cross-validation AUROC of 91% ± 5. These findings demonstrate partial transfer from the prediction of assessment scores to clinical diagnosis. The convergence on eye contact, gaze following, and pretend play suggests these behaviors represent robust autism risk markers. Compact assessment tools offer advantages, including reduced burden, shortened administration, and simplified deployment, with direct applications for targeted digital phenotyping.</t>
        </is>
      </c>
    </row>
    <row r="120" ht="409" customHeight="1">
      <c r="A120" s="4" t="n">
        <v>269</v>
      </c>
      <c r="B120" s="4" t="n">
        <v>2026</v>
      </c>
      <c r="C120" s="4" t="inlineStr">
        <is>
          <t>Predicting fine motor deficit in autism by measuring brain activities and characterizing motor impairments</t>
        </is>
      </c>
      <c r="D120" s="4" t="inlineStr">
        <is>
          <t>10.1016/j.compbiomed.2026.111470</t>
        </is>
      </c>
      <c r="E120" s="4" t="inlineStr">
        <is>
          <t>Zaibunnisa L H Malik and Pooja Raundale</t>
        </is>
      </c>
      <c r="F120" s="4" t="inlineStr">
        <is>
          <t>Computers in Biology and Medicine</t>
        </is>
      </c>
      <c r="G120" s="4" t="inlineStr">
        <is>
          <t>Incluir provisionalmente</t>
        </is>
      </c>
      <c r="H120" s="4" t="inlineStr">
        <is>
          <t>Report located; publisher/PubMed content sufficient for scoped adjudication</t>
        </is>
      </c>
      <c r="I120" s="4" t="n"/>
      <c r="J120" s="4" t="inlineStr">
        <is>
          <t>Include</t>
        </is>
      </c>
      <c r="K120" s="4" t="n"/>
      <c r="L120" s="4" t="inlineStr">
        <is>
          <t>Revision asistida por IA (un revisor; requiere verificacion independiente)</t>
        </is>
      </c>
      <c r="M120" s="40" t="n">
        <v>46269</v>
      </c>
      <c r="N120" s="4" t="inlineStr">
        <is>
          <t>https://www.sciencedirect.com/science/article/abs/pii/S0010482526000314</t>
        </is>
      </c>
      <c r="O120" s="4" t="inlineStr">
        <is>
          <t>Contenido evaluable suficiente revisado para adjudicacion/codificacion acotada; ver nivel exacto de fuente, evidencia y cautelas en Lote_04_25. PubMed lo indexa como Review, pero el articulo del editor contiene Methods, Data collection y Results de un estudio primario; conflicto documentado para verificacion humana.</t>
        </is>
      </c>
      <c r="P120" s="4" t="inlineStr">
        <is>
          <t>Motor impairments affect approximately 86.9% of children with Autism Spectrum Disorder (ASD), often persisting into adolescence and increasing the risk of Developmental Coordination Disorder (DCD). Despite their prevalence, only 31.6% of affected individuals receive physical therapy, underscoring a critical gap in early intervention. Traditional methods for diagnosing Fine Motor Deficits (FMD) are often time-consuming and costly, necessitating the adoption of data-driven approaches. This study introduces a machine learning framework for the rapid and reliable prediction of fine motor impairments in adolescents with ASD. By integrating EEG-based neurophysiological signals, behavioral assessments, and motor coordination tests, the study evaluates five classification models—Logistic Regression, Support Vector Machine, K-Nearest Neighbors, Random Forest, and Neural Network. Among these, Logistic Regression achieved the highest accuracy (95.84%), demonstrating strong predictive power for identifying fine motor deficits. The proposed framework enhances the efficiency of FMD screening and provides an interpretable model for potential clinical use in early ASD diagnosis.</t>
        </is>
      </c>
    </row>
    <row r="121" ht="409" customHeight="1">
      <c r="A121" s="4" t="n">
        <v>270</v>
      </c>
      <c r="B121" s="4" t="n">
        <v>2026</v>
      </c>
      <c r="C121" s="4" t="inlineStr">
        <is>
          <t>Diagnosing autism spectrum disorders using ensemble-aided weighted fused features and attention-based residual LSTM with brain MRI images</t>
        </is>
      </c>
      <c r="D121" s="4" t="inlineStr">
        <is>
          <t>10.1016/j.pscychresns.2026.112230</t>
        </is>
      </c>
      <c r="E121" s="4" t="inlineStr">
        <is>
          <t>Nandhini V and Ananthajothi K</t>
        </is>
      </c>
      <c r="F121" s="4" t="inlineStr">
        <is>
          <t>Psychiatry Research - Neuroimaging</t>
        </is>
      </c>
      <c r="G121" s="4" t="inlineStr">
        <is>
          <t>Incluir provisionalmente</t>
        </is>
      </c>
      <c r="H121" s="4" t="inlineStr">
        <is>
          <t>Report located; publisher/PubMed content sufficient for scoped adjudication</t>
        </is>
      </c>
      <c r="I121" s="4" t="n"/>
      <c r="J121" s="4" t="inlineStr">
        <is>
          <t>Include</t>
        </is>
      </c>
      <c r="K121" s="4" t="n"/>
      <c r="L121" s="4" t="inlineStr">
        <is>
          <t>Revision asistida por IA (un revisor; requiere verificacion independiente)</t>
        </is>
      </c>
      <c r="M121" s="40" t="n">
        <v>46269</v>
      </c>
      <c r="N121" s="4" t="inlineStr">
        <is>
          <t>https://www.sciencedirect.com/science/article/pii/S0925492726000958</t>
        </is>
      </c>
      <c r="O121" s="4" t="inlineStr">
        <is>
          <t>Contenido evaluable suficiente revisado para adjudicacion/codificacion acotada; ver nivel exacto de fuente, evidencia y cautelas en Lote_04_25.</t>
        </is>
      </c>
      <c r="P121" s="4" t="inlineStr">
        <is>
          <t>One of the neuro-developmental conditions is called Autism Spectrum Disorder (ASD), which causes changes in the behavior of the patients, and it delays language and social interactions. Details about the functional activity of the brain are provided by Magnetic Resonance Imaging (MRI). Studying each MRI scan of the patients is laborious and time‐consuming for doctors and specialists. To tackle these limitations, this paper develops an advanced deep learning diagnosis method. In the beginning, the necessary MRI images are gathered from the available data resource. The input brain images are subjected to an Ensemble Deep Convolutional Neural Network (EDCNN) for feature extraction, which makes the diagnosis easier by reducing the complexities. The ensemble model is created by the integration of the Visual Geometry Group (VGG16), Residual Network (ResNet), and Inception approaches. Further, the resultant features are fused with weights that are optimized using the Improved Random Uniform Number-aided Humboldt Squid Optimization Algorithm (IRUN-HSOA); thus, the weighted fused feature is obtained. The resultant weighted fused feature is fed into Attention-based Residual Long Short-Term Memory (ARLSTM) for the ASD diagnosis. Further, the developed model is compared with different state-of-the-art techniques, and the suitability of the model is discussed for prospects.</t>
        </is>
      </c>
    </row>
    <row r="122" ht="409" customHeight="1">
      <c r="A122" s="4" t="n">
        <v>271</v>
      </c>
      <c r="B122" s="4" t="n">
        <v>2025</v>
      </c>
      <c r="C122" s="4" t="inlineStr">
        <is>
          <t>Early Autism Spectrum Disorder Detection Using SMOTE-Enhanced 1D-CNN and Behavioral Screening Data</t>
        </is>
      </c>
      <c r="D122" s="4" t="inlineStr">
        <is>
          <t>10.1155/AHCI/1316854</t>
        </is>
      </c>
      <c r="E122" s="4" t="inlineStr">
        <is>
          <t>Ahlam Alghamdi and Samia Dardouri</t>
        </is>
      </c>
      <c r="F122" s="4" t="inlineStr">
        <is>
          <t>Advances in Human-Computer Interaction</t>
        </is>
      </c>
      <c r="G122" s="4" t="inlineStr">
        <is>
          <t>Incluir provisionalmente</t>
        </is>
      </c>
      <c r="H122" s="4" t="inlineStr">
        <is>
          <t>Retrieved and reviewed</t>
        </is>
      </c>
      <c r="I122" s="4" t="n"/>
      <c r="J122" s="4" t="inlineStr">
        <is>
          <t>Include</t>
        </is>
      </c>
      <c r="K122" s="4" t="n"/>
      <c r="L122" s="4" t="inlineStr">
        <is>
          <t>Revision asistida por IA (un revisor; requiere verificacion independiente)</t>
        </is>
      </c>
      <c r="M122" s="40" t="n">
        <v>46269</v>
      </c>
      <c r="N122" s="4" t="inlineStr">
        <is>
          <t>https://onlinelibrary.wiley.com/doi/10.1155/ahci/1316854</t>
        </is>
      </c>
      <c r="O122" s="4" t="inlineStr">
        <is>
          <t>Contenido evaluable suficiente revisado para adjudicacion/codificacion acotada; ver nivel exacto de fuente, evidencia y cautelas en Lote_04_25.</t>
        </is>
      </c>
      <c r="P122" s="4" t="inlineStr">
        <is>
          <t>Autism spectrum disorder (ASD) encompasses a range of neurodevelopmental conditions characterized by difficulties in social interaction, repetitive behaviors, speech, and nonverbal communication. Affecting approximately 1 in 36 children globally, ASD poses significant diagnostic challenges, particularly in early childhood, due to the absence of definitive medical tests. Current diagnostic practices rely heavily on behavioral observations and developmental history, often leading to delays in intervention. Early and accurate detection is essential for initiating timely support and improving developmental outcomes. In this study, we present a novel deep learning framework that integrates a one-dimensional convolutional neural network (1D-CNN) with the synthetic minority oversampling technique (SMOTE) to detect ASD using only 10 behavioral screening features (A1–A10). The dataset, derived from publicly available screening questionnaires, exhibited significant class imbalance, which was mitigated using SMOTE to improve model sensitivity and fairness. The proposed CNN + SMOTE model demonstrated superior performance, achieving an accuracy of 99.31%, surpassing traditional classifiers such as random forest (98.0%) and XGBoost (98.5%). Model evaluation was conducted using standard metrics including accuracy, precision, recall, F1-score, and AUC, with validation via k-fold cross-validation. The results underscore the effectiveness of lightweight deep learning models augmented by oversampling techniques in developing accurate, interpretable, and scalable tools for ASD screening particularly in resource-limited settings where access to advanced diagnostic technologies may be constrained.</t>
        </is>
      </c>
    </row>
    <row r="123" ht="112" customHeight="1">
      <c r="A123" s="4" t="n">
        <v>273</v>
      </c>
      <c r="B123" s="4" t="n">
        <v>2026</v>
      </c>
      <c r="C123" s="4" t="inlineStr">
        <is>
          <t>Optimizing Autism Spectrum Disorder Diagnosis with VGG16-Based Facial Landmark Recognition</t>
        </is>
      </c>
      <c r="D123" s="4" t="inlineStr">
        <is>
          <t>10.1016/j.procs.2026.06.483</t>
        </is>
      </c>
      <c r="E123" s="4" t="inlineStr">
        <is>
          <t>Renuka Tantry and Rama Moorthy H and Krishnaraj Rao N S and Shreenath Acharya and Raghunandan K R and Sardar M N Islam</t>
        </is>
      </c>
      <c r="F123" s="4" t="inlineStr">
        <is>
          <t>Procedia Computer Science</t>
        </is>
      </c>
      <c r="G123" s="4" t="inlineStr">
        <is>
          <t>Incluir provisionalmente</t>
        </is>
      </c>
      <c r="H123" s="4" t="inlineStr">
        <is>
          <t>Report located; publisher/PubMed content sufficient for scoped adjudication</t>
        </is>
      </c>
      <c r="I123" s="4" t="n"/>
      <c r="J123" s="4" t="inlineStr">
        <is>
          <t>Include</t>
        </is>
      </c>
      <c r="K123" s="4" t="n"/>
      <c r="L123" s="4" t="inlineStr">
        <is>
          <t>Revision asistida por IA (un revisor; requiere verificacion independiente)</t>
        </is>
      </c>
      <c r="M123" s="40" t="n">
        <v>46269</v>
      </c>
      <c r="N123" s="4" t="inlineStr">
        <is>
          <t>https://www.sciencedirect.com/science/article/pii/S1877050926021162</t>
        </is>
      </c>
      <c r="O123" s="4" t="inlineStr">
        <is>
          <t>Contenido evaluable suficiente revisado para adjudicacion/codificacion acotada; ver nivel exacto de fuente, evidencia y cautelas en Lote_04_25.</t>
        </is>
      </c>
      <c r="P123" s="4" t="n"/>
    </row>
    <row r="124" ht="409" customHeight="1">
      <c r="A124" s="4" t="n">
        <v>275</v>
      </c>
      <c r="B124" s="4" t="n">
        <v>2025</v>
      </c>
      <c r="C124" s="4" t="inlineStr">
        <is>
          <t>Machine Learning Techniques to Uncover Sociodemographic Risk Factors of Autism Spectrum Disorder (ASD) Among Children and Adolescents in Bangladesh</t>
        </is>
      </c>
      <c r="D124" s="4" t="inlineStr">
        <is>
          <t>10.1155/ACIS/6410913</t>
        </is>
      </c>
      <c r="E124" s="4" t="inlineStr">
        <is>
          <t>Md Neaz Ali and Suman Biswas</t>
        </is>
      </c>
      <c r="F124" s="4" t="inlineStr">
        <is>
          <t>Applied Computational Intelligence and Soft Computing</t>
        </is>
      </c>
      <c r="G124" s="4" t="inlineStr">
        <is>
          <t>Incluir provisionalmente</t>
        </is>
      </c>
      <c r="H124" s="4" t="inlineStr">
        <is>
          <t>Retrieved and reviewed</t>
        </is>
      </c>
      <c r="I124" s="4" t="n"/>
      <c r="J124" s="4" t="inlineStr">
        <is>
          <t>Include</t>
        </is>
      </c>
      <c r="K124" s="4" t="n"/>
      <c r="L124" s="4" t="inlineStr">
        <is>
          <t>Revision asistida por IA (un revisor; requiere verificacion independiente)</t>
        </is>
      </c>
      <c r="M124" s="40" t="n">
        <v>46269</v>
      </c>
      <c r="N124" s="4" t="inlineStr">
        <is>
          <t>https://onlinelibrary.wiley.com/doi/10.1155/acis/6410913</t>
        </is>
      </c>
      <c r="O124" s="4" t="inlineStr">
        <is>
          <t>Contenido evaluable suficiente revisado para adjudicacion/codificacion acotada; ver nivel exacto de fuente, evidencia y cautelas en Lote_04_25.</t>
        </is>
      </c>
      <c r="P124" s="4" t="inlineStr">
        <is>
          <t>Autism spectrum disorder (ASD) is a neurodevelopmental illness that impairs children’s cognitive, linguistic, and social abilities. While a cure for ASD remains elusive, determining its crucial risk factors and corresponding preventive measures can aid in lessening its incidence and severity. Therefore, the objective of this study is to determine the most significant sociodemographic risk factors associated with ASD among Bangladeshi children and adolescents. In particular, it evaluates the effectiveness of various machine learning classifiers and explores feature selection techniques to identify the most dominant predictors of ASD. To accomplish this, two feature selection strategies—chi-square and F-classify—were applied to extract the most significant features, followed by training eight different machine learning algorithms on full and reduced datasets. Rigorous evaluation using eight distinct metrics revealed that the tree-based algorithm, especially the decision tree, when trained on the F-classify feature subset, exhibited superior performance, achieving the highest accuracy and precision of 99.4%. The most influential features associated with ASD included maternal age, stress during pregnancy, parental illness, family history of ASD, birth asphyxia, and consanguinity.</t>
        </is>
      </c>
    </row>
    <row r="125" ht="409" customHeight="1">
      <c r="A125" s="4" t="n">
        <v>277</v>
      </c>
      <c r="B125" s="4" t="n">
        <v>2026</v>
      </c>
      <c r="C125" s="4" t="inlineStr">
        <is>
          <t>A comprehensive causal and machine learning framework for autism spectrum disorder risk prediction and high-risk subgroup identification from children with chronic health and genetic disorders in the United States</t>
        </is>
      </c>
      <c r="D125" s="4" t="inlineStr">
        <is>
          <t>10.1016/j.reia.2026.202826</t>
        </is>
      </c>
      <c r="E125" s="4" t="inlineStr">
        <is>
          <t>Md Roungu Ahmmad and Harry Pantazopoulos and Sahil Hareshbhai Kothiya</t>
        </is>
      </c>
      <c r="F125" s="4" t="inlineStr">
        <is>
          <t>Research in Autism</t>
        </is>
      </c>
      <c r="G125" s="4" t="inlineStr">
        <is>
          <t>Incluir provisionalmente</t>
        </is>
      </c>
      <c r="H125" s="4" t="inlineStr">
        <is>
          <t>Report located; publisher/PubMed content sufficient for scoped adjudication</t>
        </is>
      </c>
      <c r="I125" s="4" t="n"/>
      <c r="J125" s="4" t="inlineStr">
        <is>
          <t>Include</t>
        </is>
      </c>
      <c r="K125" s="4" t="n"/>
      <c r="L125" s="4" t="inlineStr">
        <is>
          <t>Revision asistida por IA (un revisor; requiere verificacion independiente)</t>
        </is>
      </c>
      <c r="M125" s="40" t="n">
        <v>46269</v>
      </c>
      <c r="N125" s="4" t="inlineStr">
        <is>
          <t>https://www.sciencedirect.com/science/article/pii/S3050656526000404</t>
        </is>
      </c>
      <c r="O125" s="4" t="inlineStr">
        <is>
          <t>Contenido evaluable suficiente revisado para adjudicacion/codificacion acotada; ver nivel exacto de fuente, evidencia y cautelas en Lote_04_25.</t>
        </is>
      </c>
      <c r="P125" s="4" t="inlineStr">
        <is>
          <t>Purpose: Autism Spectrum Disorder (ASD) is a complex neurodevelopmental condition often accompanied by diverse comorbidities. This study aimed to develop and evaluate a machine learning framework to identify key predictors of ASD and characterize disease–disease relationships. Methods: We analyzed 2022–2023 National Survey of Children's Health (NSCH) data. Propensity score matching (PSM) was applied to reduce confounding and approximate a randomized controlled design. Multiple machine learning algorithms were implemented to identify important predictors and assess disease–disease interactions. Model performance was evaluated using receiver operating characteristic (ROC) curves, calibration plots, and cross-validation. Results: In matched cohorts, epilepsy showed the strongest association with ASD (20.0 % vs. 6.1 %; OR = 3.85, 95 % CI: 2.88–5.20). Down syndrome (DS) (14.5 % vs. 4.7 %; OR = 3.45, 95 % CI: 1.75–7.30) and congenital heart disease (CHD) (7.5 % vs. 5.4 %; OR = 1.42, 95 % CI: 1.14–1.77) were also significant, whereas diabetes, cystic fibrosis, and allergies demonstrated no consistent associations. Across machine learning analyses, epilepsy consistently emerged as the top predictor, with DS and CHD also ranked highly. Children with both epilepsy and CHD represented the highest-risk subgroup (&gt;32 %), while those without epilepsy but with both allergies and CHD had moderate risk (&gt;10 %). Model discrimination was good (AUC = 0.771) with satisfactory calibration. Conclusion: Epilepsy is the strongest predictor of ASD, with epilepsy - CHD comorbidity conferring the highest-risk subgroup, whereas no epilepsy but allergies and CHD represented moderate-risk groups. This framework highlights the value of advanced analytics for early identification and targeted interventions in vulnerable populations.</t>
        </is>
      </c>
    </row>
    <row r="126" ht="409" customHeight="1">
      <c r="A126" s="4" t="n">
        <v>279</v>
      </c>
      <c r="B126" s="4" t="n">
        <v>2026</v>
      </c>
      <c r="C126" s="4" t="inlineStr">
        <is>
          <t>Composite AI for Predictive Analysis of Autism Spectrum Disorder Using Facial Features</t>
        </is>
      </c>
      <c r="D126" s="4" t="inlineStr">
        <is>
          <t>10.1002/9781394393060.CH12</t>
        </is>
      </c>
      <c r="E126" s="4" t="inlineStr">
        <is>
          <t>S Usharani and A Ganesh and N Muralidharan and G Glorindal</t>
        </is>
      </c>
      <c r="F126" s="4" t="inlineStr">
        <is>
          <t>Composite Artificial Intelligence: Fundamentals, Challenges and Applications</t>
        </is>
      </c>
      <c r="G126" s="4" t="inlineStr">
        <is>
          <t>Incluir provisionalmente</t>
        </is>
      </c>
      <c r="H126" s="4" t="inlineStr">
        <is>
          <t>Report located; publication type resolved</t>
        </is>
      </c>
      <c r="I126" s="4" t="n"/>
      <c r="J126" s="4" t="inlineStr">
        <is>
          <t>Exclude</t>
        </is>
      </c>
      <c r="K126" s="4" t="inlineStr">
        <is>
          <t>Capítulo autónomo de libro editado fuera de los tipos de publicación elegibles definidos por el protocolo. El protocolo incluye artículos de revista revisados por pares y papers completos revisados por pares publicados en actas/proceedings de congreso. La exclusión se basa en el tipo de publicación, no en ausencia de contenido empírico.</t>
        </is>
      </c>
      <c r="L126" s="4" t="inlineStr">
        <is>
          <t>Revision asistida por IA (un revisor; requiere verificacion independiente)</t>
        </is>
      </c>
      <c r="M126" s="40" t="n">
        <v>46269</v>
      </c>
      <c r="N126" s="4" t="inlineStr">
        <is>
          <t>https://scrivenerpublishing.com/cart/title.php?id=1248</t>
        </is>
      </c>
      <c r="O126" s="4" t="inlineStr">
        <is>
          <t>Contenido editorial suficiente revisado para adjudicar exclusion por tipo de publicacion; ver evidencia y cautelas en Lote_04_25. Criterio de tipo de publicación reconciliado el 2026-09-07.</t>
        </is>
      </c>
      <c r="P126" s="4" t="inlineStr">
        <is>
          <t>This chapter presents the composite artificial intelligence (AI) techniques in the face feature analysis for the autism spectrum disorder (ASD) prediction model. This research utilizes various AI techniques like facial feature recognition and deep learning to raise the precision of diagnosis owing to the inherent difficulty of diagnosing ASD. The chapter sets forth key phases like data acquisition, preprocessing, and model construction while concentrating on the identification of relevant face traits showing their link to ASD. Such advanced models consider predictive potential, focusing on Xception and VGG19. Convolutional Neural Networks (CNNs) recognize and categorize facial features. This is done in the chapter where different performance models are assessed to find out how effective they are in discriminating ASD cases from typically developing individuals in terms of accuracy, sensitivity, and specificity. In the end, it would be comprised of Composite AI and facial recognition which would be a very promising step towards the early identification of ASD without any invasive techniques as well as more effective clinical outcomes.</t>
        </is>
      </c>
    </row>
    <row r="127" ht="409" customHeight="1">
      <c r="A127" s="4" t="n">
        <v>280</v>
      </c>
      <c r="B127" s="4" t="n">
        <v>2026</v>
      </c>
      <c r="C127" s="4" t="inlineStr">
        <is>
          <t>Sleep pattern consistency and autism spectrum disorder in U.S. children: Associations and identification of high-risk subgroups</t>
        </is>
      </c>
      <c r="D127" s="4" t="inlineStr">
        <is>
          <t>10.1016/j.ridd.2025.105201</t>
        </is>
      </c>
      <c r="E127" s="4" t="inlineStr">
        <is>
          <t>Md Roungu Ahmmad and Md Tareq Ferdous Khan and Sahil Hareshbhai Kothiya and Mohammed Rashid and Christina McCrae</t>
        </is>
      </c>
      <c r="F127" s="4" t="inlineStr">
        <is>
          <t>Research in Developmental Disabilities</t>
        </is>
      </c>
      <c r="G127" s="4" t="inlineStr">
        <is>
          <t>Incluir provisionalmente</t>
        </is>
      </c>
      <c r="H127" s="4" t="inlineStr">
        <is>
          <t>Report located; publisher/PubMed content sufficient for scoped adjudication</t>
        </is>
      </c>
      <c r="I127" s="4" t="n"/>
      <c r="J127" s="4" t="inlineStr">
        <is>
          <t>Include</t>
        </is>
      </c>
      <c r="K127" s="4" t="n"/>
      <c r="L127" s="4" t="inlineStr">
        <is>
          <t>Revision asistida por IA (un revisor; requiere verificacion independiente)</t>
        </is>
      </c>
      <c r="M127" s="40" t="n">
        <v>46269</v>
      </c>
      <c r="N127" s="4" t="inlineStr">
        <is>
          <t>https://pubmed.ncbi.nlm.nih.gov/41475317/</t>
        </is>
      </c>
      <c r="O127" s="4" t="inlineStr">
        <is>
          <t>Contenido evaluable suficiente revisado para adjudicacion/codificacion acotada; ver nivel exacto de fuente, evidencia y cautelas en Lote_04_25.</t>
        </is>
      </c>
      <c r="P127" s="4" t="inlineStr">
        <is>
          <t>Background Sleep behavior is closely linked to autism spectrum disorder (ASD) and may influence behavioral and neurological development. This study examined the association between sleep pattern consistency (SPC) and ASD among children aged 6–17 years. Methods This study used data from 63,866 children from the 2022–2023 National Survey of Children’s Health (NSCH). ASD status was based on parent-reported provider diagnoses. SPC was constructed from sleep duration and bedtime regularity. Associations between SPC and ASD were examined using relative risks and multivariable logistic regression. Machine learning methods predicted individualized ASD profiles and identified high-risk subgroups. Model performance was evaluated using discrimination and calibration metrics. Results The cohort showed 4.41 % ASD prevalence, mean age 11.9 years, 51.8 % male, 62.4 % healthy weight, 28.9 % poor sleep routines, 28.8 % lower income, 40.5 % co-occurring disorders, and 42.4 % with medication. Children with poor sleep routines (PSR) demonstrated a significantly higher likelihood of ASD (aOR: 1.92; 95 % CI: 1.64–2.25), whereas long sleep with regularity (LSR) was associated with a lower likelihood (aOR: 0.81; 95 % CI: 0.70–0.94). Other correlated factors included male sex (aOR: 3.83, p ' 0.001), underweight (aOR: 1.28, p ' 0.001), and overweight (aOR: 1.39, p ' 0.001). Among female children from low-income households with co-occurring conditions, PSR patterns were associated with higher predicted ASD probability (∼12 %, p = 0.002), whereas healthy sleep routine (HSR) showed substantially lower predicted probabilities. Conclusion SPC was significantly associated with ASD. These findings highlight the potential relevance of sleep health in relation to developmental outcomes and ASD screening, particularly among higher-risk subgroups.</t>
        </is>
      </c>
    </row>
    <row r="128" ht="409" customHeight="1">
      <c r="A128" s="4" t="n">
        <v>286</v>
      </c>
      <c r="B128" s="4" t="n">
        <v>2026</v>
      </c>
      <c r="C128" s="4" t="inlineStr">
        <is>
          <t>Identification of Potential Biomarkers in ASD Integrating RNA Seq Data and Machine Learning Approaches</t>
        </is>
      </c>
      <c r="D128" s="4" t="inlineStr">
        <is>
          <t>10.3233/SHTI260609</t>
        </is>
      </c>
      <c r="E128" s="4" t="inlineStr">
        <is>
          <t>Km Jaya Devi and Pragya Pragya and Jac Fredo Agastinose Ronickom</t>
        </is>
      </c>
      <c r="F128" s="4" t="inlineStr">
        <is>
          <t>Studies in Health Technology and Informatics</t>
        </is>
      </c>
      <c r="G128" s="4" t="inlineStr">
        <is>
          <t>Incluir provisionalmente</t>
        </is>
      </c>
      <c r="H128" s="4" t="inlineStr">
        <is>
          <t>Report located; publisher/PubMed content sufficient for scoped adjudication</t>
        </is>
      </c>
      <c r="I128" s="4" t="n"/>
      <c r="J128" s="4" t="inlineStr">
        <is>
          <t>Include</t>
        </is>
      </c>
      <c r="K128" s="4" t="n"/>
      <c r="L128" s="4" t="inlineStr">
        <is>
          <t>Revision asistida por IA (un revisor; requiere verificacion independiente)</t>
        </is>
      </c>
      <c r="M128" s="40" t="n">
        <v>46269</v>
      </c>
      <c r="N128" s="4" t="inlineStr">
        <is>
          <t>https://pubmed.ncbi.nlm.nih.gov/42175278/</t>
        </is>
      </c>
      <c r="O128" s="4" t="inlineStr">
        <is>
          <t>Contenido evaluable suficiente revisado para adjudicacion/codificacion acotada; ver nivel exacto de fuente, evidencia y cautelas en Lote_04_25.</t>
        </is>
      </c>
      <c r="P128" s="4" t="inlineStr">
        <is>
          <t>Autism spectrum disorder (ASD) is a neurodevelopmental disorder, caused by various epigenetic and genetic factors. This has resulted in an unclear understanding of etiology and biomarkers associated with ASD. In this study, we used RNA Seq datasets integrating with machine learning models to identify the differentially expressed genes (DEGs) between ASD and typical development (TD). The RNA Seq data of 20 ASD and 19 TD were obtained from the NCBI GEO database. We used standard R programming pipeline to pre-process the data. Further, random forest (RF) and eXtreme gradient boosting (XGBoost) models were employed to identify potential genes discriminate between ASD and TD. The model’s performance was assessed using evaluation metrics and the 5-fold-cross validation. The proposed XGBoost models achieved a 5-fold cross validation accuracy, sensitivity, specificity, precision and F1-Score of 67.14%, 67.5%, 67.5%, 67.84%, 75.56% respectively. Further, TCTA gene was common in the top 10 gene signatures identified from RF and XGBoost. These results may aid in developing potential and prognostic biomarkers for effective ASD screening.</t>
        </is>
      </c>
    </row>
    <row r="129" ht="409" customHeight="1">
      <c r="A129" s="4" t="n">
        <v>287</v>
      </c>
      <c r="B129" s="4" t="n">
        <v>2026</v>
      </c>
      <c r="C129" s="4" t="inlineStr">
        <is>
          <t>REM Sleep Abnormalities in Children With Autism Spectrum Disorder</t>
        </is>
      </c>
      <c r="D129" s="4" t="inlineStr">
        <is>
          <t>10.1002/AUR.70222</t>
        </is>
      </c>
      <c r="E129" s="4" t="inlineStr">
        <is>
          <t>Jiasen Ma and Junjun Qin and Hongfang Jiang and Yueping Che and Haifeng Li and Daqing Ma and Jinpiao Zhu</t>
        </is>
      </c>
      <c r="F129" s="4" t="inlineStr">
        <is>
          <t>Autism Research</t>
        </is>
      </c>
      <c r="G129" s="4" t="inlineStr">
        <is>
          <t>Incluir provisionalmente</t>
        </is>
      </c>
      <c r="H129" s="4" t="inlineStr">
        <is>
          <t>Retrieved and reviewed</t>
        </is>
      </c>
      <c r="I129" s="4" t="n"/>
      <c r="J129" s="4" t="inlineStr">
        <is>
          <t>Include</t>
        </is>
      </c>
      <c r="K129" s="4" t="n"/>
      <c r="L129" s="4" t="inlineStr">
        <is>
          <t>Revision asistida por IA (un revisor; requiere verificacion independiente)</t>
        </is>
      </c>
      <c r="M129" s="40" t="n">
        <v>46269</v>
      </c>
      <c r="N129" s="4" t="inlineStr">
        <is>
          <t>https://onlinelibrary.wiley.com/doi/full/10.1002/aur.70222</t>
        </is>
      </c>
      <c r="O129" s="4" t="inlineStr">
        <is>
          <t>Contenido evaluable suficiente revisado para adjudicacion/codificacion acotada; ver nivel exacto de fuente, evidencia y cautelas en Lote_04_25.</t>
        </is>
      </c>
      <c r="P129" s="4" t="inlineStr">
        <is>
          <t>Sleep disturbances are common in children with autism spectrum disorder (ASD). However, the sleep pattern changes including rapid eye movement (REM) sleep for ASD in pediatric populations remain unknown. Using polysomnography (PSG) data from the National Children's Hospital (NCH) Sleep Databank, we identified 193 children with ASD and matched them with 193 Non-ASD controls. We found children with ASD showed reduced REM sleep proportion (17.8% ± 6.4% vs. 19.1% ± 7.0%; p = 0.049) and duration (71.5 [49.5–91.0] min vs. 81.5 [52.5–98.0] min; p = 0.036), prolonged REM latency (134.5 [94.0–181.5] min vs. 116.0 [82.0–157.0] min; p = 0.009), and increased 1st REM duration (13.0 [7.0–19.0] min vs. 10.5 [6.0–16.5] min; p = 0.024) compared with Non-ASD peers. They also showed higher 1st REM proportion (18.8 [11.0–31.3] vs. 15.7 [8.3–25.4]; p = 0.003), particularly in children aged 3–5 years and 6–8 years. Using these REM features, the XGBoost machine learning model was achieved to be the best predictive performance. SHAP analysis further showed that decreased REM sleep duration, increased 1st REM proportion or duration, and prolonged REM latency were discriminative features for children with ASD. These findings suggest that REM sleep abnormalities are common in young patients with ASD but its contribution to the disease's severity and/or development needs to be explored further.</t>
        </is>
      </c>
    </row>
    <row r="130" ht="409" customHeight="1">
      <c r="A130" s="4" t="n">
        <v>288</v>
      </c>
      <c r="B130" s="4" t="n">
        <v>2026</v>
      </c>
      <c r="C130" s="4" t="inlineStr">
        <is>
          <t>Nonparametric motion control in functional connectivity studies in children with autism spectrum disorder</t>
        </is>
      </c>
      <c r="D130" s="4" t="inlineStr">
        <is>
          <t>10.1093/biomtc/ujag099</t>
        </is>
      </c>
      <c r="E130" s="4" t="inlineStr">
        <is>
          <t>Jialu Ran and Sarah Shultz and Benjamin B Risk and David Benkeser</t>
        </is>
      </c>
      <c r="F130" s="4" t="inlineStr">
        <is>
          <t>Biometrics</t>
        </is>
      </c>
      <c r="G130" s="4" t="inlineStr">
        <is>
          <t>Incluir provisionalmente</t>
        </is>
      </c>
      <c r="H130" s="4" t="inlineStr">
        <is>
          <t>Retrieved and reviewed</t>
        </is>
      </c>
      <c r="I130" s="4" t="n"/>
      <c r="J130" s="4" t="inlineStr">
        <is>
          <t>Include</t>
        </is>
      </c>
      <c r="K130" s="4" t="n"/>
      <c r="L130" s="4" t="inlineStr">
        <is>
          <t>Revisión asistida por IA (un revisor; requiere verificación independiente)</t>
        </is>
      </c>
      <c r="M130" s="40" t="n">
        <v>46269</v>
      </c>
      <c r="N130" s="4" t="inlineStr">
        <is>
          <t>https://arxiv.org/pdf/2406.13111</t>
        </is>
      </c>
      <c r="O130" s="4" t="inlineStr">
        <is>
          <t>Texto completo abierto con métodos y resultados suficientes; codificación en Extraccion_RQ_nuevos.</t>
        </is>
      </c>
      <c r="P130" s="4" t="inlineStr">
        <is>
          <t>Autism spectrum disorder (ASD) is a neurodevelopmental condition associated with difficulties with social interactions, communication, and restricted or repetitive behaviors. To characterize ASD, investigators often use functional connectivity derived from resting-state functional magnetic resonance imaging of the brain. However, participants’ head motion during the scanning session can induce motion artifacts. Many studies remove participants with excessive motion and then estimate the effect of diagnosis on functional connectivity using linear regression. However, participant exclusions and linearity assumptions can cause biases. We propose an estimand that quantifies the difference in average functional connectivity in autistic and non-ASD children while standardizing motion relative to the low motion distribution in scans that pass motion quality control. We introduce a nonparametric estimator for motion control, called Motion Controlled (MoCo), that uses all participants and flexibly models the impacts of motion and other relevant features using an ensemble of machine learning methods. We establish large-sample efficiency and multiple robustness of our proposed estimator. The framework is applied to estimate the difference in functional connectivity between 132 autistic and 245 non-ASD children, of which 34 and 126 pass motion quality control, respectively. MoCo appears to dramatically reduce motion artifacts compared to a standard approach with no participant removal, while more efficiently utilizing participant data and accounting for possible selection biases compared to participant removal.</t>
        </is>
      </c>
    </row>
    <row r="131" ht="409" customHeight="1">
      <c r="A131" s="4" t="n">
        <v>289</v>
      </c>
      <c r="B131" s="4" t="n">
        <v>2026</v>
      </c>
      <c r="C131" s="4" t="inlineStr">
        <is>
          <t>Diagnosis of autism disorder from rs-fMRI brain images through hierarchical YOLO and mechanism of attention (HYMA)</t>
        </is>
      </c>
      <c r="D131" s="4" t="inlineStr">
        <is>
          <t>10.1016/j.asoc.2026.114655</t>
        </is>
      </c>
      <c r="E131" s="4" t="inlineStr">
        <is>
          <t>Saba Gholami and Sara Motamed and Elham Askari</t>
        </is>
      </c>
      <c r="F131" s="4" t="inlineStr">
        <is>
          <t>Applied Soft Computing</t>
        </is>
      </c>
      <c r="G131" s="4" t="inlineStr">
        <is>
          <t>Incluir provisionalmente</t>
        </is>
      </c>
      <c r="H131" s="4" t="inlineStr">
        <is>
          <t>Retrieved and reviewed</t>
        </is>
      </c>
      <c r="I131" s="4" t="n"/>
      <c r="J131" s="4" t="inlineStr">
        <is>
          <t>Include</t>
        </is>
      </c>
      <c r="K131" s="4" t="n"/>
      <c r="L131" s="4" t="inlineStr">
        <is>
          <t>Revision asistida por IA (un revisor; requiere verificacion independiente)</t>
        </is>
      </c>
      <c r="M131" s="40" t="n">
        <v>46269</v>
      </c>
      <c r="N131" s="4" t="inlineStr">
        <is>
          <t>https://www.sciencedirect.com/science/article/pii/S1568494626001031</t>
        </is>
      </c>
      <c r="O131" s="4" t="inlineStr">
        <is>
          <t>Contenido evaluable suficiente revisado para adjudicacion/codificacion acotada; ver nivel exacto de fuente, evidencia y cautelas en Lote_04_25.</t>
        </is>
      </c>
      <c r="P131" s="4" t="inlineStr">
        <is>
          <t>Autism spectrum disorder (ASD) is a complex neurodevelopmental condition characterized by atypical communication among brain regions. Early and accurate diagnosis of ASD can significantly improve the effectiveness of behavioral interventions. In this study, we propose a novel deep learning framework called HYMA (Hierarchical YOLO with Mechanism of Attention) for classifying ASD and control subjects using resting-state functional MRI (rs-fMRI) data. The proposed model integrates the YOLO detection architecture with a Bottleneck Attention Module (BAM) to enhance spatial–temporal feature extraction, and employs both dynamic (expert combination) and static (Naïve Bayes) ensemble classifiers for final decision fusion. To address the limited-sample challenge in medical imaging, we adopted extensive data augmentation and subject-wise validation. Experimental results on the ABIDE I and II datasets demonstrate that HYMA achieves superior performance, reaching an accuracy of 99.3%, precision of 98.9%, recall of 99.1%, and F1-score of 99.0%, outperforming existing state-of-the-art methods. These results indicate that the proposed attention-enhanced YOLO ensemble framework provides a robust and generalizable approach for rs-fMRI-based ASD diagnosis.</t>
        </is>
      </c>
    </row>
    <row r="132" ht="409" customHeight="1">
      <c r="A132" s="4" t="n">
        <v>295</v>
      </c>
      <c r="B132" s="4" t="n">
        <v>2026</v>
      </c>
      <c r="C132" s="4" t="inlineStr">
        <is>
          <t>Comparing Machine Learning Models for Pupillary Light Reflex–Based Autism Spectrum Disorder Classification</t>
        </is>
      </c>
      <c r="D132" s="4" t="inlineStr">
        <is>
          <t>10.1155/ACIS/1906938</t>
        </is>
      </c>
      <c r="E132" s="4" t="inlineStr">
        <is>
          <t>Zhen Huang and Zhibo Chen and Lihong Shen and Kaili Zhou and Wenwei Huang and Qi Lin and Qinghua Li and Dongyu Li and Jianhong Zheng</t>
        </is>
      </c>
      <c r="F132" s="4" t="inlineStr">
        <is>
          <t>Applied Computational Intelligence and Soft Computing</t>
        </is>
      </c>
      <c r="G132" s="4" t="inlineStr">
        <is>
          <t>Incluir provisionalmente</t>
        </is>
      </c>
      <c r="H132" s="4" t="inlineStr">
        <is>
          <t>Retrieved and reviewed</t>
        </is>
      </c>
      <c r="I132" s="4" t="n"/>
      <c r="J132" s="4" t="inlineStr">
        <is>
          <t>Include</t>
        </is>
      </c>
      <c r="K132" s="4" t="n"/>
      <c r="L132" s="4" t="inlineStr">
        <is>
          <t>Revision asistida por IA (un revisor; requiere verificacion independiente)</t>
        </is>
      </c>
      <c r="M132" s="40" t="n">
        <v>46269</v>
      </c>
      <c r="N132" s="4" t="inlineStr">
        <is>
          <t>https://onlinelibrary.wiley.com/doi/10.1155/acis/1906938</t>
        </is>
      </c>
      <c r="O132" s="4" t="inlineStr">
        <is>
          <t>Contenido evaluable suficiente revisado para adjudicacion/codificacion acotada; ver nivel exacto de fuente, evidencia y cautelas en Lote_04_25.</t>
        </is>
      </c>
      <c r="P132" s="4" t="inlineStr">
        <is>
          <t>Autism spectrum disorder (ASD) prevalence is rising globally, underscoring the critical need for early detection to improve intervention outcomes. Atypical pupillary light reflex (PLR) has emerged as a promising biomarker for this purpose. This study leverages machine learning to enhance the accuracy of early ASD screening in children aged 3–6. We developed and evaluated five classifiers—Naive Bayes, logistic regression, decision tree, linear discriminant analysis (LDA), and deep neural network (DNN)—using PLR data from 25 children with ASD and 50 typically developing peers. Model performance was assessed across 15 metrics, including accuracy, F1 score, ROC–AUC, and computational efficiency. The comprehensive evaluation demonstrated that the DNN outperformed all other models, achieving the highest test accuracy of 85% and excelling across multiple key metrics. These findings confirm the DNN’s superiority for automated ASD screening based on PLR, contributing significantly to the development of objective, efficient tools for early autism diagnosis.</t>
        </is>
      </c>
    </row>
    <row r="133" ht="409" customHeight="1">
      <c r="A133" s="4" t="n">
        <v>296</v>
      </c>
      <c r="B133" s="4" t="n">
        <v>2026</v>
      </c>
      <c r="C133" s="4" t="inlineStr">
        <is>
          <t>Deep learning for diagnosing autism spectrum disorder using EEG with upright and inverted face processing tasks</t>
        </is>
      </c>
      <c r="D133" s="4" t="inlineStr">
        <is>
          <t>10.1016/j.bspc.2026.109655</t>
        </is>
      </c>
      <c r="E133" s="4" t="inlineStr">
        <is>
          <t>Fatemeh Alizadehziri and Ali Khadem</t>
        </is>
      </c>
      <c r="F133" s="4" t="inlineStr">
        <is>
          <t>Biomedical Signal Processing and Control</t>
        </is>
      </c>
      <c r="G133" s="4" t="inlineStr">
        <is>
          <t>Incluir provisionalmente</t>
        </is>
      </c>
      <c r="H133" s="4" t="inlineStr">
        <is>
          <t>Report located; publisher/PubMed content sufficient for scoped adjudication</t>
        </is>
      </c>
      <c r="I133" s="4" t="n"/>
      <c r="J133" s="4" t="inlineStr">
        <is>
          <t>Include</t>
        </is>
      </c>
      <c r="K133" s="4" t="n"/>
      <c r="L133" s="4" t="inlineStr">
        <is>
          <t>Revision asistida por IA (un revisor; requiere verificacion independiente)</t>
        </is>
      </c>
      <c r="M133" s="40" t="n">
        <v>46269</v>
      </c>
      <c r="N133" s="4" t="inlineStr">
        <is>
          <t>https://www.sciencedirect.com/science/article/abs/pii/S1746809426002090</t>
        </is>
      </c>
      <c r="O133" s="4" t="inlineStr">
        <is>
          <t>Contenido evaluable suficiente revisado para adjudicacion/codificacion acotada; ver nivel exacto de fuente, evidencia y cautelas en Lote_04_25.</t>
        </is>
      </c>
      <c r="P133" s="4" t="inlineStr">
        <is>
          <t>Background: Functional neuroimaging has been used to diagnose Autism Spectrum Disorder (ASD), but no study has combined EEG with face-processing tasks. Given the social-cognitive challenges in ASD, such as difficulty with eye contact, such tasks seem to be promising. We propose a novel diagnostic method using EEG data from face-perception tasks and deep learning. Proposed method: We used raw EEG signals recorded from children (ASD and typically developing) during upright and inverted face-display tasks. The data was used without preprocessing as a time-by-channel matrix. We designed three lightweight 1D-CNN models to learn temporal patterns across channels and classify ASD. Results: Using upright face stimuli, InceptionNet and ResNet achieved accuracies of 78.65% and 76.87%, respectively, with a final diagnosis rate of 91.6% for both. With inverted stimuli, accuracies were lower at 72.35% (InceptionNet) and 70.68% (ResNet), with final diagnosis rates of 83.3%. Performance was consistently better for upright faces. Comparison with existing methods: To the best of our knowledge, this is the first EEG-based study for ASD classification using a face-perception task. Most existing methods rely on resting-state EEG, which does not probe specific social-cognitive deficits. Our task-driven approach provides a novel, more targeted framework for detecting ASD-related cognitive differences. Conclusions: The method shows promising diagnostic results. The superior performance with upright faces aligns with the eye-avoidance and face-inversion effect hypotheses, highlighting the importance of facial orientation. This work establishes a new, insightful pipeline for ASD detection using task-based EEG and deep learning.</t>
        </is>
      </c>
    </row>
    <row r="134" ht="409" customHeight="1">
      <c r="A134" s="4" t="n">
        <v>298</v>
      </c>
      <c r="B134" s="4" t="n">
        <v>2026</v>
      </c>
      <c r="C134" s="4" t="inlineStr">
        <is>
          <t>Effects of conversational AI-enhanced peer-mediated intervention by peers with intellectual disabilities on conversational skills in children with ASD</t>
        </is>
      </c>
      <c r="D134" s="4" t="inlineStr">
        <is>
          <t>10.1016/j.ridd.2026.105249</t>
        </is>
      </c>
      <c r="E134" s="4" t="inlineStr">
        <is>
          <t>Jinyu Fan and Jing Zeng and Huan Li</t>
        </is>
      </c>
      <c r="F134" s="4" t="inlineStr">
        <is>
          <t>Research in Developmental Disabilities</t>
        </is>
      </c>
      <c r="G134" s="4" t="inlineStr">
        <is>
          <t>Incluir provisionalmente</t>
        </is>
      </c>
      <c r="H134" s="4" t="inlineStr">
        <is>
          <t>Report located; publisher/PubMed content sufficient for scoped adjudication</t>
        </is>
      </c>
      <c r="I134" s="4" t="n"/>
      <c r="J134" s="4" t="inlineStr">
        <is>
          <t>Include</t>
        </is>
      </c>
      <c r="K134" s="4" t="n"/>
      <c r="L134" s="4" t="inlineStr">
        <is>
          <t>Revision asistida por IA (un revisor; requiere verificacion independiente)</t>
        </is>
      </c>
      <c r="M134" s="40" t="n">
        <v>46269</v>
      </c>
      <c r="N134" s="4" t="inlineStr">
        <is>
          <t>https://pubmed.ncbi.nlm.nih.gov/41671742/</t>
        </is>
      </c>
      <c r="O134" s="4" t="inlineStr">
        <is>
          <t>Contenido evaluable suficiente revisado para adjudicacion/codificacion acotada; ver nivel exacto de fuente, evidencia y cautelas en Lote_04_25.</t>
        </is>
      </c>
      <c r="P134" s="4" t="inlineStr">
        <is>
          <t>Background/aims Children with autism spectrum disorder (ASD) often experience conversational difficulties that hinder social interactions and peer relationships. This study examined whether a conversational AI-enhanced peer-mediated intervention delivered by peers with intellectual disabilities (CAI-PMI-ID) yielded superior outcomes in improving conversational skills in children with ASD compared with PMI-ID-only. Method This study employed a multiple-probe across participants design and an alternating treatments design to compare the effects of CAI-PMI-ID and PMI-ID-only. Conversational outcomes included quantitative measures (frequency of appropriate initiations and responses) and qualitative measures (mean length of utterance in morphemes, MLU-M; number of different words, NDW; and total number of words, TNW). Results CAI-PMI-ID produced greater improvements in the frequency of appropriate conversational initiations and responses than PMI-ID-only. It also yielded superior outcomes in lexical diversity and productivity, as reflected in NDW and TNW. The two intervention conditions resulted in limited and variable effects on MLU-M. CAI-PMI-ID facilitated the successful generalization of conversational skills to interact with different peers. Conclusions/implications These preliminary findings support the feasibility and added value of CAI-PMI-ID for enhancing core conversational behaviors and lexical productivity among children with ASD. Future research should integrate evidence-based syntactic supports to promote MLU-M, leverage multimodal and scenario-based AI in natural settings, strengthen AI-peer collaboration, and improve AI speech recognition to enhance intervention effects.</t>
        </is>
      </c>
    </row>
    <row r="135" ht="409" customHeight="1">
      <c r="A135" s="4" t="n">
        <v>299</v>
      </c>
      <c r="B135" s="4" t="n">
        <v>2026</v>
      </c>
      <c r="C135" s="4" t="inlineStr">
        <is>
          <t>Decoding the Neural Basis of Sensory Phenotypes in Autism</t>
        </is>
      </c>
      <c r="D135" s="4" t="inlineStr">
        <is>
          <t>10.1016/j.bpsc.2025.12.013</t>
        </is>
      </c>
      <c r="E135" s="4" t="inlineStr">
        <is>
          <t>Matthew Kolisnyk and Kathleen Lyons and Eun Jung Choi and Marlee M Vandewouw and Bobby Stojanoski and Evdokia Anagnostou and Azadeh Kushki and Rob Nicolson and Elizabeth Kelley and Stelios Georgiades and Jason Lerch and Jennifer Crosbie and Russell Schachar and Muhammad Ayub and Jessica Jones and Paul Arnold and Xudong Liu and Ryan Stevenson</t>
        </is>
      </c>
      <c r="F135" s="4" t="inlineStr">
        <is>
          <t>Biological Psychiatry: Cognitive Neuroscience and Neuroimaging</t>
        </is>
      </c>
      <c r="G135" s="4" t="inlineStr">
        <is>
          <t>Incluir provisionalmente</t>
        </is>
      </c>
      <c r="H135" s="4" t="inlineStr">
        <is>
          <t>Retrieved and reviewed</t>
        </is>
      </c>
      <c r="I135" s="4" t="n"/>
      <c r="J135" s="4" t="inlineStr">
        <is>
          <t>Include</t>
        </is>
      </c>
      <c r="K135" s="4" t="n"/>
      <c r="L135" s="4" t="inlineStr">
        <is>
          <t>Revision asistida por IA (un revisor; requiere verificacion independiente)</t>
        </is>
      </c>
      <c r="M135" s="40" t="n">
        <v>46269</v>
      </c>
      <c r="N135" s="4" t="inlineStr">
        <is>
          <t>https://www.biologicalpsychiatryjournal.com/article/S2451-9022%2826%2900002-9/fulltext</t>
        </is>
      </c>
      <c r="O135" s="4" t="inlineStr">
        <is>
          <t>Contenido evaluable suficiente revisado para adjudicacion/codificacion acotada; ver nivel exacto de fuente, evidencia y cautelas en Lote_04_25.</t>
        </is>
      </c>
      <c r="P135" s="4" t="inlineStr">
        <is>
          <t>Background: Differences in sensory processing are a defining characteristic of autism, affecting up to 87% of autistic individuals. These differences cause widespread perceptual changes that can negatively impact cognition, development, and daily functioning. Our research identified 5 sensory processing phenotypes with varied behavioral presentations; however, their neural basis remains unclear. In this study, we aim to ground these sensory phenotypes in unique patterns of functional connectivity. Methods: We analyzed data from 146 autistic participants from the POND Network (Province of Ontario Neurodevelopmental Disorders Network). We classified participants into 5 sensory phenotypes using k-means clustering of scores from the Short Sensory Profile. We computed functional connectivity matrices from functional magnetic resonance imaging data across 200 cortical and 32 subcortical regions and calculated graph-theoretical measures (betweenness centrality, strength, local efficiency, and clustering coefficient) to assess information exchange between these regions. We then trained machine learning models to use these measures to classify between all pairs of sensory phenotypes. Results: Our sample was clustered into 5 sensory phenotypes. The machine learning models distinguished 7 of the 10 total pairs of sensory phenotypes using graph-theoretical measures (p &lt; .005). Information exchange within and between the somatomotor network, orbitofrontal cortex, posterior parietal cortex, prefrontal cortex, and subcortical areas was predictive of sensory phenotype. Conclusions: Sensory phenotypes in autism correspond to differences in functional connectivity across cortical, subcortical, and network levels. These findings support the view that variability in sensory processing is reflected in measurable neural patterns and motivate continued work to refine models of sensory processing, with the goal of better understanding and capturing the heterogeneity implicit in autism.</t>
        </is>
      </c>
    </row>
    <row r="136" ht="409" customHeight="1">
      <c r="A136" s="4" t="n">
        <v>305</v>
      </c>
      <c r="B136" s="4" t="n">
        <v>2026</v>
      </c>
      <c r="C136" s="4" t="inlineStr">
        <is>
          <t>Integrating Multimodal Neuroimaging and Physical-Health Markers for Autism Spectrum Disorder in the ABCD Study</t>
        </is>
      </c>
      <c r="D136" s="4" t="inlineStr">
        <is>
          <t>10.31083/JIN48212</t>
        </is>
      </c>
      <c r="E136" s="4" t="inlineStr">
        <is>
          <t>Dorin Zeevi and Hector Acosta-Rodriguez and Pratheek Bobba and Alicia Stephan and Huang Lin and Ajay Malhotra and Seyedmehdi Payabvash</t>
        </is>
      </c>
      <c r="F136" s="4" t="inlineStr">
        <is>
          <t>Journal of Integrative Neuroscience</t>
        </is>
      </c>
      <c r="G136" s="4" t="inlineStr">
        <is>
          <t>Incluir provisionalmente</t>
        </is>
      </c>
      <c r="H136" s="4" t="inlineStr">
        <is>
          <t>Retrieved and reviewed</t>
        </is>
      </c>
      <c r="I136" s="4" t="n"/>
      <c r="J136" s="4" t="inlineStr">
        <is>
          <t>Include</t>
        </is>
      </c>
      <c r="K136" s="4" t="n"/>
      <c r="L136" s="4" t="inlineStr">
        <is>
          <t>Revisión asistida por IA (un revisor; requiere verificación independiente)</t>
        </is>
      </c>
      <c r="M136" s="40" t="n">
        <v>46269</v>
      </c>
      <c r="N136" s="4" t="inlineStr">
        <is>
          <t>https://storage.imrpress.com/IMR/2026939320888299500/application/1757-448X-25-2-48212.pdf</t>
        </is>
      </c>
      <c r="O136" s="4" t="inlineStr">
        <is>
          <t>Texto completo abierto con métodos y resultados suficientes; codificación en Extraccion_RQ_nuevos.</t>
        </is>
      </c>
      <c r="P136" s="4" t="inlineStr">
        <is>
          <t>Background: Autism Spectrum Disorder (ASD) is a complex neurodevelopmental condition characterized by diverse presentations, which complicates the identification of consistent biological markers. This study examined whether integrating multimodal neuroimaging and physical-health measures from a population-based cohort can improve ASD classification and reveal interpretable markers that reflect both clinical and community variation. Methods: Data were drawn from the Adolescent Brain Cognitive Development (ABCD) Study, a large community-based cohort of adolescents recruited from the general population. Participants with and without ASD were selected from this cohort, allowing contrasts that reflect natural variability across individuals. Structural, diffusion, and resting-state functional magnetic resonance imaging (MRI) data were integrated with physical-health markers, including sleep, growth, and early development. Propensity-score matching created demographically balanced groups, and multimodal machine learning models were evaluated through stratified cross-validation. Results: The multimodal integration of brain and physical-health markers outperformed single-modality models (area under the receiver operating characteristic curve [AUC-ROC]=0.68, 95% confidence interval [CI]: 0.62– 0.73; area under the precision-recall curve [AUC-PR]=0.66, 95% CI: 0.60–0.73). Among physical-health markers, sleep function contributed most strongly to ASD classification, while neuroimaging predictors included cortical thickness in the right superior temporal gyrus and connectivity between the cingulo-opercular and default mode networks. These findings indicate that integrating modalities capturing both neural and physiological systems provides complementary information for identifying ASD-related differences within a population-based framework. Conclusions: This study provides a proof of concept that combining multimodal MRI and physical-health data within a large, demographically representative cohort can enhance ASD classification and yield biologically interpretable features. The population-based design situates these findings within a community context and offers a preliminary framework for integrating neural and physiological measures in future large-scale studies of neurodevelopmental diversity.</t>
        </is>
      </c>
    </row>
    <row r="137" ht="409" customHeight="1">
      <c r="A137" s="4" t="n">
        <v>306</v>
      </c>
      <c r="B137" s="4" t="n">
        <v>2026</v>
      </c>
      <c r="C137" s="4" t="inlineStr">
        <is>
          <t>Hybrid ensemble learning for Autism Spectrum Disorder screening using eye-tracking scanpath</t>
        </is>
      </c>
      <c r="D137" s="4" t="inlineStr">
        <is>
          <t>10.1016/j.array.2026.100753</t>
        </is>
      </c>
      <c r="E137" s="4" t="inlineStr">
        <is>
          <t>Nejad Alagha and Aya A Elkhodiry and Abigail Copiaco and Yassine Himeur and Wathiq Mansoor and Christian Ritz and Valsamma Eapen and Ammar Albanna and Amin Beheshti</t>
        </is>
      </c>
      <c r="F137" s="4" t="inlineStr">
        <is>
          <t>Array</t>
        </is>
      </c>
      <c r="G137" s="4" t="inlineStr">
        <is>
          <t>Incluir provisionalmente</t>
        </is>
      </c>
      <c r="H137" s="4" t="inlineStr">
        <is>
          <t>Retrieved and reviewed</t>
        </is>
      </c>
      <c r="I137" s="4" t="n"/>
      <c r="J137" s="4" t="inlineStr">
        <is>
          <t>Include</t>
        </is>
      </c>
      <c r="K137" s="4" t="n"/>
      <c r="L137" s="4" t="inlineStr">
        <is>
          <t>Revision asistida por IA (un revisor; requiere verificacion independiente)</t>
        </is>
      </c>
      <c r="M137" s="40" t="n">
        <v>46269</v>
      </c>
      <c r="N137" s="4" t="inlineStr">
        <is>
          <t>https://www.sciencedirect.com/science/article/pii/S2590005626000767</t>
        </is>
      </c>
      <c r="O137" s="4" t="inlineStr">
        <is>
          <t>Contenido evaluable suficiente revisado para adjudicacion/codificacion acotada; ver nivel exacto de fuente, evidencia y cautelas en Lote_04_25.</t>
        </is>
      </c>
      <c r="P137" s="4" t="inlineStr">
        <is>
          <t>Early and accurate detection of Autism Spectrum Disorder (ASD) is essential for effective intervention and lifelong support. Recent advances in machine learning and eye-tracking technologies have enabled objective screening approaches based on gaze behavior, providing a non-invasive alternative to traditional diagnostic methods. This study introduces a hybrid ensemble learning framework that integrates bagging, boosting, and stacking strategies to leverage the complementary strengths of diverse classifiers, including decision trees, random forests, k-nearest neighbors, AdaBoost, and gradient boosting. The framework was evaluated on a benchmark eye-tracking dataset of 28 participants (14 ASD, 14 TD) using five-fold cross-validation. The proposed stacking model achieved a mean accuracy of 0.960 ± 0.080 and an F1-score of 0.952 ± 0.095 across the five folds, outperforming individual base learners and performing comparably to image-based deep learning models. By operating directly on raw scanpath data, the proposed model enhances interpretability and reduces preprocessing overhead by eliminating the need for image generation and transformation steps, making it suitable for practical and real-time screening environments. Future work will focus on validating the framework on larger and more diverse datasets and integrating it within an end-to-end ASD screening platform.</t>
        </is>
      </c>
    </row>
    <row r="138" ht="409" customHeight="1">
      <c r="A138" s="4" t="n">
        <v>307</v>
      </c>
      <c r="B138" s="4" t="n">
        <v>2026</v>
      </c>
      <c r="C138" s="4" t="inlineStr">
        <is>
          <t>Spatial structure based deep feature fusion network for autism spectrum disorder classification</t>
        </is>
      </c>
      <c r="D138" s="4" t="inlineStr">
        <is>
          <t>10.1038/s41598-026-48562-8</t>
        </is>
      </c>
      <c r="E138" s="4" t="inlineStr">
        <is>
          <t>K S Shwetha and G Deepak and S P Chaitra and C K Raghavendra and Bhupender Singh</t>
        </is>
      </c>
      <c r="F138" s="4" t="inlineStr">
        <is>
          <t>Scientific Reports</t>
        </is>
      </c>
      <c r="G138" s="4" t="inlineStr">
        <is>
          <t>Incluir provisionalmente</t>
        </is>
      </c>
      <c r="H138" s="4" t="inlineStr">
        <is>
          <t>Retrieved and reviewed</t>
        </is>
      </c>
      <c r="I138" s="4" t="n"/>
      <c r="J138" s="4" t="inlineStr">
        <is>
          <t>Include</t>
        </is>
      </c>
      <c r="K138" s="4" t="n"/>
      <c r="L138" s="4" t="inlineStr">
        <is>
          <t>Revisión asistida por IA (un revisor; requiere verificación independiente)</t>
        </is>
      </c>
      <c r="M138" s="40" t="n">
        <v>46269</v>
      </c>
      <c r="N138" s="4" t="inlineStr">
        <is>
          <t>https://www.nature.com/articles/s41598-026-48562-8_reference.pdf</t>
        </is>
      </c>
      <c r="O138" s="4" t="inlineStr">
        <is>
          <t>Texto completo abierto con métodos y resultados suficientes; codificación en Extraccion_RQ_nuevos.</t>
        </is>
      </c>
      <c r="P138" s="4" t="inlineStr">
        <is>
          <t>Autism spectrum disorder (ASD) is a neuro-developmental disorder that has serious impact on person’s social interaction, communication, and behavior. Non intrusive detection through analysis of electroencephalogram (EEG) signals with deep learning techniques has been the prominent area of research in ASD diagnosis. The current deep learning techniques processed EEG signals without considering their spatial structure. They treat EEG features as independent or grid-like sequences, ignoring the non-Euclidean structure of brain connectivity. As the result, the features do not capture the intricate relationship between signals obtained from multiple electrodes considering both spatial and long term temporal dependencies. To solve this problem, this work proposes a spatial structure based feature fusion network (SSFFN) which considers two attributes of spatial proximity and functional connectivity to capture local and long range interactions between brain regions as fused features. These fused features are used for ASD classification using long short term (LSTM) predictor considering the long term temporal dependencies. Experimental analysis of proposed solution against Sheffield dataset and KAU dataset showed a 1% higher accuracy and 4.4% higher recall compared to most recent time frequency synergy networks.</t>
        </is>
      </c>
    </row>
    <row r="139" ht="409" customHeight="1">
      <c r="A139" s="4" t="n">
        <v>313</v>
      </c>
      <c r="B139" s="4" t="n">
        <v>2026</v>
      </c>
      <c r="C139" s="4" t="inlineStr">
        <is>
          <t>Metaheuristic hyperparameter optimization of deep neural networks for demographic-aware autism spectrum disorder classification.</t>
        </is>
      </c>
      <c r="D139" s="4" t="inlineStr">
        <is>
          <t>10.1038/s41598-026-58789-0</t>
        </is>
      </c>
      <c r="E139" s="4" t="inlineStr">
        <is>
          <t>Mohammed Aly and Naif M Alotaibi</t>
        </is>
      </c>
      <c r="F139" s="4" t="inlineStr">
        <is>
          <t>Scientific reports</t>
        </is>
      </c>
      <c r="G139" s="4" t="inlineStr">
        <is>
          <t>Incluir provisionalmente</t>
        </is>
      </c>
      <c r="H139" s="4" t="inlineStr">
        <is>
          <t>Retrieved and reviewed</t>
        </is>
      </c>
      <c r="I139" s="4" t="n"/>
      <c r="J139" s="4" t="inlineStr">
        <is>
          <t>Include</t>
        </is>
      </c>
      <c r="K139" s="4" t="n"/>
      <c r="L139" s="4" t="inlineStr">
        <is>
          <t>Revisión asistida por IA (un revisor; requiere verificación independiente)</t>
        </is>
      </c>
      <c r="M139" s="40" t="n">
        <v>46269</v>
      </c>
      <c r="N139" s="4" t="inlineStr">
        <is>
          <t>https://www.nature.com/articles/s41598-026-58789-0.pdf</t>
        </is>
      </c>
      <c r="O139" s="4" t="inlineStr">
        <is>
          <t>Texto completo abierto con métodos y resultados suficientes; codificación en Extraccion_RQ_nuevos.</t>
        </is>
      </c>
      <c r="P139" s="4" t="inlineStr">
        <is>
          <t>Autism Spectrum Disorder (ASD) classification from neuroimaging data poses significant challenges due to high data heterogeneity and the complexity of learning robust representations across demographic subgroups. While recent deep learning approaches have shown promise, most existing studies rely on binary classification and limited model tuning strategies, overlooking demographic variability and the role of systematic optimization in model design. To address these challenges, this study formulates demographic-aware ASD classification as an optimization-driven learning problem and proposes a deep learning framework based on structural MRI (sMRI) data. The proposed framework employs three customized Convolutional Neural Network (CNN) models targeting gender-based classification, age-group-based classification, and joint age-gender classification using an octal class structure. Model architecture and training hyperparameters are automatically optimized using the Optimized Artificial Bee Colony (OptABC) algorithm, enabling task-specific adaptation without manual tuning. A dedicated preprocessing pipeline incorporating structural localization and controlled data augmentation is applied to improve robustness across heterogeneous imaging sites. All models are evaluated using five-fold cross-validation on the multi-site ABIDE dataset. Experimental results demonstrate that the proposed optimization-driven framework achieves accuracies of 84.25%, 88.07%, and 71.58% for gender-based, age-based, and joint age-gender classification tasks, respectively, yielding competitive performance relative to widely used pre-trained transfer learning models under comparable experimental settings. The results further indicate that age-aware modeling offers stronger discriminative capability than gender-based classification, while joint demographic stratification introduces increased task complexity due to finer class granularity. Overall, the findings highlight the effectiveness of metaheuristic optimization for enhancing deep learning models in complex, demographic-aware neuroimaging classification tasks. Further evaluation on independent datasets is planned to assess robustness across broader settings.</t>
        </is>
      </c>
    </row>
    <row r="140" ht="409" customHeight="1">
      <c r="A140" s="4" t="n">
        <v>316</v>
      </c>
      <c r="B140" s="4" t="n">
        <v>2025</v>
      </c>
      <c r="C140" s="4" t="inlineStr">
        <is>
          <t>Identifying Immune-related Molecular Biomarkers in Autism Spectrum Disorder Using Data-independent Acquisition Proteomics and Machine Learning.</t>
        </is>
      </c>
      <c r="D140" s="4" t="inlineStr">
        <is>
          <t>10.3791/68949</t>
        </is>
      </c>
      <c r="E140" s="4" t="inlineStr">
        <is>
          <t>Jun He and Qingqing Hu and Sifeng Wang and Xiaohui Gong and Ni Gan and Li Huang and Haofeng Chen and Jie Dai and Hong Yu and Shuanglin Xiang and Xiangwen Peng</t>
        </is>
      </c>
      <c r="F140" s="4" t="inlineStr">
        <is>
          <t>Journal of visualized experiments : JoVE</t>
        </is>
      </c>
      <c r="G140" s="4" t="inlineStr">
        <is>
          <t>Incluir provisionalmente</t>
        </is>
      </c>
      <c r="H140" s="4" t="inlineStr">
        <is>
          <t>Retrieved and reviewed</t>
        </is>
      </c>
      <c r="I140" s="4" t="n"/>
      <c r="J140" s="4" t="inlineStr">
        <is>
          <t>Include</t>
        </is>
      </c>
      <c r="K140" s="4" t="n"/>
      <c r="L140" s="4" t="inlineStr">
        <is>
          <t>Revision asistida por IA (un revisor; requiere verificacion independiente)</t>
        </is>
      </c>
      <c r="M140" s="40" t="n">
        <v>46269</v>
      </c>
      <c r="N140" s="4" t="inlineStr">
        <is>
          <t>https://www.jove.com/t/68949/identifying-immune-related-molecular-biomarkers-autism-spectrum</t>
        </is>
      </c>
      <c r="O140" s="4" t="inlineStr">
        <is>
          <t>Contenido evaluable suficiente revisado para adjudicacion/codificacion acotada; ver nivel exacto de fuente, evidencia y cautelas en Lote_04_25.</t>
        </is>
      </c>
      <c r="P140" s="4" t="inlineStr">
        <is>
          <t>This study presents a reproducible protocol for identifying serum protein biomarkers associated with autism spectrum disorder (ASD) using data-independent acquisition (DIA) mass spectrometry combined with machine learning (ML). DIA enables unbiased, high-resolution profiling of the serum proteome, including low-abundance proteins, while ensuring reproducibility across samples. ML approaches were applied to select diagnostically informative protein panels and improve model robustness. The analysis included serum from 99 children with ASD and 70 age-matched controls. High-abundance proteins were depleted, peptides were prepared using standardized digestion and fractionation procedures, and DIA was performed on a high-resolution mass spectrometer. Data processing and quantification identified differentially expressed proteins, which underwent functional enrichment analysis. Eight immune-related proteins emerged as strong candidates for biomarker development. A logistic regression model trained on these proteins achieved 95.27% accuracy, a Kappa value of 0.9025, and an AUC of 1.000 in cross-validation. These findings demonstrate the potential of DIA-based proteomics, combined with machine learning, as a robust framework for biomarker discovery in ASD and for adaptation in broader clinical research.</t>
        </is>
      </c>
    </row>
    <row r="141" ht="409" customHeight="1">
      <c r="A141" s="4" t="n">
        <v>319</v>
      </c>
      <c r="B141" s="4" t="n">
        <v>2025</v>
      </c>
      <c r="C141" s="4" t="inlineStr">
        <is>
          <t>Enhanced detection of autism spectrum disorder through neuroimaging data using stack classifier ensembled with modified VGG-19</t>
        </is>
      </c>
      <c r="D141" s="4" t="inlineStr">
        <is>
          <t>10.1177/02841851251333974</t>
        </is>
      </c>
      <c r="E141" s="4" t="inlineStr">
        <is>
          <t>Yazeed Alashban</t>
        </is>
      </c>
      <c r="F141" s="4" t="inlineStr">
        <is>
          <t>Acta Radiologica</t>
        </is>
      </c>
      <c r="G141" s="4" t="inlineStr">
        <is>
          <t>Incluir provisionalmente</t>
        </is>
      </c>
      <c r="H141" s="4" t="inlineStr">
        <is>
          <t>Report located; publisher/PubMed content sufficient for scoped adjudication</t>
        </is>
      </c>
      <c r="I141" s="4" t="n"/>
      <c r="J141" s="4" t="inlineStr">
        <is>
          <t>Include</t>
        </is>
      </c>
      <c r="K141" s="4" t="n"/>
      <c r="L141" s="4" t="inlineStr">
        <is>
          <t>Revision asistida por IA (un revisor; requiere verificacion independiente)</t>
        </is>
      </c>
      <c r="M141" s="40" t="n">
        <v>46269</v>
      </c>
      <c r="N141" s="4" t="inlineStr">
        <is>
          <t>https://pubmed.ncbi.nlm.nih.gov/40232228/</t>
        </is>
      </c>
      <c r="O141" s="4" t="inlineStr">
        <is>
          <t>Contenido evaluable suficiente revisado para adjudicacion/codificacion acotada; ver nivel exacto de fuente, evidencia y cautelas en Lote_04_25.</t>
        </is>
      </c>
      <c r="P141" s="4" t="inlineStr">
        <is>
          <t>Background: Autism spectrum disorder (ASD) is a neurodevelopmental disease marked by a variety of repetitive behaviors and social communication difficulties. Purpose: To develop a generalizable machine learning (ML) classifier that can accurately and effectively predict ASD in children. Material and Methods: This paper makes use of neuroimaging data from the Autism Brain Imaging Data Exchange (ABIDE I and II) datasets through a combination of structural and functional magnetic resonance imaging data. Several ML models, such as Support Vector Machines (SVM), CatBoost, random forest (RF), and stack classifiers, were tested to demonstrate which model performs the best in ASD classification when used alongside a deep convolutional neural network. Results: Results showed that stack classifier performed the best among the models, with the highest accuracy of 81.68%, sensitivity of 85.08%, and specificity of 79.13% for ABIDE I, and 81.34%, 83.61%, and 82.21% for ABIDE II, showing its superior ability to identify complex patterns in neuroimaging data. SVM performed poorly across all metrics, showing its limitations in dealing with high-dimensional neuroimaging data. Conclusion: The results show that the application of ML models, especially ensemble approaches like stack classifier, holds significant promise in improving the accuracy with which ASD is detected using neuroimaging and thus shows their potential for use in clinical applications and early intervention strategies.</t>
        </is>
      </c>
    </row>
    <row r="142" ht="409" customHeight="1">
      <c r="A142" s="4" t="n">
        <v>321</v>
      </c>
      <c r="B142" s="4" t="n">
        <v>2025</v>
      </c>
      <c r="C142" s="4" t="inlineStr">
        <is>
          <t>Bridging the gap: explainable ai for autism diagnosis and parental support with TabPFNMix and SHAP</t>
        </is>
      </c>
      <c r="D142" s="4" t="inlineStr">
        <is>
          <t>10.1038/s41598-025-24662-9</t>
        </is>
      </c>
      <c r="E142" s="4" t="inlineStr">
        <is>
          <t>Shimei Jiang</t>
        </is>
      </c>
      <c r="F142" s="4" t="inlineStr">
        <is>
          <t>Scientific Reports</t>
        </is>
      </c>
      <c r="G142" s="4" t="inlineStr">
        <is>
          <t>Incluir provisionalmente</t>
        </is>
      </c>
      <c r="H142" s="4" t="inlineStr">
        <is>
          <t>Retrieved and reviewed</t>
        </is>
      </c>
      <c r="I142" s="4" t="n"/>
      <c r="J142" s="4" t="inlineStr">
        <is>
          <t>Include</t>
        </is>
      </c>
      <c r="K142" s="4" t="n"/>
      <c r="L142" s="4" t="inlineStr">
        <is>
          <t>Revisión asistida por IA (un revisor; requiere verificación independiente)</t>
        </is>
      </c>
      <c r="M142" s="40" t="n">
        <v>46269</v>
      </c>
      <c r="N142" s="4" t="inlineStr">
        <is>
          <t>https://www.nature.com/articles/s41598-025-24662-9.pdf</t>
        </is>
      </c>
      <c r="O142" s="4" t="inlineStr">
        <is>
          <t>Texto completo abierto con métodos y resultados suficientes; codificación en Extraccion_RQ_nuevos.</t>
        </is>
      </c>
      <c r="P142" s="4" t="inlineStr">
        <is>
          <t>Autism Spectrum Disorder (ASD) is a complex neurodevelopmental condition that affects a growing number of individuals worldwide. Despite extensive research, the underlying causes of ASD remain largely unknown, with genetic predisposition, parental history, and environmental influences identified as potential risk factors. Diagnosing ASD remains challenging due to its highly variable presentation and overlap with other neurodevelopmental disorders. Early and accurate diagnosis is crucial for timely intervention, which can significantly improve developmental outcomes and parental support. This work presents a novel artificial intelligence (AI) and explainable AI (XAI)-based framework to enhance ASD diagnosis and provide interpretable insights for medical professionals and caregivers. The proposed framework leverages advanced classification models, specifically the TabPFNMix regressor, which is optimized for structured medical datasets. Unlike traditional machine learning methods, TabPFNMix demonstrates superior performance in capturing complex ASD-related patterns. To address the black-box nature of AI models, Shapley Additive Explanations (SHAP) is integrated to provide transparent and interpretable reasoning behind the model’s decisions, ensuring better understanding for clinicians and caregivers. Extensive experiments were conducted using a publicly available benchmark dataset, with performance evaluated through standard metrics such as accuracy, precision, recall, F1-score, and AUC-ROC. Comparative analysis with baseline models, including Random Forest, XGBoost, Support Vector Machine (SVM), and Deep Neural Networks (DNNs), demonstrates that TabPFNMix achieves the highest accuracy (91.5%), surpassing XGBoost (87.3%) by 4.2 percentage points. Additionally, it attains superior recall (92.7%), precision (90.2%), F1-score (91.4%), and AUC-ROC (94.3%), ensuring both high diagnostic accuracy and robustness in real-world ASD screening. An ablation study highlights the significance of feature selection and preprocessing, revealing that omitting key features or preprocessing steps (such as normalization and missing data imputation) significantly degrades performance. Furthermore, SHAP-based feature importance analysis identifies social responsiveness scores, repetitive behavior scales, and parental age at birth as the most influential factors in ASD diagnosis. These insights align with medical literature, reinforcing the reliability of the model’s predictions and its applicability in clinical settings.</t>
        </is>
      </c>
    </row>
    <row r="143" ht="409" customHeight="1">
      <c r="A143" s="4" t="n">
        <v>323</v>
      </c>
      <c r="B143" s="4" t="n">
        <v>2026</v>
      </c>
      <c r="C143" s="4" t="inlineStr">
        <is>
          <t>Energy-Efficient EEG-Based Autism Spectrum Disorder Detection Using a Hyperbolic Attention Neural Network</t>
        </is>
      </c>
      <c r="D143" s="4" t="inlineStr">
        <is>
          <t>10.1002/dneu.70011</t>
        </is>
      </c>
      <c r="E143" s="4" t="inlineStr">
        <is>
          <t>S Anshad A. and K Padmanaban and L Guganathan and J Anupama</t>
        </is>
      </c>
      <c r="F143" s="4" t="inlineStr">
        <is>
          <t>Developmental Neurobiology</t>
        </is>
      </c>
      <c r="G143" s="4" t="inlineStr">
        <is>
          <t>Incluir provisionalmente</t>
        </is>
      </c>
      <c r="H143" s="4" t="inlineStr">
        <is>
          <t>Retrieved/reviewed; content sufficient for scoped adjudication</t>
        </is>
      </c>
      <c r="I143" s="4" t="n"/>
      <c r="J143" s="4" t="inlineStr">
        <is>
          <t>Include</t>
        </is>
      </c>
      <c r="K143" s="4" t="n"/>
      <c r="L143" s="4" t="inlineStr">
        <is>
          <t>Revision asistida por IA (un revisor; requiere verificacion independiente)</t>
        </is>
      </c>
      <c r="M143" s="40" t="n">
        <v>46269</v>
      </c>
      <c r="N143" s="4" t="inlineStr">
        <is>
          <t>https://onlinelibrary.wiley.com/doi/10.1002/dneu.70011</t>
        </is>
      </c>
      <c r="O143" s="4" t="inlineStr">
        <is>
          <t>Public benchmark evaluation with extremely high performance; no independent external cohort, site-held-out analysis, prospective evaluation, or formal XAI was established in the accessible evidence.</t>
        </is>
      </c>
      <c r="P143" s="4" t="inlineStr">
        <is>
          <t>Long-term physiological monitoring using wearable wireless systems represents a paradigm change in next-generation e-health applications. Specifically, electroencephalography (EEG) represents a noninvasive and trustworthy way of recording brain activity and is a likely candidate for the early diagnosis of autism spectrum disorder (ASD). Yet, conventional methods involving the streaming of raw EEG signals to outside servers for classification consume significant energy and drastically shorten the operational life of wearable sensors. In response to these gaps, this research introduced an energy-aware, sensor-based scheme for ASD detection during early childhood from EEG signals. The system exploits on-node signal denoising via chaotic signal models, feature extraction by dual tree discrete wavelet transform (DT-DWT), and lightweight feature selection by parrot optimization (PO). The core detection is executed via a new Hyperbolic Cross-Head Attention-Based Neural Network (HyperCrossNet) that proposes deep reversible learning in conjunction with spatial and channel-oriented attention mechanisms. The network weights are then optimized by the Pied Kingfisher Optimization Algorithm (PKO) for improved accuracy. Experimental outcomes indicate 99.92% classification, 99.91% recall, and a 99.90% F1-score not mentioning that it has lowered considerably the amount of energy used to transmit the raw data. This effective design enables real-time wearable detection useful and applicable to long-term monitoring.</t>
        </is>
      </c>
    </row>
    <row r="144" ht="409" customHeight="1">
      <c r="A144" s="4" t="n">
        <v>326</v>
      </c>
      <c r="B144" s="4" t="n">
        <v>2025</v>
      </c>
      <c r="C144" s="4" t="inlineStr">
        <is>
          <t>Classification of Autism Spectrum Disorder Using Edge-Weight Enhanced Graph Attention Network With Multiple Features of Resting-State fNIRS Signals</t>
        </is>
      </c>
      <c r="D144" s="4" t="inlineStr">
        <is>
          <t>10.1002/jbio.202500138</t>
        </is>
      </c>
      <c r="E144" s="4" t="inlineStr">
        <is>
          <t>Jingwen Cai and Xi Zeng and Jun Li</t>
        </is>
      </c>
      <c r="F144" s="4" t="inlineStr">
        <is>
          <t>Journal of Biophotonics</t>
        </is>
      </c>
      <c r="G144" s="4" t="inlineStr">
        <is>
          <t>Incluir provisionalmente</t>
        </is>
      </c>
      <c r="H144" s="4" t="inlineStr">
        <is>
          <t>Retrieved/reviewed; content sufficient for scoped adjudication</t>
        </is>
      </c>
      <c r="I144" s="4" t="n"/>
      <c r="J144" s="4" t="inlineStr">
        <is>
          <t>Include</t>
        </is>
      </c>
      <c r="K144" s="4" t="n"/>
      <c r="L144" s="4" t="inlineStr">
        <is>
          <t>Revision asistida por IA (un revisor; requiere verificacion independiente)</t>
        </is>
      </c>
      <c r="M144" s="40" t="n">
        <v>46269</v>
      </c>
      <c r="N144" s="4" t="inlineStr">
        <is>
          <t>https://onlinelibrary.wiley.com/doi/10.1002/jbio.202500138</t>
        </is>
      </c>
      <c r="O144" s="4" t="inlineStr">
        <is>
          <t>Very small single cohort; no independent external validation, prospective workflow evaluation, or explicit site-robustness analysis was established.</t>
        </is>
      </c>
      <c r="P144" s="4" t="inlineStr">
        <is>
          <t>Functional near-infrared spectroscopy (fNIRS), as a noninvasive brain imaging modality, has shown great potential for autism spectrum disorder (ASD) identification combined with machine learning. In this work, we proposed an ASD identification method using edge-weight enhanced graph attention network (EWE-GAT) with multiple features in resting-state fNIRS signals measured from the bilateral temporal lobes on 22 typically developing (TD) children and 25 children with ASD. Seven features were selected for the EWE-GAT model, including five node features: the coupling between oxygenated hemoglobin (HbO) and deoxygenated hemoglobin (Hb) fluctuations, sample entropy for HbO and Hb, and average resting-state functional connectivity (RSFC) for HbO and Hb of each channel, and two edge features: RSFC between each channel pair for both HbO and Hb. With the proposed method, high accurate classification was achieved with 97.92% accuracy, 100% sensitivity, 96.43% precision, and 98.08% F1 score, outperforming usually used traditional machine learning and convolutional neural network models.</t>
        </is>
      </c>
    </row>
    <row r="145" ht="409" customHeight="1">
      <c r="A145" s="4" t="n">
        <v>331</v>
      </c>
      <c r="B145" s="4" t="n">
        <v>2026</v>
      </c>
      <c r="C145" s="4" t="inlineStr">
        <is>
          <t>Hybrid deep learning and feature selection approach for autism detection from rs-fMRI data</t>
        </is>
      </c>
      <c r="D145" s="4" t="inlineStr">
        <is>
          <t>10.1371/journal.pone.0339921</t>
        </is>
      </c>
      <c r="E145" s="4" t="inlineStr">
        <is>
          <t>Mohamed Abd Elaziz and Nermine Mahmoud and Ahmed A Ewees and Mohamed G Khattap and Abdelghani Dahou and Safar M Alghamdi and I Nafisah and Ibrahim A Fares and Mohammed Azmi Al-Betar</t>
        </is>
      </c>
      <c r="F145" s="4" t="inlineStr">
        <is>
          <t>PLOS ONE</t>
        </is>
      </c>
      <c r="G145" s="4" t="inlineStr">
        <is>
          <t>Incluir provisionalmente</t>
        </is>
      </c>
      <c r="H145" s="4" t="inlineStr">
        <is>
          <t>Retrieved and reviewed</t>
        </is>
      </c>
      <c r="I145" s="4" t="n"/>
      <c r="J145" s="4" t="inlineStr">
        <is>
          <t>Include</t>
        </is>
      </c>
      <c r="K145" s="4" t="n"/>
      <c r="L145" s="4" t="inlineStr">
        <is>
          <t>Revisión asistida por IA (un revisor; requiere verificación independiente)</t>
        </is>
      </c>
      <c r="M145" s="40" t="n">
        <v>46269</v>
      </c>
      <c r="N145" s="4" t="inlineStr">
        <is>
          <t>https://journals.plos.org/plosone/article/file?id=10.1371/journal.pone.0339921&amp;type=printable</t>
        </is>
      </c>
      <c r="O145" s="4" t="inlineStr">
        <is>
          <t>Texto completo abierto con métodos y resultados suficientes; codificación en Extraccion_RQ_nuevos.</t>
        </is>
      </c>
      <c r="P145" s="4" t="inlineStr">
        <is>
          <t>Autism Spectrum Disorder (ASD) is a neurodevelopmental condition that is primarily characterized by deficits in social communication and restricted or repetitive behavioral patterns. Although psychologists contribute significantly to the understanding of ASD, offering insights into its cognitive, emotional, and behavioral dimensions through assessments, diagnoses, therapeutic approaches, and family support, the diagnostic process remains complex. This complexity arises from the diverse manifestations of the disorder and the challenges associated with data sharing. In addition, conventional machine learning approaches for ASD detection may struggle with high-dimensional neuroimaging data and may require careful feature engineering. Consequently, this motivated us to enhance ASD diagnosis by incorporating deep learning (DL) techniques for feature extraction alongside a modified exponential-trigonometric optimization (ETO) algorithm as a feature selection (FS) technique. The modified ETO integrates the Arithmetic Optimization Algorithm (AOA) and the Guided Learning Strategy (GLS) to improve diagnostic performance. To evaluate the effectiveness of the proposed model, we utilized resting-state functional MRI (rs-fMRI) data from the Autism Brain Imaging Data Exchange (ABIDE I). Furthermore, the performance of the proposed model was compared with that of established models. The results indicate that the proposed model achieves competitive and, in most cases, superior performance compared with the benchmark methods, demonstrating superior accuracy, sensitivity, and AUC in diagnosing ASD. On average across the three atlas-based feature sets, the proposed model has an accuracy, sensitivity, and AUC of 73%, 78%, and 79%, respectively.</t>
        </is>
      </c>
    </row>
    <row r="146" ht="409" customHeight="1">
      <c r="A146" s="4" t="n">
        <v>334</v>
      </c>
      <c r="B146" s="4" t="n">
        <v>2026</v>
      </c>
      <c r="C146" s="4" t="inlineStr">
        <is>
          <t>Constructing a Predictive Model for Children with Autism Spectrum Disorder Based on Whole-Brain MR Radiomics: A Machine Learning Study</t>
        </is>
      </c>
      <c r="D146" s="4" t="inlineStr">
        <is>
          <t>10.3174/ajnr.A8939</t>
        </is>
      </c>
      <c r="E146" s="4" t="inlineStr">
        <is>
          <t>Xi Chen and Jiaxuan Peng and Zihan Zhang and Qiaowei Song and Dongxue Li and Gongyong Zhai and Wanyun Fu and Zhenyu Shu</t>
        </is>
      </c>
      <c r="F146" s="4" t="inlineStr">
        <is>
          <t>American Journal of Neuroradiology</t>
        </is>
      </c>
      <c r="G146" s="4" t="inlineStr">
        <is>
          <t>Incluir provisionalmente</t>
        </is>
      </c>
      <c r="H146" s="4" t="inlineStr">
        <is>
          <t>Retrieved/reviewed; content sufficient for scoped adjudication</t>
        </is>
      </c>
      <c r="I146" s="4" t="n"/>
      <c r="J146" s="4" t="inlineStr">
        <is>
          <t>Include</t>
        </is>
      </c>
      <c r="K146" s="4" t="n"/>
      <c r="L146" s="4" t="inlineStr">
        <is>
          <t>Revision asistida por IA (un revisor; requiere verificacion independiente)</t>
        </is>
      </c>
      <c r="M146" s="40" t="n">
        <v>46269</v>
      </c>
      <c r="N146" s="4" t="inlineStr">
        <is>
          <t>https://pubmed.ncbi.nlm.nih.gov/40721282/</t>
        </is>
      </c>
      <c r="O146" s="4" t="inlineStr">
        <is>
          <t>External validation is present, but the accessible report does not describe an explicit leave-site-out robustness design. The radiomics signature and VIQ provide feature-level interpretability rather than a formal post-hoc XAI method.</t>
        </is>
      </c>
      <c r="P146" s="4" t="inlineStr">
        <is>
          <t>BACKGROUND AND PURPOSE: Current autism spectrum disorder (ASD) diagnosis depends on subjective behavioral assessments causing delays and variability. Structural MRI shows brain abnormalities but traditional analysis lacks sensitivity. This study aims to construct a prediction model based on whole-brain imaging radiomics analysis by using machine learning for identifying children with ASD. MATERIALS AND METHODS: This study used imaging and clinical data from 223 subjects in the Autism Brain Imaging Data Exchange database, including 120 patients diagnosed with ASD. These data were randomly divided into training and test sets in a 7:3 ratio. An independent external test set comprising 87 participants (38 with ASD) from the Georgetown University and University of Miami ASD data set was also utilized. Then, quantitative radiomics features of white matter, gray matter, and CSF were extracted from the whole-brain MR structural images of each subject, and feature dimensionality reduction was performed based on the training set data to construct radiomics signature. Afterward, multivariate logistic regression was used to screen independent predictors of ASD from clinical features and then, combined with radiomics signature, multiple machine learning models were constructed to predict ASD. Finally, the optimal model was selected, and the receiver operating characteristic curve was used to evaluate the training, test, and external test sets data. Simultaneously, the model divides the data set into low-risk and high-risk subgroups, comparing the actual number of individuals with ASD between the 2 subgroups to evaluate the clinical efficacy of the model. RESULTS: The areas under the curve (AUCs) of radiomics markers in the training set, test set, and external test set were 0.78 (95% CI, 0.71–0.85), 0.75 (95% CI, 0.67–0.83), and 0.74 (95% CI, 0.64–0.83), respectively. Multivariate logistic regression showed that the Verbal Intelligence Quotient (VIQ) was a predictor of ASD. The joint model constructed by the decision tree algorithm with radiomics markers performed best, with AUC of 0.87 (95% CI, 0.81–0.92), 0.84 (95% CI, 0.76–0.91), and 0.83 (95% CI, 0.74–0.91), a sensitivity of 0.89 (95% CI, 0.82–0.95), 0.84 (95% CI, 0.73–0.93), and 0.86 (95% CI, 0.72–0.96), and the specificity of 0.70 (95% CI, 0.60–0.79), 0.63 (95% CI, 0.52–0.74), and 0.66 (95% CI, 0.49–0.80), respectively. The low-risk subgroup and high-risk subgroup classified according to the cutoff value of 0.4285 of the model showed statistically significant differences in the actual number of patients with ASD in the training set (x2 ¼ 21.325; P, .05), the test set (x2 ¼ 5.379; P, .05), and the external test set (x2 ¼ 21.52; P, .05). CONCLUSIONS: Radiomics signature for identifying ASD can be constructed based on whole-brain MRI imaging features. The performance of identifying ASD can be improved by adding VIQ data and the decision tree algorithm model, which can provide an adaptive strategy for clinical practice.</t>
        </is>
      </c>
    </row>
    <row r="147" ht="409" customHeight="1">
      <c r="A147" s="4" t="n">
        <v>335</v>
      </c>
      <c r="B147" s="4" t="n">
        <v>2026</v>
      </c>
      <c r="C147" s="4" t="inlineStr">
        <is>
          <t>Diagnostic Classification of Autism Spectrum Disorder in the Frequency Domain Using Resting-State fMRI</t>
        </is>
      </c>
      <c r="D147" s="4" t="inlineStr">
        <is>
          <t>10.1007/s12021-026-09782-5</t>
        </is>
      </c>
      <c r="E147" s="4" t="inlineStr">
        <is>
          <t>Hossein Haghighat</t>
        </is>
      </c>
      <c r="F147" s="4" t="inlineStr">
        <is>
          <t>Neuroinformatics</t>
        </is>
      </c>
      <c r="G147" s="4" t="inlineStr">
        <is>
          <t>Incluir provisionalmente</t>
        </is>
      </c>
      <c r="H147" s="4" t="inlineStr">
        <is>
          <t>Retrieved and reviewed</t>
        </is>
      </c>
      <c r="I147" s="4" t="n"/>
      <c r="J147" s="4" t="inlineStr">
        <is>
          <t>Include</t>
        </is>
      </c>
      <c r="K147" s="4" t="n"/>
      <c r="L147" s="4" t="inlineStr">
        <is>
          <t>Revisión asistida por IA (un revisor; requiere verificación independiente)</t>
        </is>
      </c>
      <c r="M147" s="40" t="n">
        <v>46269</v>
      </c>
      <c r="N147" s="4" t="inlineStr">
        <is>
          <t>https://www.researchsquare.com/article/rs-3427251/latest.pdf</t>
        </is>
      </c>
      <c r="O147" s="4" t="inlineStr">
        <is>
          <t>Texto completo abierto con métodos y resultados suficientes; codificación en Extraccion_RQ_nuevos.</t>
        </is>
      </c>
      <c r="P147" s="4" t="inlineStr">
        <is>
          <t>Autism spectrum disorder (ASD) is a neurodevelopmental disorder with problems in social interactions, verbal and non-verbal communication, repetitive behaviors, and limited interests in a person. Considering the challenges in diagnosing ASD based on behavioral symptoms—such as subjectivity, variability among individuals, and overlap with other developmental conditions—it seems necessary to propose computer-aided diagnosis systems (CADS) for ASD. We proposed an age-dependent CADS based on functional connectivity (FC) in the frequency domain for ASD using resting-state functional magnetic resonance imaging (rs-fMRI). Also, the features and classification accuracy obtained in the frequency and time domains were compared. First, preprocessing was performed on the rs-fMRI data. Then, group-independent component analysis (GICA) was used to obtain resting state networks (RSNs). This was followed by obtaining separate components of RSNs for each individual using dual regression. Then, coherence analysis was used to extract the features of FC in the frequency domain between RSNs. To consider the role of age in the classification process, three age groups of children, adolescents, and adults were considered, and feature selection for each age group was applied separately using an embedded approach, in which all classifiers in the Waikato Environment for Knowledge Analysis (WEKA) machine learning platform were used simultaneously. Finally, classification accuracy was obtained for each age group. The proposed CADS was able to classify 95.23% in the children group, 88.1% in the adolescent group, and 92.8% in the adult group. In addition, the frequency bands whose features obtained the most distinction in each age group were identified, highlighting their potential relevance for supporting ASD diagnosis and monitoring rehabilitation.</t>
        </is>
      </c>
    </row>
    <row r="148" ht="409" customHeight="1">
      <c r="A148" s="4" t="n">
        <v>342</v>
      </c>
      <c r="B148" s="4" t="n">
        <v>2026</v>
      </c>
      <c r="C148" s="4" t="inlineStr">
        <is>
          <t>Auditory brainstem response abnormalities in autism spectrum disorder: A deep learning approach to characterize time-frequency signatures</t>
        </is>
      </c>
      <c r="D148" s="4" t="inlineStr">
        <is>
          <t>10.1016/j.heares.2026.109654</t>
        </is>
      </c>
      <c r="E148" s="4" t="inlineStr">
        <is>
          <t>Xun Chen and Hewen Xu and Ying Huang and Ping Zhang and Lianting Hu and Fanfan Zhu and Jianhua Liu and Haiqing Xu and Zhengtao Gong and Long Lu</t>
        </is>
      </c>
      <c r="F148" s="4" t="inlineStr">
        <is>
          <t>Hearing Research</t>
        </is>
      </c>
      <c r="G148" s="4" t="inlineStr">
        <is>
          <t>Incluir provisionalmente</t>
        </is>
      </c>
      <c r="H148" s="4" t="inlineStr">
        <is>
          <t>Retrieved/reviewed; content sufficient for scoped adjudication</t>
        </is>
      </c>
      <c r="I148" s="4" t="n"/>
      <c r="J148" s="4" t="inlineStr">
        <is>
          <t>Include</t>
        </is>
      </c>
      <c r="K148" s="4" t="n"/>
      <c r="L148" s="4" t="inlineStr">
        <is>
          <t>Revision asistida por IA (un revisor; requiere verificacion independiente)</t>
        </is>
      </c>
      <c r="M148" s="40" t="n">
        <v>46269</v>
      </c>
      <c r="N148" s="4" t="inlineStr">
        <is>
          <t>https://www.sciencedirect.com/science/article/pii/S0378595526001309</t>
        </is>
      </c>
      <c r="O148" s="4" t="inlineStr">
        <is>
          <t>No independent external cohort, site-held-out evaluation, or prospective clinical deployment was identified in the accessible material.</t>
        </is>
      </c>
      <c r="P148" s="4" t="inlineStr">
        <is>
          <t>Background: While Auditory Brainstem Response (ABR) provides a non-invasive window into auditory brainstem function, prior studies of ASD have primarily focused on localized waveform features (e.g., waves I, III, and V), potentially overlooking subtle but informative patterns in the full-band signal. This study introduces a deep learning framework to comprehensively characterize time-frequency signatures of auditory brainstem activity in ASD, with the goal of identifying neurophysiologically meaningful ABR features associated with ASD. Methods: We analyzed a clinical dataset of 1209 ABR recordings (ASD: 961; Typically Developing Controls: 248). A dual-branch Time-Frequency Fusion and Transformer-Based Network (TF-TBN) was developed. The temporal branch utilizes a Transformer-enhanced 1D-CNN to analyze raw ABR waveforms, while the frequency branch employs a Vision Transformer to analyze spectrograms generated via Continuous Wavelet Transform. A fusion module integrates these features for final classification. Model interpretability was analyzed to identify critical ABR features. Results: The TF-TBN model achieved a classification accuracy of 96.62%, significantly outperforming conventional deep learning baselines. Interpretability analysis revealed that the model’s decision was heavily influenced by prolonged absolute latencies of waves III and V, and interpeak latencies of I-III and I-V, which were confirmed as statistically significant in the ASD cohort. This suggests that the model successfully learned biologically plausible biomarkers of auditory pathway dysfunction. Conclusions: This study provides the first comprehensive characterization of full-band ABR abnormalities in ASD using a deep learning framework. The TF-TBN model identifies prolonged wave III- and wave V-related timing features as prominent contributors to ASD-TD discrimination, with wave III-related delay emerging as an important component of the observed ABR abnormality. By linking AI-driven feature discovery to interpretable neurophysiological biomarkers, our work advances the analytical framework for ABR and contributes to understanding the neural basis of auditory processing deficits in ASD.</t>
        </is>
      </c>
    </row>
    <row r="149" ht="409" customHeight="1">
      <c r="A149" s="4" t="n">
        <v>343</v>
      </c>
      <c r="B149" s="4" t="n">
        <v>2026</v>
      </c>
      <c r="C149" s="4" t="inlineStr">
        <is>
          <t>An explainable machine unlearning algorithm framework for early detection of autism spectrum disorder and brain disabilities in newborns</t>
        </is>
      </c>
      <c r="D149" s="4" t="inlineStr">
        <is>
          <t>10.1016/j.aej.2026.04.002</t>
        </is>
      </c>
      <c r="E149" s="4" t="inlineStr">
        <is>
          <t>Abdullah Lakhan and Mazin Abed Mohammed and Hassen Hamouda and Adel Thaljaoui and Abeer Baslem and Mohammed Nasser Al-Andoli</t>
        </is>
      </c>
      <c r="F149" s="4" t="inlineStr">
        <is>
          <t>Alexandria Engineering Journal</t>
        </is>
      </c>
      <c r="G149" s="4" t="inlineStr">
        <is>
          <t>Incluir provisionalmente</t>
        </is>
      </c>
      <c r="H149" s="4" t="inlineStr">
        <is>
          <t>Retrieved/reviewed; content sufficient for scoped adjudication</t>
        </is>
      </c>
      <c r="I149" s="4" t="n"/>
      <c r="J149" s="4" t="inlineStr">
        <is>
          <t>Include</t>
        </is>
      </c>
      <c r="K149" s="4" t="n"/>
      <c r="L149" s="4" t="inlineStr">
        <is>
          <t>Revision asistida por IA (un revisor; requiere verificacion independiente)</t>
        </is>
      </c>
      <c r="M149" s="40" t="n">
        <v>46269</v>
      </c>
      <c r="N149" s="4" t="inlineStr">
        <is>
          <t>https://www.sciencedirect.com/science/article/pii/S1110016826002115</t>
        </is>
      </c>
      <c r="O149" s="4" t="inlineStr">
        <is>
          <t>Benchmark-based evaluation across heterogeneous tasks/datasets does not establish prospective clinical deployment or an independent external/site-held-out validation protocol.</t>
        </is>
      </c>
      <c r="P149" s="4" t="inlineStr">
        <is>
          <t>Autism Spectrum Disorder (ASD) is a rising disorder in the brain among newborns aged 0 to 36 months, emphasizing the urgent need for early and accurate detection to mitigate potential developmental risks. Deep learning and machine learning techniques have shown promise in diagnosing ASD, particularly in children aged 36 to 72 months. However, the effectiveness of these diagnostic models heavily depends on the quality and accuracy of the training data. Inaccurate or mismatched data can lead to unreliable diagnoses and inappropriate clinical interventions. In this paper, we propose a machine unlearning-integrated explainable AI (XAI) framework for the early detection of autism spectrum disorder and brain disabilities in newborns. Central to our framework is the Machine Unlearning-Integrated Explainable AI Partitioning Autism Detection and Brain Disorder (MUXAI-ASDBD) algorithm, a novel partitioning-based XAI approach built on Convolutional Neural Network (CNN). This algorithm provides layer-wise explainability during training and incorporates a machine unlearning mechanism at the summation layer, along with probability distribution analysis, to enhance diagnostic accuracy and computational efficiency. The MUXAI-ASDBD framework was evaluated using multiple benchmark datasets, including Ages and Stages Questionnaires (ASQ), CSBS, PEDS, the Modified Checklist for Autism in Toddlers (M-CHAT), and the Screening Tool for Autism in Toddlers and Children (STAT). We also integrated neuroimaging data from brain disorder MRI and EEG datasets. This work extends our previously published implementation, in which we detected autism but did not correct errors, as we do here. Simulation results showed that the MUXAI-ASDBD framework reduced error rates by 23%, reduced false positives, improved accuracy to 98%, and reduced processing time for autism detection using the given multimodal data.</t>
        </is>
      </c>
    </row>
    <row r="150" ht="409" customHeight="1">
      <c r="A150" s="4" t="n">
        <v>347</v>
      </c>
      <c r="B150" s="4" t="n">
        <v>2025</v>
      </c>
      <c r="C150" s="4" t="inlineStr">
        <is>
          <t>Vision transformer and complex network analysis for autism spectrum disorder classification in T1 structural MRI</t>
        </is>
      </c>
      <c r="D150" s="4" t="inlineStr">
        <is>
          <t>10.1007/s11604-025-01832-3</t>
        </is>
      </c>
      <c r="E150" s="4" t="inlineStr">
        <is>
          <t>Xingyu Gao and Yuchao Xu</t>
        </is>
      </c>
      <c r="F150" s="4" t="inlineStr">
        <is>
          <t>Japanese Journal of Radiology</t>
        </is>
      </c>
      <c r="G150" s="4" t="inlineStr">
        <is>
          <t>Incluir provisionalmente</t>
        </is>
      </c>
      <c r="H150" s="4" t="inlineStr">
        <is>
          <t>Retrieved/reviewed; content sufficient for scoped adjudication</t>
        </is>
      </c>
      <c r="I150" s="4" t="n"/>
      <c r="J150" s="4" t="inlineStr">
        <is>
          <t>Include</t>
        </is>
      </c>
      <c r="K150" s="4" t="n"/>
      <c r="L150" s="4" t="inlineStr">
        <is>
          <t>Revision asistida por IA (un revisor; requiere verificacion independiente)</t>
        </is>
      </c>
      <c r="M150" s="40" t="n">
        <v>46269</v>
      </c>
      <c r="N150" s="4" t="inlineStr">
        <is>
          <t>https://pubmed.ncbi.nlm.nih.gov/40663220/</t>
        </is>
      </c>
      <c r="O150" s="4" t="inlineStr">
        <is>
          <t>ABIDE is multisite, but the reported evaluation is internal five-fold validation rather than an explicit site-held-out or independent external robustness test.</t>
        </is>
      </c>
      <c r="P150" s="4" t="inlineStr">
        <is>
          <t>Background: Autism spectrum disorder (ASD) affects social interaction, communication, and behavior. Early diagnosis is important as it enables timely intervention that can significantly improve long-term outcomes, but current diagnostic, which rely heavily on behavioral observations and clinical interviews, are often subjective and time-consuming. This study introduces an AI-based approach that uses T1-weighted structural MRI (sMRI) scans, network analysis, and vision transformers to automatically diagnose ASD. Methods: sMRI data from 79 ASD patients and 105 healthy controls were obtained from the Autism Brain Imaging Data Exchange (ABIDE) database. Complex network analysis (CNA) features and ViT (Vision Transformer) features were developed for predicting ASD. Five models were developed for each type of features: logistic regression, support vector machine (SVM), gradient boosting (GB), K-nearest neighbors (KNN), and neural network (NN). 25 models were further developed by federating the two sets of 5 models. Model performance was evaluated using accuracy, area under the receiver operating characteristic curve (AUC-ROC), sensitivity, and specificity via fivefold cross-validation. Results: The federate model CNA(KNN)–ViT(NN) achieved highest performance, with accuracy 0.951 ± 0.067, AUC-ROC 0.980 ± 0.020, sensitivity 0.963 ± 0.050, and specificity 0.943 ± 0.047. The performance of the ViT-based models exceeds that of the complex network-based models on 80% of the performance metrics. By federating CNA models, the ViT models can achieve better performance. Conclusion: This study demonstrates the feasibility of using CNA and ViT models for the automated diagnosis of ASD. The proposed CNA(KNN)–ViT(NN) model achieved better accuracy in ASD classification based solely on T1 sMRI images. The proposed method’s reliance on widely available T1 sMRI scans highlights its potential for integration into routine clinical examinations, facilitating more efficient and accessible ASD screening.</t>
        </is>
      </c>
    </row>
    <row r="151" ht="409" customHeight="1">
      <c r="A151" s="4" t="n">
        <v>349</v>
      </c>
      <c r="B151" s="4" t="n">
        <v>2026</v>
      </c>
      <c r="C151" s="4" t="inlineStr">
        <is>
          <t>Dominant cross-frequency analysis-based early diagnosis of Autism Spectrum Disorder in pediatrics using FRHIS and DSTCNN</t>
        </is>
      </c>
      <c r="D151" s="4" t="inlineStr">
        <is>
          <t>10.1016/j.pscychresns.2026.112270</t>
        </is>
      </c>
      <c r="E151" s="4" t="inlineStr">
        <is>
          <t>V Anithalakshmi and R Thiagarajan</t>
        </is>
      </c>
      <c r="F151" s="4" t="inlineStr">
        <is>
          <t>Psychiatry Research - Neuroimaging</t>
        </is>
      </c>
      <c r="G151" s="4" t="inlineStr">
        <is>
          <t>Incluir provisionalmente</t>
        </is>
      </c>
      <c r="H151" s="4" t="inlineStr">
        <is>
          <t>Retrieved/reviewed; content sufficient for scoped adjudication</t>
        </is>
      </c>
      <c r="I151" s="4" t="n"/>
      <c r="J151" s="4" t="inlineStr">
        <is>
          <t>Include</t>
        </is>
      </c>
      <c r="K151" s="4" t="n"/>
      <c r="L151" s="4" t="inlineStr">
        <is>
          <t>Revision asistida por IA (un revisor; requiere verificacion independiente)</t>
        </is>
      </c>
      <c r="M151" s="40" t="n">
        <v>46269</v>
      </c>
      <c r="N151" s="4" t="inlineStr">
        <is>
          <t>https://www.sciencedirect.com/science/article/pii/S0925492726001356</t>
        </is>
      </c>
      <c r="O151" s="4" t="inlineStr">
        <is>
          <t>The very high reported performance is not accompanied by an independent external cohort, prospective evaluation, or explicit cross-site robustness analysis in the accessible source.</t>
        </is>
      </c>
      <c r="P151" s="4" t="inlineStr">
        <is>
          <t>Autism Spectrum Disorder (ASD) is a prevalent neurodevelopmental condition that affects children's cognitive, social, and behavioral skills. Thus, early diagnosis of ASD for children below 2 years old is very significant. Nevertheless, the prevailing works overlooked the depth of the dynamic frequency band variation during ASD detection, leading to misclassification. Therefore, a dominant cross-frequency analysis-based early ASD detection in pediatrics using a Fuzzy Root Hesitant Inference System (FRHIS) and Deep Squared Tau Convolutional Neural Network (DSTCNN) is proposed in this paper. Primarily, the Electroencephalogram (EEG) signals of children below 2 years old are gathered. Then, the artifacts are removed using the EWI-BPF. Afterward, by using Variation Frechet Distribution Mode Decomposition (VFDMD), the signals are decomposed. Then, by utilizing the FRHIS, the frequency bands are determined, followed by non-linear variables and feature extraction. In the meantime, the cross-frequency analysis is carried out by estimating the modulation depth using the Phase Amplitude Method (PAM) and determining the cross-frequency strength. Then, to select optimal features, the CRBM is applied. Lastly, the ASD classification is carried out using DSTCNN. When analogized with other traditional works, the proposed work attained superior performance in detecting ASD for pediatrics with a higher accuracy of 99.03%.</t>
        </is>
      </c>
    </row>
    <row r="152" ht="409" customHeight="1">
      <c r="A152" s="4" t="n">
        <v>352</v>
      </c>
      <c r="B152" s="4" t="n">
        <v>2025</v>
      </c>
      <c r="C152" s="4" t="inlineStr">
        <is>
          <t>Efficient Kulczynski EEG feature selection for autism spectrum disorder diagnosis over fog and cloud computing</t>
        </is>
      </c>
      <c r="D152" s="4" t="inlineStr">
        <is>
          <t>10.1007/S41870-025-02987-Y</t>
        </is>
      </c>
      <c r="E152" s="4" t="inlineStr">
        <is>
          <t>Ekraam Jabier and Ali Fadhil Marhoon and Ammar A Aldair and Mustafa Noaman Kadhim and Dhiah Al-Shammary and Ayman Ibaida</t>
        </is>
      </c>
      <c r="F152" s="4" t="inlineStr">
        <is>
          <t>International Journal of Information Technology (Singapore)</t>
        </is>
      </c>
      <c r="G152" s="4" t="inlineStr">
        <is>
          <t>Incluir provisionalmente</t>
        </is>
      </c>
      <c r="H152" s="4" t="inlineStr">
        <is>
          <t>Retrieved and reviewed</t>
        </is>
      </c>
      <c r="I152" s="4" t="n"/>
      <c r="J152" s="4" t="inlineStr">
        <is>
          <t>Include</t>
        </is>
      </c>
      <c r="K152" s="4" t="n"/>
      <c r="L152" s="4" t="inlineStr">
        <is>
          <t>Revisión asistida por IA (un revisor; requiere verificación independiente)</t>
        </is>
      </c>
      <c r="M152" s="40" t="n">
        <v>46269</v>
      </c>
      <c r="N152" s="4" t="inlineStr">
        <is>
          <t>https://link.springer.com/content/pdf/10.1007/s41870-025-02987-y.pdf</t>
        </is>
      </c>
      <c r="O152" s="4" t="inlineStr">
        <is>
          <t>Texto completo abierto con métodos y resultados suficientes; codificación en Extraccion_RQ_nuevos.</t>
        </is>
      </c>
      <c r="P152" s="4" t="inlineStr">
        <is>
          <t>This work introduces an efficient feature selection approach based on the Kulczynski Similarity (KS) measure to improve the efficiency and accuracy of machine learning models in Electroencephalogram (EEG)-based autism spectrum disorder (ASD) detection. EEG data are inherently high-dimensional, and using all features increases computational burden while incorporating redundant or irrelevant attributes that may hinder classification performance. The proposed KS method addresses these issues by ranking features according to their similarity, retaining those with high harmony that are most relevant for diagnosis, and discarding non-contributory dimensions. To evaluate the effectiveness of the KS framework, three configurations were compared: the complete EEG feature set, features selected with standard Particle Swarm Optimization (PSO), and features selected with the proposed KS method. While PSO retained 30 out of 47 features (63.83% selection ratio and 36.17% reduction ratio), KS achieved a more compact subset of 28 features (59.57% selection ratio and 40.43% reduction ratio), achieving an additional 4.26% improvement in both selection and reduction ratios over PSO. Despite using fewer inputs, KS consistently delivered higher performance across five classifiers. The best accuracy was obtained by K-Nearest Neighbors (KNN) at 99.20%, followed by eXtreme Gradient Boosting (XGBoost) at 98.12%, Random Forest (RF) at 97.05%, Support Vector Machine (SVM) at 95.36%, and Decision Tree (DT) at 87.95%. The findings demonstrate that KS-based feature selection reduces dimensionality, improves accuracy, and lowers complexity, supporting fog and Cloud computing enabled real-time diagnostics and clinical decision systems for efficient EEG analysis in early ASD detection and better patient care.</t>
        </is>
      </c>
    </row>
    <row r="153" ht="409" customHeight="1">
      <c r="A153" s="4" t="n">
        <v>354</v>
      </c>
      <c r="B153" s="4" t="n">
        <v>2026</v>
      </c>
      <c r="C153" s="4" t="inlineStr">
        <is>
          <t>Contrastive diffusion adaptation network with rs-fMRI for domain adaptation classification of autism spectrum disorder</t>
        </is>
      </c>
      <c r="D153" s="4" t="inlineStr">
        <is>
          <t>10.1016/j.asoc.2026.115959</t>
        </is>
      </c>
      <c r="E153" s="4" t="inlineStr">
        <is>
          <t>Zifeng Qiu and Yuna Chen and Sijing Su and Shijun Qiu and Lujie Liu and Jie An</t>
        </is>
      </c>
      <c r="F153" s="4" t="inlineStr">
        <is>
          <t>Applied Soft Computing</t>
        </is>
      </c>
      <c r="G153" s="4" t="inlineStr">
        <is>
          <t>Incluir provisionalmente</t>
        </is>
      </c>
      <c r="H153" s="4" t="inlineStr">
        <is>
          <t>Retrieved/reviewed; content sufficient for scoped adjudication</t>
        </is>
      </c>
      <c r="I153" s="4" t="n"/>
      <c r="J153" s="4" t="inlineStr">
        <is>
          <t>Include</t>
        </is>
      </c>
      <c r="K153" s="4" t="n"/>
      <c r="L153" s="4" t="inlineStr">
        <is>
          <t>Revision asistida por IA (un revisor; requiere verificacion independiente)</t>
        </is>
      </c>
      <c r="M153" s="40" t="n">
        <v>46269</v>
      </c>
      <c r="N153" s="4" t="inlineStr">
        <is>
          <t>https://www.sciencedirect.com/science/article/pii/S1568494626014079</t>
        </is>
      </c>
      <c r="O153" s="4" t="inlineStr">
        <is>
          <t>Cross-site/domain-adaptation testing supports robustness but is not equivalent to an independent prospective external clinical validation cohort.</t>
        </is>
      </c>
      <c r="P153" s="4" t="inlineStr">
        <is>
          <t>Autism spectrum disorder (ASD) imposes a substantial non-fatal health burden on youth, making early detection essential. Resting-state functional MRI (rs-fMRI) captures low-frequency BOLD connectivity biomarkers, enabling personalized diagnosis when combined with deep learning models. However, models trained at one site often fail to generalize to others due to distribution shifts caused by differences in scanner hardware, acquisition protocols, and patient populations. Existing domain adaptation (DA) techniques alleviate this issue but frequently overlook higher-order semantic features or fail to enhance both intra- (maximizing class separability within each site) and inter-domain (aligning same-class distributions across sites while preserving class margins) discriminability jointly. To address these challenges, we propose the Contrastive Diffusion Adaptation Network (CoDA-Net) for cross-site ASD diagnosis. First, a contrastive variational graph Transformer encoder (CVGTE) aligns the rs-fMRI features of the source and target through supervised contrastive loss. Next, GraphDDPMAugmentor, equipped with TripleGraphTransformerLayers and Frequency-Aware Learning, generates synthetic samples that blend source-domain statistics with target-specific details. Finally, BrainNode-Attention GNN (BNA-GNN) is trained on real and augmented data to achieve accurate diagnoses on unseen sites. Experiments on the ABIDE dataset demonstrate that CoDA-Net significantly outperforms existing DA methods in domain adaptation.</t>
        </is>
      </c>
    </row>
    <row r="154" ht="409" customHeight="1">
      <c r="A154" s="4" t="n">
        <v>355</v>
      </c>
      <c r="B154" s="4" t="n">
        <v>2026</v>
      </c>
      <c r="C154" s="4" t="inlineStr">
        <is>
          <t>Hybrid HOG–ResNet50V2 framework for early autism spectrum disorder detection from facial images</t>
        </is>
      </c>
      <c r="D154" s="4" t="inlineStr">
        <is>
          <t>10.1016/j.array.2026.100936</t>
        </is>
      </c>
      <c r="E154" s="4" t="inlineStr">
        <is>
          <t>Vengidusamy S and Kottaimalai Ramaraj and Abdul Khader Jilani Saudagar and Pallikonda Rajasekaran Murugan and Prabu Pachiyannan</t>
        </is>
      </c>
      <c r="F154" s="4" t="inlineStr">
        <is>
          <t>Array</t>
        </is>
      </c>
      <c r="G154" s="4" t="inlineStr">
        <is>
          <t>Incluir provisionalmente</t>
        </is>
      </c>
      <c r="H154" s="4" t="inlineStr">
        <is>
          <t>Retrieved/reviewed; content sufficient for scoped adjudication</t>
        </is>
      </c>
      <c r="I154" s="4" t="n"/>
      <c r="J154" s="4" t="inlineStr">
        <is>
          <t>Include</t>
        </is>
      </c>
      <c r="K154" s="4" t="n"/>
      <c r="L154" s="4" t="inlineStr">
        <is>
          <t>Revision asistida por IA (un revisor; requiere verificacion independiente)</t>
        </is>
      </c>
      <c r="M154" s="40" t="n">
        <v>46269</v>
      </c>
      <c r="N154" s="4" t="inlineStr">
        <is>
          <t>https://www.sciencedirect.com/science/article/pii/S2590005626002596</t>
        </is>
      </c>
      <c r="O154" s="4" t="inlineStr">
        <is>
          <t>The accessible material does not establish independent external validation, prospective deployment, cross-site robustness, or an explicit XAI method.</t>
        </is>
      </c>
      <c r="P154" s="4" t="inlineStr">
        <is>
          <t>Early detection of Autism Spectrum Disorder (ASD) is essential for effective intervention, yet conventional diagnostic approaches rely heavily on behavioral assessments that are subjective and time-consuming. This study presents a novel hybrid deep learning (DL) framework that integrates Histogram of Oriented Gradients (HOG) with the ResNet50V2 architecture for automated ASD classification using facial images. The proposed method leverages HOG for extracting local structural and edge-based features, which are then fused with deep hierarchical representations learned by ResNet50V2, enabling enhanced discriminative capability. The model is implemented using transfer learning, where pre-trained weights of ResNet50V2 are fine-tuned on the ASD facial image dataset. The HOG features are combined with the deep feature maps to form a robust feature vector, which is subsequently passed through fully connected layers for classification. This hybridization improves feature generalization and reduces overfitting compared to conventional CNN-based models. Experimental evaluation on a publicly available dataset demonstrates that the proposed approach outperforms existing state-of-the-art (SOTA) methods. The model achieves an accuracy of 90.7%, precision of 91.5%, recall of 91.0%, and F1-score of 91.2%. The improved performance is attributed to effective multi-level feature extraction and optimized network training. The results indicate that the integration of handcrafted and deep features provides a reliable, non-invasive, and efficient framework for ASD classification, highlighting its potential for deployment in automated screening systems. Furthermore, the proposed framework has the potential to assist healthcare professionals in decision-making and early diagnosis.</t>
        </is>
      </c>
    </row>
    <row r="155" ht="409" customHeight="1">
      <c r="A155" s="4" t="n">
        <v>359</v>
      </c>
      <c r="B155" s="4" t="n">
        <v>2026</v>
      </c>
      <c r="C155" s="4" t="inlineStr">
        <is>
          <t>Privacy preserving federated framework for autism spectrum disorder screening with ensemble stacking and deep learning approaches</t>
        </is>
      </c>
      <c r="D155" s="4" t="inlineStr">
        <is>
          <t>10.1007/S44163-026-01103-8</t>
        </is>
      </c>
      <c r="E155" s="4" t="inlineStr">
        <is>
          <t>Anupam Das and Prasant Kumar Pattnaik and Anjan Bandyopadhyay and Neeraj Sharma and Arun Singh and Saiprasad Potharaju</t>
        </is>
      </c>
      <c r="F155" s="4" t="inlineStr">
        <is>
          <t>Discover Artificial Intelligence</t>
        </is>
      </c>
      <c r="G155" s="4" t="inlineStr">
        <is>
          <t>Incluir provisionalmente</t>
        </is>
      </c>
      <c r="H155" s="4" t="inlineStr">
        <is>
          <t>Retrieved and reviewed</t>
        </is>
      </c>
      <c r="I155" s="4" t="n"/>
      <c r="J155" s="4" t="inlineStr">
        <is>
          <t>Include</t>
        </is>
      </c>
      <c r="K155" s="4" t="n"/>
      <c r="L155" s="4" t="inlineStr">
        <is>
          <t>Revisión asistida por IA (un revisor; requiere verificación independiente)</t>
        </is>
      </c>
      <c r="M155" s="40" t="n">
        <v>46269</v>
      </c>
      <c r="N155" s="4" t="inlineStr">
        <is>
          <t>https://doi.org/10.1007/s44163-026-01103-8</t>
        </is>
      </c>
      <c r="O155" s="4" t="inlineStr">
        <is>
          <t>Texto completo abierto con métodos y resultados suficientes; codificación en Extraccion_RQ_nuevos.</t>
        </is>
      </c>
      <c r="P155" s="4" t="inlineStr">
        <is>
          <t>Objectives: Autism Spectrum Disorder (ASD) is a neurological condition that affects social and cognitive skills, and early detection is crucial for minimizing long-term effects. This study aims to develop a decentralized diagnostic framework for precise ASD detection, utilizing a federated learning simulation with raw data held at the client-side, but no specific privacy safety (DP, Secure Aggregation, Homomorphic Encryption). It integrates Ensemble Stacking with Deep Learning approaches, combining classifiers such as Decision Tree, Random Forest, XG Boost, and Logistic Regression (meta), and compares their effectiveness to deep learning models. Methods: The research used a Kaggle-based ASD dataset and included preprocessing steps such as missing value imputation, one-hot encoding, PCA for dimensionality reduction, oversampling for class balancing, and feature standardization. Two. models were implemented: a Federated Ensemble Model combining Decision Tree, Random Forest, and XG Boost in a stacked framework and a Federated Deep Learning Model for binary classification. Both models operated in a federated learning setup, with data distributed across two clients and aggregated via federated averaging. Metrics like accuracy, precision, recall, and F1-score were used for evaluation. Results: The federated ensemble model achieved 96.0% accuracy with precision, recall, and F1-scores of 0.97 and 0.92. The federated deep learning model outperformed it with 97.0% accuracy, higher precision (0.98), and improved recall (0.94), highlighting better balance in sensitivity and precision for ASD detection in decentralized environments. Conclusions: Both federated models demonstrated high diagnostic accuracy while maintaining data privacy. The federated deep learning model was superior and is suited for clinical applications. These are initial results obtained and are only using Kaggle ASD screening dataset. Generalizability will be tested by using external validation of larger and clinically diverse datasets (e.g., ABIDE-I/II).</t>
        </is>
      </c>
    </row>
    <row r="156" ht="409" customHeight="1">
      <c r="A156" s="4" t="n">
        <v>360</v>
      </c>
      <c r="B156" s="4" t="n">
        <v>2026</v>
      </c>
      <c r="C156" s="4" t="inlineStr">
        <is>
          <t>Prenatal exposure to particulate matter and risk of autism spectrum disorder in children: a population-based cohort study in South Korea</t>
        </is>
      </c>
      <c r="D156" s="4" t="inlineStr">
        <is>
          <t>10.1016/j.envres.2026.125161</t>
        </is>
      </c>
      <c r="E156" s="4" t="inlineStr">
        <is>
          <t>Hyesung Lee and Sooyoung Kim and Seoyeong Ahn and Whanhee Lee and Jun-Won Hwang and Eunhye Jo and Woo Jin Kim</t>
        </is>
      </c>
      <c r="F156" s="4" t="inlineStr">
        <is>
          <t>Environmental Research</t>
        </is>
      </c>
      <c r="G156" s="4" t="inlineStr">
        <is>
          <t>Incluir provisionalmente</t>
        </is>
      </c>
      <c r="H156" s="4" t="inlineStr">
        <is>
          <t>Retrieved/reviewed; content sufficient for scoped adjudication</t>
        </is>
      </c>
      <c r="I156" s="4" t="n"/>
      <c r="J156" s="4" t="inlineStr">
        <is>
          <t>Exclude</t>
        </is>
      </c>
      <c r="K156" s="4" t="inlineStr">
        <is>
          <t>El componente de machine learning se utiliza para estimar la exposicion ambiental a PM2.5/PM10; el riesgo de ASD se analiza mediante modelos de riesgos proporcionales de Cox. No se implementa ni evalua una tecnica de IA/ML como modelo sustantivo de screening, diagnostico, pronostico, monitorizacion o intervencion de ASD.</t>
        </is>
      </c>
      <c r="L156" s="4" t="inlineStr">
        <is>
          <t>Revision asistida por IA (un revisor; requiere verificacion independiente)</t>
        </is>
      </c>
      <c r="M156" s="40" t="n">
        <v>46269</v>
      </c>
      <c r="N156" s="4" t="inlineStr">
        <is>
          <t>https://pubmed.ncbi.nlm.nih.gov/42379486/</t>
        </is>
      </c>
      <c r="O156" s="4" t="inlineStr">
        <is>
          <t>Contenido suficiente revisado en Lote_05_25; exclusion sustentada por el criterio especificado y requiere verificacion humana independiente.</t>
        </is>
      </c>
      <c r="P156" s="4" t="inlineStr">
        <is>
          <t>Prenatal exposure to particulate matter has been investigated as a potential environmental factor for autism spectrum disorder (ASD), but evidence remains heterogeneous, and nationwide data from non-Western populations are limited. We conducted a nationwide retrospective birth cohort study using the Big CHildren's ENvironmental health Study (Big-CHENS) database in South Korea, including 698,907 mother-father-child pairs born between 2015 and 2017 and followed through 2023. Prenatal exposure to PM2.5 and PM10 was estimated using machine learning-based models and averaged over the entire pregnancy and by trimester. ASD was identified using diagnostic codes, with abnormal findings from the Korean Developmental Screening Test. Cox proportional hazards regression was used to estimate hazard ratios (HRs) and 95% confidence intervals (CIs) per interquartile range increase in pollutant concentrations after adjusting for a broad range of potential confounders. During follow-up, 5,594 children (0.8%) were diagnosed with ASD. Prenatal PM2.5 exposure was not associated with ASD risk during the total pregnancy period (HR, 0.99; 95% CI, 0.95-1.03) or during the first (1.02, 0.99-1.05), second (0.99, 0.97-1.02), or third trimester (0.98, 0.95-1.00). Similarly, prenatal PM10 exposure was not associated with ASD risk during the total pregnancy period (0.99, 0.94-1.04) or during the first (1.02, 0.98-1.05), second (0.99, 0.96-1.02), or third trimester (0.98, 0.96-1.01). Findings were consistent across developmental screening outcomes, subgroup analyses, and sensitivity analyses. In this nationwide South Korean cohort, prenatal exposure to PM2.5 or PM10 was not associated with ASD risk after accounting for a broad range of potential confounders. These findings highlight the importance of careful confounder control and outcome definition in studies of prenatal air pollution exposure and neurodevelopmental outcomes.</t>
        </is>
      </c>
    </row>
    <row r="157" ht="409" customHeight="1">
      <c r="A157" s="4" t="n">
        <v>361</v>
      </c>
      <c r="B157" s="4" t="n">
        <v>2026</v>
      </c>
      <c r="C157" s="4" t="inlineStr">
        <is>
          <t>Systems-level multi-omics dissection of syndromic and idiopathic autism reveals distinct regulatory architectures, candidate molecular signatures, and potential therapeutic targets</t>
        </is>
      </c>
      <c r="D157" s="4" t="inlineStr">
        <is>
          <t>10.1016/j.compbiomed.2026.111822</t>
        </is>
      </c>
      <c r="E157" s="4" t="inlineStr">
        <is>
          <t>Ondippili Rudhra and Sanjeev Kumar Singh</t>
        </is>
      </c>
      <c r="F157" s="4" t="inlineStr">
        <is>
          <t>Computers in Biology and Medicine</t>
        </is>
      </c>
      <c r="G157" s="4" t="inlineStr">
        <is>
          <t>Incluir provisionalmente</t>
        </is>
      </c>
      <c r="H157" s="4" t="inlineStr">
        <is>
          <t>Retrieved/reviewed; content sufficient for scoped adjudication</t>
        </is>
      </c>
      <c r="I157" s="4" t="n"/>
      <c r="J157" s="4" t="inlineStr">
        <is>
          <t>Exclude</t>
        </is>
      </c>
      <c r="K157" s="4" t="inlineStr">
        <is>
          <t>El componente de deep learning se aplica a cribado in silico de interacciones farmaco-diana sobre genes de riesgo curados y a priorizacion terapeutica. El estudio es de sistemas moleculares/descubrimiento de farmacos y no evalua un modelo de IA sobre participantes humanos para un resultado clinico o de cuidado de ASD dentro de las etapas definidas por IC4.</t>
        </is>
      </c>
      <c r="L157" s="4" t="inlineStr">
        <is>
          <t>Revision asistida por IA (un revisor; requiere verificacion independiente)</t>
        </is>
      </c>
      <c r="M157" s="40" t="n">
        <v>46269</v>
      </c>
      <c r="N157" s="4" t="inlineStr">
        <is>
          <t>https://pubmed.ncbi.nlm.nih.gov/42330854/</t>
        </is>
      </c>
      <c r="O157" s="4" t="inlineStr">
        <is>
          <t>Contenido suficiente revisado en Lote_05_25; exclusion sustentada por el criterio especificado y requiere verificacion humana independiente.</t>
        </is>
      </c>
      <c r="P157" s="4" t="inlineStr">
        <is>
          <t>Biological systems operate as self-organizing information networks in which genetic, epigenetic, and regulatory interactions collectively determine functional outcomes. Autism encompasses a heterogeneous set of neurodevelopmental conditions, including syndromic and idiopathic subtypes. Despite extensive gene discovery efforts, how these autism subtypes differ in their underlying organization of biological information remains poorly understood. Here, we apply an integrative systems-level, multi-omics framework to compare syndromic and idiopathic autism as distinct regulatory systems. High-confidence autism risk genes were curated from the SFARI and AutismKB databases, and analyzed using functional enrichment, protein–protein interaction network modeling, graph-theoretic hub identification, brain-region, cell-type-specific transcriptomic validation, experimentally supported miRNA regulatory network reconstruction, and deep learning–based drugtarget interaction analysis. Our analyses reveal clear differences in network organization between autism subtypes. Idiopathic autism is predominantly associated with synaptic signaling, ion channel activity, and transcriptional modulation, with hub genes KAT2B and AR enriched in basal ganglia-associated regions and astrocytes. In contrast, syndromic autism shows enrichment for transcriptional regulation, chromatin remodeling, and dense miRNA-mediated control, with hub genes CHD3 and CSNK2A1 preferentially expressed in cerebellar and cortical regions, as well as inhibitory neurons. Notably, master regulatory miRNAs differ completely between subtypes, indicating distinct post-transcriptional regulatory strategies. Deep learning-based screening further identifies subtype-specific therapeutic candidates with predicted central nervous system accessibility. Together, these findings demonstrate that syndromic and idiopathic autism differ in how regulatory information is structured and propagated across molecular networks, providing a systems-level perspective on autism heterogeneity and a general framework for analyzing biological information organization in complex systems.</t>
        </is>
      </c>
    </row>
    <row r="158" ht="409" customHeight="1">
      <c r="A158" s="4" t="n">
        <v>364</v>
      </c>
      <c r="B158" s="4" t="n">
        <v>2026</v>
      </c>
      <c r="C158" s="4" t="inlineStr">
        <is>
          <t>Smart detection of autism spectrum disorder using optimized deep learner for transforming early diagnosis and intervention</t>
        </is>
      </c>
      <c r="D158" s="4" t="inlineStr">
        <is>
          <t>10.1007/S12065-026-01162-X</t>
        </is>
      </c>
      <c r="E158" s="4" t="inlineStr">
        <is>
          <t>P Kamaraja Pandian and R Chithambaramani and M Sujaritha and C Gnanaprakasam and P Rama Mohan and S Gopalakrishnan</t>
        </is>
      </c>
      <c r="F158" s="4" t="inlineStr">
        <is>
          <t>Evolutionary Intelligence</t>
        </is>
      </c>
      <c r="G158" s="4" t="inlineStr">
        <is>
          <t>Incluir provisionalmente</t>
        </is>
      </c>
      <c r="H158" s="4" t="inlineStr">
        <is>
          <t>Retrieved/reviewed; content sufficient for scoped adjudication</t>
        </is>
      </c>
      <c r="I158" s="4" t="n"/>
      <c r="J158" s="4" t="inlineStr">
        <is>
          <t>Include</t>
        </is>
      </c>
      <c r="K158" s="4" t="n"/>
      <c r="L158" s="4" t="inlineStr">
        <is>
          <t>Revision asistida por IA (un revisor; requiere verificacion independiente)</t>
        </is>
      </c>
      <c r="M158" s="40" t="n">
        <v>46269</v>
      </c>
      <c r="N158" s="4" t="inlineStr">
        <is>
          <t>https://www.researchgate.net/publication/401363005_Smart_detection_of_autism_spectrum_disorder_using_optimized_deep_learner_for_transforming_early_diagnosis_and_intervention</t>
        </is>
      </c>
      <c r="O158" s="4" t="inlineStr">
        <is>
          <t>Material reporting contradiction: the Methods/Results explicitly analyze two datasets, while the Data Availability statement says no datasets were generated or analysed. Inclusion is retained provisionally, but this requires high-priority human verification before final synthesis.</t>
        </is>
      </c>
      <c r="P158" s="4" t="inlineStr">
        <is>
          <t>Autism Spectrum Disorder (ASD) detection and classification bear huge importance in early diagnosis and intervention, which will massively raise the quality of life in autistic individuals. Most traditional approaches have difficulties in catching the sophisticated patterns of ASD-related behaviors, which often lead to suboptimal accuracy, high false-positive rates, and poor generalization across datasets. This paper introduces a new approach: the NeD-TraF framework and the Eagle Vision Arithmetic Search (EVA-Search) algorithm. This advanced deep learning architecture is very efficient in extracting ASD-salient features and further classifying them accordingly. In contrast, a dynamically optimized learning rate decay would result in much quicker convergence with the EVA-Search method. As discussed above, the methods described propose novelty at the levels of adaptive feature extraction, improved computation efficiency, and a modular approach that guarantees scalability on various datasets. It verifies the efficiency of the proposed framework with the Reddit Mental Health Dataset and ASD Screening Dataset. Experimental results reveal that the model is able to outperform six state-of-the-art methods with higher accuracy and F1-scores, such as 99%, at reduced computational time. Thus, the superiority of the current framework signifies that it is much capable of capturing the complexities in a relationship and thereby suitable for real-world applications. This provides a transformational solution in ASD detection and classification, setting a new standard in precision and efficiency in computational diagnostics.</t>
        </is>
      </c>
    </row>
    <row r="159" ht="203" customHeight="1">
      <c r="A159" s="4" t="n">
        <v>366</v>
      </c>
      <c r="B159" s="4" t="n">
        <v>2026</v>
      </c>
      <c r="C159" s="4" t="inlineStr">
        <is>
          <t>Hybrid deep learning with cross-attention fusion for autism spectrum disorder classification from facial images</t>
        </is>
      </c>
      <c r="D159" s="4" t="inlineStr">
        <is>
          <t>10.1016/j.ibmed.2026.100421</t>
        </is>
      </c>
      <c r="E159" s="4" t="inlineStr">
        <is>
          <t>M Revathi and S Arunarani</t>
        </is>
      </c>
      <c r="F159" s="4" t="inlineStr">
        <is>
          <t>Intelligence-Based Medicine</t>
        </is>
      </c>
      <c r="G159" s="4" t="inlineStr">
        <is>
          <t>Incluir provisionalmente</t>
        </is>
      </c>
      <c r="H159" s="4" t="inlineStr">
        <is>
          <t>Retrieved/reviewed; content sufficient for scoped adjudication</t>
        </is>
      </c>
      <c r="I159" s="4" t="n"/>
      <c r="J159" s="4" t="inlineStr">
        <is>
          <t>Include</t>
        </is>
      </c>
      <c r="K159" s="4" t="n"/>
      <c r="L159" s="4" t="inlineStr">
        <is>
          <t>Revision asistida por IA (un revisor; requiere verificacion independiente)</t>
        </is>
      </c>
      <c r="M159" s="40" t="n">
        <v>46269</v>
      </c>
      <c r="N159" s="4" t="inlineStr">
        <is>
          <t>https://www.sciencedirect.com/science/article/pii/S2666521226000797</t>
        </is>
      </c>
      <c r="O159" s="4" t="inlineStr">
        <is>
          <t>The article reports a fixed 86.4%/3.4%/10.2% train/validation/test partition while the abstract also reports mean±SD across 5-fold cross-validation, creating an evaluation-protocol inconsistency that should be reconciled manually. No independent external dataset was used.</t>
        </is>
      </c>
      <c r="P159" s="4" t="n"/>
    </row>
    <row r="160" ht="409" customHeight="1">
      <c r="A160" s="4" t="n">
        <v>367</v>
      </c>
      <c r="B160" s="4" t="n">
        <v>2026</v>
      </c>
      <c r="C160" s="4" t="inlineStr">
        <is>
          <t>An integrated intelligent model for early diagnosis of autism spectrum disorder</t>
        </is>
      </c>
      <c r="D160" s="4" t="inlineStr">
        <is>
          <t>10.1016/j.fraope.2026.100663</t>
        </is>
      </c>
      <c r="E160" s="4" t="inlineStr">
        <is>
          <t>Archana Tandon and Bireshwar Dass Mazumdar and Manoj Kumar Pal</t>
        </is>
      </c>
      <c r="F160" s="4" t="inlineStr">
        <is>
          <t>Franklin Open</t>
        </is>
      </c>
      <c r="G160" s="4" t="inlineStr">
        <is>
          <t>Incluir provisionalmente</t>
        </is>
      </c>
      <c r="H160" s="4" t="inlineStr">
        <is>
          <t>Eligibility reviewed from accessible primary-source content; scoped adjudication completed</t>
        </is>
      </c>
      <c r="I160" s="4" t="n"/>
      <c r="J160" s="4" t="inlineStr">
        <is>
          <t>Exclude</t>
        </is>
      </c>
      <c r="K160" s="4" t="inlineStr">
        <is>
          <t>El artículo presenta un sistema experto híbrido basado en RBR/CBR/ANN/BN y factores de confianza, pero el informe accesible no establece una cohorte/muestra humana derivada ni un protocolo de evaluación clínica empírica verificable. Por ello no se satisfacen de forma reproducible IC3/IC5 sin inferencia.</t>
        </is>
      </c>
      <c r="L160" s="4" t="inlineStr">
        <is>
          <t>Revisión asistida por IA (un revisor; requiere verificación independiente)</t>
        </is>
      </c>
      <c r="M160" s="40" t="n">
        <v>46269</v>
      </c>
      <c r="N160" s="4" t="inlineStr">
        <is>
          <t>https://www.sciencedirect.com/science/article/pii/S2773186326001787</t>
        </is>
      </c>
      <c r="O160" s="4" t="inlineStr">
        <is>
          <t>Contenido primario/editorial accesible revisado; exclusión adjudicada en Lote_06_22. Nivel de evidencia, limitaciones y prioridad de verificación humana documentados en Lote_06_22.</t>
        </is>
      </c>
      <c r="P160" s="4" t="inlineStr">
        <is>
          <t>An increasingly popular methodology in the field of medical science is an automated model based on artificial intelligence (AI). An integrated intelligent model for a neurological disease detection system has been created in this study. Neurological disorder includes Cerebral Palsy, Epilepsy, Autism spectrum disorder (ASD) and Attention deficit hyperactivity disorder (ADHD). The main challenge of this expert system is to provide accurate diagnosis within a limited time period. The primary objective of this work is to create a hybrid model of Case-Based Reasoning (CBR), Rule-Based Reasoning (RBR) and an Artificial Neural Network in which RBR is used to calculate the Cumulative Confidence Factor (CCOF) of diseases and to hierarchically connect their symptoms. CBR is utilised for diagnosing neurological illnesses and determining the significance of a disease's signs and symptoms in comparison with other diseases. So we proposed a decision support system which act as screening tool for future diagnosis of early Autism disorder.</t>
        </is>
      </c>
    </row>
    <row r="161" ht="409" customHeight="1">
      <c r="A161" s="4" t="n">
        <v>369</v>
      </c>
      <c r="B161" s="4" t="n">
        <v>2025</v>
      </c>
      <c r="C161" s="4" t="inlineStr">
        <is>
          <t>Hybrid deep learning model for autism spectrum disorder diagnosis</t>
        </is>
      </c>
      <c r="D161" s="4" t="inlineStr">
        <is>
          <t>10.1038/s41598-025-28819-4</t>
        </is>
      </c>
      <c r="E161" s="4" t="inlineStr">
        <is>
          <t>D Aarthi and S Kannimuthu</t>
        </is>
      </c>
      <c r="F161" s="4" t="inlineStr">
        <is>
          <t>Scientific Reports</t>
        </is>
      </c>
      <c r="G161" s="4" t="inlineStr">
        <is>
          <t>Incluir provisionalmente</t>
        </is>
      </c>
      <c r="H161" s="4" t="inlineStr">
        <is>
          <t>Retrieved/reviewed; content sufficient for scoped adjudication</t>
        </is>
      </c>
      <c r="I161" s="4" t="inlineStr">
        <is>
          <t>Retracted article</t>
        </is>
      </c>
      <c r="J161" s="4" t="inlineStr">
        <is>
          <t>Exclude</t>
        </is>
      </c>
      <c r="K161" s="4" t="inlineStr">
        <is>
          <t>Articulo retractado por el editor. La retractacion cuestiona la procedencia y validez clinica del conjunto de imagenes de menores, senala ausencia de documentacion de diagnostico ASD, supervision etica y consentimiento, y el editor declara que ya no confia en la fiabilidad del articulo.</t>
        </is>
      </c>
      <c r="L161" s="4" t="inlineStr">
        <is>
          <t>Revision asistida por IA (un revisor; requiere verificacion independiente)</t>
        </is>
      </c>
      <c r="M161" s="40" t="n">
        <v>46269</v>
      </c>
      <c r="N161" s="4" t="inlineStr">
        <is>
          <t>https://www.nature.com/articles/s41598-025-28819-4</t>
        </is>
      </c>
      <c r="O161" s="4" t="inlineStr">
        <is>
          <t>Contenido suficiente revisado en Lote_05_25; exclusion sustentada por el criterio especificado y requiere verificacion humana independiente.</t>
        </is>
      </c>
      <c r="P161" s="4" t="inlineStr">
        <is>
          <t>Autism spectrum disorder (ASD) is a neurodevelopmental condition pertaining to the communication, social connectivity and conduct of individuals. ASD individuals develop symptoms such as recurrent actions, atypical facial expressions and challenges in social engagement. ASD prediction depends on various measures such as functional Magnetic Resonance Imaging (fMRI) data, game-based assessments, kinematic traits, questionnaires, head activity analysis, motor activities and eye-tracking. Traditional diagnostic approaches are subjective. These approaches are clinician-dependent and time-consuming. This has resulted in various challenges for the early detection of the condition. This work evaluated the performance of five hybrid approaches such as MobileNetV2+BiLSTM, ResNet50+LSTM, EfficientNetB4, InceptionV3 and MobileNetV2+GRU. Each model was meticulously refined to achieve optimal performance on the facial image dataset obtained from the Kaggle repository. The hybrid MobileNetV2+GRU model showed high performance with 95.5% test accuracy, 95.94% precision, and 95.45% F1-score. When the suggested hybrid model was compared with the remaining models, the latter outperformed with a ROC value of 98%. The findings highlight the optimal performance and generalizability of the proposed MobileNetV2+GRU model in ASD diagnosis in children.</t>
        </is>
      </c>
    </row>
    <row r="162" ht="409" customHeight="1">
      <c r="A162" s="4" t="n">
        <v>370</v>
      </c>
      <c r="B162" s="4" t="n">
        <v>2026</v>
      </c>
      <c r="C162" s="4" t="inlineStr">
        <is>
          <t>A comparative and temporal evaluation of autism information across ten AI platforms</t>
        </is>
      </c>
      <c r="D162" s="4" t="inlineStr">
        <is>
          <t>10.1016/j.reia.2026.202965</t>
        </is>
      </c>
      <c r="E162" s="4" t="inlineStr">
        <is>
          <t>Serife Balikci</t>
        </is>
      </c>
      <c r="F162" s="4" t="inlineStr">
        <is>
          <t>Research in Autism</t>
        </is>
      </c>
      <c r="G162" s="4" t="inlineStr">
        <is>
          <t>Incluir provisionalmente</t>
        </is>
      </c>
      <c r="H162" s="4" t="inlineStr">
        <is>
          <t>Retrieved/reviewed; content sufficient for scoped adjudication</t>
        </is>
      </c>
      <c r="I162" s="4" t="n"/>
      <c r="J162" s="4" t="inlineStr">
        <is>
          <t>Exclude</t>
        </is>
      </c>
      <c r="K162" s="4" t="inlineStr">
        <is>
          <t>Evalua la calidad, legibilidad, tono, referencias, accionabilidad y seguridad de informacion sobre autismo generada por diez plataformas generales de IA; no implementa ni evalua una tecnica de IA/ML aplicada a datos humanos de ASD como componente de una etapa funcional del proceso clinico/cuidado.</t>
        </is>
      </c>
      <c r="L162" s="4" t="inlineStr">
        <is>
          <t>Revision asistida por IA (un revisor; requiere verificacion independiente)</t>
        </is>
      </c>
      <c r="M162" s="40" t="n">
        <v>46269</v>
      </c>
      <c r="N162" s="4" t="inlineStr">
        <is>
          <t>https://www.sciencedirect.com/science/article/pii/S3050656526001793</t>
        </is>
      </c>
      <c r="O162" s="4" t="inlineStr">
        <is>
          <t>Contenido suficiente revisado en Lote_05_25; exclusion sustentada por el criterio especificado y requiere verificacion humana independiente.</t>
        </is>
      </c>
      <c r="P162" s="4" t="inlineStr">
        <is>
          <t>Caregivers are increasingly using artificial intelligence (AI) platforms to obtain information about autism spectrum disorder (ASD), yet the consistency and usability of these responses remain unclear. This study examined the quality and temporal stability of responses generated by ten widely used, freely accessible AI platforms (Brave, ChatGPT, Claude, DeepSeek, Gemini, Grok, Meta AI, Microsoft Copilot, Perplexity, and Poe) when asked 15 autism-related questions. A descriptive research design was used. Responses were collected at two time points (August 2025 and February 2026) and evaluated across six dimensions including accuracy, readability, language framing, actionability, reference presence and format, and safety indicators. All responses reflected single-turn, first-pass outputs without follow-up prompting. Findings revealed considerable differences in performance across platforms, alongside consistent patterns over time. AI platforms generally provided accurate responses to autism-related questions; however, the readability of responses exceeded recommended guidelines. Most responses were presented using medicalized language, with limited use of neurodiversity-affirming wording. Actionable guidance was also limited, as only a small proportion of responses included clear next steps for families. Reference practices showed considerable variation, with some platforms including multiple sources (e.g., Gemini, Brave, Perplexity) while others offered few or none (e.g., ChatGPT, Meta AI). Across all platforms and both time points, no explicit misinformation, inappropriate reassurance, discouragement of evaluation or intervention, or unsafe recommendations were identified. Comparisons across time points showed that platform-level performance patterns were largely stable, with only minor fluctuations in scores across evaluation dimensions. These findings suggest that differences across AI platforms reflect consistent platform-level behaviors under default conditions rather than short-term variation in outputs. Overall, while AI platforms can provide broadly accurate information about ASD, they differ considerably in clarity, tone, usability, and transparency. The results highlight the need for cautious interpretation of AI-generated autism information and suggest that families may benefit from guidance when using these platforms.</t>
        </is>
      </c>
    </row>
    <row r="163" ht="409" customHeight="1">
      <c r="A163" s="4" t="n">
        <v>371</v>
      </c>
      <c r="B163" s="4" t="n">
        <v>2026</v>
      </c>
      <c r="C163" s="4" t="inlineStr">
        <is>
          <t>A Hybrid CNN-GAT Model for MRI Screening of Autism Spectrum Disorder</t>
        </is>
      </c>
      <c r="D163" s="4" t="inlineStr">
        <is>
          <t>10.1007/978-3-032-14531-4_4</t>
        </is>
      </c>
      <c r="E163" s="4" t="inlineStr">
        <is>
          <t>M Srikanth and Chandrashekar Jatoth</t>
        </is>
      </c>
      <c r="F163" s="4" t="inlineStr">
        <is>
          <t>Communications in Computer and Information Science</t>
        </is>
      </c>
      <c r="G163" s="4" t="inlineStr">
        <is>
          <t>Incluir provisionalmente</t>
        </is>
      </c>
      <c r="H163" s="4" t="inlineStr">
        <is>
          <t>Retrieved/reviewed; conference/proceedings publication type verified; scoped adjudication completed</t>
        </is>
      </c>
      <c r="I163" s="4" t="n"/>
      <c r="J163" s="4" t="inlineStr">
        <is>
          <t>Include</t>
        </is>
      </c>
      <c r="K163" s="4" t="n"/>
      <c r="L163" s="4" t="inlineStr">
        <is>
          <t>Revision asistida por IA (un revisor; requiere verificacion independiente)</t>
        </is>
      </c>
      <c r="M163" s="40" t="n">
        <v>46272</v>
      </c>
      <c r="N163" s="4" t="inlineStr">
        <is>
          <t>https://link.springer.com/chapter/10.1007/978-3-032-14531-4_4</t>
        </is>
      </c>
      <c r="O163" s="4" t="inlineStr">
        <is>
          <t>Reconciliación final 2026-09-07: Springer identifica el registro como conference paper dentro de proceedings revisados por pares de MIND 2024. Cumple el tipo de publicación elegible y el contenido empírico permite codificación RQ.</t>
        </is>
      </c>
      <c r="P163" s="4" t="inlineStr">
        <is>
          <t>Autism Spectrum Disorder (ASD) is a neurodiverse disorder that impacts children’s development, presenting a range of symptoms that persist into adulthood. Recognizing ASD in children is challenging due to the diversity of associated disorders. We propose a hybrid method for detecting autism in children using MRI screening. Our model leverages hybrid deep-learning techniques to address these challenges. In particular, a blend of Convolutional Neural Networks (CNN) and Graph Attention Networks (GAT) is used for model interpretation, allowing us to identify critical brain regions and connections that contribute to the classification. Experiments conducted using data accessible to the public show that the proposed framework achieves an 88% classification accuracy between ASD and Non-ASD cases, outperforming state-of-the-art methods. This indicates the proposed Hybrid CNN-GAT model’s strong classification ability and generalizability, offering a powerful tool for identifying brain disorders.</t>
        </is>
      </c>
    </row>
    <row r="164" ht="409" customHeight="1">
      <c r="A164" s="4" t="n">
        <v>372</v>
      </c>
      <c r="B164" s="4" t="n">
        <v>2025</v>
      </c>
      <c r="C164" s="4" t="inlineStr">
        <is>
          <t>Machine learning of clinical phenotypes facilitates autism screening and identifies novel subgroups with distinct transcriptomic profiles</t>
        </is>
      </c>
      <c r="D164" s="4" t="inlineStr">
        <is>
          <t>10.1038/S41598-025-95291-5</t>
        </is>
      </c>
      <c r="E164" s="4" t="inlineStr">
        <is>
          <t>Wasana Yuwattana and Thanit Saeliw and Marlieke Lisanne van Erp and Chayanit Poolcharoen and Songphon Kanlayaprasit and Pon Trairatvorakul and Weerasak Chonchaiya and Valerie W Hu and Tewarit Sarachana</t>
        </is>
      </c>
      <c r="F164" s="4" t="inlineStr">
        <is>
          <t>Scientific Reports</t>
        </is>
      </c>
      <c r="G164" s="4" t="inlineStr">
        <is>
          <t>Incluir provisionalmente</t>
        </is>
      </c>
      <c r="H164" s="4" t="inlineStr">
        <is>
          <t>Retrieved and reviewed</t>
        </is>
      </c>
      <c r="I164" s="4" t="n"/>
      <c r="J164" s="4" t="inlineStr">
        <is>
          <t>Include</t>
        </is>
      </c>
      <c r="K164" s="4" t="n"/>
      <c r="L164" s="4" t="inlineStr">
        <is>
          <t>Revisión asistida por IA (un revisor; requiere verificación independiente)</t>
        </is>
      </c>
      <c r="M164" s="40" t="n">
        <v>46269</v>
      </c>
      <c r="N164" s="4" t="inlineStr">
        <is>
          <t>https://doi.org/10.1038/s41598-025-95291-5</t>
        </is>
      </c>
      <c r="O164" s="4" t="inlineStr">
        <is>
          <t>Texto completo abierto con métodos y resultados suficientes; codificación en Extraccion_RQ_nuevos.</t>
        </is>
      </c>
      <c r="P164" s="4" t="inlineStr">
        <is>
          <t>Autism spectrum disorder (ASD) presents significant challenges in diagnosis and intervention due to its diverse clinical manifestations and underlying biological complexity. This study explored machine learning approaches to enhance ASD screening accuracy and identify meaningful subtypes using clinical assessments from AGRE database integrated with molecular data from GSE15402. Analysis of ADI-R scores from a large cohort of 2794 individuals demonstrated that deep learning models could achieve exceptional screening accuracy of 95.23% (CI 94.32–95.99%). Notably, comparable performance was maintained using a streamlined set of just 27 ADI-R sub-items, suggesting potential for more efficient diagnostic tools. Clustering analyses revealed three distinct subgroups identifiable through both clinical symptoms and gene expression patterns. When ASD were grouped based on clinical features, stronger associations emerged between symptoms and underlying molecular profiles compared to grouping based on gene expression alone. These findings suggest that starting with detailed clinical observations may be more effective for identifying biologically meaningful ASD subtypes than beginning with molecular data. This integrated approach combining clinical and molecular data through machine learning offers promising directions for developing more precise screening methods and personalized intervention strategies for individuals with ASD.</t>
        </is>
      </c>
    </row>
    <row r="165" ht="409" customHeight="1">
      <c r="A165" s="4" t="n">
        <v>373</v>
      </c>
      <c r="B165" s="4" t="n">
        <v>2026</v>
      </c>
      <c r="C165" s="4" t="inlineStr">
        <is>
          <t>Multi-feature fusion transformer network for Autism spectrum disorder detection via facial images</t>
        </is>
      </c>
      <c r="D165" s="4" t="inlineStr">
        <is>
          <t>10.1016/j.bspc.2026.110970</t>
        </is>
      </c>
      <c r="E165" s="4" t="inlineStr">
        <is>
          <t>Munto Wondimagegn Bekele and Mengying Zhou and Wei Li and Zhihai Lv and Na Li and Yuanjie Cao and Yi Pan and Sufen Hu and Yanjie Wei and Wenhui Xi</t>
        </is>
      </c>
      <c r="F165" s="4" t="inlineStr">
        <is>
          <t>Biomedical Signal Processing and Control</t>
        </is>
      </c>
      <c r="G165" s="4" t="inlineStr">
        <is>
          <t>Incluir provisionalmente</t>
        </is>
      </c>
      <c r="H165" s="4" t="inlineStr">
        <is>
          <t>Retrieved/reviewed; content sufficient for scoped adjudication</t>
        </is>
      </c>
      <c r="I165" s="4" t="n"/>
      <c r="J165" s="4" t="inlineStr">
        <is>
          <t>Include</t>
        </is>
      </c>
      <c r="K165" s="4" t="n"/>
      <c r="L165" s="4" t="inlineStr">
        <is>
          <t>Revision asistida por IA (un revisor; requiere verificacion independiente)</t>
        </is>
      </c>
      <c r="M165" s="40" t="n">
        <v>46269</v>
      </c>
      <c r="N165" s="4" t="inlineStr">
        <is>
          <t>https://www.sciencedirect.com/science/article/pii/S1746809426015247</t>
        </is>
      </c>
      <c r="O165" s="4" t="inlineStr">
        <is>
          <t>External cross-dataset testing strengthens generalization evidence, but the system is not prospectively deployed and image-source/demographic biases remain possible. Landmarks are derived from the same image source, so this was not counted as multisource data.</t>
        </is>
      </c>
      <c r="P165" s="4" t="inlineStr">
        <is>
          <t>Autism spectrum disorder (ASD) encompasses a range of neurodevelopmental conditions characterized by impairments in social interaction, communication, and behavior. Early detection is critical for timely intervention and improved outcomes; however, conventional approaches remain subjective, labor-intensive, and dependent on highly trained professionals. Facial image-based ASD research also faces challenges such as inter-class resemblance, intra-class variation, and pose differences. To address these issues, we propose the Multi-Aspect Cross-Fusion Transformer (MACFUT), a network that integrates facial landmark and image features through a multi-level cross-fusion mechanism for early ASD screening. The architecture incorporates spatial attention to highlight salient facial regions and a global-local cross-fusion transformer encoder to capture detailed feature relationships. We further analyze facial landmark distances, vectors, and angles to reveal developmental differences and enhance clinical interpretability. The proposed model is trained on the ASD Facial Image Dataset (AFID) using 10-fold cross-validation, achieving 89.56% accuracy and an area under the receiver operating characteristic curve (AUC) of 95.36%. To evaluate cross-dataset generalization, the trained model is tested on an independent dataset from Bangladesh (BACFED), yielding 86.51% accuracy and an AUC of 94.78%. The model also highlights diagnostic-group and sex-based differences in facial features among children. MACFUT provides an interpretable and accessible early ASD screening tool that demonstrates robustness across heterogeneous datasets. This method outperforms existing approaches and may help identify children who could benefit from further clinical evaluation in resource-limited and telehealth settings.</t>
        </is>
      </c>
    </row>
    <row r="166" ht="409" customHeight="1">
      <c r="A166" s="4" t="n">
        <v>378</v>
      </c>
      <c r="B166" s="4" t="n">
        <v>2025</v>
      </c>
      <c r="C166" s="4" t="inlineStr">
        <is>
          <t>Integrating Network Analysis and Machine Learning Identifies Key Autism Spectrum Disorder Genes Linked to Immune Dysregulation and Therapeutic Targets</t>
        </is>
      </c>
      <c r="D166" s="4" t="inlineStr">
        <is>
          <t>10.3390/genes16091109</t>
        </is>
      </c>
      <c r="E166" s="4" t="inlineStr">
        <is>
          <t>Haitang Wang and Xiaofeng Zhu and Hong Zhang and Weiwei Chen</t>
        </is>
      </c>
      <c r="F166" s="4" t="inlineStr">
        <is>
          <t>Genes</t>
        </is>
      </c>
      <c r="G166" s="4" t="inlineStr">
        <is>
          <t>Incluir provisionalmente</t>
        </is>
      </c>
      <c r="H166" s="4" t="inlineStr">
        <is>
          <t>Retrieved and reviewed</t>
        </is>
      </c>
      <c r="I166" s="4" t="n"/>
      <c r="J166" s="4" t="inlineStr">
        <is>
          <t>Include</t>
        </is>
      </c>
      <c r="K166" s="4" t="n"/>
      <c r="L166" s="4" t="inlineStr">
        <is>
          <t>Revisión asistida por IA (un revisor; requiere verificación independiente)</t>
        </is>
      </c>
      <c r="M166" s="40" t="n">
        <v>46269</v>
      </c>
      <c r="N166" s="4" t="inlineStr">
        <is>
          <t>https://www.mdpi.com/2073-4425/16/9/1109/pdf?version=1758266110</t>
        </is>
      </c>
      <c r="O166" s="4" t="inlineStr">
        <is>
          <t>Texto completo abierto con métodos y resultados suficientes; codificación en Extraccion_RQ_nuevos.</t>
        </is>
      </c>
      <c r="P166" s="4" t="inlineStr">
        <is>
          <t>Background: Understanding the genetic mechanisms and identifying potential therapeutic targets are essential for clarifying Autism Spectrum Disorder (ASD) etiology and improving treatments. This study aims to bridge the gap between basic transcriptomic discoveries and clinical applications in ASD research. Methods: Differentially expressed genes (DEGs) of GSE18123 datase were identified. A protein–protein interaction (PPI) network was constructed. Functional enrichment analysis was performed to link genetic loci to relevant biological pathways. Connectivity Map (CMap) analysis was used to predict potential drugs. Furthermore, immune infiltration correlation analysis explored associations between key genes and immune cell subpopulations. Diagnostic performance of top genes was evaluated by receiver operating characteristic (ROC) analysis. Results: The functional enrichment analysis successfully revealed relevant biological processes associated with ASD, while the CMap analysis predicted potential drugs that were consistent with some clinical trial results. Random forest analysis selected ten key feature genes (SHANK3, NLRP3, SERAC1, TUBB2A, MGAT4C, TFAP2A, EVC, GABRE, TRAK1, and GPR161) with the highest importance scores for autism prediction. Immune infiltration analysis showed significant correlations in genes and multiple immune cell types, demonstrating complex pleiotropic associations within the immune microenvironment. ROC curve analysis indicated that most top genes had strong discriminatory power in differentiating ASD from controls, particularly MGAT4C (AUC = 0.730), highlighting its potential as a robust biomarker. Conclusions: This study effectively bridges the basic transcriptomic discoveries and clinical applications in ASD research. The findings contribute to a better understanding of the etiology of ASD and provide potential therapeutic leads. Future research could focus on validating these potential drugs in clinical studies, as well as further exploring the biological functions of the identified genes to develop more targeted and effective treatments for ASD.</t>
        </is>
      </c>
    </row>
    <row r="167" ht="112" customHeight="1">
      <c r="A167" s="4" t="n">
        <v>380</v>
      </c>
      <c r="B167" s="4" t="n">
        <v>2026</v>
      </c>
      <c r="C167" s="4" t="inlineStr">
        <is>
          <t>Semantic-based saccadic scanpath prediction for autism spectrum disorder</t>
        </is>
      </c>
      <c r="D167" s="4" t="inlineStr">
        <is>
          <t>10.1016/j.patcog.2026.114305</t>
        </is>
      </c>
      <c r="E167" s="4" t="inlineStr">
        <is>
          <t>Wenqi Zhong and Hang Sun and Chen Xia and Linzhi Yu and Dingwen Zhang and Kuan Li</t>
        </is>
      </c>
      <c r="F167" s="4" t="inlineStr">
        <is>
          <t>Pattern Recognition</t>
        </is>
      </c>
      <c r="G167" s="4" t="inlineStr">
        <is>
          <t>Incluir provisionalmente</t>
        </is>
      </c>
      <c r="H167" s="4" t="inlineStr">
        <is>
          <t>Retrieved/reviewed; content sufficient for scoped adjudication</t>
        </is>
      </c>
      <c r="I167" s="4" t="n"/>
      <c r="J167" s="4" t="inlineStr">
        <is>
          <t>Exclude</t>
        </is>
      </c>
      <c r="K167" s="4" t="inlineStr">
        <is>
          <t>El sistema predice trayectorias sacadicas/scanpaths y patrones de atencion visual en personas con ASD; no realiza deteccion, cribado, diagnostico, pronostico, monitorizacion/intervencion ni otro resultado clinico/care-relevant definido por IC4.</t>
        </is>
      </c>
      <c r="L167" s="4" t="inlineStr">
        <is>
          <t>Revision asistida por IA (un revisor; requiere verificacion independiente)</t>
        </is>
      </c>
      <c r="M167" s="40" t="n">
        <v>46269</v>
      </c>
      <c r="N167" s="4" t="inlineStr">
        <is>
          <t>https://www.sciencedirect.com/science/article/abs/pii/S0031320326012707</t>
        </is>
      </c>
      <c r="O167" s="4" t="inlineStr">
        <is>
          <t>Contenido suficiente revisado en Lote_05_25; exclusion sustentada por el criterio especificado y requiere verificacion humana independiente.</t>
        </is>
      </c>
      <c r="P167" s="4" t="n"/>
    </row>
    <row r="168" ht="409" customHeight="1">
      <c r="A168" s="4" t="n">
        <v>383</v>
      </c>
      <c r="B168" s="4" t="n">
        <v>2026</v>
      </c>
      <c r="C168" s="4" t="inlineStr">
        <is>
          <t>Longitudinal multi-omics analysis of umbilical cord blood and childhood serum in Autism</t>
        </is>
      </c>
      <c r="D168" s="4" t="inlineStr">
        <is>
          <t>10.1038/s41380-025-03157-z</t>
        </is>
      </c>
      <c r="E168" s="4" t="inlineStr">
        <is>
          <t>Aisling Noone and Kirsten Dowling and Daragh O’Boyle and Michael Carter and Anna V Golubeva and Caitriona Scaife and Bodil H Bech and Tine B Henriksen and Louise Gallagher and Catherine Mooney and Ali S Khashan and Deirdre M Murray and Jane A English</t>
        </is>
      </c>
      <c r="F168" s="4" t="inlineStr">
        <is>
          <t>Molecular Psychiatry</t>
        </is>
      </c>
      <c r="G168" s="4" t="inlineStr">
        <is>
          <t>Incluir provisionalmente</t>
        </is>
      </c>
      <c r="H168" s="4" t="inlineStr">
        <is>
          <t>Retrieved/reviewed; content sufficient for scoped adjudication</t>
        </is>
      </c>
      <c r="I168" s="4" t="n"/>
      <c r="J168" s="4" t="inlineStr">
        <is>
          <t>Include</t>
        </is>
      </c>
      <c r="K168" s="4" t="n"/>
      <c r="L168" s="4" t="inlineStr">
        <is>
          <t>Revision asistida por IA (un revisor; requiere verificacion independiente)</t>
        </is>
      </c>
      <c r="M168" s="40" t="n">
        <v>46269</v>
      </c>
      <c r="N168" s="4" t="inlineStr">
        <is>
          <t>https://www.nature.com/articles/s41380-025-03157-z</t>
        </is>
      </c>
      <c r="O168" s="4" t="inlineStr">
        <is>
          <t>The omics case numbers are small (22 future ASD cases in cord blood; 24 in follow-up), and the accessible report does not identify an independent external validation cohort or the specific ML family. Longitudinal collection supports prospective-evidence coding, not prospective clinical deployment.</t>
        </is>
      </c>
      <c r="P168" s="4" t="inlineStr">
        <is>
          <t>There is considerable evidence implicating maternal immune activation (MIA) and cytokine dysregulation in the pathophysiology of Autism. However, cytokines, due to their lack of specificity are unlikely to translate clinically as prognostic biomarkers. Our aim was to explore the perinatal molecular pathways dysregulated in umbilical cord blood, which precede a diagnosis of childhood Autism, and ascertain whether these putative biomarkers persisted into pre-pubertal childhood. In a cohort of 2137 mother-infant dyads, we conducted a nested case-control study in the BASELINE Birth Cohort. Proteomic and metabolomic analysis was performed on cord blood plasma from 22 children diagnosed with Autism before age 5, and 44 neurotypical controls. In a clinical diagnostic follow-up between 7–10 years in the PiRAMiD Cohort, 24 children with Autism and 48 controls provided blood samples for molecular profiling. In cord blood, proteomics revealed altered glycolysis, selenium metabolism, oxygen transport, and complement signalling. Alterations in these protein pathways persisted into childhood, and dysregulation of GAPDH, SELENBP1, and BLVRB proteins were evident in both cord blood and in serum from pre-pubertal children with Autism. In cord blood, metabolomics analysis indicated Autism outcome was associated with reduced levels of circulating steroids and increased sulfate. We confirmed androstenedione was reduced in cord blood, in Autism cases in comparison to controls, however changes in androstenedione levels were not evident in serum from pre-pubertal children with Autism. Our findings were further corroborated using machine learning approaches, with an AUROC ranging from 0.82 to 0.85 for proteomic and metabolomic cord blood prediction models, respectively. Collectively, these findings confirm a cord blood molecular signature precedes the onset of Autism and has the potential to lead to prognostic biomarkers. Our integrative multi-omics analysis reveals materno-feto-placental molecular processes which potentially underpin Autism aetiology.</t>
        </is>
      </c>
    </row>
    <row r="169" ht="409" customHeight="1">
      <c r="A169" s="4" t="n">
        <v>384</v>
      </c>
      <c r="B169" s="4" t="n">
        <v>2026</v>
      </c>
      <c r="C169" s="4" t="inlineStr">
        <is>
          <t>Air pollution and autism-like traits: Sensitive periods and joint effects of exposure to sources and constituents of fine particulate matter</t>
        </is>
      </c>
      <c r="D169" s="4" t="inlineStr">
        <is>
          <t>10.1016/j.envres.2026.125213</t>
        </is>
      </c>
      <c r="E169" s="4" t="inlineStr">
        <is>
          <t>Lydia Lichtiger and Edwina Yeung and Tzu Chun Lin and Diane L Putnick and Rajeshwari Sundaram and Erin M Bell and Md Mostafijur Rahman and George D Thurston and Yuyan Wang and Akhgar Ghassabian</t>
        </is>
      </c>
      <c r="F169" s="4" t="inlineStr">
        <is>
          <t>Environmental Research</t>
        </is>
      </c>
      <c r="G169" s="4" t="inlineStr">
        <is>
          <t>Incluir provisionalmente</t>
        </is>
      </c>
      <c r="H169" s="4" t="inlineStr">
        <is>
          <t>Retrieved and reviewed</t>
        </is>
      </c>
      <c r="I169" s="4" t="n"/>
      <c r="J169" s="4" t="inlineStr">
        <is>
          <t>Include</t>
        </is>
      </c>
      <c r="K169" s="4" t="n"/>
      <c r="L169" s="4" t="inlineStr">
        <is>
          <t>Revisión asistida por IA (un revisor; requiere verificación independiente)</t>
        </is>
      </c>
      <c r="M169" s="40" t="n">
        <v>46269</v>
      </c>
      <c r="N169" s="4" t="inlineStr">
        <is>
          <t>https://pmc.ncbi.nlm.nih.gov/articles/PMC13470885/</t>
        </is>
      </c>
      <c r="O169" s="4" t="inlineStr">
        <is>
          <t>Texto completo abierto con métodos y resultados suficientes; codificación en Extraccion_RQ_nuevos.</t>
        </is>
      </c>
      <c r="P169" s="4" t="inlineStr">
        <is>
          <t>Growing evidence suggests that exposure to air pollution during early life is associated with autism spectrum disorder (ASD). However, results have been inconsistent for autism-like traits and in low exposure settings. Here, we assessed sensitive windows of exposure to fine particulate matter (PM2.5), nitrogen dioxide (NO2), and ozone (O3) and joint effects of exposure to sources and constituents of PM2.5 on autism-like traits among 798 children in the Upstate KIDS cohort. Residential air pollution exposures were assessed with machine learning and land use regression models. Autism-like traits at age 10 were assessed via the ASD subscale on the Child Behavior Checklist. Treed distributed lag mixture model was used to identify critical windows of exposure to PM2.5, NO2, and O3 and partial linear single index model was applied to estimate contributions of sources and constituents of PM2.5 on autism-like traits. The median PM2.5 exposures were 8.36 and 8.00 μg/m3 for pregnancy and the first year of life. We did not observe critical windows of exposure to PM2.5, NO2, or O3 for autism-like traits. Exposures to elemental carbon (EC) PM2.5 during gestation and to EC and traffic PM2.5 during the first year of life were associated with higher odds of autism-like traits (prenatal EC adjusted odds ratio (aOR): 1.72, 95% CI: 1.04-2.83; first year EC aOR: 1.72, 95% CI: 1.21-2.46; traffic aOR: 1.31, 95% CI: 1.01-1.71). Our results suggest that exposure to motor vehicle traffic sources of PM2.5 may drive previously reported associations between total PM2.5 and autism-like traits.</t>
        </is>
      </c>
    </row>
    <row r="170" ht="409" customHeight="1">
      <c r="A170" s="4" t="n">
        <v>386</v>
      </c>
      <c r="B170" s="4" t="n">
        <v>2025</v>
      </c>
      <c r="C170" s="4" t="inlineStr">
        <is>
          <t>3T dilated inception network for enhanced autism spectrum disorder diagnosis using resting-state fMRI data</t>
        </is>
      </c>
      <c r="D170" s="4" t="inlineStr">
        <is>
          <t>10.1007/S11571-024-10202-0</t>
        </is>
      </c>
      <c r="E170" s="4" t="inlineStr">
        <is>
          <t>V Kavitha and R Siva</t>
        </is>
      </c>
      <c r="F170" s="4" t="inlineStr">
        <is>
          <t>Cognitive Neurodynamics</t>
        </is>
      </c>
      <c r="G170" s="4" t="inlineStr">
        <is>
          <t>Incluir provisionalmente</t>
        </is>
      </c>
      <c r="H170" s="4" t="inlineStr">
        <is>
          <t>Retrieved/reviewed; content sufficient for scoped adjudication</t>
        </is>
      </c>
      <c r="I170" s="4" t="n"/>
      <c r="J170" s="4" t="inlineStr">
        <is>
          <t>Include</t>
        </is>
      </c>
      <c r="K170" s="4" t="n"/>
      <c r="L170" s="4" t="inlineStr">
        <is>
          <t>Revision asistida por IA (un revisor; requiere verificacion independiente)</t>
        </is>
      </c>
      <c r="M170" s="40" t="n">
        <v>46269</v>
      </c>
      <c r="N170" s="4" t="inlineStr">
        <is>
          <t>https://pmc.ncbi.nlm.nih.gov/articles/PMC11729590/</t>
        </is>
      </c>
      <c r="O170" s="4" t="inlineStr">
        <is>
          <t>Use of multiple ASD datasets was coded as multisite/multidataset evidence, but the accessible report does not establish an explicit leave-site-out or independent prospective external-validation design.</t>
        </is>
      </c>
      <c r="P170" s="4" t="inlineStr">
        <is>
          <t>Autism spectrum disorder (ASD) is one of the complicated neurodevelopmental disorders that impacts the daily functioning and social interactions of individuals. It includes diverse symptoms and severity levels, making it challenging to diagnose and treat efficiently. Various deep learning (DL) based methods have been developed for diagnosing ASD, which rely heavily on behavioral assessment. However, existing techniques have suffered from poor diagnostic outcomes, higher computational complexity, and overfitting issues. To address these challenges, this research work introduces an innovative framework called 3T Dilated Inception Network (3T-DINet) for effective ASD diagnosis using resting-state functional Magnetic Resonance Imaging (rs-fMRI) images. The proposed 3T-DINet technique designs a 3T dilated inception module that incorporates dilated convolutions along with the inception module, allowing it to extract multi-scale features from brain connectivity patterns. The 3T dilated inception module uses three distinct dilation rates (low, medium, and high) in parallel to determine local, mid-level, and global features from the brain. In addition, the proposed approach implements Residual networks (ResNet) to avoid the vanishing gradient problem and enhance the feature extraction ability. The model is further optimized using a Crossover-based Black Widow Optimization (CBWO) algorithm that fine-tunes the hyperparameters thereby enhancing the overall performance of the model. Further, the performance of the 3T-DINet model is evaluated using the five ASD datasets with distinct evaluation parameters. The proposed 3T-DINet technique achieved superior diagnosis results compared to recent previous works. From this simulation validation, it’s clear that the 3T-DINet provides an excellent contribution to early ASD diagnosis and enhances patient treatment outcomes.</t>
        </is>
      </c>
    </row>
    <row r="171" ht="409" customHeight="1">
      <c r="A171" s="4" t="n">
        <v>387</v>
      </c>
      <c r="B171" s="4" t="n">
        <v>2025</v>
      </c>
      <c r="C171" s="4" t="inlineStr">
        <is>
          <t>Predicting pragmatic language abilities from brain structural MRI in preschool children with ASD by NBS-Predict</t>
        </is>
      </c>
      <c r="D171" s="4" t="inlineStr">
        <is>
          <t>10.1007/s00787-025-02775-w</t>
        </is>
      </c>
      <c r="E171" s="4" t="inlineStr">
        <is>
          <t>Lu Qian and Ning Ding and Hui Fang and Ting Xiao and Bei Sun and Hui Yun Gao and Xiao Yan Ke</t>
        </is>
      </c>
      <c r="F171" s="4" t="inlineStr">
        <is>
          <t>European Child and Adolescent Psychiatry</t>
        </is>
      </c>
      <c r="G171" s="4" t="inlineStr">
        <is>
          <t>Incluir provisionalmente</t>
        </is>
      </c>
      <c r="H171" s="4" t="inlineStr">
        <is>
          <t>Retrieved/reviewed; content sufficient for scoped adjudication</t>
        </is>
      </c>
      <c r="I171" s="4" t="n"/>
      <c r="J171" s="4" t="inlineStr">
        <is>
          <t>Include</t>
        </is>
      </c>
      <c r="K171" s="4" t="n"/>
      <c r="L171" s="4" t="inlineStr">
        <is>
          <t>Revision asistida por IA (un revisor; requiere verificacion independiente)</t>
        </is>
      </c>
      <c r="M171" s="40" t="n">
        <v>46269</v>
      </c>
      <c r="N171" s="4" t="inlineStr">
        <is>
          <t>https://pubmed.ncbi.nlm.nih.gov/40495017/</t>
        </is>
      </c>
      <c r="O171" s="4" t="inlineStr">
        <is>
          <t>Single-center/cross-sectional evidence with no independent external validation. Diagnosis is used as the primary stage because the qualifying ASD/TD classifier is explicit; the paper also emphasizes pragmatic-language characterization.</t>
        </is>
      </c>
      <c r="P171" s="4" t="inlineStr">
        <is>
          <t>Pragmatics plays a crucial role in effectively conveying messages across various social communication contexts. This aspect is frequently highlighted in the challenges experienced by children diagnosed with autism spectrum disorder (ASD). Notably, there remains a paucity of research investigating how the structural connectome (SC) predicts pragmatic language abilities within this population. Using diffusion tensor imaging (DTI) and deterministic tractography, we constructed the whole-brain white matter structural network (WMSN) in a cohort comprising 92 children with ASD and 52 typically developing (TD) preschoolers, matched for age and gender. We employed network-based statistic (NBS)-Predict, a novel methodology that integrates machine learning (ML) with NBS, to identify dysconnected subnetworks associated with ASD, and then to predict pragmatic language abilities based on the SC derived from the whole-brain WMSN in the ASD group. Initially, NBS-Predict identified a subnetwork characterized by 42 reduced connections across 37 brain regions (p = 0.01), achieving a highest classification accuracy of 79.4% (95% CI: 0.791 ~ 0.796). The dysconnected regions were predominantly localized within the brain’s frontotemporal and subcortical areas, with the right superior medial frontal gyrus (SFGmed.R) emerging as the region exhibiting the most extensive disconnection. Moreover, NBS-Predict demonstrated that the optimal correlation coefficient between the predicted pragmatic language scores and the actual measured scores was 0.220 (95% CI: 0.174 ~ 0.265). This analysis revealed a significant association between the pragmatic language abilities of the ASD cohort and the white matter connections linking the SFGmed.R with the bilateral anterior cingulate gyrus (ACG). In summary, our findings suggest that the subnetworks displaying the most significant abnormal connections were concentrated in the frontotemporal and subcortical regions among the ASD group. Furthermore, the observed abnormalities in the white matter connection pathways between the SFGmed.R and ACG may underlie the neurobiological basis for pragmatic language deficits in preschool children with ASD.</t>
        </is>
      </c>
    </row>
    <row r="172" ht="409" customHeight="1">
      <c r="A172" s="4" t="n">
        <v>391</v>
      </c>
      <c r="B172" s="4" t="n">
        <v>2026</v>
      </c>
      <c r="C172" s="4" t="inlineStr">
        <is>
          <t>Cell death-associated genes as novel diagnostic biomarkers for autism spectrum disorder</t>
        </is>
      </c>
      <c r="D172" s="4" t="inlineStr">
        <is>
          <t>10.1007/s10495-025-02201-1</t>
        </is>
      </c>
      <c r="E172" s="4" t="inlineStr">
        <is>
          <t>Chanhua Li and Lijuan Wei and Wanling Chen and Guanghui Ran and Lili Liu and Zhongyi Li and Anhua Song and Meiliang Liu and Dongping Huang and Kun Tang and Xiaoyun Zeng and Lijun Wang</t>
        </is>
      </c>
      <c r="F172" s="4" t="inlineStr">
        <is>
          <t>Apoptosis</t>
        </is>
      </c>
      <c r="G172" s="4" t="inlineStr">
        <is>
          <t>Incluir provisionalmente</t>
        </is>
      </c>
      <c r="H172" s="4" t="inlineStr">
        <is>
          <t>Retrieved/reviewed; content sufficient for scoped adjudication</t>
        </is>
      </c>
      <c r="I172" s="4" t="n"/>
      <c r="J172" s="4" t="inlineStr">
        <is>
          <t>Include</t>
        </is>
      </c>
      <c r="K172" s="4" t="n"/>
      <c r="L172" s="4" t="inlineStr">
        <is>
          <t>Revision asistida por IA (un revisor; requiere verificacion independiente)</t>
        </is>
      </c>
      <c r="M172" s="40" t="n">
        <v>46269</v>
      </c>
      <c r="N172" s="4" t="inlineStr">
        <is>
          <t>https://pubmed.ncbi.nlm.nih.gov/41518421/</t>
        </is>
      </c>
      <c r="O172" s="4" t="inlineStr">
        <is>
          <t>External human validation is present but discrimination is moderate; mouse prefrontal-cortex validation is not counted as clinical external validation, and real-world replication remains needed.</t>
        </is>
      </c>
      <c r="P172" s="4" t="inlineStr">
        <is>
          <t>Autism spectrum disorder (ASD) involves neuroinflammation and dysregulated neuronal death but lacks objective diagnostic biomarkers. This study investigated whether cell death could serve as a molecular basis for ASD diagnosis. We identified cell death-associated genes (CDGs) in peripheral blood mononuclear cells between ASD and control groups and performed functional enrichment, protein–protein interaction, immune characteristics, and non-negative matrix factorization clustering analyses. Key genes were further selected using 6 machine learning algorithms and weighted gene co-expression network analysis to construct a diagnostic model, which was subsequently validated using external human blood samples and mice prefrontal cortex samples. We explored microRNAs (miRNAs), transcription factors (TFs), and drugs potentially interacted with the key genes. Fourteen CDGs and 4 out of 22 types of immune cells were differentially expressed between ASD and controls in GSE18123. These genes were enriched in pathways such as neuron apoptosis and RAGE receptor binding. Among 6 machine learning models, K-Nearest Neighbors (KNN) model exhibited the best performance. Six key genes were selected as the most important hub genes and used to construct the diagnostic model. The model showed AUCs of 0.722 in GSE42133, 0.781 in our local samples, and 0.889 in mice prefrontal cortex samples. A total of 172 miRNAs, 111 TFs, and 98 drugs were found to interact with these key genes. The expression patterns of CDGs in the peripheral blood of children with ASD demonstrate potential diagnostic value. Further studies are warranted to validate their diagnostic performance in real-world settings and to elucidate the role of cell death dysregulation in ASD.</t>
        </is>
      </c>
    </row>
    <row r="173" ht="409" customHeight="1">
      <c r="A173" s="4" t="n">
        <v>393</v>
      </c>
      <c r="B173" s="4" t="n">
        <v>2025</v>
      </c>
      <c r="C173" s="4" t="inlineStr">
        <is>
          <t>Integrating explainable AI with machine learning for reliable autism spectrum disorder diagnosis</t>
        </is>
      </c>
      <c r="D173" s="4" t="inlineStr">
        <is>
          <t>10.1007/S42454-025-00087-7</t>
        </is>
      </c>
      <c r="E173" s="4" t="inlineStr">
        <is>
          <t>Farida Siddiqi Prity and Md. Rehan Ali and Mostafejur Rahman and Mirza Raquib and Md. Maruf Hossain and Md. Mubarak Hossain and K M Aslam Uddin</t>
        </is>
      </c>
      <c r="F173" s="4" t="inlineStr">
        <is>
          <t>Human-Intelligent Systems Integration</t>
        </is>
      </c>
      <c r="G173" s="4" t="inlineStr">
        <is>
          <t>Incluir provisionalmente</t>
        </is>
      </c>
      <c r="H173" s="4" t="inlineStr">
        <is>
          <t>Retrieved/reviewed; content sufficient for scoped adjudication</t>
        </is>
      </c>
      <c r="I173" s="4" t="n"/>
      <c r="J173" s="4" t="inlineStr">
        <is>
          <t>Include</t>
        </is>
      </c>
      <c r="K173" s="4" t="n"/>
      <c r="L173" s="4" t="inlineStr">
        <is>
          <t>Revision asistida por IA (un revisor; requiere verificacion independiente)</t>
        </is>
      </c>
      <c r="M173" s="40" t="n">
        <v>46269</v>
      </c>
      <c r="N173" s="4" t="inlineStr">
        <is>
          <t>https://www.researchgate.net/publication/397578770_Integrating_explainable_AI_with_machine_learning_for_reliable_autism_spectrum_disorder_diagnosis</t>
        </is>
      </c>
      <c r="O173" s="4" t="inlineStr">
        <is>
          <t>Very high reported performance is based on benchmark/combined structured screening data; no independent external cohort, site-held-out analysis or prospective clinical deployment was established in the accessible full text.</t>
        </is>
      </c>
      <c r="P173" s="4" t="inlineStr">
        <is>
          <t>Autism Spectrum Disorder (ASD) is a complex neurodevelopmental condition that impacts communication, behavior, and social interaction, affecting individuals across all age groups. Early diagnosis is crucial for effective intervention, typically involving behavioral assessments, genetic testing, and developmental screening. However, the process is often time-consuming and subjective, highlighting the need for automated and objective diagnostic tools. This research explores the integration of Explainable Artificial Intelligence (XAI) with Machine Learning (ML) models to enhance the accuracy and interpretability of Autism Spectrum Disorder diagnosis. Utilizing a diverse dataset comprising 20 attributes and 2,942 patients across different age groups, including toddlers, children, and adults, we applied several Machine Learning algorithms, including Logistic Regression (LR), Decision Trees (DT), Random Forest (RF), Support Vector Machines (SVM), K-Nearest Neighbors (KNN), Convolutional Neural Networks (CNN), and Extreme Gradient Boosting (XGBoost). Extreme Gradient Boosting demonstrated the highest accuracy at 99.05%. Additionally, we employed Explainable AI methods like Local Interpretable Model-agnostic Explanations (LIME) and SHapley Additive exPlanations (SHAP) to provide transparency and deeper insights into the model’s predictions. This framework not only offers reliable, high-accuracy ASD diagnosis but also ensures model interpretability, making it a valuable tool for clinical use and early intervention.</t>
        </is>
      </c>
    </row>
    <row r="174" ht="409" customHeight="1">
      <c r="A174" s="4" t="n">
        <v>395</v>
      </c>
      <c r="B174" s="4" t="n">
        <v>2025</v>
      </c>
      <c r="C174" s="4" t="inlineStr">
        <is>
          <t>Prematurity and genetic liability for autism spectrum disorder</t>
        </is>
      </c>
      <c r="D174" s="4" t="inlineStr">
        <is>
          <t>10.1186/s13073-025-01552-3</t>
        </is>
      </c>
      <c r="E174" s="4" t="inlineStr">
        <is>
          <t>Yali Zhang and Ashraf Yahia and Sven Sandin and Ulrika Åden and Kristiina Tammimies</t>
        </is>
      </c>
      <c r="F174" s="4" t="inlineStr">
        <is>
          <t>Genome Medicine</t>
        </is>
      </c>
      <c r="G174" s="4" t="inlineStr">
        <is>
          <t>Incluir provisionalmente</t>
        </is>
      </c>
      <c r="H174" s="4" t="inlineStr">
        <is>
          <t>Retrieved and reviewed</t>
        </is>
      </c>
      <c r="I174" s="4" t="n"/>
      <c r="J174" s="4" t="inlineStr">
        <is>
          <t>Include</t>
        </is>
      </c>
      <c r="K174" s="4" t="n"/>
      <c r="L174" s="4" t="inlineStr">
        <is>
          <t>Revisión asistida por IA (un revisor; requiere verificación independiente)</t>
        </is>
      </c>
      <c r="M174" s="40" t="n">
        <v>46269</v>
      </c>
      <c r="N174" s="4" t="inlineStr">
        <is>
          <t>https://genomemedicine.biomedcentral.com/counter/pdf/10.1186/s13073-025-01552-3</t>
        </is>
      </c>
      <c r="O174" s="4" t="inlineStr">
        <is>
          <t>Texto completo abierto con métodos y resultados suficientes; codificación en Extraccion_RQ_nuevos.</t>
        </is>
      </c>
      <c r="P174" s="4" t="inlineStr">
        <is>
          <t>Background: Autism spectrum disorder (ASD) is a neurodevelopmental condition characterized by diverse presentations and a strong genetic component. Environmental factors, such as prematurity, have also been linked to increased liability for ASD, though the interaction between genetic predisposition and prematurity remains unclear. This study aims to investigate the impact of genetic liability and preterm birth on ASD conditions. Methods: We analyzed phenotype and genetic data from two large ASD cohorts, the Simons Foundation Powering Autism Research for Knowledge (SPARK) and Simons Simplex Collection (SSC), encompassing 78,559 individuals for phenotype analysis, 12,519 individuals with genome sequencing data, and 8104 individuals with exome sequencing data. Statistical significance of differences in clinical measures was evaluated between individuals with different ASD and preterm status. We assessed the rare variants burden using generalized estimating equations (GEE) models and polygenic load using the ASD-associated polygenic risk score (PRS). Furthermore, we developed a machine learning model to predict ASD in preterm children using phenotype and genetic features available at birth. Results: Individuals with both preterm birth and ASD exhibit more severe phenotypic outcomes despite similar levels of genetic liability for ASD across the term and preterm groups. Notably, preterm-ASD individuals showed an elevated rate of de novo variants identified in exome sequencing (GEE model, p = 0.005) in comparison to non-ASD-preterm group. Additionally, a GEE model showed that a higher ASD PRS, preterm birth, and male sex were positively associated with a higher predicted probability for ASD in SPARK, reaching a probability close to 90%. Lastly, we developed a machine learning model using phenotype and genetic features available at birth with limited predictive power (AUROC = 0.65). Conclusions: Preterm birth may exacerbate multimorbidity present in ASD, which was not due to ASD-associated genetic variants. However, increased ASD-associated rare variants may elevate the likelihood of a preterm child being diagnosed with ASD. Additionally, a polygenic load of ASD-associated variants had an additive role with preterm birth in the predicted probability for ASD, especially for boys. Future integration of genetic and phenotypic data in larger preterm or population-based cohorts will be crucial for advancing early ASD identification in preterm subgroup.</t>
        </is>
      </c>
    </row>
    <row r="175" ht="409" customHeight="1">
      <c r="A175" s="4" t="n">
        <v>398</v>
      </c>
      <c r="B175" s="4" t="n">
        <v>2026</v>
      </c>
      <c r="C175" s="4" t="inlineStr">
        <is>
          <t>Diagnostic Classification of Autism Spectrum Disorder Using SD Maps of fMRI Data and Machine Learning</t>
        </is>
      </c>
      <c r="D175" s="4" t="inlineStr">
        <is>
          <t>10.1007/S40846-026-01044-8</t>
        </is>
      </c>
      <c r="E175" s="4" t="inlineStr">
        <is>
          <t>Epimack Michael and Sandeep Singh Sengar and Jac Fredo Agastinose Ronickom and Deepesh Kumar</t>
        </is>
      </c>
      <c r="F175" s="4" t="inlineStr">
        <is>
          <t>Journal of Medical and Biological Engineering</t>
        </is>
      </c>
      <c r="G175" s="4" t="inlineStr">
        <is>
          <t>Incluir provisionalmente</t>
        </is>
      </c>
      <c r="H175" s="4" t="inlineStr">
        <is>
          <t>Retrieved/reviewed; content sufficient for scoped adjudication</t>
        </is>
      </c>
      <c r="I175" s="4" t="n"/>
      <c r="J175" s="4" t="inlineStr">
        <is>
          <t>Include</t>
        </is>
      </c>
      <c r="K175" s="4" t="n"/>
      <c r="L175" s="4" t="inlineStr">
        <is>
          <t>Revision asistida por IA (un revisor; requiere verificacion independiente)</t>
        </is>
      </c>
      <c r="M175" s="40" t="n">
        <v>46269</v>
      </c>
      <c r="N175" s="4" t="inlineStr">
        <is>
          <t>https://pure.cardiffmet.ac.uk/en/publications/diagnostic-classification-of-autism-spectrum-disorder-using-sd-ma/</t>
        </is>
      </c>
      <c r="O175" s="4" t="inlineStr">
        <is>
          <t>Nested cross-validation is methodologically stronger than a simple split but does not establish an independent/site-held-out external validation. Feature-contribution analysis was coded as partial interpretability, not strict XAI.</t>
        </is>
      </c>
      <c r="P175" s="4" t="inlineStr">
        <is>
          <t>Purpose: Autism spectrum disorder (ASD) is a neurodevelopmental condition characterised by social, behavioural and communication traits. The diagnosis of ASD is challenging, particularly due to the heterogeneity of symptoms, overlapping clinical features with other neurodevelopmental conditions and the current reliance on subjective behavioural assessments. Our study investigates the effectiveness of features computed from standard deviation (SD) maps of resting-state functional magnetic resonance imaging (rs-fMRI) in discriminating between ASD and typical development (TD). Methods: The rs-fMRI data of TD and ASD considered in this study were obtained from the ABIDE-I and ABIDE-II databases. Initially, the images were pre-processed using a standard pipeline. Further, 3D SD maps were generated, and 110 features were computed from the maps. We fed the features to four machine learning models, such as logistic regression (LR), ridge classifier, gradient boosting, and extreme gradient boosting. We performed the grid search to optimize the parameters and evaluated the models with 5-fold nested cross-validation. Results: We achieved an average 5-fold classification accuracy of 70.71% using LR. Our results revealed that the 3D shape and global statistical features contributed well to the model. Conclusion: The findings demonstrate that features extracted from 3D SD maps provide a robust and clinically meaningful framework for diagnosing ASD.</t>
        </is>
      </c>
    </row>
    <row r="176" ht="409" customHeight="1">
      <c r="A176" s="4" t="n">
        <v>400</v>
      </c>
      <c r="B176" s="4" t="n">
        <v>2026</v>
      </c>
      <c r="C176" s="4" t="inlineStr">
        <is>
          <t>Mitochondrial Gene Signature Reveals Novel Diagnostic Biomarkers for Autism Spectrum Disorder</t>
        </is>
      </c>
      <c r="D176" s="4" t="inlineStr">
        <is>
          <t>10.1007/s12035-026-05911-y</t>
        </is>
      </c>
      <c r="E176" s="4" t="inlineStr">
        <is>
          <t>Jieyu Wang and Zeyu Cheng and Mingyuan Liu and Yuting Zhang and Yi Jiang and Tianyu Liu and Junyu Ren and Lijie Wu and Mingyang Zou and Caihong Sun</t>
        </is>
      </c>
      <c r="F176" s="4" t="inlineStr">
        <is>
          <t>Molecular neurobiology</t>
        </is>
      </c>
      <c r="G176" s="4" t="inlineStr">
        <is>
          <t>Incluir provisionalmente</t>
        </is>
      </c>
      <c r="H176" s="4" t="inlineStr">
        <is>
          <t>Eligibility reviewed from accessible primary-source content; scoped adjudication completed</t>
        </is>
      </c>
      <c r="I176" s="4" t="n"/>
      <c r="J176" s="4" t="inlineStr">
        <is>
          <t>Include</t>
        </is>
      </c>
      <c r="K176" s="4" t="n"/>
      <c r="L176" s="4" t="inlineStr">
        <is>
          <t>Revisión asistida por IA (un revisor; requiere verificación independiente)</t>
        </is>
      </c>
      <c r="M176" s="40" t="n">
        <v>46269</v>
      </c>
      <c r="N176" s="4" t="inlineStr">
        <is>
          <t>https://pubmed.ncbi.nlm.nih.gov/42098401/</t>
        </is>
      </c>
      <c r="O176" s="4" t="inlineStr">
        <is>
          <t>Contenido primario accesible revisado y adjudicación RQ cerrada en Lote_06_22. Nivel de evidencia, limitaciones y prioridad de verificación humana documentados en Lote_06_22.</t>
        </is>
      </c>
      <c r="P176" s="4" t="inlineStr">
        <is>
          <t>Autism Spectrum Disorder (ASD) pathogenesis remains unclear, with mitochondrial dysfunction implicated as a key contributor. Reliable mitochondrial-related diagnostic biomarkers are lacking, hindering early detection and mechanistic studies. This study integrated transcriptomic data from postmortem ASD cortical tissues (GSE28521 for training; GSE64018 for validation) with mitochondrial-related genes (MRGs) from MitoCarta3.0. Mitochondrial pathways were investigated using gene set enrichment analysis (GSEA). Candidate ASD-mitochondria (ASD-MIT) genes were identified by combining differential expression analysis, weighted gene co-expression network analysis (WGCNA), and MRGs. Machine learning algorithms (LASSO, Random Forest, and SVM-RFE) were applied to screen hub genes. Diagnostic performance was evaluated using a linear predictive model, an artificial neural network (ANN), and a nomogram. Single-sample GSEA (ssGSEA) was used to assess associations between hub genes and mitochondrial pathway activity. Biological validation included qPCR in BTBR mice and protein localization analysis using the Human Protein Atlas (HPA). GSEA revealed significant downregulation of mitochondrial pathways in ASD. 22 candidate ASD-MIT genes were identified, from which three hub genes-IDH3A, MRPL2, and CHCHD4-were consistently selected by all three machine learning models. The three-gene panel demonstrated strong diagnostic ability (AUC = 0.910), confirmed by the ANN model (AUC = 0.903). The nomogram achieved excellent predictive accuracy (C-index = 0.964). Importantly, ssGSEA analysis showed that these genes were strongly associated with mitochondrial pathway activity, particularly mitochondrial calcium ion transport. qPCR validated significant downregulation of Idh3a and Mrpl2 in BTBR mice, and HPA confirmed mitochondrial localization and brain expression. This study identifies a mitochondrial gene signature associated with ASD and highlights IDH3A, MRPL2, and CHCHD4 as promising diagnostic biomarkers. These findings advance understanding of mitochondrial dysfunction in ASD pathogenesis and further suggest that disruption of mitochondrial Ca2⁺-energy coupling may represent a key mechanistic feature of the disease.</t>
        </is>
      </c>
    </row>
    <row r="177" ht="409" customHeight="1">
      <c r="A177" s="4" t="n">
        <v>406</v>
      </c>
      <c r="B177" s="4" t="n">
        <v>2026</v>
      </c>
      <c r="C177" s="4" t="inlineStr">
        <is>
          <t>NeuroCypher ASD: Machine Learning with Knowledge Graph-Based Representation for ASD Screening in Toddlers</t>
        </is>
      </c>
      <c r="D177" s="4" t="inlineStr">
        <is>
          <t>10.1007/S41666-026-00243-X</t>
        </is>
      </c>
      <c r="E177" s="4" t="inlineStr">
        <is>
          <t>Georgios Bouchouras and Dimitrios Doumanas and Konstantinos Kotis</t>
        </is>
      </c>
      <c r="F177" s="4" t="inlineStr">
        <is>
          <t>Journal of Healthcare Informatics Research</t>
        </is>
      </c>
      <c r="G177" s="4" t="inlineStr">
        <is>
          <t>Incluir provisionalmente</t>
        </is>
      </c>
      <c r="H177" s="4" t="inlineStr">
        <is>
          <t>Retrieved and reviewed</t>
        </is>
      </c>
      <c r="I177" s="4" t="n"/>
      <c r="J177" s="4" t="inlineStr">
        <is>
          <t>Include</t>
        </is>
      </c>
      <c r="K177" s="4" t="n"/>
      <c r="L177" s="4" t="inlineStr">
        <is>
          <t>Revisión asistida por IA (un revisor; requiere verificación independiente)</t>
        </is>
      </c>
      <c r="M177" s="40" t="n">
        <v>46269</v>
      </c>
      <c r="N177" s="4" t="inlineStr">
        <is>
          <t>https://link.springer.com/content/pdf/10.1007/s41666-026-00243-x.pdf</t>
        </is>
      </c>
      <c r="O177" s="4" t="inlineStr">
        <is>
          <t>Texto completo abierto con métodos y resultados suficientes; codificación en Extraccion_RQ_nuevos.</t>
        </is>
      </c>
      <c r="P177" s="4" t="inlineStr">
        <is>
          <t>Autism Spectrum Disorder (ASD) screening often relies on structured questionnaires. Yet these data are not always easy to interpret or use in practice. There is a need for screening frameworks that support risk estimation, case comparison, and pattern exploration in a clear and accessible way. In this work, we present NeuroCypher ASD, a framework that combines tabular machine learning with a knowledge graph for ASD screening, interpretation, and data exploration. The tabular model uses questionnaire responses and demographic features to estimate ASD risk. The knowledge graph organizes the data and supports case comparison, pattern exploration, and natural language querying. The system is evaluated under a leakage-aware protocol using tabular, graph-based, and hybrid models. The results show strong performance for the tabular model and clarify the role of graph-based representations within the overall workflow. In this setting, the knowledge graph supports structured analysis of screening data by helping users examine relationships between cases, inspect shared features, and interpret predictions in context. To strengthen interpretability, the framework includes SHAP-based analysis and approximate mappings between embedding dimensions and original questionnaire features. It also includes an anomaly detection module that highlights atypical cases for closer review. Overall, NeuroCypher ASD provides a practical framework for combining prediction, interpretation, and data exploration in ASD screening. The results show the value of integrating machine learning, graph-based context, and natural language interaction in more transparent and accessible screening workflows, particularly in school-based environments.</t>
        </is>
      </c>
    </row>
    <row r="178" ht="409" customHeight="1">
      <c r="A178" s="4" t="n">
        <v>409</v>
      </c>
      <c r="B178" s="4" t="n">
        <v>2025</v>
      </c>
      <c r="C178" s="4" t="inlineStr">
        <is>
          <t>Assessing the Efficacy of Deep Learning Algorithms for Behavioral and Neurological Markers in Autism Diagnosis in Children</t>
        </is>
      </c>
      <c r="D178" s="4" t="inlineStr">
        <is>
          <t>10.1007/978-981-96-6297-5_20</t>
        </is>
      </c>
      <c r="E178" s="4" t="inlineStr">
        <is>
          <t>Neetigya Maurya and Namrata Nagpal and Gauri Gupta and Meenakshi Srivastava</t>
        </is>
      </c>
      <c r="F178" s="4" t="inlineStr">
        <is>
          <t>Lecture Notes in Networks and Systems</t>
        </is>
      </c>
      <c r="G178" s="4" t="inlineStr">
        <is>
          <t>Incluir provisionalmente</t>
        </is>
      </c>
      <c r="H178" s="4" t="inlineStr">
        <is>
          <t>Excluded after integrity verification</t>
        </is>
      </c>
      <c r="I178" s="4" t="inlineStr">
        <is>
          <t>Retracted chapter</t>
        </is>
      </c>
      <c r="J178" s="4" t="inlineStr">
        <is>
          <t>Exclude</t>
        </is>
      </c>
      <c r="K178" s="4" t="inlineStr">
        <is>
          <t>Capítulo retractado y removido por Springer. El editor reporta preocupaciones sobre el uso de imágenes de menores procedentes de un conjunto no curado y sobre la confiabilidad/ética de los datos; bajo la política de integridad del libro de trabajo, un trabajo retractado se excluye.</t>
        </is>
      </c>
      <c r="L178" s="4" t="inlineStr">
        <is>
          <t>Revisión asistida por IA (un revisor; requiere verificación independiente)</t>
        </is>
      </c>
      <c r="M178" s="40" t="n">
        <v>46269</v>
      </c>
      <c r="N178" s="4" t="inlineStr">
        <is>
          <t>https://link.springer.com/book/10.1007/978-981-96-6297-5?page=2</t>
        </is>
      </c>
      <c r="O178" s="4" t="inlineStr">
        <is>
          <t>Contenido primario/editorial accesible revisado; exclusión adjudicada en Lote_06_22. Nivel de evidencia, limitaciones y prioridad de verificación humana documentados en Lote_06_22.</t>
        </is>
      </c>
      <c r="P178" s="4" t="inlineStr">
        <is>
          <t>In the modern world, the prevalence of Autism Spectrum Disorder (ASD) is increasing, affecting approximately 1 in 54 children—a challenging neurodevelopmental condition. The early and precise identification of ASD is crucial for timely interventions and support for individuals and their families. This research paper delves into the domain of machine learning, aiming to harness its potential in enhancing ASD detection. To achieve this, a comprehensive dataset encompassing clinical, behavioral, and genetic information from both ASD and non-ASD individuals is leveraged. Various machine learning algorithms, including Decision Trees, Support Vector Machines, and Deep Neural Networks, are applied. Additionally, techniques like feature selection and engineering is integrated to enhance model performance and interpretability. The study yields promising results, demonstrating the effectiveness of machine learning in distinguishing between ASD and non-ASD cases. The research emphasizes the importance of model interpretability, providing insights into the key features influencing ASD classification. This data-driven approach empowers clinicians to make well-informed decisions, enabling early diagnosis and intervention for individuals with ASD, ultimately contributing to improved outcomes and quality of life. The newly devised Hybrid CNN model which is a combination of CNN with SVM outperformed all other basic models and gave 96.8% precision and 93.01% accuracy in determining autism disorder in children.</t>
        </is>
      </c>
    </row>
    <row r="179" ht="409" customHeight="1">
      <c r="A179" s="4" t="n">
        <v>410</v>
      </c>
      <c r="B179" s="4" t="n">
        <v>2026</v>
      </c>
      <c r="C179" s="4" t="inlineStr">
        <is>
          <t>Robust deep learning pipeline to improve access to autism triage and diagnosis</t>
        </is>
      </c>
      <c r="D179" s="4" t="inlineStr">
        <is>
          <t>10.1007/S44163-026-01299-9</t>
        </is>
      </c>
      <c r="E179" s="4" t="inlineStr">
        <is>
          <t>Edgar A Wakelin</t>
        </is>
      </c>
      <c r="F179" s="4" t="inlineStr">
        <is>
          <t>Discover Artificial Intelligence</t>
        </is>
      </c>
      <c r="G179" s="4" t="inlineStr">
        <is>
          <t>Incluir provisionalmente</t>
        </is>
      </c>
      <c r="H179" s="4" t="inlineStr">
        <is>
          <t>Retrieved and reviewed</t>
        </is>
      </c>
      <c r="I179" s="4" t="n"/>
      <c r="J179" s="4" t="inlineStr">
        <is>
          <t>Include</t>
        </is>
      </c>
      <c r="K179" s="4" t="n"/>
      <c r="L179" s="4" t="inlineStr">
        <is>
          <t>Revisión asistida por IA (un revisor; requiere verificación independiente)</t>
        </is>
      </c>
      <c r="M179" s="40" t="n">
        <v>46269</v>
      </c>
      <c r="N179" s="4" t="inlineStr">
        <is>
          <t>https://doi.org/10.1007/s44163-026-01299-9</t>
        </is>
      </c>
      <c r="O179" s="4" t="inlineStr">
        <is>
          <t>Texto completo abierto con métodos y resultados suficientes; codificación en Extraccion_RQ_nuevos.</t>
        </is>
      </c>
      <c r="P179" s="4" t="inlineStr">
        <is>
          <t>Purpose: Timely access to autism spectrum disorder (ASD) diagnosis represents a major clinical burden, especially in children. Robust and quantitative triage tools to refer children at high risk of ASD for rapid evaluation are not available. We investigate a robust artificial intelligence pipeline combining anatomic and resting state MRI scans with demographics to triage children into high and low risk of an ASD diagnosis. Methods: The ABIDE I and II datasets were used to train deep learning (DL) models on both the anatomic and resting state MRI scans, which were then combined with demographics to render a prediction for an ASD diagnosis. The pipeline was formally tested using a train (70%, n = 1555), validation (20%, n = 439) and test (10%, n = 222) data split ensuring robust testing and assessment of generalizability. DL model outputs were combined with demographics in a generalized linear model with Lasso regularization, and was then optimized using area-under-the-curve (AUC) analysis. Results: The test, validation and train groups had similar demographics in which 46–52% of the population had an ASD diagnosis, 80–83% were male, with a median age of 13–14 and 71–75% reported eyes open during the resting state MRI. The AI pipeline successfully distinguished between ASD and non-ASD with suspicion scores of 0.803 [0.461–0.964] compared to 0.377 [0.044–0.873], p &lt; 0.0001 and an AUC of 71.1%. Under AUC optimization, an accuracy of 62.6% with a sensitivity of 58.9% and specificity of 66.1% was achieved. Conclusion: The artificial intelligence pipeline described here is a promising method for accurately distinguishing between ASD and non-ASD participants.</t>
        </is>
      </c>
    </row>
    <row r="180" ht="409" customHeight="1">
      <c r="A180" s="4" t="n">
        <v>411</v>
      </c>
      <c r="B180" s="4" t="n">
        <v>2025</v>
      </c>
      <c r="C180" s="4" t="inlineStr">
        <is>
          <t>Blood-based DNA methylation markers for autism spectrum disorder identification using machine learning</t>
        </is>
      </c>
      <c r="D180" s="4" t="inlineStr">
        <is>
          <t>10.1080/17501911.2025.2557186</t>
        </is>
      </c>
      <c r="E180" s="4" t="inlineStr">
        <is>
          <t>Yahui Yang and Zhiyuan Sun and Fengshu Zhu and Aiguo Chen</t>
        </is>
      </c>
      <c r="F180" s="4" t="inlineStr">
        <is>
          <t>Epigenomics</t>
        </is>
      </c>
      <c r="G180" s="4" t="inlineStr">
        <is>
          <t>Incluir provisionalmente</t>
        </is>
      </c>
      <c r="H180" s="4" t="inlineStr">
        <is>
          <t>Eligibility reviewed from accessible primary-source content; scoped adjudication completed</t>
        </is>
      </c>
      <c r="I180" s="4" t="n"/>
      <c r="J180" s="4" t="inlineStr">
        <is>
          <t>Include</t>
        </is>
      </c>
      <c r="K180" s="4" t="n"/>
      <c r="L180" s="4" t="inlineStr">
        <is>
          <t>Revisión asistida por IA (un revisor; requiere verificación independiente)</t>
        </is>
      </c>
      <c r="M180" s="40" t="n">
        <v>46269</v>
      </c>
      <c r="N180" s="4" t="inlineStr">
        <is>
          <t>https://pubmed.ncbi.nlm.nih.gov/40923924/</t>
        </is>
      </c>
      <c r="O180" s="4" t="inlineStr">
        <is>
          <t>Contenido primario accesible revisado y adjudicación RQ cerrada en Lote_06_22. Nivel de evidencia, limitaciones y prioridad de verificación humana documentados en Lote_06_22.</t>
        </is>
      </c>
      <c r="P180" s="4" t="inlineStr">
        <is>
          <t>Background: Autism spectrum disorder (ASD) is a complex neurodevelopmental disorder lacking objective biomarkers for early diagnosis. DNA methylation is a promising epigenetic marker, and machine learning offers a data-driven classification approach. However, few studies have examined whole-blood, genome-wide DNA methylation profiles for ASD diagnosis in school-aged children. Methods: We analyzed genome-wide DNA methylation data from GEO dataset GSE113967, including 52 children with ASD and 48 typically developing (TD) controls. Differentially methylated positions (DMPs) were identified, and feature selection was performed using support vector machine-recursive feature elimination with cross-validation (SVM-RFECV). Classification models were developed using random forest (RF), extreme gradient boosting (XGBoost), and decision tree (DT) classifiers. A nomogram visualized feature contributions. Results: A total of 138 DMPs differentiated ASD from TD children. Eleven CpG sites selected by SVM-RFECV formed the basis for model construction. RF and XGBoost achieved the highest accuracy (75%), with DT reaching 70%. Functional annotation indicated enrichment in cell adhesion and immune-related pathways. Conclusions: This exploratory study demonstrates the feasibility of integrating peripheral blood DNA methylation data with machine learning to distinguish children with ASD. While limited by sample size and moderate accuracy, this study provides methodological insights into the feasibility of integrating epigenetic and computational approaches for ASD-related biomarker exploration.</t>
        </is>
      </c>
    </row>
    <row r="181" ht="409" customHeight="1">
      <c r="A181" s="4" t="n">
        <v>412</v>
      </c>
      <c r="B181" s="4" t="n">
        <v>2026</v>
      </c>
      <c r="C181" s="4" t="inlineStr">
        <is>
          <t>Federated Transformer-Based Deep Learning Framework for Secure and Early Autism Diagnosis</t>
        </is>
      </c>
      <c r="D181" s="4" t="inlineStr">
        <is>
          <t>10.1007/S42979-026-04806-Y</t>
        </is>
      </c>
      <c r="E181" s="4" t="inlineStr">
        <is>
          <t>R Maddala Kranthi and R Venkatesan and C Amuthadevi and C Priyadharsini</t>
        </is>
      </c>
      <c r="F181" s="4" t="inlineStr">
        <is>
          <t>SN Computer Science</t>
        </is>
      </c>
      <c r="G181" s="4" t="inlineStr">
        <is>
          <t>Incluir provisionalmente</t>
        </is>
      </c>
      <c r="H181" s="4" t="inlineStr">
        <is>
          <t>Eligibility reviewed from accessible primary-source content; scoped adjudication completed</t>
        </is>
      </c>
      <c r="I181" s="4" t="n"/>
      <c r="J181" s="4" t="inlineStr">
        <is>
          <t>Include</t>
        </is>
      </c>
      <c r="K181" s="4" t="n"/>
      <c r="L181" s="4" t="inlineStr">
        <is>
          <t>Revisión asistida por IA (un revisor; requiere verificación independiente)</t>
        </is>
      </c>
      <c r="M181" s="40" t="n">
        <v>46269</v>
      </c>
      <c r="N181" s="4" t="inlineStr">
        <is>
          <t>https://doi.org/10.1007/S42979-026-04806-Y</t>
        </is>
      </c>
      <c r="O181" s="4" t="inlineStr">
        <is>
          <t>Contenido primario accesible revisado y adjudicación RQ cerrada en Lote_06_22. Nivel de evidencia, limitaciones y prioridad de verificación humana documentados en Lote_06_22.</t>
        </is>
      </c>
      <c r="P181" s="4" t="inlineStr">
        <is>
          <t>Autism Spectrum Disorder (ASD) diagnosis traditionally relies on centralized data aggregation of sensitive behavioural and physiological information, raising significant privacy and compliance challenges. To address these concerns, a novel Federated Transformer-Based Deep Learning Framework is designed for secure, decentralized, and early autism diagnosis using multimodal behavioural datasets. The system models intricate spatiotemporal connections in behavioural sequences collected from several clinical locations by using the self-attention mechanism of Transformer topologies, all without necessitating the exchange of raw data. Federated Learning (FL) and Transformer encoders are used in the proposed approach to jointly train a global model while protecting edge data privacy. The Autism Brain Imaging Data Exchange (ABIDE) dataset for neuroimaging-derived behavioural characteristics and the SPARK behavioural assessment dataset are two publicly accessible benchmark datasets used to examine this approach. Focused loss functions and federated weighted averaging were used to address the issues of class imbalance and data heterogeneity. The proposed federated Transformer model shows better diagnostic performance compared to baseline CNN models and RNN models in the federated settings, which is supported by experimental results. Evaluation on the ABIDE dataset showed that the model achieved an average accuracy of 99.4%, precision of 99.1%, recall of 98.6%, and an F1-score of 98.3%. Performance on the SPARK dataset resulted in an accuracy of 99.7%, precision of 98.8%, recall of 98.5% and an F1 - score of 98.6%. These results indicate strong generalization and efficient learning of long-range temporal dependencies that occur in behavioural data. In addition, communication efficiency was improved using model compression techniques, which led to a 40% reduction in bandwidth usage without significant reduction in performance. Privacy guarantees were enhanced by adding secure aggregation protocols in the federated training loop. This work is the first to apply Transformer architectures to federated autism diagnosis, and introduces a scalable, privacy-preserving solution for the early and accurate detection of ASD in compliance with data protection regulations.</t>
        </is>
      </c>
    </row>
    <row r="182" ht="409" customHeight="1">
      <c r="A182" s="4" t="n">
        <v>415</v>
      </c>
      <c r="B182" s="4" t="n">
        <v>2025</v>
      </c>
      <c r="C182" s="4" t="inlineStr">
        <is>
          <t>Artificial intelligence-based diagnostic model for autism spectrum disorder using blood biomarkers</t>
        </is>
      </c>
      <c r="D182" s="4" t="inlineStr">
        <is>
          <t>10.1007/S00521-025-11553-3</t>
        </is>
      </c>
      <c r="E182" s="4" t="inlineStr">
        <is>
          <t>Warda M Shaban</t>
        </is>
      </c>
      <c r="F182" s="4" t="inlineStr">
        <is>
          <t>Neural Computing and Applications</t>
        </is>
      </c>
      <c r="G182" s="4" t="inlineStr">
        <is>
          <t>Incluir provisionalmente</t>
        </is>
      </c>
      <c r="H182" s="4" t="inlineStr">
        <is>
          <t>Eligibility reviewed from accessible primary-source content; scoped adjudication completed</t>
        </is>
      </c>
      <c r="I182" s="4" t="n"/>
      <c r="J182" s="4" t="inlineStr">
        <is>
          <t>Include</t>
        </is>
      </c>
      <c r="K182" s="4" t="n"/>
      <c r="L182" s="4" t="inlineStr">
        <is>
          <t>Revisión asistida por IA (un revisor; requiere verificación independiente)</t>
        </is>
      </c>
      <c r="M182" s="40" t="n">
        <v>46269</v>
      </c>
      <c r="N182" s="4" t="inlineStr">
        <is>
          <t>https://link.springer.com/article/10.1007/s00521-025-11553-3</t>
        </is>
      </c>
      <c r="O182" s="4" t="inlineStr">
        <is>
          <t>Contenido primario accesible revisado y adjudicación RQ cerrada en Lote_06_22. Nivel de evidencia, limitaciones y prioridad de verificación humana documentados en Lote_06_22.</t>
        </is>
      </c>
      <c r="P182" s="4" t="inlineStr">
        <is>
          <t>Autistic spectrum disorder (ASD) is a neurological condition characterized by difficulties in social interaction, communication, and repetitive behaviors. Despite its largely hereditary nature, early detection is crucial, and a potential strategy for more efficient and quicker diagnosis is to employ artificial intelligence (AI). In this paper, a new system is introduced that is called automatic screening autism (ASA) system. ASA comprises three primary stages: data preparation (DP), feature selection (FS), and patient detection (PD). In the first stage, the used dataset is preprocessed through several steps: handling missing values and rejecting outliers. Then, these preprocessed features are fed to the FS stage to select the most important features using improved genetic algorithm (IGA). IGA composed of two stages; (i) pre-selection stage (PS2) using information gain (IG) and (ii) conclusive selection stage (CS2) using genetic algorithm (GA). Subsequently, these attributes are input into the proposed classification model using optimized deep neural network (ODNN). Actually, ODNN is based on optimized weights of traditional DNN using various optimization algorithms, and the final decision is derived from the best performance. ASA has been evaluated against contemporary methodologies. Results from experimental studies demonstrate that the proposed ASA outperforms its competitors regarding accuracy, precision, sensitivity, and F-measure, achieving values of approximately 99.10, 98.90, 98.70, and 98.80% in that order.</t>
        </is>
      </c>
    </row>
    <row r="183" ht="409" customHeight="1">
      <c r="A183" s="4" t="n">
        <v>416</v>
      </c>
      <c r="B183" s="4" t="n">
        <v>2026</v>
      </c>
      <c r="C183" s="4" t="inlineStr">
        <is>
          <t>An explainable deep learning framework for screening level autism severity using behavioural data</t>
        </is>
      </c>
      <c r="D183" s="4" t="inlineStr">
        <is>
          <t>10.1007/S42452-026-08352-3</t>
        </is>
      </c>
      <c r="E183" s="4" t="inlineStr">
        <is>
          <t>Vijayalaxmi N Rathod and R H Goudar and Sangeeta Sangani</t>
        </is>
      </c>
      <c r="F183" s="4" t="inlineStr">
        <is>
          <t>Discover Applied Sciences</t>
        </is>
      </c>
      <c r="G183" s="4" t="inlineStr">
        <is>
          <t>Incluir provisionalmente</t>
        </is>
      </c>
      <c r="H183" s="4" t="inlineStr">
        <is>
          <t>Eligibility reviewed from accessible primary-source content; scoped adjudication completed</t>
        </is>
      </c>
      <c r="I183" s="4" t="n"/>
      <c r="J183" s="4" t="inlineStr">
        <is>
          <t>Include</t>
        </is>
      </c>
      <c r="K183" s="4" t="n"/>
      <c r="L183" s="4" t="inlineStr">
        <is>
          <t>Revisión asistida por IA (un revisor; requiere verificación independiente)</t>
        </is>
      </c>
      <c r="M183" s="40" t="n">
        <v>46269</v>
      </c>
      <c r="N183" s="4" t="inlineStr">
        <is>
          <t>https://doi.org/10.1007/S42452-026-08352-3</t>
        </is>
      </c>
      <c r="O183" s="4" t="inlineStr">
        <is>
          <t>Contenido primario accesible revisado y adjudicación RQ cerrada en Lote_06_22. Nivel de evidencia, limitaciones y prioridad de verificación humana documentados en Lote_06_22.</t>
        </is>
      </c>
      <c r="P183" s="4" t="inlineStr">
        <is>
          <t>Autism Spectrum Disorder (ASD) is a complex neurodevelopmental condition characterized by heterogeneous behavioural manifestations that vary across age groups and severity strata. While questionnaire-based screening instruments enable large-scale ASD identification, reliable severity stratification remains challenging due to the absence of explicit clinician-annotated severity labels and the reliance of many existing approaches on fragmented or multi-stage pipelines. To address this gap, this study proposes a unified BiLSTM–CGBO framework for screening-level ASD identification and ordinal severity stratification under a controlled behavioural labeling paradigm. The proposed architecture integrates a Bidirectional Long Short-Term Memory (BiLSTM) network, employed as a high-capacity representation learner for modeling non-linear interactions among behavioural attributes, with a Chaotic Grey Ball Optimizer (CGBO) that adaptively modulates learning dynamics to enhance numerical stability and convergence. The framework is evaluated on harmonized ASD screening datasets from the Kaggle and UCI repositories, comprising 2154 participants across four developmental cohorts: toddlers, children, adolescents, and adults. Experimental results demonstrate consistently high classification accuracy and AUROC values across age groups, reflecting the model’s effectiveness in approximating a deterministic behavioural severity-scoring function rather than independent clinical diagnostic performance. Comparative analysis indicates that the proposed framework achieves stable improvements over classical machine learning and deep learning baselines, including SVM, CNN, and standard LSTM, under identical preprocessing and validation protocols. Model interpretability is examined using SHapley Additive Explanations (SHAP), which elucidate how behavioural attributes are utilized within the learned scoring structure without asserting causal or diagnostic attribution. Overall, the proposed BiLSTM–CGBO framework establishes a transparent, reproducible, and computationally efficient methodology for screening-level autism severity modeling, providing a robust foundation for future validation using independently clinician-annotated data and multimodal extensions.</t>
        </is>
      </c>
    </row>
    <row r="184" ht="409" customHeight="1">
      <c r="A184" s="4" t="n">
        <v>417</v>
      </c>
      <c r="B184" s="4" t="n">
        <v>2025</v>
      </c>
      <c r="C184" s="4" t="inlineStr">
        <is>
          <t>Perivascular Space Burden in Children With Autism Spectrum Disorder Correlates With Neurodevelopmental Severity</t>
        </is>
      </c>
      <c r="D184" s="4" t="inlineStr">
        <is>
          <t>10.1002/jmri.70023</t>
        </is>
      </c>
      <c r="E184" s="4" t="inlineStr">
        <is>
          <t>Giulia Frigerio and Gloria Rizzato and Denis Peruzzo and Tommaso Ciceri and Elisa Mani and Fabiola Lanteri and Valentina Mariani and Massimo Molteni and Nivedita Agarwal</t>
        </is>
      </c>
      <c r="F184" s="4" t="inlineStr">
        <is>
          <t>Journal of Magnetic Resonance Imaging</t>
        </is>
      </c>
      <c r="G184" s="4" t="inlineStr">
        <is>
          <t>Incluir provisionalmente</t>
        </is>
      </c>
      <c r="H184" s="4" t="inlineStr">
        <is>
          <t>Retrieved and reviewed</t>
        </is>
      </c>
      <c r="I184" s="4" t="n"/>
      <c r="J184" s="4" t="inlineStr">
        <is>
          <t>Include</t>
        </is>
      </c>
      <c r="K184" s="4" t="n"/>
      <c r="L184" s="4" t="inlineStr">
        <is>
          <t>Revisión asistida por IA (un revisor; requiere verificación independiente)</t>
        </is>
      </c>
      <c r="M184" s="40" t="n">
        <v>46269</v>
      </c>
      <c r="N184" s="4" t="inlineStr">
        <is>
          <t>https://onlinelibrary.wiley.com/doi/pdfdirect/10.1002/jmri.70023</t>
        </is>
      </c>
      <c r="O184" s="4" t="inlineStr">
        <is>
          <t>Texto completo abierto con métodos y resultados suficientes; codificación en Extraccion_RQ_nuevos.</t>
        </is>
      </c>
      <c r="P184" s="4" t="inlineStr">
        <is>
          <t>Background: Cerebral perivascular spaces (PVS) are involved in cerebrospinal fluid (CSF) circulation and clearance of metabolic waste in adult humans. A high number of PVS has been reported in autism spectrum disorder (ASD) but its relationship with CSF and disease severity is unclear. Purpose: To quantify PVS in children with ASD through MRI. Study Type: Retrospective. Population: Sixty six children with ASD (mean age: 4.7 ± 1.5 years; males/females: 59/7). Field Strength/Sequence: 3T, 3D T1-weighted GRE and 3D T2-weighted turbo spin echo sequences. Assessment: PVS were segmented using a weakly supervised PVS algorithm. PVS count, white matter-perivascular spaces (WM-PVStot) and normalized volume (WM-PVSvoln) were analyzed in the entire white matter. Six regions: frontal, parietal, limbic, occipital, temporal, and deep WM (WM-PVSsr). WM, GM, CSF, and extra-axial CSF (eaCSF) volumes were also calculated. Autism Diagnostic Observation Schedule, Wechsler Intelligence Scale, and Griffiths Mental Developmental scales were used to assess clinical severity and developmental quotient (DQ). Statistical Tests: Kendall correlation analysis (continuous variables) and Friedman (categorical variables) tests were used to compare medians of PVS variables across different WM regions. Post hoc pairwise comparisons with Wilcoxon tests were used to evaluate distributions of PVS in WM regions. Generalized linear models were employed to assess DQ, clinical severity, age, and eaCSF volume in relation to PVS variables. A p-value &lt; 0.05 indicated statistical significance. Results: Severe DQ (β = 0.0089), mild form of autism (β = −0.0174), and larger eaCSF (β = 0.0082) volume was significantly associated with greater WM-PVStot count. WM-PVSvoln was predominantly affected by normalized eaCSF volume (eaCSFvoln) (β = 0.0242; adjusted for WM volumes). The percentage of WM-PVSsr was higher in the frontal areas (32%) and was lowest in the temporal regions (11%). Data Conclusion: PVS count and volume in ASD are associated with eaCSFvoln. PVS count is related to clinical severity and DQ. PVS count was higher in frontal regions and lower in temporal regions. Evidence Level: 4. Technical Efficacy: Stage 3.</t>
        </is>
      </c>
    </row>
    <row r="185" ht="409" customHeight="1">
      <c r="A185" s="4" t="n">
        <v>420</v>
      </c>
      <c r="B185" s="4" t="n">
        <v>2025</v>
      </c>
      <c r="C185" s="4" t="inlineStr">
        <is>
          <t>Two-tier nature inspired optimization-driven ensemble of deep learning models for effective autism spectrum disorder diagnosis in disabled persons</t>
        </is>
      </c>
      <c r="D185" s="4" t="inlineStr">
        <is>
          <t>10.1038/S41598-025-93802-Y</t>
        </is>
      </c>
      <c r="E185" s="4" t="inlineStr">
        <is>
          <t>Saud S Alotaibi and Turki Ali Alghamdi and Reem Alharthi</t>
        </is>
      </c>
      <c r="F185" s="4" t="inlineStr">
        <is>
          <t>Scientific Reports</t>
        </is>
      </c>
      <c r="G185" s="4" t="inlineStr">
        <is>
          <t>Incluir provisionalmente</t>
        </is>
      </c>
      <c r="H185" s="4" t="inlineStr">
        <is>
          <t>Retrieved and reviewed</t>
        </is>
      </c>
      <c r="I185" s="4" t="n"/>
      <c r="J185" s="4" t="inlineStr">
        <is>
          <t>Include</t>
        </is>
      </c>
      <c r="K185" s="4" t="n"/>
      <c r="L185" s="4" t="inlineStr">
        <is>
          <t>Revisión asistida por IA (un revisor; requiere verificación independiente)</t>
        </is>
      </c>
      <c r="M185" s="40" t="n">
        <v>46269</v>
      </c>
      <c r="N185" s="4" t="inlineStr">
        <is>
          <t>https://doi.org/10.1038/s41598-025-93802-y</t>
        </is>
      </c>
      <c r="O185" s="4" t="inlineStr">
        <is>
          <t>Texto completo abierto con métodos y resultados suficientes; codificación en Extraccion_RQ_nuevos.</t>
        </is>
      </c>
      <c r="P185" s="4" t="inlineStr">
        <is>
          <t>Autism spectrum disorder (ASD) includes a varied set of neuropsychiatric illnesses. This disorder is described by a definite grade of loss in social communication, academic functioning, personal contact, and limited and repetitive behaviours. Individuals with ASD might perform, convey, and study in a different way than others. ASDs naturally are apparent before age 3 years, with related impairments affecting manifold regions of a person’s lifespan. Deep learning (DL) and machine learning (ML) techniques are used in medical research to diagnose and detect ASD promptly. This study presents a Two-Tier Metaheuristic-Driven Ensemble Deep Learning for Effective Autism Spectrum Disorder Diagnosis in Disabled Persons (T2MEDL-EASDDP) model. The main aim of the presented T2MEDL-EASDDP model is to analyze and diagnose the different stages of ASD in disabled individuals. To accomplish this, the T2MEDL-EASDDP model utilizes min-max normalization for data pre-processing to ensure that the input data is scaled to a uniform range. Furthermore, the improved butterfly optimization algorithm (IBOA)-based feature selection (FS) is utilized to identify the most relevant features and reduce dimensionality efficiently. Additionally, an ensemble of DL holds three approaches, namely autoencoder (AE), long short-term memory (LSTM), and deep belief network (DBN) approach is employed for analyzing and detecting ASD. Finally, the presented T2MEDL-EASDDP model employs brownian motion (BM) and directional mutation scheme-based coati optimizer algorithm (BDCOA) techniques to fine-tune the hyperparameters involved in the three ensemble methods. A wide range of simulation analyses of the T2MEDL-EASDDP technique is accomplished under the ASD-Toddler and ASD-Adult datasets. The performance validation of the T2MEDL-EASDDP method portrayed a superior accuracy value of 97.79% over existing techniques.</t>
        </is>
      </c>
    </row>
    <row r="186" ht="409" customHeight="1">
      <c r="A186" s="4" t="n">
        <v>421</v>
      </c>
      <c r="B186" s="4" t="n">
        <v>2026</v>
      </c>
      <c r="C186" s="4" t="inlineStr">
        <is>
          <t>Edge-Based Robot-Assisted Hand Gesture Recognition for Autism Intervention Using Hybrid Keyframe Selection and Contrastive Learning</t>
        </is>
      </c>
      <c r="D186" s="4" t="inlineStr">
        <is>
          <t>10.1109/TMRB.2026.3680976</t>
        </is>
      </c>
      <c r="E186" s="4" t="inlineStr">
        <is>
          <t>Sougatamoy Biswas and Soumyajeet Mahapatra and Anup Nandy and Asim Kumar Naskar</t>
        </is>
      </c>
      <c r="F186" s="4" t="inlineStr">
        <is>
          <t>IEEE Transactions on Medical Robotics and Bionics</t>
        </is>
      </c>
      <c r="G186" s="4" t="inlineStr">
        <is>
          <t>Incluir provisionalmente</t>
        </is>
      </c>
      <c r="H186" s="4" t="inlineStr">
        <is>
          <t>Eligibility reviewed from accessible primary-source content; scoped adjudication completed</t>
        </is>
      </c>
      <c r="I186" s="4" t="n"/>
      <c r="J186" s="4" t="inlineStr">
        <is>
          <t>Include</t>
        </is>
      </c>
      <c r="K186" s="4" t="n"/>
      <c r="L186" s="4" t="inlineStr">
        <is>
          <t>Revisión asistida por IA (un revisor; requiere verificación independiente)</t>
        </is>
      </c>
      <c r="M186" s="40" t="n">
        <v>46269</v>
      </c>
      <c r="N186" s="4" t="inlineStr">
        <is>
          <t>https://doi.org/10.1109/TMRB.2026.3680976</t>
        </is>
      </c>
      <c r="O186" s="4" t="inlineStr">
        <is>
          <t>Contenido primario accesible revisado y adjudicación RQ cerrada en Lote_06_22. Nivel de evidencia, limitaciones y prioridad de verificación humana documentados en Lote_06_22.</t>
        </is>
      </c>
      <c r="P186" s="4" t="inlineStr">
        <is>
          <t>Children with Autism Spectrum Disorder (ASD) often face challenges in expressing and interpreting social gestures essential for social skill development. Traditional approaches depend on intrusive wearable sensors and manual supervision, with minimal adaptation to real-time, resource-constrained environments. To address these limitations, we present a real-time vision-based human-robot interaction (HRI) framework that autonomously supports gesture learning and correction without therapist intervention. The system employs MediaPipe-based skeletal landmark extraction with a novel hybrid keyframe selection strategy. This strategy integrates entropy-based filtering to retain semantically rich frames and a clustering-based mechanism to identify representative frames from similar gesture groups. Spatial features are modeled using one-dimensional convolutions across hand joints to capture intra-frame structural dependencies. The framework executes gesture classification and correctness evaluation simultaneously, with contrastive learning incorporated to enhance the separability of learned embeddings. An in-house assistive robot, named CARAT (Caregiver Autism Robot with AI-based Technology), has been developed to realize this framework. CARAT is equipped with a gesture-performing arm, deployed on a Jetson Orin Nano edge device, and provides real-time verbal feedback alongside physical gesture demonstrations. The dataset for evaluation was collected using CARAT, involving participants from both healthy children and children with ASD. The framework demonstrates strong recognition performance, achieving 98.85% accuracy with healthy participants, 96.42% with autistic participants, and 97.41% on the combined dataset of both groups. These results validate the effectiveness of the proposed approach for hand gesture recognition in edge-deployed assistive robots for autism intervention.</t>
        </is>
      </c>
    </row>
    <row r="187" ht="409" customHeight="1">
      <c r="A187" s="4" t="n">
        <v>422</v>
      </c>
      <c r="B187" s="4" t="n">
        <v>2026</v>
      </c>
      <c r="C187" s="4" t="inlineStr">
        <is>
          <t>MIND-TEA: An Adaptive Multi-Agent Framework for Multimodal Autism Diagnosis</t>
        </is>
      </c>
      <c r="D187" s="4" t="inlineStr">
        <is>
          <t>10.1109/ACCESS.2026.3688987</t>
        </is>
      </c>
      <c r="E187" s="4" t="inlineStr">
        <is>
          <t>Evandro Carvalho De Andrade and Francisco Nauber Bernardo Gois and Joaquim Celestino Júnior and Thiago Damasceno Faria Bluhm and João Alexandre Lobo Marques and Arthur Magalhães Da Silva</t>
        </is>
      </c>
      <c r="F187" s="4" t="inlineStr">
        <is>
          <t>IEEE Access</t>
        </is>
      </c>
      <c r="G187" s="4" t="inlineStr">
        <is>
          <t>Incluir provisionalmente</t>
        </is>
      </c>
      <c r="H187" s="4" t="inlineStr">
        <is>
          <t>Retrieved and reviewed</t>
        </is>
      </c>
      <c r="I187" s="4" t="n"/>
      <c r="J187" s="4" t="inlineStr">
        <is>
          <t>Include</t>
        </is>
      </c>
      <c r="K187" s="4" t="n"/>
      <c r="L187" s="4" t="inlineStr">
        <is>
          <t>Revisión asistida por IA (un revisor; requiere verificación independiente)</t>
        </is>
      </c>
      <c r="M187" s="40" t="n">
        <v>46269</v>
      </c>
      <c r="N187" s="4" t="inlineStr">
        <is>
          <t>https://doi.org/10.1109/access.2026.3688987</t>
        </is>
      </c>
      <c r="O187" s="4" t="inlineStr">
        <is>
          <t>Texto completo abierto con métodos y resultados suficientes; codificación en Extraccion_RQ_nuevos.</t>
        </is>
      </c>
      <c r="P187" s="4" t="inlineStr">
        <is>
          <t>Autism Spectrum Disorder (ASD) presents substantial diagnostic heterogeneity, challenging the reliability and generalization of static, single-model classifiers. To address this, MIND-TEA is introduced as an adaptive multimodal framework for neurodevelopmental diagnosis. The system integrates resting-state fMRI (rs-fMRI) features with clinical text and utilizes a meta-learning orchestrator to dynamically route each patient to an optimal specialist model. Using subject-wise, site-stratified five-fold cross-validation on ABIDE I (n=1,112), the proposed method achieves 87.3% accuracy and 0.910 AUC (p &lt; 0.05). This corresponds to an absolute improvement of 17.3 percentage points in accuracy compared to representative deep learning baselines reported in prior ASD neuroimaging studies. To assess generalization under clinical conditions, a zero-shot external evaluation is conducted on the independent ABIDE II cohort (n=626). While cross-site domain shift reduces overall accuracy (52.3%), protocol-compatible subsets maintain performance above 60%, highlighting the impact of acquisition variability. The framework distills 108 candidate configurations into three plane-specific specialists (axial, coronal, sagittal). At inference, a single model is executed per subject, guaranteeing O(1) complexity and clinically viable latency without relying on large ensemble strategies. By selecting the most suitable specialist based on semantic similarity and historical performance, MIND-TEA enables adaptive decision-making tailored to individual cases and highlights the importance of data harmonization for robust multi-site generalization.</t>
        </is>
      </c>
    </row>
    <row r="188" ht="409" customHeight="1">
      <c r="A188" s="4" t="n">
        <v>423</v>
      </c>
      <c r="B188" s="4" t="n">
        <v>2026</v>
      </c>
      <c r="C188" s="4" t="inlineStr">
        <is>
          <t>Toward a Smartwatch-Based System for Automated Social Interaction Monitoring in Autism</t>
        </is>
      </c>
      <c r="D188" s="4" t="inlineStr">
        <is>
          <t>10.1109/ACCESS.2026.3674057</t>
        </is>
      </c>
      <c r="E188" s="4" t="inlineStr">
        <is>
          <t>Srinivas Goud Kalagotla and Fang Wang and Kirti Datla and Bradley J Ferguson and David Q Beversdorf</t>
        </is>
      </c>
      <c r="F188" s="4" t="inlineStr">
        <is>
          <t>IEEE Access</t>
        </is>
      </c>
      <c r="G188" s="4" t="inlineStr">
        <is>
          <t>Incluir provisionalmente</t>
        </is>
      </c>
      <c r="H188" s="4" t="inlineStr">
        <is>
          <t>Eligibility reviewed from accessible primary-source content; scoped adjudication completed</t>
        </is>
      </c>
      <c r="I188" s="4" t="n"/>
      <c r="J188" s="4" t="inlineStr">
        <is>
          <t>Include</t>
        </is>
      </c>
      <c r="K188" s="4" t="n"/>
      <c r="L188" s="4" t="inlineStr">
        <is>
          <t>Revisión asistida por IA (un revisor; requiere verificación independiente)</t>
        </is>
      </c>
      <c r="M188" s="40" t="n">
        <v>46269</v>
      </c>
      <c r="N188" s="4" t="inlineStr">
        <is>
          <t>https://doi.org/10.1109/ACCESS.2026.3674057</t>
        </is>
      </c>
      <c r="O188" s="4" t="inlineStr">
        <is>
          <t>Contenido primario accesible revisado y adjudicación RQ cerrada en Lote_06_22. Nivel de evidencia, limitaciones y prioridad de verificación humana documentados en Lote_06_22.</t>
        </is>
      </c>
      <c r="P188" s="4" t="inlineStr">
        <is>
          <t>Autism Spectrum Disorder (ASD) is a complex neurodevelopmental condition that affects social interactions and communication. Traditional assessment methods are often manual, subjective - lack ecological validity and scalability. This study presents a fully automated, machine learning-based system for continuous monitoring of social interactions in individuals with ASD using voice and physiological data collected in naturalistic environments. The system leverages speaker diarization to quantify the duration the ASD individual speaks during real-life conversations. An enhanced deep learning-based diarization method built on pyannote-audio is used to identify the target speaker, with each recording beginning with a short voice sample from the participant for identification purposes. Audio and heart rate data are simultaneously collected via a standalone smartwatch app, requiring no phone or network connectivity during data capture. Data are then processed through a cloud-based pipeline. The system was validated in both controlled and real-world settings, including testing with ASD individuals. Results show that the system can accurately and effectively capture speaking time, identify speaker turns, and track physiological signals during social interactions. This approach provides an objective, scalable framework for social behavior assessment in ASD, with strong potential for clinical application and long-term, real-world monitoring.</t>
        </is>
      </c>
    </row>
    <row r="189" ht="409" customHeight="1">
      <c r="A189" s="4" t="n">
        <v>424</v>
      </c>
      <c r="B189" s="4" t="n">
        <v>2025</v>
      </c>
      <c r="C189" s="4" t="inlineStr">
        <is>
          <t>Interpretable Autism Screening via Object-Based Analysis of Child-Drawn Sketches</t>
        </is>
      </c>
      <c r="D189" s="4" t="inlineStr">
        <is>
          <t>10.1109/ACCESS.2025.3642950</t>
        </is>
      </c>
      <c r="E189" s="4" t="inlineStr">
        <is>
          <t>Tae Gyun Lee and Jang Hee Yoo</t>
        </is>
      </c>
      <c r="F189" s="4" t="inlineStr">
        <is>
          <t>IEEE Access</t>
        </is>
      </c>
      <c r="G189" s="4" t="inlineStr">
        <is>
          <t>Incluir provisionalmente</t>
        </is>
      </c>
      <c r="H189" s="4" t="inlineStr">
        <is>
          <t>Retrieved and reviewed</t>
        </is>
      </c>
      <c r="I189" s="4" t="n"/>
      <c r="J189" s="4" t="inlineStr">
        <is>
          <t>Include</t>
        </is>
      </c>
      <c r="K189" s="4" t="n"/>
      <c r="L189" s="4" t="inlineStr">
        <is>
          <t>Revisión asistida por IA (un revisor; requiere verificación independiente)</t>
        </is>
      </c>
      <c r="M189" s="40" t="n">
        <v>46269</v>
      </c>
      <c r="N189" s="4" t="inlineStr">
        <is>
          <t>https://doi.org/10.1109/access.2025.3642950</t>
        </is>
      </c>
      <c r="O189" s="4" t="inlineStr">
        <is>
          <t>Texto completo abierto con métodos y resultados suficientes; codificación en Extraccion_RQ_nuevos.</t>
        </is>
      </c>
      <c r="P189" s="4" t="inlineStr">
        <is>
          <t>Developmental assessment methods for children largely rely on subjective manual scoring, which leads to limitations in interpretability, consistency, and scalability. For high-stakes applications in clinical and educational environments, high accuracy and transparency are essential in decision-making, which underscores the growing importance of explainable artificial intelligence techniques for automated developmental assessment. To address these challenges, we propose an explainable deep learning framework for automated developmental assessment based on freehand portraits drawn by children. The proposed system integrates clinically evaluated criteria directly into the design of a computational model to ensure both accuracy and interpretability. Focusing specifically on unstructured freehand portrait sketches, the framework introduces an object-based contribution analysis that segments each sketch into semantically meaningful parts such as eyes, nose, ears, and torso, for localized contribution scoring. A customized vision transformer architecture equipped with relative position encoding and safe layer normalization was utilized to model inter-object dependencies and extract robust features. Contribution scores were computed using layer-wise relevance propagation and visualized via heatmaps and bar plots, to allow clinicians to trace the rationale behind the predictions. The results of an extensive evaluation demonstrated that this method yields high classification accuracy in distinguishing between autism spectrum disorder and typical development, and provides rule-aligned explanations that mirror clinical reasoning. The findings of this study provide a foundation for future real-world deployment of early screening, special education, and pediatric neuropsychological applications.</t>
        </is>
      </c>
    </row>
    <row r="190" ht="409" customHeight="1">
      <c r="A190" s="4" t="n">
        <v>425</v>
      </c>
      <c r="B190" s="4" t="n">
        <v>2025</v>
      </c>
      <c r="C190" s="4" t="inlineStr">
        <is>
          <t>Bridging Deep Learning and Quantum Computing for EEG-Driven P300 Targeted ASD Response Detection</t>
        </is>
      </c>
      <c r="D190" s="4" t="inlineStr">
        <is>
          <t>10.1109/ACCESS.2025.3646589</t>
        </is>
      </c>
      <c r="E190" s="4" t="inlineStr">
        <is>
          <t>Sapthak Mohajon Turjya and Mulham Fawakherji</t>
        </is>
      </c>
      <c r="F190" s="4" t="inlineStr">
        <is>
          <t>IEEE Access</t>
        </is>
      </c>
      <c r="G190" s="4" t="inlineStr">
        <is>
          <t>Incluir provisionalmente</t>
        </is>
      </c>
      <c r="H190" s="4" t="inlineStr">
        <is>
          <t>Retrieved and reviewed</t>
        </is>
      </c>
      <c r="I190" s="4" t="n"/>
      <c r="J190" s="4" t="inlineStr">
        <is>
          <t>Include</t>
        </is>
      </c>
      <c r="K190" s="4" t="n"/>
      <c r="L190" s="4" t="inlineStr">
        <is>
          <t>Revisión asistida por IA (un revisor; requiere verificación independiente)</t>
        </is>
      </c>
      <c r="M190" s="40" t="n">
        <v>46269</v>
      </c>
      <c r="N190" s="4" t="inlineStr">
        <is>
          <t>https://doi.org/10.1109/access.2025.3646589</t>
        </is>
      </c>
      <c r="O190" s="4" t="inlineStr">
        <is>
          <t>Texto completo abierto con métodos y resultados suficientes; codificación en Extraccion_RQ_nuevos.</t>
        </is>
      </c>
      <c r="P190" s="4" t="inlineStr">
        <is>
          <t>Autism Spectrum Disorder (ASD) is a neurodevelopmental condition whose diagnosis relies heavily on subjective behavioral assessments. Electroencephalography (EEG) provides an inexpensive and non-invasive method of objective biomarker detection, but is plagued by high dimensionality and noise that complicates automated analysis. This article introduces a hybrid Transformer-Quantum Neural Network (QNN) model that combines deep learning and quantum computing to enhance P300 targeted ASD responses from non-targeted responses. The model uses transformer capabilities to capture cross-domain correlations and feature-level dependencies across heterogeneous feature sources, and the quantum heads introduced via parameterized quantum circuits detect high-order, nonlinear relations in a Hilbert space via entanglement and superposition. Experimental results on the BCIAUT-P300 dataset better pure classical alternatives with higher diagnostic accuracy at higher accuracy (0.921) and F1-score (0.915). Statistical comparisons confirm that the hybrid approach yields significant improvements in discriminative reliability and diagnostic odds ratio, justifying quantum feature embedding's expressivity and efficiency. The results bear witness to the feasibility and potential of hybrid quantum-classical systems as potential future intelligent diagnostic devices for ASD responses from EEG signals.</t>
        </is>
      </c>
    </row>
    <row r="191" ht="409" customHeight="1">
      <c r="A191" s="4" t="n">
        <v>427</v>
      </c>
      <c r="B191" s="4" t="n">
        <v>2026</v>
      </c>
      <c r="C191" s="4" t="inlineStr">
        <is>
          <t>A Hybrid Multi-Branch Deep Learning Model for Autism Spectrum Disorder Detection Using Spatiotemporal Gait Analysis</t>
        </is>
      </c>
      <c r="D191" s="4" t="inlineStr">
        <is>
          <t>10.1109/ACCESS.2026.3704046</t>
        </is>
      </c>
      <c r="E191" s="4" t="inlineStr">
        <is>
          <t>Ayagoz Mukhanova and Aizat Amirbay and Zhazira Taszhurekova and Abdugani Kholbekov and Khilola Khaydarova and Sabokhat Kalanova and Gulzira Abdikerimova and Aidana Akhmetova and Rohaya Latip and Makbal Baibulova</t>
        </is>
      </c>
      <c r="F191" s="4" t="inlineStr">
        <is>
          <t>IEEE Access</t>
        </is>
      </c>
      <c r="G191" s="4" t="inlineStr">
        <is>
          <t>Incluir provisionalmente</t>
        </is>
      </c>
      <c r="H191" s="4" t="inlineStr">
        <is>
          <t>Retrieved and reviewed</t>
        </is>
      </c>
      <c r="I191" s="4" t="n"/>
      <c r="J191" s="4" t="inlineStr">
        <is>
          <t>Include</t>
        </is>
      </c>
      <c r="K191" s="4" t="n"/>
      <c r="L191" s="4" t="inlineStr">
        <is>
          <t>Revisión asistida por IA (un revisor; requiere verificación independiente)</t>
        </is>
      </c>
      <c r="M191" s="40" t="n">
        <v>46269</v>
      </c>
      <c r="N191" s="4" t="inlineStr">
        <is>
          <t>https://doi.org/10.1109/access.2026.3704046</t>
        </is>
      </c>
      <c r="O191" s="4" t="inlineStr">
        <is>
          <t>Texto completo abierto con métodos y resultados suficientes; codificación en Extraccion_RQ_nuevos.</t>
        </is>
      </c>
      <c r="P191" s="4" t="inlineStr">
        <is>
          <t>Early and objective diagnosis of autism spectrum disorders (ASD) remains a pressing issue in modern medical and cognitive informatics, where motor behavior analysis is considered a promising source of digital biomarkers. In particular, kinematic gait characteristics obtained with contactless sensors enable the identification of subtle motor impairments that may not be apparent on visual assessment. In this paper, we propose a hybrid multi-branch deep learning model, HMB-TSC, for the automatic classification of children with ASD based on spatiotemporal gait data extracted from the Kinect v2 camera. An open dataset containing gait recordings of children with ASD and typically developing (TD) peers was used for the experiments. Data preprocessing included outlier filtering, feature normalization, feature expansion, and time-series segmentation using a sliding-window method. The HMB-TSC architecture combines three complementary branches: a Transformer for modeling global temporal dependencies, a CNN-BiLSTM for extracting local spatiotemporal patterns, and a CNN-BiGRU for efficient sequential analysis. The performance evaluation was conducted using the holdout, 5-fold, and 5 × 3 nested validation protocols. In a reproducible released run, HMB-TSC achieved Accuracy = 0.850, AUROC = 0.948, and F1 = 0.880 in holdout validation. Under 5-fold and 5 × 3 nested cross-validation, the model achieved Accuracy = 0.850 ± 0.035, AUROC = 0.940 ± 0.029, and F1 = 0.845 ± 0.036. Compared with the baseline CNN, LSTM, and Transformer models, the proposed model demonstrated strong and stable overall performance across validation protocols, especially in terms of AUROC and balanced F1-score.</t>
        </is>
      </c>
    </row>
    <row r="192" ht="409" customHeight="1">
      <c r="A192" s="4" t="n">
        <v>428</v>
      </c>
      <c r="B192" s="4" t="n">
        <v>2026</v>
      </c>
      <c r="C192" s="4" t="inlineStr">
        <is>
          <t>Autism Action Dataset (AAD): A Comprehensive Video Benchmark for ASD Behavior Recognition Using Deep Learning</t>
        </is>
      </c>
      <c r="D192" s="4" t="inlineStr">
        <is>
          <t>10.1109/ACCESS.2026.3686583</t>
        </is>
      </c>
      <c r="E192" s="4" t="inlineStr">
        <is>
          <t>Md Arif Shahriar and Md Zasim Uddin and Md Rafiul Islam Rafi and Most Farhana Akter and Fady Alnajjar and Md Atiqur Rahman Ahad</t>
        </is>
      </c>
      <c r="F192" s="4" t="inlineStr">
        <is>
          <t>IEEE Access</t>
        </is>
      </c>
      <c r="G192" s="4" t="inlineStr">
        <is>
          <t>Incluir provisionalmente</t>
        </is>
      </c>
      <c r="H192" s="4" t="inlineStr">
        <is>
          <t>Retrieved and reviewed</t>
        </is>
      </c>
      <c r="I192" s="4" t="n"/>
      <c r="J192" s="4" t="inlineStr">
        <is>
          <t>Include</t>
        </is>
      </c>
      <c r="K192" s="4" t="n"/>
      <c r="L192" s="4" t="inlineStr">
        <is>
          <t>Revisión asistida por IA (un revisor; requiere verificación independiente)</t>
        </is>
      </c>
      <c r="M192" s="40" t="n">
        <v>46269</v>
      </c>
      <c r="N192" s="4" t="inlineStr">
        <is>
          <t>https://doi.org/10.1109/access.2026.3686583</t>
        </is>
      </c>
      <c r="O192" s="4" t="inlineStr">
        <is>
          <t>Texto completo abierto con métodos y resultados suficientes; codificación en Extraccion_RQ_nuevos.</t>
        </is>
      </c>
      <c r="P192" s="4" t="inlineStr">
        <is>
          <t>Autism spectrum disorder (ASD) is a neurodevelopmental disorder characterized by impairments in social interaction, communication, and behavior. Accurately recognizing the behaviors of children with ASD is crucial for diagnosis and early intervention. Traditional clinician- or caregiver-based approaches are often time-consuming, subjective, and delayed. In contrast, computer vision, along with modern deep learning (DL)-based methods, offers promising alternative solutions. However, a significant obstacle for this purpose is the lack of large-scale, publicly available datasets of ASD-related behaviors. To address the gap, we present the Autism Action Dataset (AAD), a novel publicly available video dataset including 202 manually annotated videos with seven distinct ASD-related action classes: Jumping, Arm Flapping, Joint Attention, Spinning, Head Banging, Head Shaking, and Imitation. These videos were collected from diverse YouTube sources to ensure variability in environment and subject condition. We evaluated the dataset using several state-of-the-art convolutional neural network (CNN)-based action recognition benchmarks, including CNN-LSTM, Inflated 3D (I3D), SlowFast, and Expandable 3D (X3D), as well as transformer-based attention benchmarks such as Video Vision Transformer (ViViT) and Multiscale Vision Transformer (MViT). Additionally, we evaluated pre-trained models fine-tuned on our dataset, as well as models trained from scratch under 5-fold stratified cross-validation. Among fine-tuned pre-trained methods, X3D achieved the best performance, reaching an accuracy of 84.18% along with a 79.82% F1-score. When trained from scratch, I3D achieved the highest performance with an accuracy of 64.29% with a 59.29% F1-score. These results demonstrate both the value of the AAD dataset as a publicly available benchmark and the efficacy of the I3D and X3D methods for ASD behavior analysis. They provide a solid foundation for future research and the development of assistive diagnostic tools. The dataset, metadata, and corresponding benchmark result will be publicly available at https://github.com/reyadhasan605/Autism-Action-Dataset</t>
        </is>
      </c>
    </row>
    <row r="193" ht="409" customHeight="1">
      <c r="A193" s="4" t="n">
        <v>429</v>
      </c>
      <c r="B193" s="4" t="n">
        <v>2026</v>
      </c>
      <c r="C193" s="4" t="inlineStr">
        <is>
          <t>A Data-Driven Approach for Autism Spectrum Disorder Screening</t>
        </is>
      </c>
      <c r="D193" s="4" t="inlineStr">
        <is>
          <t>10.1109/ACCESS.2026.3650856</t>
        </is>
      </c>
      <c r="E193" s="4" t="inlineStr">
        <is>
          <t>Rafael Stubs Parpinelli and Gabriel Lenz Balatka and Max Hupfeld Toviansky and Maísa Fernandes Gomes and Tatiana Moura De Barros Sanches and Higor Dos Santos Alves and Marlon do Amaral Correa and Ismael Antiqueira Costa</t>
        </is>
      </c>
      <c r="F193" s="4" t="inlineStr">
        <is>
          <t>IEEE Access</t>
        </is>
      </c>
      <c r="G193" s="4" t="inlineStr">
        <is>
          <t>Incluir provisionalmente</t>
        </is>
      </c>
      <c r="H193" s="4" t="inlineStr">
        <is>
          <t>Retrieved and reviewed</t>
        </is>
      </c>
      <c r="I193" s="4" t="n"/>
      <c r="J193" s="4" t="inlineStr">
        <is>
          <t>Include</t>
        </is>
      </c>
      <c r="K193" s="4" t="n"/>
      <c r="L193" s="4" t="inlineStr">
        <is>
          <t>Revisión asistida por IA (un revisor; requiere verificación independiente)</t>
        </is>
      </c>
      <c r="M193" s="40" t="n">
        <v>46269</v>
      </c>
      <c r="N193" s="4" t="inlineStr">
        <is>
          <t>https://doi.org/10.1109/access.2026.3650856</t>
        </is>
      </c>
      <c r="O193" s="4" t="inlineStr">
        <is>
          <t>Texto completo abierto con métodos y resultados suficientes; codificación en Extraccion_RQ_nuevos.</t>
        </is>
      </c>
      <c r="P193" s="4" t="inlineStr">
        <is>
          <t>Autism spectrum disorder (ASD) is a brain development condition influenced by genes and environment, with no known cause or cure. The diagnosis is challenging due to the absence of biological markers, requiring various examinations and specialist input. Delayed diagnosis often results in late intervention, emphasizing the need for early, individualized therapeutic approaches to enhance quality of life. Current ASD research emphasizes early detection, integrating clinical assessments with advanced technology to expedite diagnosis. One alternative for achieving rapid detection is the use of Machine Learning (ML) models, which have shown potential in identifying patterns in datasets, aiding in early ASD diagnosis. For this purpose, a representative dataset needs to be used to train these models for the ASD classification task. However, healthcare providers often lack access to detailed diagnostic data, making ML model applications challenging. This study proposes utilizing non-diagnostic data from healthcare providers, such as requests for consultations and procedures, to develop ML models for ASD classification. The approach involves creating a dataset without diagnostic data, selecting essential variables, and training ML models for classification. The classifiers utilized were Random Forest, XGboost, Catboost and a stacking strategy to combine the base classifiers. Models trained with parameter tuning presented better results, and the stacking strategy achieved the accuracy of 73.62%. The present study demonstrates the predictive power of a new strategy for ASD screening, providing an alternative where traditional diagnostic data is unavailable. The proposed approach is running in a healthcare provider operator for ASD screening and is benefiting many children and adolescents with faster and more accurate diagnoses.</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AB431"/>
  <sheetViews>
    <sheetView showGridLines="0" workbookViewId="0">
      <selection activeCell="A1" sqref="A1"/>
    </sheetView>
  </sheetViews>
  <sheetFormatPr baseColWidth="8" defaultRowHeight="15"/>
  <cols>
    <col width="14" customWidth="1" min="1" max="1"/>
    <col width="20" customWidth="1" min="2" max="2"/>
    <col width="20" customWidth="1" min="3" max="3"/>
    <col width="20" customWidth="1" min="4" max="4"/>
    <col width="20" customWidth="1" min="5" max="5"/>
    <col width="20" customWidth="1" min="6" max="6"/>
    <col width="28" customWidth="1" min="7" max="7"/>
    <col width="20" customWidth="1" min="8" max="8"/>
    <col width="28" customWidth="1" min="9" max="9"/>
    <col width="20" customWidth="1" min="10" max="10"/>
    <col width="20" customWidth="1" min="11" max="11"/>
    <col width="14" customWidth="1" min="12" max="12"/>
    <col width="20" customWidth="1" min="13" max="13"/>
    <col width="55" customWidth="1" min="14" max="14"/>
    <col width="20" customWidth="1" min="15" max="15"/>
    <col width="44" customWidth="1" min="16" max="16"/>
    <col width="20" customWidth="1" min="17" max="17"/>
    <col width="20" customWidth="1" min="18" max="18"/>
    <col width="20" customWidth="1" min="19" max="19"/>
    <col width="44" customWidth="1" min="20" max="20"/>
    <col width="20" customWidth="1" min="21" max="21"/>
    <col width="20" customWidth="1" min="22" max="22"/>
    <col width="20" customWidth="1" min="23" max="23"/>
    <col width="20" customWidth="1" min="24" max="24"/>
    <col width="14" customWidth="1" min="25" max="25"/>
    <col width="65" customWidth="1" min="26" max="26"/>
    <col width="28" customWidth="1" min="27" max="27"/>
    <col width="17" customWidth="1" min="28" max="28"/>
  </cols>
  <sheetData>
    <row r="1" ht="52" customHeight="1">
      <c r="A1" s="6" t="inlineStr">
        <is>
          <t>bib_index</t>
        </is>
      </c>
      <c r="B1" s="6" t="inlineStr">
        <is>
          <t>decision_code</t>
        </is>
      </c>
      <c r="C1" s="6" t="inlineStr">
        <is>
          <t>decision</t>
        </is>
      </c>
      <c r="D1" s="6" t="inlineStr">
        <is>
          <t>eligibility_bucket</t>
        </is>
      </c>
      <c r="E1" s="6" t="inlineStr">
        <is>
          <t>agregar_como_estudio_nuevo</t>
        </is>
      </c>
      <c r="F1" s="6" t="inlineStr">
        <is>
          <t>screening_stage</t>
        </is>
      </c>
      <c r="G1" s="6" t="inlineStr">
        <is>
          <t>full_text_status</t>
        </is>
      </c>
      <c r="H1" s="6" t="inlineStr">
        <is>
          <t>full_text_decision</t>
        </is>
      </c>
      <c r="I1" s="6" t="inlineStr">
        <is>
          <t>integrity_status</t>
        </is>
      </c>
      <c r="J1" s="6" t="inlineStr">
        <is>
          <t>motivo</t>
        </is>
      </c>
      <c r="K1" s="6" t="inlineStr">
        <is>
          <t>duplicado_de</t>
        </is>
      </c>
      <c r="L1" s="6" t="inlineStr">
        <is>
          <t>study_id_en_276</t>
        </is>
      </c>
      <c r="M1" s="6" t="inlineStr">
        <is>
          <t>año</t>
        </is>
      </c>
      <c r="N1" s="6" t="inlineStr">
        <is>
          <t>título</t>
        </is>
      </c>
      <c r="O1" s="6" t="inlineStr">
        <is>
          <t>autores</t>
        </is>
      </c>
      <c r="P1" s="6" t="inlineStr">
        <is>
          <t>DOI</t>
        </is>
      </c>
      <c r="Q1" s="6" t="inlineStr">
        <is>
          <t>revista_o_libro</t>
        </is>
      </c>
      <c r="R1" s="6" t="inlineStr">
        <is>
          <t>tipo_BibTeX</t>
        </is>
      </c>
      <c r="S1" s="6" t="inlineStr">
        <is>
          <t>editorial</t>
        </is>
      </c>
      <c r="T1" s="6" t="inlineStr">
        <is>
          <t>URL_fuente</t>
        </is>
      </c>
      <c r="U1" s="6" t="inlineStr">
        <is>
          <t>nota_verificación</t>
        </is>
      </c>
      <c r="V1" s="6" t="inlineStr">
        <is>
          <t>resumen</t>
        </is>
      </c>
      <c r="W1" s="6" t="inlineStr">
        <is>
          <t>base_del_cribado</t>
        </is>
      </c>
      <c r="X1" s="6" t="inlineStr">
        <is>
          <t>canonical_key</t>
        </is>
      </c>
      <c r="Y1" s="6" t="inlineStr">
        <is>
          <t>bib_index_occurrences</t>
        </is>
      </c>
      <c r="Z1" s="6" t="inlineStr">
        <is>
          <t>final_exclusion_reason</t>
        </is>
      </c>
      <c r="AA1" s="6" t="inlineStr">
        <is>
          <t>reviewer</t>
        </is>
      </c>
      <c r="AB1" s="39" t="inlineStr">
        <is>
          <t>decision_date</t>
        </is>
      </c>
    </row>
    <row r="2" ht="409" customHeight="1">
      <c r="A2" s="4" t="n">
        <v>1</v>
      </c>
      <c r="B2" s="4" t="inlineStr">
        <is>
          <t>include_after_title_abstract_screen</t>
        </is>
      </c>
      <c r="C2" s="4" t="inlineStr">
        <is>
          <t>Incluir provisionalmente</t>
        </is>
      </c>
      <c r="D2" s="4" t="inlineStr">
        <is>
          <t>Provisional include</t>
        </is>
      </c>
      <c r="E2" s="4" t="inlineStr">
        <is>
          <t>Sí</t>
        </is>
      </c>
      <c r="F2" s="4" t="inlineStr">
        <is>
          <t>Title/abstract screening</t>
        </is>
      </c>
      <c r="G2" s="4" t="n"/>
      <c r="H2" s="4" t="n"/>
      <c r="I2" s="4" t="n"/>
      <c r="J2" s="4" t="inlineStr">
        <is>
          <t>Estudio primario o implementación/evaluación empírica de IA, aprendizaje automático o modelado computacional aplicado a ASD, riesgo, caracterización, apoyo o intervención.</t>
        </is>
      </c>
      <c r="K2" s="4" t="n"/>
      <c r="L2" s="4" t="n"/>
      <c r="M2" s="4" t="n">
        <v>2025</v>
      </c>
      <c r="N2" s="4" t="inlineStr">
        <is>
          <t>A novel thermal imaging-based framework for continuous ASD classification and behavior analysis using facial mood and skin temperature features</t>
        </is>
      </c>
      <c r="O2" s="4" t="inlineStr">
        <is>
          <t>Kandukuri Muniraja Manjunath and Vijayaraghavan Veeramani</t>
        </is>
      </c>
      <c r="P2" s="4" t="inlineStr">
        <is>
          <t>10.1016/j.bspc.2024.107009</t>
        </is>
      </c>
      <c r="Q2" s="4" t="inlineStr">
        <is>
          <t>Biomedical Signal Processing and Control</t>
        </is>
      </c>
      <c r="R2" s="4" t="inlineStr">
        <is>
          <t>article</t>
        </is>
      </c>
      <c r="S2" s="4" t="inlineStr">
        <is>
          <t>Elsevier Ltd</t>
        </is>
      </c>
      <c r="T2" s="4" t="inlineStr">
        <is>
          <t>https://www.sciencedirect.com/science/article/pii/S174680942401067X</t>
        </is>
      </c>
      <c r="U2" s="4" t="n"/>
      <c r="V2" s="4" t="inlineStr">
        <is>
          <t>Autism Spectrum Disorder (ASD) is a developmental impairment with brain abnormalities, characterized by social communication deficits and repetitive behavior patterns per recent diagnostic criteria. The Aberrant Behavior Checklist (ABC) is commonly used to analyze these behaviors and guide medication dosage. However, the short duration of ABC measurements may not accurately capture the full spectrum of ASD severity, such as mild, moderate, or severe, potentially leading to adverse drug effects. Therefore, continuous monitoring is necessary for accurate ASD classification to provide appropriate dosages. To address this challenge, a novel thermal imaging-based framework for ASD classification has been proposed, integrating continuous behavioral analysis to optimize medication dosage. The approach utilizes skin temperature and facial mood (FM) features extracted from thermal images. The Deep Network-based Facial Mood Extraction (DN-FME) model efficiently extracts facial mood features while mitigating high memory usage, computation speed issues, and overfitting. The DN-FME model demonstrated a performance accuracy of 96.39%, precision of 96.60%, recall of 96.53%, and an F1 score of 96.54%. For classification, features from skin temperature and facial moods were analyzed using machine learning classifiers: Random Forest (RF), Support Vector Machine (SVM), and K-Nearest Neighbor (KNN). The RF and SVM classifiers achieved an accuracy of 98.33%, while the KNN classifier achieved an accuracy of 90.00%. Unlike existing methods focusing mainly on severe ASD stages, this framework evaluates mild, moderate, and severe stages, demonstrating superior accuracy compared to traditional clinical assessments and observational techniques. This allows for more precise medication dosage adjustments for ASD children.</t>
        </is>
      </c>
      <c r="W2" s="4" t="inlineStr">
        <is>
          <t>title_abstract_plus_targeted_primary_source_verification</t>
        </is>
      </c>
      <c r="X2" s="4" t="inlineStr">
        <is>
          <t>doi:10.1016/j.bspc.2024.107009</t>
        </is>
      </c>
      <c r="Y2" s="4" t="n"/>
      <c r="Z2" s="4" t="n"/>
      <c r="AA2" s="4" t="n"/>
      <c r="AB2" s="40" t="n"/>
    </row>
    <row r="3" ht="409" customHeight="1">
      <c r="A3" s="4" t="n">
        <v>2</v>
      </c>
      <c r="B3" s="4" t="inlineStr">
        <is>
          <t>exclude_no_qualifying_ai_application</t>
        </is>
      </c>
      <c r="C3" s="4" t="inlineStr">
        <is>
          <t>Excluir: sin aplicación de IA elegible</t>
        </is>
      </c>
      <c r="D3" s="4" t="inlineStr">
        <is>
          <t>Excluded</t>
        </is>
      </c>
      <c r="E3" s="4" t="inlineStr">
        <is>
          <t>No</t>
        </is>
      </c>
      <c r="F3" s="4" t="inlineStr">
        <is>
          <t>Title/abstract screening</t>
        </is>
      </c>
      <c r="G3" s="4" t="n"/>
      <c r="H3" s="4" t="n"/>
      <c r="I3" s="4" t="n"/>
      <c r="J3" s="4" t="inlineStr">
        <is>
          <t>El trabajo no implementa ni evalúa una técnica de IA/ML como componente sustantivo del estudio de ASD.</t>
        </is>
      </c>
      <c r="K3" s="4" t="n"/>
      <c r="L3" s="4" t="n"/>
      <c r="M3" s="4" t="n">
        <v>2025</v>
      </c>
      <c r="N3" s="4" t="inlineStr">
        <is>
          <t>A systematic analysis of effectiveness of music therapy in children with autism spectrum disorder</t>
        </is>
      </c>
      <c r="O3" s="4" t="inlineStr">
        <is>
          <t>Debmitra Ghosh and Biswarup Neogi and Dharmpal Singh</t>
        </is>
      </c>
      <c r="P3" s="4" t="inlineStr">
        <is>
          <t>10.1016/B978-0-443-26480-1.00006-0</t>
        </is>
      </c>
      <c r="Q3" s="4" t="inlineStr">
        <is>
          <t>Advancing Healthcare through Decision Intelligence: Machine Learning, Robotics, and Analytics in Biomedical Informatics</t>
        </is>
      </c>
      <c r="R3" s="4" t="inlineStr">
        <is>
          <t>article</t>
        </is>
      </c>
      <c r="S3" s="4" t="inlineStr">
        <is>
          <t>Elsevier</t>
        </is>
      </c>
      <c r="T3" s="4" t="inlineStr">
        <is>
          <t>https://www.sciencedirect.com/science/article/pii/B9780443264801000060</t>
        </is>
      </c>
      <c r="U3" s="4" t="n"/>
      <c r="V3" s="4" t="inlineStr">
        <is>
          <t>Attention deficit hyperactivity disorder (ADHD) is a neurodevelopmental disorder characterized by attention difficulties, impulsivity, and hyperactivity. While medication and behavioral therapies are commonly used for managing ADHD symptoms, there is growing interest in exploring alternative or adjunctive interventions. Music has emerged as a potential therapeutic tool for individuals with ADHD due to its unique ability to engage multiple brain regions involved in attention, emotion regulation, and executive functions. This chapter provides an overview of the effects of music on individuals with ADHD. Research suggests that music can enhance attention and focus, reduce distractibility, and improve impulse control. It has also been found to have positive effects on emotional regulation, helping individuals with ADHD manage anxiety and mood states more effectively. Moreover, music interventions, such as music therapy or learning to play an instrument, have been associated with improvements in cognitive skills and executive functions, including working memory and cognitive flexibility. Furthermore, music can act as a stress-reduction tool, supporting individuals with ADHD in managing stress and improving overall well-being. By modulating the autonomic nervous system, music induces relaxation and tranquillity, helping alleviate the coexisting stress and anxiety often experienced by individuals with ADHD. ADHD is one of the most common neurodevelopmental disorders of childhood. It is generally first analyzed in adolescence and frequently endures into adulthood. Here, we propose an idea to predict the effect of music on ADHD patient using ML model and try to change the mood of the people by suggesting a song based on their mood. Our model will analyze the change in their overall mood. For mood detection, we use deepface, Tensorflow, CV2. Deepface uses VGG neural network. The VGG face recognition model achieves 97.78% accuracy on the popular labeled faces in the wild (LFW) dataset. For website purposes, we use frontend HTML, CSS, JAVASCRIPT, and for backend we use Django. The novelty of our work is that we have tested our model in Autism Rehabilitation Centre (Bikashayan, Denlop) and collected data from there. We also have created our own soundtrack based on the feedback from autistic children.</t>
        </is>
      </c>
      <c r="W3" s="4" t="inlineStr">
        <is>
          <t>title_abstract_plus_targeted_primary_source_verification</t>
        </is>
      </c>
      <c r="X3" s="4" t="inlineStr">
        <is>
          <t>doi:10.1016/b978-0-443-26480-1.00006-0</t>
        </is>
      </c>
      <c r="Y3" s="4" t="n"/>
      <c r="Z3" s="4" t="n"/>
      <c r="AA3" s="4" t="n"/>
      <c r="AB3" s="40" t="n"/>
    </row>
    <row r="4" ht="409" customHeight="1">
      <c r="A4" s="4" t="n">
        <v>3</v>
      </c>
      <c r="B4" s="4" t="inlineStr">
        <is>
          <t>include_after_title_abstract_screen</t>
        </is>
      </c>
      <c r="C4" s="4" t="inlineStr">
        <is>
          <t>Incluir provisionalmente</t>
        </is>
      </c>
      <c r="D4" s="4" t="inlineStr">
        <is>
          <t>Provisional include</t>
        </is>
      </c>
      <c r="E4" s="4" t="inlineStr">
        <is>
          <t>Sí</t>
        </is>
      </c>
      <c r="F4" s="4" t="inlineStr">
        <is>
          <t>Title/abstract screening</t>
        </is>
      </c>
      <c r="G4" s="4" t="n"/>
      <c r="H4" s="4" t="n"/>
      <c r="I4" s="4" t="n"/>
      <c r="J4" s="4" t="inlineStr">
        <is>
          <t>Estudio primario o implementación/evaluación empírica de IA, aprendizaje automático o modelado computacional aplicado a ASD, riesgo, caracterización, apoyo o intervención.</t>
        </is>
      </c>
      <c r="K4" s="4" t="n"/>
      <c r="L4" s="4" t="n"/>
      <c r="M4" s="4" t="n">
        <v>2025</v>
      </c>
      <c r="N4" s="4" t="inlineStr">
        <is>
          <t>Efficient machine learning models across multiple datasets for autism spectrum disorder diagnoses</t>
        </is>
      </c>
      <c r="O4" s="4" t="inlineStr">
        <is>
          <t>Amr E Eldin Rashed and Waleed M Bahgat and Ali Ahmed and Tamer Ahmed Farrag and Ahmed E Mansour Atwa</t>
        </is>
      </c>
      <c r="P4" s="4" t="inlineStr">
        <is>
          <t>10.1016/j.bspc.2024.106949</t>
        </is>
      </c>
      <c r="Q4" s="4" t="inlineStr">
        <is>
          <t>Biomedical Signal Processing and Control</t>
        </is>
      </c>
      <c r="R4" s="4" t="inlineStr">
        <is>
          <t>article</t>
        </is>
      </c>
      <c r="S4" s="4" t="inlineStr">
        <is>
          <t>Elsevier Ltd</t>
        </is>
      </c>
      <c r="T4" s="4" t="inlineStr">
        <is>
          <t>https://www.sciencedirect.com/science/article/pii/S1746809424010073</t>
        </is>
      </c>
      <c r="U4" s="4" t="n"/>
      <c r="V4" s="4" t="inlineStr">
        <is>
          <t>Autism Spectrum Disorder (ASD) presents a complex neurodevelopmental challenge with diverse behavioral symptoms that overlap with other mental disorders, complicating diagnosis. Challenges in existing systems include the complexity and diversity of ASD symptoms, as well as the need for innovative and efficient detection strategies across different age groups. The application of machine learning (ML) offers a promising avenue for revolutionizing ASD prediction and diagnosis. The proposed work aims to overcome these challenges by leveraging ML and Automated Machine Learning (AutoML) techniques, combined with comprehensive datasets and advanced analytics, to enhance ASD detection and prediction capabilities. This study introduces the Autism Spectrum Disorder Detection (ASDD) Framework, which systematically applies ML and AutoML across text-based datasets for various age groups. A combined dataset is generated through the concatenation of various data sources, enriching the diagnostic scope. The framework incorporates AutoML tools such as Lazy Predict, TPOT, and AutoKeras, alongside feature selection methods like Principal Component Analysis (PCA) and Chi-Square. It also employs robust hyperparameter optimization techniques, including Bayesian optimization, Random Search, and genetic algorithms, and uses advanced ensemble methods like voting and bagging to boost prediction accuracy. An empirical evaluation of 27 distinct ML models across seven datasets, including a synthesized dataset named DB8, demonstrates exceptional performance, with many models achieving 100% accuracy and perfect F1 scores in various contexts. These outcomes highlight the effectiveness of the proposed framework in advancing ASD detection and prediction methodologies.</t>
        </is>
      </c>
      <c r="W4" s="4" t="inlineStr">
        <is>
          <t>title_abstract_plus_targeted_primary_source_verification</t>
        </is>
      </c>
      <c r="X4" s="4" t="inlineStr">
        <is>
          <t>doi:10.1016/j.bspc.2024.106949</t>
        </is>
      </c>
      <c r="Y4" s="4" t="n"/>
      <c r="Z4" s="4" t="n"/>
      <c r="AA4" s="4" t="n"/>
      <c r="AB4" s="40" t="n"/>
    </row>
    <row r="5" ht="409" customHeight="1">
      <c r="A5" s="4" t="n">
        <v>4</v>
      </c>
      <c r="B5" s="4" t="inlineStr">
        <is>
          <t>include_after_title_abstract_screen</t>
        </is>
      </c>
      <c r="C5" s="4" t="inlineStr">
        <is>
          <t>Incluir provisionalmente</t>
        </is>
      </c>
      <c r="D5" s="4" t="inlineStr">
        <is>
          <t>Provisional include</t>
        </is>
      </c>
      <c r="E5" s="4" t="inlineStr">
        <is>
          <t>Sí</t>
        </is>
      </c>
      <c r="F5" s="4" t="inlineStr">
        <is>
          <t>Title/abstract screening</t>
        </is>
      </c>
      <c r="G5" s="4" t="n"/>
      <c r="H5" s="4" t="n"/>
      <c r="I5" s="4" t="n"/>
      <c r="J5" s="4" t="inlineStr">
        <is>
          <t>Estudio primario o implementación/evaluación empírica de IA, aprendizaje automático o modelado computacional aplicado a ASD, riesgo, caracterización, apoyo o intervención.</t>
        </is>
      </c>
      <c r="K5" s="4" t="n"/>
      <c r="L5" s="4" t="n"/>
      <c r="M5" s="4" t="n">
        <v>2025</v>
      </c>
      <c r="N5" s="4" t="inlineStr">
        <is>
          <t>EmoLand: Utilizing narrative animations, multilevel games, and affective computing to foster emotional development in children with autism spectrum disorder</t>
        </is>
      </c>
      <c r="O5" s="4" t="inlineStr">
        <is>
          <t>Min Fan and Sheng Jin and Jianyu Fan and Wenchen Guo and Xuxin Chen</t>
        </is>
      </c>
      <c r="P5" s="4" t="inlineStr">
        <is>
          <t>10.1016/j.ijhcs.2025.103486</t>
        </is>
      </c>
      <c r="Q5" s="4" t="inlineStr">
        <is>
          <t>International Journal of Human Computer Studies</t>
        </is>
      </c>
      <c r="R5" s="4" t="inlineStr">
        <is>
          <t>article</t>
        </is>
      </c>
      <c r="S5" s="4" t="inlineStr">
        <is>
          <t>Academic Press</t>
        </is>
      </c>
      <c r="T5" s="4" t="inlineStr">
        <is>
          <t>https://www.sciencedirect.com/science/article/pii/S1071581925000436</t>
        </is>
      </c>
      <c r="U5" s="4" t="n"/>
      <c r="V5" s="4" t="inlineStr">
        <is>
          <t>Emotional skills are crucial for a child's success, though children with autism spectrum disorder (ASD) face challenges in understanding social contexts, as well as recognizing and expressing facial expressions. We present EmoLand, a web-based interactive system that utilizes narrative animations, multilevel games, and artificial intelligence (AI) affective computing to instruct children with ASD about neurotypical emotions and facial expressions in social contexts. The paper sets out the iterative design process used, which was informed by ASD intervention theories, empirical studies focused on children with ASD and their educators (tutors, therapists, parents), and multiple discipline expert inputs. A preliminary evaluation involving twelve children with ASD (aged 4 to 7 years) and five tutors suggests that EmoLand is a viable teaching aid for ASD educators and effectively assists children in learning and applying generalized knowledge about emotions and facial expressions. In this paper, we discuss the design approach and key lessons learned for creating interactive AI systems for children with ASD and explore beneficial considerations for enhancing emotional development.</t>
        </is>
      </c>
      <c r="W5" s="4" t="inlineStr">
        <is>
          <t>title_abstract_plus_targeted_primary_source_verification</t>
        </is>
      </c>
      <c r="X5" s="4" t="inlineStr">
        <is>
          <t>doi:10.1016/j.ijhcs.2025.103486</t>
        </is>
      </c>
      <c r="Y5" s="4" t="n"/>
      <c r="Z5" s="4" t="n"/>
      <c r="AA5" s="4" t="n"/>
      <c r="AB5" s="40" t="n"/>
    </row>
    <row r="6" ht="409" customHeight="1">
      <c r="A6" s="4" t="n">
        <v>5</v>
      </c>
      <c r="B6" s="4" t="inlineStr">
        <is>
          <t>include_after_title_abstract_screen</t>
        </is>
      </c>
      <c r="C6" s="4" t="inlineStr">
        <is>
          <t>Incluir provisionalmente</t>
        </is>
      </c>
      <c r="D6" s="4" t="inlineStr">
        <is>
          <t>Provisional include</t>
        </is>
      </c>
      <c r="E6" s="4" t="inlineStr">
        <is>
          <t>Sí</t>
        </is>
      </c>
      <c r="F6" s="4" t="inlineStr">
        <is>
          <t>Title/abstract screening</t>
        </is>
      </c>
      <c r="G6" s="4" t="n"/>
      <c r="H6" s="4" t="n"/>
      <c r="I6" s="4" t="n"/>
      <c r="J6" s="4" t="inlineStr">
        <is>
          <t>Estudio primario o implementación/evaluación empírica de IA, aprendizaje automático o modelado computacional aplicado a ASD, riesgo, caracterización, apoyo o intervención.</t>
        </is>
      </c>
      <c r="K6" s="4" t="n"/>
      <c r="L6" s="4" t="n"/>
      <c r="M6" s="4" t="n">
        <v>2025</v>
      </c>
      <c r="N6" s="4" t="inlineStr">
        <is>
          <t>An exploration of machine learning approaches for early Autism Spectrum Disorder detection</t>
        </is>
      </c>
      <c r="O6" s="4" t="inlineStr">
        <is>
          <t>Nawshin Haque and Tania Islam and Md Erfan</t>
        </is>
      </c>
      <c r="P6" s="4" t="inlineStr">
        <is>
          <t>10.1016/j.health.2024.100379</t>
        </is>
      </c>
      <c r="Q6" s="4" t="inlineStr">
        <is>
          <t>Healthcare Analytics</t>
        </is>
      </c>
      <c r="R6" s="4" t="inlineStr">
        <is>
          <t>article</t>
        </is>
      </c>
      <c r="S6" s="4" t="inlineStr">
        <is>
          <t>Elsevier Inc.</t>
        </is>
      </c>
      <c r="T6" s="4" t="inlineStr">
        <is>
          <t>https://www.sciencedirect.com/science/article/pii/S2772442524000819</t>
        </is>
      </c>
      <c r="U6" s="4" t="n"/>
      <c r="V6" s="4" t="inlineStr">
        <is>
          <t>Autism Spectrum Disorder is a neurodevelopmental condition impacting an individual's repetitive behaviours, social skills, verbal and nonverbal communication abilities, and capacity for acquiring new knowledge. Manifesting typically in early childhood, specifically between 6 months and 5 years, the symptoms of autism exhibit a progressive nature over time. This study explores the application of Logistic Regression, Support Vector Classifier, K-Nearest Neighbour, Decision Tree, and Random Forest for predicting Autism in children and toddlers by leveraging advancements in machine learning. The efficacy of these techniques is evaluated using publicly accessible datasets specific to both age groups. The findings indicate remarkable performance, with the toddler dataset achieving a mean Intersection over Union (mIoU) of 100% for Support Vector Classifier and 99.80% for Logistic Regression. Similarly, the children dataset demonstrates outstanding results, achieving an mIoU of 100% for Support Vector Classifier and 99.96% for Logistic Regression. Furthermore, all algorithms achieved 100% accuracy on the children (age 4–11) dataset collected from real-world sources. Logistic Regression, Random Forest, Support Vector Classifier, and Decision Tree attained 100% accuracy and mIoU with the real-world dataset. These results underscore the potential of machine learning in aiding the early detection of ASD in children and toddlers, offering promising avenues for future research and clinical applications.</t>
        </is>
      </c>
      <c r="W6" s="4" t="inlineStr">
        <is>
          <t>title_abstract_plus_targeted_primary_source_verification</t>
        </is>
      </c>
      <c r="X6" s="4" t="inlineStr">
        <is>
          <t>doi:10.1016/j.health.2024.100379</t>
        </is>
      </c>
      <c r="Y6" s="4" t="n"/>
      <c r="Z6" s="4" t="n"/>
      <c r="AA6" s="4" t="n"/>
      <c r="AB6" s="40" t="n"/>
    </row>
    <row r="7" ht="409" customHeight="1">
      <c r="A7" s="4" t="n">
        <v>6</v>
      </c>
      <c r="B7" s="4" t="inlineStr">
        <is>
          <t>exclude_secondary_or_nonempirical_publication</t>
        </is>
      </c>
      <c r="C7" s="4" t="inlineStr">
        <is>
          <t>Excluir: publicación secundaria/no empírica</t>
        </is>
      </c>
      <c r="D7" s="4" t="inlineStr">
        <is>
          <t>Excluded</t>
        </is>
      </c>
      <c r="E7" s="4" t="inlineStr">
        <is>
          <t>No</t>
        </is>
      </c>
      <c r="F7" s="4" t="inlineStr">
        <is>
          <t>Title/abstract screening</t>
        </is>
      </c>
      <c r="G7" s="4" t="n"/>
      <c r="H7" s="4" t="n"/>
      <c r="I7" s="4" t="n"/>
      <c r="J7" s="4" t="inlineStr">
        <is>
          <t>Revisión, metaanálisis, encuesta de literatura, protocolo, perspectiva, carta, editorial o capítulo de síntesis sin estudio primario elegible.</t>
        </is>
      </c>
      <c r="K7" s="4" t="n"/>
      <c r="L7" s="4" t="n"/>
      <c r="M7" s="4" t="n">
        <v>2025</v>
      </c>
      <c r="N7" s="4" t="inlineStr">
        <is>
          <t>AI-based non-invasive imaging technologies for early autism spectrum disorder diagnosis: A short review and future directions</t>
        </is>
      </c>
      <c r="O7" s="4" t="inlineStr">
        <is>
          <t>Mostafa Abdelrahim and Mohamed Khudri and Ahmed Elnakib and Mohamed Shehata and Kate Weafer and Ashraf Khalil and Gehad A Saleh and Nihal M Batouty and Mohammed Ghazal and Sohail Contractor and Gregory Barnes and Ayman El-Baz</t>
        </is>
      </c>
      <c r="P7" s="4" t="inlineStr">
        <is>
          <t>10.1016/j.artmed.2025.103074</t>
        </is>
      </c>
      <c r="Q7" s="4" t="inlineStr">
        <is>
          <t>Artificial Intelligence in Medicine</t>
        </is>
      </c>
      <c r="R7" s="4" t="inlineStr">
        <is>
          <t>article</t>
        </is>
      </c>
      <c r="S7" s="4" t="inlineStr">
        <is>
          <t>Elsevier B.V.</t>
        </is>
      </c>
      <c r="T7" s="4" t="inlineStr">
        <is>
          <t>https://www.sciencedirect.com/science/article/pii/S0933365725000090</t>
        </is>
      </c>
      <c r="U7" s="4" t="n"/>
      <c r="V7" s="4" t="inlineStr">
        <is>
          <t>Autism Spectrum Disorder (ASD) is a neurological condition, with recent statistics from the CDC indicating a rising prevalence of ASD diagnoses among infants and children. This trend emphasizes the critical importance of early detection, as timely diagnosis facilitates early intervention and enhances treatment outcomes. Consequently, there is an increasing urgency for research to develop innovative tools capable of accurately and objectively identifying ASD in its earliest stages. This paper offers a short overview of recent advancements in non-invasive technology for early ASD diagnosis, focusing on an imaging modality, structural MRI technique, which has shown promising results in early ASD diagnosis. This brief review aims to address several key questions: (i) Which imaging radiomics are associated with ASD? (ii) Is the parcellation step of the brain cortex necessary to improve the diagnostic accuracy of ASD? (iii) What databases are available to researchers interested in developing non-invasive technology for ASD? (iv) How can artificial intelligence tools contribute to improving the diagnostic accuracy of ASD? Finally, our review will highlight future trends in ASD diagnostic efforts.</t>
        </is>
      </c>
      <c r="W7" s="4" t="inlineStr">
        <is>
          <t>title_abstract_plus_targeted_primary_source_verification</t>
        </is>
      </c>
      <c r="X7" s="4" t="inlineStr">
        <is>
          <t>doi:10.1016/j.artmed.2025.103074</t>
        </is>
      </c>
      <c r="Y7" s="4" t="n"/>
      <c r="Z7" s="4" t="n"/>
      <c r="AA7" s="4" t="n"/>
      <c r="AB7" s="40" t="n"/>
    </row>
    <row r="8" ht="409" customHeight="1">
      <c r="A8" s="4" t="n">
        <v>7</v>
      </c>
      <c r="B8" s="4" t="inlineStr">
        <is>
          <t>include_after_title_abstract_screen</t>
        </is>
      </c>
      <c r="C8" s="4" t="inlineStr">
        <is>
          <t>Incluir provisionalmente</t>
        </is>
      </c>
      <c r="D8" s="4" t="inlineStr">
        <is>
          <t>Provisional include</t>
        </is>
      </c>
      <c r="E8" s="4" t="inlineStr">
        <is>
          <t>Sí</t>
        </is>
      </c>
      <c r="F8" s="4" t="inlineStr">
        <is>
          <t>Title/abstract screening</t>
        </is>
      </c>
      <c r="G8" s="4" t="n"/>
      <c r="H8" s="4" t="n"/>
      <c r="I8" s="4" t="n"/>
      <c r="J8" s="4" t="inlineStr">
        <is>
          <t>Estudio primario o implementación/evaluación empírica de IA, aprendizaje automático o modelado computacional aplicado a ASD, riesgo, caracterización, apoyo o intervención.</t>
        </is>
      </c>
      <c r="K8" s="4" t="n"/>
      <c r="L8" s="4" t="n"/>
      <c r="M8" s="4" t="n">
        <v>2025</v>
      </c>
      <c r="N8" s="4" t="inlineStr">
        <is>
          <t>Hybrid optimization enabled DenseNet for autism spectrum disorders using MRI image</t>
        </is>
      </c>
      <c r="O8" s="4" t="inlineStr">
        <is>
          <t>Ulaganathan Sakthi and Pon Harshavardhanan and N V Ganapathi Raju and G Parthasarathy</t>
        </is>
      </c>
      <c r="P8" s="4" t="inlineStr">
        <is>
          <t>10.1016/j.compbiolchem.2024.108335</t>
        </is>
      </c>
      <c r="Q8" s="4" t="inlineStr">
        <is>
          <t>Computational Biology and Chemistry</t>
        </is>
      </c>
      <c r="R8" s="4" t="inlineStr">
        <is>
          <t>article</t>
        </is>
      </c>
      <c r="S8" s="4" t="inlineStr">
        <is>
          <t>Elsevier Ltd</t>
        </is>
      </c>
      <c r="T8" s="4" t="inlineStr">
        <is>
          <t>https://www.sciencedirect.com/science/article/pii/S1476927124003232</t>
        </is>
      </c>
      <c r="U8" s="4" t="n"/>
      <c r="V8" s="4" t="inlineStr">
        <is>
          <t>Autism spectrum disorder (ASD) is the neuro-developmental disorder caused by various changes in the brain. It affects the life conditions with social interaction and communication. Most of the previous researches used the various techniques for the early detection to reduce the ASD, but it had been occurred several complications such as, time expenses, and low accessibility for diagnosis.This paper aims to develop the JSTO-DenseNetmodel is for the detection of ASD. In this paper, an input autism brainimage is considered as an input applied to image pre-processing phase. In image pre-processing, the clatters are removed utilizing Gaussian filtering and also, Region of Interest (ROI) extraction is carried out. Thereafter, extraction of pivotal region is done based on functional connectivity utilizing proposed Jaya Sewing Training Optimization (JSTO). The JSTO is newly introduced by combining Jaya algorithm and Sewing Training-Based Optimization (STBO). Thus, output-1 is obtained. In feature extraction phase, grey level co-occurrence matrix (GLCM) features like entropy, correlation, energy, homogeneity, inverse difference moment, Angular second moment and texture features namelylocal ternary patterns (LTP), Local Optimal Oriented Pattern (LOOP) and Histogram of Oriented Gradients (HOG) are extracted from the Magnetic Resonance Imaging (MRI). Therefore, output-2 is obtained. From output-1 and output-2, ASD classification is accomplished using DenseNet, which is trained employing same proposed JSTO.The proposed JSTO-DenseNet model achieves the highest accuracy of 94.8 %, True Positive Rate (TPR) of 90 %, True Negative Rate (TNR) of 90.5 %, un-weighted average recall (UAR) of 89.8 % and the lowest False Negative Rate (FNR) of 86.7 %, and False Positive Rate of 82.6 %, when compared with other traditional methods like, Explainable Artificial Intelligence (XAI), Hybrid deep lightweight feature generator, CLAttention, Two stream end-to-end deep learning (DL), Auto-Encoder feature representation, and Fuzzy Inference Gait System-Deep Extreme Adaptive Fuzzy (FIGS-DEAF) based on Abide 1 dataset.</t>
        </is>
      </c>
      <c r="W8" s="4" t="inlineStr">
        <is>
          <t>title_abstract_plus_targeted_primary_source_verification</t>
        </is>
      </c>
      <c r="X8" s="4" t="inlineStr">
        <is>
          <t>doi:10.1016/j.compbiolchem.2024.108335</t>
        </is>
      </c>
      <c r="Y8" s="4" t="n"/>
      <c r="Z8" s="4" t="n"/>
      <c r="AA8" s="4" t="n"/>
      <c r="AB8" s="40" t="n"/>
    </row>
    <row r="9" ht="112" customHeight="1">
      <c r="A9" s="4" t="n">
        <v>8</v>
      </c>
      <c r="B9" s="4" t="inlineStr">
        <is>
          <t>exclude_secondary_or_nonempirical_publication</t>
        </is>
      </c>
      <c r="C9" s="4" t="inlineStr">
        <is>
          <t>Excluir: publicación secundaria/no empírica</t>
        </is>
      </c>
      <c r="D9" s="4" t="inlineStr">
        <is>
          <t>Excluded</t>
        </is>
      </c>
      <c r="E9" s="4" t="inlineStr">
        <is>
          <t>No</t>
        </is>
      </c>
      <c r="F9" s="4" t="inlineStr">
        <is>
          <t>Title/abstract screening</t>
        </is>
      </c>
      <c r="G9" s="4" t="n"/>
      <c r="H9" s="4" t="n"/>
      <c r="I9" s="4" t="n"/>
      <c r="J9" s="4" t="inlineStr">
        <is>
          <t>Revisión, metaanálisis, encuesta de literatura, protocolo, perspectiva, carta, editorial o capítulo de síntesis sin estudio primario elegible.</t>
        </is>
      </c>
      <c r="K9" s="4" t="n"/>
      <c r="L9" s="4" t="n"/>
      <c r="M9" s="4" t="n">
        <v>2025</v>
      </c>
      <c r="N9" s="4" t="inlineStr">
        <is>
          <t>Artificial intelligence in autism spectrum disorder: A path to early detection and improved outcomes</t>
        </is>
      </c>
      <c r="O9" s="4" t="inlineStr">
        <is>
          <t>Prakriti Pokhrel and Surbhi Joshi and Laraib Fatima</t>
        </is>
      </c>
      <c r="P9" s="4" t="inlineStr">
        <is>
          <t>10.1016/j.ajp.2025.104530</t>
        </is>
      </c>
      <c r="Q9" s="4" t="inlineStr">
        <is>
          <t>Asian Journal of Psychiatry</t>
        </is>
      </c>
      <c r="R9" s="4" t="inlineStr">
        <is>
          <t>article</t>
        </is>
      </c>
      <c r="S9" s="4" t="inlineStr">
        <is>
          <t>Elsevier B.V.</t>
        </is>
      </c>
      <c r="T9" s="4" t="inlineStr">
        <is>
          <t>https://pubmed.ncbi.nlm.nih.gov/40403676/</t>
        </is>
      </c>
      <c r="U9" s="4" t="inlineStr">
        <is>
          <t>PubMed clasifica este registro como Letter (PMID 40403676).</t>
        </is>
      </c>
      <c r="V9" s="4" t="n"/>
      <c r="W9" s="4" t="inlineStr">
        <is>
          <t>title_abstract_plus_targeted_primary_source_verification</t>
        </is>
      </c>
      <c r="X9" s="4" t="inlineStr">
        <is>
          <t>doi:10.1016/j.ajp.2025.104530</t>
        </is>
      </c>
      <c r="Y9" s="4" t="n"/>
      <c r="Z9" s="4" t="n"/>
      <c r="AA9" s="4" t="n"/>
      <c r="AB9" s="40" t="n"/>
    </row>
    <row r="10" ht="409" customHeight="1">
      <c r="A10" s="4" t="n">
        <v>9</v>
      </c>
      <c r="B10" s="4" t="inlineStr">
        <is>
          <t>exclude_secondary_or_nonempirical_publication</t>
        </is>
      </c>
      <c r="C10" s="4" t="inlineStr">
        <is>
          <t>Excluir: publicación secundaria/no empírica</t>
        </is>
      </c>
      <c r="D10" s="4" t="inlineStr">
        <is>
          <t>Excluded</t>
        </is>
      </c>
      <c r="E10" s="4" t="inlineStr">
        <is>
          <t>No</t>
        </is>
      </c>
      <c r="F10" s="4" t="inlineStr">
        <is>
          <t>Title/abstract screening</t>
        </is>
      </c>
      <c r="G10" s="4" t="n"/>
      <c r="H10" s="4" t="n"/>
      <c r="I10" s="4" t="n"/>
      <c r="J10" s="4" t="inlineStr">
        <is>
          <t>Revisión, metaanálisis, encuesta de literatura, protocolo, perspectiva, carta, editorial o capítulo de síntesis sin estudio primario elegible.</t>
        </is>
      </c>
      <c r="K10" s="4" t="n"/>
      <c r="L10" s="4" t="n"/>
      <c r="M10" s="4" t="n">
        <v>2025</v>
      </c>
      <c r="N10" s="4" t="inlineStr">
        <is>
          <t>Accelerating autism spectrum disorder care: A rapid review of data science applications in diagnosis and intervention</t>
        </is>
      </c>
      <c r="O10" s="4" t="inlineStr">
        <is>
          <t>Mogana Darshini Ganggayah and Diyan Zhao and Ewilly Jie Ying Liew and Nurul Aqilah Mohd Nor and Thayapari Paramasivam and Yu Ying Lee and Nurhasniza Idham Abu Hasan and Shazwani Shaharuddin</t>
        </is>
      </c>
      <c r="P10" s="4" t="inlineStr">
        <is>
          <t>10.1016/j.ajp.2025.104498</t>
        </is>
      </c>
      <c r="Q10" s="4" t="inlineStr">
        <is>
          <t>Asian Journal of Psychiatry</t>
        </is>
      </c>
      <c r="R10" s="4" t="inlineStr">
        <is>
          <t>article</t>
        </is>
      </c>
      <c r="S10" s="4" t="inlineStr">
        <is>
          <t>Elsevier B.V.</t>
        </is>
      </c>
      <c r="T10" s="4" t="inlineStr">
        <is>
          <t>https://www.sciencedirect.com/science/article/pii/S1876201825001418</t>
        </is>
      </c>
      <c r="U10" s="4" t="n"/>
      <c r="V10" s="4" t="inlineStr">
        <is>
          <t>Integrating data science techniques, including machine learning, natural language processing, and big data analytics, has revolutionized the diagnosis and intervention landscape for Autism Spectrum Disorder (ASD). This rapid review examines these approaches' current applications, benefits, limitations, and ethical considerations while identifying key research gaps and future directions. Data-driven methodologies offer significant advantages, such as enhanced diagnostic accuracy, personalized interventions, and increased accessibility, particularly in resource-limited settings. However, challenges like data quality, algorithmic bias, and interpretability hinder widespread implementation. Additionally, ethical concerns regarding privacy, consent, and equity necessitate careful navigation. Despite these advancements, substantial research gaps remain, including the lack of diverse datasets, limited longitudinal studies, and insufficient generalizability across populations. Future studies must prioritize addressing these gaps by fostering collaboration, ensuring ethical transparency, and developing inclusive, scalable solutions to improve patient outcomes. This review underscores the transformative potential of data science in accelerating ASD care while emphasizing the need for continued innovation and responsible application.</t>
        </is>
      </c>
      <c r="W10" s="4" t="inlineStr">
        <is>
          <t>title_abstract_plus_targeted_primary_source_verification</t>
        </is>
      </c>
      <c r="X10" s="4" t="inlineStr">
        <is>
          <t>doi:10.1016/j.ajp.2025.104498</t>
        </is>
      </c>
      <c r="Y10" s="4" t="n"/>
      <c r="Z10" s="4" t="n"/>
      <c r="AA10" s="4" t="n"/>
      <c r="AB10" s="40" t="n"/>
    </row>
    <row r="11" ht="409" customHeight="1">
      <c r="A11" s="4" t="n">
        <v>10</v>
      </c>
      <c r="B11" s="4" t="inlineStr">
        <is>
          <t>exclude_no_qualifying_ai_application</t>
        </is>
      </c>
      <c r="C11" s="4" t="inlineStr">
        <is>
          <t>Excluir: sin aplicación de IA elegible</t>
        </is>
      </c>
      <c r="D11" s="4" t="inlineStr">
        <is>
          <t>Excluded</t>
        </is>
      </c>
      <c r="E11" s="4" t="inlineStr">
        <is>
          <t>No</t>
        </is>
      </c>
      <c r="F11" s="4" t="inlineStr">
        <is>
          <t>Title/abstract screening</t>
        </is>
      </c>
      <c r="G11" s="4" t="n"/>
      <c r="H11" s="4" t="n"/>
      <c r="I11" s="4" t="n"/>
      <c r="J11" s="4" t="inlineStr">
        <is>
          <t>El trabajo no implementa ni evalúa una técnica de IA/ML como componente sustantivo del estudio de ASD.</t>
        </is>
      </c>
      <c r="K11" s="4" t="n"/>
      <c r="L11" s="4" t="n"/>
      <c r="M11" s="4" t="n">
        <v>2025</v>
      </c>
      <c r="N11" s="4" t="inlineStr">
        <is>
          <t>Exploring the association between serum magnesium level and autism spectrum disorder using validated spectrofluorimetric method</t>
        </is>
      </c>
      <c r="O11" s="4" t="inlineStr">
        <is>
          <t>Atiah H Almalki and Ahmed K Bamaga and Adnan Alharbi and Maram H Abduljabbar and Reem M Alnemari and Fahad H Baali and Majed A Algarni and Marwa F Ahmed and Sherif Ramzy</t>
        </is>
      </c>
      <c r="P11" s="4" t="inlineStr">
        <is>
          <t>10.1016/j.ab.2024.115755</t>
        </is>
      </c>
      <c r="Q11" s="4" t="inlineStr">
        <is>
          <t>Analytical Biochemistry</t>
        </is>
      </c>
      <c r="R11" s="4" t="inlineStr">
        <is>
          <t>article</t>
        </is>
      </c>
      <c r="S11" s="4" t="inlineStr">
        <is>
          <t>Academic Press Inc.</t>
        </is>
      </c>
      <c r="T11" s="4" t="inlineStr">
        <is>
          <t>https://www.sciencedirect.com/science/article/pii/S0003269724002999</t>
        </is>
      </c>
      <c r="U11" s="4" t="n"/>
      <c r="V11" s="4" t="inlineStr">
        <is>
          <t>Magnesium is an essential mineral in biological systems and has a significant impact on brain health. Its deficiency has been found to correlate with irregular metabolic processes and neurodevelopmental disorders. The objective of this research was to establish and validate an analytical approach based on the standard addition methodology for determining endogenous magnesium levels in the serum of autistic and healthy children. Analytically, the approach involved functionalizing fluorescent graphene quantum dots with a magnesium-phosphomolybdic acid ion pair complex, followed by measuring magnesium-induced fluorescence quenching on the functionalized graphene quantum dots, which is concentration-dependent. The approach was validated in accordance with the ICH M10 requirements for bioanalytical technique validation, and it reliably quantified magnesium concentrations in the serum of both autistic and healthy children. The study found that autistic children have considerably lower serum magnesium concentrations than healthy children (P &lt; 0.01), indicating a correlation between magnesium deficiency and autism spectrum disorder. The average serum magnesium levels (mg/dl) recorded for the autistic and healthy groups were 2.03 ± 0.33 and 2.28 ± 0.26, respectively.</t>
        </is>
      </c>
      <c r="W11" s="4" t="inlineStr">
        <is>
          <t>title_abstract_plus_targeted_primary_source_verification</t>
        </is>
      </c>
      <c r="X11" s="4" t="inlineStr">
        <is>
          <t>doi:10.1016/j.ab.2024.115755</t>
        </is>
      </c>
      <c r="Y11" s="4" t="n"/>
      <c r="Z11" s="4" t="n"/>
      <c r="AA11" s="4" t="n"/>
      <c r="AB11" s="40" t="n"/>
    </row>
    <row r="12" ht="409" customHeight="1">
      <c r="A12" s="4" t="n">
        <v>11</v>
      </c>
      <c r="B12" s="4" t="inlineStr">
        <is>
          <t>include_after_title_abstract_screen</t>
        </is>
      </c>
      <c r="C12" s="4" t="inlineStr">
        <is>
          <t>Incluir provisionalmente</t>
        </is>
      </c>
      <c r="D12" s="4" t="inlineStr">
        <is>
          <t>Provisional include</t>
        </is>
      </c>
      <c r="E12" s="4" t="inlineStr">
        <is>
          <t>Sí</t>
        </is>
      </c>
      <c r="F12" s="4" t="inlineStr">
        <is>
          <t>Title/abstract screening</t>
        </is>
      </c>
      <c r="G12" s="4" t="n"/>
      <c r="H12" s="4" t="n"/>
      <c r="I12" s="4" t="n"/>
      <c r="J12" s="4" t="inlineStr">
        <is>
          <t>Estudio primario o implementación/evaluación empírica de IA, aprendizaje automático o modelado computacional aplicado a ASD, riesgo, caracterización, apoyo o intervención.</t>
        </is>
      </c>
      <c r="K12" s="4" t="n"/>
      <c r="L12" s="4" t="n"/>
      <c r="M12" s="4" t="n">
        <v>2025</v>
      </c>
      <c r="N12" s="4" t="inlineStr">
        <is>
          <t>Ensembler_fMRI: An Intelligent Approach for the Early Prediction of Autism Disorder</t>
        </is>
      </c>
      <c r="O12" s="4" t="inlineStr">
        <is>
          <t>Rupaly Thakur and Deepti Malhotra and Mehak Mengi</t>
        </is>
      </c>
      <c r="P12" s="4" t="inlineStr">
        <is>
          <t>10.1016/j.procs.2025.04.142</t>
        </is>
      </c>
      <c r="Q12" s="4" t="inlineStr">
        <is>
          <t>Procedia Computer Science</t>
        </is>
      </c>
      <c r="R12" s="4" t="inlineStr">
        <is>
          <t>article</t>
        </is>
      </c>
      <c r="S12" s="4" t="inlineStr">
        <is>
          <t>Elsevier B.V.</t>
        </is>
      </c>
      <c r="T12" s="4" t="inlineStr">
        <is>
          <t>https://www.sciencedirect.com/science/article/pii/S187705092501244X</t>
        </is>
      </c>
      <c r="U12" s="4" t="n"/>
      <c r="V12" s="4" t="inlineStr">
        <is>
          <t>Autism Disorder(AD) During) is a serious developmental abnormality that affects the behavior and communication of an individual. Under the category of Autism disorder, falls a group of complex and heterogenous disorders i.e., Autism spectrum disorder (ASD) and Attention Deficit Hyperactivity Disorder (ADHD). Due to their significant comorbidity and the mutually reinforcing nature of their symptoms, many disorders can be difficult to diagnose. Traditional diagnosis of AD follows a behavioral dependent approach and often fail to detect overlap or comorbidity between the two disorders, leading to misdiagnosis and an inappropriate treatment. In the existing literature, various automated models based on artificial intelligence(AI) techniques and quantitative measures such as fMRI, eye, and electroencephalography (EEG) have been developed for differentiating ASD from healthy or ADHD from healthy. Among these measures, fMRI has emerged as a potential tool to serve as a biomarker for AD. However, despite having significant overlap and misdiagnosis, very few research have attempted to distinguish ADHD from ASD. Keeping this essence, in this paper, an Ensembler_fMRI framework has been proposed that combines the multiple AI techniques to analyze fMRI data and extract relevant features that can distinguish ADHD from ASD. The proposed framework aims to leverage the available ASD and ADHD databases (ABIDE and ADHD-200) to improve the differential diagnosis between the disorders. The framework achieved an impressive accuracy of 98%, demonstrating its potential as a valuable tool in clinical practice.</t>
        </is>
      </c>
      <c r="W12" s="4" t="inlineStr">
        <is>
          <t>title_abstract_plus_targeted_primary_source_verification</t>
        </is>
      </c>
      <c r="X12" s="4" t="inlineStr">
        <is>
          <t>doi:10.1016/j.procs.2025.04.142</t>
        </is>
      </c>
      <c r="Y12" s="4" t="n"/>
      <c r="Z12" s="4" t="n"/>
      <c r="AA12" s="4" t="n"/>
      <c r="AB12" s="40" t="n"/>
    </row>
    <row r="13" ht="409" customHeight="1">
      <c r="A13" s="4" t="n">
        <v>12</v>
      </c>
      <c r="B13" s="4" t="inlineStr">
        <is>
          <t>include_after_full_text_open_access</t>
        </is>
      </c>
      <c r="C13" s="4" t="inlineStr">
        <is>
          <t>Incluir tras revisión de texto completo abierto</t>
        </is>
      </c>
      <c r="D13" s="4" t="inlineStr">
        <is>
          <t>Provisional include</t>
        </is>
      </c>
      <c r="E13" s="4" t="inlineStr">
        <is>
          <t>Sí</t>
        </is>
      </c>
      <c r="F13" s="4" t="inlineStr">
        <is>
          <t>Full-text review</t>
        </is>
      </c>
      <c r="G13" s="4" t="n"/>
      <c r="H13" s="4" t="n"/>
      <c r="I13" s="4" t="n"/>
      <c r="J13" s="4" t="inlineStr">
        <is>
          <t>Texto completo confirma estudio primario con Machine Learning aplicado a ASD (Diagnostic prediction / rule-out).</t>
        </is>
      </c>
      <c r="K13" s="4" t="n"/>
      <c r="L13" s="4" t="n"/>
      <c r="M13" s="4" t="n">
        <v>2025</v>
      </c>
      <c r="N13" s="4" t="inlineStr">
        <is>
          <t>Integration of an Artificial Intelligence–Based Autism Diagnostic Device into the ECHO Autism Primary Care Workflow: Prospective Observational Study</t>
        </is>
      </c>
      <c r="O13" s="4" t="inlineStr">
        <is>
          <t>Kristin Sohl and Erik Linstead and Kelianne Heinz and Elia Eiroa Lledo and Alicia Brewer Curran and Melissa Mahurin and Valeria Nanclares-Nogués and Carmela Salomon and Minda Seal and Sharief Taraman</t>
        </is>
      </c>
      <c r="P13" s="4" t="inlineStr">
        <is>
          <t>10.2196/80733</t>
        </is>
      </c>
      <c r="Q13" s="4" t="inlineStr">
        <is>
          <t>JMIR Formative Research</t>
        </is>
      </c>
      <c r="R13" s="4" t="inlineStr">
        <is>
          <t>article</t>
        </is>
      </c>
      <c r="S13" s="4" t="inlineStr">
        <is>
          <t>JMIR Publications Inc.</t>
        </is>
      </c>
      <c r="T13" s="4" t="inlineStr">
        <is>
          <t>https://doi.org/10.2196/80733</t>
        </is>
      </c>
      <c r="U13" s="4" t="inlineStr">
        <is>
          <t>Texto completo abierto revisado; evidencia y codificación en Extraccion_RQ_nuevos.</t>
        </is>
      </c>
      <c r="V13" s="4" t="inlineStr">
        <is>
          <t>Background: Pediatric specialist shortages and rapidly rising autism prevalence rates have compelled primary care clinicians to consider playing a greater role in the autism diagnostic process. The ECHO Autism: Early Diagnosis Program (EDx) prepares clinicians to screen, evaluate, differentiate, diagnose, and provide longitudinal care for children with autism in primary care settings. Canvas Dx is a prescription-only Software as a Medical Device designed to support clinical diagnosis or rule out of autism, including in primary care settings. It is authorized by the Food and Drug Administration for use, in conjunction with clinical judgment, in 18‐ to 72-month-olds with indicators of developmental delay. Objective: This study aims to assess the feasibility and impact of integrating the device into the ECHO Autism: EDx workflow. Time from the first clinical question of developmental delay to autism diagnosis is the primary endpoint. Secondary endpoints explore clinician and caregiver experience of device use. Methods: Children aged 18 to 72 months with concern for developmental delay indicated by either a caregiver or health professionals were eligible to participate in this prospective observational study. Experienced ECHO Autism: EDx clinicians were recruited to evaluate the inclusion of the device as part of their diagnostic evaluations. Outcome data were collected via a combination of electronic questionnaires, standard clinical care record reviews, and analysis of device outputs. Institutional review board approval was provided by the University of Missouri-Columbia (project number 2075722). Results: Eighty children and 7 clinicians completed the study. On average, time from clinical concern at study enrollment to final autism diagnosis was 39.22 days, compared to 180‐ to 264-day waits at adjacent specialist referral centers. The vast majority (93%, 50/54) of caregivers reported being satisfied with the ECHO Autism: EDx plus device evaluation their child received and endorsed that they would recommend it to others and that they felt comfortable using the device. The device produced determinate autism predictions or rule-outs for 52.5% of participants, and in all cases, these were consistent with the final clinical determination. Participating clinicians reported that device use was feasible and reduced several challenges associated with their previous diagnostic process; however, they noted it did not obviate the need for additional structured observation in every case. Conclusions: The ECHO Autism: EDx plus device workflow offers considerable time savings compared to specialty center referral and was strongly endorsed by caregiver participants. Embedding the device into the ECHO Autism: EDx workflow was feasible and helped streamline several workflow efficiencies. Clinicians still utilized their training and application and interpretation of Diagnostic and Statistical Manual of Mental Disorders, Fifth Edition, criteria when formulating the diagnosis for indeterminate cases.</t>
        </is>
      </c>
      <c r="W13" s="4" t="inlineStr">
        <is>
          <t>open_full_text_review_2026_09_04</t>
        </is>
      </c>
      <c r="X13" s="4" t="inlineStr">
        <is>
          <t>doi:10.2196/80733</t>
        </is>
      </c>
      <c r="Y13" s="4" t="n"/>
      <c r="Z13" s="4" t="n"/>
      <c r="AA13" s="4" t="n"/>
      <c r="AB13" s="40" t="n"/>
    </row>
    <row r="14" ht="409" customHeight="1">
      <c r="A14" s="4" t="n">
        <v>13</v>
      </c>
      <c r="B14" s="4" t="inlineStr">
        <is>
          <t>include_after_full_text_open_access</t>
        </is>
      </c>
      <c r="C14" s="4" t="inlineStr">
        <is>
          <t>Incluir tras revisión de texto completo abierto</t>
        </is>
      </c>
      <c r="D14" s="4" t="inlineStr">
        <is>
          <t>Provisional include</t>
        </is>
      </c>
      <c r="E14" s="4" t="inlineStr">
        <is>
          <t>Sí</t>
        </is>
      </c>
      <c r="F14" s="4" t="inlineStr">
        <is>
          <t>Full-text review</t>
        </is>
      </c>
      <c r="G14" s="4" t="n"/>
      <c r="H14" s="4" t="n"/>
      <c r="I14" s="4" t="n"/>
      <c r="J14" s="4" t="inlineStr">
        <is>
          <t>Texto completo confirma estudio primario con Hybrid aplicado a ASD (Mechanistic interpretation / biomarker characterization).</t>
        </is>
      </c>
      <c r="K14" s="4" t="n"/>
      <c r="L14" s="4" t="n"/>
      <c r="M14" s="4" t="n">
        <v>2025</v>
      </c>
      <c r="N14" s="4" t="inlineStr">
        <is>
          <t>In-silico assessment of dynamic symbiotic microbial interactions in a reduced microbiota related to the autism spectrum disorder symptoms</t>
        </is>
      </c>
      <c r="O14" s="4" t="inlineStr">
        <is>
          <t>Juan Manuel Olaguez-Gonzalez and Isaac Chairez and Luz Breton-Deval and Mariel Alfaro-Ponce</t>
        </is>
      </c>
      <c r="P14" s="4" t="inlineStr">
        <is>
          <t>10.1016/j.csbj.2025.09.006</t>
        </is>
      </c>
      <c r="Q14" s="4" t="inlineStr">
        <is>
          <t>Computational and Structural Biotechnology Journal</t>
        </is>
      </c>
      <c r="R14" s="4" t="inlineStr">
        <is>
          <t>article</t>
        </is>
      </c>
      <c r="S14" s="4" t="inlineStr">
        <is>
          <t>Elsevier B.V.</t>
        </is>
      </c>
      <c r="T14" s="4" t="inlineStr">
        <is>
          <t>https://doi.org/10.1016/j.csbj.2025.09.006</t>
        </is>
      </c>
      <c r="U14" s="4" t="inlineStr">
        <is>
          <t>Texto completo abierto revisado; evidencia y codificación en Extraccion_RQ_nuevos.</t>
        </is>
      </c>
      <c r="V14" s="4" t="inlineStr">
        <is>
          <t>The gut microbiota plays a crucial role in human health, with growing evidence linking its composition to the development of Autism Spectrum Disorder. However, inconsistencies in previous studies have hindered the identification of a definitive microbial signature associated with Autism Spectrum Disorder. Machine learning models have emerged as powerful tools for analyzing microbiome data, yet their interpretability remains limited. In this study, we integrate in silico simulations with machine learning predictions to explore microbial interactions under different dietary conditions and provide biological context to features of the intestinal microbiota that are linked to Autism Spectrum Disorder. This study employs constraint-based modeling to simulate metabolic exchanges among key bacterial taxa in order to assess their ecological relationships. Findings reveal that high-fiber diets foster mutualistic and balanced interactions, whereas Western-style diets promote competitive and parasitic dynamics, potentially contributing to gut dysbiosis in Autism Spectrum Disorder. In addition, the presence of oxygen (a factor associated with colonocyte permeability, a pathological condition of the colon) significantly alters microbial interactions, influencing metabolic dependencies and the overall structure of the community. This integrative approach enhances the interpretability of machine learning-based Autism Spectrum Disorder classifiers, bridging computational predictions with mechanistic insights. By identifying diet-dependent microbial interactions, our study highlights potential dietary interventions to modulate the composition of the gut microbiota in Autism Spectrum Disorder. These findings underscore the value of combining in silico modeling and machine learning for unraveling complex microbiome-host relationships and improving Autism Spectrum Disorder biomarker identification.</t>
        </is>
      </c>
      <c r="W14" s="4" t="inlineStr">
        <is>
          <t>open_full_text_review_2026_09_04</t>
        </is>
      </c>
      <c r="X14" s="4" t="inlineStr">
        <is>
          <t>doi:10.1016/j.csbj.2025.09.006</t>
        </is>
      </c>
      <c r="Y14" s="4" t="n"/>
      <c r="Z14" s="4" t="n"/>
      <c r="AA14" s="4" t="n"/>
      <c r="AB14" s="40" t="n"/>
    </row>
    <row r="15" ht="409" customHeight="1">
      <c r="A15" s="4" t="n">
        <v>14</v>
      </c>
      <c r="B15" s="4" t="inlineStr">
        <is>
          <t>already_in_current_276</t>
        </is>
      </c>
      <c r="C15" s="4" t="inlineStr">
        <is>
          <t>No agregar: ya está en los 276</t>
        </is>
      </c>
      <c r="D15" s="4" t="inlineStr">
        <is>
          <t>Already in base 276</t>
        </is>
      </c>
      <c r="E15" s="4" t="inlineStr">
        <is>
          <t>No</t>
        </is>
      </c>
      <c r="F15" s="4" t="inlineStr">
        <is>
          <t>Deduplication against base corpus</t>
        </is>
      </c>
      <c r="G15" s="4" t="n"/>
      <c r="H15" s="4" t="n"/>
      <c r="I15" s="4" t="n"/>
      <c r="J15" s="4" t="inlineStr">
        <is>
          <t>Coincidencia por DOI o título normalizado con el corpus analítico vigente de 276 estudios.</t>
        </is>
      </c>
      <c r="K15" s="4" t="n"/>
      <c r="L15" s="4" t="n">
        <v>29</v>
      </c>
      <c r="M15" s="4" t="n">
        <v>2025</v>
      </c>
      <c r="N15" s="4" t="inlineStr">
        <is>
          <t>An intellectual autism spectrum disorder classification framework in healthcare industry using ViT-based adaptive deep learning model</t>
        </is>
      </c>
      <c r="O15" s="4" t="inlineStr">
        <is>
          <t>Rama Parvathy and Rajesh Arunachalam and Sukumaran Damodaran and Muna Al-Razgan and Yasser A Ali and Yogapriya J</t>
        </is>
      </c>
      <c r="P15" s="4" t="inlineStr">
        <is>
          <t>10.1016/j.bspc.2025.107737</t>
        </is>
      </c>
      <c r="Q15" s="4" t="inlineStr">
        <is>
          <t>Biomedical Signal Processing and Control</t>
        </is>
      </c>
      <c r="R15" s="4" t="inlineStr">
        <is>
          <t>article</t>
        </is>
      </c>
      <c r="S15" s="4" t="inlineStr">
        <is>
          <t>Elsevier Ltd</t>
        </is>
      </c>
      <c r="T15" s="4" t="inlineStr">
        <is>
          <t>https://www.sciencedirect.com/science/article/pii/S1746809425002484</t>
        </is>
      </c>
      <c r="U15" s="4" t="n"/>
      <c r="V15" s="4" t="inlineStr">
        <is>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is>
      </c>
      <c r="W15" s="4" t="inlineStr">
        <is>
          <t>title_abstract_plus_targeted_primary_source_verification</t>
        </is>
      </c>
      <c r="X15" s="4" t="inlineStr">
        <is>
          <t>doi:10.1016/j.bspc.2025.107737</t>
        </is>
      </c>
      <c r="Y15" s="4" t="n"/>
      <c r="Z15" s="4" t="n"/>
      <c r="AA15" s="4" t="n"/>
      <c r="AB15" s="40" t="n"/>
    </row>
    <row r="16" ht="409" customHeight="1">
      <c r="A16" s="4" t="n">
        <v>15</v>
      </c>
      <c r="B16" s="4" t="inlineStr">
        <is>
          <t>include_after_title_abstract_screen</t>
        </is>
      </c>
      <c r="C16" s="4" t="inlineStr">
        <is>
          <t>Incluir provisionalmente</t>
        </is>
      </c>
      <c r="D16" s="4" t="inlineStr">
        <is>
          <t>Provisional include</t>
        </is>
      </c>
      <c r="E16" s="4" t="inlineStr">
        <is>
          <t>Sí</t>
        </is>
      </c>
      <c r="F16" s="4" t="inlineStr">
        <is>
          <t>Title/abstract screening</t>
        </is>
      </c>
      <c r="G16" s="4" t="n"/>
      <c r="H16" s="4" t="n"/>
      <c r="I16" s="4" t="n"/>
      <c r="J16" s="4" t="inlineStr">
        <is>
          <t>Estudio primario o implementación/evaluación empírica de IA, aprendizaje automático o modelado computacional aplicado a ASD, riesgo, caracterización, apoyo o intervención.</t>
        </is>
      </c>
      <c r="K16" s="4" t="n"/>
      <c r="L16" s="4" t="n"/>
      <c r="M16" s="4" t="n">
        <v>2025</v>
      </c>
      <c r="N16" s="4" t="inlineStr">
        <is>
          <t>MCBERT: A multi-modal framework for the diagnosis of autism spectrum disorder</t>
        </is>
      </c>
      <c r="O16" s="4" t="inlineStr">
        <is>
          <t>Kainat Khan and Rahul Katarya</t>
        </is>
      </c>
      <c r="P16" s="4" t="inlineStr">
        <is>
          <t>10.1016/j.biopsycho.2024.108976</t>
        </is>
      </c>
      <c r="Q16" s="4" t="inlineStr">
        <is>
          <t>Biological Psychology</t>
        </is>
      </c>
      <c r="R16" s="4" t="inlineStr">
        <is>
          <t>article</t>
        </is>
      </c>
      <c r="S16" s="4" t="inlineStr">
        <is>
          <t>Elsevier B.V.</t>
        </is>
      </c>
      <c r="T16" s="4" t="inlineStr">
        <is>
          <t>https://www.sciencedirect.com/science/article/pii/S0301051124002369</t>
        </is>
      </c>
      <c r="U16" s="4" t="n"/>
      <c r="V16" s="4" t="inlineStr">
        <is>
          <t>Within the domain of neurodevelopmental disorders, autism spectrum disorder (ASD) emerges as a distinctive neurological condition characterized by multifaceted challenges. The delayed identification of ASD poses a considerable hurdle in effectively managing its impact and mitigating its severity. Addressing these complexities requires a nuanced understanding of data modalities and the underlying patterns. Existing studies have focused on a single data modality for ASD diagnosis. Recently, there has been a significant shift towards multimodal architectures with deep learning strategies due to their ability to handle and incorporate complex data modalities. In this paper, we developed a novel multimodal ASD diagnosis architecture, referred to as Multi-Head CNN with BERT (MCBERT), which integrates bidirectional encoder representations from transformers (BERT) for meta-features and a multi-head convolutional neural network (MCNN) for the brain image modality. The MCNN incorporates two attention mechanisms to capture spatial (SAC) and channel (CAC) features. The outputs of BERT and MCNN are then fused and processed through a classification module to generate the final diagnosis. We employed the ABIDE-I dataset, a multimodal dataset, and conducted a leave-one-site-out classification to assess the model's effectiveness comprehensively. Experimental simulations demonstrate that the proposed architecture achieves a high accuracy of 93.4 %. Furthermore, the exploration of functional MRI data may provide a deeper understanding of the underlying characteristics of ASD.</t>
        </is>
      </c>
      <c r="W16" s="4" t="inlineStr">
        <is>
          <t>title_abstract_plus_targeted_primary_source_verification</t>
        </is>
      </c>
      <c r="X16" s="4" t="inlineStr">
        <is>
          <t>doi:10.1016/j.biopsycho.2024.108976</t>
        </is>
      </c>
      <c r="Y16" s="4" t="n"/>
      <c r="Z16" s="4" t="n"/>
      <c r="AA16" s="4" t="n"/>
      <c r="AB16" s="40" t="n"/>
    </row>
    <row r="17" ht="409" customHeight="1">
      <c r="A17" s="4" t="n">
        <v>16</v>
      </c>
      <c r="B17" s="4" t="inlineStr">
        <is>
          <t>include_after_title_abstract_screen</t>
        </is>
      </c>
      <c r="C17" s="4" t="inlineStr">
        <is>
          <t>Incluir provisionalmente</t>
        </is>
      </c>
      <c r="D17" s="4" t="inlineStr">
        <is>
          <t>Provisional include</t>
        </is>
      </c>
      <c r="E17" s="4" t="inlineStr">
        <is>
          <t>Sí</t>
        </is>
      </c>
      <c r="F17" s="4" t="inlineStr">
        <is>
          <t>Title/abstract screening</t>
        </is>
      </c>
      <c r="G17" s="4" t="n"/>
      <c r="H17" s="4" t="n"/>
      <c r="I17" s="4" t="n"/>
      <c r="J17" s="4" t="inlineStr">
        <is>
          <t>Estudio primario o implementación/evaluación empírica de IA, aprendizaje automático o modelado computacional aplicado a ASD, riesgo, caracterización, apoyo o intervención.</t>
        </is>
      </c>
      <c r="K17" s="4" t="n"/>
      <c r="L17" s="4" t="n"/>
      <c r="M17" s="4" t="n">
        <v>2025</v>
      </c>
      <c r="N17" s="4" t="inlineStr">
        <is>
          <t>Unraveling pathogenesis and potential biomarkers for autism spectrum disorder associated with HIF1A pathway based on machine learning and experiment validation</t>
        </is>
      </c>
      <c r="O17" s="4" t="inlineStr">
        <is>
          <t>Jinru Cui and Heli Li and Cong Hu and Feiyan Zhang and Yunjie Li and Ying Weng and Liping Yang and Yingying Li and Minglan Yao and Hao Li and Xiaoping Luo and Yan Hao</t>
        </is>
      </c>
      <c r="P17" s="4" t="inlineStr">
        <is>
          <t>10.1016/j.nbd.2024.106763</t>
        </is>
      </c>
      <c r="Q17" s="4" t="inlineStr">
        <is>
          <t>Neurobiology of Disease</t>
        </is>
      </c>
      <c r="R17" s="4" t="inlineStr">
        <is>
          <t>article</t>
        </is>
      </c>
      <c r="S17" s="4" t="inlineStr">
        <is>
          <t>Academic Press Inc.</t>
        </is>
      </c>
      <c r="T17" s="4" t="inlineStr">
        <is>
          <t>https://www.sciencedirect.com/science/article/pii/S0969996124003656</t>
        </is>
      </c>
      <c r="U17" s="4" t="n"/>
      <c r="V17" s="4" t="inlineStr">
        <is>
          <t>Background: Autism spectrum disorder (ASD) is a neurodevelopmental disorder with a high social burden and limited treatments. Hypoxic condition of the brain is considered an important pathological mechanism of ASD. HIF1A is a key participant in brain hypoxia, but its contribution to the pathophysiological landscape of ASD remains unclear. Methods: ASD-related datasets were obtained from GEO database, and HIF1A-related genes from GeneCards. Co-expression module analysis identified module genes, which were intersected with HIF1A-related genes to identify common genes. Machine learning identified hub genes from intersection genes and PPI networks were constructed to explore relationships among hub and HIF1A. Single-cell RNA sequencing analyzed hub gene distribution across cell clusters. ASD mouse model was created by inducing maternal immune activation (MIA) with poly(I:C) injections, verified through behavioral tests. Validation of HIF1A pathway and hub genes was confirmed through Western Blot, qPCR, and immunofluorescence in ASD mice and microglia BV-2 cells. Results: Using CEMiTool and GeneCards, 45 genes associated with ASD and HIF1A pathway were identified. Machine learning identified CDKN1A, ETS2, LYN, and SLC16A3 as potential ASD diagnostic markers. Single-cell sequencing pinpointed activated microglia as key immune cells. Behavioral tests showed MIA offspring mice exhibited typical ASD-like behaviors. Immunofluorescence confirmed the activation of microglia and HIF1A pathway in frontal cortex of ASD mice. Additionally, IL-6 contributed to ASD by activating JUN/HIF1A pathway, affecting CDKN1A, LYN, and SLC16A3 expression in microglia. Conclusions: HIF1A-related genes CDKN1A, ETS2, LYN, and SLC16A3 are strong diagnostic markers for ASD and the activation of IL-6/JUN/HIF1A pathway in microglia contributes to the pathogenesis of ASD.</t>
        </is>
      </c>
      <c r="W17" s="4" t="inlineStr">
        <is>
          <t>title_abstract_plus_targeted_primary_source_verification</t>
        </is>
      </c>
      <c r="X17" s="4" t="inlineStr">
        <is>
          <t>doi:10.1016/j.nbd.2024.106763</t>
        </is>
      </c>
      <c r="Y17" s="4" t="n"/>
      <c r="Z17" s="4" t="n"/>
      <c r="AA17" s="4" t="n"/>
      <c r="AB17" s="40" t="n"/>
    </row>
    <row r="18" ht="409" customHeight="1">
      <c r="A18" s="4" t="n">
        <v>17</v>
      </c>
      <c r="B18" s="4" t="inlineStr">
        <is>
          <t>already_in_current_276</t>
        </is>
      </c>
      <c r="C18" s="4" t="inlineStr">
        <is>
          <t>No agregar: ya está en los 276</t>
        </is>
      </c>
      <c r="D18" s="4" t="inlineStr">
        <is>
          <t>Already in base 276</t>
        </is>
      </c>
      <c r="E18" s="4" t="inlineStr">
        <is>
          <t>No</t>
        </is>
      </c>
      <c r="F18" s="4" t="inlineStr">
        <is>
          <t>Deduplication against base corpus</t>
        </is>
      </c>
      <c r="G18" s="4" t="n"/>
      <c r="H18" s="4" t="n"/>
      <c r="I18" s="4" t="n"/>
      <c r="J18" s="4" t="inlineStr">
        <is>
          <t>Coincidencia por DOI o título normalizado con el corpus analítico vigente de 276 estudios.</t>
        </is>
      </c>
      <c r="K18" s="4" t="n"/>
      <c r="L18" s="4" t="n">
        <v>203</v>
      </c>
      <c r="M18" s="4" t="n">
        <v>2025</v>
      </c>
      <c r="N18" s="4" t="inlineStr">
        <is>
          <t>Multimodal autism detection: Deep hybrid model with improved feature level fusion</t>
        </is>
      </c>
      <c r="O18" s="4" t="inlineStr">
        <is>
          <t>S Vidivelli and P Padmakumari and P Shanthi</t>
        </is>
      </c>
      <c r="P18" s="4" t="inlineStr">
        <is>
          <t>10.1016/j.cmpb.2024.108492</t>
        </is>
      </c>
      <c r="Q18" s="4" t="inlineStr">
        <is>
          <t>Computer Methods and Programs in Biomedicine</t>
        </is>
      </c>
      <c r="R18" s="4" t="inlineStr">
        <is>
          <t>article</t>
        </is>
      </c>
      <c r="S18" s="4" t="inlineStr">
        <is>
          <t>Elsevier Ireland Ltd</t>
        </is>
      </c>
      <c r="T18" s="4" t="inlineStr">
        <is>
          <t>https://www.sciencedirect.com/science/article/pii/S0169260724004851</t>
        </is>
      </c>
      <c r="U18" s="4" t="n"/>
      <c r="V18" s="4" t="inlineStr">
        <is>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is>
      </c>
      <c r="W18" s="4" t="inlineStr">
        <is>
          <t>title_abstract_plus_targeted_primary_source_verification</t>
        </is>
      </c>
      <c r="X18" s="4" t="inlineStr">
        <is>
          <t>doi:10.1016/j.cmpb.2024.108492</t>
        </is>
      </c>
      <c r="Y18" s="4" t="n"/>
      <c r="Z18" s="4" t="n"/>
      <c r="AA18" s="4" t="n"/>
      <c r="AB18" s="40" t="n"/>
    </row>
    <row r="19" ht="86" customHeight="1">
      <c r="A19" s="4" t="n">
        <v>18</v>
      </c>
      <c r="B19" s="4" t="inlineStr">
        <is>
          <t>exclude_no_qualifying_ai_application</t>
        </is>
      </c>
      <c r="C19" s="4" t="inlineStr">
        <is>
          <t>Excluir: sin aplicación de IA elegible</t>
        </is>
      </c>
      <c r="D19" s="4" t="inlineStr">
        <is>
          <t>Excluded</t>
        </is>
      </c>
      <c r="E19" s="4" t="inlineStr">
        <is>
          <t>No</t>
        </is>
      </c>
      <c r="F19" s="4" t="inlineStr">
        <is>
          <t>Title/abstract screening</t>
        </is>
      </c>
      <c r="G19" s="4" t="n"/>
      <c r="H19" s="4" t="n"/>
      <c r="I19" s="4" t="n"/>
      <c r="J19" s="4" t="inlineStr">
        <is>
          <t>El trabajo no implementa ni evalúa una técnica de IA/ML como componente sustantivo del estudio de ASD.</t>
        </is>
      </c>
      <c r="K19" s="4" t="n"/>
      <c r="L19" s="4" t="n"/>
      <c r="M19" s="4" t="n">
        <v>2025</v>
      </c>
      <c r="N19" s="4" t="inlineStr">
        <is>
          <t>What About Life Skills? Tailoring Interventions for Autism and Beyond</t>
        </is>
      </c>
      <c r="O19" s="4" t="inlineStr">
        <is>
          <t>Elaine B Clarke and Amie Duncan and Catherine Lord</t>
        </is>
      </c>
      <c r="P19" s="4" t="inlineStr">
        <is>
          <t>10.1016/j.jaac.2024.12.012</t>
        </is>
      </c>
      <c r="Q19" s="4" t="inlineStr">
        <is>
          <t>Journal of the American Academy of Child and Adolescent Psychiatry</t>
        </is>
      </c>
      <c r="R19" s="4" t="inlineStr">
        <is>
          <t>article</t>
        </is>
      </c>
      <c r="S19" s="4" t="inlineStr">
        <is>
          <t>Elsevier Inc.</t>
        </is>
      </c>
      <c r="T19" s="4" t="inlineStr">
        <is>
          <t>https://www.sciencedirect.com/science/article/pii/S0890856725000851</t>
        </is>
      </c>
      <c r="U19" s="4" t="n"/>
      <c r="V19" s="4" t="n"/>
      <c r="W19" s="4" t="inlineStr">
        <is>
          <t>title_abstract_plus_targeted_primary_source_verification</t>
        </is>
      </c>
      <c r="X19" s="4" t="inlineStr">
        <is>
          <t>doi:10.1016/j.jaac.2024.12.012</t>
        </is>
      </c>
      <c r="Y19" s="4" t="n"/>
      <c r="Z19" s="4" t="n"/>
      <c r="AA19" s="4" t="n"/>
      <c r="AB19" s="40" t="n"/>
    </row>
    <row r="20" ht="409" customHeight="1">
      <c r="A20" s="4" t="n">
        <v>19</v>
      </c>
      <c r="B20" s="4" t="inlineStr">
        <is>
          <t>already_in_current_276</t>
        </is>
      </c>
      <c r="C20" s="4" t="inlineStr">
        <is>
          <t>No agregar: ya está en los 276</t>
        </is>
      </c>
      <c r="D20" s="4" t="inlineStr">
        <is>
          <t>Already in base 276</t>
        </is>
      </c>
      <c r="E20" s="4" t="inlineStr">
        <is>
          <t>No</t>
        </is>
      </c>
      <c r="F20" s="4" t="inlineStr">
        <is>
          <t>Deduplication against base corpus</t>
        </is>
      </c>
      <c r="G20" s="4" t="n"/>
      <c r="H20" s="4" t="n"/>
      <c r="I20" s="4" t="n"/>
      <c r="J20" s="4" t="inlineStr">
        <is>
          <t>Coincidencia por DOI o título normalizado con el corpus analítico vigente de 276 estudios.</t>
        </is>
      </c>
      <c r="K20" s="4" t="n"/>
      <c r="L20" s="4" t="n">
        <v>92</v>
      </c>
      <c r="M20" s="4" t="n">
        <v>2025</v>
      </c>
      <c r="N20" s="4" t="inlineStr">
        <is>
          <t>Learning discriminative functional connectivity networks for identifying Autism spectrum disorder</t>
        </is>
      </c>
      <c r="O20" s="4" t="inlineStr">
        <is>
          <t>Mengxue Pang and Lei Liu and Feng Zhao and Bin Fu and Limei Zhang and Lishan Qiao</t>
        </is>
      </c>
      <c r="P20" s="4" t="inlineStr">
        <is>
          <t>10.1016/j.bspc.2024.107466</t>
        </is>
      </c>
      <c r="Q20" s="4" t="inlineStr">
        <is>
          <t>Biomedical Signal Processing and Control</t>
        </is>
      </c>
      <c r="R20" s="4" t="inlineStr">
        <is>
          <t>article</t>
        </is>
      </c>
      <c r="S20" s="4" t="inlineStr">
        <is>
          <t>Elsevier Ltd</t>
        </is>
      </c>
      <c r="T20" s="4" t="inlineStr">
        <is>
          <t>https://www.sciencedirect.com/science/article/pii/S1746809424015246</t>
        </is>
      </c>
      <c r="U20" s="4" t="n"/>
      <c r="V20" s="4" t="inlineStr">
        <is>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is>
      </c>
      <c r="W20" s="4" t="inlineStr">
        <is>
          <t>title_abstract_plus_targeted_primary_source_verification</t>
        </is>
      </c>
      <c r="X20" s="4" t="inlineStr">
        <is>
          <t>doi:10.1016/j.bspc.2024.107466</t>
        </is>
      </c>
      <c r="Y20" s="4" t="n"/>
      <c r="Z20" s="4" t="n"/>
      <c r="AA20" s="4" t="n"/>
      <c r="AB20" s="40" t="n"/>
    </row>
    <row r="21" ht="409" customHeight="1">
      <c r="A21" s="4" t="n">
        <v>20</v>
      </c>
      <c r="B21" s="4" t="inlineStr">
        <is>
          <t>already_in_current_276</t>
        </is>
      </c>
      <c r="C21" s="4" t="inlineStr">
        <is>
          <t>No agregar: ya está en los 276</t>
        </is>
      </c>
      <c r="D21" s="4" t="inlineStr">
        <is>
          <t>Already in base 276</t>
        </is>
      </c>
      <c r="E21" s="4" t="inlineStr">
        <is>
          <t>No</t>
        </is>
      </c>
      <c r="F21" s="4" t="inlineStr">
        <is>
          <t>Deduplication against base corpus</t>
        </is>
      </c>
      <c r="G21" s="4" t="n"/>
      <c r="H21" s="4" t="n"/>
      <c r="I21" s="4" t="n"/>
      <c r="J21" s="4" t="inlineStr">
        <is>
          <t>Coincidencia por DOI o título normalizado con el corpus analítico vigente de 276 estudios.</t>
        </is>
      </c>
      <c r="K21" s="4" t="n"/>
      <c r="L21" s="4" t="n">
        <v>11</v>
      </c>
      <c r="M21" s="4" t="n">
        <v>2025</v>
      </c>
      <c r="N21" s="4" t="inlineStr">
        <is>
          <t>Data Mining–Based Model for Computer-Aided Diagnosis of Autism and Gelotophobia: Mixed Methods Deep Learning Approach</t>
        </is>
      </c>
      <c r="O21" s="4" t="inlineStr">
        <is>
          <t>Mohamed Eldawansy and Hazem El Bakry and Samaa M Shohieb</t>
        </is>
      </c>
      <c r="P21" s="4" t="inlineStr">
        <is>
          <t>10.2196/72115</t>
        </is>
      </c>
      <c r="Q21" s="4" t="inlineStr">
        <is>
          <t>JMIR Formative Research</t>
        </is>
      </c>
      <c r="R21" s="4" t="inlineStr">
        <is>
          <t>article</t>
        </is>
      </c>
      <c r="S21" s="4" t="inlineStr">
        <is>
          <t>JMIR Publications Inc.</t>
        </is>
      </c>
      <c r="T21" s="4" t="inlineStr">
        <is>
          <t>https://formative.jmir.org/2026/1/e91833</t>
        </is>
      </c>
      <c r="U21" s="4" t="inlineStr">
        <is>
          <t>El artículo ya está en los 276 y tiene una expresión de preocupación posterior (DOI 10.2196/91833). No cambia N automáticamente, pero requiere bandera de integridad.</t>
        </is>
      </c>
      <c r="V21" s="4" t="inlineStr">
        <is>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is>
      </c>
      <c r="W21" s="4" t="inlineStr">
        <is>
          <t>title_abstract_plus_targeted_primary_source_verification</t>
        </is>
      </c>
      <c r="X21" s="4" t="inlineStr">
        <is>
          <t>doi:10.2196/72115</t>
        </is>
      </c>
      <c r="Y21" s="4" t="n"/>
      <c r="Z21" s="4" t="n"/>
      <c r="AA21" s="4" t="n"/>
      <c r="AB21" s="40" t="n"/>
    </row>
    <row r="22" ht="409" customHeight="1">
      <c r="A22" s="4" t="n">
        <v>21</v>
      </c>
      <c r="B22" s="4" t="inlineStr">
        <is>
          <t>include_after_title_abstract_screen</t>
        </is>
      </c>
      <c r="C22" s="4" t="inlineStr">
        <is>
          <t>Incluir provisionalmente</t>
        </is>
      </c>
      <c r="D22" s="4" t="inlineStr">
        <is>
          <t>Provisional include</t>
        </is>
      </c>
      <c r="E22" s="4" t="inlineStr">
        <is>
          <t>Sí</t>
        </is>
      </c>
      <c r="F22" s="4" t="inlineStr">
        <is>
          <t>Title/abstract screening</t>
        </is>
      </c>
      <c r="G22" s="4" t="n"/>
      <c r="H22" s="4" t="n"/>
      <c r="I22" s="4" t="n"/>
      <c r="J22" s="4" t="inlineStr">
        <is>
          <t>Estudio primario o implementación/evaluación empírica de IA, aprendizaje automático o modelado computacional aplicado a ASD, riesgo, caracterización, apoyo o intervención.</t>
        </is>
      </c>
      <c r="K22" s="4" t="n"/>
      <c r="L22" s="4" t="n"/>
      <c r="M22" s="4" t="n">
        <v>2025</v>
      </c>
      <c r="N22" s="4" t="inlineStr">
        <is>
          <t>Screening biomarkers for autism spectrum disorder using plasma proteomics combined with machine learning methods</t>
        </is>
      </c>
      <c r="O22" s="4" t="inlineStr">
        <is>
          <t>Xiaoxiao Tang and Xiaoqian Ran and Zhiyuan Liang and Hongbin Zhuang and Xi Yan and Chengyun Feng and Ayesha Qureshi and Yan Gao and Liming Shen</t>
        </is>
      </c>
      <c r="P22" s="4" t="inlineStr">
        <is>
          <t>10.1016/j.cca.2024.120018</t>
        </is>
      </c>
      <c r="Q22" s="4" t="inlineStr">
        <is>
          <t>Clinica Chimica Acta</t>
        </is>
      </c>
      <c r="R22" s="4" t="inlineStr">
        <is>
          <t>article</t>
        </is>
      </c>
      <c r="S22" s="4" t="inlineStr">
        <is>
          <t>Elsevier B.V.</t>
        </is>
      </c>
      <c r="T22" s="4" t="inlineStr">
        <is>
          <t>https://www.sciencedirect.com/science/article/pii/S000989812402271X</t>
        </is>
      </c>
      <c r="U22" s="4" t="n"/>
      <c r="V22" s="4" t="inlineStr">
        <is>
          <t>Background and aims: Autism spectrum disorder (ASD) is a common neurodevelopmental disorder in children. Early intervention is effective. Investigation of novel blood biomarkers of ASD facilitates early detection and intervention. Materials and Methods: Sequential window acquisition of all theoretical spectra-mass spectrometry (SWATH-MS)-based proteomics technology and 30 DSM-V defined ASD cases versus age- and sex-matched controls were initially evaluated, and candidate biomarkers were screened using machine learning methods. Candidate biomarkers were validated by targeted proteomics multiple reaction monitoring (MRM) analysis using an independent group of 30 ASD cases vs. controls. Results: Fifty-one differentially expressed proteins (DEPs) were identified by SWATH analysis. They were associated with the immune response, complements and coagulation cascade pathways, and apolipoprotein-related metabolic pathways. Machine learning analysis screened 10 proteins as biomarker combinations (TFRC, PPBP, APCS, ALDH1A1, CD5L, SPARC, FGG, SHBG, S100A9, and PF4V1). In the MRM analysis, four proteins (PPBP, APCS, FGG, and PF4V1) were significantly different between the groups, and their combination as a screening indicator showed high potential (AUC = 0.8087, 95 % confidence interval 0.6904–0.9252, p &lt; 0.0001). Conclusions: Our study provides data that suggests that a few plasma proteins have potential use in screening for ASD.</t>
        </is>
      </c>
      <c r="W22" s="4" t="inlineStr">
        <is>
          <t>title_abstract_plus_targeted_primary_source_verification</t>
        </is>
      </c>
      <c r="X22" s="4" t="inlineStr">
        <is>
          <t>doi:10.1016/j.cca.2024.120018</t>
        </is>
      </c>
      <c r="Y22" s="4" t="n"/>
      <c r="Z22" s="4" t="n"/>
      <c r="AA22" s="4" t="n"/>
      <c r="AB22" s="40" t="n"/>
    </row>
    <row r="23" ht="409" customHeight="1">
      <c r="A23" s="4" t="n">
        <v>22</v>
      </c>
      <c r="B23" s="4" t="inlineStr">
        <is>
          <t>exclude_secondary_or_nonempirical_publication</t>
        </is>
      </c>
      <c r="C23" s="4" t="inlineStr">
        <is>
          <t>Excluir: publicación secundaria/no empírica</t>
        </is>
      </c>
      <c r="D23" s="4" t="inlineStr">
        <is>
          <t>Excluded</t>
        </is>
      </c>
      <c r="E23" s="4" t="inlineStr">
        <is>
          <t>No</t>
        </is>
      </c>
      <c r="F23" s="4" t="inlineStr">
        <is>
          <t>Title/abstract screening</t>
        </is>
      </c>
      <c r="G23" s="4" t="n"/>
      <c r="H23" s="4" t="n"/>
      <c r="I23" s="4" t="n"/>
      <c r="J23" s="4" t="inlineStr">
        <is>
          <t>Revisión, metaanálisis, encuesta de literatura, protocolo, perspectiva, carta, editorial o capítulo de síntesis sin estudio primario elegible.</t>
        </is>
      </c>
      <c r="K23" s="4" t="n"/>
      <c r="L23" s="4" t="n"/>
      <c r="M23" s="4" t="n">
        <v>2025</v>
      </c>
      <c r="N23" s="4" t="inlineStr">
        <is>
          <t>Latest clinical frontiers related to autism diagnostic strategies</t>
        </is>
      </c>
      <c r="O23" s="4" t="inlineStr">
        <is>
          <t>Samuele Cortese and Alessio Bellato and Alessandra Gabellone and Lucia Marzulli and Emilia Matera and Valeria Parlatini and Maria Giuseppina Petruzzelli and Antonio M Persico and Richard Delorme and Paolo Fusar-Poli and Corentin J Gosling and Marco Solmi and Lucia Margari</t>
        </is>
      </c>
      <c r="P23" s="4" t="inlineStr">
        <is>
          <t>10.1016/j.xcrm.2024.101916</t>
        </is>
      </c>
      <c r="Q23" s="4" t="inlineStr">
        <is>
          <t>Cell Reports Medicine</t>
        </is>
      </c>
      <c r="R23" s="4" t="inlineStr">
        <is>
          <t>article</t>
        </is>
      </c>
      <c r="S23" s="4" t="inlineStr">
        <is>
          <t>Cell Press</t>
        </is>
      </c>
      <c r="T23" s="4" t="inlineStr">
        <is>
          <t>https://www.sciencedirect.com/science/article/pii/S2666379124006876</t>
        </is>
      </c>
      <c r="U23" s="4" t="n"/>
      <c r="V23" s="4" t="inlineStr">
        <is>
          <t>The diagnosis of autism is currently based on the developmental history, direct observation of behavior, and reported symptoms, supplemented by rating scales/interviews/structured observational evaluations—which is influenced by the clinician's knowledge and experience—with no established diagnostic biomarkers. A growing body of research has been conducted over the past decades to improve diagnostic accuracy. Here, we provide an overview of the current diagnostic assessment process as well as of recent and ongoing developments to support diagnosis in terms of genetic evaluation, telemedicine, digital technologies, use of machine learning/artificial intelligence, and research on candidate diagnostic biomarkers. Genetic testing can meaningfully contribute to the assessment process, but caution is required when interpreting negative results, and more work is needed to strengthen the transferability of genetic information into clinical practice. Digital diagnostic and machine-learning-based analyses are emerging as promising approaches, but larger and more robust studies are needed. To date, there are no available diagnostic biomarkers. Moving forward, international collaborations may help develop multimodal datasets to identify biomarkers, ensure reproducibility, and support clinical translation.</t>
        </is>
      </c>
      <c r="W23" s="4" t="inlineStr">
        <is>
          <t>title_abstract_plus_targeted_primary_source_verification</t>
        </is>
      </c>
      <c r="X23" s="4" t="inlineStr">
        <is>
          <t>doi:10.1016/j.xcrm.2024.101916</t>
        </is>
      </c>
      <c r="Y23" s="4" t="n"/>
      <c r="Z23" s="4" t="n"/>
      <c r="AA23" s="4" t="n"/>
      <c r="AB23" s="40" t="n"/>
    </row>
    <row r="24" ht="409" customHeight="1">
      <c r="A24" s="4" t="n">
        <v>23</v>
      </c>
      <c r="B24" s="4" t="inlineStr">
        <is>
          <t>include_after_title_abstract_screen</t>
        </is>
      </c>
      <c r="C24" s="4" t="inlineStr">
        <is>
          <t>Incluir provisionalmente</t>
        </is>
      </c>
      <c r="D24" s="4" t="inlineStr">
        <is>
          <t>Provisional include</t>
        </is>
      </c>
      <c r="E24" s="4" t="inlineStr">
        <is>
          <t>Sí</t>
        </is>
      </c>
      <c r="F24" s="4" t="inlineStr">
        <is>
          <t>Title/abstract screening</t>
        </is>
      </c>
      <c r="G24" s="4" t="n"/>
      <c r="H24" s="4" t="n"/>
      <c r="I24" s="4" t="n"/>
      <c r="J24" s="4" t="inlineStr">
        <is>
          <t>Estudio primario o implementación/evaluación empírica de IA, aprendizaje automático o modelado computacional aplicado a ASD, riesgo, caracterización, apoyo o intervención.</t>
        </is>
      </c>
      <c r="K24" s="4" t="n"/>
      <c r="L24" s="4" t="n"/>
      <c r="M24" s="4" t="n">
        <v>2025</v>
      </c>
      <c r="N24" s="4" t="inlineStr">
        <is>
          <t>Introducing 3DCNN ResNets for ASD full-body kinematic assessment: A comparison with hand-crafted features</t>
        </is>
      </c>
      <c r="O24" s="4" t="inlineStr">
        <is>
          <t>Alberto Altozano and Maria Eleonora Minissi and Mariano Alcañiz and Javier Marín-Morales</t>
        </is>
      </c>
      <c r="P24" s="4" t="inlineStr">
        <is>
          <t>10.1016/j.eswa.2024.126295</t>
        </is>
      </c>
      <c r="Q24" s="4" t="inlineStr">
        <is>
          <t>Expert Systems with Applications</t>
        </is>
      </c>
      <c r="R24" s="4" t="inlineStr">
        <is>
          <t>article</t>
        </is>
      </c>
      <c r="S24" s="4" t="inlineStr">
        <is>
          <t>Elsevier Ltd</t>
        </is>
      </c>
      <c r="T24" s="4" t="inlineStr">
        <is>
          <t>https://www.sciencedirect.com/science/article/pii/S0957417424031622</t>
        </is>
      </c>
      <c r="U24" s="4" t="n"/>
      <c r="V24" s="4" t="inlineStr">
        <is>
          <t>Autism Spectrum Disorder (ASD) is characterized by challenges in social communication and restricted patterns, with motor abnormalities gaining traction for early detection. However, kinematic analysis in ASD is limited, often lacking robust validation and relying on hand-crafted features for single tasks, leading to inconsistencies across studies. End-to-end models have emerged as promising methods to overcome the need for feature engineering. Our aim is to propose a newly adapted 3DCNN ResNet from action recognition and compare it to widely used hand-crafted features for motor ASD assessment. Specifically, we developed a virtual reality environment with multiple motor tasks and trained models using both approaches. We prioritized a reliable validation framework with subject-wise nestedrepeated cross-validation. Results show the proposed model achieves a maximum accuracy of 85±3%, outperforming state-of-the-art end-to-end models with short 1-to-3 min samples. Our comparative analysis with hand-crafted features shows feature-engineered models outperformed our end-to-end model in certain tasks. However, generalized linear mixed-effects models showed that our end-to-end model achieved a statistically higher mean AUC (0.80±0.03) and Sensitivity (66±3%), while showing less variability across all VR tasks, demonstrating domain generalization and reliability. These findings show that end-to-end models enable less variable and context-independent ASD classification without requiring domain knowledge or task specificity. However, they also recognize the effectiveness of hand-crafted features in specific task scenarios.</t>
        </is>
      </c>
      <c r="W24" s="4" t="inlineStr">
        <is>
          <t>title_abstract_plus_targeted_primary_source_verification</t>
        </is>
      </c>
      <c r="X24" s="4" t="inlineStr">
        <is>
          <t>doi:10.1016/j.eswa.2024.126295</t>
        </is>
      </c>
      <c r="Y24" s="4" t="n"/>
      <c r="Z24" s="4" t="n"/>
      <c r="AA24" s="4" t="n"/>
      <c r="AB24" s="40" t="n"/>
    </row>
    <row r="25" ht="409" customHeight="1">
      <c r="A25" s="4" t="n">
        <v>24</v>
      </c>
      <c r="B25" s="4" t="inlineStr">
        <is>
          <t>exclude_out_of_scope_topic_or_population</t>
        </is>
      </c>
      <c r="C25" s="4" t="inlineStr">
        <is>
          <t>Excluir: tema/población fuera de alcance</t>
        </is>
      </c>
      <c r="D25" s="4" t="inlineStr">
        <is>
          <t>Excluded</t>
        </is>
      </c>
      <c r="E25" s="4" t="inlineStr">
        <is>
          <t>No</t>
        </is>
      </c>
      <c r="F25" s="4" t="inlineStr">
        <is>
          <t>Title/abstract screening</t>
        </is>
      </c>
      <c r="G25" s="4" t="n"/>
      <c r="H25" s="4" t="n"/>
      <c r="I25" s="4" t="n"/>
      <c r="J25" s="4" t="inlineStr">
        <is>
          <t>No estudia ASD en el sentido del protocolo, usa otro significado de ASD o aborda otra población/resultado sin aplicación pertinente al proceso ASD.</t>
        </is>
      </c>
      <c r="K25" s="4" t="n"/>
      <c r="L25" s="4" t="n"/>
      <c r="M25" s="4" t="n">
        <v>2026</v>
      </c>
      <c r="N25" s="4" t="inlineStr">
        <is>
          <t>Families Moving Forward Connect mHealth Intervention for Caregivers of Children With Fetal Alcohol Spectrum Disorders: Randomized Controlled Trial</t>
        </is>
      </c>
      <c r="O25" s="4" t="inlineStr">
        <is>
          <t>Christie L M Petrenko and Madeline N Rockhold and Julianne M Myers and Cristiano Tapparello and Carson Kautz-Turnbull and Emily Speybroeck and Zhi Li and Lynn L Cole and Heather Carmichael Olson</t>
        </is>
      </c>
      <c r="P25" s="4" t="inlineStr">
        <is>
          <t>10.2196/73647</t>
        </is>
      </c>
      <c r="Q25" s="4" t="inlineStr">
        <is>
          <t>JMIR mHealth and uHealth</t>
        </is>
      </c>
      <c r="R25" s="4" t="inlineStr">
        <is>
          <t>article</t>
        </is>
      </c>
      <c r="S25" s="4" t="inlineStr">
        <is>
          <t>JMIR Publications Inc.</t>
        </is>
      </c>
      <c r="T25" s="4" t="inlineStr">
        <is>
          <t>https://doi.org/10.2196/73647</t>
        </is>
      </c>
      <c r="U25" s="4" t="n"/>
      <c r="V25" s="4" t="inlineStr">
        <is>
          <t>Background: Fetal alcohol spectrum disorders (FASD) affect 1.1% to 5% of the general population. Yet, most children with FASD and their families cannot access evidence-based interventions. Mobile health (mHealth) interventions have the potential to increase access to care on a broad scale. While numerous self-directed parenting apps exist, none have been tested for FASD. The FMF (Families Moving Forward) Connect app is a self-directed intervention derived from an empirically supported intervention for caregivers raising children with FASD. FMF Connect is the first self-directed parenting app for FASD, and also one of the first parenting apps to be systematically developed and tested. Objective: This study aimed to test the efficacy of FMF Connect for caregivers raising children with FASD on targeted primary (child behavior, caregiver attributions, parenting efficacy and satisfaction, FASD knowledge, and family needs met) and secondary (child adaptive behavior, caregiver self-care, and app satisfaction) outcomes. Methods: This study involved a 3-arm randomized controlled trial with equal allocation to groups (1) FMF Connect+coaching, (2) FMF Connect, or (3) waitlist control. Participants from the United States were recruited online through an open access website. Recruitment materials were distributed by the Collaborative Initiative on FASD, FASD listserves, and social media. In total, 129 caregivers of children (aged 3‐12 y) with FASD or prenatal alcohol exposure (PAE) were enrolled. Online surveys were administered at baseline, 6 weeks, and 12 weeks. Data were analyzed with linear mixed modeling, linear regressions, and structural equation modeling using SPSS (version 29.0; IBM) and Mplus 8 (Muthén &amp; Muthén). Results: A total of 43 participants were randomized to each group. Caregivers were predominantly White adoptive mothers. Of the total, 64% (n=83) of participants were retained through the 12-week follow-up. Groups did not differ in terms of demographic characteristics, baseline levels of functioning, or attrition. Usage patterns were similar across groups, suggesting coaching did not increase engagement. Given a few differences, app intervention groups were combined for analyses. Relative to the waitlist group, caregivers in the FMF Connect group evidenced greater improvements in FASD knowledge, child behavior attributions, family needs met, and self-care after 12 weeks (P=.01-.048). After controlling for multiple comparisons, differences in FASD knowledge, self-care, and family needs met approached significance (P=.06-.07). Groups did not differ in parenting satisfaction, child behavior problems, or adaptive functioning. More app usage is related to greater changes in parenting efficacy. Caregiver behavior attributions at 6 weeks did not mediate intervention effects. Conclusions: This study demonstrated initial efficacy of the FMF Connect app for targeted caregiver outcomes, with small to medium effect sizes. As an mHealth app, the FMF Connect intervention has potential for scalability and accessibility. This could lead to a substantial public health impact, particularly for families who face challenges accessing evidence-based resources or encounter other barriers to care.</t>
        </is>
      </c>
      <c r="W25" s="4" t="inlineStr">
        <is>
          <t>title_abstract_plus_targeted_primary_source_verification</t>
        </is>
      </c>
      <c r="X25" s="4" t="inlineStr">
        <is>
          <t>doi:10.2196/73647</t>
        </is>
      </c>
      <c r="Y25" s="4" t="n"/>
      <c r="Z25" s="4" t="n"/>
      <c r="AA25" s="4" t="n"/>
      <c r="AB25" s="40" t="n"/>
    </row>
    <row r="26" ht="409" customHeight="1">
      <c r="A26" s="4" t="n">
        <v>25</v>
      </c>
      <c r="B26" s="4" t="inlineStr">
        <is>
          <t>exclude_out_of_scope_topic_or_population</t>
        </is>
      </c>
      <c r="C26" s="4" t="inlineStr">
        <is>
          <t>Excluir: tema/población fuera de alcance</t>
        </is>
      </c>
      <c r="D26" s="4" t="inlineStr">
        <is>
          <t>Excluded</t>
        </is>
      </c>
      <c r="E26" s="4" t="inlineStr">
        <is>
          <t>No</t>
        </is>
      </c>
      <c r="F26" s="4" t="inlineStr">
        <is>
          <t>Title/abstract screening</t>
        </is>
      </c>
      <c r="G26" s="4" t="n"/>
      <c r="H26" s="4" t="n"/>
      <c r="I26" s="4" t="n"/>
      <c r="J26" s="4" t="inlineStr">
        <is>
          <t>No estudia ASD en el sentido del protocolo, usa otro significado de ASD o aborda otra población/resultado sin aplicación pertinente al proceso ASD.</t>
        </is>
      </c>
      <c r="K26" s="4" t="n"/>
      <c r="L26" s="4" t="n"/>
      <c r="M26" s="4" t="n">
        <v>2026</v>
      </c>
      <c r="N26" s="4" t="inlineStr">
        <is>
          <t>Assessment of the Cultural Nuances in COVID-19 Vaccine Uptake Through a Comparative Analysis of English and Spanish Facebook Posts in Tarrant County, Texas: Longitudinal Study</t>
        </is>
      </c>
      <c r="O26" s="4" t="inlineStr">
        <is>
          <t>Ana Aleksandric and Anisha Dangal and Shirin Nilizadeh and Gabriela Mustata Wilson</t>
        </is>
      </c>
      <c r="P26" s="4" t="inlineStr">
        <is>
          <t>10.2196/72465</t>
        </is>
      </c>
      <c r="Q26" s="4" t="inlineStr">
        <is>
          <t>Online Journal of Public Health Informatics</t>
        </is>
      </c>
      <c r="R26" s="4" t="inlineStr">
        <is>
          <t>article</t>
        </is>
      </c>
      <c r="S26" s="4" t="inlineStr">
        <is>
          <t>JMIR Publications Inc.</t>
        </is>
      </c>
      <c r="T26" s="4" t="inlineStr">
        <is>
          <t>https://doi.org/10.2196/72465</t>
        </is>
      </c>
      <c r="U26" s="4" t="n"/>
      <c r="V26" s="4" t="inlineStr">
        <is>
          <t>Background: Prior studies have identified key factors contributing to COVID-19 vaccine hesitancy, including concerns over vaccine safety, potential side effects, and mistrust in the health care system. According to the World Health Organization, vaccine hesitancy is among the top 10 threats to global public health. Previous research has suggested that vaccine hesitancy is a significant barrier within the Hispanic population, particularly in Texas. Objective: This longitudinal study examined the relationships of daily stance, misinformation, and topics in vaccine-related English and Spanish Facebook posts with daily vaccination rates in Tarrant County, Texas, during 2021 and 2022. The goal was to identify the predictors associated with vaccination uptake and inform targeted social media interventions, with particular attention to the Hispanic population. Methods: COVID-19 vaccine-related English and Spanish Facebook posts from Tarrant County were collected for 2021 and 2022. The study analyzed 12,395 English posts and 1123 Spanish posts. Posts were annotated using GPT-4 for stance, misinformation, and relevant topics, including vaccine availability, safety, and side effects. Category prevalence was compared across English and Spanish posts and across years. Linear regression models were used to examine associations between post characteristics and daily vaccination rates in the total and Hispanic populations. Results: Regression analysis identified distinct predictors of Hispanic vaccination uptake, including encouraging posts (P=.02) and religion-related posts (P=.007), which were not significant predictors for vaccination uptake in the general population. A substantial proportion of Spanish discouraging posts focused on vaccine side effects (13/70, 19%) and health system distrust (24/70, 34%), suggesting concerns that may be especially relevant within the Hispanic community. Predictors associated with higher uptake in both the Hispanic and total populations included posts related to vaccine availability (P=.01), vaccine safety (P=.006), and misinformation debunking (P&lt;.001). Conclusions: Posts related to vaccine availability, vaccine safety, and debunking misinformation were associated with higher vaccination uptake. Encouraging posts and religion-related posts were associated with higher vaccination uptake in the Hispanic population, suggesting meaningful cultural nuances. These findings support the value of culturally tailored social media messaging in public health campaigns.</t>
        </is>
      </c>
      <c r="W26" s="4" t="inlineStr">
        <is>
          <t>title_abstract_plus_targeted_primary_source_verification</t>
        </is>
      </c>
      <c r="X26" s="4" t="inlineStr">
        <is>
          <t>doi:10.2196/72465</t>
        </is>
      </c>
      <c r="Y26" s="4" t="n"/>
      <c r="Z26" s="4" t="n"/>
      <c r="AA26" s="4" t="n"/>
      <c r="AB26" s="40" t="n"/>
    </row>
    <row r="27" ht="99" customHeight="1">
      <c r="A27" s="4" t="n">
        <v>26</v>
      </c>
      <c r="B27" s="4" t="inlineStr">
        <is>
          <t>exclude_integrity_notice_or_retracted</t>
        </is>
      </c>
      <c r="C27" s="4" t="inlineStr">
        <is>
          <t>Excluir por integridad/tipo de registro</t>
        </is>
      </c>
      <c r="D27" s="4" t="inlineStr">
        <is>
          <t>Excluded</t>
        </is>
      </c>
      <c r="E27" s="4" t="inlineStr">
        <is>
          <t>No</t>
        </is>
      </c>
      <c r="F27" s="4" t="inlineStr">
        <is>
          <t>Title/abstract screening and source verification</t>
        </is>
      </c>
      <c r="G27" s="4" t="n"/>
      <c r="H27" s="4" t="n"/>
      <c r="I27" s="4" t="inlineStr">
        <is>
          <t>Code error notice</t>
        </is>
      </c>
      <c r="J27" s="4" t="inlineStr">
        <is>
          <t>Aviso editorial, corrección, retirada, retractación o artículo retractado; no constituye un estudio nuevo incorporable.</t>
        </is>
      </c>
      <c r="K27" s="4" t="n"/>
      <c r="L27" s="4" t="n"/>
      <c r="M27" s="4" t="n">
        <v>2025</v>
      </c>
      <c r="N27" s="4" t="inlineStr">
        <is>
          <t>Code Error in “Diagnostic Classification and Prognostic Prediction Using Common Genetic Variants in Autism Spectrum Disorder: Genotype-Based Deep Learning”</t>
        </is>
      </c>
      <c r="O27" s="4" t="inlineStr">
        <is>
          <t>Catriona Miller and Theo Portlock and Denis M Nyaga and Greg D Gamble and Justin M O'Sullivan</t>
        </is>
      </c>
      <c r="P27" s="4" t="inlineStr">
        <is>
          <t>10.2196/66556</t>
        </is>
      </c>
      <c r="Q27" s="4" t="inlineStr">
        <is>
          <t>JMIR Medical Informatics</t>
        </is>
      </c>
      <c r="R27" s="4" t="inlineStr">
        <is>
          <t>article</t>
        </is>
      </c>
      <c r="S27" s="4" t="inlineStr">
        <is>
          <t>JMIR Publications Inc.</t>
        </is>
      </c>
      <c r="T27" s="4" t="inlineStr">
        <is>
          <t>https://www.sciencedirect.com/science/article/pii/S2291969425000845</t>
        </is>
      </c>
      <c r="U27" s="4" t="n"/>
      <c r="V27" s="4" t="n"/>
      <c r="W27" s="4" t="inlineStr">
        <is>
          <t>title_abstract_plus_targeted_primary_source_verification</t>
        </is>
      </c>
      <c r="X27" s="4" t="inlineStr">
        <is>
          <t>doi:10.2196/66556</t>
        </is>
      </c>
      <c r="Y27" s="4" t="n"/>
      <c r="Z27" s="4" t="n"/>
      <c r="AA27" s="4" t="n"/>
      <c r="AB27" s="40" t="n"/>
    </row>
    <row r="28" ht="409" customHeight="1">
      <c r="A28" s="4" t="n">
        <v>27</v>
      </c>
      <c r="B28" s="4" t="inlineStr">
        <is>
          <t>include_after_title_abstract_screen</t>
        </is>
      </c>
      <c r="C28" s="4" t="inlineStr">
        <is>
          <t>Incluir provisionalmente</t>
        </is>
      </c>
      <c r="D28" s="4" t="inlineStr">
        <is>
          <t>Provisional include</t>
        </is>
      </c>
      <c r="E28" s="4" t="inlineStr">
        <is>
          <t>Sí</t>
        </is>
      </c>
      <c r="F28" s="4" t="inlineStr">
        <is>
          <t>Title/abstract screening</t>
        </is>
      </c>
      <c r="G28" s="4" t="n"/>
      <c r="H28" s="4" t="n"/>
      <c r="I28" s="4" t="n"/>
      <c r="J28" s="4" t="inlineStr">
        <is>
          <t>Estudio primario o implementación/evaluación empírica de IA, aprendizaje automático o modelado computacional aplicado a ASD, riesgo, caracterización, apoyo o intervención.</t>
        </is>
      </c>
      <c r="K28" s="4" t="n"/>
      <c r="L28" s="4" t="n"/>
      <c r="M28" s="4" t="n">
        <v>2025</v>
      </c>
      <c r="N28" s="4" t="inlineStr">
        <is>
          <t>Developing a simplified measure to predict the risk of autism spectrum disorders: Abbreviating the M-CHAT-R using a machine learning approach in China</t>
        </is>
      </c>
      <c r="O28" s="4" t="inlineStr">
        <is>
          <t>Ning Pan and Lifeng Chen and Bocheng Wu and Fangfang Chen and Jin Chen and Saijun Huang and Cuihua Guo and Jinqing Wu and Yujie Wang and Xian Chen and Shirui Yang and Jin Jing and Xuchu Weng and Lizi Lin and Jiuxing Liang and Xin Wang</t>
        </is>
      </c>
      <c r="P28" s="4" t="inlineStr">
        <is>
          <t>10.1016/j.psychres.2025.116353</t>
        </is>
      </c>
      <c r="Q28" s="4" t="inlineStr">
        <is>
          <t>Psychiatry Research</t>
        </is>
      </c>
      <c r="R28" s="4" t="inlineStr">
        <is>
          <t>article</t>
        </is>
      </c>
      <c r="S28" s="4" t="inlineStr">
        <is>
          <t>Elsevier Ireland Ltd</t>
        </is>
      </c>
      <c r="T28" s="4" t="inlineStr">
        <is>
          <t>https://www.sciencedirect.com/science/article/pii/S0165178125000022</t>
        </is>
      </c>
      <c r="U28" s="4" t="n"/>
      <c r="V28" s="4" t="inlineStr">
        <is>
          <t>Background: Early screening for autism spectrum disorder (ASD) is crucial, yet current assessment tools in Chinese primary child care are limited in efficacy. Objective: This study aims to employ machine learning algorithms to identify key indicators from the 20-item Modified Checklist for Autism in Toddlers, revised (M-CHAT-R) combining with ASD-related sociodemographic and environmental factors, to distinguish ASD from typically developing children. Methods: Data from our prior validation study of the Chinese M-CHAT-R (August 2016–March 2017, n = 6,049 toddlers) were reviewed. We extracted the 20-item M-CHAT-R data and integrated 17 sociodemographic and environmental risk factors associated with ASD development to strengthen M-CHAT-R's machine learning screening. Five feature selection methods were used to extract subsets from the original set. Six machine learning algorithms were applied to identify the optimal subset distinguishing clinically diagnosed ASD toddlers from typically developing toddlers. Findings: Nine features were grouped into three subsets: subset 1 contained unanimously recommended items (A1 [Follows point], A3 [Pretend play], A9 [Brings objects to show], A10 [Response to name] and A16 [Gazing following]). Subset 2 added two items (A17 [Gaining parent's attention] and A18 [Understands what is said]), and subset 3 included two more items (A8 [Interest in other children] and child's age). The top-performing algorithm resulted in a seven-item classifier of subset 2 with 92.5 % sensitivity, 90.1 % specificity, and 10.0 % positive predictive value. Conclusions: Machine learning classifiers effectively differentiate ASD toddlers from typically developing toddlers using a reduced M-CHAT-R item set. Clinical implications: This highlights the clinical significance of machine learning-optimized models for ASD screening in primary health care centers and broader applications.</t>
        </is>
      </c>
      <c r="W28" s="4" t="inlineStr">
        <is>
          <t>title_abstract_plus_targeted_primary_source_verification</t>
        </is>
      </c>
      <c r="X28" s="4" t="inlineStr">
        <is>
          <t>doi:10.1016/j.psychres.2025.116353</t>
        </is>
      </c>
      <c r="Y28" s="4" t="n"/>
      <c r="Z28" s="4" t="n"/>
      <c r="AA28" s="4" t="n"/>
      <c r="AB28" s="40" t="n"/>
    </row>
    <row r="29" ht="409" customHeight="1">
      <c r="A29" s="4" t="n">
        <v>28</v>
      </c>
      <c r="B29" s="4" t="inlineStr">
        <is>
          <t>exclude_secondary_or_nonempirical_publication</t>
        </is>
      </c>
      <c r="C29" s="4" t="inlineStr">
        <is>
          <t>Excluir: publicación secundaria/no empírica</t>
        </is>
      </c>
      <c r="D29" s="4" t="inlineStr">
        <is>
          <t>Excluded</t>
        </is>
      </c>
      <c r="E29" s="4" t="inlineStr">
        <is>
          <t>No</t>
        </is>
      </c>
      <c r="F29" s="4" t="inlineStr">
        <is>
          <t>Title/abstract screening</t>
        </is>
      </c>
      <c r="G29" s="4" t="n"/>
      <c r="H29" s="4" t="n"/>
      <c r="I29" s="4" t="n"/>
      <c r="J29" s="4" t="inlineStr">
        <is>
          <t>Revisión, metaanálisis, encuesta de literatura, protocolo, perspectiva, carta, editorial o capítulo de síntesis sin estudio primario elegible.</t>
        </is>
      </c>
      <c r="K29" s="4" t="n"/>
      <c r="L29" s="4" t="n"/>
      <c r="M29" s="4" t="n">
        <v>2026</v>
      </c>
      <c r="N29" s="4" t="inlineStr">
        <is>
          <t>Barriers and Facilitators to the 3 Sides of Extended Reality-Rehabilitation Adoption: Scoping Review</t>
        </is>
      </c>
      <c r="O29" s="4" t="inlineStr">
        <is>
          <t>Luuk Baltissen and Miranda Stienstra and Lien Denoo and Joris Knoben</t>
        </is>
      </c>
      <c r="P29" s="4" t="inlineStr">
        <is>
          <t>10.2196/80055</t>
        </is>
      </c>
      <c r="Q29" s="4" t="inlineStr">
        <is>
          <t>Journal of Medical Internet Research</t>
        </is>
      </c>
      <c r="R29" s="4" t="inlineStr">
        <is>
          <t>article</t>
        </is>
      </c>
      <c r="S29" s="4" t="inlineStr">
        <is>
          <t>JMIR Publications Inc.</t>
        </is>
      </c>
      <c r="T29" s="4" t="inlineStr">
        <is>
          <t>https://doi.org/10.2196/80055</t>
        </is>
      </c>
      <c r="U29" s="4" t="n"/>
      <c r="V29" s="4" t="inlineStr">
        <is>
          <t>Background: Rehabilitation using extended reality (XR) technologies can be used to address the growing shortage of health care staff, but the adoption level remains low. The current literature has given some first insights into what drives patients and clinicians to (not yet) adopt XR-rehabilitation tools. However, it does not sufficiently take into account that these tools will only be widely adopted if 3 types of actors collectively commit to it: developers must develop a tool, clinicians must prescribe it, and patients must use it. Because the preferences of these 3 actors may not always align, we aim to provide the first multi-actor insight into adoption. Objective: This research aims (1) to determine what drives patients, clinicians, and developers to adopt or develop XR-rehabilitation tools and (2) to determine if and how these drivers align or misalign. Methods: We searched PubMed, Embase, SCOPUS, and Web of Science with four search term categories: (1) types of rehabilitation care, (2) XR technologies, (3) adoption constructs, and (4) behavioral drivers. Using these search terms, we identified 1164 results, of which we included 64 in our review. All relevant empirical results within these papers were structured using the Non-adoption, Abandonment, Scale-up, Spread, and Sustainability (NASSS) framework. Results: After exploring the adoption drivers of patients, clinicians, and developers, we identified 3 potential misalignments among these actors. The first possible misalignment is that clinicians may have much higher standards for a tool’s medical efficacy. Because of this, they refuse to prescribe a medically less effective tool that would have matched the experience needs of patients and developers. The second possible misalignment is that clinicians value their work experience, while this is not a relevant factor for patients. Because using XR-rehabilitation tools can negatively impact a clinician’s work experience, they may decide not to use a tool that patients and developers would have liked to use and develop. The third possible misalignment is that the patients’ and clinicians’ limited ability or willingness to pay may hinder the developer’s economies of scale. Developers currently face high development costs, which they can recover by letting patients or clinicians pay for the tool. But these actors are not always able or willing to do so. As a result, developers may struggle to gain profitability, which limits the supply of XR tools. Conclusions: Our scoping review provides initial evidence that differences in the behavioral drivers of patients, clinicians, and developers may lead to misalignments that hinder the adoption of XR-based rehabilitation tools. Scholars can use this review to further investigate potential misalignments between relevant stakeholders and how to resolve them. We encourage developers and regulatory institutes to collaboratively investigate the feasibility of new revenue models and product offerings to increase the adoption of XR-rehabilitation tools.</t>
        </is>
      </c>
      <c r="W29" s="4" t="inlineStr">
        <is>
          <t>title_abstract_plus_targeted_primary_source_verification</t>
        </is>
      </c>
      <c r="X29" s="4" t="inlineStr">
        <is>
          <t>doi:10.2196/80055</t>
        </is>
      </c>
      <c r="Y29" s="4" t="n"/>
      <c r="Z29" s="4" t="n"/>
      <c r="AA29" s="4" t="n"/>
      <c r="AB29" s="40" t="n"/>
    </row>
    <row r="30" ht="409" customHeight="1">
      <c r="A30" s="4" t="n">
        <v>29</v>
      </c>
      <c r="B30" s="4" t="inlineStr">
        <is>
          <t>exclude_out_of_scope_topic_or_population</t>
        </is>
      </c>
      <c r="C30" s="4" t="inlineStr">
        <is>
          <t>Excluir: tema/población fuera de alcance</t>
        </is>
      </c>
      <c r="D30" s="4" t="inlineStr">
        <is>
          <t>Excluded</t>
        </is>
      </c>
      <c r="E30" s="4" t="inlineStr">
        <is>
          <t>No</t>
        </is>
      </c>
      <c r="F30" s="4" t="inlineStr">
        <is>
          <t>Title/abstract screening</t>
        </is>
      </c>
      <c r="G30" s="4" t="n"/>
      <c r="H30" s="4" t="n"/>
      <c r="I30" s="4" t="n"/>
      <c r="J30" s="4" t="inlineStr">
        <is>
          <t>No estudia ASD en el sentido del protocolo, usa otro significado de ASD o aborda otra población/resultado sin aplicación pertinente al proceso ASD.</t>
        </is>
      </c>
      <c r="K30" s="4" t="n"/>
      <c r="L30" s="4" t="n"/>
      <c r="M30" s="4" t="n">
        <v>2026</v>
      </c>
      <c r="N30" s="4" t="inlineStr">
        <is>
          <t>Therapeutic Use of Virtual Reality for Patients With Fibromyalgia and Chronic Neck Pain: Randomized Controlled Trial</t>
        </is>
      </c>
      <c r="O30" s="4" t="inlineStr">
        <is>
          <t>Edurne Úbeda-D’Ocasar and Yaiza Moreno-Crespo and Eduardo Cimadevilla-Fernández-Pola and Juan Hernández-Lougedo and Álvaro Navas-Mosqueda and Mario Caballero-Corella and Noemí Mayoral-Gonzalo and Blanca Pedauyé-Rueda and María Jesús Fernández-Aceñero and Juan Pablo Hervás-Pérez and Cristina Ojedo-Martín</t>
        </is>
      </c>
      <c r="P30" s="4" t="inlineStr">
        <is>
          <t>10.2196/84364</t>
        </is>
      </c>
      <c r="Q30" s="4" t="inlineStr">
        <is>
          <t>JMIR Rehabilitation and Assistive Technologies</t>
        </is>
      </c>
      <c r="R30" s="4" t="inlineStr">
        <is>
          <t>article</t>
        </is>
      </c>
      <c r="S30" s="4" t="inlineStr">
        <is>
          <t>JMIR Publications Inc.</t>
        </is>
      </c>
      <c r="T30" s="4" t="inlineStr">
        <is>
          <t>https://doi.org/10.2196/84364</t>
        </is>
      </c>
      <c r="U30" s="4" t="n"/>
      <c r="V30" s="4" t="inlineStr">
        <is>
          <t>Background: Fibromyalgia (FM) causes widespread pain, fatigue, and cognitive abnormalities. Cervical pain is a common and debilitating symptom. Objective: This study aims to evaluate the effectiveness of virtual reality (VR) as a treatment for chronic cervical pain experienced by patients with FM. Methods: A single-blind randomized clinical trial was conducted. A total of 56 women were randomly assigned to 3 groups: G1 (VR+cervical mobility exercises), G2 (cervical mobility exercises), and the control group. Therapy was administered twice a week for 4 weeks. Variables such as disease impact, quality of life, kinesiophobia, pain, range of motion, fatigue, and treatment adherence were measured. Results: The mean age of the participants was 54.26 (SD 7.7) years. Participants were overweight, with a mean BMI of 28.7 (SD 7.8). The mean visual analog scale value was 6.72 (SD 1.8). The baseline values for age, BMI, visual analog scale, algometric measures, and functional capacity (measured using the Timed Up and Go test, cervical rotation, and lateral displacement) were similar across the 3 groups. Following the intervention therapy, the control group did not exhibit notable improvement (mean 3.5, SD 1.4; differences of mean values –0.46, 95% CI –1.1 to 0.2; P=.15), particularly in pain perception, while both therapy groups did show improvements (G1: mean 3.8, SD 1.1; differences of mean values 1.2, 95% CI 0.78-1.54; P&lt;.001; G2: mean 2.8, SD 1.8; differences of mean values 1.2, 95% CI 0.66-1.7; P&lt;.001). Both intervention groups improved significantly compared to control postintervention in FM impact (CG vs G1: differences of mean values 9.31, 95% CI 14.7-3.8; P&lt;.001; CG vs G2: differences of mean values 8.4, 95% CI 13.84-3.06; P&lt;.001), central sensitization (CG vs G2: differences of mean values 7.53, 95% CI 12.12-2.95; P&lt;.001), and cervical disability (CG vs G2: differences of mean values 6.44, 95% CI 9.93-2.94; P&lt;.001). However, at 1 month, only G1 maintained superior improvements across all measures, including a reduction in kinesiophobia (G2: differences of mean values 6.2, 95% CI 4.7-9.8; P&lt;.001), indicating a more sustained effect of the combined approach. Conclusions: The combination of VR with cervical mobility and strengthening exercises produced superior and sustained improvements in women with FM compared to exercise alone or control. Significant benefits were observed in disease impact, central sensitization, cervical disability, and kinesiophobia, with effects maintained at 1 month only in the VR group. These findings support VR as an effective adjunct to enhance symptom management and treatment adherence in FM.</t>
        </is>
      </c>
      <c r="W30" s="4" t="inlineStr">
        <is>
          <t>title_abstract_plus_targeted_primary_source_verification</t>
        </is>
      </c>
      <c r="X30" s="4" t="inlineStr">
        <is>
          <t>doi:10.2196/84364</t>
        </is>
      </c>
      <c r="Y30" s="4" t="n"/>
      <c r="Z30" s="4" t="n"/>
      <c r="AA30" s="4" t="n"/>
      <c r="AB30" s="40" t="n"/>
    </row>
    <row r="31" ht="409" customHeight="1">
      <c r="A31" s="4" t="n">
        <v>30</v>
      </c>
      <c r="B31" s="4" t="inlineStr">
        <is>
          <t>exclude_secondary_or_nonempirical_publication</t>
        </is>
      </c>
      <c r="C31" s="4" t="inlineStr">
        <is>
          <t>Excluir: publicación secundaria/no empírica</t>
        </is>
      </c>
      <c r="D31" s="4" t="inlineStr">
        <is>
          <t>Excluded</t>
        </is>
      </c>
      <c r="E31" s="4" t="inlineStr">
        <is>
          <t>No</t>
        </is>
      </c>
      <c r="F31" s="4" t="inlineStr">
        <is>
          <t>Title/abstract screening</t>
        </is>
      </c>
      <c r="G31" s="4" t="n"/>
      <c r="H31" s="4" t="n"/>
      <c r="I31" s="4" t="n"/>
      <c r="J31" s="4" t="inlineStr">
        <is>
          <t>Revisión, metaanálisis, encuesta de literatura, protocolo, perspectiva, carta, editorial o capítulo de síntesis sin estudio primario elegible.</t>
        </is>
      </c>
      <c r="K31" s="4" t="n"/>
      <c r="L31" s="4" t="n"/>
      <c r="M31" s="4" t="n">
        <v>2025</v>
      </c>
      <c r="N31" s="4" t="inlineStr">
        <is>
          <t>The emergence of artificial intelligence in autism spectrum disorder research: A review of neuro imaging and behavioral applications</t>
        </is>
      </c>
      <c r="O31" s="4" t="inlineStr">
        <is>
          <t>Indra Devi Indra and Durai Raj Vincent Durai Raj</t>
        </is>
      </c>
      <c r="P31" s="4" t="inlineStr">
        <is>
          <t>10.1016/j.cosrev.2024.100718</t>
        </is>
      </c>
      <c r="Q31" s="4" t="inlineStr">
        <is>
          <t>Computer Science Review</t>
        </is>
      </c>
      <c r="R31" s="4" t="inlineStr">
        <is>
          <t>article</t>
        </is>
      </c>
      <c r="S31" s="4" t="inlineStr">
        <is>
          <t>Elsevier Ireland Ltd</t>
        </is>
      </c>
      <c r="T31" s="4" t="inlineStr">
        <is>
          <t>https://www.sciencedirect.com/science/article/pii/S1574013724001011</t>
        </is>
      </c>
      <c r="U31" s="4" t="n"/>
      <c r="V31" s="4" t="inlineStr">
        <is>
          <t>The quest to find reliable biomarkers in autism spectrum disorders (ASD) is an ongoing endeavour to identify both underlying causes and measurable indicators of this neurodevelopmental condition. Machine learning (ML) and advanced deep learning (DL) techniques have enhanced biomarker identification in neuroimaging and behavioral studies, aiding in diagnostic accuracy and early detection. This review paper examines the transformative impact of applying machine learning (ML), particularly deep learning (DL) techniques such as transfer learning and transformer architectures, in advancing ASD diagnosis. The review begins by critically assessing existing literature utilizing ML techniques like logistic regression, random forest, and support vector machines in identifying biomarkers that could potentially aid in the diagnosis of ASD and differentiate between ASD and neurotypical individuals. The focus then shifts to DL models, including Multilayer Perceptrons, Convolutional Neural Networks, Graph Neural Networks, and Long Short-Term Memory networks, to evaluate their suitability for identifying complex patterns linked to ASD. Addressing limited datasets, the review examines transfer learning with pre-trained models, including VGG, ResNet, DenseNet, MobileNet, Inception, and Xception architectures. Additionally, using the ABIDE-I dataset, VGG19, MobileNet, InceptionV3, and DenseNet121 were applied, evaluating their performance through accuracy, sensitivity, specificity, and F1 score. The review further considers transformer architectures, such as Vision Transformers, Swin Transformers, Spatial Temporal Transformers, BolT Transformer, and Convolutional Network Transformer for capturing long-range dependencies in ASD diagnosis. This review aims to be an essential reference for researchers exploring the field of AI-powered ASD diagnosis and classification, by offering analysis of various approaches and highlighting recent advancements.</t>
        </is>
      </c>
      <c r="W31" s="4" t="inlineStr">
        <is>
          <t>title_abstract_plus_targeted_primary_source_verification</t>
        </is>
      </c>
      <c r="X31" s="4" t="inlineStr">
        <is>
          <t>doi:10.1016/j.cosrev.2024.100718</t>
        </is>
      </c>
      <c r="Y31" s="4" t="n"/>
      <c r="Z31" s="4" t="n"/>
      <c r="AA31" s="4" t="n"/>
      <c r="AB31" s="40" t="n"/>
    </row>
    <row r="32" ht="409" customHeight="1">
      <c r="A32" s="4" t="n">
        <v>31</v>
      </c>
      <c r="B32" s="4" t="inlineStr">
        <is>
          <t>include_after_title_abstract_screen</t>
        </is>
      </c>
      <c r="C32" s="4" t="inlineStr">
        <is>
          <t>Incluir provisionalmente</t>
        </is>
      </c>
      <c r="D32" s="4" t="inlineStr">
        <is>
          <t>Provisional include</t>
        </is>
      </c>
      <c r="E32" s="4" t="inlineStr">
        <is>
          <t>Sí</t>
        </is>
      </c>
      <c r="F32" s="4" t="inlineStr">
        <is>
          <t>Title/abstract screening</t>
        </is>
      </c>
      <c r="G32" s="4" t="n"/>
      <c r="H32" s="4" t="n"/>
      <c r="I32" s="4" t="n"/>
      <c r="J32" s="4" t="inlineStr">
        <is>
          <t>Estudio primario o implementación/evaluación empírica de IA, aprendizaje automático o modelado computacional aplicado a ASD, riesgo, caracterización, apoyo o intervención.</t>
        </is>
      </c>
      <c r="K32" s="4" t="n"/>
      <c r="L32" s="4" t="n"/>
      <c r="M32" s="4" t="n">
        <v>2025</v>
      </c>
      <c r="N32" s="4" t="inlineStr">
        <is>
          <t>Replication of rs10099100 Association with Autism Spectrum Disorder Risk in a Polish‐Origin Cohort</t>
        </is>
      </c>
      <c r="O32" s="4" t="inlineStr">
        <is>
          <t>Joanna Karwowska and Aneta Polewko-Klim and Barbara Panasiuk and Beata Stasiewicz-Jarocka and Alireza Tafazoli and Edyta Dobrowolska and Katarzyna Jarząbek and Renata Posmyk and Natalia Wawrusiewicz-Kurylonek</t>
        </is>
      </c>
      <c r="P32" s="4" t="inlineStr">
        <is>
          <t>10.1016/j.reia.2025.202542</t>
        </is>
      </c>
      <c r="Q32" s="4" t="inlineStr">
        <is>
          <t>Research in Autism</t>
        </is>
      </c>
      <c r="R32" s="4" t="inlineStr">
        <is>
          <t>article</t>
        </is>
      </c>
      <c r="S32" s="4" t="inlineStr">
        <is>
          <t>Elsevier Ltd</t>
        </is>
      </c>
      <c r="T32" s="4" t="inlineStr">
        <is>
          <t>https://www.sciencedirect.com/science/article/pii/S3050656525000148</t>
        </is>
      </c>
      <c r="U32" s="4" t="n"/>
      <c r="V32" s="4" t="inlineStr">
        <is>
          <t>Background: The genetic basis of autism spectrum disorders (ASD) remains unidentified and unclear. The aim of our study was to conduct replication analyses of previously described ten single nucleotide polymorphisms in a group of candidate susceptibility ASD-genes and loci – SOX7, BEND4, FHIT, ATP2B2, PRKG1, LINC02720, EEF1A2, LOC100422212 and LINC02301 in autistic Polish child population. Methods: The study population consisted of a group of 143 unrelated Polish-origin Caucasian patients with autism and 264 healthy subjects. The single nucleotide polymorphisms analysis was performed using the allelic discrimination technique. Boruta and random forest machine learning (ML) algorithms were used for identifying important genetic, and phenotypic markers in ASD patients. Results: Our results identify the existence of a strong risk factor of the SOX7 gene polymorphism, namely C risk allele rs10099100 (P = 6.67e-13, odds ratio of 2.92 (OR)) for the development of ASD in the group of studied patients. This variant proved to be a typical male risk factor for developing boys-ASD group as compared to healthy boys (63 % vs 31 %, P = 4. 77e-11, OR of 3.69). For the nine remaining polymorphisms analyzed in our cohort, which have been described in other populations in the available literature, we did not achieve replicability. Conclusions: Our results may be useful in screening and early diagnosis of children vulnerable to autism spectrum disorders. It will result in the immediate implementation of vital therapies, reasonable learning facilitations and social training, which brings about a greater chance to enjoy a better quality of life for people on the spectrum.</t>
        </is>
      </c>
      <c r="W32" s="4" t="inlineStr">
        <is>
          <t>title_abstract_plus_targeted_primary_source_verification</t>
        </is>
      </c>
      <c r="X32" s="4" t="inlineStr">
        <is>
          <t>doi:10.1016/j.reia.2025.202542</t>
        </is>
      </c>
      <c r="Y32" s="4" t="n"/>
      <c r="Z32" s="4" t="n"/>
      <c r="AA32" s="4" t="n"/>
      <c r="AB32" s="40" t="n"/>
    </row>
    <row r="33" ht="409" customHeight="1">
      <c r="A33" s="4" t="n">
        <v>32</v>
      </c>
      <c r="B33" s="4" t="inlineStr">
        <is>
          <t>exclude_out_of_scope_topic_or_population</t>
        </is>
      </c>
      <c r="C33" s="4" t="inlineStr">
        <is>
          <t>Excluir: tema/población fuera de alcance</t>
        </is>
      </c>
      <c r="D33" s="4" t="inlineStr">
        <is>
          <t>Excluded</t>
        </is>
      </c>
      <c r="E33" s="4" t="inlineStr">
        <is>
          <t>No</t>
        </is>
      </c>
      <c r="F33" s="4" t="inlineStr">
        <is>
          <t>Title/abstract screening</t>
        </is>
      </c>
      <c r="G33" s="4" t="n"/>
      <c r="H33" s="4" t="n"/>
      <c r="I33" s="4" t="n"/>
      <c r="J33" s="4" t="inlineStr">
        <is>
          <t>No estudia ASD en el sentido del protocolo, usa otro significado de ASD o aborda otra población/resultado sin aplicación pertinente al proceso ASD.</t>
        </is>
      </c>
      <c r="K33" s="4" t="n"/>
      <c r="L33" s="4" t="n"/>
      <c r="M33" s="4" t="n">
        <v>2026</v>
      </c>
      <c r="N33" s="4" t="inlineStr">
        <is>
          <t>Centering Equity During Health Technology Innovation: Scoping Review of Methods and Research Adjustments to Promote Inclusive Coproduction</t>
        </is>
      </c>
      <c r="O33" s="4" t="inlineStr">
        <is>
          <t>Kara Burns and Carrie Van Rensburg and Shoshana Bloom and Cleva Villanueva and Amio Matenga-Ikihele and Ngaree Blow and Antonela Vogranic and Elizabeth M Crone and Clea Du Toit and Maya G Panniset and Mahima Kalla and Noor El-Dassouki and Sreshta Sheri and Syed Mustafa Ali and Lama Nazer and Lindsay A Stevens and Hasan Ferdous and Husain Salilul Akareem and Raima Lohani and Cecily Gilbert and Bronwen Merner</t>
        </is>
      </c>
      <c r="P33" s="4" t="inlineStr">
        <is>
          <t>10.2196/89596</t>
        </is>
      </c>
      <c r="Q33" s="4" t="inlineStr">
        <is>
          <t>Journal of Medical Internet Research</t>
        </is>
      </c>
      <c r="R33" s="4" t="inlineStr">
        <is>
          <t>article</t>
        </is>
      </c>
      <c r="S33" s="4" t="inlineStr">
        <is>
          <t>JMIR Publications Inc.</t>
        </is>
      </c>
      <c r="T33" s="4" t="inlineStr">
        <is>
          <t>https://doi.org/10.2196/89596</t>
        </is>
      </c>
      <c r="U33" s="4" t="n"/>
      <c r="V33" s="4" t="inlineStr">
        <is>
          <t>Background: Digital health has the potential to mitigate health inequity for priority populations who are underserved or marginalized by the health system. However, there is a lack of practical guidance on how to include priority communities in the coproduction of digital health technologies, particularly across the entire lifecycle of innovation, including research, development, and evaluation. Objective: The aim of this scoping review was to systematically identify and assess published methods used during digital health innovation to promote equitable inclusion of priority communities at every stage of the Centre for eHealth Research roadmap for digital health technologies. Methods: This review was based on the Arksey and O’Malley framework for scoping reviews. A 6-stage framework was used to execute the review. To increase the trustworthiness of the findings, an expert advisory group was consulted, and their feedback incorporated into the final manuscript. The Participant, Concept, and Context framework was used to structure the inclusion criteria. Results: The review identified a total of 106 articles, 58 methods, 4 approaches, and 17 research adjustments used to coproduce digital health technologies with priority communities. Common methods across multiple stages included interviews, focus groups, surveys, and workshops; however, the most accessible way to make equity a practical reality during health technology innovation is to appoint a priority population community advisor, or advisory group, from project inception to project closure. Visual and creative methods like photovoice, home tours, and body-mapping were also used, often by priority population researchers themselves. Research adjustments that promote patient safety and comfort, enhanced literacy, peer-support, and recognize sociocultural and demographic considerations have been used to increase the inclusion of priority populations during digital health innovation. Conclusions: Embedding equity is possible using the practical methods and research adjustments identified to promote inclusive coproduction. Professionals working across health care, health informatics, research, digital health, and technology development can use these findings to center digital health equity during technology innovation. This research also recognizes that coproduction must draw on epistemological frameworks, or ways of thinking, which support Indigenous and other priority population knowledge systems. A solely Western lens risks reinforcing structural barriers and overlooking essential knowledge, as demonstrated by this review when the search strategy missed key scholarly works by priority population authors themselves.</t>
        </is>
      </c>
      <c r="W33" s="4" t="inlineStr">
        <is>
          <t>title_abstract_plus_targeted_primary_source_verification</t>
        </is>
      </c>
      <c r="X33" s="4" t="inlineStr">
        <is>
          <t>doi:10.2196/89596</t>
        </is>
      </c>
      <c r="Y33" s="4" t="n"/>
      <c r="Z33" s="4" t="n"/>
      <c r="AA33" s="4" t="n"/>
      <c r="AB33" s="40" t="n"/>
    </row>
    <row r="34" ht="409" customHeight="1">
      <c r="A34" s="4" t="n">
        <v>33</v>
      </c>
      <c r="B34" s="4" t="inlineStr">
        <is>
          <t>exclude_out_of_scope_topic_or_population</t>
        </is>
      </c>
      <c r="C34" s="4" t="inlineStr">
        <is>
          <t>Excluir: tema/población fuera de alcance</t>
        </is>
      </c>
      <c r="D34" s="4" t="inlineStr">
        <is>
          <t>Excluded</t>
        </is>
      </c>
      <c r="E34" s="4" t="inlineStr">
        <is>
          <t>No</t>
        </is>
      </c>
      <c r="F34" s="4" t="inlineStr">
        <is>
          <t>Title/abstract screening</t>
        </is>
      </c>
      <c r="G34" s="4" t="n"/>
      <c r="H34" s="4" t="n"/>
      <c r="I34" s="4" t="n"/>
      <c r="J34" s="4" t="inlineStr">
        <is>
          <t>No estudia ASD en el sentido del protocolo, usa otro significado de ASD o aborda otra población/resultado sin aplicación pertinente al proceso ASD.</t>
        </is>
      </c>
      <c r="K34" s="4" t="n"/>
      <c r="L34" s="4" t="n"/>
      <c r="M34" s="4" t="n">
        <v>2026</v>
      </c>
      <c r="N34" s="4" t="inlineStr">
        <is>
          <t>Gamified Assessment of Cognitive Impulsivity in Eating Disorders and Mental Ill-Health: Mixed Methods Study Incorporating Lived Experience Co-Design and Evaluation</t>
        </is>
      </c>
      <c r="O34" s="4" t="inlineStr">
        <is>
          <t>Emily Colton and Courtney McLean and Alexandra Anderson and Lauren Hanegraaf and Antonio Verdejo-Garcia</t>
        </is>
      </c>
      <c r="P34" s="4" t="inlineStr">
        <is>
          <t>10.2196/79784</t>
        </is>
      </c>
      <c r="Q34" s="4" t="inlineStr">
        <is>
          <t>JMIR Serious Games</t>
        </is>
      </c>
      <c r="R34" s="4" t="inlineStr">
        <is>
          <t>article</t>
        </is>
      </c>
      <c r="S34" s="4" t="inlineStr">
        <is>
          <t>JMIR Publications Inc.</t>
        </is>
      </c>
      <c r="T34" s="4" t="inlineStr">
        <is>
          <t>https://doi.org/10.2196/79784</t>
        </is>
      </c>
      <c r="U34" s="4" t="n"/>
      <c r="V34" s="4" t="inlineStr">
        <is>
          <t>Background: Cognitive impulsivity is a multifaceted construct associated with symptom severity, functional impairment, and poor quality of life in eating disorders (EDs) and mental ill-health. However, objective assessment of cognitive impulsivity is piecemeal and complex, with many assessment tools lacking psychometric evaluation and ecological validity. Furthermore, validated assessment tools are rarely perceived to be engaging or meaningful by individuals who complete them, limiting their utility in research and forming a barrier to clinical translation. Thus, although cognitive impulsivity predicts treatment engagement and outcomes, it is rarely assessed or addressed in a clinical context. Objective: We aimed to redesign and evaluate the Cognitive Impulsivity Suite (CIS), a validated gamified assessment battery of cognitive impulsivity, through user-centered co-design, agile game development, and user-centered evaluation. This collaborative study partnered researchers with individuals with lived experiences (LEs) of EDs and commonly co-occurring mental ill-health, and game development experts. Methods: In a sequential mixed methods design, we first defined user requirements through inductive thematic analysis of data from 2 focus groups incorporating 7 individuals with LE of EDs and commonly co-occurring mental health conditions (mean age 27.6, SD 7.03 y; 4 women, 2 men, 1 nonbinary), researchers, clinicians, and technology professionals. Agile game development was achieved through 6-week-long sprints, involving game developers and a play-testing team of researchers. During LE evaluation, we collected and analyzed data from an expanded sample (n=18; mean age 30.5, SD 6.56 y; 12 women, 3 men, 2 nonbinary), using a pragmatic blending of qualitative and quantitative research methods. This included inductive and deductive thematic analysis of “thinking aloud” data, descriptive statistics, and ANOVA tests of the Game User Experience Satisfaction Scale, short version (GUESS-18) surveys. Results: We co-designed guiding principles and ideas for aesthetics, story concepts, and gameplay features, which closely aligned with leading theories of psychological well-being, clinical evidence concerning ED recovery, and gamification frameworks. Qualitative evaluations of the new tool, CIS Papillon Park, showed user engagement and motivation were driven by opportunities for autonomy, personal accomplishment, and simulated interpersonal relationships, aligning with approaches to gamification based on self-determination theory. In quantitative evaluation, a mean GUESS-18 composite score of 45.9 (SD 9.85) showed CIS Papillon Park achieved sound overall user satisfaction, with subscale scores revealing strengths in usability, narrative, visual and audio aesthetics, and personal gratification. Conclusions: The contributions of this study are grounded in its integration of user-centered co-design and evaluation, agile game development, and theory-driven approaches to cognitive assessment and gamification, to redesign and evaluate a validated online task battery. The resulting CIS Papillon Park combines appealing aesthetics, gamification elements that address cognitive, emotional, and social needs, and accessible playing experiences, which maximized user satisfaction and engagement while prioritizing psychological safety. Next steps involve psychometric evaluation and dissemination.</t>
        </is>
      </c>
      <c r="W34" s="4" t="inlineStr">
        <is>
          <t>title_abstract_plus_targeted_primary_source_verification</t>
        </is>
      </c>
      <c r="X34" s="4" t="inlineStr">
        <is>
          <t>doi:10.2196/79784</t>
        </is>
      </c>
      <c r="Y34" s="4" t="n"/>
      <c r="Z34" s="4" t="n"/>
      <c r="AA34" s="4" t="n"/>
      <c r="AB34" s="40" t="n"/>
    </row>
    <row r="35" ht="409" customHeight="1">
      <c r="A35" s="4" t="n">
        <v>34</v>
      </c>
      <c r="B35" s="4" t="inlineStr">
        <is>
          <t>include_after_title_abstract_screen</t>
        </is>
      </c>
      <c r="C35" s="4" t="inlineStr">
        <is>
          <t>Incluir provisionalmente</t>
        </is>
      </c>
      <c r="D35" s="4" t="inlineStr">
        <is>
          <t>Provisional include</t>
        </is>
      </c>
      <c r="E35" s="4" t="inlineStr">
        <is>
          <t>Sí</t>
        </is>
      </c>
      <c r="F35" s="4" t="inlineStr">
        <is>
          <t>Title/abstract screening</t>
        </is>
      </c>
      <c r="G35" s="4" t="n"/>
      <c r="H35" s="4" t="n"/>
      <c r="I35" s="4" t="n"/>
      <c r="J35" s="4" t="inlineStr">
        <is>
          <t>Estudio primario o implementación/evaluación empírica de IA, aprendizaje automático o modelado computacional aplicado a ASD, riesgo, caracterización, apoyo o intervención.</t>
        </is>
      </c>
      <c r="K35" s="4" t="n"/>
      <c r="L35" s="4" t="n"/>
      <c r="M35" s="4" t="n">
        <v>2025</v>
      </c>
      <c r="N35" s="4" t="inlineStr">
        <is>
          <t>Diagnosis of autism spectrum disorder—prediction and analysis of enhanced classification model based on machine learning</t>
        </is>
      </c>
      <c r="O35" s="4" t="inlineStr">
        <is>
          <t>M S Sankari and A Kannammal</t>
        </is>
      </c>
      <c r="P35" s="4" t="inlineStr">
        <is>
          <t>10.1016/B978-0-443-30080-6.00018-3</t>
        </is>
      </c>
      <c r="Q35" s="4" t="inlineStr">
        <is>
          <t>Computational Intelligence for Genomics Data</t>
        </is>
      </c>
      <c r="R35" s="4" t="inlineStr">
        <is>
          <t>article</t>
        </is>
      </c>
      <c r="S35" s="4" t="inlineStr">
        <is>
          <t>Elsevier</t>
        </is>
      </c>
      <c r="T35" s="4" t="inlineStr">
        <is>
          <t>https://www.sciencedirect.com/science/article/pii/B9780443300806000183</t>
        </is>
      </c>
      <c r="U35" s="4" t="n"/>
      <c r="V35" s="4" t="inlineStr">
        <is>
          <t>This chapter explores the utilization of artificial intelligence models and their impact on how individuals perceive and interact with those demonstrating characteristics linked to autism spectrum disorder (ASD). The emphasis lies on language proficiency, social abilities, stereotypical behavior, and developmental delays linked to cognitive impairments and genetic influences. Although collecting huge amounts of data for these intricate traits poses a time-consuming challenge, the research utilizes traditional machine learning algorithms to streamline the diagnostic process and to identify the critical traits, thereby improving the identification of individuals with ASD by utilizing a variety of machine learning algorithms. The research's uniqueness lies in extensive and considerable experimentation with classifier models, pinpointing the significant traits, and optimizing hyperparameters for remarkable outcomes. The assessment integrates essential performance evaluation metrics such as accuracy, precision, recall, and the F1 score, along with other relevant indicators. While ASD evaluation may be perceived as tedious, the study underscores the significance of increasing awareness regarding associated risks. Upon scrutinizing the Toddler dataset, the research demonstrates that the artificial neural network (ANN) model surpasses other conventional machine learning algorithms. Despite the considered tedious nature of evaluating ASD, the research emphasizes that severity can be mitigated through early screening measures. The focus is on employing machine learning classifier models to analyze and identify efficient techniques for predictive tasks.</t>
        </is>
      </c>
      <c r="W35" s="4" t="inlineStr">
        <is>
          <t>title_abstract_plus_targeted_primary_source_verification</t>
        </is>
      </c>
      <c r="X35" s="4" t="inlineStr">
        <is>
          <t>doi:10.1016/b978-0-443-30080-6.00018-3</t>
        </is>
      </c>
      <c r="Y35" s="4" t="n"/>
      <c r="Z35" s="4" t="n"/>
      <c r="AA35" s="4" t="n"/>
      <c r="AB35" s="40" t="n"/>
    </row>
    <row r="36" ht="409" customHeight="1">
      <c r="A36" s="4" t="n">
        <v>35</v>
      </c>
      <c r="B36" s="4" t="inlineStr">
        <is>
          <t>include_after_full_text_open_access</t>
        </is>
      </c>
      <c r="C36" s="4" t="inlineStr">
        <is>
          <t>Incluir tras revisión de texto completo abierto</t>
        </is>
      </c>
      <c r="D36" s="4" t="inlineStr">
        <is>
          <t>Provisional include</t>
        </is>
      </c>
      <c r="E36" s="4" t="inlineStr">
        <is>
          <t>Sí</t>
        </is>
      </c>
      <c r="F36" s="4" t="inlineStr">
        <is>
          <t>Full-text review</t>
        </is>
      </c>
      <c r="G36" s="4" t="n"/>
      <c r="H36" s="4" t="n"/>
      <c r="I36" s="4" t="n"/>
      <c r="J36" s="4" t="inlineStr">
        <is>
          <t>Texto completo confirma estudio primario con Deep Learning aplicado a ASD (Classification (ASD vs control)).</t>
        </is>
      </c>
      <c r="K36" s="4" t="n"/>
      <c r="L36" s="4" t="n"/>
      <c r="M36" s="4" t="n">
        <v>2025</v>
      </c>
      <c r="N36" s="4" t="inlineStr">
        <is>
          <t>Deep Learning Approaches for Classifying Children With and Without Autism Spectrum Disorder Using Inertial Measurement Unit Hand Tracking Data: Comparative Study</t>
        </is>
      </c>
      <c r="O36" s="4" t="inlineStr">
        <is>
          <t>John Mutersbaugh and Wan-Chun Su and Anjana Bhat and Amir Gandjbakhche</t>
        </is>
      </c>
      <c r="P36" s="4" t="inlineStr">
        <is>
          <t>10.2196/73440</t>
        </is>
      </c>
      <c r="Q36" s="4" t="inlineStr">
        <is>
          <t>JMIR Medical Informatics</t>
        </is>
      </c>
      <c r="R36" s="4" t="inlineStr">
        <is>
          <t>article</t>
        </is>
      </c>
      <c r="S36" s="4" t="inlineStr">
        <is>
          <t>JMIR Publications Inc.</t>
        </is>
      </c>
      <c r="T36" s="4" t="inlineStr">
        <is>
          <t>https://doi.org/10.2196/73440</t>
        </is>
      </c>
      <c r="U36" s="4" t="inlineStr">
        <is>
          <t>Texto completo abierto revisado; evidencia y codificación en Extraccion_RQ_nuevos.</t>
        </is>
      </c>
      <c r="V36" s="4" t="inlineStr">
        <is>
          <t>Background: Autism spectrum disorder (ASD) is a prevalent neurodevelopmental condition that can be quite difficult to diagnose due to a lack of objective diagnostic methods in the currently used behavioral assessments. Recent work has shown that children with ASD have a higher incidence of motor control differences. A compilation of studies indicates that between 50% and 88% of the children with ASD have issues with movement control based on standardized motor assessments or parent-reported questionnaires. Objective: In this study, we assess a variety of deep learning approaches for the classification of ASD, utilizing data collected via inertial measurement unit (IMU) hand tracking during goal-directed arm movements. Methods: IMU hand tracking data were recorded from 41 school-aged children both with and without an ASD diagnosis to track their arm movements during a reach-to-clean up task. The IMU data were then preprocessed using a moving average and z score normalization to prepare the data for deep learning models. We evaluated the effectiveness of different deep learning models using the preprocessed data and a k-fold validation approach, as well as a patient-separated approach. Results: The best result was achieved with a convolutional autoencoder combined with long short-term memory layers, reaching an accuracy of 90.21% and an F1-score of 90.02%. Once the convolutional autoencoder+long short-term memory was determined to be the most effective model for this datatype, it was retrained and evaluated with a patient-separated dataset to assess the generalization capability of the model, achieving an accuracy of 91.87% and an F1-score of 93.66%. Conclusions: Our deep learning approach demonstrates that our models hold potential for facilitating ASD diagnosis in clinical settings. This work validates that there are significant differences between the physical movements of typically developing children and children with ASD, and these differences can be identified by analyzing hand-eye coordination skills. Additionally, we have validated that small-scale models can still achieve a high accuracy and good generalization when classifying medical data, opening the door for future research into diagnostic models that may not require massive amounts of data.</t>
        </is>
      </c>
      <c r="W36" s="4" t="inlineStr">
        <is>
          <t>open_full_text_review_2026_09_04</t>
        </is>
      </c>
      <c r="X36" s="4" t="inlineStr">
        <is>
          <t>doi:10.2196/73440</t>
        </is>
      </c>
      <c r="Y36" s="4" t="n"/>
      <c r="Z36" s="4" t="n"/>
      <c r="AA36" s="4" t="n"/>
      <c r="AB36" s="40" t="n"/>
    </row>
    <row r="37" ht="409" customHeight="1">
      <c r="A37" s="4" t="n">
        <v>36</v>
      </c>
      <c r="B37" s="4" t="inlineStr">
        <is>
          <t>exclude_out_of_scope_topic_or_population</t>
        </is>
      </c>
      <c r="C37" s="4" t="inlineStr">
        <is>
          <t>Excluir: tema/población fuera de alcance</t>
        </is>
      </c>
      <c r="D37" s="4" t="inlineStr">
        <is>
          <t>Excluded</t>
        </is>
      </c>
      <c r="E37" s="4" t="inlineStr">
        <is>
          <t>No</t>
        </is>
      </c>
      <c r="F37" s="4" t="inlineStr">
        <is>
          <t>Title/abstract screening</t>
        </is>
      </c>
      <c r="G37" s="4" t="n"/>
      <c r="H37" s="4" t="n"/>
      <c r="I37" s="4" t="n"/>
      <c r="J37" s="4" t="inlineStr">
        <is>
          <t>No estudia ASD en el sentido del protocolo, usa otro significado de ASD o aborda otra población/resultado sin aplicación pertinente al proceso ASD.</t>
        </is>
      </c>
      <c r="K37" s="4" t="n"/>
      <c r="L37" s="4" t="n"/>
      <c r="M37" s="4" t="n">
        <v>2026</v>
      </c>
      <c r="N37" s="4" t="inlineStr">
        <is>
          <t>Health Care Professionals' and Patients' Perceptions and Experiences of Who Uses Video Consultations, and Why: Qualitative Study</t>
        </is>
      </c>
      <c r="O37" s="4" t="inlineStr">
        <is>
          <t>Irene Muli and Åsa Cajander and Nadia Davoody and Lovisa Jäderlund Hagstedt and Helena Hvitfeldt and Maria Hägglund and Marina Taloyan</t>
        </is>
      </c>
      <c r="P37" s="4" t="inlineStr">
        <is>
          <t>10.2196/68658</t>
        </is>
      </c>
      <c r="Q37" s="4" t="inlineStr">
        <is>
          <t>JMIR Human Factors</t>
        </is>
      </c>
      <c r="R37" s="4" t="inlineStr">
        <is>
          <t>article</t>
        </is>
      </c>
      <c r="S37" s="4" t="inlineStr">
        <is>
          <t>JMIR Publications Inc.</t>
        </is>
      </c>
      <c r="T37" s="4" t="inlineStr">
        <is>
          <t>https://doi.org/10.2196/68658</t>
        </is>
      </c>
      <c r="U37" s="4" t="n"/>
      <c r="V37" s="4" t="inlineStr">
        <is>
          <t>Background: Video consultations (VCs) are effective and beneficial, yet their use is being discontinued, and there is a preference for face-to-face consultations. Objective: This study investigates how patients and health care professionals (HCPs) perceive patients' introduction to VCs, who use them, and what drives their use in Swedish primary care. Methods: Six focus group interviews with 27 HCPs and 13 individual interviews with patients in primary care were conducted between August 2022 and May 2023. The interviews examined VC implementation and were analyzed using rapid assessment procedures. Results: A total of five themes were identified: (1) challenging start with unprepared users and immature technology; (2) users and nonusers are perceived to have different characteristics, needs, and circumstances; (3) patient-related drivers: based on patients' preferences and opportunities; (4) HCP-related drivers: clinical suitability, assessment of patient needs, and preferences; and (5) societal and organizational drivers: the pandemic, demographics, and infrastructure. Patients and HCPs described the introduction of VCs as rushed and confusing, with limited guidance and support (theme 1). HCPs struggled to assist patients due to a lack of training and limited access to the patient-facing interface (theme 1). VC users were typically perceived as younger, digitally literate, and motivated by convenience or urgency, while older adults and those with language or cognitive barriers were often assumed to be nonusers (theme 2). VC use was shaped by patient preferences, accessibility, and clinical urgency (theme 3), as well as by HCPs' professional judgment and convenience (theme 4). Assumptions held by HCPs about patients' digital skills and preferences influenced whether VCs were offered, while patients' own assumptions about complexity or suitability affected whether they accepted them. Broader factors, such as digital infrastructure, platform usability, reimbursement policies, and the COVID-19 pandemic, also significantly influenced use (theme 5). Conclusions: The rushed implementation potentially deterred some patients and HCPs from use. Misguided preconceptions and biases negatively influenced VC use and risked reinforcing existing disparities and contributing to digital exclusion. In addition, HCPs' and patients' preferences, which were related to their needs, waiting times, and different circumstances, and potentially misguided judgments of appropriateness, influenced VC use. Lastly, infrastructure, reimbursement, sociodemographics, and organizational type also drive VC use. To support more sustainable and equitable use of VC in primary care, developers should optimize VC applications' usability, implementers should deploy multiple strategies, health care providers should consider the potential of VC in care delivery, and policymakers should increase digital readiness. Further research should evaluate the effectiveness of different strategies for introducing patients to VCs, explore younger patients' and nonusers' perspectives, characteristics of HCP users, and differences between professional roles, as well as between consultation types.</t>
        </is>
      </c>
      <c r="W37" s="4" t="inlineStr">
        <is>
          <t>title_abstract_plus_targeted_primary_source_verification</t>
        </is>
      </c>
      <c r="X37" s="4" t="inlineStr">
        <is>
          <t>doi:10.2196/68658</t>
        </is>
      </c>
      <c r="Y37" s="4" t="n"/>
      <c r="Z37" s="4" t="n"/>
      <c r="AA37" s="4" t="n"/>
      <c r="AB37" s="40" t="n"/>
    </row>
    <row r="38" ht="409" customHeight="1">
      <c r="A38" s="4" t="n">
        <v>37</v>
      </c>
      <c r="B38" s="4" t="inlineStr">
        <is>
          <t>include_after_title_abstract_screen</t>
        </is>
      </c>
      <c r="C38" s="4" t="inlineStr">
        <is>
          <t>Incluir provisionalmente</t>
        </is>
      </c>
      <c r="D38" s="4" t="inlineStr">
        <is>
          <t>Provisional include</t>
        </is>
      </c>
      <c r="E38" s="4" t="inlineStr">
        <is>
          <t>Sí</t>
        </is>
      </c>
      <c r="F38" s="4" t="inlineStr">
        <is>
          <t>Title/abstract screening</t>
        </is>
      </c>
      <c r="G38" s="4" t="n"/>
      <c r="H38" s="4" t="n"/>
      <c r="I38" s="4" t="n"/>
      <c r="J38" s="4" t="inlineStr">
        <is>
          <t>Estudio primario o implementación/evaluación empírica de IA, aprendizaje automático o modelado computacional aplicado a ASD, riesgo, caracterización, apoyo o intervención.</t>
        </is>
      </c>
      <c r="K38" s="4" t="n"/>
      <c r="L38" s="4" t="n"/>
      <c r="M38" s="4" t="n">
        <v>2025</v>
      </c>
      <c r="N38" s="4" t="inlineStr">
        <is>
          <t>Design of adaptive recommendation system for autism children using optimal feature selection-based adaptive dilated 1DCNN-LSTM with attention mechanism</t>
        </is>
      </c>
      <c r="O38" s="4" t="inlineStr">
        <is>
          <t>V Balaji and M Mohana and M Hema and P Gururama Senthilvel</t>
        </is>
      </c>
      <c r="P38" s="4" t="inlineStr">
        <is>
          <t>10.1016/j.eswa.2024.125399</t>
        </is>
      </c>
      <c r="Q38" s="4" t="inlineStr">
        <is>
          <t>Expert Systems with Applications</t>
        </is>
      </c>
      <c r="R38" s="4" t="inlineStr">
        <is>
          <t>article</t>
        </is>
      </c>
      <c r="S38" s="4" t="inlineStr">
        <is>
          <t>Elsevier Ltd</t>
        </is>
      </c>
      <c r="T38" s="4" t="inlineStr">
        <is>
          <t>https://www.sciencedirect.com/science/article/pii/S0957417424022668</t>
        </is>
      </c>
      <c r="U38" s="4" t="n"/>
      <c r="V38" s="4" t="inlineStr">
        <is>
          <t>One kind of neurological disorder is caused in the brain which is defined as Autism Spectrum Disorder (ASD). It has acquired the symptoms that appear in young children. In addition to that, it influences how the individual behaves and learns as well as communicates and interacts with others. More specifically, the term Autism is defined as a developmental disorder that impacts communication and social skills and it may vary from mental handicap cases to relieving superior cognitive abilities, intact, and the characteristic pattern of poor. Moreover, the school activities have acquired various difficulties to the given model that include changes in expected routines, intense sensory stimulation, noisy or disordered environments, and social interactions. Consequently, the conventional approaches face certain limitations like user privacy, scalability, and cold-start. Here, a novel suggestion system for autistic children is developed to detect distractions and anxious situations using deep learning and then treat the children based on their abilities. It has helped to prevent the risk to children. The data is given to the selection of the feature stage. The weight optimization is performed using the Modified Garter Snake Optimization Algorithm (MGSOA) during the selection of features. Then, the selected features are given to the Adaptive Dilated One Dimensional Conventional Neural Network (1DCNN) and Long Short-Term Memory (LSTM) with Attention Mechanism termed AD-1DCNN + LSTM-AMfor detecting the autism disorder for children. Here, the parameter optimization is performed using MGSOA optimization. It effectively forecasts the symptoms in a short time. This optimization helps to provide reliable and flexible outcomes for the developed recommendation system for autistic children. The developed recommendation system for autistic children is compared to baseline techniques with efficacy metrics to visualize elevated results.</t>
        </is>
      </c>
      <c r="W38" s="4" t="inlineStr">
        <is>
          <t>title_abstract_plus_targeted_primary_source_verification</t>
        </is>
      </c>
      <c r="X38" s="4" t="inlineStr">
        <is>
          <t>doi:10.1016/j.eswa.2024.125399</t>
        </is>
      </c>
      <c r="Y38" s="4" t="n"/>
      <c r="Z38" s="4" t="n"/>
      <c r="AA38" s="4" t="n"/>
      <c r="AB38" s="40" t="n"/>
    </row>
    <row r="39" ht="409" customHeight="1">
      <c r="A39" s="4" t="n">
        <v>38</v>
      </c>
      <c r="B39" s="4" t="inlineStr">
        <is>
          <t>include_after_title_abstract_screen</t>
        </is>
      </c>
      <c r="C39" s="4" t="inlineStr">
        <is>
          <t>Incluir provisionalmente</t>
        </is>
      </c>
      <c r="D39" s="4" t="inlineStr">
        <is>
          <t>Provisional include</t>
        </is>
      </c>
      <c r="E39" s="4" t="inlineStr">
        <is>
          <t>Sí</t>
        </is>
      </c>
      <c r="F39" s="4" t="inlineStr">
        <is>
          <t>Title/abstract screening</t>
        </is>
      </c>
      <c r="G39" s="4" t="n"/>
      <c r="H39" s="4" t="n"/>
      <c r="I39" s="4" t="n"/>
      <c r="J39" s="4" t="inlineStr">
        <is>
          <t>Estudio primario o implementación/evaluación empírica de IA, aprendizaje automático o modelado computacional aplicado a ASD, riesgo, caracterización, apoyo o intervención.</t>
        </is>
      </c>
      <c r="K39" s="4" t="n"/>
      <c r="L39" s="4" t="n"/>
      <c r="M39" s="4" t="n">
        <v>2025</v>
      </c>
      <c r="N39" s="4" t="inlineStr">
        <is>
          <t>Early detection of autism spectrum disorder using explainable AI and optimized teaching strategies</t>
        </is>
      </c>
      <c r="O39" s="4" t="inlineStr">
        <is>
          <t>Sarah A Alzakari and Arwa Allinjawi and Asma Aldrees and Nuha Zamzami and Muhammad Umer and Nisreen Innab and Imran Ashraf</t>
        </is>
      </c>
      <c r="P39" s="4" t="inlineStr">
        <is>
          <t>10.1016/j.jneumeth.2024.110315</t>
        </is>
      </c>
      <c r="Q39" s="4" t="inlineStr">
        <is>
          <t>Journal of Neuroscience Methods</t>
        </is>
      </c>
      <c r="R39" s="4" t="inlineStr">
        <is>
          <t>article</t>
        </is>
      </c>
      <c r="S39" s="4" t="inlineStr">
        <is>
          <t>Elsevier B.V.</t>
        </is>
      </c>
      <c r="T39" s="4" t="inlineStr">
        <is>
          <t>https://www.sciencedirect.com/science/article/pii/S0165027024002607</t>
        </is>
      </c>
      <c r="U39" s="4" t="n"/>
      <c r="V39" s="4" t="inlineStr">
        <is>
          <t>Autism spectrum disorder (ASD) is defined by the deficits of social relating, language, object use and understanding, intelligence and learning, and verbal and nonverbal communication. Most of the individuals with ASD have genetic conditions; however, early identification and intervention reduce the use of health services and other diagnostic procedures. The varied nature of ASD is widely acknowledged, with each affected individual displaying distinct traits. The variability among autistic children underscores the challenge of identifying effective teaching strategies, as what works for one child may not be suitable for another. In this study, we merge two ASD screening datasets focusing on toddlers. We employ three feature engineering techniques to extract significant features from the dataset to enhance model performance. This study presents an innovative two-phase method where initially, we employ diverse machine learning models, such as a combination of logistic regression and support vector machine classifiers. The focus of the second phase is on identifying tailored educational methods for children with ASD through the assessment of their behavioral, verbal, and physical responses. The main goal of this study is to develop personalized educational strategies for individuals with ASD. This will be achieved by employing machine learning techniques to enhance precision and better meet their unique needs. Experimental results achieve a classification accuracy of 94% in ASD identification using Chi-square extracted features. Concerning the choice of the best teaching approach for ASD children, the proposed approach shows 99.29% accuracy. Performance comparison with existing studies shows the superior performance of the proposed LR-SVM ensemble coupled with Chi-square features. In conclusion, the proposed approach provides a two-phase strategy for identifying ASD children and offering a suitable teaching strategy with respect to the severity of the ASD, thereby potentially contributing to the development of tailored solutions for children with varying needs.</t>
        </is>
      </c>
      <c r="W39" s="4" t="inlineStr">
        <is>
          <t>title_abstract_plus_targeted_primary_source_verification</t>
        </is>
      </c>
      <c r="X39" s="4" t="inlineStr">
        <is>
          <t>doi:10.1016/j.jneumeth.2024.110315</t>
        </is>
      </c>
      <c r="Y39" s="4" t="n"/>
      <c r="Z39" s="4" t="n"/>
      <c r="AA39" s="4" t="n"/>
      <c r="AB39" s="40" t="n"/>
    </row>
    <row r="40" ht="409" customHeight="1">
      <c r="A40" s="4" t="n">
        <v>39</v>
      </c>
      <c r="B40" s="4" t="inlineStr">
        <is>
          <t>exclude_out_of_scope_topic_or_population</t>
        </is>
      </c>
      <c r="C40" s="4" t="inlineStr">
        <is>
          <t>Excluir: tema/población fuera de alcance</t>
        </is>
      </c>
      <c r="D40" s="4" t="inlineStr">
        <is>
          <t>Excluded</t>
        </is>
      </c>
      <c r="E40" s="4" t="inlineStr">
        <is>
          <t>No</t>
        </is>
      </c>
      <c r="F40" s="4" t="inlineStr">
        <is>
          <t>Title/abstract screening</t>
        </is>
      </c>
      <c r="G40" s="4" t="n"/>
      <c r="H40" s="4" t="n"/>
      <c r="I40" s="4" t="n"/>
      <c r="J40" s="4" t="inlineStr">
        <is>
          <t>No estudia ASD en el sentido del protocolo, usa otro significado de ASD o aborda otra población/resultado sin aplicación pertinente al proceso ASD.</t>
        </is>
      </c>
      <c r="K40" s="4" t="n"/>
      <c r="L40" s="4" t="n"/>
      <c r="M40" s="4" t="n">
        <v>2026</v>
      </c>
      <c r="N40" s="4" t="inlineStr">
        <is>
          <t>Empowering Informal Caregivers of Persons With Early-Stage Dementia by Large Language Models: Mixed Methods Evaluation</t>
        </is>
      </c>
      <c r="O40" s="4" t="inlineStr">
        <is>
          <t>Huayu Zhou and Ziwei Zhu and Kyeung Mi Oh and Sungsoo Ray Hong</t>
        </is>
      </c>
      <c r="P40" s="4" t="inlineStr">
        <is>
          <t>10.2196/79975</t>
        </is>
      </c>
      <c r="Q40" s="4" t="inlineStr">
        <is>
          <t>JMIR Formative Research</t>
        </is>
      </c>
      <c r="R40" s="4" t="inlineStr">
        <is>
          <t>article</t>
        </is>
      </c>
      <c r="S40" s="4" t="inlineStr">
        <is>
          <t>JMIR Publications Inc.</t>
        </is>
      </c>
      <c r="T40" s="4" t="inlineStr">
        <is>
          <t>https://doi.org/10.2196/79975</t>
        </is>
      </c>
      <c r="U40" s="4" t="n"/>
      <c r="V40" s="4" t="inlineStr">
        <is>
          <t>Background: Acquiring relevant knowledge and support is essential for informal caregivers of persons with early-stage dementia, including awareness, access, and use of comprehensive resources for both persons with dementia and caregiver support. With appropriate strategies and early-stage support, informal caregivers can play a vital role in enhancing the well-being of persons with dementia and potentially slowing their progression. While large language models (LLMs) can provide easy access to caregiving knowledge, the risks, perceived challenges, and ways to improve LLM-generated responses in practice remain underexplored. Objective: In this study, we aim to (1) examine the risks and perceived challenges of using a baseline ChatGPT-4o, an internet-accessible artificial intelligence model, for dementia caregiving support and (2) understand how an enhanced version of ChatGPT-4o, equipped with up-to-date dementia caregiving knowledge, can mitigate these risks and challenges. Methods: We compiled 32 representative questions from informal caregivers seeking guidance on early-stage dementia. We developed two ChatGPT-4o conditions: C1, the publicly available baseline model, and C2, an experimental version enhanced through prompt engineering and grounded in a conceptual framework—drawn from health science and gerontology literature—to empower caregivers of individuals with early-stage dementia. Using these conditions, we generated 64 responses (32 pairs) to the questions. Twelve experts evaluated them with validated tools assessing accuracy, reasoning, clarity, usefulness, trust, satisfaction, safety, harm, and relevance. A Mann-Whitney U test compared the conditions. After the survey, we conducted interviews to explore experts’ perceived differences, remaining challenges, and design opportunities. Interviews were transcribed and analyzed using descriptive thematic analysis. Results: Responses in C2 showed significant improvements in 3 criteria—actionability, relevance, and perceived satisfaction—compared to C1. However, no significant differences were found in the remaining 5 criteria: response accuracy, the model’s ability to understand the question, intelligibility, trustworthiness, response safety, and perceived harm. Qualitative analysis of interviews revealed two key insights: (1) differences between baseline and experimental responses and (2) possible reasons for these differences. Twelve experts evaluated wordiness, detail, empathy, satisfaction, accuracy, relevance, and bias. Both models were considered somewhat verbose, but the experimental model’s responses were viewed as more detailed, relevant, and actionable. Accuracy appeared similar across models, yet participants reported greater satisfaction with the experimental model’s outputs. Conclusions: Results indicate that both conditions generated responses perceived as reasonable and intelligible. However, the experimental model offered more relevant, practical guidance on caregiving needs, providing specific information aligned with the 32 testing questions and actionable recommendations. This led to higher perceived satisfaction compared to the baseline model.</t>
        </is>
      </c>
      <c r="W40" s="4" t="inlineStr">
        <is>
          <t>title_abstract_plus_targeted_primary_source_verification</t>
        </is>
      </c>
      <c r="X40" s="4" t="inlineStr">
        <is>
          <t>doi:10.2196/79975</t>
        </is>
      </c>
      <c r="Y40" s="4" t="n"/>
      <c r="Z40" s="4" t="n"/>
      <c r="AA40" s="4" t="n"/>
      <c r="AB40" s="40" t="n"/>
    </row>
    <row r="41" ht="112" customHeight="1">
      <c r="A41" s="4" t="n">
        <v>40</v>
      </c>
      <c r="B41" s="4" t="inlineStr">
        <is>
          <t>exclude_out_of_scope_topic_or_population</t>
        </is>
      </c>
      <c r="C41" s="4" t="inlineStr">
        <is>
          <t>Excluir: tema/población fuera de alcance</t>
        </is>
      </c>
      <c r="D41" s="4" t="inlineStr">
        <is>
          <t>Excluded</t>
        </is>
      </c>
      <c r="E41" s="4" t="inlineStr">
        <is>
          <t>No</t>
        </is>
      </c>
      <c r="F41" s="4" t="inlineStr">
        <is>
          <t>Title/abstract screening</t>
        </is>
      </c>
      <c r="G41" s="4" t="n"/>
      <c r="H41" s="4" t="n"/>
      <c r="I41" s="4" t="n"/>
      <c r="J41" s="4" t="inlineStr">
        <is>
          <t>No estudia ASD en el sentido del protocolo, usa otro significado de ASD o aborda otra población/resultado sin aplicación pertinente al proceso ASD.</t>
        </is>
      </c>
      <c r="K41" s="4" t="n"/>
      <c r="L41" s="4" t="n"/>
      <c r="M41" s="4" t="n">
        <v>2026</v>
      </c>
      <c r="N41" s="4" t="inlineStr">
        <is>
          <t>Striving for Triadic Collaboration in Pediatric Speech Sound Disorder Intervention: Grounded Theory Study</t>
        </is>
      </c>
      <c r="O41" s="4" t="inlineStr">
        <is>
          <t>Soyoung Kyung and Youngsam Min and Byoung-a Min and Yuyoung Kim and Jinwoo Kim</t>
        </is>
      </c>
      <c r="P41" s="4" t="inlineStr">
        <is>
          <t>10.2196/86364</t>
        </is>
      </c>
      <c r="Q41" s="4" t="inlineStr">
        <is>
          <t>JMIR Pediatrics and Parenting</t>
        </is>
      </c>
      <c r="R41" s="4" t="inlineStr">
        <is>
          <t>article</t>
        </is>
      </c>
      <c r="S41" s="4" t="n"/>
      <c r="T41" s="4" t="inlineStr">
        <is>
          <t>https://pediatrics.jmir.org/2026/1/e86364</t>
        </is>
      </c>
      <c r="U41" s="4" t="n"/>
      <c r="V41" s="4" t="n"/>
      <c r="W41" s="4" t="inlineStr">
        <is>
          <t>title_abstract_plus_targeted_primary_source_verification</t>
        </is>
      </c>
      <c r="X41" s="4" t="inlineStr">
        <is>
          <t>doi:10.2196/86364</t>
        </is>
      </c>
      <c r="Y41" s="4" t="n"/>
      <c r="Z41" s="4" t="n"/>
      <c r="AA41" s="4" t="n"/>
      <c r="AB41" s="40" t="n"/>
    </row>
    <row r="42" ht="409" customHeight="1">
      <c r="A42" s="4" t="n">
        <v>41</v>
      </c>
      <c r="B42" s="4" t="inlineStr">
        <is>
          <t>include_after_title_abstract_screen</t>
        </is>
      </c>
      <c r="C42" s="4" t="inlineStr">
        <is>
          <t>Incluir provisionalmente</t>
        </is>
      </c>
      <c r="D42" s="4" t="inlineStr">
        <is>
          <t>Provisional include</t>
        </is>
      </c>
      <c r="E42" s="4" t="inlineStr">
        <is>
          <t>Sí</t>
        </is>
      </c>
      <c r="F42" s="4" t="inlineStr">
        <is>
          <t>Title/abstract screening</t>
        </is>
      </c>
      <c r="G42" s="4" t="n"/>
      <c r="H42" s="4" t="n"/>
      <c r="I42" s="4" t="n"/>
      <c r="J42" s="4" t="inlineStr">
        <is>
          <t>Estudio primario o implementación/evaluación empírica de IA, aprendizaje automático o modelado computacional aplicado a ASD, riesgo, caracterización, apoyo o intervención.</t>
        </is>
      </c>
      <c r="K42" s="4" t="n"/>
      <c r="L42" s="4" t="n"/>
      <c r="M42" s="4" t="n">
        <v>2025</v>
      </c>
      <c r="N42" s="4" t="inlineStr">
        <is>
          <t>A systematic evaluation of autism spectrum disorder identification with Scanpath Trend Analysis (STA)</t>
        </is>
      </c>
      <c r="O42" s="4" t="inlineStr">
        <is>
          <t>Sukru Eraslan and Yeliz Yesilada and Ali Shafique and Victoria Yaneva and Le An Ha</t>
        </is>
      </c>
      <c r="P42" s="4" t="inlineStr">
        <is>
          <t>10.1016/j.bspc.2024.107414</t>
        </is>
      </c>
      <c r="Q42" s="4" t="inlineStr">
        <is>
          <t>Biomedical Signal Processing and Control</t>
        </is>
      </c>
      <c r="R42" s="4" t="inlineStr">
        <is>
          <t>article</t>
        </is>
      </c>
      <c r="S42" s="4" t="inlineStr">
        <is>
          <t>Elsevier Ltd</t>
        </is>
      </c>
      <c r="T42" s="4" t="inlineStr">
        <is>
          <t>https://www.sciencedirect.com/science/article/pii/S1746809424014721</t>
        </is>
      </c>
      <c r="U42" s="4" t="n"/>
      <c r="V42" s="4" t="inlineStr">
        <is>
          <t>Background: Eye-tracking combined with machine learning (ML) has the potential to provide an objective and cost-effective method for identifying autism. However, current ML approaches that aim to identify Autism Spectrum Disorder (ASD) based on naturalistic web interactions have high variations on different pages and tasks. This inconsistency necessitates a more consistent approach since there is no clear pattern for identifying suitable web pages or tasks. In our previous study, we proposed using STA as a consistent approach, which demonstrated a higher mean accuracy than a relevant ML approach. However, our evaluation of STA was limited to a single dataset and a comparison with only one relevant ML approach. Objective: We aim to systematically evaluate the suitability of STA for autism identification using various datasets and compare its performance with other relevant ML approaches. Methods: We evaluated the accuracy of STA across various web pages, images, and tasks using three eye-tracking datasets and compared it to other ML approaches. Results: STA has demonstrated consistent accuracy across different web pages, images, and tasks, achieving a success rate of approximately 60%. STA has also outperformed other relevant ML approaches in terms of both the mean and standard deviation of accuracy rates on individual web pages, resulting in significantly higher results in most browsing tasks. Conclusion: STA is a consistent approach for identifying autism, as it achieves stable accuracy on various web pages, images, and tasks. However, further studies are necessary to improve its accuracy.</t>
        </is>
      </c>
      <c r="W42" s="4" t="inlineStr">
        <is>
          <t>title_abstract_plus_targeted_primary_source_verification</t>
        </is>
      </c>
      <c r="X42" s="4" t="inlineStr">
        <is>
          <t>doi:10.1016/j.bspc.2024.107414</t>
        </is>
      </c>
      <c r="Y42" s="4" t="n"/>
      <c r="Z42" s="4" t="n"/>
      <c r="AA42" s="4" t="n"/>
      <c r="AB42" s="40" t="n"/>
    </row>
    <row r="43" ht="409" customHeight="1">
      <c r="A43" s="4" t="n">
        <v>42</v>
      </c>
      <c r="B43" s="4" t="inlineStr">
        <is>
          <t>include_after_title_abstract_screen</t>
        </is>
      </c>
      <c r="C43" s="4" t="inlineStr">
        <is>
          <t>Incluir provisionalmente</t>
        </is>
      </c>
      <c r="D43" s="4" t="inlineStr">
        <is>
          <t>Provisional include</t>
        </is>
      </c>
      <c r="E43" s="4" t="inlineStr">
        <is>
          <t>Sí</t>
        </is>
      </c>
      <c r="F43" s="4" t="inlineStr">
        <is>
          <t>Title/abstract screening</t>
        </is>
      </c>
      <c r="G43" s="4" t="n"/>
      <c r="H43" s="4" t="n"/>
      <c r="I43" s="4" t="n"/>
      <c r="J43" s="4" t="inlineStr">
        <is>
          <t>Estudio primario o implementación/evaluación empírica de IA, aprendizaje automático o modelado computacional aplicado a ASD, riesgo, caracterización, apoyo o intervención.</t>
        </is>
      </c>
      <c r="K43" s="4" t="n"/>
      <c r="L43" s="4" t="n"/>
      <c r="M43" s="4" t="n">
        <v>2025</v>
      </c>
      <c r="N43" s="4" t="inlineStr">
        <is>
          <t>Enhancing Early Diagnosis of Autism Spectrum Disorder Using a Bayesian-Optimized Random Forest Algorithm</t>
        </is>
      </c>
      <c r="O43" s="4" t="inlineStr">
        <is>
          <t>Tina Babu and Rekha R Nair and S Kishore and Sheila Mahapatra</t>
        </is>
      </c>
      <c r="P43" s="4" t="inlineStr">
        <is>
          <t>10.1016/j.procs.2025.04.389</t>
        </is>
      </c>
      <c r="Q43" s="4" t="inlineStr">
        <is>
          <t>Procedia Computer Science</t>
        </is>
      </c>
      <c r="R43" s="4" t="inlineStr">
        <is>
          <t>article</t>
        </is>
      </c>
      <c r="S43" s="4" t="inlineStr">
        <is>
          <t>Elsevier B.V.</t>
        </is>
      </c>
      <c r="T43" s="4" t="inlineStr">
        <is>
          <t>https://www.sciencedirect.com/science/article/pii/S1877050925014929</t>
        </is>
      </c>
      <c r="U43" s="4" t="n"/>
      <c r="V43" s="4" t="inlineStr">
        <is>
          <t>Autism Spectrum Disorder (ASD) is a complex neurodevelopmental condition marked by social communication difficulties, re- stricted interests, and repetitive behaviors. Early and accurate diagnosis is critical for timely intervention and improved outcomes. Traditional diagnostic methods, which rely on clinical observations and assessments, can be subjective and time-consuming. This study introduces a novel approach to predicting ASD using a machine learning technique, specifically a Bayesian-optimized Ran- dom Forest classification algorithm. The proposed method uses a comprehensive dataset containing various behavioral, cognitive, and demographic features associated with ASD. The Optimized Random Forest with Bayesian approach is used to categorize indi- viduals into two groups: those who have ASD and those who do not. To develop this ensemble learning technique, multiple decision trees are used, and to achieve higher performance as well as better capability to generalize, the hyperparameters are optimized with Bayesian optimization. Preliminary analysis and comparison with existing databases substantiated the findings and revealed the effectiveness of the proposed approach. The Bayesian-optimized Random Forest classifier achieved an accuracy value of 0.9890. Such performance is highly promising and could enable increased use of machine learning methods in timely and accurate diagno- sis of ASD. The proposed approach provides recommendations for a verified diagnostic technique when implemented and creates a strong foundation for future investigations into the use of machine learning for identifying and supporting children with ASD.</t>
        </is>
      </c>
      <c r="W43" s="4" t="inlineStr">
        <is>
          <t>title_abstract_plus_targeted_primary_source_verification</t>
        </is>
      </c>
      <c r="X43" s="4" t="inlineStr">
        <is>
          <t>doi:10.1016/j.procs.2025.04.389</t>
        </is>
      </c>
      <c r="Y43" s="4" t="n"/>
      <c r="Z43" s="4" t="n"/>
      <c r="AA43" s="4" t="n"/>
      <c r="AB43" s="40" t="n"/>
    </row>
    <row r="44" ht="409" customHeight="1">
      <c r="A44" s="4" t="n">
        <v>43</v>
      </c>
      <c r="B44" s="4" t="inlineStr">
        <is>
          <t>exclude_secondary_or_nonempirical_publication</t>
        </is>
      </c>
      <c r="C44" s="4" t="inlineStr">
        <is>
          <t>Excluir: publicación secundaria/no empírica</t>
        </is>
      </c>
      <c r="D44" s="4" t="inlineStr">
        <is>
          <t>Excluded</t>
        </is>
      </c>
      <c r="E44" s="4" t="inlineStr">
        <is>
          <t>No</t>
        </is>
      </c>
      <c r="F44" s="4" t="inlineStr">
        <is>
          <t>Title/abstract screening</t>
        </is>
      </c>
      <c r="G44" s="4" t="n"/>
      <c r="H44" s="4" t="n"/>
      <c r="I44" s="4" t="n"/>
      <c r="J44" s="4" t="inlineStr">
        <is>
          <t>Revisión, metaanálisis, encuesta de literatura, protocolo, perspectiva, carta, editorial o capítulo de síntesis sin estudio primario elegible.</t>
        </is>
      </c>
      <c r="K44" s="4" t="n"/>
      <c r="L44" s="4" t="n"/>
      <c r="M44" s="4" t="n">
        <v>2026</v>
      </c>
      <c r="N44" s="4" t="inlineStr">
        <is>
          <t>Questionnaires Used to Explore the Perspectives of Parents and Health Professionals on Young Children’s Use of Technology: Systematic Review</t>
        </is>
      </c>
      <c r="O44" s="4" t="inlineStr">
        <is>
          <t>Charlotte Lund Rasmussen and Ivan Pui Hung Au and Danica Hendry and Amber Beynon and Sarah Stearne and George Thomas and Kate Mannell and Lisa Kervin and Susan Edwards and Courtenay Harris and Leon Straker and Juliana Zabatiero</t>
        </is>
      </c>
      <c r="P44" s="4" t="inlineStr">
        <is>
          <t>10.2196/84712</t>
        </is>
      </c>
      <c r="Q44" s="4" t="inlineStr">
        <is>
          <t>JMIR Pediatrics and Parenting</t>
        </is>
      </c>
      <c r="R44" s="4" t="inlineStr">
        <is>
          <t>article</t>
        </is>
      </c>
      <c r="S44" s="4" t="inlineStr">
        <is>
          <t>JMIR Publications Inc.</t>
        </is>
      </c>
      <c r="T44" s="4" t="inlineStr">
        <is>
          <t>https://doi.org/10.2196/84712</t>
        </is>
      </c>
      <c r="U44" s="4" t="n"/>
      <c r="V44" s="4" t="inlineStr">
        <is>
          <t>Background: Technology is integrated into many children’s daily lives, with parents’ and health professionals’ perspectives shaping children’s technology use. Measuring and understanding these perspectives are essential for developing strategies for supporting adults in decision-making that help children thrive in a digital world.  Objective: This systematic review aimed to investigate the psychometric properties of questionnaires used to assess parents’ and health professionals’ perspectives on young children’s use of technology related to health, well-being, and development. The secondary aim was to synthesize findings on these perspectives.  Methods: Peer-reviewed papers published between January 2010 and September 2024 were identified through searches in 7 electronic databases. Studies were included if they examined parental or health care professionals’ perspectives on technology use among children aged birth to 5 years. Two reviewers (CLR and IPHA) independently conducted the data extraction and study quality assessment. Reported psychometric properties of the questionnaires were synthesized. Deductive thematic analysis was used to explore the content focus of the questionnaire used in the included studies and synthesize the reported perspectives.  Results: In total, 85 studies were included, all involving parents. No study investigated health professionals’ perspectives. The methodological quality of the studies was generally low, with 62 studies scoring below the threshold for acceptable quality. In total, 52 studies reported psychometric properties of the questionnaires used, of which, only 15 studies reported more than 1 measure of validity or reliability. A total of 75 studies reported participants’ perspectives on children’s technology use. Findings revealed that parents generally supported the role of digital devices in enhancing learning but expressed concerns about potential negative impacts on children’s physical health, emotions, and behaviors.  Conclusions: Parents’ perspectives on children’s technology use were frequently assessed through questionnaires, though the validity of these questionnaires was often poor, with limited psychometric testing. Parental perspectives were mixed with educational benefits being recognized, while countered with concerns about the impact on children’s physical health and development. High-quality questionnaires are needed to generate stronger evidence informing strategies to support families in technology use decision-making with and for children.</t>
        </is>
      </c>
      <c r="W44" s="4" t="inlineStr">
        <is>
          <t>title_abstract_plus_targeted_primary_source_verification</t>
        </is>
      </c>
      <c r="X44" s="4" t="inlineStr">
        <is>
          <t>doi:10.2196/84712</t>
        </is>
      </c>
      <c r="Y44" s="4" t="n"/>
      <c r="Z44" s="4" t="n"/>
      <c r="AA44" s="4" t="n"/>
      <c r="AB44" s="40" t="n"/>
    </row>
    <row r="45" ht="409" customHeight="1">
      <c r="A45" s="4" t="n">
        <v>44</v>
      </c>
      <c r="B45" s="4" t="inlineStr">
        <is>
          <t>exclude_out_of_scope_topic_or_population</t>
        </is>
      </c>
      <c r="C45" s="4" t="inlineStr">
        <is>
          <t>Excluir: tema/población fuera de alcance</t>
        </is>
      </c>
      <c r="D45" s="4" t="inlineStr">
        <is>
          <t>Excluded</t>
        </is>
      </c>
      <c r="E45" s="4" t="inlineStr">
        <is>
          <t>No</t>
        </is>
      </c>
      <c r="F45" s="4" t="inlineStr">
        <is>
          <t>Title/abstract screening</t>
        </is>
      </c>
      <c r="G45" s="4" t="n"/>
      <c r="H45" s="4" t="n"/>
      <c r="I45" s="4" t="n"/>
      <c r="J45" s="4" t="inlineStr">
        <is>
          <t>No estudia ASD en el sentido del protocolo, usa otro significado de ASD o aborda otra población/resultado sin aplicación pertinente al proceso ASD.</t>
        </is>
      </c>
      <c r="K45" s="4" t="n"/>
      <c r="L45" s="4" t="n"/>
      <c r="M45" s="4" t="n">
        <v>2025</v>
      </c>
      <c r="N45" s="4" t="inlineStr">
        <is>
          <t>Counteracting the loss of release for indomethacin-copovidone ASDs</t>
        </is>
      </c>
      <c r="O45" s="4" t="inlineStr">
        <is>
          <t>Dominik Borrmann and Pascal Friedrich and Justin Smuda and Gabriele Sadowski</t>
        </is>
      </c>
      <c r="P45" s="4" t="inlineStr">
        <is>
          <t>10.1016/j.xphs.2024.10.022</t>
        </is>
      </c>
      <c r="Q45" s="4" t="inlineStr">
        <is>
          <t>Journal of Pharmaceutical Sciences</t>
        </is>
      </c>
      <c r="R45" s="4" t="inlineStr">
        <is>
          <t>article</t>
        </is>
      </c>
      <c r="S45" s="4" t="inlineStr">
        <is>
          <t>Elsevier B.V.</t>
        </is>
      </c>
      <c r="T45" s="4" t="inlineStr">
        <is>
          <t>https://www.sciencedirect.com/science/article/pii/S0022354924004726</t>
        </is>
      </c>
      <c r="U45" s="4" t="n"/>
      <c r="V45" s="4" t="inlineStr">
        <is>
          <t>This work revisits the changing release behavior of indomethacin(IND)-copovidone amorphous solid dispersions (ASDs) when increasing their drug load (DL). While showing congruent release behavior at DL 0.1, ASDs with DLs of 0.3 and higher show incongruent release finally resulting in a complete loss of release. To study and explain this phenomenon, we modeled the release kinetics of these ASDs and looked into their phase behavior both experimentally and theoretically. We applied a diffusion model to accurately describe experimental release profiles for congruent release, incongruent release as well as for loss of release. Predicted concentration profiles for IND, copovidone, and water within the ASD revealed the formation of an ASD layer that almost exclusively contains amorphous IND. Our phase-diagram predictions and experimental data explain this phenomenon by water-induced phase separation in those parts of the ASD which did absorb water from the dissolution medium. Whereas the evolving copovidone-rich phase dissolved, the IND-rich phase remained undissolved and formed a super-hydrophobic cover of the remaining inner core of the ASD, thus finally completely preventing its dissolution. Higher DLs promote phase separation. This leads to the counterintuitive effect that the higher the DL, the lower the absolute amount of IND released. While the ASD containing 6 mg IND (DL 0.1) released 6 mg IND, the one containing 42 mg IND (DL 0.7) released only 1 mg IND. The theoretical approach applied in this work is for the first time able to quantitatively predict that reducing DL or tablet size could be used to overcome this problem.</t>
        </is>
      </c>
      <c r="W45" s="4" t="inlineStr">
        <is>
          <t>title_abstract_plus_targeted_primary_source_verification</t>
        </is>
      </c>
      <c r="X45" s="4" t="inlineStr">
        <is>
          <t>doi:10.1016/j.xphs.2024.10.022</t>
        </is>
      </c>
      <c r="Y45" s="4" t="n"/>
      <c r="Z45" s="4" t="n"/>
      <c r="AA45" s="4" t="n"/>
      <c r="AB45" s="40" t="n"/>
    </row>
    <row r="46" ht="409" customHeight="1">
      <c r="A46" s="4" t="n">
        <v>45</v>
      </c>
      <c r="B46" s="4" t="inlineStr">
        <is>
          <t>include_after_title_abstract_screen</t>
        </is>
      </c>
      <c r="C46" s="4" t="inlineStr">
        <is>
          <t>Incluir provisionalmente</t>
        </is>
      </c>
      <c r="D46" s="4" t="inlineStr">
        <is>
          <t>Provisional include</t>
        </is>
      </c>
      <c r="E46" s="4" t="inlineStr">
        <is>
          <t>Sí</t>
        </is>
      </c>
      <c r="F46" s="4" t="inlineStr">
        <is>
          <t>Title/abstract screening</t>
        </is>
      </c>
      <c r="G46" s="4" t="n"/>
      <c r="H46" s="4" t="n"/>
      <c r="I46" s="4" t="n"/>
      <c r="J46" s="4" t="inlineStr">
        <is>
          <t>Estudio primario o implementación/evaluación empírica de IA, aprendizaje automático o modelado computacional aplicado a ASD, riesgo, caracterización, apoyo o intervención.</t>
        </is>
      </c>
      <c r="K46" s="4" t="n"/>
      <c r="L46" s="4" t="n"/>
      <c r="M46" s="4" t="n">
        <v>2025</v>
      </c>
      <c r="N46" s="4" t="inlineStr">
        <is>
          <t>Autism Spectrum Disorder Detection using Attention-Based CNN and ML Classifiers</t>
        </is>
      </c>
      <c r="O46" s="4" t="inlineStr">
        <is>
          <t>R Abhinav Chaitanya and N Dharun Muthaiah and S H Sanjai and M Arjun and S Harshavardhan and P Yugander and M Jagannath</t>
        </is>
      </c>
      <c r="P46" s="4" t="inlineStr">
        <is>
          <t>10.1016/j.procs.2025.04.671</t>
        </is>
      </c>
      <c r="Q46" s="4" t="inlineStr">
        <is>
          <t>Procedia Computer Science</t>
        </is>
      </c>
      <c r="R46" s="4" t="inlineStr">
        <is>
          <t>article</t>
        </is>
      </c>
      <c r="S46" s="4" t="inlineStr">
        <is>
          <t>Elsevier B.V.</t>
        </is>
      </c>
      <c r="T46" s="4" t="inlineStr">
        <is>
          <t>https://www.sciencedirect.com/science/article/pii/S1877050925017752</t>
        </is>
      </c>
      <c r="U46" s="4" t="n"/>
      <c r="V46" s="4" t="inlineStr">
        <is>
          <t>Autism spectrum disorder (ASD) is a common condition affecting how children interact and communicate. ASD can manifest in various ways, such as difficulty in social interactions, repetitive behaviours, and verbal and non-verbal communication challenges. These difficulties can significantly impact a child's ability to form relationships, participate in everyday activities, and navigate social situations. Currently, diagnosing ASD relies a lot on understanding behaviours and developmental disorders, as there are no clear physical markers for diagnosis. This study explores how advanced computer techniques, like deep learning and machine learning, can help detect ASD. Utilizing functional magnetic resonance imaging (fMRI) data from the Autism Brain Imaging Data Exchange (ABIDE) dataset, we have developed a technique to distinguish between ASD accurately and typically developed (TD) individuals. We focus on building a program that can understand the patterns in brain scans using convolutional neural networks (CNNs). Additionally, we used methods like multihead attention and squeeze and excitation to extract more features in the data. We then used machine learning (ML) algorithms to classify the extracted features. The outcomes indicate that our proposed model can detect ASD with an accuracy of 98.59%.</t>
        </is>
      </c>
      <c r="W46" s="4" t="inlineStr">
        <is>
          <t>title_abstract_plus_targeted_primary_source_verification</t>
        </is>
      </c>
      <c r="X46" s="4" t="inlineStr">
        <is>
          <t>doi:10.1016/j.procs.2025.04.671</t>
        </is>
      </c>
      <c r="Y46" s="4" t="n"/>
      <c r="Z46" s="4" t="n"/>
      <c r="AA46" s="4" t="n"/>
      <c r="AB46" s="40" t="n"/>
    </row>
    <row r="47" ht="409" customHeight="1">
      <c r="A47" s="4" t="n">
        <v>46</v>
      </c>
      <c r="B47" s="4" t="inlineStr">
        <is>
          <t>include_after_title_abstract_screen</t>
        </is>
      </c>
      <c r="C47" s="4" t="inlineStr">
        <is>
          <t>Incluir provisionalmente</t>
        </is>
      </c>
      <c r="D47" s="4" t="inlineStr">
        <is>
          <t>Provisional include</t>
        </is>
      </c>
      <c r="E47" s="4" t="inlineStr">
        <is>
          <t>Sí</t>
        </is>
      </c>
      <c r="F47" s="4" t="inlineStr">
        <is>
          <t>Title/abstract screening</t>
        </is>
      </c>
      <c r="G47" s="4" t="n"/>
      <c r="H47" s="4" t="n"/>
      <c r="I47" s="4" t="n"/>
      <c r="J47" s="4" t="inlineStr">
        <is>
          <t>Estudio primario o implementación/evaluación empírica de IA, aprendizaje automático o modelado computacional aplicado a ASD, riesgo, caracterización, apoyo o intervención.</t>
        </is>
      </c>
      <c r="K47" s="4" t="n"/>
      <c r="L47" s="4" t="n"/>
      <c r="M47" s="4" t="n">
        <v>2025</v>
      </c>
      <c r="N47" s="4" t="inlineStr">
        <is>
          <t>Recognition of autism in subcortical brain volumetric images using autoencoding-based region selection method and Siamese Convolutional Neural Network</t>
        </is>
      </c>
      <c r="O47" s="4" t="inlineStr">
        <is>
          <t>Anas Abu-Doleh and Isam F Abu-Qasmieh and Hiam H Al-Quran and Ihssan S Masad and Lamis R Banyissa and Marwa Alhaj Ahmad</t>
        </is>
      </c>
      <c r="P47" s="4" t="inlineStr">
        <is>
          <t>10.1016/j.ijmedinf.2024.105707</t>
        </is>
      </c>
      <c r="Q47" s="4" t="inlineStr">
        <is>
          <t>International Journal of Medical Informatics</t>
        </is>
      </c>
      <c r="R47" s="4" t="inlineStr">
        <is>
          <t>article</t>
        </is>
      </c>
      <c r="S47" s="4" t="inlineStr">
        <is>
          <t>Elsevier Ireland Ltd</t>
        </is>
      </c>
      <c r="T47" s="4" t="inlineStr">
        <is>
          <t>https://www.sciencedirect.com/science/article/pii/S1386505624003708</t>
        </is>
      </c>
      <c r="U47" s="4" t="n"/>
      <c r="V47" s="4" t="inlineStr">
        <is>
          <t>Background: Autism Spectrum Disorder (ASD) is a neurodevelopmental condition that affects social interactions and behavior. Accurate and early diagnosis of ASD is still challenging even with the improvements in neuroimaging technology and machine learning algorithms. It's challenging because of the wide range of symptoms, delayed appearance of symptoms, and the subjective nature of diagnosis. In this study, the aim is to enhance ASD recognition by focusing on brain subcortical regions, which are critical for understanding ASD pathology. Methodology: First, subcortical structures were extracted from a collection of brain MRI datasets using sophisticated processing steps. Next, a 3D autoencoder was trained on these 3D images to help identify brain regions related to ASD. Two distinct feature selection methods were then applied to the features extracted from the encoder. The highest-ranked features were iteratively selected and increased to reconstruct a specific percentage of the brain that represents the most relevant parts for ASD. Finally, a Siamese Convolutional Neural Network (SCNN) was employed as the classifier model. Results: The 3D autoencoder stage helped in identifying and reconstructing the significant subcortical regions related to ASD. Based on the studied dataset, high agreement in regions like the Putamen and Pallidum indicated the critical nature of these structures in distinguishing Autism from controls cases. Subsequently, applying SCNN on these selected subcortical regions yielded promising results. For example, using the classifier on the output regions identified by the Mutual Information (MI) features selection method achieved the highest accuracy of 0.66. Conclusions: This study shows that using a two-stage model involving autoencoder and SCNN can notably improve the classification of ASD from brain MRI volumetric images. Applying an iterative feature extraction approach allowed to achieve a more accurate identification of ASD-related brain areas. This two-stage approach not only improved classification performance but also enhanced the interpretability of the neuroimaging data.</t>
        </is>
      </c>
      <c r="W47" s="4" t="inlineStr">
        <is>
          <t>title_abstract_plus_targeted_primary_source_verification</t>
        </is>
      </c>
      <c r="X47" s="4" t="inlineStr">
        <is>
          <t>doi:10.1016/j.ijmedinf.2024.105707</t>
        </is>
      </c>
      <c r="Y47" s="4" t="n"/>
      <c r="Z47" s="4" t="n"/>
      <c r="AA47" s="4" t="n"/>
      <c r="AB47" s="40" t="n"/>
    </row>
    <row r="48" ht="409" customHeight="1">
      <c r="A48" s="4" t="n">
        <v>47</v>
      </c>
      <c r="B48" s="4" t="inlineStr">
        <is>
          <t>include_after_title_abstract_screen</t>
        </is>
      </c>
      <c r="C48" s="4" t="inlineStr">
        <is>
          <t>Incluir provisionalmente</t>
        </is>
      </c>
      <c r="D48" s="4" t="inlineStr">
        <is>
          <t>Provisional include</t>
        </is>
      </c>
      <c r="E48" s="4" t="inlineStr">
        <is>
          <t>Sí</t>
        </is>
      </c>
      <c r="F48" s="4" t="inlineStr">
        <is>
          <t>Title/abstract screening</t>
        </is>
      </c>
      <c r="G48" s="4" t="n"/>
      <c r="H48" s="4" t="n"/>
      <c r="I48" s="4" t="n"/>
      <c r="J48" s="4" t="inlineStr">
        <is>
          <t>Estudio primario o implementación/evaluación empírica de IA, aprendizaje automático o modelado computacional aplicado a ASD, riesgo, caracterización, apoyo o intervención.</t>
        </is>
      </c>
      <c r="K48" s="4" t="n"/>
      <c r="L48" s="4" t="n"/>
      <c r="M48" s="4" t="n">
        <v>2025</v>
      </c>
      <c r="N48" s="4" t="inlineStr">
        <is>
          <t>Leveraging deep learning for enhanced diagnosis of autism spectrum disorder using resting-state functional magnetic resonance imaging and clinical data</t>
        </is>
      </c>
      <c r="O48" s="4" t="inlineStr">
        <is>
          <t>A Sheik Abdullah and Keerthana V and S Geetha and Utkarsh Mishra</t>
        </is>
      </c>
      <c r="P48" s="4" t="inlineStr">
        <is>
          <t>10.1016/j.rineng.2025.104444</t>
        </is>
      </c>
      <c r="Q48" s="4" t="inlineStr">
        <is>
          <t>Results in Engineering</t>
        </is>
      </c>
      <c r="R48" s="4" t="inlineStr">
        <is>
          <t>article</t>
        </is>
      </c>
      <c r="S48" s="4" t="inlineStr">
        <is>
          <t>Elsevier B.V.</t>
        </is>
      </c>
      <c r="T48" s="4" t="inlineStr">
        <is>
          <t>https://www.sciencedirect.com/science/article/pii/S2590123025005225</t>
        </is>
      </c>
      <c r="U48" s="4" t="n"/>
      <c r="V48" s="4" t="inlineStr">
        <is>
          <t>Autism Spectrum Disorder (ASD) presents a multifaceted challenge, characterized by intricate difficulties in social interaction, communication, and behavior. Timely and accurate diagnosis is crucial for effective intervention and support. However, existing methods often struggle to capture the intricate patterns indicative of ASD traits, leading to misdiagnosis or delayed intervention. In response, this research introduces an innovative approach leveraging Deep Attention Bidirectional Long Short-Term Memory (LSTM) networks alongside Convolutional Neural Networks (CNN) with Bidirectional LSTM with Attention for ASD classification. By analyzing resting-state functional Magnetic Resonance Imaging (rs-fMRI) data and phenotypic information from the Autism Brain Imaging Data Exchange (ABIDE) dataset, our model aims to dissect the complex temporal and spatial signatures associated with ASD. Our methodology focuses on integrating attention mechanisms to identify and prioritize key features in the input data, improving classification accuracy. Extensive training and validation are conducted to establish a strong classification framework. Evaluation metrics such as accuracy, precision, sensitivity, and AUC-ROC are used to rigorously assess the effectiveness of our model. Preliminary results showcase promising outcomes: an accuracy of 93%, a precision of 0.90, and an AUC-ROC of 0.93. These findings not only advance the realm of ASD diagnosis research but also hold the potential to augment clinical decision-making with nuanced and reliable classification tools, ultimately improving outcomes for individuals affected by ASD.</t>
        </is>
      </c>
      <c r="W48" s="4" t="inlineStr">
        <is>
          <t>title_abstract_plus_targeted_primary_source_verification</t>
        </is>
      </c>
      <c r="X48" s="4" t="inlineStr">
        <is>
          <t>doi:10.1016/j.rineng.2025.104444</t>
        </is>
      </c>
      <c r="Y48" s="4" t="n"/>
      <c r="Z48" s="4" t="n"/>
      <c r="AA48" s="4" t="n"/>
      <c r="AB48" s="40" t="n"/>
    </row>
    <row r="49" ht="409" customHeight="1">
      <c r="A49" s="4" t="n">
        <v>48</v>
      </c>
      <c r="B49" s="4" t="inlineStr">
        <is>
          <t>exclude_secondary_or_nonempirical_publication</t>
        </is>
      </c>
      <c r="C49" s="4" t="inlineStr">
        <is>
          <t>Excluir: publicación secundaria/no empírica</t>
        </is>
      </c>
      <c r="D49" s="4" t="inlineStr">
        <is>
          <t>Excluded</t>
        </is>
      </c>
      <c r="E49" s="4" t="inlineStr">
        <is>
          <t>No</t>
        </is>
      </c>
      <c r="F49" s="4" t="inlineStr">
        <is>
          <t>Title/abstract screening</t>
        </is>
      </c>
      <c r="G49" s="4" t="n"/>
      <c r="H49" s="4" t="n"/>
      <c r="I49" s="4" t="n"/>
      <c r="J49" s="4" t="inlineStr">
        <is>
          <t>Revisión, metaanálisis, encuesta de literatura, protocolo, perspectiva, carta, editorial o capítulo de síntesis sin estudio primario elegible.</t>
        </is>
      </c>
      <c r="K49" s="4" t="n"/>
      <c r="L49" s="4" t="n"/>
      <c r="M49" s="4" t="n">
        <v>2025</v>
      </c>
      <c r="N49" s="4" t="inlineStr">
        <is>
          <t>Antidepressant and Antipsychotic Drug Use and Cancer Risk: Protocol for an Overview of Systematic Reviews and Meta-Analyses</t>
        </is>
      </c>
      <c r="O49" s="4" t="inlineStr">
        <is>
          <t>Joan Vicent Sánchez-Ortí and Jaume Forés-Martos and Vui Doan and Pablo Vicente-Martínez and Diego Macías Saint-Gerons and María Flores-Rodero and Jon Sánchez-Valle and Patricia Correa-Ghisays and Vicent Balanzá-Martínez and Pau Soldevila-Matías and Joan Vila-Francés and Emilio Soria-Olivas and Alfonso Valencia and Rafael Tabarés-Seisdedos</t>
        </is>
      </c>
      <c r="P49" s="4" t="inlineStr">
        <is>
          <t>10.2196/78596</t>
        </is>
      </c>
      <c r="Q49" s="4" t="inlineStr">
        <is>
          <t>JMIR Research Protocols</t>
        </is>
      </c>
      <c r="R49" s="4" t="inlineStr">
        <is>
          <t>article</t>
        </is>
      </c>
      <c r="S49" s="4" t="inlineStr">
        <is>
          <t>JMIR Publications Inc.</t>
        </is>
      </c>
      <c r="T49" s="4" t="inlineStr">
        <is>
          <t>https://doi.org/10.2196/78596</t>
        </is>
      </c>
      <c r="U49" s="4" t="n"/>
      <c r="V49" s="4" t="inlineStr">
        <is>
          <t>BACKGROUND: The relationship between cancer and central nervous system disorders has received increasing attention recently. Consequently, antipsychotics and antidepressants, commonly prescribed for conditions such as depression, bipolar disorder, and schizophrenia, have emerged as potential modulators of subsequent cancer risk. Previous studies have suggested that the use of these medications is associated with a decreased risk of cancer incidence and mortality, making them suitable candidates for drug repurposing. However, the potential therapeutic benefits do not extend to all cancer types, as some data suggest an increased risk for specific tumors. OBJECTIVE: This study aims to conduct a comprehensive review of systematic reviews and meta-analyses (review of reviews) that assess whether exposure to antidepressants or antipsychotics influences cancer incidence and mortality. METHODS: To provide a clear overview of this review, we have designed and registered the study protocol. Specifically, we will include systematic reviews and meta-analyses that examine the relationship between previous antipsychotic or antidepressant treatments and the subsequent cancer risk. The primary outcome will be the risk of cancer incidence and mortality (all malignant neoplasms) associated with exposure to psychopharmacological medications. Furthermore, secondary outcomes will include site-specific cancer incidence and mortality (eg, lung cancer). Literature searches will be conducted in multiple electronic databases (from their inception onwards), including PubMed/MEDLINE, Embase, and the Cochrane Database of Systematic Reviews. Three researchers will independently screen all citations, abstracts, and full-text articles. We will perform parallel search, selection, and extraction tasks using a large language model (GPT-4o; OpenAI). Data selection and extraction will involve both human reviewers and GPT-4o, whose performance will be validated through human evaluations. Thus, we will verify whether this type of tool can accelerate or even perform the tasks involved in a systematic review. The risk of bias and the quality of individual studies will be evaluated using appropriate tools. Subsequently, we will extract the summary association measures (eg, pooled relative risk, odds ratio, and hazard ratio) as reported in each included systematic review. Where available, we will summarize subgroup and sensitivity analyses as described by the authors. RESULTS: Planned searches will be conducted in various electronic databases from their creation until September 2025. No results are available or included in this protocol. The expected results will be published in 2026. CONCLUSIONS: This overview of systematic reviews and meta-analyses will provide an updated synthesis of the cancer risk associated with antipsychotic and antidepressant drugs. Furthermore, this study will examine factors that may explain potential study variations. Ultimately, these findings will be published in a peer-reviewed journal. TRIAL REGISTRATION: OSF Registries 10.17605/OSF.IO/5ACWH; https://osf.io/5acwh/overview. INTERNATIONAL REGISTERED REPORT IDENTIFIER (IRRID): DERR1-10.2196/78596.</t>
        </is>
      </c>
      <c r="W49" s="4" t="inlineStr">
        <is>
          <t>title_abstract_plus_targeted_primary_source_verification</t>
        </is>
      </c>
      <c r="X49" s="4" t="inlineStr">
        <is>
          <t>doi:10.2196/78596</t>
        </is>
      </c>
      <c r="Y49" s="4" t="n"/>
      <c r="Z49" s="4" t="n"/>
      <c r="AA49" s="4" t="n"/>
      <c r="AB49" s="40" t="n"/>
    </row>
    <row r="50" ht="409" customHeight="1">
      <c r="A50" s="4" t="n">
        <v>49</v>
      </c>
      <c r="B50" s="4" t="inlineStr">
        <is>
          <t>exclude_secondary_or_nonempirical_publication</t>
        </is>
      </c>
      <c r="C50" s="4" t="inlineStr">
        <is>
          <t>Excluir: publicación secundaria/no empírica</t>
        </is>
      </c>
      <c r="D50" s="4" t="inlineStr">
        <is>
          <t>Excluded</t>
        </is>
      </c>
      <c r="E50" s="4" t="inlineStr">
        <is>
          <t>No</t>
        </is>
      </c>
      <c r="F50" s="4" t="inlineStr">
        <is>
          <t>Title/abstract screening</t>
        </is>
      </c>
      <c r="G50" s="4" t="n"/>
      <c r="H50" s="4" t="n"/>
      <c r="I50" s="4" t="n"/>
      <c r="J50" s="4" t="inlineStr">
        <is>
          <t>Revisión, metaanálisis, encuesta de literatura, protocolo, perspectiva, carta, editorial o capítulo de síntesis sin estudio primario elegible.</t>
        </is>
      </c>
      <c r="K50" s="4" t="n"/>
      <c r="L50" s="4" t="n"/>
      <c r="M50" s="4" t="n">
        <v>2024</v>
      </c>
      <c r="N50" s="4" t="inlineStr">
        <is>
          <t>Using a Rapid Learning Health System for Stratified Care in Emerging Adult Mental Health Services: Protocol for the Implementation of Patient-Reported Outcome Measures</t>
        </is>
      </c>
      <c r="O50" s="4" t="inlineStr">
        <is>
          <t>Gina Dimitropoulos and David Lindenbach and Melissa Potestio and Tom Mogan and Amanda Richardson and Alida Anderson and Madison Heintz and Karen Moskovic and Jason Gondziola and Jessica Bradley and Haley M LaMonica and Frank Iorfino and Ian Hickie and Scott B Patten and Paul D Arnold</t>
        </is>
      </c>
      <c r="P50" s="4" t="inlineStr">
        <is>
          <t>10.2196/51667</t>
        </is>
      </c>
      <c r="Q50" s="4" t="inlineStr">
        <is>
          <t>JMIR Research Protocols</t>
        </is>
      </c>
      <c r="R50" s="4" t="inlineStr">
        <is>
          <t>article</t>
        </is>
      </c>
      <c r="S50" s="4" t="inlineStr">
        <is>
          <t>JMIR Publications Inc.</t>
        </is>
      </c>
      <c r="T50" s="4" t="inlineStr">
        <is>
          <t>https://doi.org/10.2196/51667</t>
        </is>
      </c>
      <c r="U50" s="4" t="n"/>
      <c r="V50" s="4" t="inlineStr">
        <is>
          <t>Background: Mental illness among emerging adults is often difficult to ameliorate due to fluctuating symptoms and heterogeneity. Recently, innovative approaches have been developed to improve mental health care for emerging adults, including (1) implementing patient-reported outcome measures (PROMs) to assess illness severity and inform stratified care to assign emerging adults to a treatment modality commensurate with their level of impairment and (2) implementing a rapid learning health system in which data are continuously collected and analyzed to generate new insights, which are then translated to clinical practice, including collaboration among clients, health care providers, and researchers to co-design and coevaluate assessment and treatment strategies. Objective: The aim of the study is to determine the feasibility and acceptability of implementing a rapid learning health system to enable a measurement-based, stratified care treatment strategy for emerging adults. Methods: This study takes place at a specialty clinic serving emerging adults (age 16-24 years) in Calgary, Canada, and involves extensive collaboration among researchers, providers, and youth. The study design includes six phases: (1) developing a transdiagnostic platform for PROMs, (2) designing an initial stratified care model, (3) combining the implementation of PROMs with stratified care, (4) evaluating outcomes and disseminating results, (5) modification of stratified care based on data derived from PROMs, and (6) spread and scale to new sites. Qualitative and quantitative feedback will be collected from health care providers and youth throughout the implementation process. These data will be analyzed at regular intervals and used to modify the way future services are delivered. The RE-AIM (Reach, Effectiveness, Adoption, Implementation, and Maintenance) framework is used to organize and evaluate implementation according to 3 key objectives: improving treatment selection, reducing average wait time and treatment duration, and increasing the value of services. Results: This project was funded through a program grant running from 2021 to 2026. Ethics approval for this study was received in February 2023. Presently, we have developed a system of PROMs and organized clinical services into strata of care. We will soon begin using PROMs to assign clients to a stratum of care and using feedback from youth and clinicians to understand how to improve experiences and outcomes. Conclusions: This study has key implications for researchers and clinicians looking to understand how to customize emerging adult mental health services to improve the quality of care and satisfaction with care. This study has significant implications for mental health care systems as part of a movement toward value-based health care.</t>
        </is>
      </c>
      <c r="W50" s="4" t="inlineStr">
        <is>
          <t>title_abstract_plus_targeted_primary_source_verification</t>
        </is>
      </c>
      <c r="X50" s="4" t="inlineStr">
        <is>
          <t>doi:10.2196/51667</t>
        </is>
      </c>
      <c r="Y50" s="4" t="n"/>
      <c r="Z50" s="4" t="n"/>
      <c r="AA50" s="4" t="n"/>
      <c r="AB50" s="40" t="n"/>
    </row>
    <row r="51" ht="409" customHeight="1">
      <c r="A51" s="4" t="n">
        <v>50</v>
      </c>
      <c r="B51" s="4" t="inlineStr">
        <is>
          <t>include_after_full_text_open_access</t>
        </is>
      </c>
      <c r="C51" s="4" t="inlineStr">
        <is>
          <t>Incluir tras revisión de texto completo abierto</t>
        </is>
      </c>
      <c r="D51" s="4" t="inlineStr">
        <is>
          <t>Provisional include</t>
        </is>
      </c>
      <c r="E51" s="4" t="inlineStr">
        <is>
          <t>Sí</t>
        </is>
      </c>
      <c r="F51" s="4" t="inlineStr">
        <is>
          <t>Full-text review</t>
        </is>
      </c>
      <c r="G51" s="4" t="n"/>
      <c r="H51" s="4" t="n"/>
      <c r="I51" s="4" t="n"/>
      <c r="J51" s="4" t="inlineStr">
        <is>
          <t>Texto completo confirma estudio primario con Not specified aplicado a ASD (Technology-assisted intervention).</t>
        </is>
      </c>
      <c r="K51" s="4" t="n"/>
      <c r="L51" s="4" t="n"/>
      <c r="M51" s="4" t="n">
        <v>2025</v>
      </c>
      <c r="N51" s="4" t="inlineStr">
        <is>
          <t>Effectiveness of Artificial Intelligence–Based Platform in Administering Therapies for Children With Autism Spectrum Disorder: 12-Month Observational Study</t>
        </is>
      </c>
      <c r="O51" s="4" t="inlineStr">
        <is>
          <t>Harini Atturu and Somasekhar Naraganti and Bugatha Rajvir Rao</t>
        </is>
      </c>
      <c r="P51" s="4" t="inlineStr">
        <is>
          <t>10.2196/70589</t>
        </is>
      </c>
      <c r="Q51" s="4" t="inlineStr">
        <is>
          <t>JMIR Neurotechnology</t>
        </is>
      </c>
      <c r="R51" s="4" t="inlineStr">
        <is>
          <t>article</t>
        </is>
      </c>
      <c r="S51" s="4" t="inlineStr">
        <is>
          <t>JMIR Publications Inc.</t>
        </is>
      </c>
      <c r="T51" s="4" t="inlineStr">
        <is>
          <t>https://neuro.jmir.org/2025/1/e70589/PDF</t>
        </is>
      </c>
      <c r="U51" s="4" t="inlineStr">
        <is>
          <t>Texto completo abierto revisado; evidencia y codificación en Extraccion_RQ_nuevos.</t>
        </is>
      </c>
      <c r="V51" s="4" t="inlineStr">
        <is>
          <t>Background: A 12-month longitudinal observational study was conducted on 43 children aged 2‐18 years to evaluate the effectiveness of the CognitiveBotics artificial intelligence (AI)–based platform in conjunction with continuous therapy in improving therapeutic outcomes for children with autism spectrum disorder (ASD). Objective: This study evaluates the CognitiveBotics software’s effectiveness in supporting children with ASD through structured, technology-assisted learning. The primary objectives include assessing user engagement, tracking progress, and measuring efficacy using standardized clinical assessments. Methods: A 12-month observational study was conducted on children diagnosed with ASD using the CognitiveBotics AI-based platform. Standardized assessments, include the Childhood Autism Rating Scale (CARS), Vineland Social Maturity Scale, Developmental Screening Test, and Receptive Expressive Emergent Language Test (REEL), were conducted at baseline (T1) and at the endpoint (T2). All participants meeting the inclusion criteria were provided access to the platform and received standard therapy. Participants who consistently adhered to platform use as per the study protocol were classified as the intervention group, while those who did not maintain continuous platform use were designated as the control group. Additionally, caregivers received structured training, including web-based parent teaching sessions, reinforcement strategy training, and home-based activity guidance. Results: Participants in the intervention group demonstrated statistically significant improvements across multiple scales. CARS scores reduced from 33.41 (SD 1.89) at T1 to 28.34 (SD 3.80) at T2 (P&lt;.001). Social age increased from 22.80 (SD 7.33) to 35.76 (SD 9.09; mean change: 12.96, 56.84% increase; P&lt;.001). Social quotient increased from 53.26 (SD 11.84) to 64.75 (SD 16.12; mean change: 11.49, 21.57% increase; P&lt;.001). Developmental age showed an improvement from 30.93 (SD 9.91) to 45.31 (SD 11.20; mean change: 14.38, 46.49% increase; P&lt;.001), while developmental quotient increased from 70.94 (SD 10.95) to 81.33 (SD 16.85; mean change: 10.39, 14.65% increase; P&lt;.001). REEL scores showed substantial improvements, with receptive language increasing by 56.22% (P&lt;.001) and expressive language by 59.93% (P&lt;.001). In the control group, while most psychometric parameters showed some improvements, they were not statistically significant. CARS scores decreased by 10.62% (P=.06), social age increased by 52.27% (P=.06), social quotient increased by 19.62% (P=.12), developmental age increased by 44.88% (P=.06), and developmental quotient increased by 11.23% (P=.19). REEL receptive and expressive language increased by 34.69% (P=.10) and 40.48% (P=.054), respectively. Conclusions: Overall, the platform was an effective supplement in enhancing therapeutic outcomes for children with ASD. This platform holds promise as a valuable tool for augmenting ASD therapies across cognitive, social, and developmental domains. Future development should prioritize expanding the product’s accessibility across various languages, ensuring cultural sensitivity and enhancing user-friendliness.</t>
        </is>
      </c>
      <c r="W51" s="4" t="inlineStr">
        <is>
          <t>open_full_text_review_2026_09_04</t>
        </is>
      </c>
      <c r="X51" s="4" t="inlineStr">
        <is>
          <t>doi:10.2196/70589</t>
        </is>
      </c>
      <c r="Y51" s="4" t="n"/>
      <c r="Z51" s="4" t="n"/>
      <c r="AA51" s="4" t="n"/>
      <c r="AB51" s="40" t="n"/>
    </row>
    <row r="52" ht="409" customHeight="1">
      <c r="A52" s="4" t="n">
        <v>51</v>
      </c>
      <c r="B52" s="4" t="inlineStr">
        <is>
          <t>include_after_title_abstract_screen</t>
        </is>
      </c>
      <c r="C52" s="4" t="inlineStr">
        <is>
          <t>Incluir provisionalmente</t>
        </is>
      </c>
      <c r="D52" s="4" t="inlineStr">
        <is>
          <t>Provisional include</t>
        </is>
      </c>
      <c r="E52" s="4" t="inlineStr">
        <is>
          <t>Sí</t>
        </is>
      </c>
      <c r="F52" s="4" t="inlineStr">
        <is>
          <t>Title/abstract screening</t>
        </is>
      </c>
      <c r="G52" s="4" t="n"/>
      <c r="H52" s="4" t="n"/>
      <c r="I52" s="4" t="n"/>
      <c r="J52" s="4" t="inlineStr">
        <is>
          <t>Estudio primario o implementación/evaluación empírica de IA, aprendizaje automático o modelado computacional aplicado a ASD, riesgo, caracterización, apoyo o intervención.</t>
        </is>
      </c>
      <c r="K52" s="4" t="n"/>
      <c r="L52" s="4" t="n"/>
      <c r="M52" s="4" t="n">
        <v>2025</v>
      </c>
      <c r="N52" s="4" t="inlineStr">
        <is>
          <t>Involution fused convolution for classifying eye-tracking patterns of children with Autism Spectrum Disorder</t>
        </is>
      </c>
      <c r="O52" s="4" t="inlineStr">
        <is>
          <t>Md Farhadul Islam and Meem Arafat Manab and Joyanta Jyoti Mondal and Sarah Zabeen and Fardin Bin Rahman and Md Zahidul Hasan and Farig Sadeque and Jannatun Noor</t>
        </is>
      </c>
      <c r="P52" s="4" t="inlineStr">
        <is>
          <t>10.1016/j.engappai.2024.109475</t>
        </is>
      </c>
      <c r="Q52" s="4" t="inlineStr">
        <is>
          <t>Engineering Applications of Artificial Intelligence</t>
        </is>
      </c>
      <c r="R52" s="4" t="inlineStr">
        <is>
          <t>article</t>
        </is>
      </c>
      <c r="S52" s="4" t="inlineStr">
        <is>
          <t>Elsevier Ltd</t>
        </is>
      </c>
      <c r="T52" s="4" t="inlineStr">
        <is>
          <t>https://www.sciencedirect.com/science/article/pii/S0952197624016336</t>
        </is>
      </c>
      <c r="U52" s="4" t="n"/>
      <c r="V52" s="4" t="inlineStr">
        <is>
          <t>Autism Spectrum Disorder (ASD) is a neurological condition that is challenging to diagnose. Numerous studies demonstrate that children diagnosed with autism struggle with maintaining attention spans and have less focused vision. The eye-tracking technology has drawn special attention in the context of ASD since anomalies in gaze have long been acknowledged as a defining feature of autism. Deep Learning (DL) approaches coupled with eye-tracking sensors are exploiting additional capabilities to advance the diagnostic and its applications. DL architectures like convolution have been dominating this domain. However, convolutions alone may be insufficient to capture the important spatial information in eye-tracking patterns, as these patterns are more likely to be localized. The dynamic kernel-based process known as involutions can improve the classification efficiency. In this study, we utilize two image-processing operations to see how these processes learn eye-tracking patterns. Since these patterns are primarily based on spatial information, we employ a hybrid of involution and convolution. Our study shows that adding a few involution layers reduces size and computational cost while enhancing location-specific capabilities, maintaining performance comparable to pure convolutional models. However, excessive involution layers lead to weaker performance. For comparisons, we experiment with two datasets and a combined version of both in ablation studies. Our proposed model, featuring three involution layers and three convolution layers, achieved 99.43% accuracy on the first dataset and 96.78% on the second, with a size of only 1.36 megabytes. These results showcase the effectiveness of combining involution and convolution layers which outperforms previous literature.</t>
        </is>
      </c>
      <c r="W52" s="4" t="inlineStr">
        <is>
          <t>title_abstract_plus_targeted_primary_source_verification</t>
        </is>
      </c>
      <c r="X52" s="4" t="inlineStr">
        <is>
          <t>doi:10.1016/j.engappai.2024.109475</t>
        </is>
      </c>
      <c r="Y52" s="4" t="n"/>
      <c r="Z52" s="4" t="n"/>
      <c r="AA52" s="4" t="n"/>
      <c r="AB52" s="40" t="n"/>
    </row>
    <row r="53" ht="409" customHeight="1">
      <c r="A53" s="4" t="n">
        <v>52</v>
      </c>
      <c r="B53" s="4" t="inlineStr">
        <is>
          <t>exclude_secondary_or_nonempirical_publication</t>
        </is>
      </c>
      <c r="C53" s="4" t="inlineStr">
        <is>
          <t>Excluir: publicación secundaria/no empírica</t>
        </is>
      </c>
      <c r="D53" s="4" t="inlineStr">
        <is>
          <t>Excluded</t>
        </is>
      </c>
      <c r="E53" s="4" t="inlineStr">
        <is>
          <t>No</t>
        </is>
      </c>
      <c r="F53" s="4" t="inlineStr">
        <is>
          <t>Title/abstract screening</t>
        </is>
      </c>
      <c r="G53" s="4" t="n"/>
      <c r="H53" s="4" t="n"/>
      <c r="I53" s="4" t="n"/>
      <c r="J53" s="4" t="inlineStr">
        <is>
          <t>Revisión, metaanálisis, encuesta de literatura, protocolo, perspectiva, carta, editorial o capítulo de síntesis sin estudio primario elegible.</t>
        </is>
      </c>
      <c r="K53" s="4" t="n"/>
      <c r="L53" s="4" t="n"/>
      <c r="M53" s="4" t="n">
        <v>2026</v>
      </c>
      <c r="N53" s="4" t="inlineStr">
        <is>
          <t>Current Landscape of Mental Health Conversational Agents From a Trauma-Informed Care Lens: Scoping Review</t>
        </is>
      </c>
      <c r="O53" s="4" t="inlineStr">
        <is>
          <t>Faye Kollig and Kira Voelker and Emily Ryan and Rachel Pfafman and Fayika Farhat Nova</t>
        </is>
      </c>
      <c r="P53" s="4" t="inlineStr">
        <is>
          <t>10.2196/77876</t>
        </is>
      </c>
      <c r="Q53" s="4" t="inlineStr">
        <is>
          <t>JMIR Mental Health</t>
        </is>
      </c>
      <c r="R53" s="4" t="inlineStr">
        <is>
          <t>article</t>
        </is>
      </c>
      <c r="S53" s="4" t="inlineStr">
        <is>
          <t>JMIR Publications Inc.</t>
        </is>
      </c>
      <c r="T53" s="4" t="inlineStr">
        <is>
          <t>https://doi.org/10.2196/77876</t>
        </is>
      </c>
      <c r="U53" s="4" t="n"/>
      <c r="V53" s="4" t="inlineStr">
        <is>
          <t>Background: Conversational agents (CAs) are increasingly used in mental health care to enhance access and engagement. However, their safe, ethical, and user-sensitive design remains a challenge. Despite growing attention to trauma-informed approaches in human-computer interaction, there is limited work on how the trauma-informed care (TIC) framework could be applied in the design of mental health CAs and no comprehensive synthesis to date. Objective: Guided by the Substance Abuse and Mental Health Services Administration’s TIC framework, this scoping review explored how TIC principles (safety; trustworthiness and transparency; collaboration and mutuality; empowerment, voice, and choice; peer support; and cultural, historical, and gender issues) are currently represented in the design and evaluation of mental health conversational agents (MHCAs) and identified gaps and opportunities to promote more trauma-informed design practices. Methods: Online databases, as well as a secondary survey of citation lists from an initial search, were used to identify English-language journal articles and conference proceedings from 2000 to 2024 that empirically evaluated an independent, web- or app-based, unassisted CA used for mental health and included concepts from TIC. Results: Our analysis included 38 publications (n=28, 73.7%, published in 2020 or later) covering 28 distinct MHCAs. Most studies used experimental methods (n=23, 60.6%) or user studies (n=11, 28.9%), with samples skewed toward female (men: mean 34.92%, SD 18.64%), young in age (mean 32.52, SD 14.6 y), and predominantly nonclinical (n=29, 76.3%). MHCAs were largely rule-based prototypes. No studies explicitly referenced the TIC framework as a guiding lens for MHCA design or evaluation. A total of 26 studies referenced terminology from TIC core principles but rarely defined them, while all 38 included language that could be linked to one or more principles. Overall, TIC-related concepts appeared most often within intervention design descriptions, qualitative assessments, or as items embedded in questionnaires evaluating broader constructs. Trustworthiness and transparency, safety, empowerment, voice and choice, and collaboration and mutuality were comparatively well addressed, while peer support and cultural, historical, and gender issues were largely absent. Design recommendations, where present, were relatively broad and emphasized secure, customizable, reliable, human-like, and context-sensitive MHCAs that offered multimodal interaction, goal setting and tracking, and transparency. Conclusions: Studies did not self-identify as using Substance Abuse and Mental Health Services Administration’s framework for TIC, making it more difficult to identify its elements. The fragmented terms, disciplines, and metrics used make it difficult to draw more systematic conclusions about the current research landscape related to TIC, but our analysis indicates TIC to be a descriptive and potentially unifying framework and provides a starting point for the explicit trauma-informed MHCA research and design.</t>
        </is>
      </c>
      <c r="W53" s="4" t="inlineStr">
        <is>
          <t>title_abstract_plus_targeted_primary_source_verification</t>
        </is>
      </c>
      <c r="X53" s="4" t="inlineStr">
        <is>
          <t>doi:10.2196/77876</t>
        </is>
      </c>
      <c r="Y53" s="4" t="n"/>
      <c r="Z53" s="4" t="n"/>
      <c r="AA53" s="4" t="n"/>
      <c r="AB53" s="40" t="n"/>
    </row>
    <row r="54" ht="409" customHeight="1">
      <c r="A54" s="4" t="n">
        <v>53</v>
      </c>
      <c r="B54" s="4" t="inlineStr">
        <is>
          <t>exclude_no_qualifying_ai_application</t>
        </is>
      </c>
      <c r="C54" s="4" t="inlineStr">
        <is>
          <t>Excluir: sin aplicación de IA elegible</t>
        </is>
      </c>
      <c r="D54" s="4" t="inlineStr">
        <is>
          <t>Excluded</t>
        </is>
      </c>
      <c r="E54" s="4" t="inlineStr">
        <is>
          <t>No</t>
        </is>
      </c>
      <c r="F54" s="4" t="inlineStr">
        <is>
          <t>Title/abstract screening</t>
        </is>
      </c>
      <c r="G54" s="4" t="n"/>
      <c r="H54" s="4" t="n"/>
      <c r="I54" s="4" t="n"/>
      <c r="J54" s="4" t="inlineStr">
        <is>
          <t>El trabajo no implementa ni evalúa una técnica de IA/ML como componente sustantivo del estudio de ASD.</t>
        </is>
      </c>
      <c r="K54" s="4" t="n"/>
      <c r="L54" s="4" t="n"/>
      <c r="M54" s="4" t="n">
        <v>2025</v>
      </c>
      <c r="N54" s="4" t="inlineStr">
        <is>
          <t>EEG spectral characteristics and asymmetry in pre-school children with autism in awake and sleep stages</t>
        </is>
      </c>
      <c r="O54" s="4" t="inlineStr">
        <is>
          <t>Abhijith Vasista and Sowmyashree Mayur Kaku and Anoop Joseph and Manjula William James and Gosala R K Sarma and Ashok Mysore and Shyam Sundar Rajagopalan</t>
        </is>
      </c>
      <c r="P54" s="4" t="inlineStr">
        <is>
          <t>10.1016/j.reia.2025.202538</t>
        </is>
      </c>
      <c r="Q54" s="4" t="inlineStr">
        <is>
          <t>Research in Autism</t>
        </is>
      </c>
      <c r="R54" s="4" t="inlineStr">
        <is>
          <t>article</t>
        </is>
      </c>
      <c r="S54" s="4" t="inlineStr">
        <is>
          <t>Elsevier Ltd</t>
        </is>
      </c>
      <c r="T54" s="4" t="inlineStr">
        <is>
          <t>https://www.sciencedirect.com/science/article/pii/S3050656525000100</t>
        </is>
      </c>
      <c r="U54" s="4" t="n"/>
      <c r="V54" s="4" t="inlineStr">
        <is>
          <t>Background: Autism spectrum disorder (ASD) is a complex-heterogeneous neurodevelopmental disorder manifesting as abnormalities in social communication and repetitive behaviors, generally observed from early childhood. These syndromic behaviors have neurophysiological basis which stems from altered activations of cortical structures in the pathways of functional neural networks and regulatory mechanisms. Frequency bands of Electroencephalography (EEG) have functional and topographical significance expressed through computed parameters like band power and asymmetry index. Previous studies have mapped these parameters to ASD symptoms, limited to select cortical locations, bands and restricted study conditions in either passive awake or selected sleep stage. Methods: Spontaneous EEG recorded from two clinically diagnosed groups of preschoolers, ASD and non-ASD in awake and 3 stages of Non-Rapid Eye Movement (NREM) sleep (N1–N3) was decomposed into 8 frequency bands spanning 0.5–24 Hz. Band powers were computed for 60 channels and hemispheric asymmetry index (AI) for 12 regions covering the entire scalp. Results: We found awake alpha with N1 slow and fast theta powers significantly lower for ASD. N1 fast beta power was higher in ASD. Sleep AI exhibited significant dominance with both groups displaying congruent orientation in N1 and contralateral in N2 and N3. ASD showed lower AI in N1 and N3 with higher AI in N2. Conclusion: Cyclical states of awake and sleep often tend to project their mental processes from one onto another making a use case for our pervasive approach. This pilot study highlights the need to include EEG spectral parameters into the heterogeneous relationship of awake/sleep states mentation, neuropsychology and ASD symptoms.</t>
        </is>
      </c>
      <c r="W54" s="4" t="inlineStr">
        <is>
          <t>title_abstract_plus_targeted_primary_source_verification</t>
        </is>
      </c>
      <c r="X54" s="4" t="inlineStr">
        <is>
          <t>doi:10.1016/j.reia.2025.202538</t>
        </is>
      </c>
      <c r="Y54" s="4" t="n"/>
      <c r="Z54" s="4" t="n"/>
      <c r="AA54" s="4" t="n"/>
      <c r="AB54" s="40" t="n"/>
    </row>
    <row r="55" ht="409" customHeight="1">
      <c r="A55" s="4" t="n">
        <v>54</v>
      </c>
      <c r="B55" s="4" t="inlineStr">
        <is>
          <t>exclude_out_of_scope_topic_or_population</t>
        </is>
      </c>
      <c r="C55" s="4" t="inlineStr">
        <is>
          <t>Excluir: tema/población fuera de alcance</t>
        </is>
      </c>
      <c r="D55" s="4" t="inlineStr">
        <is>
          <t>Excluded</t>
        </is>
      </c>
      <c r="E55" s="4" t="inlineStr">
        <is>
          <t>No</t>
        </is>
      </c>
      <c r="F55" s="4" t="inlineStr">
        <is>
          <t>Title/abstract screening</t>
        </is>
      </c>
      <c r="G55" s="4" t="n"/>
      <c r="H55" s="4" t="n"/>
      <c r="I55" s="4" t="n"/>
      <c r="J55" s="4" t="inlineStr">
        <is>
          <t>No estudia ASD en el sentido del protocolo, usa otro significado de ASD o aborda otra población/resultado sin aplicación pertinente al proceso ASD.</t>
        </is>
      </c>
      <c r="K55" s="4" t="n"/>
      <c r="L55" s="4" t="n"/>
      <c r="M55" s="4" t="n">
        <v>2026</v>
      </c>
      <c r="N55" s="4" t="inlineStr">
        <is>
          <t>Psychosocial Stress in the Chinese Community: Speech Analytics Through Linguistic and Acoustic Fusion Using Machine Learning</t>
        </is>
      </c>
      <c r="O55" s="4" t="inlineStr">
        <is>
          <t>Amanda M Y Chu and Benson S Y Lam and Jenny T Y Tsang and Agnes Tiwari and Jacky N L Chan and Mike K P So</t>
        </is>
      </c>
      <c r="P55" s="4" t="inlineStr">
        <is>
          <t>10.2196/91138</t>
        </is>
      </c>
      <c r="Q55" s="4" t="inlineStr">
        <is>
          <t>JMIR Biomedical Engineering</t>
        </is>
      </c>
      <c r="R55" s="4" t="inlineStr">
        <is>
          <t>article</t>
        </is>
      </c>
      <c r="S55" s="4" t="inlineStr">
        <is>
          <t>JMIR Publications Inc.</t>
        </is>
      </c>
      <c r="T55" s="4" t="inlineStr">
        <is>
          <t>https://doi.org/10.2196/91138</t>
        </is>
      </c>
      <c r="U55" s="4" t="n"/>
      <c r="V55" s="4" t="inlineStr">
        <is>
          <t>Background: Family caregivers experience significant stress due to intensive caregiving activities, making them highly susceptible to adverse psychosocial health conditions. Early detection of this stress is crucial for timely interventions to prevent disease progression and long-term disability. Objective: This study aimed to develop and validate the Linguistic and Acoustic Speech Analytics Program, a novel machine learning approach capable of providing a fusion analysis of linguistic and acoustic speech features to enhance the effectiveness of psychosocial stress assessment. Methods: This quantitative study analyzed speech data collected from 100 Chinese family caregivers. Participants responded to 12 open-ended questions, and their voices were recorded for linguistic and acoustic feature extraction. Various machine learning classifiers, including support vector machine, were developed to process speech data. A key methodological step was the application of an orthogonalization procedure to decorrelate acoustic features from linguistic features before fusion analysis. The classifiers were then trained to evaluate psychosocial stress levels based on the processed and fused linguistic and acoustic speech features. Model performance was measured using receiver operating characteristic-area under the curve, F1-score, and accuracy. Results: The linear support vector machine model emerged as the top performer, achieving a receiver operating characteristic-area under the curve of 78.28%, an F1-score of 75.27%, and an accuracy of 73%. These results demonstrate the model’s strong capability in identifying stressed participants based on their speech. Critically, the fusion of linguistic and acoustic features significantly outperformed models using either feature type alone. Furthermore, the orthogonalization procedure proved essential, as decorrelating features before fusion markedly enhanced classification accuracy compared to using non-orthogonal-ized features. Conclusions: This study demonstrates that fusion analysis of linguistic and acoustic features effectively identifies psychosocial stress among family caregivers. It also emphasizes the importance of proper feature processing when combining multiple features extracted from the same audio sample. These findings provide valuable insights for developing machine learning models for psychosocial stress assessment and addressing various psychosocial conditions in different contexts, supporting population mental health management.</t>
        </is>
      </c>
      <c r="W55" s="4" t="inlineStr">
        <is>
          <t>title_abstract_plus_targeted_primary_source_verification</t>
        </is>
      </c>
      <c r="X55" s="4" t="inlineStr">
        <is>
          <t>doi:10.2196/91138</t>
        </is>
      </c>
      <c r="Y55" s="4" t="n"/>
      <c r="Z55" s="4" t="n"/>
      <c r="AA55" s="4" t="n"/>
      <c r="AB55" s="40" t="n"/>
    </row>
    <row r="56" ht="409" customHeight="1">
      <c r="A56" s="4" t="n">
        <v>55</v>
      </c>
      <c r="B56" s="4" t="inlineStr">
        <is>
          <t>already_in_current_276</t>
        </is>
      </c>
      <c r="C56" s="4" t="inlineStr">
        <is>
          <t>No agregar: ya está en los 276</t>
        </is>
      </c>
      <c r="D56" s="4" t="inlineStr">
        <is>
          <t>Already in base 276</t>
        </is>
      </c>
      <c r="E56" s="4" t="inlineStr">
        <is>
          <t>No</t>
        </is>
      </c>
      <c r="F56" s="4" t="inlineStr">
        <is>
          <t>Deduplication against base corpus</t>
        </is>
      </c>
      <c r="G56" s="4" t="n"/>
      <c r="H56" s="4" t="n"/>
      <c r="I56" s="4" t="n"/>
      <c r="J56" s="4" t="inlineStr">
        <is>
          <t>Coincidencia por DOI o título normalizado con el corpus analítico vigente de 276 estudios.</t>
        </is>
      </c>
      <c r="K56" s="4" t="n"/>
      <c r="L56" s="4" t="n">
        <v>83</v>
      </c>
      <c r="M56" s="4" t="n">
        <v>2025</v>
      </c>
      <c r="N56" s="4" t="inlineStr">
        <is>
          <t>Converging Representations of Attention-Deficit/Hyperactivity Disorder and Autism on Social Media: Linguistic and Topic Analysis of Trends in Reddit Data</t>
        </is>
      </c>
      <c r="O56" s="4" t="inlineStr">
        <is>
          <t>Jemima Kang and Nick Haslam and Mike Conway</t>
        </is>
      </c>
      <c r="P56" s="4" t="inlineStr">
        <is>
          <t>10.2196/70914</t>
        </is>
      </c>
      <c r="Q56" s="4" t="inlineStr">
        <is>
          <t>Journal of Medical Internet Research</t>
        </is>
      </c>
      <c r="R56" s="4" t="inlineStr">
        <is>
          <t>article</t>
        </is>
      </c>
      <c r="S56" s="4" t="inlineStr">
        <is>
          <t>JMIR Publications Inc.</t>
        </is>
      </c>
      <c r="T56" s="4" t="inlineStr">
        <is>
          <t>https://www.sciencedirect.com/science/article/pii/S1438887125007150</t>
        </is>
      </c>
      <c r="U56" s="4" t="n"/>
      <c r="V56" s="4" t="inlineStr">
        <is>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is>
      </c>
      <c r="W56" s="4" t="inlineStr">
        <is>
          <t>title_abstract_plus_targeted_primary_source_verification</t>
        </is>
      </c>
      <c r="X56" s="4" t="inlineStr">
        <is>
          <t>doi:10.2196/70914</t>
        </is>
      </c>
      <c r="Y56" s="4" t="n"/>
      <c r="Z56" s="4" t="n"/>
      <c r="AA56" s="4" t="n"/>
      <c r="AB56" s="40" t="n"/>
    </row>
    <row r="57" ht="409" customHeight="1">
      <c r="A57" s="4" t="n">
        <v>56</v>
      </c>
      <c r="B57" s="4" t="inlineStr">
        <is>
          <t>include_after_title_abstract_screen</t>
        </is>
      </c>
      <c r="C57" s="4" t="inlineStr">
        <is>
          <t>Incluir provisionalmente</t>
        </is>
      </c>
      <c r="D57" s="4" t="inlineStr">
        <is>
          <t>Provisional include</t>
        </is>
      </c>
      <c r="E57" s="4" t="inlineStr">
        <is>
          <t>Sí</t>
        </is>
      </c>
      <c r="F57" s="4" t="inlineStr">
        <is>
          <t>Title/abstract screening</t>
        </is>
      </c>
      <c r="G57" s="4" t="n"/>
      <c r="H57" s="4" t="n"/>
      <c r="I57" s="4" t="n"/>
      <c r="J57" s="4" t="inlineStr">
        <is>
          <t>Estudio primario o implementación/evaluación empírica de IA, aprendizaje automático o modelado computacional aplicado a ASD, riesgo, caracterización, apoyo o intervención.</t>
        </is>
      </c>
      <c r="K57" s="4" t="n"/>
      <c r="L57" s="4" t="n"/>
      <c r="M57" s="4" t="n">
        <v>2025</v>
      </c>
      <c r="N57" s="4" t="inlineStr">
        <is>
          <t>Effective AI Techniques for Analyzing Risk Factors in Autism Spectrum Disorder (ASD)</t>
        </is>
      </c>
      <c r="O57" s="4" t="inlineStr">
        <is>
          <t>Amira Rachah and Saket Adhau and Senda Slama</t>
        </is>
      </c>
      <c r="P57" s="4" t="inlineStr">
        <is>
          <t>10.1016/j.procs.2025.10.018</t>
        </is>
      </c>
      <c r="Q57" s="4" t="inlineStr">
        <is>
          <t>Procedia Computer Science</t>
        </is>
      </c>
      <c r="R57" s="4" t="inlineStr">
        <is>
          <t>article</t>
        </is>
      </c>
      <c r="S57" s="4" t="inlineStr">
        <is>
          <t>Elsevier B.V.</t>
        </is>
      </c>
      <c r="T57" s="4" t="inlineStr">
        <is>
          <t>https://www.sciencedirect.com/science/article/pii/S1877050925033514</t>
        </is>
      </c>
      <c r="U57" s="4" t="n"/>
      <c r="V57" s="4" t="inlineStr">
        <is>
          <t>Autism Spectrum Disorder (ASD) is a complex neurodevelopmental condition characterised by a wide range of behavioural and developmental symptoms. Understanding the risk factors that contribute to the onset and progression of ASD is essential for early diagnosis and intervention. In this paper, we explore advanced artificial intelligence (AI) approaches for analysing risk factors associated with ASD. Specifically, we apply machine learning techniques, including Random Forest, XGBoost, and SHAP (Shapley Additive Explanations) to determine the most influential features in ASD risk prediction. Random Forest and XGBoost models are utilised to assess feature importance, offering insights into the relative contribution of various clinical, genetic, and environmental variables. Additionally, SHAP values are employed to provide model interpretability and explain the influence of individual features in a transparent and human-understandable manner. Our findings indicate that these AI-driven methods can effectively identify key risk factors for ASD, providing insights that may support earlier detection, targeted prevention, and personalised treatment strategies. This paper underscores the potential of AI to transform autism research through scalable, interpretable, and data-driven methodologies.</t>
        </is>
      </c>
      <c r="W57" s="4" t="inlineStr">
        <is>
          <t>title_abstract_plus_targeted_primary_source_verification</t>
        </is>
      </c>
      <c r="X57" s="4" t="inlineStr">
        <is>
          <t>doi:10.1016/j.procs.2025.10.018</t>
        </is>
      </c>
      <c r="Y57" s="4" t="n"/>
      <c r="Z57" s="4" t="n"/>
      <c r="AA57" s="4" t="n"/>
      <c r="AB57" s="40" t="n"/>
    </row>
    <row r="58" ht="409" customHeight="1">
      <c r="A58" s="4" t="n">
        <v>57</v>
      </c>
      <c r="B58" s="4" t="inlineStr">
        <is>
          <t>exclude_secondary_or_nonempirical_publication</t>
        </is>
      </c>
      <c r="C58" s="4" t="inlineStr">
        <is>
          <t>Excluir: publicación secundaria/no empírica</t>
        </is>
      </c>
      <c r="D58" s="4" t="inlineStr">
        <is>
          <t>Excluded</t>
        </is>
      </c>
      <c r="E58" s="4" t="inlineStr">
        <is>
          <t>No</t>
        </is>
      </c>
      <c r="F58" s="4" t="inlineStr">
        <is>
          <t>Title/abstract screening</t>
        </is>
      </c>
      <c r="G58" s="4" t="n"/>
      <c r="H58" s="4" t="n"/>
      <c r="I58" s="4" t="n"/>
      <c r="J58" s="4" t="inlineStr">
        <is>
          <t>Revisión, metaanálisis, encuesta de literatura, protocolo, perspectiva, carta, editorial o capítulo de síntesis sin estudio primario elegible.</t>
        </is>
      </c>
      <c r="K58" s="4" t="n"/>
      <c r="L58" s="4" t="n"/>
      <c r="M58" s="4" t="n">
        <v>2026</v>
      </c>
      <c r="N58" s="4" t="inlineStr">
        <is>
          <t>Toward Participatory Precision Health With Co-Designed Recommendations: Systematic Review of Just-in-Time Adaptive Interventions in Adolescents and Young Adults</t>
        </is>
      </c>
      <c r="O58" s="4" t="inlineStr">
        <is>
          <t>Kathleen W Guan and Mohammed Amara and Viviana Cortiana and Imran Khan and Sıla Gürbüz and Carmine Iorio and Rayyan Ali and Christopher Adlung and Crystal R Smit and Annabel Vreeker and Eva Thalassinou and Eeske van Roekel and Loes Keijsers and Mark de Reuver and Caroline A Figueroa</t>
        </is>
      </c>
      <c r="P58" s="4" t="inlineStr">
        <is>
          <t>10.2196/84422</t>
        </is>
      </c>
      <c r="Q58" s="4" t="inlineStr">
        <is>
          <t>Journal of Medical Internet Research</t>
        </is>
      </c>
      <c r="R58" s="4" t="inlineStr">
        <is>
          <t>article</t>
        </is>
      </c>
      <c r="S58" s="4" t="inlineStr">
        <is>
          <t>JMIR Publications Inc.</t>
        </is>
      </c>
      <c r="T58" s="4" t="inlineStr">
        <is>
          <t>https://doi.org/10.2196/84422</t>
        </is>
      </c>
      <c r="U58" s="4" t="n"/>
      <c r="V58" s="4" t="inlineStr">
        <is>
          <t>Background: The transition from adolescence to young adulthood (age 10‐25 years) constitutes a sensitive developmental period marked by rapid biological, psychological, and social change, during which preventive health interventions can shape long-term outcomes. Mobile health tools offer accessible opportunities for tailored support for this population, but often adapt poorly to dynamic contexts, resulting in inconsistent engagement and effects. Just-in-time adaptive interventions (JITAIs), which tailor support in real time using ongoing data, are increasingly explored as precision health strategies. However, how these mechanisms are designed, implemented, and evaluated for adolescents and young adults (AYAs) has not been systematically reviewed. Objective: This review aimed to synthesize the evidence on JITAIs developed for AYAs, examine how their adaptive mechanisms have been designed to support specific health goals and changing AYA contexts, and assess methodological reporting quality to inform future precision health intervention development. Methods: We conducted a systematic review in accordance with PRISMA (Preferred Reporting Items for Systematic Reviews and Meta-Analyses) and SWiM (Synthesis Without Meta-Analysis) reporting guidelines. Twelve databases were searched for peer-reviewed studies published from 2013 to 2025. Eligible studies focused on participants aged 10 to 25 years and reported real-time adaptive mobile health interventions consistent with JITAI design principles. Two reviewers independently conducted screening, data extraction, and methodological quality appraisal using the Joanna Briggs Institute checklists. AYA coauthors contributed to all phases. Due to substantial heterogeneity in study populations, intervention content, adaptive mechanisms, comparators, and outcome measurements, findings were synthesized narratively, and no meta-analysis was conducted. Results: A total of 61 unique interventions were included. JITAIs for AYAs addressed substance use (n=24, 39.3%), mental health (n=23, 37.7%), and physical health or chronic conditions (n=14, 23%). JITAI tailoring mechanisms relied predominantly on self-reported behavioral data. Decision rules were typically symptom threshold–based, and decision points were commonly daily or event-triggered. Methodological concerns with reporting on intervention administration, participant selection, and outcome measurement reliability were pervasive across all studies, limiting the interpretability of observed effects and cross-study comparisons. Ethical considerations, including researcher positioning and reflexivity, alongside the depth of reporting around participatory AYA engagement in design and implementation, were also inconsistent. Conclusions: This review contributes a novel perspective to AYA digital health by moving beyond intervention outcomes to examine how core adaptive mechanisms are operationalized for AYAs across multiple health domains, while also integrating AYA perspectives into the interpretation of findings and recommendations. Unlike prior reviews focused primarily on adults or specific conditions, it identifies broader contextual, methodological, and ethical considerations relevant to AYA precision health. These findings highlight the need for more transparent, contextually responsive, and youth-centered adaptive interventions, alongside more rigorous designs for evaluating adaptive intervention components in daily life contexts.</t>
        </is>
      </c>
      <c r="W58" s="4" t="inlineStr">
        <is>
          <t>title_abstract_plus_targeted_primary_source_verification</t>
        </is>
      </c>
      <c r="X58" s="4" t="inlineStr">
        <is>
          <t>doi:10.2196/84422</t>
        </is>
      </c>
      <c r="Y58" s="4" t="n"/>
      <c r="Z58" s="4" t="n"/>
      <c r="AA58" s="4" t="n"/>
      <c r="AB58" s="40" t="n"/>
    </row>
    <row r="59" ht="409" customHeight="1">
      <c r="A59" s="4" t="n">
        <v>58</v>
      </c>
      <c r="B59" s="4" t="inlineStr">
        <is>
          <t>exclude_out_of_scope_topic_or_population</t>
        </is>
      </c>
      <c r="C59" s="4" t="inlineStr">
        <is>
          <t>Excluir: tema/población fuera de alcance</t>
        </is>
      </c>
      <c r="D59" s="4" t="inlineStr">
        <is>
          <t>Excluded</t>
        </is>
      </c>
      <c r="E59" s="4" t="inlineStr">
        <is>
          <t>No</t>
        </is>
      </c>
      <c r="F59" s="4" t="inlineStr">
        <is>
          <t>Title/abstract screening</t>
        </is>
      </c>
      <c r="G59" s="4" t="n"/>
      <c r="H59" s="4" t="n"/>
      <c r="I59" s="4" t="n"/>
      <c r="J59" s="4" t="inlineStr">
        <is>
          <t>No estudia ASD en el sentido del protocolo, usa otro significado de ASD o aborda otra población/resultado sin aplicación pertinente al proceso ASD.</t>
        </is>
      </c>
      <c r="K59" s="4" t="n"/>
      <c r="L59" s="4" t="n"/>
      <c r="M59" s="4" t="n">
        <v>2026</v>
      </c>
      <c r="N59" s="4" t="inlineStr">
        <is>
          <t>Evaluating the Feasibility of Technology-Based Interventions in Disability and Rehabilitation: Definitions, Considerations, and Dimensions</t>
        </is>
      </c>
      <c r="O59" s="4" t="inlineStr">
        <is>
          <t>Josh Shore and Amy S Hwang and Rosalie H Wang</t>
        </is>
      </c>
      <c r="P59" s="4" t="inlineStr">
        <is>
          <t>10.2196/79026</t>
        </is>
      </c>
      <c r="Q59" s="4" t="inlineStr">
        <is>
          <t>JMIR Rehabilitation and Assistive Technologies</t>
        </is>
      </c>
      <c r="R59" s="4" t="inlineStr">
        <is>
          <t>article</t>
        </is>
      </c>
      <c r="S59" s="4" t="inlineStr">
        <is>
          <t>JMIR Publications Inc.</t>
        </is>
      </c>
      <c r="T59" s="4" t="inlineStr">
        <is>
          <t>https://doi.org/10.2196/79026</t>
        </is>
      </c>
      <c r="U59" s="4" t="n"/>
      <c r="V59" s="4" t="inlineStr">
        <is>
          <t>Technology-based interventions in the field of disability and rehabilitation, which serve assistive, therapeutic, and/or service delivery functions, are considered complex due to the skills required of providers and recipients, degree of individual tailoring, and diversity of use settings. Feasibility studies are an important step in the evolution of complex interventions that can help refine the intervention, inform implementation, and prevent wasted resources. However, guidance is lacking regarding specific considerations for feasibility studies of technology-based interventions in disability and rehabilitation, which leaves researchers and developers reliant on resources from other fields that do not address important technology properties. To advance the field, context-specific definitions, considerations, and evaluation dimensions must be explicitly outlined to ensure that feasibility studies are constructively designed to meet the unique needs of these interventions. In this viewpoint article, we (1) propose a definition and framework for feasibility studies within the specific context of technology-based disability and rehabilitation interventions, (2) highlight important and unique imperatives for feasibility studies of these interventions, and (3) articulate relevant feasibility dimensions and associated evaluation criteria for these interventions. Building on previous work, we distinguish between feasibility studies, wherein we focus on iterative intervention refinement by addressing key development questions (eg, usability), and pilot studies, which are small-scale versions of a larger study that will evaluate intervention outcomes. Integrating previous typologies, we present 13 feasibility dimensions relevant to technology-based interventions and provide sample evaluation criteria, focusing on the intervention itself rather than study design considerations (eg, trial management). This information may be useful for research and development communities (academic, clinical, or industry) to inform comprehensive feasibility studies that examine unique aspects of technology-based interventions to promote real-world impact. This contribution encourages greater harmonization of terminology and evaluation methods to streamline interpretation and comparison across studies.</t>
        </is>
      </c>
      <c r="W59" s="4" t="inlineStr">
        <is>
          <t>title_abstract_plus_targeted_primary_source_verification</t>
        </is>
      </c>
      <c r="X59" s="4" t="inlineStr">
        <is>
          <t>doi:10.2196/79026</t>
        </is>
      </c>
      <c r="Y59" s="4" t="n"/>
      <c r="Z59" s="4" t="n"/>
      <c r="AA59" s="4" t="n"/>
      <c r="AB59" s="40" t="n"/>
    </row>
    <row r="60" ht="409" customHeight="1">
      <c r="A60" s="4" t="n">
        <v>59</v>
      </c>
      <c r="B60" s="4" t="inlineStr">
        <is>
          <t>include_after_title_abstract_screen</t>
        </is>
      </c>
      <c r="C60" s="4" t="inlineStr">
        <is>
          <t>Incluir provisionalmente</t>
        </is>
      </c>
      <c r="D60" s="4" t="inlineStr">
        <is>
          <t>Provisional include</t>
        </is>
      </c>
      <c r="E60" s="4" t="inlineStr">
        <is>
          <t>Sí</t>
        </is>
      </c>
      <c r="F60" s="4" t="inlineStr">
        <is>
          <t>Title/abstract screening</t>
        </is>
      </c>
      <c r="G60" s="4" t="n"/>
      <c r="H60" s="4" t="n"/>
      <c r="I60" s="4" t="n"/>
      <c r="J60" s="4" t="inlineStr">
        <is>
          <t>Estudio primario o implementación/evaluación empírica de IA, aprendizaje automático o modelado computacional aplicado a ASD, riesgo, caracterización, apoyo o intervención.</t>
        </is>
      </c>
      <c r="K60" s="4" t="n"/>
      <c r="L60" s="4" t="n"/>
      <c r="M60" s="4" t="n">
        <v>2025</v>
      </c>
      <c r="N60" s="4" t="inlineStr">
        <is>
          <t>Advanced autism detection and visualization through XGBoost algorithm for fNIRS hemo-dynamic signals</t>
        </is>
      </c>
      <c r="O60" s="4" t="inlineStr">
        <is>
          <t>Sajid Farooq and Hailun He and Deyu Guo and Yuyi Feng and Jingguo Hang and Dexing Kong and Sailing He</t>
        </is>
      </c>
      <c r="P60" s="4" t="inlineStr">
        <is>
          <t>10.1016/j.eswa.2025.127013</t>
        </is>
      </c>
      <c r="Q60" s="4" t="inlineStr">
        <is>
          <t>Expert Systems with Applications</t>
        </is>
      </c>
      <c r="R60" s="4" t="inlineStr">
        <is>
          <t>article</t>
        </is>
      </c>
      <c r="S60" s="4" t="inlineStr">
        <is>
          <t>Elsevier Ltd</t>
        </is>
      </c>
      <c r="T60" s="4" t="inlineStr">
        <is>
          <t>https://www.sciencedirect.com/science/article/pii/S0957417425006359</t>
        </is>
      </c>
      <c r="U60" s="4" t="n"/>
      <c r="V60" s="4" t="inlineStr">
        <is>
          <t>Early detection of Autism Spectrum Disorder (ASD), a neuro-developmental condition characterized by impairments in social communication, is critical for prompt intervention and care. Recent advancements in digital medicine have significantly enhanced the precision and efficiency of ASD diagnosis, management, and care coordination. These technologies offer considerable potential for optimizing treatment pathways and improving patient outcomes. However, challenges remain in sustaining long-term user engagement and effectively integrating these innovations into routine clinical practice for ASD management. In this study, we report the findings from a clinic-based, prospective investigation aimed at evaluating the diagnostic validity of ASD employing XGBoost algorithm. Of the 51 cases assessed, 24 were diagnosed with ASD, while 27 were identified as having developmental delay without autism. Functional near-infrared spectroscopy (fNIRS) was employed to measure resting-state hemo-dynamic fluctuations in the bilateral temporal lobes, revealing connectivity differences through computer vision and machine learning analysis. Agglomerative hierarchical clustering (AgHC) was employed to evaluate the active coupling between fluctuations of deoxygenated hemoglobin (HbR) and oxygenated hemoglobin (HbO) across specific channels, elucidating inter-channel relationships in neurovascular coupling. The algorithm, using a range of significant features, achieved robust diagnostic performance with area under receiver operating characteristic curve of 0.99 ± 1, demonstrating sensitivity of 98%, specificity of 95%, negative predictive value (NPV) of 98%, and positive predictive value (PPV) of 95%, indicating high diagnostic accuracy in distinguishing relevant cases. These findings underscore the potential of digital medicine to offer objective and scalable framework for the diagnosis of autism in real-world clinical environments.</t>
        </is>
      </c>
      <c r="W60" s="4" t="inlineStr">
        <is>
          <t>title_abstract_plus_targeted_primary_source_verification</t>
        </is>
      </c>
      <c r="X60" s="4" t="inlineStr">
        <is>
          <t>doi:10.1016/j.eswa.2025.127013</t>
        </is>
      </c>
      <c r="Y60" s="4" t="n"/>
      <c r="Z60" s="4" t="n"/>
      <c r="AA60" s="4" t="n"/>
      <c r="AB60" s="40" t="n"/>
    </row>
    <row r="61" ht="409" customHeight="1">
      <c r="A61" s="4" t="n">
        <v>60</v>
      </c>
      <c r="B61" s="4" t="inlineStr">
        <is>
          <t>include_after_title_abstract_screen</t>
        </is>
      </c>
      <c r="C61" s="4" t="inlineStr">
        <is>
          <t>Incluir provisionalmente</t>
        </is>
      </c>
      <c r="D61" s="4" t="inlineStr">
        <is>
          <t>Provisional include</t>
        </is>
      </c>
      <c r="E61" s="4" t="inlineStr">
        <is>
          <t>Sí</t>
        </is>
      </c>
      <c r="F61" s="4" t="inlineStr">
        <is>
          <t>Title/abstract screening</t>
        </is>
      </c>
      <c r="G61" s="4" t="n"/>
      <c r="H61" s="4" t="n"/>
      <c r="I61" s="4" t="n"/>
      <c r="J61" s="4" t="inlineStr">
        <is>
          <t>Estudio primario o implementación/evaluación empírica de IA, aprendizaje automático o modelado computacional aplicado a ASD, riesgo, caracterización, apoyo o intervención.</t>
        </is>
      </c>
      <c r="K61" s="4" t="n"/>
      <c r="L61" s="4" t="n"/>
      <c r="M61" s="4" t="n">
        <v>2025</v>
      </c>
      <c r="N61" s="4" t="inlineStr">
        <is>
          <t>Using convolutional network in graphical model detection of autism disorders with fuzzy inference systems</t>
        </is>
      </c>
      <c r="O61" s="4" t="inlineStr">
        <is>
          <t>S Rajaprakash and C Bagath Basha and C Sunitha Ram and I Ameethbasha and V Subapriya and R Sofia</t>
        </is>
      </c>
      <c r="P61" s="4" t="inlineStr">
        <is>
          <t>10.1016/j.ibmed.2025.100213</t>
        </is>
      </c>
      <c r="Q61" s="4" t="inlineStr">
        <is>
          <t>Intelligence-Based Medicine</t>
        </is>
      </c>
      <c r="R61" s="4" t="inlineStr">
        <is>
          <t>article</t>
        </is>
      </c>
      <c r="S61" s="4" t="inlineStr">
        <is>
          <t>Elsevier B.V.</t>
        </is>
      </c>
      <c r="T61" s="4" t="inlineStr">
        <is>
          <t>https://www.sciencedirect.com/science/article/pii/S266652122500016X</t>
        </is>
      </c>
      <c r="U61" s="4" t="n"/>
      <c r="V61" s="4" t="inlineStr">
        <is>
          <t>Autism spectrum disorder (ASD) study faces several challenges, including variations in brain connectivity patterns, small sample sizes, and data heterogeneity detection by magnetic resonance imaging (MRI). These issues make it challenging to identify consistent imaging modalities. Researchers have explored improved analysis techniques to solve the above problem via multimodal imaging and graph-based methods. Therefore, it is better to understand ASD neurology. The current techniques focus mainly on pairwise comparisons between individuals and often overlook features and individual characteristics. To overcome these limitations, in the proposed novel method, a multiscale enhanced graph with a convolutional network is used for ASD detection. This work integrates non-imaging phenotypic data (from brain imaging data) with functional connectivity data (from Functional magnetic resonance images). In this approach, the population graph represents all individuals as vertices. The phenotypic data were used to calculate the weight between vertices in the graph using the fuzzy inference system. Fuzzy if-then rules, is used to determine the similarity between the phenotypic data. Each vertice connects feature vectors derived from the image data. The vertices and weights of each edge are used to incorporate phenotypic information. A random walk with a fuzzy MSE-GCN framework employs multiple parallel GCN layer embeddings. The outputs from these layers are joined in a completely linked layer to detect ASD efficiently. We assessed the performance of this background by the ABIDE data set and utilized recursive feature elimination and a multilayer perceptron for feature selection. This method achieved an accuracy rate of 87 % better than the current study.</t>
        </is>
      </c>
      <c r="W61" s="4" t="inlineStr">
        <is>
          <t>title_abstract_plus_targeted_primary_source_verification</t>
        </is>
      </c>
      <c r="X61" s="4" t="inlineStr">
        <is>
          <t>doi:10.1016/j.ibmed.2025.100213</t>
        </is>
      </c>
      <c r="Y61" s="4" t="n"/>
      <c r="Z61" s="4" t="n"/>
      <c r="AA61" s="4" t="n"/>
      <c r="AB61" s="40" t="n"/>
    </row>
    <row r="62" ht="409" customHeight="1">
      <c r="A62" s="4" t="n">
        <v>61</v>
      </c>
      <c r="B62" s="4" t="inlineStr">
        <is>
          <t>exclude_secondary_or_nonempirical_publication</t>
        </is>
      </c>
      <c r="C62" s="4" t="inlineStr">
        <is>
          <t>Excluir: publicación secundaria/no empírica</t>
        </is>
      </c>
      <c r="D62" s="4" t="inlineStr">
        <is>
          <t>Excluded</t>
        </is>
      </c>
      <c r="E62" s="4" t="inlineStr">
        <is>
          <t>No</t>
        </is>
      </c>
      <c r="F62" s="4" t="inlineStr">
        <is>
          <t>Title/abstract screening</t>
        </is>
      </c>
      <c r="G62" s="4" t="n"/>
      <c r="H62" s="4" t="n"/>
      <c r="I62" s="4" t="n"/>
      <c r="J62" s="4" t="inlineStr">
        <is>
          <t>Revisión, metaanálisis, encuesta de literatura, protocolo, perspectiva, carta, editorial o capítulo de síntesis sin estudio primario elegible.</t>
        </is>
      </c>
      <c r="K62" s="4" t="n"/>
      <c r="L62" s="4" t="n"/>
      <c r="M62" s="4" t="n">
        <v>2026</v>
      </c>
      <c r="N62" s="4" t="inlineStr">
        <is>
          <t>Communication Barriers in Patient-Provider Interactions in Health Care: Scoping Review</t>
        </is>
      </c>
      <c r="O62" s="4" t="inlineStr">
        <is>
          <t>Moajjem Hossain Chowdhury and Yunmei Liu</t>
        </is>
      </c>
      <c r="P62" s="4" t="inlineStr">
        <is>
          <t>10.2196/79744</t>
        </is>
      </c>
      <c r="Q62" s="4" t="inlineStr">
        <is>
          <t>Journal of Medical Internet Research</t>
        </is>
      </c>
      <c r="R62" s="4" t="inlineStr">
        <is>
          <t>article</t>
        </is>
      </c>
      <c r="S62" s="4" t="inlineStr">
        <is>
          <t>JMIR Publications Inc.</t>
        </is>
      </c>
      <c r="T62" s="4" t="inlineStr">
        <is>
          <t>https://doi.org/10.2196/79744</t>
        </is>
      </c>
      <c r="U62" s="4" t="n"/>
      <c r="V62" s="4" t="inlineStr">
        <is>
          <t>Background: Effective communication is crucial for high-quality health care, but systemic barriers still disrupt patient-provider interactions. Research shows that communication failures are a major reason for preventable medical errors. These issues are linked to around 30% of malpractice claims and over 1744 deaths each year in the United States. In addition, hospitals lose about US 12 billion each year because of miscommunication. Despite the critical nature of this issue, the literature remains fragmented. Most studies focus on specific communication problems rather than examining how these barriers work together in patient-provider settings. Objective: This scoping review aims to map the literature thoroughly to (1) identify and categorize key types of communication barriers, (2) evaluate their impacts on patient experience, clinical decision-making, and health outcomes, and (3) examine intervention strategies designed to mitigate these challenges. The findings aim to inform the development of adaptive, technology-enabled solutions to improve patient-provider communication in increasingly diverse and digitally integrated health care settings. Methods: A scoping review was conducted in accordance with the PRISMA-ScR (Preferred Reporting Items for Systematic Reviews and Meta-Analyses extension for Scoping Reviews) guidelines across four databases: PubMed, IEEE Xplore, CINAHL, and Current Contents Connect. This covered the period from January 1, 2004, to April 30, 2026. The search focused on peer-reviewed, English papers that examined language barriers, cultural barriers, psychological barriers, and mental model differences in clinical settings. Results: From an initial set of 6233 records, 253 studies met our stringent inclusion criteria. This review divides communication barriers into four categories: linguistic, cultural, psychological, and mental model differences. It highlights four key findings. First, there has been a notable increase in scholarly interest in communication barriers over the last decade, showing greater awareness in clinical fields. Second, although the four barriers have been known, little is known about the specific communication habits or physiological signs defining each barrier. Third, while researchers have linked individual barriers to adverse outcomes, evidence shows that various barriers often happen at the same time. This creates a combined effect that increases patient distress. Fourth, despite the introduction of promising solutions such as interpreter services, cultural training, and AI tools, a lack of basic knowledge about real-time indicators slows the development of intelligent systems. Conclusions: Unlike previous reviews, which typically examine single communication barriers, this scoping review offers a new approach by mapping how linguistic, cultural, psychological, and cognitive barriers intersect. It provides a unified framework that connects these complex communication failures to specific technological solutions. In practice, this guides the combining of AI tools with real-time physiological monitoring to develop adaptive, patient-centered communication strategies. Ultimately, incorporating these responsive technologies into clinical practice is crucial for lowering medical errors, addressing health disparities, and ensuring fair, patient-centered care.</t>
        </is>
      </c>
      <c r="W62" s="4" t="inlineStr">
        <is>
          <t>title_abstract_plus_targeted_primary_source_verification</t>
        </is>
      </c>
      <c r="X62" s="4" t="inlineStr">
        <is>
          <t>doi:10.2196/79744</t>
        </is>
      </c>
      <c r="Y62" s="4" t="n"/>
      <c r="Z62" s="4" t="n"/>
      <c r="AA62" s="4" t="n"/>
      <c r="AB62" s="40" t="n"/>
    </row>
    <row r="63" ht="409" customHeight="1">
      <c r="A63" s="4" t="n">
        <v>62</v>
      </c>
      <c r="B63" s="4" t="inlineStr">
        <is>
          <t>exclude_out_of_scope_topic_or_population</t>
        </is>
      </c>
      <c r="C63" s="4" t="inlineStr">
        <is>
          <t>Excluir: tema/población fuera de alcance</t>
        </is>
      </c>
      <c r="D63" s="4" t="inlineStr">
        <is>
          <t>Excluded</t>
        </is>
      </c>
      <c r="E63" s="4" t="inlineStr">
        <is>
          <t>No</t>
        </is>
      </c>
      <c r="F63" s="4" t="inlineStr">
        <is>
          <t>Title/abstract screening</t>
        </is>
      </c>
      <c r="G63" s="4" t="n"/>
      <c r="H63" s="4" t="n"/>
      <c r="I63" s="4" t="n"/>
      <c r="J63" s="4" t="inlineStr">
        <is>
          <t>No estudia ASD en el sentido del protocolo, usa otro significado de ASD o aborda otra población/resultado sin aplicación pertinente al proceso ASD.</t>
        </is>
      </c>
      <c r="K63" s="4" t="n"/>
      <c r="L63" s="4" t="n"/>
      <c r="M63" s="4" t="n">
        <v>2026</v>
      </c>
      <c r="N63" s="4" t="inlineStr">
        <is>
          <t>“Do It by Myself” or Autonomy, Participation, and Assistive Devices and Technology Needs of Children and Youth With Disabilities: Text Mining Analysis of a National Survey in France</t>
        </is>
      </c>
      <c r="O63" s="4" t="inlineStr">
        <is>
          <t>Johanne Mensah Gourmel and Maxime Bourgain and Maxime Galloy and Mario Veruete and Gwenaël Cornec and Sylvain Brochard and Christelle Pons and Arriel Benis</t>
        </is>
      </c>
      <c r="P63" s="4" t="inlineStr">
        <is>
          <t>10.2196/90708</t>
        </is>
      </c>
      <c r="Q63" s="4" t="inlineStr">
        <is>
          <t>JMIR Medical Informatics</t>
        </is>
      </c>
      <c r="R63" s="4" t="inlineStr">
        <is>
          <t>article</t>
        </is>
      </c>
      <c r="S63" s="4" t="inlineStr">
        <is>
          <t>JMIR Publications Inc.</t>
        </is>
      </c>
      <c r="T63" s="4" t="inlineStr">
        <is>
          <t>https://doi.org/10.2196/90708</t>
        </is>
      </c>
      <c r="U63" s="4" t="n"/>
      <c r="V63" s="4" t="inlineStr">
        <is>
          <t>Background: A 2019 French national online survey explored activity limitations and participation restrictions among children and youth with disabilities for which innovative solutions could help. Objective: The primary aim of this study was to use text mining analysis to complement previous human-led qualitative research and to uncover actionable additional knowledge related to difficult life situations that innovative solutions could help address and to compare the perspectives of children and youth with disabilities, relatives, and professionals. Methods: This study was part of Innovation for Participation, a cross-sectional online survey, including (1) closed questions about sociodemographic characteristics, (2) closed questions about life situations that induced difficulties, and (3) open questions to explore these situations in greater depth. This study used a text mining approach designed for French data to analyze answers to open-ended questions about difficulties and desired innovative solutions. The analysis process included (1) data cleansing; (2) computing and analyzing the word frequency in the answers and their cooccurrence; (3) clustering answers using K-means algorithms; (4) analyzing the cluster words to define a title for each one and identify answers that are consistent with cluster titles, thereafter defined as well-classified; and (5) evaluating internal consistency defined as the ratio of well-classified answers to the total number of answers. Results: In total, 1055 responses were received, and 962 (91.2%) were included, representing 2018 open-ended answers to questions about difficult life situations for which innovative solutions could be useful. Frequency analysis highlighted the desire for action and autonomy by children and youth with disabilities and their relatives (“do” in first position, closely followed by “by themselves” in third position). “Disability” was frequently used by professionals (third position) but did not figure among the 20 most frequently used terms by other respondents. Cooccurrences with “do” revealed a deep interest in “doing sports.” Answers were gathered into 14 clusters, ranging in size from 9 to 681 answers; 5 underwent a second clustering step. Internal consistency ranged from 42% to 100%. Finally, 8 clusters were related to the difficulties linked to a desire for autonomy, and 4 highlighted difficulties related to actions within a group or community. Some clusters reinforced domains that emerged in the human-led analysis. Conclusions: Analysis of 2018 open-ended answers using a text mining approach designed for French data revealed that solutions are required to facilitate autonomy and the ability to “do it by myself (or themselves),” as well as integration into group and community life. Complementary to previous human-led analysis, the results reinforced the need for solutions to facilitate mobility, transport, and sports. They additionally highlighted differences in vocabulary used between the 3 respondent groups, suggesting that professionals may need to consider the language they use when communicating with individuals and relatives.</t>
        </is>
      </c>
      <c r="W63" s="4" t="inlineStr">
        <is>
          <t>title_abstract_plus_targeted_primary_source_verification</t>
        </is>
      </c>
      <c r="X63" s="4" t="inlineStr">
        <is>
          <t>doi:10.2196/90708</t>
        </is>
      </c>
      <c r="Y63" s="4" t="n"/>
      <c r="Z63" s="4" t="n"/>
      <c r="AA63" s="4" t="n"/>
      <c r="AB63" s="40" t="n"/>
    </row>
    <row r="64" ht="409" customHeight="1">
      <c r="A64" s="4" t="n">
        <v>63</v>
      </c>
      <c r="B64" s="4" t="inlineStr">
        <is>
          <t>include_after_title_abstract_screen</t>
        </is>
      </c>
      <c r="C64" s="4" t="inlineStr">
        <is>
          <t>Incluir provisionalmente</t>
        </is>
      </c>
      <c r="D64" s="4" t="inlineStr">
        <is>
          <t>Provisional include</t>
        </is>
      </c>
      <c r="E64" s="4" t="inlineStr">
        <is>
          <t>Sí</t>
        </is>
      </c>
      <c r="F64" s="4" t="inlineStr">
        <is>
          <t>Title/abstract screening</t>
        </is>
      </c>
      <c r="G64" s="4" t="n"/>
      <c r="H64" s="4" t="n"/>
      <c r="I64" s="4" t="n"/>
      <c r="J64" s="4" t="inlineStr">
        <is>
          <t>Estudio primario o implementación/evaluación empírica de IA, aprendizaje automático o modelado computacional aplicado a ASD, riesgo, caracterización, apoyo o intervención.</t>
        </is>
      </c>
      <c r="K64" s="4" t="n"/>
      <c r="L64" s="4" t="n"/>
      <c r="M64" s="4" t="n">
        <v>2025</v>
      </c>
      <c r="N64" s="4" t="inlineStr">
        <is>
          <t>Enhancing autism spectrum disorder early detection with parent-child dyads block-play protocol and attention-enhanced hybrid deep learning framework</t>
        </is>
      </c>
      <c r="O64" s="4" t="inlineStr">
        <is>
          <t>Xiang Li and Lizhou Fan and Hanbo Wu and Kunping Chen and Xiaoxiao Yu and Chao Che and Zhifeng Cai and Xiuhong Niu and Aihua Cao and Xin Ma</t>
        </is>
      </c>
      <c r="P64" s="4" t="inlineStr">
        <is>
          <t>10.1016/j.engappai.2025.110430</t>
        </is>
      </c>
      <c r="Q64" s="4" t="inlineStr">
        <is>
          <t>Engineering Applications of Artificial Intelligence</t>
        </is>
      </c>
      <c r="R64" s="4" t="inlineStr">
        <is>
          <t>article</t>
        </is>
      </c>
      <c r="S64" s="4" t="inlineStr">
        <is>
          <t>Elsevier Ltd</t>
        </is>
      </c>
      <c r="T64" s="4" t="inlineStr">
        <is>
          <t>https://www.sciencedirect.com/science/article/pii/S0952197625004300</t>
        </is>
      </c>
      <c r="U64" s="4" t="n"/>
      <c r="V64" s="4" t="inlineStr">
        <is>
          <t>Autism Spectrum Disorder (ASD) is a rapidly growing neurodevelopmental disorder. Early intervention is crucial for the development of young children with ASD, yet traditional clinical screening methods often lack objectivity. We introduce a novel Parent-Child Dyads Block-Play (PCB) protocol that captures distinct behavioral patterns in ASD toddlers during naturalistic interactions with their parents. This protocol systematically captures and quantifies parent–child interactions during the block-play task, providing a structured and naturalistic environment to observe ASD-relevant behaviors. Drawing on kinesiological and neuroscientific insights, our approach analyzes movement dynamics to reliably differentiate ASD from typically developing (TD) toddlers. In a dataset of 129 toddlers (40 ASD, 89 TD), we analyze the videos using a hybrid deep learning framework that integrates a two-stream graph convolution network (2sGCN) with an attention-enhanced extended long short-term memory (AxLSTM), enabling the capture of both spatial and temporal aspects of movement. Our 2sGCN-AxLSTM framework efficiently analyzes human dynamic behavioral patterns and is able to distinguish between ASD and typical developmental disorders with an unprecedented 89.6% accuracy. This high level of accuracy holds promise for practical clinical use, as it could facilitate timely interventions and potentially improve developmental outcomes. By focusing on real-life parent–child interactions, the proposed PCB protocol provides a valuable tool that can complement traditional assessments, facilitating timely interventions, and potentially improving developmental outcomes.</t>
        </is>
      </c>
      <c r="W64" s="4" t="inlineStr">
        <is>
          <t>title_abstract_plus_targeted_primary_source_verification</t>
        </is>
      </c>
      <c r="X64" s="4" t="inlineStr">
        <is>
          <t>doi:10.1016/j.engappai.2025.110430</t>
        </is>
      </c>
      <c r="Y64" s="4" t="n"/>
      <c r="Z64" s="4" t="n"/>
      <c r="AA64" s="4" t="n"/>
      <c r="AB64" s="40" t="n"/>
    </row>
    <row r="65" ht="409" customHeight="1">
      <c r="A65" s="4" t="n">
        <v>64</v>
      </c>
      <c r="B65" s="4" t="inlineStr">
        <is>
          <t>include_after_title_abstract_screen</t>
        </is>
      </c>
      <c r="C65" s="4" t="inlineStr">
        <is>
          <t>Incluir provisionalmente</t>
        </is>
      </c>
      <c r="D65" s="4" t="inlineStr">
        <is>
          <t>Provisional include</t>
        </is>
      </c>
      <c r="E65" s="4" t="inlineStr">
        <is>
          <t>Sí</t>
        </is>
      </c>
      <c r="F65" s="4" t="inlineStr">
        <is>
          <t>Title/abstract screening</t>
        </is>
      </c>
      <c r="G65" s="4" t="n"/>
      <c r="H65" s="4" t="n"/>
      <c r="I65" s="4" t="n"/>
      <c r="J65" s="4" t="inlineStr">
        <is>
          <t>Estudio primario o implementación/evaluación empírica de IA, aprendizaje automático o modelado computacional aplicado a ASD, riesgo, caracterización, apoyo o intervención.</t>
        </is>
      </c>
      <c r="K65" s="4" t="n"/>
      <c r="L65" s="4" t="n"/>
      <c r="M65" s="4" t="n">
        <v>2025</v>
      </c>
      <c r="N65" s="4" t="inlineStr">
        <is>
          <t>Involvement of disulfidptosis in the pathophysiology of autism spectrum disorder</t>
        </is>
      </c>
      <c r="O65" s="4" t="inlineStr">
        <is>
          <t>Yutong Liu and Yaqi Sun and Anjie Chen and Jiaqi Chen and Tikang Zhu and Shuting Wang and Wanying Qiao and Ding Zhou and Xirui Zhang and Shuangshuang Chen and Yaxin Shi and Yuan Yang and Jia Wang and Lijie Wu and Lili Fan</t>
        </is>
      </c>
      <c r="P65" s="4" t="inlineStr">
        <is>
          <t>10.1016/j.lfs.2025.123531</t>
        </is>
      </c>
      <c r="Q65" s="4" t="inlineStr">
        <is>
          <t>Life Sciences</t>
        </is>
      </c>
      <c r="R65" s="4" t="inlineStr">
        <is>
          <t>article</t>
        </is>
      </c>
      <c r="S65" s="4" t="inlineStr">
        <is>
          <t>Elsevier Inc.</t>
        </is>
      </c>
      <c r="T65" s="4" t="inlineStr">
        <is>
          <t>https://www.sciencedirect.com/science/article/pii/S0024320525001651</t>
        </is>
      </c>
      <c r="U65" s="4" t="n"/>
      <c r="V65" s="4" t="inlineStr">
        <is>
          <t>Autism Spectrum Disorder (ASD) is a complex neurodevelopmental disorder, with oxidative stress recognized as a key pathogenic mechanisms. Oxidative stress disrupts intracellular dynamic- thiol/disulfide homeostasis (DTDH), potentially leading to disulfidptosis, a newly identified cell death mechanism. While studies suggest a link between DTDH and ASD, direct evidence implicating disulfidptosis in ASD pathogenesis remains limited. In this study, Mendelian randomization analysis revealed a significant causal association between disulfidptosis-related sulfhydryl oxidase 1 and 2 and ASD (OR1 = 0.883, OR2 = 0.924, p &lt; 0.05). A positive correlation between protein disulfide-isomerase and cognitive performance (OR = 1.021, p &lt; 0.01) further supported the role of disulfidptosis in ASD. Seven disulfidptosis-related genes (TIMP1, STAT3, VWA1, ADA, IL5, PF4, and TXNDC12) were identified and linked to immune cell alterations. A TF-miRNA-mRNA regulatory network and a predictive model (AUC = 0.759) were constructed and external validation datasets (AUC = 0.811). Immune infiltration analysis demonstrated altered expression of naive B cells and three other types of immune cells in ASD children. Animal experiments further validated the differential expression of key genes, highlighting their relevance to ASD pathogenesis. Animal experiments found that BTBR mice exhibit glucose starvation and NADPH depletion, with the specific indicator Slc7a11 being highly expressed. Silencing Slc7a11 can improve core ASD impairments in BTBR mice. Conclusion: This study establishes the first mechanistic link between disulfidptosis and ASD, identifies seven key genes and their regulatory network, and develops a predictive model with clinical utility. Animal experiments further confirmed the strong association between disulfidpotosis and ASD phenotypes. These findings offer novel therapeutic targets for modulating oxidative stress in ASD.</t>
        </is>
      </c>
      <c r="W65" s="4" t="inlineStr">
        <is>
          <t>title_abstract_plus_targeted_primary_source_verification</t>
        </is>
      </c>
      <c r="X65" s="4" t="inlineStr">
        <is>
          <t>doi:10.1016/j.lfs.2025.123531</t>
        </is>
      </c>
      <c r="Y65" s="4" t="n"/>
      <c r="Z65" s="4" t="n"/>
      <c r="AA65" s="4" t="n"/>
      <c r="AB65" s="40" t="n"/>
    </row>
    <row r="66" ht="112" customHeight="1">
      <c r="A66" s="4" t="n">
        <v>65</v>
      </c>
      <c r="B66" s="4" t="inlineStr">
        <is>
          <t>exclude_out_of_scope_topic_or_population</t>
        </is>
      </c>
      <c r="C66" s="4" t="inlineStr">
        <is>
          <t>Excluir: tema/población fuera de alcance</t>
        </is>
      </c>
      <c r="D66" s="4" t="inlineStr">
        <is>
          <t>Excluded</t>
        </is>
      </c>
      <c r="E66" s="4" t="inlineStr">
        <is>
          <t>No</t>
        </is>
      </c>
      <c r="F66" s="4" t="inlineStr">
        <is>
          <t>Title/abstract screening</t>
        </is>
      </c>
      <c r="G66" s="4" t="n"/>
      <c r="H66" s="4" t="n"/>
      <c r="I66" s="4" t="n"/>
      <c r="J66" s="4" t="inlineStr">
        <is>
          <t>No estudia ASD en el sentido del protocolo, usa otro significado de ASD o aborda otra población/resultado sin aplicación pertinente al proceso ASD.</t>
        </is>
      </c>
      <c r="K66" s="4" t="n"/>
      <c r="L66" s="4" t="n"/>
      <c r="M66" s="4" t="n">
        <v>2026</v>
      </c>
      <c r="N66" s="4" t="inlineStr">
        <is>
          <t>Understanding University Students’ Experiences of Engaging With AI and Apps for Their Mental Health and Well-Being: Qualitative Study</t>
        </is>
      </c>
      <c r="O66" s="4" t="inlineStr">
        <is>
          <t>Julia Groot and Ben Ainsworth and Nathalia Gjersoe and Christopher Clarke and Richard Hamshaw and Mark Brosnan</t>
        </is>
      </c>
      <c r="P66" s="4" t="inlineStr">
        <is>
          <t>10.2196/75381</t>
        </is>
      </c>
      <c r="Q66" s="4" t="inlineStr">
        <is>
          <t>Journal of Medical Internet Research</t>
        </is>
      </c>
      <c r="R66" s="4" t="inlineStr">
        <is>
          <t>article</t>
        </is>
      </c>
      <c r="S66" s="4" t="inlineStr">
        <is>
          <t>JMIR Publications Inc.</t>
        </is>
      </c>
      <c r="T66" s="4" t="inlineStr">
        <is>
          <t>https://doi.org/10.2196/75381</t>
        </is>
      </c>
      <c r="U66" s="4" t="n"/>
      <c r="V66" s="4" t="n"/>
      <c r="W66" s="4" t="inlineStr">
        <is>
          <t>title_abstract_plus_targeted_primary_source_verification</t>
        </is>
      </c>
      <c r="X66" s="4" t="inlineStr">
        <is>
          <t>doi:10.2196/75381</t>
        </is>
      </c>
      <c r="Y66" s="4" t="n"/>
      <c r="Z66" s="4" t="n"/>
      <c r="AA66" s="4" t="n"/>
      <c r="AB66" s="40" t="n"/>
    </row>
    <row r="67" ht="255" customHeight="1">
      <c r="A67" s="4" t="n">
        <v>66</v>
      </c>
      <c r="B67" s="4" t="inlineStr">
        <is>
          <t>exclude_out_of_scope_topic_or_population</t>
        </is>
      </c>
      <c r="C67" s="4" t="inlineStr">
        <is>
          <t>Excluir: tema/población fuera de alcance</t>
        </is>
      </c>
      <c r="D67" s="4" t="inlineStr">
        <is>
          <t>Excluded</t>
        </is>
      </c>
      <c r="E67" s="4" t="inlineStr">
        <is>
          <t>No</t>
        </is>
      </c>
      <c r="F67" s="4" t="inlineStr">
        <is>
          <t>Title/abstract screening</t>
        </is>
      </c>
      <c r="G67" s="4" t="n"/>
      <c r="H67" s="4" t="n"/>
      <c r="I67" s="4" t="n"/>
      <c r="J67" s="4" t="inlineStr">
        <is>
          <t>No estudia ASD en el sentido del protocolo, usa otro significado de ASD o aborda otra población/resultado sin aplicación pertinente al proceso ASD.</t>
        </is>
      </c>
      <c r="K67" s="4" t="n"/>
      <c r="L67" s="4" t="n"/>
      <c r="M67" s="4" t="n">
        <v>2026</v>
      </c>
      <c r="N67" s="4" t="inlineStr">
        <is>
          <t>Cross-Sectional Evaluation of Medical Disinformation Safeguards in Consumer-Facing Large Language Model Platforms</t>
        </is>
      </c>
      <c r="O67" s="4" t="inlineStr">
        <is>
          <t>Natansh D Modi and Cyril A Alex and Abdulhalim A Awaty and Bradley D Menz and Stephen Bacchi and Kacper T Gradon and Jessica M Logan and Andrew Rowland and Lisa Kalisch Ellett and Ross A McKinnon and Michael D Wiese and Michael J Sorich and Ashley M Hopkins</t>
        </is>
      </c>
      <c r="P67" s="4" t="inlineStr">
        <is>
          <t>10.2196/89831</t>
        </is>
      </c>
      <c r="Q67" s="4" t="inlineStr">
        <is>
          <t>JMIR Infodemiology</t>
        </is>
      </c>
      <c r="R67" s="4" t="inlineStr">
        <is>
          <t>article</t>
        </is>
      </c>
      <c r="S67" s="4" t="inlineStr">
        <is>
          <t>JMIR Publications Inc.</t>
        </is>
      </c>
      <c r="T67" s="4" t="inlineStr">
        <is>
          <t>https://doi.org/10.2196/89831</t>
        </is>
      </c>
      <c r="U67" s="4" t="n"/>
      <c r="V67" s="4" t="inlineStr">
        <is>
          <t>This cross-sectional evaluation of six consumer-facing large language model platforms found significant heterogeneity in safeguard performance against the generation of health disinformation, with Claude and ChatGPT demonstrating complete resistance across all prompt types, while Copilot, Meta AI, Grok, and Gemini exhibited substantial vulnerabilities.</t>
        </is>
      </c>
      <c r="W67" s="4" t="inlineStr">
        <is>
          <t>title_abstract_plus_targeted_primary_source_verification</t>
        </is>
      </c>
      <c r="X67" s="4" t="inlineStr">
        <is>
          <t>doi:10.2196/89831</t>
        </is>
      </c>
      <c r="Y67" s="4" t="n"/>
      <c r="Z67" s="4" t="n"/>
      <c r="AA67" s="4" t="n"/>
      <c r="AB67" s="40" t="n"/>
    </row>
    <row r="68" ht="409" customHeight="1">
      <c r="A68" s="4" t="n">
        <v>67</v>
      </c>
      <c r="B68" s="4" t="inlineStr">
        <is>
          <t>include_after_title_abstract_screen</t>
        </is>
      </c>
      <c r="C68" s="4" t="inlineStr">
        <is>
          <t>Incluir provisionalmente</t>
        </is>
      </c>
      <c r="D68" s="4" t="inlineStr">
        <is>
          <t>Provisional include</t>
        </is>
      </c>
      <c r="E68" s="4" t="inlineStr">
        <is>
          <t>Sí</t>
        </is>
      </c>
      <c r="F68" s="4" t="inlineStr">
        <is>
          <t>Title/abstract screening</t>
        </is>
      </c>
      <c r="G68" s="4" t="n"/>
      <c r="H68" s="4" t="n"/>
      <c r="I68" s="4" t="n"/>
      <c r="J68" s="4" t="inlineStr">
        <is>
          <t>Estudio primario o implementación/evaluación empírica de IA, aprendizaje automático o modelado computacional aplicado a ASD, riesgo, caracterización, apoyo o intervención.</t>
        </is>
      </c>
      <c r="K68" s="4" t="n"/>
      <c r="L68" s="4" t="n"/>
      <c r="M68" s="4" t="n">
        <v>2025</v>
      </c>
      <c r="N68" s="4" t="inlineStr">
        <is>
          <t>Enhancing the identification of autism spectrum disorder in facial expressions using DenseResNet-Based transfer learning approach</t>
        </is>
      </c>
      <c r="O68" s="4" t="inlineStr">
        <is>
          <t>Beno Ranjana J and Muthukkumar R</t>
        </is>
      </c>
      <c r="P68" s="4" t="inlineStr">
        <is>
          <t>10.1016/j.bspc.2024.107433</t>
        </is>
      </c>
      <c r="Q68" s="4" t="inlineStr">
        <is>
          <t>Biomedical Signal Processing and Control</t>
        </is>
      </c>
      <c r="R68" s="4" t="inlineStr">
        <is>
          <t>article</t>
        </is>
      </c>
      <c r="S68" s="4" t="inlineStr">
        <is>
          <t>Elsevier Ltd</t>
        </is>
      </c>
      <c r="T68" s="4" t="inlineStr">
        <is>
          <t>https://www.sciencedirect.com/science/article/pii/S1746809424014915</t>
        </is>
      </c>
      <c r="U68" s="4" t="n"/>
      <c r="V68" s="4" t="inlineStr">
        <is>
          <t>Autism Spectrum Disorder (ASD) is a neurological disability, which is characterized by cognition, behavioral challenges, social skills, and communication. Identifying children with ASD in the early stages helps improve their learning ability and limit the symptoms. Since there is no medical test to diagnose the disorder, it is very challenging. Many researchers diagnose ASD through facial images and the child's behavior. In this methodology, DenseResNet (DRN)-based transfer learning approaches are proposed to analyze the facial images through deep learning techniques. Generally, the human face reflects the human brain and when it is used as a biomarker, it becomes easy to diagnose ASD in its early stages. This strategy combines two methods: densely connected networks and residual networks, which are pre-trained models to detect facial images of autistic children. This model reaches 97.07% classification accuracy and uses its dataset. The deep learning model creates four dense blocks for extracting features. Moreover, it extracts the features from residual network layers and finally combines the features for classifying the images. This model is trained using around 2526 images and is tested using 200 images. Based on classification accuracy, the autism diagnosis system for children is effectively used by using only facial images.</t>
        </is>
      </c>
      <c r="W68" s="4" t="inlineStr">
        <is>
          <t>title_abstract_plus_targeted_primary_source_verification</t>
        </is>
      </c>
      <c r="X68" s="4" t="inlineStr">
        <is>
          <t>doi:10.1016/j.bspc.2024.107433</t>
        </is>
      </c>
      <c r="Y68" s="4" t="n"/>
      <c r="Z68" s="4" t="n"/>
      <c r="AA68" s="4" t="n"/>
      <c r="AB68" s="40" t="n"/>
    </row>
    <row r="69" ht="409" customHeight="1">
      <c r="A69" s="4" t="n">
        <v>68</v>
      </c>
      <c r="B69" s="4" t="inlineStr">
        <is>
          <t>exclude_no_qualifying_ai_application</t>
        </is>
      </c>
      <c r="C69" s="4" t="inlineStr">
        <is>
          <t>Excluir: sin aplicación de IA elegible</t>
        </is>
      </c>
      <c r="D69" s="4" t="inlineStr">
        <is>
          <t>Excluded</t>
        </is>
      </c>
      <c r="E69" s="4" t="inlineStr">
        <is>
          <t>No</t>
        </is>
      </c>
      <c r="F69" s="4" t="inlineStr">
        <is>
          <t>Title/abstract screening</t>
        </is>
      </c>
      <c r="G69" s="4" t="n"/>
      <c r="H69" s="4" t="n"/>
      <c r="I69" s="4" t="n"/>
      <c r="J69" s="4" t="inlineStr">
        <is>
          <t>El trabajo no implementa ni evalúa una técnica de IA/ML como componente sustantivo del estudio de ASD.</t>
        </is>
      </c>
      <c r="K69" s="4" t="n"/>
      <c r="L69" s="4" t="n"/>
      <c r="M69" s="4" t="n">
        <v>2025</v>
      </c>
      <c r="N69" s="4" t="inlineStr">
        <is>
          <t>Early behavioral specific characteristics of infants under 12 months with a high likelihood of autism spectrum disorder in Japan</t>
        </is>
      </c>
      <c r="O69" s="4" t="inlineStr">
        <is>
          <t>Satoshi BEPPU and Masakazu MIYAMOTO and Etsuko BEPPU</t>
        </is>
      </c>
      <c r="P69" s="4" t="inlineStr">
        <is>
          <t>10.1016/j.reia.2025.202539</t>
        </is>
      </c>
      <c r="Q69" s="4" t="inlineStr">
        <is>
          <t>Research in Autism</t>
        </is>
      </c>
      <c r="R69" s="4" t="inlineStr">
        <is>
          <t>article</t>
        </is>
      </c>
      <c r="S69" s="4" t="inlineStr">
        <is>
          <t>Elsevier Ltd</t>
        </is>
      </c>
      <c r="T69" s="4" t="inlineStr">
        <is>
          <t>https://www.sciencedirect.com/science/article/pii/S3050656525000112</t>
        </is>
      </c>
      <c r="U69" s="4" t="n"/>
      <c r="V69" s="4" t="inlineStr">
        <is>
          <t>Background: The early behavioral specific characteristics of children between the ages of 18 and 24 months with a high likelihood of autism spectrum disorder (ASD) have been attributed to a lack of or delay in social behavior; however, children under 12 months are rarely examined. This study aims to clarify the early specific characteristics of the ASD likelihood group by examining the differences between children with ASD high likelihood (ASD-HL), children with ASD moderate likelihood (ASD-ML), and those with ASD no likelihood (ASD-NL), specifically children under the age of 12 months. Method: We assessed children with ASD likelihood using a short version of the Japanese M-CHAT through a two-step screening process at 18 months and 24 months in a Japanese cohort (n = 364). Results: The results showed that the children with ASD likelihood had more specific developmental disabilities in gross motor, fine motor and adaptive, and language at 4 months, except in social communication. The percentage of pass items in gross motor and fine motor skills at 7 months significantly predicted ASD likelihood in children. Conclusions: The study's findings suggest unique developmental trajectories for children with ASD likelihood. Children with ASD likelihood showed early deficits not in social communication, but in gross motor functions around the age of 6 months. Specific disabilities in social communication increased rapidly by 12 months of age.</t>
        </is>
      </c>
      <c r="W69" s="4" t="inlineStr">
        <is>
          <t>title_abstract_plus_targeted_primary_source_verification</t>
        </is>
      </c>
      <c r="X69" s="4" t="inlineStr">
        <is>
          <t>doi:10.1016/j.reia.2025.202539</t>
        </is>
      </c>
      <c r="Y69" s="4" t="n"/>
      <c r="Z69" s="4" t="n"/>
      <c r="AA69" s="4" t="n"/>
      <c r="AB69" s="40" t="n"/>
    </row>
    <row r="70" ht="409" customHeight="1">
      <c r="A70" s="4" t="n">
        <v>69</v>
      </c>
      <c r="B70" s="4" t="inlineStr">
        <is>
          <t>exclude_out_of_scope_topic_or_population</t>
        </is>
      </c>
      <c r="C70" s="4" t="inlineStr">
        <is>
          <t>Excluir: tema/población fuera de alcance</t>
        </is>
      </c>
      <c r="D70" s="4" t="inlineStr">
        <is>
          <t>Excluded</t>
        </is>
      </c>
      <c r="E70" s="4" t="inlineStr">
        <is>
          <t>No</t>
        </is>
      </c>
      <c r="F70" s="4" t="inlineStr">
        <is>
          <t>Title/abstract screening</t>
        </is>
      </c>
      <c r="G70" s="4" t="n"/>
      <c r="H70" s="4" t="n"/>
      <c r="I70" s="4" t="n"/>
      <c r="J70" s="4" t="inlineStr">
        <is>
          <t>No estudia ASD en el sentido del protocolo, usa otro significado de ASD o aborda otra población/resultado sin aplicación pertinente al proceso ASD.</t>
        </is>
      </c>
      <c r="K70" s="4" t="n"/>
      <c r="L70" s="4" t="n"/>
      <c r="M70" s="4" t="n">
        <v>2023</v>
      </c>
      <c r="N70" s="4" t="inlineStr">
        <is>
          <t>From Solution Traps to Solution Patchwork: Tensions in Digital Health in the Global Context</t>
        </is>
      </c>
      <c r="O70" s="4" t="inlineStr">
        <is>
          <t>Dario Staehelin and Gianluca Miscione and Mateusz Dolata</t>
        </is>
      </c>
      <c r="P70" s="4" t="inlineStr">
        <is>
          <t>10.2196/82214</t>
        </is>
      </c>
      <c r="Q70" s="4" t="inlineStr">
        <is>
          <t>International Conference on Information Systems, ICIS 2023: "Rising like a Phoenix: Emerging from the Pandemic and Reshaping Human Endeavors with Digital Technologies"</t>
        </is>
      </c>
      <c r="R70" s="4" t="inlineStr">
        <is>
          <t>article</t>
        </is>
      </c>
      <c r="S70" s="4" t="inlineStr">
        <is>
          <t>Association for Information Systems</t>
        </is>
      </c>
      <c r="T70" s="4" t="inlineStr">
        <is>
          <t>https://doi.org/10.2196/82214</t>
        </is>
      </c>
      <c r="U70" s="4" t="n"/>
      <c r="V70" s="4" t="inlineStr">
        <is>
          <t>This paper problematizes underlying assumptions in Design Science Research – and Information Systems Research more broadly by conceptualizing the „solution trap“. The solution trap is caused by the incompatibility of co-existing solutions in complex socio-technical contexts. Information systems bring diverse cultures and theories together, causing tensions in the different institutional logics. We emphasize the need for a nuanced understanding of context unevenness and propose solution patchwork as a coordination approach to evade the solution trap. Substantiating the preliminary insights and propositions with a literature review and further empirical grounding will transition this research-in-progress to a full paper.</t>
        </is>
      </c>
      <c r="W70" s="4" t="inlineStr">
        <is>
          <t>title_abstract_plus_targeted_primary_source_verification</t>
        </is>
      </c>
      <c r="X70" s="4" t="inlineStr">
        <is>
          <t>doi:10.2196/82214</t>
        </is>
      </c>
      <c r="Y70" s="4" t="n"/>
      <c r="Z70" s="4" t="n"/>
      <c r="AA70" s="4" t="n"/>
      <c r="AB70" s="40" t="n"/>
    </row>
    <row r="71" ht="409" customHeight="1">
      <c r="A71" s="4" t="n">
        <v>70</v>
      </c>
      <c r="B71" s="4" t="inlineStr">
        <is>
          <t>exclude_secondary_or_nonempirical_publication</t>
        </is>
      </c>
      <c r="C71" s="4" t="inlineStr">
        <is>
          <t>Excluir: publicación secundaria/no empírica</t>
        </is>
      </c>
      <c r="D71" s="4" t="inlineStr">
        <is>
          <t>Excluded</t>
        </is>
      </c>
      <c r="E71" s="4" t="inlineStr">
        <is>
          <t>No</t>
        </is>
      </c>
      <c r="F71" s="4" t="inlineStr">
        <is>
          <t>Title/abstract screening</t>
        </is>
      </c>
      <c r="G71" s="4" t="n"/>
      <c r="H71" s="4" t="n"/>
      <c r="I71" s="4" t="n"/>
      <c r="J71" s="4" t="inlineStr">
        <is>
          <t>Revisión, metaanálisis, encuesta de literatura, protocolo, perspectiva, carta, editorial o capítulo de síntesis sin estudio primario elegible.</t>
        </is>
      </c>
      <c r="K71" s="4" t="n"/>
      <c r="L71" s="4" t="n"/>
      <c r="M71" s="4" t="n">
        <v>2025</v>
      </c>
      <c r="N71" s="4" t="inlineStr">
        <is>
          <t>Machine learning in automated diagnosis of autism spectrum disorder: a comprehensive review</t>
        </is>
      </c>
      <c r="O71" s="4" t="inlineStr">
        <is>
          <t>Khosro Rezaee</t>
        </is>
      </c>
      <c r="P71" s="4" t="inlineStr">
        <is>
          <t>10.1016/j.cosrev.2025.100730</t>
        </is>
      </c>
      <c r="Q71" s="4" t="inlineStr">
        <is>
          <t>Computer Science Review</t>
        </is>
      </c>
      <c r="R71" s="4" t="inlineStr">
        <is>
          <t>article</t>
        </is>
      </c>
      <c r="S71" s="4" t="inlineStr">
        <is>
          <t>Elsevier Ireland Ltd</t>
        </is>
      </c>
      <c r="T71" s="4" t="inlineStr">
        <is>
          <t>https://www.sciencedirect.com/science/article/pii/S1574013725000073</t>
        </is>
      </c>
      <c r="U71" s="4" t="n"/>
      <c r="V71" s="4" t="inlineStr">
        <is>
          <t>Autism Spectrum Disorder (ASD) is a multifaceted neurodevelopmental condition characterized by social communication challenges, repetitive behaviors, and restricted interests. Early and accurate diagnosis is paramount for effective intervention and treatment, significantly improving the quality of life for individuals with ASD. This comprehensive review aims to elucidate the various methodologies employed in the automated diagnosis of ASD, providing a comparative analysis of their diagnostic accuracy, privacy considerations, non-invasiveness, cost implications, computational complexity, and feasibility for clinical and therapeutic use. The study encompasses a wide range of techniques including neuroimaging, EEG signal analysis, speech and crying signal analysis, eye tracking, facial recognition, and body movement analysis, highlighting their potential and limitations in the context of ASD diagnosis. By exploring these diverse diagnostic approaches, the review seeks to offer insights into the most promising methods and identify areas for future research and development.</t>
        </is>
      </c>
      <c r="W71" s="4" t="inlineStr">
        <is>
          <t>title_abstract_plus_targeted_primary_source_verification</t>
        </is>
      </c>
      <c r="X71" s="4" t="inlineStr">
        <is>
          <t>doi:10.1016/j.cosrev.2025.100730</t>
        </is>
      </c>
      <c r="Y71" s="4" t="n"/>
      <c r="Z71" s="4" t="n"/>
      <c r="AA71" s="4" t="n"/>
      <c r="AB71" s="40" t="n"/>
    </row>
    <row r="72" ht="409" customHeight="1">
      <c r="A72" s="4" t="n">
        <v>71</v>
      </c>
      <c r="B72" s="4" t="inlineStr">
        <is>
          <t>exclude_secondary_or_nonempirical_publication</t>
        </is>
      </c>
      <c r="C72" s="4" t="inlineStr">
        <is>
          <t>Excluir: publicación secundaria/no empírica</t>
        </is>
      </c>
      <c r="D72" s="4" t="inlineStr">
        <is>
          <t>Excluded</t>
        </is>
      </c>
      <c r="E72" s="4" t="inlineStr">
        <is>
          <t>No</t>
        </is>
      </c>
      <c r="F72" s="4" t="inlineStr">
        <is>
          <t>Title/abstract screening</t>
        </is>
      </c>
      <c r="G72" s="4" t="n"/>
      <c r="H72" s="4" t="n"/>
      <c r="I72" s="4" t="n"/>
      <c r="J72" s="4" t="inlineStr">
        <is>
          <t>Revisión, metaanálisis, encuesta de literatura, protocolo, perspectiva, carta, editorial o capítulo de síntesis sin estudio primario elegible.</t>
        </is>
      </c>
      <c r="K72" s="4" t="n"/>
      <c r="L72" s="4" t="n"/>
      <c r="M72" s="4" t="n">
        <v>2026</v>
      </c>
      <c r="N72" s="4" t="inlineStr">
        <is>
          <t>Evidence for Digital Mental Health Assessment Tools in the Post–COVID-19 Era: Protocol for a Systematic Review on Diagnostic Accuracy Across Age Groups</t>
        </is>
      </c>
      <c r="O72" s="4" t="inlineStr">
        <is>
          <t>Kathryn Babbitt and Erin Lucy Funnell and Nayra Martin-Key and Eleanor Barker and Sabine Bahn</t>
        </is>
      </c>
      <c r="P72" s="4" t="inlineStr">
        <is>
          <t>10.2196/73492</t>
        </is>
      </c>
      <c r="Q72" s="4" t="inlineStr">
        <is>
          <t>JMIR Research Protocols</t>
        </is>
      </c>
      <c r="R72" s="4" t="inlineStr">
        <is>
          <t>article</t>
        </is>
      </c>
      <c r="S72" s="4" t="inlineStr">
        <is>
          <t>JMIR Publications Inc.</t>
        </is>
      </c>
      <c r="T72" s="4" t="inlineStr">
        <is>
          <t>https://doi.org/10.2196/73492</t>
        </is>
      </c>
      <c r="U72" s="4" t="n"/>
      <c r="V72" s="4" t="inlineStr">
        <is>
          <t>Background: Digital assessment tools in health care are increasingly used to aid clinicians in diagnosing mental health conditions. Particularly since the quarantine and isolation guidelines of the COVID-19 pandemic moved much of health care online, there has been an accelerated adoption of digital assessment tools. The diagnostic accuracy of digital mental health assessment tools for a range of psychiatric conditions has yet to be fully explored, especially for their use in populations of older adults and children. Objective: This systematic review aims to (1) summarize recent studies on digital self-report question-and-answer–based mental health assessment tools for use in all ages across a range of psychiatric conditions (eg, the type and number of questions, if available; reference tests; timing; and blinding procedures), (2) present their validity (ie, diagnostic accuracy), and (3) assess study quality and applicability. Methods: The PRISMA-P (Preferred Reporting Items for Systematic Review and Meta-Analysis Protocols) guided the development of this protocol. The protocol has been registered with PROSPERO. The searches were guided by the PICO (population, intervention, comparator, and outcome) framework. A systematic search was conducted of the following databases of literature published since 2021: MEDLINE, Embase, Cochrane Library, ASSIA, Web of Science Core Collection, CINAHL, and PsycINFO. Searches of clinical trial databases and hand searching of reference lists will be completed. Two authors have independently screened titles and abstracts of identified papers and selected studies according to eligibility criteria, resolving inconsistencies through discussion. Full texts were screened following the same process. The authors extracted data using the Covidence data extraction tool (Veritas Health Innovation Ltd; eg, sensitivity and specificity). Two authors will use the Quality Assessment of Diagnostic Accuracy Studies 2 (QUADAS-2) tool to assess risk of bias for each full-text inclusion. Results: Scoping for this review began in December 2024. Searches of databases were completed in January 2025. Full-text screening and identification of the relevant gray literature were completed by the end of August 2025, and the final review is expected to be completed by December 2025. Conclusions: The review aims to present the validity and quality of the diagnostic accuracy of digital mental health assessment tools across different ages (including children and older adults), particularly following the COVID-19 pandemic due to the exponential increase in development and use of such tools. This review will provide evidence for the wider deployment of digital mental health assessment tools across a wide age range. There will also be a discussion about future research for digital tools and avenues for policy around digital mental health assessments.</t>
        </is>
      </c>
      <c r="W72" s="4" t="inlineStr">
        <is>
          <t>title_abstract_plus_targeted_primary_source_verification</t>
        </is>
      </c>
      <c r="X72" s="4" t="inlineStr">
        <is>
          <t>doi:10.2196/73492</t>
        </is>
      </c>
      <c r="Y72" s="4" t="n"/>
      <c r="Z72" s="4" t="n"/>
      <c r="AA72" s="4" t="n"/>
      <c r="AB72" s="40" t="n"/>
    </row>
    <row r="73" ht="409" customHeight="1">
      <c r="A73" s="4" t="n">
        <v>72</v>
      </c>
      <c r="B73" s="4" t="inlineStr">
        <is>
          <t>already_in_current_276</t>
        </is>
      </c>
      <c r="C73" s="4" t="inlineStr">
        <is>
          <t>No agregar: ya está en los 276</t>
        </is>
      </c>
      <c r="D73" s="4" t="inlineStr">
        <is>
          <t>Already in base 276</t>
        </is>
      </c>
      <c r="E73" s="4" t="inlineStr">
        <is>
          <t>No</t>
        </is>
      </c>
      <c r="F73" s="4" t="inlineStr">
        <is>
          <t>Deduplication against base corpus</t>
        </is>
      </c>
      <c r="G73" s="4" t="n"/>
      <c r="H73" s="4" t="n"/>
      <c r="I73" s="4" t="n"/>
      <c r="J73" s="4" t="inlineStr">
        <is>
          <t>Coincidencia por DOI o título normalizado con el corpus analítico vigente de 276 estudios.</t>
        </is>
      </c>
      <c r="K73" s="4" t="n"/>
      <c r="L73" s="4" t="n">
        <v>32</v>
      </c>
      <c r="M73" s="4" t="n">
        <v>2025</v>
      </c>
      <c r="N73" s="4" t="inlineStr">
        <is>
          <t>ASD-GraphNet: A novel graph learning approach for Autism Spectrum Disorder diagnosis using fMRI data</t>
        </is>
      </c>
      <c r="O73" s="4" t="inlineStr">
        <is>
          <t>Mina Zeraati and Amirehsan Davoodi</t>
        </is>
      </c>
      <c r="P73" s="4" t="inlineStr">
        <is>
          <t>10.1016/j.compbiomed.2025.110723</t>
        </is>
      </c>
      <c r="Q73" s="4" t="inlineStr">
        <is>
          <t>Computers in Biology and Medicine</t>
        </is>
      </c>
      <c r="R73" s="4" t="inlineStr">
        <is>
          <t>article</t>
        </is>
      </c>
      <c r="S73" s="4" t="inlineStr">
        <is>
          <t>Elsevier Ltd</t>
        </is>
      </c>
      <c r="T73" s="4" t="inlineStr">
        <is>
          <t>https://www.sciencedirect.com/science/article/pii/S0010482525010741</t>
        </is>
      </c>
      <c r="U73" s="4" t="n"/>
      <c r="V73" s="4"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W73" s="4" t="inlineStr">
        <is>
          <t>title_abstract_plus_targeted_primary_source_verification</t>
        </is>
      </c>
      <c r="X73" s="4" t="inlineStr">
        <is>
          <t>doi:10.1016/j.compbiomed.2025.110723</t>
        </is>
      </c>
      <c r="Y73" s="4" t="n"/>
      <c r="Z73" s="4" t="n"/>
      <c r="AA73" s="4" t="n"/>
      <c r="AB73" s="40" t="n"/>
    </row>
    <row r="74" ht="409" customHeight="1">
      <c r="A74" s="4" t="n">
        <v>73</v>
      </c>
      <c r="B74" s="4" t="inlineStr">
        <is>
          <t>exclude_out_of_scope_topic_or_population</t>
        </is>
      </c>
      <c r="C74" s="4" t="inlineStr">
        <is>
          <t>Excluir: tema/población fuera de alcance</t>
        </is>
      </c>
      <c r="D74" s="4" t="inlineStr">
        <is>
          <t>Excluded</t>
        </is>
      </c>
      <c r="E74" s="4" t="inlineStr">
        <is>
          <t>No</t>
        </is>
      </c>
      <c r="F74" s="4" t="inlineStr">
        <is>
          <t>Title/abstract screening</t>
        </is>
      </c>
      <c r="G74" s="4" t="n"/>
      <c r="H74" s="4" t="n"/>
      <c r="I74" s="4" t="n"/>
      <c r="J74" s="4" t="inlineStr">
        <is>
          <t>No estudia ASD en el sentido del protocolo, usa otro significado de ASD o aborda otra población/resultado sin aplicación pertinente al proceso ASD.</t>
        </is>
      </c>
      <c r="K74" s="4" t="n"/>
      <c r="L74" s="4" t="n"/>
      <c r="M74" s="4" t="n">
        <v>2026</v>
      </c>
      <c r="N74" s="4" t="inlineStr">
        <is>
          <t>Understanding Behavioral Influences on Eating Disorders and App Engagement to Inform Eating Disorder App Development: Qualitative Online Focus Groups With Adults With Lived Experience</t>
        </is>
      </c>
      <c r="O74" s="4" t="inlineStr">
        <is>
          <t>Pamela Carien Thomas and Sarah Rowe and Kristina Curtis and Rachel Perowne and Pippa Bark</t>
        </is>
      </c>
      <c r="P74" s="4" t="inlineStr">
        <is>
          <t>10.2196/79328</t>
        </is>
      </c>
      <c r="Q74" s="4" t="inlineStr">
        <is>
          <t>JMIR Formative Research</t>
        </is>
      </c>
      <c r="R74" s="4" t="inlineStr">
        <is>
          <t>article</t>
        </is>
      </c>
      <c r="S74" s="4" t="inlineStr">
        <is>
          <t>JMIR Publications Inc.</t>
        </is>
      </c>
      <c r="T74" s="4" t="inlineStr">
        <is>
          <t>https://doi.org/10.2196/79328</t>
        </is>
      </c>
      <c r="U74" s="4" t="n"/>
      <c r="V74" s="4" t="inlineStr">
        <is>
          <t>Background: Eating disorders (EDs) are severe mental health conditions driven by psychological, social, and emotional factors and have the highest mortality rate of any psychiatric disorder. Although evidence-based, theory-driven behavior change interventions are the gold standard, access to treatment remains limited. Digital interventions, such as apps, may offer accessible support for individuals with mild to moderate EDs; however, their development has rarely been guided by systematic behavior change frameworks. Consequently, many interventions inadequately target the mechanisms underlying ED behaviors and commonly lack involvement of people with lived experience. Objective: This study aimed to identify priority behavioral change targets for ED apps by capturing lived experience perspectives on the psychological, behavioral, and contextual factors maintaining disordered eating and driving app engagement. Using the capability, opportunity, motivation—behavior (COM-B) and theoretical domains framework (TDF), we mapped these determinants to identify where and how apps can most effectively enhance capability, opportunity, and motivation. Methods: In total, 6 small focus groups (2-5 participants per group) were conducted with 13 female and 5 male adults, including minority ethnic backgrounds, living in the United Kingdom with lived experience of an ED. Discussions explored (1) the psychological, social, and environmental determinants underpinning participants’ disordered eating behaviors and (2) the behavioral and contextual mechanisms influencing engagement with an ED app. A hybrid deductive-inductive thematic analysis was performed using the COM-B model and the TDF. Themes were mapped onto evidence-based behavior change techniques using the Theory and Techniques Tool. Results: This study identified clear behavior change targets for digital ED interventions, identifying requirements in 5 of 6 (83%) COM-B domains and 13 of 14 (93%) associated TDF domains for changing maladaptive ED behaviors and 5 of 6 (83%) COM-B and 12 of 14 (86%) TDF domains for sustaining app engagement. Although social support and emotional regulation were key influences, less commonly targeted domains, such as social or professional role and identity and belief in capabilities, emerged as powerful drivers in this population. Crucially, it demonstrated that effectiveness depended not only on which behavior change techniques were included but also on how they were implemented, as poorly delivered techniques can undermine engagement and exacerbate symptoms. Sex and cultural background moderated almost every domain, highlighting the necessity of personalized, adaptive delivery and the inadequacy of one-size-fits-all approaches. Conclusions: As the first study to apply the COM-B and TDF frameworks to both disordered eating behaviors and app engagement, it identifies previously overlooked behavioral mechanisms and design pitfalls, including how poorly delivered techniques can undermine recovery. It provides a practical blueprint for developing safer, more personalized, and behaviorally effective ED apps. Significant work is needed to advance apps in line with these recommendations, supported by ongoing collaboration with diverse people with lived experience.</t>
        </is>
      </c>
      <c r="W74" s="4" t="inlineStr">
        <is>
          <t>title_abstract_plus_targeted_primary_source_verification</t>
        </is>
      </c>
      <c r="X74" s="4" t="inlineStr">
        <is>
          <t>doi:10.2196/79328</t>
        </is>
      </c>
      <c r="Y74" s="4" t="n"/>
      <c r="Z74" s="4" t="n"/>
      <c r="AA74" s="4" t="n"/>
      <c r="AB74" s="40" t="n"/>
    </row>
    <row r="75" ht="409" customHeight="1">
      <c r="A75" s="4" t="n">
        <v>74</v>
      </c>
      <c r="B75" s="4" t="inlineStr">
        <is>
          <t>include_after_title_abstract_screen</t>
        </is>
      </c>
      <c r="C75" s="4" t="inlineStr">
        <is>
          <t>Incluir provisionalmente</t>
        </is>
      </c>
      <c r="D75" s="4" t="inlineStr">
        <is>
          <t>Provisional include</t>
        </is>
      </c>
      <c r="E75" s="4" t="inlineStr">
        <is>
          <t>Sí</t>
        </is>
      </c>
      <c r="F75" s="4" t="inlineStr">
        <is>
          <t>Title/abstract screening</t>
        </is>
      </c>
      <c r="G75" s="4" t="n"/>
      <c r="H75" s="4" t="n"/>
      <c r="I75" s="4" t="n"/>
      <c r="J75" s="4" t="inlineStr">
        <is>
          <t>Estudio primario o implementación/evaluación empírica de IA, aprendizaje automático o modelado computacional aplicado a ASD, riesgo, caracterización, apoyo o intervención.</t>
        </is>
      </c>
      <c r="K75" s="4" t="n"/>
      <c r="L75" s="4" t="n"/>
      <c r="M75" s="4" t="n">
        <v>2025</v>
      </c>
      <c r="N75" s="4" t="inlineStr">
        <is>
          <t>Deep neurocomputational fusion for ASD diagnosis using multi-domain EEG analysis</t>
        </is>
      </c>
      <c r="O75" s="4" t="inlineStr">
        <is>
          <t>Abdur Rasool and Saba Aslam and Yongjie Xu and Yishan Wang and Yi Pan and Weiyang Chen</t>
        </is>
      </c>
      <c r="P75" s="4" t="inlineStr">
        <is>
          <t>10.1016/j.neucom.2025.130353</t>
        </is>
      </c>
      <c r="Q75" s="4" t="inlineStr">
        <is>
          <t>Neurocomputing</t>
        </is>
      </c>
      <c r="R75" s="4" t="inlineStr">
        <is>
          <t>article</t>
        </is>
      </c>
      <c r="S75" s="4" t="inlineStr">
        <is>
          <t>Elsevier B.V.</t>
        </is>
      </c>
      <c r="T75" s="4" t="inlineStr">
        <is>
          <t>https://www.sciencedirect.com/science/article/pii/S0925231225010252</t>
        </is>
      </c>
      <c r="U75" s="4" t="n"/>
      <c r="V75" s="4" t="inlineStr">
        <is>
          <t>Autism spectrum disorder (ASD) presents significant challenges in early detection due to its heterogeneous nature and the subtlety of neurophysiological variations. Electroencephalography (EEG) has emerged as a promising tool for ASD diagnosis, offering insights into intricate neurophysiological signal dynamics. However, existing computational EEG analysis techniques often struggle to effectively capture complex ASD-related neural activity patterns. To address these limitations, this study proposes an Encoder-Ensemble Fusion Model (EEFM), designed to enhance EEG-based ASD classification through advanced neurocomputational modeling. EEFM integrates multi-domain EEG features with a sophisticated fusion network, initially extracting a diverse range of time and frequency-domain characteristics. This model enables the identification of nuanced and heterogeneous ASD-specific neural activity, leveraging ensemble learning and autoencoder architectures to uncover complex relationships within the data. Specifically, an LSTM (Long Short-Term Memory)-autoencoder models temporal and spatial dependencies, followed by an XGBoost Regressor for nonlinear EEG signal interpretation and a linear regression model for decision boundary refinement. The proposed model has been evaluated on a dataset focusing on sex-specific EEG variations in ASD and Typically Developing (TD) subjects. By incorporating EEG-based neurophysiological biomarkers, EEFM achieved 93% accuracy in distinguishing ASD from TD individuals. This model enhances sensitivity to subtle ASD-related abnormalities while addressing challenges in data heterogeneity, scarcity, and generalizability, contributing to advancements in neurocomputing methodologies for EEG-based ASD diagnosis.</t>
        </is>
      </c>
      <c r="W75" s="4" t="inlineStr">
        <is>
          <t>title_abstract_plus_targeted_primary_source_verification</t>
        </is>
      </c>
      <c r="X75" s="4" t="inlineStr">
        <is>
          <t>doi:10.1016/j.neucom.2025.130353</t>
        </is>
      </c>
      <c r="Y75" s="4" t="n"/>
      <c r="Z75" s="4" t="n"/>
      <c r="AA75" s="4" t="n"/>
      <c r="AB75" s="40" t="n"/>
    </row>
    <row r="76" ht="409" customHeight="1">
      <c r="A76" s="4" t="n">
        <v>75</v>
      </c>
      <c r="B76" s="4" t="inlineStr">
        <is>
          <t>exclude_out_of_scope_topic_or_population</t>
        </is>
      </c>
      <c r="C76" s="4" t="inlineStr">
        <is>
          <t>Excluir: tema/población fuera de alcance</t>
        </is>
      </c>
      <c r="D76" s="4" t="inlineStr">
        <is>
          <t>Excluded</t>
        </is>
      </c>
      <c r="E76" s="4" t="inlineStr">
        <is>
          <t>No</t>
        </is>
      </c>
      <c r="F76" s="4" t="inlineStr">
        <is>
          <t>Title/abstract screening</t>
        </is>
      </c>
      <c r="G76" s="4" t="n"/>
      <c r="H76" s="4" t="n"/>
      <c r="I76" s="4" t="n"/>
      <c r="J76" s="4" t="inlineStr">
        <is>
          <t>No estudia ASD en el sentido del protocolo, usa otro significado de ASD o aborda otra población/resultado sin aplicación pertinente al proceso ASD.</t>
        </is>
      </c>
      <c r="K76" s="4" t="n"/>
      <c r="L76" s="4" t="n"/>
      <c r="M76" s="4" t="n">
        <v>2026</v>
      </c>
      <c r="N76" s="4" t="inlineStr">
        <is>
          <t>The Structure of Psychopathology on Reddit: Network Analysis of Mental Health Communities in Relation to the ICD Diagnostic System</t>
        </is>
      </c>
      <c r="O76" s="4" t="inlineStr">
        <is>
          <t>Bojan Evkoski and Srebrenka Letina and Petra Kralj Novak</t>
        </is>
      </c>
      <c r="P76" s="4" t="inlineStr">
        <is>
          <t>10.2196/80958</t>
        </is>
      </c>
      <c r="Q76" s="4" t="inlineStr">
        <is>
          <t>Journal of Medical Internet Research</t>
        </is>
      </c>
      <c r="R76" s="4" t="inlineStr">
        <is>
          <t>article</t>
        </is>
      </c>
      <c r="S76" s="4" t="inlineStr">
        <is>
          <t>JMIR Publications Inc.</t>
        </is>
      </c>
      <c r="T76" s="4" t="inlineStr">
        <is>
          <t>https://doi.org/10.2196/80958</t>
        </is>
      </c>
      <c r="U76" s="4" t="n"/>
      <c r="V76" s="4" t="inlineStr">
        <is>
          <t>Background: Social media platforms such as Reddit have become important spaces where individuals articulate their distress, seek support, and explore alternative ways of understanding mental health outside traditional institutional frameworks. These environments provide an opportunity to examine mental health discourse at scale, offering perspectives that extend beyond traditional clinical and research settings. Objective: This study aims to examine the structure of mental health communities on Reddit by identifying patterns of association between mental disorders reflected in user activity and assessing how these relationships align with established diagnostic categories in the ICD (International Classification of Diseases). Methods: We manually curated 114 Reddit communities focused on specific mental health conditions from the 20,000 most active subreddits in 2022. Each community was labeled into 49 disorders and categorized under 9 ICD diagnostic categories within the group of mental and behavioral disorders, collectively known as the F codes. We constructed a disorder association network by identifying statistically significant user overlaps based on coposting across subreddit pairs using a bipartite configuration model, with Bonferroni-corrected significance (P&lt;.001). We analyzed the connectivity of the network within and across diagnostic categories, examining inter- and intracategory links. Finally, we compared the structure of disorder associations inferred from Reddit with the ICD classification derived from diagnostic criteria using hierarchical clustering. Results: The inferred Reddit network of psychopathology revealed an interconnected structure (density=0.135), with all but 6 disorders forming a single giant component that spans across all 9 diagnostic categories. The most prominent disorders by number of users included hyperkinetic disorders (85,000), depressive episodes and recurrent depressive disorders (73,000), habit and impulse disorders (69,000), pervasive developmental disorders (52,000), and generalized anxiety disorder (44,000). In terms of connectivity, posttraumatic stress disorder (17/48 of all possible connections), obsessive-compulsive disorder (16/48), and depersonalization-derealization disorder (15/48) emerged as the most central in the network of positive disorder associations, while schizotypal disorder, avoidant personality disorder, and agoraphobia were the most central when accounting for the association strength. At the level of disorder categories, several disorders, such as bipolar disorder and premenstrual dysphoric disorder, displayed high intercategory associations but weak intracategory ties, indicating blurred diagnostic boundaries. The network of negative coposting associations revealed a divergence from the expectations of past research; for instance, addiction-related communities (eg, alcohol and opioids) were negatively associated with much of the broader mental health discourse. Finally, hierarchical comparisons showed moderate overlap between the Reddit network of disorder associations and the ICD network of diagnostic criteria, both in pairwise edge similarity (13% of edges present in both networks) and overall clustering (Adjusted Rand Index=0.295). Conclusions: Reddit-based mental health communities reveal a complementary structure of disorder associations shaped by lived experience, often diverging from formal diagnostic criteria and exhibiting patterns of association that do not align with established diagnostic boundaries.</t>
        </is>
      </c>
      <c r="W76" s="4" t="inlineStr">
        <is>
          <t>title_abstract_plus_targeted_primary_source_verification</t>
        </is>
      </c>
      <c r="X76" s="4" t="inlineStr">
        <is>
          <t>doi:10.2196/80958</t>
        </is>
      </c>
      <c r="Y76" s="4" t="n"/>
      <c r="Z76" s="4" t="n"/>
      <c r="AA76" s="4" t="n"/>
      <c r="AB76" s="40" t="n"/>
    </row>
    <row r="77" ht="409" customHeight="1">
      <c r="A77" s="4" t="n">
        <v>76</v>
      </c>
      <c r="B77" s="4" t="inlineStr">
        <is>
          <t>include_after_title_abstract_screen</t>
        </is>
      </c>
      <c r="C77" s="4" t="inlineStr">
        <is>
          <t>Incluir provisionalmente</t>
        </is>
      </c>
      <c r="D77" s="4" t="inlineStr">
        <is>
          <t>Provisional include</t>
        </is>
      </c>
      <c r="E77" s="4" t="inlineStr">
        <is>
          <t>Sí</t>
        </is>
      </c>
      <c r="F77" s="4" t="inlineStr">
        <is>
          <t>Title/abstract screening</t>
        </is>
      </c>
      <c r="G77" s="4" t="n"/>
      <c r="H77" s="4" t="n"/>
      <c r="I77" s="4" t="n"/>
      <c r="J77" s="4" t="inlineStr">
        <is>
          <t>Estudio primario o implementación/evaluación empírica de IA, aprendizaje automático o modelado computacional aplicado a ASD, riesgo, caracterización, apoyo o intervención.</t>
        </is>
      </c>
      <c r="K77" s="4" t="n"/>
      <c r="L77" s="4" t="n"/>
      <c r="M77" s="4" t="n">
        <v>2025</v>
      </c>
      <c r="N77" s="4" t="inlineStr">
        <is>
          <t>Female autism categorization using CNN based NeuroNet57 and ant colony optimization</t>
        </is>
      </c>
      <c r="O77" s="4" t="inlineStr">
        <is>
          <t>Adnan Ashraf and Qingjie Zhao and Waqas Haider Bangyal and Mudassar Raza and Mudassar Iqbal</t>
        </is>
      </c>
      <c r="P77" s="4" t="inlineStr">
        <is>
          <t>10.1016/j.compbiomed.2025.109926</t>
        </is>
      </c>
      <c r="Q77" s="4" t="inlineStr">
        <is>
          <t>Computers in Biology and Medicine</t>
        </is>
      </c>
      <c r="R77" s="4" t="inlineStr">
        <is>
          <t>article</t>
        </is>
      </c>
      <c r="S77" s="4" t="inlineStr">
        <is>
          <t>Elsevier Ltd</t>
        </is>
      </c>
      <c r="T77" s="4" t="inlineStr">
        <is>
          <t>https://www.sciencedirect.com/science/article/pii/S001048252500277X</t>
        </is>
      </c>
      <c r="U77" s="4" t="n"/>
      <c r="V77" s="4" t="inlineStr">
        <is>
          <t>Autism identification and classification using biomedical medical image analysis has advanced recently. Research shows autistic females have different phenotypic and age-related brain variations than males. Gender-specific hormones and genes affect autistic female brain circuitry, unfortunately, female phenotypic and genotypic data is quite deficient. Since physicians spend much time in assessing autistic females manually. Advanced large-scale deep learning algorithms are in dire need of accurate medical diagnosis. This research proposed a 57-layer CNN architecture called NeuroNet57 that can extract features from fMRI factually. After pre-training on the Brain Tumour dataset, the NeuroNet57 model extracts female phenotypic features from autism brain imagining data exchange (ABIDE)-I+II datasets using T1 modality fMRI scans, resulting in feature matrices of 14372 × 4096 for ABIDE_I and 16168 × 4096 for ABIDE_II. Our model uses ant colony optimization (ACO) to select feature subsets for dimensionality reduction. Further, nine machine learning classifiers are used to categorize females with autism spectrum disorder (ASD) from females with control behavior. The KNN-based fineKNN (FKNN) classifier had 92.21% accuracy on ABIDE-I and 93.49% on ABIDE-II. This proves the effectiveness of our proposed model.</t>
        </is>
      </c>
      <c r="W77" s="4" t="inlineStr">
        <is>
          <t>title_abstract_plus_targeted_primary_source_verification</t>
        </is>
      </c>
      <c r="X77" s="4" t="inlineStr">
        <is>
          <t>doi:10.1016/j.compbiomed.2025.109926</t>
        </is>
      </c>
      <c r="Y77" s="4" t="n"/>
      <c r="Z77" s="4" t="n"/>
      <c r="AA77" s="4" t="n"/>
      <c r="AB77" s="40" t="n"/>
    </row>
    <row r="78" ht="125" customHeight="1">
      <c r="A78" s="4" t="n">
        <v>77</v>
      </c>
      <c r="B78" s="4" t="inlineStr">
        <is>
          <t>exclude_out_of_scope_topic_or_population</t>
        </is>
      </c>
      <c r="C78" s="4" t="inlineStr">
        <is>
          <t>Excluir: tema/población fuera de alcance</t>
        </is>
      </c>
      <c r="D78" s="4" t="inlineStr">
        <is>
          <t>Excluded</t>
        </is>
      </c>
      <c r="E78" s="4" t="inlineStr">
        <is>
          <t>No</t>
        </is>
      </c>
      <c r="F78" s="4" t="inlineStr">
        <is>
          <t>Title/abstract screening</t>
        </is>
      </c>
      <c r="G78" s="4" t="n"/>
      <c r="H78" s="4" t="n"/>
      <c r="I78" s="4" t="n"/>
      <c r="J78" s="4" t="inlineStr">
        <is>
          <t>No estudia ASD en el sentido del protocolo, usa otro significado de ASD o aborda otra población/resultado sin aplicación pertinente al proceso ASD.</t>
        </is>
      </c>
      <c r="K78" s="4" t="n"/>
      <c r="L78" s="4" t="n"/>
      <c r="M78" s="4" t="n">
        <v>2025</v>
      </c>
      <c r="N78" s="4" t="inlineStr">
        <is>
          <t>Perceived Sensitivity of Sensor-Based Digital Health Data: A Qualitative Interview Study (Preprint)</t>
        </is>
      </c>
      <c r="O78" s="4" t="inlineStr">
        <is>
          <t>Christine Deeney and Anika Sonig and Meghan E Hurley and Birkan Tunç and Eric A Storch and John D Herrington and Jennifer Blumenthal-Barby and Kristin Kostick-Quenet</t>
        </is>
      </c>
      <c r="P78" s="4" t="inlineStr">
        <is>
          <t>10.2196/78788</t>
        </is>
      </c>
      <c r="Q78" s="4" t="inlineStr">
        <is>
          <t>JMIR mHealth and uHealth</t>
        </is>
      </c>
      <c r="R78" s="4" t="inlineStr">
        <is>
          <t>article</t>
        </is>
      </c>
      <c r="S78" s="4" t="inlineStr">
        <is>
          <t>JMIR Publications Inc.</t>
        </is>
      </c>
      <c r="T78" s="4" t="inlineStr">
        <is>
          <t>https://doi.org/10.2196/78788</t>
        </is>
      </c>
      <c r="U78" s="4" t="n"/>
      <c r="V78" s="4" t="n"/>
      <c r="W78" s="4" t="inlineStr">
        <is>
          <t>title_abstract_plus_targeted_primary_source_verification</t>
        </is>
      </c>
      <c r="X78" s="4" t="inlineStr">
        <is>
          <t>doi:10.2196/78788</t>
        </is>
      </c>
      <c r="Y78" s="4" t="n"/>
      <c r="Z78" s="4" t="n"/>
      <c r="AA78" s="4" t="n"/>
      <c r="AB78" s="40" t="n"/>
    </row>
    <row r="79" ht="409" customHeight="1">
      <c r="A79" s="4" t="n">
        <v>78</v>
      </c>
      <c r="B79" s="4" t="inlineStr">
        <is>
          <t>include_after_title_abstract_screen</t>
        </is>
      </c>
      <c r="C79" s="4" t="inlineStr">
        <is>
          <t>Incluir provisionalmente</t>
        </is>
      </c>
      <c r="D79" s="4" t="inlineStr">
        <is>
          <t>Provisional include</t>
        </is>
      </c>
      <c r="E79" s="4" t="inlineStr">
        <is>
          <t>Sí</t>
        </is>
      </c>
      <c r="F79" s="4" t="inlineStr">
        <is>
          <t>Title/abstract screening</t>
        </is>
      </c>
      <c r="G79" s="4" t="n"/>
      <c r="H79" s="4" t="n"/>
      <c r="I79" s="4" t="n"/>
      <c r="J79" s="4" t="inlineStr">
        <is>
          <t>Estudio primario o implementación/evaluación empírica de IA, aprendizaje automático o modelado computacional aplicado a ASD, riesgo, caracterización, apoyo o intervención.</t>
        </is>
      </c>
      <c r="K79" s="4" t="n"/>
      <c r="L79" s="4" t="n"/>
      <c r="M79" s="4" t="n">
        <v>2025</v>
      </c>
      <c r="N79" s="4" t="inlineStr">
        <is>
          <t>Capsule DenseNet++: Enhanced autism detection framework with deep learning and reinforcement learning-based lifestyle recommendation</t>
        </is>
      </c>
      <c r="O79" s="4" t="inlineStr">
        <is>
          <t>Ahmed Ibrahim Alutaibi and Sunil Kumar Sharma and Ahmad Raza Khan</t>
        </is>
      </c>
      <c r="P79" s="4" t="inlineStr">
        <is>
          <t>10.1016/j.compbiomed.2025.110038</t>
        </is>
      </c>
      <c r="Q79" s="4" t="inlineStr">
        <is>
          <t>Computers in Biology and Medicine</t>
        </is>
      </c>
      <c r="R79" s="4" t="inlineStr">
        <is>
          <t>article</t>
        </is>
      </c>
      <c r="S79" s="4" t="inlineStr">
        <is>
          <t>Elsevier Ltd</t>
        </is>
      </c>
      <c r="T79" s="4" t="inlineStr">
        <is>
          <t>https://www.sciencedirect.com/science/article/pii/S0010482525003890</t>
        </is>
      </c>
      <c r="U79" s="4" t="n"/>
      <c r="V79" s="4" t="inlineStr">
        <is>
          <t>Autism Spectrum Disorder (ASD) is a complex neurological condition that impairs the ability to interact, communicate, and behave. It is becoming increasingly prevalent worldwide, with an increase in the number of young children diagnosed with ASD in Saudi Arabia. Timely identification and customized interventions are essential for enhancing developmental outcomes. However, existing diagnostic approaches are subjective, limiting the cost-effectiveness of their utilization and the uniformity of their outcomes across different communities. In light of these concerns, this study presents a two-phase deep learning framework for autism detection with lifestyle advice using reinforcement learning. In the first phase, the proposed framework utilizes advanced multiscale statistical techniques for feature extraction, such as measures of central tendencies, variability indices, and percentiles, incorporated with the CosmoNest Optimizer, which is a hybrid of the African Vultures Optimization Algorithm and Butterfly Optimization Algorithm. For accurate ASD identification, these optimized features were classified using Capsule DenseNet++, an advanced deep learning model that increases feature representation efficiency and interpretability. In the second stage, we implement a personalized lifestyle recommendation system using the Proximal Policy Optimization (PPO) algorithm, a reinforcement learning algorithm. In the PPO approach, lifestyle decisions are sequential actions aimed at optimizing interventions, therapies, or daily activities for a given person. The PPO system dynamically learns and adapts recommendations over time to improve its effectiveness. The framework was developed in Python and tested on two datasets: autism screening data and ASD screening data for toddlers in Saudi Arabia. The performance of the detection model was recorded in terms of accuracy (99.2 % and 99.3 %, respectively), precision (98.5 % and 98.7 %, respectively), sensitivity (98.7 % and 98.9 %, respectively), and F1-score (99.1 % and 99.2 %, respectively), demonstrating its robustness for ASD detection across both datasets.</t>
        </is>
      </c>
      <c r="W79" s="4" t="inlineStr">
        <is>
          <t>title_abstract_plus_targeted_primary_source_verification</t>
        </is>
      </c>
      <c r="X79" s="4" t="inlineStr">
        <is>
          <t>doi:10.1016/j.compbiomed.2025.110038</t>
        </is>
      </c>
      <c r="Y79" s="4" t="n"/>
      <c r="Z79" s="4" t="n"/>
      <c r="AA79" s="4" t="n"/>
      <c r="AB79" s="40" t="n"/>
    </row>
    <row r="80" ht="177" customHeight="1">
      <c r="A80" s="4" t="n">
        <v>79</v>
      </c>
      <c r="B80" s="4" t="inlineStr">
        <is>
          <t>exclude_integrity_notice_or_retracted</t>
        </is>
      </c>
      <c r="C80" s="4" t="inlineStr">
        <is>
          <t>Excluir por integridad/tipo de registro</t>
        </is>
      </c>
      <c r="D80" s="4" t="inlineStr">
        <is>
          <t>Excluded</t>
        </is>
      </c>
      <c r="E80" s="4" t="inlineStr">
        <is>
          <t>No</t>
        </is>
      </c>
      <c r="F80" s="4" t="inlineStr">
        <is>
          <t>Title/abstract screening and source verification</t>
        </is>
      </c>
      <c r="G80" s="4" t="n"/>
      <c r="H80" s="4" t="n"/>
      <c r="I80" s="4" t="inlineStr">
        <is>
          <t>Expression of Concern notice</t>
        </is>
      </c>
      <c r="J80" s="4" t="inlineStr">
        <is>
          <t>Aviso editorial, corrección, retirada, retractación o artículo retractado; no constituye un estudio nuevo incorporable.</t>
        </is>
      </c>
      <c r="K80" s="4" t="n"/>
      <c r="L80" s="4" t="n"/>
      <c r="M80" s="4" t="n">
        <v>2026</v>
      </c>
      <c r="N80" s="4" t="inlineStr">
        <is>
          <t>Expression of Concern: Data Mining–Based Model for Computer-Aided Diagnosis of Autism and Gelotophobia: Mixed Methods Deep Learning Approach (JMIR Formative Research (2025) 9 (e72115) DOI: 10.2196/72115)</t>
        </is>
      </c>
      <c r="O80" s="4" t="n"/>
      <c r="P80" s="4" t="inlineStr">
        <is>
          <t>10.2196/91833</t>
        </is>
      </c>
      <c r="Q80" s="4" t="inlineStr">
        <is>
          <t>JMIR Formative Research</t>
        </is>
      </c>
      <c r="R80" s="4" t="inlineStr">
        <is>
          <t>article</t>
        </is>
      </c>
      <c r="S80" s="4" t="inlineStr">
        <is>
          <t>JMIR Publications Inc.</t>
        </is>
      </c>
      <c r="T80" s="4" t="inlineStr">
        <is>
          <t>https://formative.jmir.org/2026/1/e91833</t>
        </is>
      </c>
      <c r="U80" s="4" t="inlineStr">
        <is>
          <t>Es la expresión de preocupación del artículo DOI 10.2196/72115, ya incluido en los 276; no es un estudio adicional.</t>
        </is>
      </c>
      <c r="V80" s="4" t="inlineStr">
        <is>
          <t>Following the publication of this article [1] concerns were raised regarding the validity of the dataset used. The JMIR Publications Editorial Office is investigating this matter and in the interim issues this expression of concern.</t>
        </is>
      </c>
      <c r="W80" s="4" t="inlineStr">
        <is>
          <t>title_abstract_plus_targeted_primary_source_verification</t>
        </is>
      </c>
      <c r="X80" s="4" t="inlineStr">
        <is>
          <t>doi:10.2196/91833</t>
        </is>
      </c>
      <c r="Y80" s="4" t="n"/>
      <c r="Z80" s="4" t="n"/>
      <c r="AA80" s="4" t="n"/>
      <c r="AB80" s="40" t="n"/>
    </row>
    <row r="81" ht="409" customHeight="1">
      <c r="A81" s="4" t="n">
        <v>80</v>
      </c>
      <c r="B81" s="4" t="inlineStr">
        <is>
          <t>already_in_current_276</t>
        </is>
      </c>
      <c r="C81" s="4" t="inlineStr">
        <is>
          <t>No agregar: ya está en los 276</t>
        </is>
      </c>
      <c r="D81" s="4" t="inlineStr">
        <is>
          <t>Already in base 276</t>
        </is>
      </c>
      <c r="E81" s="4" t="inlineStr">
        <is>
          <t>No</t>
        </is>
      </c>
      <c r="F81" s="4" t="inlineStr">
        <is>
          <t>Deduplication against base corpus</t>
        </is>
      </c>
      <c r="G81" s="4" t="n"/>
      <c r="H81" s="4" t="n"/>
      <c r="I81" s="4" t="n"/>
      <c r="J81" s="4" t="inlineStr">
        <is>
          <t>Coincidencia por DOI o título normalizado con el corpus analítico vigente de 276 estudios.</t>
        </is>
      </c>
      <c r="K81" s="4" t="n"/>
      <c r="L81" s="4" t="n">
        <v>285</v>
      </c>
      <c r="M81" s="4" t="n">
        <v>2025</v>
      </c>
      <c r="N81" s="4" t="inlineStr">
        <is>
          <t>Exploring pesticide risk in autism via integrative machine learning and network toxicology</t>
        </is>
      </c>
      <c r="O81" s="4" t="inlineStr">
        <is>
          <t>Ling Qi and Jingran Yang and Qiao Niu and Jianan Li</t>
        </is>
      </c>
      <c r="P81" s="4" t="inlineStr">
        <is>
          <t>10.1016/j.ecoenv.2025.118233</t>
        </is>
      </c>
      <c r="Q81" s="4" t="inlineStr">
        <is>
          <t>Ecotoxicology and Environmental Safety</t>
        </is>
      </c>
      <c r="R81" s="4" t="inlineStr">
        <is>
          <t>article</t>
        </is>
      </c>
      <c r="S81" s="4" t="inlineStr">
        <is>
          <t>Academic Press</t>
        </is>
      </c>
      <c r="T81" s="4" t="inlineStr">
        <is>
          <t>https://www.sciencedirect.com/science/article/pii/S014765132500569X</t>
        </is>
      </c>
      <c r="U81" s="4" t="n"/>
      <c r="V81" s="4" t="inlineStr">
        <is>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is>
      </c>
      <c r="W81" s="4" t="inlineStr">
        <is>
          <t>title_abstract_plus_targeted_primary_source_verification</t>
        </is>
      </c>
      <c r="X81" s="4" t="inlineStr">
        <is>
          <t>doi:10.1016/j.ecoenv.2025.118233</t>
        </is>
      </c>
      <c r="Y81" s="4" t="n"/>
      <c r="Z81" s="4" t="n"/>
      <c r="AA81" s="4" t="n"/>
      <c r="AB81" s="40" t="n"/>
    </row>
    <row r="82" ht="409" customHeight="1">
      <c r="A82" s="4" t="n">
        <v>81</v>
      </c>
      <c r="B82" s="4" t="inlineStr">
        <is>
          <t>include_after_title_abstract_screen</t>
        </is>
      </c>
      <c r="C82" s="4" t="inlineStr">
        <is>
          <t>Incluir provisionalmente</t>
        </is>
      </c>
      <c r="D82" s="4" t="inlineStr">
        <is>
          <t>Provisional include</t>
        </is>
      </c>
      <c r="E82" s="4" t="inlineStr">
        <is>
          <t>Sí</t>
        </is>
      </c>
      <c r="F82" s="4" t="inlineStr">
        <is>
          <t>Title/abstract screening</t>
        </is>
      </c>
      <c r="G82" s="4" t="n"/>
      <c r="H82" s="4" t="n"/>
      <c r="I82" s="4" t="n"/>
      <c r="J82" s="4" t="inlineStr">
        <is>
          <t>Estudio primario o implementación/evaluación empírica de IA, aprendizaje automático o modelado computacional aplicado a ASD, riesgo, caracterización, apoyo o intervención.</t>
        </is>
      </c>
      <c r="K82" s="4" t="n"/>
      <c r="L82" s="4" t="n"/>
      <c r="M82" s="4" t="n">
        <v>2025</v>
      </c>
      <c r="N82" s="4" t="inlineStr">
        <is>
          <t>Self-training EEG discrimination model with weakly supervised sample construction: An age-based perspective on ASD evaluation</t>
        </is>
      </c>
      <c r="O82" s="4" t="inlineStr">
        <is>
          <t>Tengfei Gao and Dan Chen and Meiqi Zhou and Yaodong Wang and Yiping Zuo and Weiping Tu and Xiaoli Li and Jingying Chen</t>
        </is>
      </c>
      <c r="P82" s="4" t="inlineStr">
        <is>
          <t>10.1016/j.neunet.2025.107337</t>
        </is>
      </c>
      <c r="Q82" s="4" t="inlineStr">
        <is>
          <t>Neural Networks</t>
        </is>
      </c>
      <c r="R82" s="4" t="inlineStr">
        <is>
          <t>article</t>
        </is>
      </c>
      <c r="S82" s="4" t="inlineStr">
        <is>
          <t>Elsevier Ltd</t>
        </is>
      </c>
      <c r="T82" s="4" t="inlineStr">
        <is>
          <t>https://www.sciencedirect.com/science/article/pii/S0893608025002163</t>
        </is>
      </c>
      <c r="U82" s="4" t="n"/>
      <c r="V82" s="4" t="inlineStr">
        <is>
          <t>Deep learning for Electroencephalography (EEG) has become dominant in the tasks of discrimination and evaluation of brain disorders. However, despite its significant successes, this approach has long been facing challenges due to the limited availability of labeled samples and the individuality of subjects, particularly in complex scenarios such as Autism Spectrum Disorders (ASD). To facilitate the efficient optimization of EEG discrimination models in the face of these limitations, this study has developed a framework called STEM (Self-Training EEG Model). STEM accomplishes this by self-training the model, which involves initializing it with limited labeled samples and optimizing it with self-constructed samples. (1) Model initialization with multi-task learning: A multi-task model (MAC) comprising an AutoEncoder and a classifier offers guidance for subsequent pseudo-labeling. This guidance includes task-related latent EEG representations and prediction probabilities of unlabeled samples. The AutoEncoder, which consists of depth-separable convolutions and BiGRUs, is responsible for learning comprehensive EEG representations through the EEG reconstruction task. Meanwhile, the classifier, trained using limited labeled samples through supervised learning, directs the model's attention towards capturing task-related features. (2) Model optimization aided by pseudo-labeled samples construction: Next, trustworthy pseudo-labels are assigned to the unlabeled samples, and this approach (PLASC) combines the sample's distance relationship in the feature space mapped by the encoder with the sample's predicted probability, using the initial MAC model as a reference. The constructed pseudo-labeled samples then support the self-training of MAC to learn individual information from new subjects, potentially enhancing the adaptation of the optimized model to samples from new subjects. The STEM framework has undergone an extensive evaluation, comparing it to state-of-the-art counterparts, using resting-state EEG data collected from 175 ASD-suspicious children spanning different age groups. The observed results indicate the following: (1) STEM achieves the best performance, with an accuracy of 88.33% and an F1-score of 87.24%, and (2) STEM's multi-task learning capability outperforms supervised methods when labeled data is limited. More importantly, the use of PLASC improves the model's performance in ASD discrimination across different age groups, resulting in an increase in accuracy (3%–8%) and F1-scores (4%–10%). These increments are approximately 6% higher than those achieved by the comparison methods.</t>
        </is>
      </c>
      <c r="W82" s="4" t="inlineStr">
        <is>
          <t>title_abstract_plus_targeted_primary_source_verification</t>
        </is>
      </c>
      <c r="X82" s="4" t="inlineStr">
        <is>
          <t>doi:10.1016/j.neunet.2025.107337</t>
        </is>
      </c>
      <c r="Y82" s="4" t="n"/>
      <c r="Z82" s="4" t="n"/>
      <c r="AA82" s="4" t="n"/>
      <c r="AB82" s="40" t="n"/>
    </row>
    <row r="83" ht="409" customHeight="1">
      <c r="A83" s="4" t="n">
        <v>82</v>
      </c>
      <c r="B83" s="4" t="inlineStr">
        <is>
          <t>exclude_secondary_or_nonempirical_publication</t>
        </is>
      </c>
      <c r="C83" s="4" t="inlineStr">
        <is>
          <t>Excluir: publicación secundaria/no empírica</t>
        </is>
      </c>
      <c r="D83" s="4" t="inlineStr">
        <is>
          <t>Excluded</t>
        </is>
      </c>
      <c r="E83" s="4" t="inlineStr">
        <is>
          <t>No</t>
        </is>
      </c>
      <c r="F83" s="4" t="inlineStr">
        <is>
          <t>Title/abstract screening</t>
        </is>
      </c>
      <c r="G83" s="4" t="n"/>
      <c r="H83" s="4" t="n"/>
      <c r="I83" s="4" t="n"/>
      <c r="J83" s="4" t="inlineStr">
        <is>
          <t>Revisión, metaanálisis, encuesta de literatura, protocolo, perspectiva, carta, editorial o capítulo de síntesis sin estudio primario elegible.</t>
        </is>
      </c>
      <c r="K83" s="4" t="n"/>
      <c r="L83" s="4" t="n"/>
      <c r="M83" s="4" t="n">
        <v>2026</v>
      </c>
      <c r="N83" s="4" t="inlineStr">
        <is>
          <t>AI-Enabled Smart Glasses for Active Aging: Scoping Review</t>
        </is>
      </c>
      <c r="O83" s="4" t="inlineStr">
        <is>
          <t>Claudio Delgado-Morales and Juan Jesús García-Iglesias and Ana Duarte-Hueros</t>
        </is>
      </c>
      <c r="P83" s="4" t="inlineStr">
        <is>
          <t>10.2196/81157</t>
        </is>
      </c>
      <c r="Q83" s="4" t="inlineStr">
        <is>
          <t>JMIR Aging</t>
        </is>
      </c>
      <c r="R83" s="4" t="inlineStr">
        <is>
          <t>article</t>
        </is>
      </c>
      <c r="S83" s="4" t="inlineStr">
        <is>
          <t>JMIR Publications Inc.</t>
        </is>
      </c>
      <c r="T83" s="4" t="inlineStr">
        <is>
          <t>https://doi.org/10.2196/81157</t>
        </is>
      </c>
      <c r="U83" s="4" t="n"/>
      <c r="V83" s="4" t="inlineStr">
        <is>
          <t>Background: The daily use of digital technologies is transforming the day-to-day lives of older adults. Among these technologies, artificial intelligence–enabled smart glasses have recently emerged, which allow constant interaction with the device itself and with the environment. They are designed to be used for multitasking, including options such as being able to take photographs and/or videos; record immersive audio; make calls; and share multimedia content through voice commands, touch, or blink detection. Objective: The aim of this study was to map the existing evidence and gain insight into the effectiveness and potential benefits of artificial intelligence–enabled smart glasses in promoting active living in old age. Methods: A scoping review was performed following the PRISMA-ScR (Preferred Reporting Items for Systematic Reviews and Meta-Analyses extension for Scoping Reviews) statement by consulting the PubMed, Scopus, and Web of Science databases using a search strategy and syntax (“smart glasses” AND (“older adult” OR elderly OR aging) AND health). The review process was conducted through the Covidence online platform, and the final review protocol was prospectively registered in the Open Science Framework. Both the research question and eligibility criteria were based on the population, concept, and context framework for scoping reviews. Results: From a total of 58 papers identified, 6 (10.3%) studies were finally included (2 pilot studies, 2 technological development studies with experimental validation of a prototype, 1 mixed methods feasibility trial, and 1 survey) published between 2015 and 2023 after eliminating duplications and screening titles, abstracts, and keywords. The results suggest that the use of artificial intelligence–enabled smart glasses may contribute to improving the quality of life, independence, autonomy, motor functions, and social interactions of older adults. Conclusions: Because of the novelty of this type of digital technology, there is very little research on this topic at present. Moreover, the adoption and implementation of artificial intelligence–enabled smart glasses are conditioned by hindering factors such as data protection, the high price, and the lack of compatibility with conventional prescription glasses, as well as the lack of evaluation of their effectiveness, usability, and acceptance.</t>
        </is>
      </c>
      <c r="W83" s="4" t="inlineStr">
        <is>
          <t>title_abstract_plus_targeted_primary_source_verification</t>
        </is>
      </c>
      <c r="X83" s="4" t="inlineStr">
        <is>
          <t>doi:10.2196/81157</t>
        </is>
      </c>
      <c r="Y83" s="4" t="n"/>
      <c r="Z83" s="4" t="n"/>
      <c r="AA83" s="4" t="n"/>
      <c r="AB83" s="40" t="n"/>
    </row>
    <row r="84" ht="409" customHeight="1">
      <c r="A84" s="4" t="n">
        <v>83</v>
      </c>
      <c r="B84" s="4" t="inlineStr">
        <is>
          <t>exclude_secondary_or_nonempirical_publication</t>
        </is>
      </c>
      <c r="C84" s="4" t="inlineStr">
        <is>
          <t>Excluir: publicación secundaria/no empírica</t>
        </is>
      </c>
      <c r="D84" s="4" t="inlineStr">
        <is>
          <t>Excluded</t>
        </is>
      </c>
      <c r="E84" s="4" t="inlineStr">
        <is>
          <t>No</t>
        </is>
      </c>
      <c r="F84" s="4" t="inlineStr">
        <is>
          <t>Title/abstract screening</t>
        </is>
      </c>
      <c r="G84" s="4" t="n"/>
      <c r="H84" s="4" t="n"/>
      <c r="I84" s="4" t="n"/>
      <c r="J84" s="4" t="inlineStr">
        <is>
          <t>Revisión, metaanálisis, encuesta de literatura, protocolo, perspectiva, carta, editorial o capítulo de síntesis sin estudio primario elegible.</t>
        </is>
      </c>
      <c r="K84" s="4" t="n"/>
      <c r="L84" s="4" t="n"/>
      <c r="M84" s="4" t="n">
        <v>2026</v>
      </c>
      <c r="N84" s="4" t="inlineStr">
        <is>
          <t>Embodied Intelligence Applications in Health Care Populations: Scoping Review</t>
        </is>
      </c>
      <c r="O84" s="4" t="inlineStr">
        <is>
          <t>Wan Shu and Ying Zhou and Erhong Sun and Lei Deng and Xuchun Ye</t>
        </is>
      </c>
      <c r="P84" s="4" t="inlineStr">
        <is>
          <t>10.2196/83871</t>
        </is>
      </c>
      <c r="Q84" s="4" t="inlineStr">
        <is>
          <t>Journal of Medical Internet Research</t>
        </is>
      </c>
      <c r="R84" s="4" t="inlineStr">
        <is>
          <t>article</t>
        </is>
      </c>
      <c r="S84" s="4" t="inlineStr">
        <is>
          <t>JMIR Publications Inc.</t>
        </is>
      </c>
      <c r="T84" s="4" t="inlineStr">
        <is>
          <t>https://doi.org/10.2196/83871</t>
        </is>
      </c>
      <c r="U84" s="4" t="n"/>
      <c r="V84" s="4" t="inlineStr">
        <is>
          <t>Background: Embodied intelligence—artificial intelligence instantiated in physical or virtual bodies that can perceive, communicate, and interact with users and their environments—has been increasingly applied in health care. However, the evidence base remains fragmented because of inconsistent terminology, diverse embodiment forms, and limited synthesis of application domains, target populations, care settings, acceptability, and effectiveness. This fragmentation constrains conceptual clarity and translation into routine health care practice. Objective: This scoping review aimed to systematically map the applications of embodied intelligence in health care by classifying embodiment forms, identifying major functional domains, describing target populations and implementation settings, and synthesizing the available evidence on acceptability and effectiveness. Methods: This scoping review followed the Arksey and O’Malley framework, with enhancements by Levac et al, and was reported in accordance with the PRISMA-ScR (Preferred Reporting Items for Systematic Reviews and Meta-Analyses extension for Scoping Reviews) and PRISMA-S (Preferred Reporting Items for Systematic Reviews and Meta-Analyses literature search extension) guidelines. Seven electronic databases were searched from database inception to December 2025, supplemented by gray literature searches and backward citation screening. Eligible studies were primary empirical studies published in English or Chinese that examined embodied intelligence in health care contexts. Two reviewers independently screened records and charted data using a pilot-tested standardized form. Descriptive statistics and thematic synthesis were applied. No formal critical appraisal was conducted because the aim was to map the breadth and characteristics of the evidence base. Results: A total of 83 studies were included. Five embodiment forms were identified: virtual humanoid agents (32/83, 38.6%), physical humanoid robots (32/83, 38.6%), virtual animal-shaped agents (1/83, 1.2%), physical animal robots (13/83, 15.7%), and mechanical robots (5/83, 6%). Applications clustered into 3 functional domains: health management and health education (40/83, 48.2%), mental health promotion (37/83, 44.6%), and physiological health promotion (6/83, 7.2%). Older adults were the most frequently targeted population (45/83, 54.3%). Interventions were mainly implemented in home settings, care homes, laboratories, and hospitals. Twenty-two randomized controlled trials reported generally beneficial effects on health behaviors, mental health outcomes, or cognitive function, although outcome measures were heterogeneous. Twelve studies examined acceptability and generally reported favorable user acceptance. Conclusions: This scoping review provides the first comprehensive synthesis of embodied intelligence in health care using a unified classification of forms, functional domains, populations, and application settings. The findings indicate that embodied intelligence is most mature in “health management and health education” and “mental health promotion,” with increasing real-world deployment in home and care home settings. By consolidating fragmented evidence and standardizing terminology, this review offers a practical foundation for clinicians, nurses, and policymakers to support the implementation of embodied intelligence in routine health care. Evidence is limited by heterogeneous outcome measures, many lab-based evaluations, and the absence of formal quality appraisal, underscoring the need for standardized outcome measures, rigorous randomized controlled trials, and longitudinal evaluations to enable scalable and ethically grounded real-world adoption.</t>
        </is>
      </c>
      <c r="W84" s="4" t="inlineStr">
        <is>
          <t>title_abstract_plus_targeted_primary_source_verification</t>
        </is>
      </c>
      <c r="X84" s="4" t="inlineStr">
        <is>
          <t>doi:10.2196/83871</t>
        </is>
      </c>
      <c r="Y84" s="4" t="n"/>
      <c r="Z84" s="4" t="n"/>
      <c r="AA84" s="4" t="n"/>
      <c r="AB84" s="40" t="n"/>
    </row>
    <row r="85" ht="409" customHeight="1">
      <c r="A85" s="4" t="n">
        <v>84</v>
      </c>
      <c r="B85" s="4" t="inlineStr">
        <is>
          <t>include_after_title_abstract_screen</t>
        </is>
      </c>
      <c r="C85" s="4" t="inlineStr">
        <is>
          <t>Incluir provisionalmente</t>
        </is>
      </c>
      <c r="D85" s="4" t="inlineStr">
        <is>
          <t>Provisional include</t>
        </is>
      </c>
      <c r="E85" s="4" t="inlineStr">
        <is>
          <t>Sí</t>
        </is>
      </c>
      <c r="F85" s="4" t="inlineStr">
        <is>
          <t>Title/abstract screening</t>
        </is>
      </c>
      <c r="G85" s="4" t="n"/>
      <c r="H85" s="4" t="n"/>
      <c r="I85" s="4" t="n"/>
      <c r="J85" s="4" t="inlineStr">
        <is>
          <t>Estudio primario o implementación/evaluación empírica de IA, aprendizaje automático o modelado computacional aplicado a ASD, riesgo, caracterización, apoyo o intervención.</t>
        </is>
      </c>
      <c r="K85" s="4" t="n"/>
      <c r="L85" s="4" t="n"/>
      <c r="M85" s="4" t="n">
        <v>2026</v>
      </c>
      <c r="N85" s="4" t="inlineStr">
        <is>
          <t>Towards screening of children students with autism spectrum disorder based on executive functions with serious game and machine learning approaches</t>
        </is>
      </c>
      <c r="O85" s="4" t="inlineStr">
        <is>
          <t>Sara Raquel Araujo Leal Martins and Franciely Alves de Souza and Lucas Candeia Teixeira and Bruna Roberta Araujo Leal and Diego Marconi Pinheiro Ferreira Silva and Carlo Marcelo Revoredo da Silva</t>
        </is>
      </c>
      <c r="P85" s="4" t="inlineStr">
        <is>
          <t>10.1016/j.eswa.2025.128884</t>
        </is>
      </c>
      <c r="Q85" s="4" t="inlineStr">
        <is>
          <t>Expert Systems with Applications</t>
        </is>
      </c>
      <c r="R85" s="4" t="inlineStr">
        <is>
          <t>article</t>
        </is>
      </c>
      <c r="S85" s="4" t="inlineStr">
        <is>
          <t>Elsevier Ltd</t>
        </is>
      </c>
      <c r="T85" s="4" t="inlineStr">
        <is>
          <t>https://www.sciencedirect.com/science/article/pii/S0957417425025011</t>
        </is>
      </c>
      <c r="U85" s="4" t="n"/>
      <c r="V85" s="4" t="inlineStr">
        <is>
          <t>Educators face challenges in accommodating children with Autism Spectrum Disorder (ASD), particularly those without a definitive clinical diagnosis. Full-day schools provide a convenient setting to implement ASD screening techniques. Children diagnosed with ASD can receive customized interventions, allowing educators to customize teaching to individual needs and promote inclusive education. However, screening methods must seamlessly integrate into the educational environment, ensuring they are noninvasive and engaging. This study proposes a Serious Game (SG) tablet application that combines user requirements for inclusive design with Machine Learning (ML) techniques for screening analysis, offering a playful tool for ASD screening. This tablet application includes three classical games designed to analyze executive functions (EF) in children. We recruited three inclusive education teachers to supervise 12 children aged between 3 and 6 years old, including 6 with ASD and 6 typically developing children. The teachers also facilitated the children's use of our tablet application. Over three months, children completed 640 game matches, and preprocessing these matches resulted in a comprehensive dataset. We compared seven well-known and commonly used ML approaches: Random Forest (RF), Multilayer Perceptron (MLP), K-Nearest Neighbor (KNN), Logistic Regression (LR), Deep Learning (DL), Support Vector Machine (SVM), and Naive Bayes (NB). According to our results, the RF model performed best with an accuracy of 96 %. Our study sheds light on the integration of playful approaches based on SG and ML techniques in educational environments, laying the groundwork for future research and practical applications to screen for suspected ASD among children in school settings.</t>
        </is>
      </c>
      <c r="W85" s="4" t="inlineStr">
        <is>
          <t>title_abstract_plus_targeted_primary_source_verification</t>
        </is>
      </c>
      <c r="X85" s="4" t="inlineStr">
        <is>
          <t>doi:10.1016/j.eswa.2025.128884</t>
        </is>
      </c>
      <c r="Y85" s="4" t="n"/>
      <c r="Z85" s="4" t="n"/>
      <c r="AA85" s="4" t="n"/>
      <c r="AB85" s="40" t="n"/>
    </row>
    <row r="86" ht="409" customHeight="1">
      <c r="A86" s="4" t="n">
        <v>85</v>
      </c>
      <c r="B86" s="4" t="inlineStr">
        <is>
          <t>exclude_out_of_scope_topic_or_population</t>
        </is>
      </c>
      <c r="C86" s="4" t="inlineStr">
        <is>
          <t>Excluir: tema/población fuera de alcance</t>
        </is>
      </c>
      <c r="D86" s="4" t="inlineStr">
        <is>
          <t>Excluded</t>
        </is>
      </c>
      <c r="E86" s="4" t="inlineStr">
        <is>
          <t>No</t>
        </is>
      </c>
      <c r="F86" s="4" t="inlineStr">
        <is>
          <t>Title/abstract screening</t>
        </is>
      </c>
      <c r="G86" s="4" t="n"/>
      <c r="H86" s="4" t="n"/>
      <c r="I86" s="4" t="n"/>
      <c r="J86" s="4" t="inlineStr">
        <is>
          <t>No estudia ASD en el sentido del protocolo, usa otro significado de ASD o aborda otra población/resultado sin aplicación pertinente al proceso ASD.</t>
        </is>
      </c>
      <c r="K86" s="4" t="n"/>
      <c r="L86" s="4" t="n"/>
      <c r="M86" s="4" t="n">
        <v>2026</v>
      </c>
      <c r="N86" s="4" t="inlineStr">
        <is>
          <t>Social Media Perspectives on a Future HIV Vaccine: Mixed Methods Analysis</t>
        </is>
      </c>
      <c r="O86" s="4" t="inlineStr">
        <is>
          <t>Megan A Rabin and Sarah Penuela-Wermers and Neil K R Sehgal and Teniola I Egbe and Criswell L M Lavery and Sharath Chandra Guntuku and Alison M Buttenheim</t>
        </is>
      </c>
      <c r="P86" s="4" t="inlineStr">
        <is>
          <t>10.2196/82917</t>
        </is>
      </c>
      <c r="Q86" s="4" t="inlineStr">
        <is>
          <t>JMIR Infodemiology</t>
        </is>
      </c>
      <c r="R86" s="4" t="inlineStr">
        <is>
          <t>article</t>
        </is>
      </c>
      <c r="S86" s="4" t="inlineStr">
        <is>
          <t>JMIR Publications Inc.</t>
        </is>
      </c>
      <c r="T86" s="4" t="inlineStr">
        <is>
          <t>https://doi.org/10.2196/82917</t>
        </is>
      </c>
      <c r="U86" s="4" t="n"/>
      <c r="V86" s="4" t="inlineStr">
        <is>
          <t>Background: As the prospect of an HIV vaccine nears reality, understanding public discourse around the vaccine is essential for informing communication strategies and addressing misinformation. Social media platforms are influential spaces where public narratives form, yet little research has examined discourse around an HIV vaccine, especially on TikTok. Objective: This study aims to compare and characterize public discourse about a future HIV vaccine across Twitter (subsequently rebranded X) and TikTok, identifying prevailing themes, sentiments, and rhetorical strategies to inform public health communication. Methods: From over 400,000 tweets and 65,000 TikTok comments, we analyzed the 1000 most-liked posts on each platform using natural language processing and coded the top 500 most-liked posts for rhetorical strategies, sentiment, and themes. Results: Our findings reveal expressions of hope and trust in science on both platforms, as well as concerns about institutional corruption and conspiracy theories, such as the belief that the HIV vaccine responds to harm caused by the COVID-19 vaccine. Tweets tended to be more linguistically complex and yielded richer insights, while TikTok comments were shorter and more difficult to interpret without video context. Key rhetorical strategies included conspiracy theories, post hoc reasoning, and emotional appeals. Conclusions: This study underscores the need for platform-specific communication strategies to address misinformation and build public trust. The findings offer timely insights into emerging HIV vaccine discourse and highlight actionable opportunities for public health stakeholders to build trust and combat misinformation in advance of the vaccine rollout.</t>
        </is>
      </c>
      <c r="W86" s="4" t="inlineStr">
        <is>
          <t>title_abstract_plus_targeted_primary_source_verification</t>
        </is>
      </c>
      <c r="X86" s="4" t="inlineStr">
        <is>
          <t>doi:10.2196/82917</t>
        </is>
      </c>
      <c r="Y86" s="4" t="n"/>
      <c r="Z86" s="4" t="n"/>
      <c r="AA86" s="4" t="n"/>
      <c r="AB86" s="40" t="n"/>
    </row>
    <row r="87" ht="409" customHeight="1">
      <c r="A87" s="4" t="n">
        <v>86</v>
      </c>
      <c r="B87" s="4" t="inlineStr">
        <is>
          <t>include_after_title_abstract_screen</t>
        </is>
      </c>
      <c r="C87" s="4" t="inlineStr">
        <is>
          <t>Incluir provisionalmente</t>
        </is>
      </c>
      <c r="D87" s="4" t="inlineStr">
        <is>
          <t>Provisional include</t>
        </is>
      </c>
      <c r="E87" s="4" t="inlineStr">
        <is>
          <t>Sí</t>
        </is>
      </c>
      <c r="F87" s="4" t="inlineStr">
        <is>
          <t>Title/abstract screening</t>
        </is>
      </c>
      <c r="G87" s="4" t="n"/>
      <c r="H87" s="4" t="n"/>
      <c r="I87" s="4" t="n"/>
      <c r="J87" s="4" t="inlineStr">
        <is>
          <t>Estudio primario o implementación/evaluación empírica de IA, aprendizaje automático o modelado computacional aplicado a ASD, riesgo, caracterización, apoyo o intervención.</t>
        </is>
      </c>
      <c r="K87" s="4" t="n"/>
      <c r="L87" s="4" t="n"/>
      <c r="M87" s="4" t="n">
        <v>2025</v>
      </c>
      <c r="N87" s="4" t="inlineStr">
        <is>
          <t>Optimized attention-enhanced U-Net for autism detection and region localization in MRI</t>
        </is>
      </c>
      <c r="O87" s="4" t="inlineStr">
        <is>
          <t>Venkata Ratna Prabha K. and Chinni Hima Bindu and K Rama Devi</t>
        </is>
      </c>
      <c r="P87" s="4" t="inlineStr">
        <is>
          <t>10.1016/j.pscychresns.2025.111970</t>
        </is>
      </c>
      <c r="Q87" s="4" t="inlineStr">
        <is>
          <t>Psychiatry Research - Neuroimaging</t>
        </is>
      </c>
      <c r="R87" s="4" t="inlineStr">
        <is>
          <t>article</t>
        </is>
      </c>
      <c r="S87" s="4" t="inlineStr">
        <is>
          <t>Elsevier Ireland Ltd</t>
        </is>
      </c>
      <c r="T87" s="4" t="inlineStr">
        <is>
          <t>https://www.sciencedirect.com/science/article/pii/S0925492725000253</t>
        </is>
      </c>
      <c r="U87" s="4" t="n"/>
      <c r="V87" s="4" t="inlineStr">
        <is>
          <t>Autism spectrum disorder (ASD) is a neurodevelopmental condition that affects a child's cognitive and social skills, often diagnosed only after symptoms appear around age 2. Leveraging MRI for early ASD detection can improve intervention outcomes. This study proposes a framework for autism detection and region localization using an optimized deep learning approach with attention mechanisms. The pipeline includes MRI image collection, pre-processing (bias field correction, histogram equalization, artifact removal, and non-local mean filtering), and autism classification with a Symmetric Structured MobileNet with Attention Mechanism (SSM-AM). Enhanced by Refreshing Awareness-aided Election-Based Optimization (RA-EBO), SSM-AM achieves robust classification. Abnormality region localization utilizes a Multiscale Dilated Attention-based Adaptive U-Net (MDA-AUnet) further optimized by RA-EBO. Experimental results demonstrate that our proposed model outperforms existing methods, achieving an accuracy of 97.29%, sensitivity of 97.27%, specificity of 97.36%, and precision of 98.98%, significantly improving classification and localization performance. These results highlight the potential of our approach for early ASD diagnosis and targeted interventions. The datasets utilized for this work are publicly available at https://fcon_1000.projects.nitrc.org/indi/abide/.</t>
        </is>
      </c>
      <c r="W87" s="4" t="inlineStr">
        <is>
          <t>title_abstract_plus_targeted_primary_source_verification</t>
        </is>
      </c>
      <c r="X87" s="4" t="inlineStr">
        <is>
          <t>doi:10.1016/j.pscychresns.2025.111970</t>
        </is>
      </c>
      <c r="Y87" s="4" t="n"/>
      <c r="Z87" s="4" t="n"/>
      <c r="AA87" s="4" t="n"/>
      <c r="AB87" s="40" t="n"/>
    </row>
    <row r="88" ht="409" customHeight="1">
      <c r="A88" s="4" t="n">
        <v>87</v>
      </c>
      <c r="B88" s="4" t="inlineStr">
        <is>
          <t>exclude_out_of_scope_topic_or_population</t>
        </is>
      </c>
      <c r="C88" s="4" t="inlineStr">
        <is>
          <t>Excluir: tema/población fuera de alcance</t>
        </is>
      </c>
      <c r="D88" s="4" t="inlineStr">
        <is>
          <t>Excluded</t>
        </is>
      </c>
      <c r="E88" s="4" t="inlineStr">
        <is>
          <t>No</t>
        </is>
      </c>
      <c r="F88" s="4" t="inlineStr">
        <is>
          <t>Title/abstract screening</t>
        </is>
      </c>
      <c r="G88" s="4" t="n"/>
      <c r="H88" s="4" t="n"/>
      <c r="I88" s="4" t="n"/>
      <c r="J88" s="4" t="inlineStr">
        <is>
          <t>No estudia ASD en el sentido del protocolo, usa otro significado de ASD o aborda otra población/resultado sin aplicación pertinente al proceso ASD.</t>
        </is>
      </c>
      <c r="K88" s="4" t="n"/>
      <c r="L88" s="4" t="n"/>
      <c r="M88" s="4" t="n">
        <v>2026</v>
      </c>
      <c r="N88" s="4" t="inlineStr">
        <is>
          <t>Multimodal Virtual Reality Assessment of Medication Effects in Attention-Deficit/Hyperactivity Disorder and Its Distinction From Depression: Cross-Sectional Study</t>
        </is>
      </c>
      <c r="O88" s="4" t="inlineStr">
        <is>
          <t>Laura Asché and Julian Pakos and Hannah Schrage and Johanna Schuder and Luisa Jung and Dario Sanchez and Benjamin Selaskowski and Annika Wiebe and Alexandra Philipsen and Niclas Braun</t>
        </is>
      </c>
      <c r="P88" s="4" t="inlineStr">
        <is>
          <t>10.2196/85351</t>
        </is>
      </c>
      <c r="Q88" s="4" t="inlineStr">
        <is>
          <t>JMIR Human Factors</t>
        </is>
      </c>
      <c r="R88" s="4" t="inlineStr">
        <is>
          <t>article</t>
        </is>
      </c>
      <c r="S88" s="4" t="inlineStr">
        <is>
          <t>JMIR Publications Inc.</t>
        </is>
      </c>
      <c r="T88" s="4" t="inlineStr">
        <is>
          <t>https://doi.org/10.2196/85351</t>
        </is>
      </c>
      <c r="U88" s="4" t="n"/>
      <c r="V88" s="4" t="inlineStr">
        <is>
          <t>Background: Over the past 2 decades, virtual reality–based neuropsychological tasks have gained traction as tools for objectively assessing symptoms of attention-deficit/hyperactivity disorder (ADHD), offering enhanced ecological validity by simulating naturalistic environments. To complement realistic settings with an ecologically valid task, we recently developed the virtual email sorting task (VEST), which immerses participants into an office environment where they sort emails while being exposed to distractors. Objective: This study examined for the first time the VEST’s sensitivity to medication effects and its specificity in differentiating ADHD from other psychiatric disorders that share overlapping cognitive symptoms, such as major depressive disorder (MDD). Methods: A total of 23 unmedicated individuals with ADHD, 23 medicated individuals with ADHD, and 16 unmedicated individuals with MDD completed the VEST. During alternating distractor phases (DP) and nondistractor phases (NDP), we recorded the participants’ task performance; head, torso, and leg actigraphy; eye movements; and brain activity using functional near-infrared spectroscopy (fNIRS), and subjective symptom ratings. Correlational analyses of main objective and subjective task-related parameters were computed. Data were analyzed using mixed-design ANOVAs. Results: Processing time variability increased over time in participants with MDD and unmedicated ADHD as indicated by a group × block interaction (P=.04; η2p=0.10), while a group × phase interaction (P=.009; η2p=0.15) revealed that medicated participants with ADHD showed an increase during DP compared to NDP. Moreover, both ADHD groups exhibited increased head movements during DP compared to NDP (trend group × phase interaction: P=.09; η2p=0.08), an effect not observed in the MDD group, and higher rotation during DP in unmedicated individuals with ADHD (P&lt;.001; η2p=0.23). Also, scores in 3 out of 4 subjective symptom intensity ratings of inattention, impulsivity, and emotional dysregulation were higher in at least 1 of the ADHD groups compared to the MDD group. No significant group differences were found in actigraphy measures of the arm and torso, fNIRS brain activity, or eye-tracking data. Regarding correlational analyses, inattention was correlated to off-task gaze (r=0.28; P=.03), hyperactivity with mean processing time (r=0.33; P=.01) and head movement (r=0.35; P=.006), and impulsivity with error rate (r=0.35; P=.006), and various significant correlations between objective parameters were found. Conclusions: Our findings highlight the potential of the VEST to differentiate between ADHD and MDD, as well as to detect medication-related effects within ADHD. The results underscore the value of multimodal and ecological assessment approaches with distractors in the evaluation of attentional and behavioral symptoms. The VEST may offer a standardized way to investigate complex behavior in mental disorders in research settings and, potentially, in clinical practice. However, further studies with greater statistical power are needed to confirm these findings.</t>
        </is>
      </c>
      <c r="W88" s="4" t="inlineStr">
        <is>
          <t>title_abstract_plus_targeted_primary_source_verification</t>
        </is>
      </c>
      <c r="X88" s="4" t="inlineStr">
        <is>
          <t>doi:10.2196/85351</t>
        </is>
      </c>
      <c r="Y88" s="4" t="n"/>
      <c r="Z88" s="4" t="n"/>
      <c r="AA88" s="4" t="n"/>
      <c r="AB88" s="40" t="n"/>
    </row>
    <row r="89" ht="409" customHeight="1">
      <c r="A89" s="4" t="n">
        <v>88</v>
      </c>
      <c r="B89" s="4" t="inlineStr">
        <is>
          <t>exclude_out_of_scope_topic_or_population</t>
        </is>
      </c>
      <c r="C89" s="4" t="inlineStr">
        <is>
          <t>Excluir: tema/población fuera de alcance</t>
        </is>
      </c>
      <c r="D89" s="4" t="inlineStr">
        <is>
          <t>Excluded</t>
        </is>
      </c>
      <c r="E89" s="4" t="inlineStr">
        <is>
          <t>No</t>
        </is>
      </c>
      <c r="F89" s="4" t="inlineStr">
        <is>
          <t>Title/abstract screening</t>
        </is>
      </c>
      <c r="G89" s="4" t="n"/>
      <c r="H89" s="4" t="n"/>
      <c r="I89" s="4" t="n"/>
      <c r="J89" s="4" t="inlineStr">
        <is>
          <t>No estudia ASD en el sentido del protocolo, usa otro significado de ASD o aborda otra población/resultado sin aplicación pertinente al proceso ASD.</t>
        </is>
      </c>
      <c r="K89" s="4" t="n"/>
      <c r="L89" s="4" t="n"/>
      <c r="M89" s="4" t="n">
        <v>2025</v>
      </c>
      <c r="N89" s="4" t="inlineStr">
        <is>
          <t>Severity of autism-related symptoms in treatment-resistant schizophrenia: associations with cognitive performance, psychosocial functioning, and neurological soft signs — Clinical evidence and ROC analysis</t>
        </is>
      </c>
      <c r="O89" s="4" t="inlineStr">
        <is>
          <t>Licia Vellucci and Annarita Barone and Elisabetta Filomena Buonaguro and Mariateresa Ciccarelli and Giuseppe De Simone and Federica Iannotta and Marta Matrone and Benedetta Mazza and Roberto Vitelli and Andrea de Bartolomeis and Felice Iasevoli</t>
        </is>
      </c>
      <c r="P89" s="4" t="inlineStr">
        <is>
          <t>10.1016/j.jpsychires.2025.03.040</t>
        </is>
      </c>
      <c r="Q89" s="4" t="inlineStr">
        <is>
          <t>Journal of Psychiatric Research</t>
        </is>
      </c>
      <c r="R89" s="4" t="inlineStr">
        <is>
          <t>article</t>
        </is>
      </c>
      <c r="S89" s="4" t="inlineStr">
        <is>
          <t>Elsevier Ltd</t>
        </is>
      </c>
      <c r="T89" s="4" t="inlineStr">
        <is>
          <t>https://www.sciencedirect.com/science/article/pii/S0022395625001943</t>
        </is>
      </c>
      <c r="U89" s="4" t="n"/>
      <c r="V89" s="4" t="inlineStr">
        <is>
          <t>Treatment-resistant schizophrenia (TRS) occurs when symptoms persist despite adequate antipsychotic treatment in terms of both timing and dosage. This severe condition is often overlooked, despite the existence of guidelines, with an average delay of 4–9 years before the introduction of clozapine, the gold standard treatment. We hypothesized that schizophrenia patients with severe autistic symptoms are more prone to develop TRS. To test this, we administered the Positive and Negative Syndrome Scale for Schizophrenia Autism Severity Scale (PAUSS) to 117 patients diagnosed with schizophrenia. Our results revealed that both TRS and clozapine non-responder (CLZ-nR) groups had higher rates of autistic symptoms than non-TRS patients. A machine learning model was developed to examine the relationship between PAUSS scores and TRS, obtaining an accuracy of 0.65 and an AUC of 0.67. Specifically, PAUSS items N6 (“lack of spontaneity and flow of conversation”) and N7 (“stereotypical thinking”) emerged as the most significant factors in the model. In addition, PAUSS was correlated with cognitive and social functions, as well as soft neurological signs, in TRS patients. Autism-related symptoms were found to predict significant variance in motor coordination, verbal fluency, functional ability and soft neurological signs. These results suggest that autism-related symptoms in schizophrenia may define a distinct subgroup with unique neurobiological characteristics.</t>
        </is>
      </c>
      <c r="W89" s="4" t="inlineStr">
        <is>
          <t>title_abstract_plus_targeted_primary_source_verification</t>
        </is>
      </c>
      <c r="X89" s="4" t="inlineStr">
        <is>
          <t>doi:10.1016/j.jpsychires.2025.03.040</t>
        </is>
      </c>
      <c r="Y89" s="4" t="n"/>
      <c r="Z89" s="4" t="n"/>
      <c r="AA89" s="4" t="n"/>
      <c r="AB89" s="40" t="n"/>
    </row>
    <row r="90" ht="409" customHeight="1">
      <c r="A90" s="4" t="n">
        <v>89</v>
      </c>
      <c r="B90" s="4" t="inlineStr">
        <is>
          <t>exclude_out_of_scope_topic_or_population</t>
        </is>
      </c>
      <c r="C90" s="4" t="inlineStr">
        <is>
          <t>Excluir: tema/población fuera de alcance</t>
        </is>
      </c>
      <c r="D90" s="4" t="inlineStr">
        <is>
          <t>Excluded</t>
        </is>
      </c>
      <c r="E90" s="4" t="inlineStr">
        <is>
          <t>No</t>
        </is>
      </c>
      <c r="F90" s="4" t="inlineStr">
        <is>
          <t>Title/abstract screening</t>
        </is>
      </c>
      <c r="G90" s="4" t="n"/>
      <c r="H90" s="4" t="n"/>
      <c r="I90" s="4" t="n"/>
      <c r="J90" s="4" t="inlineStr">
        <is>
          <t>No estudia ASD en el sentido del protocolo, usa otro significado de ASD o aborda otra población/resultado sin aplicación pertinente al proceso ASD.</t>
        </is>
      </c>
      <c r="K90" s="4" t="n"/>
      <c r="L90" s="4" t="n"/>
      <c r="M90" s="4" t="n">
        <v>2026</v>
      </c>
      <c r="N90" s="4" t="inlineStr">
        <is>
          <t>Stakeholder Perspectives on Humanistic Implementation of Computer Perception in Health Care: Qualitative Study</t>
        </is>
      </c>
      <c r="O90" s="4" t="inlineStr">
        <is>
          <t>Kristin M Kostick-Quenet and Meghan E Hurley and Syed Ayaz and John D Herrington and Casey J Zampella and Julia Parish-Morris and Birkan Tunç and Gabriel Lázaro-Muñoz and Jennifer Blumenthal-Barby and Eric A Storch</t>
        </is>
      </c>
      <c r="P90" s="4" t="inlineStr">
        <is>
          <t>10.2196/79182</t>
        </is>
      </c>
      <c r="Q90" s="4" t="inlineStr">
        <is>
          <t>JMIR Mental Health</t>
        </is>
      </c>
      <c r="R90" s="4" t="inlineStr">
        <is>
          <t>article</t>
        </is>
      </c>
      <c r="S90" s="4" t="inlineStr">
        <is>
          <t>JMIR Publications Inc.</t>
        </is>
      </c>
      <c r="T90" s="4" t="inlineStr">
        <is>
          <t>https://doi.org/10.2196/79182</t>
        </is>
      </c>
      <c r="U90" s="4" t="n"/>
      <c r="V90" s="4" t="inlineStr">
        <is>
          <t>Background: Computer perception (CP) technologies-including digital phenotyping, affective computing, and related passive sensing approaches-offer unprecedented opportunities to personalize health care, especially mental health care, yet they also provoke concerns about privacy, bias, and the erosion of empathic, relationship-centered practice. At present, it remains elusive what stakeholders who design, deploy, and experience these tools in real-world settings perceive as the risks and benefits of CP technologies. Objective: This study aims to explore key stakeholder perspectives on the potential benefits, risks, and concerns associated with integrating CP technologies into patient care. A better understanding of these concerns is crucial for responding to and mitigating such concerns via design implementation strategies that augment, rather than compromise, patient-centered and humanistic care and associated outcomes. Methods: We conducted in-depth, semistructured interviews with 102 stakeholders involved at key points in CP's development and implementation: adolescent patients (n=20) and their caregivers (n=20); frontline clinicians (n=20); technology developers (n=21); and ethics, legal, policy, or philosophy scholars (n=21). Interviews (∼45 minutes each) explored perceived benefits, risks, and implementation challenges of CP in clinical care. Transcripts underwent thematic analysis by a multidisciplinary team; reliability was enhanced through double coding and consensus adjudication. Results: Stakeholders raised concerns across 7 themes: (1) Data Privacy and Protection (88/102, 86.3%); (2) Trustworthiness and Integrity of CP Technologies (72/102, 70.6%); (3) direct and indirect Patient Harms (65/102, 63.7%); (4) Utility and Implementation Challenges (60/102, 58.8%); (5) Patient-Specific Relevance (24/102, 23.5%); (6) Regulation and Governance (17/102, 16.7%); and (7) Philosophical Critiques of reductionism (13/102, 12.7%). A cross-cutting insight was the primacy of context and subjective meaning in determining whether CP outputs are clinically valid and actionable. Participants warned that without attention to these factors, algorithms risk misclassification and dehumanization of care. Conclusions: To operationalize humanistic safeguards, we propose "personalized road maps": co-designed plans that predetermine which metrics will be monitored, how and when feedback is shared, thresholds for clinical action, and procedures for reconciling discrepancies between algorithmic inferences and lived experience. Road maps embed patient education, dynamic consent, and tailored feedback, thereby aligning CP deployment with patient autonomy, therapeutic alliance, and ethical transparency. This multistakeholder study provides the first comprehensive, evidence-based account of relational, technical, and governance challenges raised by CP tools in clinical care. By translating these insights into personalized road maps, we offer a practical framework for developers, clinicians, and policy makers seeking to harness continuous behavioral data while preserving the humanistic core of care.</t>
        </is>
      </c>
      <c r="W90" s="4" t="inlineStr">
        <is>
          <t>title_abstract_plus_targeted_primary_source_verification</t>
        </is>
      </c>
      <c r="X90" s="4" t="inlineStr">
        <is>
          <t>doi:10.2196/79182</t>
        </is>
      </c>
      <c r="Y90" s="4" t="n"/>
      <c r="Z90" s="4" t="n"/>
      <c r="AA90" s="4" t="n"/>
      <c r="AB90" s="40" t="n"/>
    </row>
    <row r="91" ht="409" customHeight="1">
      <c r="A91" s="4" t="n">
        <v>90</v>
      </c>
      <c r="B91" s="4" t="inlineStr">
        <is>
          <t>exclude_no_qualifying_ai_application</t>
        </is>
      </c>
      <c r="C91" s="4" t="inlineStr">
        <is>
          <t>Excluir: sin aplicación de IA elegible</t>
        </is>
      </c>
      <c r="D91" s="4" t="inlineStr">
        <is>
          <t>Excluded</t>
        </is>
      </c>
      <c r="E91" s="4" t="inlineStr">
        <is>
          <t>No</t>
        </is>
      </c>
      <c r="F91" s="4" t="inlineStr">
        <is>
          <t>Title/abstract screening</t>
        </is>
      </c>
      <c r="G91" s="4" t="n"/>
      <c r="H91" s="4" t="n"/>
      <c r="I91" s="4" t="n"/>
      <c r="J91" s="4" t="inlineStr">
        <is>
          <t>El trabajo no implementa ni evalúa una técnica de IA/ML como componente sustantivo del estudio de ASD.</t>
        </is>
      </c>
      <c r="K91" s="4" t="n"/>
      <c r="L91" s="4" t="n"/>
      <c r="M91" s="4" t="n">
        <v>2025</v>
      </c>
      <c r="N91" s="4" t="inlineStr">
        <is>
          <t>Assessing the impact of Transcranial Direct Current Stimulation (tDCS) over the dorsolateral prefrontal cortex on social communication in children and adolescents with Autism Spectrum Disorder (ASD)</t>
        </is>
      </c>
      <c r="O91" s="4" t="inlineStr">
        <is>
          <t>Alptekin Aydin and Ali YILDIRIM</t>
        </is>
      </c>
      <c r="P91" s="4" t="inlineStr">
        <is>
          <t>10.1016/j.ridd.2025.104958</t>
        </is>
      </c>
      <c r="Q91" s="4" t="inlineStr">
        <is>
          <t>Research in Developmental Disabilities</t>
        </is>
      </c>
      <c r="R91" s="4" t="inlineStr">
        <is>
          <t>article</t>
        </is>
      </c>
      <c r="S91" s="4" t="inlineStr">
        <is>
          <t>Elsevier Inc.</t>
        </is>
      </c>
      <c r="T91" s="4" t="inlineStr">
        <is>
          <t>https://www.sciencedirect.com/science/article/pii/S0891422225000423</t>
        </is>
      </c>
      <c r="U91" s="4" t="n"/>
      <c r="V91" s="4" t="inlineStr">
        <is>
          <t>Introduction: Autism Spectrum Disorder (ASD) is characterized by persistent difficulties in social communication and behavior regulation. Although behavioral and pharmacological interventions exist, many yield limited improvements in these core areas. Transcranial Direct Current Stimulation (tDCS), a non-invasive neuromodulation technique, has shown potential for enhancing social and cognitive functions in individuals with ASD. This study evaluated the impact of tDCS, applied over the Dorsolateral Prefrontal Cortex (DLPFC), on social communication and behavioral outcomes in children and adolescents with ASD. Materials and methods: Two hundred sixty-five participants (3–18 years) with clinically confirmed ASD diagnoses (including ADOS-2 assessments) received a four-week course of tDCS over the DLPFC. Outcome measures included the Social Responsiveness Scale (SRS-2), the Autism Diagnostic Observation Schedule (ADOS-2), and the Aberrant Behavior Checklist (ABC). Family perceptions were explored through semi-structured interviews. Quantitative data were analyzed using paired t-tests and ANOVA, and qualitative data were examined via thematic analysis. No sham or control group was included. Results: Participants exhibited significant improvements in verbal and non-verbal communication (e.g., vocabulary, eye contact, gesture use), as well as reductions in repetitive behaviors and emotional dysregulation. Families reported decreased parental stress and enhanced family interactions, underscoring the intervention's feasibility and acceptability. Conclusion: tDCS over the DLPFC shows promise as an adjunctive intervention to improve social communication and behavioral outcomes in children and adolescents with ASD. However, the absence of a control group and the short duration of follow-up limit causal inferences. Further randomized, controlled, and longitudinal studies are needed to confirm these preliminary findings and determine their long-term clinical relevance.</t>
        </is>
      </c>
      <c r="W91" s="4" t="inlineStr">
        <is>
          <t>title_abstract_plus_targeted_primary_source_verification</t>
        </is>
      </c>
      <c r="X91" s="4" t="inlineStr">
        <is>
          <t>doi:10.1016/j.ridd.2025.104958</t>
        </is>
      </c>
      <c r="Y91" s="4" t="n"/>
      <c r="Z91" s="4" t="n"/>
      <c r="AA91" s="4" t="n"/>
      <c r="AB91" s="40" t="n"/>
    </row>
    <row r="92" ht="409" customHeight="1">
      <c r="A92" s="4" t="n">
        <v>91</v>
      </c>
      <c r="B92" s="4" t="inlineStr">
        <is>
          <t>exclude_out_of_scope_topic_or_population</t>
        </is>
      </c>
      <c r="C92" s="4" t="inlineStr">
        <is>
          <t>Excluir: tema/población fuera de alcance</t>
        </is>
      </c>
      <c r="D92" s="4" t="inlineStr">
        <is>
          <t>Excluded</t>
        </is>
      </c>
      <c r="E92" s="4" t="inlineStr">
        <is>
          <t>No</t>
        </is>
      </c>
      <c r="F92" s="4" t="inlineStr">
        <is>
          <t>Title/abstract screening</t>
        </is>
      </c>
      <c r="G92" s="4" t="n"/>
      <c r="H92" s="4" t="n"/>
      <c r="I92" s="4" t="n"/>
      <c r="J92" s="4" t="inlineStr">
        <is>
          <t>No estudia ASD en el sentido del protocolo, usa otro significado de ASD o aborda otra población/resultado sin aplicación pertinente al proceso ASD.</t>
        </is>
      </c>
      <c r="K92" s="4" t="n"/>
      <c r="L92" s="4" t="n"/>
      <c r="M92" s="4" t="n">
        <v>2026</v>
      </c>
      <c r="N92" s="4" t="inlineStr">
        <is>
          <t>Effects of an Eye-Tracking Digital Serious Game on Cognitive Function in Mild Cognitive Impairment: Pilot Intervention Study</t>
        </is>
      </c>
      <c r="O92" s="4" t="inlineStr">
        <is>
          <t>Sang Woo Lee and Jun Su Kim and Seung Jae Kim and Seungho Choun and Jeong Heon Song</t>
        </is>
      </c>
      <c r="P92" s="4" t="inlineStr">
        <is>
          <t>10.2196/88924</t>
        </is>
      </c>
      <c r="Q92" s="4" t="inlineStr">
        <is>
          <t>JMIR Formative Research</t>
        </is>
      </c>
      <c r="R92" s="4" t="inlineStr">
        <is>
          <t>article</t>
        </is>
      </c>
      <c r="S92" s="4" t="inlineStr">
        <is>
          <t>JMIR Publications Inc.</t>
        </is>
      </c>
      <c r="T92" s="4" t="inlineStr">
        <is>
          <t>https://doi.org/10.2196/88924</t>
        </is>
      </c>
      <c r="U92" s="4" t="n"/>
      <c r="V92" s="4" t="inlineStr">
        <is>
          <t>Background: Cognitive decline in aging populations underscores the need for early interventions in mild cognitive impairment (MCI), where pharmacological treatments show limited benefit. Eye-movement metrics serve as sensitive markers of cognitive deficits in MCI, and digital programs integrating these tasks offer scalable, data-driven training approaches. Objective: This study aimed to evaluate the effectiveness of a digital cognitive training program incorporating eye-movement tasks in individuals with MCI, and to determine whether eye-movement indicators can serve as objective markers of cognitive improvement. Methods: A total of 12 participants aged 60-85 years with MCI (Korean version of the Montreal Cognitive Assessment [K-MoCA] score of ≤22) completed baseline and postintervention assessments using the K-MoCA and Mini-Mental State Examination-Korean version (MMSE-K). Longitudinal changes in visuospatial attention and oculomotor performance were examined using Spearman correlations across sessions, and pre-post comparisons of eye-tracking metrics were conducted to assess training-related improvements. Results: Cognitive scores improved significantly, with K-MoCA increasing by 1.5 points (from mean 20.3, SD 1.1 to mean 21.8, SD 1.7; P=.004; Cohen d=1.38) and MMSE-K by 1.3 points (from mean 21.9, SD 2.0 to mean 23.2, SD 2.2; P=.002; Cohen d=1.29). Fixation duration decreased (r=0.248; P=.003), and saccade velocity increased (r=0.258; P=.002), indicating enhanced visual processing efficiency and faster attentional shifts, whereas fixation count and saccade amplitude showed no consistent changes. In addition, saccade duration decreased by 21.72 ms, and saccade velocity increased by 114.54 °/s. Conclusions: Digital cognitive training yielded measurable gains in visuospatial attention and oculomotor efficiency in MCI, with optimized fixation and saccade patterns indicating enhanced attentional control and information processing. These findings support eye-movement metrics as sensitive indicators of cognitive change and highlight digital interventions as scalable, noninvasive tools for cognitive support in aging populations.</t>
        </is>
      </c>
      <c r="W92" s="4" t="inlineStr">
        <is>
          <t>title_abstract_plus_targeted_primary_source_verification</t>
        </is>
      </c>
      <c r="X92" s="4" t="inlineStr">
        <is>
          <t>doi:10.2196/88924</t>
        </is>
      </c>
      <c r="Y92" s="4" t="n"/>
      <c r="Z92" s="4" t="n"/>
      <c r="AA92" s="4" t="n"/>
      <c r="AB92" s="40" t="n"/>
    </row>
    <row r="93" ht="409" customHeight="1">
      <c r="A93" s="4" t="n">
        <v>92</v>
      </c>
      <c r="B93" s="4" t="inlineStr">
        <is>
          <t>include_after_title_abstract_screen</t>
        </is>
      </c>
      <c r="C93" s="4" t="inlineStr">
        <is>
          <t>Incluir provisionalmente</t>
        </is>
      </c>
      <c r="D93" s="4" t="inlineStr">
        <is>
          <t>Provisional include</t>
        </is>
      </c>
      <c r="E93" s="4" t="inlineStr">
        <is>
          <t>Sí</t>
        </is>
      </c>
      <c r="F93" s="4" t="inlineStr">
        <is>
          <t>Title/abstract screening</t>
        </is>
      </c>
      <c r="G93" s="4" t="n"/>
      <c r="H93" s="4" t="n"/>
      <c r="I93" s="4" t="n"/>
      <c r="J93" s="4" t="inlineStr">
        <is>
          <t>Estudio primario o implementación/evaluación empírica de IA, aprendizaje automático o modelado computacional aplicado a ASD, riesgo, caracterización, apoyo o intervención.</t>
        </is>
      </c>
      <c r="K93" s="4" t="n"/>
      <c r="L93" s="4" t="n"/>
      <c r="M93" s="4" t="n">
        <v>2025</v>
      </c>
      <c r="N93" s="4" t="inlineStr">
        <is>
          <t>Data independent acquisition proteomics and machine learning reveals that proteins associated with immunity are potential molecular markers for early diagnosis of autism</t>
        </is>
      </c>
      <c r="O93" s="4" t="inlineStr">
        <is>
          <t>Erlin Hu and Xiaoni Kuang and Sun Zhaohui and Sifeng Wang and Tuoyu Gan and Wenjuan zhou and Zhu Ming and Yuxia Cheng and Chunhua Ye and Kang Yan and Xiaohui Gong and Tuanmei Wang and Xiangwen Peng</t>
        </is>
      </c>
      <c r="P93" s="4" t="inlineStr">
        <is>
          <t>10.1016/j.cca.2025.120238</t>
        </is>
      </c>
      <c r="Q93" s="4" t="inlineStr">
        <is>
          <t>Clinica Chimica Acta</t>
        </is>
      </c>
      <c r="R93" s="4" t="inlineStr">
        <is>
          <t>article</t>
        </is>
      </c>
      <c r="S93" s="4" t="inlineStr">
        <is>
          <t>Elsevier B.V.</t>
        </is>
      </c>
      <c r="T93" s="4" t="inlineStr">
        <is>
          <t>https://www.sciencedirect.com/science/article/pii/S0009898125001172</t>
        </is>
      </c>
      <c r="U93" s="4" t="n"/>
      <c r="V93" s="4" t="inlineStr">
        <is>
          <t>Background: Early diagnosis of autism is critical to its treatment, but so far, there is no clear molecular marker for early diagnosis in children. Methods: We used data independent acquisition (DIA) mass spectrometry to compare protein expression in serum from 99 Chinese children with autism spectrum disorders with 70 healthy children. Results: We identified 347 downregulated and 394 upregulated proteins. Based on bioinformatics analysis, differential proteins were enriched in the immune system, immune disease, cell motility, and focal adhesion. Machine learning revealed a model with eight proteins (IGH c1898_heavy_IGHV3-33_IGHD3-9_IGHJ4, LYZ, IGL c1860_light_IGLV8-61_IGLJ2, SERPINA10, IG c1421_light_IGKV1-27_IGKJ4, rheumatoid factor RF-ET1, IGL c600_light_IGKV4-1_IGKJ4, and SELL) that were mostly associated with immunity, and accurate for diagnosis of autism. The protein family was verified by a logic-regression leave-one cross-validation method with bidirectional feature screening. The accuracy of this model was 0.9527, and the kappa coefficient was 0.9025. Conclusions: Our study showed that immunity is closely related to the onset of autism and can be used for early screening of patients. A model with eight proteins (IGH c1898_heavy_IGHV3-33_IGHD3-9_IGHJ4, LYZ, IGL c1860_light_IGLV8-61_IGLJ2, SERPINA10, IG c1421_light_IGKV1-27_IGKJ4, rheumatoid factor RF-ET1, IGL c600_light_IGKV4-1_IGKJ4, and SELL), which are mostly associated with immunity, is accurate for diagnosis of autism.</t>
        </is>
      </c>
      <c r="W93" s="4" t="inlineStr">
        <is>
          <t>title_abstract_plus_targeted_primary_source_verification</t>
        </is>
      </c>
      <c r="X93" s="4" t="inlineStr">
        <is>
          <t>doi:10.1016/j.cca.2025.120238</t>
        </is>
      </c>
      <c r="Y93" s="4" t="n"/>
      <c r="Z93" s="4" t="n"/>
      <c r="AA93" s="4" t="n"/>
      <c r="AB93" s="40" t="n"/>
    </row>
    <row r="94" ht="409" customHeight="1">
      <c r="A94" s="4" t="n">
        <v>93</v>
      </c>
      <c r="B94" s="4" t="inlineStr">
        <is>
          <t>include_after_full_text_open_access</t>
        </is>
      </c>
      <c r="C94" s="4" t="inlineStr">
        <is>
          <t>Incluir tras revisión de texto completo abierto</t>
        </is>
      </c>
      <c r="D94" s="4" t="inlineStr">
        <is>
          <t>Provisional include</t>
        </is>
      </c>
      <c r="E94" s="4" t="inlineStr">
        <is>
          <t>Sí</t>
        </is>
      </c>
      <c r="F94" s="4" t="inlineStr">
        <is>
          <t>Full-text review</t>
        </is>
      </c>
      <c r="G94" s="4" t="n"/>
      <c r="H94" s="4" t="n"/>
      <c r="I94" s="4" t="n"/>
      <c r="J94" s="4" t="inlineStr">
        <is>
          <t>Texto completo confirma estudio primario con Deep Learning aplicado a ASD (Clinical reasoning classification and explanation).</t>
        </is>
      </c>
      <c r="K94" s="4" t="n"/>
      <c r="L94" s="4" t="n"/>
      <c r="M94" s="4" t="n">
        <v>2025</v>
      </c>
      <c r="N94" s="4" t="inlineStr">
        <is>
          <t>Large language models deconstruct the clinical intuition behind diagnosing autism</t>
        </is>
      </c>
      <c r="O94" s="4" t="inlineStr">
        <is>
          <t>Jack Stanley and Emmett Rabot and Siva Reddy and Eugene Belilovsky and Laurent Mottron and Danilo Bzdok</t>
        </is>
      </c>
      <c r="P94" s="4" t="inlineStr">
        <is>
          <t>10.1016/j.cell.2025.02.025</t>
        </is>
      </c>
      <c r="Q94" s="4" t="inlineStr">
        <is>
          <t>Cell</t>
        </is>
      </c>
      <c r="R94" s="4" t="inlineStr">
        <is>
          <t>article</t>
        </is>
      </c>
      <c r="S94" s="4" t="inlineStr">
        <is>
          <t>Elsevier B.V.</t>
        </is>
      </c>
      <c r="T94" s="4" t="inlineStr">
        <is>
          <t>https://doi.org/10.1016/j.cell.2025.02.025</t>
        </is>
      </c>
      <c r="U94" s="4" t="inlineStr">
        <is>
          <t>Texto completo abierto revisado; evidencia y codificación en Extraccion_RQ_nuevos.</t>
        </is>
      </c>
      <c r="V94" s="4" t="inlineStr">
        <is>
          <t>Efforts to use genome-wide assays or brain scans to diagnose autism have seen diminishing returns. Yet the clinical intuition of healthcare professionals, based on longstanding first-hand experience, remains the gold standard for diagnosis of autism. We leveraged deep learning to deconstruct and interrogate the logic of expert clinician intuition from clinical reports to inform our understanding of autism. After pre-training on hundreds of millions of general sentences, we finessed large language models (LLMs) on &gt;4,000 free-form health records from healthcare professionals to distinguish confirmed versus suspected autism cases. By introducing an explainability strategy, our extended language model architecture could pin down the most salient single sentences in what drives clinical thinking toward correct diagnoses. Our framework flagged the most autism-critical DSM-5 criteria to be stereotyped repetitive behaviors, special interests, and perception-based behaviors, which challenges today's focus on deficits in social interplay, suggesting necessary revision of long-trusted diagnostic criteria in gold-standard instruments.</t>
        </is>
      </c>
      <c r="W94" s="4" t="inlineStr">
        <is>
          <t>open_full_text_review_2026_09_04</t>
        </is>
      </c>
      <c r="X94" s="4" t="inlineStr">
        <is>
          <t>doi:10.1016/j.cell.2025.02.025</t>
        </is>
      </c>
      <c r="Y94" s="4" t="n"/>
      <c r="Z94" s="4" t="n"/>
      <c r="AA94" s="4" t="n"/>
      <c r="AB94" s="40" t="n"/>
    </row>
    <row r="95" ht="409" customHeight="1">
      <c r="A95" s="4" t="n">
        <v>94</v>
      </c>
      <c r="B95" s="4" t="inlineStr">
        <is>
          <t>exclude_out_of_scope_topic_or_population</t>
        </is>
      </c>
      <c r="C95" s="4" t="inlineStr">
        <is>
          <t>Excluir: tema/población fuera de alcance</t>
        </is>
      </c>
      <c r="D95" s="4" t="inlineStr">
        <is>
          <t>Excluded</t>
        </is>
      </c>
      <c r="E95" s="4" t="inlineStr">
        <is>
          <t>No</t>
        </is>
      </c>
      <c r="F95" s="4" t="inlineStr">
        <is>
          <t>Title/abstract screening</t>
        </is>
      </c>
      <c r="G95" s="4" t="n"/>
      <c r="H95" s="4" t="n"/>
      <c r="I95" s="4" t="n"/>
      <c r="J95" s="4" t="inlineStr">
        <is>
          <t>No estudia ASD en el sentido del protocolo, usa otro significado de ASD o aborda otra población/resultado sin aplicación pertinente al proceso ASD.</t>
        </is>
      </c>
      <c r="K95" s="4" t="n"/>
      <c r="L95" s="4" t="n"/>
      <c r="M95" s="4" t="n">
        <v>2026</v>
      </c>
      <c r="N95" s="4" t="inlineStr">
        <is>
          <t>AI Chatbots for Mental Health Self-Management: Lived Experience–Centered Qualitative Study</t>
        </is>
      </c>
      <c r="O95" s="4" t="inlineStr">
        <is>
          <t>Dong Whi Yoo and Jiayue Melissa Shi and Violeta J Rodriguez and Koustuv Saha</t>
        </is>
      </c>
      <c r="P95" s="4" t="inlineStr">
        <is>
          <t>10.2196/78288</t>
        </is>
      </c>
      <c r="Q95" s="4" t="inlineStr">
        <is>
          <t>JMIR Mental Health</t>
        </is>
      </c>
      <c r="R95" s="4" t="inlineStr">
        <is>
          <t>article</t>
        </is>
      </c>
      <c r="S95" s="4" t="inlineStr">
        <is>
          <t>JMIR Publications Inc.</t>
        </is>
      </c>
      <c r="T95" s="4" t="inlineStr">
        <is>
          <t>https://doi.org/10.2196/78288</t>
        </is>
      </c>
      <c r="U95" s="4" t="n"/>
      <c r="V95" s="4" t="inlineStr">
        <is>
          <t>Background: Large language models (LLMs) now enable chatbots to engage in sensitive mental health conversations, including depression self-management. Yet their rapid deployment often overlooks how well these tools align with the priorities of people with lived experiences, which can introduce harms such as inaccurate information, lack of empathy, or inadequate crisis support. Objective: This study explores how people with lived experience of depression experience an LLM-based mental health chatbot in self-management contexts, and what perceived benefits, limitations, and concerns inform harm-mitigating design implications. Methods: We developed a technology probe (a GPT-4o–based chatbot named Zenny) designed to simulate depression self-management scenarios grounded in prior research. We conducted interviews with 17 individuals with lived experiences of depression, who interacted with Zenny during the session. We applied qualitative content analysis to interview transcripts, notes, and chat logs using sensitizing concepts related to values and harms. Results: We identified 3 themes shaping participants’ evaluations: (1) informational accuracy and applicability, including concerns about incorrect or misleading information, vagueness, and fit with personal constraints; (2) emotional support vs need for human connection, including validation and a judgment-free space alongside perceived limits of machine empathy; and (3) a personalization-privacy dilemma, where participants wanted more tailored guidance while withholding sensitive information and using privacy-preserving tactics. Conclusions: People with lived experience of depression evaluated LLM-based mental health chatbots through intertwined priorities of actionable information, emotional validation with clear limits, and personalization that does not require unsafe data disclosure. These findings suggest concrete design strategies to mitigate harms and support LLM-based tools as complements to, rather than replacements for, human support and recovery.</t>
        </is>
      </c>
      <c r="W95" s="4" t="inlineStr">
        <is>
          <t>title_abstract_plus_targeted_primary_source_verification</t>
        </is>
      </c>
      <c r="X95" s="4" t="inlineStr">
        <is>
          <t>doi:10.2196/78288</t>
        </is>
      </c>
      <c r="Y95" s="4" t="n"/>
      <c r="Z95" s="4" t="n"/>
      <c r="AA95" s="4" t="n"/>
      <c r="AB95" s="40" t="n"/>
    </row>
    <row r="96" ht="409" customHeight="1">
      <c r="A96" s="4" t="n">
        <v>95</v>
      </c>
      <c r="B96" s="4" t="inlineStr">
        <is>
          <t>exclude_secondary_or_nonempirical_publication</t>
        </is>
      </c>
      <c r="C96" s="4" t="inlineStr">
        <is>
          <t>Excluir: publicación secundaria/no empírica</t>
        </is>
      </c>
      <c r="D96" s="4" t="inlineStr">
        <is>
          <t>Excluded</t>
        </is>
      </c>
      <c r="E96" s="4" t="inlineStr">
        <is>
          <t>No</t>
        </is>
      </c>
      <c r="F96" s="4" t="inlineStr">
        <is>
          <t>Title/abstract screening</t>
        </is>
      </c>
      <c r="G96" s="4" t="n"/>
      <c r="H96" s="4" t="n"/>
      <c r="I96" s="4" t="n"/>
      <c r="J96" s="4" t="inlineStr">
        <is>
          <t>Revisión, metaanálisis, encuesta de literatura, protocolo, perspectiva, carta, editorial o capítulo de síntesis sin estudio primario elegible.</t>
        </is>
      </c>
      <c r="K96" s="4" t="n"/>
      <c r="L96" s="4" t="n"/>
      <c r="M96" s="4" t="n">
        <v>2026</v>
      </c>
      <c r="N96" s="4" t="inlineStr">
        <is>
          <t>Digital and Blended Lifestyle Interventions for Preschool-Aged Children and Families With a Low Socioeconomic Position and the General Population: Scoping Review</t>
        </is>
      </c>
      <c r="O96" s="4" t="inlineStr">
        <is>
          <t>Lea Hohendorf and Tessa Dekkers and Hanneke Kip and Laurence Alpay and Saskia M Kelders</t>
        </is>
      </c>
      <c r="P96" s="4" t="inlineStr">
        <is>
          <t>10.2196/86596</t>
        </is>
      </c>
      <c r="Q96" s="4" t="inlineStr">
        <is>
          <t>Journal of Medical Internet Research</t>
        </is>
      </c>
      <c r="R96" s="4" t="inlineStr">
        <is>
          <t>article</t>
        </is>
      </c>
      <c r="S96" s="4" t="inlineStr">
        <is>
          <t>JMIR Publications Inc.</t>
        </is>
      </c>
      <c r="T96" s="4" t="inlineStr">
        <is>
          <t>https://doi.org/10.2196/86596</t>
        </is>
      </c>
      <c r="U96" s="4" t="n"/>
      <c r="V96" s="4" t="inlineStr">
        <is>
          <t>Background: Many unhealthy habits develop in early childhood and can lead to long-term health risks, which disproportionately affect children with low socioeconomic position (SEP). Digital and blended lifestyle interventions can promote healthier lifestyles, yet families with lower SEP remain underrepresented and face unique barriers to healthy behaviors and intervention access. As a result, it remains unclear which intervention characteristics are most effective for these populations. Objective: This study aimed to identify and map digital and blended lifestyle interventions targeting preschool-aged children and explore how intervention characteristics and reported effectiveness patterns differ between interventions for the general population and low SEP families. Methods: A search across Scopus, Web of Science, Cochrane Library, ERIC, and ACM Digital Library was conducted. Studies were eligible if they (1) targeted preschool-aged children (6 months to 5 years) or caregivers, (2) evaluated a digital or blended lifestyle intervention, and (3) addressed at least one behavioral domain (nutrition, physical activity, sedentary behavior, sleep, and oral health). Studies focusing on pregnant women, children aged &gt;5 years, or interventions delivered solely nondigitally were excluded. Screening and prioritization were supported by artificial intelligence–assisted software (ASReview; Utrecht University). Data covered intervention targets, populations, theoretical and guideline foundations, delivery modes and settings, and persuasive systems design features. Intervention characteristics and effectiveness categories were synthesized descriptively. The methodological quality of quasi-experimental studies was assessed using the Joanna Briggs Institute critical appraisal tools. Results: A total of 77 studies describing 54 interventions were included. Of these, 35 targeted the general population, and 19 focused solely on low SEP families. Interventions were similar across groups: typically parent-focused, targeting multiple lifestyle domains, and informed by theories, frameworks, or evidence-based guidelines. Low SEP interventions more often used text messaging, included fewer persuasive design features, and tended toward single delivery channels. Effectiveness findings were mixed; no consistent patterns emerged when interventions were grouped by their characteristics. Among low SEP interventions only, less effective interventions more often targeted multiple behaviors and included more persuasive systems design features. Conclusions: To our knowledge, this is one of the first reviews to map digital and blended lifestyle interventions for preschool-aged children while comparing intervention characteristics and descriptive effectiveness patterns across general and low SEP populations. The review highlights heterogeneity in intervention characteristics and outcomes and identifies gaps where evidence is limited. These findings underscore the need to better represent low SEP families in intervention research, strengthen understanding of feasibility and contextual fit, and support multilevel approaches that reflect families’ everyday contexts. However, the findings should be interpreted in light of several limitations, including the exclusion of gray literature, partial double-screening, the possibility that artificial intelligence–assisted prioritization may have omitted relevant studies, and variation in the reporting of intervention components across studies.</t>
        </is>
      </c>
      <c r="W96" s="4" t="inlineStr">
        <is>
          <t>title_abstract_plus_targeted_primary_source_verification</t>
        </is>
      </c>
      <c r="X96" s="4" t="inlineStr">
        <is>
          <t>doi:10.2196/86596</t>
        </is>
      </c>
      <c r="Y96" s="4" t="n"/>
      <c r="Z96" s="4" t="n"/>
      <c r="AA96" s="4" t="n"/>
      <c r="AB96" s="40" t="n"/>
    </row>
    <row r="97" ht="409" customHeight="1">
      <c r="A97" s="4" t="n">
        <v>96</v>
      </c>
      <c r="B97" s="4" t="inlineStr">
        <is>
          <t>include_after_full_text_open_access</t>
        </is>
      </c>
      <c r="C97" s="4" t="inlineStr">
        <is>
          <t>Incluir tras revisión de texto completo abierto</t>
        </is>
      </c>
      <c r="D97" s="4" t="inlineStr">
        <is>
          <t>Provisional include</t>
        </is>
      </c>
      <c r="E97" s="4" t="inlineStr">
        <is>
          <t>Sí</t>
        </is>
      </c>
      <c r="F97" s="4" t="inlineStr">
        <is>
          <t>Full-text review</t>
        </is>
      </c>
      <c r="G97" s="4" t="n"/>
      <c r="H97" s="4" t="n"/>
      <c r="I97" s="4" t="n"/>
      <c r="J97" s="4" t="inlineStr">
        <is>
          <t>Texto completo confirma estudio primario con Deep Learning aplicado a ASD (Classification (ASD vs control)).</t>
        </is>
      </c>
      <c r="K97" s="4" t="n"/>
      <c r="L97" s="4" t="n"/>
      <c r="M97" s="4" t="n">
        <v>2025</v>
      </c>
      <c r="N97" s="4" t="inlineStr">
        <is>
          <t>Ensemble of Deep Learning with Crested Porcupine Optimizer Based Autism Spectrum Disorder Detection Using Facial Images</t>
        </is>
      </c>
      <c r="O97" s="4" t="inlineStr">
        <is>
          <t>Jagadesh Balasubramani and Surendran Rajendran and Mohammad Zakariah and Abeer Alnuaim</t>
        </is>
      </c>
      <c r="P97" s="4" t="inlineStr">
        <is>
          <t>10.32604/cmc.2025.062266</t>
        </is>
      </c>
      <c r="Q97" s="4" t="inlineStr">
        <is>
          <t>Computers, Materials and Continua</t>
        </is>
      </c>
      <c r="R97" s="4" t="inlineStr">
        <is>
          <t>article</t>
        </is>
      </c>
      <c r="S97" s="4" t="inlineStr">
        <is>
          <t>Tech Science Press</t>
        </is>
      </c>
      <c r="T97" s="4" t="inlineStr">
        <is>
          <t>https://doi.org/10.32604/cmc.2025.062266</t>
        </is>
      </c>
      <c r="U97" s="4" t="inlineStr">
        <is>
          <t>Texto completo abierto revisado; evidencia y codificación en Extraccion_RQ_nuevos.</t>
        </is>
      </c>
      <c r="V97" s="4" t="inlineStr">
        <is>
          <t>Autism spectrum disorder (ASD) is a multifaceted neurological developmental condition that manifests in several ways. Nearly all autistic children remain undiagnosed before the age of three. Developmental problems affecting face features are often associated with fundamental brain disorders. The facial evolution of newborns with ASD is quite different from that of typically developing children. Early recognition is very significant to aid families and parents in superstition and denial. Distinguishing facial features from typically developing children is an evident manner to detect children analyzed with ASD. Presently, artificial intelligence (AI) significantly contributes to the emerging computer-aided diagnosis (CAD) of autism and to the evolving interactive methods that aid in the treatment and reintegration of autistic patients. This study introduces an Ensemble of deep learning models based on the autism spectrum disorder detection in facial images (EDLM-ASDDFI) model. The overarching goal of the EDLM-ASDDFI model is to recognize the difference between facial images of individuals with ASD and normal controls. In the EDLM-ASDDFI method, the primary level of data pre-processing is involved by Gabor filtering (GF). Besides, the EDLM-ASDDFI technique applies the MobileNetV2 model to learn complex features from the pre-processed data. For the ASD detection process, the EDLM-ASDDFI method uses ensemble techniques for classification procedure that encompasses long short-term memory (LSTM), deep belief network (DBN), and hybrid kernel extreme learning machine (HKELM). Finally, the hyperparameter selection of the three deep learning (DL) models can be implemented by the design of the crested porcupine optimizer (CPO) technique. An extensive experiment was conducted to emphasize the improved ASD detection performance of the EDLM-ASDDFI method. The simulation outcomes indicated that the EDLM-ASDDFI technique highlighted betterment over other existing models in terms of numerous performance measures.</t>
        </is>
      </c>
      <c r="W97" s="4" t="inlineStr">
        <is>
          <t>open_full_text_review_2026_09_04</t>
        </is>
      </c>
      <c r="X97" s="4" t="inlineStr">
        <is>
          <t>doi:10.32604/cmc.2025.062266</t>
        </is>
      </c>
      <c r="Y97" s="4" t="n"/>
      <c r="Z97" s="4" t="n"/>
      <c r="AA97" s="4" t="n"/>
      <c r="AB97" s="40" t="n"/>
    </row>
    <row r="98" ht="409" customHeight="1">
      <c r="A98" s="4" t="n">
        <v>97</v>
      </c>
      <c r="B98" s="4" t="inlineStr">
        <is>
          <t>include_after_title_abstract_screen</t>
        </is>
      </c>
      <c r="C98" s="4" t="inlineStr">
        <is>
          <t>Incluir provisionalmente</t>
        </is>
      </c>
      <c r="D98" s="4" t="inlineStr">
        <is>
          <t>Provisional include</t>
        </is>
      </c>
      <c r="E98" s="4" t="inlineStr">
        <is>
          <t>Sí</t>
        </is>
      </c>
      <c r="F98" s="4" t="inlineStr">
        <is>
          <t>Title/abstract screening</t>
        </is>
      </c>
      <c r="G98" s="4" t="n"/>
      <c r="H98" s="4" t="n"/>
      <c r="I98" s="4" t="n"/>
      <c r="J98" s="4" t="inlineStr">
        <is>
          <t>Estudio primario o implementación/evaluación empírica de IA, aprendizaje automático o modelado computacional aplicado a ASD, riesgo, caracterización, apoyo o intervención.</t>
        </is>
      </c>
      <c r="K98" s="4" t="n"/>
      <c r="L98" s="4" t="n"/>
      <c r="M98" s="4" t="n">
        <v>2025</v>
      </c>
      <c r="N98" s="4" t="inlineStr">
        <is>
          <t>Child-therapist acoustic synchrony and response trajectories in autism intervention: an AI-based automated analysis using dynamic systems theory and affective computing</t>
        </is>
      </c>
      <c r="O98" s="4" t="inlineStr">
        <is>
          <t>Giulio Bertamini and Silvia Perzolli and Arianna Bentenuto and Cesare Furlanello and Mohamed Chetouani and David Cohen and Paola Venuti</t>
        </is>
      </c>
      <c r="P98" s="4" t="inlineStr">
        <is>
          <t>10.1016/j.etdah.2025.100176</t>
        </is>
      </c>
      <c r="Q98" s="4" t="inlineStr">
        <is>
          <t>Emerging Trends in Drugs, Addictions, and Health</t>
        </is>
      </c>
      <c r="R98" s="4" t="inlineStr">
        <is>
          <t>article</t>
        </is>
      </c>
      <c r="S98" s="4" t="inlineStr">
        <is>
          <t>Elsevier Ltd</t>
        </is>
      </c>
      <c r="T98" s="4" t="inlineStr">
        <is>
          <t>https://www.sciencedirect.com/science/article/pii/S2667118225000078</t>
        </is>
      </c>
      <c r="U98" s="4" t="n"/>
      <c r="V98" s="4" t="inlineStr">
        <is>
          <t>Introduction: Child-clinician interpersonal dynamics are central to psychotherapy and are increasingly acknowledged as key elements in autism intervention. However, quantitatively studying fine-grained aspects such as the child-clinician synchrony patterns poses challenges, limiting translational research. Moreover, synchrony is rarely investigated with a long-term perspective. This study employed an AI-based, fully automated computational pipeline to analyze child-clinician interpersonal acoustic synchrony through the lens of complex dynamic systems and affective computing. Methods: We followed 25 autistic preschoolers over one year of Naturalistic Developmental Behavioral Intervention (NDBI). Three 60-minute intervention sessions, at the beginning, after three months, and after one year, were analyzed second-by-second, totaling 75 videos. After AI-based automatic speech segmentation, acoustic synchrony was assessed using Cross-Recurrence Quantification Analysis to derive interaction metrics over the entire therapy sessions employing affective prosodic features. Robust Bayesian correlation analysis was used to explore the relationship between affective acoustic synchrony and developmental learning rates at different time points. Results: No significant associations were found at baseline, while correlations emerged after three months and became more pronounced at one year. Early in therapy, interactions with a stronger internal structure, particularly in loudness, spectral dynamics, and voice quality, were linked to higher developmental gains. After one year, the relationship between synchrony and response shifted toward metrics reflecting transition dynamics and stability. Associations with fine-grained spectral features particularly characterized this phase. Discussion: Specific and different synchrony aspects were associated with therapy response trajectories both in the initial and latter phases of therapy. Acoustic features involved in intervention response are known to participate in the emotional content of speech, highlighting the contribution of affective aspects to therapy. These findings provide valuable insights into the role of interpersonal synchrony in autism intervention and underscore the potential of computational methods in monitoring treatment progress.</t>
        </is>
      </c>
      <c r="W98" s="4" t="inlineStr">
        <is>
          <t>title_abstract_plus_targeted_primary_source_verification</t>
        </is>
      </c>
      <c r="X98" s="4" t="inlineStr">
        <is>
          <t>doi:10.1016/j.etdah.2025.100176</t>
        </is>
      </c>
      <c r="Y98" s="4" t="n"/>
      <c r="Z98" s="4" t="n"/>
      <c r="AA98" s="4" t="n"/>
      <c r="AB98" s="40" t="n"/>
    </row>
    <row r="99" ht="409" customHeight="1">
      <c r="A99" s="4" t="n">
        <v>98</v>
      </c>
      <c r="B99" s="4" t="inlineStr">
        <is>
          <t>exclude_out_of_scope_topic_or_population</t>
        </is>
      </c>
      <c r="C99" s="4" t="inlineStr">
        <is>
          <t>Excluir: tema/población fuera de alcance</t>
        </is>
      </c>
      <c r="D99" s="4" t="inlineStr">
        <is>
          <t>Excluded</t>
        </is>
      </c>
      <c r="E99" s="4" t="inlineStr">
        <is>
          <t>No</t>
        </is>
      </c>
      <c r="F99" s="4" t="inlineStr">
        <is>
          <t>Title/abstract screening</t>
        </is>
      </c>
      <c r="G99" s="4" t="n"/>
      <c r="H99" s="4" t="n"/>
      <c r="I99" s="4" t="n"/>
      <c r="J99" s="4" t="inlineStr">
        <is>
          <t>No estudia ASD en el sentido del protocolo, usa otro significado de ASD o aborda otra población/resultado sin aplicación pertinente al proceso ASD.</t>
        </is>
      </c>
      <c r="K99" s="4" t="n"/>
      <c r="L99" s="4" t="n"/>
      <c r="M99" s="4" t="n">
        <v>2026</v>
      </c>
      <c r="N99" s="4" t="inlineStr">
        <is>
          <t>Examining Artificial Intelligence Chatbots’ Responses in Providing Human Papillomavirus Vaccine Information for Young Adults: Qualitative Content Analysis</t>
        </is>
      </c>
      <c r="O99" s="4" t="inlineStr">
        <is>
          <t>Alfu Laily and Laura M Schwab-Reese and Megan Davish and Emily Cahue and Kathryn J Laroche and Natalia M Rodriguez and Robert J Duncan and Randolph D Hubach and Monica L Kasting</t>
        </is>
      </c>
      <c r="P99" s="4" t="inlineStr">
        <is>
          <t>10.2196/79720</t>
        </is>
      </c>
      <c r="Q99" s="4" t="inlineStr">
        <is>
          <t>JMIR Public Health and Surveillance</t>
        </is>
      </c>
      <c r="R99" s="4" t="inlineStr">
        <is>
          <t>article</t>
        </is>
      </c>
      <c r="S99" s="4" t="inlineStr">
        <is>
          <t>JMIR Publications Inc.</t>
        </is>
      </c>
      <c r="T99" s="4" t="inlineStr">
        <is>
          <t>https://doi.org/10.2196/79720</t>
        </is>
      </c>
      <c r="U99" s="4" t="n"/>
      <c r="V99" s="4" t="inlineStr">
        <is>
          <t>Background: The growing use of artificial intelligence (AI) chatbots for seeking health-related information is concerning, as they were not originally developed for delivering medical guidance. The quality of AI chatbots’ responses relies heavily on their training data and is often limited in medical contexts due to their lack of specific training data in medical literature. Findings on the quality of AI chatbot responses related to health are mixed. Some studies showed the quality surpassed physicians’ responses, while others revealed occasional major errors and low readability. This study addresses a critical gap by examining the performance of various AI chatbots in a complex, misinformation-rich environment. Objective: This study examined AI chatbots' responses to human papillomavirus (HPV)–related questions by analyzing structure, linguistic features, information accuracy and currency, and vaccination stance. Methods: We conducted a qualitative content analysis following the approach outlined by Schreier to examine 4 selected AI chatbots’ (ChatGPT 4, Claude 3.7 Sonnet, DeepSeek V3, and Docus [General AI Doctor]) responses to HPV vaccine questions. These questions, simulated by young adults, were adapted from items on the Vaccine Conspiracy Beliefs Scale and Google Trends. The selection criteria for AI chatbots included popularity, accessibility, countries of origin, response update methods, and intended use. Two researchers, simulating a 22-year-old man or woman, collected 8 conversations between February 22 and 28, 2025. We used a deductive approach to develop initial code groups, then an inductive approach to generate codes. The responses were analyzed based on a comprehensive codebook, with codes examining response structure, linguistic features, information accuracy and currency, and vaccination stance. We also assessed readability using the Flesch-Kincaid Grade Level and Reading Ease Score. Results: All AI chatbots cited evidence-based sources from reputable health organizations. We found no fabricated information or inaccuracies in numerical data. For complex questions, all AI chatbots appropriately deferred to health care professionals’ suggestions. All AI chatbots maintained a neutral or provaccine stance, corresponding with scientific consensus. The mean and range of response lengths varied [word count; ChatGPT: 436.4 (218-954); Claude: 188.0 (138-255); DeepSeek: 510.0 (325-735); and Docus: 159.4 (61-200)], as did readability [Flesch-Kincaid Grade Level; ChatGPT: 10.7 (6.0-14.9); Claude: 13.2 (7.7-17.8); DeepSeek: 11.3 (7.0-14.7); and Docus: 12.2 (8.9-15.5); and Flesch-Kincaid Reading Ease Score; ChatGPT: 46.8 (25.4-72.2); Claude: 32.5 (6.3-67.3); DeepSeek: 43.7 (22.8-67.4); and Docus: 40.5 (19.6-58.2)]. ChatGPT and Claude offered personalized responses, while DeepSeek and Docus lacked this. Occasionally, some responses included broken or irrelevant links and medical jargon. Conclusions: Amidst an online environment saturated with misinformation, AI chatbots have the potential to serve as an alternative source of accurate HPV-related information to conventional online platforms (websites and social media). Improvements in readability, personalization, and link accuracy are still needed. Furthermore, we recommend that users treat AI chatbots as complements, not replacements, to health care professionals’ guidance on clinical settings.</t>
        </is>
      </c>
      <c r="W99" s="4" t="inlineStr">
        <is>
          <t>title_abstract_plus_targeted_primary_source_verification</t>
        </is>
      </c>
      <c r="X99" s="4" t="inlineStr">
        <is>
          <t>doi:10.2196/79720</t>
        </is>
      </c>
      <c r="Y99" s="4" t="n"/>
      <c r="Z99" s="4" t="n"/>
      <c r="AA99" s="4" t="n"/>
      <c r="AB99" s="40" t="n"/>
    </row>
    <row r="100" ht="372" customHeight="1">
      <c r="A100" s="4" t="n">
        <v>99</v>
      </c>
      <c r="B100" s="4" t="inlineStr">
        <is>
          <t>exclude_out_of_scope_topic_or_population</t>
        </is>
      </c>
      <c r="C100" s="4" t="inlineStr">
        <is>
          <t>Excluir: tema/población fuera de alcance</t>
        </is>
      </c>
      <c r="D100" s="4" t="inlineStr">
        <is>
          <t>Excluded</t>
        </is>
      </c>
      <c r="E100" s="4" t="inlineStr">
        <is>
          <t>No</t>
        </is>
      </c>
      <c r="F100" s="4" t="inlineStr">
        <is>
          <t>Title/abstract screening</t>
        </is>
      </c>
      <c r="G100" s="4" t="n"/>
      <c r="H100" s="4" t="n"/>
      <c r="I100" s="4" t="n"/>
      <c r="J100" s="4" t="inlineStr">
        <is>
          <t>No estudia ASD en el sentido del protocolo, usa otro significado de ASD o aborda otra población/resultado sin aplicación pertinente al proceso ASD.</t>
        </is>
      </c>
      <c r="K100" s="4" t="n"/>
      <c r="L100" s="4" t="n"/>
      <c r="M100" s="4" t="n">
        <v>2026</v>
      </c>
      <c r="N100" s="4" t="inlineStr">
        <is>
          <t>Consensus Statement on Digital Health and ADHD by The European Network for ADHD (EUNETHYDIS): a modified Delphi study (Preprint)</t>
        </is>
      </c>
      <c r="O100" s="4" t="inlineStr">
        <is>
          <t>Anna Price and Emi Furukawa and Alessio Bellato and Pascal-M. Aggensteiner and Matthew Bellringer and Claire Cattel and Samuele Cortese and David Daley and Manfred Döpfner and Federica Donno and Madeleine J Groom and Anna Kaiser and Christina Kini-Seery and Katarzyna Kostyrka-Allchorne and Jonna Kuntsi and Stuart Kyle and Elizabeth B Liddle and Giorgia Michelini and Emilie S Nordby and Nicholas Peres and Tashinga Ruzive and Anita Salimi and Douglas Sjöwall and Edmund J S Sonuga-Barke and James Wenger and Tamsin Newlove-Delgado</t>
        </is>
      </c>
      <c r="P100" s="4" t="inlineStr">
        <is>
          <t>10.2196/85638</t>
        </is>
      </c>
      <c r="Q100" s="4" t="inlineStr">
        <is>
          <t>Journal of Medical Internet Research</t>
        </is>
      </c>
      <c r="R100" s="4" t="inlineStr">
        <is>
          <t>article</t>
        </is>
      </c>
      <c r="S100" s="4" t="inlineStr">
        <is>
          <t>JMIR Publications Inc.</t>
        </is>
      </c>
      <c r="T100" s="4" t="inlineStr">
        <is>
          <t>https://doi.org/10.2196/85638</t>
        </is>
      </c>
      <c r="U100" s="4" t="n"/>
      <c r="V100" s="4" t="n"/>
      <c r="W100" s="4" t="inlineStr">
        <is>
          <t>title_abstract_plus_targeted_primary_source_verification</t>
        </is>
      </c>
      <c r="X100" s="4" t="inlineStr">
        <is>
          <t>doi:10.2196/85638</t>
        </is>
      </c>
      <c r="Y100" s="4" t="n"/>
      <c r="Z100" s="4" t="n"/>
      <c r="AA100" s="4" t="n"/>
      <c r="AB100" s="40" t="n"/>
    </row>
    <row r="101" ht="112" customHeight="1">
      <c r="A101" s="4" t="n">
        <v>100</v>
      </c>
      <c r="B101" s="4" t="inlineStr">
        <is>
          <t>exclude_animal_only_no_human_clinical_target</t>
        </is>
      </c>
      <c r="C101" s="4" t="inlineStr">
        <is>
          <t>Excluir: modelo animal sin objetivo clínico humano</t>
        </is>
      </c>
      <c r="D101" s="4" t="inlineStr">
        <is>
          <t>Excluded</t>
        </is>
      </c>
      <c r="E101" s="4" t="inlineStr">
        <is>
          <t>No</t>
        </is>
      </c>
      <c r="F101" s="4" t="inlineStr">
        <is>
          <t>Title/abstract screening</t>
        </is>
      </c>
      <c r="G101" s="4" t="n"/>
      <c r="H101" s="4" t="n"/>
      <c r="I101" s="4" t="n"/>
      <c r="J101" s="4" t="inlineStr">
        <is>
          <t>Aplicación limitada a comportamiento o biomarcadores de un modelo animal, sin datos humanos ni un objetivo funcional del proceso clínico ASD.</t>
        </is>
      </c>
      <c r="K101" s="4" t="n"/>
      <c r="L101" s="4" t="n"/>
      <c r="M101" s="4" t="n">
        <v>2025</v>
      </c>
      <c r="N101" s="4" t="inlineStr">
        <is>
          <t>Automated scoring of autism-like behaviors in the valproic acid mouse model: enhancing accuracy and efficiency with machine learning tools (DeepLabCut and SimBA)</t>
        </is>
      </c>
      <c r="O101" s="4" t="inlineStr">
        <is>
          <t>Zineb Bouargane and Francisco E Olucha-Bordonau and Saadia Ba-M’hamed and Fatima-Zahra Lamghari-Moubarrad</t>
        </is>
      </c>
      <c r="P101" s="4" t="inlineStr">
        <is>
          <t>10.1016/j.neuroscience.2025.05.270</t>
        </is>
      </c>
      <c r="Q101" s="4" t="inlineStr">
        <is>
          <t>Neuroscience</t>
        </is>
      </c>
      <c r="R101" s="4" t="inlineStr">
        <is>
          <t>article</t>
        </is>
      </c>
      <c r="S101" s="4" t="inlineStr">
        <is>
          <t>Elsevier BV</t>
        </is>
      </c>
      <c r="T101" s="4" t="inlineStr">
        <is>
          <t>https://www.sciencedirect.com/science/article/pii/S0306452225006347</t>
        </is>
      </c>
      <c r="U101" s="4" t="n"/>
      <c r="V101" s="4" t="n"/>
      <c r="W101" s="4" t="inlineStr">
        <is>
          <t>title_abstract_plus_targeted_primary_source_verification</t>
        </is>
      </c>
      <c r="X101" s="4" t="inlineStr">
        <is>
          <t>doi:10.1016/j.neuroscience.2025.05.270</t>
        </is>
      </c>
      <c r="Y101" s="4" t="n"/>
      <c r="Z101" s="4" t="n"/>
      <c r="AA101" s="4" t="n"/>
      <c r="AB101" s="40" t="n"/>
    </row>
    <row r="102" ht="409" customHeight="1">
      <c r="A102" s="4" t="n">
        <v>101</v>
      </c>
      <c r="B102" s="4" t="inlineStr">
        <is>
          <t>exclude_no_qualifying_ai_application</t>
        </is>
      </c>
      <c r="C102" s="4" t="inlineStr">
        <is>
          <t>Excluir: sin aplicación de IA elegible</t>
        </is>
      </c>
      <c r="D102" s="4" t="inlineStr">
        <is>
          <t>Excluded</t>
        </is>
      </c>
      <c r="E102" s="4" t="inlineStr">
        <is>
          <t>No</t>
        </is>
      </c>
      <c r="F102" s="4" t="inlineStr">
        <is>
          <t>Title/abstract screening</t>
        </is>
      </c>
      <c r="G102" s="4" t="n"/>
      <c r="H102" s="4" t="n"/>
      <c r="I102" s="4" t="n"/>
      <c r="J102" s="4" t="inlineStr">
        <is>
          <t>El trabajo no implementa ni evalúa una técnica de IA/ML como componente sustantivo del estudio de ASD.</t>
        </is>
      </c>
      <c r="K102" s="4" t="n"/>
      <c r="L102" s="4" t="n"/>
      <c r="M102" s="4" t="n">
        <v>2025</v>
      </c>
      <c r="N102" s="4" t="inlineStr">
        <is>
          <t>Development and validation of a spectrofluorimetric method for MHPG detection in plasma via rhodamine B fluorescence quenching: a Box-Behnken design approach with application to autism spectrum disorder</t>
        </is>
      </c>
      <c r="O102" s="4" t="inlineStr">
        <is>
          <t>Razaz A Felemban and Majed A Algarni and Ayman A Abd Al Maksoud and Adnan Alharbi and Ahmed K Bamaga and Mohammad S Alzahrani and Abdulaziz Ibrahim Alzarea and Ahmed Serag and Atiah H Almalki</t>
        </is>
      </c>
      <c r="P102" s="4" t="inlineStr">
        <is>
          <t>10.1016/j.microc.2025.114560</t>
        </is>
      </c>
      <c r="Q102" s="4" t="inlineStr">
        <is>
          <t>Microchemical Journal</t>
        </is>
      </c>
      <c r="R102" s="4" t="inlineStr">
        <is>
          <t>article</t>
        </is>
      </c>
      <c r="S102" s="4" t="inlineStr">
        <is>
          <t>Elsevier Inc.</t>
        </is>
      </c>
      <c r="T102" s="4" t="inlineStr">
        <is>
          <t>https://www.sciencedirect.com/science/article/pii/S0026265X25019149</t>
        </is>
      </c>
      <c r="U102" s="4" t="n"/>
      <c r="V102" s="4" t="inlineStr">
        <is>
          <t>This study presents the development and validation of a sensitive spectrofluorimetric method for detecting 3-methoxy-4-hydroxyphenylglycol (MHPG), a major metabolite of norepinephrine and proxy for central noradrenergic activity, in plasma based on Rhodamine B fluorescence quenching. The spectral characteristics of Rhodamine B and its ion pair complex formation with MHPG were investigated using UV–vis and fluorescence spectroscopy. Mechanistic studies employing Stern-Volmer kinetics, thermodynamic analysis, and Job's method of continuous variation revealed a static quenching mode with 1:1 complex formation stoichiometry. Critical method parameters such as pH, Rhodamine B volume, and incubation time were optimized using a Box-Behnken design of experiments, with desirability function analysis employed to maximize the quenching efficiency and sensitivity. The method was validated according to the ICH M10 guidelines and demonstrated excellent linearity (2–200 ng/mL), precision, accuracy and selectivity, with lower limits of detection and quantification of 0.655 and 1.966 ng/mL, respectively. Application to a pilot cohort of children with ASD and neurotypical controls revealed elevated plasma MHPG levels in the ASD group, although the difference did not reach statistical significance. Notably, age-related trends in MHPG levels differed markedly between groups, with a robust positive correlation observed in controls but absent in the ASD group. Sex-specific analyses further suggested more pronounced sex-related variations in noradrenergic function in ASD compared to controls. These preliminary results provide valuable insights into potential alterations of the noradrenergic system in ASD and highlight the utility of the developed spectrofluorimetric method, warranting further investigations in larger cohorts to elucidate the clinical relevance of disturbed noradrenergic function in ASD.</t>
        </is>
      </c>
      <c r="W102" s="4" t="inlineStr">
        <is>
          <t>title_abstract_plus_targeted_primary_source_verification</t>
        </is>
      </c>
      <c r="X102" s="4" t="inlineStr">
        <is>
          <t>doi:10.1016/j.microc.2025.114560</t>
        </is>
      </c>
      <c r="Y102" s="4" t="n"/>
      <c r="Z102" s="4" t="n"/>
      <c r="AA102" s="4" t="n"/>
      <c r="AB102" s="40" t="n"/>
    </row>
    <row r="103" ht="409" customHeight="1">
      <c r="A103" s="4" t="n">
        <v>102</v>
      </c>
      <c r="B103" s="4" t="inlineStr">
        <is>
          <t>exclude_out_of_scope_topic_or_population</t>
        </is>
      </c>
      <c r="C103" s="4" t="inlineStr">
        <is>
          <t>Excluir: tema/población fuera de alcance</t>
        </is>
      </c>
      <c r="D103" s="4" t="inlineStr">
        <is>
          <t>Excluded</t>
        </is>
      </c>
      <c r="E103" s="4" t="inlineStr">
        <is>
          <t>No</t>
        </is>
      </c>
      <c r="F103" s="4" t="inlineStr">
        <is>
          <t>Title/abstract screening</t>
        </is>
      </c>
      <c r="G103" s="4" t="n"/>
      <c r="H103" s="4" t="n"/>
      <c r="I103" s="4" t="n"/>
      <c r="J103" s="4" t="inlineStr">
        <is>
          <t>No estudia ASD en el sentido del protocolo, usa otro significado de ASD o aborda otra población/resultado sin aplicación pertinente al proceso ASD.</t>
        </is>
      </c>
      <c r="K103" s="4" t="n"/>
      <c r="L103" s="4" t="n"/>
      <c r="M103" s="4" t="n">
        <v>2026</v>
      </c>
      <c r="N103" s="4" t="inlineStr">
        <is>
          <t>Early Detection of Alzheimer's Disease and Related Dementias From Spontaneous Speech Using Foundation Speech and Language Models: Comparative Evaluation</t>
        </is>
      </c>
      <c r="O103" s="4" t="inlineStr">
        <is>
          <t>Jingyu Li and Lingchao Mao and Xi Mao and Hairong Wang and Zhendong Wang and Xuelei Sherry Ni</t>
        </is>
      </c>
      <c r="P103" s="4" t="inlineStr">
        <is>
          <t>10.2196/79411</t>
        </is>
      </c>
      <c r="Q103" s="4" t="inlineStr">
        <is>
          <t>JMIR Formative Research</t>
        </is>
      </c>
      <c r="R103" s="4" t="inlineStr">
        <is>
          <t>article</t>
        </is>
      </c>
      <c r="S103" s="4" t="inlineStr">
        <is>
          <t>JMIR Publications Inc.</t>
        </is>
      </c>
      <c r="T103" s="4" t="inlineStr">
        <is>
          <t>https://doi.org/10.2196/79411</t>
        </is>
      </c>
      <c r="U103" s="4" t="n"/>
      <c r="V103" s="4" t="inlineStr">
        <is>
          <t>Background: Alzheimer's disease and related dementias (ADRD) are progressive neurodegenerative conditions where early detection is critical for timely intervention and care planning. However, current diagnostic methods are often inaccessible, costly, and delayed, especially for underserved populations. There is a growing need for scalable, noninvasive tools that can support timely diagnosis. Spontaneous speech contains rich acoustic and linguistic markers that can serve as noninvasive behavioral markers for cognitive decline. Foundation models, pretrained on large-scale audio or text data, generate high-dimensional embeddings that encode rich contextual and acoustic information. Objective: This study benchmarks open-source foundation language and speech models to evaluate their effectiveness in detecting ADRD from spontaneous speech as a potential solution for early, noninvasive, and scalable ADRD detection. Methods: In this study, we used the Pioneering Research for Early Prediction of Alzheimer’s and Related Dementias EUREKA (PREPARE) Challenge dataset, which consists of audio recordings from over 1600 participants with 3 distinct categories of cognitive decline: healthy control (HC), mild cognitive impairment (MCI), and Alzheimer's disease (AD). We further excluded samples that are non-English, nonspontaneous speech, or of poor quality. Our final samples included 703 (59.13%) HC, 81 (6.81%) MCI, and 405 (34.06%) AD cases. We systematically benchmarked 18 open-source foundation speech and language models to classify cognitive status into 3 categories (HC, MCI, or AD). Post hoc interpretability analysis was performed for the best-performing model using Shapley additive explanations linking high-dimensional embeddings with explainable acoustic and linguistic markers. Results: Whisper-medium model achieved the highest performance among speech models at 0.731 accuracy and 0.802 area under the curve, while Bidirectional Encoder Representations from Transformers with pause annotation achieved the top accuracy of 0.662 and 0.744 area under the curve among language models. Overall, ADRD detection based on state-of-the-art automatic speech recognition model-generated audio-embeddings outperformed other models, and the inclusion of nonsemantic information, such as pause patterns, consistently improved the classification performance of text-embedding–based models. Conclusions: Our work presents a comprehensive comparative evaluation of state-of-the-art speech and language models for AD and MCI detection on a large, clinically relevant dataset. Embeddings derived from acoustic models, which capture both semantic and acoustic information, show promising performance and highlight the potential for developing a more scalable, noninvasive, and cost-effective early detection tool for ADRD.</t>
        </is>
      </c>
      <c r="W103" s="4" t="inlineStr">
        <is>
          <t>title_abstract_plus_targeted_primary_source_verification</t>
        </is>
      </c>
      <c r="X103" s="4" t="inlineStr">
        <is>
          <t>doi:10.2196/79411</t>
        </is>
      </c>
      <c r="Y103" s="4" t="n"/>
      <c r="Z103" s="4" t="n"/>
      <c r="AA103" s="4" t="n"/>
      <c r="AB103" s="40" t="n"/>
    </row>
    <row r="104" ht="409" customHeight="1">
      <c r="A104" s="4" t="n">
        <v>103</v>
      </c>
      <c r="B104" s="4" t="inlineStr">
        <is>
          <t>include_after_title_abstract_screen</t>
        </is>
      </c>
      <c r="C104" s="4" t="inlineStr">
        <is>
          <t>Incluir provisionalmente</t>
        </is>
      </c>
      <c r="D104" s="4" t="inlineStr">
        <is>
          <t>Provisional include</t>
        </is>
      </c>
      <c r="E104" s="4" t="inlineStr">
        <is>
          <t>Sí</t>
        </is>
      </c>
      <c r="F104" s="4" t="inlineStr">
        <is>
          <t>Title/abstract screening</t>
        </is>
      </c>
      <c r="G104" s="4" t="n"/>
      <c r="H104" s="4" t="n"/>
      <c r="I104" s="4" t="n"/>
      <c r="J104" s="4" t="inlineStr">
        <is>
          <t>Estudio primario o implementación/evaluación empírica de IA, aprendizaje automático o modelado computacional aplicado a ASD, riesgo, caracterización, apoyo o intervención.</t>
        </is>
      </c>
      <c r="K104" s="4" t="n"/>
      <c r="L104" s="4" t="n"/>
      <c r="M104" s="4" t="n">
        <v>2025</v>
      </c>
      <c r="N104" s="4" t="inlineStr">
        <is>
          <t>Early fusion for Autism classification with biomarker detection using rs-fMRI and phenotypic data</t>
        </is>
      </c>
      <c r="O104" s="4" t="inlineStr">
        <is>
          <t>Vaishali Chawla and Bharti Rana</t>
        </is>
      </c>
      <c r="P104" s="4" t="inlineStr">
        <is>
          <t>10.1016/j.bspc.2025.108020</t>
        </is>
      </c>
      <c r="Q104" s="4" t="inlineStr">
        <is>
          <t>Biomedical Signal Processing and Control</t>
        </is>
      </c>
      <c r="R104" s="4" t="inlineStr">
        <is>
          <t>article</t>
        </is>
      </c>
      <c r="S104" s="4" t="inlineStr">
        <is>
          <t>Elsevier Ltd</t>
        </is>
      </c>
      <c r="T104" s="4" t="inlineStr">
        <is>
          <t>https://www.sciencedirect.com/science/article/pii/S1746809425005312</t>
        </is>
      </c>
      <c r="U104" s="4" t="n"/>
      <c r="V104" s="4" t="inlineStr">
        <is>
          <t>Autism Spectrum Disorder (ASD) is a neurodevelopmental disorder affecting approximately 1% of people worldwide. Traditional diagnosis of ASD relies on subjective questionnaire-based assessments, whereas neuroimaging, particularly resting-state functional MRI (rs-fMRI), offers an objective approach for automated detection and improved accuracy. This paper proposes an end-to-end machine learning-based ASD diagnostic model that (i) integrates phenotypic and rs-fMRI data through early fusion, (ii) addresses high data dimensionality using principal component analysis (PCA) and convolutional autoencoder (AE), and (iii) leverages explainable Artificial Intelligence approaches to identify potential biomarkers. We evaluate the proposed model on the Autism Brain Imaging Data Exchange (ABIDE 1), a publicly available multisite dataset. To assess its effectiveness and generalizability, we conduct experiments on combined and individual site data, perform leave-one-site-out evaluations, and analyze the impact of dimensionality reduction techniques. We first train the model on combined data from all sites, achieving 64.9% accuracy with logistic regression. Next, we train and evaluate it on individual sites, with KKI yielding the highest accuracy of 83%. A leave-one-site-out evaluation is further performed to assess the model's generalizability across different sites, achieving the best accuracy of 65.3% with the SVM classifier using a linear kernel. Overall, we observe that the performance of convolutional AE is superior to PCA. Key regions such as the superior frontal gyrus, precuneus cortex, and some vital functional connections such as Brain Stem - Cerebellum were identified as potential biomarkers for the diagnosis of ASD. These findings offer significant clinical value, aiding clinicians in more reliable diagnoses.</t>
        </is>
      </c>
      <c r="W104" s="4" t="inlineStr">
        <is>
          <t>title_abstract_plus_targeted_primary_source_verification</t>
        </is>
      </c>
      <c r="X104" s="4" t="inlineStr">
        <is>
          <t>doi:10.1016/j.bspc.2025.108020</t>
        </is>
      </c>
      <c r="Y104" s="4" t="n"/>
      <c r="Z104" s="4" t="n"/>
      <c r="AA104" s="4" t="n"/>
      <c r="AB104" s="40" t="n"/>
    </row>
    <row r="105" ht="409" customHeight="1">
      <c r="A105" s="4" t="n">
        <v>104</v>
      </c>
      <c r="B105" s="4" t="inlineStr">
        <is>
          <t>exclude_secondary_or_nonempirical_publication</t>
        </is>
      </c>
      <c r="C105" s="4" t="inlineStr">
        <is>
          <t>Excluir: publicación secundaria/no empírica</t>
        </is>
      </c>
      <c r="D105" s="4" t="inlineStr">
        <is>
          <t>Excluded</t>
        </is>
      </c>
      <c r="E105" s="4" t="inlineStr">
        <is>
          <t>No</t>
        </is>
      </c>
      <c r="F105" s="4" t="inlineStr">
        <is>
          <t>Title/abstract screening</t>
        </is>
      </c>
      <c r="G105" s="4" t="n"/>
      <c r="H105" s="4" t="n"/>
      <c r="I105" s="4" t="n"/>
      <c r="J105" s="4" t="inlineStr">
        <is>
          <t>Revisión, metaanálisis, encuesta de literatura, protocolo, perspectiva, carta, editorial o capítulo de síntesis sin estudio primario elegible.</t>
        </is>
      </c>
      <c r="K105" s="4" t="n"/>
      <c r="L105" s="4" t="n"/>
      <c r="M105" s="4" t="n">
        <v>2026</v>
      </c>
      <c r="N105" s="4" t="inlineStr">
        <is>
          <t>Assessing the Evolution and Influence of Medical Open Databases on Biomedical Research and Health Care Innovation: A 25-Year Perspective With a Focus on Privacy and Privacy-Enhancing Technologies</t>
        </is>
      </c>
      <c r="O105" s="4" t="inlineStr">
        <is>
          <t>Albert Yang and Mei Lien Pan and Henry Horng-Shing Lu and Chung Yueh Lien and Da Wei Wang and Chih Hsiung Chen and Der Cherng Tarng and Dau Ming Niu and Shih Hwa Chiou and Chun Ying Wu and Ying Chou Sun and Shih Ann Chen and Shuu Jiun Wang and Wayne Huey-Herng Sheu and Chi Hung Lin</t>
        </is>
      </c>
      <c r="P105" s="4" t="inlineStr">
        <is>
          <t>10.2196/58954</t>
        </is>
      </c>
      <c r="Q105" s="4" t="inlineStr">
        <is>
          <t>Journal of Medical Internet Research</t>
        </is>
      </c>
      <c r="R105" s="4" t="inlineStr">
        <is>
          <t>article</t>
        </is>
      </c>
      <c r="S105" s="4" t="inlineStr">
        <is>
          <t>JMIR Publications Inc.</t>
        </is>
      </c>
      <c r="T105" s="4" t="inlineStr">
        <is>
          <t>https://doi.org/10.2196/58954</t>
        </is>
      </c>
      <c r="U105" s="4" t="n"/>
      <c r="V105" s="4" t="inlineStr">
        <is>
          <t>The integration of medical open databases with artificial intelligence (AI) technologies marks a transformative era in biomedical research and health care innovation. Over the past 25 years, initiatives like PhysioNet have revolutionized data access, fostering unprecedented levels of collaboration and accelerating medical discoveries. This rise of medical open databases presents challenges, particularly in harmonizing research enablement with patient confidentiality. In response, privacy laws such as the Health Insurance Portability and Accountability Act have been established, and privacy-enhancing technologies have been adopted to maintain this delicate balance. Privacy-enhancing technologies, including differential privacy, secure multiparty computation, and notably, federated learning (FL), have become instrumental in safeguarding personal health information. FL, in particular, represents a significant advancement by enabling the development and training of AI models on decentralized data. In Taiwan, significant strides have been made in aligning with these global data-sharing and privacy standards. We have actively promoted the sharing of medical data through the development of dynamic consent systems. These systems enable individuals to control and adjust their data-sharing preferences, ensuring transparency and continuity of consent in the ever-evolving landscape of digital health. Despite the challenges associated with privacy protections, the benefits, including improved diagnostics and treatment, are substantial. The availability of open databases has notably accelerated AI research, leading to significant advancements in medical diagnostics and treatments. As the landscape of health care research continues to evolve with open science and FL, the role of medical open databases remains crucial in shaping the future of medicine, promising enhanced patient outcomes and fostering a global research community committed to ethical integrity and privacy.</t>
        </is>
      </c>
      <c r="W105" s="4" t="inlineStr">
        <is>
          <t>title_abstract_plus_targeted_primary_source_verification</t>
        </is>
      </c>
      <c r="X105" s="4" t="inlineStr">
        <is>
          <t>doi:10.2196/58954</t>
        </is>
      </c>
      <c r="Y105" s="4" t="n"/>
      <c r="Z105" s="4" t="n"/>
      <c r="AA105" s="4" t="n"/>
      <c r="AB105" s="40" t="n"/>
    </row>
    <row r="106" ht="409" customHeight="1">
      <c r="A106" s="4" t="n">
        <v>105</v>
      </c>
      <c r="B106" s="4" t="inlineStr">
        <is>
          <t>exclude_out_of_scope_topic_or_population</t>
        </is>
      </c>
      <c r="C106" s="4" t="inlineStr">
        <is>
          <t>Excluir: tema/población fuera de alcance</t>
        </is>
      </c>
      <c r="D106" s="4" t="inlineStr">
        <is>
          <t>Excluded</t>
        </is>
      </c>
      <c r="E106" s="4" t="inlineStr">
        <is>
          <t>No</t>
        </is>
      </c>
      <c r="F106" s="4" t="inlineStr">
        <is>
          <t>Title/abstract screening</t>
        </is>
      </c>
      <c r="G106" s="4" t="n"/>
      <c r="H106" s="4" t="n"/>
      <c r="I106" s="4" t="n"/>
      <c r="J106" s="4" t="inlineStr">
        <is>
          <t>No estudia ASD en el sentido del protocolo, usa otro significado de ASD o aborda otra población/resultado sin aplicación pertinente al proceso ASD.</t>
        </is>
      </c>
      <c r="K106" s="4" t="n"/>
      <c r="L106" s="4" t="n"/>
      <c r="M106" s="4" t="n">
        <v>2026</v>
      </c>
      <c r="N106" s="4" t="inlineStr">
        <is>
          <t>Large Language Models for Psychiatric Diagnosis Based on Multicenter Real-World Clinical Records: Comparative Study</t>
        </is>
      </c>
      <c r="O106" s="4" t="inlineStr">
        <is>
          <t>Maoqian Sun and Jia Yu and Zhuhong Long and Yun Yang and Tao Xiao and Jiaquan Liang and Jun Feng and Huaili Deng and Guoping Huang</t>
        </is>
      </c>
      <c r="P106" s="4" t="inlineStr">
        <is>
          <t>10.2196/77699</t>
        </is>
      </c>
      <c r="Q106" s="4" t="inlineStr">
        <is>
          <t>JMIR Medical Informatics</t>
        </is>
      </c>
      <c r="R106" s="4" t="inlineStr">
        <is>
          <t>article</t>
        </is>
      </c>
      <c r="S106" s="4" t="inlineStr">
        <is>
          <t>JMIR Publications Inc.</t>
        </is>
      </c>
      <c r="T106" s="4" t="inlineStr">
        <is>
          <t>https://doi.org/10.2196/77699</t>
        </is>
      </c>
      <c r="U106" s="4" t="n"/>
      <c r="V106" s="4" t="inlineStr">
        <is>
          <t>Background: Psychiatric disorders are diagnostically challenging and often rely on subjective clinical judgment, particularly in resource-limited settings. Large language models (LLMs) have demonstrated potential in supporting psychiatric diagnosis; however, robust evidence from large-scale, real-world clinical data remains limited. Objective: This study aimed to evaluate and compare the diagnostic performance of multiple LLMs for psychiatric disorders using multicenter real-world electronic health records (EHRs). Methods: We retrospectively analyzed 9923 inpatient EHRs collected from 6 psychiatric centers across China, encompassing all ICD-10 (International Statistical Classification of Diseases, Tenth Revision) psychiatric categories. In total, 3 LLMs—GPT-4.0 (OpenAI), GPT-3.5 (OpenAI), and GLM-4-Plus (Zhipu AI)—were evaluated against physician-confirmed discharge diagnoses. Diagnostic performance was assessed using strict accuracy criteria and lenient classification metrics, with subgroup analyses conducted across diagnostic categories and age groups. Results: GPT-4.0 achieved the highest overall strict diagnostic accuracy (71.7%) and the highest weighted F1-score under lenient evaluation (0.881), particularly for high-prevalence disorders, such as mood disorders and schizophrenia spectrum disorders. Diagnostic performance varied across age groups, with the highest accuracy observed in older adult patients (up to 79.5%) and lower accuracy in adolescents. Across centers, model performance remained stable, with no significant intercenter differences. Conclusions: LLMs—especially GPT-4.0—demonstrate promising capability in supporting psychiatric diagnosis using real-world EHRs. However, diagnostic performance varies by age group and disorder category. LLMs should be regarded as assistive tools rather than replacements for clinical judgment, and further validation is needed before routine clinical implementation.</t>
        </is>
      </c>
      <c r="W106" s="4" t="inlineStr">
        <is>
          <t>title_abstract_plus_targeted_primary_source_verification</t>
        </is>
      </c>
      <c r="X106" s="4" t="inlineStr">
        <is>
          <t>doi:10.2196/77699</t>
        </is>
      </c>
      <c r="Y106" s="4" t="n"/>
      <c r="Z106" s="4" t="n"/>
      <c r="AA106" s="4" t="n"/>
      <c r="AB106" s="40" t="n"/>
    </row>
    <row r="107" ht="409" customHeight="1">
      <c r="A107" s="4" t="n">
        <v>106</v>
      </c>
      <c r="B107" s="4" t="inlineStr">
        <is>
          <t>already_in_current_276</t>
        </is>
      </c>
      <c r="C107" s="4" t="inlineStr">
        <is>
          <t>No agregar: ya está en los 276</t>
        </is>
      </c>
      <c r="D107" s="4" t="inlineStr">
        <is>
          <t>Already in base 276</t>
        </is>
      </c>
      <c r="E107" s="4" t="inlineStr">
        <is>
          <t>No</t>
        </is>
      </c>
      <c r="F107" s="4" t="inlineStr">
        <is>
          <t>Deduplication against base corpus</t>
        </is>
      </c>
      <c r="G107" s="4" t="n"/>
      <c r="H107" s="4" t="n"/>
      <c r="I107" s="4" t="n"/>
      <c r="J107" s="4" t="inlineStr">
        <is>
          <t>Coincidencia por DOI o título normalizado con el corpus analítico vigente de 276 estudios.</t>
        </is>
      </c>
      <c r="K107" s="4" t="n"/>
      <c r="L107" s="4" t="n">
        <v>266</v>
      </c>
      <c r="M107" s="4" t="n">
        <v>2025</v>
      </c>
      <c r="N107" s="4" t="inlineStr">
        <is>
          <t>Prenatal exposure to criteria air pollution and traffic-related air toxics and risk of autism spectrum disorder: A population-based cohort study of California births (1990–2018)</t>
        </is>
      </c>
      <c r="O107" s="4" t="inlineStr">
        <is>
          <t>Karl O'Sharkey and Sanjali Mitra and Ting Chow and Seung a. Paik and Laura Thompson and Jason Su and Myles Cockburn and Beate Ritz</t>
        </is>
      </c>
      <c r="P107" s="4" t="inlineStr">
        <is>
          <t>10.1016/j.envint.2025.109562</t>
        </is>
      </c>
      <c r="Q107" s="4" t="inlineStr">
        <is>
          <t>Environment International</t>
        </is>
      </c>
      <c r="R107" s="4" t="inlineStr">
        <is>
          <t>article</t>
        </is>
      </c>
      <c r="S107" s="4" t="inlineStr">
        <is>
          <t>Elsevier Ltd</t>
        </is>
      </c>
      <c r="T107" s="4" t="inlineStr">
        <is>
          <t>https://www.sciencedirect.com/science/article/pii/S0160412025003137</t>
        </is>
      </c>
      <c r="U107" s="4" t="n"/>
      <c r="V107" s="4" t="inlineStr">
        <is>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is>
      </c>
      <c r="W107" s="4" t="inlineStr">
        <is>
          <t>title_abstract_plus_targeted_primary_source_verification</t>
        </is>
      </c>
      <c r="X107" s="4" t="inlineStr">
        <is>
          <t>doi:10.1016/j.envint.2025.109562</t>
        </is>
      </c>
      <c r="Y107" s="4" t="n"/>
      <c r="Z107" s="4" t="n"/>
      <c r="AA107" s="4" t="n"/>
      <c r="AB107" s="40" t="n"/>
    </row>
    <row r="108" ht="151" customHeight="1">
      <c r="A108" s="4" t="n">
        <v>107</v>
      </c>
      <c r="B108" s="4" t="inlineStr">
        <is>
          <t>exclude_secondary_or_nonempirical_publication</t>
        </is>
      </c>
      <c r="C108" s="4" t="inlineStr">
        <is>
          <t>Excluir: publicación secundaria/no empírica</t>
        </is>
      </c>
      <c r="D108" s="4" t="inlineStr">
        <is>
          <t>Excluded</t>
        </is>
      </c>
      <c r="E108" s="4" t="inlineStr">
        <is>
          <t>No</t>
        </is>
      </c>
      <c r="F108" s="4" t="inlineStr">
        <is>
          <t>Title/abstract screening</t>
        </is>
      </c>
      <c r="G108" s="4" t="n"/>
      <c r="H108" s="4" t="n"/>
      <c r="I108" s="4" t="n"/>
      <c r="J108" s="4" t="inlineStr">
        <is>
          <t>Revisión, metaanálisis, encuesta de literatura, protocolo, perspectiva, carta, editorial o capítulo de síntesis sin estudio primario elegible.</t>
        </is>
      </c>
      <c r="K108" s="4" t="n"/>
      <c r="L108" s="4" t="n"/>
      <c r="M108" s="4" t="n">
        <v>2026</v>
      </c>
      <c r="N108" s="4" t="inlineStr">
        <is>
          <t>Developing and Validating Measures of Structural Ableism to Improve Health Outcomes for the Disability Community: Protocol for a Mixed Methods Study</t>
        </is>
      </c>
      <c r="O108" s="4" t="inlineStr">
        <is>
          <t>Rupa S Valdez and Bonnielin K Swenor and Franz Castro and Caroline Cerilli and Bailey A Middleton and Kara S Fitzgibbon and Ashley Shew and Varshini Varadaraj and Hari Srinivasan and Diana Cejas</t>
        </is>
      </c>
      <c r="P108" s="4" t="inlineStr">
        <is>
          <t>10.2196/86976</t>
        </is>
      </c>
      <c r="Q108" s="4" t="inlineStr">
        <is>
          <t>JMIR Research Protocols</t>
        </is>
      </c>
      <c r="R108" s="4" t="inlineStr">
        <is>
          <t>article</t>
        </is>
      </c>
      <c r="S108" s="4" t="inlineStr">
        <is>
          <t>JMIR Publications Inc.</t>
        </is>
      </c>
      <c r="T108" s="4" t="inlineStr">
        <is>
          <t>https://doi.org/10.2196/86976</t>
        </is>
      </c>
      <c r="U108" s="4" t="n"/>
      <c r="V108" s="4" t="n"/>
      <c r="W108" s="4" t="inlineStr">
        <is>
          <t>title_abstract_plus_targeted_primary_source_verification</t>
        </is>
      </c>
      <c r="X108" s="4" t="inlineStr">
        <is>
          <t>doi:10.2196/86976</t>
        </is>
      </c>
      <c r="Y108" s="4" t="n"/>
      <c r="Z108" s="4" t="n"/>
      <c r="AA108" s="4" t="n"/>
      <c r="AB108" s="40" t="n"/>
    </row>
    <row r="109" ht="409" customHeight="1">
      <c r="A109" s="4" t="n">
        <v>108</v>
      </c>
      <c r="B109" s="4" t="inlineStr">
        <is>
          <t>include_after_full_text_open_access</t>
        </is>
      </c>
      <c r="C109" s="4" t="inlineStr">
        <is>
          <t>Incluir tras revisión de texto completo abierto</t>
        </is>
      </c>
      <c r="D109" s="4" t="inlineStr">
        <is>
          <t>Provisional include</t>
        </is>
      </c>
      <c r="E109" s="4" t="inlineStr">
        <is>
          <t>Sí</t>
        </is>
      </c>
      <c r="F109" s="4" t="inlineStr">
        <is>
          <t>Full-text review</t>
        </is>
      </c>
      <c r="G109" s="4" t="n"/>
      <c r="H109" s="4" t="n"/>
      <c r="I109" s="4" t="n"/>
      <c r="J109" s="4" t="inlineStr">
        <is>
          <t>Texto completo confirma estudio primario con Hybrid aplicado a ASD (Classification (ASD vs control)).</t>
        </is>
      </c>
      <c r="K109" s="4" t="n"/>
      <c r="L109" s="4" t="n"/>
      <c r="M109" s="4" t="n">
        <v>2025</v>
      </c>
      <c r="N109" s="4" t="inlineStr">
        <is>
          <t>Awareness with Machine: Hybrid Approach to Detecting ASD with a Clustering</t>
        </is>
      </c>
      <c r="O109" s="4" t="inlineStr">
        <is>
          <t>Gozde Karatas Baydogmus and Onder Demir</t>
        </is>
      </c>
      <c r="P109" s="4" t="inlineStr">
        <is>
          <t>10.32604/cmc.2025.062643</t>
        </is>
      </c>
      <c r="Q109" s="4" t="inlineStr">
        <is>
          <t>Computers, Materials and Continua</t>
        </is>
      </c>
      <c r="R109" s="4" t="inlineStr">
        <is>
          <t>article</t>
        </is>
      </c>
      <c r="S109" s="4" t="inlineStr">
        <is>
          <t>Tech Science Press</t>
        </is>
      </c>
      <c r="T109" s="4" t="inlineStr">
        <is>
          <t>https://cdn.techscience.press/files/cmc/2025/TSP_CMC-84-2/TSP_CMC_62643/TSP_CMC_62643.pdf</t>
        </is>
      </c>
      <c r="U109" s="4" t="inlineStr">
        <is>
          <t>Texto completo abierto revisado; evidencia y codificación en Extraccion_RQ_nuevos.</t>
        </is>
      </c>
      <c r="V109" s="4" t="inlineStr">
        <is>
          <t>Detection of Autism Spectrum Disorder (ASD) is a crucial area of research, representing a foundational aspect of psychological studies. The advancement of technology and the widespread adoption of machine learning methodologies have brought significant attention to this field in recent years. Interdisciplinary efforts have further propelled research into detection methods. Consequently, this study aims to contribute to both the fields of psychology and computer science. Specifically, the goal is to apply machine learning techniques to limited data for the detection of Autism Spectrum Disorder. This study is structured into two distinct phases: data preprocessing and classification. In the data preprocessing phase, four datasets—Toddler, Children, Adolescent, and Adult—were converted into numerical form, adjusted as necessary, and subsequently clustered. Clustering was performed using six different methods: K-means, agglomerative, DBSCAN (Density-Based Spatial Clustering of Applications with Noise), mean shift, spectral, and Birch. In the second phase, the clustered ASD data were classified. The model’s accuracy was assessed using 5-fold cross-validation to ensure robust evaluation. In total, ten distinct machine learning algorithms were employed. The findings indicate that all clustering methods demonstrated success with various classifiers. Notably, the K-means algorithm emerged as particularly effective, achieving consistent and significant results across all datasets. This study is expected to serve as a guide for improving ASD detection performance, even with minimal data availability.</t>
        </is>
      </c>
      <c r="W109" s="4" t="inlineStr">
        <is>
          <t>open_full_text_review_2026_09_04</t>
        </is>
      </c>
      <c r="X109" s="4" t="inlineStr">
        <is>
          <t>doi:10.32604/cmc.2025.062643</t>
        </is>
      </c>
      <c r="Y109" s="4" t="n"/>
      <c r="Z109" s="4" t="n"/>
      <c r="AA109" s="4" t="n"/>
      <c r="AB109" s="40" t="n"/>
    </row>
    <row r="110" ht="409" customHeight="1">
      <c r="A110" s="4" t="n">
        <v>109</v>
      </c>
      <c r="B110" s="4" t="inlineStr">
        <is>
          <t>exclude_out_of_scope_topic_or_population</t>
        </is>
      </c>
      <c r="C110" s="4" t="inlineStr">
        <is>
          <t>Excluir: tema/población fuera de alcance</t>
        </is>
      </c>
      <c r="D110" s="4" t="inlineStr">
        <is>
          <t>Excluded</t>
        </is>
      </c>
      <c r="E110" s="4" t="inlineStr">
        <is>
          <t>No</t>
        </is>
      </c>
      <c r="F110" s="4" t="inlineStr">
        <is>
          <t>Title/abstract screening</t>
        </is>
      </c>
      <c r="G110" s="4" t="n"/>
      <c r="H110" s="4" t="n"/>
      <c r="I110" s="4" t="n"/>
      <c r="J110" s="4" t="inlineStr">
        <is>
          <t>No estudia ASD en el sentido del protocolo, usa otro significado de ASD o aborda otra población/resultado sin aplicación pertinente al proceso ASD.</t>
        </is>
      </c>
      <c r="K110" s="4" t="n"/>
      <c r="L110" s="4" t="n"/>
      <c r="M110" s="4" t="n">
        <v>2026</v>
      </c>
      <c r="N110" s="4" t="inlineStr">
        <is>
          <t>Balancing Privacy and Utility in Child and Adolescent Mental Health Services Research: Retrospective Cohort Study on Synthetic Data Generation</t>
        </is>
      </c>
      <c r="O110" s="4" t="inlineStr">
        <is>
          <t>Mounir Haizoune and Bennett L Leventhal and Dipendra Pant and Øystein Nytrø and Kaban Koochakpour and Roman A Koposov and Lars Ravn Øhlckers and Norbert Skokauskas</t>
        </is>
      </c>
      <c r="P110" s="4" t="inlineStr">
        <is>
          <t>10.2196/71819</t>
        </is>
      </c>
      <c r="Q110" s="4" t="inlineStr">
        <is>
          <t>JMIR Medical Informatics</t>
        </is>
      </c>
      <c r="R110" s="4" t="inlineStr">
        <is>
          <t>article</t>
        </is>
      </c>
      <c r="S110" s="4" t="inlineStr">
        <is>
          <t>JMIR Publications Inc.</t>
        </is>
      </c>
      <c r="T110" s="4" t="inlineStr">
        <is>
          <t>https://doi.org/10.2196/71819</t>
        </is>
      </c>
      <c r="U110" s="4" t="n"/>
      <c r="V110" s="4" t="inlineStr">
        <is>
          <t>Background: Electronic health records are essential for advancing research aimed at improving clinical outcomes. However, stringent data protection and privacy concerns severely limit the accessibility and use of real clinical data, particularly within Child and Adolescent Mental Health Services (CAMHS) involving vulnerable young individuals. This challenge can be effectively addressed through synthetic data generation, which safeguards individual privacy while facilitating comprehensive analyses of clinical information. Objective: This study aims to investigate whether hierarchical synthetic data generators (SDGs) can effectively replicate the statistical properties, preserve the utility, and maintain the privacy of real CAMHS clinical data, thereby enabling data sharing and broader access to research-ready datasets. Methods: This retrospective cohort study used electronic medical record data from 6924 distinct patients from CAMHS in Stavanger, Norway, comprising 7730 referral periods and 58,524 episodes of care. An 80%-20% split was used for training and testing. A hierarchical synthetic data generation model was trained to generate synthetic referral periods and associated episodes of care. Data quality was evaluated using SDMetrics for distribution (Kolmogorov-Smirnov Complement [KSC]/Total Variation Complement [TVC]), correlation (CorrelationSimilarity [CS]), and cardinality (CardinalityShapeSimilarity [CSS]) similarity. Privacy was evaluated using the Anonymeter library to simulate singling out, linkability, and inference reidentification attacks. Utility was assessed using the train synthetic test real (TSTR) pattern, comparing the predictive performance using precision-recall area under the curve [PRAUC] of models trained on synthetic vs real data for classifying the intensity of care. Results: The hierarchical SDG created highly reproducible synthetic CAMHS data. The average statistical similarity scores were high across all metrics: KSC/TVC at 0.92, CS at 0.77 (intertable CS at 0.75), and CSS at 0.92. The synthetic data also demonstrated a low risk under simulated privacy attacks on a control dataset (n=1546): the average success rate was 6/1546 (0.39%) for singling out and 77/1546 (5%) for multivariate attacks. The average linkability risk was 54/1546 (0.5%), and the highest inference risk for a sensitive variable was 2/1546 (0.12%). The classification model trained on synthetic data (TSTR) produced comparable predictive performance (PRAUC=0.40) to the model trained on real data (PRAUC=0.43) for classifying the intensity of care (low vs medium or higher). Shapley additive explanations analysis confirmed that the synthetic model’s explanations aligned with real-world insights, validating its ability to capture fundamental predictive patterns. Conclusions: Synthetic data can be used to build trust and promote collaboration among CAMHS researchers by offering access to extensive, representative samples with a low risk of patient identification. This approach expands the breadth of research while safeguarding patient privacy. Effective implementation of synthetic data generation depends on the model’s ability to accurately identify and replicate the complex, sequential patterns present in real data.</t>
        </is>
      </c>
      <c r="W110" s="4" t="inlineStr">
        <is>
          <t>title_abstract_plus_targeted_primary_source_verification</t>
        </is>
      </c>
      <c r="X110" s="4" t="inlineStr">
        <is>
          <t>doi:10.2196/71819</t>
        </is>
      </c>
      <c r="Y110" s="4" t="n"/>
      <c r="Z110" s="4" t="n"/>
      <c r="AA110" s="4" t="n"/>
      <c r="AB110" s="40" t="n"/>
    </row>
    <row r="111" ht="409" customHeight="1">
      <c r="A111" s="4" t="n">
        <v>110</v>
      </c>
      <c r="B111" s="4" t="inlineStr">
        <is>
          <t>include_after_title_abstract_screen</t>
        </is>
      </c>
      <c r="C111" s="4" t="inlineStr">
        <is>
          <t>Incluir provisionalmente</t>
        </is>
      </c>
      <c r="D111" s="4" t="inlineStr">
        <is>
          <t>Provisional include</t>
        </is>
      </c>
      <c r="E111" s="4" t="inlineStr">
        <is>
          <t>Sí</t>
        </is>
      </c>
      <c r="F111" s="4" t="inlineStr">
        <is>
          <t>Title/abstract screening</t>
        </is>
      </c>
      <c r="G111" s="4" t="n"/>
      <c r="H111" s="4" t="n"/>
      <c r="I111" s="4" t="n"/>
      <c r="J111" s="4" t="inlineStr">
        <is>
          <t>Estudio primario o implementación/evaluación empírica de IA, aprendizaje automático o modelado computacional aplicado a ASD, riesgo, caracterización, apoyo o intervención.</t>
        </is>
      </c>
      <c r="K111" s="4" t="n"/>
      <c r="L111" s="4" t="n"/>
      <c r="M111" s="4" t="n">
        <v>2025</v>
      </c>
      <c r="N111" s="4" t="inlineStr">
        <is>
          <t>A deep learning model for diagnosing autism using brain time series</t>
        </is>
      </c>
      <c r="O111" s="4" t="inlineStr">
        <is>
          <t>Xianchen Wang and Can Pei and Jianbiao He and Jinyang Xu</t>
        </is>
      </c>
      <c r="P111" s="4" t="inlineStr">
        <is>
          <t>10.1016/j.neuroscience.2025.08.001</t>
        </is>
      </c>
      <c r="Q111" s="4" t="inlineStr">
        <is>
          <t>Neuroscience</t>
        </is>
      </c>
      <c r="R111" s="4" t="inlineStr">
        <is>
          <t>article</t>
        </is>
      </c>
      <c r="S111" s="4" t="inlineStr">
        <is>
          <t>Elsevier Ltd</t>
        </is>
      </c>
      <c r="T111" s="4" t="inlineStr">
        <is>
          <t>https://www.sciencedirect.com/science/article/pii/S0306452225008346</t>
        </is>
      </c>
      <c r="U111" s="4" t="n"/>
      <c r="V111" s="4" t="inlineStr">
        <is>
          <t>The early identification of autism is especially critical as it can significantly enhance the effectiveness of intervention strategies. However, the recognition task remains challenging due to the subtle differences between ASD patients and neurotypical individuals. The presented approach leverages a hybrid model that combines Long Short-Term Memory (LSTM) networks with an Attention mechanism, enabling the extraction of both long-term and short-term features for more accurate autism diagnosis. Additionally, we integrate a residual block with channel Attention to enhance feature fusion and mitigate the risk of network degradation. Innovatively, we introduce a sliding window-based data preprocessing method alongside a voting strategy and validate the framework using subject-level 5-fold cross-validation to ensure generalizability across data splits. Our model was evaluated on the Region of Interest (ROI) time series dataset from the Autism Brain Imaging Data Exchange (ABIDE), achieving 73.1 % accuracy on the DOS brain atlas and 81.1 % on the HO brain atlas—outperforming baseline models. Moreover, we constructed brain functional connectivity topological structures for both ASD patients and healthy individuals, providing valuable resources for future autism research.</t>
        </is>
      </c>
      <c r="W111" s="4" t="inlineStr">
        <is>
          <t>title_abstract_plus_targeted_primary_source_verification</t>
        </is>
      </c>
      <c r="X111" s="4" t="inlineStr">
        <is>
          <t>doi:10.1016/j.neuroscience.2025.08.001</t>
        </is>
      </c>
      <c r="Y111" s="4" t="n"/>
      <c r="Z111" s="4" t="n"/>
      <c r="AA111" s="4" t="n"/>
      <c r="AB111" s="40" t="n"/>
    </row>
    <row r="112" ht="409" customHeight="1">
      <c r="A112" s="4" t="n">
        <v>111</v>
      </c>
      <c r="B112" s="4" t="inlineStr">
        <is>
          <t>exclude_out_of_scope_topic_or_population</t>
        </is>
      </c>
      <c r="C112" s="4" t="inlineStr">
        <is>
          <t>Excluir: tema/población fuera de alcance</t>
        </is>
      </c>
      <c r="D112" s="4" t="inlineStr">
        <is>
          <t>Excluded</t>
        </is>
      </c>
      <c r="E112" s="4" t="inlineStr">
        <is>
          <t>No</t>
        </is>
      </c>
      <c r="F112" s="4" t="inlineStr">
        <is>
          <t>Title/abstract screening</t>
        </is>
      </c>
      <c r="G112" s="4" t="n"/>
      <c r="H112" s="4" t="n"/>
      <c r="I112" s="4" t="n"/>
      <c r="J112" s="4" t="inlineStr">
        <is>
          <t>No estudia ASD en el sentido del protocolo, usa otro significado de ASD o aborda otra población/resultado sin aplicación pertinente al proceso ASD.</t>
        </is>
      </c>
      <c r="K112" s="4" t="n"/>
      <c r="L112" s="4" t="n"/>
      <c r="M112" s="4" t="n">
        <v>2026</v>
      </c>
      <c r="N112" s="4" t="inlineStr">
        <is>
          <t>Identifying Undiagnosed High-Risk Suicidality Cases by Matching Patients With a Similar Comorbidity Burden: Retrospective Observational Study</t>
        </is>
      </c>
      <c r="O112" s="4" t="inlineStr">
        <is>
          <t>Louisa Bode and Rena Xu and Matthew Garber and Kenneth D Mandl and Andrew J McMurry</t>
        </is>
      </c>
      <c r="P112" s="4" t="inlineStr">
        <is>
          <t>10.2196/81499</t>
        </is>
      </c>
      <c r="Q112" s="4" t="inlineStr">
        <is>
          <t>JMIR Formative Research</t>
        </is>
      </c>
      <c r="R112" s="4" t="inlineStr">
        <is>
          <t>article</t>
        </is>
      </c>
      <c r="S112" s="4" t="inlineStr">
        <is>
          <t>JMIR Publications Inc.</t>
        </is>
      </c>
      <c r="T112" s="4" t="inlineStr">
        <is>
          <t>https://doi.org/10.2196/81499</t>
        </is>
      </c>
      <c r="U112" s="4" t="n"/>
      <c r="V112" s="4" t="inlineStr">
        <is>
          <t>Background: Suicide is the second leading cause of death for children and adolescents aged 6 to 18 years. Pediatric suicidality is underreported, which poses significant challenges for effective intervention and prevention strategies. Identifying populations at risk of suicidality can provide critical benefits in terms of study cohort selection, prevalence estimation, and clinical resource allocation. Objective: This study sought to (1) measure the prevalence of mental health comorbidities in pediatric suicidality and (2) identify undiagnosed high-risk suicidality cases by matching them with patients with a similar mental health comorbidity burden. Methods: Electronic health record data from a large academic pediatric hospital in Boston, Massachusetts, were analyzed for patients aged 6 to 18 years presenting to the emergency department between June 1, 2016, and June 1, 2022. Suicidality cases were defined using International Classification of Diseases, 10th Revision (ICD-10) codes for 3 suicidality subtypes: suicidal ideation, self-harm, and suicide attempt. Comorbidities of suicidality were calculated as the conditional probability of ICD-10 code pairs. After multiple hypothesis corrections, statistically significant comorbidities and patient encounter demographics were input as covariates into a propensity score matching (PSM) model. The accuracy of the PSM model was validated against chart review by 2 independent subject matter experts. Results: In total, 2.9% (2638/90,980) of emergency department encounters met an ICD-10–based case definition of suicidality during the study period. The prevalence of suicidality by subtype was 2.5% (2275/90,980) for ideation, 1.1% (1030/90,980) for self-harm, and 0.2% (177/90,980) for suicide attempt. Suicidality prevalence was more common for the female sex (1825/43,929, 4.2%) than for the male sex (813/47,045, 1.7%). Comorbidities of suicidality were statistically significant for 55 frequently co-occurring ICD-10 codes. Nearly half of these comorbidities (26/55, 47.3%) were not present in the Diagnostic and Statistical Manual of Mental Disorders, Fifth Edition, and nearly a quarter (12/55, 21.8%) consisted of ICD-10 codes for accidental rather than intentional self-harm. Increased probability of suicidality was observed for patients with personality disorder (84/190, 44.2%), gender dysphoria (143/333, 42.9%), bipolar disorder (162/448, 36.2%), depression (1791/5426, 33%), and schizophrenia spectrum disorders (133/411, 32.4%). On the basis of gold-standard chart review, 53.4% of propensity-matched noncases were unrecognized cases of suicidality. Conclusions: PSM using comorbidity profiles is an effective approach for identifying suicidality cases that lack ICD-10 codes for suicidality.</t>
        </is>
      </c>
      <c r="W112" s="4" t="inlineStr">
        <is>
          <t>title_abstract_plus_targeted_primary_source_verification</t>
        </is>
      </c>
      <c r="X112" s="4" t="inlineStr">
        <is>
          <t>doi:10.2196/81499</t>
        </is>
      </c>
      <c r="Y112" s="4" t="n"/>
      <c r="Z112" s="4" t="n"/>
      <c r="AA112" s="4" t="n"/>
      <c r="AB112" s="40" t="n"/>
    </row>
    <row r="113" ht="409" customHeight="1">
      <c r="A113" s="4" t="n">
        <v>112</v>
      </c>
      <c r="B113" s="4" t="inlineStr">
        <is>
          <t>exclude_no_qualifying_ai_application</t>
        </is>
      </c>
      <c r="C113" s="4" t="inlineStr">
        <is>
          <t>Excluir: sin aplicación de IA elegible</t>
        </is>
      </c>
      <c r="D113" s="4" t="inlineStr">
        <is>
          <t>Excluded</t>
        </is>
      </c>
      <c r="E113" s="4" t="inlineStr">
        <is>
          <t>No</t>
        </is>
      </c>
      <c r="F113" s="4" t="inlineStr">
        <is>
          <t>Title/abstract screening</t>
        </is>
      </c>
      <c r="G113" s="4" t="n"/>
      <c r="H113" s="4" t="n"/>
      <c r="I113" s="4" t="n"/>
      <c r="J113" s="4" t="inlineStr">
        <is>
          <t>El trabajo no implementa ni evalúa una técnica de IA/ML como componente sustantivo del estudio de ASD.</t>
        </is>
      </c>
      <c r="K113" s="4" t="n"/>
      <c r="L113" s="4" t="n"/>
      <c r="M113" s="4" t="n">
        <v>2025</v>
      </c>
      <c r="N113" s="4" t="inlineStr">
        <is>
          <t>Assessment of stress levels in mothers of children with autism spectrum disorder using video self-modeling during children's dental procedure</t>
        </is>
      </c>
      <c r="O113" s="4" t="inlineStr">
        <is>
          <t>Kripa Dutta and Kavita Rai and Amarshree A Shetty and H Ananthu and Manju Raman Nair</t>
        </is>
      </c>
      <c r="P113" s="4" t="inlineStr">
        <is>
          <t>10.1016/j.jobcr.2025.05.005</t>
        </is>
      </c>
      <c r="Q113" s="4" t="inlineStr">
        <is>
          <t>Journal of Oral Biology and Craniofacial Research</t>
        </is>
      </c>
      <c r="R113" s="4" t="inlineStr">
        <is>
          <t>article</t>
        </is>
      </c>
      <c r="S113" s="4" t="inlineStr">
        <is>
          <t>Elsevier B.V.</t>
        </is>
      </c>
      <c r="T113" s="4" t="inlineStr">
        <is>
          <t>https://www.sciencedirect.com/science/article/pii/S2212426825001095</t>
        </is>
      </c>
      <c r="U113" s="4" t="n"/>
      <c r="V113" s="4" t="inlineStr">
        <is>
          <t>Background: Autism Spectrum Disorder (ASD) is a neurodevelopmental condition affecting social interaction, communication, and behavior. Mothers of children with ASD often experience chronic stress, leading to dysregulation of the hypothalamic-pituitary-adrenal (HPA) axis and low cortisol levels. Salivary cortisol, a non-invasive biomarker, reflects physiological stress responses. Effective behavior guidance in pediatric dentistry can improve the dental experience for children with ASD and reduce maternal stress. Video self-modeling (VSM) is a promising intervention to enhance cooperation in children with ASD during dental procedures. Aim: This study aimed to estimate the salivary cortisol levels in the mothers of children with ASD following the application of VSM as a behavior guidance technique for their children during dental procedures. Materials and methods: Twenty-two mothers of children with ASD (aged 6–12 years) participated. Salivary cortisol samples were collected at baseline and two weeks post-intervention. Cortisol levels were measured using enzyme-linked immunosorbent assay (ELISA), and a paired t-test compared pre- and post-intervention levels. Results: Pre-intervention cortisol levels ranged from 13.35 ng/ml to 63.35 ng/ml (mean 33.2 ± 15.8 ng/ml). Post-intervention levels increased, ranging from 13.35 ng/ml to 55.52 ng/ml and difference was statistically significant (mean 44.2 ± 10.1 ng/ml; t = −2.53, p = 0.019). Conclusion: This study highlights the bidirectional relationship between child behavior and maternal stress. VSM improved cooperation in children with ASD during dental procedures and positively impacted maternal stress, as shown by increased salivary cortisol, thus emphasizing the need for behavior interventions benefiting both children and their families.</t>
        </is>
      </c>
      <c r="W113" s="4" t="inlineStr">
        <is>
          <t>title_abstract_plus_targeted_primary_source_verification</t>
        </is>
      </c>
      <c r="X113" s="4" t="inlineStr">
        <is>
          <t>doi:10.1016/j.jobcr.2025.05.005</t>
        </is>
      </c>
      <c r="Y113" s="4" t="n"/>
      <c r="Z113" s="4" t="n"/>
      <c r="AA113" s="4" t="n"/>
      <c r="AB113" s="40" t="n"/>
    </row>
    <row r="114" ht="409" customHeight="1">
      <c r="A114" s="4" t="n">
        <v>113</v>
      </c>
      <c r="B114" s="4" t="inlineStr">
        <is>
          <t>exclude_out_of_scope_topic_or_population</t>
        </is>
      </c>
      <c r="C114" s="4" t="inlineStr">
        <is>
          <t>Excluir: tema/población fuera de alcance</t>
        </is>
      </c>
      <c r="D114" s="4" t="inlineStr">
        <is>
          <t>Excluded</t>
        </is>
      </c>
      <c r="E114" s="4" t="inlineStr">
        <is>
          <t>No</t>
        </is>
      </c>
      <c r="F114" s="4" t="inlineStr">
        <is>
          <t>Title/abstract screening</t>
        </is>
      </c>
      <c r="G114" s="4" t="n"/>
      <c r="H114" s="4" t="n"/>
      <c r="I114" s="4" t="n"/>
      <c r="J114" s="4" t="inlineStr">
        <is>
          <t>No estudia ASD en el sentido del protocolo, usa otro significado de ASD o aborda otra población/resultado sin aplicación pertinente al proceso ASD.</t>
        </is>
      </c>
      <c r="K114" s="4" t="n"/>
      <c r="L114" s="4" t="n"/>
      <c r="M114" s="4" t="n">
        <v>2026</v>
      </c>
      <c r="N114" s="4" t="inlineStr">
        <is>
          <t>Digital Health Technology Use Among Rehabilitation Professionals in China: Multi-Province Cross-Sectional Survey</t>
        </is>
      </c>
      <c r="O114" s="4" t="inlineStr">
        <is>
          <t>Shuning Duan and Zi Ru Wang and Xier Chen and Guoxin Ni</t>
        </is>
      </c>
      <c r="P114" s="4" t="inlineStr">
        <is>
          <t>10.2196/90623</t>
        </is>
      </c>
      <c r="Q114" s="4" t="inlineStr">
        <is>
          <t>Journal of Medical Internet Research</t>
        </is>
      </c>
      <c r="R114" s="4" t="inlineStr">
        <is>
          <t>article</t>
        </is>
      </c>
      <c r="S114" s="4" t="inlineStr">
        <is>
          <t>JMIR Publications Inc.</t>
        </is>
      </c>
      <c r="T114" s="4" t="inlineStr">
        <is>
          <t>https://doi.org/10.2196/90623</t>
        </is>
      </c>
      <c r="U114" s="4" t="n"/>
      <c r="V114" s="4" t="inlineStr">
        <is>
          <t>Background: The rapid expansion of rehabilitation needs in China has intensified pressure on a workforce that remains unevenly distributed. Digital health technologies (DHTs) offer potential to increase service reach and efficiency. However, little is known about how rehabilitation professionals currently gather and document clinical information, nor about their readiness to integrate digital tools into routine practice within China’s rapidly digitalizing health system. Objective: This study aimed to describe how rehabilitation professionals in China collect subjective and objective clinical information, document patient data in routine practice, and assess their willingness to use DHTs in clinical settings. Methods: We conducted a multi-province observational cross-sectional survey using a culturally adapted questionnaire based on the World Health Organization Digital Health Interventions framework. The instrument assessed participant characteristics, information collection methods, documentation practices, and willingness to adopt digital functions across rehabilitation activities. Descriptive analyses and subgroup comparisons were performed on 324 complete responses from certified rehabilitation professionals. The multi-province cross-sectional online survey was conducted among licensed rehabilitation professionals in China with internet access. Participants were recruited through professional networks and social media platforms. Results: Respondents were drawn from 20 provincial-level administrative regions across China, including Fujian (n=72), Guangdong (n=77), and Shanxi (n=45), among others, with 82.7% (268/324) employed in public sector rehabilitation services. Traditional methods dominated clinical work. Face-to-face communication was used frequently for subjective assessment by 96.3% (312/324) of respondents, whereas digital channels such as email (22/324, 6.8%) and telephone (47/324, 14.5%) saw limited use. For objective information, visual observation (271/324, 83.7%) and manual measurement tools (195/324, 60.2%) remained the primary approaches, while motion capture technology (45/324, 13.8%) and wearable sensors (13/324, 4%) were rarely used. Documentation practices also relied heavily on analogue formats, with 82.1% (266/324) using handwritten notes and 60.2% (195/324) using paper templates. In contrast, willingness to adopt DHTs was consistently high, with 80.6% (261/324) of respondents indicating readiness to use digital systems for identity verification, 79.0% (256/324) for progress tracking, and 78.1% (253/324) for outcome measurement. Subgroup analyses revealed that educational level significantly influenced the adoption of advanced technologies, with master’s or doctoral degree holders reporting higher use of sensor-based assessment, motion capture, and wearable devices. In contrast, professional title and clinical specialty showed limited influence, with no significant differences observed for most digital health functions. Conclusions: Rehabilitation professionals in China demonstrate strong readiness to use DHTs, yet their routine practice remains largely paper-based and analogue. These findings provide evidence to inform implementation strategies, workforce training, and system-level planning aimed at accelerating digital transformation in rehabilitation services.</t>
        </is>
      </c>
      <c r="W114" s="4" t="inlineStr">
        <is>
          <t>title_abstract_plus_targeted_primary_source_verification</t>
        </is>
      </c>
      <c r="X114" s="4" t="inlineStr">
        <is>
          <t>doi:10.2196/90623</t>
        </is>
      </c>
      <c r="Y114" s="4" t="n"/>
      <c r="Z114" s="4" t="n"/>
      <c r="AA114" s="4" t="n"/>
      <c r="AB114" s="40" t="n"/>
    </row>
    <row r="115" ht="409" customHeight="1">
      <c r="A115" s="4" t="n">
        <v>114</v>
      </c>
      <c r="B115" s="4" t="inlineStr">
        <is>
          <t>already_in_current_276</t>
        </is>
      </c>
      <c r="C115" s="4" t="inlineStr">
        <is>
          <t>No agregar: ya está en los 276</t>
        </is>
      </c>
      <c r="D115" s="4" t="inlineStr">
        <is>
          <t>Already in base 276</t>
        </is>
      </c>
      <c r="E115" s="4" t="inlineStr">
        <is>
          <t>No</t>
        </is>
      </c>
      <c r="F115" s="4" t="inlineStr">
        <is>
          <t>Deduplication against base corpus</t>
        </is>
      </c>
      <c r="G115" s="4" t="n"/>
      <c r="H115" s="4" t="n"/>
      <c r="I115" s="4" t="n"/>
      <c r="J115" s="4" t="inlineStr">
        <is>
          <t>Coincidencia por DOI o título normalizado con el corpus analítico vigente de 276 estudios.</t>
        </is>
      </c>
      <c r="K115" s="4" t="n"/>
      <c r="L115" s="4" t="n">
        <v>27</v>
      </c>
      <c r="M115" s="4" t="n">
        <v>2025</v>
      </c>
      <c r="N115" s="4" t="inlineStr">
        <is>
          <t>An analytics-driven model for identifying autism spectrum disorder using eye tracking</t>
        </is>
      </c>
      <c r="O115" s="4" t="inlineStr">
        <is>
          <t>Deblina Mazumder Setu</t>
        </is>
      </c>
      <c r="P115" s="4" t="inlineStr">
        <is>
          <t>10.1016/j.health.2025.100409</t>
        </is>
      </c>
      <c r="Q115" s="4" t="inlineStr">
        <is>
          <t>Healthcare Analytics</t>
        </is>
      </c>
      <c r="R115" s="4" t="inlineStr">
        <is>
          <t>article</t>
        </is>
      </c>
      <c r="S115" s="4" t="inlineStr">
        <is>
          <t>Elsevier Inc.</t>
        </is>
      </c>
      <c r="T115" s="4" t="inlineStr">
        <is>
          <t>https://www.sciencedirect.com/science/article/pii/S2772442525000280</t>
        </is>
      </c>
      <c r="U115" s="4" t="n"/>
      <c r="V115" s="4" t="inlineStr">
        <is>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is>
      </c>
      <c r="W115" s="4" t="inlineStr">
        <is>
          <t>title_abstract_plus_targeted_primary_source_verification</t>
        </is>
      </c>
      <c r="X115" s="4" t="inlineStr">
        <is>
          <t>doi:10.1016/j.health.2025.100409</t>
        </is>
      </c>
      <c r="Y115" s="4" t="n"/>
      <c r="Z115" s="4" t="n"/>
      <c r="AA115" s="4" t="n"/>
      <c r="AB115" s="40" t="n"/>
    </row>
    <row r="116" ht="409" customHeight="1">
      <c r="A116" s="4" t="n">
        <v>115</v>
      </c>
      <c r="B116" s="4" t="inlineStr">
        <is>
          <t>exclude_out_of_scope_topic_or_population</t>
        </is>
      </c>
      <c r="C116" s="4" t="inlineStr">
        <is>
          <t>Excluir: tema/población fuera de alcance</t>
        </is>
      </c>
      <c r="D116" s="4" t="inlineStr">
        <is>
          <t>Excluded</t>
        </is>
      </c>
      <c r="E116" s="4" t="inlineStr">
        <is>
          <t>No</t>
        </is>
      </c>
      <c r="F116" s="4" t="inlineStr">
        <is>
          <t>Title/abstract screening</t>
        </is>
      </c>
      <c r="G116" s="4" t="n"/>
      <c r="H116" s="4" t="n"/>
      <c r="I116" s="4" t="n"/>
      <c r="J116" s="4" t="inlineStr">
        <is>
          <t>No estudia ASD en el sentido del protocolo, usa otro significado de ASD o aborda otra población/resultado sin aplicación pertinente al proceso ASD.</t>
        </is>
      </c>
      <c r="K116" s="4" t="n"/>
      <c r="L116" s="4" t="n"/>
      <c r="M116" s="4" t="n">
        <v>2026</v>
      </c>
      <c r="N116" s="4" t="inlineStr">
        <is>
          <t>Co-Designed Mental Health Screening App (Here for You) for University Students: Pilot Feasibility Mixed Methods Study</t>
        </is>
      </c>
      <c r="O116" s="4" t="inlineStr">
        <is>
          <t>Manik Inder Singh Sethi and Thirunavukarasu Manickam and Tanmoy Chakraborty and Suresh Bada Math</t>
        </is>
      </c>
      <c r="P116" s="4" t="inlineStr">
        <is>
          <t>10.2196/75616</t>
        </is>
      </c>
      <c r="Q116" s="4" t="inlineStr">
        <is>
          <t>JMIR Formative Research</t>
        </is>
      </c>
      <c r="R116" s="4" t="inlineStr">
        <is>
          <t>article</t>
        </is>
      </c>
      <c r="S116" s="4" t="inlineStr">
        <is>
          <t>JMIR Publications Inc.</t>
        </is>
      </c>
      <c r="T116" s="4" t="inlineStr">
        <is>
          <t>https://doi.org/10.2196/75616</t>
        </is>
      </c>
      <c r="U116" s="4" t="n"/>
      <c r="V116" s="4" t="inlineStr">
        <is>
          <t>Background: Mental health disorders are a growing public health concern among university students globally and in India, exacerbated by stigma and limited access to care. Mobile health (mHealth) apps offer a potential solution, but user engagement and cultural relevance remain key challenges. This pilot study evaluated Here for You, a mental health screening app co-designed with Indian university students to provide accessible, nonstigmatizing support. Objective: This mixed methods study aimed to (1) describe the user-centered codevelopment and pilot testing process of the Here for You app; (2) evaluate the app’s feasibility, user acceptability, and engagement; and (3) assess the concurrent validity of the app’s screening tool, the Depression, Anxiety, and Stress Scale-21 (DASS-21) against established clinical measures (Hamilton Depression Rating Scale [HAM-D], Hamilton Anxiety Rating Scale [HAM-A], and Perceived Stress Scale [PSS]). Methods: This study used a 4-phase user-centered design involving students with lived mental health experience, clinicians, and developers. A purposive sample of 30 university students (mean age 21, SD 1.8 years; n=15, 50% female) diagnosed with depression, anxiety, or stress participated. Participants completed the DASS-21 via the app and underwent clinical assessments using the HAM-D, HAM-A, and PSS scales. User experience was evaluated using the User Mobile App Rating Scale and qualitative feedback. Data analysis included Pearson correlation coefficients and thematic analysis. Results: App-based DASS-21 scores showed strong correlations with clinician-administered scales: HAM-D (r=0.819; P&lt;.001), HAM-A (r=0.887; P&lt;.001), and PSS (r=0.972; P&lt;.001), indicating high concurrent validity. However, wide CIs reflected the small sample size typical of pilot studies. The app received high usability ratings on a 5-point scale (User Mobile App Rating Scale mean score 4.4), exceeding published benchmarks for mental health apps in low-resource settings, particularly for functionality (mean 4.7, SD 0.3) and aesthetics (mean 4.5, SD 0.4). Qualitative feedback highlighted usability and enhanced privacy due to features such as quick exit, cultural resonance, and the desire for integrated support features. The co-design process directly addressed student concerns, implementing features such as simplified language and crisis support links. Conclusions: This pilot study provides preliminary evidence for the feasibility and user acceptability of the Here for You app, co-designed using a participatory approach with Indian university students. Strong correlations between app-based screening and clinical assessments (r=0.819, r=0.887, and r=0.972) suggest promising concurrent validity. These findings from a single-site pilot study require validation through multisite studies across diverse educational and cultural contexts before broader implementation recommendations. By integrating user experience, clinical rigor, and ethical safeguards, such as adherence to digital personal data protection guidelines, the app offers a culturally resonant and scalable model for digital mental health screening in low-resource settings. This approach underscores the value of the “nothing about us without us” principle in developing effective mHealth interventions.</t>
        </is>
      </c>
      <c r="W116" s="4" t="inlineStr">
        <is>
          <t>title_abstract_plus_targeted_primary_source_verification</t>
        </is>
      </c>
      <c r="X116" s="4" t="inlineStr">
        <is>
          <t>doi:10.2196/75616</t>
        </is>
      </c>
      <c r="Y116" s="4" t="n"/>
      <c r="Z116" s="4" t="n"/>
      <c r="AA116" s="4" t="n"/>
      <c r="AB116" s="40" t="n"/>
    </row>
    <row r="117" ht="409" customHeight="1">
      <c r="A117" s="4" t="n">
        <v>116</v>
      </c>
      <c r="B117" s="4" t="inlineStr">
        <is>
          <t>exclude_secondary_or_nonempirical_publication</t>
        </is>
      </c>
      <c r="C117" s="4" t="inlineStr">
        <is>
          <t>Excluir: publicación secundaria/no empírica</t>
        </is>
      </c>
      <c r="D117" s="4" t="inlineStr">
        <is>
          <t>Excluded</t>
        </is>
      </c>
      <c r="E117" s="4" t="inlineStr">
        <is>
          <t>No</t>
        </is>
      </c>
      <c r="F117" s="4" t="inlineStr">
        <is>
          <t>Title/abstract screening</t>
        </is>
      </c>
      <c r="G117" s="4" t="n"/>
      <c r="H117" s="4" t="n"/>
      <c r="I117" s="4" t="n"/>
      <c r="J117" s="4" t="inlineStr">
        <is>
          <t>Revisión, metaanálisis, encuesta de literatura, protocolo, perspectiva, carta, editorial o capítulo de síntesis sin estudio primario elegible.</t>
        </is>
      </c>
      <c r="K117" s="4" t="n"/>
      <c r="L117" s="4" t="n"/>
      <c r="M117" s="4" t="n">
        <v>2025</v>
      </c>
      <c r="N117" s="4" t="inlineStr">
        <is>
          <t>A bibliometric analysis of mindfulness-based interventions for individuals with autism spectrum disorder and their caregivers</t>
        </is>
      </c>
      <c r="O117" s="4" t="inlineStr">
        <is>
          <t>Xinlin Huang and Maosen Guan and Tatyana R Tomenko and Irina A Tuzankina and Valery A Chereshnev and Ningkun Xiao</t>
        </is>
      </c>
      <c r="P117" s="4" t="inlineStr">
        <is>
          <t>10.1016/j.reia.2025.202640</t>
        </is>
      </c>
      <c r="Q117" s="4" t="inlineStr">
        <is>
          <t>Research in Autism</t>
        </is>
      </c>
      <c r="R117" s="4" t="inlineStr">
        <is>
          <t>article</t>
        </is>
      </c>
      <c r="S117" s="4" t="inlineStr">
        <is>
          <t>Elsevier Ltd</t>
        </is>
      </c>
      <c r="T117" s="4" t="inlineStr">
        <is>
          <t>https://www.sciencedirect.com/science/article/pii/S3050656525001129</t>
        </is>
      </c>
      <c r="U117" s="4" t="n"/>
      <c r="V117" s="4" t="inlineStr">
        <is>
          <t>Background: Autism spectrum disorder (ASD) presents significant challenges for both individuals and caregivers, often leading to stress, anxiety, and depression. Although mindfulness-based interventions (MBIs) have emerged as a promising approach to alleviate these burdens, this field lacks a comprehensive bibliometric analysis. Aim: We discuss future research hotspots and directions, with the aim of helping researchers quickly identify key areas for collaboration and development in this field, thereby advancing the clinical application of MBIs and improving the physical and mental well-being of autistic individuals and their caregivers. Methodology: We analyzed data from the Web of Science Core Collection (WoSCC), which included 335 articles authored by 1213 researchers and published in 146 journals. We employed bibliometric tools to examine publication trends, citations, key authors, and institutions. We conducted keyword and thematic evolution analyses to identify research hotspots and emerging trends. Findings: Since 2013, research on MBIs for ASD has significantly increased, with the USA leading in both output and impact. Family-centered mindfulness interventions focused on caregivers’ well-being, particularly for mothers, were a key theme. Researchers widely used psychometric tools like the Beck Anxiety Inventory (BAI) and Parenting Stress Index (PSI). Emerging trends include the integration of MBI with artificial intelligence and remote interventions, which address sensory processing and social communication in ASD. Significance: This is the first bibliometric study on MBIs for ASD, highlighting their growing importance in improving mental health and reducing stress in both autistic individuals and caregivers. Future research should focus on personalized interventions and further explore the underlying mechanisms of MBIs.</t>
        </is>
      </c>
      <c r="W117" s="4" t="inlineStr">
        <is>
          <t>title_abstract_plus_targeted_primary_source_verification</t>
        </is>
      </c>
      <c r="X117" s="4" t="inlineStr">
        <is>
          <t>doi:10.1016/j.reia.2025.202640</t>
        </is>
      </c>
      <c r="Y117" s="4" t="n"/>
      <c r="Z117" s="4" t="n"/>
      <c r="AA117" s="4" t="n"/>
      <c r="AB117" s="40" t="n"/>
    </row>
    <row r="118" ht="112" customHeight="1">
      <c r="A118" s="4" t="n">
        <v>117</v>
      </c>
      <c r="B118" s="4" t="inlineStr">
        <is>
          <t>exclude_secondary_or_nonempirical_publication</t>
        </is>
      </c>
      <c r="C118" s="4" t="inlineStr">
        <is>
          <t>Excluir: publicación secundaria/no empírica</t>
        </is>
      </c>
      <c r="D118" s="4" t="inlineStr">
        <is>
          <t>Excluded</t>
        </is>
      </c>
      <c r="E118" s="4" t="inlineStr">
        <is>
          <t>No</t>
        </is>
      </c>
      <c r="F118" s="4" t="inlineStr">
        <is>
          <t>Title/abstract screening</t>
        </is>
      </c>
      <c r="G118" s="4" t="n"/>
      <c r="H118" s="4" t="n"/>
      <c r="I118" s="4" t="n"/>
      <c r="J118" s="4" t="inlineStr">
        <is>
          <t>Revisión, metaanálisis, encuesta de literatura, protocolo, perspectiva, carta, editorial o capítulo de síntesis sin estudio primario elegible.</t>
        </is>
      </c>
      <c r="K118" s="4" t="n"/>
      <c r="L118" s="4" t="n"/>
      <c r="M118" s="4" t="n">
        <v>2026</v>
      </c>
      <c r="N118" s="4" t="inlineStr">
        <is>
          <t>Therapeutic Interaction Features of AI Chatbots in Depression Interventions: Systematic Review and Meta-Analysis</t>
        </is>
      </c>
      <c r="O118" s="4" t="inlineStr">
        <is>
          <t>Ting Huang and Shuangyu Li and Yanzhong Wang and Wei Liu</t>
        </is>
      </c>
      <c r="P118" s="4" t="inlineStr">
        <is>
          <t>10.2196/88697</t>
        </is>
      </c>
      <c r="Q118" s="4" t="inlineStr">
        <is>
          <t>Journal of Medical Internet Research</t>
        </is>
      </c>
      <c r="R118" s="4" t="inlineStr">
        <is>
          <t>article</t>
        </is>
      </c>
      <c r="S118" s="4" t="inlineStr">
        <is>
          <t>JMIR Publications Inc.</t>
        </is>
      </c>
      <c r="T118" s="4" t="inlineStr">
        <is>
          <t>https://doi.org/10.2196/88697</t>
        </is>
      </c>
      <c r="U118" s="4" t="n"/>
      <c r="V118" s="4" t="n"/>
      <c r="W118" s="4" t="inlineStr">
        <is>
          <t>title_abstract_plus_targeted_primary_source_verification</t>
        </is>
      </c>
      <c r="X118" s="4" t="inlineStr">
        <is>
          <t>doi:10.2196/88697</t>
        </is>
      </c>
      <c r="Y118" s="4" t="n"/>
      <c r="Z118" s="4" t="n"/>
      <c r="AA118" s="4" t="n"/>
      <c r="AB118" s="40" t="n"/>
    </row>
    <row r="119" ht="409" customHeight="1">
      <c r="A119" s="4" t="n">
        <v>118</v>
      </c>
      <c r="B119" s="4" t="inlineStr">
        <is>
          <t>include_after_title_abstract_screen</t>
        </is>
      </c>
      <c r="C119" s="4" t="inlineStr">
        <is>
          <t>Incluir provisionalmente</t>
        </is>
      </c>
      <c r="D119" s="4" t="inlineStr">
        <is>
          <t>Provisional include</t>
        </is>
      </c>
      <c r="E119" s="4" t="inlineStr">
        <is>
          <t>Sí</t>
        </is>
      </c>
      <c r="F119" s="4" t="inlineStr">
        <is>
          <t>Title/abstract screening</t>
        </is>
      </c>
      <c r="G119" s="4" t="n"/>
      <c r="H119" s="4" t="n"/>
      <c r="I119" s="4" t="n"/>
      <c r="J119" s="4" t="inlineStr">
        <is>
          <t>Estudio primario o implementación/evaluación empírica de IA, aprendizaje automático o modelado computacional aplicado a ASD, riesgo, caracterización, apoyo o intervención.</t>
        </is>
      </c>
      <c r="K119" s="4" t="n"/>
      <c r="L119" s="4" t="n"/>
      <c r="M119" s="4" t="n">
        <v>2025</v>
      </c>
      <c r="N119" s="4" t="inlineStr">
        <is>
          <t>Massively parallel characterization of non-coding de novo mutations in autism spectrum disorder</t>
        </is>
      </c>
      <c r="O119" s="4" t="inlineStr">
        <is>
          <t>Congcong Chen and Songwei Guo and Yanan Shi and Xinyu Gu and Ziye Xu and Yingjia Chen and Yayun Gu and Na Qin and Yue Jiang and Juncheng Dai and Yuanlin He and Xiao Han and Yan Liu and Zhibin Hu and Xiaoyan Ke and Cheng Wang</t>
        </is>
      </c>
      <c r="P119" s="4" t="inlineStr">
        <is>
          <t>10.1016/j.jgg.2025.07.008</t>
        </is>
      </c>
      <c r="Q119" s="4" t="inlineStr">
        <is>
          <t>Journal of Genetics and Genomics</t>
        </is>
      </c>
      <c r="R119" s="4" t="inlineStr">
        <is>
          <t>article</t>
        </is>
      </c>
      <c r="S119" s="4" t="inlineStr">
        <is>
          <t>Institute of Genetics and Developmental Biology</t>
        </is>
      </c>
      <c r="T119" s="4" t="inlineStr">
        <is>
          <t>https://www.sciencedirect.com/science/article/pii/S167385272500205X</t>
        </is>
      </c>
      <c r="U119" s="4" t="n"/>
      <c r="V119" s="4" t="inlineStr">
        <is>
          <t>Autism spectrum disorder (ASD) is a neurodevelopmental disorder where de novo mutations play a significant role. Although coding mutations in ASD have been extensively characterized, the impact of non-coding de novo mutations (ncDNMs) remains less understood. Here, we integrate cortex cell-specific cis -regulatory element annotations, a deep learning-based variant prediction model, and massively parallel reporter assays to systematically evaluate the functional impact of 227,878 ncDNMs from Simons Simplex Collection (SSC) and Autism Speaks MSSNG resource (MSSNG) cohorts. Our analysis identifies 238 ncDNMs with confirmed functional regulatory effects, including 137 down-regulated regulatory mutations (DrMuts) and 101 up-regulated regulatory mutations (UrMuts). Subsequent association analyses reveal that only DrMuts regulating loss-of-function (LoF) intolerant genes rather than other ncDNMs are significantly associated with the risk of ASD (Odds ratio = 4.34; P = 0.001). A total of 42 potential ASD-risk DrMuts across 41 candidate ASD-susceptibility genes are identified, including 12 recognized and 29 unreported genes. Interestingly, these noncoding disruptive mutations tend to be observed in genes extremely intolerant to LoF mutations. Our study introduces an optimized approach for elucidating the functional roles of ncDNMs, thereby expanding the spectrum of pathogenic variants and deepening our understanding of the complex molecular mechanisms underlying ASD.</t>
        </is>
      </c>
      <c r="W119" s="4" t="inlineStr">
        <is>
          <t>title_abstract_plus_targeted_primary_source_verification</t>
        </is>
      </c>
      <c r="X119" s="4" t="inlineStr">
        <is>
          <t>doi:10.1016/j.jgg.2025.07.008</t>
        </is>
      </c>
      <c r="Y119" s="4" t="n"/>
      <c r="Z119" s="4" t="n"/>
      <c r="AA119" s="4" t="n"/>
      <c r="AB119" s="40" t="n"/>
    </row>
    <row r="120" ht="112" customHeight="1">
      <c r="A120" s="4" t="n">
        <v>119</v>
      </c>
      <c r="B120" s="4" t="inlineStr">
        <is>
          <t>exclude_out_of_scope_topic_or_population</t>
        </is>
      </c>
      <c r="C120" s="4" t="inlineStr">
        <is>
          <t>Excluir: tema/población fuera de alcance</t>
        </is>
      </c>
      <c r="D120" s="4" t="inlineStr">
        <is>
          <t>Excluded</t>
        </is>
      </c>
      <c r="E120" s="4" t="inlineStr">
        <is>
          <t>No</t>
        </is>
      </c>
      <c r="F120" s="4" t="inlineStr">
        <is>
          <t>Title/abstract screening</t>
        </is>
      </c>
      <c r="G120" s="4" t="n"/>
      <c r="H120" s="4" t="n"/>
      <c r="I120" s="4" t="n"/>
      <c r="J120" s="4" t="inlineStr">
        <is>
          <t>No estudia ASD en el sentido del protocolo, usa otro significado de ASD o aborda otra población/resultado sin aplicación pertinente al proceso ASD.</t>
        </is>
      </c>
      <c r="K120" s="4" t="n"/>
      <c r="L120" s="4" t="n"/>
      <c r="M120" s="4" t="n">
        <v>2026</v>
      </c>
      <c r="N120" s="4" t="inlineStr">
        <is>
          <t>Data Governance Lessons From an Unvalidated Dataset</t>
        </is>
      </c>
      <c r="O120" s="4" t="inlineStr">
        <is>
          <t>Cliff Dominy</t>
        </is>
      </c>
      <c r="P120" s="4" t="inlineStr">
        <is>
          <t>10.2196/94518</t>
        </is>
      </c>
      <c r="Q120" s="4" t="inlineStr">
        <is>
          <t>Journal of medical Internet research</t>
        </is>
      </c>
      <c r="R120" s="4" t="inlineStr">
        <is>
          <t>article</t>
        </is>
      </c>
      <c r="S120" s="4" t="n"/>
      <c r="T120" s="4" t="inlineStr">
        <is>
          <t>https://doi.org/10.2196/94518</t>
        </is>
      </c>
      <c r="U120" s="4" t="n"/>
      <c r="V120" s="4" t="n"/>
      <c r="W120" s="4" t="inlineStr">
        <is>
          <t>title_abstract_plus_targeted_primary_source_verification</t>
        </is>
      </c>
      <c r="X120" s="4" t="inlineStr">
        <is>
          <t>doi:10.2196/94518</t>
        </is>
      </c>
      <c r="Y120" s="4" t="n"/>
      <c r="Z120" s="4" t="n"/>
      <c r="AA120" s="4" t="n"/>
      <c r="AB120" s="40" t="n"/>
    </row>
    <row r="121" ht="409" customHeight="1">
      <c r="A121" s="4" t="n">
        <v>120</v>
      </c>
      <c r="B121" s="4" t="inlineStr">
        <is>
          <t>exclude_no_qualifying_ai_application</t>
        </is>
      </c>
      <c r="C121" s="4" t="inlineStr">
        <is>
          <t>Excluir: sin aplicación de IA elegible</t>
        </is>
      </c>
      <c r="D121" s="4" t="inlineStr">
        <is>
          <t>Excluded</t>
        </is>
      </c>
      <c r="E121" s="4" t="inlineStr">
        <is>
          <t>No</t>
        </is>
      </c>
      <c r="F121" s="4" t="inlineStr">
        <is>
          <t>Title/abstract screening</t>
        </is>
      </c>
      <c r="G121" s="4" t="n"/>
      <c r="H121" s="4" t="n"/>
      <c r="I121" s="4" t="n"/>
      <c r="J121" s="4" t="inlineStr">
        <is>
          <t>El trabajo no implementa ni evalúa una técnica de IA/ML como componente sustantivo del estudio de ASD.</t>
        </is>
      </c>
      <c r="K121" s="4" t="n"/>
      <c r="L121" s="4" t="n"/>
      <c r="M121" s="4" t="n">
        <v>2025</v>
      </c>
      <c r="N121" s="4" t="inlineStr">
        <is>
          <t>Autoantibody profiling of autism spectrum disorder patients with monoamine oxidase a deficiency</t>
        </is>
      </c>
      <c r="O121" s="4" t="inlineStr">
        <is>
          <t>Guan Da Syu and Yawei Cheng and Kevin Chen and Chih Yung Yang and F X.Reymond Sutandy and Chia Chien Liu and Chien Sheng Chen and Jean C Shih</t>
        </is>
      </c>
      <c r="P121" s="4" t="inlineStr">
        <is>
          <t>10.1016/j.bbih.2025.101039</t>
        </is>
      </c>
      <c r="Q121" s="4" t="inlineStr">
        <is>
          <t>Brain, Behavior, and Immunity - Health</t>
        </is>
      </c>
      <c r="R121" s="4" t="inlineStr">
        <is>
          <t>article</t>
        </is>
      </c>
      <c r="S121" s="4" t="inlineStr">
        <is>
          <t>Elsevier Inc.</t>
        </is>
      </c>
      <c r="T121" s="4" t="inlineStr">
        <is>
          <t>https://www.sciencedirect.com/science/article/pii/S2666354625000973</t>
        </is>
      </c>
      <c r="U121" s="4" t="n"/>
      <c r="V121" s="4" t="inlineStr">
        <is>
          <t>Monoamine oxidase A (MAO A) is a key enzyme for serotonin metabolism. Knockout MAO A in mice results in elevated serotonin, altered serum autoantibodies, and autistic-like behavior. There is a subset of patients with autism spectrum disorder (ASD) who exhibit hyperserotonemia. The link between the MAO A, hyperserotonemia, immunity, and ASD is still unknown. To address this question, we harness the high-density human proteome microarray to profile the serum autoantibodies in ASD patients with or without MAO A deficiency. We recruited 25 subjects, including 20 ASD patients, from National Yang Ming Chiao Tung University Hospital and determined their plasma serotonin levels, screened for MAO A gene mutations and identified one patient with a C374 G mutation, which abolished MAO A activity and showed the highest serotonin level (hsASD; 518.42 ng/ml) and severe ASD symptoms. In another family with twin brothers, one was diagnosed with mild ASD and exhibited an increased serotonin level (isASD; 31.48 ng/ml), while the other twin was a healthy control. These three subjects were used for serum autoantibody profiling using high-density human proteome microarrays. Comparing serum antibodies from hsASD with healthy control, we identified 354 up-regulated and 398 down-regulated autoantibodies in hsASD. By comparing isASD with healthy controls, we reported 235 up-regulated and 279 down-regulated autoantibodies in isASD. Interestingly, the up-regulated autoantibodies for hsASD were enriched in the brain region and exhibited distinct features from that of isASD. This study indicates that MAO A deficiency and serotonin levels significantly impact the immunological changes in ASD patients, which may shed some light on pathological mechanisms and provide potential biomarkers for translational research in ASD.</t>
        </is>
      </c>
      <c r="W121" s="4" t="inlineStr">
        <is>
          <t>title_abstract_plus_targeted_primary_source_verification</t>
        </is>
      </c>
      <c r="X121" s="4" t="inlineStr">
        <is>
          <t>doi:10.1016/j.bbih.2025.101039</t>
        </is>
      </c>
      <c r="Y121" s="4" t="n"/>
      <c r="Z121" s="4" t="n"/>
      <c r="AA121" s="4" t="n"/>
      <c r="AB121" s="40" t="n"/>
    </row>
    <row r="122" ht="409" customHeight="1">
      <c r="A122" s="4" t="n">
        <v>121</v>
      </c>
      <c r="B122" s="4" t="inlineStr">
        <is>
          <t>exclude_secondary_or_nonempirical_publication</t>
        </is>
      </c>
      <c r="C122" s="4" t="inlineStr">
        <is>
          <t>Excluir: publicación secundaria/no empírica</t>
        </is>
      </c>
      <c r="D122" s="4" t="inlineStr">
        <is>
          <t>Excluded</t>
        </is>
      </c>
      <c r="E122" s="4" t="inlineStr">
        <is>
          <t>No</t>
        </is>
      </c>
      <c r="F122" s="4" t="inlineStr">
        <is>
          <t>Title/abstract screening</t>
        </is>
      </c>
      <c r="G122" s="4" t="n"/>
      <c r="H122" s="4" t="n"/>
      <c r="I122" s="4" t="n"/>
      <c r="J122" s="4" t="inlineStr">
        <is>
          <t>Revisión, metaanálisis, encuesta de literatura, protocolo, perspectiva, carta, editorial o capítulo de síntesis sin estudio primario elegible.</t>
        </is>
      </c>
      <c r="K122" s="4" t="n"/>
      <c r="L122" s="4" t="n"/>
      <c r="M122" s="4" t="n">
        <v>2026</v>
      </c>
      <c r="N122" s="4" t="inlineStr">
        <is>
          <t>Measuring Accuracy (Classification Probabilities, Positive, and Negative Predictive Values) of Executive Function Electroencephalogram Metrics in Attention-Deficit/Hyperactivity Disorder Diagnosis: Protocol for and Perspectives From the SINCRONIA Study</t>
        </is>
      </c>
      <c r="O122" s="4" t="inlineStr">
        <is>
          <t>Hilario Blasco-Fontecilla and Javier Sánchez-Cerezo and Irene Gómez and Georgelina Abreu-Fernández and Sandra Ortiz and Jesús F Villoria and Miguel Blanco and Ana García and Julia Ballesteros and Roldán Martínez and Gerardo Gálvez and Fernando Maestú and Álvaro López-Medrano</t>
        </is>
      </c>
      <c r="P122" s="4" t="inlineStr">
        <is>
          <t>10.2196/79150</t>
        </is>
      </c>
      <c r="Q122" s="4" t="inlineStr">
        <is>
          <t>JMIR Research Protocols</t>
        </is>
      </c>
      <c r="R122" s="4" t="inlineStr">
        <is>
          <t>article</t>
        </is>
      </c>
      <c r="S122" s="4" t="inlineStr">
        <is>
          <t>JMIR Publications Inc.</t>
        </is>
      </c>
      <c r="T122" s="4" t="inlineStr">
        <is>
          <t>https://doi.org/10.2196/79150</t>
        </is>
      </c>
      <c r="U122" s="4" t="n"/>
      <c r="V122" s="4" t="inlineStr">
        <is>
          <t>BACKGROUND: Attention deficit/hyperactivity disorder (ADHD) is the most prevalent neurodevelopmental disorder worldwide, affecting approximately 5%-7% of  school-aged children and 2%-5% of adults worldwide. However, there is still no  reliable diagnostic tool for it. The lack of specific biomarkers further  complicates the accurate diagnosis of ADHD. OBJECTIVE: The SINCRONIA study seeks  to develop and optimize an electroencephalogram (EEG)-based ADHD diagnostic  classification algorithm by identifying biomarkers that provide optimal  diagnostic performance. METHODS: This protocol introduces a single-center,  case-control study involving at least 165 participants, aged between 7 and 12  years, that is being conducted at the Puerta de Hierro University Hospital in  Madrid, Spain. Participants will be allocated to 3 groups, including ADHD  predominantly inattentive, ADHD predominantly combined or hyperactive/impulsive,  and a control group, according to the best estimated diagnosis based on clinical  interviews and a neuropsychological assessment that includes the Conners  Continuous Performance Test. In addition, an EEG recording will be conducted  separately, and functional connectivity metrics will be used to characterize  brain networks associated with inhibitory control. The index test is expected to  match or improve the clinical diagnosis of ADHD in children aged between 7 and 12  years and provide a set of eventual biomarkers that maximize diagnostic  performance and provide pathophysiological clues. RESULTS: The SINCRONIA study  began screening and recruitment in March 2023. Recruitment ended on December 11,  2024. A total of 165 eligible participants were enrolled. CONCLUSIONS: The  SINCRONIA project is a high-quality, large-scale, unicenter study devoted to  improving the objective diagnosis of ADHD by using EEG biomarkers. The EEG-based  ADHD diagnosis is expected to have greater sensitivity and specificity than the  Conners Continuous Performance Test.</t>
        </is>
      </c>
      <c r="W122" s="4" t="inlineStr">
        <is>
          <t>title_abstract_plus_targeted_primary_source_verification</t>
        </is>
      </c>
      <c r="X122" s="4" t="inlineStr">
        <is>
          <t>doi:10.2196/79150</t>
        </is>
      </c>
      <c r="Y122" s="4" t="n"/>
      <c r="Z122" s="4" t="n"/>
      <c r="AA122" s="4" t="n"/>
      <c r="AB122" s="40" t="n"/>
    </row>
    <row r="123" ht="409" customHeight="1">
      <c r="A123" s="4" t="n">
        <v>122</v>
      </c>
      <c r="B123" s="4" t="inlineStr">
        <is>
          <t>include_after_title_abstract_screen</t>
        </is>
      </c>
      <c r="C123" s="4" t="inlineStr">
        <is>
          <t>Incluir provisionalmente</t>
        </is>
      </c>
      <c r="D123" s="4" t="inlineStr">
        <is>
          <t>Provisional include</t>
        </is>
      </c>
      <c r="E123" s="4" t="inlineStr">
        <is>
          <t>Sí</t>
        </is>
      </c>
      <c r="F123" s="4" t="inlineStr">
        <is>
          <t>Title/abstract screening</t>
        </is>
      </c>
      <c r="G123" s="4" t="n"/>
      <c r="H123" s="4" t="n"/>
      <c r="I123" s="4" t="n"/>
      <c r="J123" s="4" t="inlineStr">
        <is>
          <t>Estudio primario o implementación/evaluación empírica de IA, aprendizaje automático o modelado computacional aplicado a ASD, riesgo, caracterización, apoyo o intervención.</t>
        </is>
      </c>
      <c r="K123" s="4" t="n"/>
      <c r="L123" s="4" t="n"/>
      <c r="M123" s="4" t="n">
        <v>2026</v>
      </c>
      <c r="N123" s="4" t="inlineStr">
        <is>
          <t>A novel hybrid deep learning model using MEResNextfor autism spectrum disorder detection</t>
        </is>
      </c>
      <c r="O123" s="4" t="inlineStr">
        <is>
          <t>Saloni Rai</t>
        </is>
      </c>
      <c r="P123" s="4" t="inlineStr">
        <is>
          <t>10.1016/j.compbiolchem.2025.108619</t>
        </is>
      </c>
      <c r="Q123" s="4" t="inlineStr">
        <is>
          <t>Computational Biology and Chemistry</t>
        </is>
      </c>
      <c r="R123" s="4" t="inlineStr">
        <is>
          <t>article</t>
        </is>
      </c>
      <c r="S123" s="4" t="inlineStr">
        <is>
          <t>Elsevier Ltd</t>
        </is>
      </c>
      <c r="T123" s="4" t="inlineStr">
        <is>
          <t>https://www.sciencedirect.com/science/article/pii/S1476927125002804</t>
        </is>
      </c>
      <c r="U123" s="4" t="n"/>
      <c r="V123" s="4" t="inlineStr">
        <is>
          <t>A neurological disease, named autism spectrum disorder (ASD), is portrayed through divergence with social interaction, communication, and repetitive activities. As heredity is an important source, initial identification and treatment can diminish the need for wide examinations and expensive medical procedures for those with ASD. Prolonged effects and severity can be avoided at a timely determination of ASD. This study develops a hybrid deep-learning method for ASD detection. Pre-processing, feature selection and ASD detection are three steps involved. In thepre-processing phase, input data is passed in which noise and artefacts present in the data are removed using Yeo-Jhonson transformation. Next, by integrating Double exponential Smoothing (DES) in Elk Herd Optimizer (EHO), Double exponential Smoothing-Elk Herd Optimizer (DeSEHO),is proposed to select features. At last, the features that are selected are subjected to the ASD detection phase. In this stage, the Moments Embedding ResNeXt (MEResNeXt), which is the combination of Moments Embedding Network (MoNet) and ResNeXt, is used for ASD detection. The results of the research show that MEResNeXtperformed better in terms of traditionalmodelswhich show accuracyof95.3 %, sensitivity of 96.5 %, and specificity of 94.8 %.</t>
        </is>
      </c>
      <c r="W123" s="4" t="inlineStr">
        <is>
          <t>title_abstract_plus_targeted_primary_source_verification</t>
        </is>
      </c>
      <c r="X123" s="4" t="inlineStr">
        <is>
          <t>doi:10.1016/j.compbiolchem.2025.108619</t>
        </is>
      </c>
      <c r="Y123" s="4" t="n"/>
      <c r="Z123" s="4" t="n"/>
      <c r="AA123" s="4" t="n"/>
      <c r="AB123" s="40" t="n"/>
    </row>
    <row r="124" ht="409" customHeight="1">
      <c r="A124" s="4" t="n">
        <v>123</v>
      </c>
      <c r="B124" s="4" t="inlineStr">
        <is>
          <t>include_after_title_abstract_screen</t>
        </is>
      </c>
      <c r="C124" s="4" t="inlineStr">
        <is>
          <t>Incluir provisionalmente</t>
        </is>
      </c>
      <c r="D124" s="4" t="inlineStr">
        <is>
          <t>Provisional include</t>
        </is>
      </c>
      <c r="E124" s="4" t="inlineStr">
        <is>
          <t>Sí</t>
        </is>
      </c>
      <c r="F124" s="4" t="inlineStr">
        <is>
          <t>Title/abstract screening</t>
        </is>
      </c>
      <c r="G124" s="4" t="n"/>
      <c r="H124" s="4" t="n"/>
      <c r="I124" s="4" t="n"/>
      <c r="J124" s="4" t="inlineStr">
        <is>
          <t>Estudio primario o implementación/evaluación empírica de IA, aprendizaje automático o modelado computacional aplicado a ASD, riesgo, caracterización, apoyo o intervención.</t>
        </is>
      </c>
      <c r="K124" s="4" t="n"/>
      <c r="L124" s="4" t="n"/>
      <c r="M124" s="4" t="n">
        <v>2025</v>
      </c>
      <c r="N124" s="4" t="inlineStr">
        <is>
          <t>FaithfulNet: An explainable deep learning framework for autism diagnosis using structural MRI</t>
        </is>
      </c>
      <c r="O124" s="4" t="inlineStr">
        <is>
          <t>D Swainson Sujana and D Peter Augustine</t>
        </is>
      </c>
      <c r="P124" s="4" t="inlineStr">
        <is>
          <t>10.1016/j.brainres.2025.149904</t>
        </is>
      </c>
      <c r="Q124" s="4" t="inlineStr">
        <is>
          <t>Brain Research</t>
        </is>
      </c>
      <c r="R124" s="4" t="inlineStr">
        <is>
          <t>article</t>
        </is>
      </c>
      <c r="S124" s="4" t="inlineStr">
        <is>
          <t>Elsevier B.V.</t>
        </is>
      </c>
      <c r="T124" s="4" t="inlineStr">
        <is>
          <t>https://www.sciencedirect.com/science/article/pii/S0006899325004676</t>
        </is>
      </c>
      <c r="U124" s="4" t="n"/>
      <c r="V124" s="4" t="inlineStr">
        <is>
          <t>Explainable Artificial Intelligence (XAI) can decode the ‘black box’ models, enhancing trust in clinical decision-making. XAI makes the predictions of deep learning models interpretable, transparent, and trustworthy. This study employed XAI techniques to explain the predictions made by a deep learning-based model for diagnosing autism and identifying the memory regions responsible for children's academic performance. This study utilized publicly available sMRI data from the ABIDE-II repository. First, a deep learning model, FaithfulNet, was developed to aid in the diagnosis of autism. Next, gradient-based class activation maps and the SHAP gradient explainer were employed to generate explanations for the model's predictions. These explanations were integrated to develop a novel and faithful visual explanation, Faith_CAM. Finally, this faithful explanation was quantified using the pointing game score and analyzed with cortical and subcortical structure masks to identify the impaired brain regions in the autistic brain. This study achieved a classification accuracy of 99.74% with an AUC value of 1. In addition to facilitating autism diagnosis, this study assesses the degree of impairment in memory regions responsible for the children's academic performance, thus contributing to the development of personalized treatment plans.</t>
        </is>
      </c>
      <c r="W124" s="4" t="inlineStr">
        <is>
          <t>title_abstract_plus_targeted_primary_source_verification</t>
        </is>
      </c>
      <c r="X124" s="4" t="inlineStr">
        <is>
          <t>doi:10.1016/j.brainres.2025.149904</t>
        </is>
      </c>
      <c r="Y124" s="4" t="n"/>
      <c r="Z124" s="4" t="n"/>
      <c r="AA124" s="4" t="n"/>
      <c r="AB124" s="40" t="n"/>
    </row>
    <row r="125" ht="409" customHeight="1">
      <c r="A125" s="4" t="n">
        <v>124</v>
      </c>
      <c r="B125" s="4" t="inlineStr">
        <is>
          <t>exclude_secondary_or_nonempirical_publication</t>
        </is>
      </c>
      <c r="C125" s="4" t="inlineStr">
        <is>
          <t>Excluir: publicación secundaria/no empírica</t>
        </is>
      </c>
      <c r="D125" s="4" t="inlineStr">
        <is>
          <t>Excluded</t>
        </is>
      </c>
      <c r="E125" s="4" t="inlineStr">
        <is>
          <t>No</t>
        </is>
      </c>
      <c r="F125" s="4" t="inlineStr">
        <is>
          <t>Title/abstract screening</t>
        </is>
      </c>
      <c r="G125" s="4" t="n"/>
      <c r="H125" s="4" t="n"/>
      <c r="I125" s="4" t="n"/>
      <c r="J125" s="4" t="inlineStr">
        <is>
          <t>Revisión, metaanálisis, encuesta de literatura, protocolo, perspectiva, carta, editorial o capítulo de síntesis sin estudio primario elegible.</t>
        </is>
      </c>
      <c r="K125" s="4" t="n"/>
      <c r="L125" s="4" t="n"/>
      <c r="M125" s="4" t="n">
        <v>2026</v>
      </c>
      <c r="N125" s="4" t="inlineStr">
        <is>
          <t>Early-Life Exposures, Neurodevelopment, and Health Outcomes: Protocol for a Birth Cohort Study</t>
        </is>
      </c>
      <c r="O125" s="4" t="inlineStr">
        <is>
          <t>Tor A Strand and Maria Averina and Kjersti Sletten Bakken and Sudha Basnet and Yvonne Böttcher and Sandra Huber and Mari Hysing and Ingrid Kvestad and Torben Lüders and Adrian McCann and Dhiraj Pokhrel and Suman Ranjitkar and Arun K Sharma and Merina Shrestha and Manjeswori Ulak and Ram K Chandyo</t>
        </is>
      </c>
      <c r="P125" s="4" t="inlineStr">
        <is>
          <t>10.2196/78593</t>
        </is>
      </c>
      <c r="Q125" s="4" t="inlineStr">
        <is>
          <t>JMIR Research Protocols</t>
        </is>
      </c>
      <c r="R125" s="4" t="inlineStr">
        <is>
          <t>article</t>
        </is>
      </c>
      <c r="S125" s="4" t="inlineStr">
        <is>
          <t>JMIR Publications Inc.</t>
        </is>
      </c>
      <c r="T125" s="4" t="inlineStr">
        <is>
          <t>https://doi.org/10.2196/78593</t>
        </is>
      </c>
      <c r="U125" s="4" t="n"/>
      <c r="V125" s="4" t="inlineStr">
        <is>
          <t>BACKGROUND: Negative early-life exposures, particularly during the first 1000  days of life, may disrupt organ development and lead to lifelong negative health consequences. OBJECTIVE: Using an exposome and deep phenotyping framework, this study aims to characterize established early-life risk factors, including environmental pollutants and nutritional status during pregnancy and infancy, and identify associated short- and long-term health and developmental outcomes. METHODS: We leverage a pregnancy cohort of 800 mother-infant pairs in Bhaktapur, Nepal, nested within a randomized controlled trial (ClinicalTrials.gov: NCT03071666) that evaluated daily vitamin B12 supplementation from before 15 weeks of gestation until 6 months post partum. The primary outcomes of the original trial were linear growth and neurodevelopment at 12 months. In this follow-up, children will be evaluated up to school age to obtain more robust estimates of long-term health outcomes. Exposures include clinical, dietary, cognitive, demographic, and anthropometric variables during pregnancy and infancy, as well as analyses of environmental pollutants, inflammation, micronutrient status, and hormonal status. Outcomes comprise neurodevelopment, morbidity, mental health, vaccine responses, thyroid function, growth, body composition, lung function, and biomarkers of health and development. Our main research questions for this phase of the project are: (1) what are the most common environmental pollutants among Nepalese women and children? (2) Is there a social gradient in exposure to these pollutants? (3) To what extent are these exposures associated with nutritional status, growth, neurodevelopment, and clinical outcomes? Associations will be examined using cross-sectional, case-control, and cohort designs applying advanced statistical methods to address confounding and complex exposure patterns. RESULTS: Enrollment began in March 2017, and the first child was born in August of the same year. More than 90% of the original cohort (734/800, 91.8%) have provided data up to the children's fourth birthday. By December 2025, the project will have funding until July 2027, and the papers addressing the main research questions will be submitted for publication before the end of 2026. CONCLUSIONS: This study draws on a well-characterized mother-child cohort in a South Asian setting with repeated biological samples from blood, breast milk, and urine and extensive high-quality longitudinal data on health, growth, and neurodevelopment. By integrating data on environmental exposures, nutrition, inflammation, and biological responses, the project aims to improve understanding of early-life determinants of health and inform policies and potential interventions to protect vulnerable women and children in marginalized settings. While the exploratory nature of exposome analyses entails a risk of spurious associations, careful interpretation and transparent communication of uncertainty will be prioritized. INTERNATIONAL REGISTERED REPORT IDENTIFIER (IRRID): DERR1-10.2196/78593.</t>
        </is>
      </c>
      <c r="W125" s="4" t="inlineStr">
        <is>
          <t>title_abstract_plus_targeted_primary_source_verification</t>
        </is>
      </c>
      <c r="X125" s="4" t="inlineStr">
        <is>
          <t>doi:10.2196/78593</t>
        </is>
      </c>
      <c r="Y125" s="4" t="n"/>
      <c r="Z125" s="4" t="n"/>
      <c r="AA125" s="4" t="n"/>
      <c r="AB125" s="40" t="n"/>
    </row>
    <row r="126" ht="409" customHeight="1">
      <c r="A126" s="4" t="n">
        <v>125</v>
      </c>
      <c r="B126" s="4" t="inlineStr">
        <is>
          <t>include_after_full_text_with_integrity_flag</t>
        </is>
      </c>
      <c r="C126" s="4" t="inlineStr">
        <is>
          <t>Incluir tras texto completo con alerta de integridad</t>
        </is>
      </c>
      <c r="D126" s="4" t="inlineStr">
        <is>
          <t>Provisional include</t>
        </is>
      </c>
      <c r="E126" s="4" t="inlineStr">
        <is>
          <t>Sí</t>
        </is>
      </c>
      <c r="F126" s="4" t="inlineStr">
        <is>
          <t>Full-text review</t>
        </is>
      </c>
      <c r="G126" s="4" t="n"/>
      <c r="H126" s="4" t="n"/>
      <c r="I126" s="4" t="inlineStr">
        <is>
          <t>Expression of Concern</t>
        </is>
      </c>
      <c r="J126" s="4" t="inlineStr">
        <is>
          <t>Texto completo confirma estudio primario con Hybrid aplicado a ASD (Classification (ASD vs control)).</t>
        </is>
      </c>
      <c r="K126" s="4" t="n"/>
      <c r="L126" s="4" t="n"/>
      <c r="M126" s="4" t="n">
        <v>2025</v>
      </c>
      <c r="N126" s="4" t="inlineStr">
        <is>
          <t>Identification of critical brain regions for autism diagnosis from fMRI data using explainable AI: an observational analysis of the ABIDE dataset</t>
        </is>
      </c>
      <c r="O126" s="4" t="inlineStr">
        <is>
          <t>Suryansh Vidya and Kush Gupta and Amir Aly and Andy Wills and Emmanuel Ifeachor and Rohit Shankar</t>
        </is>
      </c>
      <c r="P126" s="4" t="inlineStr">
        <is>
          <t>10.1016/j.eclinm.2025.103452</t>
        </is>
      </c>
      <c r="Q126" s="4" t="inlineStr">
        <is>
          <t>eClinicalMedicine</t>
        </is>
      </c>
      <c r="R126" s="4" t="inlineStr">
        <is>
          <t>article</t>
        </is>
      </c>
      <c r="S126" s="4" t="inlineStr">
        <is>
          <t>Elsevier Ltd</t>
        </is>
      </c>
      <c r="T126" s="4" t="inlineStr">
        <is>
          <t>https://doi.org/10.1016/j.eclinm.2025.103452</t>
        </is>
      </c>
      <c r="U126" s="4" t="inlineStr">
        <is>
          <t>Texto completo abierto revisado; evidencia y codificación en Extraccion_RQ_nuevos.</t>
        </is>
      </c>
      <c r="V126" s="4" t="inlineStr">
        <is>
          <t>Background: Diagnosis of autism spectrum disorder (ASD) significantly improves quality of life, yet current diagnostic practices rely on subjective behavioural assessments. While machine learning models using functional Magnetic Resonance Imaging (fMRI) show promise for objective diagnosis, existing approaches have critical limitations. High-accuracy models often neglect interpretability, increasing clinical distrust, while interpretable approaches frequently suffer from low accuracy and lack neuroscientific validation of identified biomarkers. Furthermore, no studies have systematically benchmarked which interpretability methods are most effective for fMRI data, hindering the translation of Artificial intelligence (AI) findings into clinical practice. Methods: In this observational study, we used the Autism Brain Imaging Data Exchange I (ABIDE I) dataset comprising 884 participants (408 with ASD; 476 controls with typical development) aged 7–64 years from five countries (Belgium, Germany, Ireland, the Netherlands, and the USA) across 17 international sites after applying mean framewise displacement (FD) filtering (&gt;0.2 mm). Data were collected at the respective sites prior to the release of the ABIDE I dataset in August 2012. We described an explainable deep learning (DL) pipeline using a Stacked Sparse Autoencoder (SSAE) with a softmax classifier, trained on functional connectivity data. We systematically benchmarked seven interpretability methods using the Remove And Retrain (ROAR) technique and cross-validated our findings across three preprocessing pipelines. Critically, we validated identified biomarkers against independent neuroscientific literature from genetic, neuroanatomical, and functional studies. Findings: Filtering head movement (FD &gt; 0.2 mm) increased classification accuracy from 91% to 98.2% (F1-score: 0.97), achieving state-of-the-art performance. ROAR analysis revealed gradient-based methods, particularly Integrated Gradients, as most reliable for fMRI interpretation. The model consistently identified visual processing regions (calcarine sulcus, cuneus) as critical for ASD classification. These findings aligned with independent genetic studies and neuroimaging research, confirming our model captured genuine neurobiological ASD markers rather than overfitting to dataset artifacts. Interpretation: We addressed three key research gaps by developing a highly accurate, interpretable ASD classification model, establishing a benchmarking framework for interpretability methods in the fMRI modality, and validating our identified biomarkers against established neuroscience literature. The consistent importance of visual processing regions suggests a fundamental biomarker potentially present across the ASD spectrum, offering new directions for diagnostic biomarker research, though translation to individual-level clinical applications requires further development. Funding: This work was supported by the Engineering and Physical Sciences Research Council, UK [EP/W524554/1].</t>
        </is>
      </c>
      <c r="W126" s="4" t="inlineStr">
        <is>
          <t>open_full_text_review_2026_09_04</t>
        </is>
      </c>
      <c r="X126" s="4" t="inlineStr">
        <is>
          <t>doi:10.1016/j.eclinm.2025.103452</t>
        </is>
      </c>
      <c r="Y126" s="4" t="n"/>
      <c r="Z126" s="4" t="n"/>
      <c r="AA126" s="4" t="n"/>
      <c r="AB126" s="40" t="n"/>
    </row>
    <row r="127" ht="409" customHeight="1">
      <c r="A127" s="4" t="n">
        <v>126</v>
      </c>
      <c r="B127" s="4" t="inlineStr">
        <is>
          <t>include_after_title_abstract_screen</t>
        </is>
      </c>
      <c r="C127" s="4" t="inlineStr">
        <is>
          <t>Incluir provisionalmente</t>
        </is>
      </c>
      <c r="D127" s="4" t="inlineStr">
        <is>
          <t>Provisional include</t>
        </is>
      </c>
      <c r="E127" s="4" t="inlineStr">
        <is>
          <t>Sí</t>
        </is>
      </c>
      <c r="F127" s="4" t="inlineStr">
        <is>
          <t>Title/abstract screening</t>
        </is>
      </c>
      <c r="G127" s="4" t="n"/>
      <c r="H127" s="4" t="n"/>
      <c r="I127" s="4" t="n"/>
      <c r="J127" s="4" t="inlineStr">
        <is>
          <t>Estudio primario o implementación/evaluación empírica de IA, aprendizaje automático o modelado computacional aplicado a ASD, riesgo, caracterización, apoyo o intervención.</t>
        </is>
      </c>
      <c r="K127" s="4" t="n"/>
      <c r="L127" s="4" t="n"/>
      <c r="M127" s="4" t="n">
        <v>2025</v>
      </c>
      <c r="N127" s="4" t="inlineStr">
        <is>
          <t>CARE: Comprehensive Artificial Intelligence Techniques for Reliable Autism Evaluation in Pediatric Care</t>
        </is>
      </c>
      <c r="O127" s="4" t="inlineStr">
        <is>
          <t>Jihoon Moon and Jiyoung Woo</t>
        </is>
      </c>
      <c r="P127" s="4" t="inlineStr">
        <is>
          <t>10.32604/cmc.2025.067784</t>
        </is>
      </c>
      <c r="Q127" s="4" t="inlineStr">
        <is>
          <t>Computers, Materials and Continua</t>
        </is>
      </c>
      <c r="R127" s="4" t="inlineStr">
        <is>
          <t>article</t>
        </is>
      </c>
      <c r="S127" s="4" t="inlineStr">
        <is>
          <t>Tech Science Press</t>
        </is>
      </c>
      <c r="T127" s="4" t="inlineStr">
        <is>
          <t>https://www.sciencedirect.com/science/article/pii/S1546221825008318</t>
        </is>
      </c>
      <c r="U127" s="4" t="n"/>
      <c r="V127" s="4" t="inlineStr">
        <is>
          <t>Improving early diagnosis of autism spectrum disorder (ASD) in children increasingly relies on predictive models that are reliable and accessible to non-experts. This study aims to develop such models using Python-based tools to improve ASD diagnosis in clinical settings. We performed exploratory data analysis to ensure data quality and identify key patterns in pediatric ASD data. We selected the categorical boosting (CatBoost) algorithm to effectively handle the large number of categorical variables. We used the PyCaret automated machine learning (AutoML) tool to make the models user-friendly for clinicians without extensive machine learning expertise. In addition, we applied Shapley additive explanations (SHAP), an explainable artificial intelligence (XAI) technique, to improve the interpretability of the models. Models developed using CatBoost and other AI algorithms showed high accuracy in diagnosing ASD in children. SHAP provided clear insights into the influence of each variable on diagnostic outcomes, making model decisions transparent and understandable to healthcare professionals. By integrating robust machine learning methods with user-friendly tools such as PyCaret and leveraging XAI techniques such as SHAP, this study contributes to the development of reliable, interpretable, and accessible diagnostic tools for ASD. These advances hold great promise for supporting informed decision-making in clinical settings, ultimately improving early identification and intervention strategies for ASD in the pediatric population. However, the study is limited by the dataset’s demographic imbalance and the lack of external clinical validation, which should be addressed in future research.</t>
        </is>
      </c>
      <c r="W127" s="4" t="inlineStr">
        <is>
          <t>title_abstract_plus_targeted_primary_source_verification</t>
        </is>
      </c>
      <c r="X127" s="4" t="inlineStr">
        <is>
          <t>doi:10.32604/cmc.2025.067784</t>
        </is>
      </c>
      <c r="Y127" s="4" t="n"/>
      <c r="Z127" s="4" t="n"/>
      <c r="AA127" s="4" t="n"/>
      <c r="AB127" s="40" t="n"/>
    </row>
    <row r="128" ht="409" customHeight="1">
      <c r="A128" s="4" t="n">
        <v>127</v>
      </c>
      <c r="B128" s="4" t="inlineStr">
        <is>
          <t>exclude_secondary_or_nonempirical_publication</t>
        </is>
      </c>
      <c r="C128" s="4" t="inlineStr">
        <is>
          <t>Excluir: publicación secundaria/no empírica</t>
        </is>
      </c>
      <c r="D128" s="4" t="inlineStr">
        <is>
          <t>Excluded</t>
        </is>
      </c>
      <c r="E128" s="4" t="inlineStr">
        <is>
          <t>No</t>
        </is>
      </c>
      <c r="F128" s="4" t="inlineStr">
        <is>
          <t>Title/abstract screening</t>
        </is>
      </c>
      <c r="G128" s="4" t="n"/>
      <c r="H128" s="4" t="n"/>
      <c r="I128" s="4" t="n"/>
      <c r="J128" s="4" t="inlineStr">
        <is>
          <t>Revisión, metaanálisis, encuesta de literatura, protocolo, perspectiva, carta, editorial o capítulo de síntesis sin estudio primario elegible.</t>
        </is>
      </c>
      <c r="K128" s="4" t="n"/>
      <c r="L128" s="4" t="n"/>
      <c r="M128" s="4" t="n">
        <v>2023</v>
      </c>
      <c r="N128" s="4" t="inlineStr">
        <is>
          <t>A Call to Expand the Scope of Digital Phenotyping</t>
        </is>
      </c>
      <c r="O128" s="4" t="inlineStr">
        <is>
          <t>Christopher De Boer and Hassan Ghomrawi and Suhail Zeineddin and Samuel Linton and Soyang Kwon and Fizan Abdullah</t>
        </is>
      </c>
      <c r="P128" s="4" t="inlineStr">
        <is>
          <t>10.2196/39546</t>
        </is>
      </c>
      <c r="Q128" s="4" t="inlineStr">
        <is>
          <t>Journal of Medical Internet Research</t>
        </is>
      </c>
      <c r="R128" s="4" t="inlineStr">
        <is>
          <t>article</t>
        </is>
      </c>
      <c r="S128" s="4" t="inlineStr">
        <is>
          <t>JMIR Publications Inc.</t>
        </is>
      </c>
      <c r="T128" s="4" t="inlineStr">
        <is>
          <t>https://doi.org/10.2196/39546</t>
        </is>
      </c>
      <c r="U128" s="4" t="n"/>
      <c r="V128" s="4" t="inlineStr">
        <is>
          <t>Digital phenotyping refers to near-real-time data collection from personal digital devices, particularly smartphones, to better quantify the human phenotype. Methodology using smartphones is often considered the gold standard by many for passive data collection within the field of digital phenotyping, which limits its applications mainly to adults or adolescents who use smartphones. However, other technologies, such as wearable devices, have evolved considerably in recent years to provide similar or better quality passive physiologic data of clinical relevance, thus expanding the potential of digital phenotyping applications to other patient populations. In this perspective, we argue for the continued expansion of digital phenotyping to include other potential gold standards in addition to smartphones and provide examples of currently excluded technologies and populations who may uniquely benefit from this technology.</t>
        </is>
      </c>
      <c r="W128" s="4" t="inlineStr">
        <is>
          <t>title_abstract_plus_targeted_primary_source_verification</t>
        </is>
      </c>
      <c r="X128" s="4" t="inlineStr">
        <is>
          <t>doi:10.2196/39546</t>
        </is>
      </c>
      <c r="Y128" s="4" t="n"/>
      <c r="Z128" s="4" t="n"/>
      <c r="AA128" s="4" t="n"/>
      <c r="AB128" s="40" t="n"/>
    </row>
    <row r="129" ht="409" customHeight="1">
      <c r="A129" s="4" t="n">
        <v>128</v>
      </c>
      <c r="B129" s="4" t="inlineStr">
        <is>
          <t>exclude_out_of_scope_topic_or_population</t>
        </is>
      </c>
      <c r="C129" s="4" t="inlineStr">
        <is>
          <t>Excluir: tema/población fuera de alcance</t>
        </is>
      </c>
      <c r="D129" s="4" t="inlineStr">
        <is>
          <t>Excluded</t>
        </is>
      </c>
      <c r="E129" s="4" t="inlineStr">
        <is>
          <t>No</t>
        </is>
      </c>
      <c r="F129" s="4" t="inlineStr">
        <is>
          <t>Title/abstract screening</t>
        </is>
      </c>
      <c r="G129" s="4" t="n"/>
      <c r="H129" s="4" t="n"/>
      <c r="I129" s="4" t="n"/>
      <c r="J129" s="4" t="inlineStr">
        <is>
          <t>No estudia ASD en el sentido del protocolo, usa otro significado de ASD o aborda otra población/resultado sin aplicación pertinente al proceso ASD.</t>
        </is>
      </c>
      <c r="K129" s="4" t="n"/>
      <c r="L129" s="4" t="n"/>
      <c r="M129" s="4" t="n">
        <v>2026</v>
      </c>
      <c r="N129" s="4" t="inlineStr">
        <is>
          <t>Exploring the Lived Experience of Acne in the United States and the United Kingdom: Social Media Analysis</t>
        </is>
      </c>
      <c r="O129" s="4" t="inlineStr">
        <is>
          <t>John S Barbieri and Valentine Delore and Isabelle Vieillard and Sandrine Samson and Esteban Puentes and Joelle Malaab and Melanie Sambrès and Manissa Talmatkadi and Stéphane Schück</t>
        </is>
      </c>
      <c r="P129" s="4" t="inlineStr">
        <is>
          <t>10.2196/91126</t>
        </is>
      </c>
      <c r="Q129" s="4" t="inlineStr">
        <is>
          <t>JMIR Dermatology</t>
        </is>
      </c>
      <c r="R129" s="4" t="inlineStr">
        <is>
          <t>article</t>
        </is>
      </c>
      <c r="S129" s="4" t="inlineStr">
        <is>
          <t>JMIR Publications Inc.</t>
        </is>
      </c>
      <c r="T129" s="4" t="inlineStr">
        <is>
          <t>https://doi.org/10.2196/91126</t>
        </is>
      </c>
      <c r="U129" s="4" t="n"/>
      <c r="V129" s="4" t="inlineStr">
        <is>
          <t>Background: Acne is a chronic skin condition that primarily affects adolescents and young adults but can persist into adulthood. It can have repercussions on physical and mental health, self-esteem, and body image. The increasing use of social media for health information and peer support offers an opportunity to explore real-life experiences with acne. Objective: This study aims to analyze social media messages from users in the United States and the United Kingdom using artificial intelligence to assess the impact of acne on quality of life (QoL), identify discussion topics, and explore unmet needs. Methods: The data were extracted from public platforms using a query containing the word “acne” between January 1 and December 31, 2024. Data cleaning and filtering were performed using natural language processing, machine learning methods, and algorithms. Biterm topic modeling was used to identify the main discussion topics, and QoL impact was assessed using a deep learning algorithm adapted from the EuroQol 5-Dimension Questionnaire or the 36-Item Short Form Health Survey. Unmet needs were identified through manual annotation using the saturation method. Results: A total of 646,809 messages posted by 432,234 users were identified. The main topics included skincare routines and product recommendations (n=154,907, 23.9%), acne scars (n=135,643, 21%), and general treatment information (n=97,177, 15%). Engagement varied across topics and platforms. On Instagram, dietary and nutritional strategies (0.16%, SD 6.36%) showed the highest mean engagement, followed by skincare routines and product recommendations (0.11%, SD 4.81%). In general, engagement scores were higher in the United Kingdom compared to the United States across all topics. On TikTok, content about makeup and acne had the highest mean engagement score (3.03%, SD 92.65%). Overall, 52.9% (228,613/432,234) of the users expressed at least 1 QoL impact, most frequently related to signs and symptoms (175,604/228,613, 76.8%), social functioning (n=149,234, 65.3%), mental health (n=107,155, 46.9%), and cost (n=62,008, 27.1%). Of 3200 annotated messages, 582 contained unmet needs, including effective solutions for hormonal acne (111/582, 19.1%), clarity in identifying acne triggers (n=84, 14.4%), treatment guidance (n=68, 11.7%), and psychological support (n=68, 11.7%). Conclusions: This study revealed the significant physical, psychological, social, and financial impact of acne on QoL and identified several unmet needs. Given the growing role of social media, these findings highlight opportunities for dermatolo-gists and health professionals to educate and engage with the acne community through digital platforms.</t>
        </is>
      </c>
      <c r="W129" s="4" t="inlineStr">
        <is>
          <t>title_abstract_plus_targeted_primary_source_verification</t>
        </is>
      </c>
      <c r="X129" s="4" t="inlineStr">
        <is>
          <t>doi:10.2196/91126</t>
        </is>
      </c>
      <c r="Y129" s="4" t="n"/>
      <c r="Z129" s="4" t="n"/>
      <c r="AA129" s="4" t="n"/>
      <c r="AB129" s="40" t="n"/>
    </row>
    <row r="130" ht="409" customHeight="1">
      <c r="A130" s="4" t="n">
        <v>129</v>
      </c>
      <c r="B130" s="4" t="inlineStr">
        <is>
          <t>exclude_secondary_or_nonempirical_publication</t>
        </is>
      </c>
      <c r="C130" s="4" t="inlineStr">
        <is>
          <t>Excluir: publicación secundaria/no empírica</t>
        </is>
      </c>
      <c r="D130" s="4" t="inlineStr">
        <is>
          <t>Excluded</t>
        </is>
      </c>
      <c r="E130" s="4" t="inlineStr">
        <is>
          <t>No</t>
        </is>
      </c>
      <c r="F130" s="4" t="inlineStr">
        <is>
          <t>Title/abstract screening</t>
        </is>
      </c>
      <c r="G130" s="4" t="n"/>
      <c r="H130" s="4" t="n"/>
      <c r="I130" s="4" t="n"/>
      <c r="J130" s="4" t="inlineStr">
        <is>
          <t>Revisión, metaanálisis, encuesta de literatura, protocolo, perspectiva, carta, editorial o capítulo de síntesis sin estudio primario elegible.</t>
        </is>
      </c>
      <c r="K130" s="4" t="n"/>
      <c r="L130" s="4" t="n"/>
      <c r="M130" s="4" t="n">
        <v>2025</v>
      </c>
      <c r="N130" s="4" t="inlineStr">
        <is>
          <t>Artificial intelligence for tracking social behaviours and supporting an autism spectrum disorder diagnosis: systematic review and meta-analysis</t>
        </is>
      </c>
      <c r="O130" s="4" t="inlineStr">
        <is>
          <t>Carter Sun and Alistair McEwan and Kelsie A Boulton and Eleni Andrea Demetriou and Ayesha K Sadozai and Amit Lampit and Adam J Guastella</t>
        </is>
      </c>
      <c r="P130" s="4" t="inlineStr">
        <is>
          <t>10.1016/j.ebiom.2025.105931</t>
        </is>
      </c>
      <c r="Q130" s="4" t="inlineStr">
        <is>
          <t>eBioMedicine</t>
        </is>
      </c>
      <c r="R130" s="4" t="inlineStr">
        <is>
          <t>article</t>
        </is>
      </c>
      <c r="S130" s="4" t="inlineStr">
        <is>
          <t>Elsevier B.V.</t>
        </is>
      </c>
      <c r="T130" s="4" t="inlineStr">
        <is>
          <t>https://www.sciencedirect.com/science/article/pii/S2352396425003755</t>
        </is>
      </c>
      <c r="U130" s="4" t="n"/>
      <c r="V130" s="4" t="inlineStr">
        <is>
          <t>Background: Artificial intelligence (AI) holds promise for developing tools that can track social behaviours and support clinical assessments and outcomes in Autism Spectrum Disorders (ASD). This review evaluated existing AI algorithms for extracting facial information during social interaction assessments and contributing to diagnostic accuracy for ASD assessment and response to therapy. Methods: Systematic review of studies on human participants with an ASD diagnosis, sourced from Medline, Embase, Scopus, Web of Science, IEEE Xplore, and ACM Digital Library, evaluated the diagnostic accuracy of AI algorithms in ASD classification and their use in tracking social development through facial information for clinical application in social interactions. Bivariate and multi-level models addressed dependencies, heterogeneity, moderators (modalities, algorithms, tasks), and applied robust variance estimation. Publication bias was evaluated with funnel plots. The QUADAS-2 tool assessed the risk of bias and applicability. This study was registered on PROSPERO (CRD42021249905). Findings: Of 40,570 studies identified, 38 met the review criteria, and seven provided sufficient data for meta-analysis. The pooled diagnostic odds ratio of 15.917 (95% CI [4.775–53.059]), and bivariate analysis estimated an area under the receiver operating characteristic curve of 0.862. Accuracy improved with facial features, unstructured play, support vector machines, and decision tree-based algorithms. AI methods can analyse social behaviours, including eye gaze on social stimuli, emotional expression, and joint attention in ASD assessments. AI-enabled robots have also been used to guide therapy. Interpretation: This study shows that AI can accurately and objectively augment ASD assessments, track social behaviours, and enhance therapy outcomes. Further validation in diverse populations is needed to ensure clinical applicability and ethical use. Funding: None.</t>
        </is>
      </c>
      <c r="W130" s="4" t="inlineStr">
        <is>
          <t>title_abstract_plus_targeted_primary_source_verification</t>
        </is>
      </c>
      <c r="X130" s="4" t="inlineStr">
        <is>
          <t>doi:10.1016/j.ebiom.2025.105931</t>
        </is>
      </c>
      <c r="Y130" s="4" t="n"/>
      <c r="Z130" s="4" t="n"/>
      <c r="AA130" s="4" t="n"/>
      <c r="AB130" s="40" t="n"/>
    </row>
    <row r="131" ht="409" customHeight="1">
      <c r="A131" s="4" t="n">
        <v>130</v>
      </c>
      <c r="B131" s="4" t="inlineStr">
        <is>
          <t>exclude_out_of_scope_topic_or_population</t>
        </is>
      </c>
      <c r="C131" s="4" t="inlineStr">
        <is>
          <t>Excluir: tema/población fuera de alcance</t>
        </is>
      </c>
      <c r="D131" s="4" t="inlineStr">
        <is>
          <t>Excluded</t>
        </is>
      </c>
      <c r="E131" s="4" t="inlineStr">
        <is>
          <t>No</t>
        </is>
      </c>
      <c r="F131" s="4" t="inlineStr">
        <is>
          <t>Title/abstract screening</t>
        </is>
      </c>
      <c r="G131" s="4" t="n"/>
      <c r="H131" s="4" t="n"/>
      <c r="I131" s="4" t="n"/>
      <c r="J131" s="4" t="inlineStr">
        <is>
          <t>No estudia ASD en el sentido del protocolo, usa otro significado de ASD o aborda otra población/resultado sin aplicación pertinente al proceso ASD.</t>
        </is>
      </c>
      <c r="K131" s="4" t="n"/>
      <c r="L131" s="4" t="n"/>
      <c r="M131" s="4" t="n">
        <v>2025</v>
      </c>
      <c r="N131" s="4" t="inlineStr">
        <is>
          <t>Implementation of artificial intelligence (AI) in ASD treatment1</t>
        </is>
      </c>
      <c r="O131" s="4" t="inlineStr">
        <is>
          <t>Kyriakos D Chatzis and Peter Tretiakov and Peter G Passias</t>
        </is>
      </c>
      <c r="P131" s="4" t="inlineStr">
        <is>
          <t>10.1016/j.xnsj.2025.100787</t>
        </is>
      </c>
      <c r="Q131" s="4" t="inlineStr">
        <is>
          <t>North American Spine Society Journal</t>
        </is>
      </c>
      <c r="R131" s="4" t="inlineStr">
        <is>
          <t>article</t>
        </is>
      </c>
      <c r="S131" s="4" t="inlineStr">
        <is>
          <t>Elsevier Inc.</t>
        </is>
      </c>
      <c r="T131" s="4" t="inlineStr">
        <is>
          <t>https://www.sciencedirect.com/science/article/pii/S2666548425002070</t>
        </is>
      </c>
      <c r="U131" s="4" t="n"/>
      <c r="V131" s="4" t="inlineStr">
        <is>
          <t>Background: Adult spinal deformity (ASD) surgery remains one of the most complex and complication-prone areas of spine care, with significant variability in outcomes and high complication rates. Recent advances in artificial intelligence (AI) have shown to be promising tools to address these challenges by improving planning, prediction, and personalization. This narrative review explores the role of AI across the surgical workflow for ASD, from preoperative decision-making to intraoperative execution and postoperative care. Methods: We conducted a comprehensive narrative review of current literature and technologies related to AI in ASD surgery. Focus areas included evidence synthesis, predictive analytics, automated radiographic assess- ment, intraoperative navigation, patient-specific implants, and digital patient engagement. We also present a representative case example of AI-assisted deformity correction to illustrate practical clinical application. Results: AI tools have demonstrated strong potential in improving accuracy and efficiency across various do- mains. Machine learning algorithms outperform traditional statistical models in predicting complications, length of stay, and functional outcomes. Automated radiographic platforms reliably reproduce spinal alignment measure- ments and support surgical planning. Personalized instrumentation has been associated with improved alignment fidelity. Lastly, Intraoperative AR/VR platforms and AI-enhanced robotics are helping to standardize execution and reduce variability. Conclusions: AI is redefining the landscape of ASD surgery through its ability to enhance decision-making, reduce variability, and enable personalized, data-driven care. While widespread adoption requires ongoing vali- dation and integration, current evidence supports the clinical utility of AI-assisted strategies in improving align- ment outcomes and surgical safety. This review highlights the growing potential of AI to serve as a cornerstone of precision spine surgery.</t>
        </is>
      </c>
      <c r="W131" s="4" t="inlineStr">
        <is>
          <t>title_abstract_plus_targeted_primary_source_verification</t>
        </is>
      </c>
      <c r="X131" s="4" t="inlineStr">
        <is>
          <t>doi:10.1016/j.xnsj.2025.100787</t>
        </is>
      </c>
      <c r="Y131" s="4" t="n"/>
      <c r="Z131" s="4" t="n"/>
      <c r="AA131" s="4" t="n"/>
      <c r="AB131" s="40" t="n"/>
    </row>
    <row r="132" ht="409" customHeight="1">
      <c r="A132" s="4" t="n">
        <v>131</v>
      </c>
      <c r="B132" s="4" t="inlineStr">
        <is>
          <t>exclude_out_of_scope_topic_or_population</t>
        </is>
      </c>
      <c r="C132" s="4" t="inlineStr">
        <is>
          <t>Excluir: tema/población fuera de alcance</t>
        </is>
      </c>
      <c r="D132" s="4" t="inlineStr">
        <is>
          <t>Excluded</t>
        </is>
      </c>
      <c r="E132" s="4" t="inlineStr">
        <is>
          <t>No</t>
        </is>
      </c>
      <c r="F132" s="4" t="inlineStr">
        <is>
          <t>Title/abstract screening</t>
        </is>
      </c>
      <c r="G132" s="4" t="n"/>
      <c r="H132" s="4" t="n"/>
      <c r="I132" s="4" t="n"/>
      <c r="J132" s="4" t="inlineStr">
        <is>
          <t>No estudia ASD en el sentido del protocolo, usa otro significado de ASD o aborda otra población/resultado sin aplicación pertinente al proceso ASD.</t>
        </is>
      </c>
      <c r="K132" s="4" t="n"/>
      <c r="L132" s="4" t="n"/>
      <c r="M132" s="4" t="n">
        <v>2026</v>
      </c>
      <c r="N132" s="4" t="inlineStr">
        <is>
          <t>Early Prediction of Delirium in Postcardiac Surgery Patients: Machine Learning Model Development and External Validation</t>
        </is>
      </c>
      <c r="O132" s="4" t="inlineStr">
        <is>
          <t>Huixiu Hu and Yuxiang Wang and Houfeng Li and Qinglai Zang and Jing Huang and Ying Zhang and Jinjing Wu and Long Liu and Zhen Xing and Yaohua Yu</t>
        </is>
      </c>
      <c r="P132" s="4" t="inlineStr">
        <is>
          <t>10.2196/73283</t>
        </is>
      </c>
      <c r="Q132" s="4" t="inlineStr">
        <is>
          <t>JMIR Medical Informatics</t>
        </is>
      </c>
      <c r="R132" s="4" t="inlineStr">
        <is>
          <t>article</t>
        </is>
      </c>
      <c r="S132" s="4" t="inlineStr">
        <is>
          <t>JMIR Publications Inc.</t>
        </is>
      </c>
      <c r="T132" s="4" t="inlineStr">
        <is>
          <t>https://doi.org/10.2196/73283</t>
        </is>
      </c>
      <c r="U132" s="4" t="n"/>
      <c r="V132" s="4" t="inlineStr">
        <is>
          <t>Background: Delirium is a frequent postoperative complication among patients who have undergone cardiac surgery and is associated with prolonged hospitalization, cognitive decline, and increased mortality. Early prediction of delirium is therefore critical for initiating timely interventions. Objective: This study proposes the development and validation of a machine learning–based model to predict postoperative delirium in patients undergoing cardiac surgery during intensive care unit (ICU) care, facilitating the early detection of individuals at high risk of delirium and supporting clinicians in the deployment of targeted preventive strategies. Methods: This study extracted data on postoperative cardiac surgery patients who remained in the ICU for more than 24 hours from the Medical Information Mart for Intensive Care IV version 2.0 (MIMIC-IV 2.0) database and the eICU Collaborative Research Database (eICU-CRD). The MIMIC-IV 2.0 cohort was randomly divided into a training set and an internal validation set in a 7:3 ratio, whereas the eICU-CRD functioned as an independent validation cohort. We used data from the first 24 hours of ICU monitoring to model the likelihood of delirium over the entire ICU admission period. Delirium was identified by a positive Confusion Assessment Method for the Intensive Care Unit evaluation (ie, score ≥4). We built predictive models by using logistic regression, support vector classifier, extreme gradient boosting (XGB), and random forest classifiers. Their performance was assessed via the area under the receiver operating characteristic curve, accuracy, sensitivity, positive predictive value, negative predictive value, and F1-score. Results: The analysis involved 2124 patients from the MIMIC-IV 2.0 database and 2406 from the eICU-CRD. A set of 57variables was selected to construct the predictive models. Among the various machine learning models tested, the XGB model demonstrated the best performance for delirium prediction during internal validation. As for external validation, the model achieved an area under the receiver operating characteristic curve of 0.75, indicating strong discriminatory ability. The most important predictive features identified by the model included hospital length of stay, minimum Glasgow Coma Scale score, mean blood pressure, Sequential Organ Failure Assessment score, weight, urine output, heart rate, and age. Conclusions: The XGB model with strong predictive capability for ICU delirium after cardiac surgery was developed and externally validated. This model offers essential technical support for building real-time delirium alert systems and enables ongoing risk stratification and evidence-based decision-making within the ICU environment.</t>
        </is>
      </c>
      <c r="W132" s="4" t="inlineStr">
        <is>
          <t>title_abstract_plus_targeted_primary_source_verification</t>
        </is>
      </c>
      <c r="X132" s="4" t="inlineStr">
        <is>
          <t>doi:10.2196/73283</t>
        </is>
      </c>
      <c r="Y132" s="4" t="n"/>
      <c r="Z132" s="4" t="n"/>
      <c r="AA132" s="4" t="n"/>
      <c r="AB132" s="40" t="n"/>
    </row>
    <row r="133" ht="409" customHeight="1">
      <c r="A133" s="4" t="n">
        <v>132</v>
      </c>
      <c r="B133" s="4" t="inlineStr">
        <is>
          <t>include_after_full_text_open_access</t>
        </is>
      </c>
      <c r="C133" s="4" t="inlineStr">
        <is>
          <t>Incluir tras revisión de texto completo abierto</t>
        </is>
      </c>
      <c r="D133" s="4" t="inlineStr">
        <is>
          <t>Provisional include</t>
        </is>
      </c>
      <c r="E133" s="4" t="inlineStr">
        <is>
          <t>Sí</t>
        </is>
      </c>
      <c r="F133" s="4" t="inlineStr">
        <is>
          <t>Full-text review</t>
        </is>
      </c>
      <c r="G133" s="4" t="n"/>
      <c r="H133" s="4" t="n"/>
      <c r="I133" s="4" t="n"/>
      <c r="J133" s="4" t="inlineStr">
        <is>
          <t>Texto completo confirma estudio primario con Machine Learning aplicado a ASD (Screening and developmental prediction).</t>
        </is>
      </c>
      <c r="K133" s="4" t="n"/>
      <c r="L133" s="4" t="n"/>
      <c r="M133" s="4" t="n">
        <v>2025</v>
      </c>
      <c r="N133" s="4" t="inlineStr">
        <is>
          <t>A Brief Observation to Screen Autism in Toddlers and Predict Developmental Trajectory</t>
        </is>
      </c>
      <c r="O133" s="4" t="inlineStr">
        <is>
          <t>Fiona Journal and Thibaut Chataing and Michel Godel and Nada Kojovic and Kenza Latrèche and Maude Schneider and Marie Schaer</t>
        </is>
      </c>
      <c r="P133" s="4" t="inlineStr">
        <is>
          <t>10.1016/j.jpedcp.2025.200176</t>
        </is>
      </c>
      <c r="Q133" s="4" t="inlineStr">
        <is>
          <t>Journal of Pediatrics: Clinical Practice</t>
        </is>
      </c>
      <c r="R133" s="4" t="inlineStr">
        <is>
          <t>article</t>
        </is>
      </c>
      <c r="S133" s="4" t="inlineStr">
        <is>
          <t>Elsevier Inc.</t>
        </is>
      </c>
      <c r="T133" s="4" t="inlineStr">
        <is>
          <t>https://doi.org/10.1016/j.jpedcp.2025.200176</t>
        </is>
      </c>
      <c r="U133" s="4" t="inlineStr">
        <is>
          <t>Texto completo abierto revisado; evidencia y codificación en Extraccion_RQ_nuevos.</t>
        </is>
      </c>
      <c r="V133" s="4" t="inlineStr">
        <is>
          <t>Objective: Autism spectrum disorder (ASD) affects approximately 1 in 31 children. Early diagnosis is crucial for optimizing outcomes through early interventions, and primary care settings need efficient tools to identify children presenting autistic features. This study explores the potential of early socio-communicative behaviors, measured by the Early Social Communication Scales, to screen for ASD in children younger than 3 years old, and predict their future cognitive development using machine learning models. Study design: This study analyzed longitudinal data from 113 children with ASD and 59 with typical development (TD), aged from 1 to 3 at baseline. Twenty-three ESCS variables were used to screen for ASD and predict cognitive development. The C5.0 decision tree algorithm was used to classify ASD vs TD, while linear regression and K-means clustering identified cognitive development patterns among autistic children. K-fold cross-validation, permutation testing, and undersampling were used for validation. Results: We distinguished between ASD and TD children with 95% accuracy, 96% sensitivity and 92% specificity. Nine behaviors contributed to distinguish ASD from TD. Behaviors that contributed most are the child's ability to initiate a turn taking and to point at desired objects. A separate model stratified children into groups with different cognitive outcome with 97% accuracy. Behavioral requests variables contributed in distinguishing extreme cognitive trajectories in autistic children. Conclusions: We provide an original decision-algorithm focusing on early socio-communicative behaviors to guide pediatricians through autism screening and cognitive development prediction.</t>
        </is>
      </c>
      <c r="W133" s="4" t="inlineStr">
        <is>
          <t>open_full_text_review_2026_09_04</t>
        </is>
      </c>
      <c r="X133" s="4" t="inlineStr">
        <is>
          <t>doi:10.1016/j.jpedcp.2025.200176</t>
        </is>
      </c>
      <c r="Y133" s="4" t="n"/>
      <c r="Z133" s="4" t="n"/>
      <c r="AA133" s="4" t="n"/>
      <c r="AB133" s="40" t="n"/>
    </row>
    <row r="134" ht="112" customHeight="1">
      <c r="A134" s="4" t="n">
        <v>133</v>
      </c>
      <c r="B134" s="4" t="inlineStr">
        <is>
          <t>exclude_out_of_scope_topic_or_population</t>
        </is>
      </c>
      <c r="C134" s="4" t="inlineStr">
        <is>
          <t>Excluir: tema/población fuera de alcance</t>
        </is>
      </c>
      <c r="D134" s="4" t="inlineStr">
        <is>
          <t>Excluded</t>
        </is>
      </c>
      <c r="E134" s="4" t="inlineStr">
        <is>
          <t>No</t>
        </is>
      </c>
      <c r="F134" s="4" t="inlineStr">
        <is>
          <t>Title/abstract screening</t>
        </is>
      </c>
      <c r="G134" s="4" t="n"/>
      <c r="H134" s="4" t="n"/>
      <c r="I134" s="4" t="n"/>
      <c r="J134" s="4" t="inlineStr">
        <is>
          <t>No estudia ASD en el sentido del protocolo, usa otro significado de ASD o aborda otra población/resultado sin aplicación pertinente al proceso ASD.</t>
        </is>
      </c>
      <c r="K134" s="4" t="n"/>
      <c r="L134" s="4" t="n"/>
      <c r="M134" s="4" t="n">
        <v>2026</v>
      </c>
      <c r="N134" s="4" t="inlineStr">
        <is>
          <t>Development and Evaluation of Individualized Music Therapy for Common Mental Disorders: Protocol for a Multistage Study</t>
        </is>
      </c>
      <c r="O134" s="4" t="inlineStr">
        <is>
          <t>Chunfeng Xiao and Jing Wei and Tao Li and Jinya Cao and Qiaoyan Li and Yanping Duan and Wenqi Geng and Boheng Zhu and Bingzhou Liu and Yongxue Li</t>
        </is>
      </c>
      <c r="P134" s="4" t="inlineStr">
        <is>
          <t>10.2196/90617</t>
        </is>
      </c>
      <c r="Q134" s="4" t="inlineStr">
        <is>
          <t>JMIR Research Protocols</t>
        </is>
      </c>
      <c r="R134" s="4" t="inlineStr">
        <is>
          <t>article</t>
        </is>
      </c>
      <c r="S134" s="4" t="n"/>
      <c r="T134" s="4" t="inlineStr">
        <is>
          <t>https://www.researchprotocols.org/2026/1/e90617</t>
        </is>
      </c>
      <c r="U134" s="4" t="n"/>
      <c r="V134" s="4" t="n"/>
      <c r="W134" s="4" t="inlineStr">
        <is>
          <t>title_abstract_plus_targeted_primary_source_verification</t>
        </is>
      </c>
      <c r="X134" s="4" t="inlineStr">
        <is>
          <t>doi:10.2196/90617</t>
        </is>
      </c>
      <c r="Y134" s="4" t="n"/>
      <c r="Z134" s="4" t="n"/>
      <c r="AA134" s="4" t="n"/>
      <c r="AB134" s="40" t="n"/>
    </row>
    <row r="135" ht="385" customHeight="1">
      <c r="A135" s="4" t="n">
        <v>134</v>
      </c>
      <c r="B135" s="4" t="inlineStr">
        <is>
          <t>include_after_title_abstract_screen</t>
        </is>
      </c>
      <c r="C135" s="4" t="inlineStr">
        <is>
          <t>Incluir provisionalmente</t>
        </is>
      </c>
      <c r="D135" s="4" t="inlineStr">
        <is>
          <t>Provisional include</t>
        </is>
      </c>
      <c r="E135" s="4" t="inlineStr">
        <is>
          <t>Sí</t>
        </is>
      </c>
      <c r="F135" s="4" t="inlineStr">
        <is>
          <t>Title/abstract screening</t>
        </is>
      </c>
      <c r="G135" s="4" t="n"/>
      <c r="H135" s="4" t="n"/>
      <c r="I135" s="4" t="n"/>
      <c r="J135" s="4" t="inlineStr">
        <is>
          <t>Estudio primario o implementación/evaluación empírica de IA, aprendizaje automático o modelado computacional aplicado a ASD, riesgo, caracterización, apoyo o intervención.</t>
        </is>
      </c>
      <c r="K135" s="4" t="n"/>
      <c r="L135" s="4" t="n"/>
      <c r="M135" s="4" t="n">
        <v>2025</v>
      </c>
      <c r="N135" s="4" t="inlineStr">
        <is>
          <t>ASD-HybridNet: A hybrid deep learning framework for detection of autism spectrum disorder</t>
        </is>
      </c>
      <c r="O135" s="4" t="inlineStr">
        <is>
          <t>Nirmal Rai and P C Pradhan and Hemanta Saikia and Rinkila Bhutia and O P Singh</t>
        </is>
      </c>
      <c r="P135" s="4" t="inlineStr">
        <is>
          <t>10.1016/j.mri.2025.110492</t>
        </is>
      </c>
      <c r="Q135" s="4" t="inlineStr">
        <is>
          <t>Magnetic Resonance Imaging</t>
        </is>
      </c>
      <c r="R135" s="4" t="inlineStr">
        <is>
          <t>article</t>
        </is>
      </c>
      <c r="S135" s="4" t="inlineStr">
        <is>
          <t>Elsevier Inc.</t>
        </is>
      </c>
      <c r="T135" s="4" t="inlineStr">
        <is>
          <t>https://www.sciencedirect.com/science/article/pii/S0730725X25001766</t>
        </is>
      </c>
      <c r="U135" s="4" t="n"/>
      <c r="V135" s="4" t="inlineStr">
        <is>
          <t>Current diagnostic methods for autism spectrum disorder (ASD) are based on subjective behavioral assessments, which present challenges to an accurate and early diagnosis. This paper proposes a hybrid deep learning framework, ASD-HybridNet, which integrates both region of interest (ROI) time series data and functional connectivity (FC) maps derived from functional magnetic resonance imaging (fMRI) data to improve ASD detection. Experiments on the ABIDE dataset demonstrate the effectiveness of the proposed method compared to existing approaches.</t>
        </is>
      </c>
      <c r="W135" s="4" t="inlineStr">
        <is>
          <t>title_abstract_plus_targeted_primary_source_verification</t>
        </is>
      </c>
      <c r="X135" s="4" t="inlineStr">
        <is>
          <t>doi:10.1016/j.mri.2025.110492</t>
        </is>
      </c>
      <c r="Y135" s="4" t="n"/>
      <c r="Z135" s="4" t="n"/>
      <c r="AA135" s="4" t="n"/>
      <c r="AB135" s="40" t="n"/>
    </row>
    <row r="136" ht="409" customHeight="1">
      <c r="A136" s="4" t="n">
        <v>135</v>
      </c>
      <c r="B136" s="4" t="inlineStr">
        <is>
          <t>exclude_out_of_scope_topic_or_population</t>
        </is>
      </c>
      <c r="C136" s="4" t="inlineStr">
        <is>
          <t>Excluir: tema/población fuera de alcance</t>
        </is>
      </c>
      <c r="D136" s="4" t="inlineStr">
        <is>
          <t>Excluded</t>
        </is>
      </c>
      <c r="E136" s="4" t="inlineStr">
        <is>
          <t>No</t>
        </is>
      </c>
      <c r="F136" s="4" t="inlineStr">
        <is>
          <t>Title/abstract screening</t>
        </is>
      </c>
      <c r="G136" s="4" t="n"/>
      <c r="H136" s="4" t="n"/>
      <c r="I136" s="4" t="n"/>
      <c r="J136" s="4" t="inlineStr">
        <is>
          <t>No estudia ASD en el sentido del protocolo, usa otro significado de ASD o aborda otra población/resultado sin aplicación pertinente al proceso ASD.</t>
        </is>
      </c>
      <c r="K136" s="4" t="n"/>
      <c r="L136" s="4" t="n"/>
      <c r="M136" s="4" t="n">
        <v>2026</v>
      </c>
      <c r="N136" s="4" t="inlineStr">
        <is>
          <t>The Diagnostic Value of Image-Based Machine Learning for Osteoporosis: Systematic Review and Meta-Analysis</t>
        </is>
      </c>
      <c r="O136" s="4" t="inlineStr">
        <is>
          <t>Rui Zhao and Haolin Yang and Yangbo Li and Xiaoyun Li and Zhijie Yang and Yanping Lin and Jiachun Huang and Lei Wan and Hongxing Huang</t>
        </is>
      </c>
      <c r="P136" s="4" t="inlineStr">
        <is>
          <t>10.2196/75965</t>
        </is>
      </c>
      <c r="Q136" s="4" t="inlineStr">
        <is>
          <t>Journal of Medical Internet Research</t>
        </is>
      </c>
      <c r="R136" s="4" t="inlineStr">
        <is>
          <t>article</t>
        </is>
      </c>
      <c r="S136" s="4" t="inlineStr">
        <is>
          <t>JMIR Publications Inc.</t>
        </is>
      </c>
      <c r="T136" s="4" t="inlineStr">
        <is>
          <t>https://doi.org/10.2196/75965</t>
        </is>
      </c>
      <c r="U136" s="4" t="n"/>
      <c r="V136" s="4" t="inlineStr">
        <is>
          <t>Background: Osteoporosis (OP) is projected to be a major issue significantly impacting the well-being of middle-aged and old populations. Machine learning (ML) and deep learning (DL) models developed based on medical imaging have enhanced clinicians’ diagnostic accuracy and work efficiency. However, the diagnostic performance of different types of medical imaging for OP has not been systematically assessed. Objective: By summarizing related literature, this study aims to elucidate the role of DL models based on different medical imaging modalities in OP detection. Methods: PubMed, Embase, the Cochrane Library, and Web of Science were systematically searched for studies using ML for the diagnosis of OP based on medical imaging. The final search was conducted on May 16, 2024. The risk of bias in the included studies was assessed using the Quality Assessment of Diagnostic Accuracy Studies-2 tool. A bivariate mixed-effects model was applied to perform meta-analyses of sensitivity (SEN) and specificity (SPC), stratified by imaging modality (x-ray, computed tomography [CT], magnetic resonance imaging [MRI]). In addition, subgroup analyses were carried out based on the type of ML algorithm, the method of validation dataset generation, and the anatomical site of assessment. Results: A total of 60 studies comprising 66,195 participants were encompassed in this systematic review and meta-analysis. Among these, 22 studies used x-ray imaging, 37 applied CT imaging, and 3 used MRI for ML-based OP diagnosis. For x-ray–based models, the pooled SEN and SPC for studies focusing on the appendicular skeleton were 0.97 (95% CI 0.83‐0.99) and 0.90 (95% CI 0.75‐0.96), respectively. For studies using the mandible as the target site, SEN and SPC were 0.94 (95% CI 0.89‐0.97) and 0.80 (95% CI 0.56‐0.93), respectively. For those focusing on the lumbar spine, the pooled SEN and SPC were 0.87 (95% CI 0.77‐0.93) and 0.82 (95% CI 0.75‐0.87), respectively. For CT-based models, studies targeting the hip joint reported a pooled SEN and SPC of 0.87 (95% CI 0.83‐0.90) and 0.92 (95% CI 0.81‐0.96), respectively. For the thoracic spine, SEN and SPC were 0.91 (95% CI 0.86‐0.94) and 0.94 (95% CI 0.92‐0.95), respectively, while for the lumbar spine, they were 0.91 (95% CI 0.87‐0.94) and 0.92 (95% CI 0.86‐0.95), respectively. Conclusions: ML based on medical imaging demonstrates high diagnosis accuracy for OP, particularly DL models using x-ray and CT modalities. However, this study included only a limited number of original studies using MRI-based ML, and there remains a lack of adequate external validation across studies, which poses interpretative limitations. Future research should aim to develop artificial intelligence tools with broader applicability and enhanced diagnostic precision.</t>
        </is>
      </c>
      <c r="W136" s="4" t="inlineStr">
        <is>
          <t>title_abstract_plus_targeted_primary_source_verification</t>
        </is>
      </c>
      <c r="X136" s="4" t="inlineStr">
        <is>
          <t>doi:10.2196/75965</t>
        </is>
      </c>
      <c r="Y136" s="4" t="n"/>
      <c r="Z136" s="4" t="n"/>
      <c r="AA136" s="4" t="n"/>
      <c r="AB136" s="40" t="n"/>
    </row>
    <row r="137" ht="409" customHeight="1">
      <c r="A137" s="4" t="n">
        <v>136</v>
      </c>
      <c r="B137" s="4" t="inlineStr">
        <is>
          <t>exclude_conference_abstract_only</t>
        </is>
      </c>
      <c r="C137" s="4" t="inlineStr">
        <is>
          <t>Excluir: resumen de congreso</t>
        </is>
      </c>
      <c r="D137" s="4" t="inlineStr">
        <is>
          <t>Excluded</t>
        </is>
      </c>
      <c r="E137" s="4" t="inlineStr">
        <is>
          <t>No</t>
        </is>
      </c>
      <c r="F137" s="4" t="inlineStr">
        <is>
          <t>Title/abstract screening</t>
        </is>
      </c>
      <c r="G137" s="4" t="n"/>
      <c r="H137" s="4" t="n"/>
      <c r="I137" s="4" t="n"/>
      <c r="J137" s="4" t="inlineStr">
        <is>
          <t>Registro disponible únicamente como resumen de congreso, insuficiente para verificar y codificar RQ1-RQ3.</t>
        </is>
      </c>
      <c r="K137" s="4" t="n"/>
      <c r="L137" s="4" t="n"/>
      <c r="M137" s="4" t="n">
        <v>2025</v>
      </c>
      <c r="N137" s="4" t="inlineStr">
        <is>
          <t>96. MACHINE LEARNING-DERIVED SUBTYPES OF AUTISM REVEAL DISTINCT GENETIC CONTRIBUTIONS FROM COMMON AND RARE VARIANTS</t>
        </is>
      </c>
      <c r="O137" s="4" t="inlineStr">
        <is>
          <t>Qing Tan and Jingyu Xie and LeeAnn Green Snyder and LeeAnn Green Snyder and Bridget Fernandez and Bridget Fernandez and Nicholas Mancuso and Charleston Chiang and Chang Shu</t>
        </is>
      </c>
      <c r="P137" s="4" t="inlineStr">
        <is>
          <t>10.1016/j.euroneuro.2025.08.563</t>
        </is>
      </c>
      <c r="Q137" s="4" t="inlineStr">
        <is>
          <t>European Neuropsychopharmacology</t>
        </is>
      </c>
      <c r="R137" s="4" t="inlineStr">
        <is>
          <t>article</t>
        </is>
      </c>
      <c r="S137" s="4" t="inlineStr">
        <is>
          <t>Elsevier BV</t>
        </is>
      </c>
      <c r="T137" s="4" t="inlineStr">
        <is>
          <t>https://www.sciencedirect.com/science/article/pii/S0924977X25007217</t>
        </is>
      </c>
      <c r="U137" s="4" t="n"/>
      <c r="V137" s="4" t="inlineStr">
        <is>
          <t>Background: Autism spectrum disorder (ASD) is characterized by substantial heterogeneity in core symptom severity and co-occurring conditions, complicating efforts to understand its genetic basis. Most genetic studies rely on binary case-control ASD definitions, which may obscure the underlying biological differences and the diverse genetic contributions across ASD subtypes. Method(s): We constructed ASD subtypes and corresponding continuous subtype scores by using Discriminative Dimensionality Reduction via learning a Tree (DDRTree), an unsupervised machine learning clustering approach that projects data into a reduced-dimensional space while constructing a principal tree that captures the intrinsic structure of the data. We applied this method to 14 key ASD clinical traits including assessing social, cognitive, behavioral scores and comorbidity among 6,355 ASD children in the Simons Foundation Powering Autism Research for Knowledge (SPARK). We also projected individuals from the Simons Simplex Collection (SSC; N = 1,403) onto the SPARK-derived subtype structure using a k-nearest neighbors (k-NN) approach. We compared the burden of de novo loss-of-function (LoF) variants and SNP-based heritability across ASD subtypes in SPARK and SSC. Result(s): We identified three distinct ASD subtypes: Subtype 1 represents the most severely affected group, with highest therapy needs especially in language skills; Subtype 2 shows high comorbidity with mood disorders, with specific needs in medication and mood regulation; Subtype 3 is the least affected group with lowest support needs. Projected ASD subtypes in SSC showed similar clinical profiles as SPARK, supporting the generalizability of our model. The de novo LoF burden is consistently higher in Subtype 1 and 2 as compared with Subtype 3 in SPARK and SSC. The SNP heritability of the continuous Subtype 1 and 2 scores was 0.163 (SE = 0.053) and 0.129 (SE = 0.049) respectively, which are higher than SNP heritability of 0.118 observed for the binary ASD diagnosis. Discussion(s): We demonstrate that DDRTree can construct clinically meaningful ASD subtypes and continuous ASD subtype scores that capture both core and co-occurring symptoms. These subtypes are genetically distinct, supported by de novo LoF burden and SNP heritability analysis. Our findings highlight the potential of machine learning approaches in dissecting ASD heterogeneity and linking clinical phenotypes to common and rare variants.Copyright © 2025</t>
        </is>
      </c>
      <c r="W137" s="4" t="inlineStr">
        <is>
          <t>title_abstract_plus_targeted_primary_source_verification</t>
        </is>
      </c>
      <c r="X137" s="4" t="inlineStr">
        <is>
          <t>doi:10.1016/j.euroneuro.2025.08.563</t>
        </is>
      </c>
      <c r="Y137" s="4" t="n"/>
      <c r="Z137" s="4" t="n"/>
      <c r="AA137" s="4" t="n"/>
      <c r="AB137" s="40" t="n"/>
    </row>
    <row r="138" ht="86" customHeight="1">
      <c r="A138" s="4" t="n">
        <v>137</v>
      </c>
      <c r="B138" s="4" t="inlineStr">
        <is>
          <t>exclude_conference_abstract_only</t>
        </is>
      </c>
      <c r="C138" s="4" t="inlineStr">
        <is>
          <t>Excluir: resumen de congreso</t>
        </is>
      </c>
      <c r="D138" s="4" t="inlineStr">
        <is>
          <t>Excluded</t>
        </is>
      </c>
      <c r="E138" s="4" t="inlineStr">
        <is>
          <t>No</t>
        </is>
      </c>
      <c r="F138" s="4" t="inlineStr">
        <is>
          <t>Title/abstract screening</t>
        </is>
      </c>
      <c r="G138" s="4" t="n"/>
      <c r="H138" s="4" t="n"/>
      <c r="I138" s="4" t="n"/>
      <c r="J138" s="4" t="inlineStr">
        <is>
          <t>Registro disponible únicamente como resumen de congreso, insuficiente para verificar y codificar RQ1-RQ3.</t>
        </is>
      </c>
      <c r="K138" s="4" t="n"/>
      <c r="L138" s="4" t="n"/>
      <c r="M138" s="4" t="n">
        <v>2025</v>
      </c>
      <c r="N138" s="4" t="inlineStr">
        <is>
          <t>RWD184 FNEURONET: A SEX-SPECIFIC DEEP LEARNING FRAMEWORK FOR AUTISM SPECTRUM DISORDER (ASD) AND ATTENTION DEFICIT AND HYPERACTIVITY DISORDER (ADHD) CLASSIFICATION IN FEMALE COHORTS BASED ON RESTING-STATE FMRI IMAGES</t>
        </is>
      </c>
      <c r="O138" s="4" t="inlineStr">
        <is>
          <t>Xinyao YI and Zhiguang HUANG and Yan HE and Wai-kit Ming</t>
        </is>
      </c>
      <c r="P138" s="4" t="inlineStr">
        <is>
          <t>10.1016/j.vhri.2025.101222</t>
        </is>
      </c>
      <c r="Q138" s="4" t="inlineStr">
        <is>
          <t>Value in Health Regional Issues</t>
        </is>
      </c>
      <c r="R138" s="4" t="inlineStr">
        <is>
          <t>article</t>
        </is>
      </c>
      <c r="S138" s="4" t="inlineStr">
        <is>
          <t>Elsevier BV</t>
        </is>
      </c>
      <c r="T138" s="4" t="inlineStr">
        <is>
          <t>https://www.sciencedirect.com/science/article/pii/S2212109925001487</t>
        </is>
      </c>
      <c r="U138" s="4" t="n"/>
      <c r="V138" s="4" t="n"/>
      <c r="W138" s="4" t="inlineStr">
        <is>
          <t>title_abstract_plus_targeted_primary_source_verification</t>
        </is>
      </c>
      <c r="X138" s="4" t="inlineStr">
        <is>
          <t>doi:10.1016/j.vhri.2025.101222</t>
        </is>
      </c>
      <c r="Y138" s="4" t="n"/>
      <c r="Z138" s="4" t="n"/>
      <c r="AA138" s="4" t="n"/>
      <c r="AB138" s="40" t="n"/>
    </row>
    <row r="139" ht="409" customHeight="1">
      <c r="A139" s="4" t="n">
        <v>138</v>
      </c>
      <c r="B139" s="4" t="inlineStr">
        <is>
          <t>exclude_out_of_scope_topic_or_population</t>
        </is>
      </c>
      <c r="C139" s="4" t="inlineStr">
        <is>
          <t>Excluir: tema/población fuera de alcance</t>
        </is>
      </c>
      <c r="D139" s="4" t="inlineStr">
        <is>
          <t>Excluded</t>
        </is>
      </c>
      <c r="E139" s="4" t="inlineStr">
        <is>
          <t>No</t>
        </is>
      </c>
      <c r="F139" s="4" t="inlineStr">
        <is>
          <t>Title/abstract screening</t>
        </is>
      </c>
      <c r="G139" s="4" t="n"/>
      <c r="H139" s="4" t="n"/>
      <c r="I139" s="4" t="n"/>
      <c r="J139" s="4" t="inlineStr">
        <is>
          <t>No estudia ASD en el sentido del protocolo, usa otro significado de ASD o aborda otra población/resultado sin aplicación pertinente al proceso ASD.</t>
        </is>
      </c>
      <c r="K139" s="4" t="n"/>
      <c r="L139" s="4" t="n"/>
      <c r="M139" s="4" t="n">
        <v>2026</v>
      </c>
      <c r="N139" s="4" t="inlineStr">
        <is>
          <t>Detecting Pediatric Emergency Service Use for Suicide and Self-Harm: Multimodal Analysis of 3828 Encounters</t>
        </is>
      </c>
      <c r="O139" s="4" t="inlineStr">
        <is>
          <t>Juliet Beni Edgcomb and Angshuman Saha and Alexandra Klomhaus and Elyse Tascione and Chrislie G Ponce and Joshua J Lee and Theona Tacorda and Bonnie T Zima</t>
        </is>
      </c>
      <c r="P139" s="4" t="inlineStr">
        <is>
          <t>10.2196/82371</t>
        </is>
      </c>
      <c r="Q139" s="4" t="inlineStr">
        <is>
          <t>JMIR Mental Health</t>
        </is>
      </c>
      <c r="R139" s="4" t="inlineStr">
        <is>
          <t>article</t>
        </is>
      </c>
      <c r="S139" s="4" t="inlineStr">
        <is>
          <t>JMIR Publications Inc.</t>
        </is>
      </c>
      <c r="T139" s="4" t="inlineStr">
        <is>
          <t>https://doi.org/10.2196/82371</t>
        </is>
      </c>
      <c r="U139" s="4" t="n"/>
      <c r="V139" s="4" t="inlineStr">
        <is>
          <t>Background: Suicide is the second-leading cause of US childhood mortality after 9 years of age. The accurate measurement of pediatric emergency service use for self-injurious thoughts and behaviors (SITB) remains challenging, as diagnostic codes undercount children. This measurement gap impedes public health and prevention efforts. Current research has not established which combination of electronic health record data elements achieves both high detection accuracy and consistent performance across youth populations. Objective: This study aims to (1) compare the detection accuracy of electronic health record−based methods for identifying SITB-related pediatric emergency department (ED) visits: basic structured data (International Classification of Diseases Version 10, Clinical Modification codes, chief concern), comprehensive structured data, clinical note text with natural language processing, and hybrid approaches combining structured data with notes; and (2) for each method, measure variability in detection by youth demographics and underlying mental health diagnosis. Methods: Multiple human experts reviewed clinical records of 3828 pediatric mental health emergency visits (28,861 clinical notes) to a large health system with 2 EDs (June 2022-October 2024). The reviewers used the Columbia Classification Algorithm for Suicide Assessment to label the presence of SITB at the visit. Random forest classifiers were developed using 3 data modalities: (1) structured data (low-dimensional [International Classification of Diseases codes and chief concerns], medium-dimensional [adding Columbia Suicide Severity Rating Scale screening or mental health diagnoses], and high-dimensional [all structured data or augmented case surveillance, aCS]); (2) text data (general-purpose natural language processing, medical text-specific trained natural language processing, and Large Language Model Meta AI−derived scores), and (3) hybrid data (combining aCS with each text approach). Model performance was evaluated using area under the receiver operating characteristic curve (AUROC). Results: Of the 3828 visits, 1760 (n=1760, 46.0%) were SITB-related. Detection performance improved with dimensionality: low-dimensional (AUROC=0.865), medium-dimensional (AUROC=0.934‐0.935), and high-dimensional (AUROC=0.965). Low-dimensional structured (International Classification of Diseases codes and chief concerns) showed high variability in detection, with lower accuracy among preadolescents (AUROC=0.821 vs 0.880 for adolescents); male participants (AUROC=0.817 vs 0.902 for females); and patients with neurodevelopmental (AUROC=0.568‐0.809), psychotic (AUROC=0.718), and disruptive disorders (AUROC=0.703). Hybrid modality (aCS+Large Language Model Meta AI) achieved optimal performance (AUROC=0.977), with AUROC ≥0.90 for all 20 demographic and 12/15 diagnostic subgroups. Conclusions: This cross-sectional retrospective study identified that, relative to diagnostic codes and chief concern alone, hybrid structured-text detection methods improved accuracy and mitigated unwanted detection variability. The findings offer a scaffold for future clinical deployment of improved information retrieval of pediatric suicide and self-harm−related emergencies.</t>
        </is>
      </c>
      <c r="W139" s="4" t="inlineStr">
        <is>
          <t>title_abstract_plus_targeted_primary_source_verification</t>
        </is>
      </c>
      <c r="X139" s="4" t="inlineStr">
        <is>
          <t>doi:10.2196/82371</t>
        </is>
      </c>
      <c r="Y139" s="4" t="n"/>
      <c r="Z139" s="4" t="n"/>
      <c r="AA139" s="4" t="n"/>
      <c r="AB139" s="40" t="n"/>
    </row>
    <row r="140" ht="99" customHeight="1">
      <c r="A140" s="4" t="n">
        <v>139</v>
      </c>
      <c r="B140" s="4" t="inlineStr">
        <is>
          <t>exclude_conference_abstract_only</t>
        </is>
      </c>
      <c r="C140" s="4" t="inlineStr">
        <is>
          <t>Excluir: resumen de congreso</t>
        </is>
      </c>
      <c r="D140" s="4" t="inlineStr">
        <is>
          <t>Excluded</t>
        </is>
      </c>
      <c r="E140" s="4" t="inlineStr">
        <is>
          <t>No</t>
        </is>
      </c>
      <c r="F140" s="4" t="inlineStr">
        <is>
          <t>Title/abstract screening</t>
        </is>
      </c>
      <c r="G140" s="4" t="n"/>
      <c r="H140" s="4" t="n"/>
      <c r="I140" s="4" t="n"/>
      <c r="J140" s="4" t="inlineStr">
        <is>
          <t>Registro disponible únicamente como resumen de congreso, insuficiente para verificar y codificar RQ1-RQ3.</t>
        </is>
      </c>
      <c r="K140" s="4" t="n"/>
      <c r="L140" s="4" t="n"/>
      <c r="M140" s="4" t="n">
        <v>2025</v>
      </c>
      <c r="N140" s="4" t="inlineStr">
        <is>
          <t>T53. DEEP LEARNING REVEALS AUTISM SUBTYPES DEFINED BY DISTINCT REGULATORY ARCHITECTURES AND VARIANT BURDEN</t>
        </is>
      </c>
      <c r="O140" s="4" t="inlineStr">
        <is>
          <t>Yujin Kim and Ilbin Kim and Hyeji Lee and Soo-Whee Kim and So Hyun Kim and Min Ji Jeon and Heejeong Yoo and Joon-Yong An</t>
        </is>
      </c>
      <c r="P140" s="4" t="inlineStr">
        <is>
          <t>10.1016/j.euroneuro.2025.08.336</t>
        </is>
      </c>
      <c r="Q140" s="4" t="inlineStr">
        <is>
          <t>European Neuropsychopharmacology</t>
        </is>
      </c>
      <c r="R140" s="4" t="inlineStr">
        <is>
          <t>article</t>
        </is>
      </c>
      <c r="S140" s="4" t="inlineStr">
        <is>
          <t>Elsevier BV</t>
        </is>
      </c>
      <c r="T140" s="4" t="inlineStr">
        <is>
          <t>https://www.sciencedirect.com/science/article/pii/S0924977X25004857</t>
        </is>
      </c>
      <c r="U140" s="4" t="n"/>
      <c r="V140" s="4" t="n"/>
      <c r="W140" s="4" t="inlineStr">
        <is>
          <t>title_abstract_plus_targeted_primary_source_verification</t>
        </is>
      </c>
      <c r="X140" s="4" t="inlineStr">
        <is>
          <t>doi:10.1016/j.euroneuro.2025.08.336</t>
        </is>
      </c>
      <c r="Y140" s="4" t="n"/>
      <c r="Z140" s="4" t="n"/>
      <c r="AA140" s="4" t="n"/>
      <c r="AB140" s="40" t="n"/>
    </row>
    <row r="141" ht="409" customHeight="1">
      <c r="A141" s="4" t="n">
        <v>140</v>
      </c>
      <c r="B141" s="4" t="inlineStr">
        <is>
          <t>exclude_out_of_scope_topic_or_population</t>
        </is>
      </c>
      <c r="C141" s="4" t="inlineStr">
        <is>
          <t>Excluir: tema/población fuera de alcance</t>
        </is>
      </c>
      <c r="D141" s="4" t="inlineStr">
        <is>
          <t>Excluded</t>
        </is>
      </c>
      <c r="E141" s="4" t="inlineStr">
        <is>
          <t>No</t>
        </is>
      </c>
      <c r="F141" s="4" t="inlineStr">
        <is>
          <t>Title/abstract screening</t>
        </is>
      </c>
      <c r="G141" s="4" t="n"/>
      <c r="H141" s="4" t="n"/>
      <c r="I141" s="4" t="n"/>
      <c r="J141" s="4" t="inlineStr">
        <is>
          <t>No estudia ASD en el sentido del protocolo, usa otro significado de ASD o aborda otra población/resultado sin aplicación pertinente al proceso ASD.</t>
        </is>
      </c>
      <c r="K141" s="4" t="n"/>
      <c r="L141" s="4" t="n"/>
      <c r="M141" s="4" t="n">
        <v>2026</v>
      </c>
      <c r="N141" s="4" t="inlineStr">
        <is>
          <t>Explainable and Interpretable AI for Voice and Speech Analysis in Clinical Care: Systematic Review</t>
        </is>
      </c>
      <c r="O141" s="4" t="inlineStr">
        <is>
          <t>Mohamed Ebraheem and Jamie Toghranegar and Yael Bensoussan and John Michael Templeton and Amanda Chao and Linda Ma and Kathy Jenkins and Stacy Jo and John Costello and Enrique Diaz-Ocampo and Xijie Zeng and Frank Rudzicz and Elijah Moothedan and Rahul Brito and Omar Ghaffar and Jennifer Siu and Justin Levinsky and Laurie Russell and Joyce Samuel and Lala Su and Isaac Bevers and Kaley Jenney and Jordan Wilke and Satrajit Ghosh and Julie Tu and Madeleine Zanin and Selina Casalino and Radhika Mahajan and James Anibal and David Dorr and Steven Bedrick and Abhijeet Dalal and William Hersh and Le Ann Michaels and Venkata Swarna and Mukhi Talluri and Anna Goldenberg and Siyu Miao and Jean Christophe Bélisle-Pipon and Dona Amraei and Alexander Bernier and Alden Blatter and Léo Cadillac and Amanda Doherty-Kirby and Renee English and Hortense Gallois and C Gaelyn Garrett and Zoha Khawaja and Chloe Loewith and Marie Françoise Malo and Pablo Montoya Varela and Michaela Pnacekova and Jaiden Potter and Claire Premi-Bortolotto and Luka Taylor and Gavin Victor and Claire Wilson and Lochana Jayachandran and Elisa Lapadula and Vardit Ravitsky and Evan Ng and Amer Ghavanini and Toufeeq Ahmed Syed and Shaheen Awan and Donald Bolser and Yael Bensoussan and Ruth Bahr and Stephanie Watts and Micah Boyer and Yassmeen Abdel-Aty and Kirollos Armosh and Ana Sophia and Avila Martinez and Helena Beltran and Moroni Berrios and John Brown and Iris De Santiago and Mohamed Ebraheem and Ellie Eiseman and Mahmoud Elmahdy and Emily Evangelista and Karim Hanna and Jennifer Jain and Brenda Juan Guardela and Ayush Kalia and Megha Kalia and Cynthia Kostelnik and Alisa Krause and Genelle Leo and Vrishni Maharaj and Marian Mikael and Yosef Nafii and Tempestt Neal and Karlee Newberry and Christopher Nickel and Trevor Pharr and Parnaz Rafatjou and Jm Rahman and Jillian Rossi and John Stark and Shrramana Ganesh Sudhakar and Jamie Toghranegar and Megan Urbano and Theresa Zesiewicz and Jordan Lerner-Ellis and Alexander Gelbard and Maria Powell and Amy Brown and Kenneth Fletcher and Kenji Kobayashi and Amanda Peltier and Matthew Pontell and Sarah Rohde and Michael de Riesthal and Samantha Salvi Cruz and Kimberly Vinson and Andrea Krussel and Phillip Payne and Alexandros Sigaras and Anaïs Rameau and Olivier Elemento and John Ramos and Jeffrey Tang and Robin Zhao and Pantelis Zisimopoulos</t>
        </is>
      </c>
      <c r="P141" s="4" t="inlineStr">
        <is>
          <t>10.2196/83790</t>
        </is>
      </c>
      <c r="Q141" s="4" t="inlineStr">
        <is>
          <t>Journal of Medical Internet Research</t>
        </is>
      </c>
      <c r="R141" s="4" t="inlineStr">
        <is>
          <t>article</t>
        </is>
      </c>
      <c r="S141" s="4" t="inlineStr">
        <is>
          <t>JMIR Publications Inc.</t>
        </is>
      </c>
      <c r="T141" s="4" t="inlineStr">
        <is>
          <t>https://doi.org/10.2196/83790</t>
        </is>
      </c>
      <c r="U141" s="4" t="n"/>
      <c r="V141" s="4" t="inlineStr">
        <is>
          <t>Background: Driven by recent advances in artificial intelligence (AI), particularly in medicine, audio-based voice and speech biomarkers are increasingly investigated for various medical applications as a complementary or even alternative modality to traditional medical devices. The adoption of deep learning techniques in recent literature is motivated by their superior performance compared to classical machine learning methods. However, ethical and regulatory concerns regarding the black-box nature of these models have limited their integration into clinical workflows. Consequently, explainable artificial intelligence (XAI) has recently been used to address this issue by generating explanations for opaque model outputs. Ideally, medical XAI systems aim to provide human-understandable, clinically grounded explanations essential for enhanced AI trustworthiness and, thereby, facilitate adoption into real-world clinical settings. Objective: We conduct a systematic literature review of XAI methods applied for explaining deep learning techniques in audio-based voice and speech clinical applications. We aim to identify what XAI methods have been used to explain the decisions of deep learning voice and speech AI systems in health care, as well as XAI-informed insights. Additionally, we aim to contextualize these findings with respect to clinical applicability and stakeholder relevance. Lastly, we identify opportunities and recommendations for future clinical audio XAI design. Methods: We used PRISMA (Preferred Reporting Items for Systematic Reviews and Meta-Analyses). Six electronic databases (IEEE Xplore, ACM Digital Library, Scopus, PubMed, Web of Science, and Nature) were searched for papers published between January 2015 and February 2025. Eligible studies applied explainability or interpretability methods to deep learning models for voice or speech audio in health care contexts. Risk of bias was assessed using PROBAST+AI (Prediction Model Risk of Bias Assessment Tool). The results were thematically synthesized across explainability categories, input representations, clinical domains, validation strategies, and stakeholder considerations. Results: A total of 30 studies met the inclusion criteria. These studies used a range of explainability approaches, including gradient-based methods, perturbation-based techniques, surrogate model–based methods, model-internal representation analyses, concept-based detectors, and attention-based explanations. Applications spanned diverse clinical domains, including voice disorders, neurodegenerative diseases, psychiatric conditions, and traumatic brain injury. Overall, results indicate that most studies relied primarily on qualitative interpretation of explainability outputs, with limited quantitative validation of explanation consistency across external datasets. Furthermore, none of the included studies explicitly conducted human-in-the-loop evaluations with relevant stakeholders, highlighting a substantial gap in stakeholder alignment. Conclusions: Current XAI practices in clinical voice and speech analysis are limited by insufficient validation, lack of domain-specific design, and misalignment with clinical stakeholder needs. This review highlights opportunities for developing validated, audio-aware, and stakeholder-centered XAI approaches to support trustworthy clinical deployment. Interpretation of these findings should consider limitations related to single-reviewer study selection, potential high-risk of bias, and the repeated use of benchmark datasets.</t>
        </is>
      </c>
      <c r="W141" s="4" t="inlineStr">
        <is>
          <t>title_abstract_plus_targeted_primary_source_verification</t>
        </is>
      </c>
      <c r="X141" s="4" t="inlineStr">
        <is>
          <t>doi:10.2196/83790</t>
        </is>
      </c>
      <c r="Y141" s="4" t="n"/>
      <c r="Z141" s="4" t="n"/>
      <c r="AA141" s="4" t="n"/>
      <c r="AB141" s="40" t="n"/>
    </row>
    <row r="142" ht="409" customHeight="1">
      <c r="A142" s="4" t="n">
        <v>141</v>
      </c>
      <c r="B142" s="4" t="inlineStr">
        <is>
          <t>exclude_out_of_scope_topic_or_population</t>
        </is>
      </c>
      <c r="C142" s="4" t="inlineStr">
        <is>
          <t>Excluir: tema/población fuera de alcance</t>
        </is>
      </c>
      <c r="D142" s="4" t="inlineStr">
        <is>
          <t>Excluded</t>
        </is>
      </c>
      <c r="E142" s="4" t="inlineStr">
        <is>
          <t>No</t>
        </is>
      </c>
      <c r="F142" s="4" t="inlineStr">
        <is>
          <t>Title/abstract screening</t>
        </is>
      </c>
      <c r="G142" s="4" t="n"/>
      <c r="H142" s="4" t="n"/>
      <c r="I142" s="4" t="n"/>
      <c r="J142" s="4" t="inlineStr">
        <is>
          <t>No estudia ASD en el sentido del protocolo, usa otro significado de ASD o aborda otra población/resultado sin aplicación pertinente al proceso ASD.</t>
        </is>
      </c>
      <c r="K142" s="4" t="n"/>
      <c r="L142" s="4" t="n"/>
      <c r="M142" s="4" t="n">
        <v>2025</v>
      </c>
      <c r="N142" s="4" t="inlineStr">
        <is>
          <t>P97. Machine learning driven nomogram to predict prolonged ICU stay following ASD surgery</t>
        </is>
      </c>
      <c r="O142" s="4" t="inlineStr">
        <is>
          <t>Ahmed Sulieman and Indeevar Beeram and D Kojo Hamilton and Virginie Lafage and Renaud Lafage and Breton Line and Richard A Hostin and Peter Gust Passias and Eric O Klineberg and Justin S Smith and Jeffrey L Gum and Jeffrey Mullin and Bassel G Diebo and Thomas J Buell and Alexandra Soroceanu and Han Jo Kim and Robert K Eastlack and Alan H Daniels and Gregory M Mundis and Themistocles Stavros Protopsaltis and Munish C Gupta and Neel Anand and David O Okonkwo and Jay D Turner and Frank J Schwab and Christopher I Shaffrey and Christopher P Ames and Lawrence G Lenke and Shay Bess and Sang-Hun Lee</t>
        </is>
      </c>
      <c r="P142" s="4" t="inlineStr">
        <is>
          <t>10.1016/j.spinee.2025.08.098</t>
        </is>
      </c>
      <c r="Q142" s="4" t="inlineStr">
        <is>
          <t>The Spine Journal</t>
        </is>
      </c>
      <c r="R142" s="4" t="inlineStr">
        <is>
          <t>article</t>
        </is>
      </c>
      <c r="S142" s="4" t="n"/>
      <c r="T142" s="4" t="inlineStr">
        <is>
          <t>https://www.sciencedirect.com/science/article/pii/S1529943025004784</t>
        </is>
      </c>
      <c r="U142" s="4" t="n"/>
      <c r="V142" s="4" t="n"/>
      <c r="W142" s="4" t="inlineStr">
        <is>
          <t>title_abstract_plus_targeted_primary_source_verification</t>
        </is>
      </c>
      <c r="X142" s="4" t="inlineStr">
        <is>
          <t>doi:10.1016/j.spinee.2025.08.098</t>
        </is>
      </c>
      <c r="Y142" s="4" t="n"/>
      <c r="Z142" s="4" t="n"/>
      <c r="AA142" s="4" t="n"/>
      <c r="AB142" s="40" t="n"/>
    </row>
    <row r="143" ht="409" customHeight="1">
      <c r="A143" s="4" t="n">
        <v>142</v>
      </c>
      <c r="B143" s="4" t="inlineStr">
        <is>
          <t>include_after_title_abstract_screen</t>
        </is>
      </c>
      <c r="C143" s="4" t="inlineStr">
        <is>
          <t>Incluir provisionalmente</t>
        </is>
      </c>
      <c r="D143" s="4" t="inlineStr">
        <is>
          <t>Provisional include</t>
        </is>
      </c>
      <c r="E143" s="4" t="inlineStr">
        <is>
          <t>Sí</t>
        </is>
      </c>
      <c r="F143" s="4" t="inlineStr">
        <is>
          <t>Title/abstract screening</t>
        </is>
      </c>
      <c r="G143" s="4" t="n"/>
      <c r="H143" s="4" t="n"/>
      <c r="I143" s="4" t="n"/>
      <c r="J143" s="4" t="inlineStr">
        <is>
          <t>Estudio primario o implementación/evaluación empírica de IA, aprendizaje automático o modelado computacional aplicado a ASD, riesgo, caracterización, apoyo o intervención.</t>
        </is>
      </c>
      <c r="K143" s="4" t="n"/>
      <c r="L143" s="4" t="n"/>
      <c r="M143" s="4" t="n">
        <v>2025</v>
      </c>
      <c r="N143" s="4" t="inlineStr">
        <is>
          <t>Proximal policy optimization (PPO) algorithm's role in autonomous decision-making for autism</t>
        </is>
      </c>
      <c r="O143" s="4" t="inlineStr">
        <is>
          <t>Joypriyanka Mariselvam and Youseef Alotaibi and Surendran Rajendran</t>
        </is>
      </c>
      <c r="P143" s="4" t="inlineStr">
        <is>
          <t>10.1016/j.rineng.2025.107683</t>
        </is>
      </c>
      <c r="Q143" s="4" t="inlineStr">
        <is>
          <t>Results in Engineering</t>
        </is>
      </c>
      <c r="R143" s="4" t="inlineStr">
        <is>
          <t>article</t>
        </is>
      </c>
      <c r="S143" s="4" t="inlineStr">
        <is>
          <t>Elsevier B.V.</t>
        </is>
      </c>
      <c r="T143" s="4" t="inlineStr">
        <is>
          <t>https://www.sciencedirect.com/science/article/pii/S2590123025037363</t>
        </is>
      </c>
      <c r="U143" s="4" t="n"/>
      <c r="V143" s="4" t="inlineStr">
        <is>
          <t>The present research implements the Proximal Policy Optimisation (PPO) method to train many agents in a dynamic police-thief game. The main goal is to create a gaming intervention method that enhances the cognitive skills of children with autism. Employing Proximal Policy Optimisation (PPO), an advanced Reinforcement Learning (RL) method, enhances training stability and effectiveness, resulting in superior learning and gameplay outcomes. The subsequent phase involves creating an engaging and user-friendly gaming environment that fosters learning through observation, problem-solving, critical thinking, and enhancement of hand-eye coordination. This location has been modified to better accommodate children with autism. The study assesses the efficacy of the game treatment technique using user studies and empirical evaluations. This research employs Reinforcement Learning (RL) and Proximal Policy Optimisation (PPO) to provide autistic children with an interactive therapy platform that promotes cognitive growth in an engaging and effective setting. This work contributes to the expanding research on the therapeutic applications of reinforcement learning by elucidating the potential advantages of game therapy for children with autism. It is anticipated that by augmenting the PPO algorithm's performance in the police and thief game, participants' cognitive abilities will improve, thereby enhancing their overall quality of life. The efficacy of the proposed PPO framework is evaluated through simulation results employing Unity ML-Agents, with performance quantified by cumulative reward, episode duration, policy loss, and entropy. This study highlights simulation and algorithmic optimisation, while future research will expand this framework to incorporate structured user trials with individuals with autism for clinical validation.</t>
        </is>
      </c>
      <c r="W143" s="4" t="inlineStr">
        <is>
          <t>title_abstract_plus_targeted_primary_source_verification</t>
        </is>
      </c>
      <c r="X143" s="4" t="inlineStr">
        <is>
          <t>doi:10.1016/j.rineng.2025.107683</t>
        </is>
      </c>
      <c r="Y143" s="4" t="n"/>
      <c r="Z143" s="4" t="n"/>
      <c r="AA143" s="4" t="n"/>
      <c r="AB143" s="40" t="n"/>
    </row>
    <row r="144" ht="409" customHeight="1">
      <c r="A144" s="4" t="n">
        <v>143</v>
      </c>
      <c r="B144" s="4" t="inlineStr">
        <is>
          <t>exclude_no_qualifying_ai_application</t>
        </is>
      </c>
      <c r="C144" s="4" t="inlineStr">
        <is>
          <t>Excluir: sin aplicación de IA elegible</t>
        </is>
      </c>
      <c r="D144" s="4" t="inlineStr">
        <is>
          <t>Excluded</t>
        </is>
      </c>
      <c r="E144" s="4" t="inlineStr">
        <is>
          <t>No</t>
        </is>
      </c>
      <c r="F144" s="4" t="inlineStr">
        <is>
          <t>Title/abstract screening</t>
        </is>
      </c>
      <c r="G144" s="4" t="n"/>
      <c r="H144" s="4" t="n"/>
      <c r="I144" s="4" t="n"/>
      <c r="J144" s="4" t="inlineStr">
        <is>
          <t>El trabajo no implementa ni evalúa una técnica de IA/ML como componente sustantivo del estudio de ASD.</t>
        </is>
      </c>
      <c r="K144" s="4" t="n"/>
      <c r="L144" s="4" t="n"/>
      <c r="M144" s="4" t="n">
        <v>2026</v>
      </c>
      <c r="N144" s="4" t="inlineStr">
        <is>
          <t>Communicative Behaviors in an Internet-Based Intervention for Individuals With Autism: Mixed Methods Analysis</t>
        </is>
      </c>
      <c r="O144" s="4" t="inlineStr">
        <is>
          <t>Britta Westerberg and Karin Jacobson and Maria Unenge Hallerbäck and Susanne Bejerot and Fredrik Holländare</t>
        </is>
      </c>
      <c r="P144" s="4" t="inlineStr">
        <is>
          <t>10.2196/76527</t>
        </is>
      </c>
      <c r="Q144" s="4" t="inlineStr">
        <is>
          <t>Journal of Medical Internet Research</t>
        </is>
      </c>
      <c r="R144" s="4" t="inlineStr">
        <is>
          <t>article</t>
        </is>
      </c>
      <c r="S144" s="4" t="inlineStr">
        <is>
          <t>JMIR Publications Inc.</t>
        </is>
      </c>
      <c r="T144" s="4" t="inlineStr">
        <is>
          <t>https://doi.org/10.2196/76527</t>
        </is>
      </c>
      <c r="U144" s="4" t="n"/>
      <c r="V144" s="4" t="inlineStr">
        <is>
          <t>Background: To meet the needs of individuals diagnosed with autism, internet-based interventions have been developed with a variety of objectives. A deeper understanding of the mechanisms of change may help tailor interventions to individual needs. The communicative behaviors of individuals with autism participating in text-based internet-based interventions remain largely unexplored, as do their potential relations to clinical outcomes. An improved understanding of participants’ behaviors may help therapists better tailor support, promote engagement, and enhance treatment outcomes. Objective: This study aimed to explore the communicative behaviors of individuals with autism participating in an internet-based intervention and to examine whether different behavioral patterns were associated with treatment outcomes or treatment adherence. Methods: Messages from 34 participants enrolled in an 18-week internet-based cognitive behavioral therapy program were analyzed using abductive qualitative content analysis. Correlational analyses were used to examine the relationships between qualitative categories and change scores on outcome measures and rates of module completion. Results: Fourteen behavioral categories were identified and grouped into three overarching domains: (1) “This is me,” which encompasses the participants’ narratives on identity, personality, autistic functioning, current and past circumstances, and worldview; (2) “Working with the treatment,” which included statements related to engagement with the treatment process; and (3) “I struggle,” which comprised of past and present negative experiences and challenges. Correlational analyses revealed associations between several behavioral categories and improvements in quality of life and treatment adherence. Conclusions: The findings highlight the importance of self-narrative formulation among individuals with autism and suggest that certain communicative behaviors—particularly those involving identity reflection and recognition of treatment-related gains—were positively associated with therapeutic outcomes. The findings enhance our understanding of how individuals with autism engage in internet-based cognitive behavioral therapy and may serve as a valuable source of information for therapists when guiding expectations regarding client outcomes and identifying participants who may benefit from additional support.</t>
        </is>
      </c>
      <c r="W144" s="4" t="inlineStr">
        <is>
          <t>title_abstract_plus_targeted_primary_source_verification</t>
        </is>
      </c>
      <c r="X144" s="4" t="inlineStr">
        <is>
          <t>doi:10.2196/76527</t>
        </is>
      </c>
      <c r="Y144" s="4" t="n"/>
      <c r="Z144" s="4" t="n"/>
      <c r="AA144" s="4" t="n"/>
      <c r="AB144" s="40" t="n"/>
    </row>
    <row r="145" ht="409" customHeight="1">
      <c r="A145" s="4" t="n">
        <v>144</v>
      </c>
      <c r="B145" s="4" t="inlineStr">
        <is>
          <t>exclude_secondary_or_nonempirical_publication</t>
        </is>
      </c>
      <c r="C145" s="4" t="inlineStr">
        <is>
          <t>Excluir: publicación secundaria/no empírica</t>
        </is>
      </c>
      <c r="D145" s="4" t="inlineStr">
        <is>
          <t>Excluded</t>
        </is>
      </c>
      <c r="E145" s="4" t="inlineStr">
        <is>
          <t>No</t>
        </is>
      </c>
      <c r="F145" s="4" t="inlineStr">
        <is>
          <t>Title/abstract screening</t>
        </is>
      </c>
      <c r="G145" s="4" t="n"/>
      <c r="H145" s="4" t="n"/>
      <c r="I145" s="4" t="n"/>
      <c r="J145" s="4" t="inlineStr">
        <is>
          <t>Revisión, metaanálisis, encuesta de literatura, protocolo, perspectiva, carta, editorial o capítulo de síntesis sin estudio primario elegible.</t>
        </is>
      </c>
      <c r="K145" s="4" t="n"/>
      <c r="L145" s="4" t="n"/>
      <c r="M145" s="4" t="n">
        <v>2025</v>
      </c>
      <c r="N145" s="4" t="inlineStr">
        <is>
          <t>Maternal and cord blood lipidomics as predictors of autism spectrum disorders: A systematic review</t>
        </is>
      </c>
      <c r="O145" s="4" t="inlineStr">
        <is>
          <t>Antigoni Sarantaki and Ali Ghanchi and Joeri Vermeulen and Anastasia Barbouni and Ekaterina Charvalos and Aikaterini Sousamli and Dimitrios K Anagnostopoulos</t>
        </is>
      </c>
      <c r="P145" s="4" t="inlineStr">
        <is>
          <t>10.1016/j.metop.2025.100403</t>
        </is>
      </c>
      <c r="Q145" s="4" t="inlineStr">
        <is>
          <t>Metabolism Open</t>
        </is>
      </c>
      <c r="R145" s="4" t="inlineStr">
        <is>
          <t>article</t>
        </is>
      </c>
      <c r="S145" s="4" t="inlineStr">
        <is>
          <t>Elsevier BV</t>
        </is>
      </c>
      <c r="T145" s="4" t="inlineStr">
        <is>
          <t>https://www.sciencedirect.com/science/article/pii/S2589936825000593</t>
        </is>
      </c>
      <c r="U145" s="4" t="n"/>
      <c r="V145" s="4" t="inlineStr">
        <is>
          <t>Background Lipid metabolism is integral to neurodevelopment, contributing to neuronal membrane integrity, myelination, and signaling processes. Recent evidence indicates that disruptions in maternal and perinatal lipidomic profiles may be linked to an increased risk of autism spectrum disorders (ASD). To date, no systematic review has synthesized findings from human cohort studies examining lipidomic biomarkers during pregnancy or at birth in relation to subsequent ASD development. Methods We systematically searched PubMed/MEDLINE, Embase, Scopus, Web of Science, Google Scholar, PsycINFO, CINAHL, and grey literature sources from inception to September 2025 for studies assessing maternal lipidomics during pregnancy, postpartum lipid profiles, or cord/neonatal lipidomics in relation to ASD diagnoses or autistic traits measured in offspring. Eligible study designs included prospective cohorts and nested case–control studies. Data extraction followed a standardized template, and methodological quality was appraised using the Newcastle–Ottawa Scale (NOS). Findings were synthesized narratively given heterogeneity in biospecimen timing, lipidomic platforms, and outcome measures. The protocol was registered with PROSPERO (CRD420251152074). Results Nine prospective studies met the inclusion criteria. Maternal lipidomics during pregnancy indicated that lower ω-3 to ω-6 polyunsaturated fatty acid ratios and deficiencies in docosahexaenoic acid were associated with increased autistic traits or ASD with intellectual disability. Postpartum maternal lipid profiles showed that low low-density lipoprotein (LDL) cholesterol predicted greater ASD risk. Cord blood and neonatal lipidomics implicated acylcarnitines, sphingomyelins, and arachidonic acid–derived oxylipins in later ASD symptoms, with some studies demonstrating moderate predictive accuracy (AUROC ranging from 0.71 to 0.85) using machine learning approaches. Overall, recurrent disturbances in fatty acid metabolism, mitochondrial β-oxidation, and inflammatory lipid mediators were observed. Conclusions Prospective evidence supports an association between maternal and neonatal lipidomic alterations and ASD risk, suggesting potential early biomarkers. However, heterogeneity across studies and reliance on single-timepoint measures limit comparability. Standardized lipidomic protocols, longitudinal sampling, and replication in diverse cohorts are needed to establish clinical utility and inform prevention strategies.</t>
        </is>
      </c>
      <c r="W145" s="4" t="inlineStr">
        <is>
          <t>title_abstract_plus_targeted_primary_source_verification</t>
        </is>
      </c>
      <c r="X145" s="4" t="inlineStr">
        <is>
          <t>doi:10.1016/j.metop.2025.100403</t>
        </is>
      </c>
      <c r="Y145" s="4" t="n"/>
      <c r="Z145" s="4" t="n"/>
      <c r="AA145" s="4" t="n"/>
      <c r="AB145" s="40" t="n"/>
    </row>
    <row r="146" ht="409" customHeight="1">
      <c r="A146" s="4" t="n">
        <v>145</v>
      </c>
      <c r="B146" s="4" t="inlineStr">
        <is>
          <t>include_after_full_text_open_access</t>
        </is>
      </c>
      <c r="C146" s="4" t="inlineStr">
        <is>
          <t>Incluir tras revisión de texto completo abierto</t>
        </is>
      </c>
      <c r="D146" s="4" t="inlineStr">
        <is>
          <t>Provisional include</t>
        </is>
      </c>
      <c r="E146" s="4" t="inlineStr">
        <is>
          <t>Sí</t>
        </is>
      </c>
      <c r="F146" s="4" t="inlineStr">
        <is>
          <t>Full-text review</t>
        </is>
      </c>
      <c r="G146" s="4" t="n"/>
      <c r="H146" s="4" t="n"/>
      <c r="I146" s="4" t="n"/>
      <c r="J146" s="4" t="inlineStr">
        <is>
          <t>Texto completo confirma estudio primario con Hybrid aplicado a ASD (Screening and severity classification).</t>
        </is>
      </c>
      <c r="K146" s="4" t="n"/>
      <c r="L146" s="4" t="n"/>
      <c r="M146" s="4" t="n">
        <v>2026</v>
      </c>
      <c r="N146" s="4" t="inlineStr">
        <is>
          <t>Explainable Ensemble Learning Framework for Early Detection of Autism Spectrum Disorder: Enhancing Trust, Interpretability and Reliability in AI-Driven Healthcare</t>
        </is>
      </c>
      <c r="O146" s="4" t="inlineStr">
        <is>
          <t>Menwa Alshammeri and Noshina Tariq and N Z Jhanji and Mamoona Humayun and Muhammad Attique Khan</t>
        </is>
      </c>
      <c r="P146" s="4" t="inlineStr">
        <is>
          <t>10.32604/cmes.2025.074627</t>
        </is>
      </c>
      <c r="Q146" s="4" t="inlineStr">
        <is>
          <t>CMES - Computer Modeling in Engineering and Sciences</t>
        </is>
      </c>
      <c r="R146" s="4" t="inlineStr">
        <is>
          <t>article</t>
        </is>
      </c>
      <c r="S146" s="4" t="inlineStr">
        <is>
          <t>Tech Science Press</t>
        </is>
      </c>
      <c r="T146" s="4" t="inlineStr">
        <is>
          <t>https://cdn.techscience.press/files/CMES/2026/TSP_CMES-146-1/TSP_CMES_74627/TSP_CMES_74627.pdf</t>
        </is>
      </c>
      <c r="U146" s="4" t="inlineStr">
        <is>
          <t>Texto completo abierto revisado; evidencia y codificación en Extraccion_RQ_nuevos.</t>
        </is>
      </c>
      <c r="V146" s="4" t="inlineStr">
        <is>
          <t>Artificial Intelligence (AI) is changing healthcare by helping with diagnosis. However, for doctors to trust AI tools, they need to be both accurate and easy to understand. In this study, we created a new machine learning system for the early detection of Autism Spectrum Disorder (ASD) in children. Our main goal was to build a model that is not only good at predicting ASD but also clear in its reasoning. For this, we combined several different models, including Random Forest, XGBoost, and Neural Networks, into a single, more powerful framework. We used two different types of datasets: (i) a standard behavioral dataset and (ii) a more complex multimodal dataset with images, audio, and physiological information. The datasets were carefully preprocessed for missing values, redundant features, and dataset imbalance to ensure fair learning. The results outperformed the state-of-the-art with a Regularized Neural Network, achieving 97.6% accuracy on behavioral data. Whereas, on the multimodal data, the accuracy is 98.2%. Other models also did well with accuracies consistently above 96%. We also used SHAP and LIME on a behavioral dataset for models' explainability.</t>
        </is>
      </c>
      <c r="W146" s="4" t="inlineStr">
        <is>
          <t>open_full_text_review_2026_09_04</t>
        </is>
      </c>
      <c r="X146" s="4" t="inlineStr">
        <is>
          <t>doi:10.32604/cmes.2025.074627</t>
        </is>
      </c>
      <c r="Y146" s="4" t="n"/>
      <c r="Z146" s="4" t="n"/>
      <c r="AA146" s="4" t="n"/>
      <c r="AB146" s="40" t="n"/>
    </row>
    <row r="147" ht="409" customHeight="1">
      <c r="A147" s="4" t="n">
        <v>146</v>
      </c>
      <c r="B147" s="4" t="inlineStr">
        <is>
          <t>include_after_title_abstract_screen</t>
        </is>
      </c>
      <c r="C147" s="4" t="inlineStr">
        <is>
          <t>Incluir provisionalmente</t>
        </is>
      </c>
      <c r="D147" s="4" t="inlineStr">
        <is>
          <t>Provisional include</t>
        </is>
      </c>
      <c r="E147" s="4" t="inlineStr">
        <is>
          <t>Sí</t>
        </is>
      </c>
      <c r="F147" s="4" t="inlineStr">
        <is>
          <t>Title/abstract screening</t>
        </is>
      </c>
      <c r="G147" s="4" t="n"/>
      <c r="H147" s="4" t="n"/>
      <c r="I147" s="4" t="n"/>
      <c r="J147" s="4" t="inlineStr">
        <is>
          <t>Estudio primario o implementación/evaluación empírica de IA, aprendizaje automático o modelado computacional aplicado a ASD, riesgo, caracterización, apoyo o intervención.</t>
        </is>
      </c>
      <c r="K147" s="4" t="n"/>
      <c r="L147" s="4" t="n"/>
      <c r="M147" s="4" t="n">
        <v>2026</v>
      </c>
      <c r="N147" s="4" t="inlineStr">
        <is>
          <t>Deep learning-based detection of autism spectrum disorder and emotion recognition in children</t>
        </is>
      </c>
      <c r="O147" s="4" t="inlineStr">
        <is>
          <t>T Akalya and D Ramyachitra and M Shabarna and C Legha</t>
        </is>
      </c>
      <c r="P147" s="4" t="inlineStr">
        <is>
          <t>10.1016/j.patcog.2025.112906</t>
        </is>
      </c>
      <c r="Q147" s="4" t="inlineStr">
        <is>
          <t>Pattern Recognition</t>
        </is>
      </c>
      <c r="R147" s="4" t="inlineStr">
        <is>
          <t>article</t>
        </is>
      </c>
      <c r="S147" s="4" t="inlineStr">
        <is>
          <t>Elsevier Ltd</t>
        </is>
      </c>
      <c r="T147" s="4" t="inlineStr">
        <is>
          <t>https://www.sciencedirect.com/science/article/pii/S0031320325015699</t>
        </is>
      </c>
      <c r="U147" s="4" t="n"/>
      <c r="V147" s="4" t="inlineStr">
        <is>
          <t>Autism Spectrum Disorder (ASD) is a multifaceted neurological development disability that is characterized by deficits in social communication and emotion detection. Early and accurate identification of ASD is important; however, clinicians and researchers have often depended upon lengthy, in-clinic assessments. This research work proposes two deep learning models. This study proposes two deep learning models: a Hybrid resNet50V2+InceptionV3 model for ASD prediction from facial images and an enhanced MobileNet for recognizing six emotions in children with ASD. Data sets were collected from two public datasets. Preprocessing was performed (normalization and augmentation) and a hybrid ResNet50V2+InceptionV3 model and enhanced MobileNet were trained and tested. The hybrid model produced 95 % accuracy for predicting ASD, and the enhanced MobileNet achieved 73.3 % accuracy for predicting emotions; both accuracy rates were significantly improved as compared to baseline models. Overall, both models demonstrated that hybrid and enhanced model architectures improve the predictive accuracy and generalization of children with ASD from facial images. The models can also be used as non-invasive methodologies for early detection of ASD and emotion classification in clinical or educational contexts. Future research will include multimodal inputs and methods in explainable AI for further clinical implication.</t>
        </is>
      </c>
      <c r="W147" s="4" t="inlineStr">
        <is>
          <t>title_abstract_plus_targeted_primary_source_verification</t>
        </is>
      </c>
      <c r="X147" s="4" t="inlineStr">
        <is>
          <t>doi:10.1016/j.patcog.2025.112906</t>
        </is>
      </c>
      <c r="Y147" s="4" t="n"/>
      <c r="Z147" s="4" t="n"/>
      <c r="AA147" s="4" t="n"/>
      <c r="AB147" s="40" t="n"/>
    </row>
    <row r="148" ht="112" customHeight="1">
      <c r="A148" s="4" t="n">
        <v>147</v>
      </c>
      <c r="B148" s="4" t="inlineStr">
        <is>
          <t>exclude_out_of_scope_topic_or_population</t>
        </is>
      </c>
      <c r="C148" s="4" t="inlineStr">
        <is>
          <t>Excluir: tema/población fuera de alcance</t>
        </is>
      </c>
      <c r="D148" s="4" t="inlineStr">
        <is>
          <t>Excluded</t>
        </is>
      </c>
      <c r="E148" s="4" t="inlineStr">
        <is>
          <t>No</t>
        </is>
      </c>
      <c r="F148" s="4" t="inlineStr">
        <is>
          <t>Title/abstract screening</t>
        </is>
      </c>
      <c r="G148" s="4" t="n"/>
      <c r="H148" s="4" t="n"/>
      <c r="I148" s="4" t="n"/>
      <c r="J148" s="4" t="inlineStr">
        <is>
          <t>No estudia ASD en el sentido del protocolo, usa otro significado de ASD o aborda otra población/resultado sin aplicación pertinente al proceso ASD.</t>
        </is>
      </c>
      <c r="K148" s="4" t="n"/>
      <c r="L148" s="4" t="n"/>
      <c r="M148" s="4" t="n">
        <v>2026</v>
      </c>
      <c r="N148" s="4" t="inlineStr">
        <is>
          <t>Psychiatric decompensation following AI chatbot use in autism spectrum disorder</t>
        </is>
      </c>
      <c r="O148" s="4" t="inlineStr">
        <is>
          <t>Idris Altinisik and Hamiyet Ipek and Zubeyde Sisman and Murat Emul</t>
        </is>
      </c>
      <c r="P148" s="4" t="inlineStr">
        <is>
          <t>10.1016/j.ajp.2026.104889</t>
        </is>
      </c>
      <c r="Q148" s="4" t="inlineStr">
        <is>
          <t>Asian Journal of Psychiatry</t>
        </is>
      </c>
      <c r="R148" s="4" t="inlineStr">
        <is>
          <t>article</t>
        </is>
      </c>
      <c r="S148" s="4" t="inlineStr">
        <is>
          <t>Elsevier B.V.</t>
        </is>
      </c>
      <c r="T148" s="4" t="inlineStr">
        <is>
          <t>https://www.sciencedirect.com/science/article/pii/S1876201826000626</t>
        </is>
      </c>
      <c r="U148" s="4" t="n"/>
      <c r="V148" s="4" t="n"/>
      <c r="W148" s="4" t="inlineStr">
        <is>
          <t>title_abstract_plus_targeted_primary_source_verification</t>
        </is>
      </c>
      <c r="X148" s="4" t="inlineStr">
        <is>
          <t>doi:10.1016/j.ajp.2026.104889</t>
        </is>
      </c>
      <c r="Y148" s="4" t="n"/>
      <c r="Z148" s="4" t="n"/>
      <c r="AA148" s="4" t="n"/>
      <c r="AB148" s="40" t="n"/>
    </row>
    <row r="149" ht="112" customHeight="1">
      <c r="A149" s="4" t="n">
        <v>148</v>
      </c>
      <c r="B149" s="4" t="inlineStr">
        <is>
          <t>exclude_secondary_or_nonempirical_publication</t>
        </is>
      </c>
      <c r="C149" s="4" t="inlineStr">
        <is>
          <t>Excluir: publicación secundaria/no empírica</t>
        </is>
      </c>
      <c r="D149" s="4" t="inlineStr">
        <is>
          <t>Excluded</t>
        </is>
      </c>
      <c r="E149" s="4" t="inlineStr">
        <is>
          <t>No</t>
        </is>
      </c>
      <c r="F149" s="4" t="inlineStr">
        <is>
          <t>Title/abstract screening</t>
        </is>
      </c>
      <c r="G149" s="4" t="n"/>
      <c r="H149" s="4" t="n"/>
      <c r="I149" s="4" t="n"/>
      <c r="J149" s="4" t="inlineStr">
        <is>
          <t>Revisión, metaanálisis, encuesta de literatura, protocolo, perspectiva, carta, editorial o capítulo de síntesis sin estudio primario elegible.</t>
        </is>
      </c>
      <c r="K149" s="4" t="n"/>
      <c r="L149" s="4" t="n"/>
      <c r="M149" s="4" t="n">
        <v>2026</v>
      </c>
      <c r="N149" s="4" t="inlineStr">
        <is>
          <t>Commonalities and Divergences in the Cognitive Profiles of Autism and Dementia: Protocol for a Narrative Literature Review</t>
        </is>
      </c>
      <c r="O149" s="4" t="inlineStr">
        <is>
          <t>Lynsey Stewart and William J Mcgeown and Jonathan Delafield-Butt and Mario A Parra</t>
        </is>
      </c>
      <c r="P149" s="4" t="inlineStr">
        <is>
          <t>10.2196/82349</t>
        </is>
      </c>
      <c r="Q149" s="4" t="inlineStr">
        <is>
          <t>JMIR Research Protocols</t>
        </is>
      </c>
      <c r="R149" s="4" t="inlineStr">
        <is>
          <t>article</t>
        </is>
      </c>
      <c r="S149" s="4" t="inlineStr">
        <is>
          <t>JMIR Publications Inc.</t>
        </is>
      </c>
      <c r="T149" s="4" t="inlineStr">
        <is>
          <t>https://doi.org/10.2196/82349</t>
        </is>
      </c>
      <c r="U149" s="4" t="n"/>
      <c r="V149" s="4" t="n"/>
      <c r="W149" s="4" t="inlineStr">
        <is>
          <t>title_abstract_plus_targeted_primary_source_verification</t>
        </is>
      </c>
      <c r="X149" s="4" t="inlineStr">
        <is>
          <t>doi:10.2196/82349</t>
        </is>
      </c>
      <c r="Y149" s="4" t="n"/>
      <c r="Z149" s="4" t="n"/>
      <c r="AA149" s="4" t="n"/>
      <c r="AB149" s="40" t="n"/>
    </row>
    <row r="150" ht="409" customHeight="1">
      <c r="A150" s="4" t="n">
        <v>149</v>
      </c>
      <c r="B150" s="4" t="inlineStr">
        <is>
          <t>include_after_title_abstract_screen</t>
        </is>
      </c>
      <c r="C150" s="4" t="inlineStr">
        <is>
          <t>Incluir provisionalmente</t>
        </is>
      </c>
      <c r="D150" s="4" t="inlineStr">
        <is>
          <t>Provisional include</t>
        </is>
      </c>
      <c r="E150" s="4" t="inlineStr">
        <is>
          <t>Sí</t>
        </is>
      </c>
      <c r="F150" s="4" t="inlineStr">
        <is>
          <t>Title/abstract screening</t>
        </is>
      </c>
      <c r="G150" s="4" t="n"/>
      <c r="H150" s="4" t="n"/>
      <c r="I150" s="4" t="n"/>
      <c r="J150" s="4" t="inlineStr">
        <is>
          <t>Estudio primario o implementación/evaluación empírica de IA, aprendizaje automático o modelado computacional aplicado a ASD, riesgo, caracterización, apoyo o intervención.</t>
        </is>
      </c>
      <c r="K150" s="4" t="n"/>
      <c r="L150" s="4" t="n"/>
      <c r="M150" s="4" t="n">
        <v>2026</v>
      </c>
      <c r="N150" s="4" t="inlineStr">
        <is>
          <t>A new approach in autism diagnosis: Evaluating natural interaction using point of view (POV) glasses</t>
        </is>
      </c>
      <c r="O150" s="4" t="inlineStr">
        <is>
          <t>Hakan Kayış and Murat Çelik and Çınar Gedizlioğlu and Elif Kayış and Cumhur Aydemir and Arda Hatipoğlu and Seda Sarı and Nurhak Dogan and Elif Mumcu and Rabia Arı and Burcu Özbaran</t>
        </is>
      </c>
      <c r="P150" s="4" t="inlineStr">
        <is>
          <t>10.1016/j.ajp.2025.104798</t>
        </is>
      </c>
      <c r="Q150" s="4" t="inlineStr">
        <is>
          <t>Asian Journal of Psychiatry</t>
        </is>
      </c>
      <c r="R150" s="4" t="inlineStr">
        <is>
          <t>article</t>
        </is>
      </c>
      <c r="S150" s="4" t="inlineStr">
        <is>
          <t>Elsevier B.V.</t>
        </is>
      </c>
      <c r="T150" s="4" t="inlineStr">
        <is>
          <t>https://www.sciencedirect.com/science/article/pii/S1876201825004411</t>
        </is>
      </c>
      <c r="U150" s="4" t="n"/>
      <c r="V150" s="4" t="inlineStr">
        <is>
          <t>This study introduces an AI-assisted method based on examiner-worn Point of View (POV) glasses and computer vision analysis to provide objective behavioral data for the diagnosis of Autism Spectrum Disorder (ASD). The study included 29 children with ASD and 27 children without ASD, aged between 17 and 36 months. During semi-structured naturalistic interactions, the examiner wore POV glasses equipped with a scene camera that captured the child's face from an eye-level perspective, preserving ecological validity. Behavioral parameters—including facial expressions, approximate social gaze (operationalized as the child's eyes orientation toward the POV camera), and head mobility—were extracted using OpenFace and MediaPipe and subsequently analyzed with machine learning techniques. Statistical analyses revealed that total social gaze duration, longest social gaze, social smiling, number of responses to name, response latency, response duration, social responsiveness, and head movements along the z-axis had p-values ≤ 0.05, while head movements on the x- and y-axes, total head movement, and rapid head movements had p-values &gt; 0.05. The classification model developed using decision trees and the AdaBoost algorithm demonstrated high performance, achieving an accuracy of 91.07 % and a sensitivity of 89.65 %. These findings support the clinical applicability of examiner-worn POV recordings for early ASD detection and highlight their potential to complement traditional, subjective assessment methods.</t>
        </is>
      </c>
      <c r="W150" s="4" t="inlineStr">
        <is>
          <t>title_abstract_plus_targeted_primary_source_verification</t>
        </is>
      </c>
      <c r="X150" s="4" t="inlineStr">
        <is>
          <t>doi:10.1016/j.ajp.2025.104798</t>
        </is>
      </c>
      <c r="Y150" s="4" t="n"/>
      <c r="Z150" s="4" t="n"/>
      <c r="AA150" s="4" t="n"/>
      <c r="AB150" s="40" t="n"/>
    </row>
    <row r="151" ht="409" customHeight="1">
      <c r="A151" s="4" t="n">
        <v>150</v>
      </c>
      <c r="B151" s="4" t="inlineStr">
        <is>
          <t>exclude_secondary_or_nonempirical_publication</t>
        </is>
      </c>
      <c r="C151" s="4" t="inlineStr">
        <is>
          <t>Excluir: publicación secundaria/no empírica</t>
        </is>
      </c>
      <c r="D151" s="4" t="inlineStr">
        <is>
          <t>Excluded</t>
        </is>
      </c>
      <c r="E151" s="4" t="inlineStr">
        <is>
          <t>No</t>
        </is>
      </c>
      <c r="F151" s="4" t="inlineStr">
        <is>
          <t>Title/abstract screening</t>
        </is>
      </c>
      <c r="G151" s="4" t="n"/>
      <c r="H151" s="4" t="n"/>
      <c r="I151" s="4" t="n"/>
      <c r="J151" s="4" t="inlineStr">
        <is>
          <t>Revisión, metaanálisis, encuesta de literatura, protocolo, perspectiva, carta, editorial o capítulo de síntesis sin estudio primario elegible.</t>
        </is>
      </c>
      <c r="K151" s="4" t="n"/>
      <c r="L151" s="4" t="n"/>
      <c r="M151" s="4" t="n">
        <v>2026</v>
      </c>
      <c r="N151" s="4" t="inlineStr">
        <is>
          <t>Multimodal data integration for early autism detection and LLM-driven personalized intervention: A review</t>
        </is>
      </c>
      <c r="O151" s="4" t="inlineStr">
        <is>
          <t>Olfa Adouni and Alaa Bessadok and Mohamed Hamroun and Ridha Ejbali and Hedi Sakli</t>
        </is>
      </c>
      <c r="P151" s="4" t="inlineStr">
        <is>
          <t>10.1016/j.compmedimag.2026.102743</t>
        </is>
      </c>
      <c r="Q151" s="4" t="inlineStr">
        <is>
          <t>Computerized Medical Imaging and Graphics</t>
        </is>
      </c>
      <c r="R151" s="4" t="inlineStr">
        <is>
          <t>article</t>
        </is>
      </c>
      <c r="S151" s="4" t="inlineStr">
        <is>
          <t>Elsevier Ltd</t>
        </is>
      </c>
      <c r="T151" s="4" t="inlineStr">
        <is>
          <t>https://www.sciencedirect.com/science/article/pii/S0895611126000467</t>
        </is>
      </c>
      <c r="U151" s="4" t="n"/>
      <c r="V151" s="4" t="inlineStr">
        <is>
          <t>Autism Spectrum Disorder (ASD) is a complex neurodevelopmental condition that poses significant challenges for early detection and intervention. AI is playing an increasingly important role in advancing healthcare research, particularly in ASD detection. Leveraging AI to integrate multimodal data and support intervention planning is essential, as it enables a more comprehensive and accurate understanding of autistic behaviors while facilitating the development of timely, personalized treatment strategies. However, despite the advancements and ongoing efforts, current AI applications often struggle to effectively integrate multimodal data for early autism detection and optimize intervention planning. Addressing these concerns, we first examine the emerging role of AI in integrating diverse data modalities (e.g. image, audio, video...), to provide a more comprehensive understanding of autism. Then, we discuss the application of generative models such as Large Language Models (LLMs) in early intervention planning, this involves the generation of medical reports that outline personalized treatment plans for autistic children. By integrating these research topics, we aim to provide a holistic view of current advancements and future directions in autism early detection.</t>
        </is>
      </c>
      <c r="W151" s="4" t="inlineStr">
        <is>
          <t>title_abstract_plus_targeted_primary_source_verification</t>
        </is>
      </c>
      <c r="X151" s="4" t="inlineStr">
        <is>
          <t>doi:10.1016/j.compmedimag.2026.102743</t>
        </is>
      </c>
      <c r="Y151" s="4" t="n"/>
      <c r="Z151" s="4" t="n"/>
      <c r="AA151" s="4" t="n"/>
      <c r="AB151" s="40" t="n"/>
    </row>
    <row r="152" ht="409" customHeight="1">
      <c r="A152" s="4" t="n">
        <v>151</v>
      </c>
      <c r="B152" s="4" t="inlineStr">
        <is>
          <t>exclude_out_of_scope_topic_or_population</t>
        </is>
      </c>
      <c r="C152" s="4" t="inlineStr">
        <is>
          <t>Excluir: tema/población fuera de alcance</t>
        </is>
      </c>
      <c r="D152" s="4" t="inlineStr">
        <is>
          <t>Excluded</t>
        </is>
      </c>
      <c r="E152" s="4" t="inlineStr">
        <is>
          <t>No</t>
        </is>
      </c>
      <c r="F152" s="4" t="inlineStr">
        <is>
          <t>Title/abstract screening</t>
        </is>
      </c>
      <c r="G152" s="4" t="n"/>
      <c r="H152" s="4" t="n"/>
      <c r="I152" s="4" t="n"/>
      <c r="J152" s="4" t="inlineStr">
        <is>
          <t>No estudia ASD en el sentido del protocolo, usa otro significado de ASD o aborda otra población/resultado sin aplicación pertinente al proceso ASD.</t>
        </is>
      </c>
      <c r="K152" s="4" t="n"/>
      <c r="L152" s="4" t="n"/>
      <c r="M152" s="4" t="n">
        <v>2026</v>
      </c>
      <c r="N152" s="4" t="inlineStr">
        <is>
          <t>Knowledge Graphs Based on Meta-Analysis Papers Improve the Quality of Case Formulation: Mixed Methods Design</t>
        </is>
      </c>
      <c r="O152" s="4" t="inlineStr">
        <is>
          <t>Kenji Yokotani and Yasumitsu Jikihara and Kohei Koiwa</t>
        </is>
      </c>
      <c r="P152" s="4" t="inlineStr">
        <is>
          <t>10.2196/76808</t>
        </is>
      </c>
      <c r="Q152" s="4" t="inlineStr">
        <is>
          <t>JMIR Formative Research</t>
        </is>
      </c>
      <c r="R152" s="4" t="inlineStr">
        <is>
          <t>article</t>
        </is>
      </c>
      <c r="S152" s="4" t="inlineStr">
        <is>
          <t>JMIR Publications Inc.</t>
        </is>
      </c>
      <c r="T152" s="4" t="inlineStr">
        <is>
          <t>https://doi.org/10.2196/76808</t>
        </is>
      </c>
      <c r="U152" s="4" t="n"/>
      <c r="V152" s="4" t="inlineStr">
        <is>
          <t>BACKGROUND: Case formulation (CF) is a core skill for therapists; however,  creating high-quality CF requires considerable time. OBJECTIVE: This study demonstrates that providing a knowledge graph based on the meta-analytic literature can enhance CF quality. METHODS: Five groups were established, including four large language model (LLM) groups and one human expert group, each generating 25 CFs based on 25 vignettes. The Control group with Claude Sonnet 3.7 produced 25 CFs. The Personalization group served as the control group with additional personalization prompts. The Knowledge Graph group employed an LLM that generated 25 CFs, which was provided with a meta-analysis Knowledge Graph. Further incorporation of additional personalization prompts then comprised the Knowledge Graph with Personalization group. Finally, the Expert Group consisted of 25 CFs generated by a human expert. These 125 CFs in total were evaluated for general quality (i.e., correctness, completeness, feasibility, and consistency) using a 7-point scale and 18 essential elements with binary scores (0 or 1) by another human expert. The CFs were also qualitatively analyzed. RESULTS: The Knowledge Graph and Knowledge Graph with Personalization groups scored significantly higher than the control group in terms of correctness, completeness, and feasibility. The Expert group scored significantly higher on consistency than the machine-generated groups. Additionally, there was no significant difference in the feasibility scores between the Knowledge Graph, Knowledge Graph with Personalization, and expert groups. The qualitative evaluation suggested that human CFs narrow the text to content that is easy for the client to read, whereas machine CFs are more likely to include expressions that are unnatural to the client. CONCLUSIONS: These results indicate that providing knowledge graphs to novice therapists increases the correctness, completeness, and feasibility of CF. Providing experienced therapists with knowledge graphs is suggested to improve the quality of their CF and mental health services. CLINICALTRIAL: None.</t>
        </is>
      </c>
      <c r="W152" s="4" t="inlineStr">
        <is>
          <t>title_abstract_plus_targeted_primary_source_verification</t>
        </is>
      </c>
      <c r="X152" s="4" t="inlineStr">
        <is>
          <t>doi:10.2196/76808</t>
        </is>
      </c>
      <c r="Y152" s="4" t="n"/>
      <c r="Z152" s="4" t="n"/>
      <c r="AA152" s="4" t="n"/>
      <c r="AB152" s="40" t="n"/>
    </row>
    <row r="153" ht="409" customHeight="1">
      <c r="A153" s="4" t="n">
        <v>152</v>
      </c>
      <c r="B153" s="4" t="inlineStr">
        <is>
          <t>exclude_no_qualifying_ai_application</t>
        </is>
      </c>
      <c r="C153" s="4" t="inlineStr">
        <is>
          <t>Excluir: sin aplicación de IA elegible</t>
        </is>
      </c>
      <c r="D153" s="4" t="inlineStr">
        <is>
          <t>Excluded</t>
        </is>
      </c>
      <c r="E153" s="4" t="inlineStr">
        <is>
          <t>No</t>
        </is>
      </c>
      <c r="F153" s="4" t="inlineStr">
        <is>
          <t>Title/abstract screening</t>
        </is>
      </c>
      <c r="G153" s="4" t="n"/>
      <c r="H153" s="4" t="n"/>
      <c r="I153" s="4" t="n"/>
      <c r="J153" s="4" t="inlineStr">
        <is>
          <t>El trabajo no implementa ni evalúa una técnica de IA/ML como componente sustantivo del estudio de ASD.</t>
        </is>
      </c>
      <c r="K153" s="4" t="n"/>
      <c r="L153" s="4" t="n"/>
      <c r="M153" s="4" t="n">
        <v>2026</v>
      </c>
      <c r="N153" s="4" t="inlineStr">
        <is>
          <t>Serious Game Aimed at Assessing Executive Planning Skills in Children With Autism: Cross-Sectional Design and Formative Evaluation of ShopAutiPlan</t>
        </is>
      </c>
      <c r="O153" s="4" t="inlineStr">
        <is>
          <t>Athmar N M Shamhan and Mohamad Hassan Fadi Hijab and Marwa Qaraqe and Dena Al-Thani</t>
        </is>
      </c>
      <c r="P153" s="4" t="inlineStr">
        <is>
          <t>10.2196/90444</t>
        </is>
      </c>
      <c r="Q153" s="4" t="inlineStr">
        <is>
          <t>JMIR Serious Games</t>
        </is>
      </c>
      <c r="R153" s="4" t="inlineStr">
        <is>
          <t>article</t>
        </is>
      </c>
      <c r="S153" s="4" t="inlineStr">
        <is>
          <t>JMIR Publications Inc.</t>
        </is>
      </c>
      <c r="T153" s="4" t="inlineStr">
        <is>
          <t>https://doi.org/10.2196/90444</t>
        </is>
      </c>
      <c r="U153" s="4" t="n"/>
      <c r="V153" s="4" t="inlineStr">
        <is>
          <t>Background: Planning deficits are a common and functionally significant executive function difficulty in children with autism, affecting everyday activities such as organizing tasks, prioritizing goals, and monitoring progress. Traditional neuropsychological assessments often lack ecological validity and may not capture these skills in real-world contexts. Serious games offer promising alternatives by simulating everyday scenarios and enabling observation of planning behaviors during interactive tasks. However, most existing systems focus on training rather than theory-driven assessment, and are rarely evaluated for usability before deployment with children with autism. Objective: This study aimed to design and evaluate ShopAutiPlan, a supermarket-based serious game intended to assess executive planning skills in children with ASD by conducting a formative expert evaluation before its use in clinical or research settings. The evaluation sought to identify usability strengths and limitations, ensuring that the system aligns with planning theory and accommodates the unique needs of autistic users. Methods: A theory-driven design approach grounded in the Hayes-Roth cognitive model of planning was used to map planning subcomponents—including goal formulation, strategy generation, sequencing, execution, and monitoring—to in-game tasks and logged behavioral metrics. A cross-sectional, formative expert-based usability evaluation was conducted using inspection and think-aloud protocols. Six domain experts (2 psychologists, 2 human-computer interaction researchers, and 2 game developers) participated in individual evaluation sessions. Usability assessment was guided by ASD-specific usability heuristics, and experts completed the System Usability Scale (SUS). SUS scores were summarized using descriptive statistics, and qualitative feedback was analyzed through deductive coding mapped to heuristic categories. Results: Across experts, 45 usability issues were identified, spanning cognitive accessibility, feedback clarity, realism, and technical performance. Severity ratings varied according to disciplinary perspectives: psychologists highlighted cognitive load, sensory accessibility, and task clarity, whereas developers focused on system responsiveness, interaction consistency, and technical reliability. The overall SUS score (mean 70.4, 95% CI 45.2‐95.7) exceeded the standard benchmark of 68, supporting the acceptability of the system and complementing the qualitative findings from the heuristic evaluation. Recommendations from the evaluation informed iterative refinements to interface design, interaction flow, and task representation to enhance alignment between planning constructs and user experience. Conclusions: To the best of our knowledge, this study introduces the first shopping-based serious game specifically designed to assess executive planning skills in children with autism. Unlike many existing autism-related serious games that primarily focus on intervention or training, ShopAutiPlan adopts a theory-driven assessment-oriented design grounded in a cognitive model of planning and supported by gameplay-based behavioral measures. By integrating cognitive theory, serious game design, and interdisciplinary usability evaluation, the study proposes a structured framework for developing ecologically valid digital assessment tools that may complement conventional neuropsychological approaches in autism research and clinical practice.</t>
        </is>
      </c>
      <c r="W153" s="4" t="inlineStr">
        <is>
          <t>title_abstract_plus_targeted_primary_source_verification</t>
        </is>
      </c>
      <c r="X153" s="4" t="inlineStr">
        <is>
          <t>doi:10.2196/90444</t>
        </is>
      </c>
      <c r="Y153" s="4" t="n"/>
      <c r="Z153" s="4" t="n"/>
      <c r="AA153" s="4" t="n"/>
      <c r="AB153" s="40" t="n"/>
    </row>
    <row r="154" ht="409" customHeight="1">
      <c r="A154" s="4" t="n">
        <v>153</v>
      </c>
      <c r="B154" s="4" t="inlineStr">
        <is>
          <t>exclude_no_qualifying_ai_application</t>
        </is>
      </c>
      <c r="C154" s="4" t="inlineStr">
        <is>
          <t>Excluir: sin aplicación de IA elegible</t>
        </is>
      </c>
      <c r="D154" s="4" t="inlineStr">
        <is>
          <t>Excluded</t>
        </is>
      </c>
      <c r="E154" s="4" t="inlineStr">
        <is>
          <t>No</t>
        </is>
      </c>
      <c r="F154" s="4" t="inlineStr">
        <is>
          <t>Title/abstract screening</t>
        </is>
      </c>
      <c r="G154" s="4" t="n"/>
      <c r="H154" s="4" t="n"/>
      <c r="I154" s="4" t="n"/>
      <c r="J154" s="4" t="inlineStr">
        <is>
          <t>El trabajo no implementa ni evalúa una técnica de IA/ML como componente sustantivo del estudio de ASD.</t>
        </is>
      </c>
      <c r="K154" s="4" t="n"/>
      <c r="L154" s="4" t="n"/>
      <c r="M154" s="4" t="n">
        <v>2026</v>
      </c>
      <c r="N154" s="4" t="inlineStr">
        <is>
          <t>Physical activity and salivary serotonin levels among children with or without autism spectrum disorders: A comparative cross-sectional study</t>
        </is>
      </c>
      <c r="O154" s="4" t="inlineStr">
        <is>
          <t>Sima Dastamooz and Shahzad Tahmasebi Boroujeni and Liye Zou and Mohammad H D Farahani and Mina Hasani and Sanaz Dastamouz and Nahid Sarahian and Seyed Ahmad Hosseini and Masoume Kordnayej</t>
        </is>
      </c>
      <c r="P154" s="4" t="inlineStr">
        <is>
          <t>10.1016/j.reia.2026.202879</t>
        </is>
      </c>
      <c r="Q154" s="4" t="inlineStr">
        <is>
          <t>Research in Autism</t>
        </is>
      </c>
      <c r="R154" s="4" t="inlineStr">
        <is>
          <t>article</t>
        </is>
      </c>
      <c r="S154" s="4" t="inlineStr">
        <is>
          <t>Elsevier Ltd</t>
        </is>
      </c>
      <c r="T154" s="4" t="inlineStr">
        <is>
          <t>https://www.sciencedirect.com/science/article/pii/S3050656526000933</t>
        </is>
      </c>
      <c r="U154" s="4" t="n"/>
      <c r="V154" s="4" t="inlineStr">
        <is>
          <t>Introduction: Serotonergic dysregulation is implicated in autism spectrum disorders (ASD), and saliva offers a feasible, noninvasive matrix for serotonin assessment. Physical activity (PA) can influence peripheral serotonin. However, the relationship between PA and salivary serotonin in children and adolescents with ASD remains unclear. Accordingly, we compared salivary serotonin, PA, and sedentary behavior (SB) in children and adolescents with ASD versus typically developing (TD) peers, assessed PA and serotonin associations within each group, and examined whether findings varied across DSM-5 autism severity levels (1−3). Methods: In a multi-center cross-sectional study in Iran, salivary serotonin (ELISA) and parent-proxy PA (International Physical Activity Questionnaire) were assessed in children and adolescents with ASD (n = 62; DSM-5 severity levels 1–3) and TD peers (n = 16), aged 5–13 years. Group differences were evaluated using Mann–Whitney U tests, and associations between PA, SB, and serotonin were examined using robust regression. Results: Children and adolescents with ASD had higher salivary serotonin than TD (160 ± 94.3 vs 81.8 ± 40.6 pg. ml−1; p = 0.001). Compared with TD, children and adolescents with ASD reported lower walking, moderate activity, and lower sitting time. PA indices were not correlated with salivary serotonin in either group, or outcomes did not differ across ASD severity levels. Discussion: Findings support altered peripheral serotonergic functioning in ASD and suggest that differences in reported PA do not explain salivary serotonin variation. Longitudinal and device-based activity assessments are warranted.</t>
        </is>
      </c>
      <c r="W154" s="4" t="inlineStr">
        <is>
          <t>title_abstract_plus_targeted_primary_source_verification</t>
        </is>
      </c>
      <c r="X154" s="4" t="inlineStr">
        <is>
          <t>doi:10.1016/j.reia.2026.202879</t>
        </is>
      </c>
      <c r="Y154" s="4" t="n"/>
      <c r="Z154" s="4" t="n"/>
      <c r="AA154" s="4" t="n"/>
      <c r="AB154" s="40" t="n"/>
    </row>
    <row r="155" ht="409" customHeight="1">
      <c r="A155" s="4" t="n">
        <v>154</v>
      </c>
      <c r="B155" s="4" t="inlineStr">
        <is>
          <t>include_after_title_abstract_screen</t>
        </is>
      </c>
      <c r="C155" s="4" t="inlineStr">
        <is>
          <t>Incluir provisionalmente</t>
        </is>
      </c>
      <c r="D155" s="4" t="inlineStr">
        <is>
          <t>Provisional include</t>
        </is>
      </c>
      <c r="E155" s="4" t="inlineStr">
        <is>
          <t>Sí</t>
        </is>
      </c>
      <c r="F155" s="4" t="inlineStr">
        <is>
          <t>Title/abstract screening</t>
        </is>
      </c>
      <c r="G155" s="4" t="n"/>
      <c r="H155" s="4" t="n"/>
      <c r="I155" s="4" t="n"/>
      <c r="J155" s="4" t="inlineStr">
        <is>
          <t>Estudio primario o implementación/evaluación empírica de IA, aprendizaje automático o modelado computacional aplicado a ASD, riesgo, caracterización, apoyo o intervención.</t>
        </is>
      </c>
      <c r="K155" s="4" t="n"/>
      <c r="L155" s="4" t="n"/>
      <c r="M155" s="4" t="n">
        <v>2026</v>
      </c>
      <c r="N155" s="4" t="inlineStr">
        <is>
          <t>A two-step temporal data augmentation and supervised learning framework for predicting autism diagnosis at 36 months in patients with tuberous sclerosis complex</t>
        </is>
      </c>
      <c r="O155" s="4" t="inlineStr">
        <is>
          <t>Cancan Zhang and Runqiu Wang and Jamie K Capal and Siddharth Srivastava and Rajna Filip-Dhima and E Martina Bebin and Darcy A Krueger and Hope Northrup and Joyce Y Wu and Simon K Warfield and Mustafa Sahin and Bo Zhang</t>
        </is>
      </c>
      <c r="P155" s="4" t="inlineStr">
        <is>
          <t>10.1016/j.compbiomed.2026.111719</t>
        </is>
      </c>
      <c r="Q155" s="4" t="inlineStr">
        <is>
          <t>Computers in Biology and Medicine</t>
        </is>
      </c>
      <c r="R155" s="4" t="inlineStr">
        <is>
          <t>article</t>
        </is>
      </c>
      <c r="S155" s="4" t="inlineStr">
        <is>
          <t>Elsevier Ltd</t>
        </is>
      </c>
      <c r="T155" s="4" t="inlineStr">
        <is>
          <t>https://www.sciencedirect.com/science/article/pii/S0010482526002830</t>
        </is>
      </c>
      <c r="U155" s="4" t="n"/>
      <c r="V155" s="4" t="inlineStr">
        <is>
          <t>Background Autism spectrum disorder (ASD) affects approximately 25-50% of children with tuberous sclerosis complex (TSC). Early identification of ASD in this high-risk population is crucial for timely intervention but remains challenging due to the heterogeneous clinical presentation and complex interplay of genetic, neurological, and environmental factors. This study aimed to integrate longitudinal diffusion tensor imaging (DTI) metrics with early behavioral features using supervised learning algorithms to predict ASD outcomes at 36 months. Methods Data were obtained from the children enrolled in the TSC Autism Center of Excellence Research Network study. Four DTI metrics: axial diffusivity, fractional anisotropy, mean diffusivity, and radial diffusivity, were measured across 27 major white matter tracts at up to four irregular time points. To account for variability in acquisition timing, we developed a two-step data augmentation algorithm to interpolate each subject's data to standardized ages of 12, 24, and 36 months. In addition, 9 behavioral features from the ADOS-2 and ADI-R assessments at 24 months were included. Supervised learning algorithms were trained to predict ASD diagnosis at 36 months under two input settings. Results Performance of the supervised learning algorithms was evaluated with accuracy, sensitivity, specificity, and area under the receiver operating characteristic curve as performance metrics. Regularized logistic regression models, least absolute shrinkage and selection operator and elastic net, demonstrated the most balanced overall performance across most evaluation metrics. Comparing input settings, Setting 1 (DTI at 24 months + behavioral features) achieved comparable or slightly improved performance relative to Setting 2 (DTI at 12 and 24 months + behavioral features) in predicting ASD diagnosis. Conclusion Integrating early neuroimaging and behavioral data suggests potential for prediction of ASD outcomes at 36 months in children with TSC. This multimodal machine learning framework highlights 24-month DTI and behavioral measures as key early biomarkers and demonstrates the effectiveness of regularized regression techniques for small-sample, heterogeneous clinical datasets.</t>
        </is>
      </c>
      <c r="W155" s="4" t="inlineStr">
        <is>
          <t>title_abstract_plus_targeted_primary_source_verification</t>
        </is>
      </c>
      <c r="X155" s="4" t="inlineStr">
        <is>
          <t>doi:10.1016/j.compbiomed.2026.111719</t>
        </is>
      </c>
      <c r="Y155" s="4" t="n"/>
      <c r="Z155" s="4" t="n"/>
      <c r="AA155" s="4" t="n"/>
      <c r="AB155" s="40" t="n"/>
    </row>
    <row r="156" ht="409" customHeight="1">
      <c r="A156" s="4" t="n">
        <v>155</v>
      </c>
      <c r="B156" s="4" t="inlineStr">
        <is>
          <t>exclude_secondary_or_nonempirical_publication</t>
        </is>
      </c>
      <c r="C156" s="4" t="inlineStr">
        <is>
          <t>Excluir: publicación secundaria/no empírica</t>
        </is>
      </c>
      <c r="D156" s="4" t="inlineStr">
        <is>
          <t>Excluded</t>
        </is>
      </c>
      <c r="E156" s="4" t="inlineStr">
        <is>
          <t>No</t>
        </is>
      </c>
      <c r="F156" s="4" t="inlineStr">
        <is>
          <t>Title/abstract screening</t>
        </is>
      </c>
      <c r="G156" s="4" t="n"/>
      <c r="H156" s="4" t="n"/>
      <c r="I156" s="4" t="n"/>
      <c r="J156" s="4" t="inlineStr">
        <is>
          <t>Revisión, metaanálisis, encuesta de literatura, protocolo, perspectiva, carta, editorial o capítulo de síntesis sin estudio primario elegible.</t>
        </is>
      </c>
      <c r="K156" s="4" t="n"/>
      <c r="L156" s="4" t="n"/>
      <c r="M156" s="4" t="n">
        <v>2026</v>
      </c>
      <c r="N156" s="4" t="inlineStr">
        <is>
          <t>Digital Health Interventions for Sexual Health Education Among Adolescents With Autism Spectrum Disorder: Scoping Review</t>
        </is>
      </c>
      <c r="O156" s="4" t="inlineStr">
        <is>
          <t>Elsi Rahmadani and Idris Adewale Ahmed</t>
        </is>
      </c>
      <c r="P156" s="4" t="inlineStr">
        <is>
          <t>10.2196/79009</t>
        </is>
      </c>
      <c r="Q156" s="4" t="inlineStr">
        <is>
          <t>JMIR Pediatrics and Parenting</t>
        </is>
      </c>
      <c r="R156" s="4" t="inlineStr">
        <is>
          <t>article</t>
        </is>
      </c>
      <c r="S156" s="4" t="inlineStr">
        <is>
          <t>JMIR Publications Inc.</t>
        </is>
      </c>
      <c r="T156" s="4" t="inlineStr">
        <is>
          <t>https://doi.org/10.2196/79009</t>
        </is>
      </c>
      <c r="U156" s="4" t="n"/>
      <c r="V156" s="4" t="inlineStr">
        <is>
          <t>BACKGROUND: Adolescents with autism spectrum disorder (ASD) experience persistent barriers to accessing comprehensive and developmentally appropriate sexual health  education. Conventional curricula often fail to reflect their cognitive, social,  and communication needs, increasing vulnerability to misinformation and sexual  exploitation. Digital health interventions offer a promising avenue to deliver  tailored, interactive, and accessible learning experiences for adolescents with  ASD. OBJECTIVE: This scoping review aimed to map and synthesize the evidence on  digital health interventions designed to provide sexual health education to  adolescents with ASD. METHODS: A scoping review was conducted using Arksey and  O'Malley's framework, refined with Joanna Briggs Institute guidance and reported  following the PRISMA-ScR (Preferred Reporting Items for Systematic Reviews and  Meta-Analyses extension for Scoping Reviews) standards. In total, 6 databases  (ie, PubMed, Scopus, CINAHL, ERIC, PsycINFO, and Web of Science) were searched  from 2010 to June 2025. Eligible studies involved adolescents aged 10 to 19 years  with ASD, used digital platforms to deliver sexual or reproductive health  education, and were published in English. Two reviewers independently screened,  extracted, and synthesized data using descriptive and thematic approaches.  RESULTS: A total of 16 studies met the inclusion criteria. Most studies were  conducted in high-income countries and delivered content through video-based,  web-based, or mobile modalities. Key features associated with positive learning  outcomes included personalization, strong visual interactivity, and caregiver  involvement. Reported improvements focused on sexual knowledge, behavioral  understanding, and user acceptability. However, methodological limitations were  common, including small and nonrepresentative samples, a lack of standardized  outcome measures, and minimal gender-specific or culturally adapted content.  Notably, co-design with autistic adolescents and implementation in low- and  middle-income countries was scarce. CONCLUSIONS: Digital health interventions  demonstrate promising early effectiveness for delivering inclusive,  developmentally appropriate sexual health education to adolescents with ASD. To  advance this field, future research must strengthen methodological rigor, include  diverse and gender-balanced populations, use participatory design, and ensure  cultural adaptability to support equitable access globally.</t>
        </is>
      </c>
      <c r="W156" s="4" t="inlineStr">
        <is>
          <t>title_abstract_plus_targeted_primary_source_verification</t>
        </is>
      </c>
      <c r="X156" s="4" t="inlineStr">
        <is>
          <t>doi:10.2196/79009</t>
        </is>
      </c>
      <c r="Y156" s="4" t="n"/>
      <c r="Z156" s="4" t="n"/>
      <c r="AA156" s="4" t="n"/>
      <c r="AB156" s="40" t="n"/>
    </row>
    <row r="157" ht="409" customHeight="1">
      <c r="A157" s="4" t="n">
        <v>156</v>
      </c>
      <c r="B157" s="4" t="inlineStr">
        <is>
          <t>exclude_no_qualifying_ai_application</t>
        </is>
      </c>
      <c r="C157" s="4" t="inlineStr">
        <is>
          <t>Excluir: sin aplicación de IA elegible</t>
        </is>
      </c>
      <c r="D157" s="4" t="inlineStr">
        <is>
          <t>Excluded</t>
        </is>
      </c>
      <c r="E157" s="4" t="inlineStr">
        <is>
          <t>No</t>
        </is>
      </c>
      <c r="F157" s="4" t="inlineStr">
        <is>
          <t>Title/abstract screening</t>
        </is>
      </c>
      <c r="G157" s="4" t="n"/>
      <c r="H157" s="4" t="n"/>
      <c r="I157" s="4" t="n"/>
      <c r="J157" s="4" t="inlineStr">
        <is>
          <t>El trabajo no implementa ni evalúa una técnica de IA/ML como componente sustantivo del estudio de ASD.</t>
        </is>
      </c>
      <c r="K157" s="4" t="n"/>
      <c r="L157" s="4" t="n"/>
      <c r="M157" s="4" t="n">
        <v>2026</v>
      </c>
      <c r="N157" s="4" t="inlineStr">
        <is>
          <t>Effects of consumption of selenium biofortified milk on antioxidant and inflammatory biomarkers in children with autism spectrum disorder: A controlled, single-blind intervention study</t>
        </is>
      </c>
      <c r="O157" s="4" t="inlineStr">
        <is>
          <t>Marta Liliane de Vasconcelos and Fábio da Veiga Ued and Marcia Delgado da Cruz Gomes and Luiz Fernando Costa e Silva and Giovana Fumes Ghantous and Arlindo Saran Netto and João Alberto Negrão and Jeremy Paul Hill and Ana Maria Centola Vidal</t>
        </is>
      </c>
      <c r="P157" s="4" t="inlineStr">
        <is>
          <t>10.1016/j.jff.2026.107161</t>
        </is>
      </c>
      <c r="Q157" s="4" t="inlineStr">
        <is>
          <t>Journal of Functional Foods</t>
        </is>
      </c>
      <c r="R157" s="4" t="inlineStr">
        <is>
          <t>article</t>
        </is>
      </c>
      <c r="S157" s="4" t="inlineStr">
        <is>
          <t>Elsevier Ltd</t>
        </is>
      </c>
      <c r="T157" s="4" t="inlineStr">
        <is>
          <t>https://www.sciencedirect.com/science/article/pii/S1756464626000113</t>
        </is>
      </c>
      <c r="U157" s="4" t="n"/>
      <c r="V157" s="4" t="inlineStr">
        <is>
          <t>Children with Autism Spectrum Disorder (ASD) often exhibit food selectivity, which may be associated with inadequate Selenium (Se) intake and imbalances in serum levels of enzymatic and non-enzymatic antioxidants as well as inflammatory cytokines. Several studies suggest an association between autism and increased oxidative stress. However, clinical studies in this population remain scarce due to methodological challenges, as do studies assessing Se status and the effects of Se biofortified foods. In this context, the present study aimed to quantify serum levels of Se, zinc (Zn), vitamin E (VitE), antioxidant enzymes, and pro-inflammatory cytokines in children with ASD before and after dietary intervention with Se biofortified cow's milk. Seventeen children with ASD aged between 3 and 10 years were selected and allocated into a conventional milk ( n = 8), and the Se biofortification group ( n = 9), which received cow's milk containing 190 μg/L of Se for 12 weeks (84 days). Serum levels of enzymatic and non-enzymatic antioxidants and gene expression of pro-inflammatory cytokines were measured at baseline and the end of the study. Following the intervention, serum Se levels were significantly higher in the biofortified group (62.97 vs 102.82 μg/dL, p &lt; 0.05). No significant differences were observed in antioxidant enzyme expression; although not statistically significant, greater glutathione peroxidase 1 (GPx1) and catalase (CAT) levels were observed post-intervention, as well as a tendency toward lower VitE and Zn levels. Among the measured pro-inflammatory cytokines, only interleukin 8 (IL-8) significantly increased. Tumor necrosis factor-alpha (TNF-α) and interferon-gamma (IFN-γ) showed a positive correlation with antioxidant enzymes ( p &lt; 0.05). These findings suggest that Se biofortification of milk may serve as a potential nutritional strategy for children with ASD.</t>
        </is>
      </c>
      <c r="W157" s="4" t="inlineStr">
        <is>
          <t>title_abstract_plus_targeted_primary_source_verification</t>
        </is>
      </c>
      <c r="X157" s="4" t="inlineStr">
        <is>
          <t>doi:10.1016/j.jff.2026.107161</t>
        </is>
      </c>
      <c r="Y157" s="4" t="n"/>
      <c r="Z157" s="4" t="n"/>
      <c r="AA157" s="4" t="n"/>
      <c r="AB157" s="40" t="n"/>
    </row>
    <row r="158" ht="409" customHeight="1">
      <c r="A158" s="4" t="n">
        <v>157</v>
      </c>
      <c r="B158" s="4" t="inlineStr">
        <is>
          <t>exclude_secondary_or_nonempirical_publication</t>
        </is>
      </c>
      <c r="C158" s="4" t="inlineStr">
        <is>
          <t>Excluir: publicación secundaria/no empírica</t>
        </is>
      </c>
      <c r="D158" s="4" t="inlineStr">
        <is>
          <t>Excluded</t>
        </is>
      </c>
      <c r="E158" s="4" t="inlineStr">
        <is>
          <t>No</t>
        </is>
      </c>
      <c r="F158" s="4" t="inlineStr">
        <is>
          <t>Title/abstract screening</t>
        </is>
      </c>
      <c r="G158" s="4" t="n"/>
      <c r="H158" s="4" t="n"/>
      <c r="I158" s="4" t="n"/>
      <c r="J158" s="4" t="inlineStr">
        <is>
          <t>Revisión, metaanálisis, encuesta de literatura, protocolo, perspectiva, carta, editorial o capítulo de síntesis sin estudio primario elegible.</t>
        </is>
      </c>
      <c r="K158" s="4" t="n"/>
      <c r="L158" s="4" t="n"/>
      <c r="M158" s="4" t="n">
        <v>2026</v>
      </c>
      <c r="N158" s="4" t="inlineStr">
        <is>
          <t>Natural Language Processing Applied to Psychiatric Clinical Notes: Scoping Review</t>
        </is>
      </c>
      <c r="O158" s="4" t="inlineStr">
        <is>
          <t>Shuying Rao and Xi'ang Chen and Guifeng Deng and Junyi Xie and Tiecheng Jiang and Tao Li and Yaoyun Zhang and Haiteng Jiang</t>
        </is>
      </c>
      <c r="P158" s="4" t="inlineStr">
        <is>
          <t>10.2196/91249</t>
        </is>
      </c>
      <c r="Q158" s="4" t="inlineStr">
        <is>
          <t>JMIR Medical Informatics</t>
        </is>
      </c>
      <c r="R158" s="4" t="inlineStr">
        <is>
          <t>article</t>
        </is>
      </c>
      <c r="S158" s="4" t="inlineStr">
        <is>
          <t>JMIR Publications Inc.</t>
        </is>
      </c>
      <c r="T158" s="4" t="inlineStr">
        <is>
          <t>https://doi.org/10.2196/91249</t>
        </is>
      </c>
      <c r="U158" s="4" t="n"/>
      <c r="V158" s="4" t="inlineStr">
        <is>
          <t>Background: Psychiatric clinical notes in electronic health records (EHRs) provide rich longitudinal information that can support clinical decision-making. Using historical medical data can enable earlier identification of mental illness, better characterization of disease trajectories, and more personalized treatment planning. Natural language processing (NLP) transforms these unstructured notes into analyzable representations for research and care. Objective: This study aims to systematically summarize NLP methodologies for psychiatric clinical notes, compare major modeling paradigms and application areas, and highlight emerging large language model (LLM) trends, key challenges, and future research directions. Methods: Following the PRISMA-ScR (Preferred Reporting Items for Systematic Reviews and Meta-Analyses Extension for Scoping Reviews) guidelines, a literature search was conducted for articles on NLP methods based on psychiatric clinical notes published from January 2021 to December 2025 in Ovid MEDLINE, Ovid EMBASE, PubMed, Scopus, Web of Science, the ACM Digital Library, and ScienceDirect. This scoping review analyzed NLP methods applied to psychiatric clinical notes, focusing on major trends, identifying suitable features for traditional machine learning (ML)–based models, applications of pretrained language models (PLMs), and key challenges. Approaches were categorized as rule-based, traditional ML, hybrid, deep learning (DL), and LLM-based methods across information extraction and text classification tasks. Results: In total, 101 studies were eligible for inclusion. Rule-based methods (n=36) and hybrid approaches (n=34) remained the most widely used techniques, largely favored for their interpretability in handling nuanced, subjective clinical notes. These were followed by DL (n=15), traditional ML (n=10), and LLM-based approaches (n=6). Traditional ML studies relied heavily on engineered features, which could be grouped into 5 broad categories: domain knowledge features, lexical and statistical features, vector-based semantic features, emotion-related features, and temporal features. PLMs improved performance mainly through domain adaptation and task-specific fine-tuning, enhancing the handling of psychiatric language, medical terminology, and clinical note structure. LLM-based studies, although still limited in number, indicated a growing shift toward generative and reasoning-based applications. Conclusions: Hybrid NLP approaches remain dominant, combining domain rules with ML for extraction and classification. DL approaches continue to advance, with domain adaptation supporting medical terminology and clinical semantics. LLMs may further automate complex workflows via zero-shot capabilities and reasoning, alongside growing interest in temporal modeling and multimodal integration. Key future needs include improved generalizability across institutions, privacy protection, and careful attention to ethical implications in clinical deployment.</t>
        </is>
      </c>
      <c r="W158" s="4" t="inlineStr">
        <is>
          <t>title_abstract_plus_targeted_primary_source_verification</t>
        </is>
      </c>
      <c r="X158" s="4" t="inlineStr">
        <is>
          <t>doi:10.2196/91249</t>
        </is>
      </c>
      <c r="Y158" s="4" t="n"/>
      <c r="Z158" s="4" t="n"/>
      <c r="AA158" s="4" t="n"/>
      <c r="AB158" s="40" t="n"/>
    </row>
    <row r="159" ht="409" customHeight="1">
      <c r="A159" s="4" t="n">
        <v>158</v>
      </c>
      <c r="B159" s="4" t="inlineStr">
        <is>
          <t>exclude_secondary_or_nonempirical_publication</t>
        </is>
      </c>
      <c r="C159" s="4" t="inlineStr">
        <is>
          <t>Excluir: publicación secundaria/no empírica</t>
        </is>
      </c>
      <c r="D159" s="4" t="inlineStr">
        <is>
          <t>Excluded</t>
        </is>
      </c>
      <c r="E159" s="4" t="inlineStr">
        <is>
          <t>No</t>
        </is>
      </c>
      <c r="F159" s="4" t="inlineStr">
        <is>
          <t>Title/abstract screening</t>
        </is>
      </c>
      <c r="G159" s="4" t="n"/>
      <c r="H159" s="4" t="n"/>
      <c r="I159" s="4" t="n"/>
      <c r="J159" s="4" t="inlineStr">
        <is>
          <t>Revisión, metaanálisis, encuesta de literatura, protocolo, perspectiva, carta, editorial o capítulo de síntesis sin estudio primario elegible.</t>
        </is>
      </c>
      <c r="K159" s="4" t="n"/>
      <c r="L159" s="4" t="n"/>
      <c r="M159" s="4" t="n">
        <v>2026</v>
      </c>
      <c r="N159" s="4" t="inlineStr">
        <is>
          <t>The emergence of artificial intelligence in autism spectrum disorder research: A review of neuroimaging and behavioral applications</t>
        </is>
      </c>
      <c r="O159" s="4" t="inlineStr">
        <is>
          <t>K B Indra Devi and P M Durai Raj Vincent</t>
        </is>
      </c>
      <c r="P159" s="4" t="inlineStr">
        <is>
          <t>10.1016/j.cosrev.2026.100985</t>
        </is>
      </c>
      <c r="Q159" s="4" t="inlineStr">
        <is>
          <t>Computer Science Review</t>
        </is>
      </c>
      <c r="R159" s="4" t="inlineStr">
        <is>
          <t>article</t>
        </is>
      </c>
      <c r="S159" s="4" t="inlineStr">
        <is>
          <t>Elsevier Ireland Ltd</t>
        </is>
      </c>
      <c r="T159" s="4" t="inlineStr">
        <is>
          <t>https://www.sciencedirect.com/science/article/pii/S1574013726000936</t>
        </is>
      </c>
      <c r="U159" s="4" t="n"/>
      <c r="V159" s="4" t="inlineStr">
        <is>
          <t>The quest to find reliable biomarkers in autism spectrum disorders (ASD) is an ongoing endeavour to identify both underlying causes and measurable indicators of this neurodevelopmental condition. Machine learning (ML) and advanced deep learning (DL) techniques have enhanced biomarker identification in neuroimaging and behavioral studies, aiding in diagnostic accuracy and early detection. This review paper examines the transformative impact of applying machine learning (ML), particularly deep learning (DL) techniques such as transfer learning and transformer architectures, in advancing ASD diagnosis. The review begins by critically assessing existing literature utilizing ML techniques like logistic regression, random forest, and support vector machines in identifying biomarkers that could potentially aid in the diagnosis of ASD and differentiate between ASD and neurotypical individuals. The focus then shifts to DL models, including Multilayer Perceptrons, Convolutional Neural Networks, Graph Neural Networks, and Long Short-Term Memory networks, to evaluate their suitability for identifying complex patterns linked to ASD. Addressing limited datasets, the review examines transfer learning with pre-trained models, including VGG, ResNet, DenseNet, MobileNet, Inception, and Xception architectures. Additionally, using the ABIDE-I dataset, VGG19, MobileNet, InceptionV3, and DenseNet121 were applied, evaluating their performance through accuracy, sensitivity, specificity, and F1 score. The review further considers transformer architectures, such as Vision Transformers, Swin Transformers, Spatial Temporal Transformers, BolT Transformer, and Convolutional Network Transformer for capturing long-range dependencies in ASD diagnosis. This review aims to be an essential reference for researchers exploring the field of AI-powered ASD diagnosis and classification, by offering an analysis of various approaches and highlighting recent advancements.</t>
        </is>
      </c>
      <c r="W159" s="4" t="inlineStr">
        <is>
          <t>title_abstract_plus_targeted_primary_source_verification</t>
        </is>
      </c>
      <c r="X159" s="4" t="inlineStr">
        <is>
          <t>doi:10.1016/j.cosrev.2026.100985</t>
        </is>
      </c>
      <c r="Y159" s="4" t="n"/>
      <c r="Z159" s="4" t="n"/>
      <c r="AA159" s="4" t="n"/>
      <c r="AB159" s="40" t="n"/>
    </row>
    <row r="160" ht="409" customHeight="1">
      <c r="A160" s="4" t="n">
        <v>159</v>
      </c>
      <c r="B160" s="4" t="inlineStr">
        <is>
          <t>exclude_no_qualifying_ai_application</t>
        </is>
      </c>
      <c r="C160" s="4" t="inlineStr">
        <is>
          <t>Excluir: sin aplicación de IA elegible</t>
        </is>
      </c>
      <c r="D160" s="4" t="inlineStr">
        <is>
          <t>Excluded</t>
        </is>
      </c>
      <c r="E160" s="4" t="inlineStr">
        <is>
          <t>No</t>
        </is>
      </c>
      <c r="F160" s="4" t="inlineStr">
        <is>
          <t>Title/abstract screening</t>
        </is>
      </c>
      <c r="G160" s="4" t="n"/>
      <c r="H160" s="4" t="n"/>
      <c r="I160" s="4" t="n"/>
      <c r="J160" s="4" t="inlineStr">
        <is>
          <t>El trabajo no implementa ni evalúa una técnica de IA/ML como componente sustantivo del estudio de ASD.</t>
        </is>
      </c>
      <c r="K160" s="4" t="n"/>
      <c r="L160" s="4" t="n"/>
      <c r="M160" s="4" t="n">
        <v>2026</v>
      </c>
      <c r="N160" s="4" t="inlineStr">
        <is>
          <t>Reflections on the Inclusive Co-Design Process of a Virtual Assistant for Individuals With Complex Care Needs: Mixed Methods Study</t>
        </is>
      </c>
      <c r="O160" s="4" t="inlineStr">
        <is>
          <t>Julia F E van Calis and Kirsten E Bevelander and Anneke W C van der Cruijsen and Jenneken Naaldenberg and Geraline L Leusink</t>
        </is>
      </c>
      <c r="P160" s="4" t="inlineStr">
        <is>
          <t>10.2196/81941</t>
        </is>
      </c>
      <c r="Q160" s="4" t="inlineStr">
        <is>
          <t>JMIR Human Factors</t>
        </is>
      </c>
      <c r="R160" s="4" t="inlineStr">
        <is>
          <t>article</t>
        </is>
      </c>
      <c r="S160" s="4" t="inlineStr">
        <is>
          <t>JMIR Publications Inc.</t>
        </is>
      </c>
      <c r="T160" s="4" t="inlineStr">
        <is>
          <t>https://doi.org/10.2196/81941</t>
        </is>
      </c>
      <c r="U160" s="4" t="n"/>
      <c r="V160" s="4" t="inlineStr">
        <is>
          <t>Background: The digitalization of society has transformed daily life and health care, offering opportunities for accessibility and independence for individuals with complex care needs. However, users with limited digital skills still experience challenges because the technologies do not to align with their needs. Inclusive research and design approaches can improve technology by actively involving end users and stakeholders. Objective: This study investigated the experiences of co-researchers with a mild intellectual disability or autism spectrum disorder and other key stakeholders over time regarding the inclusive design process for a digital tool for individuals with complex care needs that was developed in a transdisciplinary consortium. Methods: The project that was examined applied an inclusive design process to develop a sensitive virtual assistant using the Vision in Product Design method and the design thinking approach. Nine consortium members, including 3 co-researchers, participated in semistructured interviews and a group discussion about the inclusive design process after each of the project’s 5 work packages (WPs). This resulted in 31 interviews and 5 group discussions in total. Individual experiences were gathered during interviews, and group discussions facilitated collective reflection. During the interviews, an adapted questionnaire was used for each WP with Likert scales and open-ended questions. The data analysis was conducted using a thematic approach and descriptive statistics for the questionnaire data. Results: Quantitative findings from questionnaires were complemented with qualitative insights from interviews and group discussions, with results presented chronologically per WP. The qualitative analysis resulted in 3 main themes: project approach, collaborative dynamics, and co-design in practice. Project approach showed how the team adapted its inclusive collaboration through expectation management, structured processes, and accessible materials. Collaborative dynamics described how communication and support evolved and how inclusive design principles were applied in practice. Co-design in practice outlined co-researcher involvement and content adaptations across the 5 WPs, highlighting how experiential knowledge directly informed design decisions. These findings show that inclusive collaboration developed over time and contributed meaningfully to both process and content. Conclusions: This study shows that, to accommodate an inclusive research and design process, tensions between project efficiency and meaningful inclusion need to be addressed, underlining the importance of continuous coordination, collaboration, and flexibility in transdisciplinary settings. Further, applying a stepwise approach in inclusive collaborations supports coordination, continuous evaluation, and flexibility. Inclusive methods, like preparatory activities, clear role division, accessible materials, and iterative feedback, enabled active co-researcher participation. These methods contributed to a shift in ownership, allowing co-researchers to gain greater influence and co-shape both the development process and the content. The findings provide insights into how to enhance equity and relevance in inclusive technology design for individuals with complex care needs, such as individuals with a mild intellectual disability or autism spectrum disorder.</t>
        </is>
      </c>
      <c r="W160" s="4" t="inlineStr">
        <is>
          <t>title_abstract_plus_targeted_primary_source_verification</t>
        </is>
      </c>
      <c r="X160" s="4" t="inlineStr">
        <is>
          <t>doi:10.2196/81941</t>
        </is>
      </c>
      <c r="Y160" s="4" t="n"/>
      <c r="Z160" s="4" t="n"/>
      <c r="AA160" s="4" t="n"/>
      <c r="AB160" s="40" t="n"/>
    </row>
    <row r="161" ht="112" customHeight="1">
      <c r="A161" s="4" t="n">
        <v>160</v>
      </c>
      <c r="B161" s="4" t="inlineStr">
        <is>
          <t>include_after_full_text_open_access</t>
        </is>
      </c>
      <c r="C161" s="4" t="inlineStr">
        <is>
          <t>Incluir tras revisión de texto completo abierto</t>
        </is>
      </c>
      <c r="D161" s="4" t="inlineStr">
        <is>
          <t>Provisional include</t>
        </is>
      </c>
      <c r="E161" s="4" t="inlineStr">
        <is>
          <t>Sí</t>
        </is>
      </c>
      <c r="F161" s="4" t="inlineStr">
        <is>
          <t>Full-text review</t>
        </is>
      </c>
      <c r="G161" s="4" t="n"/>
      <c r="H161" s="4" t="n"/>
      <c r="I161" s="4" t="n"/>
      <c r="J161" s="4" t="inlineStr">
        <is>
          <t>Texto completo confirma estudio primario con Deep Learning aplicado a ASD (Topic and identity classification).</t>
        </is>
      </c>
      <c r="K161" s="4" t="n"/>
      <c r="L161" s="4" t="n"/>
      <c r="M161" s="4" t="n">
        <v>2025</v>
      </c>
      <c r="N161" s="4" t="inlineStr">
        <is>
          <t>LLM-Assisted Annotation Framework for Cross Platform Analysis of Autism Online Communities: Implications for Parent Education and Digital Support (Preprint)</t>
        </is>
      </c>
      <c r="O161" s="4" t="inlineStr">
        <is>
          <t>Yifan Xu and Jianhao Ma and Yujia Hu and Yixue Liu and Yu Chen and Wei Feng and Changwei Zhang and Lei Zhang and Xuening Zhang and Ruochen Huang</t>
        </is>
      </c>
      <c r="P161" s="4" t="inlineStr">
        <is>
          <t>10.2196/85290</t>
        </is>
      </c>
      <c r="Q161" s="4" t="inlineStr">
        <is>
          <t>Journal of Medical Internet Research</t>
        </is>
      </c>
      <c r="R161" s="4" t="inlineStr">
        <is>
          <t>article</t>
        </is>
      </c>
      <c r="S161" s="4" t="inlineStr">
        <is>
          <t>JMIR Publications Inc.</t>
        </is>
      </c>
      <c r="T161" s="4" t="inlineStr">
        <is>
          <t>https://doi.org/10.2196/85290</t>
        </is>
      </c>
      <c r="U161" s="4" t="inlineStr">
        <is>
          <t>Texto completo abierto revisado; evidencia y codificación en Extraccion_RQ_nuevos.</t>
        </is>
      </c>
      <c r="V161" s="4" t="n"/>
      <c r="W161" s="4" t="inlineStr">
        <is>
          <t>open_full_text_review_2026_09_04</t>
        </is>
      </c>
      <c r="X161" s="4" t="inlineStr">
        <is>
          <t>doi:10.2196/85290</t>
        </is>
      </c>
      <c r="Y161" s="4" t="n"/>
      <c r="Z161" s="4" t="n"/>
      <c r="AA161" s="4" t="n"/>
      <c r="AB161" s="40" t="n"/>
    </row>
    <row r="162" ht="409" customHeight="1">
      <c r="A162" s="4" t="n">
        <v>161</v>
      </c>
      <c r="B162" s="4" t="inlineStr">
        <is>
          <t>exclude_secondary_or_nonempirical_publication</t>
        </is>
      </c>
      <c r="C162" s="4" t="inlineStr">
        <is>
          <t>Excluir: publicación secundaria/no empírica</t>
        </is>
      </c>
      <c r="D162" s="4" t="inlineStr">
        <is>
          <t>Excluded</t>
        </is>
      </c>
      <c r="E162" s="4" t="inlineStr">
        <is>
          <t>No</t>
        </is>
      </c>
      <c r="F162" s="4" t="inlineStr">
        <is>
          <t>Title/abstract screening</t>
        </is>
      </c>
      <c r="G162" s="4" t="n"/>
      <c r="H162" s="4" t="n"/>
      <c r="I162" s="4" t="n"/>
      <c r="J162" s="4" t="inlineStr">
        <is>
          <t>Revisión, metaanálisis, encuesta de literatura, protocolo, perspectiva, carta, editorial o capítulo de síntesis sin estudio primario elegible.</t>
        </is>
      </c>
      <c r="K162" s="4" t="n"/>
      <c r="L162" s="4" t="n"/>
      <c r="M162" s="4" t="n">
        <v>2026</v>
      </c>
      <c r="N162" s="4" t="inlineStr">
        <is>
          <t>Causal Discovery in Observational Medical Research: Scoping Review</t>
        </is>
      </c>
      <c r="O162" s="4" t="inlineStr">
        <is>
          <t>Zuting Liu and Tian Luo and Hailin Ma and Jiali Mo and Xia Yang and Zhenglong Huang and Jingkun Li and Jie Kuang</t>
        </is>
      </c>
      <c r="P162" s="4" t="inlineStr">
        <is>
          <t>10.2196/82499</t>
        </is>
      </c>
      <c r="Q162" s="4" t="inlineStr">
        <is>
          <t>JMIR Medical Informatics</t>
        </is>
      </c>
      <c r="R162" s="4" t="inlineStr">
        <is>
          <t>article</t>
        </is>
      </c>
      <c r="S162" s="4" t="inlineStr">
        <is>
          <t>JMIR Publications Inc.</t>
        </is>
      </c>
      <c r="T162" s="4" t="inlineStr">
        <is>
          <t>https://doi.org/10.2196/82499</t>
        </is>
      </c>
      <c r="U162" s="4" t="n"/>
      <c r="V162" s="4" t="inlineStr">
        <is>
          <t>Background: Observational data are fundamental to medical research but present formidable challenges for causal inference. Machine learning–based causal discovery algorithms have emerged as a promising solution to identify causal structures directly from such data. However, the current literature is skewed toward theoretical and methodological innovations, with a critical gap in systematic assessments of performance in medical research settings and a lack of practical guidance for clinicians and researchers on selecting and applying these algorithms in specific medical contexts. Objective: This study aimed to systematically map and synthesize the application of causal discovery methods in observational medical research, detailing the methodologies used, their application domains, the robustness of the findings, and the practical challenges encountered. Methods: Following the PRISMA-ScR (Preferred Reporting Items for Systematic Reviews and Meta-Analyses Extension for Scoping Reviews) guidelines, we conducted a systematic search of Scopus, Web of Science, PubMed, MEDLINE, Embase, and CINAHL from inception to May 2025. We included studies that applied any causal discovery algorithms within a medical research context, encompassing both analyses of real-world observational data and method-validation studies using synthetic or benchmark datasets with a clear medical focus. Purely methodological papers and studies based solely on experimental data were excluded. Data were extracted and synthesized using a descriptive analysis focused on study characteristics, algorithm types, application domains, reported numerical results, and implementation challenges. Results: Out of 2296 identified publications, 72 (3.1%) met the inclusion criteria. Our synthesis revealed three key themes. The first theme was methodological landscape, where constraint-based algorithms were the most prevalent (38/72, 52.8%), with the fast causal inference (10/72, 13.9%) and Peter-Clark algorithms (9/72, 12.5%) being most common. Score-based (19/72, 26.4%) and hybrid (14/72, 19.4%) methods also represented significant and growing segments (methods were not mutually exclusive). The second theme was application domains and findings, where the majority of studies (54/72, 75%) were in clinical research, with a strong focus on mental health (19/72, 26.4%; eg, identifying symptom networks in schizophrenia and posttraumatic stress disorder) and chronic diseases (19/72, 26.4%; eg, elucidating progression pathways in Alzheimer and diabetes). Etiological research was the primary objective (28/72, 38.9%). Public health applications (18/72, 25%) frequently assessed the causal impacts of behavioral interventions. The third theme was implementation challenges and innovations, where common challenges included pervasive unmeasured confounding, limited sample sizes (noted in more than 20% of studies), and reliance on unvalidated causal assumptions. Emerging innovations focused on longitudinal data frameworks and the integration of multimodal data sources to strengthen causal claims. Conclusions: This review underscores the growing application of causal discovery algorithms in medical research while also highlighting challenges such as the lack of standardized validation frameworks and persistent confounding. Future efforts must focus on developing evaluation standards and fostering interdisciplinary collaboration to translate these powerful computational techniques into reliable tools for medical research and practice.</t>
        </is>
      </c>
      <c r="W162" s="4" t="inlineStr">
        <is>
          <t>title_abstract_plus_targeted_primary_source_verification</t>
        </is>
      </c>
      <c r="X162" s="4" t="inlineStr">
        <is>
          <t>doi:10.2196/82499</t>
        </is>
      </c>
      <c r="Y162" s="4" t="n"/>
      <c r="Z162" s="4" t="n"/>
      <c r="AA162" s="4" t="n"/>
      <c r="AB162" s="40" t="n"/>
    </row>
    <row r="163" ht="409" customHeight="1">
      <c r="A163" s="4" t="n">
        <v>162</v>
      </c>
      <c r="B163" s="4" t="inlineStr">
        <is>
          <t>include_after_title_abstract_screen</t>
        </is>
      </c>
      <c r="C163" s="4" t="inlineStr">
        <is>
          <t>Incluir provisionalmente</t>
        </is>
      </c>
      <c r="D163" s="4" t="inlineStr">
        <is>
          <t>Provisional include</t>
        </is>
      </c>
      <c r="E163" s="4" t="inlineStr">
        <is>
          <t>Sí</t>
        </is>
      </c>
      <c r="F163" s="4" t="inlineStr">
        <is>
          <t>Title/abstract screening</t>
        </is>
      </c>
      <c r="G163" s="4" t="n"/>
      <c r="H163" s="4" t="n"/>
      <c r="I163" s="4" t="n"/>
      <c r="J163" s="4" t="inlineStr">
        <is>
          <t>Estudio primario o implementación/evaluación empírica de IA, aprendizaje automático o modelado computacional aplicado a ASD, riesgo, caracterización, apoyo o intervención.</t>
        </is>
      </c>
      <c r="K163" s="4" t="n"/>
      <c r="L163" s="4" t="n"/>
      <c r="M163" s="4" t="n">
        <v>2026</v>
      </c>
      <c r="N163" s="4" t="inlineStr">
        <is>
          <t>EMLF-Net: A multi-level feature fusion network based on autism EEG signals for autism spectrum disorder classification</t>
        </is>
      </c>
      <c r="O163" s="4" t="inlineStr">
        <is>
          <t>Lijuan Shi and Lintao Ma and Jian Zhao and Haiyan Wang and Zhejun Kuang and Qiulei Han and Lei Sun</t>
        </is>
      </c>
      <c r="P163" s="4" t="inlineStr">
        <is>
          <t>10.1016/j.bspc.2025.109180</t>
        </is>
      </c>
      <c r="Q163" s="4" t="inlineStr">
        <is>
          <t>Biomedical Signal Processing and Control</t>
        </is>
      </c>
      <c r="R163" s="4" t="inlineStr">
        <is>
          <t>article</t>
        </is>
      </c>
      <c r="S163" s="4" t="inlineStr">
        <is>
          <t>Elsevier Ltd</t>
        </is>
      </c>
      <c r="T163" s="4" t="inlineStr">
        <is>
          <t>https://www.sciencedirect.com/science/article/pii/S174680942501691X</t>
        </is>
      </c>
      <c r="U163" s="4" t="n"/>
      <c r="V163" s="4" t="inlineStr">
        <is>
          <t>Autism spectrum disorder (ASD) is a neurodevelopmental disorder that affects social interaction and communication skills. Early diagnosis is crucial for effective intervention. Although machine learning technology can assist automatic feature extraction, its efficiency is limited. Although deep learning improves the efficiency of feature extraction, it is easy to lose important low-level feature information in the feature fusion process, and the integration of time-temporal features needs to be improved. To solve the above problems, this study proposes a multi-level feature fusion network (EMLF-Net) that fuses time domain and frequency domain features for end-to-end recognition of autism EEG signals. The network is based on a two-stream parallel structure, and a Hierarchical Domain Fusion and Refinement Model (HDFR) is built to effectively fuse the time domain and frequency domain features. The Differential Fusion Block (DFB) module was designed to separate the unique and shared features in time domain and frequency domain, and the Orthogonal Fusion Block (OFB) module was used to realize the fusion of multi-level features. Experiments on KAU dataset show that EMLF-Net achieves 99.20% and 92.09% accuracy on subject-dependent and subject-independent, respectively. Brain topography analysis and t-SNE visualization further reveal that time domain and frequency domain features capture distinct channel importance in different experiments, which provides a basis for individualized and universal diagnosis.</t>
        </is>
      </c>
      <c r="W163" s="4" t="inlineStr">
        <is>
          <t>title_abstract_plus_targeted_primary_source_verification</t>
        </is>
      </c>
      <c r="X163" s="4" t="inlineStr">
        <is>
          <t>doi:10.1016/j.bspc.2025.109180</t>
        </is>
      </c>
      <c r="Y163" s="4" t="n"/>
      <c r="Z163" s="4" t="n"/>
      <c r="AA163" s="4" t="n"/>
      <c r="AB163" s="40" t="n"/>
    </row>
    <row r="164" ht="112" customHeight="1">
      <c r="A164" s="4" t="n">
        <v>163</v>
      </c>
      <c r="B164" s="4" t="inlineStr">
        <is>
          <t>exclude_secondary_or_nonempirical_publication</t>
        </is>
      </c>
      <c r="C164" s="4" t="inlineStr">
        <is>
          <t>Excluir: publicación secundaria/no empírica</t>
        </is>
      </c>
      <c r="D164" s="4" t="inlineStr">
        <is>
          <t>Excluded</t>
        </is>
      </c>
      <c r="E164" s="4" t="inlineStr">
        <is>
          <t>No</t>
        </is>
      </c>
      <c r="F164" s="4" t="inlineStr">
        <is>
          <t>Title/abstract screening</t>
        </is>
      </c>
      <c r="G164" s="4" t="n"/>
      <c r="H164" s="4" t="n"/>
      <c r="I164" s="4" t="n"/>
      <c r="J164" s="4" t="inlineStr">
        <is>
          <t>Revisión, metaanálisis, encuesta de literatura, protocolo, perspectiva, carta, editorial o capítulo de síntesis sin estudio primario elegible.</t>
        </is>
      </c>
      <c r="K164" s="4" t="n"/>
      <c r="L164" s="4" t="n"/>
      <c r="M164" s="4" t="n">
        <v>2026</v>
      </c>
      <c r="N164" s="4" t="inlineStr">
        <is>
          <t>Effects of Virtual Reality–Based Physical Exercise Interventions on Behavioral, Executive Function, and Motor Outcomes in Children and Adolescents With Autism Spectrum Disorder: A Systematic Review and Meta-Analysis (Preprint)</t>
        </is>
      </c>
      <c r="O164" s="4" t="inlineStr">
        <is>
          <t>Yaxiang Jia and Kai Qi and Kelong Cai and Ye Mao and Hui Guo and Qiyi Wang and Aiguo Chen</t>
        </is>
      </c>
      <c r="P164" s="4" t="inlineStr">
        <is>
          <t>10.2196/98579</t>
        </is>
      </c>
      <c r="Q164" s="4" t="inlineStr">
        <is>
          <t>Journal of Medical Internet Research</t>
        </is>
      </c>
      <c r="R164" s="4" t="inlineStr">
        <is>
          <t>article</t>
        </is>
      </c>
      <c r="S164" s="4" t="inlineStr">
        <is>
          <t>JMIR Publications Inc.</t>
        </is>
      </c>
      <c r="T164" s="4" t="inlineStr">
        <is>
          <t>https://doi.org/10.2196/98579</t>
        </is>
      </c>
      <c r="U164" s="4" t="n"/>
      <c r="V164" s="4" t="n"/>
      <c r="W164" s="4" t="inlineStr">
        <is>
          <t>title_abstract_plus_targeted_primary_source_verification</t>
        </is>
      </c>
      <c r="X164" s="4" t="inlineStr">
        <is>
          <t>doi:10.2196/98579</t>
        </is>
      </c>
      <c r="Y164" s="4" t="n"/>
      <c r="Z164" s="4" t="n"/>
      <c r="AA164" s="4" t="n"/>
      <c r="AB164" s="40" t="n"/>
    </row>
    <row r="165" ht="409" customHeight="1">
      <c r="A165" s="4" t="n">
        <v>164</v>
      </c>
      <c r="B165" s="4" t="inlineStr">
        <is>
          <t>exclude_no_qualifying_ai_application</t>
        </is>
      </c>
      <c r="C165" s="4" t="inlineStr">
        <is>
          <t>Excluir: sin aplicación de IA elegible</t>
        </is>
      </c>
      <c r="D165" s="4" t="inlineStr">
        <is>
          <t>Excluded</t>
        </is>
      </c>
      <c r="E165" s="4" t="inlineStr">
        <is>
          <t>No</t>
        </is>
      </c>
      <c r="F165" s="4" t="inlineStr">
        <is>
          <t>Title/abstract screening</t>
        </is>
      </c>
      <c r="G165" s="4" t="n"/>
      <c r="H165" s="4" t="n"/>
      <c r="I165" s="4" t="n"/>
      <c r="J165" s="4" t="inlineStr">
        <is>
          <t>El trabajo no implementa ni evalúa una técnica de IA/ML como componente sustantivo del estudio de ASD.</t>
        </is>
      </c>
      <c r="K165" s="4" t="n"/>
      <c r="L165" s="4" t="n"/>
      <c r="M165" s="4" t="n">
        <v>2026</v>
      </c>
      <c r="N165" s="4" t="inlineStr">
        <is>
          <t>Rising to the Challenge of Early Screening in Primary Health Care Through the Web Italian Network for Autism Spectrum Disorder (Win4ASD) in the Pediatric Population: Retrospective Observational Study</t>
        </is>
      </c>
      <c r="O165" s="4" t="inlineStr">
        <is>
          <t>Noemi Buo and Eleonora Rosi and Silvia Busti Ceccarelli and Mariarosa Ferrario and Valerio Maiorca and Erika Morandi and Nicole Viganó and Ivan Limosani and Laura Falcone and Massimo Molteni and Paola Colombo</t>
        </is>
      </c>
      <c r="P165" s="4" t="inlineStr">
        <is>
          <t>10.2196/74302</t>
        </is>
      </c>
      <c r="Q165" s="4" t="inlineStr">
        <is>
          <t>Journal of Medical Internet Research</t>
        </is>
      </c>
      <c r="R165" s="4" t="inlineStr">
        <is>
          <t>article</t>
        </is>
      </c>
      <c r="S165" s="4" t="inlineStr">
        <is>
          <t>JMIR Publications Inc.</t>
        </is>
      </c>
      <c r="T165" s="4" t="inlineStr">
        <is>
          <t>https://doi.org/10.2196/74302</t>
        </is>
      </c>
      <c r="U165" s="4" t="n"/>
      <c r="V165" s="4" t="inlineStr">
        <is>
          <t>Background: Early identification of autism spectrum disorder (ASD) and neurodevelopmental disorders is a key element in the ability to intervene early and improve children’s outcomes. The American Academy of Pediatrics recommends routine autism screening for children aged 18 to 24 months. Telemedicine (health care services delivered remotely using digital technologies) is a valuable tool in supporting this objective. As highlighted in the literature, telemedicine increases the availability of treatment, reduces diagnostic waiting times, and supports the monitoring of neurodevelopmental disorders. The Web Italian Network for Autism Spectrum Disorder (Win4ASD) platform is a telemedicine-based screening tool designed to detect ASD early within the pediatric health care system in Italy. Objective: This study investigated the integration of the Win4ASD platform into the Italian National Health Service, providing a detailed account of its operational features and use patterns among family pediatricians. It further examined the platform’s contribution to reinforcing preventive health care strategies and enhancing coordination across child health services. Finally, through a retrospective observational analysis, this study evaluated the clinical effectiveness of Win4ASD in facilitating the early detection of ASD and improving screening outcomes. Methods: The Win4ASD platform, which is active in the Lombardy region, helps family pediatricians screen toddlers for autism at an early age (18-24 months) using the Checklist for Autism in Toddlers. Furthermore, children identified as at risk are referred for further diagnostic evaluation to the local specialized autism unit—a mental health specialist team comprising child neuropsychiatrists, psychologists, and developmental therapists. This platform, which created an integrated network for early identification of autism, ensures rapid access to diagnostic and therapeutic services. This study analyzed data collected from the platform between January 2022 and September 2024 to assess family pediatricians’ commitment and effectiveness in identifying children at risk of autism using descriptive analyses performed in SPSS. Results: The first key finding was the commitment of family pediatricians from the Regional Public Health Services in Lombardy to use the platform. In total, 72.5% (909/1253) of all family pediatricians working for the Regional Public Health Services actively used the platform. The platform enabled the screening of 58,419 infants from the general population in Lombardy, of whom 596 (1%) were identified as “at risk” and referred for fast-track diagnostic evaluation, which is consistent with global prevalence rates. In addition, diagnostic outcomes from a subsample are presented, showing the effectiveness of the platform in facilitating the early diagnosis of neurodevelopmental disorders. Conclusions: Early identification of risk and timely intervention can prevent the progressive development of behavioral atypicalities, have a significant impact on the quality of life of the child and their family, and allow for a reduction in health care costs and a consequent improvement in the organization of the health care system.</t>
        </is>
      </c>
      <c r="W165" s="4" t="inlineStr">
        <is>
          <t>title_abstract_plus_targeted_primary_source_verification</t>
        </is>
      </c>
      <c r="X165" s="4" t="inlineStr">
        <is>
          <t>doi:10.2196/74302</t>
        </is>
      </c>
      <c r="Y165" s="4" t="n"/>
      <c r="Z165" s="4" t="n"/>
      <c r="AA165" s="4" t="n"/>
      <c r="AB165" s="40" t="n"/>
    </row>
    <row r="166" ht="112" customHeight="1">
      <c r="A166" s="4" t="n">
        <v>165</v>
      </c>
      <c r="B166" s="4" t="inlineStr">
        <is>
          <t>exclude_secondary_or_nonempirical_publication</t>
        </is>
      </c>
      <c r="C166" s="4" t="inlineStr">
        <is>
          <t>Excluir: publicación secundaria/no empírica</t>
        </is>
      </c>
      <c r="D166" s="4" t="inlineStr">
        <is>
          <t>Excluded</t>
        </is>
      </c>
      <c r="E166" s="4" t="inlineStr">
        <is>
          <t>No</t>
        </is>
      </c>
      <c r="F166" s="4" t="inlineStr">
        <is>
          <t>Title/abstract screening</t>
        </is>
      </c>
      <c r="G166" s="4" t="n"/>
      <c r="H166" s="4" t="n"/>
      <c r="I166" s="4" t="n"/>
      <c r="J166" s="4" t="inlineStr">
        <is>
          <t>Revisión, metaanálisis, encuesta de literatura, protocolo, perspectiva, carta, editorial o capítulo de síntesis sin estudio primario elegible.</t>
        </is>
      </c>
      <c r="K166" s="4" t="n"/>
      <c r="L166" s="4" t="n"/>
      <c r="M166" s="4" t="n">
        <v>2026</v>
      </c>
      <c r="N166" s="4" t="inlineStr">
        <is>
          <t>Bridging gaps in early autism detection: A global perspective on AI-enhanced M-CHAT-R screening</t>
        </is>
      </c>
      <c r="O166" s="4" t="inlineStr">
        <is>
          <t>Ajeng Ayu Widiastuti and Ronal Surya Aditya and Ayu Dyah Hapsari and Dimas Arif Dewantoro and Eva Meizara Puspita Dewi</t>
        </is>
      </c>
      <c r="P166" s="4" t="inlineStr">
        <is>
          <t>10.1016/j.psychres.2025.116893</t>
        </is>
      </c>
      <c r="Q166" s="4" t="inlineStr">
        <is>
          <t>Psychiatry Research</t>
        </is>
      </c>
      <c r="R166" s="4" t="inlineStr">
        <is>
          <t>article</t>
        </is>
      </c>
      <c r="S166" s="4" t="inlineStr">
        <is>
          <t>Elsevier Ireland Ltd</t>
        </is>
      </c>
      <c r="T166" s="4" t="inlineStr">
        <is>
          <t>https://www.sciencedirect.com/science/article/pii/S0165178125005384</t>
        </is>
      </c>
      <c r="U166" s="4" t="n"/>
      <c r="V166" s="4" t="n"/>
      <c r="W166" s="4" t="inlineStr">
        <is>
          <t>title_abstract_plus_targeted_primary_source_verification</t>
        </is>
      </c>
      <c r="X166" s="4" t="inlineStr">
        <is>
          <t>doi:10.1016/j.psychres.2025.116893</t>
        </is>
      </c>
      <c r="Y166" s="4" t="n"/>
      <c r="Z166" s="4" t="n"/>
      <c r="AA166" s="4" t="n"/>
      <c r="AB166" s="40" t="n"/>
    </row>
    <row r="167" ht="409" customHeight="1">
      <c r="A167" s="4" t="n">
        <v>166</v>
      </c>
      <c r="B167" s="4" t="inlineStr">
        <is>
          <t>exclude_no_qualifying_ai_application</t>
        </is>
      </c>
      <c r="C167" s="4" t="inlineStr">
        <is>
          <t>Excluir: sin aplicación de IA elegible</t>
        </is>
      </c>
      <c r="D167" s="4" t="inlineStr">
        <is>
          <t>Excluded</t>
        </is>
      </c>
      <c r="E167" s="4" t="inlineStr">
        <is>
          <t>No</t>
        </is>
      </c>
      <c r="F167" s="4" t="inlineStr">
        <is>
          <t>Title/abstract screening</t>
        </is>
      </c>
      <c r="G167" s="4" t="n"/>
      <c r="H167" s="4" t="n"/>
      <c r="I167" s="4" t="n"/>
      <c r="J167" s="4" t="inlineStr">
        <is>
          <t>El trabajo no implementa ni evalúa una técnica de IA/ML como componente sustantivo del estudio de ASD.</t>
        </is>
      </c>
      <c r="K167" s="4" t="n"/>
      <c r="L167" s="4" t="n"/>
      <c r="M167" s="4" t="n">
        <v>2026</v>
      </c>
      <c r="N167" s="4" t="inlineStr">
        <is>
          <t>Feasibility and Acceptability of AI-Powered Tools for Early Autism Screening in Egypt: Semistructured Focus Group Study</t>
        </is>
      </c>
      <c r="O167" s="4" t="inlineStr">
        <is>
          <t>Pratheepan Yogarajah and Ammal M Metwally and Priyanka Chaurasia and Ghada A Elshaarawy and Shereen M El Khateeb and Engy A Ashaat and Amal Elsaeid and Nahed A Elghareeb and Amira S ElRifay</t>
        </is>
      </c>
      <c r="P167" s="4" t="inlineStr">
        <is>
          <t>10.2196/82564</t>
        </is>
      </c>
      <c r="Q167" s="4" t="inlineStr">
        <is>
          <t>Journal of Medical Internet Research</t>
        </is>
      </c>
      <c r="R167" s="4" t="inlineStr">
        <is>
          <t>article</t>
        </is>
      </c>
      <c r="S167" s="4" t="inlineStr">
        <is>
          <t>JMIR Publications Inc.</t>
        </is>
      </c>
      <c r="T167" s="4" t="inlineStr">
        <is>
          <t>https://doi.org/10.2196/82564</t>
        </is>
      </c>
      <c r="U167" s="4" t="n"/>
      <c r="V167" s="4" t="inlineStr">
        <is>
          <t>Background: Autism spectrum disorder (ASD) is often underdiagnosed in low- and middle-income countries due to limited specialist access, sociocultural stigma, and fragmented screening systems. Artificial intelligence (AI)–powered screening tools may improve early detection by enabling low-cost, accessible assessments. However, adoption depends on stakeholder trust, ethical safeguards, and alignment with local health system capacities. Objective: This study explored the feasibility, acceptability, and perceived ethical and practical enablers and barriers to implementing AI-powered tools for early ASD screening in Egypt, with attention to urban–rural disparities and integration into existing care pathways. Methods: We used a qualitative design with semistructured focus group discussions with 49 participants (21 parents of children with ASD and 28 health care professionals) recruited from urban and rural governorates. Discussions were audio-recorded, transcribed verbatim, and analyzed using Braun and Clarke’s reflexive thematic analysis, supported by NVivo software (Lumivero). Methodological integrity was ensured through reflexivity, triangulation, and peer debriefing. Thematic saturation was monitored across groups, and participant diversity was prioritized across contexts. Results: Five themes emerged: (1) AI as a supportive tool rather than a replacement for clinicians, emphasizing scalability and assistance for nonspecialists; (2) the need for cultural and contextual adaptation to ensure local relevance; (3) privacy, trust, and transparency concerns, including data security, consent, and algorithmic opacity; (4) reducing diagnostic inequities by addressing urban–rural disparities and strengthening community-based deployment; and (5) the preference for hybrid AI–human models, with conditions for adoption including cultural sensitivity, human oversight, and digital literacy support. Counts (n/N) of parents and health care professionals contributing to each theme were used descriptively as indicators of pattern salience rather than as statistical estimates of prevalence. Participants expressed cautious optimism, with parents emphasizing accessibility and speed, while health care professionals highlighted concerns about reliability, cultural adaptation, and data governance. Conclusions: AI-powered ASD screening has potential to advance equitable early detection in underserved areas. Adoption requires transparent data governance, integration into hybrid human–AI models, culturally adaptive design, and targeted digital literacy initiatives. These findings provide an evidence-based roadmap for policymakers, technologists, and health system leaders to implement AI screening tools that are ethically sound, contextually relevant, and equity-focused.</t>
        </is>
      </c>
      <c r="W167" s="4" t="inlineStr">
        <is>
          <t>title_abstract_plus_targeted_primary_source_verification</t>
        </is>
      </c>
      <c r="X167" s="4" t="inlineStr">
        <is>
          <t>doi:10.2196/82564</t>
        </is>
      </c>
      <c r="Y167" s="4" t="n"/>
      <c r="Z167" s="4" t="n"/>
      <c r="AA167" s="4" t="n"/>
      <c r="AB167" s="40" t="n"/>
    </row>
    <row r="168" ht="409" customHeight="1">
      <c r="A168" s="4" t="n">
        <v>167</v>
      </c>
      <c r="B168" s="4" t="inlineStr">
        <is>
          <t>exclude_secondary_or_nonempirical_publication</t>
        </is>
      </c>
      <c r="C168" s="4" t="inlineStr">
        <is>
          <t>Excluir: publicación secundaria/no empírica</t>
        </is>
      </c>
      <c r="D168" s="4" t="inlineStr">
        <is>
          <t>Excluded</t>
        </is>
      </c>
      <c r="E168" s="4" t="inlineStr">
        <is>
          <t>No</t>
        </is>
      </c>
      <c r="F168" s="4" t="inlineStr">
        <is>
          <t>Title/abstract screening</t>
        </is>
      </c>
      <c r="G168" s="4" t="n"/>
      <c r="H168" s="4" t="n"/>
      <c r="I168" s="4" t="n"/>
      <c r="J168" s="4" t="inlineStr">
        <is>
          <t>Revisión, metaanálisis, encuesta de literatura, protocolo, perspectiva, carta, editorial o capítulo de síntesis sin estudio primario elegible.</t>
        </is>
      </c>
      <c r="K168" s="4" t="n"/>
      <c r="L168" s="4" t="n"/>
      <c r="M168" s="4" t="n">
        <v>2026</v>
      </c>
      <c r="N168" s="4" t="inlineStr">
        <is>
          <t>Transforming Pediatric Care Through AI: Bridging the Digital Divide in Health Informatics</t>
        </is>
      </c>
      <c r="O168" s="4" t="inlineStr">
        <is>
          <t>Mercy Mbogori-Kairichi and R Sterling Snead and Julia Marczika and Radha Ambalavanan and Gideon Towett and Alex Malioukis</t>
        </is>
      </c>
      <c r="P168" s="4" t="inlineStr">
        <is>
          <t>10.2196/82108</t>
        </is>
      </c>
      <c r="Q168" s="4" t="inlineStr">
        <is>
          <t>Online Journal of Public Health Informatics</t>
        </is>
      </c>
      <c r="R168" s="4" t="inlineStr">
        <is>
          <t>article</t>
        </is>
      </c>
      <c r="S168" s="4" t="inlineStr">
        <is>
          <t>JMIR Publications Inc.</t>
        </is>
      </c>
      <c r="T168" s="4" t="inlineStr">
        <is>
          <t>https://doi.org/10.2196/82108</t>
        </is>
      </c>
      <c r="U168" s="4" t="n"/>
      <c r="V168" s="4" t="inlineStr">
        <is>
          <t>Health informatics and artificial intelligence (AI) technologies are increasingly influencing pediatric health care delivery across diverse health system contexts. These technologies offer opportunities to improve diagnostic accuracy, personalized treatment approaches, and access to care globally. This viewpoint examines how health and public health informatics frameworks, when integrated with AI technologies, may help address persistent challenges in global pediatric care delivery. This paper is a viewpoint informed by selected published studies and international digital health guidance rather than a systematic review. Evidence from clinical implementations suggests that AI applications embedded in standardized electronic health records can facilitate improved pediatric diagnostic processes. For instance, machine learning–based algorithms to diagnose serious bacterial infections among febrile infants have shown high diagnostic accuracy and reduced unnecessary invasive procedures in certain clinical contexts. Case studies from the Pediatric Emergency Care Applied Research Network decision rules, neonatal intensive care units, and autism screening programs reflect diverse applications of AI-enabled clinical decision support across pediatric settings. However, there are concerns regarding implementation due to limitations in interoperability of health information systems, gaps in data standardization, inadequate digital infrastructure in resource-limited settings, and issues related to algorithmic bias and equitable access. We argue that strategic development of interoperable health information systems, standardized data governance frameworks, and equitable digital infrastructure is essential to responsibly realize the potential of AI-enhanced pediatric care at scale.</t>
        </is>
      </c>
      <c r="W168" s="4" t="inlineStr">
        <is>
          <t>title_abstract_plus_targeted_primary_source_verification</t>
        </is>
      </c>
      <c r="X168" s="4" t="inlineStr">
        <is>
          <t>doi:10.2196/82108</t>
        </is>
      </c>
      <c r="Y168" s="4" t="n"/>
      <c r="Z168" s="4" t="n"/>
      <c r="AA168" s="4" t="n"/>
      <c r="AB168" s="40" t="n"/>
    </row>
    <row r="169" ht="409" customHeight="1">
      <c r="A169" s="4" t="n">
        <v>168</v>
      </c>
      <c r="B169" s="4" t="inlineStr">
        <is>
          <t>exclude_secondary_or_nonempirical_publication</t>
        </is>
      </c>
      <c r="C169" s="4" t="inlineStr">
        <is>
          <t>Excluir: publicación secundaria/no empírica</t>
        </is>
      </c>
      <c r="D169" s="4" t="inlineStr">
        <is>
          <t>Excluded</t>
        </is>
      </c>
      <c r="E169" s="4" t="inlineStr">
        <is>
          <t>No</t>
        </is>
      </c>
      <c r="F169" s="4" t="inlineStr">
        <is>
          <t>Title/abstract screening</t>
        </is>
      </c>
      <c r="G169" s="4" t="n"/>
      <c r="H169" s="4" t="n"/>
      <c r="I169" s="4" t="n"/>
      <c r="J169" s="4" t="inlineStr">
        <is>
          <t>Revisión, metaanálisis, encuesta de literatura, protocolo, perspectiva, carta, editorial o capítulo de síntesis sin estudio primario elegible.</t>
        </is>
      </c>
      <c r="K169" s="4" t="n"/>
      <c r="L169" s="4" t="n"/>
      <c r="M169" s="4" t="n">
        <v>2026</v>
      </c>
      <c r="N169" s="4" t="inlineStr">
        <is>
          <t>Deep learning for autism spectrum disorder</t>
        </is>
      </c>
      <c r="O169" s="4" t="inlineStr">
        <is>
          <t>P Padmakumari and A Prasanth and Pham Chien Thang and S L Haran Perumal and S Vidivelli</t>
        </is>
      </c>
      <c r="P169" s="4" t="inlineStr">
        <is>
          <t>10.1016/B978-0-443-41459-6.00014-6</t>
        </is>
      </c>
      <c r="Q169" s="4" t="inlineStr">
        <is>
          <t>Deep Learning Applications in Neuroinformatics: Advances, Methods, and Perspectives</t>
        </is>
      </c>
      <c r="R169" s="4" t="inlineStr">
        <is>
          <t>article</t>
        </is>
      </c>
      <c r="S169" s="4" t="inlineStr">
        <is>
          <t>Elsevier</t>
        </is>
      </c>
      <c r="T169" s="4" t="inlineStr">
        <is>
          <t>https://www.sciencedirect.com/science/article/pii/B9780443414596000146</t>
        </is>
      </c>
      <c r="U169" s="4" t="n"/>
      <c r="V169" s="4" t="inlineStr">
        <is>
          <t>Autism spectrum disorder (ASD) is a highly heterogeneous neurological condition characterized by repetitive and restricted behaviors, communication difficulties, and impaired social interactions. Traditional diagnostic approaches, which rely on behavioral measures, are often lengthy, subjective, and insufficient in capturing the underlying neurological features of the condition. Recent advancements in Deep learning (DL) have significantly transformed ASD research and clinical practice by enabling the computeraided discovery of hidden patterns within large multimodal datasets, including behavioral records, Electroencephalography, Magnetic resonance imaging (MRI), and functional MRI. Convolutional neural networks have emerged as reliable tools for detecting structural abnormalities in the brain, while recurrent neural networks are particularly effective in identifying sequential patterns in both behavioral and neural timeseries data. Additionally, autoencoders facilitate dimensionality reduction and feature extraction, enhancing neurobehavioral assessments, and generative adversarial networks are useful for data generation to model therapeutic responses. Collectively, these systems improve diagnostic accuracy, promote early detection, and enable predictive analytics for ASDspecific therapeutic planning. This chapter examines the applications and implications of DL across key modalities in ASD research, evaluates its potential for predictive modeling and therapy monitoring, and analyzes the ethical considerations of using artificial intelligence in diagnostics and interventions for ASD.</t>
        </is>
      </c>
      <c r="W169" s="4" t="inlineStr">
        <is>
          <t>title_abstract_plus_targeted_primary_source_verification</t>
        </is>
      </c>
      <c r="X169" s="4" t="inlineStr">
        <is>
          <t>doi:10.1016/b978-0-443-41459-6.00014-6</t>
        </is>
      </c>
      <c r="Y169" s="4" t="n"/>
      <c r="Z169" s="4" t="n"/>
      <c r="AA169" s="4" t="n"/>
      <c r="AB169" s="40" t="n"/>
    </row>
    <row r="170" ht="409" customHeight="1">
      <c r="A170" s="4" t="n">
        <v>169</v>
      </c>
      <c r="B170" s="4" t="inlineStr">
        <is>
          <t>include_after_full_text_open_access</t>
        </is>
      </c>
      <c r="C170" s="4" t="inlineStr">
        <is>
          <t>Incluir tras revisión de texto completo abierto</t>
        </is>
      </c>
      <c r="D170" s="4" t="inlineStr">
        <is>
          <t>Provisional include</t>
        </is>
      </c>
      <c r="E170" s="4" t="inlineStr">
        <is>
          <t>Sí</t>
        </is>
      </c>
      <c r="F170" s="4" t="inlineStr">
        <is>
          <t>Full-text review</t>
        </is>
      </c>
      <c r="G170" s="4" t="n"/>
      <c r="H170" s="4" t="n"/>
      <c r="I170" s="4" t="n"/>
      <c r="J170" s="4" t="inlineStr">
        <is>
          <t>Texto completo confirma estudio primario con Deep Learning aplicado a ASD (Digital positive-psychology intervention).</t>
        </is>
      </c>
      <c r="K170" s="4" t="n"/>
      <c r="L170" s="4" t="n"/>
      <c r="M170" s="4" t="n">
        <v>2026</v>
      </c>
      <c r="N170" s="4" t="inlineStr">
        <is>
          <t>GPT-Powered Chatbot-Based Positive Psychology Intervention for Well-Being Among Parents of Children With Autism Spectrum Disorder: Single-Arm Mixed Methods Study</t>
        </is>
      </c>
      <c r="O170" s="4" t="inlineStr">
        <is>
          <t>Wen Zhang and Rachel Yim Fong Leung and Ka Ki Mak and Haoyan Ge and Tyrone Tai On Kwok and Ricky Van Yip Tso and Anni Wang and Haixia Ma and Janet Y H Wong</t>
        </is>
      </c>
      <c r="P170" s="4" t="inlineStr">
        <is>
          <t>10.2196/85060</t>
        </is>
      </c>
      <c r="Q170" s="4" t="inlineStr">
        <is>
          <t>JMIR Formative Research</t>
        </is>
      </c>
      <c r="R170" s="4" t="inlineStr">
        <is>
          <t>article</t>
        </is>
      </c>
      <c r="S170" s="4" t="inlineStr">
        <is>
          <t>JMIR Publications Inc.</t>
        </is>
      </c>
      <c r="T170" s="4" t="inlineStr">
        <is>
          <t>https://formative.jmir.org/2026/1/e85060/PDF</t>
        </is>
      </c>
      <c r="U170" s="4" t="inlineStr">
        <is>
          <t>Texto completo abierto revisado; evidencia y codificación en Extraccion_RQ_nuevos.</t>
        </is>
      </c>
      <c r="V170" s="4" t="inlineStr">
        <is>
          <t>Background: Parents of autistic children frequently experience elevated stress levels, depressive symptoms, and reduced well-being. Positive psychology interventions (PPIs) can strengthen resilience, and chatbots offer a scalable channel through which such skills can be delivered. However, evidence on the evaluation of large language model–guided PPI-based chatbots for this population is limited. Objective: This study evaluated the feasibility and acceptability of a GPT-powered chatbot (“Allie”). This study was designed to deliver culturally adapted PPIs to parents of autistic children and to explore their preliminary effects on well-being, depression, stress, and health-related quality of life. Methods: We conducted a single-arm mixed-methods pilot study with 19 parents with autistic children. These parents engaged with Allie for 2 weeks to complete 8 structured PPI exercises. The primary outcomes were feasibility (completion, ease of use, and practicality) and acceptability (multidimensional user ratings). Secondary outcomes were the World Health Organization–Five Well-Being Index (WHO-5), Patient Health Questionnaire-9, Perceived Stress Scale-10, and Short Form-12 Health Survey (version 2) Physical and Mental Component Summary scores. Outcomes were analyzed using paired t tests or Wilcoxon signed-rank tests. Optional postintervention interviews were analyzed using reflexive thematic analysis. Results: A total of 17 (89.5%) participants completed all the exercises, which indicated a high degree of procedural feasibility. There were also high ratings for ease of use and practicality (means 4.47/5, SD 0.70, and 4.32/5, SD 0.67, respectively). Acceptability was favorable (overall satisfaction mean=5.68/7, SD 0.70; prompt response time=6.37/7, SD 0.68). The WHO-5 score improved significantly from 32.84 to 46.11 (t18=2.48, P=.02; Cohen d=0.52). Changes in the Patient Health Questionnaire-9 (z=−0.49, P=.63; r=0.11), Perceived Stress Scale-10 (t18=−0.82, P=.43; Cohen d=0.12), and Short Form-12 Health Survey (version 2) Physical Component Summary (t18=−0.94, P=.36; Cohen d=0.18) and Mental Component Summary (t18=−0.89, P=.39; Cohen d=0.17) scores were not significant. Qualitative feedback (14/19) described benefits aligned with PPI mechanisms such as greater self-reflection, a more positive orientation, perspective-taking, emotional support, and coping skills. However, participants also suggested refinements, such as more natural conversation (colloquial Cantonese), shorter or less repetitive outputs, user-chosen sequencing with reminders and progress tracking, multimodal features, and autism spectrum disorder–specific resources. Conclusions: This pilot study revealed the feasibility, acceptability, and preliminary improvement in well-being (WHO-5) of a PPI-based GPT-powered chatbot, Allie, among parents of autistic children. Although there was no significant short-term change in other outcomes, the findings provide insights into design priorities, including personalization, conversational naturalness, multimodal content, and autism spectrum disorder–specific guidance. Larger, controlled trials with longer exposures and more diverse samples are needed to establish efficacy and durability.</t>
        </is>
      </c>
      <c r="W170" s="4" t="inlineStr">
        <is>
          <t>open_full_text_review_2026_09_04</t>
        </is>
      </c>
      <c r="X170" s="4" t="inlineStr">
        <is>
          <t>doi:10.2196/85060</t>
        </is>
      </c>
      <c r="Y170" s="4" t="n"/>
      <c r="Z170" s="4" t="n"/>
      <c r="AA170" s="4" t="n"/>
      <c r="AB170" s="40" t="n"/>
    </row>
    <row r="171" ht="112" customHeight="1">
      <c r="A171" s="4" t="n">
        <v>170</v>
      </c>
      <c r="B171" s="4" t="inlineStr">
        <is>
          <t>exclude_out_of_scope_topic_or_population</t>
        </is>
      </c>
      <c r="C171" s="4" t="inlineStr">
        <is>
          <t>Excluir: tema/población fuera de alcance</t>
        </is>
      </c>
      <c r="D171" s="4" t="inlineStr">
        <is>
          <t>Excluded</t>
        </is>
      </c>
      <c r="E171" s="4" t="inlineStr">
        <is>
          <t>No</t>
        </is>
      </c>
      <c r="F171" s="4" t="inlineStr">
        <is>
          <t>Title/abstract screening</t>
        </is>
      </c>
      <c r="G171" s="4" t="n"/>
      <c r="H171" s="4" t="n"/>
      <c r="I171" s="4" t="n"/>
      <c r="J171" s="4" t="inlineStr">
        <is>
          <t>No estudia ASD en el sentido del protocolo, usa otro significado de ASD o aborda otra población/resultado sin aplicación pertinente al proceso ASD.</t>
        </is>
      </c>
      <c r="K171" s="4" t="n"/>
      <c r="L171" s="4" t="n"/>
      <c r="M171" s="4" t="n">
        <v>2026</v>
      </c>
      <c r="N171" s="4" t="inlineStr">
        <is>
          <t>Beyond the usual suspects: primary hypoparathyroidism driving seizure exacerbation in a patient with autism and shunted hydrocephalus</t>
        </is>
      </c>
      <c r="O171" s="4" t="inlineStr">
        <is>
          <t>E R Sullivan-Ingram and C E Johnson and J C Nichols and R K Boykin and G Beauchamp</t>
        </is>
      </c>
      <c r="P171" s="4" t="inlineStr">
        <is>
          <t>10.1016/j.amjms.2025.12.212</t>
        </is>
      </c>
      <c r="Q171" s="4" t="inlineStr">
        <is>
          <t>The American Journal of the Medical Sciences</t>
        </is>
      </c>
      <c r="R171" s="4" t="inlineStr">
        <is>
          <t>article</t>
        </is>
      </c>
      <c r="S171" s="4" t="inlineStr">
        <is>
          <t>Elsevier BV</t>
        </is>
      </c>
      <c r="T171" s="4" t="inlineStr">
        <is>
          <t>https://www.sciencedirect.com/science/article/pii/S0002962925014910</t>
        </is>
      </c>
      <c r="U171" s="4" t="n"/>
      <c r="V171" s="4" t="n"/>
      <c r="W171" s="4" t="inlineStr">
        <is>
          <t>title_abstract_plus_targeted_primary_source_verification</t>
        </is>
      </c>
      <c r="X171" s="4" t="inlineStr">
        <is>
          <t>doi:10.1016/j.amjms.2025.12.212</t>
        </is>
      </c>
      <c r="Y171" s="4" t="n"/>
      <c r="Z171" s="4" t="n"/>
      <c r="AA171" s="4" t="n"/>
      <c r="AB171" s="40" t="n"/>
    </row>
    <row r="172" ht="86" customHeight="1">
      <c r="A172" s="4" t="n">
        <v>171</v>
      </c>
      <c r="B172" s="4" t="inlineStr">
        <is>
          <t>include_after_full_text_open_access</t>
        </is>
      </c>
      <c r="C172" s="4" t="inlineStr">
        <is>
          <t>Incluir tras revisión de texto completo abierto</t>
        </is>
      </c>
      <c r="D172" s="4" t="inlineStr">
        <is>
          <t>Provisional include</t>
        </is>
      </c>
      <c r="E172" s="4" t="inlineStr">
        <is>
          <t>Sí</t>
        </is>
      </c>
      <c r="F172" s="4" t="inlineStr">
        <is>
          <t>Full-text review</t>
        </is>
      </c>
      <c r="G172" s="4" t="n"/>
      <c r="H172" s="4" t="n"/>
      <c r="I172" s="4" t="n"/>
      <c r="J172" s="4" t="inlineStr">
        <is>
          <t>Texto completo confirma estudio primario con Hybrid aplicado a ASD (Treatment-response prediction).</t>
        </is>
      </c>
      <c r="K172" s="4" t="n"/>
      <c r="L172" s="4" t="n"/>
      <c r="M172" s="4" t="n">
        <v>2025</v>
      </c>
      <c r="N172" s="4" t="inlineStr">
        <is>
          <t>Artificial Intelligence Prediction of Individual Treatment Response to Smartphone-Based Mindfulness in Autistic Adults with Anxiety Symptoms: A Randomized Controlled Trial Analysis (Preprint)</t>
        </is>
      </c>
      <c r="O172" s="4" t="inlineStr">
        <is>
          <t>Gun Ahn and Cindy Li and Aixin Liang and Wonchang Choi and Seoin Ahn and Clark Roberts and John Gabrieli</t>
        </is>
      </c>
      <c r="P172" s="4" t="inlineStr">
        <is>
          <t>10.2196/89054</t>
        </is>
      </c>
      <c r="Q172" s="4" t="inlineStr">
        <is>
          <t>JMIR AI</t>
        </is>
      </c>
      <c r="R172" s="4" t="inlineStr">
        <is>
          <t>article</t>
        </is>
      </c>
      <c r="S172" s="4" t="inlineStr">
        <is>
          <t>JMIR Publications Inc.</t>
        </is>
      </c>
      <c r="T172" s="4" t="inlineStr">
        <is>
          <t>https://doi.org/10.2196/89054</t>
        </is>
      </c>
      <c r="U172" s="4" t="inlineStr">
        <is>
          <t>Texto completo abierto revisado; evidencia y codificación en Extraccion_RQ_nuevos.</t>
        </is>
      </c>
      <c r="V172" s="4" t="n"/>
      <c r="W172" s="4" t="inlineStr">
        <is>
          <t>open_full_text_review_2026_09_04</t>
        </is>
      </c>
      <c r="X172" s="4" t="inlineStr">
        <is>
          <t>doi:10.2196/89054</t>
        </is>
      </c>
      <c r="Y172" s="4" t="n"/>
      <c r="Z172" s="4" t="n"/>
      <c r="AA172" s="4" t="n"/>
      <c r="AB172" s="40" t="n"/>
    </row>
    <row r="173" ht="409" customHeight="1">
      <c r="A173" s="4" t="n">
        <v>172</v>
      </c>
      <c r="B173" s="4" t="inlineStr">
        <is>
          <t>include_after_full_text_open_access</t>
        </is>
      </c>
      <c r="C173" s="4" t="inlineStr">
        <is>
          <t>Incluir tras revisión de texto completo abierto</t>
        </is>
      </c>
      <c r="D173" s="4" t="inlineStr">
        <is>
          <t>Provisional include</t>
        </is>
      </c>
      <c r="E173" s="4" t="inlineStr">
        <is>
          <t>Sí</t>
        </is>
      </c>
      <c r="F173" s="4" t="inlineStr">
        <is>
          <t>Full-text review</t>
        </is>
      </c>
      <c r="G173" s="4" t="n"/>
      <c r="H173" s="4" t="n"/>
      <c r="I173" s="4" t="n"/>
      <c r="J173" s="4" t="inlineStr">
        <is>
          <t>Texto completo confirma estudio primario con Machine Learning aplicado a ASD (Public-sentiment classification).</t>
        </is>
      </c>
      <c r="K173" s="4" t="n"/>
      <c r="L173" s="4" t="n"/>
      <c r="M173" s="4" t="n">
        <v>2026</v>
      </c>
      <c r="N173" s="4" t="inlineStr">
        <is>
          <t>Evaluating Public Sentiment on Attention-Deficit/Hyperactivity Disorder and Autism Spectrum Disorder Compared With Other Mental Health Disorders From Posts on X (Formerly Known as Twitter): Longitudinal Analysis</t>
        </is>
      </c>
      <c r="O173" s="4" t="inlineStr">
        <is>
          <t>Vitor Tiosso Batistetti and Facundo G Sanchez and Andrea Varaona and Francisco Lara-Abelenda and Mariana Pinto da Costa and Juan Pablo Chart-Pascual and Alberto Rodriguez-Quiroga and Javier Quintero and Miguel Angel Alvarez-Mon</t>
        </is>
      </c>
      <c r="P173" s="4" t="inlineStr">
        <is>
          <t>10.2196/74440</t>
        </is>
      </c>
      <c r="Q173" s="4" t="inlineStr">
        <is>
          <t>JMIR Infodemiology</t>
        </is>
      </c>
      <c r="R173" s="4" t="inlineStr">
        <is>
          <t>article</t>
        </is>
      </c>
      <c r="S173" s="4" t="inlineStr">
        <is>
          <t>JMIR Publications Inc.</t>
        </is>
      </c>
      <c r="T173" s="4" t="inlineStr">
        <is>
          <t>https://doi.org/10.2196/74440</t>
        </is>
      </c>
      <c r="U173" s="4" t="inlineStr">
        <is>
          <t>Texto completo abierto revisado; evidencia y codificación en Extraccion_RQ_nuevos.</t>
        </is>
      </c>
      <c r="V173" s="4" t="inlineStr">
        <is>
          <t>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on ADHD and ASD between 2009 and 2023 by analyzing posts from X (formerly known as Twitter; X Corp), comparing perceptions across English and Spanish languages and against other mental health conditions. Methods: Posts mentioning keywords related to ADHD and ASD and control conditions (eg, depression, anxiety, insomnia, bipolar disorder, schizophrenia, suicide, and substance use disorders) were collected from X between 2009 and 2023. The dataset included posts in both English and Spanish. Machine learning algorithms were then applied to classify post content into predefined categories, including volume of posts, engagement, personal experiences, trivialization, perceived causes, and perceived treatability. Parametric and nonparametric tests were used to assess for differences by language. Descriptive statistics were presented using tables and graphical representations. Results: A total of 852,990 posts were analyzed, including 511,510 (59.97%) in English and 341,480 (40.03%) in Spanish. Overall, post volume on mental health conditions increased across the study period. In English, posts about ADHD (97,084/511,510, 18.98%) and ASD (74,619/511,510, 14.59%) were among the most frequent, while of the 341,480 Spanish posts, there were 49,475 (14.49%) ASD posts, significantly outnumbering ADHD posts (n=18,223, 5.34%; chi-square test P&lt;.001). Engagement analysis indicated a notable increase in likes and reposts per post over time, particularly after 2019, with ADHD-related posts in English experiencing peak engagement during the COVID-19 pandemic. However, ASD posts had comparatively lower engagement across languages. Posts sharing personal experiences were more polarized in Spanish, with higher proportions of negative and positive experiences compared with English posts. Trivialization of mental illnesses was less common in Spanish posts than in English posts, particularly for ADHD (17,053/18,223, 93.59%; chi-square test P&lt;.001) and ASD (41,933/49,475, 84.73%; chi-square test P&lt;.001). User-perceived causes included multifactorial factors, biological or genetic factors, substance use, psychological susceptibility, acute psychosocial stressors, and COVID-19. Perceived treatability varied by language but consistently included high perceived incurability, limited improvement despite professional help, and low perceived self-manageability except for anxiety. Conclusions: Analysis of social media discourse showed that ADHD attracted higher post volumes, particularly during the COVID-19 pandemic, often described with multifactorial causes including substance use and genetics. ASD consistently received lower engagement. Both language groups showed low trivialization, awareness of the chronicity of the illness, and limited support for the self-management of mental health conditions. These findings underscore social media’s value for capturing direct public perceptions to guide future educational and intervention efforts.</t>
        </is>
      </c>
      <c r="W173" s="4" t="inlineStr">
        <is>
          <t>open_full_text_review_2026_09_04</t>
        </is>
      </c>
      <c r="X173" s="4" t="inlineStr">
        <is>
          <t>doi:10.2196/74440</t>
        </is>
      </c>
      <c r="Y173" s="4" t="n"/>
      <c r="Z173" s="4" t="n"/>
      <c r="AA173" s="4" t="n"/>
      <c r="AB173" s="40" t="n"/>
    </row>
    <row r="174" ht="86" customHeight="1">
      <c r="A174" s="4" t="n">
        <v>173</v>
      </c>
      <c r="B174" s="4" t="inlineStr">
        <is>
          <t>include_after_full_text_open_access</t>
        </is>
      </c>
      <c r="C174" s="4" t="inlineStr">
        <is>
          <t>Incluir tras revisión de texto completo abierto</t>
        </is>
      </c>
      <c r="D174" s="4" t="inlineStr">
        <is>
          <t>Provisional include</t>
        </is>
      </c>
      <c r="E174" s="4" t="inlineStr">
        <is>
          <t>Sí</t>
        </is>
      </c>
      <c r="F174" s="4" t="inlineStr">
        <is>
          <t>Full-text review</t>
        </is>
      </c>
      <c r="G174" s="4" t="n"/>
      <c r="H174" s="4" t="n"/>
      <c r="I174" s="4" t="n"/>
      <c r="J174" s="4" t="inlineStr">
        <is>
          <t>Texto completo confirma estudio primario con Deep Learning aplicado a ASD (Information-quality evaluation).</t>
        </is>
      </c>
      <c r="K174" s="4" t="n"/>
      <c r="L174" s="4" t="n"/>
      <c r="M174" s="4" t="n">
        <v>2025</v>
      </c>
      <c r="N174" s="4" t="inlineStr">
        <is>
          <t>From Click to Chat: A Comparative, Bilingual Study of Autism-Related Information on Websites and General-Purpose AI Chatbots (Preprint)</t>
        </is>
      </c>
      <c r="O174" s="4" t="inlineStr">
        <is>
          <t>Valentin Nădășan and Ciprian-Rareș Păroiu and Alexandra Neguțescu and Elena-Gabriela Strete</t>
        </is>
      </c>
      <c r="P174" s="4" t="inlineStr">
        <is>
          <t>10.2196/85196</t>
        </is>
      </c>
      <c r="Q174" s="4" t="inlineStr">
        <is>
          <t>JMIR Formative Research</t>
        </is>
      </c>
      <c r="R174" s="4" t="inlineStr">
        <is>
          <t>article</t>
        </is>
      </c>
      <c r="S174" s="4" t="inlineStr">
        <is>
          <t>JMIR Publications Inc.</t>
        </is>
      </c>
      <c r="T174" s="4" t="inlineStr">
        <is>
          <t>https://doi.org/10.2196/85196</t>
        </is>
      </c>
      <c r="U174" s="4" t="inlineStr">
        <is>
          <t>Texto completo abierto revisado; evidencia y codificación en Extraccion_RQ_nuevos.</t>
        </is>
      </c>
      <c r="V174" s="4" t="n"/>
      <c r="W174" s="4" t="inlineStr">
        <is>
          <t>open_full_text_review_2026_09_04</t>
        </is>
      </c>
      <c r="X174" s="4" t="inlineStr">
        <is>
          <t>doi:10.2196/85196</t>
        </is>
      </c>
      <c r="Y174" s="4" t="n"/>
      <c r="Z174" s="4" t="n"/>
      <c r="AA174" s="4" t="n"/>
      <c r="AB174" s="40" t="n"/>
    </row>
    <row r="175" ht="409" customHeight="1">
      <c r="A175" s="4" t="n">
        <v>174</v>
      </c>
      <c r="B175" s="4" t="inlineStr">
        <is>
          <t>exclude_secondary_or_nonempirical_publication</t>
        </is>
      </c>
      <c r="C175" s="4" t="inlineStr">
        <is>
          <t>Excluir: publicación secundaria/no empírica</t>
        </is>
      </c>
      <c r="D175" s="4" t="inlineStr">
        <is>
          <t>Excluded</t>
        </is>
      </c>
      <c r="E175" s="4" t="inlineStr">
        <is>
          <t>No</t>
        </is>
      </c>
      <c r="F175" s="4" t="inlineStr">
        <is>
          <t>Title/abstract screening</t>
        </is>
      </c>
      <c r="G175" s="4" t="n"/>
      <c r="H175" s="4" t="n"/>
      <c r="I175" s="4" t="n"/>
      <c r="J175" s="4" t="inlineStr">
        <is>
          <t>Revisión, metaanálisis, encuesta de literatura, protocolo, perspectiva, carta, editorial o capítulo de síntesis sin estudio primario elegible.</t>
        </is>
      </c>
      <c r="K175" s="4" t="n"/>
      <c r="L175" s="4" t="n"/>
      <c r="M175" s="4" t="n">
        <v>2026</v>
      </c>
      <c r="N175" s="4" t="inlineStr">
        <is>
          <t>Empowering caregivers of individuals with autism spectrum disorder through sensor-based monitoring of emotional dysregulation: A scoping review</t>
        </is>
      </c>
      <c r="O175" s="4" t="inlineStr">
        <is>
          <t>Moid Sandhu and Siddique Latif and Andrew Bayor and Wei Lu and Mahnoosh Kholghi and Deepa Prabhu and David Silvera-Tawil</t>
        </is>
      </c>
      <c r="P175" s="4" t="inlineStr">
        <is>
          <t>10.1016/j.ijmedinf.2026.106262</t>
        </is>
      </c>
      <c r="Q175" s="4" t="inlineStr">
        <is>
          <t>International Journal of Medical Informatics</t>
        </is>
      </c>
      <c r="R175" s="4" t="inlineStr">
        <is>
          <t>article</t>
        </is>
      </c>
      <c r="S175" s="4" t="inlineStr">
        <is>
          <t>Elsevier Ireland Ltd</t>
        </is>
      </c>
      <c r="T175" s="4" t="inlineStr">
        <is>
          <t>https://www.sciencedirect.com/science/article/pii/S138650562600002X</t>
        </is>
      </c>
      <c r="U175" s="4" t="n"/>
      <c r="V175" s="4" t="inlineStr">
        <is>
          <t>Objective: This paper critically reviews existing work in sensor-based emotional dysregulation monitoring to support caregivers of individuals diagnosed with autism spectrum disorder (ASD). Methods: A systematic literature search was conducted across six databases (Google Scholar, IEEE Xplore, Scopus, ACM Digital Library, Web of Science, and PubMed) covering publications from January 1, 2016, to September 30, 2025. Results: Thirty-two studies met inclusion criteria, comprising 27 focused on sensor-based emotional dysregulation detection and 5 addressing intervention or support mechanisms. These studies suggest that sensor-based technologies have potential for continuous physiological monitoring, facilitating early detection and intervention to support emotional dysregulation episodes. Critical deficiencies were identified in real-time alerting capabilities, autonomous intervention deployment, self-regulation framework integration, system reliability, long-term sustainability, user interface design, and cross-environment scalability. Conclusion: There is a significant need to develop real-time emotion monitoring systems to empower caregivers in delivering timely, targeted interventions for individuals diagnosed with ASD. Future research should prioritise the development of real-time alert systems, autonomous intervention protocols, and solutions optimised for reliability, sustainability, usability, and adaptability across heterogeneous care settings.</t>
        </is>
      </c>
      <c r="W175" s="4" t="inlineStr">
        <is>
          <t>title_abstract_plus_targeted_primary_source_verification</t>
        </is>
      </c>
      <c r="X175" s="4" t="inlineStr">
        <is>
          <t>doi:10.1016/j.ijmedinf.2026.106262</t>
        </is>
      </c>
      <c r="Y175" s="4" t="n"/>
      <c r="Z175" s="4" t="n"/>
      <c r="AA175" s="4" t="n"/>
      <c r="AB175" s="40" t="n"/>
    </row>
    <row r="176" ht="409" customHeight="1">
      <c r="A176" s="4" t="n">
        <v>175</v>
      </c>
      <c r="B176" s="4" t="inlineStr">
        <is>
          <t>exclude_integrity_notice_or_retracted</t>
        </is>
      </c>
      <c r="C176" s="4" t="inlineStr">
        <is>
          <t>Excluir por integridad/tipo de registro</t>
        </is>
      </c>
      <c r="D176" s="4" t="inlineStr">
        <is>
          <t>Excluded</t>
        </is>
      </c>
      <c r="E176" s="4" t="inlineStr">
        <is>
          <t>No</t>
        </is>
      </c>
      <c r="F176" s="4" t="inlineStr">
        <is>
          <t>Title/abstract screening and source verification</t>
        </is>
      </c>
      <c r="G176" s="4" t="n"/>
      <c r="H176" s="4" t="n"/>
      <c r="I176" s="4" t="inlineStr">
        <is>
          <t>Removal notice</t>
        </is>
      </c>
      <c r="J176" s="4" t="inlineStr">
        <is>
          <t>Aviso editorial, corrección, retirada, retractación o artículo retractado; no constituye un estudio nuevo incorporable.</t>
        </is>
      </c>
      <c r="K176" s="4" t="n"/>
      <c r="L176" s="4" t="n"/>
      <c r="M176" s="4" t="n">
        <v>2026</v>
      </c>
      <c r="N176" s="4" t="inlineStr">
        <is>
          <t>Removal notice to “Machine learning in automated diagnosis of autism spectrum disorder: a comprehensive review”(Computer Science Review, (2025), 56, C, (100730), (S1574013725000073), 10.1016/j.cosrev.2025.100730)</t>
        </is>
      </c>
      <c r="O176" s="4" t="inlineStr">
        <is>
          <t>Khosro Rezaee</t>
        </is>
      </c>
      <c r="P176" s="4" t="inlineStr">
        <is>
          <t>10.1016/j.cosrev.2026.100959</t>
        </is>
      </c>
      <c r="Q176" s="4" t="inlineStr">
        <is>
          <t>Computer Science Review</t>
        </is>
      </c>
      <c r="R176" s="4" t="inlineStr">
        <is>
          <t>article</t>
        </is>
      </c>
      <c r="S176" s="4" t="inlineStr">
        <is>
          <t>Elsevier Ireland Ltd</t>
        </is>
      </c>
      <c r="T176" s="4" t="inlineStr">
        <is>
          <t>https://www.sciencedirect.com/science/article/pii/S1574013726000675</t>
        </is>
      </c>
      <c r="U176" s="4" t="n"/>
      <c r="V176" s="4" t="inlineStr">
        <is>
          <t>This article has been removed: please see Elsevier Policy on Article Withdrawal (https://www.elsevier.com/about/policies-and-standards/article-withdrawal). This article has been removed at the request of the Editors-in-Chief. Post-publication, the journal was alerted to concerns regarding a dataset used in this study. It has been reported that the dataset contains images of patients without autism spectrum disorder (ASD) diagnosis. In addition, there is no information about informed patient consent. The journal contacted the author for clarification, and the author stated that they were not aware of these concerns. The Editors-in-Chief have determined that this article should be removed because the integrity and reliability of the study cannot be relied upon, and because some images from the dataset were republished. The author agrees to this decision. Apologies are offered to the readers of the journal.</t>
        </is>
      </c>
      <c r="W176" s="4" t="inlineStr">
        <is>
          <t>title_abstract_plus_targeted_primary_source_verification</t>
        </is>
      </c>
      <c r="X176" s="4" t="inlineStr">
        <is>
          <t>doi:10.1016/j.cosrev.2026.100959</t>
        </is>
      </c>
      <c r="Y176" s="4" t="n"/>
      <c r="Z176" s="4" t="n"/>
      <c r="AA176" s="4" t="n"/>
      <c r="AB176" s="40" t="n"/>
    </row>
    <row r="177" ht="112" customHeight="1">
      <c r="A177" s="4" t="n">
        <v>176</v>
      </c>
      <c r="B177" s="4" t="inlineStr">
        <is>
          <t>exclude_secondary_or_nonempirical_publication</t>
        </is>
      </c>
      <c r="C177" s="4" t="inlineStr">
        <is>
          <t>Excluir: publicación secundaria/no empírica</t>
        </is>
      </c>
      <c r="D177" s="4" t="inlineStr">
        <is>
          <t>Excluded</t>
        </is>
      </c>
      <c r="E177" s="4" t="inlineStr">
        <is>
          <t>No</t>
        </is>
      </c>
      <c r="F177" s="4" t="inlineStr">
        <is>
          <t>Title/abstract screening</t>
        </is>
      </c>
      <c r="G177" s="4" t="n"/>
      <c r="H177" s="4" t="n"/>
      <c r="I177" s="4" t="n"/>
      <c r="J177" s="4" t="inlineStr">
        <is>
          <t>Revisión, metaanálisis, encuesta de literatura, protocolo, perspectiva, carta, editorial o capítulo de síntesis sin estudio primario elegible.</t>
        </is>
      </c>
      <c r="K177" s="4" t="n"/>
      <c r="L177" s="4" t="n"/>
      <c r="M177" s="4" t="n">
        <v>2026</v>
      </c>
      <c r="N177" s="4" t="inlineStr">
        <is>
          <t>Artificial Intelligence and Chatbot-Supported Interventions for Physical Activity and Obesity-related Lifestyle Behaviors: A Scoping Review with Attention to Family Involvement (Preprint)</t>
        </is>
      </c>
      <c r="O177" s="4" t="inlineStr">
        <is>
          <t>Qianxia Jiang and Xiayu Summer Chen and Dev Patel and Keith Brazendale and Sualba Alejandro</t>
        </is>
      </c>
      <c r="P177" s="4" t="inlineStr">
        <is>
          <t>10.2196/98889</t>
        </is>
      </c>
      <c r="Q177" s="4" t="inlineStr">
        <is>
          <t>JMIR Pediatrics and Parenting</t>
        </is>
      </c>
      <c r="R177" s="4" t="inlineStr">
        <is>
          <t>article</t>
        </is>
      </c>
      <c r="S177" s="4" t="inlineStr">
        <is>
          <t>JMIR Publications Inc.</t>
        </is>
      </c>
      <c r="T177" s="4" t="inlineStr">
        <is>
          <t>https://doi.org/10.2196/98889</t>
        </is>
      </c>
      <c r="U177" s="4" t="n"/>
      <c r="V177" s="4" t="n"/>
      <c r="W177" s="4" t="inlineStr">
        <is>
          <t>title_abstract_plus_targeted_primary_source_verification</t>
        </is>
      </c>
      <c r="X177" s="4" t="inlineStr">
        <is>
          <t>doi:10.2196/98889</t>
        </is>
      </c>
      <c r="Y177" s="4" t="n"/>
      <c r="Z177" s="4" t="n"/>
      <c r="AA177" s="4" t="n"/>
      <c r="AB177" s="40" t="n"/>
    </row>
    <row r="178" ht="409" customHeight="1">
      <c r="A178" s="4" t="n">
        <v>177</v>
      </c>
      <c r="B178" s="4" t="inlineStr">
        <is>
          <t>exclude_no_qualifying_ai_application</t>
        </is>
      </c>
      <c r="C178" s="4" t="inlineStr">
        <is>
          <t>Excluir: sin aplicación de IA elegible</t>
        </is>
      </c>
      <c r="D178" s="4" t="inlineStr">
        <is>
          <t>Excluded</t>
        </is>
      </c>
      <c r="E178" s="4" t="inlineStr">
        <is>
          <t>No</t>
        </is>
      </c>
      <c r="F178" s="4" t="inlineStr">
        <is>
          <t>Title/abstract screening</t>
        </is>
      </c>
      <c r="G178" s="4" t="n"/>
      <c r="H178" s="4" t="n"/>
      <c r="I178" s="4" t="n"/>
      <c r="J178" s="4" t="inlineStr">
        <is>
          <t>El trabajo no implementa ni evalúa una técnica de IA/ML como componente sustantivo del estudio de ASD.</t>
        </is>
      </c>
      <c r="K178" s="4" t="n"/>
      <c r="L178" s="4" t="n"/>
      <c r="M178" s="4" t="n">
        <v>2026</v>
      </c>
      <c r="N178" s="4" t="inlineStr">
        <is>
          <t>Design and Iterative Development of Serious Exergames for Children With Autism Spectrum Disorder: Formative Multiple-Case Pilot Study</t>
        </is>
      </c>
      <c r="O178" s="4" t="inlineStr">
        <is>
          <t>Won Kim and Minwoo Seong and Seung Jun Kim</t>
        </is>
      </c>
      <c r="P178" s="4" t="inlineStr">
        <is>
          <t>10.2196/77727</t>
        </is>
      </c>
      <c r="Q178" s="4" t="inlineStr">
        <is>
          <t>JMIR Serious Games</t>
        </is>
      </c>
      <c r="R178" s="4" t="inlineStr">
        <is>
          <t>article</t>
        </is>
      </c>
      <c r="S178" s="4" t="inlineStr">
        <is>
          <t>JMIR Publications Inc.</t>
        </is>
      </c>
      <c r="T178" s="4" t="inlineStr">
        <is>
          <t>https://doi.org/10.2196/77727</t>
        </is>
      </c>
      <c r="U178" s="4" t="n"/>
      <c r="V178" s="4" t="inlineStr">
        <is>
          <t>Background: Children with autism spectrum disorder (ASD) exhibit cognitive, motor, and social difficulties that affect engagement, causing developmental delays, behavioral challenges, and obesity—interrelated concerns in daily functioning and well-being. Although interactive interventions have incorporated physical activity, they often rely on limited physical involvement and lack iterative, expert-informed design, as built on pre-existing game frameworks. Physical activity is often operationalized as constrained input (eg, gestures or in-place actions) rather than exertion-intensive, whole-body exercise, and design guidance for adapting exercise content under ASD-oriented safety and cognitive-sensory constraints remains limited. These limitations highlight the need for exergames that promote sustained, full-body participation aligned with developmental goals, motivating formative, co-design with expertise and initial field testing in this population. Objective: We aim to iteratively design exercise-based serious games (SGs) for children with ASD through a structured, expert-informed co-design process involving 21 professionals across special education, adapted physical education, and human-computer interaction, and to examine feasibility and use contexts through an exploratory multiple-case pilot study. Methods: We derived serious exergames using 4 design methods—stakeholder interview, concept mapping, creative matrix, and visualize the vote. Two exergames—“Fruit Sorting Run” and “Hazard Avoiding Ride”—were developed, integrating full-body running and cycling movements into goal-directed tasks under ASD-oriented constraints. We conducted a multiple-case pilot with 3 children with ASD. During gameplay, caregivers labeled engagement using a binary input interface, and we conducted postsession caregiver interviews to capture complementary observations. Results: Engagement in both exergames tended to increase over normalized time. Generalized estimating equations with a logit link and an autoregressive working correlation of order 1 (AR1), including participant indicators, showed a statistically significant association between normalized time and engagement in Fruit Sorting Run (per 0.1 increase: β=0.48; odds ratio 1.62, 95% CI 1.09-2.38; P=.02) and Hazard Avoiding Ride (per 0.1 increase: β=0.66; odds ratio 1.93, 95% CI 1.04-3.60, P=.04). Caregiver interviews reinforced these findings, reporting increased attention, motivation, and enjoyment across both activities. Conclusions: The findings support the applicability of an expert-informed design approach and the viability of the resulting exergames, integrating goal-directed physical activity, virtual agent–based prompting, and stakeholder-informed considerations such as motor-cognitive alignment, interactive scaffolding, and support for daily living skills. Distinct from prior SG approaches that operationalize physical activity through discrete gestures or in-place interactions, the proposed exergames embed sustained, exertion-intensive, whole-body movement within structured gameplay. Within this exploratory multiple-case pilot, engagement trajectories tended to increase over time. These preliminary observations provide an initial basis for a testable hypothesis that exertion-intensive, full-body SGs with virtual agent–based prompting may be associated with increasing engagement over time, meriting further examination in larger samples and applied educational and therapeutic contexts.</t>
        </is>
      </c>
      <c r="W178" s="4" t="inlineStr">
        <is>
          <t>title_abstract_plus_targeted_primary_source_verification</t>
        </is>
      </c>
      <c r="X178" s="4" t="inlineStr">
        <is>
          <t>doi:10.2196/77727</t>
        </is>
      </c>
      <c r="Y178" s="4" t="n"/>
      <c r="Z178" s="4" t="n"/>
      <c r="AA178" s="4" t="n"/>
      <c r="AB178" s="40" t="n"/>
    </row>
    <row r="179" ht="112" customHeight="1">
      <c r="A179" s="4" t="n">
        <v>178</v>
      </c>
      <c r="B179" s="4" t="inlineStr">
        <is>
          <t>exclude_secondary_or_nonempirical_publication</t>
        </is>
      </c>
      <c r="C179" s="4" t="inlineStr">
        <is>
          <t>Excluir: publicación secundaria/no empírica</t>
        </is>
      </c>
      <c r="D179" s="4" t="inlineStr">
        <is>
          <t>Excluded</t>
        </is>
      </c>
      <c r="E179" s="4" t="inlineStr">
        <is>
          <t>No</t>
        </is>
      </c>
      <c r="F179" s="4" t="inlineStr">
        <is>
          <t>Title/abstract screening</t>
        </is>
      </c>
      <c r="G179" s="4" t="n"/>
      <c r="H179" s="4" t="n"/>
      <c r="I179" s="4" t="n"/>
      <c r="J179" s="4" t="inlineStr">
        <is>
          <t>Revisión, metaanálisis, encuesta de literatura, protocolo, perspectiva, carta, editorial o capítulo de síntesis sin estudio primario elegible.</t>
        </is>
      </c>
      <c r="K179" s="4" t="n"/>
      <c r="L179" s="4" t="n"/>
      <c r="M179" s="4" t="n">
        <v>2026</v>
      </c>
      <c r="N179" s="4" t="inlineStr">
        <is>
          <t>The digital phenotype: artificial intelligence–driven biomarkers and clinical analytics for autism spectrum disorder</t>
        </is>
      </c>
      <c r="O179" s="4" t="inlineStr">
        <is>
          <t>Subhi Kumari and Ali Imam Abidi and Sandeep Kumar</t>
        </is>
      </c>
      <c r="P179" s="4" t="inlineStr">
        <is>
          <t>10.1016/B978-0-443-45875-0.00016-8</t>
        </is>
      </c>
      <c r="Q179" s="4" t="inlineStr">
        <is>
          <t>Smart Hospital Anatomy with Advanced Sensors</t>
        </is>
      </c>
      <c r="R179" s="4" t="inlineStr">
        <is>
          <t>article</t>
        </is>
      </c>
      <c r="S179" s="4" t="inlineStr">
        <is>
          <t>Elsevier</t>
        </is>
      </c>
      <c r="T179" s="4" t="inlineStr">
        <is>
          <t>https://www.sciencedirect.com/science/article/pii/B9780443458750000168</t>
        </is>
      </c>
      <c r="U179" s="4" t="n"/>
      <c r="V179" s="4" t="n"/>
      <c r="W179" s="4" t="inlineStr">
        <is>
          <t>title_abstract_plus_targeted_primary_source_verification</t>
        </is>
      </c>
      <c r="X179" s="4" t="inlineStr">
        <is>
          <t>doi:10.1016/b978-0-443-45875-0.00016-8</t>
        </is>
      </c>
      <c r="Y179" s="4" t="n"/>
      <c r="Z179" s="4" t="n"/>
      <c r="AA179" s="4" t="n"/>
      <c r="AB179" s="40" t="n"/>
    </row>
    <row r="180" ht="409" customHeight="1">
      <c r="A180" s="4" t="n">
        <v>179</v>
      </c>
      <c r="B180" s="4" t="inlineStr">
        <is>
          <t>include_after_full_text_open_access</t>
        </is>
      </c>
      <c r="C180" s="4" t="inlineStr">
        <is>
          <t>Incluir tras revisión de texto completo abierto</t>
        </is>
      </c>
      <c r="D180" s="4" t="inlineStr">
        <is>
          <t>Provisional include</t>
        </is>
      </c>
      <c r="E180" s="4" t="inlineStr">
        <is>
          <t>Sí</t>
        </is>
      </c>
      <c r="F180" s="4" t="inlineStr">
        <is>
          <t>Full-text review</t>
        </is>
      </c>
      <c r="G180" s="4" t="n"/>
      <c r="H180" s="4" t="n"/>
      <c r="I180" s="4" t="n"/>
      <c r="J180" s="4" t="inlineStr">
        <is>
          <t>Texto completo confirma estudio primario con Machine Learning aplicado a ASD (Segmentation and biomarker characterization).</t>
        </is>
      </c>
      <c r="K180" s="4" t="n"/>
      <c r="L180" s="4" t="n"/>
      <c r="M180" s="4" t="n">
        <v>2025</v>
      </c>
      <c r="N180" s="4" t="inlineStr">
        <is>
          <t>Free Water Corrected Diffusion Magnetic Resonance Imaging Reveals Microstructural Alterations in Corpus Callosum Subregions of Preschool Children With Autism</t>
        </is>
      </c>
      <c r="O180" s="4" t="inlineStr">
        <is>
          <t>Doudou Cao and Litong Ni and Qi Qi and Lan Zhou and Junyi Wang and Yijie Li and Wei Zhang and Jiayan Wei and Yixiu Luo and Yi Wang and Fan Zhang and Shijun Li</t>
        </is>
      </c>
      <c r="P180" s="4" t="inlineStr">
        <is>
          <t>10.1002/hbm.70435</t>
        </is>
      </c>
      <c r="Q180" s="4" t="inlineStr">
        <is>
          <t>Human Brain Mapping</t>
        </is>
      </c>
      <c r="R180" s="4" t="inlineStr">
        <is>
          <t>article</t>
        </is>
      </c>
      <c r="S180" s="4" t="inlineStr">
        <is>
          <t>John Wiley and Sons Inc</t>
        </is>
      </c>
      <c r="T180" s="4" t="inlineStr">
        <is>
          <t>https://onlinelibrary.wiley.com/doi/pdfdirect/10.1002/hbm.70435</t>
        </is>
      </c>
      <c r="U180" s="4" t="inlineStr">
        <is>
          <t>Texto completo abierto revisado; evidencia y codificación en Extraccion_RQ_nuevos.</t>
        </is>
      </c>
      <c r="V180" s="4" t="inlineStr">
        <is>
          <t>Autism spectrum disorder (ASD) is associated with white matter microstructural abnormalities, particularly in the corpus callosum (CC). This study employed free water corrected diffusion magnetic resonance imaging (fwc-dMRI) to investigate CC subregion-specific microstructural alterations in preschool children with ASD, which mitigates partial volume effects from extracellular free water. Sixty-one ASD children (6.03 ± 1.08 years) and 62 typically developing (TD) controls (6.49 ± 1.45 years) were enrolled in this study. In the ASD group, the symptom severity was assessed by the Autism Behavior Checklist (ABC). Fwc-dMRI technique, a bi-tensor tractography method, was used to investigate the white matter microstructure, which models free water and brain tissues through isotropic and anisotropic tensors to eliminate the partial volume effects caused by extracellular free water. The CC was segmented into seven subregions automatically according to its alignment to the cortex by a robust machine learning approach based on an anatomically curated white matter atlas. Fwc-dMRI-derived metrics were extracted for each CC subregion. Then we compared diffusion metrics between the two groups, and the correlation between the fractional anisotropy tissue (FAt) and the scores of the ABC scale was analyzed in ASD. Significant group differences were localized to CC6 (temporal lobe projections), showing reduced FAt (t = −3.251, p &lt; 0.01) and elevated radial diffusivity tissue (t = 3.632, p &lt; 0.01), and CC1 (orbital lobe projections), exhibiting decreased free water (t = −3.068, p &lt; 0.05). FAt in CC2–5 negatively correlated with ABC scores (r = −0.36 to −0.52, p &lt; 0.01), linking frontoparietal connectivity to the symptom severity of ASD. Fwc-dMRI identified distinct microstructural disruptions in CC subregions, implicating dysmyelination in temporal pathways (CC6) and abnormal axonal development in frontal projections (CC1). These findings highlight fwc-dMRI's potential for early ASD diagnosis and intervention monitoring.</t>
        </is>
      </c>
      <c r="W180" s="4" t="inlineStr">
        <is>
          <t>open_full_text_review_2026_09_04</t>
        </is>
      </c>
      <c r="X180" s="4" t="inlineStr">
        <is>
          <t>doi:10.1002/hbm.70435</t>
        </is>
      </c>
      <c r="Y180" s="4" t="n"/>
      <c r="Z180" s="4" t="n"/>
      <c r="AA180" s="4" t="n"/>
      <c r="AB180" s="40" t="n"/>
    </row>
    <row r="181" ht="409" customHeight="1">
      <c r="A181" s="4" t="n">
        <v>180</v>
      </c>
      <c r="B181" s="4" t="inlineStr">
        <is>
          <t>include_after_title_abstract_screen</t>
        </is>
      </c>
      <c r="C181" s="4" t="inlineStr">
        <is>
          <t>Incluir provisionalmente</t>
        </is>
      </c>
      <c r="D181" s="4" t="inlineStr">
        <is>
          <t>Provisional include</t>
        </is>
      </c>
      <c r="E181" s="4" t="inlineStr">
        <is>
          <t>Sí</t>
        </is>
      </c>
      <c r="F181" s="4" t="inlineStr">
        <is>
          <t>Title/abstract screening</t>
        </is>
      </c>
      <c r="G181" s="4" t="n"/>
      <c r="H181" s="4" t="n"/>
      <c r="I181" s="4" t="n"/>
      <c r="J181" s="4" t="inlineStr">
        <is>
          <t>Estudio primario o implementación/evaluación empírica de IA, aprendizaje automático o modelado computacional aplicado a ASD, riesgo, caracterización, apoyo o intervención.</t>
        </is>
      </c>
      <c r="K181" s="4" t="n"/>
      <c r="L181" s="4" t="n"/>
      <c r="M181" s="4" t="n">
        <v>2026</v>
      </c>
      <c r="N181" s="4" t="inlineStr">
        <is>
          <t>The effect of spatial and intensity level augmentation of structural magnetic resonance images on autism diagnosis model</t>
        </is>
      </c>
      <c r="O181" s="4" t="inlineStr">
        <is>
          <t>D Swainson Sujana and Peter Augustin D</t>
        </is>
      </c>
      <c r="P181" s="4" t="inlineStr">
        <is>
          <t>10.1016/j.ajp.2026.104830</t>
        </is>
      </c>
      <c r="Q181" s="4" t="inlineStr">
        <is>
          <t>Asian Journal of Psychiatry</t>
        </is>
      </c>
      <c r="R181" s="4" t="inlineStr">
        <is>
          <t>article</t>
        </is>
      </c>
      <c r="S181" s="4" t="inlineStr">
        <is>
          <t>Elsevier B.V.</t>
        </is>
      </c>
      <c r="T181" s="4" t="inlineStr">
        <is>
          <t>https://doi.org/10.1016/j.ajp.2026.104830</t>
        </is>
      </c>
      <c r="U181" s="4" t="n"/>
      <c r="V181" s="4" t="inlineStr">
        <is>
          <t>In deep learning, the robustness and generalizability of models significantly depend on diverse and heterogeneous training data. Acquiring such an extensive dataset is challenging in fields like disorder prediction due to data scarcity, which can be attributed to factors such as privacy concerns, limited patient population, or inadequate facilities. Data augmentation can be an ideal solution to this problem, particularly in the field of disorder prediction, like autism, using medical imaging. Data augmentation can expand and balance datasets by generating high-quality and varied data, thereby improving the generalizability of deep learning models. This study proposed two types of augmentation methods: 1. Spatial level 2. Intensity level augmentation techniques. Eight different levels of augmentations were experimented with across these categories. This study found that the combination of spatial and intensity level augmentations enhanced the model's generalizability and robustness, achieving an AUC value of 0.7433. Additionally, it was observed that the Left to Right flip method, under spatial augmentation, diminished the model's performance, whereas random noise injection, under intensity level augmentation, improved prediction accuracy.</t>
        </is>
      </c>
      <c r="W181" s="4" t="inlineStr">
        <is>
          <t>title_abstract_plus_targeted_primary_source_verification</t>
        </is>
      </c>
      <c r="X181" s="4" t="inlineStr">
        <is>
          <t>doi:10.1016/j.ajp.2026.104830</t>
        </is>
      </c>
      <c r="Y181" s="4" t="n"/>
      <c r="Z181" s="4" t="n"/>
      <c r="AA181" s="4" t="n"/>
      <c r="AB181" s="40" t="n"/>
    </row>
    <row r="182" ht="409" customHeight="1">
      <c r="A182" s="4" t="n">
        <v>181</v>
      </c>
      <c r="B182" s="4" t="inlineStr">
        <is>
          <t>include_after_title_abstract_screen</t>
        </is>
      </c>
      <c r="C182" s="4" t="inlineStr">
        <is>
          <t>Incluir provisionalmente</t>
        </is>
      </c>
      <c r="D182" s="4" t="inlineStr">
        <is>
          <t>Provisional include</t>
        </is>
      </c>
      <c r="E182" s="4" t="inlineStr">
        <is>
          <t>Sí</t>
        </is>
      </c>
      <c r="F182" s="4" t="inlineStr">
        <is>
          <t>Title/abstract screening</t>
        </is>
      </c>
      <c r="G182" s="4" t="n"/>
      <c r="H182" s="4" t="n"/>
      <c r="I182" s="4" t="n"/>
      <c r="J182" s="4" t="inlineStr">
        <is>
          <t>Estudio primario o implementación/evaluación empírica de IA, aprendizaje automático o modelado computacional aplicado a ASD, riesgo, caracterización, apoyo o intervención.</t>
        </is>
      </c>
      <c r="K182" s="4" t="n"/>
      <c r="L182" s="4" t="n"/>
      <c r="M182" s="4" t="n">
        <v>2026</v>
      </c>
      <c r="N182" s="4" t="inlineStr">
        <is>
          <t>Human-centered AI for inclusive tourism: enhancing travel planning for adults with autism spectrum disorder</t>
        </is>
      </c>
      <c r="O182" s="4" t="inlineStr">
        <is>
          <t>Noemi Mauro and Fabio Ferrero and Liliana Ardissono and Federica Cena</t>
        </is>
      </c>
      <c r="P182" s="4" t="inlineStr">
        <is>
          <t>10.1016/j.ijhcs.2025.103696</t>
        </is>
      </c>
      <c r="Q182" s="4" t="inlineStr">
        <is>
          <t>International Journal of Human Computer Studies</t>
        </is>
      </c>
      <c r="R182" s="4" t="inlineStr">
        <is>
          <t>article</t>
        </is>
      </c>
      <c r="S182" s="4" t="inlineStr">
        <is>
          <t>Academic Press</t>
        </is>
      </c>
      <c r="T182" s="4" t="inlineStr">
        <is>
          <t>https://www.sciencedirect.com/science/article/pii/S1071581925002514</t>
        </is>
      </c>
      <c r="U182" s="4" t="n"/>
      <c r="V182" s="4" t="inlineStr">
        <is>
          <t>Travel experiences can challenge individuals with Autism Spectrum Disorder (ASD) before embarking on a trip, because of the complexity of planning, but also during the trip, due to sensory overstimulation while visiting places. Artificial Intelligence (AI) could help overcome some obstacles. However, it might represent a barrier for people with mid-functioning autism if their needs for assistance are not considered when designing tourism applications. Moreover, most trip planners fully control the generation of solutions, undermining users’ decision autonomy. To address these challenges, we explored the development of itinerary planning technologies through a human-centered approach. We aimed to balance guiding users in their decision-making with empowering them to plan tours independently. The result is CARES, an Artificial Intelligence-driven trip planner designed for autistic adults, which we present in this article. CARES applies a collaborative approach to developing itineraries, based on the exploitation of (i) AI technologies for information filtering and interactive itinerary planning that are robust to the data scarcity characterizing the autism domain; (ii) a user interface that reduces information overload and decision fatigue in information exploration. We tested CARES with 14 autistic adults, gathering insights to guide future design and improve the usability of Artificial Intelligence for neurodivergent users. The results indicate that our approach provides an accessible solution for enhancing the travel experiences of mid- to high-functioning autistic adults. In doing so, it contributes to more inclusive tourism.</t>
        </is>
      </c>
      <c r="W182" s="4" t="inlineStr">
        <is>
          <t>title_abstract_plus_targeted_primary_source_verification</t>
        </is>
      </c>
      <c r="X182" s="4" t="inlineStr">
        <is>
          <t>doi:10.1016/j.ijhcs.2025.103696</t>
        </is>
      </c>
      <c r="Y182" s="4" t="n"/>
      <c r="Z182" s="4" t="n"/>
      <c r="AA182" s="4" t="n"/>
      <c r="AB182" s="40" t="n"/>
    </row>
    <row r="183" ht="409" customHeight="1">
      <c r="A183" s="4" t="n">
        <v>182</v>
      </c>
      <c r="B183" s="4" t="inlineStr">
        <is>
          <t>include_after_full_text_open_access</t>
        </is>
      </c>
      <c r="C183" s="4" t="inlineStr">
        <is>
          <t>Incluir tras revisión de texto completo abierto</t>
        </is>
      </c>
      <c r="D183" s="4" t="inlineStr">
        <is>
          <t>Provisional include</t>
        </is>
      </c>
      <c r="E183" s="4" t="inlineStr">
        <is>
          <t>Sí</t>
        </is>
      </c>
      <c r="F183" s="4" t="inlineStr">
        <is>
          <t>Full-text review</t>
        </is>
      </c>
      <c r="G183" s="4" t="n"/>
      <c r="H183" s="4" t="n"/>
      <c r="I183" s="4" t="n"/>
      <c r="J183" s="4" t="inlineStr">
        <is>
          <t>Texto completo confirma estudio primario con Hybrid aplicado a ASD (Trustworthiness and label-leakage audit).</t>
        </is>
      </c>
      <c r="K183" s="4" t="n"/>
      <c r="L183" s="4" t="n"/>
      <c r="M183" s="4" t="n">
        <v>2026</v>
      </c>
      <c r="N183" s="4" t="inlineStr">
        <is>
          <t>Label leakage unmasked: a trustworthy-AI audit of autism screening models using the CLEAR-RD framework.</t>
        </is>
      </c>
      <c r="O183" s="4" t="inlineStr">
        <is>
          <t>Boulbaba Ben Ammar and Walid Karamti</t>
        </is>
      </c>
      <c r="P183" s="4" t="inlineStr">
        <is>
          <t>10.3389/fpubh.2026.1881829</t>
        </is>
      </c>
      <c r="Q183" s="4" t="inlineStr">
        <is>
          <t>Frontiers in public health</t>
        </is>
      </c>
      <c r="R183" s="4" t="inlineStr">
        <is>
          <t>article</t>
        </is>
      </c>
      <c r="S183" s="4" t="inlineStr">
        <is>
          <t>Frontiers Media SA</t>
        </is>
      </c>
      <c r="T183" s="4" t="inlineStr">
        <is>
          <t>https://www.frontiersin.org/journals/public-health/articles/10.3389/fpubh.2026.1881829/pdf</t>
        </is>
      </c>
      <c r="U183" s="4" t="inlineStr">
        <is>
          <t>Texto completo abierto revisado; evidencia y codificación en Extraccion_RQ_nuevos.</t>
        </is>
      </c>
      <c r="V183" s="4" t="inlineStr">
        <is>
          <t>Trustworthy pediatric screening AI needs more than accuracy: label validity, calibration, subgroup robustness, and clinical-scope limits. We propose Clear-Rd (Clinical Leakage Evaluation and Audit Routine for Rule-Derived labels), a five-stage framework-Configure, Lift, Evaluate, Audit, Report-and apply it to two public autism-screening datasets-Q-CHAT-10 toddler (N = 1054) and AQ-10 child/adolescent/adult (N = 6075)-merged into a unified cohort (N = 7129); prior studies report accuracies above 95%. Three configurations-S 1 (full, with score), S 2 (items, no score), and S 3 (demographics only)-separate label leakage from demographic signal. A leakage audit confirms the Q-CHAT-10 label is exactly determined by score&gt;3, the AQ-10 label approximately by score≥6. Sixteen models from three families (classical, deep-tabular, and prompt-structure simulators) are evaluated under 5-fold stratified cross-validation. On the leakage-free S 3, Gradient Boosting attains ROC-AUC 0.766 ± 0.005 and all families converge within 0.04 ROC-AUC, indicating the binding constraint is the feature set, not model capacity. Calibration, subgroup-parity, and cost-sensitive analyses complete the audit. The results expose a gap between reported and clinically interpretable performance; Clear-Rd is a reusable template for rule-derived medical labels. No such model should be interpreted as predicting clinical autism diagnosis without external validation against gold-standard outcomes.</t>
        </is>
      </c>
      <c r="W183" s="4" t="inlineStr">
        <is>
          <t>open_full_text_review_2026_09_04</t>
        </is>
      </c>
      <c r="X183" s="4" t="inlineStr">
        <is>
          <t>doi:10.3389/fpubh.2026.1881829</t>
        </is>
      </c>
      <c r="Y183" s="4" t="n"/>
      <c r="Z183" s="4" t="n"/>
      <c r="AA183" s="4" t="n"/>
      <c r="AB183" s="40" t="n"/>
    </row>
    <row r="184" ht="409" customHeight="1">
      <c r="A184" s="4" t="n">
        <v>183</v>
      </c>
      <c r="B184" s="4" t="inlineStr">
        <is>
          <t>include_after_title_abstract_screen</t>
        </is>
      </c>
      <c r="C184" s="4" t="inlineStr">
        <is>
          <t>Incluir provisionalmente</t>
        </is>
      </c>
      <c r="D184" s="4" t="inlineStr">
        <is>
          <t>Provisional include</t>
        </is>
      </c>
      <c r="E184" s="4" t="inlineStr">
        <is>
          <t>Sí</t>
        </is>
      </c>
      <c r="F184" s="4" t="inlineStr">
        <is>
          <t>Title/abstract screening</t>
        </is>
      </c>
      <c r="G184" s="4" t="n"/>
      <c r="H184" s="4" t="n"/>
      <c r="I184" s="4" t="n"/>
      <c r="J184" s="4" t="inlineStr">
        <is>
          <t>Estudio primario o implementación/evaluación empírica de IA, aprendizaje automático o modelado computacional aplicado a ASD, riesgo, caracterización, apoyo o intervención.</t>
        </is>
      </c>
      <c r="K184" s="4" t="n"/>
      <c r="L184" s="4" t="n"/>
      <c r="M184" s="4" t="n">
        <v>2025</v>
      </c>
      <c r="N184" s="4" t="inlineStr">
        <is>
          <t>Adaptive Multi-Scale Dynamic Graph Representation Learning With Overlapping Community-Awareness for ASD Classification</t>
        </is>
      </c>
      <c r="O184" s="4" t="inlineStr">
        <is>
          <t>Wenwen Zeng and Feiyu Yin and Pengfei Song and Yonghuang Wu and Chengqian Zhao and Guoqing Wu and Jinhua Yu</t>
        </is>
      </c>
      <c r="P184" s="4" t="inlineStr">
        <is>
          <t>10.1109/JBHI.2025.3622540</t>
        </is>
      </c>
      <c r="Q184" s="4" t="inlineStr">
        <is>
          <t>IEEE Journal of Biomedical and Health Informatics</t>
        </is>
      </c>
      <c r="R184" s="4" t="inlineStr">
        <is>
          <t>article</t>
        </is>
      </c>
      <c r="S184" s="4" t="inlineStr">
        <is>
          <t>Institute of Electrical and Electronics Engineers Inc.</t>
        </is>
      </c>
      <c r="T184" s="4" t="inlineStr">
        <is>
          <t>https://doi.org/10.1109/JBHI.2025.3622540</t>
        </is>
      </c>
      <c r="U184" s="4" t="n"/>
      <c r="V184" s="4" t="inlineStr">
        <is>
          <t>In recent years, dynamic functional connectivity (dFC) has been widely employed for brain disease diagnosis. By leveraging the inherent topological characteristics of the brain, graph neural networks (GNNs) have emerged as prominent deep learning methods for utilizing dFC in this context. However, existing research has some limitations. Temporally, the conventional fixed-length sliding window approach often fails to capture the multi-scale temporal characteristics inherent in brain activity. Spatially, GNN-derived graph representations usually overlook the multi-network participation of brain regions. To address these limitations, we propose Ada-MST, an adaptive multi-scale spatio-temporal model utilizing multi-scale dFC for brain disease diagnosis. Our framework constructs personalized multi-scale dFC graphs that adapt to subject-specific temporal characteristics. Moreover, we introduce a novel overlapping community-aware readout module that incorporates the participation of brain regions in multiple functional networks, leading to more accurate graph-level representations. Experiments on ABIDE-I and ABIDE-II datasets demonstrate that our method outperforms state-of-the-art approaches. Visualization analysis further confirms the generalizability of the subject-adaptive graphs and their focus on disease-related brain activity. Furthermore, the fuzzy memberships revealed by our readout module indicate distinct patterns across diseases, suggesting the promise of considering functional community membership changes for exploring disease biomarkers.</t>
        </is>
      </c>
      <c r="W184" s="4" t="inlineStr">
        <is>
          <t>title_abstract_plus_targeted_primary_source_verification</t>
        </is>
      </c>
      <c r="X184" s="4" t="inlineStr">
        <is>
          <t>doi:10.1109/jbhi.2025.3622540</t>
        </is>
      </c>
      <c r="Y184" s="4" t="n"/>
      <c r="Z184" s="4" t="n"/>
      <c r="AA184" s="4" t="n"/>
      <c r="AB184" s="40" t="n"/>
    </row>
    <row r="185" ht="409" customHeight="1">
      <c r="A185" s="4" t="n">
        <v>184</v>
      </c>
      <c r="B185" s="4" t="inlineStr">
        <is>
          <t>exclude_integrity_notice_or_retracted</t>
        </is>
      </c>
      <c r="C185" s="4" t="inlineStr">
        <is>
          <t>Excluir por integridad/tipo de registro</t>
        </is>
      </c>
      <c r="D185" s="4" t="inlineStr">
        <is>
          <t>Excluded</t>
        </is>
      </c>
      <c r="E185" s="4" t="inlineStr">
        <is>
          <t>No</t>
        </is>
      </c>
      <c r="F185" s="4" t="inlineStr">
        <is>
          <t>Title/abstract screening and source verification</t>
        </is>
      </c>
      <c r="G185" s="4" t="n"/>
      <c r="H185" s="4" t="n"/>
      <c r="I185" s="4" t="inlineStr">
        <is>
          <t>Expression of Concern notice</t>
        </is>
      </c>
      <c r="J185" s="4" t="inlineStr">
        <is>
          <t>Aviso editorial, corrección, retirada, retractación o artículo retractado; no constituye un estudio nuevo incorporable.</t>
        </is>
      </c>
      <c r="K185" s="4" t="n"/>
      <c r="L185" s="4" t="n"/>
      <c r="M185" s="4" t="n">
        <v>2026</v>
      </c>
      <c r="N185" s="4" t="inlineStr">
        <is>
          <t>Expression of Concern on "A deep learning algorithm-based visual strategy intervention study for children with autism spectrum disorders - extraction and detection of children's behavioral features".</t>
        </is>
      </c>
      <c r="O185" s="4" t="inlineStr">
        <is>
          <t>No Authors listed</t>
        </is>
      </c>
      <c r="P185" s="4" t="inlineStr">
        <is>
          <t>10.26355/eurrev_202603_37714</t>
        </is>
      </c>
      <c r="Q185" s="4" t="inlineStr">
        <is>
          <t>European review for medical and pharmacological sciences</t>
        </is>
      </c>
      <c r="R185" s="4" t="inlineStr">
        <is>
          <t>article</t>
        </is>
      </c>
      <c r="S185" s="4" t="n"/>
      <c r="T185" s="4" t="inlineStr">
        <is>
          <t>http://www.ncbi.nlm.nih.gov/pubmed/41925352</t>
        </is>
      </c>
      <c r="U185" s="4" t="n"/>
      <c r="V185" s="4" t="inlineStr">
        <is>
          <t>The Editor in Chief and the Publisher are issuing an expression of concern regarding the following article: Lin Y. A deep learning algorithm-based visual strategy intervention study for children with autism spectrum disorders - extraction and detection of children's behavioral features. Eur Rev Med Pharmacol Sci 2023; 27 (11): 4914-4928-DOI: 10.26355/eurrev_202306_32608-PMID: 37318465. Following third-party notification raising concerns about the relevance of some references cited in the manuscript, the journal initiated an editorial review of the article. This review identified that several references appear unrelated to the context in which they are cited. The authors were contacted on multiple occasions and invited to provide clarification; however, no response has been received to date. In accordance with the journal's editorial policies and the Committee on Publication Ethics (COPE) guidelines, the Editors are issuing this Expression of Concern to alert readers while the matter remains unresolved. The journal will update the record if further information becomes available. The Publisher apologizes for any inconvenience this may cause.</t>
        </is>
      </c>
      <c r="W185" s="4" t="inlineStr">
        <is>
          <t>title_abstract_plus_targeted_primary_source_verification</t>
        </is>
      </c>
      <c r="X185" s="4" t="inlineStr">
        <is>
          <t>doi:10.26355/eurrev_202603_37714</t>
        </is>
      </c>
      <c r="Y185" s="4" t="n"/>
      <c r="Z185" s="4" t="n"/>
      <c r="AA185" s="4" t="n"/>
      <c r="AB185" s="40" t="n"/>
    </row>
    <row r="186" ht="409" customHeight="1">
      <c r="A186" s="4" t="n">
        <v>185</v>
      </c>
      <c r="B186" s="4" t="inlineStr">
        <is>
          <t>include_after_full_text_open_access</t>
        </is>
      </c>
      <c r="C186" s="4" t="inlineStr">
        <is>
          <t>Incluir tras revisión de texto completo abierto</t>
        </is>
      </c>
      <c r="D186" s="4" t="inlineStr">
        <is>
          <t>Provisional include</t>
        </is>
      </c>
      <c r="E186" s="4" t="inlineStr">
        <is>
          <t>Sí</t>
        </is>
      </c>
      <c r="F186" s="4" t="inlineStr">
        <is>
          <t>Full-text review</t>
        </is>
      </c>
      <c r="G186" s="4" t="n"/>
      <c r="H186" s="4" t="n"/>
      <c r="I186" s="4" t="n"/>
      <c r="J186" s="4" t="inlineStr">
        <is>
          <t>Texto completo confirma estudio primario con Machine Learning aplicado a ASD (Classification (autistic vs neurotypical)).</t>
        </is>
      </c>
      <c r="K186" s="4" t="n"/>
      <c r="L186" s="4" t="n"/>
      <c r="M186" s="4" t="n">
        <v>2026</v>
      </c>
      <c r="N186" s="4" t="inlineStr">
        <is>
          <t>Early multimodal behavioral cues in autism: a micro-analytical exploration of actions, gestures and speech during naturalistic parent-child interactions</t>
        </is>
      </c>
      <c r="O186" s="4" t="inlineStr">
        <is>
          <t>M Mastrogiuseppe and F I Famà and R Bruschetta and E Leonardi and A Campisi and S Aiello and C Carrozza and A Ruggeri and S Baieli and S Campisi and L Turriziani and G Di Rosa and M V Lombardo and G Tartarisco and O Capirci and G Pioggia and L Ruta</t>
        </is>
      </c>
      <c r="P186" s="4" t="inlineStr">
        <is>
          <t>10.1016/j.ijchp.2026.100664</t>
        </is>
      </c>
      <c r="Q186" s="4" t="inlineStr">
        <is>
          <t>International Journal of Clinical and Health Psychology</t>
        </is>
      </c>
      <c r="R186" s="4" t="inlineStr">
        <is>
          <t>article</t>
        </is>
      </c>
      <c r="S186" s="4" t="inlineStr">
        <is>
          <t>Elsevier B.V.</t>
        </is>
      </c>
      <c r="T186" s="4" t="inlineStr">
        <is>
          <t>https://doi.org/10.1016/j.ijchp.2026.100664</t>
        </is>
      </c>
      <c r="U186" s="4" t="inlineStr">
        <is>
          <t>Texto completo abierto revisado; evidencia y codificación en Extraccion_RQ_nuevos.</t>
        </is>
      </c>
      <c r="V186" s="4" t="inlineStr">
        <is>
          <t>Early signs of autism often emerge through distinct developmental pathways, particularly in communication, social interaction, and play. While naturalistic parent-child interactions during free play are ideal for observing spontaneous social behaviors, few autism studies have adopted this ecological and developmental approach. To address this gap, we used a fine-grained microanalytic method to examine motor, gestural, and vocal behaviors in young children, integrating machine learning to explore how combinations of these traits distinguish early autistic neurodivergence. We analyzed video recordings of 58 autistic and non-autistic children (aged 13–40 months) engaged in naturalistic parent-child play. A frame-by-frame micro-coding scheme was applied to capture actions, gestures, speech, and their multimodal integration. Clear differences emerged between neurotypical (NT) and autistic (ASC) children. NT children displayed more gestures, particularly deictic and conventional-interactive, greater gesture–gaze coordination, more functional object play, and more frequent multi-word utterances. In contrast, ASC children showed fewer deictic and conventional-interactive gestures and greater use of instrumental gestures, reduced gesture–gaze coordination, a higher reliance on vocalizations rather than words, and increased object manipulation compared to functional play. Feature selection using ANOVA F-tests identified a core set of key predictors most frequently and independently selected across folds of cross-validation: Alternate Gaze, Reaching, and Instrumental Gesture. Higher values of Alternate Gaze were associated with NT classification, while elevated frequencies of Reaching and Instrumental Gestures were linked to ASC classification. A logistic regression classifier trained on these features achieved over 85% accuracy in distinguishing the two groups. These findings underscore the value of an ecologically valid, and developmentally informed approach to identifying early behavioral markers of autism, supporting earlier recognition and the design of more personalized, strengths-based interventions.</t>
        </is>
      </c>
      <c r="W186" s="4" t="inlineStr">
        <is>
          <t>open_full_text_review_2026_09_04</t>
        </is>
      </c>
      <c r="X186" s="4" t="inlineStr">
        <is>
          <t>doi:10.1016/j.ijchp.2026.100664</t>
        </is>
      </c>
      <c r="Y186" s="4" t="n"/>
      <c r="Z186" s="4" t="n"/>
      <c r="AA186" s="4" t="n"/>
      <c r="AB186" s="40" t="n"/>
    </row>
    <row r="187" ht="409" customHeight="1">
      <c r="A187" s="4" t="n">
        <v>186</v>
      </c>
      <c r="B187" s="4" t="inlineStr">
        <is>
          <t>include_after_full_text_open_access</t>
        </is>
      </c>
      <c r="C187" s="4" t="inlineStr">
        <is>
          <t>Incluir tras revisión de texto completo abierto</t>
        </is>
      </c>
      <c r="D187" s="4" t="inlineStr">
        <is>
          <t>Provisional include</t>
        </is>
      </c>
      <c r="E187" s="4" t="inlineStr">
        <is>
          <t>Sí</t>
        </is>
      </c>
      <c r="F187" s="4" t="inlineStr">
        <is>
          <t>Full-text review</t>
        </is>
      </c>
      <c r="G187" s="4" t="n"/>
      <c r="H187" s="4" t="n"/>
      <c r="I187" s="4" t="n"/>
      <c r="J187" s="4" t="inlineStr">
        <is>
          <t>Texto completo confirma estudio primario con Machine Learning aplicado a ASD (Extraction and service-use prediction).</t>
        </is>
      </c>
      <c r="K187" s="4" t="n"/>
      <c r="L187" s="4" t="n"/>
      <c r="M187" s="4" t="n">
        <v>2026</v>
      </c>
      <c r="N187" s="4" t="inlineStr">
        <is>
          <t>Mood instability and mental health service use in autism and attention-deficit/hyperactivity disorder: a natural language processing analysis of CRIS electronic healthcare records from 21 906 children and adolescents.</t>
        </is>
      </c>
      <c r="O187" s="4" t="inlineStr">
        <is>
          <t>Asilay Seker and Seungyoung Kim and Susie Chandler and Craig Colling and Rashmi Patel and Edmund Sonuga-Barke and Johnny Downs</t>
        </is>
      </c>
      <c r="P187" s="4" t="inlineStr">
        <is>
          <t>10.1136/bmjment-2026-302488</t>
        </is>
      </c>
      <c r="Q187" s="4" t="inlineStr">
        <is>
          <t>BMJ mental health</t>
        </is>
      </c>
      <c r="R187" s="4" t="inlineStr">
        <is>
          <t>article</t>
        </is>
      </c>
      <c r="S187" s="4" t="inlineStr">
        <is>
          <t>BMJ</t>
        </is>
      </c>
      <c r="T187" s="4" t="inlineStr">
        <is>
          <t>https://mentalhealth.bmj.com/content/29/1/e302488.full.pdf</t>
        </is>
      </c>
      <c r="U187" s="4" t="inlineStr">
        <is>
          <t>Texto completo abierto revisado; evidencia y codificación en Extraccion_RQ_nuevos.</t>
        </is>
      </c>
      <c r="V187" s="4" t="inlineStr">
        <is>
          <t>BACKGROUND Children and young people (CYP) with neurodevelopmental diagnoses such as autism spectrum disorder (ASD) and attention-deficit/hyperactivity disorder (ADHD) have high child and adolescent mental health service (CAMHS) needs. Mood instability is a common and impairing emotion dysregulation-related symptom linked to increased adult psychiatric service use; however, its role in CAMHS trajectories remains unclear. We aimed to examine whether baseline mood instability was significantly associated with time to discharge and annual CAMHS use in CYP with ASD and/or ADHD. METHODS We applied natural language processing (NLP) to extract mentions of mood instability within 3 months of ASD or ADHD index diagnosis from electronic health records of 21 906 CYP referred to CAMHS between 2008 and 2022. We used accelerated failure time models and negative binomial regression to assess associations between baseline mood instability and time to discharge and annual CAMHS use, adjusting for clinical and sociodemographic confounders. FINDINGS Mood instability was associated with increased annual CAMHS use across ASD (adjusted incidence rate ratio (aIRR) 1.24, 95% CI 1.08 to 1.42), ADHD (aIRR 1.47, 95% CI 1.30 to 1.67) and ASD+ADHD (aIRR 1.27, 95% CI 1.12 to 1.44) groups. While mood instability had no significant effect on discharge timelines in autistic children with or without ADHD, it was linked to reduced time to discharge in the ADHD group (aTR 0.76, 95% CI 0.69 to 0.84). Associations were most pronounced in those not receiving ADHD medication in the ADHD group (aIRR 1.67, 95% CI 1.47 to 1.89; aTR 0.70, 95% CI 0.61 to 0.79). CONCLUSIONS Mood instability was significantly associated with elevated CAMHS use in CYP with neurodevelopmental conditions, with differential effect across diagnostic groups. This may reflect both variations in clinical expression of mood instability and configuration of neurodevelopmental CAMHS provision. CLINICALIMPLICATIONS These findings suggest the importance of assessing emotion dysregulation in care planning and pathway allocation in neurodevelopmental CAMHS. NLP offers a time- and cost-efficient approach to surface and structure clinical data from electronic CAMHS records for scalable clinical research on complex constructs such as mood instability.</t>
        </is>
      </c>
      <c r="W187" s="4" t="inlineStr">
        <is>
          <t>open_full_text_review_2026_09_04</t>
        </is>
      </c>
      <c r="X187" s="4" t="inlineStr">
        <is>
          <t>doi:10.1136/bmjment-2026-302488</t>
        </is>
      </c>
      <c r="Y187" s="4" t="n"/>
      <c r="Z187" s="4" t="n"/>
      <c r="AA187" s="4" t="n"/>
      <c r="AB187" s="40" t="n"/>
    </row>
    <row r="188" ht="125" customHeight="1">
      <c r="A188" s="4" t="n">
        <v>187</v>
      </c>
      <c r="B188" s="4" t="inlineStr">
        <is>
          <t>include_after_title_abstract_screen</t>
        </is>
      </c>
      <c r="C188" s="4" t="inlineStr">
        <is>
          <t>Incluir provisionalmente</t>
        </is>
      </c>
      <c r="D188" s="4" t="inlineStr">
        <is>
          <t>Provisional include</t>
        </is>
      </c>
      <c r="E188" s="4" t="inlineStr">
        <is>
          <t>Sí</t>
        </is>
      </c>
      <c r="F188" s="4" t="inlineStr">
        <is>
          <t>Title/abstract screening</t>
        </is>
      </c>
      <c r="G188" s="4" t="n"/>
      <c r="H188" s="4" t="n"/>
      <c r="I188" s="4" t="n"/>
      <c r="J188" s="4" t="inlineStr">
        <is>
          <t>Estudio primario o implementación/evaluación empírica de IA, aprendizaje automático o modelado computacional aplicado a ASD, riesgo, caracterización, apoyo o intervención.</t>
        </is>
      </c>
      <c r="K188" s="4" t="n"/>
      <c r="L188" s="4" t="n"/>
      <c r="M188" s="4" t="n">
        <v>2026</v>
      </c>
      <c r="N188" s="4" t="inlineStr">
        <is>
          <t>Early Identification of Autism Spectrum Disorder using a Hybrid ViT–Mamba Multimodal Architecture</t>
        </is>
      </c>
      <c r="O188" s="4" t="inlineStr">
        <is>
          <t>Yeddula Vamsi Krishna and Akshat Agarwal and Karthik S A</t>
        </is>
      </c>
      <c r="P188" s="4" t="inlineStr">
        <is>
          <t>10.1016/j.procs.2026.06.363</t>
        </is>
      </c>
      <c r="Q188" s="4" t="inlineStr">
        <is>
          <t>Procedia Computer Science</t>
        </is>
      </c>
      <c r="R188" s="4" t="inlineStr">
        <is>
          <t>article</t>
        </is>
      </c>
      <c r="S188" s="4" t="n"/>
      <c r="T188" s="4" t="inlineStr">
        <is>
          <t>https://www.sciencedirect.com/science/article/pii/S1877050926019952</t>
        </is>
      </c>
      <c r="U188" s="4" t="n"/>
      <c r="V188" s="4" t="n"/>
      <c r="W188" s="4" t="inlineStr">
        <is>
          <t>title_abstract_plus_targeted_primary_source_verification</t>
        </is>
      </c>
      <c r="X188" s="4" t="inlineStr">
        <is>
          <t>doi:10.1016/j.procs.2026.06.363</t>
        </is>
      </c>
      <c r="Y188" s="4" t="n"/>
      <c r="Z188" s="4" t="n"/>
      <c r="AA188" s="4" t="n"/>
      <c r="AB188" s="40" t="n"/>
    </row>
    <row r="189" ht="409" customHeight="1">
      <c r="A189" s="4" t="n">
        <v>188</v>
      </c>
      <c r="B189" s="4" t="inlineStr">
        <is>
          <t>include_after_title_abstract_screen</t>
        </is>
      </c>
      <c r="C189" s="4" t="inlineStr">
        <is>
          <t>Incluir provisionalmente</t>
        </is>
      </c>
      <c r="D189" s="4" t="inlineStr">
        <is>
          <t>Provisional include</t>
        </is>
      </c>
      <c r="E189" s="4" t="inlineStr">
        <is>
          <t>Sí</t>
        </is>
      </c>
      <c r="F189" s="4" t="inlineStr">
        <is>
          <t>Title/abstract screening; full-text review pending</t>
        </is>
      </c>
      <c r="G189" s="4" t="n"/>
      <c r="H189" s="4" t="n"/>
      <c r="I189" s="4" t="n"/>
      <c r="J189" s="4" t="inlineStr">
        <is>
          <t>El resumen confirma modelado predictivo, importancia normalizada, SHAP y un umbral derivado del modelo para respuesta a tDCS en ASD.</t>
        </is>
      </c>
      <c r="K189" s="4" t="n"/>
      <c r="L189" s="4" t="n"/>
      <c r="M189" s="4" t="n">
        <v>2026</v>
      </c>
      <c r="N189" s="4" t="inlineStr">
        <is>
          <t>Baseline symptom severity and response to multisession cathodal transcranial direct current stimulation in adolescents and young adults with autism: an exploratory analysis</t>
        </is>
      </c>
      <c r="O189" s="4" t="inlineStr">
        <is>
          <t>Melody M Y Chan and Ka Lai Wong and Caroline K S Shea and Divya Saxena and Mei chun Cheung and Agnes S Chan and Yvonne M Y Han</t>
        </is>
      </c>
      <c r="P189" s="4" t="inlineStr">
        <is>
          <t>10.1016/j.jpsychires.2026.03.043</t>
        </is>
      </c>
      <c r="Q189" s="4" t="inlineStr">
        <is>
          <t>Journal of Psychiatric Research</t>
        </is>
      </c>
      <c r="R189" s="4" t="inlineStr">
        <is>
          <t>article</t>
        </is>
      </c>
      <c r="S189" s="4" t="inlineStr">
        <is>
          <t>Elsevier Ltd</t>
        </is>
      </c>
      <c r="T189" s="4" t="inlineStr">
        <is>
          <t>https://doi.org/10.1016/j.jpsychires.2026.03.043</t>
        </is>
      </c>
      <c r="U189" s="4" t="inlineStr">
        <is>
          <t>Falso negativo corregido; la inclusión final sigue pendiente de texto completo evaluable.</t>
        </is>
      </c>
      <c r="V189" s="4" t="inlineStr">
        <is>
          <t>AbstractBackgroundIdentifying baseline clinical characteristics associated with treatment response is crucial for optimising intervention strategies in people with autism spectrum disorder (ASD). This study aimed to distinguish responders from non-responders to a multisession prefrontal transcranial direct current stimulation (tDCS) protocol and to explore how baseline individual characteristics relate to treatment outcomes.MethodsUsing complementary inferential statistics and predictive modelling approaches, we analysed baseline clinical characteristics of adolescents and young adults with ASD who underwent cathodal tDCS (1.5 mA) over the left dorsolateral prefrontal cortex, coupled with cognitive remediation training. Baseline symptom severity was assessed using the Autism Diagnostic Interview-Revised (ADI-R). Normalised feature importance and Shapley additive explanations (SHAP) were used to identify features associated with restricted and repetitive behaviour (RRB) reduction, and a model-derived classification threshold was estimated to stratify potential responders and non-responders within this protocol.ResultsInferential statistics revealed that responders had significantly lower social interaction symptom severity than non-responders (p &lt; .001; Cohen's d = 0.41). Predictive modelling further indicated that lower baseline verbal communication severity was associated with greater RRB reduction (averaged SHAP value across models = −0.017). A model-derived classification threshold of 19.6 on the ADI-R verbal communication sub-score was identified to differentiate responders and non-responders within this protocol.ConclusionLower baseline verbal communication severity is associated with greater behavioural improvement following this multisession prefrontal tDCS protocol. These findings should be interpreted as exploratory and hypothesis-generating. Replication in larger, independent cohorts is required to assess the robustness and generalisability of these findings.Trial registrationClinicalTrials.gov (ID: NCT05035511).</t>
        </is>
      </c>
      <c r="W189" s="4" t="inlineStr">
        <is>
          <t>title_abstract_plus_targeted_primary_source_verification</t>
        </is>
      </c>
      <c r="X189" s="4" t="inlineStr">
        <is>
          <t>doi:10.1016/j.jpsychires.2026.03.043</t>
        </is>
      </c>
      <c r="Y189" s="4" t="n"/>
      <c r="Z189" s="4" t="n"/>
      <c r="AA189" s="4" t="n"/>
      <c r="AB189" s="40" t="n"/>
    </row>
    <row r="190" ht="409" customHeight="1">
      <c r="A190" s="4" t="n">
        <v>189</v>
      </c>
      <c r="B190" s="4" t="inlineStr">
        <is>
          <t>exclude_no_qualifying_ai_application</t>
        </is>
      </c>
      <c r="C190" s="4" t="inlineStr">
        <is>
          <t>Excluir: sin aplicación de IA elegible</t>
        </is>
      </c>
      <c r="D190" s="4" t="inlineStr">
        <is>
          <t>Excluded</t>
        </is>
      </c>
      <c r="E190" s="4" t="inlineStr">
        <is>
          <t>No</t>
        </is>
      </c>
      <c r="F190" s="4" t="inlineStr">
        <is>
          <t>Title/abstract screening</t>
        </is>
      </c>
      <c r="G190" s="4" t="n"/>
      <c r="H190" s="4" t="n"/>
      <c r="I190" s="4" t="n"/>
      <c r="J190" s="4" t="inlineStr">
        <is>
          <t>El trabajo no implementa ni evalúa una técnica de IA/ML como componente sustantivo del estudio de ASD.</t>
        </is>
      </c>
      <c r="K190" s="4" t="n"/>
      <c r="L190" s="4" t="n"/>
      <c r="M190" s="4" t="n">
        <v>2026</v>
      </c>
      <c r="N190" s="4" t="inlineStr">
        <is>
          <t>Are Lemons Fast for People With Autism? Semantic and Perceptual Crossmodal Correspondences in Autism Beyond the Kiki–Bouba Effect</t>
        </is>
      </c>
      <c r="O190" s="4" t="inlineStr">
        <is>
          <t>Magdalena Ewa Król and Agata Tokarek and Michał Krzysztof Król</t>
        </is>
      </c>
      <c r="P190" s="4" t="inlineStr">
        <is>
          <t>10.1177/13623613261441750</t>
        </is>
      </c>
      <c r="Q190" s="4" t="inlineStr">
        <is>
          <t>Autism</t>
        </is>
      </c>
      <c r="R190" s="4" t="inlineStr">
        <is>
          <t>article</t>
        </is>
      </c>
      <c r="S190" s="4" t="inlineStr">
        <is>
          <t>SAGE Publications Ltd</t>
        </is>
      </c>
      <c r="T190" s="4" t="inlineStr">
        <is>
          <t>https://doi.org/10.1177/13623613261441750</t>
        </is>
      </c>
      <c r="U190" s="4" t="n"/>
      <c r="V190" s="4" t="inlineStr">
        <is>
          <t>Attenuated sound–shape matching in the classic Kiki–Bouba effect in autism has already been replicated in several studies, but it remains unclear whether this attenuation is confined to low-level multisensory integration or whether it reflects a broader reduction in crossmodal priors. In this pre-registered study, we tested 68 intelligence quotient (IQ)-matched participants (31 autistic, 37 typically developing) on four established crossmodal correspondence tasks that span perceptual to conceptual mappings: (1) “Fast lemons” (object–adjective), (2) sound–size pairings with Greebles, (3) kiki–bouba variants, and (4) color–taste matches. A generalized linear mixed-effects model showed a significant main effect of autism, indicating fewer theoretically congruent choices across all tasks. Target consistency increased with age, performance intelligence quotient (PIQ) and with an artificial intelligence (AI)-derived item-difficulty index. Random slopes revealed no task-by-diagnosis interaction, suggesting that diminished correspondence strength in autism generalizes across sensory and semantic domains. These results cautiously point to domain-general accounts, such as predictive-coding “hypo-priors,” over multisensory-specific explanations, and highlight crossmodal correspondences as an intriguing window into information processing in autism. Lay People often make associations between information that comes from different senses – things they see, hear, and feel. For example, one of the classic findings in psychology is that most people think the made-up word “kiki” fits a spiky shape, while “bouba” matches a round one. Previous research has shown that people with autism may be less likely to make these typical associations. However, it’s not clear whether this difference is specific to that one example (sound and shape associations) or part of a wider difference in how people with autism link information from different senses. In this study, we tested 68 teenagers and adults (31 autistic and 37 non-autistic), all with similar intelligence quotient (IQ) levels, on four different tasks that involved matching images with other types of information. These included deciding whether a lemon is more “fast” or “slow”, which made-up name fits a creature of a certain size, what taste fits a color, and which name fits a shape. There were no right or wrong answers, but some choices matched what most people typically select. We found that autistic participants across different tasks were less likely than non-autistic participants to choose the most common or expected pairings. These findings suggest that autistic people may form different types of sensory connections, not just in sound–shape tasks but across a broader range of sensory and conceptual experiences. What does this tell us about autistic minds? While more research is needed to know for sure, our findings are consistent with a theory that autistic people may rely less on previous experiences when processing new information. This theory is known as the “hypo-priors” account, which suggests that autistic perception is less shaped by learned expectations and more by the raw details of what’s currently being sensed.</t>
        </is>
      </c>
      <c r="W190" s="4" t="inlineStr">
        <is>
          <t>title_abstract_plus_targeted_primary_source_verification</t>
        </is>
      </c>
      <c r="X190" s="4" t="inlineStr">
        <is>
          <t>doi:10.1177/13623613261441750</t>
        </is>
      </c>
      <c r="Y190" s="4" t="n"/>
      <c r="Z190" s="4" t="n"/>
      <c r="AA190" s="4" t="n"/>
      <c r="AB190" s="40" t="n"/>
    </row>
    <row r="191" ht="409" customHeight="1">
      <c r="A191" s="4" t="n">
        <v>190</v>
      </c>
      <c r="B191" s="4" t="inlineStr">
        <is>
          <t>include_after_title_abstract_screen</t>
        </is>
      </c>
      <c r="C191" s="4" t="inlineStr">
        <is>
          <t>Incluir provisionalmente</t>
        </is>
      </c>
      <c r="D191" s="4" t="inlineStr">
        <is>
          <t>Provisional include</t>
        </is>
      </c>
      <c r="E191" s="4" t="inlineStr">
        <is>
          <t>Sí</t>
        </is>
      </c>
      <c r="F191" s="4" t="inlineStr">
        <is>
          <t>Title/abstract screening</t>
        </is>
      </c>
      <c r="G191" s="4" t="n"/>
      <c r="H191" s="4" t="n"/>
      <c r="I191" s="4" t="n"/>
      <c r="J191" s="4" t="inlineStr">
        <is>
          <t>Estudio primario o implementación/evaluación empírica de IA, aprendizaje automático o modelado computacional aplicado a ASD, riesgo, caracterización, apoyo o intervención.</t>
        </is>
      </c>
      <c r="K191" s="4" t="n"/>
      <c r="L191" s="4" t="n"/>
      <c r="M191" s="4" t="n">
        <v>2026</v>
      </c>
      <c r="N191" s="4" t="inlineStr">
        <is>
          <t>DenWide-Net: Dense WideresNet for autism spectrum disorder detection using MRI image</t>
        </is>
      </c>
      <c r="O191" s="4" t="inlineStr">
        <is>
          <t>A Arunkumar and S Sudhakar Ilango</t>
        </is>
      </c>
      <c r="P191" s="4" t="inlineStr">
        <is>
          <t>10.1016/j.bspc.2025.108976</t>
        </is>
      </c>
      <c r="Q191" s="4" t="inlineStr">
        <is>
          <t>Biomedical Signal Processing and Control</t>
        </is>
      </c>
      <c r="R191" s="4" t="inlineStr">
        <is>
          <t>article</t>
        </is>
      </c>
      <c r="S191" s="4" t="inlineStr">
        <is>
          <t>Elsevier Ltd</t>
        </is>
      </c>
      <c r="T191" s="4" t="inlineStr">
        <is>
          <t>https://www.sciencedirect.com/science/article/pii/S1746809425014879</t>
        </is>
      </c>
      <c r="U191" s="4" t="n"/>
      <c r="V191" s="4" t="inlineStr">
        <is>
          <t>Autism Spectrum Disorder (ASD) is a multifactorial neurological condition defined by cognitive impairments. The symptoms of ASD involve behavioral changes, indistinct speech, social impairment, and so on. As a result, detecting ASD at an early stage is essential to lessen the disorder's impact. Various ASD detection approaches have been devised over the past decades for detecting ASD from Magnetic Resonance Image (MRI). Meanwhile, these detection schemes measured low detection accuracies and attained low generalization ability in detecting ASD. A deep learning-based optimization model, Fractional Hiking Optimization Algorithm combined with Dense WideResNet (FHOA + DenWide-Net), is proposed in this article for detecting ASD from brain MRI images. Initially, the MRI images are denoised using the Wiener filter, followed by the extraction of the relevant regions from the denoised image through Region of Interest (ROI) extraction. The Fractional Hiking Optimization Algorithm (FHOA) is designed for the selection of optimal grid during nub region extraction from the extracted ROI image. Following this, the ASD is detected from the nub region using the designed DenWide-Net technique. In addition, DenWide-Net exceeds the performance of other baseline models, delivering a sensitivity of 91.385 %, specificity of 91.175 %, and accuracy of 91 %.</t>
        </is>
      </c>
      <c r="W191" s="4" t="inlineStr">
        <is>
          <t>title_abstract_plus_targeted_primary_source_verification</t>
        </is>
      </c>
      <c r="X191" s="4" t="inlineStr">
        <is>
          <t>doi:10.1016/j.bspc.2025.108976</t>
        </is>
      </c>
      <c r="Y191" s="4" t="n"/>
      <c r="Z191" s="4" t="n"/>
      <c r="AA191" s="4" t="n"/>
      <c r="AB191" s="40" t="n"/>
    </row>
    <row r="192" ht="409" customHeight="1">
      <c r="A192" s="4" t="n">
        <v>191</v>
      </c>
      <c r="B192" s="4" t="inlineStr">
        <is>
          <t>include_after_full_text_open_access</t>
        </is>
      </c>
      <c r="C192" s="4" t="inlineStr">
        <is>
          <t>Incluir tras revisión de texto completo abierto</t>
        </is>
      </c>
      <c r="D192" s="4" t="inlineStr">
        <is>
          <t>Provisional include</t>
        </is>
      </c>
      <c r="E192" s="4" t="inlineStr">
        <is>
          <t>Sí</t>
        </is>
      </c>
      <c r="F192" s="4" t="inlineStr">
        <is>
          <t>Full-text review</t>
        </is>
      </c>
      <c r="G192" s="4" t="n"/>
      <c r="H192" s="4" t="n"/>
      <c r="I192" s="4" t="n"/>
      <c r="J192" s="4" t="inlineStr">
        <is>
          <t>Texto completo confirma estudio primario con Deep Learning aplicado a ASD (Classification (ASD vs control)).</t>
        </is>
      </c>
      <c r="K192" s="4" t="n"/>
      <c r="L192" s="4" t="n"/>
      <c r="M192" s="4" t="n">
        <v>2026</v>
      </c>
      <c r="N192" s="4" t="inlineStr">
        <is>
          <t>A functional system-informed graph neural network framework to quantify interpretable brain dysfunction in ASD</t>
        </is>
      </c>
      <c r="O192" s="4" t="inlineStr">
        <is>
          <t>Yong Jiao and Xinxu Wei and Lifang He and Yu Zhang</t>
        </is>
      </c>
      <c r="P192" s="4" t="inlineStr">
        <is>
          <t>10.1016/j.neunet.2025.108295</t>
        </is>
      </c>
      <c r="Q192" s="4" t="inlineStr">
        <is>
          <t>Neural Networks</t>
        </is>
      </c>
      <c r="R192" s="4" t="inlineStr">
        <is>
          <t>article</t>
        </is>
      </c>
      <c r="S192" s="4" t="inlineStr">
        <is>
          <t>Elsevier Ltd</t>
        </is>
      </c>
      <c r="T192" s="4" t="inlineStr">
        <is>
          <t>https://pmc.ncbi.nlm.nih.gov/articles/PMC13179114/</t>
        </is>
      </c>
      <c r="U192" s="4" t="inlineStr">
        <is>
          <t>Texto completo abierto revisado; evidencia y codificación en Extraccion_RQ_nuevos.</t>
        </is>
      </c>
      <c r="V192" s="4" t="inlineStr">
        <is>
          <t>Autism Spectrum Disorder (ASD) is one of the most common neurodevelopmental disorders affecting patients from childhood to adulthood. Yet, its pathological mechanism has not been conclusively established, and its diagnosis mainly depends on subjective assessments of clinical or behavioral measures. In the human brain, connectivity is ubiquitous between brain regions that share functional properties, and groups of brain regions spontaneously assemble into large-scale systems as per their functions. In this study, we propose functional system-informed graph neural network (FS-GNN), a framework using functional magnetic resonance images (fMRI) to diagnose ASD and unveil new perceptions of ASD-related dysfunctions by fully leveraging the topological and functional information underlying the brain connectome. Specifically, we introduce a learnable positional encoding approach for brain regions of interest (ROIs) concerning their natural locations and functional interactions. The large-scale brain systems are integrated as prior knowledge into the graph representation learning to aid the model in identifying clusters of functionality. A graph readout with system-driven regularization is also developed to automatically weigh the ROIs in respect of their contribution to the classification. Experimental results on a multi-site database known as Autism Brain Imaging Data Exchange (ABIDE) validate the efficacy of FS-GNN by outperforming prevalent machine learning and GNN approaches, reaching 75.02 % accuracy, 73.22 % precision, and 71.64 % recall in ASD diagnosis. The brain dysfunctions detected by our model from both ROI and system levels achieve high agreement with previous fMRI-derived evidence of ASD biomarkers. The results demonstrate the strength of our proposed FS-GNN in discovering interpretable and trustworthy neural patterns for a more precise diagnosis of ASD.</t>
        </is>
      </c>
      <c r="W192" s="4" t="inlineStr">
        <is>
          <t>open_full_text_review_2026_09_04</t>
        </is>
      </c>
      <c r="X192" s="4" t="inlineStr">
        <is>
          <t>doi:10.1016/j.neunet.2025.108295</t>
        </is>
      </c>
      <c r="Y192" s="4" t="n"/>
      <c r="Z192" s="4" t="n"/>
      <c r="AA192" s="4" t="n"/>
      <c r="AB192" s="40" t="n"/>
    </row>
    <row r="193" ht="409" customHeight="1">
      <c r="A193" s="4" t="n">
        <v>192</v>
      </c>
      <c r="B193" s="4" t="inlineStr">
        <is>
          <t>exclude_secondary_or_nonempirical_publication</t>
        </is>
      </c>
      <c r="C193" s="4" t="inlineStr">
        <is>
          <t>Excluir: publicación secundaria/no empírica</t>
        </is>
      </c>
      <c r="D193" s="4" t="inlineStr">
        <is>
          <t>Excluded</t>
        </is>
      </c>
      <c r="E193" s="4" t="inlineStr">
        <is>
          <t>No</t>
        </is>
      </c>
      <c r="F193" s="4" t="inlineStr">
        <is>
          <t>Title/abstract screening</t>
        </is>
      </c>
      <c r="G193" s="4" t="n"/>
      <c r="H193" s="4" t="n"/>
      <c r="I193" s="4" t="n"/>
      <c r="J193" s="4" t="inlineStr">
        <is>
          <t>Revisión, metaanálisis, encuesta de literatura, protocolo, perspectiva, carta, editorial o capítulo de síntesis sin estudio primario elegible.</t>
        </is>
      </c>
      <c r="K193" s="4" t="n"/>
      <c r="L193" s="4" t="n"/>
      <c r="M193" s="4" t="n">
        <v>2026</v>
      </c>
      <c r="N193" s="4" t="inlineStr">
        <is>
          <t>Multi-modal data analysis for autism spectrum disorder in children: State of the art and trends</t>
        </is>
      </c>
      <c r="O193" s="4" t="inlineStr">
        <is>
          <t>Lukai Pang and Xiaoke Zhao and Lulu Zhao and Jianqing Li and Fengyi Kuo and Hongxing Wang and Chengyu Liu</t>
        </is>
      </c>
      <c r="P193" s="4" t="inlineStr">
        <is>
          <t>10.1016/j.engmed.2025.100117</t>
        </is>
      </c>
      <c r="Q193" s="4" t="inlineStr">
        <is>
          <t>EngMedicine</t>
        </is>
      </c>
      <c r="R193" s="4" t="inlineStr">
        <is>
          <t>article</t>
        </is>
      </c>
      <c r="S193" s="4" t="inlineStr">
        <is>
          <t>Elsevier B.V.</t>
        </is>
      </c>
      <c r="T193" s="4" t="inlineStr">
        <is>
          <t>https://www.sciencedirect.com/science/article/pii/S2950489925000636</t>
        </is>
      </c>
      <c r="U193" s="4" t="n"/>
      <c r="V193" s="4" t="inlineStr">
        <is>
          <t>Autism spectrum disorder (ASD) is a highly heterogeneous neurodevelopmental disorder. Early diagnosis and intervention are crucial for improving outcomes. Traditional single-modality diagnostic methods are subjective, limited, and struggle to reveal the underlying pathological mechanisms. In contrast, multimodal data analysis integrates behavioral, physiological, and neuroimaging information with advanced machine-learning and deep-learning algorithms to overcome these limitations. In this review, we surveyed the recent pediatric ASD literature, highlighting artificial intelligence-driven diagnostic techniques, multimodal data fusion strategies, and emerging trends in ASD assessment. We surveyed studies that integrated two or more modalities and summarized the fusion levels, learning paradigms, tasks, datasets, and metrics. Multimodal approaches outperform single-modality baselines in classification, severity estimation, and subtyping by leveraging complementary information and reducing modality-specific biases. Multimodal approaches significantly enhance diagnostic accuracy and comprehensiveness, enabling early screening of ASD, symptom subtyping, severity assessment, and personalized interventions. Advances in multimodal fusion techniques have promoted progress in precision medicine for the treatment of ASD.</t>
        </is>
      </c>
      <c r="W193" s="4" t="inlineStr">
        <is>
          <t>title_abstract_plus_targeted_primary_source_verification</t>
        </is>
      </c>
      <c r="X193" s="4" t="inlineStr">
        <is>
          <t>doi:10.1016/j.engmed.2025.100117</t>
        </is>
      </c>
      <c r="Y193" s="4" t="n"/>
      <c r="Z193" s="4" t="n"/>
      <c r="AA193" s="4" t="n"/>
      <c r="AB193" s="40" t="n"/>
    </row>
    <row r="194" ht="409" customHeight="1">
      <c r="A194" s="4" t="n">
        <v>193</v>
      </c>
      <c r="B194" s="4" t="inlineStr">
        <is>
          <t>already_in_current_276</t>
        </is>
      </c>
      <c r="C194" s="4" t="inlineStr">
        <is>
          <t>No agregar: ya está en los 276</t>
        </is>
      </c>
      <c r="D194" s="4" t="inlineStr">
        <is>
          <t>Already in base 276</t>
        </is>
      </c>
      <c r="E194" s="4" t="inlineStr">
        <is>
          <t>No</t>
        </is>
      </c>
      <c r="F194" s="4" t="inlineStr">
        <is>
          <t>Deduplication against base corpus</t>
        </is>
      </c>
      <c r="G194" s="4" t="n"/>
      <c r="H194" s="4" t="n"/>
      <c r="I194" s="4" t="n"/>
      <c r="J194" s="4" t="inlineStr">
        <is>
          <t>Coincidencia por DOI o título normalizado con el corpus analítico vigente de 276 estudios.</t>
        </is>
      </c>
      <c r="K194" s="4" t="n"/>
      <c r="L194" s="4" t="n">
        <v>142</v>
      </c>
      <c r="M194" s="4" t="n">
        <v>2025</v>
      </c>
      <c r="N194" s="4" t="inlineStr">
        <is>
          <t>AV-FOS: Transformer-Based Audio-Visual Multimodal Interaction Style Recognition for Children With Autism Using the Revised Family Observation Schedule 3rd Edition (FOS-R-III)</t>
        </is>
      </c>
      <c r="O194" s="4" t="inlineStr">
        <is>
          <t>Zhenhao Zhao and Eunsun Chung and Kyong Mee Chung and Chung Hyuk Park</t>
        </is>
      </c>
      <c r="P194" s="4" t="inlineStr">
        <is>
          <t>10.1109/JBHI.2025.3542066</t>
        </is>
      </c>
      <c r="Q194" s="4" t="inlineStr">
        <is>
          <t>IEEE Journal of Biomedical and Health Informatics</t>
        </is>
      </c>
      <c r="R194" s="4" t="inlineStr">
        <is>
          <t>article</t>
        </is>
      </c>
      <c r="S194" s="4" t="inlineStr">
        <is>
          <t>Institute of Electrical and Electronics Engineers Inc.</t>
        </is>
      </c>
      <c r="T194" s="4" t="inlineStr">
        <is>
          <t>https://doi.org/10.1109/JBHI.2025.3542066</t>
        </is>
      </c>
      <c r="U194" s="4" t="n"/>
      <c r="V194" s="4" t="inlineStr">
        <is>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is>
      </c>
      <c r="W194" s="4" t="inlineStr">
        <is>
          <t>title_abstract_plus_targeted_primary_source_verification</t>
        </is>
      </c>
      <c r="X194" s="4" t="inlineStr">
        <is>
          <t>doi:10.1109/jbhi.2025.3542066</t>
        </is>
      </c>
      <c r="Y194" s="4" t="n"/>
      <c r="Z194" s="4" t="n"/>
      <c r="AA194" s="4" t="n"/>
      <c r="AB194" s="40" t="n"/>
    </row>
    <row r="195" ht="409" customHeight="1">
      <c r="A195" s="4" t="n">
        <v>194</v>
      </c>
      <c r="B195" s="4" t="inlineStr">
        <is>
          <t>duplicate_within_export</t>
        </is>
      </c>
      <c r="C195" s="4" t="inlineStr">
        <is>
          <t>No agregar: duplicado interno</t>
        </is>
      </c>
      <c r="D195" s="4" t="inlineStr">
        <is>
          <t>Duplicate within update</t>
        </is>
      </c>
      <c r="E195" s="4" t="inlineStr">
        <is>
          <t>No</t>
        </is>
      </c>
      <c r="F195" s="4" t="inlineStr">
        <is>
          <t>Deduplication</t>
        </is>
      </c>
      <c r="G195" s="4" t="n"/>
      <c r="H195" s="4" t="n"/>
      <c r="I195" s="4" t="n"/>
      <c r="J195" s="4" t="inlineStr">
        <is>
          <t>Mismo DOI o título que otro registro anterior de esta exportación.</t>
        </is>
      </c>
      <c r="K195" s="4" t="n">
        <v>154</v>
      </c>
      <c r="L195" s="4" t="n"/>
      <c r="M195" s="4" t="n">
        <v>2026</v>
      </c>
      <c r="N195" s="4" t="inlineStr">
        <is>
          <t>A two-step temporal data augmentation and supervised learning framework for predicting autism diagnosis at 36 months in patients with tuberous sclerosis complex</t>
        </is>
      </c>
      <c r="O195" s="4" t="inlineStr">
        <is>
          <t>Cancan Zhang and Runqiu Wang and Jamie K Capal and Siddharth Srivastava and Rajna Filip-Dhima and E Martina Bebin and Darcy A Krueger and Hope Northrup and Joyce Y Wu and Simon K Warfield and Mustafa Sahin and Bo Zhang</t>
        </is>
      </c>
      <c r="P195" s="4" t="inlineStr">
        <is>
          <t>10.1016/j.compbiomed.2026.111719</t>
        </is>
      </c>
      <c r="Q195" s="4" t="inlineStr">
        <is>
          <t>Computers in Biology and Medicine</t>
        </is>
      </c>
      <c r="R195" s="4" t="inlineStr">
        <is>
          <t>article</t>
        </is>
      </c>
      <c r="S195" s="4" t="inlineStr">
        <is>
          <t>Elsevier Ltd</t>
        </is>
      </c>
      <c r="T195" s="4" t="inlineStr">
        <is>
          <t>https://doi.org/10.1016/j.compbiomed.2026.111719</t>
        </is>
      </c>
      <c r="U195" s="4" t="n"/>
      <c r="V195" s="4" t="inlineStr">
        <is>
          <t>Background Autism spectrum disorder (ASD) affects approximately 25-50% of children with tuberous sclerosis complex (TSC). Early identification of ASD in this high-risk population is crucial for timely intervention but remains challenging due to the heterogeneous clinical presentation and complex interplay of genetic, neurological, and environmental factors. This study aimed to integrate longitudinal diffusion tensor imaging (DTI) metrics with early behavioral features using supervised learning algorithms to predict ASD outcomes at 36 months. Methods Data were obtained from the children enrolled in the TSC Autism Center of Excellence Research Network study. Four DTI metrics: axial diffusivity, fractional anisotropy, mean diffusivity, and radial diffusivity, were measured across 27 major white matter tracts at up to four irregular time points. To account for variability in acquisition timing, we developed a two-step data augmentation algorithm to interpolate each subject's data to standardized ages of 12, 24, and 36 months. In addition, 9 behavioral features from the ADOS-2 and ADI-R assessments at 24 months were included. Supervised learning algorithms were trained to predict ASD diagnosis at 36 months under two input settings. Results Performance of the supervised learning algorithms was evaluated with accuracy, sensitivity, specificity, and area under the receiver operating characteristic curve as performance metrics. Regularized logistic regression models, least absolute shrinkage and selection operator and elastic net, demonstrated the most balanced overall performance across most evaluation metrics. Comparing input settings, Setting 1 (DTI at 24 months + behavioral features) achieved comparable or slightly improved performance relative to Setting 2 (DTI at 12 and 24 months + behavioral features) in predicting ASD diagnosis. Conclusion Integrating early neuroimaging and behavioral data suggests potential for prediction of ASD outcomes at 36 months in children with TSC. This multimodal machine learning framework highlights 24-month DTI and behavioral measures as key early biomarkers and demonstrates the effectiveness of regularized regression techniques for small-sample, heterogeneous clinical datasets.</t>
        </is>
      </c>
      <c r="W195" s="4" t="inlineStr">
        <is>
          <t>title_abstract_plus_targeted_primary_source_verification</t>
        </is>
      </c>
      <c r="X195" s="4" t="inlineStr">
        <is>
          <t>doi:10.1016/j.compbiomed.2026.111719</t>
        </is>
      </c>
      <c r="Y195" s="4" t="n"/>
      <c r="Z195" s="4" t="n"/>
      <c r="AA195" s="4" t="n"/>
      <c r="AB195" s="40" t="n"/>
    </row>
    <row r="196" ht="409" customHeight="1">
      <c r="A196" s="4" t="n">
        <v>195</v>
      </c>
      <c r="B196" s="4" t="inlineStr">
        <is>
          <t>exclude_secondary_or_nonempirical_publication</t>
        </is>
      </c>
      <c r="C196" s="4" t="inlineStr">
        <is>
          <t>Excluir: publicación secundaria/no empírica</t>
        </is>
      </c>
      <c r="D196" s="4" t="inlineStr">
        <is>
          <t>Excluded</t>
        </is>
      </c>
      <c r="E196" s="4" t="inlineStr">
        <is>
          <t>No</t>
        </is>
      </c>
      <c r="F196" s="4" t="inlineStr">
        <is>
          <t>Title/abstract screening</t>
        </is>
      </c>
      <c r="G196" s="4" t="n"/>
      <c r="H196" s="4" t="n"/>
      <c r="I196" s="4" t="n"/>
      <c r="J196" s="4" t="inlineStr">
        <is>
          <t>Revisión, metaanálisis, encuesta de literatura, protocolo, perspectiva, carta, editorial o capítulo de síntesis sin estudio primario elegible.</t>
        </is>
      </c>
      <c r="K196" s="4" t="n"/>
      <c r="L196" s="4" t="n"/>
      <c r="M196" s="4" t="n">
        <v>2026</v>
      </c>
      <c r="N196" s="4" t="inlineStr">
        <is>
          <t>A systematic review of machine learning techniques to address diagnosis and treatment of autism: challenges and opportunities</t>
        </is>
      </c>
      <c r="O196" s="4" t="inlineStr">
        <is>
          <t>Rafael Muñoz-Terol and Jesús Peral and Sandra Amador and David Gil</t>
        </is>
      </c>
      <c r="P196" s="4" t="inlineStr">
        <is>
          <t>10.1016/j.heliyon.2025.e44359</t>
        </is>
      </c>
      <c r="Q196" s="4" t="inlineStr">
        <is>
          <t>Heliyon</t>
        </is>
      </c>
      <c r="R196" s="4" t="inlineStr">
        <is>
          <t>article</t>
        </is>
      </c>
      <c r="S196" s="4" t="inlineStr">
        <is>
          <t>Elsevier Ltd</t>
        </is>
      </c>
      <c r="T196" s="4" t="inlineStr">
        <is>
          <t>https://www.sciencedirect.com/science/article/pii/S240584402502763X</t>
        </is>
      </c>
      <c r="U196" s="4" t="n"/>
      <c r="V196" s="4" t="inlineStr">
        <is>
          <t>Autism spectrum disorder (ASD) is a developmental disability characterized by challenges in social interaction and communication. As the causes of ASD remain unclear, identifying relevant features and hidden correlations is crucial for early diagnosis. This systematic review evaluates 55 studies from 2017 to 2023 on the application of machine learning (ML) techniques to ASD. The primary objective is to examine recent ML applications in ASD research, identifying trends, techniques, and datasets that enhance diagnosis and treatment. Supervised learning methods dominate, as they align well with ASD diagnostic needs; however, the role of deep learning is expanding with greater data availability. Emerging techniques based on hybrid methods, where unsupervised, deep learning, and fuzzy logic could be included, will be interesting to observe in the future. The review highlights key challenges and opportunities, particularly the need for models that can integrate complex data —such as genetic and clinical information— to improve diagnostic accuracy and treatment outcomes. Additionally, incorporating innovative data sources, like wearable devices and biometric sensors, could enable continuous and non-intrusive monitoring, providing a more holistic understanding of ASD. Findings emphasize that addressing current challenges requires interdisciplinary collaboration and expanded datasets tailored to ASD. Future ML models will benefit from broader multimodal data integration, enabling researchers to more comprehensively address the complexities of ASD.</t>
        </is>
      </c>
      <c r="W196" s="4" t="inlineStr">
        <is>
          <t>title_abstract_plus_targeted_primary_source_verification</t>
        </is>
      </c>
      <c r="X196" s="4" t="inlineStr">
        <is>
          <t>doi:10.1016/j.heliyon.2025.e44359</t>
        </is>
      </c>
      <c r="Y196" s="4" t="n"/>
      <c r="Z196" s="4" t="n"/>
      <c r="AA196" s="4" t="n"/>
      <c r="AB196" s="40" t="n"/>
    </row>
    <row r="197" ht="409" customHeight="1">
      <c r="A197" s="4" t="n">
        <v>196</v>
      </c>
      <c r="B197" s="4" t="inlineStr">
        <is>
          <t>exclude_integrity_notice_or_retracted</t>
        </is>
      </c>
      <c r="C197" s="4" t="inlineStr">
        <is>
          <t>Excluir por integridad/tipo de registro</t>
        </is>
      </c>
      <c r="D197" s="4" t="inlineStr">
        <is>
          <t>Excluded</t>
        </is>
      </c>
      <c r="E197" s="4" t="inlineStr">
        <is>
          <t>No</t>
        </is>
      </c>
      <c r="F197" s="4" t="inlineStr">
        <is>
          <t>Title/abstract screening and source verification</t>
        </is>
      </c>
      <c r="G197" s="4" t="n"/>
      <c r="H197" s="4" t="n"/>
      <c r="I197" s="4" t="inlineStr">
        <is>
          <t>Retracted article</t>
        </is>
      </c>
      <c r="J197" s="4" t="inlineStr">
        <is>
          <t>Aviso editorial, corrección, retirada, retractación o artículo retractado; no constituye un estudio nuevo incorporable.</t>
        </is>
      </c>
      <c r="K197" s="4" t="n"/>
      <c r="L197" s="4" t="n"/>
      <c r="M197" s="4" t="n">
        <v>2025</v>
      </c>
      <c r="N197" s="4" t="inlineStr">
        <is>
          <t>Can artificial intelligence and face recognition using deep learning detect emotions in children with autism?</t>
        </is>
      </c>
      <c r="O197" s="4" t="inlineStr">
        <is>
          <t>İbrahim Güngör and Abdullah Sarman and Suat Tuncay</t>
        </is>
      </c>
      <c r="P197" s="4" t="inlineStr">
        <is>
          <t>10.1371/journal.pone.0338701</t>
        </is>
      </c>
      <c r="Q197" s="4" t="inlineStr">
        <is>
          <t>PLOS ONE</t>
        </is>
      </c>
      <c r="R197" s="4" t="inlineStr">
        <is>
          <t>article</t>
        </is>
      </c>
      <c r="S197" s="4" t="inlineStr">
        <is>
          <t>Public Library of Science</t>
        </is>
      </c>
      <c r="T197" s="4" t="inlineStr">
        <is>
          <t>https://journals.plos.org/plosone/article?id=10.1371/journal.pone.0338701</t>
        </is>
      </c>
      <c r="U197" s="4" t="inlineStr">
        <is>
          <t>El editor marca el artículo como RETRACTED y retiró su contenido por problemas de ética y validez del conjunto de datos.</t>
        </is>
      </c>
      <c r="V197" s="4" t="inlineStr">
        <is>
          <t>Background/Objectives This study aimed to evaluate the performance of deep learning models for recognizing facial expressions of children with autism through face recognition technologies. Methods Conducted between November 2024 and February 2025, this research introduced a novel deep learning architecture, AutismEfficientNet, by integrating EfficientNetV2 and MobileNetV3. Two previously published datasets—Dr. Fatma M. Talaat’s Emotions of Autistic Children and the FERAC dataset—were used, both containing labeled facial images of children with autism displaying various emotions. Images were preprocessed and divided into training, validation, and test sets. Emotion classification was performed using convolutional neural networks. Models were evaluated using accuracy, sensitivity, specificity, and F1 scores. Results Deep learning models were able to accurately recognize emotional expressions in children with autism. The proposed AutismEfficientNet achieved the highest accuracy (75.8%) among the tested models, outperforming EfficientNetV2-L (72.4%) and MobileNetV3-L (70.2%). Conclusions The findings indicate that AutismEfficientNet provides improved classification accuracy compared to standard architectures when applied to datasets of children with autism. Further validation is required in clinical settings and diverse populations before integration into pediatric care.</t>
        </is>
      </c>
      <c r="W197" s="4" t="inlineStr">
        <is>
          <t>title_abstract_plus_targeted_primary_source_verification</t>
        </is>
      </c>
      <c r="X197" s="4" t="inlineStr">
        <is>
          <t>doi:10.1371/journal.pone.0338701</t>
        </is>
      </c>
      <c r="Y197" s="4" t="n"/>
      <c r="Z197" s="4" t="n"/>
      <c r="AA197" s="4" t="n"/>
      <c r="AB197" s="40" t="n"/>
    </row>
    <row r="198" ht="409" customHeight="1">
      <c r="A198" s="4" t="n">
        <v>197</v>
      </c>
      <c r="B198" s="4" t="inlineStr">
        <is>
          <t>include_after_full_text_open_access</t>
        </is>
      </c>
      <c r="C198" s="4" t="inlineStr">
        <is>
          <t>Incluir tras revisión de texto completo abierto</t>
        </is>
      </c>
      <c r="D198" s="4" t="inlineStr">
        <is>
          <t>Provisional include</t>
        </is>
      </c>
      <c r="E198" s="4" t="inlineStr">
        <is>
          <t>Sí</t>
        </is>
      </c>
      <c r="F198" s="4" t="inlineStr">
        <is>
          <t>Full-text review</t>
        </is>
      </c>
      <c r="G198" s="4" t="n"/>
      <c r="H198" s="4" t="n"/>
      <c r="I198" s="4" t="n"/>
      <c r="J198" s="4" t="inlineStr">
        <is>
          <t>Texto completo confirma estudio primario con Deep Learning aplicado a ASD (Classification from clinical notes).</t>
        </is>
      </c>
      <c r="K198" s="4" t="n"/>
      <c r="L198" s="4" t="n"/>
      <c r="M198" s="4" t="n">
        <v>2026</v>
      </c>
      <c r="N198" s="4" t="inlineStr">
        <is>
          <t>Deep learning for autism detection using clinical notes: A comparison of transfer learning for a transparent and black-box approach</t>
        </is>
      </c>
      <c r="O198" s="4" t="inlineStr">
        <is>
          <t>Gondy Leroy and Prakash Bisht and Sai Madhuri Kandula and Nell Maltman and Sydney Rice</t>
        </is>
      </c>
      <c r="P198" s="4" t="inlineStr">
        <is>
          <t>10.1016/j.artmed.2025.103318</t>
        </is>
      </c>
      <c r="Q198" s="4" t="inlineStr">
        <is>
          <t>Artificial Intelligence in Medicine</t>
        </is>
      </c>
      <c r="R198" s="4" t="inlineStr">
        <is>
          <t>article</t>
        </is>
      </c>
      <c r="S198" s="4" t="inlineStr">
        <is>
          <t>Elsevier B.V.</t>
        </is>
      </c>
      <c r="T198" s="4" t="inlineStr">
        <is>
          <t>https://doi.org/10.1016/j.artmed.2025.103318</t>
        </is>
      </c>
      <c r="U198" s="4" t="inlineStr">
        <is>
          <t>Texto completo abierto revisado; evidencia y codificación en Extraccion_RQ_nuevos.</t>
        </is>
      </c>
      <c r="V198" s="4" t="inlineStr">
        <is>
          <t>Autism spectrum disorder (ASD) is a complex neurodevelopmental condition whose rising prevalence places increasing demands on a lengthy diagnostic process. Machine learning (ML) has shown promise in automating ASD diagnosis, but most existing models operate as black boxes and are typically trained on a single dataset, limiting their generalizability. In this study, we introduce a transparent and interpretable ML approach that leverages BioBERT, a state-of-the-art language model, to analyze unstructured clinical text. The model is trained to label descriptions of behaviors and map them to diagnostic criteria, which are then used to assign a final label (ASD or not). We evaluate transfer learning, the ability to transfer knowledge to new data, using two distinct real-world datasets. We trained on datasets sequentially and mixed together and compared the performance of the best models and their ability to transfer to new data. We also created a black-box approach and repeated this transfer process for comparison. Our transparent model demonstrated robust performance, with the mixed-data training strategy yielding the best results (97 % sensitivity, 98 % specificity). Sequential training across datasets led to a slight drop in performance, highlighting the importance of training data order. The black-box model performed worse (90 % sensitivity, 96 % specificity) when trained sequentially or with mixed data. Overall, our transparent approach outperformed the black-box approach. Mixing datasets during training resulted in slightly better performance and should be the preferred approach when practically possible. This work paves the way for more trustworthy, generalizable, and clinically actionable AI tools in neurodevelopmental diagnostics.</t>
        </is>
      </c>
      <c r="W198" s="4" t="inlineStr">
        <is>
          <t>open_full_text_review_2026_09_04</t>
        </is>
      </c>
      <c r="X198" s="4" t="inlineStr">
        <is>
          <t>doi:10.1016/j.artmed.2025.103318</t>
        </is>
      </c>
      <c r="Y198" s="4" t="n"/>
      <c r="Z198" s="4" t="n"/>
      <c r="AA198" s="4" t="n"/>
      <c r="AB198" s="40" t="n"/>
    </row>
    <row r="199" ht="409" customHeight="1">
      <c r="A199" s="4" t="n">
        <v>198</v>
      </c>
      <c r="B199" s="4" t="inlineStr">
        <is>
          <t>include_after_title_abstract_screen</t>
        </is>
      </c>
      <c r="C199" s="4" t="inlineStr">
        <is>
          <t>Incluir provisionalmente</t>
        </is>
      </c>
      <c r="D199" s="4" t="inlineStr">
        <is>
          <t>Provisional include</t>
        </is>
      </c>
      <c r="E199" s="4" t="inlineStr">
        <is>
          <t>Sí</t>
        </is>
      </c>
      <c r="F199" s="4" t="inlineStr">
        <is>
          <t>Title/abstract screening</t>
        </is>
      </c>
      <c r="G199" s="4" t="n"/>
      <c r="H199" s="4" t="n"/>
      <c r="I199" s="4" t="n"/>
      <c r="J199" s="4" t="inlineStr">
        <is>
          <t>Estudio primario o implementación/evaluación empírica de IA, aprendizaje automático o modelado computacional aplicado a ASD, riesgo, caracterización, apoyo o intervención.</t>
        </is>
      </c>
      <c r="K199" s="4" t="n"/>
      <c r="L199" s="4" t="n"/>
      <c r="M199" s="4" t="n">
        <v>2026</v>
      </c>
      <c r="N199" s="4" t="inlineStr">
        <is>
          <t>A Multimodal AI Framework for Early Autism Identification Using CbRNN–Ensemble Modelling and Advanced NCIAPPF-Based Temporal Encoding</t>
        </is>
      </c>
      <c r="O199" s="4" t="inlineStr">
        <is>
          <t>Indhu Bonthala and Sravanthi Chadubudhi and Sreeja Linga and Shaik Khasim Saheb</t>
        </is>
      </c>
      <c r="P199" s="4" t="inlineStr">
        <is>
          <t>10.1002/jdn.70117</t>
        </is>
      </c>
      <c r="Q199" s="4" t="inlineStr">
        <is>
          <t>International Journal of Developmental Neuroscience</t>
        </is>
      </c>
      <c r="R199" s="4" t="inlineStr">
        <is>
          <t>article</t>
        </is>
      </c>
      <c r="S199" s="4" t="inlineStr">
        <is>
          <t>John Wiley and Sons Inc</t>
        </is>
      </c>
      <c r="T199" s="4" t="inlineStr">
        <is>
          <t>https://doi.org/10.1002/jdn.70117</t>
        </is>
      </c>
      <c r="U199" s="4" t="n"/>
      <c r="V199" s="4" t="inlineStr">
        <is>
          <t>To improve child developmental results and enable prompt interventions, early identification of autism spectrum disorder (ASD) is crucial. Conventional diagnostic instruments, while clinically standardized, remain constrained by subjectivity, limited scalability and dependence on expert evaluation. This study introduces AutiScan, an AI-driven framework that integrates a Convolution-based Recurrent Neural Network Ensemble Model (CbRNN-EM) with the neural context-integrated adaptive reprocessing and pattern filtering (NCIAPPF) technique for capturing temporal dynamics of neural encoding. The proposed system analyses multimodal data including facial expressions, eye-gaze patterns, speech prosody and behavioural cues to extract spatial, emotional and sequential features relevant to early ASD markers. NCIAPPF enhances preprocessing by adaptively filtering noise, normalizing multimodal signals and preserving fine-grained temporal dependencies essential for robust pattern recognition. The fused representations are classified using an ensemble layer, achieving superior accuracy compared with traditional deep learning and machine learning prototypes. The results of the experiments show that AutiScan offers a dependable, scalable and comprehensible early ASD screening tool, underscoring the opportunity for practical clinical and educational implementation.</t>
        </is>
      </c>
      <c r="W199" s="4" t="inlineStr">
        <is>
          <t>title_abstract_plus_targeted_primary_source_verification</t>
        </is>
      </c>
      <c r="X199" s="4" t="inlineStr">
        <is>
          <t>doi:10.1002/jdn.70117</t>
        </is>
      </c>
      <c r="Y199" s="4" t="n"/>
      <c r="Z199" s="4" t="n"/>
      <c r="AA199" s="4" t="n"/>
      <c r="AB199" s="40" t="n"/>
    </row>
    <row r="200" ht="409" customHeight="1">
      <c r="A200" s="4" t="n">
        <v>199</v>
      </c>
      <c r="B200" s="4" t="inlineStr">
        <is>
          <t>include_after_title_abstract_screen</t>
        </is>
      </c>
      <c r="C200" s="4" t="inlineStr">
        <is>
          <t>Incluir provisionalmente</t>
        </is>
      </c>
      <c r="D200" s="4" t="inlineStr">
        <is>
          <t>Provisional include</t>
        </is>
      </c>
      <c r="E200" s="4" t="inlineStr">
        <is>
          <t>Sí</t>
        </is>
      </c>
      <c r="F200" s="4" t="inlineStr">
        <is>
          <t>Title/abstract screening</t>
        </is>
      </c>
      <c r="G200" s="4" t="n"/>
      <c r="H200" s="4" t="n"/>
      <c r="I200" s="4" t="n"/>
      <c r="J200" s="4" t="inlineStr">
        <is>
          <t>Estudio primario o implementación/evaluación empírica de IA, aprendizaje automático o modelado computacional aplicado a ASD, riesgo, caracterización, apoyo o intervención.</t>
        </is>
      </c>
      <c r="K200" s="4" t="n"/>
      <c r="L200" s="4" t="n"/>
      <c r="M200" s="4" t="n">
        <v>2026</v>
      </c>
      <c r="N200" s="4" t="inlineStr">
        <is>
          <t>Artificial Intelligence for Enhancing Emotion Expression in Augmentative and Alternative Communication Systems: A Preliminary Study Including Children Both With and Without Autism.</t>
        </is>
      </c>
      <c r="O200" s="4" t="inlineStr">
        <is>
          <t>Kevin M Pitt and Ciara Ousley and Christopher Gibbons and Eli Martinez and Ciera E Kirkpatrick and Austin Bubak</t>
        </is>
      </c>
      <c r="P200" s="4" t="inlineStr">
        <is>
          <t>10.1044/2026_AJSLP-25-00469</t>
        </is>
      </c>
      <c r="Q200" s="4" t="inlineStr">
        <is>
          <t>American journal of speech-language pathology</t>
        </is>
      </c>
      <c r="R200" s="4" t="inlineStr">
        <is>
          <t>article</t>
        </is>
      </c>
      <c r="S200" s="4" t="inlineStr">
        <is>
          <t>American Speech Language Hearing Association</t>
        </is>
      </c>
      <c r="T200" s="4" t="inlineStr">
        <is>
          <t>http://www.ncbi.nlm.nih.gov/pubmed/42257585</t>
        </is>
      </c>
      <c r="U200" s="4" t="n"/>
      <c r="V200" s="4" t="inlineStr">
        <is>
          <t>PURPOSE Artificial intelligence is increasingly being explored in augmentative and alternative communication (AAC) to support personalized and responsive communication. Integrating emotion recognition into AAC systems may help users convey emotion content in real time, enhancing social interaction and communication quality. METHOD This preliminary study utilized DeepFace, a facial emotion recognition tool, as a starting point for integrating emotion recognition into AAC systems. Twelve neurotypical children and four children with autism, aged 8-13 years, completed two tasks: an imitated (copy) emotion condition using static images and a semispontaneous emotion-elicitation condition. Similar to existing AAC devices, each participant completed an individualized calibration procedure to help tailor the model to their facial expressions. Number scale ratings of the user experience were also collected. RESULTS Overall, the system demonstrated promising provisional accuracy, particularly for happiness, sadness, and calm (neutrality), although performance varied across emotions, participants, and task types. User experience ratings were generally positive, suggesting satisfaction and engagement with the system, with variability observed. CONCLUSIONS Findings highlight the value of calibration and personalization in AAC. Future work should expand training data sets to better represent children's facial expressions, incorporate multimodal inputs, and explore the alignment of synthetic speech output with detected emotions. Broader studies including active AAC users, diverse developmental and cultural backgrounds, and more spontaneous real-world interactions are needed. These results support the preliminary utility of DeepFace as a possible starting point for integrating emotion recognition into AAC systems, but further research is warranted. Directions for user-centered development are also discussed. SUPPLEMENTAL MATERIAL https://doi.org/10.23641/asha.32511465.</t>
        </is>
      </c>
      <c r="W200" s="4" t="inlineStr">
        <is>
          <t>title_abstract_plus_targeted_primary_source_verification</t>
        </is>
      </c>
      <c r="X200" s="4" t="inlineStr">
        <is>
          <t>doi:10.1044/2026_ajslp-25-00469</t>
        </is>
      </c>
      <c r="Y200" s="4" t="n"/>
      <c r="Z200" s="4" t="n"/>
      <c r="AA200" s="4" t="n"/>
      <c r="AB200" s="40" t="n"/>
    </row>
    <row r="201" ht="409" customHeight="1">
      <c r="A201" s="4" t="n">
        <v>200</v>
      </c>
      <c r="B201" s="4" t="inlineStr">
        <is>
          <t>include_after_full_text_open_access</t>
        </is>
      </c>
      <c r="C201" s="4" t="inlineStr">
        <is>
          <t>Incluir tras revisión de texto completo abierto</t>
        </is>
      </c>
      <c r="D201" s="4" t="inlineStr">
        <is>
          <t>Provisional include</t>
        </is>
      </c>
      <c r="E201" s="4" t="inlineStr">
        <is>
          <t>Sí</t>
        </is>
      </c>
      <c r="F201" s="4" t="inlineStr">
        <is>
          <t>Full-text review</t>
        </is>
      </c>
      <c r="G201" s="4" t="n"/>
      <c r="H201" s="4" t="n"/>
      <c r="I201" s="4" t="n"/>
      <c r="J201" s="4" t="inlineStr">
        <is>
          <t>Texto completo confirma estudio primario con Machine Learning aplicado a ASD (Classification / screening prediction).</t>
        </is>
      </c>
      <c r="K201" s="4" t="n"/>
      <c r="L201" s="4" t="n"/>
      <c r="M201" s="4" t="n">
        <v>2026</v>
      </c>
      <c r="N201" s="4" t="inlineStr">
        <is>
          <t>Finding the forest in the trees: Using machine learning and online cognitive and perceptual measures to predict adult autism diagnosis</t>
        </is>
      </c>
      <c r="O201" s="4" t="inlineStr">
        <is>
          <t>Erik Van der Burg and Robert M Jertberg and Hilde M Geurts and Bhismadev Chakrabarti and Sander Begeer</t>
        </is>
      </c>
      <c r="P201" s="4" t="inlineStr">
        <is>
          <t>10.1038/s41398-026-03823-y</t>
        </is>
      </c>
      <c r="Q201" s="4" t="inlineStr">
        <is>
          <t>Translational Psychiatry</t>
        </is>
      </c>
      <c r="R201" s="4" t="inlineStr">
        <is>
          <t>article</t>
        </is>
      </c>
      <c r="S201" s="4" t="inlineStr">
        <is>
          <t>Springer Nature</t>
        </is>
      </c>
      <c r="T201" s="4" t="inlineStr">
        <is>
          <t>https://www.nature.com/articles/s41398-026-03823-y.pdf</t>
        </is>
      </c>
      <c r="U201" s="4" t="inlineStr">
        <is>
          <t>Texto completo abierto revisado; evidencia y codificación en Extraccion_RQ_nuevos.</t>
        </is>
      </c>
      <c r="V201" s="4" t="inlineStr">
        <is>
          <t>Traditional subjective measures are limited in the insight they provide into underlying behavioral differences associated with autism and, accordingly, their ability to predict diagnosis. Performance-based measures offer an attractive alternative, being designed to capture neuropsychological constructs more directly and objectively. However, due to the heterogeneity of autism, differences in any one specific neuropsychological domain are inconsistently detected. Meanwhile, protracted wait times for diagnostic interviews delay access to care, highlighting the importance of developing better methods for identifying individuals likely to be autistic and understanding the associated behavioral differences. We administered a battery of online tasks measuring multisensory perception, emotion recognition, and executive function to a large group of autistic and non-autistic adults. We then used machine learning to classify participants and reveal which factors from the resulting dataset were most predictive of diagnosis. Not only were these measures able to predict autism in a late-diagnosed population known to be particularly difficult to identify, their combination with the most popular screening questionnaire enhanced its predictive accuracy (reaching 92% together). This indicates that performance-based measures may be a promising means of predicting autism, providing complementary information to existing screening questionnaires. Many variables in which significant group differences were not detected had predictive value in combination, suggesting complex latent relationships associated with autism. Machine learning’s ability to harness these connections and pinpoint the most crucial features for prediction could allow optimization of a screening tool that offers a unique marriage of predictive accuracy and accessibility.</t>
        </is>
      </c>
      <c r="W201" s="4" t="inlineStr">
        <is>
          <t>open_full_text_review_2026_09_04</t>
        </is>
      </c>
      <c r="X201" s="4" t="inlineStr">
        <is>
          <t>doi:10.1038/s41398-026-03823-y</t>
        </is>
      </c>
      <c r="Y201" s="4" t="n"/>
      <c r="Z201" s="4" t="n"/>
      <c r="AA201" s="4" t="n"/>
      <c r="AB201" s="40" t="n"/>
    </row>
    <row r="202" ht="99" customHeight="1">
      <c r="A202" s="4" t="n">
        <v>201</v>
      </c>
      <c r="B202" s="4" t="inlineStr">
        <is>
          <t>exclude_integrity_notice_or_retracted</t>
        </is>
      </c>
      <c r="C202" s="4" t="inlineStr">
        <is>
          <t>Excluir por integridad/tipo de registro</t>
        </is>
      </c>
      <c r="D202" s="4" t="inlineStr">
        <is>
          <t>Excluded</t>
        </is>
      </c>
      <c r="E202" s="4" t="inlineStr">
        <is>
          <t>No</t>
        </is>
      </c>
      <c r="F202" s="4" t="inlineStr">
        <is>
          <t>Title/abstract screening and source verification</t>
        </is>
      </c>
      <c r="G202" s="4" t="n"/>
      <c r="H202" s="4" t="n"/>
      <c r="I202" s="4" t="inlineStr">
        <is>
          <t>Retraction notice</t>
        </is>
      </c>
      <c r="J202" s="4" t="inlineStr">
        <is>
          <t>Aviso editorial, corrección, retirada, retractación o artículo retractado; no constituye un estudio nuevo incorporable.</t>
        </is>
      </c>
      <c r="K202" s="4" t="n"/>
      <c r="L202" s="4" t="n"/>
      <c r="M202" s="4" t="n">
        <v>2025</v>
      </c>
      <c r="N202" s="4" t="inlineStr">
        <is>
          <t>Retraction: Can artificial intelligence and face recognition using deep learning detect emotions in children with autism?</t>
        </is>
      </c>
      <c r="O202" s="4" t="n"/>
      <c r="P202" s="4" t="inlineStr">
        <is>
          <t>10.1371/JOURNAL.PONE.0340338</t>
        </is>
      </c>
      <c r="Q202" s="4" t="inlineStr">
        <is>
          <t>PloS one</t>
        </is>
      </c>
      <c r="R202" s="4" t="inlineStr">
        <is>
          <t>article</t>
        </is>
      </c>
      <c r="S202" s="4" t="n"/>
      <c r="T202" s="4" t="inlineStr">
        <is>
          <t>https://journals.plos.org/plosone/article?id=10.1371/journal.pone.0340338</t>
        </is>
      </c>
      <c r="U202" s="4" t="inlineStr">
        <is>
          <t>Aviso formal de retractación del registro 196; no es un estudio adicional.</t>
        </is>
      </c>
      <c r="V202" s="4" t="n"/>
      <c r="W202" s="4" t="inlineStr">
        <is>
          <t>title_abstract_plus_targeted_primary_source_verification</t>
        </is>
      </c>
      <c r="X202" s="4" t="inlineStr">
        <is>
          <t>doi:10.1371/journal.pone.0340338</t>
        </is>
      </c>
      <c r="Y202" s="4" t="n"/>
      <c r="Z202" s="4" t="n"/>
      <c r="AA202" s="4" t="n"/>
      <c r="AB202" s="40" t="n"/>
    </row>
    <row r="203" ht="409" customHeight="1">
      <c r="A203" s="4" t="n">
        <v>202</v>
      </c>
      <c r="B203" s="4" t="inlineStr">
        <is>
          <t>duplicate_within_export</t>
        </is>
      </c>
      <c r="C203" s="4" t="inlineStr">
        <is>
          <t>No agregar: duplicado interno</t>
        </is>
      </c>
      <c r="D203" s="4" t="inlineStr">
        <is>
          <t>Duplicate within update</t>
        </is>
      </c>
      <c r="E203" s="4" t="inlineStr">
        <is>
          <t>No</t>
        </is>
      </c>
      <c r="F203" s="4" t="inlineStr">
        <is>
          <t>Deduplication</t>
        </is>
      </c>
      <c r="G203" s="4" t="n"/>
      <c r="H203" s="4" t="n"/>
      <c r="I203" s="4" t="n"/>
      <c r="J203" s="4" t="inlineStr">
        <is>
          <t>Mismo DOI o título que otro registro anterior de esta exportación.</t>
        </is>
      </c>
      <c r="K203" s="4" t="n">
        <v>149</v>
      </c>
      <c r="L203" s="4" t="n"/>
      <c r="M203" s="4" t="n">
        <v>2026</v>
      </c>
      <c r="N203" s="4" t="inlineStr">
        <is>
          <t>A new approach in autism diagnosis: Evaluating natural interaction using point of view (POV) glasses</t>
        </is>
      </c>
      <c r="O203" s="4" t="inlineStr">
        <is>
          <t>Hakan Kayış and Murat Çelik and Çınar Gedizlioğlu and Elif Kayış and Cumhur Aydemir and Arda Hatipoğlu and Seda Sarı and Nurhak Dogan and Elif Mumcu and Rabia Arı and Burcu Özbaran</t>
        </is>
      </c>
      <c r="P203" s="4" t="inlineStr">
        <is>
          <t>10.1016/j.ajp.2025.104798</t>
        </is>
      </c>
      <c r="Q203" s="4" t="inlineStr">
        <is>
          <t>Asian Journal of Psychiatry</t>
        </is>
      </c>
      <c r="R203" s="4" t="inlineStr">
        <is>
          <t>article</t>
        </is>
      </c>
      <c r="S203" s="4" t="inlineStr">
        <is>
          <t>Elsevier B.V.</t>
        </is>
      </c>
      <c r="T203" s="4" t="inlineStr">
        <is>
          <t>https://doi.org/10.1016/j.ajp.2025.104798</t>
        </is>
      </c>
      <c r="U203" s="4" t="n"/>
      <c r="V203" s="4" t="inlineStr">
        <is>
          <t>This study introduces an AI-assisted method based on examiner-worn Point of View (POV) glasses and computer vision analysis to provide objective behavioral data for the diagnosis of Autism Spectrum Disorder (ASD). The study included 29 children with ASD and 27 children without ASD, aged between 17 and 36 months. During semi-structured naturalistic interactions, the examiner wore POV glasses equipped with a scene camera that captured the child's face from an eye-level perspective, preserving ecological validity. Behavioral parameters—including facial expressions, approximate social gaze (operationalized as the child's eyes orientation toward the POV camera), and head mobility—were extracted using OpenFace and MediaPipe and subsequently analyzed with machine learning techniques. Statistical analyses revealed that total social gaze duration, longest social gaze, social smiling, number of responses to name, response latency, response duration, social responsiveness, and head movements along the z-axis had p-values ≤ 0.05, while head movements on the x- and y-axes, total head movement, and rapid head movements had p-values &gt; 0.05. The classification model developed using decision trees and the AdaBoost algorithm demonstrated high performance, achieving an accuracy of 91.07 % and a sensitivity of 89.65 %. These findings support the clinical applicability of examiner-worn POV recordings for early ASD detection and highlight their potential to complement traditional, subjective assessment methods.</t>
        </is>
      </c>
      <c r="W203" s="4" t="inlineStr">
        <is>
          <t>title_abstract_plus_targeted_primary_source_verification</t>
        </is>
      </c>
      <c r="X203" s="4" t="inlineStr">
        <is>
          <t>doi:10.1016/j.ajp.2025.104798</t>
        </is>
      </c>
      <c r="Y203" s="4" t="n"/>
      <c r="Z203" s="4" t="n"/>
      <c r="AA203" s="4" t="n"/>
      <c r="AB203" s="40" t="n"/>
    </row>
    <row r="204" ht="409" customHeight="1">
      <c r="A204" s="4" t="n">
        <v>203</v>
      </c>
      <c r="B204" s="4" t="inlineStr">
        <is>
          <t>include_after_title_abstract_screen</t>
        </is>
      </c>
      <c r="C204" s="4" t="inlineStr">
        <is>
          <t>Incluir provisionalmente</t>
        </is>
      </c>
      <c r="D204" s="4" t="inlineStr">
        <is>
          <t>Provisional include</t>
        </is>
      </c>
      <c r="E204" s="4" t="inlineStr">
        <is>
          <t>Sí</t>
        </is>
      </c>
      <c r="F204" s="4" t="inlineStr">
        <is>
          <t>Title/abstract screening</t>
        </is>
      </c>
      <c r="G204" s="4" t="n"/>
      <c r="H204" s="4" t="n"/>
      <c r="I204" s="4" t="n"/>
      <c r="J204" s="4" t="inlineStr">
        <is>
          <t>Estudio primario o implementación/evaluación empírica de IA, aprendizaje automático o modelado computacional aplicado a ASD, riesgo, caracterización, apoyo o intervención.</t>
        </is>
      </c>
      <c r="K204" s="4" t="n"/>
      <c r="L204" s="4" t="n"/>
      <c r="M204" s="4" t="n">
        <v>2026</v>
      </c>
      <c r="N204" s="4" t="inlineStr">
        <is>
          <t>Individuation of predictive parameters of posterior cranial fossa decompression in pediatric patients with Chiari I malformation and autism spectrum disorder</t>
        </is>
      </c>
      <c r="O204" s="4" t="inlineStr">
        <is>
          <t>Elena Ferri and Alice Noris and Tayler Appleton and Simone Peraio and Andrea Di Rita and Chiara Spezzani and Roberta Battini and Ludovico D’Incerti and Matteo Lenge and Michela Sica and Letizia Macconi and Luca Mesin and Matilda Fontanarosa and Matteo Raggi and Flavio Giordano</t>
        </is>
      </c>
      <c r="P204" s="4" t="inlineStr">
        <is>
          <t>10.1007/s00381-025-07119-2</t>
        </is>
      </c>
      <c r="Q204" s="4" t="inlineStr">
        <is>
          <t>Child's Nervous System</t>
        </is>
      </c>
      <c r="R204" s="4" t="inlineStr">
        <is>
          <t>article</t>
        </is>
      </c>
      <c r="S204" s="4" t="inlineStr">
        <is>
          <t>Springer Science and Business Media Deutschland GmbH</t>
        </is>
      </c>
      <c r="T204" s="4" t="inlineStr">
        <is>
          <t>https://doi.org/10.1007/s00381-025-07119-2</t>
        </is>
      </c>
      <c r="U204" s="4" t="n"/>
      <c r="V204" s="4" t="inlineStr">
        <is>
          <t>Purpose: There are no specific guidelines for posterior cranial fossa decompression (PCFD) in asymptomatic Chiari Malformation Type I (CM-I) patients with autism spectrum disorder (ASD). However, some studies suggest that surgery for symptomatic CM-I may improve ASD symptoms. This study aims to identify skull and brain morphometric parameters that could predict surgical outcomes in symptomatic CM-I with ASD, using artificial intelligence (AI). Methods: This study included pediatric patients diagnosed with both symptomatic CM-I and ASD who underwent posterior cranial fossa (PCF) surgery. Eleven morphometric parameters were measured using computed tomography (CT) and magnetic resonance imaging (MRI) scans, including cerebellar tonsil descent, tentorium length and angle, cerebellum-to-PCF area ratio, PCF-to-cerebrum area ratio, PCF height and diameter, and various distances involving the corpus callosum, pons, fastigium, foramen magnum, and clivus length. ASD symptom changes were assessed through phone interviews and outpatient evaluations. A binary tree classifier AI model was used to identify patients who improved post-surgically. Results: Our analysis showed that patients with a larger tentorium angle experienced some improvements in ASD symptoms after surgery, whereas those with a significantly smaller tentorium angle showed no improvement. AI identified a tentorium angle of 89.55° as a potential cut-off for distinguishing between outcome groups. No other morphometric parameters significantly influenced ASD symptom outcomes. Conclusions: This study evaluates the relevance of the tentorium angle width as a potentially valuable MRI-based morphometric parameter that could guide neurosurgeons in the decision-making process for this unique patient population. These findings may contribute to a more tailored approach for managing patients with CM-I and coexistent ASD.</t>
        </is>
      </c>
      <c r="W204" s="4" t="inlineStr">
        <is>
          <t>title_abstract_plus_targeted_primary_source_verification</t>
        </is>
      </c>
      <c r="X204" s="4" t="inlineStr">
        <is>
          <t>doi:10.1007/s00381-025-07119-2</t>
        </is>
      </c>
      <c r="Y204" s="4" t="n"/>
      <c r="Z204" s="4" t="n"/>
      <c r="AA204" s="4" t="n"/>
      <c r="AB204" s="40" t="n"/>
    </row>
    <row r="205" ht="409" customHeight="1">
      <c r="A205" s="4" t="n">
        <v>204</v>
      </c>
      <c r="B205" s="4" t="inlineStr">
        <is>
          <t>include_after_title_abstract_screen</t>
        </is>
      </c>
      <c r="C205" s="4" t="inlineStr">
        <is>
          <t>Incluir provisionalmente</t>
        </is>
      </c>
      <c r="D205" s="4" t="inlineStr">
        <is>
          <t>Provisional include</t>
        </is>
      </c>
      <c r="E205" s="4" t="inlineStr">
        <is>
          <t>Sí</t>
        </is>
      </c>
      <c r="F205" s="4" t="inlineStr">
        <is>
          <t>Title/abstract screening</t>
        </is>
      </c>
      <c r="G205" s="4" t="n"/>
      <c r="H205" s="4" t="n"/>
      <c r="I205" s="4" t="n"/>
      <c r="J205" s="4" t="inlineStr">
        <is>
          <t>Estudio primario o implementación/evaluación empírica de IA, aprendizaje automático o modelado computacional aplicado a ASD, riesgo, caracterización, apoyo o intervención.</t>
        </is>
      </c>
      <c r="K205" s="4" t="n"/>
      <c r="L205" s="4" t="n"/>
      <c r="M205" s="4" t="n">
        <v>2026</v>
      </c>
      <c r="N205" s="4" t="inlineStr">
        <is>
          <t>An automated detection system of autism spectrum disorder using meta-heuristic approach of adaptive LSTM with bayesian learning technique</t>
        </is>
      </c>
      <c r="O205" s="4" t="inlineStr">
        <is>
          <t>Jegan Amaranth J and S Meera</t>
        </is>
      </c>
      <c r="P205" s="4" t="inlineStr">
        <is>
          <t>10.1007/s13246-025-01681-4</t>
        </is>
      </c>
      <c r="Q205" s="4" t="inlineStr">
        <is>
          <t>Physical and Engineering Sciences in Medicine</t>
        </is>
      </c>
      <c r="R205" s="4" t="inlineStr">
        <is>
          <t>article</t>
        </is>
      </c>
      <c r="S205" s="4" t="inlineStr">
        <is>
          <t>Springer Science and Business Media Deutschland GmbH</t>
        </is>
      </c>
      <c r="T205" s="4" t="inlineStr">
        <is>
          <t>https://doi.org/10.1007/s13246-025-01681-4</t>
        </is>
      </c>
      <c r="U205" s="4" t="n"/>
      <c r="V205" s="4" t="inlineStr">
        <is>
          <t>Autism spectrum disorder (ASD) is one of the major neurological symptoms affecting young children. Most neurological diseases are captured through speech, voice and changes in sbrain activity. Research leading to ASD diagnosis is done in different ways; still, the early ASD diagnosis is a complex task. Various co-occurring situations may hinder Automated ASD detection, and deep learners effectively tackle such issues and create a better design. Here, a novel automated autism detection approach is proposed employing a deep learning technique with the help of brain image. Initially, the brain images are garnered from the standard dataset links. These gathered images are employed for the pre-processing stage, which is accomplished by using contrast enhancement. Subsequently, the most noteworthy deep features are extracted from the image pre-processed using a multi-atlas-based residual network (MResNet). Finally, the detection process is carried out by influencing the adaptive cascaded attention long short term memory with bayesian learning (ACAL-BL), in which some of the hyperparameters are tuned optimally by the random fixed marine predators algorithm (RFMPA). The performance is examined under Python using various factors and contrasted with other classical models and the results show that our ACAL-BL achieved an FPR of 4.5%, representing relative improvements of 52%, 54%, 56%, 58%, and 60% compared to LSTM, CNN, ANN, auto encoder, and LSTM-Bayesian learning, respectively. Thus, the suggested technique has the tendency to exploit the outstanding results that aid clinical practitioners to diagnose the disease earlier.</t>
        </is>
      </c>
      <c r="W205" s="4" t="inlineStr">
        <is>
          <t>title_abstract_plus_targeted_primary_source_verification</t>
        </is>
      </c>
      <c r="X205" s="4" t="inlineStr">
        <is>
          <t>doi:10.1007/s13246-025-01681-4</t>
        </is>
      </c>
      <c r="Y205" s="4" t="n"/>
      <c r="Z205" s="4" t="n"/>
      <c r="AA205" s="4" t="n"/>
      <c r="AB205" s="40" t="n"/>
    </row>
    <row r="206" ht="409" customHeight="1">
      <c r="A206" s="4" t="n">
        <v>205</v>
      </c>
      <c r="B206" s="4" t="inlineStr">
        <is>
          <t>already_in_current_276</t>
        </is>
      </c>
      <c r="C206" s="4" t="inlineStr">
        <is>
          <t>No agregar: ya está en los 276</t>
        </is>
      </c>
      <c r="D206" s="4" t="inlineStr">
        <is>
          <t>Already in base 276</t>
        </is>
      </c>
      <c r="E206" s="4" t="inlineStr">
        <is>
          <t>No</t>
        </is>
      </c>
      <c r="F206" s="4" t="inlineStr">
        <is>
          <t>Deduplication against base corpus</t>
        </is>
      </c>
      <c r="G206" s="4" t="n"/>
      <c r="H206" s="4" t="n"/>
      <c r="I206" s="4" t="n"/>
      <c r="J206" s="4" t="inlineStr">
        <is>
          <t>Coincidencia por DOI o título normalizado con el corpus analítico vigente de 276 estudios.</t>
        </is>
      </c>
      <c r="K206" s="4" t="n"/>
      <c r="L206" s="4" t="n">
        <v>224</v>
      </c>
      <c r="M206" s="4" t="n">
        <v>2025</v>
      </c>
      <c r="N206" s="4" t="inlineStr">
        <is>
          <t>An ensemble classifier for emotion classification from EEG and GSR signals for autism detection</t>
        </is>
      </c>
      <c r="O206" s="4" t="inlineStr">
        <is>
          <t>Soshya Joshi and Srinivas LNB</t>
        </is>
      </c>
      <c r="P206" s="4" t="inlineStr">
        <is>
          <t>10.1016/j.cmpb.2025.108921</t>
        </is>
      </c>
      <c r="Q206" s="4" t="inlineStr">
        <is>
          <t>Computer Methods and Programs in Biomedicine</t>
        </is>
      </c>
      <c r="R206" s="4" t="inlineStr">
        <is>
          <t>article</t>
        </is>
      </c>
      <c r="S206" s="4" t="inlineStr">
        <is>
          <t>Elsevier Ireland Ltd</t>
        </is>
      </c>
      <c r="T206" s="4" t="inlineStr">
        <is>
          <t>https://doi.org/10.1016/j.cmpb.2025.108921</t>
        </is>
      </c>
      <c r="U206" s="4" t="n"/>
      <c r="V206" s="4" t="inlineStr">
        <is>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is>
      </c>
      <c r="W206" s="4" t="inlineStr">
        <is>
          <t>title_abstract_plus_targeted_primary_source_verification</t>
        </is>
      </c>
      <c r="X206" s="4" t="inlineStr">
        <is>
          <t>doi:10.1016/j.cmpb.2025.108921</t>
        </is>
      </c>
      <c r="Y206" s="4" t="n"/>
      <c r="Z206" s="4" t="n"/>
      <c r="AA206" s="4" t="n"/>
      <c r="AB206" s="40" t="n"/>
    </row>
    <row r="207" ht="409" customHeight="1">
      <c r="A207" s="4" t="n">
        <v>206</v>
      </c>
      <c r="B207" s="4" t="inlineStr">
        <is>
          <t>exclude_secondary_or_nonempirical_publication</t>
        </is>
      </c>
      <c r="C207" s="4" t="inlineStr">
        <is>
          <t>Excluir: publicación secundaria/no empírica</t>
        </is>
      </c>
      <c r="D207" s="4" t="inlineStr">
        <is>
          <t>Excluded</t>
        </is>
      </c>
      <c r="E207" s="4" t="inlineStr">
        <is>
          <t>No</t>
        </is>
      </c>
      <c r="F207" s="4" t="inlineStr">
        <is>
          <t>Title/abstract screening</t>
        </is>
      </c>
      <c r="G207" s="4" t="n"/>
      <c r="H207" s="4" t="n"/>
      <c r="I207" s="4" t="n"/>
      <c r="J207" s="4" t="inlineStr">
        <is>
          <t>Revisión, metaanálisis, encuesta de literatura, protocolo, perspectiva, carta, editorial o capítulo de síntesis sin estudio primario elegible.</t>
        </is>
      </c>
      <c r="K207" s="4" t="n"/>
      <c r="L207" s="4" t="n"/>
      <c r="M207" s="4" t="n">
        <v>2025</v>
      </c>
      <c r="N207" s="4" t="inlineStr">
        <is>
          <t>Diagnostic accuracy of AI-based models for autism spectrum disorder: A systematic review and meta-analysis with a focus on Arab populations</t>
        </is>
      </c>
      <c r="O207" s="4" t="inlineStr">
        <is>
          <t>Ali Fahad Aldakhil and Khalid N Alasim</t>
        </is>
      </c>
      <c r="P207" s="4" t="inlineStr">
        <is>
          <t>10.1016/j.ridd.2025.105166</t>
        </is>
      </c>
      <c r="Q207" s="4" t="inlineStr">
        <is>
          <t>Research in Developmental Disabilities</t>
        </is>
      </c>
      <c r="R207" s="4" t="inlineStr">
        <is>
          <t>article</t>
        </is>
      </c>
      <c r="S207" s="4" t="inlineStr">
        <is>
          <t>Elsevier Inc.</t>
        </is>
      </c>
      <c r="T207" s="4" t="inlineStr">
        <is>
          <t>https://www.sciencedirect.com/science/article/pii/S0891422225002501</t>
        </is>
      </c>
      <c r="U207" s="4" t="n"/>
      <c r="V207" s="4" t="inlineStr">
        <is>
          <t>Background Autism Spectrum Disorder (ASD) is a prevalent neurodevelopmental condition globally, including in Arab countries, where stigma, limited awareness, and scarce specialized services often delay diagnosis and care. Artificial intelligence (AI) offers scalable solutions for screening, early diagnosis, and intervention programmes. Aims To evaluate the diagnostic accuracy of AI-based models for ASD with a specific focus on Arab cohorts, and to appraise methodological quality and potential cultural influences on model performance. Methods We searched PubMed, Scopus, and Web of Science for studies published between January 2019 and September 2025. Eligible studies evaluated supervised AI systems, machine learning (ML), or deep learning (DL) that classify individuals as ASD versus non-ASD against a clinician-confirmed reference standard. Study quality was assessed using QUADAS-2. Diagnostic accuracy metrics (sensitivity, specificity, likelihood ratios, diagnostic odds ratio) were pooled using a bivariate random-effects model. Results Fifteen studies were included in the systematic review; ten studies were eligible for meta-analysis (59 model evaluations; 26,569 instances), comparing AI models against clinician-confirmed autism diagnoses. Pooled sensitivity was 91.8 % (95 % CI [89.0, 94.2]) and specificity 90.7 % (95 % CI [87.6, 93.5]), yielding a diagnostic odds ratio (DOR) of 109.0 (95 % CI [59.5, 227.9]), positive likelihood ratio (LR⁺) of 9.8, and negative likelihood ratio (LR⁻) of 0.09. Subgroup analysis revealed hybrid models (deep feature extractors with classical classifiers) achieved the highest accuracy (sensitivity 95.2 %, specificity 96.0 %), followed by conventional ML (sensitivity 91.6 %, specificity 90.3 %), and DL alone (sensitivity 87.3 %, specificity 86.0 %). In Arab-only cohorts, models showed higher sensitivity (94.2 %) but lower specificity (87.6 %), suggesting stronger rule-out potential but more false positives. Conclusion To our knowledge, this is the first systematic meta-analysis of AI-based ASD diagnostics confirms high accuracy, with hybrid models excelling compared to both traditional ML and DL alone. In Arab cohorts, models showed higher sensitivity but lower specificity, highlighting the importance of cultural and linguistic tailoring of assessment tools, diagnostic protocols, and datasets, alongside regional challenges such as stigma and limited resources. These findings support AI as a valuable tool for early detection and screening.</t>
        </is>
      </c>
      <c r="W207" s="4" t="inlineStr">
        <is>
          <t>title_abstract_plus_targeted_primary_source_verification</t>
        </is>
      </c>
      <c r="X207" s="4" t="inlineStr">
        <is>
          <t>doi:10.1016/j.ridd.2025.105166</t>
        </is>
      </c>
      <c r="Y207" s="4" t="n"/>
      <c r="Z207" s="4" t="n"/>
      <c r="AA207" s="4" t="n"/>
      <c r="AB207" s="40" t="n"/>
    </row>
    <row r="208" ht="409" customHeight="1">
      <c r="A208" s="4" t="n">
        <v>207</v>
      </c>
      <c r="B208" s="4" t="inlineStr">
        <is>
          <t>duplicate_within_export</t>
        </is>
      </c>
      <c r="C208" s="4" t="inlineStr">
        <is>
          <t>No agregar: duplicado interno</t>
        </is>
      </c>
      <c r="D208" s="4" t="inlineStr">
        <is>
          <t>Duplicate within update</t>
        </is>
      </c>
      <c r="E208" s="4" t="inlineStr">
        <is>
          <t>No</t>
        </is>
      </c>
      <c r="F208" s="4" t="inlineStr">
        <is>
          <t>Deduplication</t>
        </is>
      </c>
      <c r="G208" s="4" t="n"/>
      <c r="H208" s="4" t="n"/>
      <c r="I208" s="4" t="n"/>
      <c r="J208" s="4" t="inlineStr">
        <is>
          <t>Mismo DOI o título que otro registro anterior de esta exportación.</t>
        </is>
      </c>
      <c r="K208" s="4" t="n">
        <v>172</v>
      </c>
      <c r="L208" s="4" t="n"/>
      <c r="M208" s="4" t="n">
        <v>2026</v>
      </c>
      <c r="N208" s="4" t="inlineStr">
        <is>
          <t>Evaluating Public Sentiment on Attention-Deficit/Hyperactivity Disorder and Autism Spectrum Disorder Compared With Other Mental Health Disorders From Posts on X (Formerly Known as Twitter): Longitudinal Analysis.</t>
        </is>
      </c>
      <c r="O208" s="4" t="inlineStr">
        <is>
          <t>Vitor Tiosso Batistetti and Facundo G Sanchez and Andrea Varaona and Francisco Lara-Abelenda and Mariana Pinto da Costa and Juan Pablo Chart-Pascual and Alberto Rodriguez-Quiroga and Javier Quintero and Miguel Angel Alvarez-Mon</t>
        </is>
      </c>
      <c r="P208" s="4" t="inlineStr">
        <is>
          <t>10.2196/74440</t>
        </is>
      </c>
      <c r="Q208" s="4" t="inlineStr">
        <is>
          <t>JMIR infodemiology</t>
        </is>
      </c>
      <c r="R208" s="4" t="inlineStr">
        <is>
          <t>article</t>
        </is>
      </c>
      <c r="S208" s="4" t="inlineStr">
        <is>
          <t>JMIR Publications Inc.</t>
        </is>
      </c>
      <c r="T208" s="4" t="inlineStr">
        <is>
          <t>http://www.ncbi.nlm.nih.gov/pubmed/41955613 http://www.pubmedcentral.nih.gov/articlerender.fcgi?artid=PMC13107104</t>
        </is>
      </c>
      <c r="U208" s="4" t="n"/>
      <c r="V208" s="4" t="inlineStr">
        <is>
          <t>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on ADHD and ASD between 2009 and 2023 by analyzing posts from X (formerly known as Twitter; X Corp), comparing perceptions across English and Spanish languages and against other mental health conditions. METHODS Posts mentioning keywords related to ADHD and ASD and control conditions (eg, depression, anxiety, insomnia, bipolar disorder, schizophrenia, suicide, and substance use disorders) were collected from X between 2009 and 2023. The dataset included posts in both English and Spanish. Machine learning algorithms were then applied to classify post content into predefined categories, including volume of posts, engagement, personal experiences, trivialization, perceived causes, and perceived treatability. Parametric and nonparametric tests were used to assess for differences by language. Descriptive statistics were presented using tables and graphical representations. RESULTS A total of 852,990 posts were analyzed, including 511,510 (59.97%) in English and 341,480 (40.03%) in Spanish. Overall, post volume on mental health conditions increased across the study period. In English, posts about ADHD (97,084/511,510, 18.98%) and ASD (74,619/511,510, 14.59%) were among the most frequent, while of the 341,480 Spanish posts, there were 49,475 (14.49%) ASD posts, significantly outnumbering ADHD posts (n=18,223, 5.34%; chi-square test P&lt;.001). Engagement analysis indicated a notable increase in likes and reposts per post over time, particularly after 2019, with ADHD-related posts in English experiencing peak engagement during the COVID-19 pandemic. However, ASD posts had comparatively lower engagement across languages. Posts sharing personal experiences were more polarized in Spanish, with higher proportions of negative and positive experiences compared with English posts. Trivialization of mental illnesses was less common in Spanish posts than in English posts, particularly for ADHD (17,053/18,223, 93.59%; chi-square test P&lt;.001) and ASD (41,933/49,475, 84.73%; chi-square test P&lt;.001). User-perceived causes included multifactorial factors, biological or genetic factors, substance use, psychological susceptibility, acute psychosocial stressors, and COVID-19. Perceived treatability varied by language but consistently included high perceived incurability, limited improvement despite professional help, and low perceived self-manageability except for anxiety. CONCLUSIONS Analysis of social media discourse showed that ADHD attracted higher post volumes, particularly during the COVID-19 pandemic, often described with multifactorial causes including substance use and genetics. ASD consistently received lower engagement. Both language groups showed low trivialization, awareness of the chronicity of the illness, and limited support for the self-management of mental health conditions. These findings underscore social media's value for capturing direct public perceptions to guide future educational and intervention efforts.</t>
        </is>
      </c>
      <c r="W208" s="4" t="inlineStr">
        <is>
          <t>title_abstract_plus_targeted_primary_source_verification</t>
        </is>
      </c>
      <c r="X208" s="4" t="inlineStr">
        <is>
          <t>doi:10.2196/74440</t>
        </is>
      </c>
      <c r="Y208" s="4" t="n"/>
      <c r="Z208" s="4" t="n"/>
      <c r="AA208" s="4" t="n"/>
      <c r="AB208" s="40" t="n"/>
    </row>
    <row r="209" ht="409" customHeight="1">
      <c r="A209" s="4" t="n">
        <v>208</v>
      </c>
      <c r="B209" s="4" t="inlineStr">
        <is>
          <t>include_after_title_abstract_screen</t>
        </is>
      </c>
      <c r="C209" s="4" t="inlineStr">
        <is>
          <t>Incluir provisionalmente</t>
        </is>
      </c>
      <c r="D209" s="4" t="inlineStr">
        <is>
          <t>Provisional include</t>
        </is>
      </c>
      <c r="E209" s="4" t="inlineStr">
        <is>
          <t>Sí</t>
        </is>
      </c>
      <c r="F209" s="4" t="inlineStr">
        <is>
          <t>Title/abstract screening</t>
        </is>
      </c>
      <c r="G209" s="4" t="n"/>
      <c r="H209" s="4" t="n"/>
      <c r="I209" s="4" t="n"/>
      <c r="J209" s="4" t="inlineStr">
        <is>
          <t>Estudio primario o implementación/evaluación empírica de IA, aprendizaje automático o modelado computacional aplicado a ASD, riesgo, caracterización, apoyo o intervención.</t>
        </is>
      </c>
      <c r="K209" s="4" t="n"/>
      <c r="L209" s="4" t="n"/>
      <c r="M209" s="4" t="n">
        <v>2026</v>
      </c>
      <c r="N209" s="4" t="inlineStr">
        <is>
          <t>ADBrainNet: a deep neural network for Autism Spectrum Disorder (ASD) and Attention Deficit and Hyperactivity Disorder (ADHD) classification using resting-state fMRI images based on explainable artificial intelligence.</t>
        </is>
      </c>
      <c r="O209" s="4" t="inlineStr">
        <is>
          <t>Xinyao Yi and Jian Huang and Babatunde Akinwunmi and Wai-Kit Ming</t>
        </is>
      </c>
      <c r="P209" s="4" t="inlineStr">
        <is>
          <t>10.1007/s11517-026-03530-2</t>
        </is>
      </c>
      <c r="Q209" s="4" t="inlineStr">
        <is>
          <t>Medical \&amp; biological engineering \&amp; computing</t>
        </is>
      </c>
      <c r="R209" s="4" t="inlineStr">
        <is>
          <t>article</t>
        </is>
      </c>
      <c r="S209" s="4" t="inlineStr">
        <is>
          <t>Springer Science and Business Media Deutschland GmbH</t>
        </is>
      </c>
      <c r="T209" s="4" t="inlineStr">
        <is>
          <t>http://www.ncbi.nlm.nih.gov/pubmed/41781648</t>
        </is>
      </c>
      <c r="U209" s="4" t="n"/>
      <c r="V209" s="4" t="inlineStr">
        <is>
          <t>Autism Spectrum Disorder (ASD) and Attention Deficit and Hyperactivity Disorder (ADHD) are two psychiatric disorders frequently encountered in children. ADHD is further categorized into three subtypes. The diagnostic processes for these conditions are complex and often prone to misclassification. We proposed a lightweight deep neural network, ADBrainNet, to differentiate ASD, ADHD combined, ADHD hyperactive/impulsive, ADHD inattentive and neurotypical individuals. Our methodology was benchmarked against prevalent ImageNet transfer learning methods, including AlexNet, MobileNet, ResNet18, and Xception, for training on resting-state fMRI images sourced from ABIDE and ADHD-200 datasets. ADBrainNet achieved superior performance on the independent external testing set through five-fold cross-validation, with a mean (± standard deviation) accuracy, precision, recall, and F1 score of 61.87% (± 5.59%), 65.72% (± 6.98%), 61.87% (± 5.59%), and 62.50% (± 5.78%), respectively. Furthermore, the explainable artificial intelligence algorithm LIME was employed to explore the most significant features during ADBrainNet's decision process. Our model provides an interpretable computational framework for neuroimaging-based classification between ASD and ADHD subtypes. This approach may inform future research and, upon further validation and comparison with clinician performance, could potentially aid in patient assessment, stratification, and management of psychiatric disorders.</t>
        </is>
      </c>
      <c r="W209" s="4" t="inlineStr">
        <is>
          <t>title_abstract_plus_targeted_primary_source_verification</t>
        </is>
      </c>
      <c r="X209" s="4" t="inlineStr">
        <is>
          <t>doi:10.1007/s11517-026-03530-2</t>
        </is>
      </c>
      <c r="Y209" s="4" t="n"/>
      <c r="Z209" s="4" t="n"/>
      <c r="AA209" s="4" t="n"/>
      <c r="AB209" s="40" t="n"/>
    </row>
    <row r="210" ht="409" customHeight="1">
      <c r="A210" s="4" t="n">
        <v>209</v>
      </c>
      <c r="B210" s="4" t="inlineStr">
        <is>
          <t>include_after_title_abstract_screen</t>
        </is>
      </c>
      <c r="C210" s="4" t="inlineStr">
        <is>
          <t>Incluir provisionalmente</t>
        </is>
      </c>
      <c r="D210" s="4" t="inlineStr">
        <is>
          <t>Provisional include</t>
        </is>
      </c>
      <c r="E210" s="4" t="inlineStr">
        <is>
          <t>Sí</t>
        </is>
      </c>
      <c r="F210" s="4" t="inlineStr">
        <is>
          <t>Title/abstract screening</t>
        </is>
      </c>
      <c r="G210" s="4" t="n"/>
      <c r="H210" s="4" t="n"/>
      <c r="I210" s="4" t="n"/>
      <c r="J210" s="4" t="inlineStr">
        <is>
          <t>Estudio primario o implementación/evaluación empírica de IA, aprendizaje automático o modelado computacional aplicado a ASD, riesgo, caracterización, apoyo o intervención.</t>
        </is>
      </c>
      <c r="K210" s="4" t="n"/>
      <c r="L210" s="4" t="n"/>
      <c r="M210" s="4" t="n">
        <v>2026</v>
      </c>
      <c r="N210" s="4" t="inlineStr">
        <is>
          <t>Integrating EEG microstate dynamics in a stacked ensemble for neurodiagnostic ASD assessment</t>
        </is>
      </c>
      <c r="O210" s="4" t="inlineStr">
        <is>
          <t>Delna Kuriyakose and Gowsalya M.</t>
        </is>
      </c>
      <c r="P210" s="4" t="inlineStr">
        <is>
          <t>10.1016/j.bbr.2026.116220</t>
        </is>
      </c>
      <c r="Q210" s="4" t="inlineStr">
        <is>
          <t>Behavioural Brain Research</t>
        </is>
      </c>
      <c r="R210" s="4" t="inlineStr">
        <is>
          <t>article</t>
        </is>
      </c>
      <c r="S210" s="4" t="inlineStr">
        <is>
          <t>Elsevier B.V.</t>
        </is>
      </c>
      <c r="T210" s="4" t="inlineStr">
        <is>
          <t>https://doi.org/10.1016/j.bbr.2026.116220</t>
        </is>
      </c>
      <c r="U210" s="4" t="n"/>
      <c r="V210" s="4" t="inlineStr">
        <is>
          <t>Autism Spectrum Disorder (ASD) remains diagnostically challenging due to its neurobiological heterogeneity and the current reliance on subjective behavioral assessments. To address this, we propose a novel stacked ensemble machine learning framework that enhances EEG-based ASD classification by integrating both spatial and temporal neural features. Spatial features including spectral power, functional connectivity, and signal complexity were extracted alongside temporal features derived from microstate transitions and Hidden Markov Model (HMM)-based dynamics, capturing complementary aspects of resting-state brain activity. Using Random Forest models for both base learners and the meta-classifier, our ensemble achieved a classification accuracy of 96.3% under rigorous GroupKFold cross-validation, significantly outperforming unimodal models based on spatial (88.15%) and temporal (73.6%) features alone. Bootstrapped confidence intervals confirmed the statistical robustness and generalizability of the ensemble approach. Our framework not only improves diagnostic accuracy but also lays the groundwork for translational neurotechnology aimed at early detection, subtype differentiation, and personalized intervention strategies in ASD.</t>
        </is>
      </c>
      <c r="W210" s="4" t="inlineStr">
        <is>
          <t>title_abstract_plus_targeted_primary_source_verification</t>
        </is>
      </c>
      <c r="X210" s="4" t="inlineStr">
        <is>
          <t>doi:10.1016/j.bbr.2026.116220</t>
        </is>
      </c>
      <c r="Y210" s="4" t="n"/>
      <c r="Z210" s="4" t="n"/>
      <c r="AA210" s="4" t="n"/>
      <c r="AB210" s="40" t="n"/>
    </row>
    <row r="211" ht="409" customHeight="1">
      <c r="A211" s="4" t="n">
        <v>210</v>
      </c>
      <c r="B211" s="4" t="inlineStr">
        <is>
          <t>include_after_full_text_open_access</t>
        </is>
      </c>
      <c r="C211" s="4" t="inlineStr">
        <is>
          <t>Incluir tras revisión de texto completo abierto</t>
        </is>
      </c>
      <c r="D211" s="4" t="inlineStr">
        <is>
          <t>Provisional include</t>
        </is>
      </c>
      <c r="E211" s="4" t="inlineStr">
        <is>
          <t>Sí</t>
        </is>
      </c>
      <c r="F211" s="4" t="inlineStr">
        <is>
          <t>Full-text review</t>
        </is>
      </c>
      <c r="G211" s="4" t="n"/>
      <c r="H211" s="4" t="n"/>
      <c r="I211" s="4" t="n"/>
      <c r="J211" s="4" t="inlineStr">
        <is>
          <t>Texto completo confirma estudio primario con Machine Learning aplicado a ASD (Classification (ASD vs control)).</t>
        </is>
      </c>
      <c r="K211" s="4" t="n"/>
      <c r="L211" s="4" t="n"/>
      <c r="M211" s="4" t="n">
        <v>2026</v>
      </c>
      <c r="N211" s="4" t="inlineStr">
        <is>
          <t>Biomarker Discovery for Autism Prediction Using Massive Feature Extraction Based on EEG Signals</t>
        </is>
      </c>
      <c r="O211" s="4" t="inlineStr">
        <is>
          <t>Nauman Hafeez and Abdul Rehman Aslam and Muhammad Awais Bin Altaf</t>
        </is>
      </c>
      <c r="P211" s="4" t="inlineStr">
        <is>
          <t>10.3390/s26061862</t>
        </is>
      </c>
      <c r="Q211" s="4" t="inlineStr">
        <is>
          <t>Sensors</t>
        </is>
      </c>
      <c r="R211" s="4" t="inlineStr">
        <is>
          <t>article</t>
        </is>
      </c>
      <c r="S211" s="4" t="inlineStr">
        <is>
          <t>Multidisciplinary Digital Publishing Institute (MDPI)</t>
        </is>
      </c>
      <c r="T211" s="4" t="inlineStr">
        <is>
          <t>https://www.mdpi.com/1424-8220/26/6/1862/pdf?version=1773629441</t>
        </is>
      </c>
      <c r="U211" s="4" t="inlineStr">
        <is>
          <t>Texto completo abierto revisado; evidencia y codificación en Extraccion_RQ_nuevos.</t>
        </is>
      </c>
      <c r="V211" s="4" t="inlineStr">
        <is>
          <t>Autism spectrum disorder (ASD) is a heterogeneous neurodevelopmental disorder that requires early diagnosis for better intervention. However, current clinical behavioural examinations are time-consuming and prone to human error. Objective and effective biomarkers are essential for the diagnosis and prognosis of the disorder. Electroencephalography (EEG) is a non-invasive and inexpensive brain-imaging technique that is widely applied in the diagnosis of ASD. Feature-based methods have shown better performance in EEG-based applications. Here, we present a prediction framework based on massive feature extraction using the highly comparative time-series analysis (HCTSA) method and a hybrid feature selection method for the classification of ASD from resting-state EEG. Machine-learning models are trained and tested on a different number of selected features. Our models demonstrated 100% accuracy with ≥50 features on a balanced dataset of 56 participants. The most discriminating EEG channels and features were used in the prediction process, as well as those using Shapley values to provide explainability of our framework. Whilst these results are promising, we acknowledge the limitations of a single small-scale dataset and emphasise the need for validation on larger independent cohorts before clinical translation.</t>
        </is>
      </c>
      <c r="W211" s="4" t="inlineStr">
        <is>
          <t>open_full_text_review_2026_09_04</t>
        </is>
      </c>
      <c r="X211" s="4" t="inlineStr">
        <is>
          <t>doi:10.3390/s26061862</t>
        </is>
      </c>
      <c r="Y211" s="4" t="n"/>
      <c r="Z211" s="4" t="n"/>
      <c r="AA211" s="4" t="n"/>
      <c r="AB211" s="40" t="n"/>
    </row>
    <row r="212" ht="409" customHeight="1">
      <c r="A212" s="4" t="n">
        <v>211</v>
      </c>
      <c r="B212" s="4" t="inlineStr">
        <is>
          <t>include_after_title_abstract_screen</t>
        </is>
      </c>
      <c r="C212" s="4" t="inlineStr">
        <is>
          <t>Incluir provisionalmente</t>
        </is>
      </c>
      <c r="D212" s="4" t="inlineStr">
        <is>
          <t>Provisional include</t>
        </is>
      </c>
      <c r="E212" s="4" t="inlineStr">
        <is>
          <t>Sí</t>
        </is>
      </c>
      <c r="F212" s="4" t="inlineStr">
        <is>
          <t>Title/abstract screening</t>
        </is>
      </c>
      <c r="G212" s="4" t="n"/>
      <c r="H212" s="4" t="n"/>
      <c r="I212" s="4" t="n"/>
      <c r="J212" s="4" t="inlineStr">
        <is>
          <t>El DOI, la página editorial y el resumen están localizados. El registro avanza a evaluación completa; no existe evidencia de una recuperación fallida.</t>
        </is>
      </c>
      <c r="K212" s="4" t="n"/>
      <c r="L212" s="4" t="n"/>
      <c r="M212" s="4" t="n">
        <v>2026</v>
      </c>
      <c r="N212" s="4" t="inlineStr">
        <is>
          <t>Predicting Autism</t>
        </is>
      </c>
      <c r="O212" s="4" t="inlineStr">
        <is>
          <t>Soumyendu Das and Soham Patra</t>
        </is>
      </c>
      <c r="P212" s="4" t="inlineStr">
        <is>
          <t>10.1002/9781394271177.CH13</t>
        </is>
      </c>
      <c r="Q212" s="4" t="inlineStr">
        <is>
          <t>Wearable Technologies for Digital Medicine: Advancement, Models, and Applications</t>
        </is>
      </c>
      <c r="R212" s="4" t="inlineStr">
        <is>
          <t>incollection</t>
        </is>
      </c>
      <c r="S212" s="4" t="inlineStr">
        <is>
          <t>Wiley</t>
        </is>
      </c>
      <c r="T212" s="4" t="inlineStr">
        <is>
          <t>https://onlinelibrary.wiley.com/doi/10.1002/9781394271177.ch13</t>
        </is>
      </c>
      <c r="U212" s="4" t="inlineStr">
        <is>
          <t>Informe localizado en Wiley. La disponibilidad en una página editorial o mediante acceso institucional impide clasificarlo anticipadamente como report not retrieved; la adjudicación completa permanece pendiente.</t>
        </is>
      </c>
      <c r="V212" s="4" t="inlineStr">
        <is>
          <t>Autism spectrum disorder (ASD) is a neurological disorder that influences the social and cognitive capacities of children. It can be characterized by repetitive behaviors and communication challenges. One of the cures for severity is early diagnosis. This article introduces an innovative method for ASD detection utilizing federated learning (FL) and a combination of multiple deep learning algorithms. FL works on a central server architecture where it sends all of the calculated data to a central server, where a meta classifier determines the most accurate diagnostic approach and stores it. This research highlights the potential of federated learning in ASD diagnostics, offering a reliable tool for concerned parents and healthcare professionals for early detection and diagnosis.</t>
        </is>
      </c>
      <c r="W212" s="4" t="inlineStr">
        <is>
          <t>title_abstract_screen_plus_located_publisher_record</t>
        </is>
      </c>
      <c r="X212" s="4" t="inlineStr">
        <is>
          <t>doi:10.1002/9781394271177.ch13</t>
        </is>
      </c>
      <c r="Y212" s="4" t="n"/>
      <c r="Z212" s="4" t="n"/>
      <c r="AA212" s="4" t="n"/>
      <c r="AB212" s="40" t="n"/>
    </row>
    <row r="213" ht="409" customHeight="1">
      <c r="A213" s="4" t="n">
        <v>212</v>
      </c>
      <c r="B213" s="4" t="inlineStr">
        <is>
          <t>include_after_full_text_open_access</t>
        </is>
      </c>
      <c r="C213" s="4" t="inlineStr">
        <is>
          <t>Incluir tras revisión de texto completo abierto</t>
        </is>
      </c>
      <c r="D213" s="4" t="inlineStr">
        <is>
          <t>Provisional include</t>
        </is>
      </c>
      <c r="E213" s="4" t="inlineStr">
        <is>
          <t>Sí</t>
        </is>
      </c>
      <c r="F213" s="4" t="inlineStr">
        <is>
          <t>Full-text review</t>
        </is>
      </c>
      <c r="G213" s="4" t="n"/>
      <c r="H213" s="4" t="n"/>
      <c r="I213" s="4" t="n"/>
      <c r="J213" s="4" t="inlineStr">
        <is>
          <t>Texto completo confirma estudio primario con Machine Learning aplicado a ASD (Differential classification and subtyping).</t>
        </is>
      </c>
      <c r="K213" s="4" t="n"/>
      <c r="L213" s="4" t="n"/>
      <c r="M213" s="4" t="n">
        <v>2026</v>
      </c>
      <c r="N213" s="4" t="inlineStr">
        <is>
          <t>Comparison of cognitive ability and its distribution between men with autism spectrum disorder and attention-deficit/hyperactivity disorder</t>
        </is>
      </c>
      <c r="O213" s="4" t="inlineStr">
        <is>
          <t>Hirokazu Doi and Yoshifumi Nakamura and Ayaka Nakai and Chieko Kanai and Haruhisa Ohta</t>
        </is>
      </c>
      <c r="P213" s="4" t="inlineStr">
        <is>
          <t>10.1371/journal.pone.0345522</t>
        </is>
      </c>
      <c r="Q213" s="4" t="inlineStr">
        <is>
          <t>PLOS ONE</t>
        </is>
      </c>
      <c r="R213" s="4" t="inlineStr">
        <is>
          <t>article</t>
        </is>
      </c>
      <c r="S213" s="4" t="inlineStr">
        <is>
          <t>Public Library of Science</t>
        </is>
      </c>
      <c r="T213" s="4" t="inlineStr">
        <is>
          <t>https://journals.plos.org/plosone/article/file?id=10.1371/journal.pone.0345522&amp;type=printable</t>
        </is>
      </c>
      <c r="U213" s="4" t="inlineStr">
        <is>
          <t>Texto completo abierto revisado; evidencia y codificación en Extraccion_RQ_nuevos.</t>
        </is>
      </c>
      <c r="V213" s="4" t="inlineStr">
        <is>
          <t>Objectives Clarification of the strengths and weaknesses of cognitive ability is essential to our understanding of the characteristics of autism spectrum disorder and attention deficit/ hyperactivity disorder. However, whether individuals with these conditions exhibit distinct patterns of cognitive ability remains unclear. To address this point, we aimed to compare the cognitive profiles of patients with autism spectrum disorder with those of patients with attention deficit/hyperactivity disorder by placing special emphasis on the distribution of cognitive function within each group. Methods This study compared the Wechsler Adult Intelligence Scale index scores of men with autism spectrum disorder and attention deficit/hyperactivity disorder. A machine learning model was trained to classify autism spectrum disorder and attention deficit/ hyperactivity disorder based on the subtest scores. The conformity of the within-group distribution of each index score to a normal distribution was also tested. Results Individuals with autism spectrum disorder scored higher than those with attention deficit/hyperactivity disorder in the Verbal Comprehension Index and Working Memory Index, while the opposite pattern was observed for the Perceptual Organization Index. The classification performance of the machine learning model was above chance level. The distributions of the Verbal Comprehension Index and Perceptual Organization Index deviated significantly from a normal distribution only in the autism spectrum disorder group. The results of Gaussian mixture clustering indicated that men with autism spectrum disorder could be divided into two distinct clusters based on their Verbal Comprehension Index scores. Conclusions Our findings indicate that men with autism spectrum disorder and attention deficit/ hyperactivity disorder show distinct cognitive profile patterns from each other. The distribution of some of the index scores deviated from the normal distribution only in autism spectrum disorder, which supports the view that autism spectrum disorder comprises heterogeneous subgroups with different cognitive profiles.</t>
        </is>
      </c>
      <c r="W213" s="4" t="inlineStr">
        <is>
          <t>open_full_text_review_2026_09_04</t>
        </is>
      </c>
      <c r="X213" s="4" t="inlineStr">
        <is>
          <t>doi:10.1371/journal.pone.0345522</t>
        </is>
      </c>
      <c r="Y213" s="4" t="n"/>
      <c r="Z213" s="4" t="n"/>
      <c r="AA213" s="4" t="n"/>
      <c r="AB213" s="40" t="n"/>
    </row>
    <row r="214" ht="409" customHeight="1">
      <c r="A214" s="4" t="n">
        <v>213</v>
      </c>
      <c r="B214" s="4" t="inlineStr">
        <is>
          <t>include_after_title_abstract_screen</t>
        </is>
      </c>
      <c r="C214" s="4" t="inlineStr">
        <is>
          <t>Incluir provisionalmente</t>
        </is>
      </c>
      <c r="D214" s="4" t="inlineStr">
        <is>
          <t>Provisional include</t>
        </is>
      </c>
      <c r="E214" s="4" t="inlineStr">
        <is>
          <t>Sí</t>
        </is>
      </c>
      <c r="F214" s="4" t="inlineStr">
        <is>
          <t>Title/abstract screening</t>
        </is>
      </c>
      <c r="G214" s="4" t="n"/>
      <c r="H214" s="4" t="n"/>
      <c r="I214" s="4" t="n"/>
      <c r="J214" s="4" t="inlineStr">
        <is>
          <t>Estudio primario o implementación/evaluación empírica de IA, aprendizaje automático o modelado computacional aplicado a ASD, riesgo, caracterización, apoyo o intervención.</t>
        </is>
      </c>
      <c r="K214" s="4" t="n"/>
      <c r="L214" s="4" t="n"/>
      <c r="M214" s="4" t="n">
        <v>2026</v>
      </c>
      <c r="N214" s="4" t="inlineStr">
        <is>
          <t>Identifying autism spectrum disorder diagnosis in children via temporal-frequency hyperdimensional computing with resting-state EEG</t>
        </is>
      </c>
      <c r="O214" s="4" t="inlineStr">
        <is>
          <t>Sha Wang and Guoqian Jiang and Jincheng Hu and Junxia Han and Ping Xie and Xiaoli Li</t>
        </is>
      </c>
      <c r="P214" s="4" t="inlineStr">
        <is>
          <t>10.1016/j.eswa.2025.130671</t>
        </is>
      </c>
      <c r="Q214" s="4" t="inlineStr">
        <is>
          <t>Expert Systems with Applications</t>
        </is>
      </c>
      <c r="R214" s="4" t="inlineStr">
        <is>
          <t>article</t>
        </is>
      </c>
      <c r="S214" s="4" t="inlineStr">
        <is>
          <t>Elsevier Ltd</t>
        </is>
      </c>
      <c r="T214" s="4" t="inlineStr">
        <is>
          <t>https://www.sciencedirect.com/science/article/pii/S0957417425042861</t>
        </is>
      </c>
      <c r="U214" s="4" t="n"/>
      <c r="V214" s="4" t="inlineStr">
        <is>
          <t>Autism spectrum disorder (ASD) is a neurodevelopmental disorder with high heterogeneity and complexity, it remains a challenge to identify ASD with existing artificial intelligence models, which tend to rely on typical data features, large-scale training datasets, and high computational resource. This study introduced a novel application of hyperdimensional computing (HDC) for ASD detection using resting-state EEG signals, addressing these limitations. We developed a Temporal-Frequency HDC (TF-HDC) model that integrated time-frequency EEG features from 120 age-matched male subjects (60 ASD vs. 60 typically developing controls). The proposed framework achieved 90.91 % classification accuracy with a relatively low computational cost compared to traditional machine learning methods (including SVM, RF, XGBoost, DNN, CNN, and LSTM). Crucially, the model demonstrated exceptional robustness in small-sample scenarios, maintaining strong performance with limited training data. These findings establish TF-HDC as both a computationally efficient and clinically practical solution for early ASD diagnosis, particularly in resource-constrained settings where large datasets are unavailable.</t>
        </is>
      </c>
      <c r="W214" s="4" t="inlineStr">
        <is>
          <t>title_abstract_plus_targeted_primary_source_verification</t>
        </is>
      </c>
      <c r="X214" s="4" t="inlineStr">
        <is>
          <t>doi:10.1016/j.eswa.2025.130671</t>
        </is>
      </c>
      <c r="Y214" s="4" t="n"/>
      <c r="Z214" s="4" t="n"/>
      <c r="AA214" s="4" t="n"/>
      <c r="AB214" s="40" t="n"/>
    </row>
    <row r="215" ht="409" customHeight="1">
      <c r="A215" s="4" t="n">
        <v>214</v>
      </c>
      <c r="B215" s="4" t="inlineStr">
        <is>
          <t>include_after_full_text_open_access</t>
        </is>
      </c>
      <c r="C215" s="4" t="inlineStr">
        <is>
          <t>Incluir tras revisión de texto completo abierto</t>
        </is>
      </c>
      <c r="D215" s="4" t="inlineStr">
        <is>
          <t>Provisional include</t>
        </is>
      </c>
      <c r="E215" s="4" t="inlineStr">
        <is>
          <t>Sí</t>
        </is>
      </c>
      <c r="F215" s="4" t="inlineStr">
        <is>
          <t>Full-text review</t>
        </is>
      </c>
      <c r="G215" s="4" t="n"/>
      <c r="H215" s="4" t="n"/>
      <c r="I215" s="4" t="n"/>
      <c r="J215" s="4" t="inlineStr">
        <is>
          <t>Texto completo confirma estudio primario con Machine Learning aplicado a ASD (Classification and connectivity characterization).</t>
        </is>
      </c>
      <c r="K215" s="4" t="n"/>
      <c r="L215" s="4" t="n"/>
      <c r="M215" s="4" t="n">
        <v>2025</v>
      </c>
      <c r="N215" s="4" t="inlineStr">
        <is>
          <t>Hippocampal Subregion Function and Its Clinical Correlations in Childhood Autism Spectrum Disorders</t>
        </is>
      </c>
      <c r="O215" s="4" t="inlineStr">
        <is>
          <t>Hui Xian Li and De Sheng Xuan and Ronghao Mu and Chi Qin and Xin Zhao</t>
        </is>
      </c>
      <c r="P215" s="4" t="inlineStr">
        <is>
          <t>10.1002/AUR.70124</t>
        </is>
      </c>
      <c r="Q215" s="4" t="inlineStr">
        <is>
          <t>Autism Research</t>
        </is>
      </c>
      <c r="R215" s="4" t="inlineStr">
        <is>
          <t>article</t>
        </is>
      </c>
      <c r="S215" s="4" t="inlineStr">
        <is>
          <t>John Wiley and Sons Inc</t>
        </is>
      </c>
      <c r="T215" s="4" t="inlineStr">
        <is>
          <t>https://onlinelibrary.wiley.com/doi/pdfdirect/10.1002/aur.70124</t>
        </is>
      </c>
      <c r="U215" s="4" t="inlineStr">
        <is>
          <t>Texto completo abierto revisado; evidencia y codificación en Extraccion_RQ_nuevos.</t>
        </is>
      </c>
      <c r="V215" s="4" t="inlineStr">
        <is>
          <t>The hippocampus plays a crucial role in memory and social processing, both of which are impaired in autism spectrum disorder (ASD). Investigating the functional activity of hippocampal subregions can provide valuable insights into their involvement in ASD-related social and behavioral symptoms. This study analyzed hippocampal resting-state functional connectivity (rsFC) in 507 male child participants from the ABIDE dataset (225 ASD, 282 typical controls) and its relation to clinical features. The hippocampus was subdivided into rostral and caudal subregions, and rsFC patterns were compared between groups. Significant group differences were observed in the left caudal, right rostral, and right caudal hippocampus, with enhanced connectivity to widespread cortical and subcortical regions, including visual, motor, parietal, and cerebellar networks. Machine learning using hippocampal rsFC achieved modest classification performance. Clinically, rsFC correlated with core ASD symptoms: social awareness was associated with right caudal connectivity to fusiform and temporal regions, while restricted and repetitive behaviors were linked to distinct rostral–caudal patterns involving frontal, motor, and cerebellar areas. Age of onset showed positive correlations with rsFC across all subregions, with rostral hippocampus engaging socioemotional and motor control networks and caudal hippocampus connecting more strongly to visual and sensorimotor integration regions. These findings demonstrate subregional specificity of hippocampal connectivity in ASD, suggesting distinct anterior–posterior contributions to symptom expression and developmental timing.</t>
        </is>
      </c>
      <c r="W215" s="4" t="inlineStr">
        <is>
          <t>open_full_text_review_2026_09_04</t>
        </is>
      </c>
      <c r="X215" s="4" t="inlineStr">
        <is>
          <t>doi:10.1002/aur.70124</t>
        </is>
      </c>
      <c r="Y215" s="4" t="n"/>
      <c r="Z215" s="4" t="n"/>
      <c r="AA215" s="4" t="n"/>
      <c r="AB215" s="40" t="n"/>
    </row>
    <row r="216" ht="409" customHeight="1">
      <c r="A216" s="4" t="n">
        <v>215</v>
      </c>
      <c r="B216" s="4" t="inlineStr">
        <is>
          <t>include_after_title_abstract_screen</t>
        </is>
      </c>
      <c r="C216" s="4" t="inlineStr">
        <is>
          <t>Incluir provisionalmente</t>
        </is>
      </c>
      <c r="D216" s="4" t="inlineStr">
        <is>
          <t>Provisional include</t>
        </is>
      </c>
      <c r="E216" s="4" t="inlineStr">
        <is>
          <t>Sí</t>
        </is>
      </c>
      <c r="F216" s="4" t="inlineStr">
        <is>
          <t>Title/abstract screening</t>
        </is>
      </c>
      <c r="G216" s="4" t="n"/>
      <c r="H216" s="4" t="n"/>
      <c r="I216" s="4" t="n"/>
      <c r="J216" s="4" t="inlineStr">
        <is>
          <t>Estudio primario o implementación/evaluación empírica de IA, aprendizaje automático o modelado computacional aplicado a ASD, riesgo, caracterización, apoyo o intervención.</t>
        </is>
      </c>
      <c r="K216" s="4" t="n"/>
      <c r="L216" s="4" t="n"/>
      <c r="M216" s="4" t="n">
        <v>2026</v>
      </c>
      <c r="N216" s="4" t="inlineStr">
        <is>
          <t>Integrated transcriptomic and clinical analysis of autism spectrum disorder reveals structured heterogeneity and links Methyl-CpG Binding Domain Protein 2 expression with symptom severity</t>
        </is>
      </c>
      <c r="O216" s="4" t="inlineStr">
        <is>
          <t>Wasana Yuwattana and Chayanit Poolcharoen and Thanit Saeliw and Marlieke Lisanne van Erp and Songphon Kanlayaprasit and Natchaya Vanwong and Valerie W Hu and Pon Trairatvorakul and Weerasak Chonchaiya and Kim Anh Lê Cao and Tewarit Sarachana</t>
        </is>
      </c>
      <c r="P216" s="4" t="inlineStr">
        <is>
          <t>10.1111/pcn.70065</t>
        </is>
      </c>
      <c r="Q216" s="4" t="inlineStr">
        <is>
          <t>Psychiatry and Clinical Neurosciences</t>
        </is>
      </c>
      <c r="R216" s="4" t="inlineStr">
        <is>
          <t>article</t>
        </is>
      </c>
      <c r="S216" s="4" t="inlineStr">
        <is>
          <t>John Wiley and Sons Inc</t>
        </is>
      </c>
      <c r="T216" s="4" t="inlineStr">
        <is>
          <t>https://doi.org/10.1111/pcn.70065</t>
        </is>
      </c>
      <c r="U216" s="4" t="n"/>
      <c r="V216" s="4" t="inlineStr">
        <is>
          <t>Aim: Autism spectrum disorder (ASD) remains underexplored in Southeast Asia, with limited characterization of its molecular underpinnings and clinical heterogeneity. This study investigated transcriptomic variation and its relationship to clinical diversity in Thai children with ASD using integrated molecular and phenotypic analyses. Method: Peripheral blood transcriptomic profiling was performed in 150 ASD and 70 typically developing (TD) children to identify differentially expressed transcripts (DETs), followed by pathway enrichment, unsupervised molecular clustering, and integrative multiomics modeling. Clinical data from 200 ASD and 110 TD participants were analyzed in parallel to evaluate screening performance and derive phenotype-based subgroups. Results: Differential expression analysis identified 1,407 DETs with significant enrichment of autism-associated genes. Pathway analysis consistently implicated dysregulation of protein-synthesis machinery. Unsupervised transcriptome-based clustering revealed three molecular subgroups characterized by translational, innate-immune, and interferon-associated signatures, which did not directly correspond to clinical severity, age, or cognitive level, indicating structured biological heterogeneity beyond symptom-based classification. Integration of transcriptomic and phenotypic data demonstrated moderate cross-domain correspondence. Among recurrent molecular signals, MBD2 showed consistent upregulation across subgroups and strong associations with social-interaction measures (r = 0.74). In parallel, clinical machine-learning models showed high within-cohort screening performance, while a refined 17-transcript panel achieved robust discriminative accuracy, supporting the complementary role of molecular features in ASD stratification. Conclusion: Transcriptomic stratification reveals biologically structured heterogeneity in ASD that is only partially reflected in clinical presentation, supporting a multilayered framework integrating molecular and phenotypic dimensions.</t>
        </is>
      </c>
      <c r="W216" s="4" t="inlineStr">
        <is>
          <t>title_abstract_plus_targeted_primary_source_verification</t>
        </is>
      </c>
      <c r="X216" s="4" t="inlineStr">
        <is>
          <t>doi:10.1111/pcn.70065</t>
        </is>
      </c>
      <c r="Y216" s="4" t="n"/>
      <c r="Z216" s="4" t="n"/>
      <c r="AA216" s="4" t="n"/>
      <c r="AB216" s="40" t="n"/>
    </row>
    <row r="217" ht="409" customHeight="1">
      <c r="A217" s="4" t="n">
        <v>216</v>
      </c>
      <c r="B217" s="4" t="inlineStr">
        <is>
          <t>include_after_full_text_open_access</t>
        </is>
      </c>
      <c r="C217" s="4" t="inlineStr">
        <is>
          <t>Incluir tras revisión de texto completo abierto</t>
        </is>
      </c>
      <c r="D217" s="4" t="inlineStr">
        <is>
          <t>Provisional include</t>
        </is>
      </c>
      <c r="E217" s="4" t="inlineStr">
        <is>
          <t>Sí</t>
        </is>
      </c>
      <c r="F217" s="4" t="inlineStr">
        <is>
          <t>Full-text review</t>
        </is>
      </c>
      <c r="G217" s="4" t="n"/>
      <c r="H217" s="4" t="n"/>
      <c r="I217" s="4" t="n"/>
      <c r="J217" s="4" t="inlineStr">
        <is>
          <t>Texto completo confirma estudio primario con Deep Learning aplicado a ASD (Segmentation and synchrony characterization).</t>
        </is>
      </c>
      <c r="K217" s="4" t="n"/>
      <c r="L217" s="4" t="n"/>
      <c r="M217" s="4" t="n">
        <v>2026</v>
      </c>
      <c r="N217" s="4" t="inlineStr">
        <is>
          <t>Parental Stress and Caregiver Role Modulate Child–Caregiver Prosodic Synchrony in Autism: A Computational Analysis</t>
        </is>
      </c>
      <c r="O217" s="4" t="inlineStr">
        <is>
          <t>Maria Grazia Logrieco and Giulio Bertamini and Laura Casula and Mohamed Chetouani and Silvia Guerrera and Mirco Fasolo and Paola Venuti and Maria Luisa Scattoni and Francesca Fulceri and Stefano Vicari and David Cohen and Giovanni Valeri</t>
        </is>
      </c>
      <c r="P217" s="4" t="inlineStr">
        <is>
          <t>10.1002/AUR.70189</t>
        </is>
      </c>
      <c r="Q217" s="4" t="inlineStr">
        <is>
          <t>Autism Research</t>
        </is>
      </c>
      <c r="R217" s="4" t="inlineStr">
        <is>
          <t>article</t>
        </is>
      </c>
      <c r="S217" s="4" t="inlineStr">
        <is>
          <t>John Wiley and Sons Inc</t>
        </is>
      </c>
      <c r="T217" s="4" t="inlineStr">
        <is>
          <t>https://onlinelibrary.wiley.com/doi/pdfdirect/10.1002/aur.70189</t>
        </is>
      </c>
      <c r="U217" s="4" t="inlineStr">
        <is>
          <t>Texto completo abierto revisado; evidencia y codificación en Extraccion_RQ_nuevos.</t>
        </is>
      </c>
      <c r="V217" s="4" t="inlineStr">
        <is>
          <t>Parental stress influences parent–child interactions in typical development and is a prognostic factor of autism outcome. However, we still do not know to what extent parental stress affects parent–child interactions and whether caregiver role matters. This study explored the relationship between parental stress and prosodic synchrony in parent–child vocal interactions, drawing on complex dynamic systems and affective computing frameworks. We assessed 62 dyads (31 autistic preschoolers, interacting separately with their mother and father) during structured play interactions at two time points (12 months apart) along with perceived parental stress. We used a Deep Learning model to segment child-caregiver acoustic interactions with high accuracy automatically. Downstream, prosodic synchrony was modeled through cross-recurrence quantification analysis. Linear mixed-effects models were used to assess the impact of parental stress, caregiver role, and time on synchrony metrics. Models showed significant associations between parental stress and synchrony metrics for spectral and formant amplitude features. Higher stress levels were linked to less stable, predictable, and structured interactions. These effects were more pronounced in father–child dyads compared to mother–child dyads. Permutation analyses confirmed that these associations were specific to moment-to-moment coordination rather than general acoustic similarity. In autistic children, parental stress levels are linked with the temporal dynamics of parent–child prosodic synchrony, specifically affective speech and moment-to-moment coordination. It appears to be more pronounced in fathers. The results underscore the importance of fostering parental well-being and tailoring interventions to account for differences between maternal and paternal interaction patterns in autism.</t>
        </is>
      </c>
      <c r="W217" s="4" t="inlineStr">
        <is>
          <t>open_full_text_review_2026_09_04</t>
        </is>
      </c>
      <c r="X217" s="4" t="inlineStr">
        <is>
          <t>doi:10.1002/aur.70189</t>
        </is>
      </c>
      <c r="Y217" s="4" t="n"/>
      <c r="Z217" s="4" t="n"/>
      <c r="AA217" s="4" t="n"/>
      <c r="AB217" s="40" t="n"/>
    </row>
    <row r="218" ht="409" customHeight="1">
      <c r="A218" s="4" t="n">
        <v>217</v>
      </c>
      <c r="B218" s="4" t="inlineStr">
        <is>
          <t>include_after_full_text_open_access</t>
        </is>
      </c>
      <c r="C218" s="4" t="inlineStr">
        <is>
          <t>Incluir tras revisión de texto completo abierto</t>
        </is>
      </c>
      <c r="D218" s="4" t="inlineStr">
        <is>
          <t>Provisional include</t>
        </is>
      </c>
      <c r="E218" s="4" t="inlineStr">
        <is>
          <t>Sí</t>
        </is>
      </c>
      <c r="F218" s="4" t="inlineStr">
        <is>
          <t>Full-text review</t>
        </is>
      </c>
      <c r="G218" s="4" t="n"/>
      <c r="H218" s="4" t="n"/>
      <c r="I218" s="4" t="n"/>
      <c r="J218" s="4" t="inlineStr">
        <is>
          <t>Texto completo confirma estudio primario con Machine Learning aplicado a ASD (Brain-age prediction).</t>
        </is>
      </c>
      <c r="K218" s="4" t="n"/>
      <c r="L218" s="4" t="n"/>
      <c r="M218" s="4" t="n">
        <v>2026</v>
      </c>
      <c r="N218" s="4" t="inlineStr">
        <is>
          <t>Predicting brain age in children aged 2–6 years with autism spectrum disorders using routine T1- and T2-weighted magnetic resonance imaging</t>
        </is>
      </c>
      <c r="O218" s="4" t="inlineStr">
        <is>
          <t>Zunying Hu and Rongjia Xiang and Huanyu Luo and Di Hu and Huiying Kang and Huanjie Li and Xin Fan and Yun Peng</t>
        </is>
      </c>
      <c r="P218" s="4" t="inlineStr">
        <is>
          <t>10.1002/PED4.70064</t>
        </is>
      </c>
      <c r="Q218" s="4" t="inlineStr">
        <is>
          <t>Pediatric Investigation</t>
        </is>
      </c>
      <c r="R218" s="4" t="inlineStr">
        <is>
          <t>article</t>
        </is>
      </c>
      <c r="S218" s="4" t="inlineStr">
        <is>
          <t>John Wiley and Sons Inc</t>
        </is>
      </c>
      <c r="T218" s="4" t="inlineStr">
        <is>
          <t>https://doi.org/10.1002/ped4.70064</t>
        </is>
      </c>
      <c r="U218" s="4" t="inlineStr">
        <is>
          <t>Texto completo abierto revisado; evidencia y codificación en Extraccion_RQ_nuevos.</t>
        </is>
      </c>
      <c r="V218" s="4" t="inlineStr">
        <is>
          <t>Importance: Early childhood (ages 2–6 years) represents a dynamic phase of brain maturation and a critical window for the emergence of neurodevelopmental disorders, such as autism spectrum disorder (ASD). However, the maturational patterns of the brain during this period remain underexplored, especially regarding the utility of routine clinical imaging. Objective: To develop a brain age prediction model using routine magnetic resonance imaging (MRI) and characterize maturational deviations in children with ASD. Methods: We retrospectively collected MRI data from 2010 typically developing children (TDC) and 822 children with ASD (aged 2–6 years). A brain age prediction model based on T1- and T2-weighted MRI was developed using machine learning algorithms in the TDC cohort and subsequently applied to the ASD cohort. Model performance was assessed using the mean absolute error (MAE) and Pearson's correlation coefficient (PCC). Brain age difference (BAD) was compared between the two groups, followed by age-matched analyses and age-stratified comparisons. Results: The Ridge regression model demonstrated a robust performance in the TDC testing set (MAE = 0.526 years, PCC = 0.812) and showed comparable predictive performance in the ASD cohort (MAE = 0.497 years, PCC = 0.775). Age-matched analysis revealed significantly delayed brain maturation in ASD patients compared with TDC patients (P &lt; 0.001). Stratified analysis identified nominal delays in ASD subgroups aged 3–4 years and 4–5 years, with a trend toward relatively advanced predicted brain age by ages 5–6 years. Interpretation: This routine MRI-based brain age prediction model demonstrated good performance, with low prediction error and high correlation between predicted and chronological age, in estimating the brain age of TDC and ASD. It revealed a dynamic, age-related pattern in children with ASD, highlighting developmental heterogeneity across early childhood.</t>
        </is>
      </c>
      <c r="W218" s="4" t="inlineStr">
        <is>
          <t>open_full_text_review_2026_09_04</t>
        </is>
      </c>
      <c r="X218" s="4" t="inlineStr">
        <is>
          <t>doi:10.1002/ped4.70064</t>
        </is>
      </c>
      <c r="Y218" s="4" t="n"/>
      <c r="Z218" s="4" t="n"/>
      <c r="AA218" s="4" t="n"/>
      <c r="AB218" s="40" t="n"/>
    </row>
    <row r="219" ht="409" customHeight="1">
      <c r="A219" s="4" t="n">
        <v>218</v>
      </c>
      <c r="B219" s="4" t="inlineStr">
        <is>
          <t>include_after_title_abstract_screen</t>
        </is>
      </c>
      <c r="C219" s="4" t="inlineStr">
        <is>
          <t>Incluir provisionalmente</t>
        </is>
      </c>
      <c r="D219" s="4" t="inlineStr">
        <is>
          <t>Provisional include</t>
        </is>
      </c>
      <c r="E219" s="4" t="inlineStr">
        <is>
          <t>Sí</t>
        </is>
      </c>
      <c r="F219" s="4" t="inlineStr">
        <is>
          <t>Title/abstract screening</t>
        </is>
      </c>
      <c r="G219" s="4" t="n"/>
      <c r="H219" s="4" t="n"/>
      <c r="I219" s="4" t="n"/>
      <c r="J219" s="4" t="inlineStr">
        <is>
          <t>Estudio primario o implementación/evaluación empírica de IA, aprendizaje automático o modelado computacional aplicado a ASD, riesgo, caracterización, apoyo o intervención.</t>
        </is>
      </c>
      <c r="K219" s="4" t="n"/>
      <c r="L219" s="4" t="n"/>
      <c r="M219" s="4" t="n">
        <v>2026</v>
      </c>
      <c r="N219" s="4" t="inlineStr">
        <is>
          <t>A Robust Computational Framework for Autism Spectrum Disorder Identification Using Optimized Image Processing and Hybrid Learning Models</t>
        </is>
      </c>
      <c r="O219" s="4" t="inlineStr">
        <is>
          <t>A Kanchana and Rashmitha Khilar</t>
        </is>
      </c>
      <c r="P219" s="4" t="inlineStr">
        <is>
          <t>10.1002/dneu.70028</t>
        </is>
      </c>
      <c r="Q219" s="4" t="inlineStr">
        <is>
          <t>Developmental Neurobiology</t>
        </is>
      </c>
      <c r="R219" s="4" t="inlineStr">
        <is>
          <t>article</t>
        </is>
      </c>
      <c r="S219" s="4" t="inlineStr">
        <is>
          <t>John Wiley and Sons Inc</t>
        </is>
      </c>
      <c r="T219" s="4" t="inlineStr">
        <is>
          <t>https://doi.org/10.1002/dneu.70028</t>
        </is>
      </c>
      <c r="U219" s="4" t="n"/>
      <c r="V219" s="4" t="inlineStr">
        <is>
          <t>The classification of autism spectrum disorder (ASD) has reached a new stage of development that includes the former machine learning (ML) designs and image analysis designs. The study introduces a new framework that uses discrete wavelet transformation with Gaussian filter kernel (DWT-GFK) to achieve the robust preprocessing of the image, including noise removal and preserving edges without affecting the quality of the image. The VGG16 deep learning model is used to extract features, elaborate visual patterns, and data features that are pertinent to the identification of ASD. The classification stage uses a family of Elevated Learning-based Boosting Network with Hybrid Learning with Neural Classifier Logic (ELBN–HLNCL) that is optimized with the help of Walrus Optimization Algorithm (WaOA) to derive optimal model settings. Experimental testing of the proposed methods using the autism image dataset (AID), ASD screening dataset, and ABIDE dataset has shown the superiority of the proposed methodology with 99.95% accuracy, 99.9% recall, 99.8% precision, and 99.85% F1-score. The results demonstrate strong competitive performance compared with existing ASD classification approaches across multiple datasets. The findings offer promising applications in early ASD detection, facilitating improved diagnostic tools and aiding healthcare professionals in accurate assessments.</t>
        </is>
      </c>
      <c r="W219" s="4" t="inlineStr">
        <is>
          <t>title_abstract_plus_targeted_primary_source_verification</t>
        </is>
      </c>
      <c r="X219" s="4" t="inlineStr">
        <is>
          <t>doi:10.1002/dneu.70028</t>
        </is>
      </c>
      <c r="Y219" s="4" t="n"/>
      <c r="Z219" s="4" t="n"/>
      <c r="AA219" s="4" t="n"/>
      <c r="AB219" s="40" t="n"/>
    </row>
    <row r="220" ht="409" customHeight="1">
      <c r="A220" s="4" t="n">
        <v>219</v>
      </c>
      <c r="B220" s="4" t="inlineStr">
        <is>
          <t>duplicate_within_export</t>
        </is>
      </c>
      <c r="C220" s="4" t="inlineStr">
        <is>
          <t>No agregar: duplicado interno</t>
        </is>
      </c>
      <c r="D220" s="4" t="inlineStr">
        <is>
          <t>Duplicate within update</t>
        </is>
      </c>
      <c r="E220" s="4" t="inlineStr">
        <is>
          <t>No</t>
        </is>
      </c>
      <c r="F220" s="4" t="inlineStr">
        <is>
          <t>Deduplication</t>
        </is>
      </c>
      <c r="G220" s="4" t="n"/>
      <c r="H220" s="4" t="n"/>
      <c r="I220" s="4" t="n"/>
      <c r="J220" s="4" t="inlineStr">
        <is>
          <t>Mismo DOI o título que otro registro anterior de esta exportación.</t>
        </is>
      </c>
      <c r="K220" s="4" t="n">
        <v>179</v>
      </c>
      <c r="L220" s="4" t="n"/>
      <c r="M220" s="4" t="n">
        <v>2025</v>
      </c>
      <c r="N220" s="4" t="inlineStr">
        <is>
          <t>Free Water Corrected Diffusion Magnetic Resonance Imaging Reveals Microstructural Alterations in Corpus Callosum Subregions of Preschool Children With Autism</t>
        </is>
      </c>
      <c r="O220" s="4" t="inlineStr">
        <is>
          <t>Doudou Cao and Litong Ni and Qi Qi and Lan Zhou and Junyi Wang and Yijie Li and Wei Zhang and Jiayan Wei and Yixiu Luo and Yi Wang and Fan Zhang and Shijun Li</t>
        </is>
      </c>
      <c r="P220" s="4" t="inlineStr">
        <is>
          <t>10.1002/HBM.70435</t>
        </is>
      </c>
      <c r="Q220" s="4" t="inlineStr">
        <is>
          <t>Human Brain Mapping</t>
        </is>
      </c>
      <c r="R220" s="4" t="inlineStr">
        <is>
          <t>article</t>
        </is>
      </c>
      <c r="S220" s="4" t="inlineStr">
        <is>
          <t>John Wiley and Sons Inc</t>
        </is>
      </c>
      <c r="T220" s="4" t="inlineStr">
        <is>
          <t>https://doi.org/10.1002/HBM.70435</t>
        </is>
      </c>
      <c r="U220" s="4" t="n"/>
      <c r="V220" s="4" t="inlineStr">
        <is>
          <t>Autism spectrum disorder (ASD) is associated with white matter microstructural abnormalities, particularly in the corpus callosum (CC). This study employed free water corrected diffusion magnetic resonance imaging (fwc-dMRI) to investigate CC subregion-specific microstructural alterations in preschool children with ASD, which mitigates partial volume effects from extracellular free water. Sixty-one ASD children (6.03 ± 1.08 years) and 62 typically developing (TD) controls (6.49 ± 1.45 years) were enrolled in this study. In the ASD group, the symptom severity was assessed by the Autism Behavior Checklist (ABC). Fwc-dMRI technique, a bi-tensor tractography method, was used to investigate the white matter microstructure, which models free water and brain tissues through isotropic and anisotropic tensors to eliminate the partial volume effects caused by extracellular free water. The CC was segmented into seven subregions automatically according to its alignment to the cortex by a robust machine learning approach based on an anatomically curated white matter atlas. Fwc-dMRI-derived metrics were extracted for each CC subregion. Then we compared diffusion metrics between the two groups, and the correlation between the fractional anisotropy tissue (FAt) and the scores of the ABC scale was analyzed in ASD. Significant group differences were localized to CC6 (temporal lobe projections), showing reduced FAt (t = −3.251, p &lt; 0.01) and elevated radial diffusivity tissue (t = 3.632, p &lt; 0.01), and CC1 (orbital lobe projections), exhibiting decreased free water (t = −3.068, p &lt; 0.05). FAt in CC2–5 negatively correlated with ABC scores (r = −0.36 to −0.52, p &lt; 0.01), linking frontoparietal connectivity to the symptom severity of ASD. Fwc-dMRI identified distinct microstructural disruptions in CC subregions, implicating dysmyelination in temporal pathways (CC6) and abnormal axonal development in frontal projections (CC1). These findings highlight fwc-dMRI's potential for early ASD diagnosis and intervention monitoring.</t>
        </is>
      </c>
      <c r="W220" s="4" t="inlineStr">
        <is>
          <t>title_abstract_plus_targeted_primary_source_verification</t>
        </is>
      </c>
      <c r="X220" s="4" t="inlineStr">
        <is>
          <t>doi:10.1002/hbm.70435</t>
        </is>
      </c>
      <c r="Y220" s="4" t="n"/>
      <c r="Z220" s="4" t="n"/>
      <c r="AA220" s="4" t="n"/>
      <c r="AB220" s="40" t="n"/>
    </row>
    <row r="221" ht="409" customHeight="1">
      <c r="A221" s="4" t="n">
        <v>220</v>
      </c>
      <c r="B221" s="4" t="inlineStr">
        <is>
          <t>exclude_secondary_or_nonempirical_publication</t>
        </is>
      </c>
      <c r="C221" s="4" t="inlineStr">
        <is>
          <t>Excluir: publicación secundaria/no empírica</t>
        </is>
      </c>
      <c r="D221" s="4" t="inlineStr">
        <is>
          <t>Excluded</t>
        </is>
      </c>
      <c r="E221" s="4" t="inlineStr">
        <is>
          <t>No</t>
        </is>
      </c>
      <c r="F221" s="4" t="inlineStr">
        <is>
          <t>Title/abstract screening</t>
        </is>
      </c>
      <c r="G221" s="4" t="n"/>
      <c r="H221" s="4" t="n"/>
      <c r="I221" s="4" t="n"/>
      <c r="J221" s="4" t="inlineStr">
        <is>
          <t>Revisión, metaanálisis, encuesta de literatura, protocolo, perspectiva, carta, editorial o capítulo de síntesis sin estudio primario elegible.</t>
        </is>
      </c>
      <c r="K221" s="4" t="n"/>
      <c r="L221" s="4" t="n"/>
      <c r="M221" s="4" t="n">
        <v>2026</v>
      </c>
      <c r="N221" s="4" t="inlineStr">
        <is>
          <t>Machine Learning Algorithms for Detection of Autism Spectrum Disorders in Early Childhood: A Scoping Review</t>
        </is>
      </c>
      <c r="O221" s="4" t="inlineStr">
        <is>
          <t>Xiaoling Gu and Jinghan Jia and Xinrui Zhang and Hongyue Wei and Yaowei Han and Ping Rong and Xin Cui and Huayu Tian</t>
        </is>
      </c>
      <c r="P221" s="4" t="inlineStr">
        <is>
          <t>10.1111/JCAP.70052</t>
        </is>
      </c>
      <c r="Q221" s="4" t="inlineStr">
        <is>
          <t>Journal of Child and Adolescent Psychiatric Nursing</t>
        </is>
      </c>
      <c r="R221" s="4" t="inlineStr">
        <is>
          <t>article</t>
        </is>
      </c>
      <c r="S221" s="4" t="inlineStr">
        <is>
          <t>John Wiley and Sons Inc</t>
        </is>
      </c>
      <c r="T221" s="4" t="inlineStr">
        <is>
          <t>https://doi.org/10.1111/JCAP.70052</t>
        </is>
      </c>
      <c r="U221" s="4" t="n"/>
      <c r="V221" s="4" t="inlineStr">
        <is>
          <t>Objective: This scoping review assesses machine learning (ML)-based prediction models for autism spectrum disorder (ASD) in early childhood, with the aim of providing a technical and conceptual foundation for improving early ASD detection. Methods: Relevant studies on ML-driven ASD prediction models were systematically retrieved from eight databases: PubMed, Embase, Web of Science Core Collection, Cochrane Library, China National Knowledge Infrastructure (CNKI), China Biomedical Database (CBM), Wanfang Data Knowledge Service Platform (WF), and VIP Chinese Science and Technology Journal Database. The scoping review methodology was strictly followed for data extraction and analysis. Results: A total of 16 studies focusing on the application of diverse machine learning algorithms for ASD identification and prediction were included. Among these, 4 studies (25%) employed multiple algorithms for predictive modeling. The most frequently utilized algorithms were tree-based methods (7 studies, 44%), neural networks (NNs) (7 studies, 44%), support vector machines (SVMs) (5 studies, 31%), and regularized logistic regression (3 studies, 19%). Twelve studies (75%) reported Area Under the Curve (AUC) values, all exceeding the 0.7 threshold. Notably, 7 studies (44%) achieved excellent predictive performance with AUC values surpassing 0.9. Conclusions: ML-based models hold substantial promise for the early identification of ASD, which is critical for improving patient outcomes. Future research should focus on standardizing ML model frameworks, refining theoretical underpinnings to enhance practical applicability, and promoting clinical implementation following rigorous validation. These efforts will further enhance the accuracy and utility of such predictive models.</t>
        </is>
      </c>
      <c r="W221" s="4" t="inlineStr">
        <is>
          <t>title_abstract_plus_targeted_primary_source_verification</t>
        </is>
      </c>
      <c r="X221" s="4" t="inlineStr">
        <is>
          <t>doi:10.1111/jcap.70052</t>
        </is>
      </c>
      <c r="Y221" s="4" t="n"/>
      <c r="Z221" s="4" t="n"/>
      <c r="AA221" s="4" t="n"/>
      <c r="AB221" s="40" t="n"/>
    </row>
    <row r="222" ht="409" customHeight="1">
      <c r="A222" s="4" t="n">
        <v>221</v>
      </c>
      <c r="B222" s="4" t="inlineStr">
        <is>
          <t>exclude_secondary_or_nonempirical_publication</t>
        </is>
      </c>
      <c r="C222" s="4" t="inlineStr">
        <is>
          <t>Excluir: publicación secundaria/no empírica</t>
        </is>
      </c>
      <c r="D222" s="4" t="inlineStr">
        <is>
          <t>Excluded</t>
        </is>
      </c>
      <c r="E222" s="4" t="inlineStr">
        <is>
          <t>No</t>
        </is>
      </c>
      <c r="F222" s="4" t="inlineStr">
        <is>
          <t>Title/abstract screening</t>
        </is>
      </c>
      <c r="G222" s="4" t="n"/>
      <c r="H222" s="4" t="n"/>
      <c r="I222" s="4" t="n"/>
      <c r="J222" s="4" t="inlineStr">
        <is>
          <t>Revisión, metaanálisis, encuesta de literatura, protocolo, perspectiva, carta, editorial o capítulo de síntesis sin estudio primario elegible.</t>
        </is>
      </c>
      <c r="K222" s="4" t="n"/>
      <c r="L222" s="4" t="n"/>
      <c r="M222" s="4" t="n">
        <v>2026</v>
      </c>
      <c r="N222" s="4" t="inlineStr">
        <is>
          <t>Affective AI in Healthcare and Mental Health – AI-Driven Emotion Detection for Diagnosing Depression, Anxiety, and Autism Spectrum Disorders</t>
        </is>
      </c>
      <c r="O222" s="4" t="inlineStr">
        <is>
          <t>D Shivamma and S G Shaila and L Monish and Ramesh Chundi and S G Sumana</t>
        </is>
      </c>
      <c r="P222" s="4" t="inlineStr">
        <is>
          <t>10.1002/9781394422760.CH8</t>
        </is>
      </c>
      <c r="Q222" s="4" t="inlineStr">
        <is>
          <t>Coresource 4</t>
        </is>
      </c>
      <c r="R222" s="4" t="inlineStr">
        <is>
          <t>article</t>
        </is>
      </c>
      <c r="S222" s="4" t="inlineStr">
        <is>
          <t>Wiley</t>
        </is>
      </c>
      <c r="T222" s="4" t="inlineStr">
        <is>
          <t>https://doi.org/10.1002/9781394422760.CH8</t>
        </is>
      </c>
      <c r="U222" s="4" t="n"/>
      <c r="V222" s="4" t="inlineStr">
        <is>
          <t>Due to the high prevalence of Psychological or emotional disorders, it is important to develop new and effective management strategies that can work alongside conventional treatment. Affective Artificial Intelligence (Affective AI) has been identified as one of the new trends in the detection, interpretation, and response to human emotions. This has come in as a useful tool that can assist the mental health professionals in their work by presenting new ways of identifying and understanding the emotional behavioral patterns. This chapter reviews the application of affective AI in healthcare, particularly in mental health, with a focus on its use in diagnosing and monitoring depression, anxiety, and autism spectrum disorder through emotion detection. The Affective AI systems are able to detect the minor indicators which are usually missed in the normal evaluation. Some of the markers of emotional distress include facial micro-expressions, change in voice tone, eye movement, posture, and word choice. These signals, processed by AI models trained on large, diverse datasets, can help in detecting early signs of depression, anxiety. In the depression case, the participants may exhibit low affect, monotonous speech, slow movements, and negative sentiment in their language. These patterns are given to the AI systems for training and to recognize and interpret. Also, an anxiety can be presented by rapid speech, heightened physiological arousal, avoidance behaviors, or restlessness. Affective AI provides an open window to non-intrusive monitoring which may assist clinicians in tracking changes over time, evaluating treatment effectiveness, and timely interventions. Autism spectrum disorders are difficult to diagnose, especially in young children. The symptoms concerning the emotional recognition, social communication, and behavioral rigidity are delicate and can be quite inconsistent. Affective AI systems can be of great help in the early identification of ASD by examining how people react to emotional stimuli, how they interact in social situations, and how they express human emotions. The assessment of gaze patterns, facial engagement, and prosodic variation are some of the techniques that are being increasingly used to enhance early intervention and personalized therapy planning. Although Affective AI holds great promise, it also raises critical ethical issues. Problems of privacy, informed consent, data security, algorithmic bias, and cultural sensitivity should be taken into consideration to avoid the misuse. Emotions are very context-dependent and therefore, the AI-based interpretations should always be supported by human expertise and empathy. This chapter captures both the benefits and the challenges of incorporating Affective AI in mental health care. The use of emotion aware technologies in healthcare is a paradigm shift not only in the detection of mental health conditions but also in how to cope with emotional well-being. Thus, through the combination of computational accuracy with caring and empathetic touch, Affective AI can help in enhancing the accessibility, proactivity, and individuality of mental health care. With an interdisciplinary approach and ethical practice, Affective AI may be a crucial tool in determining the course of mental health care in the future.</t>
        </is>
      </c>
      <c r="W222" s="4" t="inlineStr">
        <is>
          <t>title_abstract_plus_targeted_primary_source_verification</t>
        </is>
      </c>
      <c r="X222" s="4" t="inlineStr">
        <is>
          <t>doi:10.1002/9781394422760.ch8</t>
        </is>
      </c>
      <c r="Y222" s="4" t="n"/>
      <c r="Z222" s="4" t="n"/>
      <c r="AA222" s="4" t="n"/>
      <c r="AB222" s="40" t="n"/>
    </row>
    <row r="223" ht="409" customHeight="1">
      <c r="A223" s="4" t="n">
        <v>222</v>
      </c>
      <c r="B223" s="4" t="inlineStr">
        <is>
          <t>include_after_title_abstract_screen</t>
        </is>
      </c>
      <c r="C223" s="4" t="inlineStr">
        <is>
          <t>Incluir provisionalmente</t>
        </is>
      </c>
      <c r="D223" s="4" t="inlineStr">
        <is>
          <t>Provisional include</t>
        </is>
      </c>
      <c r="E223" s="4" t="inlineStr">
        <is>
          <t>Sí</t>
        </is>
      </c>
      <c r="F223" s="4" t="inlineStr">
        <is>
          <t>Title/abstract screening</t>
        </is>
      </c>
      <c r="G223" s="4" t="n"/>
      <c r="H223" s="4" t="n"/>
      <c r="I223" s="4" t="n"/>
      <c r="J223" s="4" t="inlineStr">
        <is>
          <t>Estudio primario o implementación/evaluación empírica de IA, aprendizaje automático o modelado computacional aplicado a ASD, riesgo, caracterización, apoyo o intervención.</t>
        </is>
      </c>
      <c r="K223" s="4" t="n"/>
      <c r="L223" s="4" t="n"/>
      <c r="M223" s="4" t="n">
        <v>2026</v>
      </c>
      <c r="N223" s="4" t="inlineStr">
        <is>
          <t>Adaptive network based fuzzy inference system efficientnet for autism spectrum disorder detection with optimization based pivotal region extraction</t>
        </is>
      </c>
      <c r="O223" s="4" t="inlineStr">
        <is>
          <t>Satish Muppidi and Kishore Bhamidipati and Grandhi Siva Sankar and Anupkumar M Bongale and Ramesh Babu P</t>
        </is>
      </c>
      <c r="P223" s="4" t="inlineStr">
        <is>
          <t>10.1016/j.pscychresns.2025.112109</t>
        </is>
      </c>
      <c r="Q223" s="4" t="inlineStr">
        <is>
          <t>Psychiatry Research - Neuroimaging</t>
        </is>
      </c>
      <c r="R223" s="4" t="inlineStr">
        <is>
          <t>article</t>
        </is>
      </c>
      <c r="S223" s="4" t="inlineStr">
        <is>
          <t>Elsevier Ireland Ltd</t>
        </is>
      </c>
      <c r="T223" s="4" t="inlineStr">
        <is>
          <t>https://doi.org/10.1016/j.pscychresns.2025.112109</t>
        </is>
      </c>
      <c r="U223" s="4" t="n"/>
      <c r="V223" s="4" t="inlineStr">
        <is>
          <t>Autism Spectrum Disorder (ASD) refers to abnormal neural activity that may increase the risk of premature brain development issues. Many traditional treatment methods are available for ASD, but they require continuous assessment and analysis of patient behavior. However, traditional models are time-consuming and often lead to unclear outcomes, significantly impacting patient's social lives and communication ability. Hence, a novel hybrid approach is developed, namely, Adaptive Network Based Fuzzy Inference System EfficientNet (ANFIS-EffNet), which combines the ability of Adaptive Network Based Fuzzy Inference (ANFIS) and EfficientNet by modifying their layers. At first, the input autism brain image is given to the pre-processing stage, performed using Anisotropic diffusion and Region of Interest (ROI) extraction. Next, functional connectivity-based pivotal region extraction is done by Adam War Strategy Optimization (AWSO), a combination of the Adam optimization algorithm and War Strategy Optimization (WSO) technique. Next, feature extraction is carried out by including Learned Invariant Feature Transform (LIFT) and statistical methods. At last, ANFIS-EffNet is employed to detect autism spectrum disorder. The ANFIS-EffNet model has achieved outstanding performance with an accuracy of 93.219 %, sensitivity of 93.670 % and specificity of 93.840 % respectively.</t>
        </is>
      </c>
      <c r="W223" s="4" t="inlineStr">
        <is>
          <t>title_abstract_plus_targeted_primary_source_verification</t>
        </is>
      </c>
      <c r="X223" s="4" t="inlineStr">
        <is>
          <t>doi:10.1016/j.pscychresns.2025.112109</t>
        </is>
      </c>
      <c r="Y223" s="4" t="n"/>
      <c r="Z223" s="4" t="n"/>
      <c r="AA223" s="4" t="n"/>
      <c r="AB223" s="40" t="n"/>
    </row>
    <row r="224" ht="409" customHeight="1">
      <c r="A224" s="4" t="n">
        <v>223</v>
      </c>
      <c r="B224" s="4" t="inlineStr">
        <is>
          <t>include_after_title_abstract_screen</t>
        </is>
      </c>
      <c r="C224" s="4" t="inlineStr">
        <is>
          <t>Incluir provisionalmente</t>
        </is>
      </c>
      <c r="D224" s="4" t="inlineStr">
        <is>
          <t>Provisional include</t>
        </is>
      </c>
      <c r="E224" s="4" t="inlineStr">
        <is>
          <t>Sí</t>
        </is>
      </c>
      <c r="F224" s="4" t="inlineStr">
        <is>
          <t>Title/abstract screening</t>
        </is>
      </c>
      <c r="G224" s="4" t="n"/>
      <c r="H224" s="4" t="n"/>
      <c r="I224" s="4" t="n"/>
      <c r="J224" s="4" t="inlineStr">
        <is>
          <t>Estudio primario o implementación/evaluación empírica de IA, aprendizaje automático o modelado computacional aplicado a ASD, riesgo, caracterización, apoyo o intervención.</t>
        </is>
      </c>
      <c r="K224" s="4" t="n"/>
      <c r="L224" s="4" t="n"/>
      <c r="M224" s="4" t="n">
        <v>2026</v>
      </c>
      <c r="N224" s="4" t="inlineStr">
        <is>
          <t>Identification of Autism Through Fractal Analysis of EEG Signals and Bayesian Optimized Artificial Neural Network</t>
        </is>
      </c>
      <c r="O224" s="4" t="inlineStr">
        <is>
          <t>Anamika Ranaut and Padmavati Khandnor and Trilok Chand</t>
        </is>
      </c>
      <c r="P224" s="4" t="inlineStr">
        <is>
          <t>10.1002/IMA.70326</t>
        </is>
      </c>
      <c r="Q224" s="4" t="inlineStr">
        <is>
          <t>International Journal of Imaging Systems and Technology</t>
        </is>
      </c>
      <c r="R224" s="4" t="inlineStr">
        <is>
          <t>article</t>
        </is>
      </c>
      <c r="S224" s="4" t="inlineStr">
        <is>
          <t>John Wiley and Sons Inc</t>
        </is>
      </c>
      <c r="T224" s="4" t="inlineStr">
        <is>
          <t>https://doi.org/10.1002/IMA.70326</t>
        </is>
      </c>
      <c r="U224" s="4" t="n"/>
      <c r="V224" s="4" t="inlineStr">
        <is>
          <t>Autism Spectrum Disorder (ASD) is a neurological condition that affects the cerebrospinal nervous system, impairs motor function, and other developmental aspects. In this study, we proposed a novel approach that ensembled Fractal Dimension (FD) measures with a Bayesian Optimized Artificial Neural Network (BO-ANN) for the automated classification of multichannel Electroencephalography (EEG) signals into ASD (n = 29) and Typically Developing (TD) (n = 30) participants. We extracted five FD measures: Higuchi's Fractal Dimension (HFD), Correlation Dimension (CRD), Box-Counting Method (BCM), Katz's Fractal Dimension (KFD), and Petrosian's Fractal Dimension (PFD) from EEG signals. These features are assembled into an 80-dimensional vector (5 FDs × 16 channels) and demonstrate a statistically significant difference between TD and ASD controls (α &lt; 0.05). This feature set subsequently fed into six Machine Learning (ML) classifiers, an ANN model, and the proposed BO-ANN model for the identification process. Extreme Gradient Boosting (XGB) achieved an accuracy of 90.09%, while the baseline ANN obtained 91.44%. The proposed BO-ANN outperformed all models with a classification accuracy of 97.38%. Feature importance analysis with XGB further revealed the most influential channels and FD measures contributing to discrimination. Our study provides a robust framework for ASD identification using EEG signals and the proposed BO-ANN model, emphasizing the effectiveness of FD-based features. The proposed framework not only improves accuracy compared to the existing approaches but also enhances interpretability, making it a promising tool for practical applications in ASD identification.</t>
        </is>
      </c>
      <c r="W224" s="4" t="inlineStr">
        <is>
          <t>title_abstract_plus_targeted_primary_source_verification</t>
        </is>
      </c>
      <c r="X224" s="4" t="inlineStr">
        <is>
          <t>doi:10.1002/ima.70326</t>
        </is>
      </c>
      <c r="Y224" s="4" t="n"/>
      <c r="Z224" s="4" t="n"/>
      <c r="AA224" s="4" t="n"/>
      <c r="AB224" s="40" t="n"/>
    </row>
    <row r="225" ht="409" customHeight="1">
      <c r="A225" s="4" t="n">
        <v>224</v>
      </c>
      <c r="B225" s="4" t="inlineStr">
        <is>
          <t>exclude_secondary_or_nonempirical_publication</t>
        </is>
      </c>
      <c r="C225" s="4" t="inlineStr">
        <is>
          <t>Excluir: publicación secundaria/no empírica</t>
        </is>
      </c>
      <c r="D225" s="4" t="inlineStr">
        <is>
          <t>Excluded</t>
        </is>
      </c>
      <c r="E225" s="4" t="inlineStr">
        <is>
          <t>No</t>
        </is>
      </c>
      <c r="F225" s="4" t="inlineStr">
        <is>
          <t>Title/abstract screening</t>
        </is>
      </c>
      <c r="G225" s="4" t="n"/>
      <c r="H225" s="4" t="n"/>
      <c r="I225" s="4" t="n"/>
      <c r="J225" s="4" t="inlineStr">
        <is>
          <t>Revisión, metaanálisis, encuesta de literatura, protocolo, perspectiva, carta, editorial o capítulo de síntesis sin estudio primario elegible.</t>
        </is>
      </c>
      <c r="K225" s="4" t="n"/>
      <c r="L225" s="4" t="n"/>
      <c r="M225" s="4" t="n">
        <v>2025</v>
      </c>
      <c r="N225" s="4" t="inlineStr">
        <is>
          <t>AI in action: Uncovering autism patterns through machine learning</t>
        </is>
      </c>
      <c r="O225" s="4" t="inlineStr">
        <is>
          <t>Gaurav Joshi and Divya Dhawal Bhandari and Nishant Goutam and Amrit Kaur and Neeraj Joshi</t>
        </is>
      </c>
      <c r="P225" s="4" t="inlineStr">
        <is>
          <t>10.1016/B978-0-443-41660-6.00010-7</t>
        </is>
      </c>
      <c r="Q225" s="4" t="inlineStr">
        <is>
          <t>Intelligent Systems for Neurocognition and Human-Robot-Computer Interaction</t>
        </is>
      </c>
      <c r="R225" s="4" t="inlineStr">
        <is>
          <t>article</t>
        </is>
      </c>
      <c r="S225" s="4" t="inlineStr">
        <is>
          <t>Elsevier</t>
        </is>
      </c>
      <c r="T225" s="4" t="inlineStr">
        <is>
          <t>https://www.sciencedirect.com/science/article/pii/B9780443416606000107</t>
        </is>
      </c>
      <c r="U225" s="4" t="n"/>
      <c r="V225" s="4" t="inlineStr">
        <is>
          <t>The neurological disorder autism spectrum disorder (ASD) creates difficulties with social interaction patterns, together with behavioral complications. Every individual with ASD shows distinct characteristics through repetitive actions alongside strong, concentrated interests. Timely recognition of autism symptoms leads to better and more effective treatment possibilities alongside enhanced long-term results. The prompt diagnosis of ASD provides essential opportunities to start appropriate treatments that lead to improved results. Artificial Intelligence (AI) and Machine Learning (ML) have gained significant interest through pattern recognition techniques that establish new potential screening approaches for ASD evaluation. This section demonstrates how AI ML techniques identify patterns that lead to ASD screening. This work investigates different technologies and information sources accompanied by assessment systems for this application. Through research evaluation, this chapter analyzes the benefits and hurdles of these techniques to establish prospective research directions for using AI and machine learning for ASD identification through pattern recognition methods.</t>
        </is>
      </c>
      <c r="W225" s="4" t="inlineStr">
        <is>
          <t>title_abstract_plus_targeted_primary_source_verification</t>
        </is>
      </c>
      <c r="X225" s="4" t="inlineStr">
        <is>
          <t>doi:10.1016/b978-0-443-41660-6.00010-7</t>
        </is>
      </c>
      <c r="Y225" s="4" t="n"/>
      <c r="Z225" s="4" t="n"/>
      <c r="AA225" s="4" t="n"/>
      <c r="AB225" s="40" t="n"/>
    </row>
    <row r="226" ht="409" customHeight="1">
      <c r="A226" s="4" t="n">
        <v>225</v>
      </c>
      <c r="B226" s="4" t="inlineStr">
        <is>
          <t>already_in_current_276</t>
        </is>
      </c>
      <c r="C226" s="4" t="inlineStr">
        <is>
          <t>No agregar: ya está en los 276</t>
        </is>
      </c>
      <c r="D226" s="4" t="inlineStr">
        <is>
          <t>Already in base 276</t>
        </is>
      </c>
      <c r="E226" s="4" t="inlineStr">
        <is>
          <t>No</t>
        </is>
      </c>
      <c r="F226" s="4" t="inlineStr">
        <is>
          <t>Deduplication against base corpus</t>
        </is>
      </c>
      <c r="G226" s="4" t="n"/>
      <c r="H226" s="4" t="n"/>
      <c r="I226" s="4" t="n"/>
      <c r="J226" s="4" t="inlineStr">
        <is>
          <t>Coincidencia por DOI o título normalizado con el corpus analítico vigente de 276 estudios.</t>
        </is>
      </c>
      <c r="K226" s="4" t="n"/>
      <c r="L226" s="4" t="n">
        <v>299</v>
      </c>
      <c r="M226" s="4" t="n">
        <v>2025</v>
      </c>
      <c r="N226" s="4" t="inlineStr">
        <is>
          <t>Three-dimensional quantification of oxytocin neurons in the hypothalamic paraventricular nucleus reveals sex- and subregion-specific differences in two genetic mouse models of autism</t>
        </is>
      </c>
      <c r="O226" s="4" t="inlineStr">
        <is>
          <t>Aishwarya Patwardhan and Siyao Li and Jessica Chen and Katrina Y Choe</t>
        </is>
      </c>
      <c r="P226" s="4" t="inlineStr">
        <is>
          <t>10.1111/JNE.70092</t>
        </is>
      </c>
      <c r="Q226" s="4" t="inlineStr">
        <is>
          <t>Journal of Neuroendocrinology</t>
        </is>
      </c>
      <c r="R226" s="4" t="inlineStr">
        <is>
          <t>article</t>
        </is>
      </c>
      <c r="S226" s="4" t="inlineStr">
        <is>
          <t>John Wiley and Sons Inc</t>
        </is>
      </c>
      <c r="T226" s="4" t="inlineStr">
        <is>
          <t>https://doi.org/10.1111/JNE.70092</t>
        </is>
      </c>
      <c r="U226" s="4" t="n"/>
      <c r="V226" s="4" t="inlineStr">
        <is>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is>
      </c>
      <c r="W226" s="4" t="inlineStr">
        <is>
          <t>title_abstract_plus_targeted_primary_source_verification</t>
        </is>
      </c>
      <c r="X226" s="4" t="inlineStr">
        <is>
          <t>doi:10.1111/jne.70092</t>
        </is>
      </c>
      <c r="Y226" s="4" t="n"/>
      <c r="Z226" s="4" t="n"/>
      <c r="AA226" s="4" t="n"/>
      <c r="AB226" s="40" t="n"/>
    </row>
    <row r="227" ht="409" customHeight="1">
      <c r="A227" s="4" t="n">
        <v>226</v>
      </c>
      <c r="B227" s="4" t="inlineStr">
        <is>
          <t>exclude_out_of_scope_topic_or_population</t>
        </is>
      </c>
      <c r="C227" s="4" t="inlineStr">
        <is>
          <t>Excluir: tema/población fuera de alcance</t>
        </is>
      </c>
      <c r="D227" s="4" t="inlineStr">
        <is>
          <t>Excluded</t>
        </is>
      </c>
      <c r="E227" s="4" t="inlineStr">
        <is>
          <t>No</t>
        </is>
      </c>
      <c r="F227" s="4" t="inlineStr">
        <is>
          <t>Title/abstract screening</t>
        </is>
      </c>
      <c r="G227" s="4" t="n"/>
      <c r="H227" s="4" t="n"/>
      <c r="I227" s="4" t="n"/>
      <c r="J227" s="4" t="inlineStr">
        <is>
          <t>No estudia ASD en el sentido del protocolo, usa otro significado de ASD o aborda otra población/resultado sin aplicación pertinente al proceso ASD.</t>
        </is>
      </c>
      <c r="K227" s="4" t="n"/>
      <c r="L227" s="4" t="n"/>
      <c r="M227" s="4" t="n">
        <v>2026</v>
      </c>
      <c r="N227" s="4" t="inlineStr">
        <is>
          <t>Affective Artificial Intelligence: Fundamentals, Challenges, and Applications</t>
        </is>
      </c>
      <c r="O227" s="4" t="inlineStr">
        <is>
          <t>N Thillaiarasu and G Revathy and T Saravanan and V Muthukumaran and S Balamurugan</t>
        </is>
      </c>
      <c r="P227" s="4" t="inlineStr">
        <is>
          <t>10.1002/9781394422760</t>
        </is>
      </c>
      <c r="Q227" s="4" t="inlineStr">
        <is>
          <t>Coresource 4</t>
        </is>
      </c>
      <c r="R227" s="4" t="inlineStr">
        <is>
          <t>article</t>
        </is>
      </c>
      <c r="S227" s="4" t="inlineStr">
        <is>
          <t>Wiley</t>
        </is>
      </c>
      <c r="T227" s="4" t="inlineStr">
        <is>
          <t>https://doi.org/10.1002/9781394422760</t>
        </is>
      </c>
      <c r="U227" s="4" t="n"/>
      <c r="V227" s="4" t="inlineStr">
        <is>
          <t>Bridge the final frontier between logic and empathy with this definitive guide to building AI systems that do not just process data, but truly comprehend, interpret, and anticipate human emotion. As the role of AI continues to grow in our everyday lives, there is an increasing need to address the fundamental connections between AI and humans. Innovators across a range of industries are exploring the principles, technological foundations, and practical applications of AI systems that can comprehend, interpret, and respond to human emotions. This book is an essential guide to one of the most transformative frontiers of AI, where machines utilize human emotion in communicative contexts to bridge the chasm between people and technology. It explores the cutting-edge field of AI systems that go beyond traditional AI, which operates on logic and predefined algorithms, to systems that are attuned to human emotions, interactions, and psychological states. The volume highlights the significance of human-like emotional intelligence in AI and its potential to create more natural, empathetic, and intuitive human-AI interactions by delving into the technological underpinnings of affective AI, including emotion recognition techniques such as facial expression analysis, speech emotion recognition, and physiological signal processing and discusses how these systems capture and interpret emotional cues from users, allowing AI to not only react to stimuli but anticipate human needs, feelings, and intentions. Through expert insights and real-world case studies, readers gain an in-depth understanding of how affective AI is poised to redefine the relationship between humans and machines. Readers will find the volume: Introduces the emergence of affective artificial intelligence; Discusses different applications of affective artificial intelligence in various industries; Presents state-of-the-art transfer learning analysis techniques. &lt;&gt; Audience AI and Machine Learning researchers, academics, and engineers working towards AI-driven emotion recognition, sentiment analysis, and affective computing applications.</t>
        </is>
      </c>
      <c r="W227" s="4" t="inlineStr">
        <is>
          <t>title_abstract_plus_targeted_primary_source_verification</t>
        </is>
      </c>
      <c r="X227" s="4" t="inlineStr">
        <is>
          <t>doi:10.1002/9781394422760</t>
        </is>
      </c>
      <c r="Y227" s="4" t="n"/>
      <c r="Z227" s="4" t="n"/>
      <c r="AA227" s="4" t="n"/>
      <c r="AB227" s="40" t="n"/>
    </row>
    <row r="228" ht="409" customHeight="1">
      <c r="A228" s="4" t="n">
        <v>227</v>
      </c>
      <c r="B228" s="4" t="inlineStr">
        <is>
          <t>exclude_no_qualifying_ai_application</t>
        </is>
      </c>
      <c r="C228" s="4" t="inlineStr">
        <is>
          <t>Excluir: sin aplicación de IA elegible</t>
        </is>
      </c>
      <c r="D228" s="4" t="inlineStr">
        <is>
          <t>Excluded</t>
        </is>
      </c>
      <c r="E228" s="4" t="inlineStr">
        <is>
          <t>No</t>
        </is>
      </c>
      <c r="F228" s="4" t="inlineStr">
        <is>
          <t>Title/abstract screening</t>
        </is>
      </c>
      <c r="G228" s="4" t="n"/>
      <c r="H228" s="4" t="n"/>
      <c r="I228" s="4" t="n"/>
      <c r="J228" s="4" t="inlineStr">
        <is>
          <t>El trabajo no implementa ni evalúa una técnica de IA/ML como componente sustantivo del estudio de ASD.</t>
        </is>
      </c>
      <c r="K228" s="4" t="n"/>
      <c r="L228" s="4" t="n"/>
      <c r="M228" s="4" t="n">
        <v>2026</v>
      </c>
      <c r="N228" s="4" t="inlineStr">
        <is>
          <t>The impact of video-based intervention for improving attitudes towards autism in Chinese higher education: A pre-post study</t>
        </is>
      </c>
      <c r="O228" s="4" t="inlineStr">
        <is>
          <t>Yinghui Xia and Jonathan Vincent and Mengzhen Zhao and Peng Wang</t>
        </is>
      </c>
      <c r="P228" s="4" t="inlineStr">
        <is>
          <t>10.1016/j.reia.2025.202776</t>
        </is>
      </c>
      <c r="Q228" s="4" t="inlineStr">
        <is>
          <t>Research in Autism</t>
        </is>
      </c>
      <c r="R228" s="4" t="inlineStr">
        <is>
          <t>article</t>
        </is>
      </c>
      <c r="S228" s="4" t="inlineStr">
        <is>
          <t>Elsevier Ltd</t>
        </is>
      </c>
      <c r="T228" s="4" t="inlineStr">
        <is>
          <t>https://www.sciencedirect.com/science/article/pii/S3050656525002482</t>
        </is>
      </c>
      <c r="U228" s="4" t="n"/>
      <c r="V228" s="4" t="inlineStr">
        <is>
          <t>This study assessed whether a brief video-based intervention could improve attitudes toward autism among Chinese university students and staff. A total of 1158 participants—including undergraduates, graduate students, and staff—completed the 17-item Autism and Neurodiversity Attitudes Scale (ANAS) before and after watching a 6-minute autism-awareness video. Paired-sample t-tests assessed pre-post differences. Exploratory factor analysis (EFA) examined whether the intervention altered the underlying attitudinal structure. To predict individual responsiveness, four machine learning models were trained using pre-intervention responses and demographics; TabPFN achieved the highest accuracy (73.4 %). The study revealed significant positive changes in attitudes towards autism following the educational video intervention (t = -13.30, p &lt; 0.001, Cohen's d = 0.39). We identified three stable dimensions of autism perception: support for normalization, acceptance as natural variation, and empathy. SHapley Additive exPlanations analysis identified that pre-intervention responses to deficit-based items and pity-based attitudes are the strongest predictors of attitudinal change, while demographic variables had negligible influence. Higher baseline endorsement of normalization and pathologizing attitudes were associated with reduced responsiveness to the intervention, highlighting the role of entrenched beliefs in moderating intervention effectiveness. While a brief video intervention can enhance attitudes toward autism, its ability to transform deep-seated beliefs remains limited.</t>
        </is>
      </c>
      <c r="W228" s="4" t="inlineStr">
        <is>
          <t>title_abstract_plus_targeted_primary_source_verification</t>
        </is>
      </c>
      <c r="X228" s="4" t="inlineStr">
        <is>
          <t>doi:10.1016/j.reia.2025.202776</t>
        </is>
      </c>
      <c r="Y228" s="4" t="n"/>
      <c r="Z228" s="4" t="n"/>
      <c r="AA228" s="4" t="n"/>
      <c r="AB228" s="40" t="n"/>
    </row>
    <row r="229" ht="409" customHeight="1">
      <c r="A229" s="4" t="n">
        <v>228</v>
      </c>
      <c r="B229" s="4" t="inlineStr">
        <is>
          <t>include_after_full_text_open_access</t>
        </is>
      </c>
      <c r="C229" s="4" t="inlineStr">
        <is>
          <t>Incluir tras revisión de texto completo abierto</t>
        </is>
      </c>
      <c r="D229" s="4" t="inlineStr">
        <is>
          <t>Provisional include</t>
        </is>
      </c>
      <c r="E229" s="4" t="inlineStr">
        <is>
          <t>Sí</t>
        </is>
      </c>
      <c r="F229" s="4" t="inlineStr">
        <is>
          <t>Full-text review</t>
        </is>
      </c>
      <c r="G229" s="4" t="n"/>
      <c r="H229" s="4" t="n"/>
      <c r="I229" s="4" t="n"/>
      <c r="J229" s="4" t="inlineStr">
        <is>
          <t>Texto completo confirma estudio primario con Machine Learning aplicado a ASD (Biomarker classification).</t>
        </is>
      </c>
      <c r="K229" s="4" t="n"/>
      <c r="L229" s="4" t="n"/>
      <c r="M229" s="4" t="n">
        <v>2026</v>
      </c>
      <c r="N229" s="4" t="inlineStr">
        <is>
          <t>Unveiling Diagnostic Biomarkers in Autism: A Comparative Proteome Analysis of CNTNAP2 Knockout Mice and Human ASD Patients</t>
        </is>
      </c>
      <c r="O229" s="4" t="inlineStr">
        <is>
          <t>Andrew Kim and Ara Cho and Jiyeon Kim and Leandro Val Sayson and Hyun Ju Lee and Jae Hoon Cheong and Hee Jin Kim and Bung Nyun Kim and Eugene C Yi</t>
        </is>
      </c>
      <c r="P229" s="4" t="inlineStr">
        <is>
          <t>10.3390/biom16030340</t>
        </is>
      </c>
      <c r="Q229" s="4" t="inlineStr">
        <is>
          <t>Biomolecules</t>
        </is>
      </c>
      <c r="R229" s="4" t="inlineStr">
        <is>
          <t>article</t>
        </is>
      </c>
      <c r="S229" s="4" t="inlineStr">
        <is>
          <t>Multidisciplinary Digital Publishing Institute (MDPI)</t>
        </is>
      </c>
      <c r="T229" s="4" t="inlineStr">
        <is>
          <t>https://doi.org/10.3390/biom16030340</t>
        </is>
      </c>
      <c r="U229" s="4" t="inlineStr">
        <is>
          <t>Texto completo abierto revisado; evidencia y codificación en Extraccion_RQ_nuevos.</t>
        </is>
      </c>
      <c r="V229" s="4" t="inlineStr">
        <is>
          <t>Autism Spectrum Disorder (ASD) is a biologically heterogeneous neurodevelopmental condition, presenting a major barrier to the identification of robust and translatable molecular biomarkers. Here, we employ a cross-species proteomic framework to identify conserved protein signatures associated with ASD. Quantitative proteomic profiling of brain and serum from CNTNAP2 knockout mice, integrated with serum proteomes from individuals with ASD, revealed 132 proteins consistently dysregulated across species. Functional pathway analyses implicated coordinated alterations in lipid metabolism, synaptic signaling, and immune regulation. To prioritize diagnostically informative candidates, we applied machine learning-based feature selection and identified a minimal panel of ten proteins (COL1A1, ITIH4, CLU, NID1, C5, MASP1, PON1, PLTP, HSPA5, and FETUB) that robustly discriminated ASD from control samples. Gene ontology and KEGG pathway analyses highlighted enrichment of immune regulatory pathways, synaptic transmission, oxidative stress responses, and lipid metabolic processes, consistent with emerging models linking neuroimmune dysregulation and metabolic imbalance to ASD pathophysiology. An XGBClassifier trained on this biomarker panel achieved strong performance in independent test sets (AUC = 0.75). Together, these findings establish cross-species proteomic integration combined with machine learning as a powerful strategy for uncovering conserved, biologically grounded biomarkers in ASD, providing a framework for future validation and translational development.</t>
        </is>
      </c>
      <c r="W229" s="4" t="inlineStr">
        <is>
          <t>open_full_text_review_2026_09_04</t>
        </is>
      </c>
      <c r="X229" s="4" t="inlineStr">
        <is>
          <t>doi:10.3390/biom16030340</t>
        </is>
      </c>
      <c r="Y229" s="4" t="n"/>
      <c r="Z229" s="4" t="n"/>
      <c r="AA229" s="4" t="n"/>
      <c r="AB229" s="40" t="n"/>
    </row>
    <row r="230" ht="409" customHeight="1">
      <c r="A230" s="4" t="n">
        <v>229</v>
      </c>
      <c r="B230" s="4" t="inlineStr">
        <is>
          <t>exclude_out_of_scope_topic_or_population</t>
        </is>
      </c>
      <c r="C230" s="4" t="inlineStr">
        <is>
          <t>Excluir: tema/población fuera de alcance</t>
        </is>
      </c>
      <c r="D230" s="4" t="inlineStr">
        <is>
          <t>Excluded</t>
        </is>
      </c>
      <c r="E230" s="4" t="inlineStr">
        <is>
          <t>No</t>
        </is>
      </c>
      <c r="F230" s="4" t="inlineStr">
        <is>
          <t>Title/abstract screening</t>
        </is>
      </c>
      <c r="G230" s="4" t="n"/>
      <c r="H230" s="4" t="n"/>
      <c r="I230" s="4" t="n"/>
      <c r="J230" s="4" t="inlineStr">
        <is>
          <t>No estudia ASD en el sentido del protocolo, usa otro significado de ASD o aborda otra población/resultado sin aplicación pertinente al proceso ASD.</t>
        </is>
      </c>
      <c r="K230" s="4" t="n"/>
      <c r="L230" s="4" t="n"/>
      <c r="M230" s="4" t="n">
        <v>2026</v>
      </c>
      <c r="N230" s="4" t="inlineStr">
        <is>
          <t>Wearable Technologies for Digital Medicine: Advancement, Models, and Applications</t>
        </is>
      </c>
      <c r="O230" s="4" t="inlineStr">
        <is>
          <t>Sushruta Mishra and Subhashish Das and S Balamurugan</t>
        </is>
      </c>
      <c r="P230" s="4" t="inlineStr">
        <is>
          <t>10.1002/9781394271177</t>
        </is>
      </c>
      <c r="Q230" s="4" t="inlineStr">
        <is>
          <t>Wearable Technologies for Digital Medicine: Advancement, Models, and Applications</t>
        </is>
      </c>
      <c r="R230" s="4" t="inlineStr">
        <is>
          <t>article</t>
        </is>
      </c>
      <c r="S230" s="4" t="inlineStr">
        <is>
          <t>wiley</t>
        </is>
      </c>
      <c r="T230" s="4" t="inlineStr">
        <is>
          <t>https://doi.org/10.1002/9781394271177</t>
        </is>
      </c>
      <c r="U230" s="4" t="n"/>
      <c r="V230" s="4" t="inlineStr">
        <is>
          <t>Equip yourself with the multidisciplinary expertise to lead the digital medicine revolution with this comprehensive guide to the cutting edge intersection of wearable technology, data science, and clinical care. The rapid evolution of digital technology has transformed nearly every aspect of human life from communication and entertainment to healthcare and medicine. Among these advancements, smart wearables have emerged as a vital element of modern digital medicine, redefining how we monitor, diagnose, and manage health conditions. This book explores the dynamic intersection of wearable technology and medical science, providing an in-depth understanding of how these devices are revolutionizing healthcare delivery, patient monitoring, and disease management. By bridging engineering, data science, and clinical applications, it serves as a comprehensive resource for researchers, healthcare professionals, technology developers, and students interested in digital medicine.</t>
        </is>
      </c>
      <c r="W230" s="4" t="inlineStr">
        <is>
          <t>title_abstract_plus_targeted_primary_source_verification</t>
        </is>
      </c>
      <c r="X230" s="4" t="inlineStr">
        <is>
          <t>doi:10.1002/9781394271177</t>
        </is>
      </c>
      <c r="Y230" s="4" t="n"/>
      <c r="Z230" s="4" t="n"/>
      <c r="AA230" s="4" t="n"/>
      <c r="AB230" s="40" t="n"/>
    </row>
    <row r="231" ht="409" customHeight="1">
      <c r="A231" s="4" t="n">
        <v>230</v>
      </c>
      <c r="B231" s="4" t="inlineStr">
        <is>
          <t>include_after_title_abstract_screen</t>
        </is>
      </c>
      <c r="C231" s="4" t="inlineStr">
        <is>
          <t>Incluir provisionalmente</t>
        </is>
      </c>
      <c r="D231" s="4" t="inlineStr">
        <is>
          <t>Provisional include</t>
        </is>
      </c>
      <c r="E231" s="4" t="inlineStr">
        <is>
          <t>Sí</t>
        </is>
      </c>
      <c r="F231" s="4" t="inlineStr">
        <is>
          <t>Title/abstract screening</t>
        </is>
      </c>
      <c r="G231" s="4" t="n"/>
      <c r="H231" s="4" t="n"/>
      <c r="I231" s="4" t="n"/>
      <c r="J231" s="4" t="inlineStr">
        <is>
          <t>Estudio primario o implementación/evaluación empírica de IA, aprendizaje automático o modelado computacional aplicado a ASD, riesgo, caracterización, apoyo o intervención.</t>
        </is>
      </c>
      <c r="K231" s="4" t="n"/>
      <c r="L231" s="4" t="n"/>
      <c r="M231" s="4" t="n">
        <v>2026</v>
      </c>
      <c r="N231" s="4" t="inlineStr">
        <is>
          <t>Quality of Autism Information Generated by Artificial Intelligence Tools: Implications for Paediatric Care</t>
        </is>
      </c>
      <c r="O231" s="4" t="inlineStr">
        <is>
          <t>Serife Balikci</t>
        </is>
      </c>
      <c r="P231" s="4" t="inlineStr">
        <is>
          <t>10.1111/JPC.70433</t>
        </is>
      </c>
      <c r="Q231" s="4" t="inlineStr">
        <is>
          <t>Journal of Paediatrics and Child Health</t>
        </is>
      </c>
      <c r="R231" s="4" t="inlineStr">
        <is>
          <t>article</t>
        </is>
      </c>
      <c r="S231" s="4" t="inlineStr">
        <is>
          <t>John Wiley and Sons Inc</t>
        </is>
      </c>
      <c r="T231" s="4" t="inlineStr">
        <is>
          <t>https://doi.org/10.1111/JPC.70433</t>
        </is>
      </c>
      <c r="U231" s="4" t="n"/>
      <c r="V231" s="4" t="inlineStr">
        <is>
          <t>Aim: Families increasingly turn to artificial intelligence (AI) tools for information about autism spectrum disorder (ASD), often during early childhood when concerns about development, diagnosis and intervention first emerge. From a paediatric perspective, these tools increasingly function as informal sources of health information alongside primary care and developmental services. This study aimed to evaluate the quality of autism-related information generated by widely used AI platforms. Methods: Using a descriptive research design, responses generated by six freely accessible AI platforms (ChatGPT, Gemini, Microsoft Copilot, Perplexity, Brave and Grok) were examined. Each platform was asked 15 autism questions with well-established scientific answers. Responses were evaluated across five dimensions relevant to paediatric health communication: accuracy, readability, language framing, actionability and reference quality. Results: Substantial variability was observed across AI platforms. Several tools produced generally accurate explanations of ASD; however, readability levels consistently exceeded recommended guidelines for paediatric health materials (i.e., the 6th–8th grade reading level). Most responses relied primarily on medicalized language rather than neurodiversity-affirming framing. Actionable guidance was limited, with only a minority of responses offering concrete next steps for families navigating early paediatric decision-making. Reference practices varied widely, with some platforms providing numerous credible sources and others offering few or none. Conclusions: Although AI tools can support parental understanding of ASD, differences in clarity, tone, usability and transparency may shape families' expectations prior to or during paediatric consultations. These findings highlight the need for thoughtful use of AI-generated autism information and suggest that families may benefit from guidance from paediatric professionals when interpreting AI-based responses.</t>
        </is>
      </c>
      <c r="W231" s="4" t="inlineStr">
        <is>
          <t>title_abstract_plus_targeted_primary_source_verification</t>
        </is>
      </c>
      <c r="X231" s="4" t="inlineStr">
        <is>
          <t>doi:10.1111/jpc.70433</t>
        </is>
      </c>
      <c r="Y231" s="4" t="n"/>
      <c r="Z231" s="4" t="n"/>
      <c r="AA231" s="4" t="n"/>
      <c r="AB231" s="40" t="n"/>
    </row>
    <row r="232" ht="409" customHeight="1">
      <c r="A232" s="4" t="n">
        <v>231</v>
      </c>
      <c r="B232" s="4" t="inlineStr">
        <is>
          <t>include_after_title_abstract_screen</t>
        </is>
      </c>
      <c r="C232" s="4" t="inlineStr">
        <is>
          <t>Incluir provisionalmente</t>
        </is>
      </c>
      <c r="D232" s="4" t="inlineStr">
        <is>
          <t>Provisional include</t>
        </is>
      </c>
      <c r="E232" s="4" t="inlineStr">
        <is>
          <t>Sí</t>
        </is>
      </c>
      <c r="F232" s="4" t="inlineStr">
        <is>
          <t>Title/abstract screening</t>
        </is>
      </c>
      <c r="G232" s="4" t="n"/>
      <c r="H232" s="4" t="n"/>
      <c r="I232" s="4" t="n"/>
      <c r="J232" s="4" t="inlineStr">
        <is>
          <t>Estudio primario o implementación/evaluación empírica de IA, aprendizaje automático o modelado computacional aplicado a ASD, riesgo, caracterización, apoyo o intervención.</t>
        </is>
      </c>
      <c r="K232" s="4" t="n"/>
      <c r="L232" s="4" t="n"/>
      <c r="M232" s="4" t="n">
        <v>2025</v>
      </c>
      <c r="N232" s="4" t="inlineStr">
        <is>
          <t>Linguistic Explanations of Deep Models in Detecting Autism and Schizophrenia</t>
        </is>
      </c>
      <c r="O232" s="4" t="inlineStr">
        <is>
          <t>Aleksander Wawer and Małgorzata Krawczyk and Justyna Sarzyńska-Wawer and Bartosz Żuk</t>
        </is>
      </c>
      <c r="P232" s="4" t="inlineStr">
        <is>
          <t>10.1111/COIN.70158</t>
        </is>
      </c>
      <c r="Q232" s="4" t="inlineStr">
        <is>
          <t>Computational Intelligence</t>
        </is>
      </c>
      <c r="R232" s="4" t="inlineStr">
        <is>
          <t>article</t>
        </is>
      </c>
      <c r="S232" s="4" t="inlineStr">
        <is>
          <t>John Wiley and Sons Inc</t>
        </is>
      </c>
      <c r="T232" s="4" t="inlineStr">
        <is>
          <t>https://doi.org/10.1111/COIN.70158</t>
        </is>
      </c>
      <c r="U232" s="4" t="n"/>
      <c r="V232" s="4" t="inlineStr">
        <is>
          <t>Automated detection of mental conditions from text is increasingly important due to the rise of digital communication and limited access to clinicians, but the methods often suffer from insufficient explainability. In this study, we propose a novel framework to utilize linguistic dimensions to explain the attribution scores (Integrated Gradients) of tokens in a deep neural network (HerBERT) trained to detect autism and schizophrenia from textual data. In our approach, the scores are mapped to syntactic and psycholinguistic variables, which are then used to train explainable models. The feature importance derived from these models is thereby linked to linguistic dimensions, enhancing interpretability. Our results emphasize the role of syntactic clues, such as grammatical gender and case, in language processing. We also demonstrate that the deep model's attribution scores, when mapped to linguistic features, correlate with selected clinical tests. We propose that our framework can enhance the analysis and interpretation of deep neural networks used for detecting psychiatric disorders. Our approach advances explainable artificial intelligence in mental health by providing researchers with deeper insights into the linguistic cues driving deep neural model predictions.</t>
        </is>
      </c>
      <c r="W232" s="4" t="inlineStr">
        <is>
          <t>title_abstract_plus_targeted_primary_source_verification</t>
        </is>
      </c>
      <c r="X232" s="4" t="inlineStr">
        <is>
          <t>doi:10.1111/coin.70158</t>
        </is>
      </c>
      <c r="Y232" s="4" t="n"/>
      <c r="Z232" s="4" t="n"/>
      <c r="AA232" s="4" t="n"/>
      <c r="AB232" s="40" t="n"/>
    </row>
    <row r="233" ht="409" customHeight="1">
      <c r="A233" s="4" t="n">
        <v>232</v>
      </c>
      <c r="B233" s="4" t="inlineStr">
        <is>
          <t>exclude_integrity_notice_or_retracted</t>
        </is>
      </c>
      <c r="C233" s="4" t="inlineStr">
        <is>
          <t>Excluir por integridad/tipo de registro</t>
        </is>
      </c>
      <c r="D233" s="4" t="inlineStr">
        <is>
          <t>Excluded</t>
        </is>
      </c>
      <c r="E233" s="4" t="inlineStr">
        <is>
          <t>No</t>
        </is>
      </c>
      <c r="F233" s="4" t="inlineStr">
        <is>
          <t>Title/abstract screening and source verification</t>
        </is>
      </c>
      <c r="G233" s="4" t="n"/>
      <c r="H233" s="4" t="n"/>
      <c r="I233" s="4" t="inlineStr">
        <is>
          <t>Retraction notice</t>
        </is>
      </c>
      <c r="J233" s="4" t="inlineStr">
        <is>
          <t>Aviso editorial, corrección, retirada, retractación o artículo retractado; no constituye un estudio nuevo incorporable.</t>
        </is>
      </c>
      <c r="K233" s="4" t="n"/>
      <c r="L233" s="4" t="n"/>
      <c r="M233" s="4" t="n">
        <v>2026</v>
      </c>
      <c r="N233" s="4" t="inlineStr">
        <is>
          <t>Retraction: Comparing automated and non-automated machine learning for autism spectrum disorders classification using facial images (ETRI Journal, (2022), 44, 4, (613-623), 10.4218/etrij.2021-0097)</t>
        </is>
      </c>
      <c r="O233" s="4" t="n"/>
      <c r="P233" s="4" t="inlineStr">
        <is>
          <t>10.4218/ETR2.70112</t>
        </is>
      </c>
      <c r="Q233" s="4" t="inlineStr">
        <is>
          <t>ETRI Journal</t>
        </is>
      </c>
      <c r="R233" s="4" t="inlineStr">
        <is>
          <t>article</t>
        </is>
      </c>
      <c r="S233" s="4" t="inlineStr">
        <is>
          <t>John Wiley and Sons Inc</t>
        </is>
      </c>
      <c r="T233" s="4" t="inlineStr">
        <is>
          <t>https://doi.org/10.4218/ETR2.70112</t>
        </is>
      </c>
      <c r="U233" s="4" t="n"/>
      <c r="V233" s="4" t="inlineStr">
        <is>
          <t>RETRACTION: B. R. G. Elshoky, E. M. G. Younis, A. A. Ali, and O. A. S. Ibrahim, “Comparing Automated and Non-Automated Machine Learning for Autism Spectrum Disorders Classification Using Facial Images,” ETRI Journal 44, no. 4 (2022): 613–623, https://doi.org/10.4218/etrij.2021-0097. The above article, published online on 23 March 2022 in Wiley Online Library (wileyonlinelibrary.com), has been retracted by agreement between the journal Editor-in-Chief, Sungwon Yi; and John Wiley &amp; Sons, Ltd. The retraction was agreed upon due to concerns regarding both the reliability of the study and significant privacy issues. The dataset used in the study contains images of children purported to have, or not have autism spectrum disorder (ASD), sourced from the internet without any documented clinical history or independent verification of an ASD diagnosis, raising concerns about the scientific validity of the dataset. In addition, the images of minors have been used and presented in the article without consent from the individuals or their parents/legal guardians. For these reasons, the article has been retracted and the corresponding images of children have been redacted. The corresponding author, Basma Ramdan Gamal Elshoky, agreed with the retraction decision; no confirmation was obtained by the remaining co-authors.</t>
        </is>
      </c>
      <c r="W233" s="4" t="inlineStr">
        <is>
          <t>title_abstract_plus_targeted_primary_source_verification</t>
        </is>
      </c>
      <c r="X233" s="4" t="inlineStr">
        <is>
          <t>doi:10.4218/etr2.70112</t>
        </is>
      </c>
      <c r="Y233" s="4" t="n"/>
      <c r="Z233" s="4" t="n"/>
      <c r="AA233" s="4" t="n"/>
      <c r="AB233" s="40" t="n"/>
    </row>
    <row r="234" ht="409" customHeight="1">
      <c r="A234" s="4" t="n">
        <v>233</v>
      </c>
      <c r="B234" s="4" t="inlineStr">
        <is>
          <t>include_after_title_abstract_screen</t>
        </is>
      </c>
      <c r="C234" s="4" t="inlineStr">
        <is>
          <t>Incluir provisionalmente</t>
        </is>
      </c>
      <c r="D234" s="4" t="inlineStr">
        <is>
          <t>Provisional include</t>
        </is>
      </c>
      <c r="E234" s="4" t="inlineStr">
        <is>
          <t>Sí</t>
        </is>
      </c>
      <c r="F234" s="4" t="inlineStr">
        <is>
          <t>Title/abstract screening</t>
        </is>
      </c>
      <c r="G234" s="4" t="n"/>
      <c r="H234" s="4" t="n"/>
      <c r="I234" s="4" t="n"/>
      <c r="J234" s="4" t="inlineStr">
        <is>
          <t>Estudio primario o implementación/evaluación empírica de IA, aprendizaje automático o modelado computacional aplicado a ASD, riesgo, caracterización, apoyo o intervención.</t>
        </is>
      </c>
      <c r="K234" s="4" t="n"/>
      <c r="L234" s="4" t="n"/>
      <c r="M234" s="4" t="n">
        <v>2026</v>
      </c>
      <c r="N234" s="4" t="inlineStr">
        <is>
          <t>Autism Screening Based on Deep Learning Analysis of Eye Movement Trajectories</t>
        </is>
      </c>
      <c r="O234" s="4" t="inlineStr">
        <is>
          <t>Taizhe Tan and Zhanxi Guo and Jiahao Chen</t>
        </is>
      </c>
      <c r="P234" s="4" t="inlineStr">
        <is>
          <t>10.1049/CVI2.70078</t>
        </is>
      </c>
      <c r="Q234" s="4" t="inlineStr">
        <is>
          <t>IET Computer Vision</t>
        </is>
      </c>
      <c r="R234" s="4" t="inlineStr">
        <is>
          <t>article</t>
        </is>
      </c>
      <c r="S234" s="4" t="n"/>
      <c r="T234" s="4" t="inlineStr">
        <is>
          <t>https://ietresearch.onlinelibrary.wiley.com/doi/10.1049/cvi2.70078</t>
        </is>
      </c>
      <c r="U234" s="4" t="n"/>
      <c r="V234" s="4" t="inlineStr">
        <is>
          <t>&lt;p&gt;Traditional clinical diagnosis of autism spectrum disorder (ASD) relies heavily on subjective physician assessments, resulting in longer diagnostic cycles and low efficiency. Eye‐tracking technology offers a noninvasive approach to objectively record visual attention patterns, enabling the identification of autism‐specific visual behavioural features that serve as diagnostic indicators, showing unique advantages for autism diagnosis. This study proposes ET‐ASDNet, a deep learning framework based on ResNet18 with three specialised modules for analysing eye movement trajectories to assist in ASD screening. The framework incorporates dynamic trajectory perception, multi‐dimensional cross‐attention fusion and adaptive spatial feature integration to capture ASD‐specific visual patterns. Evaluation was conducted using stratified three‐fold cross‐validation on two public eye‐tracking datasets: the Eye‐tracking Scanpath Dataset, where ET‐ASDNet achieved 85.19% accuracy and 86.96% F1‐score, and the Saliency4ASD dataset, where it achieved 72.67% accuracy and 76.84% F1‐score. Results demonstrate that ET‐ASDNet can provide an objective tool for auxiliary ASD screening.&lt;/p&gt;</t>
        </is>
      </c>
      <c r="W234" s="4" t="inlineStr">
        <is>
          <t>title_abstract_plus_targeted_primary_source_verification</t>
        </is>
      </c>
      <c r="X234" s="4" t="inlineStr">
        <is>
          <t>doi:10.1049/cvi2.70078</t>
        </is>
      </c>
      <c r="Y234" s="4" t="n"/>
      <c r="Z234" s="4" t="n"/>
      <c r="AA234" s="4" t="n"/>
      <c r="AB234" s="40" t="n"/>
    </row>
    <row r="235" ht="409" customHeight="1">
      <c r="A235" s="4" t="n">
        <v>234</v>
      </c>
      <c r="B235" s="4" t="inlineStr">
        <is>
          <t>duplicate_within_export</t>
        </is>
      </c>
      <c r="C235" s="4" t="inlineStr">
        <is>
          <t>No agregar: duplicado interno</t>
        </is>
      </c>
      <c r="D235" s="4" t="inlineStr">
        <is>
          <t>Duplicate within update</t>
        </is>
      </c>
      <c r="E235" s="4" t="inlineStr">
        <is>
          <t>No</t>
        </is>
      </c>
      <c r="F235" s="4" t="inlineStr">
        <is>
          <t>Deduplication</t>
        </is>
      </c>
      <c r="G235" s="4" t="n"/>
      <c r="H235" s="4" t="n"/>
      <c r="I235" s="4" t="n"/>
      <c r="J235" s="4" t="inlineStr">
        <is>
          <t>Mismo DOI o título que otro registro anterior de esta exportación.</t>
        </is>
      </c>
      <c r="K235" s="4" t="n">
        <v>215</v>
      </c>
      <c r="L235" s="4" t="n"/>
      <c r="M235" s="4" t="n">
        <v>2026</v>
      </c>
      <c r="N235" s="4" t="inlineStr">
        <is>
          <t>Integrated transcriptomic and clinical analysis of autism spectrum disorder reveals structured heterogeneity and links Methyl-CpG Binding Domain Protein 2 expression with symptom severity</t>
        </is>
      </c>
      <c r="O235" s="4" t="inlineStr">
        <is>
          <t>Wasana Yuwattana and Chayanit Poolcharoen and Thanit Saeliw and Marlieke Lisanne van Erp and Songphon Kanlayaprasit and Natchaya Vanwong and Valerie W Hu and Pon Trairatvorakul and Weerasak Chonchaiya and Kim Anh Lê Cao and Tewarit Sarachana</t>
        </is>
      </c>
      <c r="P235" s="4" t="inlineStr">
        <is>
          <t>10.1111/PCN.70065</t>
        </is>
      </c>
      <c r="Q235" s="4" t="inlineStr">
        <is>
          <t>Psychiatry and Clinical Neurosciences</t>
        </is>
      </c>
      <c r="R235" s="4" t="inlineStr">
        <is>
          <t>article</t>
        </is>
      </c>
      <c r="S235" s="4" t="inlineStr">
        <is>
          <t>John Wiley and Sons Inc</t>
        </is>
      </c>
      <c r="T235" s="4" t="inlineStr">
        <is>
          <t>https://doi.org/10.1111/PCN.70065</t>
        </is>
      </c>
      <c r="U235" s="4" t="n"/>
      <c r="V235" s="4" t="inlineStr">
        <is>
          <t>Aim: Autism spectrum disorder (ASD) remains underexplored in Southeast Asia, with limited characterization of its molecular underpinnings and clinical heterogeneity. This study investigated transcriptomic variation and its relationship to clinical diversity in Thai children with ASD using integrated molecular and phenotypic analyses. Method: Peripheral blood transcriptomic profiling was performed in 150 ASD and 70 typically developing (TD) children to identify differentially expressed transcripts (DETs), followed by pathway enrichment, unsupervised molecular clustering, and integrative multiomics modeling. Clinical data from 200 ASD and 110 TD participants were analyzed in parallel to evaluate screening performance and derive phenotype-based subgroups. Results: Differential expression analysis identified 1,407 DETs with significant enrichment of autism-associated genes. Pathway analysis consistently implicated dysregulation of protein-synthesis machinery. Unsupervised transcriptome-based clustering revealed three molecular subgroups characterized by translational, innate-immune, and interferon-associated signatures, which did not directly correspond to clinical severity, age, or cognitive level, indicating structured biological heterogeneity beyond symptom-based classification. Integration of transcriptomic and phenotypic data demonstrated moderate cross-domain correspondence. Among recurrent molecular signals, MBD2 showed consistent upregulation across subgroups and strong associations with social-interaction measures (r = 0.74). In parallel, clinical machine-learning models showed high within-cohort screening performance, while a refined 17-transcript panel achieved robust discriminative accuracy, supporting the complementary role of molecular features in ASD stratification. Conclusion: Transcriptomic stratification reveals biologically structured heterogeneity in ASD that is only partially reflected in clinical presentation, supporting a multilayered framework integrating molecular and phenotypic dimensions.</t>
        </is>
      </c>
      <c r="W235" s="4" t="inlineStr">
        <is>
          <t>title_abstract_plus_targeted_primary_source_verification</t>
        </is>
      </c>
      <c r="X235" s="4" t="inlineStr">
        <is>
          <t>doi:10.1111/pcn.70065</t>
        </is>
      </c>
      <c r="Y235" s="4" t="n"/>
      <c r="Z235" s="4" t="n"/>
      <c r="AA235" s="4" t="n"/>
      <c r="AB235" s="40" t="n"/>
    </row>
    <row r="236" ht="409" customHeight="1">
      <c r="A236" s="4" t="n">
        <v>235</v>
      </c>
      <c r="B236" s="4" t="inlineStr">
        <is>
          <t>include_after_title_abstract_screen</t>
        </is>
      </c>
      <c r="C236" s="4" t="inlineStr">
        <is>
          <t>Incluir provisionalmente</t>
        </is>
      </c>
      <c r="D236" s="4" t="inlineStr">
        <is>
          <t>Provisional include</t>
        </is>
      </c>
      <c r="E236" s="4" t="inlineStr">
        <is>
          <t>Sí</t>
        </is>
      </c>
      <c r="F236" s="4" t="inlineStr">
        <is>
          <t>Title/abstract screening</t>
        </is>
      </c>
      <c r="G236" s="4" t="n"/>
      <c r="H236" s="4" t="n"/>
      <c r="I236" s="4" t="n"/>
      <c r="J236" s="4" t="inlineStr">
        <is>
          <t>Estudio primario o implementación/evaluación empírica de IA, aprendizaje automático o modelado computacional aplicado a ASD, riesgo, caracterización, apoyo o intervención.</t>
        </is>
      </c>
      <c r="K236" s="4" t="n"/>
      <c r="L236" s="4" t="n"/>
      <c r="M236" s="4" t="n">
        <v>2026</v>
      </c>
      <c r="N236" s="4" t="inlineStr">
        <is>
          <t>Automatic measurement of social gaze during naturalistic conversations in autism</t>
        </is>
      </c>
      <c r="O236" s="4" t="inlineStr">
        <is>
          <t>Lisa D Yankowitz and Mohan Kashyap Pargi and Ellis DeJardin and Casey J Zampella and Whitney Guthrie and Juhi Pandey and G Keith Bartley and Darren Chen and Denisa Q McDonald and Aashvi Manakiwala and Maya Khanna and Kelsey Keen and Gabriella Buboltz and Annie Yang and John D Herrington and Evangelos Sariyanidi and Robert T Schultz and Birkan Tunç</t>
        </is>
      </c>
      <c r="P236" s="4" t="inlineStr">
        <is>
          <t>10.1016/j.jpsychires.2026.05.015</t>
        </is>
      </c>
      <c r="Q236" s="4" t="inlineStr">
        <is>
          <t>Journal of Psychiatric Research</t>
        </is>
      </c>
      <c r="R236" s="4" t="inlineStr">
        <is>
          <t>article</t>
        </is>
      </c>
      <c r="S236" s="4" t="inlineStr">
        <is>
          <t>Elsevier Ltd</t>
        </is>
      </c>
      <c r="T236" s="4" t="inlineStr">
        <is>
          <t>https://doi.org/10.1016/j.jpsychires.2026.05.015</t>
        </is>
      </c>
      <c r="U236" s="4" t="n"/>
      <c r="V236" s="4" t="inlineStr">
        <is>
          <t>Standardized, granular measurement of social communication behaviors, such as social gaze during natural interactions, is needed for a range of psychiatric applications including diagnosis and detecting clinical change in conditions such as autism. Computational approaches show promise in automatically measuring social behaviors within natural settings. This study aims to automatically measure social gaze features from videos of dyadic conversations, characterize autism-related differences, and capture individual-level differences. 46 autistic Participants and 36 neurotypical Participants, aged 8-29 years, engaged in a brief video-recorded conversation with a research staff member (Partner). An automated social gaze detector was trained to detect whether each partner was looking at the other and achieved 89% cross-validated accuracy with human annotations. Comparing detailed automatic gaze measurements, autistic Participants spent less time looking at Partners and engaging in mutual gaze than neurotypical Participants did. They also initiated mutual gaze less frequently and had shorter mutual gaze episodes, but did not differ in mutual gaze counts. A social gaze summary score fusing individual variables correlated specifically with ADOS-2 Social Affect scores and not Restricted and Repetitive Behavior scores. A cross-validated multivariate classification model using gaze features was able to make individual-level diagnostic prediction (autism versus neurotypical) with 73% accuracy. This study provides a framework for automatically quantifying social gaze behaviors with high granularity and demonstrates its use in psychiatric research. This framework has a potential for enhancing measurement of social skills and tracking therapeutic progress in autism and other psychiatric conditions.</t>
        </is>
      </c>
      <c r="W236" s="4" t="inlineStr">
        <is>
          <t>title_abstract_plus_targeted_primary_source_verification</t>
        </is>
      </c>
      <c r="X236" s="4" t="inlineStr">
        <is>
          <t>doi:10.1016/j.jpsychires.2026.05.015</t>
        </is>
      </c>
      <c r="Y236" s="4" t="n"/>
      <c r="Z236" s="4" t="n"/>
      <c r="AA236" s="4" t="n"/>
      <c r="AB236" s="40" t="n"/>
    </row>
    <row r="237" ht="409" customHeight="1">
      <c r="A237" s="4" t="n">
        <v>236</v>
      </c>
      <c r="B237" s="4" t="inlineStr">
        <is>
          <t>include_after_title_abstract_screen</t>
        </is>
      </c>
      <c r="C237" s="4" t="inlineStr">
        <is>
          <t>Incluir provisionalmente</t>
        </is>
      </c>
      <c r="D237" s="4" t="inlineStr">
        <is>
          <t>Provisional include</t>
        </is>
      </c>
      <c r="E237" s="4" t="inlineStr">
        <is>
          <t>Sí</t>
        </is>
      </c>
      <c r="F237" s="4" t="inlineStr">
        <is>
          <t>Title/abstract screening</t>
        </is>
      </c>
      <c r="G237" s="4" t="n"/>
      <c r="H237" s="4" t="n"/>
      <c r="I237" s="4" t="n"/>
      <c r="J237" s="4" t="inlineStr">
        <is>
          <t>Estudio primario o implementación/evaluación empírica de IA, aprendizaje automático o modelado computacional aplicado a ASD, riesgo, caracterización, apoyo o intervención.</t>
        </is>
      </c>
      <c r="K237" s="4" t="n"/>
      <c r="L237" s="4" t="n"/>
      <c r="M237" s="4" t="n">
        <v>2025</v>
      </c>
      <c r="N237" s="4" t="inlineStr">
        <is>
          <t>An image-based analytics framework for early autism detection using eye movements</t>
        </is>
      </c>
      <c r="O237" s="4" t="inlineStr">
        <is>
          <t>Roaa Soloh and Lara Abou Orm and Dana Dabdoub</t>
        </is>
      </c>
      <c r="P237" s="4" t="inlineStr">
        <is>
          <t>10.1016/j.health.2025.100439</t>
        </is>
      </c>
      <c r="Q237" s="4" t="inlineStr">
        <is>
          <t>Healthcare Analytics</t>
        </is>
      </c>
      <c r="R237" s="4" t="inlineStr">
        <is>
          <t>article</t>
        </is>
      </c>
      <c r="S237" s="4" t="inlineStr">
        <is>
          <t>Elsevier Inc.</t>
        </is>
      </c>
      <c r="T237" s="4" t="inlineStr">
        <is>
          <t>https://www.sciencedirect.com/science/article/pii/S2772442525000589</t>
        </is>
      </c>
      <c r="U237" s="4" t="n"/>
      <c r="V237" s="4" t="inlineStr">
        <is>
          <t>Autism Spectrum Disorder (ASD) is a complex neurodevelopmental condition whose early detection is crucial for improving social and cognitive outcomes. Current diagnostic tools are often costly, subjective, and inaccessible to many clinics. This work presents GazeScan, an image-based analytics framework that identifies ASD from eye-tracking behavior using only standard video input. The system non-invasively performs gaze estimation via a 16-point geometric calibration and transforms gaze trajectories into grayscale scanpath images. These images are classified using a lightweight convolutional neural network. GazeScan was evaluated on the Eye-Tracking Scan Path (ETSP) dataset with five-fold cross-validation, achieving 97.01% accuracy and an AUC of 0.98. The model's compact architecture enables real-time inference and mobile deployment without specialized hardware. The results obtained highlight the potential of accessible, AI-enabled digital screening tools to support early ASD detection and broader behavioral healthcare delivery.</t>
        </is>
      </c>
      <c r="W237" s="4" t="inlineStr">
        <is>
          <t>title_abstract_plus_targeted_primary_source_verification</t>
        </is>
      </c>
      <c r="X237" s="4" t="inlineStr">
        <is>
          <t>doi:10.1016/j.health.2025.100439</t>
        </is>
      </c>
      <c r="Y237" s="4" t="n"/>
      <c r="Z237" s="4" t="n"/>
      <c r="AA237" s="4" t="n"/>
      <c r="AB237" s="40" t="n"/>
    </row>
    <row r="238" ht="409" customHeight="1">
      <c r="A238" s="4" t="n">
        <v>237</v>
      </c>
      <c r="B238" s="4" t="inlineStr">
        <is>
          <t>include_after_full_text_open_access</t>
        </is>
      </c>
      <c r="C238" s="4" t="inlineStr">
        <is>
          <t>Incluir tras revisión de texto completo abierto</t>
        </is>
      </c>
      <c r="D238" s="4" t="inlineStr">
        <is>
          <t>Provisional include</t>
        </is>
      </c>
      <c r="E238" s="4" t="inlineStr">
        <is>
          <t>Sí</t>
        </is>
      </c>
      <c r="F238" s="4" t="inlineStr">
        <is>
          <t>Full-text review</t>
        </is>
      </c>
      <c r="G238" s="4" t="n"/>
      <c r="H238" s="4" t="n"/>
      <c r="I238" s="4" t="n"/>
      <c r="J238" s="4" t="inlineStr">
        <is>
          <t>Texto completo confirma estudio primario con Hybrid aplicado a ASD (Emotion recognition).</t>
        </is>
      </c>
      <c r="K238" s="4" t="n"/>
      <c r="L238" s="4" t="n"/>
      <c r="M238" s="4" t="n">
        <v>2025</v>
      </c>
      <c r="N238" s="4" t="inlineStr">
        <is>
          <t>Late Fusion Model for Emotion Recognition from Facial Expressions and Biosignals in a Dataset of Children with Autism Spectrum Disorder</t>
        </is>
      </c>
      <c r="O238" s="4" t="inlineStr">
        <is>
          <t>Dominika Kiejdo and Monika Depka Prądzinska and Teresa Zawadzka</t>
        </is>
      </c>
      <c r="P238" s="4" t="inlineStr">
        <is>
          <t>10.3390/s25247485</t>
        </is>
      </c>
      <c r="Q238" s="4" t="inlineStr">
        <is>
          <t>Sensors</t>
        </is>
      </c>
      <c r="R238" s="4" t="inlineStr">
        <is>
          <t>article</t>
        </is>
      </c>
      <c r="S238" s="4" t="inlineStr">
        <is>
          <t>Multidisciplinary Digital Publishing Institute (MDPI)</t>
        </is>
      </c>
      <c r="T238" s="4" t="inlineStr">
        <is>
          <t>https://www.mdpi.com/1424-8220/25/24/7485/pdf?version=1765281915</t>
        </is>
      </c>
      <c r="U238" s="4" t="inlineStr">
        <is>
          <t>Texto completo abierto revisado; evidencia y codificación en Extraccion_RQ_nuevos.</t>
        </is>
      </c>
      <c r="V238" s="4" t="inlineStr">
        <is>
          <t>Children with autism spectrum disorder (ASD) often display atypical emotional expressions and physiological responses, making emotion recognition challenging. This study proposes a multimodal recognition model employing a late fusion framework combining facial expression with physiological measures: electrodermal activity (EDA), temperature (TEMP), and heart rate (HR). Emotional states are annotated using two complementary schemes derived from a shared set of labels. Three annotators provide one categorical Ekman emotion for each timestamp. From these annotations, a majority-vote label identifies the dominant emotion, while a proportional distribution reflects the likelihood of each emotion based on the relative frequency of the annotators’ selections. Separate machine learning models are trained for each modality and for each annotation scheme, and their outputs are integrated through decision-level fusion. A distinct decision-level fusion model is constructed for each annotation scheme, ensuring that both the categorical and likelihood-based representations are optimally combined. The experiments on the EMBOA dataset, collected within the project “Affective loop in Socially Assistive Robotics as an intervention tool for children with autism”, show that the late fusion model achieves higher accuracy and robustness than unimodal baselines. The system attains an accuracy of 68% for categorical emotion classification and 78% under the likelihood-estimation scheme. The results obtained, although lower than those reported in other studies, suggest that further research into emotion recognition in autistic children using other fusions is warranted, even in the case of datasets with a significant number of missing values and low sample representation for certain emotions.</t>
        </is>
      </c>
      <c r="W238" s="4" t="inlineStr">
        <is>
          <t>open_full_text_review_2026_09_04</t>
        </is>
      </c>
      <c r="X238" s="4" t="inlineStr">
        <is>
          <t>doi:10.3390/s25247485</t>
        </is>
      </c>
      <c r="Y238" s="4" t="n"/>
      <c r="Z238" s="4" t="n"/>
      <c r="AA238" s="4" t="n"/>
      <c r="AB238" s="40" t="n"/>
    </row>
    <row r="239" ht="409" customHeight="1">
      <c r="A239" s="4" t="n">
        <v>238</v>
      </c>
      <c r="B239" s="4" t="inlineStr">
        <is>
          <t>exclude_secondary_or_nonempirical_publication</t>
        </is>
      </c>
      <c r="C239" s="4" t="inlineStr">
        <is>
          <t>Excluir: publicación secundaria/no empírica</t>
        </is>
      </c>
      <c r="D239" s="4" t="inlineStr">
        <is>
          <t>Excluded</t>
        </is>
      </c>
      <c r="E239" s="4" t="inlineStr">
        <is>
          <t>No</t>
        </is>
      </c>
      <c r="F239" s="4" t="inlineStr">
        <is>
          <t>Title/abstract screening</t>
        </is>
      </c>
      <c r="G239" s="4" t="n"/>
      <c r="H239" s="4" t="n"/>
      <c r="I239" s="4" t="n"/>
      <c r="J239" s="4" t="inlineStr">
        <is>
          <t>Revisión, metaanálisis, encuesta de literatura, protocolo, perspectiva, carta, editorial o capítulo de síntesis sin estudio primario elegible.</t>
        </is>
      </c>
      <c r="K239" s="4" t="n"/>
      <c r="L239" s="4" t="n"/>
      <c r="M239" s="4" t="n">
        <v>2026</v>
      </c>
      <c r="N239" s="4" t="inlineStr">
        <is>
          <t>Use of Automation Technologies and Data Mining in Speech Recognition for Autism</t>
        </is>
      </c>
      <c r="O239" s="4" t="inlineStr">
        <is>
          <t>Rongjie Mao and Yuncheng Zhu</t>
        </is>
      </c>
      <c r="P239" s="4" t="inlineStr">
        <is>
          <t>10.1002/BRB3.71229</t>
        </is>
      </c>
      <c r="Q239" s="4" t="inlineStr">
        <is>
          <t>Brain and Behavior</t>
        </is>
      </c>
      <c r="R239" s="4" t="inlineStr">
        <is>
          <t>article</t>
        </is>
      </c>
      <c r="S239" s="4" t="inlineStr">
        <is>
          <t>John Wiley and Sons Ltd</t>
        </is>
      </c>
      <c r="T239" s="4" t="inlineStr">
        <is>
          <t>https://doi.org/10.1002/BRB3.71229</t>
        </is>
      </c>
      <c r="U239" s="4" t="n"/>
      <c r="V239" s="4" t="inlineStr">
        <is>
          <t>Introduction: Early identification of autism spectrum disorder (ASD) is critical for improving long-term outcomes, and speech offers a noninvasive source of clinically relevant biomarkers. However, manual speech analysis is time-consuming and difficult to scale. With advances in digital recording, signal processing, and artificial intelligence, researchers have increasingly deployed automated tools and data-mining methods to characterize speech and language in ASD. Methods: This structured narrative review summarizes methodological developments in speech-based ASD assessment from 1994 to 2025, spanning diverse tasks and recording settings and focusing on automated tools, data-mining methods, and their clinical translation. We first consider core automated toolchains, including LENA, Praat, HTK/FAVE, CMU Sphinx, Kaldi, AutoSALT, openSMILE/eGeMAPS, diarization systems, and foundation-model ASR systems (e.g., Whisper), as well as modern self-supervised encoders such as wav2vec 2.0 and TRILLsson. Their typical use cases, psychometric properties, and limitations are highlighted. We then chart the progression of data-mining and machine-learning approaches from early logistic regression and clustering, through regularized regression, SVMs, and tree ensembles, to CNN/LSTM sequence models and transformer-based text and speech models (e.g., BERT, LLMs). Results: Across these stages, automated indices of prosody, voice quality, linguistic content, and interactional behavior show moderate-to-high accuracy for ASD detection and meaningful associations with clinician-rated severity. Nonetheless, various problems persist: performance often degrades across languages, ages, tasks, and recording settings; evaluation and reporting remain heterogeneous; datasets are typically small and single-site; and privacy, fairness, interpretability, and computational efficiency pose persistent barriers to deployment, highlighting the need for target-context benchmarking and pre-specified evaluation/reporting. Conclusion: We outline three priority strategies to guide future work toward scalable, clinically credible ASD speech assessment and longitudinal monitoring: optimize and integrate existing toolchains, enable global yet privacy-preserving data sharing, and leverage cross-domain innovations in enhancement, label efficiency, and explainable, edge-ready AI.</t>
        </is>
      </c>
      <c r="W239" s="4" t="inlineStr">
        <is>
          <t>title_abstract_plus_targeted_primary_source_verification</t>
        </is>
      </c>
      <c r="X239" s="4" t="inlineStr">
        <is>
          <t>doi:10.1002/brb3.71229</t>
        </is>
      </c>
      <c r="Y239" s="4" t="n"/>
      <c r="Z239" s="4" t="n"/>
      <c r="AA239" s="4" t="n"/>
      <c r="AB239" s="40" t="n"/>
    </row>
    <row r="240" ht="409" customHeight="1">
      <c r="A240" s="4" t="n">
        <v>239</v>
      </c>
      <c r="B240" s="4" t="inlineStr">
        <is>
          <t>include_after_title_abstract_screen</t>
        </is>
      </c>
      <c r="C240" s="4" t="inlineStr">
        <is>
          <t>Incluir provisionalmente</t>
        </is>
      </c>
      <c r="D240" s="4" t="inlineStr">
        <is>
          <t>Provisional include</t>
        </is>
      </c>
      <c r="E240" s="4" t="inlineStr">
        <is>
          <t>Sí</t>
        </is>
      </c>
      <c r="F240" s="4" t="inlineStr">
        <is>
          <t>Title/abstract screening</t>
        </is>
      </c>
      <c r="G240" s="4" t="n"/>
      <c r="H240" s="4" t="n"/>
      <c r="I240" s="4" t="n"/>
      <c r="J240" s="4" t="inlineStr">
        <is>
          <t>Estudio primario o implementación/evaluación empírica de IA, aprendizaje automático o modelado computacional aplicado a ASD, riesgo, caracterización, apoyo o intervención.</t>
        </is>
      </c>
      <c r="K240" s="4" t="n"/>
      <c r="L240" s="4" t="n"/>
      <c r="M240" s="4" t="n">
        <v>2025</v>
      </c>
      <c r="N240" s="4" t="inlineStr">
        <is>
          <t>Real-Time Classification for EEG Data in Children With ASD Using Deep Learning Techniques</t>
        </is>
      </c>
      <c r="O240" s="4" t="inlineStr">
        <is>
          <t>P L Lekshmylal and E Suresh Kumar and Ashalatha Radhakrishnan and G Shiny</t>
        </is>
      </c>
      <c r="P240" s="4" t="inlineStr">
        <is>
          <t>10.1002/DNEU.23009</t>
        </is>
      </c>
      <c r="Q240" s="4" t="inlineStr">
        <is>
          <t>Developmental Neurobiology</t>
        </is>
      </c>
      <c r="R240" s="4" t="inlineStr">
        <is>
          <t>article</t>
        </is>
      </c>
      <c r="S240" s="4" t="inlineStr">
        <is>
          <t>John Wiley and Sons Inc</t>
        </is>
      </c>
      <c r="T240" s="4" t="inlineStr">
        <is>
          <t>https://doi.org/10.1002/DNEU.23009</t>
        </is>
      </c>
      <c r="U240" s="4" t="n"/>
      <c r="V240" s="4" t="inlineStr">
        <is>
          <t>Autism spectrum disorder (ASD) presents unique challenges in diagnosis and treatment, necessitating innovative approaches to understanding its underlying neurophysiological mechanisms. Real-time classification of electroencephalography (EEG) data in children with ASD faces significant challenges due to variability in EEG signals caused by individual differences in brain activity, age, and behavioral states, complicating robust algorithm development. This study develops and validates a deep learning–based framework for real-time EEG classification in children with ASD, aiming to enhance diagnostic accuracy and enable timely interventions. The dataset includes EEG recordings from 60 children (30 with ASD and 30 typically developing), representing diverse age groups and behavioral profiles to improve generalizability. Pre-processing removes noise and artifacts through segmentation, short-time Fourier transform (STFT), and independent component analysis (ICA). Grid search optimization (GSO) enhances model performance by systematically searching hyperparameter combinations to find the optimal configuration. A hybrid convolutional neural network (CNN)–long short-term memory (LSTM) framework is proposed, combining convolutional layers for spatial feature extraction with LSTM layers for temporal sequence modeling. This hybrid model is the primary proposed solution for real-time EEG classification due to its ability to capture both spatial and temporal features critical for interpreting sequential EEG data in children with ASD. The model achieves an accuracy of 87.5%, a precision of 85.0%, a recall of 90.0%, and an F1 score of 87.5% implemented using MATLAB software. In comparison, ResNet, a baseline deep CNN model, achieves slightly higher accuracy (89.1%) but lacks temporal modeling capabilities essential for sequential EEG interpretation. Despite ResNet's marginally higher accuracy, the hybrid CNN–LSTM is favored as the final model for its superior temporal modeling, critical in EEG analysis. Future work may include real-time feedback mechanisms, mobile application development, and longitudinal data expansion.</t>
        </is>
      </c>
      <c r="W240" s="4" t="inlineStr">
        <is>
          <t>title_abstract_plus_targeted_primary_source_verification</t>
        </is>
      </c>
      <c r="X240" s="4" t="inlineStr">
        <is>
          <t>doi:10.1002/dneu.23009</t>
        </is>
      </c>
      <c r="Y240" s="4" t="n"/>
      <c r="Z240" s="4" t="n"/>
      <c r="AA240" s="4" t="n"/>
      <c r="AB240" s="40" t="n"/>
    </row>
    <row r="241" ht="409" customHeight="1">
      <c r="A241" s="4" t="n">
        <v>240</v>
      </c>
      <c r="B241" s="4" t="inlineStr">
        <is>
          <t>include_after_title_abstract_screen</t>
        </is>
      </c>
      <c r="C241" s="4" t="inlineStr">
        <is>
          <t>Incluir provisionalmente</t>
        </is>
      </c>
      <c r="D241" s="4" t="inlineStr">
        <is>
          <t>Provisional include</t>
        </is>
      </c>
      <c r="E241" s="4" t="inlineStr">
        <is>
          <t>Sí</t>
        </is>
      </c>
      <c r="F241" s="4" t="inlineStr">
        <is>
          <t>Title/abstract screening</t>
        </is>
      </c>
      <c r="G241" s="4" t="n"/>
      <c r="H241" s="4" t="n"/>
      <c r="I241" s="4" t="n"/>
      <c r="J241" s="4" t="inlineStr">
        <is>
          <t>Estudio primario o implementación/evaluación empírica de IA, aprendizaje automático o modelado computacional aplicado a ASD, riesgo, caracterización, apoyo o intervención.</t>
        </is>
      </c>
      <c r="K241" s="4" t="n"/>
      <c r="L241" s="4" t="n"/>
      <c r="M241" s="4" t="n">
        <v>2026</v>
      </c>
      <c r="N241" s="4" t="inlineStr">
        <is>
          <t>Symptom-based classification of 16p11.2 copy number variations underlying the multidimensional autism spectrum disorder phenotype using machine learning methods</t>
        </is>
      </c>
      <c r="O241" s="4" t="inlineStr">
        <is>
          <t>Hilmi Bolat and Gül Ünsel-bolat and Edanur Bulut and Semiha Özgül and Duygu Selin Turan and Samet Çeli̇k and Özgür Ozan Koyuncu and Özgür Kirbiyik and Özge Özer Kaya and Yaşar Bekir Kutbay and Merve Saka Güvenç and Kadri Murat Erdoğan and S ̧ener Arikan and Tuba Sözen Türk and Altuğ Koç and Taha Reşid Özdemi̇r and Berk Özyilmaz and Gonca Özyurt and Burak Ordi̇n and Buket Kosova</t>
        </is>
      </c>
      <c r="P241" s="4" t="inlineStr">
        <is>
          <t>10.1016/j.reia.2026.202865</t>
        </is>
      </c>
      <c r="Q241" s="4" t="inlineStr">
        <is>
          <t>Research in Autism</t>
        </is>
      </c>
      <c r="R241" s="4" t="inlineStr">
        <is>
          <t>article</t>
        </is>
      </c>
      <c r="S241" s="4" t="inlineStr">
        <is>
          <t>Elsevier Ltd</t>
        </is>
      </c>
      <c r="T241" s="4" t="inlineStr">
        <is>
          <t>https://www.sciencedirect.com/science/article/pii/S3050656526000799</t>
        </is>
      </c>
      <c r="U241" s="4" t="n"/>
      <c r="V241" s="4" t="inlineStr">
        <is>
          <t>Purpose: Copy number variations (CNVs) in the 16p11.2 region are well-established contributors to neurodevelopmental disorders, yet phenotype variability across this locus remains insufficiently characterized. This study investigates clinical features and ASD-related symptoms among carriers of rare pathogenic and common CNVs, and evaluates symptom-level discriminability using machine learning (ML) methods. Methods: Genetic data from 7568 individuals were retrospectively screened, identifying 147 carriers of 16p11.2 CNVs. Detailed clinical assessments were completed for 50 participants. ASD-related symptoms were evaluated using a structured 25-item instrument. Group comparisons applied nonparametric statistics with effect sizes, confidence intervals, and FDR correction. ML analyses used PCA and k-means for feature selection, oversampling methods (SMOTE, Borderline-SMOTE, ADASYN), and five classifiers, evaluated through cross-validation. Results: Across pathogenic and common CNV groups, no significant differences were observed in social communication, restricted/repetitive behaviors, sensory symptoms, regression, or total autism scores (FDR-adjusted p &gt; 0.05). Aggression was more frequently endorsed in pathogenic CNV carriers (raw p = 0.030; FDR p = 0.098). BMI was higher in pathogenic CNVs, though nonsignificant after correction (raw p = 0.027; FDR p = 0.152). ML analyses identified three recurrent discriminative symptoms across multiple datasets: delayed response to name, unusual object play, and aggression. Dataset 3 (16 symptoms) provided the most balanced classification performance but, given the very small pathogenic CNV sample, results remain exploratory. Conclusion: Findings suggest that, while most autism-related symptoms do not differ between groups, aggression and increased BMI may represent preliminary phenotypic signals associated with pathogenic CNVs. Integrating clinical data from 147 CNV carriers further supports a potential widespread effect across the broader 16p11.2 locus rather than a single breakpoint-specific mechanism. However, all results should be interpreted cautiously due to limited sample size, and larger, systematically phenotyped cohorts are required to establish robust genotype–phenotype relationships.</t>
        </is>
      </c>
      <c r="W241" s="4" t="inlineStr">
        <is>
          <t>title_abstract_plus_targeted_primary_source_verification</t>
        </is>
      </c>
      <c r="X241" s="4" t="inlineStr">
        <is>
          <t>doi:10.1016/j.reia.2026.202865</t>
        </is>
      </c>
      <c r="Y241" s="4" t="n"/>
      <c r="Z241" s="4" t="n"/>
      <c r="AA241" s="4" t="n"/>
      <c r="AB241" s="40" t="n"/>
    </row>
    <row r="242" ht="409" customHeight="1">
      <c r="A242" s="4" t="n">
        <v>241</v>
      </c>
      <c r="B242" s="4" t="inlineStr">
        <is>
          <t>duplicate_within_export</t>
        </is>
      </c>
      <c r="C242" s="4" t="inlineStr">
        <is>
          <t>No agregar: duplicado interno</t>
        </is>
      </c>
      <c r="D242" s="4" t="inlineStr">
        <is>
          <t>Duplicate within update</t>
        </is>
      </c>
      <c r="E242" s="4" t="inlineStr">
        <is>
          <t>No</t>
        </is>
      </c>
      <c r="F242" s="4" t="inlineStr">
        <is>
          <t>Deduplication</t>
        </is>
      </c>
      <c r="G242" s="4" t="n"/>
      <c r="H242" s="4" t="n"/>
      <c r="I242" s="4" t="n"/>
      <c r="J242" s="4" t="inlineStr">
        <is>
          <t>Mismo DOI o título que otro registro anterior de esta exportación.</t>
        </is>
      </c>
      <c r="K242" s="4" t="n">
        <v>198</v>
      </c>
      <c r="L242" s="4" t="n"/>
      <c r="M242" s="4" t="n">
        <v>2026</v>
      </c>
      <c r="N242" s="4" t="inlineStr">
        <is>
          <t>A Multimodal AI Framework for Early Autism Identification Using CbRNN–Ensemble Modelling and Advanced NCIAPPF-Based Temporal Encoding</t>
        </is>
      </c>
      <c r="O242" s="4" t="inlineStr">
        <is>
          <t>Indhu Bonthala and Sravanthi Chadubudhi and Sreeja Linga and Shaik Khasim Saheb</t>
        </is>
      </c>
      <c r="P242" s="4" t="inlineStr">
        <is>
          <t>10.1002/JDN.70117</t>
        </is>
      </c>
      <c r="Q242" s="4" t="inlineStr">
        <is>
          <t>International Journal of Developmental Neuroscience</t>
        </is>
      </c>
      <c r="R242" s="4" t="inlineStr">
        <is>
          <t>article</t>
        </is>
      </c>
      <c r="S242" s="4" t="inlineStr">
        <is>
          <t>John Wiley and Sons Inc</t>
        </is>
      </c>
      <c r="T242" s="4" t="inlineStr">
        <is>
          <t>https://doi.org/10.1002/JDN.70117</t>
        </is>
      </c>
      <c r="U242" s="4" t="n"/>
      <c r="V242" s="4" t="inlineStr">
        <is>
          <t>To improve child developmental results and enable prompt interventions, early identification of autism spectrum disorder (ASD) is crucial. Conventional diagnostic instruments, while clinically standardized, remain constrained by subjectivity, limited scalability and dependence on expert evaluation. This study introduces AutiScan, an AI-driven framework that integrates a Convolution-based Recurrent Neural Network Ensemble Model (CbRNN-EM) with the neural context-integrated adaptive reprocessing and pattern filtering (NCIAPPF) technique for capturing temporal dynamics of neural encoding. The proposed system analyses multimodal data including facial expressions, eye-gaze patterns, speech prosody and behavioural cues to extract spatial, emotional and sequential features relevant to early ASD markers. NCIAPPF enhances preprocessing by adaptively filtering noise, normalizing multimodal signals and preserving fine-grained temporal dependencies essential for robust pattern recognition. The fused representations are classified using an ensemble layer, achieving superior accuracy compared with traditional deep learning and machine learning prototypes. The results of the experiments show that AutiScan offers a dependable, scalable and comprehensible early ASD screening tool, underscoring the opportunity for practical clinical and educational implementation.</t>
        </is>
      </c>
      <c r="W242" s="4" t="inlineStr">
        <is>
          <t>title_abstract_plus_targeted_primary_source_verification</t>
        </is>
      </c>
      <c r="X242" s="4" t="inlineStr">
        <is>
          <t>doi:10.1002/jdn.70117</t>
        </is>
      </c>
      <c r="Y242" s="4" t="n"/>
      <c r="Z242" s="4" t="n"/>
      <c r="AA242" s="4" t="n"/>
      <c r="AB242" s="40" t="n"/>
    </row>
    <row r="243" ht="409" customHeight="1">
      <c r="A243" s="4" t="n">
        <v>242</v>
      </c>
      <c r="B243" s="4" t="inlineStr">
        <is>
          <t>include_after_title_abstract_screen</t>
        </is>
      </c>
      <c r="C243" s="4" t="inlineStr">
        <is>
          <t>Incluir provisionalmente</t>
        </is>
      </c>
      <c r="D243" s="4" t="inlineStr">
        <is>
          <t>Provisional include</t>
        </is>
      </c>
      <c r="E243" s="4" t="inlineStr">
        <is>
          <t>Sí</t>
        </is>
      </c>
      <c r="F243" s="4" t="inlineStr">
        <is>
          <t>Title/abstract screening</t>
        </is>
      </c>
      <c r="G243" s="4" t="n"/>
      <c r="H243" s="4" t="n"/>
      <c r="I243" s="4" t="n"/>
      <c r="J243" s="4" t="inlineStr">
        <is>
          <t>Estudio primario o implementación/evaluación empírica de IA, aprendizaje automático o modelado computacional aplicado a ASD, riesgo, caracterización, apoyo o intervención.</t>
        </is>
      </c>
      <c r="K243" s="4" t="n"/>
      <c r="L243" s="4" t="n"/>
      <c r="M243" s="4" t="n">
        <v>2026</v>
      </c>
      <c r="N243" s="4" t="inlineStr">
        <is>
          <t>Neurophysiological EEG Characterization of Autism Spectrum Disorder Using DWT-Based Frequency Analysis With Selective Electrodes and Brain Segmentation: An Explainable AI-Driven Approach</t>
        </is>
      </c>
      <c r="O243" s="4" t="inlineStr">
        <is>
          <t>Kazi Mahatir Mohammed Samir and Adnan Sami Sarker and Sawrav Das</t>
        </is>
      </c>
      <c r="P243" s="4" t="inlineStr">
        <is>
          <t>10.1096/FJ.202600019R</t>
        </is>
      </c>
      <c r="Q243" s="4" t="inlineStr">
        <is>
          <t>FASEB Journal</t>
        </is>
      </c>
      <c r="R243" s="4" t="inlineStr">
        <is>
          <t>article</t>
        </is>
      </c>
      <c r="S243" s="4" t="inlineStr">
        <is>
          <t>John Wiley and Sons Inc</t>
        </is>
      </c>
      <c r="T243" s="4" t="inlineStr">
        <is>
          <t>https://doi.org/10.1096/FJ.202600019R</t>
        </is>
      </c>
      <c r="U243" s="4" t="n"/>
      <c r="V243" s="4" t="inlineStr">
        <is>
          <t>Autism Spectrum Disorder (ASD) diagnosis benefits from the technical analysis of neural oscillations. The objective identification of Autism Spectrum Disorder (ASD) is advanced through a dedicated engineering framework that analyzes neural oscillations via electroencephalogram (EEG) signals. This methodology synthesizes statistical signal processing, frequency-domain transformation, and computational intelligence. Multi-channel EEG data from 15 electrodes were first organized into seven functional brain regions. A Discrete Wavelet Transform (db4) was then applied for multiresolution decomposition, extracting and normalizing the spectral power of delta, theta, alpha, beta, and gamma frequency bands. This spectral characterization was augmented with statistical descriptors to quantify signal dynamics and complexity, creating a robust multi-domain feature set. For classification, the framework implements a comprehensive comparative analysis across multiple learning paradigms. The engineered feature space was processed by nine classical machine learning algorithms, eight deep neural network architectures, and four meta-learning strategies. Empirical validation revealed that Logistic Regression achieved 88.57% accuracy with an AUC of 0.77. Further Extra Trees achieving 86.42% accuracy. Long Short-Term Memory (LSTM) networks demonstrated strong sequential modeling capability, attaining a competitive accuracy of approximately 87%. While meta-learning preserved diagnostic sensitivity, it did not surpass the leading standalone models. To ensure clinical interpretability, Explainability was employed, identifying delta and theta band power as the most critical discriminative features. Consequently, this study delivers a technically rigorous, transparent, and automated pipeline for electrophysiological signal characterization, establishing a preliminary computational foundation for neurophysiological differentiation in pediatric ASD. All findings are preliminary and exploratory, pending validation in larger independent cohorts.</t>
        </is>
      </c>
      <c r="W243" s="4" t="inlineStr">
        <is>
          <t>title_abstract_plus_targeted_primary_source_verification</t>
        </is>
      </c>
      <c r="X243" s="4" t="inlineStr">
        <is>
          <t>doi:10.1096/fj.202600019r</t>
        </is>
      </c>
      <c r="Y243" s="4" t="n"/>
      <c r="Z243" s="4" t="n"/>
      <c r="AA243" s="4" t="n"/>
      <c r="AB243" s="40" t="n"/>
    </row>
    <row r="244" ht="409" customHeight="1">
      <c r="A244" s="4" t="n">
        <v>243</v>
      </c>
      <c r="B244" s="4" t="inlineStr">
        <is>
          <t>exclude_secondary_or_nonempirical_publication</t>
        </is>
      </c>
      <c r="C244" s="4" t="inlineStr">
        <is>
          <t>Excluir: publicación secundaria/no empírica</t>
        </is>
      </c>
      <c r="D244" s="4" t="inlineStr">
        <is>
          <t>Excluded</t>
        </is>
      </c>
      <c r="E244" s="4" t="inlineStr">
        <is>
          <t>No</t>
        </is>
      </c>
      <c r="F244" s="4" t="inlineStr">
        <is>
          <t>Title/abstract screening</t>
        </is>
      </c>
      <c r="G244" s="4" t="n"/>
      <c r="H244" s="4" t="n"/>
      <c r="I244" s="4" t="n"/>
      <c r="J244" s="4" t="inlineStr">
        <is>
          <t>Revisión, metaanálisis, encuesta de literatura, protocolo, perspectiva, carta, editorial o capítulo de síntesis sin estudio primario elegible.</t>
        </is>
      </c>
      <c r="K244" s="4" t="n"/>
      <c r="L244" s="4" t="n"/>
      <c r="M244" s="4" t="n">
        <v>2026</v>
      </c>
      <c r="N244" s="4" t="inlineStr">
        <is>
          <t>Machine learning-based diagnosis of autism spectrum disorder in children and adolescents using eye-tracking data: a systematic review and meta-analysis</t>
        </is>
      </c>
      <c r="O244" s="4" t="inlineStr">
        <is>
          <t>Wenhao Han and Xinyu Yang and Xin Li and Jiacheng Wang and Juan Liu and Wei Pang</t>
        </is>
      </c>
      <c r="P244" s="4" t="inlineStr">
        <is>
          <t>10.1016/j.ijmedinf.2025.106235</t>
        </is>
      </c>
      <c r="Q244" s="4" t="inlineStr">
        <is>
          <t>International Journal of Medical Informatics</t>
        </is>
      </c>
      <c r="R244" s="4" t="inlineStr">
        <is>
          <t>article</t>
        </is>
      </c>
      <c r="S244" s="4" t="inlineStr">
        <is>
          <t>Elsevier Ireland Ltd</t>
        </is>
      </c>
      <c r="T244" s="4" t="inlineStr">
        <is>
          <t>https://www.sciencedirect.com/science/article/pii/S1386505625004526</t>
        </is>
      </c>
      <c r="U244" s="4" t="n"/>
      <c r="V244" s="4" t="inlineStr">
        <is>
          <t>Objective: Eye-tracking technology has been increasingly investigated as an objective approach for distinguishing individuals with Autism Spectrum Disorder (ASD) from typically developing (TD) individuals. Artificial intelligence and machine learning (ML) methods have been widely applied to support ASD diagnosis and treatment, and prior studies suggest that ML models leveraging eye-tracking data can achieve high diagnostic accuracy. This systematic review and meta-analysis aimed to evaluate the diagnostic performance of machine-learning models using eye-tracking data to distinguish children and adolescents with ASD from TD peers. Methods: We systematically searched PubMed, Embase, Web of Science, IEEE Xplore, Scopus, and the Cochrane Library from inception to August 3, 2025. We included studies that applied ML methods to eye-tracking data to distinguish children with ASD from TD children. We extracted data on participant characteristics, model performance, eye-tracking protocols, and machine-learning algorithms. The review protocol was registered in PROSPERO (CRD420251162462). Results: We identified 1,045 records, of which 25 studies were included in the meta-analysis. The included studies comprised 2,319 participants, with sample sizes ranging from 32 to 529 per study. The pooled accuracy, sensitivity, and specificity of machine-learning models using eye-tracking data to distinguish children with ASD from TD children were 85 % (95 % CI, 81–89 %), 86 % (95 % CI, 82–89 %), and 86 % (95 % CI, 79–91 %), respectively. These results suggest that eye-tracking–based machine-learning approaches have good diagnostic performance for identifying ASD. Conclusion: Eye-tracking–based machine-learning approaches show considerable potential for distinguishing children with ASD from TD children. However, the robustness and generalizability of these findings are limited by the lack of external validation, small sample sizes, and substantial between-study heterogeneity. To establish generalizability, future research should prioritize standardized eye-tracking paradigms and large-scale, prospective, multicenter study designs with external validation. Such efforts may facilitate the translation of these models into clinical practice as objective and efficient adjunctive screening tools.</t>
        </is>
      </c>
      <c r="W244" s="4" t="inlineStr">
        <is>
          <t>title_abstract_plus_targeted_primary_source_verification</t>
        </is>
      </c>
      <c r="X244" s="4" t="inlineStr">
        <is>
          <t>doi:10.1016/j.ijmedinf.2025.106235</t>
        </is>
      </c>
      <c r="Y244" s="4" t="n"/>
      <c r="Z244" s="4" t="n"/>
      <c r="AA244" s="4" t="n"/>
      <c r="AB244" s="40" t="n"/>
    </row>
    <row r="245" ht="409" customHeight="1">
      <c r="A245" s="4" t="n">
        <v>244</v>
      </c>
      <c r="B245" s="4" t="inlineStr">
        <is>
          <t>include_after_title_abstract_screen</t>
        </is>
      </c>
      <c r="C245" s="4" t="inlineStr">
        <is>
          <t>Incluir provisionalmente</t>
        </is>
      </c>
      <c r="D245" s="4" t="inlineStr">
        <is>
          <t>Provisional include</t>
        </is>
      </c>
      <c r="E245" s="4" t="inlineStr">
        <is>
          <t>Sí</t>
        </is>
      </c>
      <c r="F245" s="4" t="inlineStr">
        <is>
          <t>Title/abstract screening</t>
        </is>
      </c>
      <c r="G245" s="4" t="n"/>
      <c r="H245" s="4" t="n"/>
      <c r="I245" s="4" t="n"/>
      <c r="J245" s="4" t="inlineStr">
        <is>
          <t>Estudio primario o implementación/evaluación empírica de IA, aprendizaje automático o modelado computacional aplicado a ASD, riesgo, caracterización, apoyo o intervención.</t>
        </is>
      </c>
      <c r="K245" s="4" t="n"/>
      <c r="L245" s="4" t="n"/>
      <c r="M245" s="4" t="n">
        <v>2026</v>
      </c>
      <c r="N245" s="4" t="inlineStr">
        <is>
          <t>DHCA-Net: A Novel Dual-Stream Hierarchical Channel Attention Network for Explainable Autism Spectrum Disorder Detection From Facial Images</t>
        </is>
      </c>
      <c r="O245" s="4" t="inlineStr">
        <is>
          <t>Davinder Paul Singh and Tathagat Banerjee and C Anand Deva Durai and Shivam Mahendra Shukla and Prakash Gadipelli and Piyush Charan and Dheeraj Malhotra and Dharamvir and Ram Murat Singh and Yogendra Narayan and Vraj Patel and Ronak Panchal</t>
        </is>
      </c>
      <c r="P245" s="4" t="inlineStr">
        <is>
          <t>10.1002/JDN.70158</t>
        </is>
      </c>
      <c r="Q245" s="4" t="inlineStr">
        <is>
          <t>International Journal of Developmental Neuroscience</t>
        </is>
      </c>
      <c r="R245" s="4" t="inlineStr">
        <is>
          <t>article</t>
        </is>
      </c>
      <c r="S245" s="4" t="inlineStr">
        <is>
          <t>John Wiley and Sons Inc</t>
        </is>
      </c>
      <c r="T245" s="4" t="inlineStr">
        <is>
          <t>https://doi.org/10.1002/JDN.70158</t>
        </is>
      </c>
      <c r="U245" s="4" t="n"/>
      <c r="V245" s="4" t="inlineStr">
        <is>
          <t>Autism spectrum disorder (ASD) consists of a spectrum of neurodevelopmental conditions characterized by complex behavioural traits and subtle, atypical facial morphologies. Analysing these facial biomarkers provides a promising, non-invasive avenue for objective clinical screening, addressing the subjectivity of traditional diagnostic processes. Therefore, the present study aims to introduce DHCA-Net, a deep learning framework designed for automated ASD detection through the analysis of facial images. The proposed architecture uses different levels of attention and different adaptive tuning to advance discriminative learning. Specifically, DHCA-Net introduces three novel attention mechanisms to advance discriminative learning: a hierarchical channel module for spatial-semantic processing, a temporal-depth convolutional module for local contextual control and an inverted residual multi-core module for dynamic feature learning. An adaptive refinement step is also introduced to denoise clinical features. To bolster and diversify the classifier, the model exploits deep spatial and contextual resources via a multi-head feature fusion (MHFF) mechanism. We conducted extensive testing on a benchmark dataset comprising 2936 diverse, preprocessed facial images (86.4% train, 10.2% test, 3.4% validation splits). A comparative analysis evaluated DHCA-Net against architectures such as DenseNet, Xception, EfficientNet and Swin-Transformer. The proposed model achieved 93.7% classification accuracy, a 0.9365 F1 score and a 0.9887 AUC, demonstrating superior performance. Furthermore, the model maintains an efficient average inference latency of 70.14 ms despite its mid-to-high computational complexity. This explainable framework offers significant clinical applicability for scalable screening, though future work must address generalization across broader demographic populations.</t>
        </is>
      </c>
      <c r="W245" s="4" t="inlineStr">
        <is>
          <t>title_abstract_plus_targeted_primary_source_verification</t>
        </is>
      </c>
      <c r="X245" s="4" t="inlineStr">
        <is>
          <t>doi:10.1002/jdn.70158</t>
        </is>
      </c>
      <c r="Y245" s="4" t="n"/>
      <c r="Z245" s="4" t="n"/>
      <c r="AA245" s="4" t="n"/>
      <c r="AB245" s="40" t="n"/>
    </row>
    <row r="246" ht="73" customHeight="1">
      <c r="A246" s="4" t="n">
        <v>245</v>
      </c>
      <c r="B246" s="4" t="inlineStr">
        <is>
          <t>duplicate_within_export</t>
        </is>
      </c>
      <c r="C246" s="4" t="inlineStr">
        <is>
          <t>No agregar: duplicado interno</t>
        </is>
      </c>
      <c r="D246" s="4" t="inlineStr">
        <is>
          <t>Duplicate within update</t>
        </is>
      </c>
      <c r="E246" s="4" t="inlineStr">
        <is>
          <t>No</t>
        </is>
      </c>
      <c r="F246" s="4" t="inlineStr">
        <is>
          <t>Deduplication</t>
        </is>
      </c>
      <c r="G246" s="4" t="n"/>
      <c r="H246" s="4" t="n"/>
      <c r="I246" s="4" t="n"/>
      <c r="J246" s="4" t="inlineStr">
        <is>
          <t>Mismo DOI o título que otro registro anterior de esta exportación.</t>
        </is>
      </c>
      <c r="K246" s="4" t="n">
        <v>173</v>
      </c>
      <c r="L246" s="4" t="n"/>
      <c r="M246" s="4" t="n">
        <v>2025</v>
      </c>
      <c r="N246" s="4" t="inlineStr">
        <is>
          <t>From Click to Chat: A Comparative, Bilingual Study of Autism-Related Information on Websites and General-Purpose AI Chatbots (Preprint)</t>
        </is>
      </c>
      <c r="O246" s="4" t="inlineStr">
        <is>
          <t>Valentin Nădășan and Ciprian-Rareș Păroiu and Alexandra Neguțescu and Elena-Gabriela Strete</t>
        </is>
      </c>
      <c r="P246" s="4" t="inlineStr">
        <is>
          <t>10.2196/85196</t>
        </is>
      </c>
      <c r="Q246" s="4" t="inlineStr">
        <is>
          <t>JMIR Formative Research</t>
        </is>
      </c>
      <c r="R246" s="4" t="inlineStr">
        <is>
          <t>article</t>
        </is>
      </c>
      <c r="S246" s="4" t="inlineStr">
        <is>
          <t>JMIR Publications Inc.</t>
        </is>
      </c>
      <c r="T246" s="4" t="inlineStr">
        <is>
          <t>https://www.sciencedirect.com/science/article/pii/S2561326X26005287</t>
        </is>
      </c>
      <c r="U246" s="4" t="n"/>
      <c r="V246" s="4" t="n"/>
      <c r="W246" s="4" t="inlineStr">
        <is>
          <t>title_abstract_plus_targeted_primary_source_verification</t>
        </is>
      </c>
      <c r="X246" s="4" t="inlineStr">
        <is>
          <t>doi:10.2196/85196</t>
        </is>
      </c>
      <c r="Y246" s="4" t="n"/>
      <c r="Z246" s="4" t="n"/>
      <c r="AA246" s="4" t="n"/>
      <c r="AB246" s="40" t="n"/>
    </row>
    <row r="247" ht="409" customHeight="1">
      <c r="A247" s="4" t="n">
        <v>246</v>
      </c>
      <c r="B247" s="4" t="inlineStr">
        <is>
          <t>include_after_title_abstract_screen</t>
        </is>
      </c>
      <c r="C247" s="4" t="inlineStr">
        <is>
          <t>Incluir provisionalmente</t>
        </is>
      </c>
      <c r="D247" s="4" t="inlineStr">
        <is>
          <t>Provisional include</t>
        </is>
      </c>
      <c r="E247" s="4" t="inlineStr">
        <is>
          <t>Sí</t>
        </is>
      </c>
      <c r="F247" s="4" t="inlineStr">
        <is>
          <t>Title/abstract screening</t>
        </is>
      </c>
      <c r="G247" s="4" t="n"/>
      <c r="H247" s="4" t="n"/>
      <c r="I247" s="4" t="n"/>
      <c r="J247" s="4" t="inlineStr">
        <is>
          <t>Estudio primario o implementación/evaluación empírica de IA, aprendizaje automático o modelado computacional aplicado a ASD, riesgo, caracterización, apoyo o intervención.</t>
        </is>
      </c>
      <c r="K247" s="4" t="n"/>
      <c r="L247" s="4" t="n"/>
      <c r="M247" s="4" t="n">
        <v>2025</v>
      </c>
      <c r="N247" s="4" t="inlineStr">
        <is>
          <t>MTT: Multi-Tier Transformer for Early Diagnosis of Autism Spectrum Disorder and Language Disorder in Infants</t>
        </is>
      </c>
      <c r="O247" s="4" t="inlineStr">
        <is>
          <t>Jingyu Liu and Honghua Wang and Jialing Wang and Han Wu and Yifei Xu and Tao Zhang and Guangfeng Zhou</t>
        </is>
      </c>
      <c r="P247" s="4" t="inlineStr">
        <is>
          <t>10.1111/COIN.70131</t>
        </is>
      </c>
      <c r="Q247" s="4" t="inlineStr">
        <is>
          <t>Computational Intelligence</t>
        </is>
      </c>
      <c r="R247" s="4" t="inlineStr">
        <is>
          <t>article</t>
        </is>
      </c>
      <c r="S247" s="4" t="inlineStr">
        <is>
          <t>John Wiley and Sons Inc</t>
        </is>
      </c>
      <c r="T247" s="4" t="inlineStr">
        <is>
          <t>https://doi.org/10.1111/COIN.70131</t>
        </is>
      </c>
      <c r="U247" s="4" t="n"/>
      <c r="V247" s="4" t="inlineStr">
        <is>
          <t>Current diagnosis of autism spectrum disorder (ASD) and developmental language/reading disorder (DLD/DD) relies predominantly on subjective behavioral assessments, this underscoring the urgent need for objective biomarkers to enable early intervention. This study proposes a Multi-Tier Transformer (MTT) model for early identification of ASD and DLD/DD using resting-state EEG baseline power values. To address severe class imbalance, we augmented the dataset using the SMOTE method. The MTT architecture integrates a Feature-Embedding layer, a Feature-Attention mechanism that dynamically weights multi-spectral inputs, and a dual-attention encoding block comprising both self-attention and cross-attention to enhance contextual representation learning from limited samples. Transfer learning was further employed to improve robustness by pre-training on augmented data and fine-tuning on original samples. Evaluated on clinical infant EEG data, the proposed MTT achieved an accuracy of 0.91 (95% CI: 0.89–0.93), recall of 0.89, and AUC of 0.97, significantly outperforming the state-of-the-art FT-transformer (p = 0.00091). The results indicate that MTT provides a robust and interpretable deep learning tool for auxiliary diagnosis of neurodevelopmental disorders in infancy.</t>
        </is>
      </c>
      <c r="W247" s="4" t="inlineStr">
        <is>
          <t>title_abstract_plus_targeted_primary_source_verification</t>
        </is>
      </c>
      <c r="X247" s="4" t="inlineStr">
        <is>
          <t>doi:10.1111/coin.70131</t>
        </is>
      </c>
      <c r="Y247" s="4" t="n"/>
      <c r="Z247" s="4" t="n"/>
      <c r="AA247" s="4" t="n"/>
      <c r="AB247" s="40" t="n"/>
    </row>
    <row r="248" ht="409" customHeight="1">
      <c r="A248" s="4" t="n">
        <v>247</v>
      </c>
      <c r="B248" s="4" t="inlineStr">
        <is>
          <t>include_after_full_text_open_access</t>
        </is>
      </c>
      <c r="C248" s="4" t="inlineStr">
        <is>
          <t>Incluir tras revisión de texto completo abierto</t>
        </is>
      </c>
      <c r="D248" s="4" t="inlineStr">
        <is>
          <t>Provisional include</t>
        </is>
      </c>
      <c r="E248" s="4" t="inlineStr">
        <is>
          <t>Sí</t>
        </is>
      </c>
      <c r="F248" s="4" t="inlineStr">
        <is>
          <t>Full-text review</t>
        </is>
      </c>
      <c r="G248" s="4" t="n"/>
      <c r="H248" s="4" t="n"/>
      <c r="I248" s="4" t="n"/>
      <c r="J248" s="4" t="inlineStr">
        <is>
          <t>Texto completo confirma estudio primario con Deep Learning aplicado a ASD (Emotion recognition and adaptive intervention).</t>
        </is>
      </c>
      <c r="K248" s="4" t="n"/>
      <c r="L248" s="4" t="n"/>
      <c r="M248" s="4" t="n">
        <v>2025</v>
      </c>
      <c r="N248" s="4" t="inlineStr">
        <is>
          <t>New intelligent music therapy method for applications of enhancing social skills of autism children based on TL-GCN and deep learning</t>
        </is>
      </c>
      <c r="O248" s="4" t="inlineStr">
        <is>
          <t>Qilong Wu</t>
        </is>
      </c>
      <c r="P248" s="4" t="inlineStr">
        <is>
          <t>10.1038/s41598-025-26307-3</t>
        </is>
      </c>
      <c r="Q248" s="4" t="inlineStr">
        <is>
          <t>Scientific Reports</t>
        </is>
      </c>
      <c r="R248" s="4" t="inlineStr">
        <is>
          <t>article</t>
        </is>
      </c>
      <c r="S248" s="4" t="inlineStr">
        <is>
          <t>Nature Research</t>
        </is>
      </c>
      <c r="T248" s="4" t="inlineStr">
        <is>
          <t>https://www.nature.com/articles/s41598-025-26307-3.pdf</t>
        </is>
      </c>
      <c r="U248" s="4" t="inlineStr">
        <is>
          <t>Texto completo abierto revisado; evidencia y codificación en Extraccion_RQ_nuevos.</t>
        </is>
      </c>
      <c r="V248" s="4" t="inlineStr">
        <is>
          <t>To address the long-standing challenges children with autism face in social skills and emotional regulation, this study introduces Emotion-based Music Intelligent Network (EmoMusik-Net)—a deep learning model designed for intelligent music therapy. The model focuses on emotional impairments exhibited during social interactions, integrating Transformer-based temporal modeling with a Transfer Learning-based Graph Convolutional Network (TL-GCN). This combination enables high-precision recognition of facial expression sequences and supports a dynamically adaptive, closed-loop mechanism for personalized music recommendation. EmoMusik-Net was trained and optimized using three publicly available emotional video datasets. A pre- and post-intervention study, conducted in collaboration with the families of 182 children with autism, employed questionnaire-based assessments to systematically evaluate the model’s real-world feasibility and effectiveness. Experimental results demonstrated that EmoMusik-Net achieved an emotion recognition accuracy above 0.970, an F1-score consistently over 0.960, and an Area Under the Curve (AUC) of 0.978. The model also showed outstanding robustness on large-scale datasets, with a stability score of 0.994, indicating strong classification performance and generalizability. In terms of intervention outcomes, boys aged 1–6 showed a marked increase in social interest scores, rising from 1.280 to 2.540—a 98.44% improvement. Girls aged 7–12 exhibited significant gains in emotional response scores, from 1.670 to 3.120—an 86.77% increase. Further statistical analysis using the Mixed-effects Model for Repeated Measures (MMRM) and bootstrap confidence interval estimation confirmed the intervention’s significance both statistically and clinically, with particularly strong effects observed in younger participants. Expert blind evaluations further validated the system’s effectiveness, showing high consistency in rhythm and emotion matching. The Intraclass Correlation Coefficient (ICC) ranged from 0.75 to 0.91, with matching accuracy surpassing 94% in certain subgroups. EmoMusik-Net not only addresses the current research gap in integrating intelligent emotion recognition with music-based interventions but also offers a responsive, technology-driven support tool for parents, educators, and clinicians. This approach holds strong potential to advance autism spectrum disorder interventions toward personalized, data-driven methodologies.</t>
        </is>
      </c>
      <c r="W248" s="4" t="inlineStr">
        <is>
          <t>open_full_text_review_2026_09_04</t>
        </is>
      </c>
      <c r="X248" s="4" t="inlineStr">
        <is>
          <t>doi:10.1038/s41598-025-26307-3</t>
        </is>
      </c>
      <c r="Y248" s="4" t="n"/>
      <c r="Z248" s="4" t="n"/>
      <c r="AA248" s="4" t="n"/>
      <c r="AB248" s="40" t="n"/>
    </row>
    <row r="249" ht="409" customHeight="1">
      <c r="A249" s="4" t="n">
        <v>248</v>
      </c>
      <c r="B249" s="4" t="inlineStr">
        <is>
          <t>include_after_title_abstract_screen</t>
        </is>
      </c>
      <c r="C249" s="4" t="inlineStr">
        <is>
          <t>Incluir provisionalmente</t>
        </is>
      </c>
      <c r="D249" s="4" t="inlineStr">
        <is>
          <t>Provisional include</t>
        </is>
      </c>
      <c r="E249" s="4" t="inlineStr">
        <is>
          <t>Sí</t>
        </is>
      </c>
      <c r="F249" s="4" t="inlineStr">
        <is>
          <t>Title/abstract screening</t>
        </is>
      </c>
      <c r="G249" s="4" t="n"/>
      <c r="H249" s="4" t="n"/>
      <c r="I249" s="4" t="n"/>
      <c r="J249" s="4" t="inlineStr">
        <is>
          <t>Estudio primario o implementación/evaluación empírica de IA, aprendizaje automático o modelado computacional aplicado a ASD, riesgo, caracterización, apoyo o intervención.</t>
        </is>
      </c>
      <c r="K249" s="4" t="n"/>
      <c r="L249" s="4" t="n"/>
      <c r="M249" s="4" t="n">
        <v>2026</v>
      </c>
      <c r="N249" s="4" t="inlineStr">
        <is>
          <t>Optimized quadrangle attention consolidated convolutional multi-scale vision transformer based autism detection</t>
        </is>
      </c>
      <c r="O249" s="4" t="inlineStr">
        <is>
          <t>Jagadesh Balasubramani</t>
        </is>
      </c>
      <c r="P249" s="4" t="inlineStr">
        <is>
          <t>10.1016/j.pscychresns.2026.112251</t>
        </is>
      </c>
      <c r="Q249" s="4" t="inlineStr">
        <is>
          <t>Psychiatry Research - Neuroimaging</t>
        </is>
      </c>
      <c r="R249" s="4" t="inlineStr">
        <is>
          <t>article</t>
        </is>
      </c>
      <c r="S249" s="4" t="inlineStr">
        <is>
          <t>Elsevier Ireland Ltd</t>
        </is>
      </c>
      <c r="T249" s="4" t="inlineStr">
        <is>
          <t>https://doi.org/10.1016/j.pscychresns.2026.112251</t>
        </is>
      </c>
      <c r="U249" s="4" t="n"/>
      <c r="V249" s="4" t="inlineStr">
        <is>
          <t>Autism is a complex neurological condition characterized by repetitive behaviours, varied speech and difficulties in social interaction. Identifying autism spectrum using traditional methods alone is challenging due to its complexity and variability. In order to facilitate earlier and more accurate detection, Artificial intelligence (AI) methods have been developed to improve traditional diagnostic techniques. Standard diagnostic methods often struggle with reliability due to the variability and complexity of autistic individuals. To overcome these challenges, this study proposes a novel Deep Learning (DL) based framework for efficient and accurate autism spectrum detection. The input data are first pre-processed using an Adaptive Median Gaussian Filter (AMGF) to remove noise while preserving essential image features. Then, Generative Adversarial Networks (GANs) are employed for data augmentation, effectively overcoming dataset imbalance and security. Feature extraction is carried out using the Deep Multi-scale and multi-level enclosed attentional DarkNet (DMM-AND) model, which captures both fine-grained and high-level patterns. Finally, autism spectrum detection is performed using the Optimized Quadrangle Attention consolidated Convolutional Multi-scale Vision Transformer (OQA-CMVT) model. Here, the Random Spiral exploit chimp optimization algorithm (RS-COA) is used for the hyperparameter tuning process. The proposed technique achieves 97.96% accuracy for the autistic children's facial dataset and 98.04% for the Autism_Image_Data dataset.</t>
        </is>
      </c>
      <c r="W249" s="4" t="inlineStr">
        <is>
          <t>title_abstract_plus_targeted_primary_source_verification</t>
        </is>
      </c>
      <c r="X249" s="4" t="inlineStr">
        <is>
          <t>doi:10.1016/j.pscychresns.2026.112251</t>
        </is>
      </c>
      <c r="Y249" s="4" t="n"/>
      <c r="Z249" s="4" t="n"/>
      <c r="AA249" s="4" t="n"/>
      <c r="AB249" s="40" t="n"/>
    </row>
    <row r="250" ht="409" customHeight="1">
      <c r="A250" s="4" t="n">
        <v>249</v>
      </c>
      <c r="B250" s="4" t="inlineStr">
        <is>
          <t>include_after_title_abstract_screen</t>
        </is>
      </c>
      <c r="C250" s="4" t="inlineStr">
        <is>
          <t>Incluir provisionalmente</t>
        </is>
      </c>
      <c r="D250" s="4" t="inlineStr">
        <is>
          <t>Provisional include</t>
        </is>
      </c>
      <c r="E250" s="4" t="inlineStr">
        <is>
          <t>Sí</t>
        </is>
      </c>
      <c r="F250" s="4" t="inlineStr">
        <is>
          <t>Title/abstract screening</t>
        </is>
      </c>
      <c r="G250" s="4" t="n"/>
      <c r="H250" s="4" t="n"/>
      <c r="I250" s="4" t="n"/>
      <c r="J250" s="4" t="inlineStr">
        <is>
          <t>Estudio primario o implementación/evaluación empírica de IA, aprendizaje automático o modelado computacional aplicado a ASD, riesgo, caracterización, apoyo o intervención.</t>
        </is>
      </c>
      <c r="K250" s="4" t="n"/>
      <c r="L250" s="4" t="n"/>
      <c r="M250" s="4" t="n">
        <v>2025</v>
      </c>
      <c r="N250" s="4" t="inlineStr">
        <is>
          <t>An early detection of autism spectrum disorder using machine learning</t>
        </is>
      </c>
      <c r="O250" s="4" t="inlineStr">
        <is>
          <t>Shaba Irram and Mohammad Suaib</t>
        </is>
      </c>
      <c r="P250" s="4" t="inlineStr">
        <is>
          <t>10.1016/j.compbiomed.2025.111238</t>
        </is>
      </c>
      <c r="Q250" s="4" t="inlineStr">
        <is>
          <t>Computers in Biology and Medicine</t>
        </is>
      </c>
      <c r="R250" s="4" t="inlineStr">
        <is>
          <t>article</t>
        </is>
      </c>
      <c r="S250" s="4" t="inlineStr">
        <is>
          <t>Elsevier Ltd</t>
        </is>
      </c>
      <c r="T250" s="4" t="inlineStr">
        <is>
          <t>https://www.sciencedirect.com/science/article/pii/S0010482525015914</t>
        </is>
      </c>
      <c r="U250" s="4" t="n"/>
      <c r="V250" s="4" t="inlineStr">
        <is>
          <t>Background Children with autism spectrum disorder (ASD), a developmental disease, exhibit limited and repetitive activities in addition to challenges with communication and social interaction. Numerous neurological disorders have been identified with the aid of the electroencephalography (EEG) technology, which measures the electrical activity of the brain. Objective The primary purpose of this study is to use EEG data to detect ASD in newborns. Methods Power values from baseline EEG recordings of babies are processed and analyzed to extract relevant information. Using machine learning approaches like decision tree (DT), random forest (RF), and support vector machine (SVM) and Explainable AI(SHAP), the model is trained using extracted data to differentiate between those with ASD and those who are usually developing. SHAP (SHapley Additive exPlanations) is a technique that can be used to describe the output of machine learning models. Understanding the rationale behind the predictions produced by the best-performing model is made easier with SHAP. Results Our machine learning model with SVM classifier (AUC = 93 %) and RF classifier (AUC = 90 %) has demonstrated exceptional performance in diagnosing infants with ASD. Novelty : Previously little-focused, this work provides a machine learning model with the use of explainable AI to identify autism spectrum disorder in children under the age of one. Early identification of ASD is challenging since children under the age of 18 months do not exhibit many behavioral indicators. Therefore, medical reports of infants' EEGs are useful in determining whether or not an infant has ASD. Applications: As a result, this model may be used to automatically diagnose ASD using the infant's EEG data.</t>
        </is>
      </c>
      <c r="W250" s="4" t="inlineStr">
        <is>
          <t>title_abstract_plus_targeted_primary_source_verification</t>
        </is>
      </c>
      <c r="X250" s="4" t="inlineStr">
        <is>
          <t>doi:10.1016/j.compbiomed.2025.111238</t>
        </is>
      </c>
      <c r="Y250" s="4" t="n"/>
      <c r="Z250" s="4" t="n"/>
      <c r="AA250" s="4" t="n"/>
      <c r="AB250" s="40" t="n"/>
    </row>
    <row r="251" ht="409" customHeight="1">
      <c r="A251" s="4" t="n">
        <v>250</v>
      </c>
      <c r="B251" s="4" t="inlineStr">
        <is>
          <t>include_after_title_abstract_screen</t>
        </is>
      </c>
      <c r="C251" s="4" t="inlineStr">
        <is>
          <t>Incluir provisionalmente</t>
        </is>
      </c>
      <c r="D251" s="4" t="inlineStr">
        <is>
          <t>Provisional include</t>
        </is>
      </c>
      <c r="E251" s="4" t="inlineStr">
        <is>
          <t>Sí</t>
        </is>
      </c>
      <c r="F251" s="4" t="inlineStr">
        <is>
          <t>Title/abstract screening</t>
        </is>
      </c>
      <c r="G251" s="4" t="n"/>
      <c r="H251" s="4" t="n"/>
      <c r="I251" s="4" t="n"/>
      <c r="J251" s="4" t="inlineStr">
        <is>
          <t>Estudio primario o implementación/evaluación empírica de IA, aprendizaje automático o modelado computacional aplicado a ASD, riesgo, caracterización, apoyo o intervención.</t>
        </is>
      </c>
      <c r="K251" s="4" t="n"/>
      <c r="L251" s="4" t="n"/>
      <c r="M251" s="4" t="n">
        <v>2026</v>
      </c>
      <c r="N251" s="4" t="inlineStr">
        <is>
          <t>An Effective LRSF-DLNN-Based Autism Spectrum Disorder Prediction Using EEG and fMRI</t>
        </is>
      </c>
      <c r="O251" s="4" t="inlineStr">
        <is>
          <t>Sahunthala S and Malathi S and Tamil Thendral M and Sudhahar T N</t>
        </is>
      </c>
      <c r="P251" s="4" t="inlineStr">
        <is>
          <t>10.1002/DNEU.70047</t>
        </is>
      </c>
      <c r="Q251" s="4" t="inlineStr">
        <is>
          <t>Developmental neurobiology</t>
        </is>
      </c>
      <c r="R251" s="4" t="inlineStr">
        <is>
          <t>article</t>
        </is>
      </c>
      <c r="S251" s="4" t="n"/>
      <c r="T251" s="4" t="inlineStr">
        <is>
          <t>https://doi.org/10.1002/DNEU.70047</t>
        </is>
      </c>
      <c r="U251" s="4" t="n"/>
      <c r="V251" s="4" t="inlineStr">
        <is>
          <t>In today's society, autism spectrum disorder (ASD) is a common neurological disorder that affects a person's behavior and communication. Hence, an early ASD prediction is essential for improving the lifecycle of ASD patients. Recently, many works have been deployed for diagnosing ASD using the electroencephalogram (EEG) and magnetic resonance imaging (MRI). But they are inefficient owing to the irrelevant noises and misclassification outcomes. Hence, a well-ordered logistic regression with scaled function-based deep learning neural network (LRSF-DLNN)-based ASD prediction using EEG and functional MRI (fMRI) is proposed. Initially, the inputs, like the EEG signal and fMRI image of the eye, are gathered and then subjected to the preprocessing phase. Here, for performing noise removal of EEG, the cosine-based Butterworth filter (CBF) approach is established. Similarly, the fMRI undergoes slice time correction and a GF filter-based smoothing process. Then, the preprocessed EEG is decomposed by utilizing weighted penalty factor-centric variational mode decomposition (WPFVMD), and the process of alpha and theta band estimation is performed on the basis of single-scale time dependent-based event-related spectral perturbation (SSTD-ERSP). Likewise, the features are extracted from both the decomposed EEG and smoothed fMRI. Next, the extracted features are given for feature selection (FS) utilizing distance functional green anaconda optimization (DFGAO). Lastly, the optimal features are given to the LRSF-DLNN classifier, which efficiently predicts ASD. Hence, the evaluation outcomes exposed that the proposed technique achieved better performance with a higher accuracy (98.8%) than other prevailing models.</t>
        </is>
      </c>
      <c r="W251" s="4" t="inlineStr">
        <is>
          <t>title_abstract_plus_targeted_primary_source_verification</t>
        </is>
      </c>
      <c r="X251" s="4" t="inlineStr">
        <is>
          <t>doi:10.1002/dneu.70047</t>
        </is>
      </c>
      <c r="Y251" s="4" t="n"/>
      <c r="Z251" s="4" t="n"/>
      <c r="AA251" s="4" t="n"/>
      <c r="AB251" s="40" t="n"/>
    </row>
    <row r="252" ht="409" customHeight="1">
      <c r="A252" s="4" t="n">
        <v>251</v>
      </c>
      <c r="B252" s="4" t="inlineStr">
        <is>
          <t>include_after_title_abstract_screen</t>
        </is>
      </c>
      <c r="C252" s="4" t="inlineStr">
        <is>
          <t>Incluir provisionalmente</t>
        </is>
      </c>
      <c r="D252" s="4" t="inlineStr">
        <is>
          <t>Provisional include</t>
        </is>
      </c>
      <c r="E252" s="4" t="inlineStr">
        <is>
          <t>Sí</t>
        </is>
      </c>
      <c r="F252" s="4" t="inlineStr">
        <is>
          <t>Title/abstract screening</t>
        </is>
      </c>
      <c r="G252" s="4" t="n"/>
      <c r="H252" s="4" t="n"/>
      <c r="I252" s="4" t="n"/>
      <c r="J252" s="4" t="inlineStr">
        <is>
          <t>El DOI, la página editorial y el resumen están localizados. El registro avanza a evaluación completa; no existe evidencia de una recuperación fallida.</t>
        </is>
      </c>
      <c r="K252" s="4" t="n"/>
      <c r="L252" s="4" t="n"/>
      <c r="M252" s="4" t="n">
        <v>2025</v>
      </c>
      <c r="N252" s="4" t="inlineStr">
        <is>
          <t>Leveraging Deep Learning for Early Detection of Autism Spectrum Disorder in Augmented and Virtual Reality Mental Healthcare Environments</t>
        </is>
      </c>
      <c r="O252" s="4" t="inlineStr">
        <is>
          <t>Manjunath Ramanna Lamani and V Asha and K Padmaja</t>
        </is>
      </c>
      <c r="P252" s="4" t="inlineStr">
        <is>
          <t>10.1002/9781394302864.CH6</t>
        </is>
      </c>
      <c r="Q252" s="4" t="inlineStr">
        <is>
          <t>Augmented and Virtual Reality in Immersive Healthcare</t>
        </is>
      </c>
      <c r="R252" s="4" t="inlineStr">
        <is>
          <t>incollection</t>
        </is>
      </c>
      <c r="S252" s="4" t="inlineStr">
        <is>
          <t>Wiley</t>
        </is>
      </c>
      <c r="T252" s="4" t="inlineStr">
        <is>
          <t>https://onlinelibrary.wiley.com/doi/10.1002/9781394302864.ch6</t>
        </is>
      </c>
      <c r="U252" s="4" t="inlineStr">
        <is>
          <t>Informe localizado en Wiley. El resumen describe un marco de aprendizaje profundo en entornos AR/VR; se requiere evaluar el capítulo para confirmar diseño empírico y resultados.</t>
        </is>
      </c>
      <c r="V252" s="4" t="inlineStr">
        <is>
          <t>The advent of digital health interventions offers new vistas for the early detection and management of autism spectrum disorder (ASD). This paper explores the innovative application of deep learning algorithms within augmented reality (AR) and virtual reality (VR) environments to enhance the early detection of ASD. Integrating AR and VR in mental healthcare provides immersive, controlled settings in which individuals’ behaviors and responses can be observed and analyzed in real time. We propose a novel framework that utilizes deep learning techniques to process and analyze the data collected from these digital environments. Our approach leverages facial expression analysis, eye tracking, and behavioral pattern recognition to identify early signs of ASD. By capturing subtle nuances in behavior often overlooked in traditional diagnostic settings, our method offers a non-invasive, engaging, and efficient alternative for early ASD detection. The potential of this technology extends beyond diagnosis, offering possibilities for personalized intervention strategies that can be adapted to each individual's unique needs. Our findings indicate that deep learning in AR and VR environments could significantly enhance the accuracy and timeliness of ASD diagnosis, paving the way for earlier and more effective interventions. This study underscores the importance of interdisciplinary collaboration in developing innovative healthcare solutions, combining the fields of artificial intelligence, psychology, and digital media to improve outcomes for individuals with ASD.</t>
        </is>
      </c>
      <c r="W252" s="4" t="inlineStr">
        <is>
          <t>title_abstract_screen_plus_located_publisher_record</t>
        </is>
      </c>
      <c r="X252" s="4" t="inlineStr">
        <is>
          <t>doi:10.1002/9781394302864.ch6</t>
        </is>
      </c>
      <c r="Y252" s="4" t="n"/>
      <c r="Z252" s="4" t="n"/>
      <c r="AA252" s="4" t="n"/>
      <c r="AB252" s="40" t="n"/>
    </row>
    <row r="253" ht="409" customHeight="1">
      <c r="A253" s="4" t="n">
        <v>252</v>
      </c>
      <c r="B253" s="4" t="inlineStr">
        <is>
          <t>include_after_title_abstract_screen</t>
        </is>
      </c>
      <c r="C253" s="4" t="inlineStr">
        <is>
          <t>Incluir provisionalmente</t>
        </is>
      </c>
      <c r="D253" s="4" t="inlineStr">
        <is>
          <t>Provisional include</t>
        </is>
      </c>
      <c r="E253" s="4" t="inlineStr">
        <is>
          <t>Sí</t>
        </is>
      </c>
      <c r="F253" s="4" t="inlineStr">
        <is>
          <t>Title/abstract screening</t>
        </is>
      </c>
      <c r="G253" s="4" t="n"/>
      <c r="H253" s="4" t="n"/>
      <c r="I253" s="4" t="n"/>
      <c r="J253" s="4" t="inlineStr">
        <is>
          <t>Estudio primario o implementación/evaluación empírica de IA, aprendizaje automático o modelado computacional aplicado a ASD, riesgo, caracterización, apoyo o intervención.</t>
        </is>
      </c>
      <c r="K253" s="4" t="n"/>
      <c r="L253" s="4" t="n"/>
      <c r="M253" s="4" t="n">
        <v>2025</v>
      </c>
      <c r="N253" s="4" t="inlineStr">
        <is>
          <t>A New Paradigm for Autism Spectrum Disorder Discrimination in Children Utilizing EEG Data Collected During Cartoon Viewing With a Focus on Atypical Semantic Processing</t>
        </is>
      </c>
      <c r="O253" s="4" t="inlineStr">
        <is>
          <t>Lin Deng and Meng Jie Lu and Le tong Yang and Yue Zhang and Hang yu Tan and Miao Cao and Fei Li</t>
        </is>
      </c>
      <c r="P253" s="4" t="inlineStr">
        <is>
          <t>10.1002/aur.70105</t>
        </is>
      </c>
      <c r="Q253" s="4" t="inlineStr">
        <is>
          <t>Autism Research</t>
        </is>
      </c>
      <c r="R253" s="4" t="inlineStr">
        <is>
          <t>article</t>
        </is>
      </c>
      <c r="S253" s="4" t="inlineStr">
        <is>
          <t>John Wiley and Sons Inc</t>
        </is>
      </c>
      <c r="T253" s="4" t="inlineStr">
        <is>
          <t>https://doi.org/10.1002/aur.70105</t>
        </is>
      </c>
      <c r="U253" s="4" t="n"/>
      <c r="V253" s="4" t="inlineStr">
        <is>
          <t>Autism spectrum disorder (ASD) is characterized by impaired social interaction and communication skills, with semantic processing difficulties being a hallmark feature that significantly impacts social communication. While traditional neuroimaging studies have provided insights into language processing in ASD, ecological validity remains a challenge, particularly when assessing young children. This study introduces a novel approach to evaluate atypical semantic processing in children with ASD (aged 4–10 years) through electroencephalography (EEG) data collection during cartoon viewing, offering a more natural assessment environment. We developed an innovative methodology combining pretrained language models with regression techniques in a machine learning framework. The analysis incorporated the Six-dimensional Semantic Database system and EEG topographical mapping to investigate semantic processing preferences and neural mechanisms across various word dimensions. Our semantic processing model demonstrated robust performance with high sensitivity (91.3%) and moderate specificity (61.0%); findings successfully replicated in validation analysis. These results reveal distinct patterns in how children with ASD process semantic information, particularly in their integration and response to emotional semantic dimensions. These findings help us understand the language processing patterns in ASD and provide potential applications for auxiliary diagnosis in more natural settings, meeting important needs in clinical practice.</t>
        </is>
      </c>
      <c r="W253" s="4" t="inlineStr">
        <is>
          <t>title_abstract_plus_targeted_primary_source_verification</t>
        </is>
      </c>
      <c r="X253" s="4" t="inlineStr">
        <is>
          <t>doi:10.1002/aur.70105</t>
        </is>
      </c>
      <c r="Y253" s="4" t="n"/>
      <c r="Z253" s="4" t="n"/>
      <c r="AA253" s="4" t="n"/>
      <c r="AB253" s="40" t="n"/>
    </row>
    <row r="254" ht="409" customHeight="1">
      <c r="A254" s="4" t="n">
        <v>253</v>
      </c>
      <c r="B254" s="4" t="inlineStr">
        <is>
          <t>exclude_secondary_or_nonempirical_publication</t>
        </is>
      </c>
      <c r="C254" s="4" t="inlineStr">
        <is>
          <t>Excluir: publicación secundaria/no empírica</t>
        </is>
      </c>
      <c r="D254" s="4" t="inlineStr">
        <is>
          <t>Excluded</t>
        </is>
      </c>
      <c r="E254" s="4" t="inlineStr">
        <is>
          <t>No</t>
        </is>
      </c>
      <c r="F254" s="4" t="inlineStr">
        <is>
          <t>Title/abstract screening</t>
        </is>
      </c>
      <c r="G254" s="4" t="n"/>
      <c r="H254" s="4" t="n"/>
      <c r="I254" s="4" t="n"/>
      <c r="J254" s="4" t="inlineStr">
        <is>
          <t>Revisión, metaanálisis, encuesta de literatura, protocolo, perspectiva, carta, editorial o capítulo de síntesis sin estudio primario elegible.</t>
        </is>
      </c>
      <c r="K254" s="4" t="n"/>
      <c r="L254" s="4" t="n"/>
      <c r="M254" s="4" t="n">
        <v>2025</v>
      </c>
      <c r="N254" s="4" t="inlineStr">
        <is>
          <t>The evolving landscape: A bibliometric and visual analysis of language interventions research for children with ASD</t>
        </is>
      </c>
      <c r="O254" s="4" t="inlineStr">
        <is>
          <t>Yu Zhang and Yuanyuan Liu</t>
        </is>
      </c>
      <c r="P254" s="4" t="inlineStr">
        <is>
          <t>10.1016/j.ridd.2025.105169</t>
        </is>
      </c>
      <c r="Q254" s="4" t="inlineStr">
        <is>
          <t>Research in Developmental Disabilities</t>
        </is>
      </c>
      <c r="R254" s="4" t="inlineStr">
        <is>
          <t>article</t>
        </is>
      </c>
      <c r="S254" s="4" t="inlineStr">
        <is>
          <t>Elsevier Inc.</t>
        </is>
      </c>
      <c r="T254" s="4" t="inlineStr">
        <is>
          <t>https://www.sciencedirect.com/science/article/pii/S0891422225002537</t>
        </is>
      </c>
      <c r="U254" s="4" t="n"/>
      <c r="V254" s="4" t="inlineStr">
        <is>
          <t>Purpose This study conducts a multi-database bibliometric analysis to map the intellectual landscape of language intervention research for children with ASD from 2001 to 2024, seeking to identify foundational and trending topics, map collaborative networks, and trace thematic evolution, thereby offering data-driven guidance for setting research priorities, fostering international cooperation, and informing clinical practice translation. Methods We systematically searched Web of Science Core Collection, EBSCOhost, and PubMed. After deduplication and screening, 2720 publications were retained for bibliometric analysis using CiteSpace. Co-citation analysis, time-zone map, burst detection, and network visualization identified research clusters and temporal evolution trajectories. Results Publications exhibited three distinct growth phases: initial exploration (2001–2012), accelerated expansion (2013–2017), and exponential growth (2018–2024). Ten major research clusters comprising 573 nodes demonstrated high structural validity (mean silhouette=0.835, modularity Q=0.812). Augmentative and Alternative Communication (AAC) exhibited the highest structural importance (burst=17.34, sigma=17.15), while computational methods, particularly machine learning (323 citations), showed rapid growth despite peripheral network positions (centrality=0.09), indicating they are emerging yet not central to the mainstream discourse. The United States dominated collaborative networks (betweenness=0.68, 57 connections), with emerging contributions from China, UK, and Canada. Conclusion The temporal analysis reveals that the field has successfully navigated multiple paradigm expansions, evolving from initial behavioral approaches to encompass technological and neurobiological perspectives. Five emerging frontiers warrant strategic investment: computational-clinical integration, telehealth implementation science, AI-enhanced AAC systems, neurobiological phenotyping, and community-based early detection. Future research should prioritize implementation science, foster interdisciplinary collaboration, and embed participatory principles.</t>
        </is>
      </c>
      <c r="W254" s="4" t="inlineStr">
        <is>
          <t>title_abstract_plus_targeted_primary_source_verification</t>
        </is>
      </c>
      <c r="X254" s="4" t="inlineStr">
        <is>
          <t>doi:10.1016/j.ridd.2025.105169</t>
        </is>
      </c>
      <c r="Y254" s="4" t="n"/>
      <c r="Z254" s="4" t="n"/>
      <c r="AA254" s="4" t="n"/>
      <c r="AB254" s="40" t="n"/>
    </row>
    <row r="255" ht="409" customHeight="1">
      <c r="A255" s="4" t="n">
        <v>254</v>
      </c>
      <c r="B255" s="4" t="inlineStr">
        <is>
          <t>include_after_title_abstract_screen</t>
        </is>
      </c>
      <c r="C255" s="4" t="inlineStr">
        <is>
          <t>Incluir provisionalmente</t>
        </is>
      </c>
      <c r="D255" s="4" t="inlineStr">
        <is>
          <t>Provisional include</t>
        </is>
      </c>
      <c r="E255" s="4" t="inlineStr">
        <is>
          <t>Sí</t>
        </is>
      </c>
      <c r="F255" s="4" t="inlineStr">
        <is>
          <t>Title/abstract screening</t>
        </is>
      </c>
      <c r="G255" s="4" t="n"/>
      <c r="H255" s="4" t="n"/>
      <c r="I255" s="4" t="n"/>
      <c r="J255" s="4" t="inlineStr">
        <is>
          <t>Estudio primario o implementación/evaluación empírica de IA, aprendizaje automático o modelado computacional aplicado a ASD, riesgo, caracterización, apoyo o intervención.</t>
        </is>
      </c>
      <c r="K255" s="4" t="n"/>
      <c r="L255" s="4" t="n"/>
      <c r="M255" s="4" t="n">
        <v>2026</v>
      </c>
      <c r="N255" s="4" t="inlineStr">
        <is>
          <t>Hybrid groupers-moray orangutan optimization algorithm-based dense-resolution network for autism spectrum disorder detection using multimodal data</t>
        </is>
      </c>
      <c r="O255" s="4" t="inlineStr">
        <is>
          <t>Urtti Bhagyalatha and Bidush Kumar Sahoo and Satish Muppidi</t>
        </is>
      </c>
      <c r="P255" s="4" t="inlineStr">
        <is>
          <t>10.1016/j.pscychresns.2026.112204</t>
        </is>
      </c>
      <c r="Q255" s="4" t="inlineStr">
        <is>
          <t>Psychiatry Research - Neuroimaging</t>
        </is>
      </c>
      <c r="R255" s="4" t="inlineStr">
        <is>
          <t>article</t>
        </is>
      </c>
      <c r="S255" s="4" t="inlineStr">
        <is>
          <t>Elsevier Ireland Ltd</t>
        </is>
      </c>
      <c r="T255" s="4" t="inlineStr">
        <is>
          <t>https://doi.org/10.1016/j.pscychresns.2026.112204</t>
        </is>
      </c>
      <c r="U255" s="4" t="n"/>
      <c r="V255" s="4" t="inlineStr">
        <is>
          <t>Autism Spectrum Disorder (ASD) is a neurodevelopmental disorder involving cognitive and social impairments. Precise diagnosis is vital for effective intervention. However, conventional diagnostic techniques exhibited poor generalization, and high error rates while dealing with subtle patterns in neuroimaging or behavioral datasets. To resolve these concerns, this research introduces the Groupers and Moray Orangutan Optimization Algorithm based Dense-Resolution Network (GMOA-DRNet). The multimodal inputs consist of Magnetic Resonance Imaging (MRI) brain images and autism-related phenotypic data. Initially, input brain images are pre-processed by Geometric Mean filters and Region of Interest (RoI) extraction. Then, Functional connectivity-based pivotal region are identified using GMOA. After that, feature extraction is performed by Tamura features and Gradient Directional Pattern (GDP). Concurrently, autism-related data is normalized based on the hyperbolic tangent function, and relevant features are selected using ANOVA. Moreover, data augmentation is conducted using the Adaptive Synthetic Sampling Approach (ADASYN) technique. The extracted features and augmented data are used for ASD detection by the DRNet, trained using GMOA, which combines Groupers and Moray Eels Optimization (GMEO) and Orangutan Optimization Algorithm (OOA). Moreover, GMOA-DRNet achieved better performance with an accuracy of 92.77%, sensitivity of 92.52%, specificity of 92.77%, and a False Omission Rate (FOR) of 0.080.</t>
        </is>
      </c>
      <c r="W255" s="4" t="inlineStr">
        <is>
          <t>title_abstract_plus_targeted_primary_source_verification</t>
        </is>
      </c>
      <c r="X255" s="4" t="inlineStr">
        <is>
          <t>doi:10.1016/j.pscychresns.2026.112204</t>
        </is>
      </c>
      <c r="Y255" s="4" t="n"/>
      <c r="Z255" s="4" t="n"/>
      <c r="AA255" s="4" t="n"/>
      <c r="AB255" s="40" t="n"/>
    </row>
    <row r="256" ht="409" customHeight="1">
      <c r="A256" s="4" t="n">
        <v>255</v>
      </c>
      <c r="B256" s="4" t="inlineStr">
        <is>
          <t>exclude_out_of_scope_topic_or_population</t>
        </is>
      </c>
      <c r="C256" s="4" t="inlineStr">
        <is>
          <t>Excluir: tema/población fuera de alcance</t>
        </is>
      </c>
      <c r="D256" s="4" t="inlineStr">
        <is>
          <t>Excluded</t>
        </is>
      </c>
      <c r="E256" s="4" t="inlineStr">
        <is>
          <t>No</t>
        </is>
      </c>
      <c r="F256" s="4" t="inlineStr">
        <is>
          <t>Title/abstract screening</t>
        </is>
      </c>
      <c r="G256" s="4" t="n"/>
      <c r="H256" s="4" t="n"/>
      <c r="I256" s="4" t="n"/>
      <c r="J256" s="4" t="inlineStr">
        <is>
          <t>No estudia ASD en el sentido del protocolo, usa otro significado de ASD o aborda otra población/resultado sin aplicación pertinente al proceso ASD.</t>
        </is>
      </c>
      <c r="K256" s="4" t="n"/>
      <c r="L256" s="4" t="n"/>
      <c r="M256" s="4" t="n">
        <v>2025</v>
      </c>
      <c r="N256" s="4" t="inlineStr">
        <is>
          <t>Augmented and Virtual Reality in Immersive Healthcare</t>
        </is>
      </c>
      <c r="O256" s="4" t="inlineStr">
        <is>
          <t>Hari Murthy and Kukatlapalli Pradeep Kumar and Tulsi Pawan Fowdur and Aynur Unal</t>
        </is>
      </c>
      <c r="P256" s="4" t="inlineStr">
        <is>
          <t>10.1002/9781394302864</t>
        </is>
      </c>
      <c r="Q256" s="4" t="inlineStr">
        <is>
          <t>Augmented and Virtual Reality in Immersive Healthcare</t>
        </is>
      </c>
      <c r="R256" s="4" t="inlineStr">
        <is>
          <t>article</t>
        </is>
      </c>
      <c r="S256" s="4" t="inlineStr">
        <is>
          <t>wiley</t>
        </is>
      </c>
      <c r="T256" s="4" t="inlineStr">
        <is>
          <t>https://doi.org/10.1002/9781394302864</t>
        </is>
      </c>
      <c r="U256" s="4" t="n"/>
      <c r="V256" s="4" t="inlineStr">
        <is>
          <t>Future-proof your medical expertise with this indispensable guide that offers a comprehensive, expert-led exploration of how Augmented and Virtual Reality (AR/VR) are revolutionizing healthcare. Augmented reality (AR) and virtual reality (VR) have profoundly impacted the healthcare sector, introducing ground-breaking applications ranging from surgical simulations and pain management to mental health therapies and patient education. This book delves into the various applications of AR and VR, including deep learning, surgical training, teleconsultation, and patient rehabilitation. By blending theoretical insights with practical case studies, it provides a deeper understanding of how these technologies are being integrated into medical practices to improve outcomes, enhance patient care, and train healthcare professionals. It also explores cutting-edge developments, such as AI-powered AR systems and VR-based mental health treatments, highlighting the future of healthcare innovation. With contributions from leading experts in healthcare, technology, and academia, this book offers a multidimensional perspective on the challenges and opportunities associated with AR and VR in the medical field. Through its accessible language and detailed illustrations, this book is an indispensable guide for anyone interested in the intersection of technology and medicine. Readers will find the volume: • Provides a comprehensive exploration of how immersive technology is unlocking new possibilities in healthcare, education, and rehabilitation; • Offers insights from top researchers and practitioners in the field, providing authoritative perspectives on the latest technologies, applications, and trends shaping the future of XR; • Offers practical guidance and actionable insights to help you harness the power of AR and VR, accelerating innovation and driving real-world impacts; • Uncovers the diverse range of applications empowered by the convergence of healthcare and gamification, revolutionizing healthcare delivery and improving patient outcomes. Audience Healthcare professionals, medical educators and students, engineers, developers, researchers, and policymakers looking for cutting-edge technologies to enhance patient care and treatment outcomes.</t>
        </is>
      </c>
      <c r="W256" s="4" t="inlineStr">
        <is>
          <t>title_abstract_plus_targeted_primary_source_verification</t>
        </is>
      </c>
      <c r="X256" s="4" t="inlineStr">
        <is>
          <t>doi:10.1002/9781394302864</t>
        </is>
      </c>
      <c r="Y256" s="4" t="n"/>
      <c r="Z256" s="4" t="n"/>
      <c r="AA256" s="4" t="n"/>
      <c r="AB256" s="40" t="n"/>
    </row>
    <row r="257" ht="409" customHeight="1">
      <c r="A257" s="4" t="n">
        <v>256</v>
      </c>
      <c r="B257" s="4" t="inlineStr">
        <is>
          <t>duplicate_within_export</t>
        </is>
      </c>
      <c r="C257" s="4" t="inlineStr">
        <is>
          <t>No agregar: duplicado interno</t>
        </is>
      </c>
      <c r="D257" s="4" t="inlineStr">
        <is>
          <t>Duplicate within update</t>
        </is>
      </c>
      <c r="E257" s="4" t="inlineStr">
        <is>
          <t>No</t>
        </is>
      </c>
      <c r="F257" s="4" t="inlineStr">
        <is>
          <t>Deduplication</t>
        </is>
      </c>
      <c r="G257" s="4" t="n"/>
      <c r="H257" s="4" t="n"/>
      <c r="I257" s="4" t="n"/>
      <c r="J257" s="4" t="inlineStr">
        <is>
          <t>Mismo DOI o título que otro registro anterior de esta exportación.</t>
        </is>
      </c>
      <c r="K257" s="4" t="n">
        <v>172</v>
      </c>
      <c r="L257" s="4" t="n"/>
      <c r="M257" s="4" t="n">
        <v>2026</v>
      </c>
      <c r="N257" s="4" t="inlineStr">
        <is>
          <t>Evaluating Public Sentiment on Attention-Deficit/Hyperactivity Disorder and Autism Spectrum Disorder Compared With Other Mental Health Disorders From Posts on X (Formerly Known as Twitter): Longitudinal Analysis</t>
        </is>
      </c>
      <c r="O257" s="4" t="inlineStr">
        <is>
          <t>Vitor Tiosso Batistetti and Facundo G Sanchez and Andrea Varaona and Francisco Lara-Abelenda and Mariana Pinto da Costa and Juan Pablo Chart-Pascual and Alberto Rodriguez-Quiroga and Javier Quintero and Miguel Angel Alvarez-Mon</t>
        </is>
      </c>
      <c r="P257" s="4" t="inlineStr">
        <is>
          <t>10.2196/74440</t>
        </is>
      </c>
      <c r="Q257" s="4" t="inlineStr">
        <is>
          <t>JMIR Infodemiology</t>
        </is>
      </c>
      <c r="R257" s="4" t="inlineStr">
        <is>
          <t>article</t>
        </is>
      </c>
      <c r="S257" s="4" t="inlineStr">
        <is>
          <t>JMIR Publications Inc.</t>
        </is>
      </c>
      <c r="T257" s="4" t="inlineStr">
        <is>
          <t>https://www.sciencedirect.com/science/article/pii/S2564189126000150</t>
        </is>
      </c>
      <c r="U257" s="4" t="n"/>
      <c r="V257" s="4" t="inlineStr">
        <is>
          <t>Background: Neurodevelopmental disorders, especially attention-deficit/hyperactivity disorder (ADHD) and autism spectrum disorder (ASD), have seen a marked rise in public attention, yet research on public opinion remains limited. Social media analysis offers real-time, unfiltered insights into public perceptions, enabling empirical examination of public attitudes and opinions. Objective: This study aimed to assess the evolution of public opinion on ADHD and ASD between 2009 and 2023 by analyzing posts from X (formerly known as Twitter; X Corp), comparing perceptions across English and Spanish languages and against other mental health conditions. Methods: Posts mentioning keywords related to ADHD and ASD and control conditions (eg, depression, anxiety, insomnia, bipolar disorder, schizophrenia, suicide, and substance use disorders) were collected from X between 2009 and 2023. The dataset included posts in both English and Spanish. Machine learning algorithms were then applied to classify post content into predefined categories, including volume of posts, engagement, personal experiences, trivialization, perceived causes, and perceived treatability. Parametric and nonparametric tests were used to assess for differences by language. Descriptive statistics were presented using tables and graphical representations. Results: A total of 852,990 posts were analyzed, including 511,510 (59.97%) in English and 341,480 (40.03%) in Spanish. Overall, post volume on mental health conditions increased across the study period. In English, posts about ADHD (97,084/511,510, 18.98%) and ASD (74,619/511,510, 14.59%) were among the most frequent, while of the 341,480 Spanish posts, there were 49,475 (14.49%) ASD posts, significantly outnumbering ADHD posts (n=18,223, 5.34%; chi-square test P&lt;.001). Engagement analysis indicated a notable increase in likes and reposts per post over time, particularly after 2019, with ADHD-related posts in English experiencing peak engagement during the COVID-19 pandemic. However, ASD posts had comparatively lower engagement across languages. Posts sharing personal experiences were more polarized in Spanish, with higher proportions of negative and positive experiences compared with English posts. Trivialization of mental illnesses was less common in Spanish posts than in English posts, particularly for ADHD (17,053/18,223, 93.59%; chi-square test P&lt;.001) and ASD (41,933/49,475, 84.73%; chi-square test P&lt;.001). User-perceived causes included multifactorial factors, biological or genetic factors, substance use, psychological susceptibility, acute psychosocial stressors, and COVID-19. Perceived treatability varied by language but consistently included high perceived incurability, limited improvement despite professional help, and low perceived self-manageability except for anxiety. Conclusions: Analysis of social media discourse showed that ADHD attracted higher post volumes, particularly during the COVID-19 pandemic, often described with multifactorial causes including substance use and genetics. ASD consistently received lower engagement. Both language groups showed low trivialization, awareness of the chronicity of the illness, and limited support for the self-management of mental health conditions. These findings underscore social media’s value for capturing direct public perceptions to guide future educational and intervention efforts.</t>
        </is>
      </c>
      <c r="W257" s="4" t="inlineStr">
        <is>
          <t>title_abstract_plus_targeted_primary_source_verification</t>
        </is>
      </c>
      <c r="X257" s="4" t="inlineStr">
        <is>
          <t>doi:10.2196/74440</t>
        </is>
      </c>
      <c r="Y257" s="4" t="n"/>
      <c r="Z257" s="4" t="n"/>
      <c r="AA257" s="4" t="n"/>
      <c r="AB257" s="40" t="n"/>
    </row>
    <row r="258" ht="409" customHeight="1">
      <c r="A258" s="4" t="n">
        <v>257</v>
      </c>
      <c r="B258" s="4" t="inlineStr">
        <is>
          <t>include_after_full_text_open_access</t>
        </is>
      </c>
      <c r="C258" s="4" t="inlineStr">
        <is>
          <t>Incluir tras revisión de texto completo abierto</t>
        </is>
      </c>
      <c r="D258" s="4" t="inlineStr">
        <is>
          <t>Provisional include</t>
        </is>
      </c>
      <c r="E258" s="4" t="inlineStr">
        <is>
          <t>Sí</t>
        </is>
      </c>
      <c r="F258" s="4" t="inlineStr">
        <is>
          <t>Full-text review</t>
        </is>
      </c>
      <c r="G258" s="4" t="n"/>
      <c r="H258" s="4" t="n"/>
      <c r="I258" s="4" t="n"/>
      <c r="J258" s="4" t="inlineStr">
        <is>
          <t>Texto completo confirma estudio primario con Not specified aplicado a ASD (Robot-assisted pedagogical intervention).</t>
        </is>
      </c>
      <c r="K258" s="4" t="n"/>
      <c r="L258" s="4" t="n"/>
      <c r="M258" s="4" t="n">
        <v>2025</v>
      </c>
      <c r="N258" s="4" t="inlineStr">
        <is>
          <t>The Use of the Social Robot LOVOT for Children with Autism Spectrum Disorder: A Feasibility Study</t>
        </is>
      </c>
      <c r="O258" s="4" t="inlineStr">
        <is>
          <t>Anders Bobo Larsen and Rasmus Birk Buhl and Kristina Ørtoft Müller and Birthe Dinesen</t>
        </is>
      </c>
      <c r="P258" s="4" t="inlineStr">
        <is>
          <t>10.3233/SHTI251499</t>
        </is>
      </c>
      <c r="Q258" s="4" t="inlineStr">
        <is>
          <t>Studies in Health Technology and Informatics</t>
        </is>
      </c>
      <c r="R258" s="4" t="inlineStr">
        <is>
          <t>article</t>
        </is>
      </c>
      <c r="S258" s="4" t="inlineStr">
        <is>
          <t>IOS Press BV</t>
        </is>
      </c>
      <c r="T258" s="4" t="inlineStr">
        <is>
          <t>https://doi.org/10.3233/shti251499</t>
        </is>
      </c>
      <c r="U258" s="4" t="inlineStr">
        <is>
          <t>Texto completo abierto revisado; evidencia y codificación en Extraccion_RQ_nuevos.</t>
        </is>
      </c>
      <c r="V258" s="4" t="inlineStr">
        <is>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specializes in special education programs for children with ASD. The interactions between children with ASD and the social robot were tested in individual sessions twice per week for a total of four weeks. Four children with ASD between 9-14 years were included (n=4). A triangulation of data collection techniques was used: Participant observation (n = 15 hours), children's questionnaire (n = 4), and semi-structured interviews with staff (n = 3). Findings: Findings can be summarized as follows: Acceptance of the social robot, positive changes in mood and behavior of children with ASD, a secure relationship, technical and practical issues to overcome, and ethical considerations. Conclusion: The professional staff saw a potential for using the robot with AI functionalities as a pedagogical tool for children with ASD.</t>
        </is>
      </c>
      <c r="W258" s="4" t="inlineStr">
        <is>
          <t>open_full_text_review_2026_09_04</t>
        </is>
      </c>
      <c r="X258" s="4" t="inlineStr">
        <is>
          <t>doi:10.3233/shti251499</t>
        </is>
      </c>
      <c r="Y258" s="4" t="n"/>
      <c r="Z258" s="4" t="n"/>
      <c r="AA258" s="4" t="n"/>
      <c r="AB258" s="40" t="n"/>
    </row>
    <row r="259" ht="409" customHeight="1">
      <c r="A259" s="4" t="n">
        <v>258</v>
      </c>
      <c r="B259" s="4" t="inlineStr">
        <is>
          <t>duplicate_within_export</t>
        </is>
      </c>
      <c r="C259" s="4" t="inlineStr">
        <is>
          <t>No agregar: duplicado interno</t>
        </is>
      </c>
      <c r="D259" s="4" t="inlineStr">
        <is>
          <t>Duplicate within update</t>
        </is>
      </c>
      <c r="E259" s="4" t="inlineStr">
        <is>
          <t>No</t>
        </is>
      </c>
      <c r="F259" s="4" t="inlineStr">
        <is>
          <t>Deduplication</t>
        </is>
      </c>
      <c r="G259" s="4" t="n"/>
      <c r="H259" s="4" t="n"/>
      <c r="I259" s="4" t="n"/>
      <c r="J259" s="4" t="inlineStr">
        <is>
          <t>Mismo DOI o título que otro registro anterior de esta exportación.</t>
        </is>
      </c>
      <c r="K259" s="4" t="n">
        <v>166</v>
      </c>
      <c r="L259" s="4" t="n"/>
      <c r="M259" s="4" t="n">
        <v>2026</v>
      </c>
      <c r="N259" s="4" t="inlineStr">
        <is>
          <t>Feasibility and Acceptability of AI-Powered Tools for Early Autism Screening in Egypt: Semistructured Focus Group Study</t>
        </is>
      </c>
      <c r="O259" s="4" t="inlineStr">
        <is>
          <t>Pratheepan Yogarajah and Ammal M Metwally and Priyanka Chaurasia and Ghada A Elshaarawy and Shereen M El Khateeb and Engy A Ashaat and Amal Elsaeid and Nahed A Elghareeb and Amira S ElRifay</t>
        </is>
      </c>
      <c r="P259" s="4" t="inlineStr">
        <is>
          <t>10.2196/82564</t>
        </is>
      </c>
      <c r="Q259" s="4" t="inlineStr">
        <is>
          <t>Journal of Medical Internet Research</t>
        </is>
      </c>
      <c r="R259" s="4" t="inlineStr">
        <is>
          <t>article</t>
        </is>
      </c>
      <c r="S259" s="4" t="inlineStr">
        <is>
          <t>JMIR Publications Inc.</t>
        </is>
      </c>
      <c r="T259" s="4" t="inlineStr">
        <is>
          <t>https://doi.org/10.2196/82564</t>
        </is>
      </c>
      <c r="U259" s="4" t="n"/>
      <c r="V259" s="4" t="inlineStr">
        <is>
          <t>Background: Autism spectrum disorder (ASD) is often underdiagnosed in low- and middle-income countries due to limited specialist access, sociocultural stigma, and fragmented screening systems. Artificial intelligence (AI)–powered screening tools may improve early detection by enabling low-cost, accessible assessments. However, adoption depends on stakeholder trust, ethical safeguards, and alignment with local health system capacities. Objective: This study explored the feasibility, acceptability, and perceived ethical and practical enablers and barriers to implementing AI-powered tools for early ASD screening in Egypt, with attention to urban–rural disparities and integration into existing care pathways. Methods: We used a qualitative design with semistructured focus group discussions with 49 participants (21 parents of children with ASD and 28 health care professionals) recruited from urban and rural governorates. Discussions were audio-recorded, transcribed verbatim, and analyzed using Braun and Clarke’s reflexive thematic analysis, supported by NVivo software (Lumivero). Methodological integrity was ensured through reflexivity, triangulation, and peer debriefing. Thematic saturation was monitored across groups, and participant diversity was prioritized across contexts. Results: Five themes emerged: (1) AI as a supportive tool rather than a replacement for clinicians, emphasizing scalability and assistance for nonspecialists; (2) the need for cultural and contextual adaptation to ensure local relevance; (3) privacy, trust, and transparency concerns, including data security, consent, and algorithmic opacity; (4) reducing diagnostic inequities by addressing urban–rural disparities and strengthening community-based deployment; and (5) the preference for hybrid AI–human models, with conditions for adoption including cultural sensitivity, human oversight, and digital literacy support. Counts (n/N) of parents and health care professionals contributing to each theme were used descriptively as indicators of pattern salience rather than as statistical estimates of prevalence. Participants expressed cautious optimism, with parents emphasizing accessibility and speed, while health care professionals highlighted concerns about reliability, cultural adaptation, and data governance. Conclusions: AI-powered ASD screening has potential to advance equitable early detection in underserved areas. Adoption requires transparent data governance, integration into hybrid human–AI models, culturally adaptive design, and targeted digital literacy initiatives. These findings provide an evidence-based roadmap for policymakers, technologists, and health system leaders to implement AI screening tools that are ethically sound, contextually relevant, and equity-focused.</t>
        </is>
      </c>
      <c r="W259" s="4" t="inlineStr">
        <is>
          <t>title_abstract_plus_targeted_primary_source_verification</t>
        </is>
      </c>
      <c r="X259" s="4" t="inlineStr">
        <is>
          <t>doi:10.2196/82564</t>
        </is>
      </c>
      <c r="Y259" s="4" t="n"/>
      <c r="Z259" s="4" t="n"/>
      <c r="AA259" s="4" t="n"/>
      <c r="AB259" s="40" t="n"/>
    </row>
    <row r="260" ht="409" customHeight="1">
      <c r="A260" s="4" t="n">
        <v>259</v>
      </c>
      <c r="B260" s="4" t="inlineStr">
        <is>
          <t>include_after_full_text_open_access</t>
        </is>
      </c>
      <c r="C260" s="4" t="inlineStr">
        <is>
          <t>Incluir tras revisión de texto completo abierto</t>
        </is>
      </c>
      <c r="D260" s="4" t="inlineStr">
        <is>
          <t>Provisional include</t>
        </is>
      </c>
      <c r="E260" s="4" t="inlineStr">
        <is>
          <t>Sí</t>
        </is>
      </c>
      <c r="F260" s="4" t="inlineStr">
        <is>
          <t>Full-text review</t>
        </is>
      </c>
      <c r="G260" s="4" t="n"/>
      <c r="H260" s="4" t="n"/>
      <c r="I260" s="4" t="n"/>
      <c r="J260" s="4" t="inlineStr">
        <is>
          <t>Texto completo confirma estudio primario con Machine Learning aplicado a ASD (Age-specific screening classification).</t>
        </is>
      </c>
      <c r="K260" s="4" t="n"/>
      <c r="L260" s="4" t="n"/>
      <c r="M260" s="4" t="n">
        <v>2026</v>
      </c>
      <c r="N260" s="4" t="inlineStr">
        <is>
          <t>Data-Driven and Explainable Discovery of Autism Spectrum Disorder Patterns Across Age Groups</t>
        </is>
      </c>
      <c r="O260" s="4" t="inlineStr">
        <is>
          <t>Md Anisur Rahman and Md Geaur Rahman and Uffe Kock Wiil and Md Anwarul Kaium Patwary and Mohammad Zavid Parvez and Shazia Rehman and Fadi Thabtah</t>
        </is>
      </c>
      <c r="P260" s="4" t="inlineStr">
        <is>
          <t>10.1155/HBE2/1923339</t>
        </is>
      </c>
      <c r="Q260" s="4" t="inlineStr">
        <is>
          <t>Human Behavior and Emerging Technologies</t>
        </is>
      </c>
      <c r="R260" s="4" t="inlineStr">
        <is>
          <t>article</t>
        </is>
      </c>
      <c r="S260" s="4" t="inlineStr">
        <is>
          <t>John Wiley and Sons Inc</t>
        </is>
      </c>
      <c r="T260" s="4" t="inlineStr">
        <is>
          <t>https://doi.org/10.1155/hbe2/1923339</t>
        </is>
      </c>
      <c r="U260" s="4" t="inlineStr">
        <is>
          <t>Texto completo abierto revisado; evidencia y codificación en Extraccion_RQ_nuevos.</t>
        </is>
      </c>
      <c r="V260" s="4" t="inlineStr">
        <is>
          <t>Autism Spectrum Disorder (ASD) presents a complex and diverse challenge, with difficulties in social communication and restricted interests manifesting differently among children, adolescents and adults. The traditional ASD diagnosis is often time consuming and resource intensive, delaying access to crucial interventions. Early detection of ASD is vital, as it enables timely referral for comprehensive assessment and supports interventions during key developmental periods, greatly enhancing long-term outcomes. To address these challenges, this research presents three complementary studies examining ASD detection across children, adolescents and adults. Using the Autism Spectrum Quotient (AQ) short-form dataset encompassing behavioural, communication and self-reported indicators, each study applies decision tree machine learning models to identify behavioural screening patterns within each age group. Study 1 focuses on children, highlighting observable social and behavioural cues; Study 2 investigates adolescents, revealing transitional communication and self-awareness patterns; and Study 3 explores adults, emphasising subtle self-reported and behavioural markers. Across studies, interpretable models achieved strong classification accuracy while revealing developmental variations in ASD-related traits. Collectively, these findings enhance understanding of age-specific patterns in ASD expression, support earlier and more individualised screening and provide a foundation for designing tailored interventions that align with developmental milestones and improve overall care quality.</t>
        </is>
      </c>
      <c r="W260" s="4" t="inlineStr">
        <is>
          <t>open_full_text_review_2026_09_04</t>
        </is>
      </c>
      <c r="X260" s="4" t="inlineStr">
        <is>
          <t>doi:10.1155/hbe2/1923339</t>
        </is>
      </c>
      <c r="Y260" s="4" t="n"/>
      <c r="Z260" s="4" t="n"/>
      <c r="AA260" s="4" t="n"/>
      <c r="AB260" s="40" t="n"/>
    </row>
    <row r="261" ht="409" customHeight="1">
      <c r="A261" s="4" t="n">
        <v>260</v>
      </c>
      <c r="B261" s="4" t="inlineStr">
        <is>
          <t>exclude_secondary_or_nonempirical_publication</t>
        </is>
      </c>
      <c r="C261" s="4" t="inlineStr">
        <is>
          <t>Excluir: publicación secundaria/no empírica</t>
        </is>
      </c>
      <c r="D261" s="4" t="inlineStr">
        <is>
          <t>Excluded</t>
        </is>
      </c>
      <c r="E261" s="4" t="inlineStr">
        <is>
          <t>No</t>
        </is>
      </c>
      <c r="F261" s="4" t="inlineStr">
        <is>
          <t>Title/abstract screening</t>
        </is>
      </c>
      <c r="G261" s="4" t="n"/>
      <c r="H261" s="4" t="n"/>
      <c r="I261" s="4" t="n"/>
      <c r="J261" s="4" t="inlineStr">
        <is>
          <t>Revisión, metaanálisis, encuesta de literatura, protocolo, perspectiva, carta, editorial o capítulo de síntesis sin estudio primario elegible.</t>
        </is>
      </c>
      <c r="K261" s="4" t="n"/>
      <c r="L261" s="4" t="n"/>
      <c r="M261" s="4" t="n">
        <v>2026</v>
      </c>
      <c r="N261" s="4" t="inlineStr">
        <is>
          <t>Novel therapeutics in autism spectrum disorder</t>
        </is>
      </c>
      <c r="O261" s="4" t="inlineStr">
        <is>
          <t>Sara Daniella Kevelson and Rana Elmaghraby and Fenil Patel and Hallie Brown and Michelle Gorenstein and Jennifer Bain and Zachary Michael Grinspan and Ernie Pedapati and Jeremy Veenstra-VanderWeele and Pankhuree Vandana</t>
        </is>
      </c>
      <c r="P261" s="4" t="inlineStr">
        <is>
          <t>10.1016/j.neurot.2026.e00857</t>
        </is>
      </c>
      <c r="Q261" s="4" t="inlineStr">
        <is>
          <t>Neurotherapeutics</t>
        </is>
      </c>
      <c r="R261" s="4" t="inlineStr">
        <is>
          <t>article</t>
        </is>
      </c>
      <c r="S261" s="4" t="inlineStr">
        <is>
          <t>Elsevier B.V.</t>
        </is>
      </c>
      <c r="T261" s="4" t="inlineStr">
        <is>
          <t>https://www.sciencedirect.com/science/article/pii/S1878747926000279</t>
        </is>
      </c>
      <c r="U261" s="4" t="n"/>
      <c r="V261" s="4" t="inlineStr">
        <is>
          <t>AbstractAutism spectrum disorder (ASD) is a heterogeneous neurodevelopmental condition with limited treatment options that address its full complexity. This review critically evaluates novel therapeutics across five key domains: behavioral and psychosocial interventions, psychopharmacology, digital and AI-driven tools, neuromodulation, and genetic therapies. The broad heterogeneity of ASD complicates clinical research, often obscuring treatment effects and limiting generalizability. Challenges across domains include identifying reliable biomarkers, defining meaningful outcomes, and ensuring equitable access to evidence-based care and research participation. Behavioral and psychosocial therapies, considered first line interventions, are shifting toward naturalistic, developmentally informed, and neurodiversity-affirming models that reflect individual needs across the spectrum and across the lifespan. There continues to be no medications that are currently FDA approved for core autism symptoms, though ongoing pharmacologic research increasingly emphasizes biologically informed, stratified approaches to develop biomarkers that identify subsets of individuals who may benefit from a specific treatment. Digital and AI-driven tools promise greater personalization and expanded access but require safeguards, validation, and attention to equity. Neuromodulation techniques, including Transcranial Magnetic Stimulation (TMS) and Transcranial Direct Current Stimulation (tDCS), remain experimental yet highlight the importance of personalized protocols and ethical oversight. Genetics has seen advancements in gene-targeted therapies for syndromic forms of ASD marking a pivotal move toward precision medicine in autism, though ongoing challenges regarding safety, efficacy, and equitable access persist. This review informs clinicians, researchers, individuals with lived experiences and other important stakeholders by appraising current evidence, identifying limitations, and outlining future directions to advance rigorous, inclusive, and collaborative autism therapeutics.</t>
        </is>
      </c>
      <c r="W261" s="4" t="inlineStr">
        <is>
          <t>title_abstract_plus_targeted_primary_source_verification</t>
        </is>
      </c>
      <c r="X261" s="4" t="inlineStr">
        <is>
          <t>doi:10.1016/j.neurot.2026.e00857</t>
        </is>
      </c>
      <c r="Y261" s="4" t="n"/>
      <c r="Z261" s="4" t="n"/>
      <c r="AA261" s="4" t="n"/>
      <c r="AB261" s="40" t="n"/>
    </row>
    <row r="262" ht="409" customHeight="1">
      <c r="A262" s="4" t="n">
        <v>261</v>
      </c>
      <c r="B262" s="4" t="inlineStr">
        <is>
          <t>include_after_full_text_open_access</t>
        </is>
      </c>
      <c r="C262" s="4" t="inlineStr">
        <is>
          <t>Incluir tras revisión de texto completo abierto</t>
        </is>
      </c>
      <c r="D262" s="4" t="inlineStr">
        <is>
          <t>Provisional include</t>
        </is>
      </c>
      <c r="E262" s="4" t="inlineStr">
        <is>
          <t>Sí</t>
        </is>
      </c>
      <c r="F262" s="4" t="inlineStr">
        <is>
          <t>Full-text review</t>
        </is>
      </c>
      <c r="G262" s="4" t="n"/>
      <c r="H262" s="4" t="n"/>
      <c r="I262" s="4" t="n"/>
      <c r="J262" s="4" t="inlineStr">
        <is>
          <t>Texto completo confirma estudio primario con Deep Learning aplicado a ASD (Pathology classification).</t>
        </is>
      </c>
      <c r="K262" s="4" t="n"/>
      <c r="L262" s="4" t="n"/>
      <c r="M262" s="4" t="n">
        <v>2025</v>
      </c>
      <c r="N262" s="4" t="inlineStr">
        <is>
          <t>Artificial Intelligence Networks Combining Histopathology and Machine Learning Can Extract Axon Pathology in Autism Spectrum Disorder</t>
        </is>
      </c>
      <c r="O262" s="4" t="inlineStr">
        <is>
          <t>Arash Yazdanbakhsh and Kim T M Dang and Kelvin Kuang and Tingru Lian and Xuefeng Liu and Songlin Xie and Basilis Zikopoulos</t>
        </is>
      </c>
      <c r="P262" s="4" t="inlineStr">
        <is>
          <t>10.1002/AUR.70135</t>
        </is>
      </c>
      <c r="Q262" s="4" t="inlineStr">
        <is>
          <t>Autism Research</t>
        </is>
      </c>
      <c r="R262" s="4" t="inlineStr">
        <is>
          <t>article</t>
        </is>
      </c>
      <c r="S262" s="4" t="inlineStr">
        <is>
          <t>John Wiley and Sons Inc</t>
        </is>
      </c>
      <c r="T262" s="4" t="inlineStr">
        <is>
          <t>https://onlinelibrary.wiley.com/doi/pdfdirect/10.1002/aur.70135</t>
        </is>
      </c>
      <c r="U262" s="4" t="inlineStr">
        <is>
          <t>Texto completo abierto revisado; evidencia y codificación en Extraccion_RQ_nuevos.</t>
        </is>
      </c>
      <c r="V262" s="4" t="inlineStr">
        <is>
          <t>Axon features that underlie the structural and functional organization of cortical pathways have distinct patterns in the brains of neurotypical controls (CTR) compared to individuals with Autism Spectrum Disorder (ASD). However, detailed axon study demands labor-intensive surveys and time-consuming analysis of microscopic sections from postmortem human brain tissue, making it challenging to systematically examine large regions of the brain. To address these challenges, we developed an approach that uses machine learning to automatically classify microscopic sections from ASD and CTR brains, while also considering different white matter regions: superficial white matter (SWM), which contains a majority of axons that connect nearby cortical areas, and deep white matter (DWM), which is comprised exclusively of axons that participate in long-range pathways. The result was a deep neural network that can successfully classify the white matter below the anterior cingulate cortex (ACC) of ASD and CTR groups with 98% accuracy, while also distinguishing between DWM and SWM pathway composition with high average accuracy, up to 80%. Examination of image regions important for network classification and misclassification, through sensitivity maps, along with multidimensional scaling analysis, helped identify key pathological markers of ASD and highlighted the spectrum of ASD heterogeneity and overlaps with neurotypical characteristics. Large datasets that can be used to expand training, validation, and testing of this network have the potential to automate high-resolution microscopic analysis of postmortem brain tissue, so that it can be used to systematically study white matter across brain regions in health and disease.</t>
        </is>
      </c>
      <c r="W262" s="4" t="inlineStr">
        <is>
          <t>open_full_text_review_2026_09_04</t>
        </is>
      </c>
      <c r="X262" s="4" t="inlineStr">
        <is>
          <t>doi:10.1002/aur.70135</t>
        </is>
      </c>
      <c r="Y262" s="4" t="n"/>
      <c r="Z262" s="4" t="n"/>
      <c r="AA262" s="4" t="n"/>
      <c r="AB262" s="40" t="n"/>
    </row>
    <row r="263" ht="409" customHeight="1">
      <c r="A263" s="4" t="n">
        <v>262</v>
      </c>
      <c r="B263" s="4" t="inlineStr">
        <is>
          <t>include_after_full_text_open_access</t>
        </is>
      </c>
      <c r="C263" s="4" t="inlineStr">
        <is>
          <t>Incluir tras revisión de texto completo abierto</t>
        </is>
      </c>
      <c r="D263" s="4" t="inlineStr">
        <is>
          <t>Provisional include</t>
        </is>
      </c>
      <c r="E263" s="4" t="inlineStr">
        <is>
          <t>Sí</t>
        </is>
      </c>
      <c r="F263" s="4" t="inlineStr">
        <is>
          <t>Full-text review</t>
        </is>
      </c>
      <c r="G263" s="4" t="n"/>
      <c r="H263" s="4" t="n"/>
      <c r="I263" s="4" t="n"/>
      <c r="J263" s="4" t="inlineStr">
        <is>
          <t>Texto completo confirma estudio primario con Machine Learning aplicado a ASD (Transdiagnostic subtyping).</t>
        </is>
      </c>
      <c r="K263" s="4" t="n"/>
      <c r="L263" s="4" t="n"/>
      <c r="M263" s="4" t="n">
        <v>2026</v>
      </c>
      <c r="N263" s="4" t="inlineStr">
        <is>
          <t>Profiling Chinese children with symptoms of SpLD, ADHD, or ASD: a transdiagnostic and biopsychosocial study</t>
        </is>
      </c>
      <c r="O263" s="4" t="inlineStr">
        <is>
          <t>Duo Liu and Ziqian Wei and Urs Maurer and Kevin Kien Hoa Chung and Jesus Alfonso D Datu and Liory Fern-Pollak and Taeko Wydell and Winnie Wan Yee Tso and Fenghua Sun and Lirong Luo and Li Chih Wang and Yen Na Yum and Guandong Xu and Su Li</t>
        </is>
      </c>
      <c r="P263" s="4" t="inlineStr">
        <is>
          <t>10.1186/s12888-025-07754-8</t>
        </is>
      </c>
      <c r="Q263" s="4" t="inlineStr">
        <is>
          <t>BMC Psychiatry</t>
        </is>
      </c>
      <c r="R263" s="4" t="inlineStr">
        <is>
          <t>article</t>
        </is>
      </c>
      <c r="S263" s="4" t="inlineStr">
        <is>
          <t>BioMed Central Ltd</t>
        </is>
      </c>
      <c r="T263" s="4" t="inlineStr">
        <is>
          <t>https://doi.org/10.1186/s12888-025-07754-8</t>
        </is>
      </c>
      <c r="U263" s="4" t="inlineStr">
        <is>
          <t>Texto completo abierto revisado; evidencia y codificación en Extraccion_RQ_nuevos.</t>
        </is>
      </c>
      <c r="V263" s="4" t="inlineStr">
        <is>
          <t>Background: Specific learning difficulties (SpLD), ADHD, and ASD are the most common neurodevelopmental disorders (NDDs) found in mainstream schools. In addition to formal NDD diagnoses, children may exhibit NDD symptoms without meeting full diagnostic criteria, and heterogeneities and commonalities are frequently observed regardless of whether children have been diagnosed or not, raising concerns about the lack of inclusive support for all. Following the transdiagnostic approach and biopsychosocial model, this study aims to cluster and profile children with these symptoms via cognitive, psychological, and ecological factors, using an unsupervised machine learning algorithm. Methods: Based on parent-report checklists, 267 Chinese primary school children in Grades 1–4 with at least one type of NDD symptoms were identified (164 boys; age in months: M = 102, SD = 17.30) from a bigger dataset (N = 1,034). A typically developing (TD) control group was created and matched with the NDD group in terms of age, gender, nonverbal IQ, and family socioeconomic status (SES). By using exploratory and confirmatory analyses, executive functioning, visual processing, and linguistic skills were extracted as cognitive factors, while internalising problems, externalising problems, positive child-parent relationships, and negative child-parent relationships were extracted as psychological and ecological factors. Results: K-means clustering based on the seven extracted core factors identified five distinct clusters. Three clusters exhibited specific cognitive weaknesses, while the other two mainly showed psychosocial problems. Two severe-symptom groups (i.e., the Linguistic Difficulties group and the Psychosocial Difficulties group) also demonstrated worse academic and mental health outcomes. Conclusions: Our findings demonstrate the potential to focus on symptoms beyond diagnostic labels, as well as the inclusion of psychosocial factors alongside cognitive ones, thereby contributing to the design of more targeted and comprehensive support for children with special education needs and informing current inclusive education practice in China. Clinical trial number: Not applicable.</t>
        </is>
      </c>
      <c r="W263" s="4" t="inlineStr">
        <is>
          <t>open_full_text_review_2026_09_04</t>
        </is>
      </c>
      <c r="X263" s="4" t="inlineStr">
        <is>
          <t>doi:10.1186/s12888-025-07754-8</t>
        </is>
      </c>
      <c r="Y263" s="4" t="n"/>
      <c r="Z263" s="4" t="n"/>
      <c r="AA263" s="4" t="n"/>
      <c r="AB263" s="40" t="n"/>
    </row>
    <row r="264" ht="409" customHeight="1">
      <c r="A264" s="4" t="n">
        <v>263</v>
      </c>
      <c r="B264" s="4" t="inlineStr">
        <is>
          <t>include_after_full_text_open_access</t>
        </is>
      </c>
      <c r="C264" s="4" t="inlineStr">
        <is>
          <t>Incluir tras revisión de texto completo abierto</t>
        </is>
      </c>
      <c r="D264" s="4" t="inlineStr">
        <is>
          <t>Provisional include</t>
        </is>
      </c>
      <c r="E264" s="4" t="inlineStr">
        <is>
          <t>Sí</t>
        </is>
      </c>
      <c r="F264" s="4" t="inlineStr">
        <is>
          <t>Full-text review</t>
        </is>
      </c>
      <c r="G264" s="4" t="n"/>
      <c r="H264" s="4" t="n"/>
      <c r="I264" s="4" t="n"/>
      <c r="J264" s="4" t="inlineStr">
        <is>
          <t>Texto completo confirma estudio primario con Deep Learning aplicado a ASD (Classification from parental reports).</t>
        </is>
      </c>
      <c r="K264" s="4" t="n"/>
      <c r="L264" s="4" t="n"/>
      <c r="M264" s="4" t="n">
        <v>2026</v>
      </c>
      <c r="N264" s="4" t="inlineStr">
        <is>
          <t>Enhancing Psychological Assessments with Open-Ended Questionnaires and Large Language Models: An ASD Case Study</t>
        </is>
      </c>
      <c r="O264" s="4" t="inlineStr">
        <is>
          <t>Alberto Altozano and Maria Eleonora Minissi and Lucía Gómez-Zaragozá and Luna Maddalon and Mariano Alcañiz and Javier Marin-Morales</t>
        </is>
      </c>
      <c r="P264" s="4" t="inlineStr">
        <is>
          <t>10.1109/JBHI.2025.3599643</t>
        </is>
      </c>
      <c r="Q264" s="4" t="inlineStr">
        <is>
          <t>IEEE Journal of Biomedical and Health Informatics</t>
        </is>
      </c>
      <c r="R264" s="4" t="inlineStr">
        <is>
          <t>article</t>
        </is>
      </c>
      <c r="S264" s="4" t="inlineStr">
        <is>
          <t>Institute of Electrical and Electronics Engineers Inc.</t>
        </is>
      </c>
      <c r="T264" s="4" t="inlineStr">
        <is>
          <t>https://doi.org/10.1109/jbhi.2025.3599643</t>
        </is>
      </c>
      <c r="U264" s="4" t="inlineStr">
        <is>
          <t>Texto completo abierto revisado; evidencia y codificación en Extraccion_RQ_nuevos.</t>
        </is>
      </c>
      <c r="V264" s="4" t="inlineStr">
        <is>
          <t>Open-ended questionnaires allow respondents to express freely, capturing richer information than close-ended formats, but they are harder to analyze. Recent natural language processing advancements enable automatic assessment of open-ended responses, yet its use in psychological classification is underexplored. This study proposes a methodology using pre-trained large language models (LLMs) for automatic classification of open-ended questionnaires, applied to autism spectrum disorder (ASD) classification via parental reports. We compare multiple training strategies using transcribed responses from 51 parents (26 with typically developing children, 25 with ASD), exploring variations in model fine-tuning, input representation, and specificity. Subject-level predictions are derived by aggregating 12 individual question responses. Our best approach achieved 84% subject-wise accuracy and 1.0 ROC-AUC using an OpenAI embedding model, per-question training, including questions in the input, and combining the predictions with a voting system. In addition, a zero-shot evaluation using GPT-4o was conducted, yielding comparable results, underscoring the potential of both compact, local models and large out-of-the-box LLMs. To enhance transparency, we explored interpretability methods. Proprietary LLMs like GPT-4o offered no direct explanation, and OpenAI embedding models showed limited interpretability. However, locally deployable LLMs provided the highest interpretability. This highlights a trade-off between proprietary models' performance and local models' explainability. Our findings validate LLMs for automatically classifying open-ended questionnaires, offering a scalable, cost-effective complement for ASD assessment. These results suggest broader applicability for psychological analysis of other conditions, advancing LLM use in mental health research.</t>
        </is>
      </c>
      <c r="W264" s="4" t="inlineStr">
        <is>
          <t>open_full_text_review_2026_09_04</t>
        </is>
      </c>
      <c r="X264" s="4" t="inlineStr">
        <is>
          <t>doi:10.1109/jbhi.2025.3599643</t>
        </is>
      </c>
      <c r="Y264" s="4" t="n"/>
      <c r="Z264" s="4" t="n"/>
      <c r="AA264" s="4" t="n"/>
      <c r="AB264" s="40" t="n"/>
    </row>
    <row r="265" ht="409" customHeight="1">
      <c r="A265" s="4" t="n">
        <v>264</v>
      </c>
      <c r="B265" s="4" t="inlineStr">
        <is>
          <t>duplicate_within_export</t>
        </is>
      </c>
      <c r="C265" s="4" t="inlineStr">
        <is>
          <t>No agregar: duplicado interno</t>
        </is>
      </c>
      <c r="D265" s="4" t="inlineStr">
        <is>
          <t>Duplicate within update</t>
        </is>
      </c>
      <c r="E265" s="4" t="inlineStr">
        <is>
          <t>No</t>
        </is>
      </c>
      <c r="F265" s="4" t="inlineStr">
        <is>
          <t>Deduplication</t>
        </is>
      </c>
      <c r="G265" s="4" t="n"/>
      <c r="H265" s="4" t="n"/>
      <c r="I265" s="4" t="n"/>
      <c r="J265" s="4" t="inlineStr">
        <is>
          <t>Mismo DOI o título que otro registro anterior de esta exportación.</t>
        </is>
      </c>
      <c r="K265" s="4" t="n">
        <v>222</v>
      </c>
      <c r="L265" s="4" t="n"/>
      <c r="M265" s="4" t="n">
        <v>2026</v>
      </c>
      <c r="N265" s="4" t="inlineStr">
        <is>
          <t>Adaptive network based fuzzy inference system efficientnet for autism spectrum disorder detection with optimization based pivotal region extraction</t>
        </is>
      </c>
      <c r="O265" s="4" t="inlineStr">
        <is>
          <t>Satish Muppidi and Kishore Bhamidipati and Grandhi Siva Sankar and Anupkumar M Bongale and Ramesh Babu P</t>
        </is>
      </c>
      <c r="P265" s="4" t="inlineStr">
        <is>
          <t>10.1016/j.pscychresns.2025.112109</t>
        </is>
      </c>
      <c r="Q265" s="4" t="inlineStr">
        <is>
          <t>Psychiatry Research - Neuroimaging</t>
        </is>
      </c>
      <c r="R265" s="4" t="inlineStr">
        <is>
          <t>article</t>
        </is>
      </c>
      <c r="S265" s="4" t="inlineStr">
        <is>
          <t>Elsevier Ireland Ltd</t>
        </is>
      </c>
      <c r="T265" s="4" t="inlineStr">
        <is>
          <t>https://www.sciencedirect.com/science/article/pii/S0925492725001647</t>
        </is>
      </c>
      <c r="U265" s="4" t="n"/>
      <c r="V265" s="4" t="inlineStr">
        <is>
          <t>Autism Spectrum Disorder (ASD) refers to abnormal neural activity that may increase the risk of premature brain development issues. Many traditional treatment methods are available for ASD, but they require continuous assessment and analysis of patient behavior. However, traditional models are time-consuming and often lead to unclear outcomes, significantly impacting patient's social lives and communication ability. Hence, a novel hybrid approach is developed, namely, Adaptive Network Based Fuzzy Inference System EfficientNet (ANFIS-EffNet), which combines the ability of Adaptive Network Based Fuzzy Inference (ANFIS) and EfficientNet by modifying their layers. At first, the input autism brain image is given to the pre-processing stage, performed using Anisotropic diffusion and Region of Interest (ROI) extraction. Next, functional connectivity-based pivotal region extraction is done by Adam War Strategy Optimization (AWSO), a combination of the Adam optimization algorithm and War Strategy Optimization (WSO) technique. Next, feature extraction is carried out by including Learned Invariant Feature Transform (LIFT) and statistical methods. At last, ANFIS-EffNet is employed to detect autism spectrum disorder. The ANFIS-EffNet model has achieved outstanding performance with an accuracy of 93.219 %, sensitivity of 93.670 % and specificity of 93.840 % respectively.</t>
        </is>
      </c>
      <c r="W265" s="4" t="inlineStr">
        <is>
          <t>title_abstract_plus_targeted_primary_source_verification</t>
        </is>
      </c>
      <c r="X265" s="4" t="inlineStr">
        <is>
          <t>doi:10.1016/j.pscychresns.2025.112109</t>
        </is>
      </c>
      <c r="Y265" s="4" t="n"/>
      <c r="Z265" s="4" t="n"/>
      <c r="AA265" s="4" t="n"/>
      <c r="AB265" s="40" t="n"/>
    </row>
    <row r="266" ht="409" customHeight="1">
      <c r="A266" s="4" t="n">
        <v>265</v>
      </c>
      <c r="B266" s="4" t="inlineStr">
        <is>
          <t>duplicate_within_export</t>
        </is>
      </c>
      <c r="C266" s="4" t="inlineStr">
        <is>
          <t>No agregar: duplicado interno</t>
        </is>
      </c>
      <c r="D266" s="4" t="inlineStr">
        <is>
          <t>Duplicate within update</t>
        </is>
      </c>
      <c r="E266" s="4" t="inlineStr">
        <is>
          <t>No</t>
        </is>
      </c>
      <c r="F266" s="4" t="inlineStr">
        <is>
          <t>Deduplication</t>
        </is>
      </c>
      <c r="G266" s="4" t="n"/>
      <c r="H266" s="4" t="n"/>
      <c r="I266" s="4" t="n"/>
      <c r="J266" s="4" t="inlineStr">
        <is>
          <t>Mismo DOI o título que otro registro anterior de esta exportación.</t>
        </is>
      </c>
      <c r="K266" s="4" t="n">
        <v>218</v>
      </c>
      <c r="L266" s="4" t="n"/>
      <c r="M266" s="4" t="n">
        <v>2026</v>
      </c>
      <c r="N266" s="4" t="inlineStr">
        <is>
          <t>A Robust Computational Framework for Autism Spectrum Disorder Identification Using Optimized Image Processing and Hybrid Learning Models</t>
        </is>
      </c>
      <c r="O266" s="4" t="inlineStr">
        <is>
          <t>A Kanchana and Rashmitha Khilar</t>
        </is>
      </c>
      <c r="P266" s="4" t="inlineStr">
        <is>
          <t>10.1002/DNEU.70028</t>
        </is>
      </c>
      <c r="Q266" s="4" t="inlineStr">
        <is>
          <t>Developmental Neurobiology</t>
        </is>
      </c>
      <c r="R266" s="4" t="inlineStr">
        <is>
          <t>article</t>
        </is>
      </c>
      <c r="S266" s="4" t="inlineStr">
        <is>
          <t>John Wiley and Sons Inc</t>
        </is>
      </c>
      <c r="T266" s="4" t="inlineStr">
        <is>
          <t>https://doi.org/10.1002/DNEU.70028</t>
        </is>
      </c>
      <c r="U266" s="4" t="n"/>
      <c r="V266" s="4" t="inlineStr">
        <is>
          <t>The classification of autism spectrum disorder (ASD) has reached a new stage of development that includes the former machine learning (ML) designs and image analysis designs. The study introduces a new framework that uses discrete wavelet transformation with Gaussian filter kernel (DWT-GFK) to achieve the robust preprocessing of the image, including noise removal and preserving edges without affecting the quality of the image. The VGG16 deep learning model is used to extract features, elaborate visual patterns, and data features that are pertinent to the identification of ASD. The classification stage uses a family of Elevated Learning-based Boosting Network with Hybrid Learning with Neural Classifier Logic (ELBN–HLNCL) that is optimized with the help of Walrus Optimization Algorithm (WaOA) to derive optimal model settings. Experimental testing of the proposed methods using the autism image dataset (AID), ASD screening dataset, and ABIDE dataset has shown the superiority of the proposed methodology with 99.95% accuracy, 99.9% recall, 99.8% precision, and 99.85% F1-score. The results demonstrate strong competitive performance compared with existing ASD classification approaches across multiple datasets. The findings offer promising applications in early ASD detection, facilitating improved diagnostic tools and aiding healthcare professionals in accurate assessments.</t>
        </is>
      </c>
      <c r="W266" s="4" t="inlineStr">
        <is>
          <t>title_abstract_plus_targeted_primary_source_verification</t>
        </is>
      </c>
      <c r="X266" s="4" t="inlineStr">
        <is>
          <t>doi:10.1002/dneu.70028</t>
        </is>
      </c>
      <c r="Y266" s="4" t="n"/>
      <c r="Z266" s="4" t="n"/>
      <c r="AA266" s="4" t="n"/>
      <c r="AB266" s="40" t="n"/>
    </row>
    <row r="267" ht="409" customHeight="1">
      <c r="A267" s="4" t="n">
        <v>266</v>
      </c>
      <c r="B267" s="4" t="inlineStr">
        <is>
          <t>include_after_title_abstract_screen</t>
        </is>
      </c>
      <c r="C267" s="4" t="inlineStr">
        <is>
          <t>Incluir provisionalmente</t>
        </is>
      </c>
      <c r="D267" s="4" t="inlineStr">
        <is>
          <t>Provisional include</t>
        </is>
      </c>
      <c r="E267" s="4" t="inlineStr">
        <is>
          <t>Sí</t>
        </is>
      </c>
      <c r="F267" s="4" t="inlineStr">
        <is>
          <t>Title/abstract screening</t>
        </is>
      </c>
      <c r="G267" s="4" t="n"/>
      <c r="H267" s="4" t="n"/>
      <c r="I267" s="4" t="n"/>
      <c r="J267" s="4" t="inlineStr">
        <is>
          <t>Estudio primario o implementación/evaluación empírica de IA, aprendizaje automático o modelado computacional aplicado a ASD, riesgo, caracterización, apoyo o intervención.</t>
        </is>
      </c>
      <c r="K267" s="4" t="n"/>
      <c r="L267" s="4" t="n"/>
      <c r="M267" s="4" t="n">
        <v>2026</v>
      </c>
      <c r="N267" s="4" t="inlineStr">
        <is>
          <t>Machine Learning-Based Early Prediction Model for Autism Spectrum Disorder in Infants Using Acoustic Feature</t>
        </is>
      </c>
      <c r="O267" s="4" t="inlineStr">
        <is>
          <t>Shengjian Yin and Zhijia Li and Luyang Guan and Zenghe Yue and Jincen Wang and Jinyi Zhu and Yazhu Han and Qian Li and Lan Lin and Yaxin Dai and Haozhen Chen and Yuheng Chen and Yun Li and Xiaoyan Ke</t>
        </is>
      </c>
      <c r="P267" s="4" t="inlineStr">
        <is>
          <t>10.1002/AUR.70179</t>
        </is>
      </c>
      <c r="Q267" s="4" t="inlineStr">
        <is>
          <t>Autism Research</t>
        </is>
      </c>
      <c r="R267" s="4" t="inlineStr">
        <is>
          <t>article</t>
        </is>
      </c>
      <c r="S267" s="4" t="inlineStr">
        <is>
          <t>John Wiley and Sons Inc</t>
        </is>
      </c>
      <c r="T267" s="4" t="inlineStr">
        <is>
          <t>https://doi.org/10.1002/AUR.70179</t>
        </is>
      </c>
      <c r="U267" s="4" t="n"/>
      <c r="V267" s="4" t="inlineStr">
        <is>
          <t>This study aimed to create a machine learning-based predictive model for early detection of autism spectrum disorder (ASD) in infants using acoustic features. Conducted as a prospective cohort at Nanjing Medical University from 2019 to 2024, infants aged 9–18 months from an ASD sibling cohort participated. Behavioral and vocalization data were gathered during the Still-Face Paradigm, with ASD diagnoses confirmed at 36 months through ADOS and ADI-R assessments. Researchers extracted 4368 acoustic features from the recordings and applied LASSO regression for dimensionality reduction, identifying 39 key features. A support vector machine (SVM) classifier was then developed, tested with four kernel functions—linear, radial basis function, polynomial, and sigmoid—via tenfold cross-validation. The final sample included 88 infants, 28 of whom were diagnosed with ASD. The sigmoid kernel yielded the best results, achieving a 92.86% sensitivity, 93.33% specificity, and a 93.18% accuracy. Notably, spectral and energy-related features were significantly higher in ASD infants (p &lt; 0.01). These findings suggest that acoustic features can serve as early, noninvasive biomarkers for ASD, and the SVM model demonstrates significant promise for early screening and intervention efforts.</t>
        </is>
      </c>
      <c r="W267" s="4" t="inlineStr">
        <is>
          <t>title_abstract_plus_targeted_primary_source_verification</t>
        </is>
      </c>
      <c r="X267" s="4" t="inlineStr">
        <is>
          <t>doi:10.1002/aur.70179</t>
        </is>
      </c>
      <c r="Y267" s="4" t="n"/>
      <c r="Z267" s="4" t="n"/>
      <c r="AA267" s="4" t="n"/>
      <c r="AB267" s="40" t="n"/>
    </row>
    <row r="268" ht="409" customHeight="1">
      <c r="A268" s="4" t="n">
        <v>267</v>
      </c>
      <c r="B268" s="4" t="inlineStr">
        <is>
          <t>duplicate_within_export</t>
        </is>
      </c>
      <c r="C268" s="4" t="inlineStr">
        <is>
          <t>No agregar: duplicado interno</t>
        </is>
      </c>
      <c r="D268" s="4" t="inlineStr">
        <is>
          <t>Duplicate within update</t>
        </is>
      </c>
      <c r="E268" s="4" t="inlineStr">
        <is>
          <t>No</t>
        </is>
      </c>
      <c r="F268" s="4" t="inlineStr">
        <is>
          <t>Deduplication</t>
        </is>
      </c>
      <c r="G268" s="4" t="n"/>
      <c r="H268" s="4" t="n"/>
      <c r="I268" s="4" t="n"/>
      <c r="J268" s="4" t="inlineStr">
        <is>
          <t>Mismo DOI o título que otro registro anterior de esta exportación.</t>
        </is>
      </c>
      <c r="K268" s="4" t="n">
        <v>166</v>
      </c>
      <c r="L268" s="4" t="n"/>
      <c r="M268" s="4" t="n">
        <v>2026</v>
      </c>
      <c r="N268" s="4" t="inlineStr">
        <is>
          <t>Feasibility and Acceptability of AI-Powered Tools for Early Autism Screening in Egypt: Semistructured Focus Group Study</t>
        </is>
      </c>
      <c r="O268" s="4" t="inlineStr">
        <is>
          <t>Pratheepan Yogarajah and Ammal M Metwally and Priyanka Chaurasia and Ghada A Elshaarawy and Shereen M El Khateeb and Engy A Ashaat and Amal Elsaeid and Nahed A Elghareeb and Amira S ElRifay</t>
        </is>
      </c>
      <c r="P268" s="4" t="inlineStr">
        <is>
          <t>10.2196/82564</t>
        </is>
      </c>
      <c r="Q268" s="4" t="inlineStr">
        <is>
          <t>Journal of Medical Internet Research</t>
        </is>
      </c>
      <c r="R268" s="4" t="inlineStr">
        <is>
          <t>article</t>
        </is>
      </c>
      <c r="S268" s="4" t="inlineStr">
        <is>
          <t>JMIR Publications Inc.</t>
        </is>
      </c>
      <c r="T268" s="4" t="inlineStr">
        <is>
          <t>https://www.sciencedirect.com/science/article/pii/S1438887126003249</t>
        </is>
      </c>
      <c r="U268" s="4" t="n"/>
      <c r="V268" s="4" t="inlineStr">
        <is>
          <t>Background: Autism spectrum disorder (ASD) is often underdiagnosed in low- and middle-income countries due to limited specialist access, sociocultural stigma, and fragmented screening systems. Artificial intelligence (AI)–powered screening tools may improve early detection by enabling low-cost, accessible assessments. However, adoption depends on stakeholder trust, ethical safeguards, and alignment with local health system capacities. Objective: This study explored the feasibility, acceptability, and perceived ethical and practical enablers and barriers to implementing AI-powered tools for early ASD screening in Egypt, with attention to urban–rural disparities and integration into existing care pathways. Methods: We used a qualitative design with semistructured focus group discussions with 49 participants (21 parents of children with ASD and 28 health care professionals) recruited from urban and rural governorates. Discussions were audio-recorded, transcribed verbatim, and analyzed using Braun and Clarke’s reflexive thematic analysis, supported by NVivo software (Lumivero). Methodological integrity was ensured through reflexivity, triangulation, and peer debriefing. Thematic saturation was monitored across groups, and participant diversity was prioritized across contexts. Results: Five themes emerged: (1) AI as a supportive tool rather than a replacement for clinicians, emphasizing scalability and assistance for nonspecialists; (2) the need for cultural and contextual adaptation to ensure local relevance; (3) privacy, trust, and transparency concerns, including data security, consent, and algorithmic opacity; (4) reducing diagnostic inequities by addressing urban–rural disparities and strengthening community-based deployment; and (5) the preference for hybrid AI–human models, with conditions for adoption including cultural sensitivity, human oversight, and digital literacy support. Counts (n/N) of parents and health care professionals contributing to each theme were used descriptively as indicators of pattern salience rather than as statistical estimates of prevalence. Participants expressed cautious optimism, with parents emphasizing accessibility and speed, while health care professionals highlighted concerns about reliability, cultural adaptation, and data governance. Conclusions: AI-powered ASD screening has potential to advance equitable early detection in underserved areas. Adoption requires transparent data governance, integration into hybrid human–AI models, culturally adaptive design, and targeted digital literacy initiatives. These findings provide an evidence-based roadmap for policymakers, technologists, and health system leaders to implement AI screening tools that are ethically sound, contextually relevant, and equity-focused.</t>
        </is>
      </c>
      <c r="W268" s="4" t="inlineStr">
        <is>
          <t>title_abstract_plus_targeted_primary_source_verification</t>
        </is>
      </c>
      <c r="X268" s="4" t="inlineStr">
        <is>
          <t>doi:10.2196/82564</t>
        </is>
      </c>
      <c r="Y268" s="4" t="n"/>
      <c r="Z268" s="4" t="n"/>
      <c r="AA268" s="4" t="n"/>
      <c r="AB268" s="40" t="n"/>
    </row>
    <row r="269" ht="409" customHeight="1">
      <c r="A269" s="4" t="n">
        <v>268</v>
      </c>
      <c r="B269" s="4" t="inlineStr">
        <is>
          <t>include_after_full_text_open_access</t>
        </is>
      </c>
      <c r="C269" s="4" t="inlineStr">
        <is>
          <t>Incluir tras revisión de texto completo abierto</t>
        </is>
      </c>
      <c r="D269" s="4" t="inlineStr">
        <is>
          <t>Provisional include</t>
        </is>
      </c>
      <c r="E269" s="4" t="inlineStr">
        <is>
          <t>Sí</t>
        </is>
      </c>
      <c r="F269" s="4" t="inlineStr">
        <is>
          <t>Full-text review</t>
        </is>
      </c>
      <c r="G269" s="4" t="n"/>
      <c r="H269" s="4" t="n"/>
      <c r="I269" s="4" t="n"/>
      <c r="J269" s="4" t="inlineStr">
        <is>
          <t>Texto completo confirma estudio primario con Machine Learning aplicado a ASD (Compact-item screening prediction).</t>
        </is>
      </c>
      <c r="K269" s="4" t="n"/>
      <c r="L269" s="4" t="n"/>
      <c r="M269" s="4" t="n">
        <v>2025</v>
      </c>
      <c r="N269" s="4" t="inlineStr">
        <is>
          <t>Compact subsets of autism screening items predict clinical diagnoses with a machine learning analysis of the QCHAT-10</t>
        </is>
      </c>
      <c r="O269" s="4" t="inlineStr">
        <is>
          <t>Lydia J Sollis and Dennis P Wall and Peter Y Washington</t>
        </is>
      </c>
      <c r="P269" s="4" t="inlineStr">
        <is>
          <t>10.1038/s41598-025-26131-9</t>
        </is>
      </c>
      <c r="Q269" s="4" t="inlineStr">
        <is>
          <t>Scientific Reports</t>
        </is>
      </c>
      <c r="R269" s="4" t="inlineStr">
        <is>
          <t>article</t>
        </is>
      </c>
      <c r="S269" s="4" t="inlineStr">
        <is>
          <t>Nature Research</t>
        </is>
      </c>
      <c r="T269" s="4" t="inlineStr">
        <is>
          <t>https://www.nature.com/articles/s41598-025-26131-9.pdf</t>
        </is>
      </c>
      <c r="U269" s="4" t="inlineStr">
        <is>
          <t>Texto completo abierto revisado; evidencia y codificación en Extraccion_RQ_nuevos.</t>
        </is>
      </c>
      <c r="V269" s="4" t="inlineStr">
        <is>
          <t>Early identification improves life outcomes for individuals with autism. This study addresses a central question: do compact subsets of the most predictive QCHAT-10 items, when fed into machine learning (ML) models trained to reproduce the full questionnaire’s screening result, generalize to predicting clinician-established autism diagnoses in independent clinical settings? We applied ML to the 10-question QCHAT-10, training models on New Zealand (n = 1054) and Saudi Arabian (n = 506) datasets with QCHAT-derived labels and testing on Polish data with clinical diagnoses (n = 252). Recursive Feature Elimination identified four-item models retaining three common features: eye contact, following gaze direction, and pretend play. When tested on clinically-diagnosed Polish cases at the 0.3 prediction threshold, the New Zealand model achieved an AUROC of 85% ± 13 (sensitivity 91%, specificity 50%), while the Saudi model reached 87% ± 11 (sensitivity 84%, specificity 80%), compared to the Polish four-item model’s cross-validation AUROC of 91% ± 5. These findings demonstrate partial transfer from the prediction of assessment scores to clinical diagnosis. The convergence on eye contact, gaze following, and pretend play suggests these behaviors represent robust autism risk markers. Compact assessment tools offer advantages, including reduced burden, shortened administration, and simplified deployment, with direct applications for targeted digital phenotyping.</t>
        </is>
      </c>
      <c r="W269" s="4" t="inlineStr">
        <is>
          <t>open_full_text_review_2026_09_04</t>
        </is>
      </c>
      <c r="X269" s="4" t="inlineStr">
        <is>
          <t>doi:10.1038/s41598-025-26131-9</t>
        </is>
      </c>
      <c r="Y269" s="4" t="n"/>
      <c r="Z269" s="4" t="n"/>
      <c r="AA269" s="4" t="n"/>
      <c r="AB269" s="40" t="n"/>
    </row>
    <row r="270" ht="409" customHeight="1">
      <c r="A270" s="4" t="n">
        <v>269</v>
      </c>
      <c r="B270" s="4" t="inlineStr">
        <is>
          <t>include_after_title_abstract_screen</t>
        </is>
      </c>
      <c r="C270" s="4" t="inlineStr">
        <is>
          <t>Incluir provisionalmente</t>
        </is>
      </c>
      <c r="D270" s="4" t="inlineStr">
        <is>
          <t>Provisional include</t>
        </is>
      </c>
      <c r="E270" s="4" t="inlineStr">
        <is>
          <t>Sí</t>
        </is>
      </c>
      <c r="F270" s="4" t="inlineStr">
        <is>
          <t>Title/abstract screening</t>
        </is>
      </c>
      <c r="G270" s="4" t="n"/>
      <c r="H270" s="4" t="n"/>
      <c r="I270" s="4" t="n"/>
      <c r="J270" s="4" t="inlineStr">
        <is>
          <t>Estudio primario o implementación/evaluación empírica de IA, aprendizaje automático o modelado computacional aplicado a ASD, riesgo, caracterización, apoyo o intervención.</t>
        </is>
      </c>
      <c r="K270" s="4" t="n"/>
      <c r="L270" s="4" t="n"/>
      <c r="M270" s="4" t="n">
        <v>2026</v>
      </c>
      <c r="N270" s="4" t="inlineStr">
        <is>
          <t>Predicting fine motor deficit in autism by measuring brain activities and characterizing motor impairments</t>
        </is>
      </c>
      <c r="O270" s="4" t="inlineStr">
        <is>
          <t>Zaibunnisa L H Malik and Pooja Raundale</t>
        </is>
      </c>
      <c r="P270" s="4" t="inlineStr">
        <is>
          <t>10.1016/j.compbiomed.2026.111470</t>
        </is>
      </c>
      <c r="Q270" s="4" t="inlineStr">
        <is>
          <t>Computers in Biology and Medicine</t>
        </is>
      </c>
      <c r="R270" s="4" t="inlineStr">
        <is>
          <t>article</t>
        </is>
      </c>
      <c r="S270" s="4" t="inlineStr">
        <is>
          <t>Elsevier Ltd</t>
        </is>
      </c>
      <c r="T270" s="4" t="inlineStr">
        <is>
          <t>https://www.sciencedirect.com/science/article/pii/S0010482526000314</t>
        </is>
      </c>
      <c r="U270" s="4" t="n"/>
      <c r="V270" s="4" t="inlineStr">
        <is>
          <t>Motor impairments affect approximately 86.9% of children with Autism Spectrum Disorder (ASD), often persisting into adolescence and increasing the risk of Developmental Coordination Disorder (DCD). Despite their prevalence, only 31.6% of affected individuals receive physical therapy, underscoring a critical gap in early intervention. Traditional methods for diagnosing Fine Motor Deficits (FMD) are often time-consuming and costly, necessitating the adoption of data-driven approaches. This study introduces a machine learning framework for the rapid and reliable prediction of fine motor impairments in adolescents with ASD. By integrating EEG-based neurophysiological signals, behavioral assessments, and motor coordination tests, the study evaluates five classification models—Logistic Regression, Support Vector Machine, K-Nearest Neighbors, Random Forest, and Neural Network. Among these, Logistic Regression achieved the highest accuracy (95.84%), demonstrating strong predictive power for identifying fine motor deficits. The proposed framework enhances the efficiency of FMD screening and provides an interpretable model for potential clinical use in early ASD diagnosis.</t>
        </is>
      </c>
      <c r="W270" s="4" t="inlineStr">
        <is>
          <t>title_abstract_plus_targeted_primary_source_verification</t>
        </is>
      </c>
      <c r="X270" s="4" t="inlineStr">
        <is>
          <t>doi:10.1016/j.compbiomed.2026.111470</t>
        </is>
      </c>
      <c r="Y270" s="4" t="n"/>
      <c r="Z270" s="4" t="n"/>
      <c r="AA270" s="4" t="n"/>
      <c r="AB270" s="40" t="n"/>
    </row>
    <row r="271" ht="409" customHeight="1">
      <c r="A271" s="4" t="n">
        <v>270</v>
      </c>
      <c r="B271" s="4" t="inlineStr">
        <is>
          <t>include_after_title_abstract_screen</t>
        </is>
      </c>
      <c r="C271" s="4" t="inlineStr">
        <is>
          <t>Incluir provisionalmente</t>
        </is>
      </c>
      <c r="D271" s="4" t="inlineStr">
        <is>
          <t>Provisional include</t>
        </is>
      </c>
      <c r="E271" s="4" t="inlineStr">
        <is>
          <t>Sí</t>
        </is>
      </c>
      <c r="F271" s="4" t="inlineStr">
        <is>
          <t>Title/abstract screening</t>
        </is>
      </c>
      <c r="G271" s="4" t="n"/>
      <c r="H271" s="4" t="n"/>
      <c r="I271" s="4" t="n"/>
      <c r="J271" s="4" t="inlineStr">
        <is>
          <t>Estudio primario o implementación/evaluación empírica de IA, aprendizaje automático o modelado computacional aplicado a ASD, riesgo, caracterización, apoyo o intervención.</t>
        </is>
      </c>
      <c r="K271" s="4" t="n"/>
      <c r="L271" s="4" t="n"/>
      <c r="M271" s="4" t="n">
        <v>2026</v>
      </c>
      <c r="N271" s="4" t="inlineStr">
        <is>
          <t>Diagnosing autism spectrum disorders using ensemble-aided weighted fused features and attention-based residual LSTM with brain MRI images</t>
        </is>
      </c>
      <c r="O271" s="4" t="inlineStr">
        <is>
          <t>Nandhini V and Ananthajothi K</t>
        </is>
      </c>
      <c r="P271" s="4" t="inlineStr">
        <is>
          <t>10.1016/j.pscychresns.2026.112230</t>
        </is>
      </c>
      <c r="Q271" s="4" t="inlineStr">
        <is>
          <t>Psychiatry Research - Neuroimaging</t>
        </is>
      </c>
      <c r="R271" s="4" t="inlineStr">
        <is>
          <t>article</t>
        </is>
      </c>
      <c r="S271" s="4" t="inlineStr">
        <is>
          <t>Elsevier Ireland Ltd</t>
        </is>
      </c>
      <c r="T271" s="4" t="inlineStr">
        <is>
          <t>https://doi.org/10.1016/j.pscychresns.2026.112230</t>
        </is>
      </c>
      <c r="U271" s="4" t="n"/>
      <c r="V271" s="4" t="inlineStr">
        <is>
          <t>One of the neuro-developmental conditions is called Autism Spectrum Disorder (ASD), which causes changes in the behavior of the patients, and it delays language and social interactions. Details about the functional activity of the brain are provided by Magnetic Resonance Imaging (MRI). Studying each MRI scan of the patients is laborious and time‐consuming for doctors and specialists. To tackle these limitations, this paper develops an advanced deep learning diagnosis method. In the beginning, the necessary MRI images are gathered from the available data resource. The input brain images are subjected to an Ensemble Deep Convolutional Neural Network (EDCNN) for feature extraction, which makes the diagnosis easier by reducing the complexities. The ensemble model is created by the integration of the Visual Geometry Group (VGG16), Residual Network (ResNet), and Inception approaches. Further, the resultant features are fused with weights that are optimized using the Improved Random Uniform Number-aided Humboldt Squid Optimization Algorithm (IRUN-HSOA); thus, the weighted fused feature is obtained. The resultant weighted fused feature is fed into Attention-based Residual Long Short-Term Memory (ARLSTM) for the ASD diagnosis. Further, the developed model is compared with different state-of-the-art techniques, and the suitability of the model is discussed for prospects.</t>
        </is>
      </c>
      <c r="W271" s="4" t="inlineStr">
        <is>
          <t>title_abstract_plus_targeted_primary_source_verification</t>
        </is>
      </c>
      <c r="X271" s="4" t="inlineStr">
        <is>
          <t>doi:10.1016/j.pscychresns.2026.112230</t>
        </is>
      </c>
      <c r="Y271" s="4" t="n"/>
      <c r="Z271" s="4" t="n"/>
      <c r="AA271" s="4" t="n"/>
      <c r="AB271" s="40" t="n"/>
    </row>
    <row r="272" ht="409" customHeight="1">
      <c r="A272" s="4" t="n">
        <v>271</v>
      </c>
      <c r="B272" s="4" t="inlineStr">
        <is>
          <t>include_after_title_abstract_screen</t>
        </is>
      </c>
      <c r="C272" s="4" t="inlineStr">
        <is>
          <t>Incluir provisionalmente</t>
        </is>
      </c>
      <c r="D272" s="4" t="inlineStr">
        <is>
          <t>Provisional include</t>
        </is>
      </c>
      <c r="E272" s="4" t="inlineStr">
        <is>
          <t>Sí</t>
        </is>
      </c>
      <c r="F272" s="4" t="inlineStr">
        <is>
          <t>Title/abstract screening</t>
        </is>
      </c>
      <c r="G272" s="4" t="n"/>
      <c r="H272" s="4" t="n"/>
      <c r="I272" s="4" t="n"/>
      <c r="J272" s="4" t="inlineStr">
        <is>
          <t>Estudio primario o implementación/evaluación empírica de IA, aprendizaje automático o modelado computacional aplicado a ASD, riesgo, caracterización, apoyo o intervención.</t>
        </is>
      </c>
      <c r="K272" s="4" t="n"/>
      <c r="L272" s="4" t="n"/>
      <c r="M272" s="4" t="n">
        <v>2025</v>
      </c>
      <c r="N272" s="4" t="inlineStr">
        <is>
          <t>Early Autism Spectrum Disorder Detection Using SMOTE-Enhanced 1D-CNN and Behavioral Screening Data</t>
        </is>
      </c>
      <c r="O272" s="4" t="inlineStr">
        <is>
          <t>Ahlam Alghamdi and Samia Dardouri</t>
        </is>
      </c>
      <c r="P272" s="4" t="inlineStr">
        <is>
          <t>10.1155/AHCI/1316854</t>
        </is>
      </c>
      <c r="Q272" s="4" t="inlineStr">
        <is>
          <t>Advances in Human-Computer Interaction</t>
        </is>
      </c>
      <c r="R272" s="4" t="inlineStr">
        <is>
          <t>article</t>
        </is>
      </c>
      <c r="S272" s="4" t="inlineStr">
        <is>
          <t>John Wiley and Sons Ltd</t>
        </is>
      </c>
      <c r="T272" s="4" t="inlineStr">
        <is>
          <t>https://doi.org/10.1155/AHCI/1316854</t>
        </is>
      </c>
      <c r="U272" s="4" t="n"/>
      <c r="V272" s="4" t="inlineStr">
        <is>
          <t>Autism spectrum disorder (ASD) encompasses a range of neurodevelopmental conditions characterized by difficulties in social interaction, repetitive behaviors, speech, and nonverbal communication. Affecting approximately 1 in 36 children globally, ASD poses significant diagnostic challenges, particularly in early childhood, due to the absence of definitive medical tests. Current diagnostic practices rely heavily on behavioral observations and developmental history, often leading to delays in intervention. Early and accurate detection is essential for initiating timely support and improving developmental outcomes. In this study, we present a novel deep learning framework that integrates a one-dimensional convolutional neural network (1D-CNN) with the synthetic minority oversampling technique (SMOTE) to detect ASD using only 10 behavioral screening features (A1–A10). The dataset, derived from publicly available screening questionnaires, exhibited significant class imbalance, which was mitigated using SMOTE to improve model sensitivity and fairness. The proposed CNN + SMOTE model demonstrated superior performance, achieving an accuracy of 99.31%, surpassing traditional classifiers such as random forest (98.0%) and XGBoost (98.5%). Model evaluation was conducted using standard metrics including accuracy, precision, recall, F1-score, and AUC, with validation via k-fold cross-validation. The results underscore the effectiveness of lightweight deep learning models augmented by oversampling techniques in developing accurate, interpretable, and scalable tools for ASD screening particularly in resource-limited settings where access to advanced diagnostic technologies may be constrained.</t>
        </is>
      </c>
      <c r="W272" s="4" t="inlineStr">
        <is>
          <t>title_abstract_plus_targeted_primary_source_verification</t>
        </is>
      </c>
      <c r="X272" s="4" t="inlineStr">
        <is>
          <t>doi:10.1155/ahci/1316854</t>
        </is>
      </c>
      <c r="Y272" s="4" t="n"/>
      <c r="Z272" s="4" t="n"/>
      <c r="AA272" s="4" t="n"/>
      <c r="AB272" s="40" t="n"/>
    </row>
    <row r="273" ht="409" customHeight="1">
      <c r="A273" s="4" t="n">
        <v>272</v>
      </c>
      <c r="B273" s="4" t="inlineStr">
        <is>
          <t>duplicate_within_export</t>
        </is>
      </c>
      <c r="C273" s="4" t="inlineStr">
        <is>
          <t>No agregar: duplicado interno</t>
        </is>
      </c>
      <c r="D273" s="4" t="inlineStr">
        <is>
          <t>Duplicate within update</t>
        </is>
      </c>
      <c r="E273" s="4" t="inlineStr">
        <is>
          <t>No</t>
        </is>
      </c>
      <c r="F273" s="4" t="inlineStr">
        <is>
          <t>Deduplication</t>
        </is>
      </c>
      <c r="G273" s="4" t="n"/>
      <c r="H273" s="4" t="n"/>
      <c r="I273" s="4" t="n"/>
      <c r="J273" s="4" t="inlineStr">
        <is>
          <t>Mismo DOI o título que otro registro anterior de esta exportación.</t>
        </is>
      </c>
      <c r="K273" s="4" t="n">
        <v>35</v>
      </c>
      <c r="L273" s="4" t="n"/>
      <c r="M273" s="4" t="n">
        <v>2025</v>
      </c>
      <c r="N273" s="4" t="inlineStr">
        <is>
          <t>Deep Learning Approaches for Classifying Children With and Without Autism Spectrum Disorder Using Inertial Measurement Unit Hand Tracking Data: Comparative Study.</t>
        </is>
      </c>
      <c r="O273" s="4" t="inlineStr">
        <is>
          <t>John Mutersbaugh and Wan-Chun Su and Anjana Bhat and Amir Gandjbakhche</t>
        </is>
      </c>
      <c r="P273" s="4" t="inlineStr">
        <is>
          <t>10.2196/73440</t>
        </is>
      </c>
      <c r="Q273" s="4" t="inlineStr">
        <is>
          <t>JMIR medical informatics</t>
        </is>
      </c>
      <c r="R273" s="4" t="inlineStr">
        <is>
          <t>article</t>
        </is>
      </c>
      <c r="S273" s="4" t="inlineStr">
        <is>
          <t>JMIR Publications Inc.</t>
        </is>
      </c>
      <c r="T273" s="4" t="inlineStr">
        <is>
          <t>http://www.ncbi.nlm.nih.gov/pubmed/41428363 http://www.pubmedcentral.nih.gov/articlerender.fcgi?artid=PMC12721220</t>
        </is>
      </c>
      <c r="U273" s="4" t="n"/>
      <c r="V273" s="4" t="inlineStr">
        <is>
          <t>BACKGROUND Autism spectrum disorder (ASD) is a prevalent neurodevelopmental condition that can be quite difficult to diagnose due to a lack of objective diagnostic methods in the currently used behavioral assessments. Recent work has shown that children with ASD have a higher incidence of motor control differences. A compilation of studies indicates that between 50% and 88% of the children with ASD have issues with movement control based on standardized motor assessments or parent-reported questionnaires. OBJECTIVE In this study, we assess a variety of deep learning approaches for the classification of ASD, utilizing data collected via inertial measurement unit (IMU) hand tracking during goal-directed arm movements. METHODS IMU hand tracking data were recorded from 41 school-aged children both with and without an ASD diagnosis to track their arm movements during a reach-to-clean up task. The IMU data were then preprocessed using a moving average and z score normalization to prepare the data for deep learning models. We evaluated the effectiveness of different deep learning models using the preprocessed data and a k-fold validation approach, as well as a patient-separated approach. RESULTS The best result was achieved with a convolutional autoencoder combined with long short-term memory layers, reaching an accuracy of 90.21% and an F1-score of 90.02%. Once the convolutional autoencoder+long short-term memory was determined to be the most effective model for this datatype, it was retrained and evaluated with a patient-separated dataset to assess the generalization capability of the model, achieving an accuracy of 91.87% and an F1-score of 93.66%. CONCLUSIONS Our deep learning approach demonstrates that our models hold potential for facilitating ASD diagnosis in clinical settings. This work validates that there are significant differences between the physical movements of typically developing children and children with ASD, and these differences can be identified by analyzing hand-eye coordination skills. Additionally, we have validated that small-scale models can still achieve a high accuracy and good generalization when classifying medical data, opening the door for future research into diagnostic models that may not require massive amounts of data.</t>
        </is>
      </c>
      <c r="W273" s="4" t="inlineStr">
        <is>
          <t>title_abstract_plus_targeted_primary_source_verification</t>
        </is>
      </c>
      <c r="X273" s="4" t="inlineStr">
        <is>
          <t>doi:10.2196/73440</t>
        </is>
      </c>
      <c r="Y273" s="4" t="n"/>
      <c r="Z273" s="4" t="n"/>
      <c r="AA273" s="4" t="n"/>
      <c r="AB273" s="40" t="n"/>
    </row>
    <row r="274" ht="125" customHeight="1">
      <c r="A274" s="4" t="n">
        <v>273</v>
      </c>
      <c r="B274" s="4" t="inlineStr">
        <is>
          <t>include_after_title_abstract_screen</t>
        </is>
      </c>
      <c r="C274" s="4" t="inlineStr">
        <is>
          <t>Incluir provisionalmente</t>
        </is>
      </c>
      <c r="D274" s="4" t="inlineStr">
        <is>
          <t>Provisional include</t>
        </is>
      </c>
      <c r="E274" s="4" t="inlineStr">
        <is>
          <t>Sí</t>
        </is>
      </c>
      <c r="F274" s="4" t="inlineStr">
        <is>
          <t>Title/abstract screening</t>
        </is>
      </c>
      <c r="G274" s="4" t="n"/>
      <c r="H274" s="4" t="n"/>
      <c r="I274" s="4" t="n"/>
      <c r="J274" s="4" t="inlineStr">
        <is>
          <t>Estudio primario o implementación/evaluación empírica de IA, aprendizaje automático o modelado computacional aplicado a ASD, riesgo, caracterización, apoyo o intervención.</t>
        </is>
      </c>
      <c r="K274" s="4" t="n"/>
      <c r="L274" s="4" t="n"/>
      <c r="M274" s="4" t="n">
        <v>2026</v>
      </c>
      <c r="N274" s="4" t="inlineStr">
        <is>
          <t>Optimizing Autism Spectrum Disorder Diagnosis with VGG16-Based Facial Landmark Recognition</t>
        </is>
      </c>
      <c r="O274" s="4" t="inlineStr">
        <is>
          <t>Renuka Tantry and Rama Moorthy H and Krishnaraj Rao N S and Shreenath Acharya and Raghunandan K R and Sardar M N Islam</t>
        </is>
      </c>
      <c r="P274" s="4" t="inlineStr">
        <is>
          <t>10.1016/j.procs.2026.06.483</t>
        </is>
      </c>
      <c r="Q274" s="4" t="inlineStr">
        <is>
          <t>Procedia Computer Science</t>
        </is>
      </c>
      <c r="R274" s="4" t="inlineStr">
        <is>
          <t>article</t>
        </is>
      </c>
      <c r="S274" s="4" t="n"/>
      <c r="T274" s="4" t="inlineStr">
        <is>
          <t>https://www.sciencedirect.com/science/article/pii/S1877050926021162</t>
        </is>
      </c>
      <c r="U274" s="4" t="n"/>
      <c r="V274" s="4" t="n"/>
      <c r="W274" s="4" t="inlineStr">
        <is>
          <t>title_abstract_plus_targeted_primary_source_verification</t>
        </is>
      </c>
      <c r="X274" s="4" t="inlineStr">
        <is>
          <t>doi:10.1016/j.procs.2026.06.483</t>
        </is>
      </c>
      <c r="Y274" s="4" t="n"/>
      <c r="Z274" s="4" t="n"/>
      <c r="AA274" s="4" t="n"/>
      <c r="AB274" s="40" t="n"/>
    </row>
    <row r="275" ht="409" customHeight="1">
      <c r="A275" s="4" t="n">
        <v>274</v>
      </c>
      <c r="B275" s="4" t="inlineStr">
        <is>
          <t>exclude_no_qualifying_ai_application</t>
        </is>
      </c>
      <c r="C275" s="4" t="inlineStr">
        <is>
          <t>Excluir: sin aplicación de IA elegible</t>
        </is>
      </c>
      <c r="D275" s="4" t="inlineStr">
        <is>
          <t>Excluded</t>
        </is>
      </c>
      <c r="E275" s="4" t="inlineStr">
        <is>
          <t>No</t>
        </is>
      </c>
      <c r="F275" s="4" t="inlineStr">
        <is>
          <t>Title/abstract screening</t>
        </is>
      </c>
      <c r="G275" s="4" t="n"/>
      <c r="H275" s="4" t="n"/>
      <c r="I275" s="4" t="n"/>
      <c r="J275" s="4" t="inlineStr">
        <is>
          <t>El trabajo no implementa ni evalúa una técnica de IA/ML como componente sustantivo del estudio de ASD.</t>
        </is>
      </c>
      <c r="K275" s="4" t="n"/>
      <c r="L275" s="4" t="n"/>
      <c r="M275" s="4" t="n">
        <v>2026</v>
      </c>
      <c r="N275" s="4" t="inlineStr">
        <is>
          <t>Attitude and motivation to work in autism rehabilitation operators: Algorithms based on reaction times</t>
        </is>
      </c>
      <c r="O275" s="4" t="inlineStr">
        <is>
          <t>Monica Mazza and Margherita Attanasio and Erika Di Giminiani and Ilenia Le Donne and Francesco Masedu and Marco Valenti</t>
        </is>
      </c>
      <c r="P275" s="4" t="inlineStr">
        <is>
          <t>10.1016/j.rin.2025.100013</t>
        </is>
      </c>
      <c r="Q275" s="4" t="inlineStr">
        <is>
          <t>Research in Neurodiversity</t>
        </is>
      </c>
      <c r="R275" s="4" t="inlineStr">
        <is>
          <t>article</t>
        </is>
      </c>
      <c r="S275" s="4" t="inlineStr">
        <is>
          <t>Elsevier BV</t>
        </is>
      </c>
      <c r="T275" s="4" t="inlineStr">
        <is>
          <t>https://www.sciencedirect.com/science/article/pii/S3050579825000130</t>
        </is>
      </c>
      <c r="U275" s="4" t="n"/>
      <c r="V275" s="4" t="inlineStr">
        <is>
          <t>Background Assessing the true motivation and attitudes of rehabilitation professionals working in autism care is crucial for ensuring effective interventions and high-quality support. Traditional self-report tools are limited by social desirability bias, underscoring the need for implicit and computational approaches. Aims This exploratory study aims to assess whether reaction-time-based implicit measures, combined with machine learning (ML), can identify latent demotivation and attitudinal inconsistency among rehabilitation professionals. Methods Twenty-eight rehabilitation operators and twenty university students participated in the study. Students were assigned to two simulated profiles: satisfied (N = 10) and dissatisfied (N = 10). A custom computerized reaction-time task was developed in which participants were presented with statements and asked to respond "Yes" or "No" by pressing a key on the keyboard. Additionally, three paper-and-pencil tests were administered to assess work motivation, social desirability, and to collect sociodemographic information. The significant variables relating to latency and consistency obtained from the student data were used in the ML analysis (Naïve Bayes and Random Forest) to perform an exploratory classification of the rehabilitation professional sample. Results The computerized task, unlike the paper-and-pencil tests, showed statistically significant differences (p &lt; .005) between the two profiles of the student sample. Based on the significant variables derived by the student sample, the exploratory model classified seven professionals as dissatisfied, achieving an accuracy of 78 %. Conclusions Latency-based implicit measures, when integrated with ML, offer a promising methodological framework for detecting hidden motivational patterns. Results are preliminary and should not be interpreted as diagnostic or predictive; further validation with larger, ecologically valid samples of professionals is required.</t>
        </is>
      </c>
      <c r="W275" s="4" t="inlineStr">
        <is>
          <t>title_abstract_plus_targeted_primary_source_verification</t>
        </is>
      </c>
      <c r="X275" s="4" t="inlineStr">
        <is>
          <t>doi:10.1016/j.rin.2025.100013</t>
        </is>
      </c>
      <c r="Y275" s="4" t="n"/>
      <c r="Z275" s="4" t="n"/>
      <c r="AA275" s="4" t="n"/>
      <c r="AB275" s="40" t="n"/>
    </row>
    <row r="276" ht="409" customHeight="1">
      <c r="A276" s="4" t="n">
        <v>275</v>
      </c>
      <c r="B276" s="4" t="inlineStr">
        <is>
          <t>include_after_title_abstract_screen</t>
        </is>
      </c>
      <c r="C276" s="4" t="inlineStr">
        <is>
          <t>Incluir provisionalmente</t>
        </is>
      </c>
      <c r="D276" s="4" t="inlineStr">
        <is>
          <t>Provisional include</t>
        </is>
      </c>
      <c r="E276" s="4" t="inlineStr">
        <is>
          <t>Sí</t>
        </is>
      </c>
      <c r="F276" s="4" t="inlineStr">
        <is>
          <t>Title/abstract screening</t>
        </is>
      </c>
      <c r="G276" s="4" t="n"/>
      <c r="H276" s="4" t="n"/>
      <c r="I276" s="4" t="n"/>
      <c r="J276" s="4" t="inlineStr">
        <is>
          <t>Estudio primario o implementación/evaluación empírica de IA, aprendizaje automático o modelado computacional aplicado a ASD, riesgo, caracterización, apoyo o intervención.</t>
        </is>
      </c>
      <c r="K276" s="4" t="n"/>
      <c r="L276" s="4" t="n"/>
      <c r="M276" s="4" t="n">
        <v>2025</v>
      </c>
      <c r="N276" s="4" t="inlineStr">
        <is>
          <t>Machine Learning Techniques to Uncover Sociodemographic Risk Factors of Autism Spectrum Disorder (ASD) Among Children and Adolescents in Bangladesh</t>
        </is>
      </c>
      <c r="O276" s="4" t="inlineStr">
        <is>
          <t>Md Neaz Ali and Suman Biswas</t>
        </is>
      </c>
      <c r="P276" s="4" t="inlineStr">
        <is>
          <t>10.1155/ACIS/6410913</t>
        </is>
      </c>
      <c r="Q276" s="4" t="inlineStr">
        <is>
          <t>Applied Computational Intelligence and Soft Computing</t>
        </is>
      </c>
      <c r="R276" s="4" t="inlineStr">
        <is>
          <t>article</t>
        </is>
      </c>
      <c r="S276" s="4" t="inlineStr">
        <is>
          <t>John Wiley and Sons Ltd</t>
        </is>
      </c>
      <c r="T276" s="4" t="inlineStr">
        <is>
          <t>https://doi.org/10.1155/ACIS/6410913</t>
        </is>
      </c>
      <c r="U276" s="4" t="n"/>
      <c r="V276" s="4" t="inlineStr">
        <is>
          <t>Autism spectrum disorder (ASD) is a neurodevelopmental illness that impairs children’s cognitive, linguistic, and social abilities. While a cure for ASD remains elusive, determining its crucial risk factors and corresponding preventive measures can aid in lessening its incidence and severity. Therefore, the objective of this study is to determine the most significant sociodemographic risk factors associated with ASD among Bangladeshi children and adolescents. In particular, it evaluates the effectiveness of various machine learning classifiers and explores feature selection techniques to identify the most dominant predictors of ASD. To accomplish this, two feature selection strategies—chi-square and F-classify—were applied to extract the most significant features, followed by training eight different machine learning algorithms on full and reduced datasets. Rigorous evaluation using eight distinct metrics revealed that the tree-based algorithm, especially the decision tree, when trained on the F-classify feature subset, exhibited superior performance, achieving the highest accuracy and precision of 99.4%. The most influential features associated with ASD included maternal age, stress during pregnancy, parental illness, family history of ASD, birth asphyxia, and consanguinity.</t>
        </is>
      </c>
      <c r="W276" s="4" t="inlineStr">
        <is>
          <t>title_abstract_plus_targeted_primary_source_verification</t>
        </is>
      </c>
      <c r="X276" s="4" t="inlineStr">
        <is>
          <t>doi:10.1155/acis/6410913</t>
        </is>
      </c>
      <c r="Y276" s="4" t="n"/>
      <c r="Z276" s="4" t="n"/>
      <c r="AA276" s="4" t="n"/>
      <c r="AB276" s="40" t="n"/>
    </row>
    <row r="277" ht="409" customHeight="1">
      <c r="A277" s="4" t="n">
        <v>276</v>
      </c>
      <c r="B277" s="4" t="inlineStr">
        <is>
          <t>duplicate_within_export</t>
        </is>
      </c>
      <c r="C277" s="4" t="inlineStr">
        <is>
          <t>No agregar: duplicado interno</t>
        </is>
      </c>
      <c r="D277" s="4" t="inlineStr">
        <is>
          <t>Duplicate within update</t>
        </is>
      </c>
      <c r="E277" s="4" t="inlineStr">
        <is>
          <t>No</t>
        </is>
      </c>
      <c r="F277" s="4" t="inlineStr">
        <is>
          <t>Deduplication</t>
        </is>
      </c>
      <c r="G277" s="4" t="n"/>
      <c r="H277" s="4" t="n"/>
      <c r="I277" s="4" t="n"/>
      <c r="J277" s="4" t="inlineStr">
        <is>
          <t>Mismo DOI o título que otro registro anterior de esta exportación.</t>
        </is>
      </c>
      <c r="K277" s="4" t="n">
        <v>238</v>
      </c>
      <c r="L277" s="4" t="n"/>
      <c r="M277" s="4" t="n">
        <v>2026</v>
      </c>
      <c r="N277" s="4" t="inlineStr">
        <is>
          <t>Use of Automation Technologies and Data Mining in Speech Recognition for Autism</t>
        </is>
      </c>
      <c r="O277" s="4" t="inlineStr">
        <is>
          <t>Rongjie Mao and Yuncheng Zhu</t>
        </is>
      </c>
      <c r="P277" s="4" t="inlineStr">
        <is>
          <t>10.1002/brb3.71229</t>
        </is>
      </c>
      <c r="Q277" s="4" t="inlineStr">
        <is>
          <t>Brain and Behavior</t>
        </is>
      </c>
      <c r="R277" s="4" t="inlineStr">
        <is>
          <t>article</t>
        </is>
      </c>
      <c r="S277" s="4" t="inlineStr">
        <is>
          <t>John Wiley and Sons Ltd</t>
        </is>
      </c>
      <c r="T277" s="4" t="inlineStr">
        <is>
          <t>https://doi.org/10.1002/brb3.71229</t>
        </is>
      </c>
      <c r="U277" s="4" t="n"/>
      <c r="V277" s="4" t="inlineStr">
        <is>
          <t>Introduction: Early identification of autism spectrum disorder (ASD) is critical for improving long-term outcomes, and speech offers a noninvasive source of clinically relevant biomarkers. However, manual speech analysis is time-consuming and difficult to scale. With advances in digital recording, signal processing, and artificial intelligence, researchers have increasingly deployed automated tools and data-mining methods to characterize speech and language in ASD. Methods: This structured narrative review summarizes methodological developments in speech-based ASD assessment from 1994 to 2025, spanning diverse tasks and recording settings and focusing on automated tools, data-mining methods, and their clinical translation. We first consider core automated toolchains, including LENA, Praat, HTK/FAVE, CMU Sphinx, Kaldi, AutoSALT, openSMILE/eGeMAPS, diarization systems, and foundation-model ASR systems (e.g., Whisper), as well as modern self-supervised encoders such as wav2vec 2.0 and TRILLsson. Their typical use cases, psychometric properties, and limitations are highlighted. We then chart the progression of data-mining and machine-learning approaches from early logistic regression and clustering, through regularized regression, SVMs, and tree ensembles, to CNN/LSTM sequence models and transformer-based text and speech models (e.g., BERT, LLMs). Results: Across these stages, automated indices of prosody, voice quality, linguistic content, and interactional behavior show moderate-to-high accuracy for ASD detection and meaningful associations with clinician-rated severity. Nonetheless, various problems persist: performance often degrades across languages, ages, tasks, and recording settings; evaluation and reporting remain heterogeneous; datasets are typically small and single-site; and privacy, fairness, interpretability, and computational efficiency pose persistent barriers to deployment, highlighting the need for target-context benchmarking and pre-specified evaluation/reporting. Conclusion: We outline three priority strategies to guide future work toward scalable, clinically credible ASD speech assessment and longitudinal monitoring: optimize and integrate existing toolchains, enable global yet privacy-preserving data sharing, and leverage cross-domain innovations in enhancement, label efficiency, and explainable, edge-ready AI.</t>
        </is>
      </c>
      <c r="W277" s="4" t="inlineStr">
        <is>
          <t>title_abstract_plus_targeted_primary_source_verification</t>
        </is>
      </c>
      <c r="X277" s="4" t="inlineStr">
        <is>
          <t>doi:10.1002/brb3.71229</t>
        </is>
      </c>
      <c r="Y277" s="4" t="n"/>
      <c r="Z277" s="4" t="n"/>
      <c r="AA277" s="4" t="n"/>
      <c r="AB277" s="40" t="n"/>
    </row>
    <row r="278" ht="409" customHeight="1">
      <c r="A278" s="4" t="n">
        <v>277</v>
      </c>
      <c r="B278" s="4" t="inlineStr">
        <is>
          <t>include_after_title_abstract_screen</t>
        </is>
      </c>
      <c r="C278" s="4" t="inlineStr">
        <is>
          <t>Incluir provisionalmente</t>
        </is>
      </c>
      <c r="D278" s="4" t="inlineStr">
        <is>
          <t>Provisional include</t>
        </is>
      </c>
      <c r="E278" s="4" t="inlineStr">
        <is>
          <t>Sí</t>
        </is>
      </c>
      <c r="F278" s="4" t="inlineStr">
        <is>
          <t>Title/abstract screening</t>
        </is>
      </c>
      <c r="G278" s="4" t="n"/>
      <c r="H278" s="4" t="n"/>
      <c r="I278" s="4" t="n"/>
      <c r="J278" s="4" t="inlineStr">
        <is>
          <t>Estudio primario o implementación/evaluación empírica de IA, aprendizaje automático o modelado computacional aplicado a ASD, riesgo, caracterización, apoyo o intervención.</t>
        </is>
      </c>
      <c r="K278" s="4" t="n"/>
      <c r="L278" s="4" t="n"/>
      <c r="M278" s="4" t="n">
        <v>2026</v>
      </c>
      <c r="N278" s="4" t="inlineStr">
        <is>
          <t>A comprehensive causal and machine learning framework for autism spectrum disorder risk prediction and high-risk subgroup identification from children with chronic health and genetic disorders in the United States</t>
        </is>
      </c>
      <c r="O278" s="4" t="inlineStr">
        <is>
          <t>Md Roungu Ahmmad and Harry Pantazopoulos and Sahil Hareshbhai Kothiya</t>
        </is>
      </c>
      <c r="P278" s="4" t="inlineStr">
        <is>
          <t>10.1016/j.reia.2026.202826</t>
        </is>
      </c>
      <c r="Q278" s="4" t="inlineStr">
        <is>
          <t>Research in Autism</t>
        </is>
      </c>
      <c r="R278" s="4" t="inlineStr">
        <is>
          <t>article</t>
        </is>
      </c>
      <c r="S278" s="4" t="inlineStr">
        <is>
          <t>Elsevier Ltd</t>
        </is>
      </c>
      <c r="T278" s="4" t="inlineStr">
        <is>
          <t>https://www.sciencedirect.com/science/article/pii/S3050656526000404</t>
        </is>
      </c>
      <c r="U278" s="4" t="n"/>
      <c r="V278" s="4" t="inlineStr">
        <is>
          <t>Purpose: Autism Spectrum Disorder (ASD) is a complex neurodevelopmental condition often accompanied by diverse comorbidities. This study aimed to develop and evaluate a machine learning framework to identify key predictors of ASD and characterize disease–disease relationships. Methods: We analyzed 2022–2023 National Survey of Children's Health (NSCH) data. Propensity score matching (PSM) was applied to reduce confounding and approximate a randomized controlled design. Multiple machine learning algorithms were implemented to identify important predictors and assess disease–disease interactions. Model performance was evaluated using receiver operating characteristic (ROC) curves, calibration plots, and cross-validation. Results: In matched cohorts, epilepsy showed the strongest association with ASD (20.0 % vs. 6.1 %; OR = 3.85, 95 % CI: 2.88–5.20). Down syndrome (DS) (14.5 % vs. 4.7 %; OR = 3.45, 95 % CI: 1.75–7.30) and congenital heart disease (CHD) (7.5 % vs. 5.4 %; OR = 1.42, 95 % CI: 1.14–1.77) were also significant, whereas diabetes, cystic fibrosis, and allergies demonstrated no consistent associations. Across machine learning analyses, epilepsy consistently emerged as the top predictor, with DS and CHD also ranked highly. Children with both epilepsy and CHD represented the highest-risk subgroup (&gt;32 %), while those without epilepsy but with both allergies and CHD had moderate risk (&gt;10 %). Model discrimination was good (AUC = 0.771) with satisfactory calibration. Conclusion: Epilepsy is the strongest predictor of ASD, with epilepsy - CHD comorbidity conferring the highest-risk subgroup, whereas no epilepsy but allergies and CHD represented moderate-risk groups. This framework highlights the value of advanced analytics for early identification and targeted interventions in vulnerable populations.</t>
        </is>
      </c>
      <c r="W278" s="4" t="inlineStr">
        <is>
          <t>title_abstract_plus_targeted_primary_source_verification</t>
        </is>
      </c>
      <c r="X278" s="4" t="inlineStr">
        <is>
          <t>doi:10.1016/j.reia.2026.202826</t>
        </is>
      </c>
      <c r="Y278" s="4" t="n"/>
      <c r="Z278" s="4" t="n"/>
      <c r="AA278" s="4" t="n"/>
      <c r="AB278" s="40" t="n"/>
    </row>
    <row r="279" ht="409" customHeight="1">
      <c r="A279" s="4" t="n">
        <v>278</v>
      </c>
      <c r="B279" s="4" t="inlineStr">
        <is>
          <t>duplicate_within_export</t>
        </is>
      </c>
      <c r="C279" s="4" t="inlineStr">
        <is>
          <t>No agregar: duplicado interno</t>
        </is>
      </c>
      <c r="D279" s="4" t="inlineStr">
        <is>
          <t>Duplicate within update</t>
        </is>
      </c>
      <c r="E279" s="4" t="inlineStr">
        <is>
          <t>No</t>
        </is>
      </c>
      <c r="F279" s="4" t="inlineStr">
        <is>
          <t>Deduplication</t>
        </is>
      </c>
      <c r="G279" s="4" t="n"/>
      <c r="H279" s="4" t="n"/>
      <c r="I279" s="4" t="n"/>
      <c r="J279" s="4" t="inlineStr">
        <is>
          <t>Mismo DOI o título que otro registro anterior de esta exportación.</t>
        </is>
      </c>
      <c r="K279" s="4" t="n">
        <v>191</v>
      </c>
      <c r="L279" s="4" t="n"/>
      <c r="M279" s="4" t="n">
        <v>2026</v>
      </c>
      <c r="N279" s="4" t="inlineStr">
        <is>
          <t>A functional system-informed graph neural network framework to quantify interpretable brain dysfunction in ASD</t>
        </is>
      </c>
      <c r="O279" s="4" t="inlineStr">
        <is>
          <t>Yong Jiao and Xinxu Wei and Lifang He and Yu Zhang</t>
        </is>
      </c>
      <c r="P279" s="4" t="inlineStr">
        <is>
          <t>10.1016/j.neunet.2025.108295</t>
        </is>
      </c>
      <c r="Q279" s="4" t="inlineStr">
        <is>
          <t>Neural Networks</t>
        </is>
      </c>
      <c r="R279" s="4" t="inlineStr">
        <is>
          <t>article</t>
        </is>
      </c>
      <c r="S279" s="4" t="inlineStr">
        <is>
          <t>Elsevier Ltd</t>
        </is>
      </c>
      <c r="T279" s="4" t="inlineStr">
        <is>
          <t>https://www.sciencedirect.com/science/article/pii/S0893608025011761</t>
        </is>
      </c>
      <c r="U279" s="4" t="n"/>
      <c r="V279" s="4" t="inlineStr">
        <is>
          <t>Autism Spectrum Disorder (ASD) is one of the most common neurodevelopmental disorders affecting patients from childhood to adulthood. Yet, its pathological mechanism has not been conclusively established, and its diagnosis mainly depends on subjective assessments of clinical or behavioral measures. In the human brain, connectivity is ubiquitous between brain regions that share functional properties, and groups of brain regions spontaneously assemble into large-scale systems as per their functions. In this study, we propose functional system-informed graph neural network (FS-GNN), a framework using functional magnetic resonance images (fMRI) to diagnose ASD and unveil new perceptions of ASD-related dysfunctions by fully leveraging the topological and functional information underlying the brain connectome. Specifically, we introduce a learnable positional encoding approach for brain regions of interest (ROIs) concerning their natural locations and functional interactions. The large-scale brain systems are integrated as prior knowledge into the graph representation learning to aid the model in identifying clusters of functionality. A graph readout with system-driven regularization is also developed to automatically weigh the ROIs in respect of their contribution to the classification. Experimental results on a multi-site database known as Autism Brain Imaging Data Exchange (ABIDE) validate the efficacy of FS-GNN by outperforming prevalent machine learning and GNN approaches, reaching 75.02 % accuracy, 73.22 % precision, and 71.64 % recall in ASD diagnosis. The brain dysfunctions detected by our model from both ROI and system levels achieve high agreement with previous fMRI-derived evidence of ASD biomarkers. The results demonstrate the strength of our proposed FS-GNN in discovering interpretable and trustworthy neural patterns for a more precise diagnosis of ASD.</t>
        </is>
      </c>
      <c r="W279" s="4" t="inlineStr">
        <is>
          <t>title_abstract_plus_targeted_primary_source_verification</t>
        </is>
      </c>
      <c r="X279" s="4" t="inlineStr">
        <is>
          <t>doi:10.1016/j.neunet.2025.108295</t>
        </is>
      </c>
      <c r="Y279" s="4" t="n"/>
      <c r="Z279" s="4" t="n"/>
      <c r="AA279" s="4" t="n"/>
      <c r="AB279" s="40" t="n"/>
    </row>
    <row r="280" ht="409" customHeight="1">
      <c r="A280" s="4" t="n">
        <v>279</v>
      </c>
      <c r="B280" s="4" t="inlineStr">
        <is>
          <t>include_after_title_abstract_screen</t>
        </is>
      </c>
      <c r="C280" s="4" t="inlineStr">
        <is>
          <t>Incluir provisionalmente</t>
        </is>
      </c>
      <c r="D280" s="4" t="inlineStr">
        <is>
          <t>Provisional include</t>
        </is>
      </c>
      <c r="E280" s="4" t="inlineStr">
        <is>
          <t>Sí</t>
        </is>
      </c>
      <c r="F280" s="4" t="inlineStr">
        <is>
          <t>Title/abstract screening</t>
        </is>
      </c>
      <c r="G280" s="4" t="n"/>
      <c r="H280" s="4" t="n"/>
      <c r="I280" s="4" t="n"/>
      <c r="J280" s="4" t="inlineStr">
        <is>
          <t>El DOI, la página editorial y el resumen están localizados. El registro avanza a evaluación completa; no existe evidencia de una recuperación fallida.</t>
        </is>
      </c>
      <c r="K280" s="4" t="n"/>
      <c r="L280" s="4" t="n"/>
      <c r="M280" s="4" t="n">
        <v>2026</v>
      </c>
      <c r="N280" s="4" t="inlineStr">
        <is>
          <t>Composite AI for Predictive Analysis of Autism Spectrum Disorder Using Facial Features</t>
        </is>
      </c>
      <c r="O280" s="4" t="inlineStr">
        <is>
          <t>S Usharani and A Ganesh and N Muralidharan and G Glorindal</t>
        </is>
      </c>
      <c r="P280" s="4" t="inlineStr">
        <is>
          <t>10.1002/9781394393060.CH12</t>
        </is>
      </c>
      <c r="Q280" s="4" t="inlineStr">
        <is>
          <t>Composite Artificial Intelligence: Fundamentals, Challenges and Applications</t>
        </is>
      </c>
      <c r="R280" s="4" t="inlineStr">
        <is>
          <t>incollection</t>
        </is>
      </c>
      <c r="S280" s="4" t="inlineStr">
        <is>
          <t>Wiley</t>
        </is>
      </c>
      <c r="T280" s="4" t="inlineStr">
        <is>
          <t>https://onlinelibrary.wiley.com/doi/10.1002/9781394393060.ch12</t>
        </is>
      </c>
      <c r="U280" s="4" t="inlineStr">
        <is>
          <t>Informe localizado en Wiley. El resumen menciona Xception, VGG19 y evaluación mediante exactitud, sensibilidad y especificidad; la inclusión final requiere evaluar el capítulo.</t>
        </is>
      </c>
      <c r="V280" s="4" t="inlineStr">
        <is>
          <t>This chapter presents the composite artificial intelligence (AI) techniques in the face feature analysis for the autism spectrum disorder (ASD) prediction model. This research utilizes various AI techniques like facial feature recognition and deep learning to raise the precision of diagnosis owing to the inherent difficulty of diagnosing ASD. The chapter sets forth key phases like data acquisition, preprocessing, and model construction while concentrating on the identification of relevant face traits showing their link to ASD. Such advanced models consider predictive potential, focusing on Xception and VGG19. Convolutional Neural Networks (CNNs) recognize and categorize facial features. This is done in the chapter where different performance models are assessed to find out how effective they are in discriminating ASD cases from typically developing individuals in terms of accuracy, sensitivity, and specificity. In the end, it would be comprised of Composite AI and facial recognition which would be a very promising step towards the early identification of ASD without any invasive techniques as well as more effective clinical outcomes.</t>
        </is>
      </c>
      <c r="W280" s="4" t="inlineStr">
        <is>
          <t>title_abstract_screen_plus_located_publisher_record</t>
        </is>
      </c>
      <c r="X280" s="4" t="inlineStr">
        <is>
          <t>doi:10.1002/9781394393060.ch12</t>
        </is>
      </c>
      <c r="Y280" s="4" t="n"/>
      <c r="Z280" s="4" t="n"/>
      <c r="AA280" s="4" t="n"/>
      <c r="AB280" s="40" t="n"/>
    </row>
    <row r="281" ht="409" customHeight="1">
      <c r="A281" s="4" t="n">
        <v>280</v>
      </c>
      <c r="B281" s="4" t="inlineStr">
        <is>
          <t>include_after_title_abstract_screen</t>
        </is>
      </c>
      <c r="C281" s="4" t="inlineStr">
        <is>
          <t>Incluir provisionalmente</t>
        </is>
      </c>
      <c r="D281" s="4" t="inlineStr">
        <is>
          <t>Provisional include</t>
        </is>
      </c>
      <c r="E281" s="4" t="inlineStr">
        <is>
          <t>Sí</t>
        </is>
      </c>
      <c r="F281" s="4" t="inlineStr">
        <is>
          <t>Title/abstract screening</t>
        </is>
      </c>
      <c r="G281" s="4" t="n"/>
      <c r="H281" s="4" t="n"/>
      <c r="I281" s="4" t="n"/>
      <c r="J281" s="4" t="inlineStr">
        <is>
          <t>Estudio primario o implementación/evaluación empírica de IA, aprendizaje automático o modelado computacional aplicado a ASD, riesgo, caracterización, apoyo o intervención.</t>
        </is>
      </c>
      <c r="K281" s="4" t="n"/>
      <c r="L281" s="4" t="n"/>
      <c r="M281" s="4" t="n">
        <v>2026</v>
      </c>
      <c r="N281" s="4" t="inlineStr">
        <is>
          <t>Sleep pattern consistency and autism spectrum disorder in U.S. children: Associations and identification of high-risk subgroups</t>
        </is>
      </c>
      <c r="O281" s="4" t="inlineStr">
        <is>
          <t>Md Roungu Ahmmad and Md Tareq Ferdous Khan and Sahil Hareshbhai Kothiya and Mohammed Rashid and Christina McCrae</t>
        </is>
      </c>
      <c r="P281" s="4" t="inlineStr">
        <is>
          <t>10.1016/j.ridd.2025.105201</t>
        </is>
      </c>
      <c r="Q281" s="4" t="inlineStr">
        <is>
          <t>Research in Developmental Disabilities</t>
        </is>
      </c>
      <c r="R281" s="4" t="inlineStr">
        <is>
          <t>article</t>
        </is>
      </c>
      <c r="S281" s="4" t="inlineStr">
        <is>
          <t>Elsevier Inc.</t>
        </is>
      </c>
      <c r="T281" s="4" t="inlineStr">
        <is>
          <t>https://doi.org/10.1016/j.ridd.2025.105201</t>
        </is>
      </c>
      <c r="U281" s="4" t="n"/>
      <c r="V281" s="4" t="inlineStr">
        <is>
          <t>Background Sleep behavior is closely linked to autism spectrum disorder (ASD) and may influence behavioral and neurological development. This study examined the association between sleep pattern consistency (SPC) and ASD among children aged 6–17 years. Methods This study used data from 63,866 children from the 2022–2023 National Survey of Children’s Health (NSCH). ASD status was based on parent-reported provider diagnoses. SPC was constructed from sleep duration and bedtime regularity. Associations between SPC and ASD were examined using relative risks and multivariable logistic regression. Machine learning methods predicted individualized ASD profiles and identified high-risk subgroups. Model performance was evaluated using discrimination and calibration metrics. Results The cohort showed 4.41 % ASD prevalence, mean age 11.9 years, 51.8 % male, 62.4 % healthy weight, 28.9 % poor sleep routines, 28.8 % lower income, 40.5 % co-occurring disorders, and 42.4 % with medication. Children with poor sleep routines (PSR) demonstrated a significantly higher likelihood of ASD (aOR: 1.92; 95 % CI: 1.64–2.25), whereas long sleep with regularity (LSR) was associated with a lower likelihood (aOR: 0.81; 95 % CI: 0.70–0.94). Other correlated factors included male sex (aOR: 3.83, p ' 0.001), underweight (aOR: 1.28, p ' 0.001), and overweight (aOR: 1.39, p ' 0.001). Among female children from low-income households with co-occurring conditions, PSR patterns were associated with higher predicted ASD probability (∼12 %, p = 0.002), whereas healthy sleep routine (HSR) showed substantially lower predicted probabilities. Conclusion SPC was significantly associated with ASD. These findings highlight the potential relevance of sleep health in relation to developmental outcomes and ASD screening, particularly among higher-risk subgroups.</t>
        </is>
      </c>
      <c r="W281" s="4" t="inlineStr">
        <is>
          <t>title_abstract_plus_targeted_primary_source_verification</t>
        </is>
      </c>
      <c r="X281" s="4" t="inlineStr">
        <is>
          <t>doi:10.1016/j.ridd.2025.105201</t>
        </is>
      </c>
      <c r="Y281" s="4" t="n"/>
      <c r="Z281" s="4" t="n"/>
      <c r="AA281" s="4" t="n"/>
      <c r="AB281" s="40" t="n"/>
    </row>
    <row r="282" ht="409" customHeight="1">
      <c r="A282" s="4" t="n">
        <v>281</v>
      </c>
      <c r="B282" s="4" t="inlineStr">
        <is>
          <t>exclude_secondary_or_nonempirical_publication</t>
        </is>
      </c>
      <c r="C282" s="4" t="inlineStr">
        <is>
          <t>Excluir: publicación secundaria/no empírica</t>
        </is>
      </c>
      <c r="D282" s="4" t="inlineStr">
        <is>
          <t>Excluded</t>
        </is>
      </c>
      <c r="E282" s="4" t="inlineStr">
        <is>
          <t>No</t>
        </is>
      </c>
      <c r="F282" s="4" t="inlineStr">
        <is>
          <t>Title/abstract screening</t>
        </is>
      </c>
      <c r="G282" s="4" t="n"/>
      <c r="H282" s="4" t="n"/>
      <c r="I282" s="4" t="n"/>
      <c r="J282" s="4" t="inlineStr">
        <is>
          <t>Revisión, metaanálisis, encuesta de literatura, protocolo, perspectiva, carta, editorial o capítulo de síntesis sin estudio primario elegible.</t>
        </is>
      </c>
      <c r="K282" s="4" t="n"/>
      <c r="L282" s="4" t="n"/>
      <c r="M282" s="4" t="n">
        <v>2026</v>
      </c>
      <c r="N282" s="4" t="inlineStr">
        <is>
          <t>Artificial Intelligence Methods in Early Detection of Autism Spectrum Disorder: A DSM-5 Criterion-Based Systematic Review</t>
        </is>
      </c>
      <c r="O282" s="4" t="inlineStr">
        <is>
          <t>Mohamed Ali Zoromba and Heba Emad El-Gazar</t>
        </is>
      </c>
      <c r="P282" s="4" t="inlineStr">
        <is>
          <t>10.1002/AUR.70279</t>
        </is>
      </c>
      <c r="Q282" s="4" t="inlineStr">
        <is>
          <t>Autism Research</t>
        </is>
      </c>
      <c r="R282" s="4" t="inlineStr">
        <is>
          <t>article</t>
        </is>
      </c>
      <c r="S282" s="4" t="inlineStr">
        <is>
          <t>John Wiley and Sons Inc</t>
        </is>
      </c>
      <c r="T282" s="4" t="inlineStr">
        <is>
          <t>https://doi.org/10.1002/AUR.70279</t>
        </is>
      </c>
      <c r="U282" s="4" t="n"/>
      <c r="V282" s="4" t="inlineStr">
        <is>
          <t>Can Artificial Intelligence (AI) revolutionize early detection of Autism Spectrum Disorder (ASD) by offering a more objective alternative to the subjective behavioral assessments? This systematic review evaluates AI-based methods for early ASD detection in children, assessing the distribution, performance, and DSM-5 alignment of AI techniques, and the methodological quality of existing studies. Following PRISMA guidelines, seven databases (PubMed, Web of Science, Scopus, IEEE Xplore, PsycNET, CINAHL, and Cochrane Library) were searched from January 2015 to March 2025; no backward or forward citation tracking was conducted. Studies were included if they focused on pediatric populations (ages 0–18) with clinically diagnosed ASD, employed AI detection/classification methods, utilized observable behavioral data, and reported diagnostic performance metrics. Studies using exclusively neurobiological data, adult populations, non-English publications, or lacking clear diagnostic reference standards were excluded. Two reviewers independently screened 1018 records; 43 met inclusion criteria. Methodological quality was assessed using QUADAS-2, adapted for machine learning considerations. Classical Machine Learning (34%), Deep Learning (34%), and Hybrid approaches (32%) were equally prevalent. Convolutional Neural Networks and Support Vector Machines dominated for unstructured and structured data, respectively. Most studies (74%) targeted both DSM-5 Criteria A and B; 23% focused solely on Criterion A. Direct DSM-5 alignment correlated with higher accuracy (median ~95%); overall accuracy ranged from 68.18% to 100%. Methodological concerns included 57% unclear patient selection and 43% unclear index test risk. AI demonstrates transformative potential for early ASD detection, particularly for social communication deficits. Gaps in Criterion B coverage, geographic skew toward high-income settings, and methodological inconsistencies limit clinical applicability. Future work should prioritize standardized protocols, multimodal integration, and diverse external validation. Trial Registration: PROSPERO registration ID: CRD420250656126.</t>
        </is>
      </c>
      <c r="W282" s="4" t="inlineStr">
        <is>
          <t>title_abstract_plus_targeted_primary_source_verification</t>
        </is>
      </c>
      <c r="X282" s="4" t="inlineStr">
        <is>
          <t>doi:10.1002/aur.70279</t>
        </is>
      </c>
      <c r="Y282" s="4" t="n"/>
      <c r="Z282" s="4" t="n"/>
      <c r="AA282" s="4" t="n"/>
      <c r="AB282" s="40" t="n"/>
    </row>
    <row r="283" ht="409" customHeight="1">
      <c r="A283" s="4" t="n">
        <v>282</v>
      </c>
      <c r="B283" s="4" t="inlineStr">
        <is>
          <t>duplicate_within_export</t>
        </is>
      </c>
      <c r="C283" s="4" t="inlineStr">
        <is>
          <t>No agregar: duplicado interno</t>
        </is>
      </c>
      <c r="D283" s="4" t="inlineStr">
        <is>
          <t>Duplicate within update</t>
        </is>
      </c>
      <c r="E283" s="4" t="inlineStr">
        <is>
          <t>No</t>
        </is>
      </c>
      <c r="F283" s="4" t="inlineStr">
        <is>
          <t>Deduplication</t>
        </is>
      </c>
      <c r="G283" s="4" t="n"/>
      <c r="H283" s="4" t="n"/>
      <c r="I283" s="4" t="n"/>
      <c r="J283" s="4" t="inlineStr">
        <is>
          <t>Mismo DOI o título que otro registro anterior de esta exportación.</t>
        </is>
      </c>
      <c r="K283" s="4" t="n">
        <v>269</v>
      </c>
      <c r="L283" s="4" t="n"/>
      <c r="M283" s="4" t="n">
        <v>2026</v>
      </c>
      <c r="N283" s="4" t="inlineStr">
        <is>
          <t>Predicting fine motor deficit in autism by measuring brain activities and characterizing motor impairments</t>
        </is>
      </c>
      <c r="O283" s="4" t="inlineStr">
        <is>
          <t>Zaibunnisa L H Malik and Pooja Raundale</t>
        </is>
      </c>
      <c r="P283" s="4" t="inlineStr">
        <is>
          <t>10.1016/j.compbiomed.2026.111470</t>
        </is>
      </c>
      <c r="Q283" s="4" t="inlineStr">
        <is>
          <t>Computers in Biology and Medicine</t>
        </is>
      </c>
      <c r="R283" s="4" t="inlineStr">
        <is>
          <t>article</t>
        </is>
      </c>
      <c r="S283" s="4" t="inlineStr">
        <is>
          <t>Elsevier Ltd</t>
        </is>
      </c>
      <c r="T283" s="4" t="inlineStr">
        <is>
          <t>https://doi.org/10.1016/j.compbiomed.2026.111470</t>
        </is>
      </c>
      <c r="U283" s="4" t="n"/>
      <c r="V283" s="4" t="inlineStr">
        <is>
          <t>Motor impairments affect approximately 86.9% of children with Autism Spectrum Disorder (ASD), often persisting into adolescence and increasing the risk of Developmental Coordination Disorder (DCD). Despite their prevalence, only 31.6% of affected individuals receive physical therapy, underscoring a critical gap in early intervention. Traditional methods for diagnosing Fine Motor Deficits (FMD) are often time-consuming and costly, necessitating the adoption of data-driven approaches. This study introduces a machine learning framework for the rapid and reliable prediction of fine motor impairments in adolescents with ASD. By integrating EEG-based neurophysiological signals, behavioral assessments, and motor coordination tests, the study evaluates five classification models—Logistic Regression, Support Vector Machine, K-Nearest Neighbors, Random Forest, and Neural Network. Among these, Logistic Regression achieved the highest accuracy (95.84%), demonstrating strong predictive power for identifying fine motor deficits. The proposed framework enhances the efficiency of FMD screening and provides an interpretable model for potential clinical use in early ASD diagnosis.</t>
        </is>
      </c>
      <c r="W283" s="4" t="inlineStr">
        <is>
          <t>title_abstract_plus_targeted_primary_source_verification</t>
        </is>
      </c>
      <c r="X283" s="4" t="inlineStr">
        <is>
          <t>doi:10.1016/j.compbiomed.2026.111470</t>
        </is>
      </c>
      <c r="Y283" s="4" t="n"/>
      <c r="Z283" s="4" t="n"/>
      <c r="AA283" s="4" t="n"/>
      <c r="AB283" s="40" t="n"/>
    </row>
    <row r="284" ht="409" customHeight="1">
      <c r="A284" s="4" t="n">
        <v>283</v>
      </c>
      <c r="B284" s="4" t="inlineStr">
        <is>
          <t>exclude_integrity_notice_or_retracted</t>
        </is>
      </c>
      <c r="C284" s="4" t="inlineStr">
        <is>
          <t>Excluir por integridad/tipo de registro</t>
        </is>
      </c>
      <c r="D284" s="4" t="inlineStr">
        <is>
          <t>Excluded</t>
        </is>
      </c>
      <c r="E284" s="4" t="inlineStr">
        <is>
          <t>No</t>
        </is>
      </c>
      <c r="F284" s="4" t="inlineStr">
        <is>
          <t>Title/abstract screening and source verification</t>
        </is>
      </c>
      <c r="G284" s="4" t="n"/>
      <c r="H284" s="4" t="n"/>
      <c r="I284" s="4" t="inlineStr">
        <is>
          <t>Corrigendum</t>
        </is>
      </c>
      <c r="J284" s="4" t="inlineStr">
        <is>
          <t>Aviso editorial, corrección, retirada, retractación o artículo retractado; no constituye un estudio nuevo incorporable.</t>
        </is>
      </c>
      <c r="K284" s="4" t="n"/>
      <c r="L284" s="4" t="n"/>
      <c r="M284" s="4" t="n">
        <v>2026</v>
      </c>
      <c r="N284" s="4" t="inlineStr">
        <is>
          <t>Corrigendum to “Predicting autistic traits, anxiety and depression symptoms using camouflaging autistic traits questionnaire (CAT-Q-ES): A machine learning study” [Research in Autism 128 (2025) 202712] (Research in Autism (2025) 128, (S3050656525001841),…</t>
        </is>
      </c>
      <c r="O284" s="4" t="inlineStr">
        <is>
          <t>Sabela Conde-Pumpido-Zubizarreta and María Tubío-Fungueiriño and Marta Pozo-Rodríguez and Angel Carracedo and Eva Cernadas and Manuel Fernández-Delgado and Montse Fernández-Prieto</t>
        </is>
      </c>
      <c r="P284" s="4" t="inlineStr">
        <is>
          <t>10.1016/j.reia.2026.202910</t>
        </is>
      </c>
      <c r="Q284" s="4" t="inlineStr">
        <is>
          <t>Research in Autism</t>
        </is>
      </c>
      <c r="R284" s="4" t="inlineStr">
        <is>
          <t>article</t>
        </is>
      </c>
      <c r="S284" s="4" t="inlineStr">
        <is>
          <t>Elsevier Ltd</t>
        </is>
      </c>
      <c r="T284" s="4" t="inlineStr">
        <is>
          <t>https://www.sciencedirect.com/science/article/pii/S3050656526001240</t>
        </is>
      </c>
      <c r="U284" s="4" t="n"/>
      <c r="V284" s="4" t="inlineStr">
        <is>
          <t>The authors found a scale error in two figures of this paper. Specifically, in Figs. 2 and 3, located in pages 8 and 9, respectively, the plots on the right side have shifted horizontal ticks. For example, in Fig. 2, panel A, the right plot reports on its title a P5 value of 36.3%, while in the plot the blue line for a tolerance of 5% is higher (about 52%). The number in the title (value of P5) of the plot is indeed right, but the plot is not the right one, there is a mismatch between the P5 value and the plot. The same happens for the right panels of Figs. 2 and 3, affecting a total of 5 plots. The new figures are for Fig. 2 in the paper are included in the following page.[Figure presented] The new figures for Fig. 3 of the paper are included in the next page:[Figure presented]</t>
        </is>
      </c>
      <c r="W284" s="4" t="inlineStr">
        <is>
          <t>title_abstract_plus_targeted_primary_source_verification</t>
        </is>
      </c>
      <c r="X284" s="4" t="inlineStr">
        <is>
          <t>doi:10.1016/j.reia.2026.202910</t>
        </is>
      </c>
      <c r="Y284" s="4" t="n"/>
      <c r="Z284" s="4" t="n"/>
      <c r="AA284" s="4" t="n"/>
      <c r="AB284" s="40" t="n"/>
    </row>
    <row r="285" ht="409" customHeight="1">
      <c r="A285" s="4" t="n">
        <v>284</v>
      </c>
      <c r="B285" s="4" t="inlineStr">
        <is>
          <t>duplicate_within_export</t>
        </is>
      </c>
      <c r="C285" s="4" t="inlineStr">
        <is>
          <t>No agregar: duplicado interno</t>
        </is>
      </c>
      <c r="D285" s="4" t="inlineStr">
        <is>
          <t>Duplicate within update</t>
        </is>
      </c>
      <c r="E285" s="4" t="inlineStr">
        <is>
          <t>No</t>
        </is>
      </c>
      <c r="F285" s="4" t="inlineStr">
        <is>
          <t>Deduplication</t>
        </is>
      </c>
      <c r="G285" s="4" t="n"/>
      <c r="H285" s="4" t="n"/>
      <c r="I285" s="4" t="n"/>
      <c r="J285" s="4" t="inlineStr">
        <is>
          <t>Mismo DOI o título que otro registro anterior de esta exportación.</t>
        </is>
      </c>
      <c r="K285" s="4" t="n">
        <v>188</v>
      </c>
      <c r="L285" s="4" t="n"/>
      <c r="M285" s="4" t="n">
        <v>2026</v>
      </c>
      <c r="N285" s="4" t="inlineStr">
        <is>
          <t>Baseline symptom severity and response to multisession cathodal transcranial direct current stimulation in adolescents and young adults with autism: an exploratory analysis</t>
        </is>
      </c>
      <c r="O285" s="4" t="inlineStr">
        <is>
          <t>Melody M Y Chan and Ka Lai Wong and Caroline K S Shea and Divya Saxena and Mei chun Cheung and Agnes S Chan and Yvonne M Y Han</t>
        </is>
      </c>
      <c r="P285" s="4" t="inlineStr">
        <is>
          <t>10.1016/j.jpsychires.2026.03.043</t>
        </is>
      </c>
      <c r="Q285" s="4" t="inlineStr">
        <is>
          <t>Journal of Psychiatric Research</t>
        </is>
      </c>
      <c r="R285" s="4" t="inlineStr">
        <is>
          <t>article</t>
        </is>
      </c>
      <c r="S285" s="4" t="inlineStr">
        <is>
          <t>Elsevier Ltd</t>
        </is>
      </c>
      <c r="T285" s="4" t="inlineStr">
        <is>
          <t>https://www.sciencedirect.com/science/article/pii/S0022395626001998</t>
        </is>
      </c>
      <c r="U285" s="4" t="n"/>
      <c r="V285" s="4" t="inlineStr">
        <is>
          <t>AbstractBackgroundIdentifying baseline clinical characteristics associated with treatment response is crucial for optimising intervention strategies in people with autism spectrum disorder (ASD). This study aimed to distinguish responders from non-responders to a multisession prefrontal transcranial direct current stimulation (tDCS) protocol and to explore how baseline individual characteristics relate to treatment outcomes.MethodsUsing complementary inferential statistics and predictive modelling approaches, we analysed baseline clinical characteristics of adolescents and young adults with ASD who underwent cathodal tDCS (1.5 mA) over the left dorsolateral prefrontal cortex, coupled with cognitive remediation training. Baseline symptom severity was assessed using the Autism Diagnostic Interview-Revised (ADI-R). Normalised feature importance and Shapley additive explanations (SHAP) were used to identify features associated with restricted and repetitive behaviour (RRB) reduction, and a model-derived classification threshold was estimated to stratify potential responders and non-responders within this protocol.ResultsInferential statistics revealed that responders had significantly lower social interaction symptom severity than non-responders (p &lt; .001; Cohen's d = 0.41). Predictive modelling further indicated that lower baseline verbal communication severity was associated with greater RRB reduction (averaged SHAP value across models = −0.017). A model-derived classification threshold of 19.6 on the ADI-R verbal communication sub-score was identified to differentiate responders and non-responders within this protocol.ConclusionLower baseline verbal communication severity is associated with greater behavioural improvement following this multisession prefrontal tDCS protocol. These findings should be interpreted as exploratory and hypothesis-generating. Replication in larger, independent cohorts is required to assess the robustness and generalisability of these findings.Trial registrationClinicalTrials.gov (ID: NCT05035511).</t>
        </is>
      </c>
      <c r="W285" s="4" t="inlineStr">
        <is>
          <t>title_abstract_plus_targeted_primary_source_verification</t>
        </is>
      </c>
      <c r="X285" s="4" t="inlineStr">
        <is>
          <t>doi:10.1016/j.jpsychires.2026.03.043</t>
        </is>
      </c>
      <c r="Y285" s="4" t="n"/>
      <c r="Z285" s="4" t="n"/>
      <c r="AA285" s="4" t="n"/>
      <c r="AB285" s="40" t="n"/>
    </row>
    <row r="286" ht="409" customHeight="1">
      <c r="A286" s="4" t="n">
        <v>285</v>
      </c>
      <c r="B286" s="4" t="inlineStr">
        <is>
          <t>exclude_secondary_or_nonempirical_publication</t>
        </is>
      </c>
      <c r="C286" s="4" t="inlineStr">
        <is>
          <t>Excluir: publicación secundaria/no empírica</t>
        </is>
      </c>
      <c r="D286" s="4" t="inlineStr">
        <is>
          <t>Excluded</t>
        </is>
      </c>
      <c r="E286" s="4" t="inlineStr">
        <is>
          <t>No</t>
        </is>
      </c>
      <c r="F286" s="4" t="inlineStr">
        <is>
          <t>Title/abstract screening</t>
        </is>
      </c>
      <c r="G286" s="4" t="n"/>
      <c r="H286" s="4" t="n"/>
      <c r="I286" s="4" t="n"/>
      <c r="J286" s="4" t="inlineStr">
        <is>
          <t>Revisión, metaanálisis, encuesta de literatura, protocolo, perspectiva, carta, editorial o capítulo de síntesis sin estudio primario elegible.</t>
        </is>
      </c>
      <c r="K286" s="4" t="n"/>
      <c r="L286" s="4" t="n"/>
      <c r="M286" s="4" t="n">
        <v>2025</v>
      </c>
      <c r="N286" s="4" t="inlineStr">
        <is>
          <t>Artificial Intelligence in Autism Spectrum Disorder Diagnosis: A Scoping Review of Face, Voice, and Text Analysis Methods</t>
        </is>
      </c>
      <c r="O286" s="4" t="inlineStr">
        <is>
          <t>Fatemeh Mohammadi and Hassan Shahrokhi and Afsoon Asadzadeh and Saeed Pirmoradi and Ali Moghtader and Peyman Rezaei-Hachesu</t>
        </is>
      </c>
      <c r="P286" s="4" t="inlineStr">
        <is>
          <t>10.1002/HSR2.71476</t>
        </is>
      </c>
      <c r="Q286" s="4" t="inlineStr">
        <is>
          <t>Health Science Reports</t>
        </is>
      </c>
      <c r="R286" s="4" t="inlineStr">
        <is>
          <t>article</t>
        </is>
      </c>
      <c r="S286" s="4" t="inlineStr">
        <is>
          <t>John Wiley and Sons Inc</t>
        </is>
      </c>
      <c r="T286" s="4" t="inlineStr">
        <is>
          <t>https://doi.org/10.1002/HSR2.71476</t>
        </is>
      </c>
      <c r="U286" s="4" t="n"/>
      <c r="V286" s="4" t="inlineStr">
        <is>
          <t>Background: Autism is a complex neurodevelopmental condition affecting social interaction and behavior. Traditional diagnostic methods, relying on observational techniques and interviews conducted by trained professionals, remain the gold standard for ASD diagnosis. However, these methods can be time-consuming and may be influenced by subjective factors. Recent advancements in artificial intelligence (AI) offer promising approaches to augment existing methods, potentially enhancing efficiency and providing additional objective data through facial, vocal, and textual analysis. Objective: The objective of this study was to conduct a comprehensive review of artificial intelligence applications in autism spectrum disorder (ASD) diagnosis, specifically focusing on facial, vocal, and textual analysis methods. Methods: A comprehensive search was conducted in PubMed, Web of Science, Scopus, and Google Scholar. The findings were reported in accordance with the PRISMA checklist. Data were collated and summarized, and results were reported qualitatively, adopting a narrative synthesis approach. Results: In facial image analysis, deep learning algorithms demonstrated high accuracy in identifying autism-related facial features, algorithms such as Xception achieved 98% accuracy, while hybrid approaches like the combination of Random Forest (RF) and VGG16-MobileNet showed accuracy at 99%. Voice analysis studies utilized both traditional machine learning methods and advanced deep learning techniques, achieving accuracies between 70% and 98% in detecting atypical speech patterns and prosodic abnormalities associated with autism. Text-based analyses showed potential in identifying linguistic markers of autism through natural language processing techniques. Overall, Deep learning approaches were mainly employed in facial image analysis for autism diagnosis. In contrast, voice and text recognition studies utilized machine learning algorithms. Conclusions: This review demonstrates artificial intelligence's significant role in diagnosing autism spectrum disorder (ASD). These AI-driven approaches can complement traditional diagnostic methods, potentially leading to earlier interventions and improved outcomes for individuals with ASD.</t>
        </is>
      </c>
      <c r="W286" s="4" t="inlineStr">
        <is>
          <t>title_abstract_plus_targeted_primary_source_verification</t>
        </is>
      </c>
      <c r="X286" s="4" t="inlineStr">
        <is>
          <t>doi:10.1002/hsr2.71476</t>
        </is>
      </c>
      <c r="Y286" s="4" t="n"/>
      <c r="Z286" s="4" t="n"/>
      <c r="AA286" s="4" t="n"/>
      <c r="AB286" s="40" t="n"/>
    </row>
    <row r="287" ht="409" customHeight="1">
      <c r="A287" s="4" t="n">
        <v>286</v>
      </c>
      <c r="B287" s="4" t="inlineStr">
        <is>
          <t>include_after_title_abstract_screen</t>
        </is>
      </c>
      <c r="C287" s="4" t="inlineStr">
        <is>
          <t>Incluir provisionalmente</t>
        </is>
      </c>
      <c r="D287" s="4" t="inlineStr">
        <is>
          <t>Provisional include</t>
        </is>
      </c>
      <c r="E287" s="4" t="inlineStr">
        <is>
          <t>Sí</t>
        </is>
      </c>
      <c r="F287" s="4" t="inlineStr">
        <is>
          <t>Title/abstract screening</t>
        </is>
      </c>
      <c r="G287" s="4" t="n"/>
      <c r="H287" s="4" t="n"/>
      <c r="I287" s="4" t="n"/>
      <c r="J287" s="4" t="inlineStr">
        <is>
          <t>Estudio primario o implementación/evaluación empírica de IA, aprendizaje automático o modelado computacional aplicado a ASD, riesgo, caracterización, apoyo o intervención.</t>
        </is>
      </c>
      <c r="K287" s="4" t="n"/>
      <c r="L287" s="4" t="n"/>
      <c r="M287" s="4" t="n">
        <v>2026</v>
      </c>
      <c r="N287" s="4" t="inlineStr">
        <is>
          <t>Identification of Potential Biomarkers in ASD Integrating RNA Seq Data and Machine Learning Approaches</t>
        </is>
      </c>
      <c r="O287" s="4" t="inlineStr">
        <is>
          <t>Km Jaya Devi and Pragya Pragya and Jac Fredo Agastinose Ronickom</t>
        </is>
      </c>
      <c r="P287" s="4" t="inlineStr">
        <is>
          <t>10.3233/SHTI260609</t>
        </is>
      </c>
      <c r="Q287" s="4" t="inlineStr">
        <is>
          <t>Studies in Health Technology and Informatics</t>
        </is>
      </c>
      <c r="R287" s="4" t="inlineStr">
        <is>
          <t>article</t>
        </is>
      </c>
      <c r="S287" s="4" t="inlineStr">
        <is>
          <t>IOS Press BV</t>
        </is>
      </c>
      <c r="T287" s="4" t="inlineStr">
        <is>
          <t>https://doi.org/10.3233/SHTI260609</t>
        </is>
      </c>
      <c r="U287" s="4" t="n"/>
      <c r="V287" s="4" t="inlineStr">
        <is>
          <t>Autism spectrum disorder (ASD) is a neurodevelopmental disorder, caused by various epigenetic and genetic factors. This has resulted in an unclear understanding of etiology and biomarkers associated with ASD. In this study, we used RNA Seq datasets integrating with machine learning models to identify the differentially expressed genes (DEGs) between ASD and typical development (TD). The RNA Seq data of 20 ASD and 19 TD were obtained from the NCBI GEO database. We used standard R programming pipeline to pre-process the data. Further, random forest (RF) and eXtreme gradient boosting (XGBoost) models were employed to identify potential genes discriminate between ASD and TD. The model’s performance was assessed using evaluation metrics and the 5-fold-cross validation. The proposed XGBoost models achieved a 5-fold cross validation accuracy, sensitivity, specificity, precision and F1-Score of 67.14%, 67.5%, 67.5%, 67.84%, 75.56% respectively. Further, TCTA gene was common in the top 10 gene signatures identified from RF and XGBoost. These results may aid in developing potential and prognostic biomarkers for effective ASD screening.</t>
        </is>
      </c>
      <c r="W287" s="4" t="inlineStr">
        <is>
          <t>title_abstract_plus_targeted_primary_source_verification</t>
        </is>
      </c>
      <c r="X287" s="4" t="inlineStr">
        <is>
          <t>doi:10.3233/shti260609</t>
        </is>
      </c>
      <c r="Y287" s="4" t="n"/>
      <c r="Z287" s="4" t="n"/>
      <c r="AA287" s="4" t="n"/>
      <c r="AB287" s="40" t="n"/>
    </row>
    <row r="288" ht="409" customHeight="1">
      <c r="A288" s="4" t="n">
        <v>287</v>
      </c>
      <c r="B288" s="4" t="inlineStr">
        <is>
          <t>include_after_title_abstract_screen</t>
        </is>
      </c>
      <c r="C288" s="4" t="inlineStr">
        <is>
          <t>Incluir provisionalmente</t>
        </is>
      </c>
      <c r="D288" s="4" t="inlineStr">
        <is>
          <t>Provisional include</t>
        </is>
      </c>
      <c r="E288" s="4" t="inlineStr">
        <is>
          <t>Sí</t>
        </is>
      </c>
      <c r="F288" s="4" t="inlineStr">
        <is>
          <t>Title/abstract screening</t>
        </is>
      </c>
      <c r="G288" s="4" t="n"/>
      <c r="H288" s="4" t="n"/>
      <c r="I288" s="4" t="n"/>
      <c r="J288" s="4" t="inlineStr">
        <is>
          <t>Estudio primario o implementación/evaluación empírica de IA, aprendizaje automático o modelado computacional aplicado a ASD, riesgo, caracterización, apoyo o intervención.</t>
        </is>
      </c>
      <c r="K288" s="4" t="n"/>
      <c r="L288" s="4" t="n"/>
      <c r="M288" s="4" t="n">
        <v>2026</v>
      </c>
      <c r="N288" s="4" t="inlineStr">
        <is>
          <t>REM Sleep Abnormalities in Children With Autism Spectrum Disorder</t>
        </is>
      </c>
      <c r="O288" s="4" t="inlineStr">
        <is>
          <t>Jiasen Ma and Junjun Qin and Hongfang Jiang and Yueping Che and Haifeng Li and Daqing Ma and Jinpiao Zhu</t>
        </is>
      </c>
      <c r="P288" s="4" t="inlineStr">
        <is>
          <t>10.1002/AUR.70222</t>
        </is>
      </c>
      <c r="Q288" s="4" t="inlineStr">
        <is>
          <t>Autism Research</t>
        </is>
      </c>
      <c r="R288" s="4" t="inlineStr">
        <is>
          <t>article</t>
        </is>
      </c>
      <c r="S288" s="4" t="inlineStr">
        <is>
          <t>John Wiley and Sons Inc</t>
        </is>
      </c>
      <c r="T288" s="4" t="inlineStr">
        <is>
          <t>https://doi.org/10.1002/AUR.70222</t>
        </is>
      </c>
      <c r="U288" s="4" t="n"/>
      <c r="V288" s="4" t="inlineStr">
        <is>
          <t>Sleep disturbances are common in children with autism spectrum disorder (ASD). However, the sleep pattern changes including rapid eye movement (REM) sleep for ASD in pediatric populations remain unknown. Using polysomnography (PSG) data from the National Children's Hospital (NCH) Sleep Databank, we identified 193 children with ASD and matched them with 193 Non-ASD controls. We found children with ASD showed reduced REM sleep proportion (17.8% ± 6.4% vs. 19.1% ± 7.0%; p = 0.049) and duration (71.5 [49.5–91.0] min vs. 81.5 [52.5–98.0] min; p = 0.036), prolonged REM latency (134.5 [94.0–181.5] min vs. 116.0 [82.0–157.0] min; p = 0.009), and increased 1st REM duration (13.0 [7.0–19.0] min vs. 10.5 [6.0–16.5] min; p = 0.024) compared with Non-ASD peers. They also showed higher 1st REM proportion (18.8 [11.0–31.3] vs. 15.7 [8.3–25.4]; p = 0.003), particularly in children aged 3–5 years and 6–8 years. Using these REM features, the XGBoost machine learning model was achieved to be the best predictive performance. SHAP analysis further showed that decreased REM sleep duration, increased 1st REM proportion or duration, and prolonged REM latency were discriminative features for children with ASD. These findings suggest that REM sleep abnormalities are common in young patients with ASD but its contribution to the disease's severity and/or development needs to be explored further.</t>
        </is>
      </c>
      <c r="W288" s="4" t="inlineStr">
        <is>
          <t>title_abstract_plus_targeted_primary_source_verification</t>
        </is>
      </c>
      <c r="X288" s="4" t="inlineStr">
        <is>
          <t>doi:10.1002/aur.70222</t>
        </is>
      </c>
      <c r="Y288" s="4" t="n"/>
      <c r="Z288" s="4" t="n"/>
      <c r="AA288" s="4" t="n"/>
      <c r="AB288" s="40" t="n"/>
    </row>
    <row r="289" ht="409" customHeight="1">
      <c r="A289" s="4" t="n">
        <v>288</v>
      </c>
      <c r="B289" s="4" t="inlineStr">
        <is>
          <t>include_after_full_text_open_access</t>
        </is>
      </c>
      <c r="C289" s="4" t="inlineStr">
        <is>
          <t>Incluir tras revisión de texto completo abierto</t>
        </is>
      </c>
      <c r="D289" s="4" t="inlineStr">
        <is>
          <t>Provisional include</t>
        </is>
      </c>
      <c r="E289" s="4" t="inlineStr">
        <is>
          <t>Sí</t>
        </is>
      </c>
      <c r="F289" s="4" t="inlineStr">
        <is>
          <t>Full-text review</t>
        </is>
      </c>
      <c r="G289" s="4" t="n"/>
      <c r="H289" s="4" t="n"/>
      <c r="I289" s="4" t="n"/>
      <c r="J289" s="4" t="inlineStr">
        <is>
          <t>Texto completo confirma estudio primario con Machine Learning aplicado a ASD (Motion-control estimation).</t>
        </is>
      </c>
      <c r="K289" s="4" t="n"/>
      <c r="L289" s="4" t="n"/>
      <c r="M289" s="4" t="n">
        <v>2026</v>
      </c>
      <c r="N289" s="4" t="inlineStr">
        <is>
          <t>Nonparametric motion control in functional connectivity studies in children with autism spectrum disorder</t>
        </is>
      </c>
      <c r="O289" s="4" t="inlineStr">
        <is>
          <t>Jialu Ran and Sarah Shultz and Benjamin B Risk and David Benkeser</t>
        </is>
      </c>
      <c r="P289" s="4" t="inlineStr">
        <is>
          <t>10.1093/biomtc/ujag099</t>
        </is>
      </c>
      <c r="Q289" s="4" t="inlineStr">
        <is>
          <t>Biometrics</t>
        </is>
      </c>
      <c r="R289" s="4" t="inlineStr">
        <is>
          <t>article</t>
        </is>
      </c>
      <c r="S289" s="4" t="inlineStr">
        <is>
          <t>Oxford University Press</t>
        </is>
      </c>
      <c r="T289" s="4" t="inlineStr">
        <is>
          <t>https://arxiv.org/pdf/2406.13111</t>
        </is>
      </c>
      <c r="U289" s="4" t="inlineStr">
        <is>
          <t>Texto completo abierto revisado; evidencia y codificación en Extraccion_RQ_nuevos.</t>
        </is>
      </c>
      <c r="V289" s="4" t="inlineStr">
        <is>
          <t>Autism spectrum disorder (ASD) is a neurodevelopmental condition associated with difficulties with social interactions, communication, and restricted or repetitive behaviors. To characterize ASD, investigators often use functional connectivity derived from resting-state functional magnetic resonance imaging of the brain. However, participants’ head motion during the scanning session can induce motion artifacts. Many studies remove participants with excessive motion and then estimate the effect of diagnosis on functional connectivity using linear regression. However, participant exclusions and linearity assumptions can cause biases. We propose an estimand that quantifies the difference in average functional connectivity in autistic and non-ASD children while standardizing motion relative to the low motion distribution in scans that pass motion quality control. We introduce a nonparametric estimator for motion control, called Motion Controlled (MoCo), that uses all participants and flexibly models the impacts of motion and other relevant features using an ensemble of machine learning methods. We establish large-sample efficiency and multiple robustness of our proposed estimator. The framework is applied to estimate the difference in functional connectivity between 132 autistic and 245 non-ASD children, of which 34 and 126 pass motion quality control, respectively. MoCo appears to dramatically reduce motion artifacts compared to a standard approach with no participant removal, while more efficiently utilizing participant data and accounting for possible selection biases compared to participant removal.</t>
        </is>
      </c>
      <c r="W289" s="4" t="inlineStr">
        <is>
          <t>open_full_text_review_2026_09_04</t>
        </is>
      </c>
      <c r="X289" s="4" t="inlineStr">
        <is>
          <t>doi:10.1093/biomtc/ujag099</t>
        </is>
      </c>
      <c r="Y289" s="4" t="n"/>
      <c r="Z289" s="4" t="n"/>
      <c r="AA289" s="4" t="n"/>
      <c r="AB289" s="40" t="n"/>
    </row>
    <row r="290" ht="409" customHeight="1">
      <c r="A290" s="4" t="n">
        <v>289</v>
      </c>
      <c r="B290" s="4" t="inlineStr">
        <is>
          <t>include_after_title_abstract_screen</t>
        </is>
      </c>
      <c r="C290" s="4" t="inlineStr">
        <is>
          <t>Incluir provisionalmente</t>
        </is>
      </c>
      <c r="D290" s="4" t="inlineStr">
        <is>
          <t>Provisional include</t>
        </is>
      </c>
      <c r="E290" s="4" t="inlineStr">
        <is>
          <t>Sí</t>
        </is>
      </c>
      <c r="F290" s="4" t="inlineStr">
        <is>
          <t>Title/abstract screening</t>
        </is>
      </c>
      <c r="G290" s="4" t="n"/>
      <c r="H290" s="4" t="n"/>
      <c r="I290" s="4" t="n"/>
      <c r="J290" s="4" t="inlineStr">
        <is>
          <t>Estudio primario o implementación/evaluación empírica de IA, aprendizaje automático o modelado computacional aplicado a ASD, riesgo, caracterización, apoyo o intervención.</t>
        </is>
      </c>
      <c r="K290" s="4" t="n"/>
      <c r="L290" s="4" t="n"/>
      <c r="M290" s="4" t="n">
        <v>2026</v>
      </c>
      <c r="N290" s="4" t="inlineStr">
        <is>
          <t>Diagnosis of autism disorder from rs-fMRI brain images through hierarchical YOLO and mechanism of attention (HYMA)</t>
        </is>
      </c>
      <c r="O290" s="4" t="inlineStr">
        <is>
          <t>Saba Gholami and Sara Motamed and Elham Askari</t>
        </is>
      </c>
      <c r="P290" s="4" t="inlineStr">
        <is>
          <t>10.1016/j.asoc.2026.114655</t>
        </is>
      </c>
      <c r="Q290" s="4" t="inlineStr">
        <is>
          <t>Applied Soft Computing</t>
        </is>
      </c>
      <c r="R290" s="4" t="inlineStr">
        <is>
          <t>article</t>
        </is>
      </c>
      <c r="S290" s="4" t="inlineStr">
        <is>
          <t>Elsevier Ltd</t>
        </is>
      </c>
      <c r="T290" s="4" t="inlineStr">
        <is>
          <t>https://www.sciencedirect.com/science/article/pii/S1568494626001031</t>
        </is>
      </c>
      <c r="U290" s="4" t="n"/>
      <c r="V290" s="4" t="inlineStr">
        <is>
          <t>Autism spectrum disorder (ASD) is a complex neurodevelopmental condition characterized by atypical communication among brain regions. Early and accurate diagnosis of ASD can significantly improve the effectiveness of behavioral interventions. In this study, we propose a novel deep learning framework called HYMA (Hierarchical YOLO with Mechanism of Attention) for classifying ASD and control subjects using resting-state functional MRI (rs-fMRI) data. The proposed model integrates the YOLO detection architecture with a Bottleneck Attention Module (BAM) to enhance spatial–temporal feature extraction, and employs both dynamic (expert combination) and static (Naïve Bayes) ensemble classifiers for final decision fusion. To address the limited-sample challenge in medical imaging, we adopted extensive data augmentation and subject-wise validation. Experimental results on the ABIDE I and II datasets demonstrate that HYMA achieves superior performance, reaching an accuracy of 99.3%, precision of 98.9%, recall of 99.1%, and F1-score of 99.0%, outperforming existing state-of-the-art methods. These results indicate that the proposed attention-enhanced YOLO ensemble framework provides a robust and generalizable approach for rs-fMRI-based ASD diagnosis.</t>
        </is>
      </c>
      <c r="W290" s="4" t="inlineStr">
        <is>
          <t>title_abstract_plus_targeted_primary_source_verification</t>
        </is>
      </c>
      <c r="X290" s="4" t="inlineStr">
        <is>
          <t>doi:10.1016/j.asoc.2026.114655</t>
        </is>
      </c>
      <c r="Y290" s="4" t="n"/>
      <c r="Z290" s="4" t="n"/>
      <c r="AA290" s="4" t="n"/>
      <c r="AB290" s="40" t="n"/>
    </row>
    <row r="291" ht="409" customHeight="1">
      <c r="A291" s="4" t="n">
        <v>290</v>
      </c>
      <c r="B291" s="4" t="inlineStr">
        <is>
          <t>exclude_animal_only_no_human_clinical_target</t>
        </is>
      </c>
      <c r="C291" s="4" t="inlineStr">
        <is>
          <t>Excluir: modelo animal sin objetivo clínico humano</t>
        </is>
      </c>
      <c r="D291" s="4" t="inlineStr">
        <is>
          <t>Excluded</t>
        </is>
      </c>
      <c r="E291" s="4" t="inlineStr">
        <is>
          <t>No</t>
        </is>
      </c>
      <c r="F291" s="4" t="inlineStr">
        <is>
          <t>Title/abstract screening</t>
        </is>
      </c>
      <c r="G291" s="4" t="n"/>
      <c r="H291" s="4" t="n"/>
      <c r="I291" s="4" t="n"/>
      <c r="J291" s="4" t="inlineStr">
        <is>
          <t>Aplicación limitada a comportamiento o biomarcadores de un modelo animal, sin datos humanos ni un objetivo funcional del proceso clínico ASD.</t>
        </is>
      </c>
      <c r="K291" s="4" t="n"/>
      <c r="L291" s="4" t="n"/>
      <c r="M291" s="4" t="n">
        <v>2026</v>
      </c>
      <c r="N291" s="4" t="inlineStr">
        <is>
          <t>The role of the kynurenine pathway in the pathophysiology of autism-like phenotype induced by maternal inflammation in male mice</t>
        </is>
      </c>
      <c r="O291" s="4" t="inlineStr">
        <is>
          <t>Danielle Santana-Coelho and Rafael dos Santos de Bessa and Rodrigo Neves Romcy-Pereira and Miguel A de la Flor and Jason C O'Connor</t>
        </is>
      </c>
      <c r="P291" s="4" t="inlineStr">
        <is>
          <t>10.1016/j.nbd.2026.107282</t>
        </is>
      </c>
      <c r="Q291" s="4" t="inlineStr">
        <is>
          <t>Neurobiology of Disease</t>
        </is>
      </c>
      <c r="R291" s="4" t="inlineStr">
        <is>
          <t>article</t>
        </is>
      </c>
      <c r="S291" s="4" t="inlineStr">
        <is>
          <t>Academic Press Inc.</t>
        </is>
      </c>
      <c r="T291" s="4" t="inlineStr">
        <is>
          <t>https://www.sciencedirect.com/science/article/pii/S0969996126000264</t>
        </is>
      </c>
      <c r="U291" s="4" t="n"/>
      <c r="V291" s="4" t="inlineStr">
        <is>
          <t>Autism spectrum disorder (ASD) is a neurodevelopmental disorder with core symptoms that may include deficits in communication, social challenges, and repetitive/stereotyped behavior. The etiology of ASD is not well defined, but both genetic and environmental risk factors have been identified. In animal models, prenatal maternal immune activation precipitates the development of a behavioral phenotype resembling ASD, but the mechanisms by which this occurs are not fully understood. Inflammation can upregulate the kynurenine pathway metabolism through the enzyme indoleamine 2,3-dioxygenase-1 (IDO). Increased levels of kynurenines during development can have deleterious consequences leading to behavioral deficits in adulthood. We sought to determine whether the kynurenine pathway plays a pathogenic role in the development of an ASD-like phenotype using a well-characterized mouse model of maternal immune activation (MIA). Multiparous IDO null (IDO−/−) or C57BL/6 J wild-type dams were administered the viral mimetic polynosinic:polycytidylic acid (Poly IC) at gestational day 12.5. A similar immune response to Poly IC occurred in the maternal plasma and placenta of both genotypes, while kynurenine metabolism was only increased in the fetal tissue of WT mice exposed to Poly IC challenge. Interestingly, N-methyl-D-aspartate (NMDA) receptor subunit expression was reduced in the fetal brains of male WT, but not IDO−/−, after MIA with Poly IC. Here, we used machine-learning as an advanced method to evaluate ultrasonic vocalizations. Offspring exposed to prenatal MIA exhibited fewer and less complex ultrasonic vocalizations along with diminished social preference; however, MIA-induced repetitive/stereotyped behaviors were only present in WT mice. Taken together, our data indicate that fetal IDO1-dependent kynurenine metabolism mediates distinct components of the MIA-induced ASD-like phenotype in male mice, which may be related to alterations in the expression of NMDAR subunits during neurodevelopment.</t>
        </is>
      </c>
      <c r="W291" s="4" t="inlineStr">
        <is>
          <t>title_abstract_plus_targeted_primary_source_verification</t>
        </is>
      </c>
      <c r="X291" s="4" t="inlineStr">
        <is>
          <t>doi:10.1016/j.nbd.2026.107282</t>
        </is>
      </c>
      <c r="Y291" s="4" t="n"/>
      <c r="Z291" s="4" t="n"/>
      <c r="AA291" s="4" t="n"/>
      <c r="AB291" s="40" t="n"/>
    </row>
    <row r="292" ht="409" customHeight="1">
      <c r="A292" s="4" t="n">
        <v>291</v>
      </c>
      <c r="B292" s="4" t="inlineStr">
        <is>
          <t>duplicate_within_export</t>
        </is>
      </c>
      <c r="C292" s="4" t="inlineStr">
        <is>
          <t>No agregar: duplicado interno</t>
        </is>
      </c>
      <c r="D292" s="4" t="inlineStr">
        <is>
          <t>Duplicate within update</t>
        </is>
      </c>
      <c r="E292" s="4" t="inlineStr">
        <is>
          <t>No</t>
        </is>
      </c>
      <c r="F292" s="4" t="inlineStr">
        <is>
          <t>Deduplication</t>
        </is>
      </c>
      <c r="G292" s="4" t="n"/>
      <c r="H292" s="4" t="n"/>
      <c r="I292" s="4" t="n"/>
      <c r="J292" s="4" t="inlineStr">
        <is>
          <t>Mismo DOI o título que otro registro anterior de esta exportación.</t>
        </is>
      </c>
      <c r="K292" s="4" t="n">
        <v>261</v>
      </c>
      <c r="L292" s="4" t="n"/>
      <c r="M292" s="4" t="n">
        <v>2025</v>
      </c>
      <c r="N292" s="4" t="inlineStr">
        <is>
          <t>Artificial Intelligence Networks Combining Histopathology and Machine Learning Can Extract Axon Pathology in Autism Spectrum Disorder</t>
        </is>
      </c>
      <c r="O292" s="4" t="inlineStr">
        <is>
          <t>Arash Yazdanbakhsh and Kim T M Dang and Kelvin Kuang and Tingru Lian and Xuefeng Liu and Songlin Xie and Basilis Zikopoulos</t>
        </is>
      </c>
      <c r="P292" s="4" t="inlineStr">
        <is>
          <t>10.1002/aur.70135</t>
        </is>
      </c>
      <c r="Q292" s="4" t="inlineStr">
        <is>
          <t>Autism Research</t>
        </is>
      </c>
      <c r="R292" s="4" t="inlineStr">
        <is>
          <t>article</t>
        </is>
      </c>
      <c r="S292" s="4" t="inlineStr">
        <is>
          <t>John Wiley and Sons Inc</t>
        </is>
      </c>
      <c r="T292" s="4" t="inlineStr">
        <is>
          <t>https://doi.org/10.1002/aur.70135</t>
        </is>
      </c>
      <c r="U292" s="4" t="n"/>
      <c r="V292" s="4" t="inlineStr">
        <is>
          <t>Axon features that underlie the structural and functional organization of cortical pathways have distinct patterns in the brains of neurotypical controls (CTR) compared to individuals with Autism Spectrum Disorder (ASD). However, detailed axon study demands labor-intensive surveys and time-consuming analysis of microscopic sections from postmortem human brain tissue, making it challenging to systematically examine large regions of the brain. To address these challenges, we developed an approach that uses machine learning to automatically classify microscopic sections from ASD and CTR brains, while also considering different white matter regions: superficial white matter (SWM), which contains a majority of axons that connect nearby cortical areas, and deep white matter (DWM), which is comprised exclusively of axons that participate in long-range pathways. The result was a deep neural network that can successfully classify the white matter below the anterior cingulate cortex (ACC) of ASD and CTR groups with 98% accuracy, while also distinguishing between DWM and SWM pathway composition with high average accuracy, up to 80%. Examination of image regions important for network classification and misclassification, through sensitivity maps, along with multidimensional scaling analysis, helped identify key pathological markers of ASD and highlighted the spectrum of ASD heterogeneity and overlaps with neurotypical characteristics. Large datasets that can be used to expand training, validation, and testing of this network have the potential to automate high-resolution microscopic analysis of postmortem brain tissue, so that it can be used to systematically study white matter across brain regions in health and disease.</t>
        </is>
      </c>
      <c r="W292" s="4" t="inlineStr">
        <is>
          <t>title_abstract_plus_targeted_primary_source_verification</t>
        </is>
      </c>
      <c r="X292" s="4" t="inlineStr">
        <is>
          <t>doi:10.1002/aur.70135</t>
        </is>
      </c>
      <c r="Y292" s="4" t="n"/>
      <c r="Z292" s="4" t="n"/>
      <c r="AA292" s="4" t="n"/>
      <c r="AB292" s="40" t="n"/>
    </row>
    <row r="293" ht="409" customHeight="1">
      <c r="A293" s="4" t="n">
        <v>292</v>
      </c>
      <c r="B293" s="4" t="inlineStr">
        <is>
          <t>exclude_secondary_or_nonempirical_publication</t>
        </is>
      </c>
      <c r="C293" s="4" t="inlineStr">
        <is>
          <t>Excluir: publicación secundaria/no empírica</t>
        </is>
      </c>
      <c r="D293" s="4" t="inlineStr">
        <is>
          <t>Excluded</t>
        </is>
      </c>
      <c r="E293" s="4" t="inlineStr">
        <is>
          <t>No</t>
        </is>
      </c>
      <c r="F293" s="4" t="inlineStr">
        <is>
          <t>Title/abstract screening</t>
        </is>
      </c>
      <c r="G293" s="4" t="n"/>
      <c r="H293" s="4" t="n"/>
      <c r="I293" s="4" t="n"/>
      <c r="J293" s="4" t="inlineStr">
        <is>
          <t>Revisión, metaanálisis, encuesta de literatura, protocolo, perspectiva, carta, editorial o capítulo de síntesis sin estudio primario elegible.</t>
        </is>
      </c>
      <c r="K293" s="4" t="n"/>
      <c r="L293" s="4" t="n"/>
      <c r="M293" s="4" t="n">
        <v>2026</v>
      </c>
      <c r="N293" s="4" t="inlineStr">
        <is>
          <t>Joint attention in autism: A narrative review of assessment techniques from behavioral observation to artificial intelligence</t>
        </is>
      </c>
      <c r="O293" s="4" t="inlineStr">
        <is>
          <t>Marwa Qaraqe and Elizabeth B Varghese and Inam Qadir and Dena Al-Thani and Chahnaz T Baroudi</t>
        </is>
      </c>
      <c r="P293" s="4" t="inlineStr">
        <is>
          <t>10.3758/s13428-026-02950-0</t>
        </is>
      </c>
      <c r="Q293" s="4" t="inlineStr">
        <is>
          <t>Behavior Research Methods</t>
        </is>
      </c>
      <c r="R293" s="4" t="inlineStr">
        <is>
          <t>article</t>
        </is>
      </c>
      <c r="S293" s="4" t="inlineStr">
        <is>
          <t>Springer</t>
        </is>
      </c>
      <c r="T293" s="4" t="inlineStr">
        <is>
          <t>https://doi.org/10.3758/s13428-026-02950-0</t>
        </is>
      </c>
      <c r="U293" s="4" t="n"/>
      <c r="V293" s="4" t="inlineStr">
        <is>
          <t>Joint attention (JA), the shared focus between two individuals on an object or event, plays a pivotal role in social communication, cognitive development, and language acquisition during early childhood. However, JA is frequently impaired in children with autism spectrum disorder (ASD), highlighting the need for precise assessment to support early diagnosis and intervention. This narrative review explores the evolution of JA assessment methods, tracing the shift from human-mediated techniques to technology-driven approaches, including artificial intelligence (AI). The study analyzes research indexed in major bibliographic databases between 2002 and 2024, categorizing findings into human-mediated and technology-assisted methods. Key aspects such as target populations, data collection processes, and validation strategies are examined. By highlighting the strengths and limitations of existing approaches, the review identifies future research directions that can advance JA assessment and inform early intervention strategies, ultimately benefiting children with ASD and their families.</t>
        </is>
      </c>
      <c r="W293" s="4" t="inlineStr">
        <is>
          <t>title_abstract_plus_targeted_primary_source_verification</t>
        </is>
      </c>
      <c r="X293" s="4" t="inlineStr">
        <is>
          <t>doi:10.3758/s13428-026-02950-0</t>
        </is>
      </c>
      <c r="Y293" s="4" t="n"/>
      <c r="Z293" s="4" t="n"/>
      <c r="AA293" s="4" t="n"/>
      <c r="AB293" s="40" t="n"/>
    </row>
    <row r="294" ht="409" customHeight="1">
      <c r="A294" s="4" t="n">
        <v>293</v>
      </c>
      <c r="B294" s="4" t="inlineStr">
        <is>
          <t>exclude_no_qualifying_ai_application</t>
        </is>
      </c>
      <c r="C294" s="4" t="inlineStr">
        <is>
          <t>Excluir: sin aplicación de IA elegible</t>
        </is>
      </c>
      <c r="D294" s="4" t="inlineStr">
        <is>
          <t>Excluded</t>
        </is>
      </c>
      <c r="E294" s="4" t="inlineStr">
        <is>
          <t>No</t>
        </is>
      </c>
      <c r="F294" s="4" t="inlineStr">
        <is>
          <t>Title/abstract screening</t>
        </is>
      </c>
      <c r="G294" s="4" t="n"/>
      <c r="H294" s="4" t="n"/>
      <c r="I294" s="4" t="n"/>
      <c r="J294" s="4" t="inlineStr">
        <is>
          <t>El trabajo no implementa ni evalúa una técnica de IA/ML como componente sustantivo del estudio de ASD.</t>
        </is>
      </c>
      <c r="K294" s="4" t="n"/>
      <c r="L294" s="4" t="n"/>
      <c r="M294" s="4" t="n">
        <v>2026</v>
      </c>
      <c r="N294" s="4" t="inlineStr">
        <is>
          <t>General trait and workplace fear of missing out (FoMO) and the neurodiverse mind: Exploring autism, ADHD, and internal representation profiles</t>
        </is>
      </c>
      <c r="O294" s="4" t="inlineStr">
        <is>
          <t>Paul McKee and Khaoula Boulhadi and Thomas Nadelhoffer</t>
        </is>
      </c>
      <c r="P294" s="4" t="inlineStr">
        <is>
          <t>10.1016/j.paid.2026.113749</t>
        </is>
      </c>
      <c r="Q294" s="4" t="inlineStr">
        <is>
          <t>Personality and Individual Differences</t>
        </is>
      </c>
      <c r="R294" s="4" t="inlineStr">
        <is>
          <t>article</t>
        </is>
      </c>
      <c r="S294" s="4" t="inlineStr">
        <is>
          <t>Elsevier Ltd</t>
        </is>
      </c>
      <c r="T294" s="4" t="inlineStr">
        <is>
          <t>https://www.sciencedirect.com/science/article/pii/S0191886926001121</t>
        </is>
      </c>
      <c r="U294" s="4" t="n"/>
      <c r="V294" s="4" t="inlineStr">
        <is>
          <t>The fear of missing out (FoMO)—the apprehension that others are having rewarding experiences in one's absence—has been linked to diminished well-being and maladaptive behaviors. While research has primarily focused on neurotypical populations, little is known about how FoMO associates with and manifests in neurodiverse cognitive profiles. The present study examined associations between general and workplace FoMO and individual differences in ADHD symptoms, autistic traits, and internal cognitive representation styles (visual imagery, internal verbalization, representational manipulation) in a U.S. sample of full-time employees ( N = 302). Across both regression and machine learning analyses, ADHD symptoms emerged as the most robust and consistent predictor of FoMO in both domains. Visual imagery significantly predicted general FoMO, whereas internal verbalization and representational manipulation showed stronger associations with workplace FoMO. Autistic traits, as measured by the AQ-10, were not significantly related to FoMO. Classification models (e.g., logistic regression, SVM) distinguished high versus low FoMO participants with moderate-to-high accuracy, with ADHD symptoms consistently ranked as the most influential feature. These findings extend the literature by highlighting domain-specific predictors of FoMO and the potential of neurodiversity-informed approaches for understanding and addressing FoMO in both social and occupational settings.</t>
        </is>
      </c>
      <c r="W294" s="4" t="inlineStr">
        <is>
          <t>title_abstract_plus_targeted_primary_source_verification</t>
        </is>
      </c>
      <c r="X294" s="4" t="inlineStr">
        <is>
          <t>doi:10.1016/j.paid.2026.113749</t>
        </is>
      </c>
      <c r="Y294" s="4" t="n"/>
      <c r="Z294" s="4" t="n"/>
      <c r="AA294" s="4" t="n"/>
      <c r="AB294" s="40" t="n"/>
    </row>
    <row r="295" ht="409" customHeight="1">
      <c r="A295" s="4" t="n">
        <v>294</v>
      </c>
      <c r="B295" s="4" t="inlineStr">
        <is>
          <t>exclude_out_of_scope_topic_or_population</t>
        </is>
      </c>
      <c r="C295" s="4" t="inlineStr">
        <is>
          <t>Excluir: tema/población fuera de alcance</t>
        </is>
      </c>
      <c r="D295" s="4" t="inlineStr">
        <is>
          <t>Excluded</t>
        </is>
      </c>
      <c r="E295" s="4" t="inlineStr">
        <is>
          <t>No</t>
        </is>
      </c>
      <c r="F295" s="4" t="inlineStr">
        <is>
          <t>Title/abstract screening</t>
        </is>
      </c>
      <c r="G295" s="4" t="n"/>
      <c r="H295" s="4" t="n"/>
      <c r="I295" s="4" t="n"/>
      <c r="J295" s="4" t="inlineStr">
        <is>
          <t>No estudia ASD en el sentido del protocolo, usa otro significado de ASD o aborda otra población/resultado sin aplicación pertinente al proceso ASD.</t>
        </is>
      </c>
      <c r="K295" s="4" t="n"/>
      <c r="L295" s="4" t="n"/>
      <c r="M295" s="4" t="n">
        <v>2026</v>
      </c>
      <c r="N295" s="4" t="inlineStr">
        <is>
          <t>Composite Artificial Intelligence: Fundamentals, Challenges and Applications</t>
        </is>
      </c>
      <c r="O295" s="4" t="inlineStr">
        <is>
          <t>T S.Arun Samuel and L Jerart Julus and P Kanimozhi and T Ananth Kumar and S Balamurugan</t>
        </is>
      </c>
      <c r="P295" s="4" t="inlineStr">
        <is>
          <t>10.1002/9781394393060</t>
        </is>
      </c>
      <c r="Q295" s="4" t="inlineStr">
        <is>
          <t>Composite Artificial Intelligence: Fundamentals, Challenges and Applications</t>
        </is>
      </c>
      <c r="R295" s="4" t="inlineStr">
        <is>
          <t>article</t>
        </is>
      </c>
      <c r="S295" s="4" t="inlineStr">
        <is>
          <t>wiley</t>
        </is>
      </c>
      <c r="T295" s="4" t="inlineStr">
        <is>
          <t>https://doi.org/10.1002/9781394393060</t>
        </is>
      </c>
      <c r="U295" s="4" t="n"/>
      <c r="V295" s="4" t="inlineStr">
        <is>
          <t>Unlock the full potential of context-aware AI while navigating critical hurdles like bias mitigation and ethical governance with this definitive resource on the future of composite artificial intelligence. In the rapidly evolving landscape of artificial intelligence, the demand for more adaptive, intelligent, and context-aware systems has led to the emergence of composite artificial intelligence: a paradigm that integrates multiple AI techniques to solve complex real-world problems with higher efficiency and intelligence. This book is a groundbreaking exploration of the next evolution in AI, where diverse methodologies like machine learning, symbolic reasoning, and cognitive computing converge to solve complex, real-world problems with unprecedented intelligence and adaptability. Unlike traditional AI approaches that rely on singular techniques, composite AI harnesses the strengths of multiple paradigms, enabling systems that are more robust, interpretable, and capable of human-like decision-making. This book provides a comprehensive roadmap for understanding and implementing these advanced systems, from foundational theories to cutting-edge applications across industries such as healthcare, finance, and smart manufacturing. It delves into critical challenges, including bias mitigation, integration hurdles, and ethical governance, while showcasing real-world case studies that demonstrate the transformative potential of composite AI. With its balanced blend of theory, technical depth, and actionable insights, this book is a definitive resource for unlocking the full potential of AI in an increasingly complex world.</t>
        </is>
      </c>
      <c r="W295" s="4" t="inlineStr">
        <is>
          <t>title_abstract_plus_targeted_primary_source_verification</t>
        </is>
      </c>
      <c r="X295" s="4" t="inlineStr">
        <is>
          <t>doi:10.1002/9781394393060</t>
        </is>
      </c>
      <c r="Y295" s="4" t="n"/>
      <c r="Z295" s="4" t="n"/>
      <c r="AA295" s="4" t="n"/>
      <c r="AB295" s="40" t="n"/>
    </row>
    <row r="296" ht="409" customHeight="1">
      <c r="A296" s="4" t="n">
        <v>295</v>
      </c>
      <c r="B296" s="4" t="inlineStr">
        <is>
          <t>include_after_title_abstract_screen</t>
        </is>
      </c>
      <c r="C296" s="4" t="inlineStr">
        <is>
          <t>Incluir provisionalmente</t>
        </is>
      </c>
      <c r="D296" s="4" t="inlineStr">
        <is>
          <t>Provisional include</t>
        </is>
      </c>
      <c r="E296" s="4" t="inlineStr">
        <is>
          <t>Sí</t>
        </is>
      </c>
      <c r="F296" s="4" t="inlineStr">
        <is>
          <t>Title/abstract screening</t>
        </is>
      </c>
      <c r="G296" s="4" t="n"/>
      <c r="H296" s="4" t="n"/>
      <c r="I296" s="4" t="n"/>
      <c r="J296" s="4" t="inlineStr">
        <is>
          <t>Estudio primario o implementación/evaluación empírica de IA, aprendizaje automático o modelado computacional aplicado a ASD, riesgo, caracterización, apoyo o intervención.</t>
        </is>
      </c>
      <c r="K296" s="4" t="n"/>
      <c r="L296" s="4" t="n"/>
      <c r="M296" s="4" t="n">
        <v>2026</v>
      </c>
      <c r="N296" s="4" t="inlineStr">
        <is>
          <t>Comparing Machine Learning Models for Pupillary Light Reflex–Based Autism Spectrum Disorder Classification</t>
        </is>
      </c>
      <c r="O296" s="4" t="inlineStr">
        <is>
          <t>Zhen Huang and Zhibo Chen and Lihong Shen and Kaili Zhou and Wenwei Huang and Qi Lin and Qinghua Li and Dongyu Li and Jianhong Zheng</t>
        </is>
      </c>
      <c r="P296" s="4" t="inlineStr">
        <is>
          <t>10.1155/ACIS/1906938</t>
        </is>
      </c>
      <c r="Q296" s="4" t="inlineStr">
        <is>
          <t>Applied Computational Intelligence and Soft Computing</t>
        </is>
      </c>
      <c r="R296" s="4" t="inlineStr">
        <is>
          <t>article</t>
        </is>
      </c>
      <c r="S296" s="4" t="inlineStr">
        <is>
          <t>John Wiley and Sons Ltd</t>
        </is>
      </c>
      <c r="T296" s="4" t="inlineStr">
        <is>
          <t>https://doi.org/10.1155/ACIS/1906938</t>
        </is>
      </c>
      <c r="U296" s="4" t="n"/>
      <c r="V296" s="4" t="inlineStr">
        <is>
          <t>Autism spectrum disorder (ASD) prevalence is rising globally, underscoring the critical need for early detection to improve intervention outcomes. Atypical pupillary light reflex (PLR) has emerged as a promising biomarker for this purpose. This study leverages machine learning to enhance the accuracy of early ASD screening in children aged 3–6. We developed and evaluated five classifiers—Naive Bayes, logistic regression, decision tree, linear discriminant analysis (LDA), and deep neural network (DNN)—using PLR data from 25 children with ASD and 50 typically developing peers. Model performance was assessed across 15 metrics, including accuracy, F1 score, ROC–AUC, and computational efficiency. The comprehensive evaluation demonstrated that the DNN outperformed all other models, achieving the highest test accuracy of 85% and excelling across multiple key metrics. These findings confirm the DNN’s superiority for automated ASD screening based on PLR, contributing significantly to the development of objective, efficient tools for early autism diagnosis.</t>
        </is>
      </c>
      <c r="W296" s="4" t="inlineStr">
        <is>
          <t>title_abstract_plus_targeted_primary_source_verification</t>
        </is>
      </c>
      <c r="X296" s="4" t="inlineStr">
        <is>
          <t>doi:10.1155/acis/1906938</t>
        </is>
      </c>
      <c r="Y296" s="4" t="n"/>
      <c r="Z296" s="4" t="n"/>
      <c r="AA296" s="4" t="n"/>
      <c r="AB296" s="40" t="n"/>
    </row>
    <row r="297" ht="409" customHeight="1">
      <c r="A297" s="4" t="n">
        <v>296</v>
      </c>
      <c r="B297" s="4" t="inlineStr">
        <is>
          <t>include_after_title_abstract_screen</t>
        </is>
      </c>
      <c r="C297" s="4" t="inlineStr">
        <is>
          <t>Incluir provisionalmente</t>
        </is>
      </c>
      <c r="D297" s="4" t="inlineStr">
        <is>
          <t>Provisional include</t>
        </is>
      </c>
      <c r="E297" s="4" t="inlineStr">
        <is>
          <t>Sí</t>
        </is>
      </c>
      <c r="F297" s="4" t="inlineStr">
        <is>
          <t>Title/abstract screening</t>
        </is>
      </c>
      <c r="G297" s="4" t="n"/>
      <c r="H297" s="4" t="n"/>
      <c r="I297" s="4" t="n"/>
      <c r="J297" s="4" t="inlineStr">
        <is>
          <t>Estudio primario o implementación/evaluación empírica de IA, aprendizaje automático o modelado computacional aplicado a ASD, riesgo, caracterización, apoyo o intervención.</t>
        </is>
      </c>
      <c r="K297" s="4" t="n"/>
      <c r="L297" s="4" t="n"/>
      <c r="M297" s="4" t="n">
        <v>2026</v>
      </c>
      <c r="N297" s="4" t="inlineStr">
        <is>
          <t>Deep learning for diagnosing autism spectrum disorder using EEG with upright and inverted face processing tasks</t>
        </is>
      </c>
      <c r="O297" s="4" t="inlineStr">
        <is>
          <t>Fatemeh Alizadehziri and Ali Khadem</t>
        </is>
      </c>
      <c r="P297" s="4" t="inlineStr">
        <is>
          <t>10.1016/j.bspc.2026.109655</t>
        </is>
      </c>
      <c r="Q297" s="4" t="inlineStr">
        <is>
          <t>Biomedical Signal Processing and Control</t>
        </is>
      </c>
      <c r="R297" s="4" t="inlineStr">
        <is>
          <t>article</t>
        </is>
      </c>
      <c r="S297" s="4" t="inlineStr">
        <is>
          <t>Elsevier Ltd</t>
        </is>
      </c>
      <c r="T297" s="4" t="inlineStr">
        <is>
          <t>https://www.sciencedirect.com/science/article/pii/S1746809426002090</t>
        </is>
      </c>
      <c r="U297" s="4" t="n"/>
      <c r="V297" s="4" t="inlineStr">
        <is>
          <t>Background: Functional neuroimaging has been used to diagnose Autism Spectrum Disorder (ASD), but no study has combined EEG with face-processing tasks. Given the social-cognitive challenges in ASD, such as difficulty with eye contact, such tasks seem to be promising. We propose a novel diagnostic method using EEG data from face-perception tasks and deep learning. Proposed method: We used raw EEG signals recorded from children (ASD and typically developing) during upright and inverted face-display tasks. The data was used without preprocessing as a time-by-channel matrix. We designed three lightweight 1D-CNN models to learn temporal patterns across channels and classify ASD. Results: Using upright face stimuli, InceptionNet and ResNet achieved accuracies of 78.65% and 76.87%, respectively, with a final diagnosis rate of 91.6% for both. With inverted stimuli, accuracies were lower at 72.35% (InceptionNet) and 70.68% (ResNet), with final diagnosis rates of 83.3%. Performance was consistently better for upright faces. Comparison with existing methods: To the best of our knowledge, this is the first EEG-based study for ASD classification using a face-perception task. Most existing methods rely on resting-state EEG, which does not probe specific social-cognitive deficits. Our task-driven approach provides a novel, more targeted framework for detecting ASD-related cognitive differences. Conclusions: The method shows promising diagnostic results. The superior performance with upright faces aligns with the eye-avoidance and face-inversion effect hypotheses, highlighting the importance of facial orientation. This work establishes a new, insightful pipeline for ASD detection using task-based EEG and deep learning.</t>
        </is>
      </c>
      <c r="W297" s="4" t="inlineStr">
        <is>
          <t>title_abstract_plus_targeted_primary_source_verification</t>
        </is>
      </c>
      <c r="X297" s="4" t="inlineStr">
        <is>
          <t>doi:10.1016/j.bspc.2026.109655</t>
        </is>
      </c>
      <c r="Y297" s="4" t="n"/>
      <c r="Z297" s="4" t="n"/>
      <c r="AA297" s="4" t="n"/>
      <c r="AB297" s="40" t="n"/>
    </row>
    <row r="298" ht="409" customHeight="1">
      <c r="A298" s="4" t="n">
        <v>297</v>
      </c>
      <c r="B298" s="4" t="inlineStr">
        <is>
          <t>duplicate_within_export</t>
        </is>
      </c>
      <c r="C298" s="4" t="inlineStr">
        <is>
          <t>No agregar: duplicado interno</t>
        </is>
      </c>
      <c r="D298" s="4" t="inlineStr">
        <is>
          <t>Duplicate within update</t>
        </is>
      </c>
      <c r="E298" s="4" t="inlineStr">
        <is>
          <t>No</t>
        </is>
      </c>
      <c r="F298" s="4" t="inlineStr">
        <is>
          <t>Deduplication</t>
        </is>
      </c>
      <c r="G298" s="4" t="n"/>
      <c r="H298" s="4" t="n"/>
      <c r="I298" s="4" t="n"/>
      <c r="J298" s="4" t="inlineStr">
        <is>
          <t>Mismo DOI o título que otro registro anterior de esta exportación.</t>
        </is>
      </c>
      <c r="K298" s="4" t="n">
        <v>197</v>
      </c>
      <c r="L298" s="4" t="n"/>
      <c r="M298" s="4" t="n">
        <v>2026</v>
      </c>
      <c r="N298" s="4" t="inlineStr">
        <is>
          <t>Deep learning for autism detection using clinical notes: A comparison of transfer learning for a transparent and black-box approach</t>
        </is>
      </c>
      <c r="O298" s="4" t="inlineStr">
        <is>
          <t>Gondy Leroy and Prakash Bisht and Sai Madhuri Kandula and Nell Maltman and Sydney Rice</t>
        </is>
      </c>
      <c r="P298" s="4" t="inlineStr">
        <is>
          <t>10.1016/j.artmed.2025.103318</t>
        </is>
      </c>
      <c r="Q298" s="4" t="inlineStr">
        <is>
          <t>Artificial Intelligence in Medicine</t>
        </is>
      </c>
      <c r="R298" s="4" t="inlineStr">
        <is>
          <t>article</t>
        </is>
      </c>
      <c r="S298" s="4" t="inlineStr">
        <is>
          <t>Elsevier B.V.</t>
        </is>
      </c>
      <c r="T298" s="4" t="inlineStr">
        <is>
          <t>https://doi.org/10.1016/j.artmed.2025.103318</t>
        </is>
      </c>
      <c r="U298" s="4" t="n"/>
      <c r="V298" s="4" t="inlineStr">
        <is>
          <t>Autism spectrum disorder (ASD) is a complex neurodevelopmental condition whose rising prevalence places increasing demands on a lengthy diagnostic process. Machine learning (ML) has shown promise in automating ASD diagnosis, but most existing models operate as black boxes and are typically trained on a single dataset, limiting their generalizability. In this study, we introduce a transparent and interpretable ML approach that leverages BioBERT, a state-of-the-art language model, to analyze unstructured clinical text. The model is trained to label descriptions of behaviors and map them to diagnostic criteria, which are then used to assign a final label (ASD or not). We evaluate transfer learning, the ability to transfer knowledge to new data, using two distinct real-world datasets. We trained on datasets sequentially and mixed together and compared the performance of the best models and their ability to transfer to new data. We also created a black-box approach and repeated this transfer process for comparison. Our transparent model demonstrated robust performance, with the mixed-data training strategy yielding the best results (97 % sensitivity, 98 % specificity). Sequential training across datasets led to a slight drop in performance, highlighting the importance of training data order. The black-box model performed worse (90 % sensitivity, 96 % specificity) when trained sequentially or with mixed data. Overall, our transparent approach outperformed the black-box approach. Mixing datasets during training resulted in slightly better performance and should be the preferred approach when practically possible. This work paves the way for more trustworthy, generalizable, and clinically actionable AI tools in neurodevelopmental diagnostics.</t>
        </is>
      </c>
      <c r="W298" s="4" t="inlineStr">
        <is>
          <t>title_abstract_plus_targeted_primary_source_verification</t>
        </is>
      </c>
      <c r="X298" s="4" t="inlineStr">
        <is>
          <t>doi:10.1016/j.artmed.2025.103318</t>
        </is>
      </c>
      <c r="Y298" s="4" t="n"/>
      <c r="Z298" s="4" t="n"/>
      <c r="AA298" s="4" t="n"/>
      <c r="AB298" s="40" t="n"/>
    </row>
    <row r="299" ht="409" customHeight="1">
      <c r="A299" s="4" t="n">
        <v>298</v>
      </c>
      <c r="B299" s="4" t="inlineStr">
        <is>
          <t>include_after_title_abstract_screen</t>
        </is>
      </c>
      <c r="C299" s="4" t="inlineStr">
        <is>
          <t>Incluir provisionalmente</t>
        </is>
      </c>
      <c r="D299" s="4" t="inlineStr">
        <is>
          <t>Provisional include</t>
        </is>
      </c>
      <c r="E299" s="4" t="inlineStr">
        <is>
          <t>Sí</t>
        </is>
      </c>
      <c r="F299" s="4" t="inlineStr">
        <is>
          <t>Title/abstract screening</t>
        </is>
      </c>
      <c r="G299" s="4" t="n"/>
      <c r="H299" s="4" t="n"/>
      <c r="I299" s="4" t="n"/>
      <c r="J299" s="4" t="inlineStr">
        <is>
          <t>Estudio primario o implementación/evaluación empírica de IA, aprendizaje automático o modelado computacional aplicado a ASD, riesgo, caracterización, apoyo o intervención.</t>
        </is>
      </c>
      <c r="K299" s="4" t="n"/>
      <c r="L299" s="4" t="n"/>
      <c r="M299" s="4" t="n">
        <v>2026</v>
      </c>
      <c r="N299" s="4" t="inlineStr">
        <is>
          <t>Effects of conversational AI-enhanced peer-mediated intervention by peers with intellectual disabilities on conversational skills in children with ASD</t>
        </is>
      </c>
      <c r="O299" s="4" t="inlineStr">
        <is>
          <t>Jinyu Fan and Jing Zeng and Huan Li</t>
        </is>
      </c>
      <c r="P299" s="4" t="inlineStr">
        <is>
          <t>10.1016/j.ridd.2026.105249</t>
        </is>
      </c>
      <c r="Q299" s="4" t="inlineStr">
        <is>
          <t>Research in Developmental Disabilities</t>
        </is>
      </c>
      <c r="R299" s="4" t="inlineStr">
        <is>
          <t>article</t>
        </is>
      </c>
      <c r="S299" s="4" t="inlineStr">
        <is>
          <t>Elsevier Inc.</t>
        </is>
      </c>
      <c r="T299" s="4" t="inlineStr">
        <is>
          <t>https://www.sciencedirect.com/science/article/pii/S0891422226000442</t>
        </is>
      </c>
      <c r="U299" s="4" t="n"/>
      <c r="V299" s="4" t="inlineStr">
        <is>
          <t>Background/aims Children with autism spectrum disorder (ASD) often experience conversational difficulties that hinder social interactions and peer relationships. This study examined whether a conversational AI-enhanced peer-mediated intervention delivered by peers with intellectual disabilities (CAI-PMI-ID) yielded superior outcomes in improving conversational skills in children with ASD compared with PMI-ID-only. Method This study employed a multiple-probe across participants design and an alternating treatments design to compare the effects of CAI-PMI-ID and PMI-ID-only. Conversational outcomes included quantitative measures (frequency of appropriate initiations and responses) and qualitative measures (mean length of utterance in morphemes, MLU-M; number of different words, NDW; and total number of words, TNW). Results CAI-PMI-ID produced greater improvements in the frequency of appropriate conversational initiations and responses than PMI-ID-only. It also yielded superior outcomes in lexical diversity and productivity, as reflected in NDW and TNW. The two intervention conditions resulted in limited and variable effects on MLU-M. CAI-PMI-ID facilitated the successful generalization of conversational skills to interact with different peers. Conclusions/implications These preliminary findings support the feasibility and added value of CAI-PMI-ID for enhancing core conversational behaviors and lexical productivity among children with ASD. Future research should integrate evidence-based syntactic supports to promote MLU-M, leverage multimodal and scenario-based AI in natural settings, strengthen AI-peer collaboration, and improve AI speech recognition to enhance intervention effects.</t>
        </is>
      </c>
      <c r="W299" s="4" t="inlineStr">
        <is>
          <t>title_abstract_plus_targeted_primary_source_verification</t>
        </is>
      </c>
      <c r="X299" s="4" t="inlineStr">
        <is>
          <t>doi:10.1016/j.ridd.2026.105249</t>
        </is>
      </c>
      <c r="Y299" s="4" t="n"/>
      <c r="Z299" s="4" t="n"/>
      <c r="AA299" s="4" t="n"/>
      <c r="AB299" s="40" t="n"/>
    </row>
    <row r="300" ht="409" customHeight="1">
      <c r="A300" s="4" t="n">
        <v>299</v>
      </c>
      <c r="B300" s="4" t="inlineStr">
        <is>
          <t>include_after_title_abstract_screen</t>
        </is>
      </c>
      <c r="C300" s="4" t="inlineStr">
        <is>
          <t>Incluir provisionalmente</t>
        </is>
      </c>
      <c r="D300" s="4" t="inlineStr">
        <is>
          <t>Provisional include</t>
        </is>
      </c>
      <c r="E300" s="4" t="inlineStr">
        <is>
          <t>Sí</t>
        </is>
      </c>
      <c r="F300" s="4" t="inlineStr">
        <is>
          <t>Title/abstract screening</t>
        </is>
      </c>
      <c r="G300" s="4" t="n"/>
      <c r="H300" s="4" t="n"/>
      <c r="I300" s="4" t="n"/>
      <c r="J300" s="4" t="inlineStr">
        <is>
          <t>Estudio primario o implementación/evaluación empírica de IA, aprendizaje automático o modelado computacional aplicado a ASD, riesgo, caracterización, apoyo o intervención.</t>
        </is>
      </c>
      <c r="K300" s="4" t="n"/>
      <c r="L300" s="4" t="n"/>
      <c r="M300" s="4" t="n">
        <v>2026</v>
      </c>
      <c r="N300" s="4" t="inlineStr">
        <is>
          <t>Decoding the Neural Basis of Sensory Phenotypes in Autism</t>
        </is>
      </c>
      <c r="O300" s="4" t="inlineStr">
        <is>
          <t>Matthew Kolisnyk and Kathleen Lyons and Eun Jung Choi and Marlee M Vandewouw and Bobby Stojanoski and Evdokia Anagnostou and Azadeh Kushki and Rob Nicolson and Elizabeth Kelley and Stelios Georgiades and Jason Lerch and Jennifer Crosbie and Russell Schachar and Muhammad Ayub and Jessica Jones and Paul Arnold and Xudong Liu and Ryan Stevenson</t>
        </is>
      </c>
      <c r="P300" s="4" t="inlineStr">
        <is>
          <t>10.1016/j.bpsc.2025.12.013</t>
        </is>
      </c>
      <c r="Q300" s="4" t="inlineStr">
        <is>
          <t>Biological Psychiatry: Cognitive Neuroscience and Neuroimaging</t>
        </is>
      </c>
      <c r="R300" s="4" t="inlineStr">
        <is>
          <t>article</t>
        </is>
      </c>
      <c r="S300" s="4" t="inlineStr">
        <is>
          <t>Elsevier Inc.</t>
        </is>
      </c>
      <c r="T300" s="4" t="inlineStr">
        <is>
          <t>https://www.sciencedirect.com/science/article/pii/S2451902226000029</t>
        </is>
      </c>
      <c r="U300" s="4" t="n"/>
      <c r="V300" s="4" t="inlineStr">
        <is>
          <t>Background: Differences in sensory processing are a defining characteristic of autism, affecting up to 87% of autistic individuals. These differences cause widespread perceptual changes that can negatively impact cognition, development, and daily functioning. Our research identified 5 sensory processing phenotypes with varied behavioral presentations; however, their neural basis remains unclear. In this study, we aim to ground these sensory phenotypes in unique patterns of functional connectivity. Methods: We analyzed data from 146 autistic participants from the POND Network (Province of Ontario Neurodevelopmental Disorders Network). We classified participants into 5 sensory phenotypes using k-means clustering of scores from the Short Sensory Profile. We computed functional connectivity matrices from functional magnetic resonance imaging data across 200 cortical and 32 subcortical regions and calculated graph-theoretical measures (betweenness centrality, strength, local efficiency, and clustering coefficient) to assess information exchange between these regions. We then trained machine learning models to use these measures to classify between all pairs of sensory phenotypes. Results: Our sample was clustered into 5 sensory phenotypes. The machine learning models distinguished 7 of the 10 total pairs of sensory phenotypes using graph-theoretical measures (p &lt; .005). Information exchange within and between the somatomotor network, orbitofrontal cortex, posterior parietal cortex, prefrontal cortex, and subcortical areas was predictive of sensory phenotype. Conclusions: Sensory phenotypes in autism correspond to differences in functional connectivity across cortical, subcortical, and network levels. These findings support the view that variability in sensory processing is reflected in measurable neural patterns and motivate continued work to refine models of sensory processing, with the goal of better understanding and capturing the heterogeneity implicit in autism.</t>
        </is>
      </c>
      <c r="W300" s="4" t="inlineStr">
        <is>
          <t>title_abstract_plus_targeted_primary_source_verification</t>
        </is>
      </c>
      <c r="X300" s="4" t="inlineStr">
        <is>
          <t>doi:10.1016/j.bpsc.2025.12.013</t>
        </is>
      </c>
      <c r="Y300" s="4" t="n"/>
      <c r="Z300" s="4" t="n"/>
      <c r="AA300" s="4" t="n"/>
      <c r="AB300" s="40" t="n"/>
    </row>
    <row r="301" ht="409" customHeight="1">
      <c r="A301" s="4" t="n">
        <v>300</v>
      </c>
      <c r="B301" s="4" t="inlineStr">
        <is>
          <t>duplicate_within_export</t>
        </is>
      </c>
      <c r="C301" s="4" t="inlineStr">
        <is>
          <t>No agregar: duplicado interno</t>
        </is>
      </c>
      <c r="D301" s="4" t="inlineStr">
        <is>
          <t>Duplicate within update</t>
        </is>
      </c>
      <c r="E301" s="4" t="inlineStr">
        <is>
          <t>No</t>
        </is>
      </c>
      <c r="F301" s="4" t="inlineStr">
        <is>
          <t>Deduplication</t>
        </is>
      </c>
      <c r="G301" s="4" t="n"/>
      <c r="H301" s="4" t="n"/>
      <c r="I301" s="4" t="n"/>
      <c r="J301" s="4" t="inlineStr">
        <is>
          <t>Mismo DOI o título que otro registro anterior de esta exportación.</t>
        </is>
      </c>
      <c r="K301" s="4" t="n">
        <v>12</v>
      </c>
      <c r="L301" s="4" t="n"/>
      <c r="M301" s="4" t="n">
        <v>2025</v>
      </c>
      <c r="N301" s="4" t="inlineStr">
        <is>
          <t>Integration of an Artificial Intelligence-Based Autism Diagnostic Device into the ECHO Autism Primary Care Workflow: Prospective Observational Study.</t>
        </is>
      </c>
      <c r="O301" s="4" t="inlineStr">
        <is>
          <t>Kristin Sohl and Erik Linstead and Kelianne Heinz and Elia Eiroa Lledo and Alicia Brewer Curran and Melissa Mahurin and Valeria Nanclares-Nogués and Carmela Salomon and Minda Seal and Sharief Taraman</t>
        </is>
      </c>
      <c r="P301" s="4" t="inlineStr">
        <is>
          <t>10.2196/80733</t>
        </is>
      </c>
      <c r="Q301" s="4" t="inlineStr">
        <is>
          <t>JMIR formative research</t>
        </is>
      </c>
      <c r="R301" s="4" t="inlineStr">
        <is>
          <t>article</t>
        </is>
      </c>
      <c r="S301" s="4" t="inlineStr">
        <is>
          <t>JMIR Publications Inc.</t>
        </is>
      </c>
      <c r="T301" s="4" t="inlineStr">
        <is>
          <t>http://www.ncbi.nlm.nih.gov/pubmed/41124399 http://www.pubmedcentral.nih.gov/articlerender.fcgi?artid=PMC12543035</t>
        </is>
      </c>
      <c r="U301" s="4" t="n"/>
      <c r="V301" s="4" t="inlineStr">
        <is>
          <t>BACKGROUND Pediatric specialist shortages and rapidly rising autism prevalence rates have compelled primary care clinicians to consider playing a greater role in the autism diagnostic process. The ECHO Autism: Early Diagnosis Program (EDx) prepares clinicians to screen, evaluate, differentiate, diagnose, and provide longitudinal care for children with autism in primary care settings. Canvas Dx is a prescription-only Software as a Medical Device designed to support clinical diagnosis or rule out of autism, including in primary care settings. It is authorized by the Food and Drug Administration for use, in conjunction with clinical judgment, in 18- to 72-month-olds with indicators of developmental delay. OBJECTIVE This study aims to assess the feasibility and impact of integrating the device into the ECHO Autism: EDx workflow. Time from the first clinical question of developmental delay to autism diagnosis is the primary endpoint. Secondary endpoints explore clinician and caregiver experience of device use. METHODS Children aged 18 to 72 months with concern for developmental delay indicated by either a caregiver or health professionals were eligible to participate in this prospective observational study. Experienced ECHO Autism: EDx clinicians were recruited to evaluate the inclusion of the device as part of their diagnostic evaluations. Outcome data were collected via a combination of electronic questionnaires, standard clinical care record reviews, and analysis of device outputs. Institutional review board approval was provided by the University of Missouri-Columbia (project number 2075722). RESULTS Eighty children and 7 clinicians completed the study. On average, time from clinical concern at study enrollment to final autism diagnosis was 39.22 days, compared to 180- to 264-day waits at adjacent specialist referral centers. The vast majority (93%, 50/54) of caregivers reported being satisfied with the ECHO Autism: EDx plus device evaluation their child received and endorsed that they would recommend it to others and that they felt comfortable using the device. The device produced determinate autism predictions or rule-outs for 52.5% of participants, and in all cases, these were consistent with the final clinical determination. Participating clinicians reported that device use was feasible and reduced several challenges associated with their previous diagnostic process; however, they noted it did not obviate the need for additional structured observation in every case. CONCLUSIONS The ECHO Autism: EDx plus device workflow offers considerable time savings compared to specialty center referral and was strongly endorsed by caregiver participants. Embedding the device into the ECHO Autism: EDx workflow was feasible and helped streamline several workflow efficiencies. Clinicians still utilized their training and application and interpretation of Diagnostic and Statistical Manual of Mental Disorders, Fifth Edition, criteria when formulating the diagnosis for indeterminate cases.</t>
        </is>
      </c>
      <c r="W301" s="4" t="inlineStr">
        <is>
          <t>title_abstract_plus_targeted_primary_source_verification</t>
        </is>
      </c>
      <c r="X301" s="4" t="inlineStr">
        <is>
          <t>doi:10.2196/80733</t>
        </is>
      </c>
      <c r="Y301" s="4" t="n"/>
      <c r="Z301" s="4" t="n"/>
      <c r="AA301" s="4" t="n"/>
      <c r="AB301" s="40" t="n"/>
    </row>
    <row r="302" ht="409" customHeight="1">
      <c r="A302" s="4" t="n">
        <v>301</v>
      </c>
      <c r="B302" s="4" t="inlineStr">
        <is>
          <t>exclude_no_qualifying_ai_application</t>
        </is>
      </c>
      <c r="C302" s="4" t="inlineStr">
        <is>
          <t>Excluir: sin aplicación de IA elegible</t>
        </is>
      </c>
      <c r="D302" s="4" t="inlineStr">
        <is>
          <t>Excluded</t>
        </is>
      </c>
      <c r="E302" s="4" t="inlineStr">
        <is>
          <t>No</t>
        </is>
      </c>
      <c r="F302" s="4" t="inlineStr">
        <is>
          <t>Title/abstract screening</t>
        </is>
      </c>
      <c r="G302" s="4" t="n"/>
      <c r="H302" s="4" t="n"/>
      <c r="I302" s="4" t="n"/>
      <c r="J302" s="4" t="inlineStr">
        <is>
          <t>El trabajo no implementa ni evalúa una técnica de IA/ML como componente sustantivo del estudio de ASD.</t>
        </is>
      </c>
      <c r="K302" s="4" t="n"/>
      <c r="L302" s="4" t="n"/>
      <c r="M302" s="4" t="n">
        <v>2026</v>
      </c>
      <c r="N302" s="4" t="inlineStr">
        <is>
          <t>Pediatric scurvy in a nonverbal child with autism spectrum disorder: a case report</t>
        </is>
      </c>
      <c r="O302" s="4" t="inlineStr">
        <is>
          <t>R McCall and A R Kennedy and N Missel and N Chandler and E Blair and E Chen and K Paduda</t>
        </is>
      </c>
      <c r="P302" s="4" t="inlineStr">
        <is>
          <t>10.1016/j.amjms.2025.12.451</t>
        </is>
      </c>
      <c r="Q302" s="4" t="inlineStr">
        <is>
          <t>The American Journal of the Medical Sciences</t>
        </is>
      </c>
      <c r="R302" s="4" t="inlineStr">
        <is>
          <t>article</t>
        </is>
      </c>
      <c r="S302" s="4" t="inlineStr">
        <is>
          <t>Elsevier BV</t>
        </is>
      </c>
      <c r="T302" s="4" t="inlineStr">
        <is>
          <t>https://www.sciencedirect.com/science/article/pii/S0002962925017306</t>
        </is>
      </c>
      <c r="U302" s="4" t="n"/>
      <c r="V302" s="4" t="inlineStr">
        <is>
          <t>Case Report Introduction: Scurvy, a historical disease of vitamin C deficiency, has become rare in the developed world. Because of its rarity, it is often overlooked on the differential, leading to delayed diagnosis and unnecessary testing. Modern cases are linked to severe dietary restriction, psychiatric illness, or malabsorption. In pediatrics, scurvy is most frequently reported in children with autism spectrum disorder (ASD), where restrictive eating habits limit vitamin C intake. Symptom severity in ASD, particularly in nonverbal patients, may further obscure diagnosis. We present a 9-year-old boy with ASD to highlight the relevance of this rare disease and the unique diagnostic challenges in children unable to verbalize symptoms. Case A previously healthy 9-year-old male with ASD, disruptive mood dysregulation disorder, and limited verbal capacity was transferred from an outside hospital (OSH) with progressive lower extremity weakness. His mother reported declining health over several weeks, beginning with a limp unrelieved by rest, progressing to crawling, rash, fevers, sore bleeding gums, palpable purpura, ataxia, and gingival edema. Over the next month, he was repeatedly evaluated at OSHs, by his pediatrician, and by his dentist, with unrevealing workups. He received IV fluids, steroids, and penicillin but remained weak and lethargic. Labs showed elevated inflammatory markers; vitamin levels were pending at transfer. On admission to our hospital, he was irritable and minimally communicative, which complicated initial assessment of symptom severity. Physical exam was notable for gingival hypertrophy with bleeding, perifollicular hemorrhages, palpable purpura, and gait disturbance. MRI of the bilateral lower extremities demonstrated symmetric marrow signal abnormalities involving the pelvis, femurs, and tibia/fibula with surrounding soft tissue inflammation. The differential diagnosis included scurvy, leukemia, and chronic recurrent multifocal osteomyelitis. Hematology/oncology and rheumatology evaluations were unrevealing. Given his restricted diet and imaging findings, vitamin C deficiency was strongly suspected. He was started on high-dose intravenous vitamin C, increased from once to three times daily, with rapid improvement in pain, bruising, and gingival bleeding. A vitamin C level from the OSH later returned &lt;0.1 mg/dL, confirming scurvy. Conclusion In high-risk populations such as children with ASD and restrictive eating behaviors, clinicians must maintain suspicion for scurvy even in developed countries. Although its presentation may mimic marrow infiltrative disease, the constellation of symptoms should prompt nutritional testing. Early recognition is especially critical in nonverbal patients, as it prevents unnecessary invasive workups, reduces healthcare costs, and leads to rapid recovery with supplementation.</t>
        </is>
      </c>
      <c r="W302" s="4" t="inlineStr">
        <is>
          <t>title_abstract_plus_targeted_primary_source_verification</t>
        </is>
      </c>
      <c r="X302" s="4" t="inlineStr">
        <is>
          <t>doi:10.1016/j.amjms.2025.12.451</t>
        </is>
      </c>
      <c r="Y302" s="4" t="n"/>
      <c r="Z302" s="4" t="n"/>
      <c r="AA302" s="4" t="n"/>
      <c r="AB302" s="40" t="n"/>
    </row>
    <row r="303" ht="409" customHeight="1">
      <c r="A303" s="4" t="n">
        <v>302</v>
      </c>
      <c r="B303" s="4" t="inlineStr">
        <is>
          <t>duplicate_within_export</t>
        </is>
      </c>
      <c r="C303" s="4" t="inlineStr">
        <is>
          <t>No agregar: duplicado interno</t>
        </is>
      </c>
      <c r="D303" s="4" t="inlineStr">
        <is>
          <t>Duplicate within update</t>
        </is>
      </c>
      <c r="E303" s="4" t="inlineStr">
        <is>
          <t>No</t>
        </is>
      </c>
      <c r="F303" s="4" t="inlineStr">
        <is>
          <t>Deduplication</t>
        </is>
      </c>
      <c r="G303" s="4" t="n"/>
      <c r="H303" s="4" t="n"/>
      <c r="I303" s="4" t="n"/>
      <c r="J303" s="4" t="inlineStr">
        <is>
          <t>Mismo DOI o título que otro registro anterior de esta exportación.</t>
        </is>
      </c>
      <c r="K303" s="4" t="n">
        <v>180</v>
      </c>
      <c r="L303" s="4" t="n"/>
      <c r="M303" s="4" t="n">
        <v>2026</v>
      </c>
      <c r="N303" s="4" t="inlineStr">
        <is>
          <t>The effect of spatial and intensity level augmentation of structural magnetic resonance images on autism diagnosis model</t>
        </is>
      </c>
      <c r="O303" s="4" t="inlineStr">
        <is>
          <t>D Swainson Sujana and Peter Augustin D</t>
        </is>
      </c>
      <c r="P303" s="4" t="inlineStr">
        <is>
          <t>10.1016/j.ajp.2026.104830</t>
        </is>
      </c>
      <c r="Q303" s="4" t="inlineStr">
        <is>
          <t>Asian Journal of Psychiatry</t>
        </is>
      </c>
      <c r="R303" s="4" t="inlineStr">
        <is>
          <t>article</t>
        </is>
      </c>
      <c r="S303" s="4" t="inlineStr">
        <is>
          <t>Elsevier B.V.</t>
        </is>
      </c>
      <c r="T303" s="4" t="inlineStr">
        <is>
          <t>https://www.sciencedirect.com/science/article/pii/S1876201826000031</t>
        </is>
      </c>
      <c r="U303" s="4" t="n"/>
      <c r="V303" s="4" t="inlineStr">
        <is>
          <t>In deep learning, the robustness and generalizability of models significantly depend on diverse and heterogeneous training data. Acquiring such an extensive dataset is challenging in fields like disorder prediction due to data scarcity, which can be attributed to factors such as privacy concerns, limited patient population, or inadequate facilities. Data augmentation can be an ideal solution to this problem, particularly in the field of disorder prediction, like autism, using medical imaging. Data augmentation can expand and balance datasets by generating high-quality and varied data, thereby improving the generalizability of deep learning models. This study proposed two types of augmentation methods: 1. Spatial level 2. Intensity level augmentation techniques. Eight different levels of augmentations were experimented with across these categories. This study found that the combination of spatial and intensity level augmentations enhanced the model's generalizability and robustness, achieving an AUC value of 0.7433. Additionally, it was observed that the Left to Right flip method, under spatial augmentation, diminished the model's performance, whereas random noise injection, under intensity level augmentation, improved prediction accuracy.</t>
        </is>
      </c>
      <c r="W303" s="4" t="inlineStr">
        <is>
          <t>title_abstract_plus_targeted_primary_source_verification</t>
        </is>
      </c>
      <c r="X303" s="4" t="inlineStr">
        <is>
          <t>doi:10.1016/j.ajp.2026.104830</t>
        </is>
      </c>
      <c r="Y303" s="4" t="n"/>
      <c r="Z303" s="4" t="n"/>
      <c r="AA303" s="4" t="n"/>
      <c r="AB303" s="40" t="n"/>
    </row>
    <row r="304" ht="409" customHeight="1">
      <c r="A304" s="4" t="n">
        <v>303</v>
      </c>
      <c r="B304" s="4" t="inlineStr">
        <is>
          <t>exclude_secondary_or_nonempirical_publication</t>
        </is>
      </c>
      <c r="C304" s="4" t="inlineStr">
        <is>
          <t>Excluir: publicación secundaria/no empírica</t>
        </is>
      </c>
      <c r="D304" s="4" t="inlineStr">
        <is>
          <t>Excluded</t>
        </is>
      </c>
      <c r="E304" s="4" t="inlineStr">
        <is>
          <t>No</t>
        </is>
      </c>
      <c r="F304" s="4" t="inlineStr">
        <is>
          <t>Title/abstract screening</t>
        </is>
      </c>
      <c r="G304" s="4" t="n"/>
      <c r="H304" s="4" t="n"/>
      <c r="I304" s="4" t="n"/>
      <c r="J304" s="4" t="inlineStr">
        <is>
          <t>Revisión, metaanálisis, encuesta de literatura, protocolo, perspectiva, carta, editorial o capítulo de síntesis sin estudio primario elegible.</t>
        </is>
      </c>
      <c r="K304" s="4" t="n"/>
      <c r="L304" s="4" t="n"/>
      <c r="M304" s="4" t="n">
        <v>2026</v>
      </c>
      <c r="N304" s="4" t="inlineStr">
        <is>
          <t>Recent advances in the neurogenomics of autism spectrum disorder</t>
        </is>
      </c>
      <c r="O304" s="4" t="inlineStr">
        <is>
          <t>Ashlesha Gogate and Maria H Chahrour</t>
        </is>
      </c>
      <c r="P304" s="4" t="inlineStr">
        <is>
          <t>10.1016/j.gde.2025.102431</t>
        </is>
      </c>
      <c r="Q304" s="4" t="inlineStr">
        <is>
          <t>Current Opinion in Genetics and Development</t>
        </is>
      </c>
      <c r="R304" s="4" t="inlineStr">
        <is>
          <t>article</t>
        </is>
      </c>
      <c r="S304" s="4" t="inlineStr">
        <is>
          <t>Elsevier Ltd</t>
        </is>
      </c>
      <c r="T304" s="4" t="inlineStr">
        <is>
          <t>https://www.sciencedirect.com/science/article/pii/S0959437X25001236</t>
        </is>
      </c>
      <c r="U304" s="4" t="n"/>
      <c r="V304" s="4" t="inlineStr">
        <is>
          <t>Neurogenomics has provided exceptional insights into the genetic architecture underlying autism spectrum disorder (ASD), which is increasingly understood as a collection of individually rare disorders. This review synthesizes current advancements in the field, examining how both rare and common genetic variants contribute to ASD etiology. To functionally interpret the convergence on biological pathways that has emerged despite this genetic heterogeneity, multiomic approaches have been applied to identify gene regulatory networks disrupted in ASD. High-throughput technologies, such as clustered regularly interspaced short palindromic repeats (CRISPR) editing and massively parallel reporter assays, have been employed in human induced pluripotent stem cells and organoids to bridge the gap between genetic association and biological function. Finally, machine learning methods play a pivotal role in integrating and leveraging these complex datasets to inform personalized interventions.</t>
        </is>
      </c>
      <c r="W304" s="4" t="inlineStr">
        <is>
          <t>title_abstract_plus_targeted_primary_source_verification</t>
        </is>
      </c>
      <c r="X304" s="4" t="inlineStr">
        <is>
          <t>doi:10.1016/j.gde.2025.102431</t>
        </is>
      </c>
      <c r="Y304" s="4" t="n"/>
      <c r="Z304" s="4" t="n"/>
      <c r="AA304" s="4" t="n"/>
      <c r="AB304" s="40" t="n"/>
    </row>
    <row r="305" ht="409" customHeight="1">
      <c r="A305" s="4" t="n">
        <v>304</v>
      </c>
      <c r="B305" s="4" t="inlineStr">
        <is>
          <t>exclude_no_qualifying_ai_application</t>
        </is>
      </c>
      <c r="C305" s="4" t="inlineStr">
        <is>
          <t>Excluir: sin aplicación de IA elegible</t>
        </is>
      </c>
      <c r="D305" s="4" t="inlineStr">
        <is>
          <t>Excluded</t>
        </is>
      </c>
      <c r="E305" s="4" t="inlineStr">
        <is>
          <t>No</t>
        </is>
      </c>
      <c r="F305" s="4" t="inlineStr">
        <is>
          <t>Title/abstract screening</t>
        </is>
      </c>
      <c r="G305" s="4" t="n"/>
      <c r="H305" s="4" t="n"/>
      <c r="I305" s="4" t="n"/>
      <c r="J305" s="4" t="inlineStr">
        <is>
          <t>El trabajo no implementa ni evalúa una técnica de IA/ML como componente sustantivo del estudio de ASD.</t>
        </is>
      </c>
      <c r="K305" s="4" t="n"/>
      <c r="L305" s="4" t="n"/>
      <c r="M305" s="4" t="n">
        <v>2026</v>
      </c>
      <c r="N305" s="4" t="inlineStr">
        <is>
          <t>Metabolic and mitochondrial alterations in children with autism spectrum disorder: The role of FGF-21 and GDF-15</t>
        </is>
      </c>
      <c r="O305" s="4" t="inlineStr">
        <is>
          <t>Ayla Yildiz and Hanim Seyma Topuz and Hasan Onal</t>
        </is>
      </c>
      <c r="P305" s="4" t="inlineStr">
        <is>
          <t>10.1016/j.cca.2026.120979</t>
        </is>
      </c>
      <c r="Q305" s="4" t="inlineStr">
        <is>
          <t>Clinica Chimica Acta</t>
        </is>
      </c>
      <c r="R305" s="4" t="inlineStr">
        <is>
          <t>article</t>
        </is>
      </c>
      <c r="S305" s="4" t="inlineStr">
        <is>
          <t>Elsevier B.V.</t>
        </is>
      </c>
      <c r="T305" s="4" t="inlineStr">
        <is>
          <t>https://www.sciencedirect.com/science/article/pii/S0009898126001610</t>
        </is>
      </c>
      <c r="U305" s="4" t="n"/>
      <c r="V305" s="4" t="inlineStr">
        <is>
          <t>Introduction Autism Spectrum Disorder (ASD) is a neurodevelopmental condition marked by social communication deficits and repetitive behaviors. Evidence suggests that metabolic and mitochondrial stress contribute to ASD. Fibroblast growth factor 21 (FGF-21) and growth differentiation factor 15 (GDF-15) are circulating markers of mitochondrial dysfunction and cellular stress, but their role in pediatric ASD remains underexplored. Methods Case–control study involved 118 children: 88 with ASD (DSM-5 criteria) and 30 healthy controls matched by age and sex. ASD patients were divided by Autism Behavior Checklist (ABC) scores into Group I (ABC &gt;60, n = 48) and Group II (ABC ≤60, n = 40). FGF-21 and GDF-15 were measured by ELISA. Biochemical parameters, hemogram, plasma amino acids (LC-MS/MS), and urinary organic acids (GC–MS) were analyzed. Statistical analyses included Kruskal–Wallis, Spearman correlation and ROC. Results FGF-21 was significantly elevated in ASD compared to controls (p &lt; 0.0001), while GDF-15 showed no difference (p = 0.797). FGF-21 did not differ between Group I and Group II (p &gt; 0.05). ASD showed increased lactate, lactate/pyruvate ratio, urea, AST, LDH, LDL, lymphocyte and platelet counts, and decreased pyruvate, serum and urinary creatinine (p &lt; 0.05). Essential and branched-chain amino acids decreased, whereas glycine and histidine increased (p &lt; 0.05). FGF-21 correlated weakly but significantly with mitochondrial dysfunction and amino acid metabolism markers. ROC showed good diagnostic accuracy for FGF-21 in ASD (AUC = 0.817), with 98.9% sensitivity and 73.3% specificity at 27.9 pg/mL cut-off. Urinary organic acids, methylmalonic acid, tiglylglycine, and 2-ketoisocaproic acid, were significantly elevated (p &lt; 0.05). Conclusion Elevated serum FGF-21 in children with ASD is linked to metabolic alterations, whereas GDF-15 remains unchanged. These results suggest FGF-21's association with metabolic dysregulation in ASD.</t>
        </is>
      </c>
      <c r="W305" s="4" t="inlineStr">
        <is>
          <t>title_abstract_plus_targeted_primary_source_verification</t>
        </is>
      </c>
      <c r="X305" s="4" t="inlineStr">
        <is>
          <t>doi:10.1016/j.cca.2026.120979</t>
        </is>
      </c>
      <c r="Y305" s="4" t="n"/>
      <c r="Z305" s="4" t="n"/>
      <c r="AA305" s="4" t="n"/>
      <c r="AB305" s="40" t="n"/>
    </row>
    <row r="306" ht="409" customHeight="1">
      <c r="A306" s="4" t="n">
        <v>305</v>
      </c>
      <c r="B306" s="4" t="inlineStr">
        <is>
          <t>include_after_full_text_open_access</t>
        </is>
      </c>
      <c r="C306" s="4" t="inlineStr">
        <is>
          <t>Incluir tras revisión de texto completo abierto</t>
        </is>
      </c>
      <c r="D306" s="4" t="inlineStr">
        <is>
          <t>Provisional include</t>
        </is>
      </c>
      <c r="E306" s="4" t="inlineStr">
        <is>
          <t>Sí</t>
        </is>
      </c>
      <c r="F306" s="4" t="inlineStr">
        <is>
          <t>Full-text review</t>
        </is>
      </c>
      <c r="G306" s="4" t="n"/>
      <c r="H306" s="4" t="n"/>
      <c r="I306" s="4" t="n"/>
      <c r="J306" s="4" t="inlineStr">
        <is>
          <t>Texto completo confirma estudio primario con Machine Learning aplicado a ASD (Classification (ASD vs non-ASD)).</t>
        </is>
      </c>
      <c r="K306" s="4" t="n"/>
      <c r="L306" s="4" t="n"/>
      <c r="M306" s="4" t="n">
        <v>2026</v>
      </c>
      <c r="N306" s="4" t="inlineStr">
        <is>
          <t>Integrating Multimodal Neuroimaging and Physical-Health Markers for Autism Spectrum Disorder in the ABCD Study</t>
        </is>
      </c>
      <c r="O306" s="4" t="inlineStr">
        <is>
          <t>Dorin Zeevi and Hector Acosta-Rodriguez and Pratheek Bobba and Alicia Stephan and Huang Lin and Ajay Malhotra and Seyedmehdi Payabvash</t>
        </is>
      </c>
      <c r="P306" s="4" t="inlineStr">
        <is>
          <t>10.31083/JIN48212</t>
        </is>
      </c>
      <c r="Q306" s="4" t="inlineStr">
        <is>
          <t>Journal of Integrative Neuroscience</t>
        </is>
      </c>
      <c r="R306" s="4" t="inlineStr">
        <is>
          <t>article</t>
        </is>
      </c>
      <c r="S306" s="4" t="inlineStr">
        <is>
          <t>IMR Press Limited</t>
        </is>
      </c>
      <c r="T306" s="4" t="inlineStr">
        <is>
          <t>https://storage.imrpress.com/IMR/2026939320888299500/application/1757-448X-25-2-48212.pdf</t>
        </is>
      </c>
      <c r="U306" s="4" t="inlineStr">
        <is>
          <t>Texto completo abierto revisado; evidencia y codificación en Extraccion_RQ_nuevos.</t>
        </is>
      </c>
      <c r="V306" s="4" t="inlineStr">
        <is>
          <t>Background: Autism Spectrum Disorder (ASD) is a complex neurodevelopmental condition characterized by diverse presentations, which complicates the identification of consistent biological markers. This study examined whether integrating multimodal neuroimaging and physical-health measures from a population-based cohort can improve ASD classification and reveal interpretable markers that reflect both clinical and community variation. Methods: Data were drawn from the Adolescent Brain Cognitive Development (ABCD) Study, a large community-based cohort of adolescents recruited from the general population. Participants with and without ASD were selected from this cohort, allowing contrasts that reflect natural variability across individuals. Structural, diffusion, and resting-state functional magnetic resonance imaging (MRI) data were integrated with physical-health markers, including sleep, growth, and early development. Propensity-score matching created demographically balanced groups, and multimodal machine learning models were evaluated through stratified cross-validation. Results: The multimodal integration of brain and physical-health markers outperformed single-modality models (area under the receiver operating characteristic curve [AUC-ROC]=0.68, 95% confidence interval [CI]: 0.62– 0.73; area under the precision-recall curve [AUC-PR]=0.66, 95% CI: 0.60–0.73). Among physical-health markers, sleep function contributed most strongly to ASD classification, while neuroimaging predictors included cortical thickness in the right superior temporal gyrus and connectivity between the cingulo-opercular and default mode networks. These findings indicate that integrating modalities capturing both neural and physiological systems provides complementary information for identifying ASD-related differences within a population-based framework. Conclusions: This study provides a proof of concept that combining multimodal MRI and physical-health data within a large, demographically representative cohort can enhance ASD classification and yield biologically interpretable features. The population-based design situates these findings within a community context and offers a preliminary framework for integrating neural and physiological measures in future large-scale studies of neurodevelopmental diversity.</t>
        </is>
      </c>
      <c r="W306" s="4" t="inlineStr">
        <is>
          <t>open_full_text_review_2026_09_04</t>
        </is>
      </c>
      <c r="X306" s="4" t="inlineStr">
        <is>
          <t>doi:10.31083/jin48212</t>
        </is>
      </c>
      <c r="Y306" s="4" t="n"/>
      <c r="Z306" s="4" t="n"/>
      <c r="AA306" s="4" t="n"/>
      <c r="AB306" s="40" t="n"/>
    </row>
    <row r="307" ht="409" customHeight="1">
      <c r="A307" s="4" t="n">
        <v>306</v>
      </c>
      <c r="B307" s="4" t="inlineStr">
        <is>
          <t>include_after_title_abstract_screen</t>
        </is>
      </c>
      <c r="C307" s="4" t="inlineStr">
        <is>
          <t>Incluir provisionalmente</t>
        </is>
      </c>
      <c r="D307" s="4" t="inlineStr">
        <is>
          <t>Provisional include</t>
        </is>
      </c>
      <c r="E307" s="4" t="inlineStr">
        <is>
          <t>Sí</t>
        </is>
      </c>
      <c r="F307" s="4" t="inlineStr">
        <is>
          <t>Title/abstract screening</t>
        </is>
      </c>
      <c r="G307" s="4" t="n"/>
      <c r="H307" s="4" t="n"/>
      <c r="I307" s="4" t="n"/>
      <c r="J307" s="4" t="inlineStr">
        <is>
          <t>Estudio primario o implementación/evaluación empírica de IA, aprendizaje automático o modelado computacional aplicado a ASD, riesgo, caracterización, apoyo o intervención.</t>
        </is>
      </c>
      <c r="K307" s="4" t="n"/>
      <c r="L307" s="4" t="n"/>
      <c r="M307" s="4" t="n">
        <v>2026</v>
      </c>
      <c r="N307" s="4" t="inlineStr">
        <is>
          <t>Hybrid ensemble learning for Autism Spectrum Disorder screening using eye-tracking scanpath</t>
        </is>
      </c>
      <c r="O307" s="4" t="inlineStr">
        <is>
          <t>Nejad Alagha and Aya A Elkhodiry and Abigail Copiaco and Yassine Himeur and Wathiq Mansoor and Christian Ritz and Valsamma Eapen and Ammar Albanna and Amin Beheshti</t>
        </is>
      </c>
      <c r="P307" s="4" t="inlineStr">
        <is>
          <t>10.1016/j.array.2026.100753</t>
        </is>
      </c>
      <c r="Q307" s="4" t="inlineStr">
        <is>
          <t>Array</t>
        </is>
      </c>
      <c r="R307" s="4" t="inlineStr">
        <is>
          <t>article</t>
        </is>
      </c>
      <c r="S307" s="4" t="inlineStr">
        <is>
          <t>Elsevier B.V.</t>
        </is>
      </c>
      <c r="T307" s="4" t="inlineStr">
        <is>
          <t>https://www.sciencedirect.com/science/article/pii/S2590005626000767</t>
        </is>
      </c>
      <c r="U307" s="4" t="n"/>
      <c r="V307" s="4" t="inlineStr">
        <is>
          <t>Early and accurate detection of Autism Spectrum Disorder (ASD) is essential for effective intervention and lifelong support. Recent advances in machine learning and eye-tracking technologies have enabled objective screening approaches based on gaze behavior, providing a non-invasive alternative to traditional diagnostic methods. This study introduces a hybrid ensemble learning framework that integrates bagging, boosting, and stacking strategies to leverage the complementary strengths of diverse classifiers, including decision trees, random forests, k-nearest neighbors, AdaBoost, and gradient boosting. The framework was evaluated on a benchmark eye-tracking dataset of 28 participants (14 ASD, 14 TD) using five-fold cross-validation. The proposed stacking model achieved a mean accuracy of 0.960 ± 0.080 and an F1-score of 0.952 ± 0.095 across the five folds, outperforming individual base learners and performing comparably to image-based deep learning models. By operating directly on raw scanpath data, the proposed model enhances interpretability and reduces preprocessing overhead by eliminating the need for image generation and transformation steps, making it suitable for practical and real-time screening environments. Future work will focus on validating the framework on larger and more diverse datasets and integrating it within an end-to-end ASD screening platform.</t>
        </is>
      </c>
      <c r="W307" s="4" t="inlineStr">
        <is>
          <t>title_abstract_plus_targeted_primary_source_verification</t>
        </is>
      </c>
      <c r="X307" s="4" t="inlineStr">
        <is>
          <t>doi:10.1016/j.array.2026.100753</t>
        </is>
      </c>
      <c r="Y307" s="4" t="n"/>
      <c r="Z307" s="4" t="n"/>
      <c r="AA307" s="4" t="n"/>
      <c r="AB307" s="40" t="n"/>
    </row>
    <row r="308" ht="409" customHeight="1">
      <c r="A308" s="4" t="n">
        <v>307</v>
      </c>
      <c r="B308" s="4" t="inlineStr">
        <is>
          <t>include_after_full_text_open_access</t>
        </is>
      </c>
      <c r="C308" s="4" t="inlineStr">
        <is>
          <t>Incluir tras revisión de texto completo abierto</t>
        </is>
      </c>
      <c r="D308" s="4" t="inlineStr">
        <is>
          <t>Provisional include</t>
        </is>
      </c>
      <c r="E308" s="4" t="inlineStr">
        <is>
          <t>Sí</t>
        </is>
      </c>
      <c r="F308" s="4" t="inlineStr">
        <is>
          <t>Full-text review</t>
        </is>
      </c>
      <c r="G308" s="4" t="n"/>
      <c r="H308" s="4" t="n"/>
      <c r="I308" s="4" t="n"/>
      <c r="J308" s="4" t="inlineStr">
        <is>
          <t>Texto completo confirma estudio primario con Deep Learning aplicado a ASD (Classification (ASD vs control)).</t>
        </is>
      </c>
      <c r="K308" s="4" t="n"/>
      <c r="L308" s="4" t="n"/>
      <c r="M308" s="4" t="n">
        <v>2026</v>
      </c>
      <c r="N308" s="4" t="inlineStr">
        <is>
          <t>Spatial structure based deep feature fusion network for autism spectrum disorder classification</t>
        </is>
      </c>
      <c r="O308" s="4" t="inlineStr">
        <is>
          <t>K S Shwetha and G Deepak and S P Chaitra and C K Raghavendra and Bhupender Singh</t>
        </is>
      </c>
      <c r="P308" s="4" t="inlineStr">
        <is>
          <t>10.1038/s41598-026-48562-8</t>
        </is>
      </c>
      <c r="Q308" s="4" t="inlineStr">
        <is>
          <t>Scientific Reports</t>
        </is>
      </c>
      <c r="R308" s="4" t="inlineStr">
        <is>
          <t>article</t>
        </is>
      </c>
      <c r="S308" s="4" t="inlineStr">
        <is>
          <t>Nature Research</t>
        </is>
      </c>
      <c r="T308" s="4" t="inlineStr">
        <is>
          <t>https://www.nature.com/articles/s41598-026-48562-8_reference.pdf</t>
        </is>
      </c>
      <c r="U308" s="4" t="inlineStr">
        <is>
          <t>Texto completo abierto revisado; evidencia y codificación en Extraccion_RQ_nuevos.</t>
        </is>
      </c>
      <c r="V308" s="4" t="inlineStr">
        <is>
          <t>Autism spectrum disorder (ASD) is a neuro-developmental disorder that has serious impact on person’s social interaction, communication, and behavior. Non intrusive detection through analysis of electroencephalogram (EEG) signals with deep learning techniques has been the prominent area of research in ASD diagnosis. The current deep learning techniques processed EEG signals without considering their spatial structure. They treat EEG features as independent or grid-like sequences, ignoring the non-Euclidean structure of brain connectivity. As the result, the features do not capture the intricate relationship between signals obtained from multiple electrodes considering both spatial and long term temporal dependencies. To solve this problem, this work proposes a spatial structure based feature fusion network (SSFFN) which considers two attributes of spatial proximity and functional connectivity to capture local and long range interactions between brain regions as fused features. These fused features are used for ASD classification using long short term (LSTM) predictor considering the long term temporal dependencies. Experimental analysis of proposed solution against Sheffield dataset and KAU dataset showed a 1% higher accuracy and 4.4% higher recall compared to most recent time frequency synergy networks.</t>
        </is>
      </c>
      <c r="W308" s="4" t="inlineStr">
        <is>
          <t>open_full_text_review_2026_09_04</t>
        </is>
      </c>
      <c r="X308" s="4" t="inlineStr">
        <is>
          <t>doi:10.1038/s41598-026-48562-8</t>
        </is>
      </c>
      <c r="Y308" s="4" t="n"/>
      <c r="Z308" s="4" t="n"/>
      <c r="AA308" s="4" t="n"/>
      <c r="AB308" s="40" t="n"/>
    </row>
    <row r="309" ht="409" customHeight="1">
      <c r="A309" s="4" t="n">
        <v>308</v>
      </c>
      <c r="B309" s="4" t="inlineStr">
        <is>
          <t>exclude_integrity_notice_or_retracted</t>
        </is>
      </c>
      <c r="C309" s="4" t="inlineStr">
        <is>
          <t>Excluir por integridad/tipo de registro</t>
        </is>
      </c>
      <c r="D309" s="4" t="inlineStr">
        <is>
          <t>Excluded</t>
        </is>
      </c>
      <c r="E309" s="4" t="inlineStr">
        <is>
          <t>No</t>
        </is>
      </c>
      <c r="F309" s="4" t="inlineStr">
        <is>
          <t>Title/abstract screening and source verification</t>
        </is>
      </c>
      <c r="G309" s="4" t="n"/>
      <c r="H309" s="4" t="n"/>
      <c r="I309" s="4" t="inlineStr">
        <is>
          <t>Removal notice</t>
        </is>
      </c>
      <c r="J309" s="4" t="inlineStr">
        <is>
          <t>Aviso editorial, corrección, retirada, retractación o artículo retractado; no constituye un estudio nuevo incorporable.</t>
        </is>
      </c>
      <c r="K309" s="4" t="n"/>
      <c r="L309" s="4" t="n"/>
      <c r="M309" s="4" t="n">
        <v>2026</v>
      </c>
      <c r="N309" s="4" t="inlineStr">
        <is>
          <t>Removal notice to “Deep learning with image-based autism spectrum disorder analysis: a systematic review”(Engineering Applications of Artificial Intelligence, (2024), 127, PA, (107185), (S0952197623013696), 10.1016/j.engappai.2023.107185)</t>
        </is>
      </c>
      <c r="O309" s="4" t="inlineStr">
        <is>
          <t>Zasim Uddin and Arif Shahriar and Nadim Mahamood and Fady Alnajjar and Ileas Pramanik and Atiqur Rahman Ahad</t>
        </is>
      </c>
      <c r="P309" s="4" t="inlineStr">
        <is>
          <t>10.1016/j.engappai.2026.114266</t>
        </is>
      </c>
      <c r="Q309" s="4" t="inlineStr">
        <is>
          <t>Engineering Applications of Artificial Intelligence</t>
        </is>
      </c>
      <c r="R309" s="4" t="inlineStr">
        <is>
          <t>article</t>
        </is>
      </c>
      <c r="S309" s="4" t="inlineStr">
        <is>
          <t>Elsevier Ltd</t>
        </is>
      </c>
      <c r="T309" s="4" t="inlineStr">
        <is>
          <t>https://www.sciencedirect.com/science/article/pii/S0952197626005476</t>
        </is>
      </c>
      <c r="U309" s="4" t="n"/>
      <c r="V309" s="4" t="inlineStr">
        <is>
          <t>This article has been removed: please see Elsevier Policy on Article Withdrawal (https://www.elsevier.com/about/policies-and-standards/article-withdrawal). This article has been removed at the request of the Editor-in-Chief. Post-publication, the journal was alerted to concerns regarding a dataset cited in this study. It has been reported that the dataset contains images of patients without autism spectrum disorder (ASD) diagnosis. In addition, there is no information about informed patient consent. The journal contacted the authors for clarification, and they stated that they were not aware of these concerns. The Editor-in-Chief has determined that this article should be removed because some illustrative images from the dataset were republished. The authors agree with this removal. Apologies are offered to the readers of the journal.</t>
        </is>
      </c>
      <c r="W309" s="4" t="inlineStr">
        <is>
          <t>title_abstract_plus_targeted_primary_source_verification</t>
        </is>
      </c>
      <c r="X309" s="4" t="inlineStr">
        <is>
          <t>doi:10.1016/j.engappai.2026.114266</t>
        </is>
      </c>
      <c r="Y309" s="4" t="n"/>
      <c r="Z309" s="4" t="n"/>
      <c r="AA309" s="4" t="n"/>
      <c r="AB309" s="40" t="n"/>
    </row>
    <row r="310" ht="409" customHeight="1">
      <c r="A310" s="4" t="n">
        <v>309</v>
      </c>
      <c r="B310" s="4" t="inlineStr">
        <is>
          <t>duplicate_within_export</t>
        </is>
      </c>
      <c r="C310" s="4" t="inlineStr">
        <is>
          <t>No agregar: duplicado interno</t>
        </is>
      </c>
      <c r="D310" s="4" t="inlineStr">
        <is>
          <t>Duplicate within update</t>
        </is>
      </c>
      <c r="E310" s="4" t="inlineStr">
        <is>
          <t>No</t>
        </is>
      </c>
      <c r="F310" s="4" t="inlineStr">
        <is>
          <t>Deduplication</t>
        </is>
      </c>
      <c r="G310" s="4" t="n"/>
      <c r="H310" s="4" t="n"/>
      <c r="I310" s="4" t="n"/>
      <c r="J310" s="4" t="inlineStr">
        <is>
          <t>Mismo DOI o título que otro registro anterior de esta exportación.</t>
        </is>
      </c>
      <c r="K310" s="4" t="n">
        <v>239</v>
      </c>
      <c r="L310" s="4" t="n"/>
      <c r="M310" s="4" t="n">
        <v>2025</v>
      </c>
      <c r="N310" s="4" t="inlineStr">
        <is>
          <t>Real-Time Classification for EEG Data in Children With ASD Using Deep Learning Techniques</t>
        </is>
      </c>
      <c r="O310" s="4" t="inlineStr">
        <is>
          <t>P L Lekshmylal and E Suresh Kumar and Ashalatha Radhakrishnan and G Shiny</t>
        </is>
      </c>
      <c r="P310" s="4" t="inlineStr">
        <is>
          <t>10.1002/dneu.23009</t>
        </is>
      </c>
      <c r="Q310" s="4" t="inlineStr">
        <is>
          <t>Developmental Neurobiology</t>
        </is>
      </c>
      <c r="R310" s="4" t="inlineStr">
        <is>
          <t>article</t>
        </is>
      </c>
      <c r="S310" s="4" t="inlineStr">
        <is>
          <t>John Wiley and Sons Inc</t>
        </is>
      </c>
      <c r="T310" s="4" t="inlineStr">
        <is>
          <t>https://doi.org/10.1002/dneu.23009</t>
        </is>
      </c>
      <c r="U310" s="4" t="n"/>
      <c r="V310" s="4" t="inlineStr">
        <is>
          <t>Autism spectrum disorder (ASD) presents unique challenges in diagnosis and treatment, necessitating innovative approaches to understanding its underlying neurophysiological mechanisms. Real-time classification of electroencephalography (EEG) data in children with ASD faces significant challenges due to variability in EEG signals caused by individual differences in brain activity, age, and behavioral states, complicating robust algorithm development. This study develops and validates a deep learning–based framework for real-time EEG classification in children with ASD, aiming to enhance diagnostic accuracy and enable timely interventions. The dataset includes EEG recordings from 60 children (30 with ASD and 30 typically developing), representing diverse age groups and behavioral profiles to improve generalizability. Pre-processing removes noise and artifacts through segmentation, short-time Fourier transform (STFT), and independent component analysis (ICA). Grid search optimization (GSO) enhances model performance by systematically searching hyperparameter combinations to find the optimal configuration. A hybrid convolutional neural network (CNN)–long short-term memory (LSTM) framework is proposed, combining convolutional layers for spatial feature extraction with LSTM layers for temporal sequence modeling. This hybrid model is the primary proposed solution for real-time EEG classification due to its ability to capture both spatial and temporal features critical for interpreting sequential EEG data in children with ASD. The model achieves an accuracy of 87.5%, a precision of 85.0%, a recall of 90.0%, and an F1 score of 87.5% implemented using MATLAB software. In comparison, ResNet, a baseline deep CNN model, achieves slightly higher accuracy (89.1%) but lacks temporal modeling capabilities essential for sequential EEG interpretation. Despite ResNet's marginally higher accuracy, the hybrid CNN–LSTM is favored as the final model for its superior temporal modeling, critical in EEG analysis. Future work may include real-time feedback mechanisms, mobile application development, and longitudinal data expansion.</t>
        </is>
      </c>
      <c r="W310" s="4" t="inlineStr">
        <is>
          <t>title_abstract_plus_targeted_primary_source_verification</t>
        </is>
      </c>
      <c r="X310" s="4" t="inlineStr">
        <is>
          <t>doi:10.1002/dneu.23009</t>
        </is>
      </c>
      <c r="Y310" s="4" t="n"/>
      <c r="Z310" s="4" t="n"/>
      <c r="AA310" s="4" t="n"/>
      <c r="AB310" s="40" t="n"/>
    </row>
    <row r="311" ht="409" customHeight="1">
      <c r="A311" s="4" t="n">
        <v>310</v>
      </c>
      <c r="B311" s="4" t="inlineStr">
        <is>
          <t>exclude_secondary_or_nonempirical_publication</t>
        </is>
      </c>
      <c r="C311" s="4" t="inlineStr">
        <is>
          <t>Excluir: publicación secundaria/no empírica</t>
        </is>
      </c>
      <c r="D311" s="4" t="inlineStr">
        <is>
          <t>Excluded</t>
        </is>
      </c>
      <c r="E311" s="4" t="inlineStr">
        <is>
          <t>No</t>
        </is>
      </c>
      <c r="F311" s="4" t="inlineStr">
        <is>
          <t>Title/abstract screening</t>
        </is>
      </c>
      <c r="G311" s="4" t="n"/>
      <c r="H311" s="4" t="n"/>
      <c r="I311" s="4" t="n"/>
      <c r="J311" s="4" t="inlineStr">
        <is>
          <t>Revisión, metaanálisis, encuesta de literatura, protocolo, perspectiva, carta, editorial o capítulo de síntesis sin estudio primario elegible.</t>
        </is>
      </c>
      <c r="K311" s="4" t="n"/>
      <c r="L311" s="4" t="n"/>
      <c r="M311" s="4" t="n">
        <v>2026</v>
      </c>
      <c r="N311" s="4" t="inlineStr">
        <is>
          <t>Leveraging information theory to advance understanding of neurobiological mechanisms in autism spectrum disorder</t>
        </is>
      </c>
      <c r="O311" s="4" t="inlineStr">
        <is>
          <t>Gerry Leisman</t>
        </is>
      </c>
      <c r="P311" s="4" t="inlineStr">
        <is>
          <t>10.1016/j.infoh.2025.11.001</t>
        </is>
      </c>
      <c r="Q311" s="4" t="inlineStr">
        <is>
          <t>Informatics and Health</t>
        </is>
      </c>
      <c r="R311" s="4" t="inlineStr">
        <is>
          <t>article</t>
        </is>
      </c>
      <c r="S311" s="4" t="inlineStr">
        <is>
          <t>KeAi Communications Co.</t>
        </is>
      </c>
      <c r="T311" s="4" t="inlineStr">
        <is>
          <t>https://www.sciencedirect.com/science/article/pii/S2949953425000414</t>
        </is>
      </c>
      <c r="U311" s="4" t="n"/>
      <c r="V311" s="4" t="inlineStr">
        <is>
          <t>The paper investigates the neurobiological mechanisms underlying Autism Spectrum Disorder (ASD) through the application of advanced data science techniques, including neuroimaging and computational modeling. Both global and regional abnormalities are considered, with particular attention to cerebellar contributions that may influence motor and cognitive symptoms associated with ASD. By employing machine learning classifiers and information-theoretic approaches, significant patterns in neural data are uncovered that contribute to a deeper understanding of ASD's neurobiological underpinnings. Furthermore, integration of EEG connectivity studies with exploratory methods such as auditory neurofeedback and signal sonification—designed to modulate slow-wave (delta) activity—suggests preliminary potential for therapeutic application, though these approaches remain experimental. This comprehensive perspective aims to inform targeted interventions and enhance the understanding of ASD subtypes, ultimately contributing to improved outcomes for individuals affected by the disorder.</t>
        </is>
      </c>
      <c r="W311" s="4" t="inlineStr">
        <is>
          <t>title_abstract_plus_targeted_primary_source_verification</t>
        </is>
      </c>
      <c r="X311" s="4" t="inlineStr">
        <is>
          <t>doi:10.1016/j.infoh.2025.11.001</t>
        </is>
      </c>
      <c r="Y311" s="4" t="n"/>
      <c r="Z311" s="4" t="n"/>
      <c r="AA311" s="4" t="n"/>
      <c r="AB311" s="40" t="n"/>
    </row>
    <row r="312" ht="409" customHeight="1">
      <c r="A312" s="4" t="n">
        <v>311</v>
      </c>
      <c r="B312" s="4" t="inlineStr">
        <is>
          <t>exclude_secondary_or_nonempirical_publication</t>
        </is>
      </c>
      <c r="C312" s="4" t="inlineStr">
        <is>
          <t>Excluir: publicación secundaria/no empírica</t>
        </is>
      </c>
      <c r="D312" s="4" t="inlineStr">
        <is>
          <t>Excluded</t>
        </is>
      </c>
      <c r="E312" s="4" t="inlineStr">
        <is>
          <t>No</t>
        </is>
      </c>
      <c r="F312" s="4" t="inlineStr">
        <is>
          <t>Title/abstract screening</t>
        </is>
      </c>
      <c r="G312" s="4" t="n"/>
      <c r="H312" s="4" t="n"/>
      <c r="I312" s="4" t="n"/>
      <c r="J312" s="4" t="inlineStr">
        <is>
          <t>Revisión, metaanálisis, encuesta de literatura, protocolo, perspectiva, carta, editorial o capítulo de síntesis sin estudio primario elegible.</t>
        </is>
      </c>
      <c r="K312" s="4" t="n"/>
      <c r="L312" s="4" t="n"/>
      <c r="M312" s="4" t="n">
        <v>2026</v>
      </c>
      <c r="N312" s="4" t="inlineStr">
        <is>
          <t>Intelligent neurobehavioral analysis: A comprehensive review of multimodal data and integrative AI-based computational techniques for autism spectrum disorder detection</t>
        </is>
      </c>
      <c r="O312" s="4" t="inlineStr">
        <is>
          <t>K Nithya and C R Dhivyaa and A Devipriya and C Sharmila</t>
        </is>
      </c>
      <c r="P312" s="4" t="inlineStr">
        <is>
          <t>10.1016/j.cosrev.2026.100992</t>
        </is>
      </c>
      <c r="Q312" s="4" t="inlineStr">
        <is>
          <t>Computer Science Review</t>
        </is>
      </c>
      <c r="R312" s="4" t="inlineStr">
        <is>
          <t>article</t>
        </is>
      </c>
      <c r="S312" s="4" t="inlineStr">
        <is>
          <t>Elsevier Ireland Ltd</t>
        </is>
      </c>
      <c r="T312" s="4" t="inlineStr">
        <is>
          <t>https://www.sciencedirect.com/science/article/pii/S1574013726001000</t>
        </is>
      </c>
      <c r="U312" s="4" t="n"/>
      <c r="V312" s="4" t="inlineStr">
        <is>
          <t>Autism Spectrum Disorder (ASD) presents a wide range of behavioural and neurological characteristics, making accurate diagnosis a significant clinical challenge. In recent years, artificial intelligence (AI) has emerged as a powerful tool in supporting ASD detection through computational analysis of diverse data modalities. The review provides a detailed examination of the current landscape of AI-driven ASD research, with a particular emphasis on modality-specific datasets, data processing pipelines, and classification techniques. It discusses commonly used datasets derived from neuroimaging, EEG, eye-tracking, speech, facial expression, and behavioural assessments, and critically evaluates their characteristics, limitations, and representational diversity. It further explores data processing methods such as artifact removal, normalization, segmentation, and feature selection that enhance data quality and model performance. A comparative analysis of machine learning, deep learning, transfer learning, and transformer-based approaches is presented by highlighting the strength of the models in ASD classification. Additionally, the review synthesizes existing trends, identifies methodological gaps, and outlines the key challenges faced by researchers. The reviewed studies show that deep learning approaches achieve higher classification accuracy than conventional machine learning models, especially in neuroimaging and EEG-based ASD detection. The review also identifies an increasing focus on multimodal fusion and transformer-based frameworks which demonstrate improved robustness and generalization across datasets. The study aims to develop robust, efficient, and clinically effective AI models for ASD assessment and intervention planning.</t>
        </is>
      </c>
      <c r="W312" s="4" t="inlineStr">
        <is>
          <t>title_abstract_plus_targeted_primary_source_verification</t>
        </is>
      </c>
      <c r="X312" s="4" t="inlineStr">
        <is>
          <t>doi:10.1016/j.cosrev.2026.100992</t>
        </is>
      </c>
      <c r="Y312" s="4" t="n"/>
      <c r="Z312" s="4" t="n"/>
      <c r="AA312" s="4" t="n"/>
      <c r="AB312" s="40" t="n"/>
    </row>
    <row r="313" ht="409" customHeight="1">
      <c r="A313" s="4" t="n">
        <v>312</v>
      </c>
      <c r="B313" s="4" t="inlineStr">
        <is>
          <t>duplicate_within_export</t>
        </is>
      </c>
      <c r="C313" s="4" t="inlineStr">
        <is>
          <t>No agregar: duplicado interno</t>
        </is>
      </c>
      <c r="D313" s="4" t="inlineStr">
        <is>
          <t>Duplicate within update</t>
        </is>
      </c>
      <c r="E313" s="4" t="inlineStr">
        <is>
          <t>No</t>
        </is>
      </c>
      <c r="F313" s="4" t="inlineStr">
        <is>
          <t>Deduplication</t>
        </is>
      </c>
      <c r="G313" s="4" t="n"/>
      <c r="H313" s="4" t="n"/>
      <c r="I313" s="4" t="n"/>
      <c r="J313" s="4" t="inlineStr">
        <is>
          <t>Mismo DOI o título que otro registro anterior de esta exportación.</t>
        </is>
      </c>
      <c r="K313" s="4" t="n">
        <v>174</v>
      </c>
      <c r="L313" s="4" t="n"/>
      <c r="M313" s="4" t="n">
        <v>2026</v>
      </c>
      <c r="N313" s="4" t="inlineStr">
        <is>
          <t>Empowering caregivers of individuals with autism spectrum disorder through sensor-based monitoring of emotional dysregulation: A scoping review</t>
        </is>
      </c>
      <c r="O313" s="4" t="inlineStr">
        <is>
          <t>Moid Sandhu and Siddique Latif and Andrew Bayor and Wei Lu and Mahnoosh Kholghi and Deepa Prabhu and David Silvera-Tawil</t>
        </is>
      </c>
      <c r="P313" s="4" t="inlineStr">
        <is>
          <t>10.1016/j.ijmedinf.2026.106262</t>
        </is>
      </c>
      <c r="Q313" s="4" t="inlineStr">
        <is>
          <t>International Journal of Medical Informatics</t>
        </is>
      </c>
      <c r="R313" s="4" t="inlineStr">
        <is>
          <t>article</t>
        </is>
      </c>
      <c r="S313" s="4" t="inlineStr">
        <is>
          <t>Elsevier Ireland Ltd</t>
        </is>
      </c>
      <c r="T313" s="4" t="inlineStr">
        <is>
          <t>https://doi.org/10.1016/j.ijmedinf.2026.106262</t>
        </is>
      </c>
      <c r="U313" s="4" t="n"/>
      <c r="V313" s="4" t="inlineStr">
        <is>
          <t>Objective: This paper critically reviews existing work in sensor-based emotional dysregulation monitoring to support caregivers of individuals diagnosed with autism spectrum disorder (ASD). Methods: A systematic literature search was conducted across six databases (Google Scholar, IEEE Xplore, Scopus, ACM Digital Library, Web of Science, and PubMed) covering publications from January 1, 2016, to September 30, 2025. Results: Thirty-two studies met inclusion criteria, comprising 27 focused on sensor-based emotional dysregulation detection and 5 addressing intervention or support mechanisms. These studies suggest that sensor-based technologies have potential for continuous physiological monitoring, facilitating early detection and intervention to support emotional dysregulation episodes. Critical deficiencies were identified in real-time alerting capabilities, autonomous intervention deployment, self-regulation framework integration, system reliability, long-term sustainability, user interface design, and cross-environment scalability. Conclusion: There is a significant need to develop real-time emotion monitoring systems to empower caregivers in delivering timely, targeted interventions for individuals diagnosed with ASD. Future research should prioritise the development of real-time alert systems, autonomous intervention protocols, and solutions optimised for reliability, sustainability, usability, and adaptability across heterogeneous care settings.</t>
        </is>
      </c>
      <c r="W313" s="4" t="inlineStr">
        <is>
          <t>title_abstract_plus_targeted_primary_source_verification</t>
        </is>
      </c>
      <c r="X313" s="4" t="inlineStr">
        <is>
          <t>doi:10.1016/j.ijmedinf.2026.106262</t>
        </is>
      </c>
      <c r="Y313" s="4" t="n"/>
      <c r="Z313" s="4" t="n"/>
      <c r="AA313" s="4" t="n"/>
      <c r="AB313" s="40" t="n"/>
    </row>
    <row r="314" ht="409" customHeight="1">
      <c r="A314" s="4" t="n">
        <v>313</v>
      </c>
      <c r="B314" s="4" t="inlineStr">
        <is>
          <t>include_after_full_text_open_access</t>
        </is>
      </c>
      <c r="C314" s="4" t="inlineStr">
        <is>
          <t>Incluir tras revisión de texto completo abierto</t>
        </is>
      </c>
      <c r="D314" s="4" t="inlineStr">
        <is>
          <t>Provisional include</t>
        </is>
      </c>
      <c r="E314" s="4" t="inlineStr">
        <is>
          <t>Sí</t>
        </is>
      </c>
      <c r="F314" s="4" t="inlineStr">
        <is>
          <t>Full-text review</t>
        </is>
      </c>
      <c r="G314" s="4" t="n"/>
      <c r="H314" s="4" t="n"/>
      <c r="I314" s="4" t="n"/>
      <c r="J314" s="4" t="inlineStr">
        <is>
          <t>Texto completo confirma estudio primario con Deep Learning aplicado a ASD (Demographic-aware classification).</t>
        </is>
      </c>
      <c r="K314" s="4" t="n"/>
      <c r="L314" s="4" t="n"/>
      <c r="M314" s="4" t="n">
        <v>2026</v>
      </c>
      <c r="N314" s="4" t="inlineStr">
        <is>
          <t>Metaheuristic hyperparameter optimization of deep neural networks for demographic-aware autism spectrum disorder classification.</t>
        </is>
      </c>
      <c r="O314" s="4" t="inlineStr">
        <is>
          <t>Mohammed Aly and Naif M Alotaibi</t>
        </is>
      </c>
      <c r="P314" s="4" t="inlineStr">
        <is>
          <t>10.1038/s41598-026-58789-0</t>
        </is>
      </c>
      <c r="Q314" s="4" t="inlineStr">
        <is>
          <t>Scientific reports</t>
        </is>
      </c>
      <c r="R314" s="4" t="inlineStr">
        <is>
          <t>article</t>
        </is>
      </c>
      <c r="S314" s="4" t="inlineStr">
        <is>
          <t>Nature Research</t>
        </is>
      </c>
      <c r="T314" s="4" t="inlineStr">
        <is>
          <t>https://www.nature.com/articles/s41598-026-58789-0.pdf</t>
        </is>
      </c>
      <c r="U314" s="4" t="inlineStr">
        <is>
          <t>Texto completo abierto revisado; evidencia y codificación en Extraccion_RQ_nuevos.</t>
        </is>
      </c>
      <c r="V314" s="4" t="inlineStr">
        <is>
          <t>Autism Spectrum Disorder (ASD) classification from neuroimaging data poses significant challenges due to high data heterogeneity and the complexity of learning robust representations across demographic subgroups. While recent deep learning approaches have shown promise, most existing studies rely on binary classification and limited model tuning strategies, overlooking demographic variability and the role of systematic optimization in model design. To address these challenges, this study formulates demographic-aware ASD classification as an optimization-driven learning problem and proposes a deep learning framework based on structural MRI (sMRI) data. The proposed framework employs three customized Convolutional Neural Network (CNN) models targeting gender-based classification, age-group-based classification, and joint age-gender classification using an octal class structure. Model architecture and training hyperparameters are automatically optimized using the Optimized Artificial Bee Colony (OptABC) algorithm, enabling task-specific adaptation without manual tuning. A dedicated preprocessing pipeline incorporating structural localization and controlled data augmentation is applied to improve robustness across heterogeneous imaging sites. All models are evaluated using five-fold cross-validation on the multi-site ABIDE dataset. Experimental results demonstrate that the proposed optimization-driven framework achieves accuracies of 84.25%, 88.07%, and 71.58% for gender-based, age-based, and joint age-gender classification tasks, respectively, yielding competitive performance relative to widely used pre-trained transfer learning models under comparable experimental settings. The results further indicate that age-aware modeling offers stronger discriminative capability than gender-based classification, while joint demographic stratification introduces increased task complexity due to finer class granularity. Overall, the findings highlight the effectiveness of metaheuristic optimization for enhancing deep learning models in complex, demographic-aware neuroimaging classification tasks. Further evaluation on independent datasets is planned to assess robustness across broader settings.</t>
        </is>
      </c>
      <c r="W314" s="4" t="inlineStr">
        <is>
          <t>open_full_text_review_2026_09_04</t>
        </is>
      </c>
      <c r="X314" s="4" t="inlineStr">
        <is>
          <t>doi:10.1038/s41598-026-58789-0</t>
        </is>
      </c>
      <c r="Y314" s="4" t="n"/>
      <c r="Z314" s="4" t="n"/>
      <c r="AA314" s="4" t="n"/>
      <c r="AB314" s="40" t="n"/>
    </row>
    <row r="315" ht="409" customHeight="1">
      <c r="A315" s="4" t="n">
        <v>314</v>
      </c>
      <c r="B315" s="4" t="inlineStr">
        <is>
          <t>exclude_animal_only_no_human_clinical_target</t>
        </is>
      </c>
      <c r="C315" s="4" t="inlineStr">
        <is>
          <t>Excluir: modelo animal sin objetivo clínico humano</t>
        </is>
      </c>
      <c r="D315" s="4" t="inlineStr">
        <is>
          <t>Excluded</t>
        </is>
      </c>
      <c r="E315" s="4" t="inlineStr">
        <is>
          <t>No</t>
        </is>
      </c>
      <c r="F315" s="4" t="inlineStr">
        <is>
          <t>Title/abstract screening</t>
        </is>
      </c>
      <c r="G315" s="4" t="n"/>
      <c r="H315" s="4" t="n"/>
      <c r="I315" s="4" t="n"/>
      <c r="J315" s="4" t="inlineStr">
        <is>
          <t>Aplicación limitada a comportamiento o biomarcadores de un modelo animal, sin datos humanos ni un objetivo funcional del proceso clínico ASD.</t>
        </is>
      </c>
      <c r="K315" s="4" t="n"/>
      <c r="L315" s="4" t="n"/>
      <c r="M315" s="4" t="n">
        <v>2026</v>
      </c>
      <c r="N315" s="4" t="inlineStr">
        <is>
          <t>Comparative analysis of BORIS, Ethovision, DeepLabCut, and SimBA for quantifying autism spectrum disorder-like behaviors in the valproic acid mouse model</t>
        </is>
      </c>
      <c r="O315" s="4" t="inlineStr">
        <is>
          <t>Zineb Bouargane and Francisco E Olucha-Bordonau and Mohammed Bennis and Saadia Ba-M’hamed and Fatima Zahra Lamghari-Moubarrad</t>
        </is>
      </c>
      <c r="P315" s="4" t="inlineStr">
        <is>
          <t>10.1016/j.neulet.2026.138542</t>
        </is>
      </c>
      <c r="Q315" s="4" t="inlineStr">
        <is>
          <t>Neuroscience Letters</t>
        </is>
      </c>
      <c r="R315" s="4" t="inlineStr">
        <is>
          <t>article</t>
        </is>
      </c>
      <c r="S315" s="4" t="inlineStr">
        <is>
          <t>Elsevier Ireland Ltd</t>
        </is>
      </c>
      <c r="T315" s="4" t="inlineStr">
        <is>
          <t>https://www.sciencedirect.com/science/article/pii/S0304394026000406</t>
        </is>
      </c>
      <c r="U315" s="4" t="n"/>
      <c r="V315" s="4" t="inlineStr">
        <is>
          <t>Preclinical research often relies on animal observation and subsequent behavioral analysis to study brain function; however, traditional methods are considered time-consuming and prone to human error. In contrast, emerging machine learning (ML) approaches now enable rapid, objective, and high-resolution behavioral assessment, such as DeepLabCut (DLC), combined with post-processing tools like Simple Behavioral Analysis (SimBA), which allow high-resolution behavioral classification. DLC provides accurate markerless tracking, while SimBA improves sensitivity and reliability in behavior identification. This study tests the hypothesis that pose-estimation–based behavioral analysis increases sensitivity for detecting functionally relevant impairments in social investigation and motor pattern organization in the valproic acid (VPA) mouse model of ASD, compared with conventional semi-automated tracking (Ethovision) and manual scoring (BORIS). Our results revealed significant and consistent core ASD-like symptoms in VPA-exposed mice across all methods. In the 3-chamber test, the tracking of the animal’s nose provided greater precision and accuracy in detecting sociability deficits in VPA-exposed mice compared to the Ethovision analysis method. Correlation and Bland-Altman analyses indicated moderate agreement between both approaches for chamber time, but low concordance for the time in the proximity of the cages. Additionally, VPA-exposed mice exhibited significantly more repetitive behaviors (self-grooming and rearing) across both scoring methods. Indeed, DLC and BORIS scoring results demonstrated a higher correlation coefficient and a lower bias in the Bland-Altman analysis. Overall, this study demonstrates that integrating DLC and SimBA enhances behavioral scoring precision, overcomes limitations of conventional methods, and surpasses commercial automated tracking systems in detecting ASD-like phenotypes in mice.</t>
        </is>
      </c>
      <c r="W315" s="4" t="inlineStr">
        <is>
          <t>title_abstract_plus_targeted_primary_source_verification</t>
        </is>
      </c>
      <c r="X315" s="4" t="inlineStr">
        <is>
          <t>doi:10.1016/j.neulet.2026.138542</t>
        </is>
      </c>
      <c r="Y315" s="4" t="n"/>
      <c r="Z315" s="4" t="n"/>
      <c r="AA315" s="4" t="n"/>
      <c r="AB315" s="40" t="n"/>
    </row>
    <row r="316" ht="409" customHeight="1">
      <c r="A316" s="4" t="n">
        <v>315</v>
      </c>
      <c r="B316" s="4" t="inlineStr">
        <is>
          <t>exclude_no_qualifying_ai_application</t>
        </is>
      </c>
      <c r="C316" s="4" t="inlineStr">
        <is>
          <t>Excluir: sin aplicación de IA elegible</t>
        </is>
      </c>
      <c r="D316" s="4" t="inlineStr">
        <is>
          <t>Excluded</t>
        </is>
      </c>
      <c r="E316" s="4" t="inlineStr">
        <is>
          <t>No</t>
        </is>
      </c>
      <c r="F316" s="4" t="inlineStr">
        <is>
          <t>Title/abstract screening</t>
        </is>
      </c>
      <c r="G316" s="4" t="n"/>
      <c r="H316" s="4" t="n"/>
      <c r="I316" s="4" t="n"/>
      <c r="J316" s="4" t="inlineStr">
        <is>
          <t>El trabajo no implementa ni evalúa una técnica de IA/ML como componente sustantivo del estudio de ASD.</t>
        </is>
      </c>
      <c r="K316" s="4" t="n"/>
      <c r="L316" s="4" t="n"/>
      <c r="M316" s="4" t="n">
        <v>2026</v>
      </c>
      <c r="N316" s="4" t="inlineStr">
        <is>
          <t>When picky eating becomes pathologic: scurvy in a child with autism</t>
        </is>
      </c>
      <c r="O316" s="4" t="inlineStr">
        <is>
          <t>M Mallory and A Patel and A Byrd and D Long</t>
        </is>
      </c>
      <c r="P316" s="4" t="inlineStr">
        <is>
          <t>10.1016/j.amjms.2025.12.449</t>
        </is>
      </c>
      <c r="Q316" s="4" t="inlineStr">
        <is>
          <t>The American Journal of the Medical Sciences</t>
        </is>
      </c>
      <c r="R316" s="4" t="inlineStr">
        <is>
          <t>article</t>
        </is>
      </c>
      <c r="S316" s="4" t="inlineStr">
        <is>
          <t>Elsevier BV</t>
        </is>
      </c>
      <c r="T316" s="4" t="inlineStr">
        <is>
          <t>https://www.sciencedirect.com/science/article/pii/S0002962925017288</t>
        </is>
      </c>
      <c r="U316" s="4" t="n"/>
      <c r="V316" s="4" t="inlineStr">
        <is>
          <t>Case Report Autism spectrum disorder (ASD) is frequently associated with avoidant/restrictive food intake disorder (ARFID), placing children at risk for micronutrient deficiencies even in high-income countries. Vitamin C deficiency (scurvy) is an underrecognized complication increasingly reported in this population. It classically presents with bone pain, limp, refusal to bear weight, petechiae, and gingival bleeding, but symptoms often mimic infection, malignancy, or rheumatologic disease, delaying diagnosis. A six-year-old girl with ASD, food aversion, ankle contractures, and 12% weight loss over 5 months presented to the Emergency Department (ED) with 11 days of worsening gait. Previously active, she developed bilateral hip pain progressing to the inability to walk. In the ED, she refused to bear weight due to pain. On exam, she had limited active and passive hip range of motion. She was afebrile with mildly elevated CRP of 27.1 mg/L and ESR of 64 mm/hr, normal WBC, and unremarkable extremity radiographs. Pelvic MRI showed abnormal marrow signals in the pelvis, sacrum, and proximal femora with juxtacortical edema, without necrosis or effusion. In conjunction with Orthopedics, infection was deemed less likely. Hematology/Oncology was consulted, who recommended Uric acid 6.4 (1.9-5.4 mg/dL) and LDH 159 (192-321 U/L), along with bone marrow biopsy. Bone marrow showed no malignancy, and uric acid and LDH normalized. Further history and exam revealed a diet primarily consisting of oatmeal as well as swollen, bleeding gums. Scurvy was highly suspected, and vitamin C level was confirmed at &lt;0.1 mg/dL. Additional deficiencies included vitamin D, vitamin A, and iron. She was treated with oral vitamin C (250 mg daily for one week, then 100 mg) plus a multivitamin, with Physical Therapy noting improved lower extremity range of motion within 3 days and full return to baseline function without deficits by 7 weeks post-admission. Though historically linked to malnutrition, scurvy persists in developed countries, especially in children with ASD or ARFID. Symptoms are nonspecific and often prompt extensive workup for infection or malignancy. Defective collagen synthesis causes impaired bone formation, hemorrhage, and pain. Dietary history is therefore critical, as many affected children have selective eating despite normal growth. Diagnosis is confirmed by serum ascorbic acid, and supplementation typically restores ambulation within days to weeks. Reports of scurvy in ASD highlight the need for increased surveillance in this population. Scurvy is rare but important to consider in children with autism and restrictive eating. Musculoskeletal complaints with mucocutaneous findings should prompt evaluation for vitamin deficiencies. Untreated scurvy risks fractures and bleeding but is rapidly reversible with supplementation. Routine micronutrient screening in ASD or ARFID is recommended for early recognition and prevention.</t>
        </is>
      </c>
      <c r="W316" s="4" t="inlineStr">
        <is>
          <t>title_abstract_plus_targeted_primary_source_verification</t>
        </is>
      </c>
      <c r="X316" s="4" t="inlineStr">
        <is>
          <t>doi:10.1016/j.amjms.2025.12.449</t>
        </is>
      </c>
      <c r="Y316" s="4" t="n"/>
      <c r="Z316" s="4" t="n"/>
      <c r="AA316" s="4" t="n"/>
      <c r="AB316" s="40" t="n"/>
    </row>
    <row r="317" ht="409" customHeight="1">
      <c r="A317" s="4" t="n">
        <v>316</v>
      </c>
      <c r="B317" s="4" t="inlineStr">
        <is>
          <t>include_after_title_abstract_screen</t>
        </is>
      </c>
      <c r="C317" s="4" t="inlineStr">
        <is>
          <t>Incluir provisionalmente</t>
        </is>
      </c>
      <c r="D317" s="4" t="inlineStr">
        <is>
          <t>Provisional include</t>
        </is>
      </c>
      <c r="E317" s="4" t="inlineStr">
        <is>
          <t>Sí</t>
        </is>
      </c>
      <c r="F317" s="4" t="inlineStr">
        <is>
          <t>Title/abstract screening</t>
        </is>
      </c>
      <c r="G317" s="4" t="n"/>
      <c r="H317" s="4" t="n"/>
      <c r="I317" s="4" t="n"/>
      <c r="J317" s="4" t="inlineStr">
        <is>
          <t>Estudio primario o implementación/evaluación empírica de IA, aprendizaje automático o modelado computacional aplicado a ASD, riesgo, caracterización, apoyo o intervención.</t>
        </is>
      </c>
      <c r="K317" s="4" t="n"/>
      <c r="L317" s="4" t="n"/>
      <c r="M317" s="4" t="n">
        <v>2025</v>
      </c>
      <c r="N317" s="4" t="inlineStr">
        <is>
          <t>Identifying Immune-related Molecular Biomarkers in Autism Spectrum Disorder Using Data-independent Acquisition Proteomics and Machine Learning.</t>
        </is>
      </c>
      <c r="O317" s="4" t="inlineStr">
        <is>
          <t>Jun He and Qingqing Hu and Sifeng Wang and Xiaohui Gong and Ni Gan and Li Huang and Haofeng Chen and Jie Dai and Hong Yu and Shuanglin Xiang and Xiangwen Peng</t>
        </is>
      </c>
      <c r="P317" s="4" t="inlineStr">
        <is>
          <t>10.3791/68949</t>
        </is>
      </c>
      <c r="Q317" s="4" t="inlineStr">
        <is>
          <t>Journal of visualized experiments : JoVE</t>
        </is>
      </c>
      <c r="R317" s="4" t="inlineStr">
        <is>
          <t>article</t>
        </is>
      </c>
      <c r="S317" s="4" t="inlineStr">
        <is>
          <t>MyJoVE Corporation</t>
        </is>
      </c>
      <c r="T317" s="4" t="inlineStr">
        <is>
          <t>http://www.ncbi.nlm.nih.gov/pubmed/41082469</t>
        </is>
      </c>
      <c r="U317" s="4" t="n"/>
      <c r="V317" s="4" t="inlineStr">
        <is>
          <t>This study presents a reproducible protocol for identifying serum protein biomarkers associated with autism spectrum disorder (ASD) using data-independent acquisition (DIA) mass spectrometry combined with machine learning (ML). DIA enables unbiased, high-resolution profiling of the serum proteome, including low-abundance proteins, while ensuring reproducibility across samples. ML approaches were applied to select diagnostically informative protein panels and improve model robustness. The analysis included serum from 99 children with ASD and 70 age-matched controls. High-abundance proteins were depleted, peptides were prepared using standardized digestion and fractionation procedures, and DIA was performed on a high-resolution mass spectrometer. Data processing and quantification identified differentially expressed proteins, which underwent functional enrichment analysis. Eight immune-related proteins emerged as strong candidates for biomarker development. A logistic regression model trained on these proteins achieved 95.27% accuracy, a Kappa value of 0.9025, and an AUC of 1.000 in cross-validation. These findings demonstrate the potential of DIA-based proteomics, combined with machine learning, as a robust framework for biomarker discovery in ASD and for adaptation in broader clinical research.</t>
        </is>
      </c>
      <c r="W317" s="4" t="inlineStr">
        <is>
          <t>title_abstract_plus_targeted_primary_source_verification</t>
        </is>
      </c>
      <c r="X317" s="4" t="inlineStr">
        <is>
          <t>doi:10.3791/68949</t>
        </is>
      </c>
      <c r="Y317" s="4" t="n"/>
      <c r="Z317" s="4" t="n"/>
      <c r="AA317" s="4" t="n"/>
      <c r="AB317" s="40" t="n"/>
    </row>
    <row r="318" ht="409" customHeight="1">
      <c r="A318" s="4" t="n">
        <v>317</v>
      </c>
      <c r="B318" s="4" t="inlineStr">
        <is>
          <t>duplicate_within_export</t>
        </is>
      </c>
      <c r="C318" s="4" t="inlineStr">
        <is>
          <t>No agregar: duplicado interno</t>
        </is>
      </c>
      <c r="D318" s="4" t="inlineStr">
        <is>
          <t>Duplicate within update</t>
        </is>
      </c>
      <c r="E318" s="4" t="inlineStr">
        <is>
          <t>No</t>
        </is>
      </c>
      <c r="F318" s="4" t="inlineStr">
        <is>
          <t>Deduplication</t>
        </is>
      </c>
      <c r="G318" s="4" t="n"/>
      <c r="H318" s="4" t="n"/>
      <c r="I318" s="4" t="n"/>
      <c r="J318" s="4" t="inlineStr">
        <is>
          <t>Mismo DOI o título que otro registro anterior de esta exportación.</t>
        </is>
      </c>
      <c r="K318" s="4" t="n">
        <v>122</v>
      </c>
      <c r="L318" s="4" t="n"/>
      <c r="M318" s="4" t="n">
        <v>2026</v>
      </c>
      <c r="N318" s="4" t="inlineStr">
        <is>
          <t>A novel hybrid deep learning model using MEResNextfor autism spectrum disorder detection</t>
        </is>
      </c>
      <c r="O318" s="4" t="inlineStr">
        <is>
          <t>Saloni Rai</t>
        </is>
      </c>
      <c r="P318" s="4" t="inlineStr">
        <is>
          <t>10.1016/j.compbiolchem.2025.108619</t>
        </is>
      </c>
      <c r="Q318" s="4" t="inlineStr">
        <is>
          <t>Computational Biology and Chemistry</t>
        </is>
      </c>
      <c r="R318" s="4" t="inlineStr">
        <is>
          <t>article</t>
        </is>
      </c>
      <c r="S318" s="4" t="inlineStr">
        <is>
          <t>Elsevier Ltd</t>
        </is>
      </c>
      <c r="T318" s="4" t="inlineStr">
        <is>
          <t>https://doi.org/10.1016/j.compbiolchem.2025.108619</t>
        </is>
      </c>
      <c r="U318" s="4" t="n"/>
      <c r="V318" s="4" t="inlineStr">
        <is>
          <t>A neurological disease, named autism spectrum disorder (ASD), is portrayed through divergence with social interaction, communication, and repetitive activities. As heredity is an important source, initial identification and treatment can diminish the need for wide examinations and expensive medical procedures for those with ASD. Prolonged effects and severity can be avoided at a timely determination of ASD. This study develops a hybrid deep-learning method for ASD detection. Pre-processing, feature selection and ASD detection are three steps involved. In thepre-processing phase, input data is passed in which noise and artefacts present in the data are removed using Yeo-Jhonson transformation. Next, by integrating Double exponential Smoothing (DES) in Elk Herd Optimizer (EHO), Double exponential Smoothing-Elk Herd Optimizer (DeSEHO),is proposed to select features. At last, the features that are selected are subjected to the ASD detection phase. In this stage, the Moments Embedding ResNeXt (MEResNeXt), which is the combination of Moments Embedding Network (MoNet) and ResNeXt, is used for ASD detection. The results of the research show that MEResNeXtperformed better in terms of traditionalmodelswhich show accuracyof95.3 %, sensitivity of 96.5 %, and specificity of 94.8 %.</t>
        </is>
      </c>
      <c r="W318" s="4" t="inlineStr">
        <is>
          <t>title_abstract_plus_targeted_primary_source_verification</t>
        </is>
      </c>
      <c r="X318" s="4" t="inlineStr">
        <is>
          <t>doi:10.1016/j.compbiolchem.2025.108619</t>
        </is>
      </c>
      <c r="Y318" s="4" t="n"/>
      <c r="Z318" s="4" t="n"/>
      <c r="AA318" s="4" t="n"/>
      <c r="AB318" s="40" t="n"/>
    </row>
    <row r="319" ht="409" customHeight="1">
      <c r="A319" s="4" t="n">
        <v>318</v>
      </c>
      <c r="B319" s="4" t="inlineStr">
        <is>
          <t>exclude_secondary_or_nonempirical_publication</t>
        </is>
      </c>
      <c r="C319" s="4" t="inlineStr">
        <is>
          <t>Excluir: publicación secundaria/no empírica</t>
        </is>
      </c>
      <c r="D319" s="4" t="inlineStr">
        <is>
          <t>Excluded</t>
        </is>
      </c>
      <c r="E319" s="4" t="inlineStr">
        <is>
          <t>No</t>
        </is>
      </c>
      <c r="F319" s="4" t="inlineStr">
        <is>
          <t>Title/abstract screening</t>
        </is>
      </c>
      <c r="G319" s="4" t="n"/>
      <c r="H319" s="4" t="n"/>
      <c r="I319" s="4" t="n"/>
      <c r="J319" s="4" t="inlineStr">
        <is>
          <t>Revisión, metaanálisis, encuesta de literatura, protocolo, perspectiva, carta, editorial o capítulo de síntesis sin estudio primario elegible.</t>
        </is>
      </c>
      <c r="K319" s="4" t="n"/>
      <c r="L319" s="4" t="n"/>
      <c r="M319" s="4" t="n">
        <v>2026</v>
      </c>
      <c r="N319" s="4" t="inlineStr">
        <is>
          <t>Linking rare variants to cell-type function in profound autism with brain transcriptomics and foundation models</t>
        </is>
      </c>
      <c r="O319" s="4" t="inlineStr">
        <is>
          <t>Alma Dubuc and Thomas Renne and Guillaume Huguet and Sébastien Jacquemont and Tomasz Nowakowski</t>
        </is>
      </c>
      <c r="P319" s="4" t="inlineStr">
        <is>
          <t>10.1016/j.xgen.2026.101192</t>
        </is>
      </c>
      <c r="Q319" s="4" t="inlineStr">
        <is>
          <t>Cell Genomics</t>
        </is>
      </c>
      <c r="R319" s="4" t="inlineStr">
        <is>
          <t>article</t>
        </is>
      </c>
      <c r="S319" s="4" t="inlineStr">
        <is>
          <t>Cell Press</t>
        </is>
      </c>
      <c r="T319" s="4" t="inlineStr">
        <is>
          <t>https://www.sciencedirect.com/science/article/pii/S2666979X26000546</t>
        </is>
      </c>
      <c r="U319" s="4" t="n"/>
      <c r="V319" s="4" t="inlineStr">
        <is>
          <t>Genetic association studies have identified numerous genes harboring protein-disrupting variants in individuals with profound autism, but identifying convergent points of vulnerability remains challenging. We discuss how brain transcriptomic resources help decode the cellular consequences of these rare gene-disrupting variants. The functional interpretation of genetic associations has largely relied on gene ontologies and protein-interaction networks, with newer approaches leveraging single-cell expression to estimate cellular enrichment. However, the broad expression of many autism-associated genes confounds cell-type-specific effects. We therefore propose a framework quantifying the trade-off between a gene’s cell-type specificity and sensitivity. The limited overlap between genetic associations and transcriptomic alterations in autistic brains prompts a discussion about causality. We examine whether foundation models linking genetic variation to cell-type transcriptomes could clarify the cellular functions affected by autism-associated variants. By combining experimental perturbations, artificial-intelligence-driven inference, and postmortem validation, we propose a unifying mechanistic framework for rare-variant liability in autism.</t>
        </is>
      </c>
      <c r="W319" s="4" t="inlineStr">
        <is>
          <t>title_abstract_plus_targeted_primary_source_verification</t>
        </is>
      </c>
      <c r="X319" s="4" t="inlineStr">
        <is>
          <t>doi:10.1016/j.xgen.2026.101192</t>
        </is>
      </c>
      <c r="Y319" s="4" t="n"/>
      <c r="Z319" s="4" t="n"/>
      <c r="AA319" s="4" t="n"/>
      <c r="AB319" s="40" t="n"/>
    </row>
    <row r="320" ht="409" customHeight="1">
      <c r="A320" s="4" t="n">
        <v>319</v>
      </c>
      <c r="B320" s="4" t="inlineStr">
        <is>
          <t>include_after_title_abstract_screen</t>
        </is>
      </c>
      <c r="C320" s="4" t="inlineStr">
        <is>
          <t>Incluir provisionalmente</t>
        </is>
      </c>
      <c r="D320" s="4" t="inlineStr">
        <is>
          <t>Provisional include</t>
        </is>
      </c>
      <c r="E320" s="4" t="inlineStr">
        <is>
          <t>Sí</t>
        </is>
      </c>
      <c r="F320" s="4" t="inlineStr">
        <is>
          <t>Title/abstract screening</t>
        </is>
      </c>
      <c r="G320" s="4" t="n"/>
      <c r="H320" s="4" t="n"/>
      <c r="I320" s="4" t="n"/>
      <c r="J320" s="4" t="inlineStr">
        <is>
          <t>Estudio primario o implementación/evaluación empírica de IA, aprendizaje automático o modelado computacional aplicado a ASD, riesgo, caracterización, apoyo o intervención.</t>
        </is>
      </c>
      <c r="K320" s="4" t="n"/>
      <c r="L320" s="4" t="n"/>
      <c r="M320" s="4" t="n">
        <v>2025</v>
      </c>
      <c r="N320" s="4" t="inlineStr">
        <is>
          <t>Enhanced detection of autism spectrum disorder through neuroimaging data using stack classifier ensembled with modified VGG-19</t>
        </is>
      </c>
      <c r="O320" s="4" t="inlineStr">
        <is>
          <t>Yazeed Alashban</t>
        </is>
      </c>
      <c r="P320" s="4" t="inlineStr">
        <is>
          <t>10.1177/02841851251333974</t>
        </is>
      </c>
      <c r="Q320" s="4" t="inlineStr">
        <is>
          <t>Acta Radiologica</t>
        </is>
      </c>
      <c r="R320" s="4" t="inlineStr">
        <is>
          <t>article</t>
        </is>
      </c>
      <c r="S320" s="4" t="inlineStr">
        <is>
          <t>SAGE Publications Inc.</t>
        </is>
      </c>
      <c r="T320" s="4" t="inlineStr">
        <is>
          <t>https://doi.org/10.1177/02841851251333974</t>
        </is>
      </c>
      <c r="U320" s="4" t="n"/>
      <c r="V320" s="4" t="inlineStr">
        <is>
          <t>Background: Autism spectrum disorder (ASD) is a neurodevelopmental disease marked by a variety of repetitive behaviors and social communication difficulties. Purpose: To develop a generalizable machine learning (ML) classifier that can accurately and effectively predict ASD in children. Material and Methods: This paper makes use of neuroimaging data from the Autism Brain Imaging Data Exchange (ABIDE I and II) datasets through a combination of structural and functional magnetic resonance imaging data. Several ML models, such as Support Vector Machines (SVM), CatBoost, random forest (RF), and stack classifiers, were tested to demonstrate which model performs the best in ASD classification when used alongside a deep convolutional neural network. Results: Results showed that stack classifier performed the best among the models, with the highest accuracy of 81.68%, sensitivity of 85.08%, and specificity of 79.13% for ABIDE I, and 81.34%, 83.61%, and 82.21% for ABIDE II, showing its superior ability to identify complex patterns in neuroimaging data. SVM performed poorly across all metrics, showing its limitations in dealing with high-dimensional neuroimaging data. Conclusion: The results show that the application of ML models, especially ensemble approaches like stack classifier, holds significant promise in improving the accuracy with which ASD is detected using neuroimaging and thus shows their potential for use in clinical applications and early intervention strategies.</t>
        </is>
      </c>
      <c r="W320" s="4" t="inlineStr">
        <is>
          <t>title_abstract_plus_targeted_primary_source_verification</t>
        </is>
      </c>
      <c r="X320" s="4" t="inlineStr">
        <is>
          <t>doi:10.1177/02841851251333974</t>
        </is>
      </c>
      <c r="Y320" s="4" t="n"/>
      <c r="Z320" s="4" t="n"/>
      <c r="AA320" s="4" t="n"/>
      <c r="AB320" s="40" t="n"/>
    </row>
    <row r="321" ht="409" customHeight="1">
      <c r="A321" s="4" t="n">
        <v>320</v>
      </c>
      <c r="B321" s="4" t="inlineStr">
        <is>
          <t>exclude_no_qualifying_ai_application</t>
        </is>
      </c>
      <c r="C321" s="4" t="inlineStr">
        <is>
          <t>Excluir: sin aplicación de IA elegible</t>
        </is>
      </c>
      <c r="D321" s="4" t="inlineStr">
        <is>
          <t>Excluded</t>
        </is>
      </c>
      <c r="E321" s="4" t="inlineStr">
        <is>
          <t>No</t>
        </is>
      </c>
      <c r="F321" s="4" t="inlineStr">
        <is>
          <t>Title/abstract screening</t>
        </is>
      </c>
      <c r="G321" s="4" t="n"/>
      <c r="H321" s="4" t="n"/>
      <c r="I321" s="4" t="n"/>
      <c r="J321" s="4" t="inlineStr">
        <is>
          <t>El trabajo no implementa ni evalúa una técnica de IA/ML como componente sustantivo del estudio de ASD.</t>
        </is>
      </c>
      <c r="K321" s="4" t="n"/>
      <c r="L321" s="4" t="n"/>
      <c r="M321" s="4" t="n">
        <v>2026</v>
      </c>
      <c r="N321" s="4" t="inlineStr">
        <is>
          <t>Behavioral phenotypes and neuronal biomarkers in F1 mutant macaque model of SHANK3-associated autism spectrum disorders</t>
        </is>
      </c>
      <c r="O321" s="4" t="inlineStr">
        <is>
          <t>Minqing Jiang and Ronghui Li and Xing Yang and Zhen Ren and Zijiang Yang and Frederico Azevedo and Jitendra Sharma and William Menegas and Soonwook Choi and Lixin Yang and Mengqi Li and Zhiping Su and Lingli Zhu and Pinyue Guo and Ziming He and Willow Huang and Sheeba Anteraper and Ji Dai and Liping Wang and Shihua Yang and Robert Desimone and Guoping Feng and Zhonghua Lu</t>
        </is>
      </c>
      <c r="P321" s="4" t="inlineStr">
        <is>
          <t>10.1016/j.neuron.2026.04.018</t>
        </is>
      </c>
      <c r="Q321" s="4" t="inlineStr">
        <is>
          <t>Neuron</t>
        </is>
      </c>
      <c r="R321" s="4" t="inlineStr">
        <is>
          <t>article</t>
        </is>
      </c>
      <c r="S321" s="4" t="inlineStr">
        <is>
          <t>Cell Press</t>
        </is>
      </c>
      <c r="T321" s="4" t="inlineStr">
        <is>
          <t>https://www.sciencedirect.com/science/article/pii/S0896627326003132</t>
        </is>
      </c>
      <c r="U321" s="4" t="n"/>
      <c r="V321" s="4" t="inlineStr">
        <is>
          <t>Haploinsufficiency of the SHANK3 gene is the primary cause of Phelan-McDermid syndrome (PMS), a severe neurodevelopmental disorder with intellectual disability and autism spectrum disorder. We previously reported that founder SHANK3 macaques had behaviors reminiscent of some aspects of PMS. However, insights into behavioral, physiological, and cognitive changes were limited due to the small cohort and mosaicism. We therefore generated a larger, F1 generation of heterozygous SHANK3 +/− macaques to conduct more thorough studies. We found sleep disturbances, diminished exploration, atypical social interactions, stereotypical behaviors, and altered brain functional connectivity in SHANK3 +/− macaques. Electroencephalogram recordings revealed a markedly diminished response to auditory stimulation. Cognitively, SHANK3 +/− monkeys did not show major deficits in working memory tests but exhibited an impaired ability to learn and execute a paired-association memory task. We further developed a multi-task array to systemically evaluate autism-related phenotypes, which revealed the heterogeneity of phenotypes and established potential biomarkers for testing therapeutics.</t>
        </is>
      </c>
      <c r="W321" s="4" t="inlineStr">
        <is>
          <t>title_abstract_plus_targeted_primary_source_verification</t>
        </is>
      </c>
      <c r="X321" s="4" t="inlineStr">
        <is>
          <t>doi:10.1016/j.neuron.2026.04.018</t>
        </is>
      </c>
      <c r="Y321" s="4" t="n"/>
      <c r="Z321" s="4" t="n"/>
      <c r="AA321" s="4" t="n"/>
      <c r="AB321" s="40" t="n"/>
    </row>
    <row r="322" ht="409" customHeight="1">
      <c r="A322" s="4" t="n">
        <v>321</v>
      </c>
      <c r="B322" s="4" t="inlineStr">
        <is>
          <t>include_after_full_text_open_access</t>
        </is>
      </c>
      <c r="C322" s="4" t="inlineStr">
        <is>
          <t>Incluir tras revisión de texto completo abierto</t>
        </is>
      </c>
      <c r="D322" s="4" t="inlineStr">
        <is>
          <t>Provisional include</t>
        </is>
      </c>
      <c r="E322" s="4" t="inlineStr">
        <is>
          <t>Sí</t>
        </is>
      </c>
      <c r="F322" s="4" t="inlineStr">
        <is>
          <t>Full-text review</t>
        </is>
      </c>
      <c r="G322" s="4" t="n"/>
      <c r="H322" s="4" t="n"/>
      <c r="I322" s="4" t="n"/>
      <c r="J322" s="4" t="inlineStr">
        <is>
          <t>Texto completo confirma estudio primario con Hybrid aplicado a ASD (Classification and explanation).</t>
        </is>
      </c>
      <c r="K322" s="4" t="n"/>
      <c r="L322" s="4" t="n"/>
      <c r="M322" s="4" t="n">
        <v>2025</v>
      </c>
      <c r="N322" s="4" t="inlineStr">
        <is>
          <t>Bridging the gap: explainable ai for autism diagnosis and parental support with TabPFNMix and SHAP</t>
        </is>
      </c>
      <c r="O322" s="4" t="inlineStr">
        <is>
          <t>Shimei Jiang</t>
        </is>
      </c>
      <c r="P322" s="4" t="inlineStr">
        <is>
          <t>10.1038/s41598-025-24662-9</t>
        </is>
      </c>
      <c r="Q322" s="4" t="inlineStr">
        <is>
          <t>Scientific Reports</t>
        </is>
      </c>
      <c r="R322" s="4" t="inlineStr">
        <is>
          <t>article</t>
        </is>
      </c>
      <c r="S322" s="4" t="inlineStr">
        <is>
          <t>Nature Research</t>
        </is>
      </c>
      <c r="T322" s="4" t="inlineStr">
        <is>
          <t>https://www.nature.com/articles/s41598-025-24662-9.pdf</t>
        </is>
      </c>
      <c r="U322" s="4" t="inlineStr">
        <is>
          <t>Texto completo abierto revisado; evidencia y codificación en Extraccion_RQ_nuevos.</t>
        </is>
      </c>
      <c r="V322" s="4" t="inlineStr">
        <is>
          <t>Autism Spectrum Disorder (ASD) is a complex neurodevelopmental condition that affects a growing number of individuals worldwide. Despite extensive research, the underlying causes of ASD remain largely unknown, with genetic predisposition, parental history, and environmental influences identified as potential risk factors. Diagnosing ASD remains challenging due to its highly variable presentation and overlap with other neurodevelopmental disorders. Early and accurate diagnosis is crucial for timely intervention, which can significantly improve developmental outcomes and parental support. This work presents a novel artificial intelligence (AI) and explainable AI (XAI)-based framework to enhance ASD diagnosis and provide interpretable insights for medical professionals and caregivers. The proposed framework leverages advanced classification models, specifically the TabPFNMix regressor, which is optimized for structured medical datasets. Unlike traditional machine learning methods, TabPFNMix demonstrates superior performance in capturing complex ASD-related patterns. To address the black-box nature of AI models, Shapley Additive Explanations (SHAP) is integrated to provide transparent and interpretable reasoning behind the model’s decisions, ensuring better understanding for clinicians and caregivers. Extensive experiments were conducted using a publicly available benchmark dataset, with performance evaluated through standard metrics such as accuracy, precision, recall, F1-score, and AUC-ROC. Comparative analysis with baseline models, including Random Forest, XGBoost, Support Vector Machine (SVM), and Deep Neural Networks (DNNs), demonstrates that TabPFNMix achieves the highest accuracy (91.5%), surpassing XGBoost (87.3%) by 4.2 percentage points. Additionally, it attains superior recall (92.7%), precision (90.2%), F1-score (91.4%), and AUC-ROC (94.3%), ensuring both high diagnostic accuracy and robustness in real-world ASD screening. An ablation study highlights the significance of feature selection and preprocessing, revealing that omitting key features or preprocessing steps (such as normalization and missing data imputation) significantly degrades performance. Furthermore, SHAP-based feature importance analysis identifies social responsiveness scores, repetitive behavior scales, and parental age at birth as the most influential factors in ASD diagnosis. These insights align with medical literature, reinforcing the reliability of the model’s predictions and its applicability in clinical settings.</t>
        </is>
      </c>
      <c r="W322" s="4" t="inlineStr">
        <is>
          <t>open_full_text_review_2026_09_04</t>
        </is>
      </c>
      <c r="X322" s="4" t="inlineStr">
        <is>
          <t>doi:10.1038/s41598-025-24662-9</t>
        </is>
      </c>
      <c r="Y322" s="4" t="n"/>
      <c r="Z322" s="4" t="n"/>
      <c r="AA322" s="4" t="n"/>
      <c r="AB322" s="40" t="n"/>
    </row>
    <row r="323" ht="409" customHeight="1">
      <c r="A323" s="4" t="n">
        <v>322</v>
      </c>
      <c r="B323" s="4" t="inlineStr">
        <is>
          <t>exclude_integrity_notice_or_retracted</t>
        </is>
      </c>
      <c r="C323" s="4" t="inlineStr">
        <is>
          <t>Excluir por integridad/tipo de registro</t>
        </is>
      </c>
      <c r="D323" s="4" t="inlineStr">
        <is>
          <t>Excluded</t>
        </is>
      </c>
      <c r="E323" s="4" t="inlineStr">
        <is>
          <t>No</t>
        </is>
      </c>
      <c r="F323" s="4" t="inlineStr">
        <is>
          <t>Title/abstract screening and source verification</t>
        </is>
      </c>
      <c r="G323" s="4" t="n"/>
      <c r="H323" s="4" t="n"/>
      <c r="I323" s="4" t="inlineStr">
        <is>
          <t>Removal notice</t>
        </is>
      </c>
      <c r="J323" s="4" t="inlineStr">
        <is>
          <t>Aviso editorial, corrección, retirada, retractación o artículo retractado; no constituye un estudio nuevo incorporable.</t>
        </is>
      </c>
      <c r="K323" s="4" t="n"/>
      <c r="L323" s="4" t="n"/>
      <c r="M323" s="4" t="n">
        <v>2026</v>
      </c>
      <c r="N323" s="4" t="inlineStr">
        <is>
          <t>Removal notice to “The emergence of artificial intelligence in autism spectrum disorder research: A review of neuro imaging and behavioral applications”(Computer Science Review, (2025), 56, C, (100718), (S1574013724001011), 10.1016/j.cosrev.2024.100718)</t>
        </is>
      </c>
      <c r="O323" s="4" t="inlineStr">
        <is>
          <t>Indra Devi KB and Durai Raj Vincent PM</t>
        </is>
      </c>
      <c r="P323" s="4" t="inlineStr">
        <is>
          <t>10.1016/j.cosrev.2026.100977</t>
        </is>
      </c>
      <c r="Q323" s="4" t="inlineStr">
        <is>
          <t>Computer Science Review</t>
        </is>
      </c>
      <c r="R323" s="4" t="inlineStr">
        <is>
          <t>article</t>
        </is>
      </c>
      <c r="S323" s="4" t="inlineStr">
        <is>
          <t>Elsevier Ireland Ltd</t>
        </is>
      </c>
      <c r="T323" s="4" t="inlineStr">
        <is>
          <t>https://www.sciencedirect.com/science/article/pii/S1574013726000857</t>
        </is>
      </c>
      <c r="U323" s="4" t="n"/>
      <c r="V323" s="4" t="inlineStr">
        <is>
          <t>This article has been removed: please see Elsevier Policy on Article Withdrawal (https://www.elsevier.com/about/policies-and-standards/article-withdrawal). This article has been removed at the request of the Editors-in-Chief. Post-publication, the journal was alerted to concerns regarding a dataset used in this study. It has been reported that the dataset contains images of patients without autism spectrum disorder (ASD) diagnosis. In addition, there is no information about informed patient consent. The journal contacted the authors for clarification, but their response did not resolve the journal's concerns. The Editors-in-Chief have determined that this article should be removed because the integrity and reliability of the study cannot be relied upon, and because an image from the dataset was republished. The authors agree with the removal. Apologies are offered to the readers of the journal.</t>
        </is>
      </c>
      <c r="W323" s="4" t="inlineStr">
        <is>
          <t>title_abstract_plus_targeted_primary_source_verification</t>
        </is>
      </c>
      <c r="X323" s="4" t="inlineStr">
        <is>
          <t>doi:10.1016/j.cosrev.2026.100977</t>
        </is>
      </c>
      <c r="Y323" s="4" t="n"/>
      <c r="Z323" s="4" t="n"/>
      <c r="AA323" s="4" t="n"/>
      <c r="AB323" s="40" t="n"/>
    </row>
    <row r="324" ht="409" customHeight="1">
      <c r="A324" s="4" t="n">
        <v>323</v>
      </c>
      <c r="B324" s="4" t="inlineStr">
        <is>
          <t>include_after_title_abstract_screen</t>
        </is>
      </c>
      <c r="C324" s="4" t="inlineStr">
        <is>
          <t>Incluir provisionalmente</t>
        </is>
      </c>
      <c r="D324" s="4" t="inlineStr">
        <is>
          <t>Provisional include</t>
        </is>
      </c>
      <c r="E324" s="4" t="inlineStr">
        <is>
          <t>Sí</t>
        </is>
      </c>
      <c r="F324" s="4" t="inlineStr">
        <is>
          <t>Title/abstract screening</t>
        </is>
      </c>
      <c r="G324" s="4" t="n"/>
      <c r="H324" s="4" t="n"/>
      <c r="I324" s="4" t="n"/>
      <c r="J324" s="4" t="inlineStr">
        <is>
          <t>Estudio primario o implementación/evaluación empírica de IA, aprendizaje automático o modelado computacional aplicado a ASD, riesgo, caracterización, apoyo o intervención.</t>
        </is>
      </c>
      <c r="K324" s="4" t="n"/>
      <c r="L324" s="4" t="n"/>
      <c r="M324" s="4" t="n">
        <v>2026</v>
      </c>
      <c r="N324" s="4" t="inlineStr">
        <is>
          <t>Energy-Efficient EEG-Based Autism Spectrum Disorder Detection Using a Hyperbolic Attention Neural Network</t>
        </is>
      </c>
      <c r="O324" s="4" t="inlineStr">
        <is>
          <t>S Anshad A. and K Padmanaban and L Guganathan and J Anupama</t>
        </is>
      </c>
      <c r="P324" s="4" t="inlineStr">
        <is>
          <t>10.1002/dneu.70011</t>
        </is>
      </c>
      <c r="Q324" s="4" t="inlineStr">
        <is>
          <t>Developmental Neurobiology</t>
        </is>
      </c>
      <c r="R324" s="4" t="inlineStr">
        <is>
          <t>article</t>
        </is>
      </c>
      <c r="S324" s="4" t="inlineStr">
        <is>
          <t>John Wiley and Sons Inc</t>
        </is>
      </c>
      <c r="T324" s="4" t="inlineStr">
        <is>
          <t>https://doi.org/10.1002/dneu.70011</t>
        </is>
      </c>
      <c r="U324" s="4" t="n"/>
      <c r="V324" s="4" t="inlineStr">
        <is>
          <t>Long-term physiological monitoring using wearable wireless systems represents a paradigm change in next-generation e-health applications. Specifically, electroencephalography (EEG) represents a noninvasive and trustworthy way of recording brain activity and is a likely candidate for the early diagnosis of autism spectrum disorder (ASD). Yet, conventional methods involving the streaming of raw EEG signals to outside servers for classification consume significant energy and drastically shorten the operational life of wearable sensors. In response to these gaps, this research introduced an energy-aware, sensor-based scheme for ASD detection during early childhood from EEG signals. The system exploits on-node signal denoising via chaotic signal models, feature extraction by dual tree discrete wavelet transform (DT-DWT), and lightweight feature selection by parrot optimization (PO). The core detection is executed via a new Hyperbolic Cross-Head Attention-Based Neural Network (HyperCrossNet) that proposes deep reversible learning in conjunction with spatial and channel-oriented attention mechanisms. The network weights are then optimized by the Pied Kingfisher Optimization Algorithm (PKO) for improved accuracy. Experimental outcomes indicate 99.92% classification, 99.91% recall, and a 99.90% F1-score not mentioning that it has lowered considerably the amount of energy used to transmit the raw data. This effective design enables real-time wearable detection useful and applicable to long-term monitoring.</t>
        </is>
      </c>
      <c r="W324" s="4" t="inlineStr">
        <is>
          <t>title_abstract_plus_targeted_primary_source_verification</t>
        </is>
      </c>
      <c r="X324" s="4" t="inlineStr">
        <is>
          <t>doi:10.1002/dneu.70011</t>
        </is>
      </c>
      <c r="Y324" s="4" t="n"/>
      <c r="Z324" s="4" t="n"/>
      <c r="AA324" s="4" t="n"/>
      <c r="AB324" s="40" t="n"/>
    </row>
    <row r="325" ht="409" customHeight="1">
      <c r="A325" s="4" t="n">
        <v>324</v>
      </c>
      <c r="B325" s="4" t="inlineStr">
        <is>
          <t>duplicate_within_export</t>
        </is>
      </c>
      <c r="C325" s="4" t="inlineStr">
        <is>
          <t>No agregar: duplicado interno</t>
        </is>
      </c>
      <c r="D325" s="4" t="inlineStr">
        <is>
          <t>Duplicate within update</t>
        </is>
      </c>
      <c r="E325" s="4" t="inlineStr">
        <is>
          <t>No</t>
        </is>
      </c>
      <c r="F325" s="4" t="inlineStr">
        <is>
          <t>Deduplication</t>
        </is>
      </c>
      <c r="G325" s="4" t="n"/>
      <c r="H325" s="4" t="n"/>
      <c r="I325" s="4" t="n"/>
      <c r="J325" s="4" t="inlineStr">
        <is>
          <t>Mismo DOI o título que otro registro anterior de esta exportación.</t>
        </is>
      </c>
      <c r="K325" s="4" t="n">
        <v>206</v>
      </c>
      <c r="L325" s="4" t="n"/>
      <c r="M325" s="4" t="n">
        <v>2025</v>
      </c>
      <c r="N325" s="4" t="inlineStr">
        <is>
          <t>Diagnostic accuracy of AI-based models for autism spectrum disorder: A systematic review and meta-analysis with a focus on Arab populations</t>
        </is>
      </c>
      <c r="O325" s="4" t="inlineStr">
        <is>
          <t>Ali Fahad Aldakhil and Khalid N Alasim</t>
        </is>
      </c>
      <c r="P325" s="4" t="inlineStr">
        <is>
          <t>10.1016/j.ridd.2025.105166</t>
        </is>
      </c>
      <c r="Q325" s="4" t="inlineStr">
        <is>
          <t>Research in Developmental Disabilities</t>
        </is>
      </c>
      <c r="R325" s="4" t="inlineStr">
        <is>
          <t>article</t>
        </is>
      </c>
      <c r="S325" s="4" t="inlineStr">
        <is>
          <t>Elsevier Inc.</t>
        </is>
      </c>
      <c r="T325" s="4" t="inlineStr">
        <is>
          <t>https://doi.org/10.1016/j.ridd.2025.105166</t>
        </is>
      </c>
      <c r="U325" s="4" t="n"/>
      <c r="V325" s="4" t="inlineStr">
        <is>
          <t>Background Autism Spectrum Disorder (ASD) is a prevalent neurodevelopmental condition globally, including in Arab countries, where stigma, limited awareness, and scarce specialized services often delay diagnosis and care. Artificial intelligence (AI) offers scalable solutions for screening, early diagnosis, and intervention programmes. Aims To evaluate the diagnostic accuracy of AI-based models for ASD with a specific focus on Arab cohorts, and to appraise methodological quality and potential cultural influences on model performance. Methods We searched PubMed, Scopus, and Web of Science for studies published between January 2019 and September 2025. Eligible studies evaluated supervised AI systems, machine learning (ML), or deep learning (DL) that classify individuals as ASD versus non-ASD against a clinician-confirmed reference standard. Study quality was assessed using QUADAS-2. Diagnostic accuracy metrics (sensitivity, specificity, likelihood ratios, diagnostic odds ratio) were pooled using a bivariate random-effects model. Results Fifteen studies were included in the systematic review; ten studies were eligible for meta-analysis (59 model evaluations; 26,569 instances), comparing AI models against clinician-confirmed autism diagnoses. Pooled sensitivity was 91.8 % (95 % CI [89.0, 94.2]) and specificity 90.7 % (95 % CI [87.6, 93.5]), yielding a diagnostic odds ratio (DOR) of 109.0 (95 % CI [59.5, 227.9]), positive likelihood ratio (LR⁺) of 9.8, and negative likelihood ratio (LR⁻) of 0.09. Subgroup analysis revealed hybrid models (deep feature extractors with classical classifiers) achieved the highest accuracy (sensitivity 95.2 %, specificity 96.0 %), followed by conventional ML (sensitivity 91.6 %, specificity 90.3 %), and DL alone (sensitivity 87.3 %, specificity 86.0 %). In Arab-only cohorts, models showed higher sensitivity (94.2 %) but lower specificity (87.6 %), suggesting stronger rule-out potential but more false positives. Conclusion To our knowledge, this is the first systematic meta-analysis of AI-based ASD diagnostics confirms high accuracy, with hybrid models excelling compared to both traditional ML and DL alone. In Arab cohorts, models showed higher sensitivity but lower specificity, highlighting the importance of cultural and linguistic tailoring of assessment tools, diagnostic protocols, and datasets, alongside regional challenges such as stigma and limited resources. These findings support AI as a valuable tool for early detection and screening.</t>
        </is>
      </c>
      <c r="W325" s="4" t="inlineStr">
        <is>
          <t>title_abstract_plus_targeted_primary_source_verification</t>
        </is>
      </c>
      <c r="X325" s="4" t="inlineStr">
        <is>
          <t>doi:10.1016/j.ridd.2025.105166</t>
        </is>
      </c>
      <c r="Y325" s="4" t="n"/>
      <c r="Z325" s="4" t="n"/>
      <c r="AA325" s="4" t="n"/>
      <c r="AB325" s="40" t="n"/>
    </row>
    <row r="326" ht="409" customHeight="1">
      <c r="A326" s="4" t="n">
        <v>325</v>
      </c>
      <c r="B326" s="4" t="inlineStr">
        <is>
          <t>exclude_secondary_or_nonempirical_publication</t>
        </is>
      </c>
      <c r="C326" s="4" t="inlineStr">
        <is>
          <t>Excluir: publicación secundaria/no empírica</t>
        </is>
      </c>
      <c r="D326" s="4" t="inlineStr">
        <is>
          <t>Excluded</t>
        </is>
      </c>
      <c r="E326" s="4" t="inlineStr">
        <is>
          <t>No</t>
        </is>
      </c>
      <c r="F326" s="4" t="inlineStr">
        <is>
          <t>Title/abstract screening</t>
        </is>
      </c>
      <c r="G326" s="4" t="n"/>
      <c r="H326" s="4" t="n"/>
      <c r="I326" s="4" t="n"/>
      <c r="J326" s="4" t="inlineStr">
        <is>
          <t>Revisión, metaanálisis, encuesta de literatura, protocolo, perspectiva, carta, editorial o capítulo de síntesis sin estudio primario elegible.</t>
        </is>
      </c>
      <c r="K326" s="4" t="n"/>
      <c r="L326" s="4" t="n"/>
      <c r="M326" s="4" t="n">
        <v>2026</v>
      </c>
      <c r="N326" s="4" t="inlineStr">
        <is>
          <t>Challenges in translating AI-driven ASD/ADHD diagnosis: A methodological systematic review</t>
        </is>
      </c>
      <c r="O326" s="4" t="inlineStr">
        <is>
          <t>Abdur Rasool and Faizan Ahmad and Chayut Bunterngchit and Saba Aslam</t>
        </is>
      </c>
      <c r="P326" s="4" t="inlineStr">
        <is>
          <t>10.1016/j.ijmedinf.2026.106417</t>
        </is>
      </c>
      <c r="Q326" s="4" t="inlineStr">
        <is>
          <t>International Journal of Medical Informatics</t>
        </is>
      </c>
      <c r="R326" s="4" t="inlineStr">
        <is>
          <t>article</t>
        </is>
      </c>
      <c r="S326" s="4" t="inlineStr">
        <is>
          <t>Elsevier Ireland Ltd</t>
        </is>
      </c>
      <c r="T326" s="4" t="inlineStr">
        <is>
          <t>https://www.sciencedirect.com/science/article/pii/S1386505626001577</t>
        </is>
      </c>
      <c r="U326" s="4" t="n"/>
      <c r="V326" s="4" t="inlineStr">
        <is>
          <t>Background: Early and accurate diagnosis of neurodevelopmental disorders (NDDs), including autism spectrum disorder (ASD) and attention-deficit/hyperactivity disorder (ADHD), remains a critical challenge in pediatric care. Traditional methods rely on subjective behavioral assessments that are time-intensive and prone to bias. Objective: This systematic review synthesizes biomedical informatics methodologies using deep learning-driven computer vision to enable objective, data-driven diagnostic decision support for pediatric NDDs. Methods: Following PRISMA guidelines, we searched Web of Science and Scopus (2020–2024), identifying 43 Q1/Q2 studies. Four informatics-focused research questions were addressed: multimodal feature extraction, deep learning architectures, high-performing strategies, and robust data integration challenges. Methodological quality and bias were assessed using the APPRAISE-AI framework. Results: Multimodal fusion and hybrid informatics pipelines dominated (38% of studies), outperforming unimodal approaches by integrating complementary streams—facial imaging (high specificity), EEG/fMRI (superior sensitivity). Transfer learning and fusion techniques were prevalent, but federated learning and explainable AI were underutilized. APPRAISE-AI revealed strong clinical relevance (72.8%) and reporting quality (66.1%), yet substantial gaps in reproducibility (41.0%) and result robustness (45.1%). Conclusions: AI-driven biomedical informatics holds significant potential to reduce diagnostic delays and costs in NDDs. However, reproducibility, interpretability, and ethical data integration must be improved through standardized, privacy-preserving, and auditable frameworks to enable scalable clinical deployment.</t>
        </is>
      </c>
      <c r="W326" s="4" t="inlineStr">
        <is>
          <t>title_abstract_plus_targeted_primary_source_verification</t>
        </is>
      </c>
      <c r="X326" s="4" t="inlineStr">
        <is>
          <t>doi:10.1016/j.ijmedinf.2026.106417</t>
        </is>
      </c>
      <c r="Y326" s="4" t="n"/>
      <c r="Z326" s="4" t="n"/>
      <c r="AA326" s="4" t="n"/>
      <c r="AB326" s="40" t="n"/>
    </row>
    <row r="327" ht="409" customHeight="1">
      <c r="A327" s="4" t="n">
        <v>326</v>
      </c>
      <c r="B327" s="4" t="inlineStr">
        <is>
          <t>include_after_title_abstract_screen</t>
        </is>
      </c>
      <c r="C327" s="4" t="inlineStr">
        <is>
          <t>Incluir provisionalmente</t>
        </is>
      </c>
      <c r="D327" s="4" t="inlineStr">
        <is>
          <t>Provisional include</t>
        </is>
      </c>
      <c r="E327" s="4" t="inlineStr">
        <is>
          <t>Sí</t>
        </is>
      </c>
      <c r="F327" s="4" t="inlineStr">
        <is>
          <t>Title/abstract screening</t>
        </is>
      </c>
      <c r="G327" s="4" t="n"/>
      <c r="H327" s="4" t="n"/>
      <c r="I327" s="4" t="n"/>
      <c r="J327" s="4" t="inlineStr">
        <is>
          <t>Estudio primario o implementación/evaluación empírica de IA, aprendizaje automático o modelado computacional aplicado a ASD, riesgo, caracterización, apoyo o intervención.</t>
        </is>
      </c>
      <c r="K327" s="4" t="n"/>
      <c r="L327" s="4" t="n"/>
      <c r="M327" s="4" t="n">
        <v>2025</v>
      </c>
      <c r="N327" s="4" t="inlineStr">
        <is>
          <t>Classification of Autism Spectrum Disorder Using Edge-Weight Enhanced Graph Attention Network With Multiple Features of Resting-State fNIRS Signals</t>
        </is>
      </c>
      <c r="O327" s="4" t="inlineStr">
        <is>
          <t>Jingwen Cai and Xi Zeng and Jun Li</t>
        </is>
      </c>
      <c r="P327" s="4" t="inlineStr">
        <is>
          <t>10.1002/jbio.202500138</t>
        </is>
      </c>
      <c r="Q327" s="4" t="inlineStr">
        <is>
          <t>Journal of Biophotonics</t>
        </is>
      </c>
      <c r="R327" s="4" t="inlineStr">
        <is>
          <t>article</t>
        </is>
      </c>
      <c r="S327" s="4" t="inlineStr">
        <is>
          <t>John Wiley and Sons Inc</t>
        </is>
      </c>
      <c r="T327" s="4" t="inlineStr">
        <is>
          <t>https://doi.org/10.1002/jbio.202500138</t>
        </is>
      </c>
      <c r="U327" s="4" t="n"/>
      <c r="V327" s="4" t="inlineStr">
        <is>
          <t>Functional near-infrared spectroscopy (fNIRS), as a noninvasive brain imaging modality, has shown great potential for autism spectrum disorder (ASD) identification combined with machine learning. In this work, we proposed an ASD identification method using edge-weight enhanced graph attention network (EWE-GAT) with multiple features in resting-state fNIRS signals measured from the bilateral temporal lobes on 22 typically developing (TD) children and 25 children with ASD. Seven features were selected for the EWE-GAT model, including five node features: the coupling between oxygenated hemoglobin (HbO) and deoxygenated hemoglobin (Hb) fluctuations, sample entropy for HbO and Hb, and average resting-state functional connectivity (RSFC) for HbO and Hb of each channel, and two edge features: RSFC between each channel pair for both HbO and Hb. With the proposed method, high accurate classification was achieved with 97.92% accuracy, 100% sensitivity, 96.43% precision, and 98.08% F1 score, outperforming usually used traditional machine learning and convolutional neural network models.</t>
        </is>
      </c>
      <c r="W327" s="4" t="inlineStr">
        <is>
          <t>title_abstract_plus_targeted_primary_source_verification</t>
        </is>
      </c>
      <c r="X327" s="4" t="inlineStr">
        <is>
          <t>doi:10.1002/jbio.202500138</t>
        </is>
      </c>
      <c r="Y327" s="4" t="n"/>
      <c r="Z327" s="4" t="n"/>
      <c r="AA327" s="4" t="n"/>
      <c r="AB327" s="40" t="n"/>
    </row>
    <row r="328" ht="409" customHeight="1">
      <c r="A328" s="4" t="n">
        <v>327</v>
      </c>
      <c r="B328" s="4" t="inlineStr">
        <is>
          <t>duplicate_within_export</t>
        </is>
      </c>
      <c r="C328" s="4" t="inlineStr">
        <is>
          <t>No agregar: duplicado interno</t>
        </is>
      </c>
      <c r="D328" s="4" t="inlineStr">
        <is>
          <t>Duplicate within update</t>
        </is>
      </c>
      <c r="E328" s="4" t="inlineStr">
        <is>
          <t>No</t>
        </is>
      </c>
      <c r="F328" s="4" t="inlineStr">
        <is>
          <t>Deduplication</t>
        </is>
      </c>
      <c r="G328" s="4" t="n"/>
      <c r="H328" s="4" t="n"/>
      <c r="I328" s="4" t="n"/>
      <c r="J328" s="4" t="inlineStr">
        <is>
          <t>Mismo DOI o título que otro registro anterior de esta exportación.</t>
        </is>
      </c>
      <c r="K328" s="4" t="n">
        <v>250</v>
      </c>
      <c r="L328" s="4" t="n"/>
      <c r="M328" s="4" t="n">
        <v>2026</v>
      </c>
      <c r="N328" s="4" t="inlineStr">
        <is>
          <t>An Effective LRSF-DLNN-Based Autism Spectrum Disorder Prediction Using EEG and fMRI</t>
        </is>
      </c>
      <c r="O328" s="4" t="inlineStr">
        <is>
          <t>Sahunthala S and Malathi S and Tamil Thendral M and Sudhahar T N</t>
        </is>
      </c>
      <c r="P328" s="4" t="inlineStr">
        <is>
          <t>10.1002/dneu.70047</t>
        </is>
      </c>
      <c r="Q328" s="4" t="inlineStr">
        <is>
          <t>Developmental neurobiology</t>
        </is>
      </c>
      <c r="R328" s="4" t="inlineStr">
        <is>
          <t>article</t>
        </is>
      </c>
      <c r="S328" s="4" t="n"/>
      <c r="T328" s="4" t="inlineStr">
        <is>
          <t>https://doi.org/10.1002/dneu.70047</t>
        </is>
      </c>
      <c r="U328" s="4" t="n"/>
      <c r="V328" s="4" t="inlineStr">
        <is>
          <t>In today's society, autism spectrum disorder (ASD) is a common neurological disorder that affects a person's behavior and communication. Hence, an early ASD prediction is essential for improving the lifecycle of ASD patients. Recently, many works have been deployed for diagnosing ASD using the electroencephalogram (EEG) and magnetic resonance imaging (MRI). But they are inefficient owing to the irrelevant noises and misclassification outcomes. Hence, a well-ordered logistic regression with scaled function-based deep learning neural network (LRSF-DLNN)-based ASD prediction using EEG and functional MRI (fMRI) is proposed. Initially, the inputs, like the EEG signal and fMRI image of the eye, are gathered and then subjected to the preprocessing phase. Here, for performing noise removal of EEG, the cosine-based Butterworth filter (CBF) approach is established. Similarly, the fMRI undergoes slice time correction and a GF filter-based smoothing process. Then, the preprocessed EEG is decomposed by utilizing weighted penalty factor-centric variational mode decomposition (WPFVMD), and the process of alpha and theta band estimation is performed on the basis of single-scale time dependent-based event-related spectral perturbation (SSTD-ERSP). Likewise, the features are extracted from both the decomposed EEG and smoothed fMRI. Next, the extracted features are given for feature selection (FS) utilizing distance functional green anaconda optimization (DFGAO). Lastly, the optimal features are given to the LRSF-DLNN classifier, which efficiently predicts ASD. Hence, the evaluation outcomes exposed that the proposed technique achieved better performance with a higher accuracy (98.8%) than other prevailing models.</t>
        </is>
      </c>
      <c r="W328" s="4" t="inlineStr">
        <is>
          <t>title_abstract_plus_targeted_primary_source_verification</t>
        </is>
      </c>
      <c r="X328" s="4" t="inlineStr">
        <is>
          <t>doi:10.1002/dneu.70047</t>
        </is>
      </c>
      <c r="Y328" s="4" t="n"/>
      <c r="Z328" s="4" t="n"/>
      <c r="AA328" s="4" t="n"/>
      <c r="AB328" s="40" t="n"/>
    </row>
    <row r="329" ht="409" customHeight="1">
      <c r="A329" s="4" t="n">
        <v>328</v>
      </c>
      <c r="B329" s="4" t="inlineStr">
        <is>
          <t>exclude_secondary_or_nonempirical_publication</t>
        </is>
      </c>
      <c r="C329" s="4" t="inlineStr">
        <is>
          <t>Excluir: publicación secundaria/no empírica</t>
        </is>
      </c>
      <c r="D329" s="4" t="inlineStr">
        <is>
          <t>Excluded</t>
        </is>
      </c>
      <c r="E329" s="4" t="inlineStr">
        <is>
          <t>No</t>
        </is>
      </c>
      <c r="F329" s="4" t="inlineStr">
        <is>
          <t>Title/abstract screening</t>
        </is>
      </c>
      <c r="G329" s="4" t="n"/>
      <c r="H329" s="4" t="n"/>
      <c r="I329" s="4" t="n"/>
      <c r="J329" s="4" t="inlineStr">
        <is>
          <t>Revisión, metaanálisis, encuesta de literatura, protocolo, perspectiva, carta, editorial o capítulo de síntesis sin estudio primario elegible.</t>
        </is>
      </c>
      <c r="K329" s="4" t="n"/>
      <c r="L329" s="4" t="n"/>
      <c r="M329" s="4" t="n">
        <v>2026</v>
      </c>
      <c r="N329" s="4" t="inlineStr">
        <is>
          <t>Closing the Gap in Autism Genetics: Population-Specific Variants and the Imperative for Global Inclusion</t>
        </is>
      </c>
      <c r="O329" s="4" t="inlineStr">
        <is>
          <t>Kan Yang and Yixiao Geng and Wei Zhou and Lingli Zhang and Zhankui Xu and Junwen Wang and Fei Li and Zilong Qiu</t>
        </is>
      </c>
      <c r="P329" s="4" t="inlineStr">
        <is>
          <t>10.1016/j.biopsych.2026.03.999</t>
        </is>
      </c>
      <c r="Q329" s="4" t="inlineStr">
        <is>
          <t>Biological Psychiatry</t>
        </is>
      </c>
      <c r="R329" s="4" t="inlineStr">
        <is>
          <t>article</t>
        </is>
      </c>
      <c r="S329" s="4" t="inlineStr">
        <is>
          <t>Elsevier Inc.</t>
        </is>
      </c>
      <c r="T329" s="4" t="inlineStr">
        <is>
          <t>https://www.sciencedirect.com/science/article/pii/S0006322326011297</t>
        </is>
      </c>
      <c r="U329" s="4" t="n"/>
      <c r="V329" s="4" t="inlineStr">
        <is>
          <t>Autism spectrum disorder (ASD) is a highly heritable neurodevelopmental condition with an exceptionally complex and heterogeneous genetic architecture, encompassing both polygenic common variants and rare, high-impact variants. Over the past decade, large-scale sequencing studies in Europe and North America have identified hundreds of ASD risk genes and substantially advanced biological insight. However, the global distribution of ASD genomic research remains profoundly imbalanced, with most non-European ancestry populations severely underrepresented. This Eurocentric bias constrains variant discovery, limits fine-mapping resolution, and reduces the generalizability of genetic findings, with direct implications for biological interpretation, diagnosis, and therapeutic development. In this review, we synthesize current evidence on the global landscape of ASD genomics, emphasizing the striking contrast between high-depth, well-powered Euro-American cohorts and the persistent undersequencing of populations in Asia and Africa. We highlight emerging data demonstrating pronounced ancestry-specific risk genes, indicating that the genetic architecture of ASD is not uniform worldwide. We further discuss the downstream biological inference and translational applications, including artificial intelligence–assisted diagnostics and gene-based therapies. We argue that achieving a comprehensive and biologically meaningful understanding of risk genes of ASD requires large-scale trans-ethnic sequencing, integrative multi-omic approaches, and coordinated global collaboration.</t>
        </is>
      </c>
      <c r="W329" s="4" t="inlineStr">
        <is>
          <t>title_abstract_plus_targeted_primary_source_verification</t>
        </is>
      </c>
      <c r="X329" s="4" t="inlineStr">
        <is>
          <t>doi:10.1016/j.biopsych.2026.03.999</t>
        </is>
      </c>
      <c r="Y329" s="4" t="n"/>
      <c r="Z329" s="4" t="n"/>
      <c r="AA329" s="4" t="n"/>
      <c r="AB329" s="40" t="n"/>
    </row>
    <row r="330" ht="409" customHeight="1">
      <c r="A330" s="4" t="n">
        <v>329</v>
      </c>
      <c r="B330" s="4" t="inlineStr">
        <is>
          <t>duplicate_within_export</t>
        </is>
      </c>
      <c r="C330" s="4" t="inlineStr">
        <is>
          <t>No agregar: duplicado interno</t>
        </is>
      </c>
      <c r="D330" s="4" t="inlineStr">
        <is>
          <t>Duplicate within update</t>
        </is>
      </c>
      <c r="E330" s="4" t="inlineStr">
        <is>
          <t>No</t>
        </is>
      </c>
      <c r="F330" s="4" t="inlineStr">
        <is>
          <t>Deduplication</t>
        </is>
      </c>
      <c r="G330" s="4" t="n"/>
      <c r="H330" s="4" t="n"/>
      <c r="I330" s="4" t="n"/>
      <c r="J330" s="4" t="inlineStr">
        <is>
          <t>Mismo DOI o título que otro registro anterior de esta exportación.</t>
        </is>
      </c>
      <c r="K330" s="4" t="n">
        <v>254</v>
      </c>
      <c r="L330" s="4" t="n"/>
      <c r="M330" s="4" t="n">
        <v>2026</v>
      </c>
      <c r="N330" s="4" t="inlineStr">
        <is>
          <t>Hybrid groupers-moray orangutan optimization algorithm-based dense-resolution network for autism spectrum disorder detection using multimodal data</t>
        </is>
      </c>
      <c r="O330" s="4" t="inlineStr">
        <is>
          <t>Urtti Bhagyalatha and Bidush Kumar Sahoo and Satish Muppidi</t>
        </is>
      </c>
      <c r="P330" s="4" t="inlineStr">
        <is>
          <t>10.1016/j.pscychresns.2026.112204</t>
        </is>
      </c>
      <c r="Q330" s="4" t="inlineStr">
        <is>
          <t>Psychiatry Research - Neuroimaging</t>
        </is>
      </c>
      <c r="R330" s="4" t="inlineStr">
        <is>
          <t>article</t>
        </is>
      </c>
      <c r="S330" s="4" t="inlineStr">
        <is>
          <t>Elsevier Ireland Ltd</t>
        </is>
      </c>
      <c r="T330" s="4" t="inlineStr">
        <is>
          <t>https://www.sciencedirect.com/science/article/pii/S0925492726000697</t>
        </is>
      </c>
      <c r="U330" s="4" t="n"/>
      <c r="V330" s="4" t="inlineStr">
        <is>
          <t>Autism Spectrum Disorder (ASD) is a neurodevelopmental disorder involving cognitive and social impairments. Precise diagnosis is vital for effective intervention. However, conventional diagnostic techniques exhibited poor generalization, and high error rates while dealing with subtle patterns in neuroimaging or behavioral datasets. To resolve these concerns, this research introduces the Groupers and Moray Orangutan Optimization Algorithm based Dense-Resolution Network (GMOA-DRNet). The multimodal inputs consist of Magnetic Resonance Imaging (MRI) brain images and autism-related phenotypic data. Initially, input brain images are pre-processed by Geometric Mean filters and Region of Interest (RoI) extraction. Then, Functional connectivity-based pivotal region are identified using GMOA. After that, feature extraction is performed by Tamura features and Gradient Directional Pattern (GDP). Concurrently, autism-related data is normalized based on the hyperbolic tangent function, and relevant features are selected using ANOVA. Moreover, data augmentation is conducted using the Adaptive Synthetic Sampling Approach (ADASYN) technique. The extracted features and augmented data are used for ASD detection by the DRNet, trained using GMOA, which combines Groupers and Moray Eels Optimization (GMEO) and Orangutan Optimization Algorithm (OOA). Moreover, GMOA-DRNet achieved better performance with an accuracy of 92.77%, sensitivity of 92.52%, specificity of 92.77%, and a False Omission Rate (FOR) of 0.080.</t>
        </is>
      </c>
      <c r="W330" s="4" t="inlineStr">
        <is>
          <t>title_abstract_plus_targeted_primary_source_verification</t>
        </is>
      </c>
      <c r="X330" s="4" t="inlineStr">
        <is>
          <t>doi:10.1016/j.pscychresns.2026.112204</t>
        </is>
      </c>
      <c r="Y330" s="4" t="n"/>
      <c r="Z330" s="4" t="n"/>
      <c r="AA330" s="4" t="n"/>
      <c r="AB330" s="40" t="n"/>
    </row>
    <row r="331" ht="409" customHeight="1">
      <c r="A331" s="4" t="n">
        <v>330</v>
      </c>
      <c r="B331" s="4" t="inlineStr">
        <is>
          <t>duplicate_within_export</t>
        </is>
      </c>
      <c r="C331" s="4" t="inlineStr">
        <is>
          <t>No agregar: duplicado interno</t>
        </is>
      </c>
      <c r="D331" s="4" t="inlineStr">
        <is>
          <t>Duplicate within update</t>
        </is>
      </c>
      <c r="E331" s="4" t="inlineStr">
        <is>
          <t>No</t>
        </is>
      </c>
      <c r="F331" s="4" t="inlineStr">
        <is>
          <t>Deduplication</t>
        </is>
      </c>
      <c r="G331" s="4" t="n"/>
      <c r="H331" s="4" t="n"/>
      <c r="I331" s="4" t="n"/>
      <c r="J331" s="4" t="inlineStr">
        <is>
          <t>Mismo DOI o título que otro registro anterior de esta exportación.</t>
        </is>
      </c>
      <c r="K331" s="4" t="n">
        <v>325</v>
      </c>
      <c r="L331" s="4" t="n"/>
      <c r="M331" s="4" t="n">
        <v>2026</v>
      </c>
      <c r="N331" s="4" t="inlineStr">
        <is>
          <t>Challenges in translating AI-driven ASD/ADHD diagnosis: A methodological systematic review</t>
        </is>
      </c>
      <c r="O331" s="4" t="inlineStr">
        <is>
          <t>Abdur Rasool and Faizan Ahmad and Chayut Bunterngchit and Saba Aslam</t>
        </is>
      </c>
      <c r="P331" s="4" t="inlineStr">
        <is>
          <t>10.1016/j.ijmedinf.2026.106417</t>
        </is>
      </c>
      <c r="Q331" s="4" t="inlineStr">
        <is>
          <t>International Journal of Medical Informatics</t>
        </is>
      </c>
      <c r="R331" s="4" t="inlineStr">
        <is>
          <t>article</t>
        </is>
      </c>
      <c r="S331" s="4" t="inlineStr">
        <is>
          <t>Elsevier Ireland Ltd</t>
        </is>
      </c>
      <c r="T331" s="4" t="inlineStr">
        <is>
          <t>https://doi.org/10.1016/j.ijmedinf.2026.106417</t>
        </is>
      </c>
      <c r="U331" s="4" t="n"/>
      <c r="V331" s="4" t="inlineStr">
        <is>
          <t>Background: Early and accurate diagnosis of neurodevelopmental disorders (NDDs), including autism spectrum disorder (ASD) and attention-deficit/hyperactivity disorder (ADHD), remains a critical challenge in pediatric care. Traditional methods rely on subjective behavioral assessments that are time-intensive and prone to bias. Objective: This systematic review synthesizes biomedical informatics methodologies using deep learning-driven computer vision to enable objective, data-driven diagnostic decision support for pediatric NDDs. Methods: Following PRISMA guidelines, we searched Web of Science and Scopus (2020–2024), identifying 43 Q1/Q2 studies. Four informatics-focused research questions were addressed: multimodal feature extraction, deep learning architectures, high-performing strategies, and robust data integration challenges. Methodological quality and bias were assessed using the APPRAISE-AI framework. Results: Multimodal fusion and hybrid informatics pipelines dominated (38% of studies), outperforming unimodal approaches by integrating complementary streams—facial imaging (high specificity), EEG/fMRI (superior sensitivity). Transfer learning and fusion techniques were prevalent, but federated learning and explainable AI were underutilized. APPRAISE-AI revealed strong clinical relevance (72.8%) and reporting quality (66.1%), yet substantial gaps in reproducibility (41.0%) and result robustness (45.1%). Conclusions: AI-driven biomedical informatics holds significant potential to reduce diagnostic delays and costs in NDDs. However, reproducibility, interpretability, and ethical data integration must be improved through standardized, privacy-preserving, and auditable frameworks to enable scalable clinical deployment.</t>
        </is>
      </c>
      <c r="W331" s="4" t="inlineStr">
        <is>
          <t>title_abstract_plus_targeted_primary_source_verification</t>
        </is>
      </c>
      <c r="X331" s="4" t="inlineStr">
        <is>
          <t>doi:10.1016/j.ijmedinf.2026.106417</t>
        </is>
      </c>
      <c r="Y331" s="4" t="n"/>
      <c r="Z331" s="4" t="n"/>
      <c r="AA331" s="4" t="n"/>
      <c r="AB331" s="40" t="n"/>
    </row>
    <row r="332" ht="409" customHeight="1">
      <c r="A332" s="4" t="n">
        <v>331</v>
      </c>
      <c r="B332" s="4" t="inlineStr">
        <is>
          <t>include_after_full_text_open_access</t>
        </is>
      </c>
      <c r="C332" s="4" t="inlineStr">
        <is>
          <t>Incluir tras revisión de texto completo abierto</t>
        </is>
      </c>
      <c r="D332" s="4" t="inlineStr">
        <is>
          <t>Provisional include</t>
        </is>
      </c>
      <c r="E332" s="4" t="inlineStr">
        <is>
          <t>Sí</t>
        </is>
      </c>
      <c r="F332" s="4" t="inlineStr">
        <is>
          <t>Full-text review</t>
        </is>
      </c>
      <c r="G332" s="4" t="n"/>
      <c r="H332" s="4" t="n"/>
      <c r="I332" s="4" t="n"/>
      <c r="J332" s="4" t="inlineStr">
        <is>
          <t>Texto completo confirma estudio primario con Deep Learning aplicado a ASD (Classification (ASD vs control)).</t>
        </is>
      </c>
      <c r="K332" s="4" t="n"/>
      <c r="L332" s="4" t="n"/>
      <c r="M332" s="4" t="n">
        <v>2026</v>
      </c>
      <c r="N332" s="4" t="inlineStr">
        <is>
          <t>Hybrid deep learning and feature selection approach for autism detection from rs-fMRI data</t>
        </is>
      </c>
      <c r="O332" s="4" t="inlineStr">
        <is>
          <t>Mohamed Abd Elaziz and Nermine Mahmoud and Ahmed A Ewees and Mohamed G Khattap and Abdelghani Dahou and Safar M Alghamdi and I Nafisah and Ibrahim A Fares and Mohammed Azmi Al-Betar</t>
        </is>
      </c>
      <c r="P332" s="4" t="inlineStr">
        <is>
          <t>10.1371/journal.pone.0339921</t>
        </is>
      </c>
      <c r="Q332" s="4" t="inlineStr">
        <is>
          <t>PLOS ONE</t>
        </is>
      </c>
      <c r="R332" s="4" t="inlineStr">
        <is>
          <t>article</t>
        </is>
      </c>
      <c r="S332" s="4" t="inlineStr">
        <is>
          <t>Public Library of Science</t>
        </is>
      </c>
      <c r="T332" s="4" t="inlineStr">
        <is>
          <t>https://journals.plos.org/plosone/article/file?id=10.1371/journal.pone.0339921&amp;type=printable</t>
        </is>
      </c>
      <c r="U332" s="4" t="inlineStr">
        <is>
          <t>Texto completo abierto revisado; evidencia y codificación en Extraccion_RQ_nuevos.</t>
        </is>
      </c>
      <c r="V332" s="4" t="inlineStr">
        <is>
          <t>Autism Spectrum Disorder (ASD) is a neurodevelopmental condition that is primarily characterized by deficits in social communication and restricted or repetitive behavioral patterns. Although psychologists contribute significantly to the understanding of ASD, offering insights into its cognitive, emotional, and behavioral dimensions through assessments, diagnoses, therapeutic approaches, and family support, the diagnostic process remains complex. This complexity arises from the diverse manifestations of the disorder and the challenges associated with data sharing. In addition, conventional machine learning approaches for ASD detection may struggle with high-dimensional neuroimaging data and may require careful feature engineering. Consequently, this motivated us to enhance ASD diagnosis by incorporating deep learning (DL) techniques for feature extraction alongside a modified exponential-trigonometric optimization (ETO) algorithm as a feature selection (FS) technique. The modified ETO integrates the Arithmetic Optimization Algorithm (AOA) and the Guided Learning Strategy (GLS) to improve diagnostic performance. To evaluate the effectiveness of the proposed model, we utilized resting-state functional MRI (rs-fMRI) data from the Autism Brain Imaging Data Exchange (ABIDE I). Furthermore, the performance of the proposed model was compared with that of established models. The results indicate that the proposed model achieves competitive and, in most cases, superior performance compared with the benchmark methods, demonstrating superior accuracy, sensitivity, and AUC in diagnosing ASD. On average across the three atlas-based feature sets, the proposed model has an accuracy, sensitivity, and AUC of 73%, 78%, and 79%, respectively.</t>
        </is>
      </c>
      <c r="W332" s="4" t="inlineStr">
        <is>
          <t>open_full_text_review_2026_09_04</t>
        </is>
      </c>
      <c r="X332" s="4" t="inlineStr">
        <is>
          <t>doi:10.1371/journal.pone.0339921</t>
        </is>
      </c>
      <c r="Y332" s="4" t="n"/>
      <c r="Z332" s="4" t="n"/>
      <c r="AA332" s="4" t="n"/>
      <c r="AB332" s="40" t="n"/>
    </row>
    <row r="333" ht="409" customHeight="1">
      <c r="A333" s="4" t="n">
        <v>332</v>
      </c>
      <c r="B333" s="4" t="inlineStr">
        <is>
          <t>duplicate_within_export</t>
        </is>
      </c>
      <c r="C333" s="4" t="inlineStr">
        <is>
          <t>No agregar: duplicado interno</t>
        </is>
      </c>
      <c r="D333" s="4" t="inlineStr">
        <is>
          <t>Duplicate within update</t>
        </is>
      </c>
      <c r="E333" s="4" t="inlineStr">
        <is>
          <t>No</t>
        </is>
      </c>
      <c r="F333" s="4" t="inlineStr">
        <is>
          <t>Deduplication</t>
        </is>
      </c>
      <c r="G333" s="4" t="n"/>
      <c r="H333" s="4" t="n"/>
      <c r="I333" s="4" t="n"/>
      <c r="J333" s="4" t="inlineStr">
        <is>
          <t>Mismo DOI o título que otro registro anterior de esta exportación.</t>
        </is>
      </c>
      <c r="K333" s="4" t="n">
        <v>248</v>
      </c>
      <c r="L333" s="4" t="n"/>
      <c r="M333" s="4" t="n">
        <v>2026</v>
      </c>
      <c r="N333" s="4" t="inlineStr">
        <is>
          <t>Optimized quadrangle attention consolidated convolutional multi-scale vision transformer based autism detection</t>
        </is>
      </c>
      <c r="O333" s="4" t="inlineStr">
        <is>
          <t>Jagadesh Balasubramani</t>
        </is>
      </c>
      <c r="P333" s="4" t="inlineStr">
        <is>
          <t>10.1016/j.pscychresns.2026.112251</t>
        </is>
      </c>
      <c r="Q333" s="4" t="inlineStr">
        <is>
          <t>Psychiatry Research - Neuroimaging</t>
        </is>
      </c>
      <c r="R333" s="4" t="inlineStr">
        <is>
          <t>article</t>
        </is>
      </c>
      <c r="S333" s="4" t="inlineStr">
        <is>
          <t>Elsevier Ireland Ltd</t>
        </is>
      </c>
      <c r="T333" s="4" t="inlineStr">
        <is>
          <t>https://www.sciencedirect.com/science/article/pii/S0925492726001162</t>
        </is>
      </c>
      <c r="U333" s="4" t="n"/>
      <c r="V333" s="4" t="inlineStr">
        <is>
          <t>Autism is a complex neurological condition characterized by repetitive behaviours, varied speech and difficulties in social interaction. Identifying autism spectrum using traditional methods alone is challenging due to its complexity and variability. In order to facilitate earlier and more accurate detection, Artificial intelligence (AI) methods have been developed to improve traditional diagnostic techniques. Standard diagnostic methods often struggle with reliability due to the variability and complexity of autistic individuals. To overcome these challenges, this study proposes a novel Deep Learning (DL) based framework for efficient and accurate autism spectrum detection. The input data are first pre-processed using an Adaptive Median Gaussian Filter (AMGF) to remove noise while preserving essential image features. Then, Generative Adversarial Networks (GANs) are employed for data augmentation, effectively overcoming dataset imbalance and security. Feature extraction is carried out using the Deep Multi-scale and multi-level enclosed attentional DarkNet (DMM-AND) model, which captures both fine-grained and high-level patterns. Finally, autism spectrum detection is performed using the Optimized Quadrangle Attention consolidated Convolutional Multi-scale Vision Transformer (OQA-CMVT) model. Here, the Random Spiral exploit chimp optimization algorithm (RS-COA) is used for the hyperparameter tuning process. The proposed technique achieves 97.96% accuracy for the autistic children's facial dataset and 98.04% for the Autism_Image_Data dataset.</t>
        </is>
      </c>
      <c r="W333" s="4" t="inlineStr">
        <is>
          <t>title_abstract_plus_targeted_primary_source_verification</t>
        </is>
      </c>
      <c r="X333" s="4" t="inlineStr">
        <is>
          <t>doi:10.1016/j.pscychresns.2026.112251</t>
        </is>
      </c>
      <c r="Y333" s="4" t="n"/>
      <c r="Z333" s="4" t="n"/>
      <c r="AA333" s="4" t="n"/>
      <c r="AB333" s="40" t="n"/>
    </row>
    <row r="334" ht="409" customHeight="1">
      <c r="A334" s="4" t="n">
        <v>333</v>
      </c>
      <c r="B334" s="4" t="inlineStr">
        <is>
          <t>exclude_no_qualifying_ai_application</t>
        </is>
      </c>
      <c r="C334" s="4" t="inlineStr">
        <is>
          <t>Excluir: sin aplicación de IA elegible</t>
        </is>
      </c>
      <c r="D334" s="4" t="inlineStr">
        <is>
          <t>Excluded</t>
        </is>
      </c>
      <c r="E334" s="4" t="inlineStr">
        <is>
          <t>No</t>
        </is>
      </c>
      <c r="F334" s="4" t="inlineStr">
        <is>
          <t>Title/abstract screening</t>
        </is>
      </c>
      <c r="G334" s="4" t="n"/>
      <c r="H334" s="4" t="n"/>
      <c r="I334" s="4" t="n"/>
      <c r="J334" s="4" t="inlineStr">
        <is>
          <t>El trabajo no implementa ni evalúa una técnica de IA/ML como componente sustantivo del estudio de ASD.</t>
        </is>
      </c>
      <c r="K334" s="4" t="n"/>
      <c r="L334" s="4" t="n"/>
      <c r="M334" s="4" t="n">
        <v>2026</v>
      </c>
      <c r="N334" s="4" t="inlineStr">
        <is>
          <t>Orthopaedist Beware: Severe Nutritional Rickets and Autism Spectrum Disorder</t>
        </is>
      </c>
      <c r="O334" s="4" t="inlineStr">
        <is>
          <t>Mohamed Said and Alexandra Falkenberg and Leila Alvandi and Edina Gjonbalaj and Alexa J Karkenny and Melinda S Sharkey</t>
        </is>
      </c>
      <c r="P334" s="4" t="inlineStr">
        <is>
          <t>10.1016/j.jposna.2026.100382</t>
        </is>
      </c>
      <c r="Q334" s="4" t="inlineStr">
        <is>
          <t>Journal of the Pediatric Orthopaedic Society of North America</t>
        </is>
      </c>
      <c r="R334" s="4" t="inlineStr">
        <is>
          <t>article</t>
        </is>
      </c>
      <c r="S334" s="4" t="inlineStr">
        <is>
          <t>Elsevier B.V.</t>
        </is>
      </c>
      <c r="T334" s="4" t="inlineStr">
        <is>
          <t>https://www.sciencedirect.com/science/article/pii/S2768276526000611</t>
        </is>
      </c>
      <c r="U334" s="4" t="n"/>
      <c r="V334" s="4" t="inlineStr">
        <is>
          <t>Background: The prevalence of autism spectrum disorder (ASD) continues to rise in the United States, and many affected children have highly selective diets and sensory-driven food aversions that increase the risk of micronutrient deficiencies. In low-resource settings, food insecurity and limited access to autism evaluation and supportive services may further heighten this risk. At our urban tertiary pediatric center, we have diagnosed severe nutritional rickets in a number of children and adolescents with ASD and restrictive diets. This case series describes the clinical, metabolic, and orthopaedic manifestations of nutritional rickets in this population. Methods: We performed a retrospective chart review at a single urban tertiary children's hospital to identify pediatric and adolescent patients with ASD who presented with symptomatic nutritional rickets from 2019 to 2024. Patients were included if they had clinical findings concerning for rickets, laboratory evidence of vitamin D deficiency (with or without hypocalcemia), and radiographic findings consistent with rickets. We collected demographics, presenting symptoms, dietary patterns, key examination findings, laboratory values, imaging features, management, and outcomes, including follow-up calcium and vitamin D levels. Socioeconomic status was characterized using the Child Opportunity Index (COI) 2.0 by a residential ZIP code. Results: Eleven patients (age: 4-16 years) met the inclusion criteria. All patients resided in neighborhoods in the lowest COI quintile. All had 25-hydroxy vitamin D levels &lt;10 ng/mL; 8 had serum calcium &lt;7.0 mg/dL, and 3 presented with hypocalcemic seizures. Seven patients presented to the pediatric orthopaedic surgeon with a variety of musculoskeletal complaints, and radiographs commonly demonstrated genu valgum and rickets. Most patients improved with nutritional supplementation alone. At follow-up, serum calcium normalized in all patients, vitamin D normalized in 4 patients, remained low in 6, and was undetectable in 1 patient. Severe complications included bilateral femoral neck fractures requiring open reduction and internal fixation and deformity severe enough to require operative intervention (osteotomy and guided growth). Conclusions: Older children and adolescents with ASD and highly selective diets, particularly those living in very low-opportunity neighborhoods, may develop severe nutritional rickets with presentations ranging from subtle gait changes and progressive valgus deformity to hypocalcemic seizures. Orthopaedists should maintain a high index of suspicion for metabolic bone disease in this population and obtain a focused dietary history, targeted laboratory testing, and radiographs to enable timely treatment and prevent morbidity. Key Concepts: (1) Older children and adolescents with autism spectrum disorder (ASD) and highly selective diets, particularly those living in very low-opportunity neighborhoods, can develop severe nutritional rickets and may present first to the orthopaedic surgeon. (2) Presentations range from subtle gait changes and/or progressive genu valgum to hypocalcemic seizures. (3) Dietary history, targeted laboratory testing, and radiographs are essential for timely diagnosis and prevention of morbidity. Level of Evidence: IV</t>
        </is>
      </c>
      <c r="W334" s="4" t="inlineStr">
        <is>
          <t>title_abstract_plus_targeted_primary_source_verification</t>
        </is>
      </c>
      <c r="X334" s="4" t="inlineStr">
        <is>
          <t>doi:10.1016/j.jposna.2026.100382</t>
        </is>
      </c>
      <c r="Y334" s="4" t="n"/>
      <c r="Z334" s="4" t="n"/>
      <c r="AA334" s="4" t="n"/>
      <c r="AB334" s="40" t="n"/>
    </row>
    <row r="335" ht="409" customHeight="1">
      <c r="A335" s="4" t="n">
        <v>334</v>
      </c>
      <c r="B335" s="4" t="inlineStr">
        <is>
          <t>include_after_title_abstract_screen</t>
        </is>
      </c>
      <c r="C335" s="4" t="inlineStr">
        <is>
          <t>Incluir provisionalmente</t>
        </is>
      </c>
      <c r="D335" s="4" t="inlineStr">
        <is>
          <t>Provisional include</t>
        </is>
      </c>
      <c r="E335" s="4" t="inlineStr">
        <is>
          <t>Sí</t>
        </is>
      </c>
      <c r="F335" s="4" t="inlineStr">
        <is>
          <t>Title/abstract screening</t>
        </is>
      </c>
      <c r="G335" s="4" t="n"/>
      <c r="H335" s="4" t="n"/>
      <c r="I335" s="4" t="n"/>
      <c r="J335" s="4" t="inlineStr">
        <is>
          <t>Estudio primario o implementación/evaluación empírica de IA, aprendizaje automático o modelado computacional aplicado a ASD, riesgo, caracterización, apoyo o intervención.</t>
        </is>
      </c>
      <c r="K335" s="4" t="n"/>
      <c r="L335" s="4" t="n"/>
      <c r="M335" s="4" t="n">
        <v>2026</v>
      </c>
      <c r="N335" s="4" t="inlineStr">
        <is>
          <t>Constructing a Predictive Model for Children with Autism Spectrum Disorder Based on Whole-Brain MR Radiomics: A Machine Learning Study</t>
        </is>
      </c>
      <c r="O335" s="4" t="inlineStr">
        <is>
          <t>Xi Chen and Jiaxuan Peng and Zihan Zhang and Qiaowei Song and Dongxue Li and Gongyong Zhai and Wanyun Fu and Zhenyu Shu</t>
        </is>
      </c>
      <c r="P335" s="4" t="inlineStr">
        <is>
          <t>10.3174/ajnr.A8939</t>
        </is>
      </c>
      <c r="Q335" s="4" t="inlineStr">
        <is>
          <t>American Journal of Neuroradiology</t>
        </is>
      </c>
      <c r="R335" s="4" t="inlineStr">
        <is>
          <t>article</t>
        </is>
      </c>
      <c r="S335" s="4" t="inlineStr">
        <is>
          <t>American Society of Neuroradiology</t>
        </is>
      </c>
      <c r="T335" s="4" t="inlineStr">
        <is>
          <t>https://doi.org/10.3174/ajnr.A8939</t>
        </is>
      </c>
      <c r="U335" s="4" t="n"/>
      <c r="V335" s="4" t="inlineStr">
        <is>
          <t>BACKGROUND AND PURPOSE: Current autism spectrum disorder (ASD) diagnosis depends on subjective behavioral assessments causing delays and variability. Structural MRI shows brain abnormalities but traditional analysis lacks sensitivity. This study aims to construct a prediction model based on whole-brain imaging radiomics analysis by using machine learning for identifying children with ASD. MATERIALS AND METHODS: This study used imaging and clinical data from 223 subjects in the Autism Brain Imaging Data Exchange database, including 120 patients diagnosed with ASD. These data were randomly divided into training and test sets in a 7:3 ratio. An independent external test set comprising 87 participants (38 with ASD) from the Georgetown University and University of Miami ASD data set was also utilized. Then, quantitative radiomics features of white matter, gray matter, and CSF were extracted from the whole-brain MR structural images of each subject, and feature dimensionality reduction was performed based on the training set data to construct radiomics signature. Afterward, multivariate logistic regression was used to screen independent predictors of ASD from clinical features and then, combined with radiomics signature, multiple machine learning models were constructed to predict ASD. Finally, the optimal model was selected, and the receiver operating characteristic curve was used to evaluate the training, test, and external test sets data. Simultaneously, the model divides the data set into low-risk and high-risk subgroups, comparing the actual number of individuals with ASD between the 2 subgroups to evaluate the clinical efficacy of the model. RESULTS: The areas under the curve (AUCs) of radiomics markers in the training set, test set, and external test set were 0.78 (95% CI, 0.71–0.85), 0.75 (95% CI, 0.67–0.83), and 0.74 (95% CI, 0.64–0.83), respectively. Multivariate logistic regression showed that the Verbal Intelligence Quotient (VIQ) was a predictor of ASD. The joint model constructed by the decision tree algorithm with radiomics markers performed best, with AUC of 0.87 (95% CI, 0.81–0.92), 0.84 (95% CI, 0.76–0.91), and 0.83 (95% CI, 0.74–0.91), a sensitivity of 0.89 (95% CI, 0.82–0.95), 0.84 (95% CI, 0.73–0.93), and 0.86 (95% CI, 0.72–0.96), and the specificity of 0.70 (95% CI, 0.60–0.79), 0.63 (95% CI, 0.52–0.74), and 0.66 (95% CI, 0.49–0.80), respectively. The low-risk subgroup and high-risk subgroup classified according to the cutoff value of 0.4285 of the model showed statistically significant differences in the actual number of patients with ASD in the training set (x2 ¼ 21.325; P, .05), the test set (x2 ¼ 5.379; P, .05), and the external test set (x2 ¼ 21.52; P, .05). CONCLUSIONS: Radiomics signature for identifying ASD can be constructed based on whole-brain MRI imaging features. The performance of identifying ASD can be improved by adding VIQ data and the decision tree algorithm model, which can provide an adaptive strategy for clinical practice.</t>
        </is>
      </c>
      <c r="W335" s="4" t="inlineStr">
        <is>
          <t>title_abstract_plus_targeted_primary_source_verification</t>
        </is>
      </c>
      <c r="X335" s="4" t="inlineStr">
        <is>
          <t>doi:10.3174/ajnr.a8939</t>
        </is>
      </c>
      <c r="Y335" s="4" t="n"/>
      <c r="Z335" s="4" t="n"/>
      <c r="AA335" s="4" t="n"/>
      <c r="AB335" s="40" t="n"/>
    </row>
    <row r="336" ht="409" customHeight="1">
      <c r="A336" s="4" t="n">
        <v>335</v>
      </c>
      <c r="B336" s="4" t="inlineStr">
        <is>
          <t>include_after_full_text_open_access</t>
        </is>
      </c>
      <c r="C336" s="4" t="inlineStr">
        <is>
          <t>Incluir tras revisión de texto completo abierto</t>
        </is>
      </c>
      <c r="D336" s="4" t="inlineStr">
        <is>
          <t>Provisional include</t>
        </is>
      </c>
      <c r="E336" s="4" t="inlineStr">
        <is>
          <t>Sí</t>
        </is>
      </c>
      <c r="F336" s="4" t="inlineStr">
        <is>
          <t>Full-text review</t>
        </is>
      </c>
      <c r="G336" s="4" t="n"/>
      <c r="H336" s="4" t="n"/>
      <c r="I336" s="4" t="n"/>
      <c r="J336" s="4" t="inlineStr">
        <is>
          <t>Texto completo confirma estudio primario con Machine Learning aplicado a ASD (Classification (ASD vs control)).</t>
        </is>
      </c>
      <c r="K336" s="4" t="n"/>
      <c r="L336" s="4" t="n"/>
      <c r="M336" s="4" t="n">
        <v>2026</v>
      </c>
      <c r="N336" s="4" t="inlineStr">
        <is>
          <t>Diagnostic Classification of Autism Spectrum Disorder in the Frequency Domain Using Resting-State fMRI</t>
        </is>
      </c>
      <c r="O336" s="4" t="inlineStr">
        <is>
          <t>Hossein Haghighat</t>
        </is>
      </c>
      <c r="P336" s="4" t="inlineStr">
        <is>
          <t>10.1007/s12021-026-09782-5</t>
        </is>
      </c>
      <c r="Q336" s="4" t="inlineStr">
        <is>
          <t>Neuroinformatics</t>
        </is>
      </c>
      <c r="R336" s="4" t="inlineStr">
        <is>
          <t>article</t>
        </is>
      </c>
      <c r="S336" s="4" t="inlineStr">
        <is>
          <t>Springer</t>
        </is>
      </c>
      <c r="T336" s="4" t="inlineStr">
        <is>
          <t>https://www.researchsquare.com/article/rs-3427251/latest.pdf</t>
        </is>
      </c>
      <c r="U336" s="4" t="inlineStr">
        <is>
          <t>Texto completo abierto revisado; evidencia y codificación en Extraccion_RQ_nuevos.</t>
        </is>
      </c>
      <c r="V336" s="4" t="inlineStr">
        <is>
          <t>Autism spectrum disorder (ASD) is a neurodevelopmental disorder with problems in social interactions, verbal and non-verbal communication, repetitive behaviors, and limited interests in a person. Considering the challenges in diagnosing ASD based on behavioral symptoms—such as subjectivity, variability among individuals, and overlap with other developmental conditions—it seems necessary to propose computer-aided diagnosis systems (CADS) for ASD. We proposed an age-dependent CADS based on functional connectivity (FC) in the frequency domain for ASD using resting-state functional magnetic resonance imaging (rs-fMRI). Also, the features and classification accuracy obtained in the frequency and time domains were compared. First, preprocessing was performed on the rs-fMRI data. Then, group-independent component analysis (GICA) was used to obtain resting state networks (RSNs). This was followed by obtaining separate components of RSNs for each individual using dual regression. Then, coherence analysis was used to extract the features of FC in the frequency domain between RSNs. To consider the role of age in the classification process, three age groups of children, adolescents, and adults were considered, and feature selection for each age group was applied separately using an embedded approach, in which all classifiers in the Waikato Environment for Knowledge Analysis (WEKA) machine learning platform were used simultaneously. Finally, classification accuracy was obtained for each age group. The proposed CADS was able to classify 95.23% in the children group, 88.1% in the adolescent group, and 92.8% in the adult group. In addition, the frequency bands whose features obtained the most distinction in each age group were identified, highlighting their potential relevance for supporting ASD diagnosis and monitoring rehabilitation.</t>
        </is>
      </c>
      <c r="W336" s="4" t="inlineStr">
        <is>
          <t>open_full_text_review_2026_09_04</t>
        </is>
      </c>
      <c r="X336" s="4" t="inlineStr">
        <is>
          <t>doi:10.1007/s12021-026-09782-5</t>
        </is>
      </c>
      <c r="Y336" s="4" t="n"/>
      <c r="Z336" s="4" t="n"/>
      <c r="AA336" s="4" t="n"/>
      <c r="AB336" s="40" t="n"/>
    </row>
    <row r="337" ht="409" customHeight="1">
      <c r="A337" s="4" t="n">
        <v>336</v>
      </c>
      <c r="B337" s="4" t="inlineStr">
        <is>
          <t>duplicate_within_export</t>
        </is>
      </c>
      <c r="C337" s="4" t="inlineStr">
        <is>
          <t>No agregar: duplicado interno</t>
        </is>
      </c>
      <c r="D337" s="4" t="inlineStr">
        <is>
          <t>Duplicate within update</t>
        </is>
      </c>
      <c r="E337" s="4" t="inlineStr">
        <is>
          <t>No</t>
        </is>
      </c>
      <c r="F337" s="4" t="inlineStr">
        <is>
          <t>Deduplication</t>
        </is>
      </c>
      <c r="G337" s="4" t="n"/>
      <c r="H337" s="4" t="n"/>
      <c r="I337" s="4" t="n"/>
      <c r="J337" s="4" t="inlineStr">
        <is>
          <t>Mismo DOI o título que otro registro anterior de esta exportación.</t>
        </is>
      </c>
      <c r="K337" s="4" t="n">
        <v>270</v>
      </c>
      <c r="L337" s="4" t="n"/>
      <c r="M337" s="4" t="n">
        <v>2026</v>
      </c>
      <c r="N337" s="4" t="inlineStr">
        <is>
          <t>Diagnosing autism spectrum disorders using ensemble-aided weighted fused features and attention-based residual LSTM with brain MRI images</t>
        </is>
      </c>
      <c r="O337" s="4" t="inlineStr">
        <is>
          <t>Nandhini V and Ananthajothi K</t>
        </is>
      </c>
      <c r="P337" s="4" t="inlineStr">
        <is>
          <t>10.1016/j.pscychresns.2026.112230</t>
        </is>
      </c>
      <c r="Q337" s="4" t="inlineStr">
        <is>
          <t>Psychiatry Research - Neuroimaging</t>
        </is>
      </c>
      <c r="R337" s="4" t="inlineStr">
        <is>
          <t>article</t>
        </is>
      </c>
      <c r="S337" s="4" t="inlineStr">
        <is>
          <t>Elsevier Ireland Ltd</t>
        </is>
      </c>
      <c r="T337" s="4" t="inlineStr">
        <is>
          <t>https://www.sciencedirect.com/science/article/pii/S0925492726000958</t>
        </is>
      </c>
      <c r="U337" s="4" t="n"/>
      <c r="V337" s="4" t="inlineStr">
        <is>
          <t>One of the neuro-developmental conditions is called Autism Spectrum Disorder (ASD), which causes changes in the behavior of the patients, and it delays language and social interactions. Details about the functional activity of the brain are provided by Magnetic Resonance Imaging (MRI). Studying each MRI scan of the patients is laborious and time‐consuming for doctors and specialists. To tackle these limitations, this paper develops an advanced deep learning diagnosis method. In the beginning, the necessary MRI images are gathered from the available data resource. The input brain images are subjected to an Ensemble Deep Convolutional Neural Network (EDCNN) for feature extraction, which makes the diagnosis easier by reducing the complexities. The ensemble model is created by the integration of the Visual Geometry Group (VGG16), Residual Network (ResNet), and Inception approaches. Further, the resultant features are fused with weights that are optimized using the Improved Random Uniform Number-aided Humboldt Squid Optimization Algorithm (IRUN-HSOA); thus, the weighted fused feature is obtained. The resultant weighted fused feature is fed into Attention-based Residual Long Short-Term Memory (ARLSTM) for the ASD diagnosis. Further, the developed model is compared with different state-of-the-art techniques, and the suitability of the model is discussed for prospects.</t>
        </is>
      </c>
      <c r="W337" s="4" t="inlineStr">
        <is>
          <t>title_abstract_plus_targeted_primary_source_verification</t>
        </is>
      </c>
      <c r="X337" s="4" t="inlineStr">
        <is>
          <t>doi:10.1016/j.pscychresns.2026.112230</t>
        </is>
      </c>
      <c r="Y337" s="4" t="n"/>
      <c r="Z337" s="4" t="n"/>
      <c r="AA337" s="4" t="n"/>
      <c r="AB337" s="40" t="n"/>
    </row>
    <row r="338" ht="409" customHeight="1">
      <c r="A338" s="4" t="n">
        <v>337</v>
      </c>
      <c r="B338" s="4" t="inlineStr">
        <is>
          <t>exclude_secondary_or_nonempirical_publication</t>
        </is>
      </c>
      <c r="C338" s="4" t="inlineStr">
        <is>
          <t>Excluir: publicación secundaria/no empírica</t>
        </is>
      </c>
      <c r="D338" s="4" t="inlineStr">
        <is>
          <t>Excluded</t>
        </is>
      </c>
      <c r="E338" s="4" t="inlineStr">
        <is>
          <t>No</t>
        </is>
      </c>
      <c r="F338" s="4" t="inlineStr">
        <is>
          <t>Title/abstract screening</t>
        </is>
      </c>
      <c r="G338" s="4" t="n"/>
      <c r="H338" s="4" t="n"/>
      <c r="I338" s="4" t="n"/>
      <c r="J338" s="4" t="inlineStr">
        <is>
          <t>Revisión, metaanálisis, encuesta de literatura, protocolo, perspectiva, carta, editorial o capítulo de síntesis sin estudio primario elegible.</t>
        </is>
      </c>
      <c r="K338" s="4" t="n"/>
      <c r="L338" s="4" t="n"/>
      <c r="M338" s="4" t="n">
        <v>2026</v>
      </c>
      <c r="N338" s="4" t="inlineStr">
        <is>
          <t>Functional near-infrared spectroscopy-based machine learning techniques for autism spectrum disorder diagnosis: a systematic review and meta-analysis</t>
        </is>
      </c>
      <c r="O338" s="4" t="inlineStr">
        <is>
          <t>Xiawei Li and Fuli Yan and Yinghua Wu and Yu Zhou and Luna He and Jing Gao</t>
        </is>
      </c>
      <c r="P338" s="4" t="inlineStr">
        <is>
          <t>10.1016/j.ijmedinf.2026.106526</t>
        </is>
      </c>
      <c r="Q338" s="4" t="inlineStr">
        <is>
          <t>International Journal of Medical Informatics</t>
        </is>
      </c>
      <c r="R338" s="4" t="inlineStr">
        <is>
          <t>article</t>
        </is>
      </c>
      <c r="S338" s="4" t="inlineStr">
        <is>
          <t>Elsevier Ireland Ltd</t>
        </is>
      </c>
      <c r="T338" s="4" t="inlineStr">
        <is>
          <t>https://www.sciencedirect.com/science/article/pii/S1386505626002662</t>
        </is>
      </c>
      <c r="U338" s="4" t="n"/>
      <c r="V338" s="4" t="inlineStr">
        <is>
          <t>Background: Diagnosis of autism spectrum disorder (ASD) primarily relies on subjective behavioral assessments, posing risks of delayed and missed diagnoses. The combination of functional near-infrared spectroscopy (fNIRS) technology and machine learning (ML) offers a novel approach for objective ASD identification; however, its overall diagnostic efficacy and key influencing factors require systematic evaluation. Methods: Following the PRISMA guidelines, we systematically searched PubMed, EMBASE, Web of Science, The Cochrane Library, and Wiley Online Library databases to comprehensively collect English-language literature on fNIRS-based machine learning techniques for ASD diagnosis published from the inception of our database to December 2025. Data were extracted to calculate pooled sensitivity (sen), specificity (spe), positive likelihood ratio (LR + ), negative likelihood ratio (LR-), diagnostic odds ratio (DOR), and their 95% confidence intervals (CI). Pooled receiver operating characteristic (ROC) curves were plotted, and area under the curve (AUC) was calculated to assess diagnostic value. The I2 test assessed study heterogeneity, which was explored through meta-regression and subgroup analyses. Publication bias was evaluated using Deeks funnel plot asymmetry tests. The review protocol was registered in PROSPERO (CRD420251250866). Results: A total of 17 studies were included in the systematic review, with 15 studies included in the meta-analysis. The pooled analysis showed that the sensitivity of fNIRS-based ML techniques for diagnosing ASD was 0.92 (95% CI 0.87–0.95), with a specificity of 0.94 (95% CI 0.90–0.97) and a composite area under the receiver operating characteristic curve (AUC) of 0.98 (95% CI 0.96–0.99). Based on these findings, fNIRS-based ML techniques demonstrate good diagnostic value for ASD. Conclusion: fNIRS-based ML techniques demonstrate excellent diagnostic accuracy for ASD, presenting a highly promising objective diagnostic tool. Future research should focus on establishing standardized, multicenter datasets and analytical workflows, while exploring multimodal data fusion and model interpretability to advance this technology toward stable, reliable clinical diagnostic support.</t>
        </is>
      </c>
      <c r="W338" s="4" t="inlineStr">
        <is>
          <t>title_abstract_plus_targeted_primary_source_verification</t>
        </is>
      </c>
      <c r="X338" s="4" t="inlineStr">
        <is>
          <t>doi:10.1016/j.ijmedinf.2026.106526</t>
        </is>
      </c>
      <c r="Y338" s="4" t="n"/>
      <c r="Z338" s="4" t="n"/>
      <c r="AA338" s="4" t="n"/>
      <c r="AB338" s="40" t="n"/>
    </row>
    <row r="339" ht="409" customHeight="1">
      <c r="A339" s="4" t="n">
        <v>338</v>
      </c>
      <c r="B339" s="4" t="inlineStr">
        <is>
          <t>exclude_secondary_or_nonempirical_publication</t>
        </is>
      </c>
      <c r="C339" s="4" t="inlineStr">
        <is>
          <t>Excluir: publicación secundaria/no empírica</t>
        </is>
      </c>
      <c r="D339" s="4" t="inlineStr">
        <is>
          <t>Excluded</t>
        </is>
      </c>
      <c r="E339" s="4" t="inlineStr">
        <is>
          <t>No</t>
        </is>
      </c>
      <c r="F339" s="4" t="inlineStr">
        <is>
          <t>Title/abstract screening</t>
        </is>
      </c>
      <c r="G339" s="4" t="n"/>
      <c r="H339" s="4" t="n"/>
      <c r="I339" s="4" t="n"/>
      <c r="J339" s="4" t="inlineStr">
        <is>
          <t>Revisión, metaanálisis, encuesta de literatura, protocolo, perspectiva, carta, editorial o capítulo de síntesis sin estudio primario elegible.</t>
        </is>
      </c>
      <c r="K339" s="4" t="n"/>
      <c r="L339" s="4" t="n"/>
      <c r="M339" s="4" t="n">
        <v>2026</v>
      </c>
      <c r="N339" s="4" t="inlineStr">
        <is>
          <t>The role of artificial intelligence interventions to improve eye contact for children with autism spectrum disorder: a systematic review</t>
        </is>
      </c>
      <c r="O339" s="4" t="inlineStr">
        <is>
          <t>Şenol Demirtaş and Metin Besalti</t>
        </is>
      </c>
      <c r="P339" s="4" t="inlineStr">
        <is>
          <t>10.1186/s12888-025-07702-6</t>
        </is>
      </c>
      <c r="Q339" s="4" t="inlineStr">
        <is>
          <t>BMC Psychiatry</t>
        </is>
      </c>
      <c r="R339" s="4" t="inlineStr">
        <is>
          <t>article</t>
        </is>
      </c>
      <c r="S339" s="4" t="inlineStr">
        <is>
          <t>BioMed Central Ltd</t>
        </is>
      </c>
      <c r="T339" s="4" t="inlineStr">
        <is>
          <t>https://doi.org/10.1186/s12888-025-07702-6</t>
        </is>
      </c>
      <c r="U339" s="4" t="n"/>
      <c r="V339" s="4" t="inlineStr">
        <is>
          <t>Background: Children with autism spectrum disorder (ASD) often struggle with eye contact during social interactions, a key aspect of effective communication. In recent years, various artificial intelligence (AI)-based interventions have been developed to support children with ASD. This study aims to systematically review the published literature on the AI-based interventions for improving eye contact. Methods: The review adhered to the 2020 Preferred Reporting Items for Systematic Reviews and Meta-Analyses (PRISMA) guidelines. Two researchers searched six databases: Scopus, Web of Science, PubMed, APA PsycInfo, Education Source, and IEEE Xplore, which initially yielded 1663 records. After screening and eligibility assessment, 16 studies met all inclusion criteria. Data were extracted through a narrative synthesis focusing on key variables, including study characteristics (author, year, region, sample, design, setting, and duration), definitions and measurements of eye contact, AI tool, and technological modalities, findings including reported effectiveness, generalization and maintenance outcomes, as well as whether social validity was assessed in each study. Two researchers independently conducted data extraction, quality assessment, and risk-of-bias evaluation using the Joanna Briggs Institute (JBI) checklists and the Single-Case Experimental Design (SCED) scale. Results: Included studies used a variety of AI-based tools. The most frequently used intervention modality was robotic systems, which were used in 12 studies, followed by wearable technologies (two studies), virtual reality (one), and game-based software (one). Preliminary findings suggest that AI technologies are often associated with increases in the frequency and duration of eye contact. Six studies (38%) assessed generalization of treatment effects, generally reporting positive outcomes, while seven studies (44%) assessed social validity. The research mostly utilized quantitative designs, including randomized controlled trials, repeated measure designs, single-subject research designs, and quasi-experimental designs. One qualitative case study and one case report were also identified. Methodological quality ratings ranged from moderate to high across study designs. Conclusion: This systematic review revealed that AI-based interventions are developing technology for improving eye contact behavior in children with ASD. Particularly, robotic systems provide promising evidence for improving eye-contact behaviors in children with ASD. However, the current evidence base remains limited due to small sample sizes and variations in the operational definitions of eye contact, measurement methods, and levels of AI sophistication. Data on generalization and social validity were also limited, highlighting the need for larger, methodologically rigorous studies to confirm these findings and assess their broader applicability. Clinical trial number: This study did not involve clinical trials, and as such, there is no clinical trial number to report.</t>
        </is>
      </c>
      <c r="W339" s="4" t="inlineStr">
        <is>
          <t>title_abstract_plus_targeted_primary_source_verification</t>
        </is>
      </c>
      <c r="X339" s="4" t="inlineStr">
        <is>
          <t>doi:10.1186/s12888-025-07702-6</t>
        </is>
      </c>
      <c r="Y339" s="4" t="n"/>
      <c r="Z339" s="4" t="n"/>
      <c r="AA339" s="4" t="n"/>
      <c r="AB339" s="40" t="n"/>
    </row>
    <row r="340" ht="409" customHeight="1">
      <c r="A340" s="4" t="n">
        <v>339</v>
      </c>
      <c r="B340" s="4" t="inlineStr">
        <is>
          <t>duplicate_within_export</t>
        </is>
      </c>
      <c r="C340" s="4" t="inlineStr">
        <is>
          <t>No agregar: duplicado interno</t>
        </is>
      </c>
      <c r="D340" s="4" t="inlineStr">
        <is>
          <t>Duplicate within update</t>
        </is>
      </c>
      <c r="E340" s="4" t="inlineStr">
        <is>
          <t>No</t>
        </is>
      </c>
      <c r="F340" s="4" t="inlineStr">
        <is>
          <t>Deduplication</t>
        </is>
      </c>
      <c r="G340" s="4" t="n"/>
      <c r="H340" s="4" t="n"/>
      <c r="I340" s="4" t="n"/>
      <c r="J340" s="4" t="inlineStr">
        <is>
          <t>Mismo DOI o título que otro registro anterior de esta exportación.</t>
        </is>
      </c>
      <c r="K340" s="4" t="n">
        <v>281</v>
      </c>
      <c r="L340" s="4" t="n"/>
      <c r="M340" s="4" t="n">
        <v>2026</v>
      </c>
      <c r="N340" s="4" t="inlineStr">
        <is>
          <t>Artificial Intelligence Methods in Early Detection of Autism Spectrum Disorder: A DSM-5 Criterion-Based Systematic Review.</t>
        </is>
      </c>
      <c r="O340" s="4" t="inlineStr">
        <is>
          <t>Mohamed Ali Zoromba and Heba Emad El-Gazar</t>
        </is>
      </c>
      <c r="P340" s="4" t="inlineStr">
        <is>
          <t>10.1002/aur.70279</t>
        </is>
      </c>
      <c r="Q340" s="4" t="inlineStr">
        <is>
          <t>Autism research : official journal of the International Society for Autism Research</t>
        </is>
      </c>
      <c r="R340" s="4" t="inlineStr">
        <is>
          <t>article</t>
        </is>
      </c>
      <c r="S340" s="4" t="inlineStr">
        <is>
          <t>John Wiley and Sons Inc</t>
        </is>
      </c>
      <c r="T340" s="4" t="inlineStr">
        <is>
          <t>http://www.ncbi.nlm.nih.gov/pubmed/42226557</t>
        </is>
      </c>
      <c r="U340" s="4" t="n"/>
      <c r="V340" s="4" t="inlineStr">
        <is>
          <t>Can Artificial Intelligence (AI) revolutionize early detection of Autism Spectrum Disorder (ASD) by offering a more objective alternative to the subjective behavioral assessments? This systematic review evaluates AI-based methods for early ASD detection in children, assessing the distribution, performance, and DSM-5 alignment of AI techniques, and the methodological quality of existing studies. Following PRISMA guidelines, seven databases (PubMed, Web of Science, Scopus, IEEE Xplore, PsycNET, CINAHL, and Cochrane Library) were searched from January 2015 to March 2025; no backward or forward citation tracking was conducted. Studies were included if they focused on pediatric populations (ages 0-18) with clinically diagnosed ASD, employed AI detection/classification methods, utilized observable behavioral data, and reported diagnostic performance metrics. Studies using exclusively neurobiological data, adult populations, non-English publications, or lacking clear diagnostic reference standards were excluded. Two reviewers independently screened 1018 records; 43 met inclusion criteria. Methodological quality was assessed using QUADAS-2, adapted for machine learning considerations. Classical Machine Learning (34%), Deep Learning (34%), and Hybrid approaches (32%) were equally prevalent. Convolutional Neural Networks and Support Vector Machines dominated for unstructured and structured data, respectively. Most studies (74%) targeted both DSM-5 Criteria A and B; 23% focused solely on Criterion A. Direct DSM-5 alignment correlated with higher accuracy (median ~95%); overall accuracy ranged from 68.18% to 100%. Methodological concerns included 57% unclear patient selection and 43% unclear index test risk. AI demonstrates transformative potential for early ASD detection, particularly for social communication deficits. Gaps in Criterion B coverage, geographic skew toward high-income settings, and methodological inconsistencies limit clinical applicability. Future work should prioritize standardized protocols, multimodal integration, and diverse external validation. Trial Registration: PROSPERO registration ID: CRD420250656126. This review of 43 studies found that artificial intelligence (AI) can help detect early signs of autism in children by analyzing behaviors such as eye contact and facial expressions, with high accuracy. However, most AI tools focus on social difficulties and often miss repetitive behaviors or sensory issues, and many studies have limitations like small samples or lack of real‐world testing. With better methods and more diverse testing, AI could become a useful tool to support earlier, more accessible autism diagnosis.</t>
        </is>
      </c>
      <c r="W340" s="4" t="inlineStr">
        <is>
          <t>title_abstract_plus_targeted_primary_source_verification</t>
        </is>
      </c>
      <c r="X340" s="4" t="inlineStr">
        <is>
          <t>doi:10.1002/aur.70279</t>
        </is>
      </c>
      <c r="Y340" s="4" t="n"/>
      <c r="Z340" s="4" t="n"/>
      <c r="AA340" s="4" t="n"/>
      <c r="AB340" s="40" t="n"/>
    </row>
    <row r="341" ht="409" customHeight="1">
      <c r="A341" s="4" t="n">
        <v>340</v>
      </c>
      <c r="B341" s="4" t="inlineStr">
        <is>
          <t>exclude_secondary_or_nonempirical_publication</t>
        </is>
      </c>
      <c r="C341" s="4" t="inlineStr">
        <is>
          <t>Excluir: publicación secundaria/no empírica</t>
        </is>
      </c>
      <c r="D341" s="4" t="inlineStr">
        <is>
          <t>Excluded</t>
        </is>
      </c>
      <c r="E341" s="4" t="inlineStr">
        <is>
          <t>No</t>
        </is>
      </c>
      <c r="F341" s="4" t="inlineStr">
        <is>
          <t>Title/abstract screening</t>
        </is>
      </c>
      <c r="G341" s="4" t="n"/>
      <c r="H341" s="4" t="n"/>
      <c r="I341" s="4" t="n"/>
      <c r="J341" s="4" t="inlineStr">
        <is>
          <t>Revisión, metaanálisis, encuesta de literatura, protocolo, perspectiva, carta, editorial o capítulo de síntesis sin estudio primario elegible.</t>
        </is>
      </c>
      <c r="K341" s="4" t="n"/>
      <c r="L341" s="4" t="n"/>
      <c r="M341" s="4" t="n">
        <v>2026</v>
      </c>
      <c r="N341" s="4" t="inlineStr">
        <is>
          <t>Early autism detection: a review of emerging technologies, biomarkers, and explainable AI approaches</t>
        </is>
      </c>
      <c r="O341" s="4" t="inlineStr">
        <is>
          <t>Rucha Agrawal and Renuka Agrawal</t>
        </is>
      </c>
      <c r="P341" s="4" t="inlineStr">
        <is>
          <t>10.1186/s13041-025-01269-9</t>
        </is>
      </c>
      <c r="Q341" s="4" t="inlineStr">
        <is>
          <t>Molecular Brain</t>
        </is>
      </c>
      <c r="R341" s="4" t="inlineStr">
        <is>
          <t>article</t>
        </is>
      </c>
      <c r="S341" s="4" t="inlineStr">
        <is>
          <t>BioMed Central Ltd</t>
        </is>
      </c>
      <c r="T341" s="4" t="inlineStr">
        <is>
          <t>https://doi.org/10.1186/s13041-025-01269-9</t>
        </is>
      </c>
      <c r="U341" s="4" t="n"/>
      <c r="V341" s="4" t="inlineStr">
        <is>
          <t>Autism Spectrum Disorder (ASD) presents as a complicated neurodevelopmental disorder which leads to social communication challenges and repetitive behavioral patterns. Early identification of ASD is crucial to facilitate early intervention that can make a large positive impact on long-term developmental outcomes. With the advent of artificial intelligence (AI) and data-driven diagnoses, there is increased interest in combining machine learning methods with biological and behavioral signatures to detect early ASD. This review provides an overview of broad classes of biomarkers—behavioral, neuroimaging, genetic, and eye gaze—and their respective methodologies, clinical applications, and diagnostic accuracy. For each of these biomarker domains, the research gap has been identified as existing for instance limited interpretability in neuroimaging models, genomics-related ethical and data accessibility issues, and innovation saturation for behavioral measurement. A comparative analysis highlights eye gaze analysis as a promising but under-explored option, providing a balance of cost-effectiveness, non-invasiveness, and potential for real-time, objective measurement. In addition, the application of Explainable AI (XAI) methodologies across these biomarker fields is discussed in order to meet the pressing need for transparency, clinical confidence, and decision-making support. This review makes a final call for further exploration of eye gaze-based models enriched by XAI methods as a future research direction towards filling the gap between algorithmic innovation and real-world, interpretable diagnostics in the context of ASD research.</t>
        </is>
      </c>
      <c r="W341" s="4" t="inlineStr">
        <is>
          <t>title_abstract_plus_targeted_primary_source_verification</t>
        </is>
      </c>
      <c r="X341" s="4" t="inlineStr">
        <is>
          <t>doi:10.1186/s13041-025-01269-9</t>
        </is>
      </c>
      <c r="Y341" s="4" t="n"/>
      <c r="Z341" s="4" t="n"/>
      <c r="AA341" s="4" t="n"/>
      <c r="AB341" s="40" t="n"/>
    </row>
    <row r="342" ht="409" customHeight="1">
      <c r="A342" s="4" t="n">
        <v>341</v>
      </c>
      <c r="B342" s="4" t="inlineStr">
        <is>
          <t>exclude_secondary_or_nonempirical_publication</t>
        </is>
      </c>
      <c r="C342" s="4" t="inlineStr">
        <is>
          <t>Excluir: publicación secundaria/no empírica</t>
        </is>
      </c>
      <c r="D342" s="4" t="inlineStr">
        <is>
          <t>Excluded</t>
        </is>
      </c>
      <c r="E342" s="4" t="inlineStr">
        <is>
          <t>No</t>
        </is>
      </c>
      <c r="F342" s="4" t="inlineStr">
        <is>
          <t>Title/abstract screening</t>
        </is>
      </c>
      <c r="G342" s="4" t="n"/>
      <c r="H342" s="4" t="n"/>
      <c r="I342" s="4" t="n"/>
      <c r="J342" s="4" t="inlineStr">
        <is>
          <t>Revisión, metaanálisis, encuesta de literatura, protocolo, perspectiva, carta, editorial o capítulo de síntesis sin estudio primario elegible.</t>
        </is>
      </c>
      <c r="K342" s="4" t="n"/>
      <c r="L342" s="4" t="n"/>
      <c r="M342" s="4" t="n">
        <v>2025</v>
      </c>
      <c r="N342" s="4" t="inlineStr">
        <is>
          <t>The evolving role of machine learning in autism spectrum disorder: current evidence and future directions</t>
        </is>
      </c>
      <c r="O342" s="4" t="inlineStr">
        <is>
          <t>Khaled Saad and Soha A Hussain and Ahmad Roshdy Ahmad and Mohamed Shawky Elfarargy and Amira Elhoufey and Abdulrahman A Al-Atram and Abdelrahman N Abdelal and Kawashty R Mohamed and Mostafa M Embaby</t>
        </is>
      </c>
      <c r="P342" s="4" t="inlineStr">
        <is>
          <t>10.1038/s41390-025-04713-7</t>
        </is>
      </c>
      <c r="Q342" s="4" t="inlineStr">
        <is>
          <t>Pediatric Research</t>
        </is>
      </c>
      <c r="R342" s="4" t="inlineStr">
        <is>
          <t>article</t>
        </is>
      </c>
      <c r="S342" s="4" t="inlineStr">
        <is>
          <t>Springer Nature</t>
        </is>
      </c>
      <c r="T342" s="4" t="inlineStr">
        <is>
          <t>https://doi.org/10.1038/s41390-025-04713-7</t>
        </is>
      </c>
      <c r="U342" s="4" t="n"/>
      <c r="V342" s="4" t="inlineStr">
        <is>
          <t>Impact: Machine learning (ML) has become a key factor in advancing artificial intelligence (AI)-driven strategies across various areas in recent years, including screening, diagnosis, subtyping, and therapeutic intervention in autism spectrum disorder (ASD). These technological advancements collectively demonstrate ML’s potential to complement—rather than replace—expert clinical assessment in the screening and diagnosis of ASD. Future research should focus on standardizing data collection procedures, improving the interpretability of models, and conducting multi-center validation studies to confirm their effectiveness and applicability in real-world settings.</t>
        </is>
      </c>
      <c r="W342" s="4" t="inlineStr">
        <is>
          <t>title_abstract_plus_targeted_primary_source_verification</t>
        </is>
      </c>
      <c r="X342" s="4" t="inlineStr">
        <is>
          <t>doi:10.1038/s41390-025-04713-7</t>
        </is>
      </c>
      <c r="Y342" s="4" t="n"/>
      <c r="Z342" s="4" t="n"/>
      <c r="AA342" s="4" t="n"/>
      <c r="AB342" s="40" t="n"/>
    </row>
    <row r="343" ht="409" customHeight="1">
      <c r="A343" s="4" t="n">
        <v>342</v>
      </c>
      <c r="B343" s="4" t="inlineStr">
        <is>
          <t>include_after_title_abstract_screen</t>
        </is>
      </c>
      <c r="C343" s="4" t="inlineStr">
        <is>
          <t>Incluir provisionalmente</t>
        </is>
      </c>
      <c r="D343" s="4" t="inlineStr">
        <is>
          <t>Provisional include</t>
        </is>
      </c>
      <c r="E343" s="4" t="inlineStr">
        <is>
          <t>Sí</t>
        </is>
      </c>
      <c r="F343" s="4" t="inlineStr">
        <is>
          <t>Title/abstract screening</t>
        </is>
      </c>
      <c r="G343" s="4" t="n"/>
      <c r="H343" s="4" t="n"/>
      <c r="I343" s="4" t="n"/>
      <c r="J343" s="4" t="inlineStr">
        <is>
          <t>Estudio primario o implementación/evaluación empírica de IA, aprendizaje automático o modelado computacional aplicado a ASD, riesgo, caracterización, apoyo o intervención.</t>
        </is>
      </c>
      <c r="K343" s="4" t="n"/>
      <c r="L343" s="4" t="n"/>
      <c r="M343" s="4" t="n">
        <v>2026</v>
      </c>
      <c r="N343" s="4" t="inlineStr">
        <is>
          <t>Auditory brainstem response abnormalities in autism spectrum disorder: A deep learning approach to characterize time-frequency signatures</t>
        </is>
      </c>
      <c r="O343" s="4" t="inlineStr">
        <is>
          <t>Xun Chen and Hewen Xu and Ying Huang and Ping Zhang and Lianting Hu and Fanfan Zhu and Jianhua Liu and Haiqing Xu and Zhengtao Gong and Long Lu</t>
        </is>
      </c>
      <c r="P343" s="4" t="inlineStr">
        <is>
          <t>10.1016/j.heares.2026.109654</t>
        </is>
      </c>
      <c r="Q343" s="4" t="inlineStr">
        <is>
          <t>Hearing Research</t>
        </is>
      </c>
      <c r="R343" s="4" t="inlineStr">
        <is>
          <t>article</t>
        </is>
      </c>
      <c r="S343" s="4" t="inlineStr">
        <is>
          <t>Elsevier B.V.</t>
        </is>
      </c>
      <c r="T343" s="4" t="inlineStr">
        <is>
          <t>https://www.sciencedirect.com/science/article/pii/S0378595526001309</t>
        </is>
      </c>
      <c r="U343" s="4" t="n"/>
      <c r="V343" s="4" t="inlineStr">
        <is>
          <t>Background: While Auditory Brainstem Response (ABR) provides a non-invasive window into auditory brainstem function, prior studies of ASD have primarily focused on localized waveform features (e.g., waves I, III, and V), potentially overlooking subtle but informative patterns in the full-band signal. This study introduces a deep learning framework to comprehensively characterize time-frequency signatures of auditory brainstem activity in ASD, with the goal of identifying neurophysiologically meaningful ABR features associated with ASD. Methods: We analyzed a clinical dataset of 1209 ABR recordings (ASD: 961; Typically Developing Controls: 248). A dual-branch Time-Frequency Fusion and Transformer-Based Network (TF-TBN) was developed. The temporal branch utilizes a Transformer-enhanced 1D-CNN to analyze raw ABR waveforms, while the frequency branch employs a Vision Transformer to analyze spectrograms generated via Continuous Wavelet Transform. A fusion module integrates these features for final classification. Model interpretability was analyzed to identify critical ABR features. Results: The TF-TBN model achieved a classification accuracy of 96.62%, significantly outperforming conventional deep learning baselines. Interpretability analysis revealed that the model’s decision was heavily influenced by prolonged absolute latencies of waves III and V, and interpeak latencies of I-III and I-V, which were confirmed as statistically significant in the ASD cohort. This suggests that the model successfully learned biologically plausible biomarkers of auditory pathway dysfunction. Conclusions: This study provides the first comprehensive characterization of full-band ABR abnormalities in ASD using a deep learning framework. The TF-TBN model identifies prolonged wave III- and wave V-related timing features as prominent contributors to ASD-TD discrimination, with wave III-related delay emerging as an important component of the observed ABR abnormality. By linking AI-driven feature discovery to interpretable neurophysiological biomarkers, our work advances the analytical framework for ABR and contributes to understanding the neural basis of auditory processing deficits in ASD.</t>
        </is>
      </c>
      <c r="W343" s="4" t="inlineStr">
        <is>
          <t>title_abstract_plus_targeted_primary_source_verification</t>
        </is>
      </c>
      <c r="X343" s="4" t="inlineStr">
        <is>
          <t>doi:10.1016/j.heares.2026.109654</t>
        </is>
      </c>
      <c r="Y343" s="4" t="n"/>
      <c r="Z343" s="4" t="n"/>
      <c r="AA343" s="4" t="n"/>
      <c r="AB343" s="40" t="n"/>
    </row>
    <row r="344" ht="409" customHeight="1">
      <c r="A344" s="4" t="n">
        <v>343</v>
      </c>
      <c r="B344" s="4" t="inlineStr">
        <is>
          <t>include_after_title_abstract_screen</t>
        </is>
      </c>
      <c r="C344" s="4" t="inlineStr">
        <is>
          <t>Incluir provisionalmente</t>
        </is>
      </c>
      <c r="D344" s="4" t="inlineStr">
        <is>
          <t>Provisional include</t>
        </is>
      </c>
      <c r="E344" s="4" t="inlineStr">
        <is>
          <t>Sí</t>
        </is>
      </c>
      <c r="F344" s="4" t="inlineStr">
        <is>
          <t>Title/abstract screening</t>
        </is>
      </c>
      <c r="G344" s="4" t="n"/>
      <c r="H344" s="4" t="n"/>
      <c r="I344" s="4" t="n"/>
      <c r="J344" s="4" t="inlineStr">
        <is>
          <t>Estudio primario o implementación/evaluación empírica de IA, aprendizaje automático o modelado computacional aplicado a ASD, riesgo, caracterización, apoyo o intervención.</t>
        </is>
      </c>
      <c r="K344" s="4" t="n"/>
      <c r="L344" s="4" t="n"/>
      <c r="M344" s="4" t="n">
        <v>2026</v>
      </c>
      <c r="N344" s="4" t="inlineStr">
        <is>
          <t>An explainable machine unlearning algorithm framework for early detection of autism spectrum disorder and brain disabilities in newborns</t>
        </is>
      </c>
      <c r="O344" s="4" t="inlineStr">
        <is>
          <t>Abdullah Lakhan and Mazin Abed Mohammed and Hassen Hamouda and Adel Thaljaoui and Abeer Baslem and Mohammed Nasser Al-Andoli</t>
        </is>
      </c>
      <c r="P344" s="4" t="inlineStr">
        <is>
          <t>10.1016/j.aej.2026.04.002</t>
        </is>
      </c>
      <c r="Q344" s="4" t="inlineStr">
        <is>
          <t>Alexandria Engineering Journal</t>
        </is>
      </c>
      <c r="R344" s="4" t="inlineStr">
        <is>
          <t>article</t>
        </is>
      </c>
      <c r="S344" s="4" t="inlineStr">
        <is>
          <t>Elsevier BV</t>
        </is>
      </c>
      <c r="T344" s="4" t="inlineStr">
        <is>
          <t>https://www.sciencedirect.com/science/article/pii/S1110016826002115</t>
        </is>
      </c>
      <c r="U344" s="4" t="n"/>
      <c r="V344" s="4" t="inlineStr">
        <is>
          <t>Autism Spectrum Disorder (ASD) is a rising disorder in the brain among newborns aged 0 to 36 months, emphasizing the urgent need for early and accurate detection to mitigate potential developmental risks. Deep learning and machine learning techniques have shown promise in diagnosing ASD, particularly in children aged 36 to 72 months. However, the effectiveness of these diagnostic models heavily depends on the quality and accuracy of the training data. Inaccurate or mismatched data can lead to unreliable diagnoses and inappropriate clinical interventions. In this paper, we propose a machine unlearning-integrated explainable AI (XAI) framework for the early detection of autism spectrum disorder and brain disabilities in newborns. Central to our framework is the Machine Unlearning-Integrated Explainable AI Partitioning Autism Detection and Brain Disorder (MUXAI-ASDBD) algorithm, a novel partitioning-based XAI approach built on Convolutional Neural Network (CNN). This algorithm provides layer-wise explainability during training and incorporates a machine unlearning mechanism at the summation layer, along with probability distribution analysis, to enhance diagnostic accuracy and computational efficiency. The MUXAI-ASDBD framework was evaluated using multiple benchmark datasets, including Ages and Stages Questionnaires (ASQ), CSBS, PEDS, the Modified Checklist for Autism in Toddlers (M-CHAT), and the Screening Tool for Autism in Toddlers and Children (STAT). We also integrated neuroimaging data from brain disorder MRI and EEG datasets. This work extends our previously published implementation, in which we detected autism but did not correct errors, as we do here. Simulation results showed that the MUXAI-ASDBD framework reduced error rates by 23%, reduced false positives, improved accuracy to 98%, and reduced processing time for autism detection using the given multimodal data.</t>
        </is>
      </c>
      <c r="W344" s="4" t="inlineStr">
        <is>
          <t>title_abstract_plus_targeted_primary_source_verification</t>
        </is>
      </c>
      <c r="X344" s="4" t="inlineStr">
        <is>
          <t>doi:10.1016/j.aej.2026.04.002</t>
        </is>
      </c>
      <c r="Y344" s="4" t="n"/>
      <c r="Z344" s="4" t="n"/>
      <c r="AA344" s="4" t="n"/>
      <c r="AB344" s="40" t="n"/>
    </row>
    <row r="345" ht="409" customHeight="1">
      <c r="A345" s="4" t="n">
        <v>344</v>
      </c>
      <c r="B345" s="4" t="inlineStr">
        <is>
          <t>exclude_secondary_or_nonempirical_publication</t>
        </is>
      </c>
      <c r="C345" s="4" t="inlineStr">
        <is>
          <t>Excluir: publicación secundaria/no empírica</t>
        </is>
      </c>
      <c r="D345" s="4" t="inlineStr">
        <is>
          <t>Excluded</t>
        </is>
      </c>
      <c r="E345" s="4" t="inlineStr">
        <is>
          <t>No</t>
        </is>
      </c>
      <c r="F345" s="4" t="inlineStr">
        <is>
          <t>Title/abstract screening</t>
        </is>
      </c>
      <c r="G345" s="4" t="n"/>
      <c r="H345" s="4" t="n"/>
      <c r="I345" s="4" t="n"/>
      <c r="J345" s="4" t="inlineStr">
        <is>
          <t>Revisión, metaanálisis, encuesta de literatura, protocolo, perspectiva, carta, editorial o capítulo de síntesis sin estudio primario elegible.</t>
        </is>
      </c>
      <c r="K345" s="4" t="n"/>
      <c r="L345" s="4" t="n"/>
      <c r="M345" s="4" t="n">
        <v>2026</v>
      </c>
      <c r="N345" s="4" t="inlineStr">
        <is>
          <t>Artificial intelligence in autism spectrum disorder detection: A comprehensive review, novel taxonomy of data modalities, and future perspectives</t>
        </is>
      </c>
      <c r="O345" s="4" t="inlineStr">
        <is>
          <t>Imene Louriachi and Sofiane Maza and Abdelouahab Attia and Yong Zhang and Ali Wagdy Mohamed</t>
        </is>
      </c>
      <c r="P345" s="4" t="inlineStr">
        <is>
          <t>10.1016/j.compeleceng.2026.111153</t>
        </is>
      </c>
      <c r="Q345" s="4" t="inlineStr">
        <is>
          <t>Computers and Electrical Engineering</t>
        </is>
      </c>
      <c r="R345" s="4" t="inlineStr">
        <is>
          <t>article</t>
        </is>
      </c>
      <c r="S345" s="4" t="inlineStr">
        <is>
          <t>Elsevier Ltd</t>
        </is>
      </c>
      <c r="T345" s="4" t="inlineStr">
        <is>
          <t>https://www.sciencedirect.com/science/article/pii/S0045790626002259</t>
        </is>
      </c>
      <c r="U345" s="4" t="n"/>
      <c r="V345" s="4" t="inlineStr">
        <is>
          <t>Autism spectrum disorder (ASD) comprises a group of neurodevelopmental conditions that affect brain development in early childhood and persist throughout life. Its primary symptoms include impaired communication and social interaction, restricted and repetitive behaviors, attention difficulties, and aggression. Early screening is crucial for controlling this condition. In recent years, with the evolution of artificial intelligence (AI), there has been huge interest in early diagnosis of ASD using multiple AI techniques based on various biological and behavioral markers. However, this diversity has led to confusion, as no study to date has provided a clear, comprehensive framework for data modalities that simplifies their utilization and demonstrates their potential for developing a novel ASD detection system. In this paper, we present a new study of recent advances in ASD detection using AI approaches. We detail the methods, technologies, and detection processes employed in current ASD detection. Furthermore, we propose a novel taxonomy, in which the data modalities are organized into four main categories, incorporating the most interesting markers. In addition, an empirical study is established, enabling us to focus on the challenges encountered and to propose solutions for the future in order to improve the quality and accuracy of diagnosis. To ensure the robustness and quality of the insights and perspectives arising from this study, a robust approach for article collection and selection is implemented to identify the most important contributions, and to vary the markers used for detection. Finally, the review highlights practical aspects of deploying data modalities suited for clinical and low-resource settings, and defines the essential future directions that should be focused on.</t>
        </is>
      </c>
      <c r="W345" s="4" t="inlineStr">
        <is>
          <t>title_abstract_plus_targeted_primary_source_verification</t>
        </is>
      </c>
      <c r="X345" s="4" t="inlineStr">
        <is>
          <t>doi:10.1016/j.compeleceng.2026.111153</t>
        </is>
      </c>
      <c r="Y345" s="4" t="n"/>
      <c r="Z345" s="4" t="n"/>
      <c r="AA345" s="4" t="n"/>
      <c r="AB345" s="40" t="n"/>
    </row>
    <row r="346" ht="409" customHeight="1">
      <c r="A346" s="4" t="n">
        <v>345</v>
      </c>
      <c r="B346" s="4" t="inlineStr">
        <is>
          <t>duplicate_within_export</t>
        </is>
      </c>
      <c r="C346" s="4" t="inlineStr">
        <is>
          <t>No agregar: duplicado interno</t>
        </is>
      </c>
      <c r="D346" s="4" t="inlineStr">
        <is>
          <t>Duplicate within update</t>
        </is>
      </c>
      <c r="E346" s="4" t="inlineStr">
        <is>
          <t>No</t>
        </is>
      </c>
      <c r="F346" s="4" t="inlineStr">
        <is>
          <t>Deduplication</t>
        </is>
      </c>
      <c r="G346" s="4" t="n"/>
      <c r="H346" s="4" t="n"/>
      <c r="I346" s="4" t="n"/>
      <c r="J346" s="4" t="inlineStr">
        <is>
          <t>Mismo DOI o título que otro registro anterior de esta exportación.</t>
        </is>
      </c>
      <c r="K346" s="4" t="n">
        <v>214</v>
      </c>
      <c r="L346" s="4" t="n"/>
      <c r="M346" s="4" t="n">
        <v>2025</v>
      </c>
      <c r="N346" s="4" t="inlineStr">
        <is>
          <t>Hippocampal Subregion Function and Its Clinical Correlations in Childhood Autism Spectrum Disorders</t>
        </is>
      </c>
      <c r="O346" s="4" t="inlineStr">
        <is>
          <t>Hui Xian Li and De Sheng Xuan and Ronghao Mu and Chi Qin and Xin Zhao</t>
        </is>
      </c>
      <c r="P346" s="4" t="inlineStr">
        <is>
          <t>10.1002/aur.70124</t>
        </is>
      </c>
      <c r="Q346" s="4" t="inlineStr">
        <is>
          <t>Autism Research</t>
        </is>
      </c>
      <c r="R346" s="4" t="inlineStr">
        <is>
          <t>article</t>
        </is>
      </c>
      <c r="S346" s="4" t="inlineStr">
        <is>
          <t>John Wiley and Sons Inc</t>
        </is>
      </c>
      <c r="T346" s="4" t="inlineStr">
        <is>
          <t>https://doi.org/10.1002/aur.70124</t>
        </is>
      </c>
      <c r="U346" s="4" t="n"/>
      <c r="V346" s="4" t="inlineStr">
        <is>
          <t>The hippocampus plays a crucial role in memory and social processing, both of which are impaired in autism spectrum disorder (ASD). Investigating the functional activity of hippocampal subregions can provide valuable insights into their involvement in ASD-related social and behavioral symptoms. This study analyzed hippocampal resting-state functional connectivity (rsFC) in 507 male child participants from the ABIDE dataset (225 ASD, 282 typical controls) and its relation to clinical features. The hippocampus was subdivided into rostral and caudal subregions, and rsFC patterns were compared between groups. Significant group differences were observed in the left caudal, right rostral, and right caudal hippocampus, with enhanced connectivity to widespread cortical and subcortical regions, including visual, motor, parietal, and cerebellar networks. Machine learning using hippocampal rsFC achieved modest classification performance. Clinically, rsFC correlated with core ASD symptoms: social awareness was associated with right caudal connectivity to fusiform and temporal regions, while restricted and repetitive behaviors were linked to distinct rostral–caudal patterns involving frontal, motor, and cerebellar areas. Age of onset showed positive correlations with rsFC across all subregions, with rostral hippocampus engaging socioemotional and motor control networks and caudal hippocampus connecting more strongly to visual and sensorimotor integration regions. These findings demonstrate subregional specificity of hippocampal connectivity in ASD, suggesting distinct anterior–posterior contributions to symptom expression and developmental timing.</t>
        </is>
      </c>
      <c r="W346" s="4" t="inlineStr">
        <is>
          <t>title_abstract_plus_targeted_primary_source_verification</t>
        </is>
      </c>
      <c r="X346" s="4" t="inlineStr">
        <is>
          <t>doi:10.1002/aur.70124</t>
        </is>
      </c>
      <c r="Y346" s="4" t="n"/>
      <c r="Z346" s="4" t="n"/>
      <c r="AA346" s="4" t="n"/>
      <c r="AB346" s="40" t="n"/>
    </row>
    <row r="347" ht="409" customHeight="1">
      <c r="A347" s="4" t="n">
        <v>346</v>
      </c>
      <c r="B347" s="4" t="inlineStr">
        <is>
          <t>duplicate_within_export</t>
        </is>
      </c>
      <c r="C347" s="4" t="inlineStr">
        <is>
          <t>No agregar: duplicado interno</t>
        </is>
      </c>
      <c r="D347" s="4" t="inlineStr">
        <is>
          <t>Duplicate within update</t>
        </is>
      </c>
      <c r="E347" s="4" t="inlineStr">
        <is>
          <t>No</t>
        </is>
      </c>
      <c r="F347" s="4" t="inlineStr">
        <is>
          <t>Deduplication</t>
        </is>
      </c>
      <c r="G347" s="4" t="n"/>
      <c r="H347" s="4" t="n"/>
      <c r="I347" s="4" t="n"/>
      <c r="J347" s="4" t="inlineStr">
        <is>
          <t>Mismo DOI o título que otro registro anterior de esta exportación.</t>
        </is>
      </c>
      <c r="K347" s="4" t="n">
        <v>209</v>
      </c>
      <c r="L347" s="4" t="n"/>
      <c r="M347" s="4" t="n">
        <v>2026</v>
      </c>
      <c r="N347" s="4" t="inlineStr">
        <is>
          <t>Integrating EEG microstate dynamics in a stacked ensemble for neurodiagnostic ASD assessment</t>
        </is>
      </c>
      <c r="O347" s="4" t="inlineStr">
        <is>
          <t>Delna Kuriyakose and Gowsalya M.</t>
        </is>
      </c>
      <c r="P347" s="4" t="inlineStr">
        <is>
          <t>10.1016/j.bbr.2026.116220</t>
        </is>
      </c>
      <c r="Q347" s="4" t="inlineStr">
        <is>
          <t>Behavioural Brain Research</t>
        </is>
      </c>
      <c r="R347" s="4" t="inlineStr">
        <is>
          <t>article</t>
        </is>
      </c>
      <c r="S347" s="4" t="inlineStr">
        <is>
          <t>Elsevier B.V.</t>
        </is>
      </c>
      <c r="T347" s="4" t="inlineStr">
        <is>
          <t>https://www.sciencedirect.com/science/article/pii/S0166432826001968</t>
        </is>
      </c>
      <c r="U347" s="4" t="n"/>
      <c r="V347" s="4" t="inlineStr">
        <is>
          <t>Autism Spectrum Disorder (ASD) remains diagnostically challenging due to its neurobiological heterogeneity and the current reliance on subjective behavioral assessments. To address this, we propose a novel stacked ensemble machine learning framework that enhances EEG-based ASD classification by integrating both spatial and temporal neural features. Spatial features including spectral power, functional connectivity, and signal complexity were extracted alongside temporal features derived from microstate transitions and Hidden Markov Model (HMM)-based dynamics, capturing complementary aspects of resting-state brain activity. Using Random Forest models for both base learners and the meta-classifier, our ensemble achieved a classification accuracy of 96.3% under rigorous GroupKFold cross-validation, significantly outperforming unimodal models based on spatial (88.15%) and temporal (73.6%) features alone. Bootstrapped confidence intervals confirmed the statistical robustness and generalizability of the ensemble approach. Our framework not only improves diagnostic accuracy but also lays the groundwork for translational neurotechnology aimed at early detection, subtype differentiation, and personalized intervention strategies in ASD.</t>
        </is>
      </c>
      <c r="W347" s="4" t="inlineStr">
        <is>
          <t>title_abstract_plus_targeted_primary_source_verification</t>
        </is>
      </c>
      <c r="X347" s="4" t="inlineStr">
        <is>
          <t>doi:10.1016/j.bbr.2026.116220</t>
        </is>
      </c>
      <c r="Y347" s="4" t="n"/>
      <c r="Z347" s="4" t="n"/>
      <c r="AA347" s="4" t="n"/>
      <c r="AB347" s="40" t="n"/>
    </row>
    <row r="348" ht="409" customHeight="1">
      <c r="A348" s="4" t="n">
        <v>347</v>
      </c>
      <c r="B348" s="4" t="inlineStr">
        <is>
          <t>include_after_title_abstract_screen</t>
        </is>
      </c>
      <c r="C348" s="4" t="inlineStr">
        <is>
          <t>Incluir provisionalmente</t>
        </is>
      </c>
      <c r="D348" s="4" t="inlineStr">
        <is>
          <t>Provisional include</t>
        </is>
      </c>
      <c r="E348" s="4" t="inlineStr">
        <is>
          <t>Sí</t>
        </is>
      </c>
      <c r="F348" s="4" t="inlineStr">
        <is>
          <t>Title/abstract screening</t>
        </is>
      </c>
      <c r="G348" s="4" t="n"/>
      <c r="H348" s="4" t="n"/>
      <c r="I348" s="4" t="n"/>
      <c r="J348" s="4" t="inlineStr">
        <is>
          <t>Estudio primario o implementación/evaluación empírica de IA, aprendizaje automático o modelado computacional aplicado a ASD, riesgo, caracterización, apoyo o intervención.</t>
        </is>
      </c>
      <c r="K348" s="4" t="n"/>
      <c r="L348" s="4" t="n"/>
      <c r="M348" s="4" t="n">
        <v>2025</v>
      </c>
      <c r="N348" s="4" t="inlineStr">
        <is>
          <t>Vision transformer and complex network analysis for autism spectrum disorder classification in T1 structural MRI</t>
        </is>
      </c>
      <c r="O348" s="4" t="inlineStr">
        <is>
          <t>Xingyu Gao and Yuchao Xu</t>
        </is>
      </c>
      <c r="P348" s="4" t="inlineStr">
        <is>
          <t>10.1007/s11604-025-01832-3</t>
        </is>
      </c>
      <c r="Q348" s="4" t="inlineStr">
        <is>
          <t>Japanese Journal of Radiology</t>
        </is>
      </c>
      <c r="R348" s="4" t="inlineStr">
        <is>
          <t>article</t>
        </is>
      </c>
      <c r="S348" s="4" t="inlineStr">
        <is>
          <t>Springer</t>
        </is>
      </c>
      <c r="T348" s="4" t="inlineStr">
        <is>
          <t>https://doi.org/10.1007/s11604-025-01832-3</t>
        </is>
      </c>
      <c r="U348" s="4" t="n"/>
      <c r="V348" s="4" t="inlineStr">
        <is>
          <t>Background: Autism spectrum disorder (ASD) affects social interaction, communication, and behavior. Early diagnosis is important as it enables timely intervention that can significantly improve long-term outcomes, but current diagnostic, which rely heavily on behavioral observations and clinical interviews, are often subjective and time-consuming. This study introduces an AI-based approach that uses T1-weighted structural MRI (sMRI) scans, network analysis, and vision transformers to automatically diagnose ASD. Methods: sMRI data from 79 ASD patients and 105 healthy controls were obtained from the Autism Brain Imaging Data Exchange (ABIDE) database. Complex network analysis (CNA) features and ViT (Vision Transformer) features were developed for predicting ASD. Five models were developed for each type of features: logistic regression, support vector machine (SVM), gradient boosting (GB), K-nearest neighbors (KNN), and neural network (NN). 25 models were further developed by federating the two sets of 5 models. Model performance was evaluated using accuracy, area under the receiver operating characteristic curve (AUC-ROC), sensitivity, and specificity via fivefold cross-validation. Results: The federate model CNA(KNN)–ViT(NN) achieved highest performance, with accuracy 0.951 ± 0.067, AUC-ROC 0.980 ± 0.020, sensitivity 0.963 ± 0.050, and specificity 0.943 ± 0.047. The performance of the ViT-based models exceeds that of the complex network-based models on 80% of the performance metrics. By federating CNA models, the ViT models can achieve better performance. Conclusion: This study demonstrates the feasibility of using CNA and ViT models for the automated diagnosis of ASD. The proposed CNA(KNN)–ViT(NN) model achieved better accuracy in ASD classification based solely on T1 sMRI images. The proposed method’s reliance on widely available T1 sMRI scans highlights its potential for integration into routine clinical examinations, facilitating more efficient and accessible ASD screening.</t>
        </is>
      </c>
      <c r="W348" s="4" t="inlineStr">
        <is>
          <t>title_abstract_plus_targeted_primary_source_verification</t>
        </is>
      </c>
      <c r="X348" s="4" t="inlineStr">
        <is>
          <t>doi:10.1007/s11604-025-01832-3</t>
        </is>
      </c>
      <c r="Y348" s="4" t="n"/>
      <c r="Z348" s="4" t="n"/>
      <c r="AA348" s="4" t="n"/>
      <c r="AB348" s="40" t="n"/>
    </row>
    <row r="349" ht="112" customHeight="1">
      <c r="A349" s="4" t="n">
        <v>348</v>
      </c>
      <c r="B349" s="4" t="inlineStr">
        <is>
          <t>exclude_secondary_or_nonempirical_publication</t>
        </is>
      </c>
      <c r="C349" s="4" t="inlineStr">
        <is>
          <t>Excluir: publicación secundaria/no empírica</t>
        </is>
      </c>
      <c r="D349" s="4" t="inlineStr">
        <is>
          <t>Excluded</t>
        </is>
      </c>
      <c r="E349" s="4" t="inlineStr">
        <is>
          <t>No</t>
        </is>
      </c>
      <c r="F349" s="4" t="inlineStr">
        <is>
          <t>Title/abstract screening</t>
        </is>
      </c>
      <c r="G349" s="4" t="n"/>
      <c r="H349" s="4" t="n"/>
      <c r="I349" s="4" t="n"/>
      <c r="J349" s="4" t="inlineStr">
        <is>
          <t>Revisión, metaanálisis, encuesta de literatura, protocolo, perspectiva, carta, editorial o capítulo de síntesis sin estudio primario elegible.</t>
        </is>
      </c>
      <c r="K349" s="4" t="n"/>
      <c r="L349" s="4" t="n"/>
      <c r="M349" s="4" t="n">
        <v>2026</v>
      </c>
      <c r="N349" s="4" t="inlineStr">
        <is>
          <t>Enhancing diagnostic precision in autism spectrum disorder: Integrating POV technology with expanded behavioral markers</t>
        </is>
      </c>
      <c r="O349" s="4" t="inlineStr">
        <is>
          <t>Agus Setiawan and Andika Ari Saputra and Imelda Ratih Ayu and Arbin Janu Setiyowati and Nur Eva</t>
        </is>
      </c>
      <c r="P349" s="4" t="inlineStr">
        <is>
          <t>10.1016/j.ajp.2026.104989</t>
        </is>
      </c>
      <c r="Q349" s="4" t="inlineStr">
        <is>
          <t>Asian Journal of Psychiatry</t>
        </is>
      </c>
      <c r="R349" s="4" t="inlineStr">
        <is>
          <t>article</t>
        </is>
      </c>
      <c r="S349" s="4" t="inlineStr">
        <is>
          <t>Elsevier B.V.</t>
        </is>
      </c>
      <c r="T349" s="4" t="inlineStr">
        <is>
          <t>https://pubmed.ncbi.nlm.nih.gov/42061089/</t>
        </is>
      </c>
      <c r="U349" s="4" t="inlineStr">
        <is>
          <t>PubMed clasifica este registro como Letter (PMID 42061089).</t>
        </is>
      </c>
      <c r="V349" s="4" t="n"/>
      <c r="W349" s="4" t="inlineStr">
        <is>
          <t>title_abstract_plus_targeted_primary_source_verification</t>
        </is>
      </c>
      <c r="X349" s="4" t="inlineStr">
        <is>
          <t>doi:10.1016/j.ajp.2026.104989</t>
        </is>
      </c>
      <c r="Y349" s="4" t="n"/>
      <c r="Z349" s="4" t="n"/>
      <c r="AA349" s="4" t="n"/>
      <c r="AB349" s="40" t="n"/>
    </row>
    <row r="350" ht="409" customHeight="1">
      <c r="A350" s="4" t="n">
        <v>349</v>
      </c>
      <c r="B350" s="4" t="inlineStr">
        <is>
          <t>include_after_title_abstract_screen</t>
        </is>
      </c>
      <c r="C350" s="4" t="inlineStr">
        <is>
          <t>Incluir provisionalmente</t>
        </is>
      </c>
      <c r="D350" s="4" t="inlineStr">
        <is>
          <t>Provisional include</t>
        </is>
      </c>
      <c r="E350" s="4" t="inlineStr">
        <is>
          <t>Sí</t>
        </is>
      </c>
      <c r="F350" s="4" t="inlineStr">
        <is>
          <t>Title/abstract screening</t>
        </is>
      </c>
      <c r="G350" s="4" t="n"/>
      <c r="H350" s="4" t="n"/>
      <c r="I350" s="4" t="n"/>
      <c r="J350" s="4" t="inlineStr">
        <is>
          <t>Estudio primario o implementación/evaluación empírica de IA, aprendizaje automático o modelado computacional aplicado a ASD, riesgo, caracterización, apoyo o intervención.</t>
        </is>
      </c>
      <c r="K350" s="4" t="n"/>
      <c r="L350" s="4" t="n"/>
      <c r="M350" s="4" t="n">
        <v>2026</v>
      </c>
      <c r="N350" s="4" t="inlineStr">
        <is>
          <t>Dominant cross-frequency analysis-based early diagnosis of Autism Spectrum Disorder in pediatrics using FRHIS and DSTCNN</t>
        </is>
      </c>
      <c r="O350" s="4" t="inlineStr">
        <is>
          <t>V Anithalakshmi and R Thiagarajan</t>
        </is>
      </c>
      <c r="P350" s="4" t="inlineStr">
        <is>
          <t>10.1016/j.pscychresns.2026.112270</t>
        </is>
      </c>
      <c r="Q350" s="4" t="inlineStr">
        <is>
          <t>Psychiatry Research - Neuroimaging</t>
        </is>
      </c>
      <c r="R350" s="4" t="inlineStr">
        <is>
          <t>article</t>
        </is>
      </c>
      <c r="S350" s="4" t="inlineStr">
        <is>
          <t>Elsevier Ireland Ltd</t>
        </is>
      </c>
      <c r="T350" s="4" t="inlineStr">
        <is>
          <t>https://www.sciencedirect.com/science/article/pii/S0925492726001356</t>
        </is>
      </c>
      <c r="U350" s="4" t="n"/>
      <c r="V350" s="4" t="inlineStr">
        <is>
          <t>Autism Spectrum Disorder (ASD) is a prevalent neurodevelopmental condition that affects children's cognitive, social, and behavioral skills. Thus, early diagnosis of ASD for children below 2 years old is very significant. Nevertheless, the prevailing works overlooked the depth of the dynamic frequency band variation during ASD detection, leading to misclassification. Therefore, a dominant cross-frequency analysis-based early ASD detection in pediatrics using a Fuzzy Root Hesitant Inference System (FRHIS) and Deep Squared Tau Convolutional Neural Network (DSTCNN) is proposed in this paper. Primarily, the Electroencephalogram (EEG) signals of children below 2 years old are gathered. Then, the artifacts are removed using the EWI-BPF. Afterward, by using Variation Frechet Distribution Mode Decomposition (VFDMD), the signals are decomposed. Then, by utilizing the FRHIS, the frequency bands are determined, followed by non-linear variables and feature extraction. In the meantime, the cross-frequency analysis is carried out by estimating the modulation depth using the Phase Amplitude Method (PAM) and determining the cross-frequency strength. Then, to select optimal features, the CRBM is applied. Lastly, the ASD classification is carried out using DSTCNN. When analogized with other traditional works, the proposed work attained superior performance in detecting ASD for pediatrics with a higher accuracy of 99.03%.</t>
        </is>
      </c>
      <c r="W350" s="4" t="inlineStr">
        <is>
          <t>title_abstract_plus_targeted_primary_source_verification</t>
        </is>
      </c>
      <c r="X350" s="4" t="inlineStr">
        <is>
          <t>doi:10.1016/j.pscychresns.2026.112270</t>
        </is>
      </c>
      <c r="Y350" s="4" t="n"/>
      <c r="Z350" s="4" t="n"/>
      <c r="AA350" s="4" t="n"/>
      <c r="AB350" s="40" t="n"/>
    </row>
    <row r="351" ht="385" customHeight="1">
      <c r="A351" s="4" t="n">
        <v>350</v>
      </c>
      <c r="B351" s="4" t="inlineStr">
        <is>
          <t>duplicate_within_export</t>
        </is>
      </c>
      <c r="C351" s="4" t="inlineStr">
        <is>
          <t>No agregar: duplicado interno</t>
        </is>
      </c>
      <c r="D351" s="4" t="inlineStr">
        <is>
          <t>Duplicate within update</t>
        </is>
      </c>
      <c r="E351" s="4" t="inlineStr">
        <is>
          <t>No</t>
        </is>
      </c>
      <c r="F351" s="4" t="inlineStr">
        <is>
          <t>Deduplication</t>
        </is>
      </c>
      <c r="G351" s="4" t="n"/>
      <c r="H351" s="4" t="n"/>
      <c r="I351" s="4" t="n"/>
      <c r="J351" s="4" t="inlineStr">
        <is>
          <t>Mismo DOI o título que otro registro anterior de esta exportación.</t>
        </is>
      </c>
      <c r="K351" s="4" t="n">
        <v>134</v>
      </c>
      <c r="L351" s="4" t="n"/>
      <c r="M351" s="4" t="n">
        <v>2025</v>
      </c>
      <c r="N351" s="4" t="inlineStr">
        <is>
          <t>ASD-HybridNet: A hybrid deep learning framework for detection of autism spectrum disorder</t>
        </is>
      </c>
      <c r="O351" s="4" t="inlineStr">
        <is>
          <t>Nirmal Rai and P C Pradhan and Hemanta Saikia and Rinkila Bhutia and O P Singh</t>
        </is>
      </c>
      <c r="P351" s="4" t="inlineStr">
        <is>
          <t>10.1016/j.mri.2025.110492</t>
        </is>
      </c>
      <c r="Q351" s="4" t="inlineStr">
        <is>
          <t>Magnetic Resonance Imaging</t>
        </is>
      </c>
      <c r="R351" s="4" t="inlineStr">
        <is>
          <t>article</t>
        </is>
      </c>
      <c r="S351" s="4" t="inlineStr">
        <is>
          <t>Elsevier Inc.</t>
        </is>
      </c>
      <c r="T351" s="4" t="inlineStr">
        <is>
          <t>https://doi.org/10.1016/j.mri.2025.110492</t>
        </is>
      </c>
      <c r="U351" s="4" t="n"/>
      <c r="V351" s="4" t="inlineStr">
        <is>
          <t>Current diagnostic methods for autism spectrum disorder (ASD) are based on subjective behavioral assessments, which present challenges to an accurate and early diagnosis. This paper proposes a hybrid deep learning framework, ASD-HybridNet, which integrates both region of interest (ROI) time series data and functional connectivity (FC) maps derived from functional magnetic resonance imaging (fMRI) data to improve ASD detection. Experiments on the ABIDE dataset demonstrate the effectiveness of the proposed method compared to existing approaches.</t>
        </is>
      </c>
      <c r="W351" s="4" t="inlineStr">
        <is>
          <t>title_abstract_plus_targeted_primary_source_verification</t>
        </is>
      </c>
      <c r="X351" s="4" t="inlineStr">
        <is>
          <t>doi:10.1016/j.mri.2025.110492</t>
        </is>
      </c>
      <c r="Y351" s="4" t="n"/>
      <c r="Z351" s="4" t="n"/>
      <c r="AA351" s="4" t="n"/>
      <c r="AB351" s="40" t="n"/>
    </row>
    <row r="352" ht="409" customHeight="1">
      <c r="A352" s="4" t="n">
        <v>351</v>
      </c>
      <c r="B352" s="4" t="inlineStr">
        <is>
          <t>duplicate_within_export</t>
        </is>
      </c>
      <c r="C352" s="4" t="inlineStr">
        <is>
          <t>No agregar: duplicado interno</t>
        </is>
      </c>
      <c r="D352" s="4" t="inlineStr">
        <is>
          <t>Duplicate within update</t>
        </is>
      </c>
      <c r="E352" s="4" t="inlineStr">
        <is>
          <t>No</t>
        </is>
      </c>
      <c r="F352" s="4" t="inlineStr">
        <is>
          <t>Deduplication</t>
        </is>
      </c>
      <c r="G352" s="4" t="n"/>
      <c r="H352" s="4" t="n"/>
      <c r="I352" s="4" t="n"/>
      <c r="J352" s="4" t="inlineStr">
        <is>
          <t>Mismo DOI o título que otro registro anterior de esta exportación.</t>
        </is>
      </c>
      <c r="K352" s="4" t="n">
        <v>266</v>
      </c>
      <c r="L352" s="4" t="n"/>
      <c r="M352" s="4" t="n">
        <v>2026</v>
      </c>
      <c r="N352" s="4" t="inlineStr">
        <is>
          <t>Machine Learning-Based Early Prediction Model for Autism Spectrum Disorder in Infants Using Acoustic Feature</t>
        </is>
      </c>
      <c r="O352" s="4" t="inlineStr">
        <is>
          <t>Shengjian Yin and Zhijia Li and Luyang Guan and Zenghe Yue and Jincen Wang and Jinyi Zhu and Yazhu Han and Qian Li and Lan Lin and Yaxin Dai and Haozhen Chen and Yuheng Chen and Yun Li and Xiaoyan Ke</t>
        </is>
      </c>
      <c r="P352" s="4" t="inlineStr">
        <is>
          <t>10.1002/aur.70179</t>
        </is>
      </c>
      <c r="Q352" s="4" t="inlineStr">
        <is>
          <t>Autism Research</t>
        </is>
      </c>
      <c r="R352" s="4" t="inlineStr">
        <is>
          <t>article</t>
        </is>
      </c>
      <c r="S352" s="4" t="inlineStr">
        <is>
          <t>John Wiley and Sons Inc</t>
        </is>
      </c>
      <c r="T352" s="4" t="inlineStr">
        <is>
          <t>https://doi.org/10.1002/aur.70179</t>
        </is>
      </c>
      <c r="U352" s="4" t="n"/>
      <c r="V352" s="4" t="inlineStr">
        <is>
          <t>This study aimed to create a machine learning-based predictive model for early detection of autism spectrum disorder (ASD) in infants using acoustic features. Conducted as a prospective cohort at Nanjing Medical University from 2019 to 2024, infants aged 9–18 months from an ASD sibling cohort participated. Behavioral and vocalization data were gathered during the Still-Face Paradigm, with ASD diagnoses confirmed at 36 months through ADOS and ADI-R assessments. Researchers extracted 4368 acoustic features from the recordings and applied LASSO regression for dimensionality reduction, identifying 39 key features. A support vector machine (SVM) classifier was then developed, tested with four kernel functions—linear, radial basis function, polynomial, and sigmoid—via tenfold cross-validation. The final sample included 88 infants, 28 of whom were diagnosed with ASD. The sigmoid kernel yielded the best results, achieving a 92.86% sensitivity, 93.33% specificity, and a 93.18% accuracy. Notably, spectral and energy-related features were significantly higher in ASD infants (p &lt; 0.01). These findings suggest that acoustic features can serve as early, noninvasive biomarkers for ASD, and the SVM model demonstrates significant promise for early screening and intervention efforts.</t>
        </is>
      </c>
      <c r="W352" s="4" t="inlineStr">
        <is>
          <t>title_abstract_plus_targeted_primary_source_verification</t>
        </is>
      </c>
      <c r="X352" s="4" t="inlineStr">
        <is>
          <t>doi:10.1002/aur.70179</t>
        </is>
      </c>
      <c r="Y352" s="4" t="n"/>
      <c r="Z352" s="4" t="n"/>
      <c r="AA352" s="4" t="n"/>
      <c r="AB352" s="40" t="n"/>
    </row>
    <row r="353" ht="409" customHeight="1">
      <c r="A353" s="4" t="n">
        <v>352</v>
      </c>
      <c r="B353" s="4" t="inlineStr">
        <is>
          <t>include_after_full_text_open_access</t>
        </is>
      </c>
      <c r="C353" s="4" t="inlineStr">
        <is>
          <t>Incluir tras revisión de texto completo abierto</t>
        </is>
      </c>
      <c r="D353" s="4" t="inlineStr">
        <is>
          <t>Provisional include</t>
        </is>
      </c>
      <c r="E353" s="4" t="inlineStr">
        <is>
          <t>Sí</t>
        </is>
      </c>
      <c r="F353" s="4" t="inlineStr">
        <is>
          <t>Full-text review</t>
        </is>
      </c>
      <c r="G353" s="4" t="n"/>
      <c r="H353" s="4" t="n"/>
      <c r="I353" s="4" t="n"/>
      <c r="J353" s="4" t="inlineStr">
        <is>
          <t>Texto completo confirma estudio primario con Machine Learning aplicado a ASD (Classification (ASD vs control)).</t>
        </is>
      </c>
      <c r="K353" s="4" t="n"/>
      <c r="L353" s="4" t="n"/>
      <c r="M353" s="4" t="n">
        <v>2025</v>
      </c>
      <c r="N353" s="4" t="inlineStr">
        <is>
          <t>Efficient Kulczynski EEG feature selection for autism spectrum disorder diagnosis over fog and cloud computing</t>
        </is>
      </c>
      <c r="O353" s="4" t="inlineStr">
        <is>
          <t>Ekraam Jabier and Ali Fadhil Marhoon and Ammar A Aldair and Mustafa Noaman Kadhim and Dhiah Al-Shammary and Ayman Ibaida</t>
        </is>
      </c>
      <c r="P353" s="4" t="inlineStr">
        <is>
          <t>10.1007/S41870-025-02987-Y</t>
        </is>
      </c>
      <c r="Q353" s="4" t="inlineStr">
        <is>
          <t>International Journal of Information Technology (Singapore)</t>
        </is>
      </c>
      <c r="R353" s="4" t="inlineStr">
        <is>
          <t>article</t>
        </is>
      </c>
      <c r="S353" s="4" t="inlineStr">
        <is>
          <t>Springer Science and Business Media B.V.</t>
        </is>
      </c>
      <c r="T353" s="4" t="inlineStr">
        <is>
          <t>https://link.springer.com/content/pdf/10.1007/s41870-025-02987-y.pdf</t>
        </is>
      </c>
      <c r="U353" s="4" t="inlineStr">
        <is>
          <t>Texto completo abierto revisado; evidencia y codificación en Extraccion_RQ_nuevos.</t>
        </is>
      </c>
      <c r="V353" s="4" t="inlineStr">
        <is>
          <t>This work introduces an efficient feature selection approach based on the Kulczynski Similarity (KS) measure to improve the efficiency and accuracy of machine learning models in Electroencephalogram (EEG)-based autism spectrum disorder (ASD) detection. EEG data are inherently high-dimensional, and using all features increases computational burden while incorporating redundant or irrelevant attributes that may hinder classification performance. The proposed KS method addresses these issues by ranking features according to their similarity, retaining those with high harmony that are most relevant for diagnosis, and discarding non-contributory dimensions. To evaluate the effectiveness of the KS framework, three configurations were compared: the complete EEG feature set, features selected with standard Particle Swarm Optimization (PSO), and features selected with the proposed KS method. While PSO retained 30 out of 47 features (63.83% selection ratio and 36.17% reduction ratio), KS achieved a more compact subset of 28 features (59.57% selection ratio and 40.43% reduction ratio), achieving an additional 4.26% improvement in both selection and reduction ratios over PSO. Despite using fewer inputs, KS consistently delivered higher performance across five classifiers. The best accuracy was obtained by K-Nearest Neighbors (KNN) at 99.20%, followed by eXtreme Gradient Boosting (XGBoost) at 98.12%, Random Forest (RF) at 97.05%, Support Vector Machine (SVM) at 95.36%, and Decision Tree (DT) at 87.95%. The findings demonstrate that KS-based feature selection reduces dimensionality, improves accuracy, and lowers complexity, supporting fog and Cloud computing enabled real-time diagnostics and clinical decision systems for efficient EEG analysis in early ASD detection and better patient care.</t>
        </is>
      </c>
      <c r="W353" s="4" t="inlineStr">
        <is>
          <t>open_full_text_review_2026_09_04</t>
        </is>
      </c>
      <c r="X353" s="4" t="inlineStr">
        <is>
          <t>doi:10.1007/s41870-025-02987-y</t>
        </is>
      </c>
      <c r="Y353" s="4" t="n"/>
      <c r="Z353" s="4" t="n"/>
      <c r="AA353" s="4" t="n"/>
      <c r="AB353" s="40" t="n"/>
    </row>
    <row r="354" ht="409" customHeight="1">
      <c r="A354" s="4" t="n">
        <v>353</v>
      </c>
      <c r="B354" s="4" t="inlineStr">
        <is>
          <t>exclude_no_qualifying_ai_application</t>
        </is>
      </c>
      <c r="C354" s="4" t="inlineStr">
        <is>
          <t>Excluir: sin aplicación de IA elegible</t>
        </is>
      </c>
      <c r="D354" s="4" t="inlineStr">
        <is>
          <t>Excluded</t>
        </is>
      </c>
      <c r="E354" s="4" t="inlineStr">
        <is>
          <t>No</t>
        </is>
      </c>
      <c r="F354" s="4" t="inlineStr">
        <is>
          <t>Title/abstract screening</t>
        </is>
      </c>
      <c r="G354" s="4" t="n"/>
      <c r="H354" s="4" t="n"/>
      <c r="I354" s="4" t="n"/>
      <c r="J354" s="4" t="inlineStr">
        <is>
          <t>El trabajo no implementa ni evalúa una técnica de IA/ML como componente sustantivo del estudio de ASD.</t>
        </is>
      </c>
      <c r="K354" s="4" t="n"/>
      <c r="L354" s="4" t="n"/>
      <c r="M354" s="4" t="n">
        <v>2025</v>
      </c>
      <c r="N354" s="4" t="inlineStr">
        <is>
          <t>Diagnostic and severity correlation of serum zinc, copper, and anti-myelin basic protein antibodies in children with autism spectrum disorder: a cross-sectional controlled study</t>
        </is>
      </c>
      <c r="O354" s="4" t="inlineStr">
        <is>
          <t>Ahmed H Hassan and Alshaymaa M Salem and Abeer A Shehab and Reham M El Hossiny</t>
        </is>
      </c>
      <c r="P354" s="4" t="inlineStr">
        <is>
          <t>10.1186/S43054-025-00406-2</t>
        </is>
      </c>
      <c r="Q354" s="4" t="inlineStr">
        <is>
          <t>Egyptian Pediatric Association Gazette</t>
        </is>
      </c>
      <c r="R354" s="4" t="inlineStr">
        <is>
          <t>article</t>
        </is>
      </c>
      <c r="S354" s="4" t="inlineStr">
        <is>
          <t>Springer Science and Business Media LLC</t>
        </is>
      </c>
      <c r="T354" s="4" t="inlineStr">
        <is>
          <t>https://doi.org/10.1186/S43054-025-00406-2</t>
        </is>
      </c>
      <c r="U354" s="4" t="n"/>
      <c r="V354" s="4" t="inlineStr">
        <is>
          <t>Background: Recent evidence has linked the pathophysiology of autism spectrum disorder (ASD) to immune dysregulation, oxidative stress, and imbalances in trace elements, particularly zinc and copper. Elevated levels of anti-myelin basic protein (anti-MBP) antibodies may also reflect an autoimmune component in ASD. The roles of these biomarkers in oxidative stress regulation, neuronal development, and immune-mediated myelin damage suggest their contribution to the pathophysiology of ASD. Objective: This cross-sectional controlled study aimed to compare serum levels of zinc, copper, and anti-MBP antibodies in children with ASD and healthy controls. It also investigated the association between these biomarkers and the severity of ASD, and their potential use in supporting diagnosis. Methods: Thirty children diagnosed with ASD were enrolled in this study along with 30 healthy age- and sex-matched controls. Serum levels of zinc, copper, and anti-MBP antibodies were measured in both groups for comparison. Severity of ASD was assessed using the Childhood Autism Rating Scale (CARS). All biomarkers were correlated to ASD severity. Results: Children with ASD had significantly lower serum zinc levels (mean ± SD = 60.10 ± 2.26 µg per deciliter [µg/dL] vs. 77.50 ± 10.20 µg/dL), higher copper levels (mean ± SD = 192.60 ± 6.83 µg/dL vs. 99.17 ± 14.58 µg/dL), and higher anti-MBP antibody levels (mean ± SD = 11.59 ± 8.55 nanograms per milliliter [ng/mL] vs. 3.44 ± 1.34 ng/mL) compared to controls (p-value &amp;lt; 0.001). ROC analysis demonstrated strong diagnostic performance for zinc (area under the curve [AUC] = 92.9%; optimal cutoff: ≤ 59 µg/dL), copper (AUC = 99.6%; cutoff: ≥ 121 µg/dL), and anti-MBP antibodies (AUC = 99.4%; cutoff: ≥ 3.94 ng/mL). Significant correlations were found between CARS scores and serum zinc (r = –0.460, p-value = 0.010), copper (r = 0.533, p-value = 0.002), the zinc/copper ratio (r = –0.518, p-value = 0.003), and anti-MBP antibody levels (r = 0.505, p-value = 0.004). Conclusions: Children with ASD showed significantly lower zinc, higher copper levels, and elevated anti-MBP antibodies. These biomarkers could serve as possible diagnostic indicators or therapeutic targets in ASD management. The results suggest a correlation between these biomarkers and the severity of ASD. Larger studies are warranted to validate these findings.</t>
        </is>
      </c>
      <c r="W354" s="4" t="inlineStr">
        <is>
          <t>title_abstract_plus_targeted_primary_source_verification</t>
        </is>
      </c>
      <c r="X354" s="4" t="inlineStr">
        <is>
          <t>doi:10.1186/s43054-025-00406-2</t>
        </is>
      </c>
      <c r="Y354" s="4" t="n"/>
      <c r="Z354" s="4" t="n"/>
      <c r="AA354" s="4" t="n"/>
      <c r="AB354" s="40" t="n"/>
    </row>
    <row r="355" ht="409" customHeight="1">
      <c r="A355" s="4" t="n">
        <v>354</v>
      </c>
      <c r="B355" s="4" t="inlineStr">
        <is>
          <t>include_after_title_abstract_screen</t>
        </is>
      </c>
      <c r="C355" s="4" t="inlineStr">
        <is>
          <t>Incluir provisionalmente</t>
        </is>
      </c>
      <c r="D355" s="4" t="inlineStr">
        <is>
          <t>Provisional include</t>
        </is>
      </c>
      <c r="E355" s="4" t="inlineStr">
        <is>
          <t>Sí</t>
        </is>
      </c>
      <c r="F355" s="4" t="inlineStr">
        <is>
          <t>Title/abstract screening</t>
        </is>
      </c>
      <c r="G355" s="4" t="n"/>
      <c r="H355" s="4" t="n"/>
      <c r="I355" s="4" t="n"/>
      <c r="J355" s="4" t="inlineStr">
        <is>
          <t>Estudio primario o implementación/evaluación empírica de IA, aprendizaje automático o modelado computacional aplicado a ASD, riesgo, caracterización, apoyo o intervención.</t>
        </is>
      </c>
      <c r="K355" s="4" t="n"/>
      <c r="L355" s="4" t="n"/>
      <c r="M355" s="4" t="n">
        <v>2026</v>
      </c>
      <c r="N355" s="4" t="inlineStr">
        <is>
          <t>Contrastive diffusion adaptation network with rs-fMRI for domain adaptation classification of autism spectrum disorder</t>
        </is>
      </c>
      <c r="O355" s="4" t="inlineStr">
        <is>
          <t>Zifeng Qiu and Yuna Chen and Sijing Su and Shijun Qiu and Lujie Liu and Jie An</t>
        </is>
      </c>
      <c r="P355" s="4" t="inlineStr">
        <is>
          <t>10.1016/j.asoc.2026.115959</t>
        </is>
      </c>
      <c r="Q355" s="4" t="inlineStr">
        <is>
          <t>Applied Soft Computing</t>
        </is>
      </c>
      <c r="R355" s="4" t="inlineStr">
        <is>
          <t>article</t>
        </is>
      </c>
      <c r="S355" s="4" t="inlineStr">
        <is>
          <t>Elsevier Ltd</t>
        </is>
      </c>
      <c r="T355" s="4" t="inlineStr">
        <is>
          <t>https://www.sciencedirect.com/science/article/pii/S1568494626014079</t>
        </is>
      </c>
      <c r="U355" s="4" t="n"/>
      <c r="V355" s="4" t="inlineStr">
        <is>
          <t>Autism spectrum disorder (ASD) imposes a substantial non-fatal health burden on youth, making early detection essential. Resting-state functional MRI (rs-fMRI) captures low-frequency BOLD connectivity biomarkers, enabling personalized diagnosis when combined with deep learning models. However, models trained at one site often fail to generalize to others due to distribution shifts caused by differences in scanner hardware, acquisition protocols, and patient populations. Existing domain adaptation (DA) techniques alleviate this issue but frequently overlook higher-order semantic features or fail to enhance both intra- (maximizing class separability within each site) and inter-domain (aligning same-class distributions across sites while preserving class margins) discriminability jointly. To address these challenges, we propose the Contrastive Diffusion Adaptation Network (CoDA-Net) for cross-site ASD diagnosis. First, a contrastive variational graph Transformer encoder (CVGTE) aligns the rs-fMRI features of the source and target through supervised contrastive loss. Next, GraphDDPMAugmentor, equipped with TripleGraphTransformerLayers and Frequency-Aware Learning, generates synthetic samples that blend source-domain statistics with target-specific details. Finally, BrainNode-Attention GNN (BNA-GNN) is trained on real and augmented data to achieve accurate diagnoses on unseen sites. Experiments on the ABIDE dataset demonstrate that CoDA-Net significantly outperforms existing DA methods in domain adaptation.</t>
        </is>
      </c>
      <c r="W355" s="4" t="inlineStr">
        <is>
          <t>title_abstract_plus_targeted_primary_source_verification</t>
        </is>
      </c>
      <c r="X355" s="4" t="inlineStr">
        <is>
          <t>doi:10.1016/j.asoc.2026.115959</t>
        </is>
      </c>
      <c r="Y355" s="4" t="n"/>
      <c r="Z355" s="4" t="n"/>
      <c r="AA355" s="4" t="n"/>
      <c r="AB355" s="40" t="n"/>
    </row>
    <row r="356" ht="409" customHeight="1">
      <c r="A356" s="4" t="n">
        <v>355</v>
      </c>
      <c r="B356" s="4" t="inlineStr">
        <is>
          <t>include_after_title_abstract_screen</t>
        </is>
      </c>
      <c r="C356" s="4" t="inlineStr">
        <is>
          <t>Incluir provisionalmente</t>
        </is>
      </c>
      <c r="D356" s="4" t="inlineStr">
        <is>
          <t>Provisional include</t>
        </is>
      </c>
      <c r="E356" s="4" t="inlineStr">
        <is>
          <t>Sí</t>
        </is>
      </c>
      <c r="F356" s="4" t="inlineStr">
        <is>
          <t>Title/abstract screening</t>
        </is>
      </c>
      <c r="G356" s="4" t="n"/>
      <c r="H356" s="4" t="n"/>
      <c r="I356" s="4" t="n"/>
      <c r="J356" s="4" t="inlineStr">
        <is>
          <t>Estudio primario o implementación/evaluación empírica de IA, aprendizaje automático o modelado computacional aplicado a ASD, riesgo, caracterización, apoyo o intervención.</t>
        </is>
      </c>
      <c r="K356" s="4" t="n"/>
      <c r="L356" s="4" t="n"/>
      <c r="M356" s="4" t="n">
        <v>2026</v>
      </c>
      <c r="N356" s="4" t="inlineStr">
        <is>
          <t>Hybrid HOG–ResNet50V2 framework for early autism spectrum disorder detection from facial images</t>
        </is>
      </c>
      <c r="O356" s="4" t="inlineStr">
        <is>
          <t>Vengidusamy S and Kottaimalai Ramaraj and Abdul Khader Jilani Saudagar and Pallikonda Rajasekaran Murugan and Prabu Pachiyannan</t>
        </is>
      </c>
      <c r="P356" s="4" t="inlineStr">
        <is>
          <t>10.1016/j.array.2026.100936</t>
        </is>
      </c>
      <c r="Q356" s="4" t="inlineStr">
        <is>
          <t>Array</t>
        </is>
      </c>
      <c r="R356" s="4" t="inlineStr">
        <is>
          <t>article</t>
        </is>
      </c>
      <c r="S356" s="4" t="inlineStr">
        <is>
          <t>Elsevier B.V.</t>
        </is>
      </c>
      <c r="T356" s="4" t="inlineStr">
        <is>
          <t>https://www.sciencedirect.com/science/article/pii/S2590005626002596</t>
        </is>
      </c>
      <c r="U356" s="4" t="n"/>
      <c r="V356" s="4" t="inlineStr">
        <is>
          <t>Early detection of Autism Spectrum Disorder (ASD) is essential for effective intervention, yet conventional diagnostic approaches rely heavily on behavioral assessments that are subjective and time-consuming. This study presents a novel hybrid deep learning (DL) framework that integrates Histogram of Oriented Gradients (HOG) with the ResNet50V2 architecture for automated ASD classification using facial images. The proposed method leverages HOG for extracting local structural and edge-based features, which are then fused with deep hierarchical representations learned by ResNet50V2, enabling enhanced discriminative capability. The model is implemented using transfer learning, where pre-trained weights of ResNet50V2 are fine-tuned on the ASD facial image dataset. The HOG features are combined with the deep feature maps to form a robust feature vector, which is subsequently passed through fully connected layers for classification. This hybridization improves feature generalization and reduces overfitting compared to conventional CNN-based models. Experimental evaluation on a publicly available dataset demonstrates that the proposed approach outperforms existing state-of-the-art (SOTA) methods. The model achieves an accuracy of 90.7%, precision of 91.5%, recall of 91.0%, and F1-score of 91.2%. The improved performance is attributed to effective multi-level feature extraction and optimized network training. The results indicate that the integration of handcrafted and deep features provides a reliable, non-invasive, and efficient framework for ASD classification, highlighting its potential for deployment in automated screening systems. Furthermore, the proposed framework has the potential to assist healthcare professionals in decision-making and early diagnosis.</t>
        </is>
      </c>
      <c r="W356" s="4" t="inlineStr">
        <is>
          <t>title_abstract_plus_targeted_primary_source_verification</t>
        </is>
      </c>
      <c r="X356" s="4" t="inlineStr">
        <is>
          <t>doi:10.1016/j.array.2026.100936</t>
        </is>
      </c>
      <c r="Y356" s="4" t="n"/>
      <c r="Z356" s="4" t="n"/>
      <c r="AA356" s="4" t="n"/>
      <c r="AB356" s="40" t="n"/>
    </row>
    <row r="357" ht="409" customHeight="1">
      <c r="A357" s="4" t="n">
        <v>356</v>
      </c>
      <c r="B357" s="4" t="inlineStr">
        <is>
          <t>duplicate_within_export</t>
        </is>
      </c>
      <c r="C357" s="4" t="inlineStr">
        <is>
          <t>No agregar: duplicado interno</t>
        </is>
      </c>
      <c r="D357" s="4" t="inlineStr">
        <is>
          <t>Duplicate within update</t>
        </is>
      </c>
      <c r="E357" s="4" t="inlineStr">
        <is>
          <t>No</t>
        </is>
      </c>
      <c r="F357" s="4" t="inlineStr">
        <is>
          <t>Deduplication</t>
        </is>
      </c>
      <c r="G357" s="4" t="n"/>
      <c r="H357" s="4" t="n"/>
      <c r="I357" s="4" t="n"/>
      <c r="J357" s="4" t="inlineStr">
        <is>
          <t>Mismo DOI o título que otro registro anterior de esta exportación.</t>
        </is>
      </c>
      <c r="K357" s="4" t="n">
        <v>72</v>
      </c>
      <c r="L357" s="4" t="n">
        <v>32</v>
      </c>
      <c r="M357" s="4" t="n">
        <v>2025</v>
      </c>
      <c r="N357" s="4" t="inlineStr">
        <is>
          <t>ASD-GraphNet: A novel graph learning approach for Autism Spectrum Disorder diagnosis using fMRI data</t>
        </is>
      </c>
      <c r="O357" s="4" t="inlineStr">
        <is>
          <t>Mina Zeraati and Amirehsan Davoodi</t>
        </is>
      </c>
      <c r="P357" s="4" t="inlineStr">
        <is>
          <t>10.1016/j.compbiomed.2025.110723</t>
        </is>
      </c>
      <c r="Q357" s="4" t="inlineStr">
        <is>
          <t>Computers in Biology and Medicine</t>
        </is>
      </c>
      <c r="R357" s="4" t="inlineStr">
        <is>
          <t>article</t>
        </is>
      </c>
      <c r="S357" s="4" t="inlineStr">
        <is>
          <t>Elsevier Ltd</t>
        </is>
      </c>
      <c r="T357" s="4" t="inlineStr">
        <is>
          <t>https://doi.org/10.1016/j.compbiomed.2025.110723</t>
        </is>
      </c>
      <c r="U357" s="4" t="n"/>
      <c r="V357" s="4" t="inlineStr">
        <is>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is>
      </c>
      <c r="W357" s="4" t="inlineStr">
        <is>
          <t>title_abstract_plus_targeted_primary_source_verification</t>
        </is>
      </c>
      <c r="X357" s="4" t="inlineStr">
        <is>
          <t>doi:10.1016/j.compbiomed.2025.110723</t>
        </is>
      </c>
      <c r="Y357" s="4" t="n"/>
      <c r="Z357" s="4" t="n"/>
      <c r="AA357" s="4" t="n"/>
      <c r="AB357" s="40" t="n"/>
    </row>
    <row r="358" ht="268" customHeight="1">
      <c r="A358" s="4" t="n">
        <v>357</v>
      </c>
      <c r="B358" s="4" t="inlineStr">
        <is>
          <t>invalid_malformed_search_record</t>
        </is>
      </c>
      <c r="C358" s="4" t="inlineStr">
        <is>
          <t>Excluir: registro inválido</t>
        </is>
      </c>
      <c r="D358" s="4" t="inlineStr">
        <is>
          <t>Invalid record</t>
        </is>
      </c>
      <c r="E358" s="4" t="inlineStr">
        <is>
          <t>No</t>
        </is>
      </c>
      <c r="F358" s="4" t="inlineStr">
        <is>
          <t>Record validation</t>
        </is>
      </c>
      <c r="G358" s="4" t="n"/>
      <c r="H358" s="4" t="n"/>
      <c r="I358" s="4" t="n"/>
      <c r="J358" s="4" t="inlineStr">
        <is>
          <t>Cadena de búsqueda exportada erróneamente como si fuera una referencia bibliográfica.</t>
        </is>
      </c>
      <c r="K358" s="4" t="n"/>
      <c r="L358" s="4" t="n"/>
      <c r="M358" s="4" t="n"/>
      <c r="N358" s="4" t="inlineStr">
        <is>
          <t>(("autism"[Title] OR "autism spectrum disorder"[Title] OR ASD[Title]) AND ("artificial intelligence"[Title/Abstract] OR "machine learning"[Title/Abstract] OR "deep learning"[Title/Abstract] OR "computer vision"[Title/Abstract] OR "natural language pr - S…</t>
        </is>
      </c>
      <c r="O358" s="4" t="n"/>
      <c r="P358" s="4" t="n"/>
      <c r="Q358" s="4" t="n"/>
      <c r="R358" s="4" t="inlineStr">
        <is>
          <t>misc</t>
        </is>
      </c>
      <c r="S358" s="4" t="n"/>
      <c r="T358" s="4" t="inlineStr">
        <is>
          <t>https://pubmed.ncbi.nlm.nih.gov/?term=((%22autism%22%5BTitle%5D%20OR%20%22autism%20spectrum%20disorder%22%5BTitle%5D%20OR%20ASD%5BTitle%5D)%20AND%20(%22artificial%20intelligence%22%5BTitle%2FAbstract%5D%20OR%20%22machine%20learning%22%5BTitle%2FAbstract%5D%20OR%20%22deep%20learning%22%5BTitle%2FAbstract%5D%20OR%20%22computer%20vision%22%5BTitle%2FAbstract%5D%20OR%20%22natural%20language%20processing%22%5BTitle%2FAbstract%5D)%20AND%20(screening%5BTitle%2FAbstract%5D%20OR%20diagnos*%5BTitle%2FAbstract%5D%20OR%20detect*%5BTitle%2FAbstract%5D%20OR%20classif*%5BTitle%2FAbstract%5D%20OR%20monitor*%5BTitle%2FAbstract%5D))%20AND%20(%222025%2F08%2F29%22%5BDate%20-%20Publication%5D%20%3A%20%222026%2F07%2F02%22%5BDate%20-%20Publication%5D)%20AND%20English%5Blang%5D%20AND%20Humans%5BMesh%5D&amp;page=3</t>
        </is>
      </c>
      <c r="U358" s="4" t="n"/>
      <c r="V358" s="4" t="n"/>
      <c r="W358" s="4" t="inlineStr">
        <is>
          <t>title_abstract_plus_targeted_primary_source_verification</t>
        </is>
      </c>
      <c r="X358" s="4" t="inlineStr">
        <is>
          <t>title:autism title or autism spectrum disorder title or asd title and artificial intelligence title abstract or machine learning title abstract or deep learning title abstract or computer vision title abstract or natural language pr s</t>
        </is>
      </c>
      <c r="Y358" s="4" t="n"/>
      <c r="Z358" s="4" t="n"/>
      <c r="AA358" s="4" t="n"/>
      <c r="AB358" s="40" t="n"/>
    </row>
    <row r="359" ht="409" customHeight="1">
      <c r="A359" s="4" t="n">
        <v>358</v>
      </c>
      <c r="B359" s="4" t="inlineStr">
        <is>
          <t>already_in_current_276</t>
        </is>
      </c>
      <c r="C359" s="4" t="inlineStr">
        <is>
          <t>No agregar: ya está en los 276</t>
        </is>
      </c>
      <c r="D359" s="4" t="inlineStr">
        <is>
          <t>Already in base 276</t>
        </is>
      </c>
      <c r="E359" s="4" t="inlineStr">
        <is>
          <t>No</t>
        </is>
      </c>
      <c r="F359" s="4" t="inlineStr">
        <is>
          <t>Deduplication against base corpus</t>
        </is>
      </c>
      <c r="G359" s="4" t="n"/>
      <c r="H359" s="4" t="n"/>
      <c r="I359" s="4" t="n"/>
      <c r="J359" s="4" t="inlineStr">
        <is>
          <t>Coincidencia por DOI o título normalizado con el corpus analítico vigente de 276 estudios.</t>
        </is>
      </c>
      <c r="K359" s="4" t="n"/>
      <c r="L359" s="4" t="n">
        <v>129</v>
      </c>
      <c r="M359" s="4" t="n">
        <v>2025</v>
      </c>
      <c r="N359" s="4" t="inlineStr">
        <is>
          <t>Investigating Diagnostic Data and Performance Implications in the Autism AI Dataset</t>
        </is>
      </c>
      <c r="O359" s="4" t="inlineStr">
        <is>
          <t>Rabia Naseer Rao and Hiran Thabrew and Seyed Reza Shahamiri</t>
        </is>
      </c>
      <c r="P359" s="4" t="inlineStr">
        <is>
          <t>10.1007/978-981-96-6960-8_26</t>
        </is>
      </c>
      <c r="Q359" s="4" t="inlineStr">
        <is>
          <t>Communications in Computer and Information Science</t>
        </is>
      </c>
      <c r="R359" s="4" t="inlineStr">
        <is>
          <t>article</t>
        </is>
      </c>
      <c r="S359" s="4" t="inlineStr">
        <is>
          <t>Springer Science and Business Media Deutschland GmbH</t>
        </is>
      </c>
      <c r="T359" s="4" t="inlineStr">
        <is>
          <t>https://doi.org/10.1007/978-981-96-6960-8_26</t>
        </is>
      </c>
      <c r="U359" s="4" t="n"/>
      <c r="V359" s="4" t="inlineStr">
        <is>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is>
      </c>
      <c r="W359" s="4" t="inlineStr">
        <is>
          <t>title_abstract_plus_targeted_primary_source_verification</t>
        </is>
      </c>
      <c r="X359" s="4" t="inlineStr">
        <is>
          <t>doi:10.1007/978-981-96-6960-8_26</t>
        </is>
      </c>
      <c r="Y359" s="4" t="n"/>
      <c r="Z359" s="4" t="n"/>
      <c r="AA359" s="4" t="n"/>
      <c r="AB359" s="40" t="n"/>
    </row>
    <row r="360" ht="409" customHeight="1">
      <c r="A360" s="4" t="n">
        <v>359</v>
      </c>
      <c r="B360" s="4" t="inlineStr">
        <is>
          <t>include_after_full_text_open_access</t>
        </is>
      </c>
      <c r="C360" s="4" t="inlineStr">
        <is>
          <t>Incluir tras revisión de texto completo abierto</t>
        </is>
      </c>
      <c r="D360" s="4" t="inlineStr">
        <is>
          <t>Provisional include</t>
        </is>
      </c>
      <c r="E360" s="4" t="inlineStr">
        <is>
          <t>Sí</t>
        </is>
      </c>
      <c r="F360" s="4" t="inlineStr">
        <is>
          <t>Full-text review</t>
        </is>
      </c>
      <c r="G360" s="4" t="n"/>
      <c r="H360" s="4" t="n"/>
      <c r="I360" s="4" t="n"/>
      <c r="J360" s="4" t="inlineStr">
        <is>
          <t>Texto completo confirma estudio primario con Hybrid aplicado a ASD (Screening classification).</t>
        </is>
      </c>
      <c r="K360" s="4" t="n"/>
      <c r="L360" s="4" t="n"/>
      <c r="M360" s="4" t="n">
        <v>2026</v>
      </c>
      <c r="N360" s="4" t="inlineStr">
        <is>
          <t>Privacy preserving federated framework for autism spectrum disorder screening with ensemble stacking and deep learning approaches</t>
        </is>
      </c>
      <c r="O360" s="4" t="inlineStr">
        <is>
          <t>Anupam Das and Prasant Kumar Pattnaik and Anjan Bandyopadhyay and Neeraj Sharma and Arun Singh and Saiprasad Potharaju</t>
        </is>
      </c>
      <c r="P360" s="4" t="inlineStr">
        <is>
          <t>10.1007/S44163-026-01103-8</t>
        </is>
      </c>
      <c r="Q360" s="4" t="inlineStr">
        <is>
          <t>Discover Artificial Intelligence</t>
        </is>
      </c>
      <c r="R360" s="4" t="inlineStr">
        <is>
          <t>article</t>
        </is>
      </c>
      <c r="S360" s="4" t="inlineStr">
        <is>
          <t>Springer Nature</t>
        </is>
      </c>
      <c r="T360" s="4" t="inlineStr">
        <is>
          <t>https://doi.org/10.1007/s44163-026-01103-8</t>
        </is>
      </c>
      <c r="U360" s="4" t="inlineStr">
        <is>
          <t>Texto completo abierto revisado; evidencia y codificación en Extraccion_RQ_nuevos.</t>
        </is>
      </c>
      <c r="V360" s="4" t="inlineStr">
        <is>
          <t>Objectives: Autism Spectrum Disorder (ASD) is a neurological condition that affects social and cognitive skills, and early detection is crucial for minimizing long-term effects. This study aims to develop a decentralized diagnostic framework for precise ASD detection, utilizing a federated learning simulation with raw data held at the client-side, but no specific privacy safety (DP, Secure Aggregation, Homomorphic Encryption). It integrates Ensemble Stacking with Deep Learning approaches, combining classifiers such as Decision Tree, Random Forest, XG Boost, and Logistic Regression (meta), and compares their effectiveness to deep learning models. Methods: The research used a Kaggle-based ASD dataset and included preprocessing steps such as missing value imputation, one-hot encoding, PCA for dimensionality reduction, oversampling for class balancing, and feature standardization. Two. models were implemented: a Federated Ensemble Model combining Decision Tree, Random Forest, and XG Boost in a stacked framework and a Federated Deep Learning Model for binary classification. Both models operated in a federated learning setup, with data distributed across two clients and aggregated via federated averaging. Metrics like accuracy, precision, recall, and F1-score were used for evaluation. Results: The federated ensemble model achieved 96.0% accuracy with precision, recall, and F1-scores of 0.97 and 0.92. The federated deep learning model outperformed it with 97.0% accuracy, higher precision (0.98), and improved recall (0.94), highlighting better balance in sensitivity and precision for ASD detection in decentralized environments. Conclusions: Both federated models demonstrated high diagnostic accuracy while maintaining data privacy. The federated deep learning model was superior and is suited for clinical applications. These are initial results obtained and are only using Kaggle ASD screening dataset. Generalizability will be tested by using external validation of larger and clinically diverse datasets (e.g., ABIDE-I/II).</t>
        </is>
      </c>
      <c r="W360" s="4" t="inlineStr">
        <is>
          <t>open_full_text_review_2026_09_04</t>
        </is>
      </c>
      <c r="X360" s="4" t="inlineStr">
        <is>
          <t>doi:10.1007/s44163-026-01103-8</t>
        </is>
      </c>
      <c r="Y360" s="4" t="n"/>
      <c r="Z360" s="4" t="n"/>
      <c r="AA360" s="4" t="n"/>
      <c r="AB360" s="40" t="n"/>
    </row>
    <row r="361" ht="409" customHeight="1">
      <c r="A361" s="4" t="n">
        <v>360</v>
      </c>
      <c r="B361" s="4" t="inlineStr">
        <is>
          <t>include_after_title_abstract_screen</t>
        </is>
      </c>
      <c r="C361" s="4" t="inlineStr">
        <is>
          <t>Incluir provisionalmente</t>
        </is>
      </c>
      <c r="D361" s="4" t="inlineStr">
        <is>
          <t>Provisional include</t>
        </is>
      </c>
      <c r="E361" s="4" t="inlineStr">
        <is>
          <t>Sí</t>
        </is>
      </c>
      <c r="F361" s="4" t="inlineStr">
        <is>
          <t>Title/abstract screening</t>
        </is>
      </c>
      <c r="G361" s="4" t="n"/>
      <c r="H361" s="4" t="n"/>
      <c r="I361" s="4" t="n"/>
      <c r="J361" s="4" t="inlineStr">
        <is>
          <t>Estudio primario o implementación/evaluación empírica de IA, aprendizaje automático o modelado computacional aplicado a ASD, riesgo, caracterización, apoyo o intervención.</t>
        </is>
      </c>
      <c r="K361" s="4" t="n"/>
      <c r="L361" s="4" t="n"/>
      <c r="M361" s="4" t="n">
        <v>2026</v>
      </c>
      <c r="N361" s="4" t="inlineStr">
        <is>
          <t>Prenatal exposure to particulate matter and risk of autism spectrum disorder in children: a population-based cohort study in South Korea</t>
        </is>
      </c>
      <c r="O361" s="4" t="inlineStr">
        <is>
          <t>Hyesung Lee and Sooyoung Kim and Seoyeong Ahn and Whanhee Lee and Jun-Won Hwang and Eunhye Jo and Woo Jin Kim</t>
        </is>
      </c>
      <c r="P361" s="4" t="inlineStr">
        <is>
          <t>10.1016/j.envres.2026.125161</t>
        </is>
      </c>
      <c r="Q361" s="4" t="inlineStr">
        <is>
          <t>Environmental Research</t>
        </is>
      </c>
      <c r="R361" s="4" t="inlineStr">
        <is>
          <t>article</t>
        </is>
      </c>
      <c r="S361" s="4" t="inlineStr">
        <is>
          <t>Elsevier BV</t>
        </is>
      </c>
      <c r="T361" s="4" t="inlineStr">
        <is>
          <t>https://www.sciencedirect.com/science/article/pii/S0013935126014921</t>
        </is>
      </c>
      <c r="U361" s="4" t="n"/>
      <c r="V361" s="4" t="inlineStr">
        <is>
          <t>Prenatal exposure to particulate matter has been investigated as a potential environmental factor for autism spectrum disorder (ASD), but evidence remains heterogeneous, and nationwide data from non-Western populations are limited. We conducted a nationwide retrospective birth cohort study using the Big CHildren's ENvironmental health Study (Big-CHENS) database in South Korea, including 698,907 mother-father-child pairs born between 2015 and 2017 and followed through 2023. Prenatal exposure to PM2.5 and PM10 was estimated using machine learning-based models and averaged over the entire pregnancy and by trimester. ASD was identified using diagnostic codes, with abnormal findings from the Korean Developmental Screening Test. Cox proportional hazards regression was used to estimate hazard ratios (HRs) and 95% confidence intervals (CIs) per interquartile range increase in pollutant concentrations after adjusting for a broad range of potential confounders. During follow-up, 5,594 children (0.8%) were diagnosed with ASD. Prenatal PM2.5 exposure was not associated with ASD risk during the total pregnancy period (HR, 0.99; 95% CI, 0.95-1.03) or during the first (1.02, 0.99-1.05), second (0.99, 0.97-1.02), or third trimester (0.98, 0.95-1.00). Similarly, prenatal PM10 exposure was not associated with ASD risk during the total pregnancy period (0.99, 0.94-1.04) or during the first (1.02, 0.98-1.05), second (0.99, 0.96-1.02), or third trimester (0.98, 0.96-1.01). Findings were consistent across developmental screening outcomes, subgroup analyses, and sensitivity analyses. In this nationwide South Korean cohort, prenatal exposure to PM2.5 or PM10 was not associated with ASD risk after accounting for a broad range of potential confounders. These findings highlight the importance of careful confounder control and outcome definition in studies of prenatal air pollution exposure and neurodevelopmental outcomes.</t>
        </is>
      </c>
      <c r="W361" s="4" t="inlineStr">
        <is>
          <t>title_abstract_plus_targeted_primary_source_verification</t>
        </is>
      </c>
      <c r="X361" s="4" t="inlineStr">
        <is>
          <t>doi:10.1016/j.envres.2026.125161</t>
        </is>
      </c>
      <c r="Y361" s="4" t="n"/>
      <c r="Z361" s="4" t="n"/>
      <c r="AA361" s="4" t="n"/>
      <c r="AB361" s="40" t="n"/>
    </row>
    <row r="362" ht="409" customHeight="1">
      <c r="A362" s="4" t="n">
        <v>361</v>
      </c>
      <c r="B362" s="4" t="inlineStr">
        <is>
          <t>include_after_title_abstract_screen</t>
        </is>
      </c>
      <c r="C362" s="4" t="inlineStr">
        <is>
          <t>Incluir provisionalmente</t>
        </is>
      </c>
      <c r="D362" s="4" t="inlineStr">
        <is>
          <t>Provisional include</t>
        </is>
      </c>
      <c r="E362" s="4" t="inlineStr">
        <is>
          <t>Sí</t>
        </is>
      </c>
      <c r="F362" s="4" t="inlineStr">
        <is>
          <t>Title/abstract screening</t>
        </is>
      </c>
      <c r="G362" s="4" t="n"/>
      <c r="H362" s="4" t="n"/>
      <c r="I362" s="4" t="n"/>
      <c r="J362" s="4" t="inlineStr">
        <is>
          <t>Estudio primario o implementación/evaluación empírica de IA, aprendizaje automático o modelado computacional aplicado a ASD, riesgo, caracterización, apoyo o intervención.</t>
        </is>
      </c>
      <c r="K362" s="4" t="n"/>
      <c r="L362" s="4" t="n"/>
      <c r="M362" s="4" t="n">
        <v>2026</v>
      </c>
      <c r="N362" s="4" t="inlineStr">
        <is>
          <t>Systems-level multi-omics dissection of syndromic and idiopathic autism reveals distinct regulatory architectures, candidate molecular signatures, and potential therapeutic targets</t>
        </is>
      </c>
      <c r="O362" s="4" t="inlineStr">
        <is>
          <t>Ondippili Rudhra and Sanjeev Kumar Singh</t>
        </is>
      </c>
      <c r="P362" s="4" t="inlineStr">
        <is>
          <t>10.1016/j.compbiomed.2026.111822</t>
        </is>
      </c>
      <c r="Q362" s="4" t="inlineStr">
        <is>
          <t>Computers in Biology and Medicine</t>
        </is>
      </c>
      <c r="R362" s="4" t="inlineStr">
        <is>
          <t>article</t>
        </is>
      </c>
      <c r="S362" s="4" t="inlineStr">
        <is>
          <t>Elsevier Ltd</t>
        </is>
      </c>
      <c r="T362" s="4" t="inlineStr">
        <is>
          <t>https://www.sciencedirect.com/science/article/pii/S0010482526003860</t>
        </is>
      </c>
      <c r="U362" s="4" t="n"/>
      <c r="V362" s="4" t="inlineStr">
        <is>
          <t>Biological systems operate as self-organizing information networks in which genetic, epigenetic, and regulatory interactions collectively determine functional outcomes. Autism encompasses a heterogeneous set of neurodevelopmental conditions, including syndromic and idiopathic subtypes. Despite extensive gene discovery efforts, how these autism subtypes differ in their underlying organization of biological information remains poorly understood. Here, we apply an integrative systems-level, multi-omics framework to compare syndromic and idiopathic autism as distinct regulatory systems. High-confidence autism risk genes were curated from the SFARI and AutismKB databases, and analyzed using functional enrichment, protein–protein interaction network modeling, graph-theoretic hub identification, brain-region, cell-type-specific transcriptomic validation, experimentally supported miRNA regulatory network reconstruction, and deep learning–based drugtarget interaction analysis. Our analyses reveal clear differences in network organization between autism subtypes. Idiopathic autism is predominantly associated with synaptic signaling, ion channel activity, and transcriptional modulation, with hub genes KAT2B and AR enriched in basal ganglia-associated regions and astrocytes. In contrast, syndromic autism shows enrichment for transcriptional regulation, chromatin remodeling, and dense miRNA-mediated control, with hub genes CHD3 and CSNK2A1 preferentially expressed in cerebellar and cortical regions, as well as inhibitory neurons. Notably, master regulatory miRNAs differ completely between subtypes, indicating distinct post-transcriptional regulatory strategies. Deep learning-based screening further identifies subtype-specific therapeutic candidates with predicted central nervous system accessibility. Together, these findings demonstrate that syndromic and idiopathic autism differ in how regulatory information is structured and propagated across molecular networks, providing a systems-level perspective on autism heterogeneity and a general framework for analyzing biological information organization in complex systems.</t>
        </is>
      </c>
      <c r="W362" s="4" t="inlineStr">
        <is>
          <t>title_abstract_plus_targeted_primary_source_verification</t>
        </is>
      </c>
      <c r="X362" s="4" t="inlineStr">
        <is>
          <t>doi:10.1016/j.compbiomed.2026.111822</t>
        </is>
      </c>
      <c r="Y362" s="4" t="n"/>
      <c r="Z362" s="4" t="n"/>
      <c r="AA362" s="4" t="n"/>
      <c r="AB362" s="40" t="n"/>
    </row>
    <row r="363" ht="409" customHeight="1">
      <c r="A363" s="4" t="n">
        <v>362</v>
      </c>
      <c r="B363" s="4" t="inlineStr">
        <is>
          <t>duplicate_within_export</t>
        </is>
      </c>
      <c r="C363" s="4" t="inlineStr">
        <is>
          <t>No agregar: duplicado interno</t>
        </is>
      </c>
      <c r="D363" s="4" t="inlineStr">
        <is>
          <t>Duplicate within update</t>
        </is>
      </c>
      <c r="E363" s="4" t="inlineStr">
        <is>
          <t>No</t>
        </is>
      </c>
      <c r="F363" s="4" t="inlineStr">
        <is>
          <t>Deduplication</t>
        </is>
      </c>
      <c r="G363" s="4" t="n"/>
      <c r="H363" s="4" t="n"/>
      <c r="I363" s="4" t="n"/>
      <c r="J363" s="4" t="inlineStr">
        <is>
          <t>Mismo DOI o título que otro registro anterior de esta exportación.</t>
        </is>
      </c>
      <c r="K363" s="4" t="n">
        <v>123</v>
      </c>
      <c r="L363" s="4" t="n"/>
      <c r="M363" s="4" t="n">
        <v>2025</v>
      </c>
      <c r="N363" s="4" t="inlineStr">
        <is>
          <t>FaithfulNet: An explainable deep learning framework for autism diagnosis using structural MRI</t>
        </is>
      </c>
      <c r="O363" s="4" t="inlineStr">
        <is>
          <t>D Swainson Sujana and D Peter Augustine</t>
        </is>
      </c>
      <c r="P363" s="4" t="inlineStr">
        <is>
          <t>10.1016/j.brainres.2025.149904</t>
        </is>
      </c>
      <c r="Q363" s="4" t="inlineStr">
        <is>
          <t>Brain Research</t>
        </is>
      </c>
      <c r="R363" s="4" t="inlineStr">
        <is>
          <t>article</t>
        </is>
      </c>
      <c r="S363" s="4" t="inlineStr">
        <is>
          <t>Elsevier B.V.</t>
        </is>
      </c>
      <c r="T363" s="4" t="inlineStr">
        <is>
          <t>https://doi.org/10.1016/j.brainres.2025.149904</t>
        </is>
      </c>
      <c r="U363" s="4" t="n"/>
      <c r="V363" s="4" t="inlineStr">
        <is>
          <t>Explainable Artificial Intelligence (XAI) can decode the ‘black box’ models, enhancing trust in clinical decision-making. XAI makes the predictions of deep learning models interpretable, transparent, and trustworthy. This study employed XAI techniques to explain the predictions made by a deep learning-based model for diagnosing autism and identifying the memory regions responsible for children's academic performance. This study utilized publicly available sMRI data from the ABIDE-II repository. First, a deep learning model, FaithfulNet, was developed to aid in the diagnosis of autism. Next, gradient-based class activation maps and the SHAP gradient explainer were employed to generate explanations for the model's predictions. These explanations were integrated to develop a novel and faithful visual explanation, Faith_CAM. Finally, this faithful explanation was quantified using the pointing game score and analyzed with cortical and subcortical structure masks to identify the impaired brain regions in the autistic brain. This study achieved a classification accuracy of 99.74% with an AUC value of 1. In addition to facilitating autism diagnosis, this study assesses the degree of impairment in memory regions responsible for the children's academic performance, thus contributing to the development of personalized treatment plans.</t>
        </is>
      </c>
      <c r="W363" s="4" t="inlineStr">
        <is>
          <t>title_abstract_plus_targeted_primary_source_verification</t>
        </is>
      </c>
      <c r="X363" s="4" t="inlineStr">
        <is>
          <t>doi:10.1016/j.brainres.2025.149904</t>
        </is>
      </c>
      <c r="Y363" s="4" t="n"/>
      <c r="Z363" s="4" t="n"/>
      <c r="AA363" s="4" t="n"/>
      <c r="AB363" s="40" t="n"/>
    </row>
    <row r="364" ht="409" customHeight="1">
      <c r="A364" s="4" t="n">
        <v>363</v>
      </c>
      <c r="B364" s="4" t="inlineStr">
        <is>
          <t>exclude_secondary_or_nonempirical_publication</t>
        </is>
      </c>
      <c r="C364" s="4" t="inlineStr">
        <is>
          <t>Excluir: publicación secundaria/no empírica</t>
        </is>
      </c>
      <c r="D364" s="4" t="inlineStr">
        <is>
          <t>Excluded</t>
        </is>
      </c>
      <c r="E364" s="4" t="inlineStr">
        <is>
          <t>No</t>
        </is>
      </c>
      <c r="F364" s="4" t="inlineStr">
        <is>
          <t>Title/abstract screening</t>
        </is>
      </c>
      <c r="G364" s="4" t="n"/>
      <c r="H364" s="4" t="n"/>
      <c r="I364" s="4" t="n"/>
      <c r="J364" s="4" t="inlineStr">
        <is>
          <t>Revisión, metaanálisis, encuesta de literatura, protocolo, perspectiva, carta, editorial o capítulo de síntesis sin estudio primario elegible.</t>
        </is>
      </c>
      <c r="K364" s="4" t="n"/>
      <c r="L364" s="4" t="n"/>
      <c r="M364" s="4" t="n">
        <v>2026</v>
      </c>
      <c r="N364" s="4" t="inlineStr">
        <is>
          <t>Advancements in Feature Extraction Methods for the Diagnosis and Intervention of ADHD, ASD, and Epilepsy: A Critical Study</t>
        </is>
      </c>
      <c r="O364" s="4" t="inlineStr">
        <is>
          <t>B A E Madhushika and D P Geeganage and V N Thilakawardana and M D N Chandrasiri and K A D T Kulawansa</t>
        </is>
      </c>
      <c r="P364" s="4" t="inlineStr">
        <is>
          <t>10.1007/978-981-96-8895-1_53</t>
        </is>
      </c>
      <c r="Q364" s="4" t="inlineStr">
        <is>
          <t>Lecture Notes in Networks and Systems</t>
        </is>
      </c>
      <c r="R364" s="4" t="inlineStr">
        <is>
          <t>article</t>
        </is>
      </c>
      <c r="S364" s="4" t="inlineStr">
        <is>
          <t>Springer Science and Business Media Deutschland GmbH</t>
        </is>
      </c>
      <c r="T364" s="4" t="inlineStr">
        <is>
          <t>https://doi.org/10.1007/978-981-96-8895-1_53</t>
        </is>
      </c>
      <c r="U364" s="4" t="n"/>
      <c r="V364" s="4" t="inlineStr">
        <is>
          <t>Neurodevelopmental disorders, including autism spectrum disorder (ASD), attention deficit/hyperactivity disorder (ADHD), and epilepsy, significantly impact cognitive, social, and motor development. Early detection and personalized intervention are critical for improving patient outcomes, yet traditional diagnostic methods often rely on subjective assessments, leading to delayed diagnosis and intervention. This study examines different feature extraction methods for ADHD, ASD, and epilepsy, explores existing solutions, and compares their effectiveness. By leveraging advanced techniques in statistical analysis, machine learning, and deep learning, this study seeks to provide more objective and timely diagnostic tools for these disorders.</t>
        </is>
      </c>
      <c r="W364" s="4" t="inlineStr">
        <is>
          <t>title_abstract_plus_targeted_primary_source_verification</t>
        </is>
      </c>
      <c r="X364" s="4" t="inlineStr">
        <is>
          <t>doi:10.1007/978-981-96-8895-1_53</t>
        </is>
      </c>
      <c r="Y364" s="4" t="n"/>
      <c r="Z364" s="4" t="n"/>
      <c r="AA364" s="4" t="n"/>
      <c r="AB364" s="40" t="n"/>
    </row>
    <row r="365" ht="409" customHeight="1">
      <c r="A365" s="4" t="n">
        <v>364</v>
      </c>
      <c r="B365" s="4" t="inlineStr">
        <is>
          <t>include_after_title_abstract_screen</t>
        </is>
      </c>
      <c r="C365" s="4" t="inlineStr">
        <is>
          <t>Incluir provisionalmente</t>
        </is>
      </c>
      <c r="D365" s="4" t="inlineStr">
        <is>
          <t>Provisional include</t>
        </is>
      </c>
      <c r="E365" s="4" t="inlineStr">
        <is>
          <t>Sí</t>
        </is>
      </c>
      <c r="F365" s="4" t="inlineStr">
        <is>
          <t>Title/abstract screening</t>
        </is>
      </c>
      <c r="G365" s="4" t="n"/>
      <c r="H365" s="4" t="n"/>
      <c r="I365" s="4" t="n"/>
      <c r="J365" s="4" t="inlineStr">
        <is>
          <t>Estudio primario o implementación/evaluación empírica de IA, aprendizaje automático o modelado computacional aplicado a ASD, riesgo, caracterización, apoyo o intervención.</t>
        </is>
      </c>
      <c r="K365" s="4" t="n"/>
      <c r="L365" s="4" t="n"/>
      <c r="M365" s="4" t="n">
        <v>2026</v>
      </c>
      <c r="N365" s="4" t="inlineStr">
        <is>
          <t>Smart detection of autism spectrum disorder using optimized deep learner for transforming early diagnosis and intervention</t>
        </is>
      </c>
      <c r="O365" s="4" t="inlineStr">
        <is>
          <t>P Kamaraja Pandian and R Chithambaramani and M Sujaritha and C Gnanaprakasam and P Rama Mohan and S Gopalakrishnan</t>
        </is>
      </c>
      <c r="P365" s="4" t="inlineStr">
        <is>
          <t>10.1007/S12065-026-01162-X</t>
        </is>
      </c>
      <c r="Q365" s="4" t="inlineStr">
        <is>
          <t>Evolutionary Intelligence</t>
        </is>
      </c>
      <c r="R365" s="4" t="inlineStr">
        <is>
          <t>article</t>
        </is>
      </c>
      <c r="S365" s="4" t="inlineStr">
        <is>
          <t>Springer Science and Business Media Deutschland GmbH</t>
        </is>
      </c>
      <c r="T365" s="4" t="inlineStr">
        <is>
          <t>https://doi.org/10.1007/S12065-026-01162-X</t>
        </is>
      </c>
      <c r="U365" s="4" t="n"/>
      <c r="V365" s="4" t="inlineStr">
        <is>
          <t>Autism Spectrum Disorder (ASD) detection and classification bear huge importance in early diagnosis and intervention, which will massively raise the quality of life in autistic individuals. Most traditional approaches have difficulties in catching the sophisticated patterns of ASD-related behaviors, which often lead to suboptimal accuracy, high false-positive rates, and poor generalization across datasets. This paper introduces a new approach: the NeD-TraF framework and the Eagle Vision Arithmetic Search (EVA-Search) algorithm. This advanced deep learning architecture is very efficient in extracting ASD-salient features and further classifying them accordingly. In contrast, a dynamically optimized learning rate decay would result in much quicker convergence with the EVA-Search method. As discussed above, the methods described propose novelty at the levels of adaptive feature extraction, improved computation efficiency, and a modular approach that guarantees scalability on various datasets. It verifies the efficiency of the proposed framework with the Reddit Mental Health Dataset and ASD Screening Dataset. Experimental results reveal that the model is able to outperform six state-of-the-art methods with higher accuracy and F1-scores, such as 99%, at reduced computational time. Thus, the superiority of the current framework signifies that it is much capable of capturing the complexities in a relationship and thereby suitable for real-world applications. This provides a transformational solution in ASD detection and classification, setting a new standard in precision and efficiency in computational diagnostics.</t>
        </is>
      </c>
      <c r="W365" s="4" t="inlineStr">
        <is>
          <t>title_abstract_plus_targeted_primary_source_verification</t>
        </is>
      </c>
      <c r="X365" s="4" t="inlineStr">
        <is>
          <t>doi:10.1007/s12065-026-01162-x</t>
        </is>
      </c>
      <c r="Y365" s="4" t="n"/>
      <c r="Z365" s="4" t="n"/>
      <c r="AA365" s="4" t="n"/>
      <c r="AB365" s="40" t="n"/>
    </row>
    <row r="366" ht="409" customHeight="1">
      <c r="A366" s="4" t="n">
        <v>365</v>
      </c>
      <c r="B366" s="4" t="inlineStr">
        <is>
          <t>already_in_current_276</t>
        </is>
      </c>
      <c r="C366" s="4" t="inlineStr">
        <is>
          <t>No agregar: ya está en los 276</t>
        </is>
      </c>
      <c r="D366" s="4" t="inlineStr">
        <is>
          <t>Already in base 276</t>
        </is>
      </c>
      <c r="E366" s="4" t="inlineStr">
        <is>
          <t>No</t>
        </is>
      </c>
      <c r="F366" s="4" t="inlineStr">
        <is>
          <t>Deduplication against base corpus</t>
        </is>
      </c>
      <c r="G366" s="4" t="n"/>
      <c r="H366" s="4" t="n"/>
      <c r="I366" s="4" t="n"/>
      <c r="J366" s="4" t="inlineStr">
        <is>
          <t>Coincidencia por DOI o título normalizado con el corpus analítico vigente de 276 estudios.</t>
        </is>
      </c>
      <c r="K366" s="4" t="n"/>
      <c r="L366" s="4" t="n">
        <v>120</v>
      </c>
      <c r="M366" s="4" t="n">
        <v>2025</v>
      </c>
      <c r="N366" s="4" t="inlineStr">
        <is>
          <t>Screening autism spectrum disorder in children using machine learning on speech transcripts</t>
        </is>
      </c>
      <c r="O366" s="4" t="inlineStr">
        <is>
          <t>Rida Assaf and Zein Shehabeddine and Vikram Ramesh</t>
        </is>
      </c>
      <c r="P366" s="4" t="inlineStr">
        <is>
          <t>10.1038/s41598-025-01500-6</t>
        </is>
      </c>
      <c r="Q366" s="4" t="inlineStr">
        <is>
          <t>Scientific Reports</t>
        </is>
      </c>
      <c r="R366" s="4" t="inlineStr">
        <is>
          <t>article</t>
        </is>
      </c>
      <c r="S366" s="4" t="inlineStr">
        <is>
          <t>Nature Research</t>
        </is>
      </c>
      <c r="T366" s="4" t="inlineStr">
        <is>
          <t>https://doi.org/10.1038/s41598-025-01500-6</t>
        </is>
      </c>
      <c r="U366" s="4" t="n"/>
      <c r="V366" s="4" t="inlineStr">
        <is>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is>
      </c>
      <c r="W366" s="4" t="inlineStr">
        <is>
          <t>title_abstract_plus_targeted_primary_source_verification</t>
        </is>
      </c>
      <c r="X366" s="4" t="inlineStr">
        <is>
          <t>doi:10.1038/s41598-025-01500-6</t>
        </is>
      </c>
      <c r="Y366" s="4" t="n"/>
      <c r="Z366" s="4" t="n"/>
      <c r="AA366" s="4" t="n"/>
      <c r="AB366" s="40" t="n"/>
    </row>
    <row r="367" ht="125" customHeight="1">
      <c r="A367" s="4" t="n">
        <v>366</v>
      </c>
      <c r="B367" s="4" t="inlineStr">
        <is>
          <t>include_after_title_abstract_screen</t>
        </is>
      </c>
      <c r="C367" s="4" t="inlineStr">
        <is>
          <t>Incluir provisionalmente</t>
        </is>
      </c>
      <c r="D367" s="4" t="inlineStr">
        <is>
          <t>Provisional include</t>
        </is>
      </c>
      <c r="E367" s="4" t="inlineStr">
        <is>
          <t>Sí</t>
        </is>
      </c>
      <c r="F367" s="4" t="inlineStr">
        <is>
          <t>Title/abstract screening</t>
        </is>
      </c>
      <c r="G367" s="4" t="n"/>
      <c r="H367" s="4" t="n"/>
      <c r="I367" s="4" t="n"/>
      <c r="J367" s="4" t="inlineStr">
        <is>
          <t>Estudio primario o implementación/evaluación empírica de IA, aprendizaje automático o modelado computacional aplicado a ASD, riesgo, caracterización, apoyo o intervención.</t>
        </is>
      </c>
      <c r="K367" s="4" t="n"/>
      <c r="L367" s="4" t="n"/>
      <c r="M367" s="4" t="n">
        <v>2026</v>
      </c>
      <c r="N367" s="4" t="inlineStr">
        <is>
          <t>Hybrid deep learning with cross-attention fusion for autism spectrum disorder classification from facial images</t>
        </is>
      </c>
      <c r="O367" s="4" t="inlineStr">
        <is>
          <t>M Revathi and S Arunarani</t>
        </is>
      </c>
      <c r="P367" s="4" t="inlineStr">
        <is>
          <t>10.1016/j.ibmed.2026.100421</t>
        </is>
      </c>
      <c r="Q367" s="4" t="inlineStr">
        <is>
          <t>Intelligence-Based Medicine</t>
        </is>
      </c>
      <c r="R367" s="4" t="inlineStr">
        <is>
          <t>article</t>
        </is>
      </c>
      <c r="S367" s="4" t="inlineStr">
        <is>
          <t>Elsevier BV</t>
        </is>
      </c>
      <c r="T367" s="4" t="inlineStr">
        <is>
          <t>https://www.sciencedirect.com/science/article/pii/S2666521226000797</t>
        </is>
      </c>
      <c r="U367" s="4" t="n"/>
      <c r="V367" s="4" t="n"/>
      <c r="W367" s="4" t="inlineStr">
        <is>
          <t>title_abstract_plus_targeted_primary_source_verification</t>
        </is>
      </c>
      <c r="X367" s="4" t="inlineStr">
        <is>
          <t>doi:10.1016/j.ibmed.2026.100421</t>
        </is>
      </c>
      <c r="Y367" s="4" t="n"/>
      <c r="Z367" s="4" t="n"/>
      <c r="AA367" s="4" t="n"/>
      <c r="AB367" s="40" t="n"/>
    </row>
    <row r="368" ht="409" customHeight="1">
      <c r="A368" s="4" t="n">
        <v>367</v>
      </c>
      <c r="B368" s="4" t="inlineStr">
        <is>
          <t>include_after_title_abstract_screen</t>
        </is>
      </c>
      <c r="C368" s="4" t="inlineStr">
        <is>
          <t>Incluir provisionalmente</t>
        </is>
      </c>
      <c r="D368" s="4" t="inlineStr">
        <is>
          <t>Provisional include</t>
        </is>
      </c>
      <c r="E368" s="4" t="inlineStr">
        <is>
          <t>Sí</t>
        </is>
      </c>
      <c r="F368" s="4" t="inlineStr">
        <is>
          <t>Title/abstract screening</t>
        </is>
      </c>
      <c r="G368" s="4" t="n"/>
      <c r="H368" s="4" t="n"/>
      <c r="I368" s="4" t="n"/>
      <c r="J368" s="4" t="inlineStr">
        <is>
          <t>Estudio primario o implementación/evaluación empírica de IA, aprendizaje automático o modelado computacional aplicado a ASD, riesgo, caracterización, apoyo o intervención.</t>
        </is>
      </c>
      <c r="K368" s="4" t="n"/>
      <c r="L368" s="4" t="n"/>
      <c r="M368" s="4" t="n">
        <v>2026</v>
      </c>
      <c r="N368" s="4" t="inlineStr">
        <is>
          <t>An integrated intelligent model for early diagnosis of autism spectrum disorder</t>
        </is>
      </c>
      <c r="O368" s="4" t="inlineStr">
        <is>
          <t>Archana Tandon and Bireshwar Dass Mazumdar and Manoj Kumar Pal</t>
        </is>
      </c>
      <c r="P368" s="4" t="inlineStr">
        <is>
          <t>10.1016/j.fraope.2026.100663</t>
        </is>
      </c>
      <c r="Q368" s="4" t="inlineStr">
        <is>
          <t>Franklin Open</t>
        </is>
      </c>
      <c r="R368" s="4" t="inlineStr">
        <is>
          <t>article</t>
        </is>
      </c>
      <c r="S368" s="4" t="inlineStr">
        <is>
          <t>Elsevier B.V.</t>
        </is>
      </c>
      <c r="T368" s="4" t="inlineStr">
        <is>
          <t>https://www.sciencedirect.com/science/article/pii/S2773186326001787</t>
        </is>
      </c>
      <c r="U368" s="4" t="n"/>
      <c r="V368" s="4" t="inlineStr">
        <is>
          <t>An increasingly popular methodology in the field of medical science is an automated model based on artificial intelligence (AI). An integrated intelligent model for a neurological disease detection system has been created in this study. Neurological disorder includes Cerebral Palsy, Epilepsy, Autism spectrum disorder (ASD) and Attention deficit hyperactivity disorder (ADHD). The main challenge of this expert system is to provide accurate diagnosis within a limited time period. The primary objective of this work is to create a hybrid model of Case-Based Reasoning (CBR), Rule-Based Reasoning (RBR) and an Artificial Neural Network in which RBR is used to calculate the Cumulative Confidence Factor (CCOF) of diseases and to hierarchically connect their symptoms. CBR is utilised for diagnosing neurological illnesses and determining the significance of a disease's signs and symptoms in comparison with other diseases. So we proposed a decision support system which act as screening tool for future diagnosis of early Autism disorder.</t>
        </is>
      </c>
      <c r="W368" s="4" t="inlineStr">
        <is>
          <t>title_abstract_plus_targeted_primary_source_verification</t>
        </is>
      </c>
      <c r="X368" s="4" t="inlineStr">
        <is>
          <t>doi:10.1016/j.fraope.2026.100663</t>
        </is>
      </c>
      <c r="Y368" s="4" t="n"/>
      <c r="Z368" s="4" t="n"/>
      <c r="AA368" s="4" t="n"/>
      <c r="AB368" s="40" t="n"/>
    </row>
    <row r="369" ht="268" customHeight="1">
      <c r="A369" s="4" t="n">
        <v>368</v>
      </c>
      <c r="B369" s="4" t="inlineStr">
        <is>
          <t>invalid_malformed_search_record</t>
        </is>
      </c>
      <c r="C369" s="4" t="inlineStr">
        <is>
          <t>Excluir: registro inválido</t>
        </is>
      </c>
      <c r="D369" s="4" t="inlineStr">
        <is>
          <t>Invalid record</t>
        </is>
      </c>
      <c r="E369" s="4" t="inlineStr">
        <is>
          <t>No</t>
        </is>
      </c>
      <c r="F369" s="4" t="inlineStr">
        <is>
          <t>Record validation</t>
        </is>
      </c>
      <c r="G369" s="4" t="n"/>
      <c r="H369" s="4" t="n"/>
      <c r="I369" s="4" t="n"/>
      <c r="J369" s="4" t="inlineStr">
        <is>
          <t>Cadena de búsqueda exportada erróneamente como si fuera una referencia bibliográfica.</t>
        </is>
      </c>
      <c r="K369" s="4" t="n">
        <v>357</v>
      </c>
      <c r="L369" s="4" t="n"/>
      <c r="M369" s="4" t="n"/>
      <c r="N369" s="4" t="inlineStr">
        <is>
          <t>(("autism"[Title] OR "autism spectrum disorder"[Title] OR ASD[Title]) AND ("artificial intelligence"[Title/Abstract] OR "machine learning"[Title/Abstract] OR "deep learning"[Title/Abstract] OR "computer vision"[Title/Abstract] OR "natural language pr - S…</t>
        </is>
      </c>
      <c r="O369" s="4" t="n"/>
      <c r="P369" s="4" t="n"/>
      <c r="Q369" s="4" t="n"/>
      <c r="R369" s="4" t="inlineStr">
        <is>
          <t>misc</t>
        </is>
      </c>
      <c r="S369" s="4" t="n"/>
      <c r="T369" s="4" t="inlineStr">
        <is>
          <t>https://pubmed.ncbi.nlm.nih.gov/?term=((%22autism%22%5BTitle%5D%20OR%20%22autism%20spectrum%20disorder%22%5BTitle%5D%20OR%20ASD%5BTitle%5D)%20AND%20(%22artificial%20intelligence%22%5BTitle%2FAbstract%5D%20OR%20%22machine%20learning%22%5BTitle%2FAbstract%5D%20OR%20%22deep%20learning%22%5BTitle%2FAbstract%5D%20OR%20%22computer%20vision%22%5BTitle%2FAbstract%5D%20OR%20%22natural%20language%20processing%22%5BTitle%2FAbstract%5D)%20AND%20(screening%5BTitle%2FAbstract%5D%20OR%20diagnos*%5BTitle%2FAbstract%5D%20OR%20detect*%5BTitle%2FAbstract%5D%20OR%20classif*%5BTitle%2FAbstract%5D%20OR%20monitor*%5BTitle%2FAbstract%5D))%20AND%20(%222025%2F08%2F29%22%5BDate%20-%20Publication%5D%20%3A%20%222026%2F07%2F02%22%5BDate%20-%20Publication%5D)%20AND%20English%5Blang%5D%20AND%20Humans%5BMesh%5D&amp;page=2</t>
        </is>
      </c>
      <c r="U369" s="4" t="n"/>
      <c r="V369" s="4" t="n"/>
      <c r="W369" s="4" t="inlineStr">
        <is>
          <t>title_abstract_plus_targeted_primary_source_verification</t>
        </is>
      </c>
      <c r="X369" s="4" t="inlineStr">
        <is>
          <t>title:autism title or autism spectrum disorder title or asd title and artificial intelligence title abstract or machine learning title abstract or deep learning title abstract or computer vision title abstract or natural language pr s</t>
        </is>
      </c>
      <c r="Y369" s="4" t="n"/>
      <c r="Z369" s="4" t="n"/>
      <c r="AA369" s="4" t="n"/>
      <c r="AB369" s="40" t="n"/>
    </row>
    <row r="370" ht="409" customHeight="1">
      <c r="A370" s="4" t="n">
        <v>369</v>
      </c>
      <c r="B370" s="4" t="inlineStr">
        <is>
          <t>include_after_title_abstract_screen</t>
        </is>
      </c>
      <c r="C370" s="4" t="inlineStr">
        <is>
          <t>Incluir provisionalmente</t>
        </is>
      </c>
      <c r="D370" s="4" t="inlineStr">
        <is>
          <t>Provisional include</t>
        </is>
      </c>
      <c r="E370" s="4" t="inlineStr">
        <is>
          <t>Sí</t>
        </is>
      </c>
      <c r="F370" s="4" t="inlineStr">
        <is>
          <t>Title/abstract screening</t>
        </is>
      </c>
      <c r="G370" s="4" t="n"/>
      <c r="H370" s="4" t="n"/>
      <c r="I370" s="4" t="n"/>
      <c r="J370" s="4" t="inlineStr">
        <is>
          <t>Estudio primario o implementación/evaluación empírica de IA, aprendizaje automático o modelado computacional aplicado a ASD, riesgo, caracterización, apoyo o intervención.</t>
        </is>
      </c>
      <c r="K370" s="4" t="n"/>
      <c r="L370" s="4" t="n"/>
      <c r="M370" s="4" t="n">
        <v>2025</v>
      </c>
      <c r="N370" s="4" t="inlineStr">
        <is>
          <t>Hybrid deep learning model for autism spectrum disorder diagnosis</t>
        </is>
      </c>
      <c r="O370" s="4" t="inlineStr">
        <is>
          <t>D Aarthi and S Kannimuthu</t>
        </is>
      </c>
      <c r="P370" s="4" t="inlineStr">
        <is>
          <t>10.1038/s41598-025-28819-4</t>
        </is>
      </c>
      <c r="Q370" s="4" t="inlineStr">
        <is>
          <t>Scientific Reports</t>
        </is>
      </c>
      <c r="R370" s="4" t="inlineStr">
        <is>
          <t>article</t>
        </is>
      </c>
      <c r="S370" s="4" t="inlineStr">
        <is>
          <t>Nature Research</t>
        </is>
      </c>
      <c r="T370" s="4" t="inlineStr">
        <is>
          <t>https://doi.org/10.1038/s41598-025-28819-4</t>
        </is>
      </c>
      <c r="U370" s="4" t="n"/>
      <c r="V370" s="4" t="inlineStr">
        <is>
          <t>Autism spectrum disorder (ASD) is a neurodevelopmental condition pertaining to the communication, social connectivity and conduct of individuals. ASD individuals develop symptoms such as recurrent actions, atypical facial expressions and challenges in social engagement. ASD prediction depends on various measures such as functional Magnetic Resonance Imaging (fMRI) data, game-based assessments, kinematic traits, questionnaires, head activity analysis, motor activities and eye-tracking. Traditional diagnostic approaches are subjective. These approaches are clinician-dependent and time-consuming. This has resulted in various challenges for the early detection of the condition. This work evaluated the performance of five hybrid approaches such as MobileNetV2+BiLSTM, ResNet50+LSTM, EfficientNetB4, InceptionV3 and MobileNetV2+GRU. Each model was meticulously refined to achieve optimal performance on the facial image dataset obtained from the Kaggle repository. The hybrid MobileNetV2+GRU model showed high performance with 95.5% test accuracy, 95.94% precision, and 95.45% F1-score. When the suggested hybrid model was compared with the remaining models, the latter outperformed with a ROC value of 98%. The findings highlight the optimal performance and generalizability of the proposed MobileNetV2+GRU model in ASD diagnosis in children.</t>
        </is>
      </c>
      <c r="W370" s="4" t="inlineStr">
        <is>
          <t>title_abstract_plus_targeted_primary_source_verification</t>
        </is>
      </c>
      <c r="X370" s="4" t="inlineStr">
        <is>
          <t>doi:10.1038/s41598-025-28819-4</t>
        </is>
      </c>
      <c r="Y370" s="4" t="n"/>
      <c r="Z370" s="4" t="n"/>
      <c r="AA370" s="4" t="n"/>
      <c r="AB370" s="40" t="n"/>
    </row>
    <row r="371" ht="409" customHeight="1">
      <c r="A371" s="4" t="n">
        <v>370</v>
      </c>
      <c r="B371" s="4" t="inlineStr">
        <is>
          <t>include_after_title_abstract_screen</t>
        </is>
      </c>
      <c r="C371" s="4" t="inlineStr">
        <is>
          <t>Incluir provisionalmente</t>
        </is>
      </c>
      <c r="D371" s="4" t="inlineStr">
        <is>
          <t>Provisional include</t>
        </is>
      </c>
      <c r="E371" s="4" t="inlineStr">
        <is>
          <t>Sí</t>
        </is>
      </c>
      <c r="F371" s="4" t="inlineStr">
        <is>
          <t>Title/abstract screening</t>
        </is>
      </c>
      <c r="G371" s="4" t="n"/>
      <c r="H371" s="4" t="n"/>
      <c r="I371" s="4" t="n"/>
      <c r="J371" s="4" t="inlineStr">
        <is>
          <t>Estudio primario o implementación/evaluación empírica de IA, aprendizaje automático o modelado computacional aplicado a ASD, riesgo, caracterización, apoyo o intervención.</t>
        </is>
      </c>
      <c r="K371" s="4" t="n"/>
      <c r="L371" s="4" t="n"/>
      <c r="M371" s="4" t="n">
        <v>2026</v>
      </c>
      <c r="N371" s="4" t="inlineStr">
        <is>
          <t>A comparative and temporal evaluation of autism information across ten AI platforms</t>
        </is>
      </c>
      <c r="O371" s="4" t="inlineStr">
        <is>
          <t>Serife Balikci</t>
        </is>
      </c>
      <c r="P371" s="4" t="inlineStr">
        <is>
          <t>10.1016/j.reia.2026.202965</t>
        </is>
      </c>
      <c r="Q371" s="4" t="inlineStr">
        <is>
          <t>Research in Autism</t>
        </is>
      </c>
      <c r="R371" s="4" t="inlineStr">
        <is>
          <t>article</t>
        </is>
      </c>
      <c r="S371" s="4" t="inlineStr">
        <is>
          <t>Elsevier Ltd</t>
        </is>
      </c>
      <c r="T371" s="4" t="inlineStr">
        <is>
          <t>https://www.sciencedirect.com/science/article/pii/S3050656526001793</t>
        </is>
      </c>
      <c r="U371" s="4" t="n"/>
      <c r="V371" s="4" t="inlineStr">
        <is>
          <t>Caregivers are increasingly using artificial intelligence (AI) platforms to obtain information about autism spectrum disorder (ASD), yet the consistency and usability of these responses remain unclear. This study examined the quality and temporal stability of responses generated by ten widely used, freely accessible AI platforms (Brave, ChatGPT, Claude, DeepSeek, Gemini, Grok, Meta AI, Microsoft Copilot, Perplexity, and Poe) when asked 15 autism-related questions. A descriptive research design was used. Responses were collected at two time points (August 2025 and February 2026) and evaluated across six dimensions including accuracy, readability, language framing, actionability, reference presence and format, and safety indicators. All responses reflected single-turn, first-pass outputs without follow-up prompting. Findings revealed considerable differences in performance across platforms, alongside consistent patterns over time. AI platforms generally provided accurate responses to autism-related questions; however, the readability of responses exceeded recommended guidelines. Most responses were presented using medicalized language, with limited use of neurodiversity-affirming wording. Actionable guidance was also limited, as only a small proportion of responses included clear next steps for families. Reference practices showed considerable variation, with some platforms including multiple sources (e.g., Gemini, Brave, Perplexity) while others offered few or none (e.g., ChatGPT, Meta AI). Across all platforms and both time points, no explicit misinformation, inappropriate reassurance, discouragement of evaluation or intervention, or unsafe recommendations were identified. Comparisons across time points showed that platform-level performance patterns were largely stable, with only minor fluctuations in scores across evaluation dimensions. These findings suggest that differences across AI platforms reflect consistent platform-level behaviors under default conditions rather than short-term variation in outputs. Overall, while AI platforms can provide broadly accurate information about ASD, they differ considerably in clarity, tone, usability, and transparency. The results highlight the need for cautious interpretation of AI-generated autism information and suggest that families may benefit from guidance when using these platforms.</t>
        </is>
      </c>
      <c r="W371" s="4" t="inlineStr">
        <is>
          <t>title_abstract_plus_targeted_primary_source_verification</t>
        </is>
      </c>
      <c r="X371" s="4" t="inlineStr">
        <is>
          <t>doi:10.1016/j.reia.2026.202965</t>
        </is>
      </c>
      <c r="Y371" s="4" t="n"/>
      <c r="Z371" s="4" t="n"/>
      <c r="AA371" s="4" t="n"/>
      <c r="AB371" s="40" t="n"/>
    </row>
    <row r="372" ht="409" customHeight="1">
      <c r="A372" s="4" t="n">
        <v>371</v>
      </c>
      <c r="B372" s="4" t="inlineStr">
        <is>
          <t>include_after_title_abstract_screen</t>
        </is>
      </c>
      <c r="C372" s="4" t="inlineStr">
        <is>
          <t>Incluir provisionalmente</t>
        </is>
      </c>
      <c r="D372" s="4" t="inlineStr">
        <is>
          <t>Provisional include</t>
        </is>
      </c>
      <c r="E372" s="4" t="inlineStr">
        <is>
          <t>Sí</t>
        </is>
      </c>
      <c r="F372" s="4" t="inlineStr">
        <is>
          <t>Title/abstract screening</t>
        </is>
      </c>
      <c r="G372" s="4" t="n"/>
      <c r="H372" s="4" t="n"/>
      <c r="I372" s="4" t="n"/>
      <c r="J372" s="4" t="inlineStr">
        <is>
          <t>Estudio primario o implementación/evaluación empírica de IA, aprendizaje automático o modelado computacional aplicado a ASD, riesgo, caracterización, apoyo o intervención.</t>
        </is>
      </c>
      <c r="K372" s="4" t="n"/>
      <c r="L372" s="4" t="n"/>
      <c r="M372" s="4" t="n">
        <v>2026</v>
      </c>
      <c r="N372" s="4" t="inlineStr">
        <is>
          <t>A Hybrid CNN-GAT Model for MRI Screening of Autism Spectrum Disorder</t>
        </is>
      </c>
      <c r="O372" s="4" t="inlineStr">
        <is>
          <t>M Srikanth and Chandrashekar Jatoth</t>
        </is>
      </c>
      <c r="P372" s="4" t="inlineStr">
        <is>
          <t>10.1007/978-3-032-14531-4_4</t>
        </is>
      </c>
      <c r="Q372" s="4" t="inlineStr">
        <is>
          <t>Communications in Computer and Information Science</t>
        </is>
      </c>
      <c r="R372" s="4" t="inlineStr">
        <is>
          <t>article</t>
        </is>
      </c>
      <c r="S372" s="4" t="inlineStr">
        <is>
          <t>Springer Science and Business Media Deutschland GmbH</t>
        </is>
      </c>
      <c r="T372" s="4" t="inlineStr">
        <is>
          <t>https://doi.org/10.1007/978-3-032-14531-4_4</t>
        </is>
      </c>
      <c r="U372" s="4" t="n"/>
      <c r="V372" s="4" t="inlineStr">
        <is>
          <t>Autism Spectrum Disorder (ASD) is a neurodiverse disorder that impacts children’s development, presenting a range of symptoms that persist into adulthood. Recognizing ASD in children is challenging due to the diversity of associated disorders. We propose a hybrid method for detecting autism in children using MRI screening. Our model leverages hybrid deep-learning techniques to address these challenges. In particular, a blend of Convolutional Neural Networks (CNN) and Graph Attention Networks (GAT) is used for model interpretation, allowing us to identify critical brain regions and connections that contribute to the classification. Experiments conducted using data accessible to the public show that the proposed framework achieves an 88% classification accuracy between ASD and Non-ASD cases, outperforming state-of-the-art methods. This indicates the proposed Hybrid CNN-GAT model’s strong classification ability and generalizability, offering a powerful tool for identifying brain disorders.</t>
        </is>
      </c>
      <c r="W372" s="4" t="inlineStr">
        <is>
          <t>title_abstract_plus_targeted_primary_source_verification</t>
        </is>
      </c>
      <c r="X372" s="4" t="inlineStr">
        <is>
          <t>doi:10.1007/978-3-032-14531-4_4</t>
        </is>
      </c>
      <c r="Y372" s="4" t="n"/>
      <c r="Z372" s="4" t="n"/>
      <c r="AA372" s="4" t="n"/>
      <c r="AB372" s="40" t="n"/>
    </row>
    <row r="373" ht="409" customHeight="1">
      <c r="A373" s="4" t="n">
        <v>372</v>
      </c>
      <c r="B373" s="4" t="inlineStr">
        <is>
          <t>include_after_full_text_open_access</t>
        </is>
      </c>
      <c r="C373" s="4" t="inlineStr">
        <is>
          <t>Incluir tras revisión de texto completo abierto</t>
        </is>
      </c>
      <c r="D373" s="4" t="inlineStr">
        <is>
          <t>Provisional include</t>
        </is>
      </c>
      <c r="E373" s="4" t="inlineStr">
        <is>
          <t>Sí</t>
        </is>
      </c>
      <c r="F373" s="4" t="inlineStr">
        <is>
          <t>Full-text review</t>
        </is>
      </c>
      <c r="G373" s="4" t="n"/>
      <c r="H373" s="4" t="n"/>
      <c r="I373" s="4" t="n"/>
      <c r="J373" s="4" t="inlineStr">
        <is>
          <t>Texto completo confirma estudio primario con Hybrid aplicado a ASD (Screening and subtyping).</t>
        </is>
      </c>
      <c r="K373" s="4" t="n"/>
      <c r="L373" s="4" t="n"/>
      <c r="M373" s="4" t="n">
        <v>2025</v>
      </c>
      <c r="N373" s="4" t="inlineStr">
        <is>
          <t>Machine learning of clinical phenotypes facilitates autism screening and identifies novel subgroups with distinct transcriptomic profiles</t>
        </is>
      </c>
      <c r="O373" s="4" t="inlineStr">
        <is>
          <t>Wasana Yuwattana and Thanit Saeliw and Marlieke Lisanne van Erp and Chayanit Poolcharoen and Songphon Kanlayaprasit and Pon Trairatvorakul and Weerasak Chonchaiya and Valerie W Hu and Tewarit Sarachana</t>
        </is>
      </c>
      <c r="P373" s="4" t="inlineStr">
        <is>
          <t>10.1038/S41598-025-95291-5</t>
        </is>
      </c>
      <c r="Q373" s="4" t="inlineStr">
        <is>
          <t>Scientific Reports</t>
        </is>
      </c>
      <c r="R373" s="4" t="inlineStr">
        <is>
          <t>article</t>
        </is>
      </c>
      <c r="S373" s="4" t="inlineStr">
        <is>
          <t>Nature Research</t>
        </is>
      </c>
      <c r="T373" s="4" t="inlineStr">
        <is>
          <t>https://doi.org/10.1038/s41598-025-95291-5</t>
        </is>
      </c>
      <c r="U373" s="4" t="inlineStr">
        <is>
          <t>Texto completo abierto revisado; evidencia y codificación en Extraccion_RQ_nuevos.</t>
        </is>
      </c>
      <c r="V373" s="4" t="inlineStr">
        <is>
          <t>Autism spectrum disorder (ASD) presents significant challenges in diagnosis and intervention due to its diverse clinical manifestations and underlying biological complexity. This study explored machine learning approaches to enhance ASD screening accuracy and identify meaningful subtypes using clinical assessments from AGRE database integrated with molecular data from GSE15402. Analysis of ADI-R scores from a large cohort of 2794 individuals demonstrated that deep learning models could achieve exceptional screening accuracy of 95.23% (CI 94.32–95.99%). Notably, comparable performance was maintained using a streamlined set of just 27 ADI-R sub-items, suggesting potential for more efficient diagnostic tools. Clustering analyses revealed three distinct subgroups identifiable through both clinical symptoms and gene expression patterns. When ASD were grouped based on clinical features, stronger associations emerged between symptoms and underlying molecular profiles compared to grouping based on gene expression alone. These findings suggest that starting with detailed clinical observations may be more effective for identifying biologically meaningful ASD subtypes than beginning with molecular data. This integrated approach combining clinical and molecular data through machine learning offers promising directions for developing more precise screening methods and personalized intervention strategies for individuals with ASD.</t>
        </is>
      </c>
      <c r="W373" s="4" t="inlineStr">
        <is>
          <t>open_full_text_review_2026_09_04</t>
        </is>
      </c>
      <c r="X373" s="4" t="inlineStr">
        <is>
          <t>doi:10.1038/s41598-025-95291-5</t>
        </is>
      </c>
      <c r="Y373" s="4" t="n"/>
      <c r="Z373" s="4" t="n"/>
      <c r="AA373" s="4" t="n"/>
      <c r="AB373" s="40" t="n"/>
    </row>
    <row r="374" ht="409" customHeight="1">
      <c r="A374" s="4" t="n">
        <v>373</v>
      </c>
      <c r="B374" s="4" t="inlineStr">
        <is>
          <t>include_after_title_abstract_screen</t>
        </is>
      </c>
      <c r="C374" s="4" t="inlineStr">
        <is>
          <t>Incluir provisionalmente</t>
        </is>
      </c>
      <c r="D374" s="4" t="inlineStr">
        <is>
          <t>Provisional include</t>
        </is>
      </c>
      <c r="E374" s="4" t="inlineStr">
        <is>
          <t>Sí</t>
        </is>
      </c>
      <c r="F374" s="4" t="inlineStr">
        <is>
          <t>Title/abstract screening</t>
        </is>
      </c>
      <c r="G374" s="4" t="n"/>
      <c r="H374" s="4" t="n"/>
      <c r="I374" s="4" t="n"/>
      <c r="J374" s="4" t="inlineStr">
        <is>
          <t>Estudio primario o implementación/evaluación empírica de IA, aprendizaje automático o modelado computacional aplicado a ASD, riesgo, caracterización, apoyo o intervención.</t>
        </is>
      </c>
      <c r="K374" s="4" t="n"/>
      <c r="L374" s="4" t="n"/>
      <c r="M374" s="4" t="n">
        <v>2026</v>
      </c>
      <c r="N374" s="4" t="inlineStr">
        <is>
          <t>Multi-feature fusion transformer network for Autism spectrum disorder detection via facial images</t>
        </is>
      </c>
      <c r="O374" s="4" t="inlineStr">
        <is>
          <t>Munto Wondimagegn Bekele and Mengying Zhou and Wei Li and Zhihai Lv and Na Li and Yuanjie Cao and Yi Pan and Sufen Hu and Yanjie Wei and Wenhui Xi</t>
        </is>
      </c>
      <c r="P374" s="4" t="inlineStr">
        <is>
          <t>10.1016/j.bspc.2026.110970</t>
        </is>
      </c>
      <c r="Q374" s="4" t="inlineStr">
        <is>
          <t>Biomedical Signal Processing and Control</t>
        </is>
      </c>
      <c r="R374" s="4" t="inlineStr">
        <is>
          <t>article</t>
        </is>
      </c>
      <c r="S374" s="4" t="inlineStr">
        <is>
          <t>Elsevier Ltd</t>
        </is>
      </c>
      <c r="T374" s="4" t="inlineStr">
        <is>
          <t>https://www.sciencedirect.com/science/article/pii/S1746809426015247</t>
        </is>
      </c>
      <c r="U374" s="4" t="n"/>
      <c r="V374" s="4" t="inlineStr">
        <is>
          <t>Autism spectrum disorder (ASD) encompasses a range of neurodevelopmental conditions characterized by impairments in social interaction, communication, and behavior. Early detection is critical for timely intervention and improved outcomes; however, conventional approaches remain subjective, labor-intensive, and dependent on highly trained professionals. Facial image-based ASD research also faces challenges such as inter-class resemblance, intra-class variation, and pose differences. To address these issues, we propose the Multi-Aspect Cross-Fusion Transformer (MACFUT), a network that integrates facial landmark and image features through a multi-level cross-fusion mechanism for early ASD screening. The architecture incorporates spatial attention to highlight salient facial regions and a global-local cross-fusion transformer encoder to capture detailed feature relationships. We further analyze facial landmark distances, vectors, and angles to reveal developmental differences and enhance clinical interpretability. The proposed model is trained on the ASD Facial Image Dataset (AFID) using 10-fold cross-validation, achieving 89.56% accuracy and an area under the receiver operating characteristic curve (AUC) of 95.36%. To evaluate cross-dataset generalization, the trained model is tested on an independent dataset from Bangladesh (BACFED), yielding 86.51% accuracy and an AUC of 94.78%. The model also highlights diagnostic-group and sex-based differences in facial features among children. MACFUT provides an interpretable and accessible early ASD screening tool that demonstrates robustness across heterogeneous datasets. This method outperforms existing approaches and may help identify children who could benefit from further clinical evaluation in resource-limited and telehealth settings.</t>
        </is>
      </c>
      <c r="W374" s="4" t="inlineStr">
        <is>
          <t>title_abstract_plus_targeted_primary_source_verification</t>
        </is>
      </c>
      <c r="X374" s="4" t="inlineStr">
        <is>
          <t>doi:10.1016/j.bspc.2026.110970</t>
        </is>
      </c>
      <c r="Y374" s="4" t="n"/>
      <c r="Z374" s="4" t="n"/>
      <c r="AA374" s="4" t="n"/>
      <c r="AB374" s="40" t="n"/>
    </row>
    <row r="375" ht="409" customHeight="1">
      <c r="A375" s="4" t="n">
        <v>374</v>
      </c>
      <c r="B375" s="4" t="inlineStr">
        <is>
          <t>duplicate_within_export</t>
        </is>
      </c>
      <c r="C375" s="4" t="inlineStr">
        <is>
          <t>No agregar: duplicado interno</t>
        </is>
      </c>
      <c r="D375" s="4" t="inlineStr">
        <is>
          <t>Duplicate within update</t>
        </is>
      </c>
      <c r="E375" s="4" t="inlineStr">
        <is>
          <t>No</t>
        </is>
      </c>
      <c r="F375" s="4" t="inlineStr">
        <is>
          <t>Deduplication</t>
        </is>
      </c>
      <c r="G375" s="4" t="n"/>
      <c r="H375" s="4" t="n"/>
      <c r="I375" s="4" t="n"/>
      <c r="J375" s="4" t="inlineStr">
        <is>
          <t>Mismo DOI o título que otro registro anterior de esta exportación.</t>
        </is>
      </c>
      <c r="K375" s="4" t="n">
        <v>249</v>
      </c>
      <c r="L375" s="4" t="n"/>
      <c r="M375" s="4" t="n">
        <v>2025</v>
      </c>
      <c r="N375" s="4" t="inlineStr">
        <is>
          <t>An early detection of autism spectrum disorder using machine learning</t>
        </is>
      </c>
      <c r="O375" s="4" t="inlineStr">
        <is>
          <t>Shaba Irram and Mohammad Suaib</t>
        </is>
      </c>
      <c r="P375" s="4" t="inlineStr">
        <is>
          <t>10.1016/j.compbiomed.2025.111238</t>
        </is>
      </c>
      <c r="Q375" s="4" t="inlineStr">
        <is>
          <t>Computers in Biology and Medicine</t>
        </is>
      </c>
      <c r="R375" s="4" t="inlineStr">
        <is>
          <t>article</t>
        </is>
      </c>
      <c r="S375" s="4" t="inlineStr">
        <is>
          <t>Elsevier Ltd</t>
        </is>
      </c>
      <c r="T375" s="4" t="inlineStr">
        <is>
          <t>https://doi.org/10.1016/j.compbiomed.2025.111238</t>
        </is>
      </c>
      <c r="U375" s="4" t="n"/>
      <c r="V375" s="4" t="inlineStr">
        <is>
          <t>Background Children with autism spectrum disorder (ASD), a developmental disease, exhibit limited and repetitive activities in addition to challenges with communication and social interaction. Numerous neurological disorders have been identified with the aid of the electroencephalography (EEG) technology, which measures the electrical activity of the brain. Objective The primary purpose of this study is to use EEG data to detect ASD in newborns. Methods Power values from baseline EEG recordings of babies are processed and analyzed to extract relevant information. Using machine learning approaches like decision tree (DT), random forest (RF), and support vector machine (SVM) and Explainable AI(SHAP), the model is trained using extracted data to differentiate between those with ASD and those who are usually developing. SHAP (SHapley Additive exPlanations) is a technique that can be used to describe the output of machine learning models. Understanding the rationale behind the predictions produced by the best-performing model is made easier with SHAP. Results Our machine learning model with SVM classifier (AUC = 93 %) and RF classifier (AUC = 90 %) has demonstrated exceptional performance in diagnosing infants with ASD. Novelty : Previously little-focused, this work provides a machine learning model with the use of explainable AI to identify autism spectrum disorder in children under the age of one. Early identification of ASD is challenging since children under the age of 18 months do not exhibit many behavioral indicators. Therefore, medical reports of infants' EEGs are useful in determining whether or not an infant has ASD. Applications: As a result, this model may be used to automatically diagnose ASD using the infant's EEG data.</t>
        </is>
      </c>
      <c r="W375" s="4" t="inlineStr">
        <is>
          <t>title_abstract_plus_targeted_primary_source_verification</t>
        </is>
      </c>
      <c r="X375" s="4" t="inlineStr">
        <is>
          <t>doi:10.1016/j.compbiomed.2025.111238</t>
        </is>
      </c>
      <c r="Y375" s="4" t="n"/>
      <c r="Z375" s="4" t="n"/>
      <c r="AA375" s="4" t="n"/>
      <c r="AB375" s="40" t="n"/>
    </row>
    <row r="376" ht="409" customHeight="1">
      <c r="A376" s="4" t="n">
        <v>375</v>
      </c>
      <c r="B376" s="4" t="inlineStr">
        <is>
          <t>duplicate_within_export</t>
        </is>
      </c>
      <c r="C376" s="4" t="inlineStr">
        <is>
          <t>No agregar: duplicado interno</t>
        </is>
      </c>
      <c r="D376" s="4" t="inlineStr">
        <is>
          <t>Duplicate within update</t>
        </is>
      </c>
      <c r="E376" s="4" t="inlineStr">
        <is>
          <t>No</t>
        </is>
      </c>
      <c r="F376" s="4" t="inlineStr">
        <is>
          <t>Deduplication</t>
        </is>
      </c>
      <c r="G376" s="4" t="n"/>
      <c r="H376" s="4" t="n"/>
      <c r="I376" s="4" t="n"/>
      <c r="J376" s="4" t="inlineStr">
        <is>
          <t>Mismo DOI o título que otro registro anterior de esta exportación.</t>
        </is>
      </c>
      <c r="K376" s="4" t="n">
        <v>299</v>
      </c>
      <c r="L376" s="4" t="n"/>
      <c r="M376" s="4" t="n">
        <v>2026</v>
      </c>
      <c r="N376" s="4" t="inlineStr">
        <is>
          <t>Decoding the Neural Basis of Sensory Phenotypes in Autism</t>
        </is>
      </c>
      <c r="O376" s="4" t="inlineStr">
        <is>
          <t>Matthew Kolisnyk and Kathleen Lyons and Eun Jung Choi and Marlee M Vandewouw and Bobby Stojanoski and Evdokia Anagnostou and Azadeh Kushki and Rob Nicolson and Elizabeth Kelley and Stelios Georgiades and Jason Lerch and Jennifer Crosbie and Russell Schachar and Muhammad Ayub and Jessica Jones and Paul Arnold and Xudong Liu and Ryan Stevenson</t>
        </is>
      </c>
      <c r="P376" s="4" t="inlineStr">
        <is>
          <t>10.1016/j.bpsc.2025.12.013</t>
        </is>
      </c>
      <c r="Q376" s="4" t="inlineStr">
        <is>
          <t>Biological Psychiatry: Cognitive Neuroscience and Neuroimaging</t>
        </is>
      </c>
      <c r="R376" s="4" t="inlineStr">
        <is>
          <t>article</t>
        </is>
      </c>
      <c r="S376" s="4" t="inlineStr">
        <is>
          <t>Elsevier Inc.</t>
        </is>
      </c>
      <c r="T376" s="4" t="inlineStr">
        <is>
          <t>https://doi.org/10.1016/j.bpsc.2025.12.013</t>
        </is>
      </c>
      <c r="U376" s="4" t="n"/>
      <c r="V376" s="4" t="inlineStr">
        <is>
          <t>Background: Differences in sensory processing are a defining characteristic of autism, affecting up to 87% of autistic individuals. These differences cause widespread perceptual changes that can negatively impact cognition, development, and daily functioning. Our research identified 5 sensory processing phenotypes with varied behavioral presentations; however, their neural basis remains unclear. In this study, we aim to ground these sensory phenotypes in unique patterns of functional connectivity. Methods: We analyzed data from 146 autistic participants from the POND Network (Province of Ontario Neurodevelopmental Disorders Network). We classified participants into 5 sensory phenotypes using k-means clustering of scores from the Short Sensory Profile. We computed functional connectivity matrices from functional magnetic resonance imaging data across 200 cortical and 32 subcortical regions and calculated graph-theoretical measures (betweenness centrality, strength, local efficiency, and clustering coefficient) to assess information exchange between these regions. We then trained machine learning models to use these measures to classify between all pairs of sensory phenotypes. Results: Our sample was clustered into 5 sensory phenotypes. The machine learning models distinguished 7 of the 10 total pairs of sensory phenotypes using graph-theoretical measures (p &lt; .005). Information exchange within and between the somatomotor network, orbitofrontal cortex, posterior parietal cortex, prefrontal cortex, and subcortical areas was predictive of sensory phenotype. Conclusions: Sensory phenotypes in autism correspond to differences in functional connectivity across cortical, subcortical, and network levels. These findings support the view that variability in sensory processing is reflected in measurable neural patterns and motivate continued work to refine models of sensory processing, with the goal of better understanding and capturing the heterogeneity implicit in autism.</t>
        </is>
      </c>
      <c r="W376" s="4" t="inlineStr">
        <is>
          <t>title_abstract_plus_targeted_primary_source_verification</t>
        </is>
      </c>
      <c r="X376" s="4" t="inlineStr">
        <is>
          <t>doi:10.1016/j.bpsc.2025.12.013</t>
        </is>
      </c>
      <c r="Y376" s="4" t="n"/>
      <c r="Z376" s="4" t="n"/>
      <c r="AA376" s="4" t="n"/>
      <c r="AB376" s="40" t="n"/>
    </row>
    <row r="377" ht="409" customHeight="1">
      <c r="A377" s="4" t="n">
        <v>376</v>
      </c>
      <c r="B377" s="4" t="inlineStr">
        <is>
          <t>exclude_no_qualifying_ai_application</t>
        </is>
      </c>
      <c r="C377" s="4" t="inlineStr">
        <is>
          <t>Excluir: sin aplicación de IA elegible</t>
        </is>
      </c>
      <c r="D377" s="4" t="inlineStr">
        <is>
          <t>Excluded</t>
        </is>
      </c>
      <c r="E377" s="4" t="inlineStr">
        <is>
          <t>No</t>
        </is>
      </c>
      <c r="F377" s="4" t="inlineStr">
        <is>
          <t>Title/abstract screening</t>
        </is>
      </c>
      <c r="G377" s="4" t="n"/>
      <c r="H377" s="4" t="n"/>
      <c r="I377" s="4" t="n"/>
      <c r="J377" s="4" t="inlineStr">
        <is>
          <t>El trabajo no implementa ni evalúa una técnica de IA/ML como componente sustantivo del estudio de ASD.</t>
        </is>
      </c>
      <c r="K377" s="4" t="n"/>
      <c r="L377" s="4" t="n"/>
      <c r="M377" s="4" t="n">
        <v>2026</v>
      </c>
      <c r="N377" s="4" t="inlineStr">
        <is>
          <t>Polyacrylonitrile/polypyrrole nanofiber-filled packed-fiber solid-phase extraction coupled with HPLC-FLD for matrix-interference-resistant determination of urinary pteridines and its application in autism spectrum disorder research</t>
        </is>
      </c>
      <c r="O377" s="4" t="inlineStr">
        <is>
          <t>Yuxing Liu and Yan Yan and Changjian Wu and Kangwei Shen and Wei Fan and Mengjie Li and Hai Zhao and Yi Cao and Xuejun Kang and Penglin Wu and Dianzhi Liu</t>
        </is>
      </c>
      <c r="P377" s="4" t="inlineStr">
        <is>
          <t>10.1016/j.jchromb.2026.125134</t>
        </is>
      </c>
      <c r="Q377" s="4" t="inlineStr">
        <is>
          <t>Journal of Chromatography B: Analytical Technologies in the Biomedical and Life Sciences</t>
        </is>
      </c>
      <c r="R377" s="4" t="inlineStr">
        <is>
          <t>article</t>
        </is>
      </c>
      <c r="S377" s="4" t="inlineStr">
        <is>
          <t>Elsevier B.V.</t>
        </is>
      </c>
      <c r="T377" s="4" t="inlineStr">
        <is>
          <t>https://www.sciencedirect.com/science/article/pii/S1570023226002230</t>
        </is>
      </c>
      <c r="U377" s="4" t="n"/>
      <c r="V377" s="4" t="inlineStr">
        <is>
          <t>Pteridines are associated with neuroinflammation and oxidative stress, the core pathological processes of autism spectrum disorder (ASD). Urinary neopterin (NPT), biopterin (BPT), and isoxanthopterin (IXP) are promising non-invasive biomarkers for children with ASD. However, matrix interference from urinary salts and metabolites severely impedes trace pteridine detection, while mainstream analytical methods either require cumbersome derivatization or sacrifice sensitivity for dilution to mitigate matrix effects (ME). This study reports the first application of polyacrylonitrile/polypyrrole nanofibers (PAN/PPy NFs) for the determination of pteridines in urine by packed-fiber solid-phase extraction (PFSPE) coupled with HPLC-FLD, without derivatization. XPS, FTIR and fluorescence experiments confirmed pteridine adsorption on PAN/PPy NFs via synergistic electrostatic attraction, hydrogen bonding and π-π stacking. Validation showed: ME −6.6%–8.2%, R2 &gt; 0.995, LODs 0.8–5.3 ng/mL, LOQs 2.8–17.6 ng/mL. AGREE (0.61) and BAGI (72.5) verified its compliance with green analytical chemistry principles. Analysis of 33 ASD and 34 healthy urine samples revealed significantly elevated NPT levels in the ASD group (p = 0.011). This efficient, sensitive and green PFSPE-HPLC-FLD method eliminates urinary matrix interference without derivatization, overcoming key limitations of conventional approaches. It provides a reliable tool for urinary pteridine assays in ASD research and supports ASD pathogenesis investigation and exploratory clinical studies.</t>
        </is>
      </c>
      <c r="W377" s="4" t="inlineStr">
        <is>
          <t>title_abstract_plus_targeted_primary_source_verification</t>
        </is>
      </c>
      <c r="X377" s="4" t="inlineStr">
        <is>
          <t>doi:10.1016/j.jchromb.2026.125134</t>
        </is>
      </c>
      <c r="Y377" s="4" t="n"/>
      <c r="Z377" s="4" t="n"/>
      <c r="AA377" s="4" t="n"/>
      <c r="AB377" s="40" t="n"/>
    </row>
    <row r="378" ht="99" customHeight="1">
      <c r="A378" s="4" t="n">
        <v>377</v>
      </c>
      <c r="B378" s="4" t="inlineStr">
        <is>
          <t>exclude_integrity_notice_or_retracted</t>
        </is>
      </c>
      <c r="C378" s="4" t="inlineStr">
        <is>
          <t>Excluir por integridad/tipo de registro</t>
        </is>
      </c>
      <c r="D378" s="4" t="inlineStr">
        <is>
          <t>Excluded</t>
        </is>
      </c>
      <c r="E378" s="4" t="inlineStr">
        <is>
          <t>No</t>
        </is>
      </c>
      <c r="F378" s="4" t="inlineStr">
        <is>
          <t>Title/abstract screening and source verification</t>
        </is>
      </c>
      <c r="G378" s="4" t="n"/>
      <c r="H378" s="4" t="n"/>
      <c r="I378" s="4" t="inlineStr">
        <is>
          <t>Expression of Concern notice</t>
        </is>
      </c>
      <c r="J378" s="4" t="inlineStr">
        <is>
          <t>Aviso editorial, corrección, retirada, retractación o artículo retractado; no constituye un estudio nuevo incorporable.</t>
        </is>
      </c>
      <c r="K378" s="4" t="n"/>
      <c r="L378" s="4" t="n"/>
      <c r="M378" s="4" t="n">
        <v>2026</v>
      </c>
      <c r="N378" s="4" t="inlineStr">
        <is>
          <t>Expression of concernâ€”Identification of critical brain regions for autism diagnosis from fMRI data using explainable AI: an observational analysis of the ABIDE dataset</t>
        </is>
      </c>
      <c r="O378" s="4" t="n"/>
      <c r="P378" s="4" t="inlineStr">
        <is>
          <t>10.1016/j.eclinm.2026.104052</t>
        </is>
      </c>
      <c r="Q378" s="4" t="inlineStr">
        <is>
          <t>eClinicalMedicine</t>
        </is>
      </c>
      <c r="R378" s="4" t="inlineStr">
        <is>
          <t>article</t>
        </is>
      </c>
      <c r="S378" s="4" t="inlineStr">
        <is>
          <t>Elsevier Ltd</t>
        </is>
      </c>
      <c r="T378" s="4" t="inlineStr">
        <is>
          <t>https://www.sciencedirect.com/science/article/pii/S2589537026003056</t>
        </is>
      </c>
      <c r="U378" s="4" t="n"/>
      <c r="V378" s="4" t="n"/>
      <c r="W378" s="4" t="inlineStr">
        <is>
          <t>title_abstract_plus_targeted_primary_source_verification</t>
        </is>
      </c>
      <c r="X378" s="4" t="inlineStr">
        <is>
          <t>doi:10.1016/j.eclinm.2026.104052</t>
        </is>
      </c>
      <c r="Y378" s="4" t="n"/>
      <c r="Z378" s="4" t="n"/>
      <c r="AA378" s="4" t="n"/>
      <c r="AB378" s="40" t="n"/>
    </row>
    <row r="379" ht="409" customHeight="1">
      <c r="A379" s="4" t="n">
        <v>378</v>
      </c>
      <c r="B379" s="4" t="inlineStr">
        <is>
          <t>include_after_full_text_open_access</t>
        </is>
      </c>
      <c r="C379" s="4" t="inlineStr">
        <is>
          <t>Incluir tras revisión de texto completo abierto</t>
        </is>
      </c>
      <c r="D379" s="4" t="inlineStr">
        <is>
          <t>Provisional include</t>
        </is>
      </c>
      <c r="E379" s="4" t="inlineStr">
        <is>
          <t>Sí</t>
        </is>
      </c>
      <c r="F379" s="4" t="inlineStr">
        <is>
          <t>Full-text review</t>
        </is>
      </c>
      <c r="G379" s="4" t="n"/>
      <c r="H379" s="4" t="n"/>
      <c r="I379" s="4" t="n"/>
      <c r="J379" s="4" t="inlineStr">
        <is>
          <t>Texto completo confirma estudio primario con Machine Learning aplicado a ASD (Biomarker and target discovery).</t>
        </is>
      </c>
      <c r="K379" s="4" t="n"/>
      <c r="L379" s="4" t="n"/>
      <c r="M379" s="4" t="n">
        <v>2025</v>
      </c>
      <c r="N379" s="4" t="inlineStr">
        <is>
          <t>Integrating Network Analysis and Machine Learning Identifies Key Autism Spectrum Disorder Genes Linked to Immune Dysregulation and Therapeutic Targets</t>
        </is>
      </c>
      <c r="O379" s="4" t="inlineStr">
        <is>
          <t>Haitang Wang and Xiaofeng Zhu and Hong Zhang and Weiwei Chen</t>
        </is>
      </c>
      <c r="P379" s="4" t="inlineStr">
        <is>
          <t>10.3390/genes16091109</t>
        </is>
      </c>
      <c r="Q379" s="4" t="inlineStr">
        <is>
          <t>Genes</t>
        </is>
      </c>
      <c r="R379" s="4" t="inlineStr">
        <is>
          <t>article</t>
        </is>
      </c>
      <c r="S379" s="4" t="inlineStr">
        <is>
          <t>Multidisciplinary Digital Publishing Institute (MDPI)</t>
        </is>
      </c>
      <c r="T379" s="4" t="inlineStr">
        <is>
          <t>https://www.mdpi.com/2073-4425/16/9/1109/pdf?version=1758266110</t>
        </is>
      </c>
      <c r="U379" s="4" t="inlineStr">
        <is>
          <t>Texto completo abierto revisado; evidencia y codificación en Extraccion_RQ_nuevos.</t>
        </is>
      </c>
      <c r="V379" s="4" t="inlineStr">
        <is>
          <t>Background: Understanding the genetic mechanisms and identifying potential therapeutic targets are essential for clarifying Autism Spectrum Disorder (ASD) etiology and improving treatments. This study aims to bridge the gap between basic transcriptomic discoveries and clinical applications in ASD research. Methods: Differentially expressed genes (DEGs) of GSE18123 datase were identified. A protein–protein interaction (PPI) network was constructed. Functional enrichment analysis was performed to link genetic loci to relevant biological pathways. Connectivity Map (CMap) analysis was used to predict potential drugs. Furthermore, immune infiltration correlation analysis explored associations between key genes and immune cell subpopulations. Diagnostic performance of top genes was evaluated by receiver operating characteristic (ROC) analysis. Results: The functional enrichment analysis successfully revealed relevant biological processes associated with ASD, while the CMap analysis predicted potential drugs that were consistent with some clinical trial results. Random forest analysis selected ten key feature genes (SHANK3, NLRP3, SERAC1, TUBB2A, MGAT4C, TFAP2A, EVC, GABRE, TRAK1, and GPR161) with the highest importance scores for autism prediction. Immune infiltration analysis showed significant correlations in genes and multiple immune cell types, demonstrating complex pleiotropic associations within the immune microenvironment. ROC curve analysis indicated that most top genes had strong discriminatory power in differentiating ASD from controls, particularly MGAT4C (AUC = 0.730), highlighting its potential as a robust biomarker. Conclusions: This study effectively bridges the basic transcriptomic discoveries and clinical applications in ASD research. The findings contribute to a better understanding of the etiology of ASD and provide potential therapeutic leads. Future research could focus on validating these potential drugs in clinical studies, as well as further exploring the biological functions of the identified genes to develop more targeted and effective treatments for ASD.</t>
        </is>
      </c>
      <c r="W379" s="4" t="inlineStr">
        <is>
          <t>open_full_text_review_2026_09_04</t>
        </is>
      </c>
      <c r="X379" s="4" t="inlineStr">
        <is>
          <t>doi:10.3390/genes16091109</t>
        </is>
      </c>
      <c r="Y379" s="4" t="n"/>
      <c r="Z379" s="4" t="n"/>
      <c r="AA379" s="4" t="n"/>
      <c r="AB379" s="40" t="n"/>
    </row>
    <row r="380" ht="409" customHeight="1">
      <c r="A380" s="4" t="n">
        <v>379</v>
      </c>
      <c r="B380" s="4" t="inlineStr">
        <is>
          <t>exclude_secondary_or_nonempirical_publication</t>
        </is>
      </c>
      <c r="C380" s="4" t="inlineStr">
        <is>
          <t>Excluir: publicación secundaria/no empírica</t>
        </is>
      </c>
      <c r="D380" s="4" t="inlineStr">
        <is>
          <t>Excluded</t>
        </is>
      </c>
      <c r="E380" s="4" t="inlineStr">
        <is>
          <t>No</t>
        </is>
      </c>
      <c r="F380" s="4" t="inlineStr">
        <is>
          <t>Title/abstract screening</t>
        </is>
      </c>
      <c r="G380" s="4" t="n"/>
      <c r="H380" s="4" t="n"/>
      <c r="I380" s="4" t="n"/>
      <c r="J380" s="4" t="inlineStr">
        <is>
          <t>El resumen editorial declara explícitamente que el propósito es revisar sistemáticamente enfoques de aprendizaje profundo para el diagnóstico de ASD; no constituye un estudio primario nuevo.</t>
        </is>
      </c>
      <c r="K380" s="4" t="n"/>
      <c r="L380" s="4" t="n"/>
      <c r="M380" s="4" t="n">
        <v>2026</v>
      </c>
      <c r="N380" s="4" t="inlineStr">
        <is>
          <t>Advaning Early Autism Detection and Enhancing Diagnostic Accuracy with Deep Learning Models</t>
        </is>
      </c>
      <c r="O380" s="4" t="inlineStr">
        <is>
          <t>T S Radhika and B K Rashmi Priyadarshini and Mrinal Sarvagya</t>
        </is>
      </c>
      <c r="P380" s="4" t="inlineStr">
        <is>
          <t>10.1007/978-3-032-03558-5_4</t>
        </is>
      </c>
      <c r="Q380" s="4" t="inlineStr">
        <is>
          <t>Proceedings of Data Analytics and Management (ICDAM 2025), LNNS 1602</t>
        </is>
      </c>
      <c r="R380" s="4" t="inlineStr">
        <is>
          <t>inproceedings</t>
        </is>
      </c>
      <c r="S380" s="4" t="inlineStr">
        <is>
          <t>Springer Nature Switzerland AG</t>
        </is>
      </c>
      <c r="T380" s="4" t="inlineStr">
        <is>
          <t>https://link.springer.com/chapter/10.1007/978-3-032-03558-5_4</t>
        </is>
      </c>
      <c r="U380" s="4" t="inlineStr">
        <is>
          <t>La página oficial de Springer proporciona el resumen suficiente para excluirlo por publicación secundaria: el propio texto indica que revisa sistemáticamente distintos enfoques de aprendizaje profundo.</t>
        </is>
      </c>
      <c r="V380" s="4" t="inlineStr">
        <is>
          <t>Autism Speech Disorder (ASD) is a complicated neurodevelopmental condition that is linked to patterns in behavior and challenges in methyl social connection and communication along with repetitive repetitive and stereotyped action. Early and accurate identification using standardized tools of the condition is important in order to provide early, meaningful and appropriate intervention. The development of deep learning in the last couple of years has demonstrated immense capabilities of increasing the accuracy, as well as efficiency of ASD diagnosis through the use of multi source data, including neuroimaging, genetic make-up and behavioral profiles. The purpose of this paper is to systematically review different deep learning approaches used in the diagnosis of ASD as well as summarize their approaches, advantages, and disadvantages. We introduced convolutional neural networks (CNNs) for analyzing imaging features, recurrent neural networks (RNNs) for temporal behaviors, and multiple architectures integrated models for handling multimodal information. Furthermore, we present an overview of the feature extraction process, data pre processing techniques, and evaluation measures frequently used in the context of ASD research.</t>
        </is>
      </c>
      <c r="W380" s="4" t="inlineStr">
        <is>
          <t>official_publisher_abstract</t>
        </is>
      </c>
      <c r="X380" s="4" t="inlineStr">
        <is>
          <t>doi:10.1007/978-3-032-03558-5_4</t>
        </is>
      </c>
      <c r="Y380" s="4" t="n"/>
      <c r="Z380" s="4" t="n"/>
      <c r="AA380" s="4" t="n"/>
      <c r="AB380" s="40" t="n"/>
    </row>
    <row r="381" ht="125" customHeight="1">
      <c r="A381" s="4" t="n">
        <v>380</v>
      </c>
      <c r="B381" s="4" t="inlineStr">
        <is>
          <t>include_after_title_abstract_screen</t>
        </is>
      </c>
      <c r="C381" s="4" t="inlineStr">
        <is>
          <t>Incluir provisionalmente</t>
        </is>
      </c>
      <c r="D381" s="4" t="inlineStr">
        <is>
          <t>Provisional include</t>
        </is>
      </c>
      <c r="E381" s="4" t="inlineStr">
        <is>
          <t>Sí</t>
        </is>
      </c>
      <c r="F381" s="4" t="inlineStr">
        <is>
          <t>Title/abstract screening</t>
        </is>
      </c>
      <c r="G381" s="4" t="n"/>
      <c r="H381" s="4" t="n"/>
      <c r="I381" s="4" t="n"/>
      <c r="J381" s="4" t="inlineStr">
        <is>
          <t>Estudio primario o implementación/evaluación empírica de IA, aprendizaje automático o modelado computacional aplicado a ASD, riesgo, caracterización, apoyo o intervención.</t>
        </is>
      </c>
      <c r="K381" s="4" t="n"/>
      <c r="L381" s="4" t="n"/>
      <c r="M381" s="4" t="n">
        <v>2026</v>
      </c>
      <c r="N381" s="4" t="inlineStr">
        <is>
          <t>Semantic-based saccadic scanpath prediction for autism spectrum disorder</t>
        </is>
      </c>
      <c r="O381" s="4" t="inlineStr">
        <is>
          <t>Wenqi Zhong and Hang Sun and Chen Xia and Linzhi Yu and Dingwen Zhang and Kuan Li</t>
        </is>
      </c>
      <c r="P381" s="4" t="inlineStr">
        <is>
          <t>10.1016/j.patcog.2026.114305</t>
        </is>
      </c>
      <c r="Q381" s="4" t="inlineStr">
        <is>
          <t>Pattern Recognition</t>
        </is>
      </c>
      <c r="R381" s="4" t="inlineStr">
        <is>
          <t>article</t>
        </is>
      </c>
      <c r="S381" s="4" t="inlineStr">
        <is>
          <t>Elsevier BV</t>
        </is>
      </c>
      <c r="T381" s="4" t="inlineStr">
        <is>
          <t>https://www.sciencedirect.com/science/article/pii/S0031320326012707</t>
        </is>
      </c>
      <c r="U381" s="4" t="n"/>
      <c r="V381" s="4" t="n"/>
      <c r="W381" s="4" t="inlineStr">
        <is>
          <t>title_abstract_plus_targeted_primary_source_verification</t>
        </is>
      </c>
      <c r="X381" s="4" t="inlineStr">
        <is>
          <t>doi:10.1016/j.patcog.2026.114305</t>
        </is>
      </c>
      <c r="Y381" s="4" t="n"/>
      <c r="Z381" s="4" t="n"/>
      <c r="AA381" s="4" t="n"/>
      <c r="AB381" s="40" t="n"/>
    </row>
    <row r="382" ht="409" customHeight="1">
      <c r="A382" s="4" t="n">
        <v>381</v>
      </c>
      <c r="B382" s="4" t="inlineStr">
        <is>
          <t>exclude_secondary_or_nonempirical_publication</t>
        </is>
      </c>
      <c r="C382" s="4" t="inlineStr">
        <is>
          <t>Excluir: publicación secundaria/no empírica</t>
        </is>
      </c>
      <c r="D382" s="4" t="inlineStr">
        <is>
          <t>Excluded</t>
        </is>
      </c>
      <c r="E382" s="4" t="inlineStr">
        <is>
          <t>No</t>
        </is>
      </c>
      <c r="F382" s="4" t="inlineStr">
        <is>
          <t>Title/abstract screening</t>
        </is>
      </c>
      <c r="G382" s="4" t="n"/>
      <c r="H382" s="4" t="n"/>
      <c r="I382" s="4" t="n"/>
      <c r="J382" s="4" t="inlineStr">
        <is>
          <t>Revisión, metaanálisis, encuesta de literatura, protocolo, perspectiva, carta, editorial o capítulo de síntesis sin estudio primario elegible.</t>
        </is>
      </c>
      <c r="K382" s="4" t="n"/>
      <c r="L382" s="4" t="n"/>
      <c r="M382" s="4" t="n">
        <v>2026</v>
      </c>
      <c r="N382" s="4" t="inlineStr">
        <is>
          <t>Wearable technology and early socio-emotional processes in youth with autism: A systematic review</t>
        </is>
      </c>
      <c r="O382" s="4" t="inlineStr">
        <is>
          <t>Truc Do and Meredith Pecukonis and Michele Parker and Adam Grabell</t>
        </is>
      </c>
      <c r="P382" s="4" t="inlineStr">
        <is>
          <t>10.1016/j.reia.2026.202976</t>
        </is>
      </c>
      <c r="Q382" s="4" t="inlineStr">
        <is>
          <t>Research in Autism</t>
        </is>
      </c>
      <c r="R382" s="4" t="inlineStr">
        <is>
          <t>article</t>
        </is>
      </c>
      <c r="S382" s="4" t="inlineStr">
        <is>
          <t>Elsevier Ltd</t>
        </is>
      </c>
      <c r="T382" s="4" t="inlineStr">
        <is>
          <t>https://www.sciencedirect.com/science/article/pii/S3050656526001902</t>
        </is>
      </c>
      <c r="U382" s="4" t="n"/>
      <c r="V382" s="4" t="inlineStr">
        <is>
          <t>Background: Wearable devices have been utilized to detect real-time physiological changes, allowing for a better understanding of the mechanisms underlying behavioral and cognitive processes in humans. However, little is known about the efficacy of wearable devices in measuring emotional processes in youth with autism, who may experience challenges with social communication and emotion dysregulation. Method: This systematic review analyzed 14 peer-reviewed journal articles published over the past 10 years. Search terms were categorized into “wearable,” “emotion,” “autism,” and “youth.” Body-worn wearable devices, such as smartwatches and wristbands, were the most frequently used, while cardiovascular signals were the most measured. Results: Findings from the reviewed articles indicate the potential of interventions using wearable technology to improve emotion recognition, decrease emotional outbursts, and reduce stress or anxiety levels. Based on wearable data, machine learning approaches were also utilized to predict challenging behaviors or aggressive episodes before they occurred in autistic youth. Conclusion: This review discusses clinical implications and ethical considerations for improving socio-emotional development and emotion regulation in autistic youth. Future research should include more studies using wearable technology in naturalistic settings, such as homes or schools, to better understand emotion regulation strategies across diverse autistic populations.</t>
        </is>
      </c>
      <c r="W382" s="4" t="inlineStr">
        <is>
          <t>title_abstract_plus_targeted_primary_source_verification</t>
        </is>
      </c>
      <c r="X382" s="4" t="inlineStr">
        <is>
          <t>doi:10.1016/j.reia.2026.202976</t>
        </is>
      </c>
      <c r="Y382" s="4" t="n"/>
      <c r="Z382" s="4" t="n"/>
      <c r="AA382" s="4" t="n"/>
      <c r="AB382" s="40" t="n"/>
    </row>
    <row r="383" ht="409" customHeight="1">
      <c r="A383" s="4" t="n">
        <v>382</v>
      </c>
      <c r="B383" s="4" t="inlineStr">
        <is>
          <t>duplicate_within_export</t>
        </is>
      </c>
      <c r="C383" s="4" t="inlineStr">
        <is>
          <t>No agregar: duplicado interno</t>
        </is>
      </c>
      <c r="D383" s="4" t="inlineStr">
        <is>
          <t>Duplicate within update</t>
        </is>
      </c>
      <c r="E383" s="4" t="inlineStr">
        <is>
          <t>No</t>
        </is>
      </c>
      <c r="F383" s="4" t="inlineStr">
        <is>
          <t>Deduplication</t>
        </is>
      </c>
      <c r="G383" s="4" t="n"/>
      <c r="H383" s="4" t="n"/>
      <c r="I383" s="4" t="n"/>
      <c r="J383" s="4" t="inlineStr">
        <is>
          <t>Mismo DOI o título que otro registro anterior de esta exportación.</t>
        </is>
      </c>
      <c r="K383" s="4" t="n">
        <v>220</v>
      </c>
      <c r="L383" s="4" t="n"/>
      <c r="M383" s="4" t="n">
        <v>2026</v>
      </c>
      <c r="N383" s="4" t="inlineStr">
        <is>
          <t>Machine Learning Algorithms for Detection of Autism Spectrum Disorders in Early Childhood: A Scoping Review</t>
        </is>
      </c>
      <c r="O383" s="4" t="inlineStr">
        <is>
          <t>Xiaoling Gu and Jinghan Jia and Xinrui Zhang and Hongyue Wei and Yaowei Han and Ping Rong and Xin Cui and Huayu Tian</t>
        </is>
      </c>
      <c r="P383" s="4" t="inlineStr">
        <is>
          <t>10.1111/jcap.70052</t>
        </is>
      </c>
      <c r="Q383" s="4" t="inlineStr">
        <is>
          <t>Journal of Child and Adolescent Psychiatric Nursing</t>
        </is>
      </c>
      <c r="R383" s="4" t="inlineStr">
        <is>
          <t>article</t>
        </is>
      </c>
      <c r="S383" s="4" t="inlineStr">
        <is>
          <t>John Wiley and Sons Inc</t>
        </is>
      </c>
      <c r="T383" s="4" t="inlineStr">
        <is>
          <t>https://doi.org/10.1111/jcap.70052</t>
        </is>
      </c>
      <c r="U383" s="4" t="n"/>
      <c r="V383" s="4" t="inlineStr">
        <is>
          <t>Objective: This scoping review assesses machine learning (ML)-based prediction models for autism spectrum disorder (ASD) in early childhood, with the aim of providing a technical and conceptual foundation for improving early ASD detection. Methods: Relevant studies on ML-driven ASD prediction models were systematically retrieved from eight databases: PubMed, Embase, Web of Science Core Collection, Cochrane Library, China National Knowledge Infrastructure (CNKI), China Biomedical Database (CBM), Wanfang Data Knowledge Service Platform (WF), and VIP Chinese Science and Technology Journal Database. The scoping review methodology was strictly followed for data extraction and analysis. Results: A total of 16 studies focusing on the application of diverse machine learning algorithms for ASD identification and prediction were included. Among these, 4 studies (25%) employed multiple algorithms for predictive modeling. The most frequently utilized algorithms were tree-based methods (7 studies, 44%), neural networks (NNs) (7 studies, 44%), support vector machines (SVMs) (5 studies, 31%), and regularized logistic regression (3 studies, 19%). Twelve studies (75%) reported Area Under the Curve (AUC) values, all exceeding the 0.7 threshold. Notably, 7 studies (44%) achieved excellent predictive performance with AUC values surpassing 0.9. Conclusions: ML-based models hold substantial promise for the early identification of ASD, which is critical for improving patient outcomes. Future research should focus on standardizing ML model frameworks, refining theoretical underpinnings to enhance practical applicability, and promoting clinical implementation following rigorous validation. These efforts will further enhance the accuracy and utility of such predictive models.</t>
        </is>
      </c>
      <c r="W383" s="4" t="inlineStr">
        <is>
          <t>title_abstract_plus_targeted_primary_source_verification</t>
        </is>
      </c>
      <c r="X383" s="4" t="inlineStr">
        <is>
          <t>doi:10.1111/jcap.70052</t>
        </is>
      </c>
      <c r="Y383" s="4" t="n"/>
      <c r="Z383" s="4" t="n"/>
      <c r="AA383" s="4" t="n"/>
      <c r="AB383" s="40" t="n"/>
    </row>
    <row r="384" ht="409" customHeight="1">
      <c r="A384" s="4" t="n">
        <v>383</v>
      </c>
      <c r="B384" s="4" t="inlineStr">
        <is>
          <t>include_after_title_abstract_screen</t>
        </is>
      </c>
      <c r="C384" s="4" t="inlineStr">
        <is>
          <t>Incluir provisionalmente</t>
        </is>
      </c>
      <c r="D384" s="4" t="inlineStr">
        <is>
          <t>Provisional include</t>
        </is>
      </c>
      <c r="E384" s="4" t="inlineStr">
        <is>
          <t>Sí</t>
        </is>
      </c>
      <c r="F384" s="4" t="inlineStr">
        <is>
          <t>Title/abstract screening</t>
        </is>
      </c>
      <c r="G384" s="4" t="n"/>
      <c r="H384" s="4" t="n"/>
      <c r="I384" s="4" t="n"/>
      <c r="J384" s="4" t="inlineStr">
        <is>
          <t>Estudio primario o implementación/evaluación empírica de IA, aprendizaje automático o modelado computacional aplicado a ASD, riesgo, caracterización, apoyo o intervención.</t>
        </is>
      </c>
      <c r="K384" s="4" t="n"/>
      <c r="L384" s="4" t="n"/>
      <c r="M384" s="4" t="n">
        <v>2026</v>
      </c>
      <c r="N384" s="4" t="inlineStr">
        <is>
          <t>Longitudinal multi-omics analysis of umbilical cord blood and childhood serum in Autism</t>
        </is>
      </c>
      <c r="O384" s="4" t="inlineStr">
        <is>
          <t>Aisling Noone and Kirsten Dowling and Daragh O’Boyle and Michael Carter and Anna V Golubeva and Caitriona Scaife and Bodil H Bech and Tine B Henriksen and Louise Gallagher and Catherine Mooney and Ali S Khashan and Deirdre M Murray and Jane A English</t>
        </is>
      </c>
      <c r="P384" s="4" t="inlineStr">
        <is>
          <t>10.1038/s41380-025-03157-z</t>
        </is>
      </c>
      <c r="Q384" s="4" t="inlineStr">
        <is>
          <t>Molecular Psychiatry</t>
        </is>
      </c>
      <c r="R384" s="4" t="inlineStr">
        <is>
          <t>article</t>
        </is>
      </c>
      <c r="S384" s="4" t="inlineStr">
        <is>
          <t>Springer Nature</t>
        </is>
      </c>
      <c r="T384" s="4" t="inlineStr">
        <is>
          <t>https://doi.org/10.1038/s41380-025-03157-z</t>
        </is>
      </c>
      <c r="U384" s="4" t="n"/>
      <c r="V384" s="4" t="inlineStr">
        <is>
          <t>There is considerable evidence implicating maternal immune activation (MIA) and cytokine dysregulation in the pathophysiology of Autism. However, cytokines, due to their lack of specificity are unlikely to translate clinically as prognostic biomarkers. Our aim was to explore the perinatal molecular pathways dysregulated in umbilical cord blood, which precede a diagnosis of childhood Autism, and ascertain whether these putative biomarkers persisted into pre-pubertal childhood. In a cohort of 2137 mother-infant dyads, we conducted a nested case-control study in the BASELINE Birth Cohort. Proteomic and metabolomic analysis was performed on cord blood plasma from 22 children diagnosed with Autism before age 5, and 44 neurotypical controls. In a clinical diagnostic follow-up between 7–10 years in the PiRAMiD Cohort, 24 children with Autism and 48 controls provided blood samples for molecular profiling. In cord blood, proteomics revealed altered glycolysis, selenium metabolism, oxygen transport, and complement signalling. Alterations in these protein pathways persisted into childhood, and dysregulation of GAPDH, SELENBP1, and BLVRB proteins were evident in both cord blood and in serum from pre-pubertal children with Autism. In cord blood, metabolomics analysis indicated Autism outcome was associated with reduced levels of circulating steroids and increased sulfate. We confirmed androstenedione was reduced in cord blood, in Autism cases in comparison to controls, however changes in androstenedione levels were not evident in serum from pre-pubertal children with Autism. Our findings were further corroborated using machine learning approaches, with an AUROC ranging from 0.82 to 0.85 for proteomic and metabolomic cord blood prediction models, respectively. Collectively, these findings confirm a cord blood molecular signature precedes the onset of Autism and has the potential to lead to prognostic biomarkers. Our integrative multi-omics analysis reveals materno-feto-placental molecular processes which potentially underpin Autism aetiology.</t>
        </is>
      </c>
      <c r="W384" s="4" t="inlineStr">
        <is>
          <t>title_abstract_plus_targeted_primary_source_verification</t>
        </is>
      </c>
      <c r="X384" s="4" t="inlineStr">
        <is>
          <t>doi:10.1038/s41380-025-03157-z</t>
        </is>
      </c>
      <c r="Y384" s="4" t="n"/>
      <c r="Z384" s="4" t="n"/>
      <c r="AA384" s="4" t="n"/>
      <c r="AB384" s="40" t="n"/>
    </row>
    <row r="385" ht="409" customHeight="1">
      <c r="A385" s="4" t="n">
        <v>384</v>
      </c>
      <c r="B385" s="4" t="inlineStr">
        <is>
          <t>include_after_full_text_open_access</t>
        </is>
      </c>
      <c r="C385" s="4" t="inlineStr">
        <is>
          <t>Incluir tras revisión de texto completo abierto</t>
        </is>
      </c>
      <c r="D385" s="4" t="inlineStr">
        <is>
          <t>Provisional include</t>
        </is>
      </c>
      <c r="E385" s="4" t="inlineStr">
        <is>
          <t>Sí</t>
        </is>
      </c>
      <c r="F385" s="4" t="inlineStr">
        <is>
          <t>Full-text review</t>
        </is>
      </c>
      <c r="G385" s="4" t="n"/>
      <c r="H385" s="4" t="n"/>
      <c r="I385" s="4" t="n"/>
      <c r="J385" s="4" t="inlineStr">
        <is>
          <t>Texto completo confirma estudio primario con Machine Learning aplicado a ASD (Exposure estimation and ASD-trait risk).</t>
        </is>
      </c>
      <c r="K385" s="4" t="n"/>
      <c r="L385" s="4" t="n"/>
      <c r="M385" s="4" t="n">
        <v>2026</v>
      </c>
      <c r="N385" s="4" t="inlineStr">
        <is>
          <t>Air pollution and autism-like traits: Sensitive periods and joint effects of exposure to sources and constituents of fine particulate matter</t>
        </is>
      </c>
      <c r="O385" s="4" t="inlineStr">
        <is>
          <t>Lydia Lichtiger and Edwina Yeung and Tzu Chun Lin and Diane L Putnick and Rajeshwari Sundaram and Erin M Bell and Md Mostafijur Rahman and George D Thurston and Yuyan Wang and Akhgar Ghassabian</t>
        </is>
      </c>
      <c r="P385" s="4" t="inlineStr">
        <is>
          <t>10.1016/j.envres.2026.125213</t>
        </is>
      </c>
      <c r="Q385" s="4" t="inlineStr">
        <is>
          <t>Environmental Research</t>
        </is>
      </c>
      <c r="R385" s="4" t="inlineStr">
        <is>
          <t>article</t>
        </is>
      </c>
      <c r="S385" s="4" t="inlineStr">
        <is>
          <t>Academic Press Inc.</t>
        </is>
      </c>
      <c r="T385" s="4" t="inlineStr">
        <is>
          <t>https://pmc.ncbi.nlm.nih.gov/articles/PMC13470885/</t>
        </is>
      </c>
      <c r="U385" s="4" t="inlineStr">
        <is>
          <t>Texto completo abierto revisado; evidencia y codificación en Extraccion_RQ_nuevos.</t>
        </is>
      </c>
      <c r="V385" s="4" t="inlineStr">
        <is>
          <t>Growing evidence suggests that exposure to air pollution during early life is associated with autism spectrum disorder (ASD). However, results have been inconsistent for autism-like traits and in low exposure settings. Here, we assessed sensitive windows of exposure to fine particulate matter (PM2.5), nitrogen dioxide (NO2), and ozone (O3) and joint effects of exposure to sources and constituents of PM2.5 on autism-like traits among 798 children in the Upstate KIDS cohort. Residential air pollution exposures were assessed with machine learning and land use regression models. Autism-like traits at age 10 were assessed via the ASD subscale on the Child Behavior Checklist. Treed distributed lag mixture model was used to identify critical windows of exposure to PM2.5, NO2, and O3 and partial linear single index model was applied to estimate contributions of sources and constituents of PM2.5 on autism-like traits. The median PM2.5 exposures were 8.36 and 8.00 μg/m3 for pregnancy and the first year of life. We did not observe critical windows of exposure to PM2.5, NO2, or O3 for autism-like traits. Exposures to elemental carbon (EC) PM2.5 during gestation and to EC and traffic PM2.5 during the first year of life were associated with higher odds of autism-like traits (prenatal EC adjusted odds ratio (aOR): 1.72, 95% CI: 1.04-2.83; first year EC aOR: 1.72, 95% CI: 1.21-2.46; traffic aOR: 1.31, 95% CI: 1.01-1.71). Our results suggest that exposure to motor vehicle traffic sources of PM2.5 may drive previously reported associations between total PM2.5 and autism-like traits.</t>
        </is>
      </c>
      <c r="W385" s="4" t="inlineStr">
        <is>
          <t>open_full_text_review_2026_09_04</t>
        </is>
      </c>
      <c r="X385" s="4" t="inlineStr">
        <is>
          <t>doi:10.1016/j.envres.2026.125213</t>
        </is>
      </c>
      <c r="Y385" s="4" t="n"/>
      <c r="Z385" s="4" t="n"/>
      <c r="AA385" s="4" t="n"/>
      <c r="AB385" s="40" t="n"/>
    </row>
    <row r="386" ht="112" customHeight="1">
      <c r="A386" s="4" t="n">
        <v>385</v>
      </c>
      <c r="B386" s="4" t="inlineStr">
        <is>
          <t>exclude_secondary_or_nonempirical_publication</t>
        </is>
      </c>
      <c r="C386" s="4" t="inlineStr">
        <is>
          <t>Excluir: publicación secundaria/no empírica</t>
        </is>
      </c>
      <c r="D386" s="4" t="inlineStr">
        <is>
          <t>Excluded</t>
        </is>
      </c>
      <c r="E386" s="4" t="inlineStr">
        <is>
          <t>No</t>
        </is>
      </c>
      <c r="F386" s="4" t="inlineStr">
        <is>
          <t>Title/abstract screening</t>
        </is>
      </c>
      <c r="G386" s="4" t="n"/>
      <c r="H386" s="4" t="n"/>
      <c r="I386" s="4" t="n"/>
      <c r="J386" s="4" t="inlineStr">
        <is>
          <t>Revisión, metaanálisis, encuesta de literatura, protocolo, perspectiva, carta, editorial o capítulo de síntesis sin estudio primario elegible.</t>
        </is>
      </c>
      <c r="K386" s="4" t="n"/>
      <c r="L386" s="4" t="n"/>
      <c r="M386" s="4" t="n">
        <v>2026</v>
      </c>
      <c r="N386" s="4" t="inlineStr">
        <is>
          <t>Artificial intelligence-assisted autism screening and its implications for public health policy in Indonesia</t>
        </is>
      </c>
      <c r="O386" s="4" t="inlineStr">
        <is>
          <t>Ardiyansah and Joko Pramono</t>
        </is>
      </c>
      <c r="P386" s="4" t="inlineStr">
        <is>
          <t>10.1016/j.ajp.2026.105092</t>
        </is>
      </c>
      <c r="Q386" s="4" t="inlineStr">
        <is>
          <t>Asian Journal of Psychiatry</t>
        </is>
      </c>
      <c r="R386" s="4" t="inlineStr">
        <is>
          <t>article</t>
        </is>
      </c>
      <c r="S386" s="4" t="n"/>
      <c r="T386" s="4" t="inlineStr">
        <is>
          <t>https://pubmed.ncbi.nlm.nih.gov/42480293/</t>
        </is>
      </c>
      <c r="U386" s="4" t="inlineStr">
        <is>
          <t>PubMed clasifica este registro como Letter (PMID 42480293).</t>
        </is>
      </c>
      <c r="V386" s="4" t="n"/>
      <c r="W386" s="4" t="inlineStr">
        <is>
          <t>title_abstract_plus_targeted_primary_source_verification</t>
        </is>
      </c>
      <c r="X386" s="4" t="inlineStr">
        <is>
          <t>doi:10.1016/j.ajp.2026.105092</t>
        </is>
      </c>
      <c r="Y386" s="4" t="n"/>
      <c r="Z386" s="4" t="n"/>
      <c r="AA386" s="4" t="n"/>
      <c r="AB386" s="40" t="n"/>
    </row>
    <row r="387" ht="409" customHeight="1">
      <c r="A387" s="4" t="n">
        <v>386</v>
      </c>
      <c r="B387" s="4" t="inlineStr">
        <is>
          <t>include_after_title_abstract_screen</t>
        </is>
      </c>
      <c r="C387" s="4" t="inlineStr">
        <is>
          <t>Incluir provisionalmente</t>
        </is>
      </c>
      <c r="D387" s="4" t="inlineStr">
        <is>
          <t>Provisional include</t>
        </is>
      </c>
      <c r="E387" s="4" t="inlineStr">
        <is>
          <t>Sí</t>
        </is>
      </c>
      <c r="F387" s="4" t="inlineStr">
        <is>
          <t>Title/abstract screening</t>
        </is>
      </c>
      <c r="G387" s="4" t="n"/>
      <c r="H387" s="4" t="n"/>
      <c r="I387" s="4" t="n"/>
      <c r="J387" s="4" t="inlineStr">
        <is>
          <t>Estudio primario o implementación/evaluación empírica de IA, aprendizaje automático o modelado computacional aplicado a ASD, riesgo, caracterización, apoyo o intervención.</t>
        </is>
      </c>
      <c r="K387" s="4" t="n"/>
      <c r="L387" s="4" t="n"/>
      <c r="M387" s="4" t="n">
        <v>2025</v>
      </c>
      <c r="N387" s="4" t="inlineStr">
        <is>
          <t>3T dilated inception network for enhanced autism spectrum disorder diagnosis using resting-state fMRI data</t>
        </is>
      </c>
      <c r="O387" s="4" t="inlineStr">
        <is>
          <t>V Kavitha and R Siva</t>
        </is>
      </c>
      <c r="P387" s="4" t="inlineStr">
        <is>
          <t>10.1007/S11571-024-10202-0</t>
        </is>
      </c>
      <c r="Q387" s="4" t="inlineStr">
        <is>
          <t>Cognitive Neurodynamics</t>
        </is>
      </c>
      <c r="R387" s="4" t="inlineStr">
        <is>
          <t>article</t>
        </is>
      </c>
      <c r="S387" s="4" t="inlineStr">
        <is>
          <t>Springer Science and Business Media B.V.</t>
        </is>
      </c>
      <c r="T387" s="4" t="inlineStr">
        <is>
          <t>https://doi.org/10.1007/S11571-024-10202-0</t>
        </is>
      </c>
      <c r="U387" s="4" t="n"/>
      <c r="V387" s="4" t="inlineStr">
        <is>
          <t>Autism spectrum disorder (ASD) is one of the complicated neurodevelopmental disorders that impacts the daily functioning and social interactions of individuals. It includes diverse symptoms and severity levels, making it challenging to diagnose and treat efficiently. Various deep learning (DL) based methods have been developed for diagnosing ASD, which rely heavily on behavioral assessment. However, existing techniques have suffered from poor diagnostic outcomes, higher computational complexity, and overfitting issues. To address these challenges, this research work introduces an innovative framework called 3T Dilated Inception Network (3T-DINet) for effective ASD diagnosis using resting-state functional Magnetic Resonance Imaging (rs-fMRI) images. The proposed 3T-DINet technique designs a 3T dilated inception module that incorporates dilated convolutions along with the inception module, allowing it to extract multi-scale features from brain connectivity patterns. The 3T dilated inception module uses three distinct dilation rates (low, medium, and high) in parallel to determine local, mid-level, and global features from the brain. In addition, the proposed approach implements Residual networks (ResNet) to avoid the vanishing gradient problem and enhance the feature extraction ability. The model is further optimized using a Crossover-based Black Widow Optimization (CBWO) algorithm that fine-tunes the hyperparameters thereby enhancing the overall performance of the model. Further, the performance of the 3T-DINet model is evaluated using the five ASD datasets with distinct evaluation parameters. The proposed 3T-DINet technique achieved superior diagnosis results compared to recent previous works. From this simulation validation, it’s clear that the 3T-DINet provides an excellent contribution to early ASD diagnosis and enhances patient treatment outcomes.</t>
        </is>
      </c>
      <c r="W387" s="4" t="inlineStr">
        <is>
          <t>title_abstract_plus_targeted_primary_source_verification</t>
        </is>
      </c>
      <c r="X387" s="4" t="inlineStr">
        <is>
          <t>doi:10.1007/s11571-024-10202-0</t>
        </is>
      </c>
      <c r="Y387" s="4" t="n"/>
      <c r="Z387" s="4" t="n"/>
      <c r="AA387" s="4" t="n"/>
      <c r="AB387" s="40" t="n"/>
    </row>
    <row r="388" ht="409" customHeight="1">
      <c r="A388" s="4" t="n">
        <v>387</v>
      </c>
      <c r="B388" s="4" t="inlineStr">
        <is>
          <t>include_after_title_abstract_screen</t>
        </is>
      </c>
      <c r="C388" s="4" t="inlineStr">
        <is>
          <t>Incluir provisionalmente</t>
        </is>
      </c>
      <c r="D388" s="4" t="inlineStr">
        <is>
          <t>Provisional include</t>
        </is>
      </c>
      <c r="E388" s="4" t="inlineStr">
        <is>
          <t>Sí</t>
        </is>
      </c>
      <c r="F388" s="4" t="inlineStr">
        <is>
          <t>Title/abstract screening</t>
        </is>
      </c>
      <c r="G388" s="4" t="n"/>
      <c r="H388" s="4" t="n"/>
      <c r="I388" s="4" t="n"/>
      <c r="J388" s="4" t="inlineStr">
        <is>
          <t>Estudio primario o implementación/evaluación empírica de IA, aprendizaje automático o modelado computacional aplicado a ASD, riesgo, caracterización, apoyo o intervención.</t>
        </is>
      </c>
      <c r="K388" s="4" t="n"/>
      <c r="L388" s="4" t="n"/>
      <c r="M388" s="4" t="n">
        <v>2025</v>
      </c>
      <c r="N388" s="4" t="inlineStr">
        <is>
          <t>Predicting pragmatic language abilities from brain structural MRI in preschool children with ASD by NBS-Predict</t>
        </is>
      </c>
      <c r="O388" s="4" t="inlineStr">
        <is>
          <t>Lu Qian and Ning Ding and Hui Fang and Ting Xiao and Bei Sun and Hui Yun Gao and Xiao Yan Ke</t>
        </is>
      </c>
      <c r="P388" s="4" t="inlineStr">
        <is>
          <t>10.1007/s00787-025-02775-w</t>
        </is>
      </c>
      <c r="Q388" s="4" t="inlineStr">
        <is>
          <t>European Child and Adolescent Psychiatry</t>
        </is>
      </c>
      <c r="R388" s="4" t="inlineStr">
        <is>
          <t>article</t>
        </is>
      </c>
      <c r="S388" s="4" t="inlineStr">
        <is>
          <t>Springer Science and Business Media Deutschland GmbH</t>
        </is>
      </c>
      <c r="T388" s="4" t="inlineStr">
        <is>
          <t>https://doi.org/10.1007/s00787-025-02775-w</t>
        </is>
      </c>
      <c r="U388" s="4" t="n"/>
      <c r="V388" s="4" t="inlineStr">
        <is>
          <t>Pragmatics plays a crucial role in effectively conveying messages across various social communication contexts. This aspect is frequently highlighted in the challenges experienced by children diagnosed with autism spectrum disorder (ASD). Notably, there remains a paucity of research investigating how the structural connectome (SC) predicts pragmatic language abilities within this population. Using diffusion tensor imaging (DTI) and deterministic tractography, we constructed the whole-brain white matter structural network (WMSN) in a cohort comprising 92 children with ASD and 52 typically developing (TD) preschoolers, matched for age and gender. We employed network-based statistic (NBS)-Predict, a novel methodology that integrates machine learning (ML) with NBS, to identify dysconnected subnetworks associated with ASD, and then to predict pragmatic language abilities based on the SC derived from the whole-brain WMSN in the ASD group. Initially, NBS-Predict identified a subnetwork characterized by 42 reduced connections across 37 brain regions (p = 0.01), achieving a highest classification accuracy of 79.4% (95% CI: 0.791 ~ 0.796). The dysconnected regions were predominantly localized within the brain’s frontotemporal and subcortical areas, with the right superior medial frontal gyrus (SFGmed.R) emerging as the region exhibiting the most extensive disconnection. Moreover, NBS-Predict demonstrated that the optimal correlation coefficient between the predicted pragmatic language scores and the actual measured scores was 0.220 (95% CI: 0.174 ~ 0.265). This analysis revealed a significant association between the pragmatic language abilities of the ASD cohort and the white matter connections linking the SFGmed.R with the bilateral anterior cingulate gyrus (ACG). In summary, our findings suggest that the subnetworks displaying the most significant abnormal connections were concentrated in the frontotemporal and subcortical regions among the ASD group. Furthermore, the observed abnormalities in the white matter connection pathways between the SFGmed.R and ACG may underlie the neurobiological basis for pragmatic language deficits in preschool children with ASD.</t>
        </is>
      </c>
      <c r="W388" s="4" t="inlineStr">
        <is>
          <t>title_abstract_plus_targeted_primary_source_verification</t>
        </is>
      </c>
      <c r="X388" s="4" t="inlineStr">
        <is>
          <t>doi:10.1007/s00787-025-02775-w</t>
        </is>
      </c>
      <c r="Y388" s="4" t="n"/>
      <c r="Z388" s="4" t="n"/>
      <c r="AA388" s="4" t="n"/>
      <c r="AB388" s="40" t="n"/>
    </row>
    <row r="389" ht="409" customHeight="1">
      <c r="A389" s="4" t="n">
        <v>388</v>
      </c>
      <c r="B389" s="4" t="inlineStr">
        <is>
          <t>duplicate_within_export</t>
        </is>
      </c>
      <c r="C389" s="4" t="inlineStr">
        <is>
          <t>No agregar: duplicado interno</t>
        </is>
      </c>
      <c r="D389" s="4" t="inlineStr">
        <is>
          <t>Duplicate within update</t>
        </is>
      </c>
      <c r="E389" s="4" t="inlineStr">
        <is>
          <t>No</t>
        </is>
      </c>
      <c r="F389" s="4" t="inlineStr">
        <is>
          <t>Deduplication</t>
        </is>
      </c>
      <c r="G389" s="4" t="n"/>
      <c r="H389" s="4" t="n"/>
      <c r="I389" s="4" t="n"/>
      <c r="J389" s="4" t="inlineStr">
        <is>
          <t>Mismo DOI o título que otro registro anterior de esta exportación.</t>
        </is>
      </c>
      <c r="K389" s="4" t="n">
        <v>243</v>
      </c>
      <c r="L389" s="4" t="n"/>
      <c r="M389" s="4" t="n">
        <v>2026</v>
      </c>
      <c r="N389" s="4" t="inlineStr">
        <is>
          <t>Machine learning-based diagnosis of autism spectrum disorder in children and adolescents using eye-tracking data: a systematic review and meta-analysis</t>
        </is>
      </c>
      <c r="O389" s="4" t="inlineStr">
        <is>
          <t>Wenhao Han and Xinyu Yang and Xin Li and Jiacheng Wang and Juan Liu and Wei Pang</t>
        </is>
      </c>
      <c r="P389" s="4" t="inlineStr">
        <is>
          <t>10.1016/j.ijmedinf.2025.106235</t>
        </is>
      </c>
      <c r="Q389" s="4" t="inlineStr">
        <is>
          <t>International Journal of Medical Informatics</t>
        </is>
      </c>
      <c r="R389" s="4" t="inlineStr">
        <is>
          <t>article</t>
        </is>
      </c>
      <c r="S389" s="4" t="inlineStr">
        <is>
          <t>Elsevier Ireland Ltd</t>
        </is>
      </c>
      <c r="T389" s="4" t="inlineStr">
        <is>
          <t>https://doi.org/10.1016/j.ijmedinf.2025.106235</t>
        </is>
      </c>
      <c r="U389" s="4" t="n"/>
      <c r="V389" s="4" t="inlineStr">
        <is>
          <t>Objective: Eye-tracking technology has been increasingly investigated as an objective approach for distinguishing individuals with Autism Spectrum Disorder (ASD) from typically developing (TD) individuals. Artificial intelligence and machine learning (ML) methods have been widely applied to support ASD diagnosis and treatment, and prior studies suggest that ML models leveraging eye-tracking data can achieve high diagnostic accuracy. This systematic review and meta-analysis aimed to evaluate the diagnostic performance of machine-learning models using eye-tracking data to distinguish children and adolescents with ASD from TD peers. Methods: We systematically searched PubMed, Embase, Web of Science, IEEE Xplore, Scopus, and the Cochrane Library from inception to August 3, 2025. We included studies that applied ML methods to eye-tracking data to distinguish children with ASD from TD children. We extracted data on participant characteristics, model performance, eye-tracking protocols, and machine-learning algorithms. The review protocol was registered in PROSPERO (CRD420251162462). Results: We identified 1,045 records, of which 25 studies were included in the meta-analysis. The included studies comprised 2,319 participants, with sample sizes ranging from 32 to 529 per study. The pooled accuracy, sensitivity, and specificity of machine-learning models using eye-tracking data to distinguish children with ASD from TD children were 85 % (95 % CI, 81–89 %), 86 % (95 % CI, 82–89 %), and 86 % (95 % CI, 79–91 %), respectively. These results suggest that eye-tracking–based machine-learning approaches have good diagnostic performance for identifying ASD. Conclusion: Eye-tracking–based machine-learning approaches show considerable potential for distinguishing children with ASD from TD children. However, the robustness and generalizability of these findings are limited by the lack of external validation, small sample sizes, and substantial between-study heterogeneity. To establish generalizability, future research should prioritize standardized eye-tracking paradigms and large-scale, prospective, multicenter study designs with external validation. Such efforts may facilitate the translation of these models into clinical practice as objective and efficient adjunctive screening tools.</t>
        </is>
      </c>
      <c r="W389" s="4" t="inlineStr">
        <is>
          <t>title_abstract_plus_targeted_primary_source_verification</t>
        </is>
      </c>
      <c r="X389" s="4" t="inlineStr">
        <is>
          <t>doi:10.1016/j.ijmedinf.2025.106235</t>
        </is>
      </c>
      <c r="Y389" s="4" t="n"/>
      <c r="Z389" s="4" t="n"/>
      <c r="AA389" s="4" t="n"/>
      <c r="AB389" s="40" t="n"/>
    </row>
    <row r="390" ht="409" customHeight="1">
      <c r="A390" s="4" t="n">
        <v>389</v>
      </c>
      <c r="B390" s="4" t="inlineStr">
        <is>
          <t>exclude_secondary_or_nonempirical_publication</t>
        </is>
      </c>
      <c r="C390" s="4" t="inlineStr">
        <is>
          <t>Excluir: publicación secundaria/no empírica</t>
        </is>
      </c>
      <c r="D390" s="4" t="inlineStr">
        <is>
          <t>Excluded</t>
        </is>
      </c>
      <c r="E390" s="4" t="inlineStr">
        <is>
          <t>No</t>
        </is>
      </c>
      <c r="F390" s="4" t="inlineStr">
        <is>
          <t>Title/abstract screening</t>
        </is>
      </c>
      <c r="G390" s="4" t="n"/>
      <c r="H390" s="4" t="n"/>
      <c r="I390" s="4" t="n"/>
      <c r="J390" s="4" t="inlineStr">
        <is>
          <t>Revisión, metaanálisis, encuesta de literatura, protocolo, perspectiva, carta, editorial o capítulo de síntesis sin estudio primario elegible.</t>
        </is>
      </c>
      <c r="K390" s="4" t="n"/>
      <c r="L390" s="4" t="n"/>
      <c r="M390" s="4" t="n">
        <v>2025</v>
      </c>
      <c r="N390" s="4" t="inlineStr">
        <is>
          <t>Diagnosis of Autism Spectrum Disorder: A Survey</t>
        </is>
      </c>
      <c r="O390" s="4" t="inlineStr">
        <is>
          <t>Duha Salam Jasim and Suhad Malallah Kadhem</t>
        </is>
      </c>
      <c r="P390" s="4" t="inlineStr">
        <is>
          <t>10.1007/978-981-96-5535-9_35</t>
        </is>
      </c>
      <c r="Q390" s="4" t="inlineStr">
        <is>
          <t>Lecture Notes in Networks and Systems</t>
        </is>
      </c>
      <c r="R390" s="4" t="inlineStr">
        <is>
          <t>article</t>
        </is>
      </c>
      <c r="S390" s="4" t="inlineStr">
        <is>
          <t>Springer Science and Business Media Deutschland GmbH</t>
        </is>
      </c>
      <c r="T390" s="4" t="inlineStr">
        <is>
          <t>https://doi.org/10.1007/978-981-96-5535-9_35</t>
        </is>
      </c>
      <c r="U390" s="4" t="n"/>
      <c r="V390" s="4" t="inlineStr">
        <is>
          <t>Autism is a neurodevelopmental illness marked by restricted and repetitive behavioral patterns, poor verbal and nonverbal communication, and impaired social interaction. There is not a particular medical test to identify this disorder’s presence and behavior. For appropriate care of ASD and early intervention, an early diagnosis is essential. A person’s conduct and developmental stage can be used to diagnose. Machine learning and deep learning techniques are utilized to predict autism early on, reducing the time required for this process. This study aims to present a thorough review of earlier studies on autism diagnosis, emphasizing the use of deep learning and machine learning and the comparison of their respective results. According to the instruments employed in categorization, this study found that the diagnosis can be divided into categories based on the following: (brain pictures including MRI and EEG, face images comprising facial characteristics and facial expression, eye tracking, and other ways).</t>
        </is>
      </c>
      <c r="W390" s="4" t="inlineStr">
        <is>
          <t>title_abstract_plus_targeted_primary_source_verification</t>
        </is>
      </c>
      <c r="X390" s="4" t="inlineStr">
        <is>
          <t>doi:10.1007/978-981-96-5535-9_35</t>
        </is>
      </c>
      <c r="Y390" s="4" t="n"/>
      <c r="Z390" s="4" t="n"/>
      <c r="AA390" s="4" t="n"/>
      <c r="AB390" s="40" t="n"/>
    </row>
    <row r="391" ht="409" customHeight="1">
      <c r="A391" s="4" t="n">
        <v>390</v>
      </c>
      <c r="B391" s="4" t="inlineStr">
        <is>
          <t>exclude_secondary_or_nonempirical_publication</t>
        </is>
      </c>
      <c r="C391" s="4" t="inlineStr">
        <is>
          <t>Excluir: publicación secundaria/no empírica</t>
        </is>
      </c>
      <c r="D391" s="4" t="inlineStr">
        <is>
          <t>Excluded</t>
        </is>
      </c>
      <c r="E391" s="4" t="inlineStr">
        <is>
          <t>No</t>
        </is>
      </c>
      <c r="F391" s="4" t="inlineStr">
        <is>
          <t>Title/abstract screening</t>
        </is>
      </c>
      <c r="G391" s="4" t="n"/>
      <c r="H391" s="4" t="n"/>
      <c r="I391" s="4" t="n"/>
      <c r="J391" s="4" t="inlineStr">
        <is>
          <t>Revisión, metaanálisis, encuesta de literatura, protocolo, perspectiva, carta, editorial o capítulo de síntesis sin estudio primario elegible.</t>
        </is>
      </c>
      <c r="K391" s="4" t="n"/>
      <c r="L391" s="4" t="n"/>
      <c r="M391" s="4" t="n">
        <v>2025</v>
      </c>
      <c r="N391" s="4" t="inlineStr">
        <is>
          <t>Diagnosing Autism Spectrum Disorder in Children Using Various Machine Learning Methods: A Review</t>
        </is>
      </c>
      <c r="O391" s="4" t="inlineStr">
        <is>
          <t>Robin Khurana and Satyaveer Singh</t>
        </is>
      </c>
      <c r="P391" s="4" t="inlineStr">
        <is>
          <t>10.1007/978-3-031-75861-4_4</t>
        </is>
      </c>
      <c r="Q391" s="4" t="inlineStr">
        <is>
          <t>Communications in Computer and Information Science</t>
        </is>
      </c>
      <c r="R391" s="4" t="inlineStr">
        <is>
          <t>article</t>
        </is>
      </c>
      <c r="S391" s="4" t="inlineStr">
        <is>
          <t>Springer Science and Business Media Deutschland GmbH</t>
        </is>
      </c>
      <c r="T391" s="4" t="inlineStr">
        <is>
          <t>https://doi.org/10.1007/978-3-031-75861-4_4</t>
        </is>
      </c>
      <c r="U391" s="4" t="n"/>
      <c r="V391" s="4" t="inlineStr">
        <is>
          <t>Autism Spectrum Disorder (ASD) is a relatively rare condition between children; evaluations of the CDC's Autism and Developmental Disabilities Monitoring (ADDM) System suggest that approximately one in 36 kids is identified with ASD. Its symptoms are particularly prominent and observable in children aged 2–3 years. This review paper undertakes a broad analysis of ASD detection methods, harnessing the strength of both machine learning (ML) and neural network techniques. The review encompasses a systematic examination with a visual flowchart and a rigorous evaluation of various methodologies. These include traditional machine learning (ML) methods like Support Vector Machines (SVM) and K-nearest neighbors (KNN), as well as advanced neural network approaches like Artificial Neural Networks (ANN). Furthermore, the analysis presents a comparative table that assesses the performance of these methods in terms of their accuracy on diverse datasets. This multifaceted approach provides a holistic understanding and offers valuable insights for scholars and physicians in the field.</t>
        </is>
      </c>
      <c r="W391" s="4" t="inlineStr">
        <is>
          <t>title_abstract_plus_targeted_primary_source_verification</t>
        </is>
      </c>
      <c r="X391" s="4" t="inlineStr">
        <is>
          <t>doi:10.1007/978-3-031-75861-4_4</t>
        </is>
      </c>
      <c r="Y391" s="4" t="n"/>
      <c r="Z391" s="4" t="n"/>
      <c r="AA391" s="4" t="n"/>
      <c r="AB391" s="40" t="n"/>
    </row>
    <row r="392" ht="409" customHeight="1">
      <c r="A392" s="4" t="n">
        <v>391</v>
      </c>
      <c r="B392" s="4" t="inlineStr">
        <is>
          <t>include_after_title_abstract_screen</t>
        </is>
      </c>
      <c r="C392" s="4" t="inlineStr">
        <is>
          <t>Incluir provisionalmente</t>
        </is>
      </c>
      <c r="D392" s="4" t="inlineStr">
        <is>
          <t>Provisional include</t>
        </is>
      </c>
      <c r="E392" s="4" t="inlineStr">
        <is>
          <t>Sí</t>
        </is>
      </c>
      <c r="F392" s="4" t="inlineStr">
        <is>
          <t>Title/abstract screening</t>
        </is>
      </c>
      <c r="G392" s="4" t="n"/>
      <c r="H392" s="4" t="n"/>
      <c r="I392" s="4" t="n"/>
      <c r="J392" s="4" t="inlineStr">
        <is>
          <t>Estudio primario o implementación/evaluación empírica de IA, aprendizaje automático o modelado computacional aplicado a ASD, riesgo, caracterización, apoyo o intervención.</t>
        </is>
      </c>
      <c r="K392" s="4" t="n"/>
      <c r="L392" s="4" t="n"/>
      <c r="M392" s="4" t="n">
        <v>2026</v>
      </c>
      <c r="N392" s="4" t="inlineStr">
        <is>
          <t>Cell death-associated genes as novel diagnostic biomarkers for autism spectrum disorder</t>
        </is>
      </c>
      <c r="O392" s="4" t="inlineStr">
        <is>
          <t>Chanhua Li and Lijuan Wei and Wanling Chen and Guanghui Ran and Lili Liu and Zhongyi Li and Anhua Song and Meiliang Liu and Dongping Huang and Kun Tang and Xiaoyun Zeng and Lijun Wang</t>
        </is>
      </c>
      <c r="P392" s="4" t="inlineStr">
        <is>
          <t>10.1007/s10495-025-02201-1</t>
        </is>
      </c>
      <c r="Q392" s="4" t="inlineStr">
        <is>
          <t>Apoptosis</t>
        </is>
      </c>
      <c r="R392" s="4" t="inlineStr">
        <is>
          <t>article</t>
        </is>
      </c>
      <c r="S392" s="4" t="inlineStr">
        <is>
          <t>Springer</t>
        </is>
      </c>
      <c r="T392" s="4" t="inlineStr">
        <is>
          <t>https://doi.org/10.1007/s10495-025-02201-1</t>
        </is>
      </c>
      <c r="U392" s="4" t="n"/>
      <c r="V392" s="4" t="inlineStr">
        <is>
          <t>Autism spectrum disorder (ASD) involves neuroinflammation and dysregulated neuronal death but lacks objective diagnostic biomarkers. This study investigated whether cell death could serve as a molecular basis for ASD diagnosis. We identified cell death-associated genes (CDGs) in peripheral blood mononuclear cells between ASD and control groups and performed functional enrichment, protein–protein interaction, immune characteristics, and non-negative matrix factorization clustering analyses. Key genes were further selected using 6 machine learning algorithms and weighted gene co-expression network analysis to construct a diagnostic model, which was subsequently validated using external human blood samples and mice prefrontal cortex samples. We explored microRNAs (miRNAs), transcription factors (TFs), and drugs potentially interacted with the key genes. Fourteen CDGs and 4 out of 22 types of immune cells were differentially expressed between ASD and controls in GSE18123. These genes were enriched in pathways such as neuron apoptosis and RAGE receptor binding. Among 6 machine learning models, K-Nearest Neighbors (KNN) model exhibited the best performance. Six key genes were selected as the most important hub genes and used to construct the diagnostic model. The model showed AUCs of 0.722 in GSE42133, 0.781 in our local samples, and 0.889 in mice prefrontal cortex samples. A total of 172 miRNAs, 111 TFs, and 98 drugs were found to interact with these key genes. The expression patterns of CDGs in the peripheral blood of children with ASD demonstrate potential diagnostic value. Further studies are warranted to validate their diagnostic performance in real-world settings and to elucidate the role of cell death dysregulation in ASD.</t>
        </is>
      </c>
      <c r="W392" s="4" t="inlineStr">
        <is>
          <t>title_abstract_plus_targeted_primary_source_verification</t>
        </is>
      </c>
      <c r="X392" s="4" t="inlineStr">
        <is>
          <t>doi:10.1007/s10495-025-02201-1</t>
        </is>
      </c>
      <c r="Y392" s="4" t="n"/>
      <c r="Z392" s="4" t="n"/>
      <c r="AA392" s="4" t="n"/>
      <c r="AB392" s="40" t="n"/>
    </row>
    <row r="393" ht="409" customHeight="1">
      <c r="A393" s="4" t="n">
        <v>392</v>
      </c>
      <c r="B393" s="4" t="inlineStr">
        <is>
          <t>duplicate_within_export</t>
        </is>
      </c>
      <c r="C393" s="4" t="inlineStr">
        <is>
          <t>No agregar: duplicado interno</t>
        </is>
      </c>
      <c r="D393" s="4" t="inlineStr">
        <is>
          <t>Duplicate within update</t>
        </is>
      </c>
      <c r="E393" s="4" t="inlineStr">
        <is>
          <t>No</t>
        </is>
      </c>
      <c r="F393" s="4" t="inlineStr">
        <is>
          <t>Deduplication</t>
        </is>
      </c>
      <c r="G393" s="4" t="n"/>
      <c r="H393" s="4" t="n"/>
      <c r="I393" s="4" t="n"/>
      <c r="J393" s="4" t="inlineStr">
        <is>
          <t>Mismo DOI o título que otro registro anterior de esta exportación.</t>
        </is>
      </c>
      <c r="K393" s="4" t="n">
        <v>129</v>
      </c>
      <c r="L393" s="4" t="n"/>
      <c r="M393" s="4" t="n">
        <v>2025</v>
      </c>
      <c r="N393" s="4" t="inlineStr">
        <is>
          <t>Artificial intelligence for tracking social behaviours and supporting an autism spectrum disorder diagnosis: systematic review and meta-analysis</t>
        </is>
      </c>
      <c r="O393" s="4" t="inlineStr">
        <is>
          <t>Carter Sun and Alistair McEwan and Kelsie A Boulton and Eleni Andrea Demetriou and Ayesha K Sadozai and Amit Lampit and Adam J Guastella</t>
        </is>
      </c>
      <c r="P393" s="4" t="inlineStr">
        <is>
          <t>10.1016/j.ebiom.2025.105931</t>
        </is>
      </c>
      <c r="Q393" s="4" t="inlineStr">
        <is>
          <t>eBioMedicine</t>
        </is>
      </c>
      <c r="R393" s="4" t="inlineStr">
        <is>
          <t>article</t>
        </is>
      </c>
      <c r="S393" s="4" t="inlineStr">
        <is>
          <t>Elsevier B.V.</t>
        </is>
      </c>
      <c r="T393" s="4" t="inlineStr">
        <is>
          <t>https://doi.org/10.1016/j.ebiom.2025.105931</t>
        </is>
      </c>
      <c r="U393" s="4" t="n"/>
      <c r="V393" s="4" t="inlineStr">
        <is>
          <t>Background: Artificial intelligence (AI) holds promise for developing tools that can track social behaviours and support clinical assessments and outcomes in Autism Spectrum Disorders (ASD). This review evaluated existing AI algorithms for extracting facial information during social interaction assessments and contributing to diagnostic accuracy for ASD assessment and response to therapy. Methods: Systematic review of studies on human participants with an ASD diagnosis, sourced from Medline, Embase, Scopus, Web of Science, IEEE Xplore, and ACM Digital Library, evaluated the diagnostic accuracy of AI algorithms in ASD classification and their use in tracking social development through facial information for clinical application in social interactions. Bivariate and multi-level models addressed dependencies, heterogeneity, moderators (modalities, algorithms, tasks), and applied robust variance estimation. Publication bias was evaluated with funnel plots. The QUADAS-2 tool assessed the risk of bias and applicability. This study was registered on PROSPERO (CRD42021249905). Findings: Of 40,570 studies identified, 38 met the review criteria, and seven provided sufficient data for meta-analysis. The pooled diagnostic odds ratio of 15.917 (95% CI [4.775–53.059]), and bivariate analysis estimated an area under the receiver operating characteristic curve of 0.862. Accuracy improved with facial features, unstructured play, support vector machines, and decision tree-based algorithms. AI methods can analyse social behaviours, including eye gaze on social stimuli, emotional expression, and joint attention in ASD assessments. AI-enabled robots have also been used to guide therapy. Interpretation: This study shows that AI can accurately and objectively augment ASD assessments, track social behaviours, and enhance therapy outcomes. Further validation in diverse populations is needed to ensure clinical applicability and ethical use. Funding: None.</t>
        </is>
      </c>
      <c r="W393" s="4" t="inlineStr">
        <is>
          <t>title_abstract_plus_targeted_primary_source_verification</t>
        </is>
      </c>
      <c r="X393" s="4" t="inlineStr">
        <is>
          <t>doi:10.1016/j.ebiom.2025.105931</t>
        </is>
      </c>
      <c r="Y393" s="4" t="n"/>
      <c r="Z393" s="4" t="n"/>
      <c r="AA393" s="4" t="n"/>
      <c r="AB393" s="40" t="n"/>
    </row>
    <row r="394" ht="409" customHeight="1">
      <c r="A394" s="4" t="n">
        <v>393</v>
      </c>
      <c r="B394" s="4" t="inlineStr">
        <is>
          <t>include_after_title_abstract_screen</t>
        </is>
      </c>
      <c r="C394" s="4" t="inlineStr">
        <is>
          <t>Incluir provisionalmente</t>
        </is>
      </c>
      <c r="D394" s="4" t="inlineStr">
        <is>
          <t>Provisional include</t>
        </is>
      </c>
      <c r="E394" s="4" t="inlineStr">
        <is>
          <t>Sí</t>
        </is>
      </c>
      <c r="F394" s="4" t="inlineStr">
        <is>
          <t>Title/abstract screening</t>
        </is>
      </c>
      <c r="G394" s="4" t="n"/>
      <c r="H394" s="4" t="n"/>
      <c r="I394" s="4" t="n"/>
      <c r="J394" s="4" t="inlineStr">
        <is>
          <t>Estudio primario o implementación/evaluación empírica de IA, aprendizaje automático o modelado computacional aplicado a ASD, riesgo, caracterización, apoyo o intervención.</t>
        </is>
      </c>
      <c r="K394" s="4" t="n"/>
      <c r="L394" s="4" t="n"/>
      <c r="M394" s="4" t="n">
        <v>2025</v>
      </c>
      <c r="N394" s="4" t="inlineStr">
        <is>
          <t>Integrating explainable AI with machine learning for reliable autism spectrum disorder diagnosis</t>
        </is>
      </c>
      <c r="O394" s="4" t="inlineStr">
        <is>
          <t>Farida Siddiqi Prity and Md. Rehan Ali and Mostafejur Rahman and Mirza Raquib and Md. Maruf Hossain and Md. Mubarak Hossain and K M Aslam Uddin</t>
        </is>
      </c>
      <c r="P394" s="4" t="inlineStr">
        <is>
          <t>10.1007/S42454-025-00087-7</t>
        </is>
      </c>
      <c r="Q394" s="4" t="inlineStr">
        <is>
          <t>Human-Intelligent Systems Integration</t>
        </is>
      </c>
      <c r="R394" s="4" t="inlineStr">
        <is>
          <t>article</t>
        </is>
      </c>
      <c r="S394" s="4" t="inlineStr">
        <is>
          <t>Springer Science and Business Media LLC</t>
        </is>
      </c>
      <c r="T394" s="4" t="inlineStr">
        <is>
          <t>https://doi.org/10.1007/S42454-025-00087-7</t>
        </is>
      </c>
      <c r="U394" s="4" t="n"/>
      <c r="V394" s="4" t="inlineStr">
        <is>
          <t>Autism Spectrum Disorder (ASD) is a complex neurodevelopmental condition that impacts communication, behavior, and social interaction, affecting individuals across all age groups. Early diagnosis is crucial for effective intervention, typically involving behavioral assessments, genetic testing, and developmental screening. However, the process is often time-consuming and subjective, highlighting the need for automated and objective diagnostic tools. This research explores the integration of Explainable Artificial Intelligence (XAI) with Machine Learning (ML) models to enhance the accuracy and interpretability of Autism Spectrum Disorder diagnosis. Utilizing a diverse dataset comprising 20 attributes and 2,942 patients across different age groups, including toddlers, children, and adults, we applied several Machine Learning algorithms, including Logistic Regression (LR), Decision Trees (DT), Random Forest (RF), Support Vector Machines (SVM), K-Nearest Neighbors (KNN), Convolutional Neural Networks (CNN), and Extreme Gradient Boosting (XGBoost). Extreme Gradient Boosting demonstrated the highest accuracy at 99.05%. Additionally, we employed Explainable AI methods like Local Interpretable Model-agnostic Explanations (LIME) and SHapley Additive exPlanations (SHAP) to provide transparency and deeper insights into the model’s predictions. This framework not only offers reliable, high-accuracy ASD diagnosis but also ensures model interpretability, making it a valuable tool for clinical use and early intervention.</t>
        </is>
      </c>
      <c r="W394" s="4" t="inlineStr">
        <is>
          <t>title_abstract_plus_targeted_primary_source_verification</t>
        </is>
      </c>
      <c r="X394" s="4" t="inlineStr">
        <is>
          <t>doi:10.1007/s42454-025-00087-7</t>
        </is>
      </c>
      <c r="Y394" s="4" t="n"/>
      <c r="Z394" s="4" t="n"/>
      <c r="AA394" s="4" t="n"/>
      <c r="AB394" s="40" t="n"/>
    </row>
    <row r="395" ht="409" customHeight="1">
      <c r="A395" s="4" t="n">
        <v>394</v>
      </c>
      <c r="B395" s="4" t="inlineStr">
        <is>
          <t>exclude_secondary_or_nonempirical_publication</t>
        </is>
      </c>
      <c r="C395" s="4" t="inlineStr">
        <is>
          <t>Excluir: publicación secundaria/no empírica</t>
        </is>
      </c>
      <c r="D395" s="4" t="inlineStr">
        <is>
          <t>Excluded</t>
        </is>
      </c>
      <c r="E395" s="4" t="inlineStr">
        <is>
          <t>No</t>
        </is>
      </c>
      <c r="F395" s="4" t="inlineStr">
        <is>
          <t>Title/abstract screening</t>
        </is>
      </c>
      <c r="G395" s="4" t="n"/>
      <c r="H395" s="4" t="n"/>
      <c r="I395" s="4" t="n"/>
      <c r="J395" s="4" t="inlineStr">
        <is>
          <t>Revisión, metaanálisis, encuesta de literatura, protocolo, perspectiva, carta, editorial o capítulo de síntesis sin estudio primario elegible.</t>
        </is>
      </c>
      <c r="K395" s="4" t="n"/>
      <c r="L395" s="4" t="n"/>
      <c r="M395" s="4" t="n">
        <v>2026</v>
      </c>
      <c r="N395" s="4" t="inlineStr">
        <is>
          <t>Effectiveness and Usability of Artificial Intelligence and/or Machine Learning Enabled Wrist and Ankle Wearables for Physiological and Behavioral Monitoring in Children and Adolescents With Autism Spectrum Disorder: A Systematic Review</t>
        </is>
      </c>
      <c r="O395" s="4" t="inlineStr">
        <is>
          <t>Shabinabegam Abdul Majid Sheth and Emilios Lemoniatis and Tayyaba Ejaz and Eilis Kennedy and Gabriella Charalambous</t>
        </is>
      </c>
      <c r="P395" s="4" t="inlineStr">
        <is>
          <t>10.1007/S10803-026-07276-6</t>
        </is>
      </c>
      <c r="Q395" s="4" t="inlineStr">
        <is>
          <t>Journal of Autism and Developmental Disorders</t>
        </is>
      </c>
      <c r="R395" s="4" t="inlineStr">
        <is>
          <t>article</t>
        </is>
      </c>
      <c r="S395" s="4" t="inlineStr">
        <is>
          <t>Springer</t>
        </is>
      </c>
      <c r="T395" s="4" t="inlineStr">
        <is>
          <t>https://doi.org/10.1007/S10803-026-07276-6</t>
        </is>
      </c>
      <c r="U395" s="4" t="n"/>
      <c r="V395" s="4" t="inlineStr">
        <is>
          <t>Purpose: This review evaluates the performance, feasibility, and acceptability of Artificial Intelligence (AI) and machine learning (ML)–enabled wrist- and ankle-worn wearables for monitoring physiological and behavioral states that help predict difficulties in arousal regulation, emotion modulation, and behavioral control—often manifesting as aggression or self-injury in autistic children and adolescents. Method: A systematic search of peer-reviewed literature was conducted to May 2025 following PRISMA 2020 guidelines and a preregistered PROSPERO protocol (CRD420251068317). Participant characteristics, sensor modalities, study settings, AI/ML approaches, outcome definitions, and feasibility and acceptability measures were examined. Findings were synthesized narratively due to study heterogeneity. Results: Preliminary proof-of-concept data (n = 246; 170 autistic) suggest that AI-enabled models have the potential to anticipate aggression 1–3 min before onset (AUC 0.80–0.87) in specialized psychiatric settings. Under controlled conditions, self-injury and motor stereotypies were detected with 86–96% recall (up to 99% in initial personalized models). Emotional or sensory states were classified with 83–90% accuracy in laboratory contexts. Wrist-worn devices were generally well tolerated. Conclusion: AI-enabled wrist and ankle wearables demonstrate feasibility for anticipating behavioral escalation and detecting emotional states. Short advance-warning windows may support proactive intervention. Although current studies are necessarily small and exploratory, reflecting the early developmental stage of AI-enabled wearable technologies, they collectively provide proof-of-concept accuracy. These preliminary data justify continued research into proactive, sensor-supported behavioral monitoring in autism. Larger, longitudinal, co-designed studies in naturalistic settings are now required to establish reliability, safety, and clinical utility.</t>
        </is>
      </c>
      <c r="W395" s="4" t="inlineStr">
        <is>
          <t>title_abstract_plus_targeted_primary_source_verification</t>
        </is>
      </c>
      <c r="X395" s="4" t="inlineStr">
        <is>
          <t>doi:10.1007/s10803-026-07276-6</t>
        </is>
      </c>
      <c r="Y395" s="4" t="n"/>
      <c r="Z395" s="4" t="n"/>
      <c r="AA395" s="4" t="n"/>
      <c r="AB395" s="40" t="n"/>
    </row>
    <row r="396" ht="409" customHeight="1">
      <c r="A396" s="4" t="n">
        <v>395</v>
      </c>
      <c r="B396" s="4" t="inlineStr">
        <is>
          <t>include_after_full_text_open_access</t>
        </is>
      </c>
      <c r="C396" s="4" t="inlineStr">
        <is>
          <t>Incluir tras revisión de texto completo abierto</t>
        </is>
      </c>
      <c r="D396" s="4" t="inlineStr">
        <is>
          <t>Provisional include</t>
        </is>
      </c>
      <c r="E396" s="4" t="inlineStr">
        <is>
          <t>Sí</t>
        </is>
      </c>
      <c r="F396" s="4" t="inlineStr">
        <is>
          <t>Full-text review</t>
        </is>
      </c>
      <c r="G396" s="4" t="n"/>
      <c r="H396" s="4" t="n"/>
      <c r="I396" s="4" t="n"/>
      <c r="J396" s="4" t="inlineStr">
        <is>
          <t>Texto completo confirma estudio primario con Machine Learning aplicado a ASD (Risk prediction in preterm children).</t>
        </is>
      </c>
      <c r="K396" s="4" t="n"/>
      <c r="L396" s="4" t="n"/>
      <c r="M396" s="4" t="n">
        <v>2025</v>
      </c>
      <c r="N396" s="4" t="inlineStr">
        <is>
          <t>Prematurity and genetic liability for autism spectrum disorder</t>
        </is>
      </c>
      <c r="O396" s="4" t="inlineStr">
        <is>
          <t>Yali Zhang and Ashraf Yahia and Sven Sandin and Ulrika Åden and Kristiina Tammimies</t>
        </is>
      </c>
      <c r="P396" s="4" t="inlineStr">
        <is>
          <t>10.1186/s13073-025-01552-3</t>
        </is>
      </c>
      <c r="Q396" s="4" t="inlineStr">
        <is>
          <t>Genome Medicine</t>
        </is>
      </c>
      <c r="R396" s="4" t="inlineStr">
        <is>
          <t>article</t>
        </is>
      </c>
      <c r="S396" s="4" t="inlineStr">
        <is>
          <t>BioMed Central Ltd</t>
        </is>
      </c>
      <c r="T396" s="4" t="inlineStr">
        <is>
          <t>https://genomemedicine.biomedcentral.com/counter/pdf/10.1186/s13073-025-01552-3</t>
        </is>
      </c>
      <c r="U396" s="4" t="inlineStr">
        <is>
          <t>Texto completo abierto revisado; evidencia y codificación en Extraccion_RQ_nuevos.</t>
        </is>
      </c>
      <c r="V396" s="4" t="inlineStr">
        <is>
          <t>Background: Autism spectrum disorder (ASD) is a neurodevelopmental condition characterized by diverse presentations and a strong genetic component. Environmental factors, such as prematurity, have also been linked to increased liability for ASD, though the interaction between genetic predisposition and prematurity remains unclear. This study aims to investigate the impact of genetic liability and preterm birth on ASD conditions. Methods: We analyzed phenotype and genetic data from two large ASD cohorts, the Simons Foundation Powering Autism Research for Knowledge (SPARK) and Simons Simplex Collection (SSC), encompassing 78,559 individuals for phenotype analysis, 12,519 individuals with genome sequencing data, and 8104 individuals with exome sequencing data. Statistical significance of differences in clinical measures was evaluated between individuals with different ASD and preterm status. We assessed the rare variants burden using generalized estimating equations (GEE) models and polygenic load using the ASD-associated polygenic risk score (PRS). Furthermore, we developed a machine learning model to predict ASD in preterm children using phenotype and genetic features available at birth. Results: Individuals with both preterm birth and ASD exhibit more severe phenotypic outcomes despite similar levels of genetic liability for ASD across the term and preterm groups. Notably, preterm-ASD individuals showed an elevated rate of de novo variants identified in exome sequencing (GEE model, p = 0.005) in comparison to non-ASD-preterm group. Additionally, a GEE model showed that a higher ASD PRS, preterm birth, and male sex were positively associated with a higher predicted probability for ASD in SPARK, reaching a probability close to 90%. Lastly, we developed a machine learning model using phenotype and genetic features available at birth with limited predictive power (AUROC = 0.65). Conclusions: Preterm birth may exacerbate multimorbidity present in ASD, which was not due to ASD-associated genetic variants. However, increased ASD-associated rare variants may elevate the likelihood of a preterm child being diagnosed with ASD. Additionally, a polygenic load of ASD-associated variants had an additive role with preterm birth in the predicted probability for ASD, especially for boys. Future integration of genetic and phenotypic data in larger preterm or population-based cohorts will be crucial for advancing early ASD identification in preterm subgroup.</t>
        </is>
      </c>
      <c r="W396" s="4" t="inlineStr">
        <is>
          <t>open_full_text_review_2026_09_04</t>
        </is>
      </c>
      <c r="X396" s="4" t="inlineStr">
        <is>
          <t>doi:10.1186/s13073-025-01552-3</t>
        </is>
      </c>
      <c r="Y396" s="4" t="n"/>
      <c r="Z396" s="4" t="n"/>
      <c r="AA396" s="4" t="n"/>
      <c r="AB396" s="40" t="n"/>
    </row>
    <row r="397" ht="409" customHeight="1">
      <c r="A397" s="4" t="n">
        <v>396</v>
      </c>
      <c r="B397" s="4" t="inlineStr">
        <is>
          <t>exclude_secondary_or_nonempirical_publication</t>
        </is>
      </c>
      <c r="C397" s="4" t="inlineStr">
        <is>
          <t>Excluir: publicación secundaria/no empírica</t>
        </is>
      </c>
      <c r="D397" s="4" t="inlineStr">
        <is>
          <t>Excluded</t>
        </is>
      </c>
      <c r="E397" s="4" t="inlineStr">
        <is>
          <t>No</t>
        </is>
      </c>
      <c r="F397" s="4" t="inlineStr">
        <is>
          <t>Title/abstract screening</t>
        </is>
      </c>
      <c r="G397" s="4" t="n"/>
      <c r="H397" s="4" t="n"/>
      <c r="I397" s="4" t="n"/>
      <c r="J397" s="4" t="inlineStr">
        <is>
          <t>Revisión, metaanálisis, encuesta de literatura, protocolo, perspectiva, carta, editorial o capítulo de síntesis sin estudio primario elegible.</t>
        </is>
      </c>
      <c r="K397" s="4" t="n"/>
      <c r="L397" s="4" t="n"/>
      <c r="M397" s="4" t="n">
        <v>2025</v>
      </c>
      <c r="N397" s="4" t="inlineStr">
        <is>
          <t>A recent advances on autism spectrum disorders in diagnosing based on machine learning and deep learning</t>
        </is>
      </c>
      <c r="O397" s="4" t="inlineStr">
        <is>
          <t>Hajir Ammar Hatim and Zaid Abdi Alkareem Alyasseri and Norziana Jamil</t>
        </is>
      </c>
      <c r="P397" s="4" t="inlineStr">
        <is>
          <t>10.1007/S10462-025-11302-X</t>
        </is>
      </c>
      <c r="Q397" s="4" t="inlineStr">
        <is>
          <t>Artificial Intelligence Review</t>
        </is>
      </c>
      <c r="R397" s="4" t="inlineStr">
        <is>
          <t>article</t>
        </is>
      </c>
      <c r="S397" s="4" t="inlineStr">
        <is>
          <t>Springer Nature</t>
        </is>
      </c>
      <c r="T397" s="4" t="inlineStr">
        <is>
          <t>https://doi.org/10.1007/S10462-025-11302-X</t>
        </is>
      </c>
      <c r="U397" s="4" t="n"/>
      <c r="V397" s="4" t="inlineStr">
        <is>
          <t>Neurological disorders affect communication ability, social interaction, and a person’s conduct. Early diagnosis and treatment of ASD during the early stages of a person’s life may result in better outcomes and a higher quality of life for patients. Current methods of diagnosis are based on behavioral observations and interviews, which are subjective, time-consuming, and costly. EEG does not include invasive techniques, and it is a safe and painless way of measuring electrical activity in the brain. EEG signals may reflect neural differences and abnormalities related to ASD and serve as a potential biomarker for diagnosis. Due to the increase in prevalence, there has been an increased need to develop more sensitive and unbiased diagnostic methods for ASD. ML and DL are two sophisticated methods that researchers developed for detecting ASD by doing neural network analyses. The review paper incorporates the analysis of previous studies; more than 200 works have been analyzed from top publishers like Elsevier, IEEE, MDPI, and Springer, specifically related to EEG signal analysis and feature extraction techniques. It considers significant methods for ASD detection, including SVMs, CNN, and other models like KNN, ResNet50, and ANFIS. Other datasets central in these studies are KAU, BCIAUT-P300, and ADOS-2. The performance metrics adopted in this research include accuracy, sensitivity, and specificity. For example, the cubic SVM realized an accuracy of 95.8%, while the CNN models reached 95%. Other models, like ResNet50, achieved 99.39%, while ANFIS reached 98.9%. Sensitivity and specificity also showed varying scores across the methods, between 85 and 100%, indicating the high potential of these approaches in ASD diagnosis. Future studies could pay more attention to dataset representativeness improvements and do the clinical validation of these models for better generalization and relevance toward early diagnosis in ASD.</t>
        </is>
      </c>
      <c r="W397" s="4" t="inlineStr">
        <is>
          <t>title_abstract_plus_targeted_primary_source_verification</t>
        </is>
      </c>
      <c r="X397" s="4" t="inlineStr">
        <is>
          <t>doi:10.1007/s10462-025-11302-x</t>
        </is>
      </c>
      <c r="Y397" s="4" t="n"/>
      <c r="Z397" s="4" t="n"/>
      <c r="AA397" s="4" t="n"/>
      <c r="AB397" s="40" t="n"/>
    </row>
    <row r="398" ht="409" customHeight="1">
      <c r="A398" s="4" t="n">
        <v>397</v>
      </c>
      <c r="B398" s="4" t="inlineStr">
        <is>
          <t>exclude_secondary_or_nonempirical_publication</t>
        </is>
      </c>
      <c r="C398" s="4" t="inlineStr">
        <is>
          <t>Excluir: publicación secundaria/no empírica</t>
        </is>
      </c>
      <c r="D398" s="4" t="inlineStr">
        <is>
          <t>Excluded</t>
        </is>
      </c>
      <c r="E398" s="4" t="inlineStr">
        <is>
          <t>No</t>
        </is>
      </c>
      <c r="F398" s="4" t="inlineStr">
        <is>
          <t>Title/abstract screening</t>
        </is>
      </c>
      <c r="G398" s="4" t="n"/>
      <c r="H398" s="4" t="n"/>
      <c r="I398" s="4" t="n"/>
      <c r="J398" s="4" t="inlineStr">
        <is>
          <t>Revisión, metaanálisis, encuesta de literatura, protocolo, perspectiva, carta, editorial o capítulo de síntesis sin estudio primario elegible.</t>
        </is>
      </c>
      <c r="K398" s="4" t="n"/>
      <c r="L398" s="4" t="n"/>
      <c r="M398" s="4" t="n">
        <v>2025</v>
      </c>
      <c r="N398" s="4" t="inlineStr">
        <is>
          <t>The role of machine learning in autism spectrum disorder assessment and management</t>
        </is>
      </c>
      <c r="O398" s="4" t="inlineStr">
        <is>
          <t>Aoife Reilly and Nicola Walsh and Daniel O’Reilly and Miriam Smyth and Kathleen Gorman and Sarah Ostadabbas and Claire Power</t>
        </is>
      </c>
      <c r="P398" s="4" t="inlineStr">
        <is>
          <t>10.1038/s41390-025-04566-0</t>
        </is>
      </c>
      <c r="Q398" s="4" t="inlineStr">
        <is>
          <t>Pediatric Research</t>
        </is>
      </c>
      <c r="R398" s="4" t="inlineStr">
        <is>
          <t>article</t>
        </is>
      </c>
      <c r="S398" s="4" t="inlineStr">
        <is>
          <t>Springer Nature</t>
        </is>
      </c>
      <c r="T398" s="4" t="inlineStr">
        <is>
          <t>https://doi.org/10.1038/s41390-025-04566-0</t>
        </is>
      </c>
      <c r="U398" s="4" t="n"/>
      <c r="V398" s="4" t="inlineStr">
        <is>
          <t>Abstract: Autism Spectrum Disorder (ASD) presents significant challenges in diagnosis and treatment, driven by its heterogeneous nature and complex aetiology. Recent advances in machine learning (ML) have facilitated exploration of novel approaches to ASD detection, stratification, and intervention opportunities. This narrative review explores the current ML and artificial intelligence (AI) research landscape across several key domains, including early ASD screening, phenotypic stratification, diagnostic biomarkers, neuroimaging, personalised therapies, and the role of automation and robotics in the treatment of this complex condition. Detailed analyses of these approaches emphasise the transformative but not yet realised potential of ML to improve outcomes for individuals with ASD. Impact: Highlights emerging trends, including multimodal AI integration, digital phenotyping, and use of AI to achieve biomarker-driven precision medicine. Provides first comprehensive synthesis of AI advancements in screening, diagnosis and treatment of ASD. Identifies current gaps in AI ASD research, such as dataset heterogeneity, validation issues, and clinical trust barriers.</t>
        </is>
      </c>
      <c r="W398" s="4" t="inlineStr">
        <is>
          <t>title_abstract_plus_targeted_primary_source_verification</t>
        </is>
      </c>
      <c r="X398" s="4" t="inlineStr">
        <is>
          <t>doi:10.1038/s41390-025-04566-0</t>
        </is>
      </c>
      <c r="Y398" s="4" t="n"/>
      <c r="Z398" s="4" t="n"/>
      <c r="AA398" s="4" t="n"/>
      <c r="AB398" s="40" t="n"/>
    </row>
    <row r="399" ht="409" customHeight="1">
      <c r="A399" s="4" t="n">
        <v>398</v>
      </c>
      <c r="B399" s="4" t="inlineStr">
        <is>
          <t>include_after_title_abstract_screen</t>
        </is>
      </c>
      <c r="C399" s="4" t="inlineStr">
        <is>
          <t>Incluir provisionalmente</t>
        </is>
      </c>
      <c r="D399" s="4" t="inlineStr">
        <is>
          <t>Provisional include</t>
        </is>
      </c>
      <c r="E399" s="4" t="inlineStr">
        <is>
          <t>Sí</t>
        </is>
      </c>
      <c r="F399" s="4" t="inlineStr">
        <is>
          <t>Title/abstract screening</t>
        </is>
      </c>
      <c r="G399" s="4" t="n"/>
      <c r="H399" s="4" t="n"/>
      <c r="I399" s="4" t="n"/>
      <c r="J399" s="4" t="inlineStr">
        <is>
          <t>Estudio primario o implementación/evaluación empírica de IA, aprendizaje automático o modelado computacional aplicado a ASD, riesgo, caracterización, apoyo o intervención.</t>
        </is>
      </c>
      <c r="K399" s="4" t="n"/>
      <c r="L399" s="4" t="n"/>
      <c r="M399" s="4" t="n">
        <v>2026</v>
      </c>
      <c r="N399" s="4" t="inlineStr">
        <is>
          <t>Diagnostic Classification of Autism Spectrum Disorder Using SD Maps of fMRI Data and Machine Learning</t>
        </is>
      </c>
      <c r="O399" s="4" t="inlineStr">
        <is>
          <t>Epimack Michael and Sandeep Singh Sengar and Jac Fredo Agastinose Ronickom and Deepesh Kumar</t>
        </is>
      </c>
      <c r="P399" s="4" t="inlineStr">
        <is>
          <t>10.1007/S40846-026-01044-8</t>
        </is>
      </c>
      <c r="Q399" s="4" t="inlineStr">
        <is>
          <t>Journal of Medical and Biological Engineering</t>
        </is>
      </c>
      <c r="R399" s="4" t="inlineStr">
        <is>
          <t>article</t>
        </is>
      </c>
      <c r="S399" s="4" t="inlineStr">
        <is>
          <t>Springer Science and Business Media Deutschland GmbH</t>
        </is>
      </c>
      <c r="T399" s="4" t="inlineStr">
        <is>
          <t>https://doi.org/10.1007/S40846-026-01044-8</t>
        </is>
      </c>
      <c r="U399" s="4" t="n"/>
      <c r="V399" s="4" t="inlineStr">
        <is>
          <t>Purpose: Autism spectrum disorder (ASD) is a neurodevelopmental condition characterised by social, behavioural and communication traits. The diagnosis of ASD is challenging, particularly due to the heterogeneity of symptoms, overlapping clinical features with other neurodevelopmental conditions and the current reliance on subjective behavioural assessments. Our study investigates the effectiveness of features computed from standard deviation (SD) maps of resting-state functional magnetic resonance imaging (rs-fMRI) in discriminating between ASD and typical development (TD). Methods: The rs-fMRI data of TD and ASD considered in this study were obtained from the ABIDE-I and ABIDE-II databases. Initially, the images were pre-processed using a standard pipeline. Further, 3D SD maps were generated, and 110 features were computed from the maps. We fed the features to four machine learning models, such as logistic regression (LR), ridge classifier, gradient boosting, and extreme gradient boosting. We performed the grid search to optimize the parameters and evaluated the models with 5-fold nested cross-validation. Results: We achieved an average 5-fold classification accuracy of 70.71% using LR. Our results revealed that the 3D shape and global statistical features contributed well to the model. Conclusion: The findings demonstrate that features extracted from 3D SD maps provide a robust and clinically meaningful framework for diagnosing ASD.</t>
        </is>
      </c>
      <c r="W399" s="4" t="inlineStr">
        <is>
          <t>title_abstract_plus_targeted_primary_source_verification</t>
        </is>
      </c>
      <c r="X399" s="4" t="inlineStr">
        <is>
          <t>doi:10.1007/s40846-026-01044-8</t>
        </is>
      </c>
      <c r="Y399" s="4" t="n"/>
      <c r="Z399" s="4" t="n"/>
      <c r="AA399" s="4" t="n"/>
      <c r="AB399" s="40" t="n"/>
    </row>
    <row r="400" ht="409" customHeight="1">
      <c r="A400" s="4" t="n">
        <v>399</v>
      </c>
      <c r="B400" s="4" t="inlineStr">
        <is>
          <t>exclude_secondary_or_nonempirical_publication</t>
        </is>
      </c>
      <c r="C400" s="4" t="inlineStr">
        <is>
          <t>Excluir: publicación secundaria/no empírica</t>
        </is>
      </c>
      <c r="D400" s="4" t="inlineStr">
        <is>
          <t>Excluded</t>
        </is>
      </c>
      <c r="E400" s="4" t="inlineStr">
        <is>
          <t>No</t>
        </is>
      </c>
      <c r="F400" s="4" t="inlineStr">
        <is>
          <t>Title/abstract screening</t>
        </is>
      </c>
      <c r="G400" s="4" t="n"/>
      <c r="H400" s="4" t="n"/>
      <c r="I400" s="4" t="n"/>
      <c r="J400" s="4" t="inlineStr">
        <is>
          <t>Revisión, metaanálisis, encuesta de literatura, protocolo, perspectiva, carta, editorial o capítulo de síntesis sin estudio primario elegible.</t>
        </is>
      </c>
      <c r="K400" s="4" t="n"/>
      <c r="L400" s="4" t="n"/>
      <c r="M400" s="4" t="n">
        <v>2025</v>
      </c>
      <c r="N400" s="4" t="inlineStr">
        <is>
          <t>A Systematic Survey of Technology Driven Diagnosis for Autism Spectrum Disorder</t>
        </is>
      </c>
      <c r="O400" s="4" t="inlineStr">
        <is>
          <t>Uday Singh and Shailendra Shukla and Manoj Madhava Gore</t>
        </is>
      </c>
      <c r="P400" s="4" t="inlineStr">
        <is>
          <t>10.1007/S42979-025-04393-4</t>
        </is>
      </c>
      <c r="Q400" s="4" t="inlineStr">
        <is>
          <t>SN Computer Science</t>
        </is>
      </c>
      <c r="R400" s="4" t="inlineStr">
        <is>
          <t>article</t>
        </is>
      </c>
      <c r="S400" s="4" t="inlineStr">
        <is>
          <t>Springer</t>
        </is>
      </c>
      <c r="T400" s="4" t="inlineStr">
        <is>
          <t>https://doi.org/10.1007/S42979-025-04393-4</t>
        </is>
      </c>
      <c r="U400" s="4" t="n"/>
      <c r="V400" s="4" t="inlineStr">
        <is>
          <t>Autism Spectrum Disorder (ASD) is a neurodevelopmental disorder that includes deficits in social communication and social interaction, with the presence of restricted and repetitive behaviors. Children with ASD often struggle with joint attention and social reciprocity due to communication deficits. Genetic disorders and environmental factors are the primary causes of ASD. According to the Centers for Disease Control and Prevention (CDC) in 2021, ASD affected 1 in 44 children in the United States. The World Health Organization (WHO) reports that the prevalence of ASD among Asian children is 14 per 10,000, with a higher incidence of 23 per 10,000 in India. ASD has no cure, so early diagnosis is important for reducing problems related to social interaction and communication deficits. Early detection of ASD is challenging because its symptoms and severity levels vary widely from child to child. Research has shown that children with ASD can benefit significantly from early detection and intervention. Most surveys focused on ASD detection, but the affective states and self injurious behaviors of autistic children are less explored. This paper provides a systematic survey of ASD in the context of machine learning and Internet of Things (IoT) devices, focusing on three specific areas of autism: ASD detection, affective state detection, and self injurious behavior detection. We focus on clinical, machine learning, and IoT methods for ASD detection. Additionally, the paper examines self injurious behavior detection and affective state detection in autistic children, including the prevalence, causes, and possible interventions, as well as provides information on mobile applications used in ASD diagnosis. The purpose of the paper is to identify research limitations and gaps in the literature and propose future directions to detect ASD. In general, this article emphasizes the importance of increasing awareness and resources for the ASD community and provides valuable information for healthcare professionals, researchers, and product developers.</t>
        </is>
      </c>
      <c r="W400" s="4" t="inlineStr">
        <is>
          <t>title_abstract_plus_targeted_primary_source_verification</t>
        </is>
      </c>
      <c r="X400" s="4" t="inlineStr">
        <is>
          <t>doi:10.1007/s42979-025-04393-4</t>
        </is>
      </c>
      <c r="Y400" s="4" t="n"/>
      <c r="Z400" s="4" t="n"/>
      <c r="AA400" s="4" t="n"/>
      <c r="AB400" s="40" t="n"/>
    </row>
    <row r="401" ht="409" customHeight="1">
      <c r="A401" s="4" t="n">
        <v>400</v>
      </c>
      <c r="B401" s="4" t="inlineStr">
        <is>
          <t>include_after_title_abstract_screen</t>
        </is>
      </c>
      <c r="C401" s="4" t="inlineStr">
        <is>
          <t>Incluir provisionalmente</t>
        </is>
      </c>
      <c r="D401" s="4" t="inlineStr">
        <is>
          <t>Provisional include</t>
        </is>
      </c>
      <c r="E401" s="4" t="inlineStr">
        <is>
          <t>Sí</t>
        </is>
      </c>
      <c r="F401" s="4" t="inlineStr">
        <is>
          <t>Title/abstract screening</t>
        </is>
      </c>
      <c r="G401" s="4" t="n"/>
      <c r="H401" s="4" t="n"/>
      <c r="I401" s="4" t="n"/>
      <c r="J401" s="4" t="inlineStr">
        <is>
          <t>Estudio primario o implementación/evaluación empírica de IA, aprendizaje automático o modelado computacional aplicado a ASD, riesgo, caracterización, apoyo o intervención.</t>
        </is>
      </c>
      <c r="K401" s="4" t="n"/>
      <c r="L401" s="4" t="n"/>
      <c r="M401" s="4" t="n">
        <v>2026</v>
      </c>
      <c r="N401" s="4" t="inlineStr">
        <is>
          <t>Mitochondrial Gene Signature Reveals Novel Diagnostic Biomarkers for Autism Spectrum Disorder</t>
        </is>
      </c>
      <c r="O401" s="4" t="inlineStr">
        <is>
          <t>Jieyu Wang and Zeyu Cheng and Mingyuan Liu and Yuting Zhang and Yi Jiang and Tianyu Liu and Junyu Ren and Lijie Wu and Mingyang Zou and Caihong Sun</t>
        </is>
      </c>
      <c r="P401" s="4" t="inlineStr">
        <is>
          <t>10.1007/s12035-026-05911-y</t>
        </is>
      </c>
      <c r="Q401" s="4" t="inlineStr">
        <is>
          <t>Molecular neurobiology</t>
        </is>
      </c>
      <c r="R401" s="4" t="inlineStr">
        <is>
          <t>article</t>
        </is>
      </c>
      <c r="S401" s="4" t="n"/>
      <c r="T401" s="4" t="inlineStr">
        <is>
          <t>https://doi.org/10.1007/s12035-026-05911-y</t>
        </is>
      </c>
      <c r="U401" s="4" t="n"/>
      <c r="V401" s="4" t="inlineStr">
        <is>
          <t>Autism Spectrum Disorder (ASD) pathogenesis remains unclear, with mitochondrial dysfunction implicated as a key contributor. Reliable mitochondrial-related diagnostic biomarkers are lacking, hindering early detection and mechanistic studies. This study integrated transcriptomic data from postmortem ASD cortical tissues (GSE28521 for training; GSE64018 for validation) with mitochondrial-related genes (MRGs) from MitoCarta3.0. Mitochondrial pathways were investigated using gene set enrichment analysis (GSEA). Candidate ASD-mitochondria (ASD-MIT) genes were identified by combining differential expression analysis, weighted gene co-expression network analysis (WGCNA), and MRGs. Machine learning algorithms (LASSO, Random Forest, and SVM-RFE) were applied to screen hub genes. Diagnostic performance was evaluated using a linear predictive model, an artificial neural network (ANN), and a nomogram. Single-sample GSEA (ssGSEA) was used to assess associations between hub genes and mitochondrial pathway activity. Biological validation included qPCR in BTBR mice and protein localization analysis using the Human Protein Atlas (HPA). GSEA revealed significant downregulation of mitochondrial pathways in ASD. 22 candidate ASD-MIT genes were identified, from which three hub genes-IDH3A, MRPL2, and CHCHD4-were consistently selected by all three machine learning models. The three-gene panel demonstrated strong diagnostic ability (AUC = 0.910), confirmed by the ANN model (AUC = 0.903). The nomogram achieved excellent predictive accuracy (C-index = 0.964). Importantly, ssGSEA analysis showed that these genes were strongly associated with mitochondrial pathway activity, particularly mitochondrial calcium ion transport. qPCR validated significant downregulation of Idh3a and Mrpl2 in BTBR mice, and HPA confirmed mitochondrial localization and brain expression. This study identifies a mitochondrial gene signature associated with ASD and highlights IDH3A, MRPL2, and CHCHD4 as promising diagnostic biomarkers. These findings advance understanding of mitochondrial dysfunction in ASD pathogenesis and further suggest that disruption of mitochondrial Ca2⁺-energy coupling may represent a key mechanistic feature of the disease.</t>
        </is>
      </c>
      <c r="W401" s="4" t="inlineStr">
        <is>
          <t>title_abstract_plus_targeted_primary_source_verification</t>
        </is>
      </c>
      <c r="X401" s="4" t="inlineStr">
        <is>
          <t>doi:10.1007/s12035-026-05911-y</t>
        </is>
      </c>
      <c r="Y401" s="4" t="n"/>
      <c r="Z401" s="4" t="n"/>
      <c r="AA401" s="4" t="n"/>
      <c r="AB401" s="40" t="n"/>
    </row>
    <row r="402" ht="409" customHeight="1">
      <c r="A402" s="4" t="n">
        <v>401</v>
      </c>
      <c r="B402" s="4" t="inlineStr">
        <is>
          <t>duplicate_within_export</t>
        </is>
      </c>
      <c r="C402" s="4" t="inlineStr">
        <is>
          <t>No agregar: duplicado interno</t>
        </is>
      </c>
      <c r="D402" s="4" t="inlineStr">
        <is>
          <t>Duplicate within update</t>
        </is>
      </c>
      <c r="E402" s="4" t="inlineStr">
        <is>
          <t>No</t>
        </is>
      </c>
      <c r="F402" s="4" t="inlineStr">
        <is>
          <t>Deduplication</t>
        </is>
      </c>
      <c r="G402" s="4" t="n"/>
      <c r="H402" s="4" t="n"/>
      <c r="I402" s="4" t="n"/>
      <c r="J402" s="4" t="inlineStr">
        <is>
          <t>Mismo DOI o título que otro registro anterior de esta exportación.</t>
        </is>
      </c>
      <c r="K402" s="4" t="n">
        <v>118</v>
      </c>
      <c r="L402" s="4" t="n"/>
      <c r="M402" s="4" t="n">
        <v>2025</v>
      </c>
      <c r="N402" s="4" t="inlineStr">
        <is>
          <t>Massively parallel characterization of non-coding de novo mutations in autism spectrum disorder</t>
        </is>
      </c>
      <c r="O402" s="4" t="inlineStr">
        <is>
          <t>Congcong Chen and Songwei Guo and Yanan Shi and Xinyu Gu and Ziye Xu and Yingjia Chen and Yayun Gu and Na Qin and Yue Jiang and Juncheng Dai and Yuanlin He and Xiao Han and Yan Liu and Zhibin Hu and Xiaoyan Ke and Cheng Wang</t>
        </is>
      </c>
      <c r="P402" s="4" t="inlineStr">
        <is>
          <t>10.1016/j.jgg.2025.07.008</t>
        </is>
      </c>
      <c r="Q402" s="4" t="inlineStr">
        <is>
          <t>Journal of Genetics and Genomics</t>
        </is>
      </c>
      <c r="R402" s="4" t="inlineStr">
        <is>
          <t>article</t>
        </is>
      </c>
      <c r="S402" s="4" t="inlineStr">
        <is>
          <t>Institute of Genetics and Developmental Biology</t>
        </is>
      </c>
      <c r="T402" s="4" t="inlineStr">
        <is>
          <t>https://doi.org/10.1016/j.jgg.2025.07.008</t>
        </is>
      </c>
      <c r="U402" s="4" t="n"/>
      <c r="V402" s="4" t="inlineStr">
        <is>
          <t>Autism spectrum disorder (ASD) is a neurodevelopmental disorder where de novo mutations play a significant role. Although coding mutations in ASD have been extensively characterized, the impact of non-coding de novo mutations (ncDNMs) remains less understood. Here, we integrate cortex cell-specific cis -regulatory element annotations, a deep learning-based variant prediction model, and massively parallel reporter assays to systematically evaluate the functional impact of 227,878 ncDNMs from Simons Simplex Collection (SSC) and Autism Speaks MSSNG resource (MSSNG) cohorts. Our analysis identifies 238 ncDNMs with confirmed functional regulatory effects, including 137 down-regulated regulatory mutations (DrMuts) and 101 up-regulated regulatory mutations (UrMuts). Subsequent association analyses reveal that only DrMuts regulating loss-of-function (LoF) intolerant genes rather than other ncDNMs are significantly associated with the risk of ASD (Odds ratio = 4.34; P = 0.001). A total of 42 potential ASD-risk DrMuts across 41 candidate ASD-susceptibility genes are identified, including 12 recognized and 29 unreported genes. Interestingly, these noncoding disruptive mutations tend to be observed in genes extremely intolerant to LoF mutations. Our study introduces an optimized approach for elucidating the functional roles of ncDNMs, thereby expanding the spectrum of pathogenic variants and deepening our understanding of the complex molecular mechanisms underlying ASD.</t>
        </is>
      </c>
      <c r="W402" s="4" t="inlineStr">
        <is>
          <t>title_abstract_plus_targeted_primary_source_verification</t>
        </is>
      </c>
      <c r="X402" s="4" t="inlineStr">
        <is>
          <t>doi:10.1016/j.jgg.2025.07.008</t>
        </is>
      </c>
      <c r="Y402" s="4" t="n"/>
      <c r="Z402" s="4" t="n"/>
      <c r="AA402" s="4" t="n"/>
      <c r="AB402" s="40" t="n"/>
    </row>
    <row r="403" ht="409" customHeight="1">
      <c r="A403" s="4" t="n">
        <v>402</v>
      </c>
      <c r="B403" s="4" t="inlineStr">
        <is>
          <t>exclude_no_qualifying_ai_application</t>
        </is>
      </c>
      <c r="C403" s="4" t="inlineStr">
        <is>
          <t>Excluir: sin aplicación de IA elegible</t>
        </is>
      </c>
      <c r="D403" s="4" t="inlineStr">
        <is>
          <t>Excluded</t>
        </is>
      </c>
      <c r="E403" s="4" t="inlineStr">
        <is>
          <t>No</t>
        </is>
      </c>
      <c r="F403" s="4" t="inlineStr">
        <is>
          <t>Title/abstract screening</t>
        </is>
      </c>
      <c r="G403" s="4" t="n"/>
      <c r="H403" s="4" t="n"/>
      <c r="I403" s="4" t="n"/>
      <c r="J403" s="4" t="inlineStr">
        <is>
          <t>El trabajo no implementa ni evalúa una técnica de IA/ML como componente sustantivo del estudio de ASD.</t>
        </is>
      </c>
      <c r="K403" s="4" t="n"/>
      <c r="L403" s="4" t="n"/>
      <c r="M403" s="4" t="n">
        <v>2026</v>
      </c>
      <c r="N403" s="4" t="inlineStr">
        <is>
          <t>Quantum-Enhanced Artificial Intelligence Framework for Early Diagnosis of Autism Spectrum Disorder</t>
        </is>
      </c>
      <c r="O403" s="4" t="inlineStr">
        <is>
          <t>R Pavithra and Sharmila Sankar</t>
        </is>
      </c>
      <c r="P403" s="4" t="inlineStr">
        <is>
          <t>10.1007/978-3-032-19690-3_50</t>
        </is>
      </c>
      <c r="Q403" s="4" t="inlineStr">
        <is>
          <t>Lecture Notes in Networks and Systems</t>
        </is>
      </c>
      <c r="R403" s="4" t="inlineStr">
        <is>
          <t>article</t>
        </is>
      </c>
      <c r="S403" s="4" t="inlineStr">
        <is>
          <t>Springer Science and Business Media Deutschland GmbH</t>
        </is>
      </c>
      <c r="T403" s="4" t="inlineStr">
        <is>
          <t>https://doi.org/10.1007/978-3-032-19690-3_50</t>
        </is>
      </c>
      <c r="U403" s="4" t="n"/>
      <c r="V403" s="4" t="inlineStr">
        <is>
          <t>Autism Spectrum Disorder is a neurodevelopmental disorder characterized by the persistence of deficits in communication, social interaction, and restricted and repetitive patterns of behavior, interests, or activities. Early and reliable identification—particularly before age three years—is of prime importance to enable timely interventions that can considerably enhance long-term outcomes. However, the traditional machine learning paradigm falls short while managing high-dimensionality, multi-modality, and the interpretation requirements of ASD datasets. In this paper, the authors propose a quantum–classical hybrid learning architecture for early diagnosis of ASD. This framework integrates VQCs and QNNs together with classical feature extractors, such as CNNs and ANNs, for the purposes of constructing stable multi-modal representations. Neuroimaging data (MRI/fMRI), genetic information, such as SNP/gene expression, and behavioral measures are combined into a common diagnostic workflow with quantum kernel-based classifiers at its heart. Early feature attention has been introduced to bring forth predictive biomarkers arising well before actual clinical diagnosis. The implementation and simulation of quantum parts will be performed using the PennyLane and Qiskit (IBMQ/Aer) environments. Performance will be benchmarked against the results from classical baselines, XGBoost, SVM, and CNN, by accuracy, precision, recall, F1-score, and ROC-AUC, while interpretability will be assessed by SHAP and QSHAP analyses. This work aims to emphasize the feasibility, interpretability, and diagnostic superiority of quantum-enhanced learning systems for ASD prediction and subsequently work toward developing scalable, explainable, and personalized clinical decision-support tools.</t>
        </is>
      </c>
      <c r="W403" s="4" t="inlineStr">
        <is>
          <t>title_abstract_plus_targeted_primary_source_verification</t>
        </is>
      </c>
      <c r="X403" s="4" t="inlineStr">
        <is>
          <t>doi:10.1007/978-3-032-19690-3_50</t>
        </is>
      </c>
      <c r="Y403" s="4" t="n"/>
      <c r="Z403" s="4" t="n"/>
      <c r="AA403" s="4" t="n"/>
      <c r="AB403" s="40" t="n"/>
    </row>
    <row r="404" ht="409" customHeight="1">
      <c r="A404" s="4" t="n">
        <v>403</v>
      </c>
      <c r="B404" s="4" t="inlineStr">
        <is>
          <t>duplicate_within_export</t>
        </is>
      </c>
      <c r="C404" s="4" t="inlineStr">
        <is>
          <t>No agregar: duplicado interno</t>
        </is>
      </c>
      <c r="D404" s="4" t="inlineStr">
        <is>
          <t>Duplicate within update</t>
        </is>
      </c>
      <c r="E404" s="4" t="inlineStr">
        <is>
          <t>No</t>
        </is>
      </c>
      <c r="F404" s="4" t="inlineStr">
        <is>
          <t>Deduplication</t>
        </is>
      </c>
      <c r="G404" s="4" t="n"/>
      <c r="H404" s="4" t="n"/>
      <c r="I404" s="4" t="n"/>
      <c r="J404" s="4" t="inlineStr">
        <is>
          <t>Mismo DOI o título que otro registro anterior de esta exportación.</t>
        </is>
      </c>
      <c r="K404" s="4" t="n">
        <v>321</v>
      </c>
      <c r="L404" s="4" t="n"/>
      <c r="M404" s="4" t="n">
        <v>2025</v>
      </c>
      <c r="N404" s="4" t="inlineStr">
        <is>
          <t>Bridging the gap: explainable ai for autism diagnosis and parental support with TabPFNMix and SHAP</t>
        </is>
      </c>
      <c r="O404" s="4" t="inlineStr">
        <is>
          <t>Shimei Jiang</t>
        </is>
      </c>
      <c r="P404" s="4" t="inlineStr">
        <is>
          <t>10.1038/S41598-025-24662-9</t>
        </is>
      </c>
      <c r="Q404" s="4" t="inlineStr">
        <is>
          <t>Scientific Reports</t>
        </is>
      </c>
      <c r="R404" s="4" t="inlineStr">
        <is>
          <t>article</t>
        </is>
      </c>
      <c r="S404" s="4" t="inlineStr">
        <is>
          <t>Nature Research</t>
        </is>
      </c>
      <c r="T404" s="4" t="inlineStr">
        <is>
          <t>https://doi.org/10.1038/S41598-025-24662-9</t>
        </is>
      </c>
      <c r="U404" s="4" t="n"/>
      <c r="V404" s="4" t="inlineStr">
        <is>
          <t>Autism Spectrum Disorder (ASD) is a complex neurodevelopmental condition that affects a growing number of individuals worldwide. Despite extensive research, the underlying causes of ASD remain largely unknown, with genetic predisposition, parental history, and environmental influences identified as potential risk factors. Diagnosing ASD remains challenging due to its highly variable presentation and overlap with other neurodevelopmental disorders. Early and accurate diagnosis is crucial for timely intervention, which can significantly improve developmental outcomes and parental support. This work presents a novel artificial intelligence (AI) and explainable AI (XAI)-based framework to enhance ASD diagnosis and provide interpretable insights for medical professionals and caregivers. The proposed framework leverages advanced classification models, specifically the TabPFNMix regressor, which is optimized for structured medical datasets. Unlike traditional machine learning methods, TabPFNMix demonstrates superior performance in capturing complex ASD-related patterns. To address the black-box nature of AI models, Shapley Additive Explanations (SHAP) is integrated to provide transparent and interpretable reasoning behind the model’s decisions, ensuring better understanding for clinicians and caregivers. Extensive experiments were conducted using a publicly available benchmark dataset, with performance evaluated through standard metrics such as accuracy, precision, recall, F1-score, and AUC-ROC. Comparative analysis with baseline models, including Random Forest, XGBoost, Support Vector Machine (SVM), and Deep Neural Networks (DNNs), demonstrates that TabPFNMix achieves the highest accuracy (91.5%), surpassing XGBoost (87.3%) by 4.2 percentage points. Additionally, it attains superior recall (92.7%), precision (90.2%), F1-score (91.4%), and AUC-ROC (94.3%), ensuring both high diagnostic accuracy and robustness in real-world ASD screening. An ablation study highlights the significance of feature selection and preprocessing, revealing that omitting key features or preprocessing steps (such as normalization and missing data imputation) significantly degrades performance. Furthermore, SHAP-based feature importance analysis identifies social responsiveness scores, repetitive behavior scales, and parental age at birth as the most influential factors in ASD diagnosis. These insights align with medical literature, reinforcing the reliability of the model’s predictions and its applicability in clinical settings.</t>
        </is>
      </c>
      <c r="W404" s="4" t="inlineStr">
        <is>
          <t>title_abstract_plus_targeted_primary_source_verification</t>
        </is>
      </c>
      <c r="X404" s="4" t="inlineStr">
        <is>
          <t>doi:10.1038/s41598-025-24662-9</t>
        </is>
      </c>
      <c r="Y404" s="4" t="n"/>
      <c r="Z404" s="4" t="n"/>
      <c r="AA404" s="4" t="n"/>
      <c r="AB404" s="40" t="n"/>
    </row>
    <row r="405" ht="409" customHeight="1">
      <c r="A405" s="4" t="n">
        <v>404</v>
      </c>
      <c r="B405" s="4" t="inlineStr">
        <is>
          <t>already_in_current_276</t>
        </is>
      </c>
      <c r="C405" s="4" t="inlineStr">
        <is>
          <t>No agregar: ya está en los 276</t>
        </is>
      </c>
      <c r="D405" s="4" t="inlineStr">
        <is>
          <t>Already in base 276</t>
        </is>
      </c>
      <c r="E405" s="4" t="inlineStr">
        <is>
          <t>No</t>
        </is>
      </c>
      <c r="F405" s="4" t="inlineStr">
        <is>
          <t>Deduplication against base corpus</t>
        </is>
      </c>
      <c r="G405" s="4" t="n"/>
      <c r="H405" s="4" t="n"/>
      <c r="I405" s="4" t="n"/>
      <c r="J405" s="4" t="inlineStr">
        <is>
          <t>Coincidencia por DOI o título normalizado con el corpus analítico vigente de 276 estudios.</t>
        </is>
      </c>
      <c r="K405" s="4" t="n"/>
      <c r="L405" s="4" t="n">
        <v>141</v>
      </c>
      <c r="M405" s="4" t="n">
        <v>2025</v>
      </c>
      <c r="N405" s="4" t="inlineStr">
        <is>
          <t>Automatic Cry Analysis: Deep Learning for Screening of Autism Spectrum Disorder in Early Childhood</t>
        </is>
      </c>
      <c r="O405" s="4" t="inlineStr">
        <is>
          <t>Ana Laguna and Sandra Pusil and Anna Lucia Paltrinieri and Silvia Orlandi</t>
        </is>
      </c>
      <c r="P405" s="4" t="inlineStr">
        <is>
          <t>10.1007/S10803-025-06811-1</t>
        </is>
      </c>
      <c r="Q405" s="4" t="inlineStr">
        <is>
          <t>Journal of Autism and Developmental Disorders</t>
        </is>
      </c>
      <c r="R405" s="4" t="inlineStr">
        <is>
          <t>article</t>
        </is>
      </c>
      <c r="S405" s="4" t="inlineStr">
        <is>
          <t>Springer</t>
        </is>
      </c>
      <c r="T405" s="4" t="inlineStr">
        <is>
          <t>https://doi.org/10.1007/S10803-025-06811-1</t>
        </is>
      </c>
      <c r="U405" s="4" t="n"/>
      <c r="V405" s="4" t="inlineStr">
        <is>
          <t>Purpose: The objective of this study is to identify the acoustic characteristics of cries of Typically Developing (TD) and Autism Spectrum Disorder (ASD) children via Deep Learning (DL) techniques to support clinicians in the early detection of ASD.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 Results: We found a statistical significant increase in jitter and shimmer for ASD cries compared to TD, as well as a decrease in HNR for ASD cries. Additionally, the DL algorithm achieved an accuracy of 90.28% in differentiating ASD cries from TD.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is>
      </c>
      <c r="W405" s="4" t="inlineStr">
        <is>
          <t>title_abstract_plus_targeted_primary_source_verification</t>
        </is>
      </c>
      <c r="X405" s="4" t="inlineStr">
        <is>
          <t>doi:10.1007/s10803-025-06811-1</t>
        </is>
      </c>
      <c r="Y405" s="4" t="n"/>
      <c r="Z405" s="4" t="n"/>
      <c r="AA405" s="4" t="n"/>
      <c r="AB405" s="40" t="n"/>
    </row>
    <row r="406" ht="409" customHeight="1">
      <c r="A406" s="4" t="n">
        <v>405</v>
      </c>
      <c r="B406" s="4" t="inlineStr">
        <is>
          <t>already_in_current_276</t>
        </is>
      </c>
      <c r="C406" s="4" t="inlineStr">
        <is>
          <t>No agregar: ya está en los 276</t>
        </is>
      </c>
      <c r="D406" s="4" t="inlineStr">
        <is>
          <t>Already in base 276</t>
        </is>
      </c>
      <c r="E406" s="4" t="inlineStr">
        <is>
          <t>No</t>
        </is>
      </c>
      <c r="F406" s="4" t="inlineStr">
        <is>
          <t>Deduplication against base corpus</t>
        </is>
      </c>
      <c r="G406" s="4" t="n"/>
      <c r="H406" s="4" t="n"/>
      <c r="I406" s="4" t="n"/>
      <c r="J406" s="4" t="inlineStr">
        <is>
          <t>Coincidencia por DOI o título normalizado con el corpus analítico vigente de 276 estudios.</t>
        </is>
      </c>
      <c r="K406" s="4" t="n"/>
      <c r="L406" s="4" t="n">
        <v>86</v>
      </c>
      <c r="M406" s="4" t="n">
        <v>2025</v>
      </c>
      <c r="N406" s="4" t="inlineStr">
        <is>
          <t>Dissecting the heterogeneity of autism spectrum disorder with sensory behavior, brain, and epigenetic factors</t>
        </is>
      </c>
      <c r="O406" s="4" t="inlineStr">
        <is>
          <t>Yongjeon Cheong and Jihyun Bae and Seonkyoung Lee and Jihyeong Ro and Hidehiko Okazawa and Hirotaka Kosaka and Minyoung Jung</t>
        </is>
      </c>
      <c r="P406" s="4" t="inlineStr">
        <is>
          <t>10.1038/s41398-025-03566-2</t>
        </is>
      </c>
      <c r="Q406" s="4" t="inlineStr">
        <is>
          <t>Translational Psychiatry</t>
        </is>
      </c>
      <c r="R406" s="4" t="inlineStr">
        <is>
          <t>article</t>
        </is>
      </c>
      <c r="S406" s="4" t="inlineStr">
        <is>
          <t>Springer Nature</t>
        </is>
      </c>
      <c r="T406" s="4" t="inlineStr">
        <is>
          <t>https://doi.org/10.1038/s41398-025-03566-2</t>
        </is>
      </c>
      <c r="U406" s="4" t="n"/>
      <c r="V406" s="4" t="inlineStr">
        <is>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is>
      </c>
      <c r="W406" s="4" t="inlineStr">
        <is>
          <t>title_abstract_plus_targeted_primary_source_verification</t>
        </is>
      </c>
      <c r="X406" s="4" t="inlineStr">
        <is>
          <t>doi:10.1038/s41398-025-03566-2</t>
        </is>
      </c>
      <c r="Y406" s="4" t="n"/>
      <c r="Z406" s="4" t="n"/>
      <c r="AA406" s="4" t="n"/>
      <c r="AB406" s="40" t="n"/>
    </row>
    <row r="407" ht="409" customHeight="1">
      <c r="A407" s="4" t="n">
        <v>406</v>
      </c>
      <c r="B407" s="4" t="inlineStr">
        <is>
          <t>include_after_full_text_open_access</t>
        </is>
      </c>
      <c r="C407" s="4" t="inlineStr">
        <is>
          <t>Incluir tras revisión de texto completo abierto</t>
        </is>
      </c>
      <c r="D407" s="4" t="inlineStr">
        <is>
          <t>Provisional include</t>
        </is>
      </c>
      <c r="E407" s="4" t="inlineStr">
        <is>
          <t>Sí</t>
        </is>
      </c>
      <c r="F407" s="4" t="inlineStr">
        <is>
          <t>Full-text review</t>
        </is>
      </c>
      <c r="G407" s="4" t="n"/>
      <c r="H407" s="4" t="n"/>
      <c r="I407" s="4" t="n"/>
      <c r="J407" s="4" t="inlineStr">
        <is>
          <t>Texto completo confirma estudio primario con Hybrid aplicado a ASD (Screening and case exploration).</t>
        </is>
      </c>
      <c r="K407" s="4" t="n"/>
      <c r="L407" s="4" t="n"/>
      <c r="M407" s="4" t="n">
        <v>2026</v>
      </c>
      <c r="N407" s="4" t="inlineStr">
        <is>
          <t>NeuroCypher ASD: Machine Learning with Knowledge Graph-Based Representation for ASD Screening in Toddlers</t>
        </is>
      </c>
      <c r="O407" s="4" t="inlineStr">
        <is>
          <t>Georgios Bouchouras and Dimitrios Doumanas and Konstantinos Kotis</t>
        </is>
      </c>
      <c r="P407" s="4" t="inlineStr">
        <is>
          <t>10.1007/S41666-026-00243-X</t>
        </is>
      </c>
      <c r="Q407" s="4" t="inlineStr">
        <is>
          <t>Journal of Healthcare Informatics Research</t>
        </is>
      </c>
      <c r="R407" s="4" t="inlineStr">
        <is>
          <t>article</t>
        </is>
      </c>
      <c r="S407" s="4" t="inlineStr">
        <is>
          <t>Springer Science and Business Media Deutschland GmbH</t>
        </is>
      </c>
      <c r="T407" s="4" t="inlineStr">
        <is>
          <t>https://link.springer.com/content/pdf/10.1007/s41666-026-00243-x.pdf</t>
        </is>
      </c>
      <c r="U407" s="4" t="inlineStr">
        <is>
          <t>Texto completo abierto revisado; evidencia y codificación en Extraccion_RQ_nuevos.</t>
        </is>
      </c>
      <c r="V407" s="4" t="inlineStr">
        <is>
          <t>Autism Spectrum Disorder (ASD) screening often relies on structured questionnaires. Yet these data are not always easy to interpret or use in practice. There is a need for screening frameworks that support risk estimation, case comparison, and pattern exploration in a clear and accessible way. In this work, we present NeuroCypher ASD, a framework that combines tabular machine learning with a knowledge graph for ASD screening, interpretation, and data exploration. The tabular model uses questionnaire responses and demographic features to estimate ASD risk. The knowledge graph organizes the data and supports case comparison, pattern exploration, and natural language querying. The system is evaluated under a leakage-aware protocol using tabular, graph-based, and hybrid models. The results show strong performance for the tabular model and clarify the role of graph-based representations within the overall workflow. In this setting, the knowledge graph supports structured analysis of screening data by helping users examine relationships between cases, inspect shared features, and interpret predictions in context. To strengthen interpretability, the framework includes SHAP-based analysis and approximate mappings between embedding dimensions and original questionnaire features. It also includes an anomaly detection module that highlights atypical cases for closer review. Overall, NeuroCypher ASD provides a practical framework for combining prediction, interpretation, and data exploration in ASD screening. The results show the value of integrating machine learning, graph-based context, and natural language interaction in more transparent and accessible screening workflows, particularly in school-based environments.</t>
        </is>
      </c>
      <c r="W407" s="4" t="inlineStr">
        <is>
          <t>open_full_text_review_2026_09_04</t>
        </is>
      </c>
      <c r="X407" s="4" t="inlineStr">
        <is>
          <t>doi:10.1007/s41666-026-00243-x</t>
        </is>
      </c>
      <c r="Y407" s="4" t="n"/>
      <c r="Z407" s="4" t="n"/>
      <c r="AA407" s="4" t="n"/>
      <c r="AB407" s="40" t="n"/>
    </row>
    <row r="408" ht="409" customHeight="1">
      <c r="A408" s="4" t="n">
        <v>407</v>
      </c>
      <c r="B408" s="4" t="inlineStr">
        <is>
          <t>exclude_no_qualifying_ai_application</t>
        </is>
      </c>
      <c r="C408" s="4" t="inlineStr">
        <is>
          <t>Excluir: sin aplicación de IA elegible</t>
        </is>
      </c>
      <c r="D408" s="4" t="inlineStr">
        <is>
          <t>Excluded</t>
        </is>
      </c>
      <c r="E408" s="4" t="inlineStr">
        <is>
          <t>No</t>
        </is>
      </c>
      <c r="F408" s="4" t="inlineStr">
        <is>
          <t>Title/abstract screening</t>
        </is>
      </c>
      <c r="G408" s="4" t="n"/>
      <c r="H408" s="4" t="n"/>
      <c r="I408" s="4" t="n"/>
      <c r="J408" s="4" t="inlineStr">
        <is>
          <t>El trabajo no implementa ni evalúa una técnica de IA/ML como componente sustantivo del estudio de ASD.</t>
        </is>
      </c>
      <c r="K408" s="4" t="n"/>
      <c r="L408" s="4" t="n"/>
      <c r="M408" s="4" t="n">
        <v>2025</v>
      </c>
      <c r="N408" s="4" t="inlineStr">
        <is>
          <t>Perceptions of Special Education Professionals in the Kingdom of Saudi Arabia Regarding the Integration of Artificial Intelligence in Diagnosing Autism Spectrum Disorder</t>
        </is>
      </c>
      <c r="O408" s="4" t="inlineStr">
        <is>
          <t>Reda Ebrahim Mohamed El-Ashram and Ohud Abdulrahman Aldaghmi and Sanaa Mostafa Mohammed</t>
        </is>
      </c>
      <c r="P408" s="4" t="inlineStr">
        <is>
          <t>10.1007/S10803-025-06947-0</t>
        </is>
      </c>
      <c r="Q408" s="4" t="inlineStr">
        <is>
          <t>Journal of Autism and Developmental Disorders</t>
        </is>
      </c>
      <c r="R408" s="4" t="inlineStr">
        <is>
          <t>article</t>
        </is>
      </c>
      <c r="S408" s="4" t="inlineStr">
        <is>
          <t>Springer</t>
        </is>
      </c>
      <c r="T408" s="4" t="inlineStr">
        <is>
          <t>https://doi.org/10.1007/S10803-025-06947-0</t>
        </is>
      </c>
      <c r="U408" s="4" t="n"/>
      <c r="V408" s="4" t="inlineStr">
        <is>
          <t>Autism spectrum disorder (ASD) diagnosis often presents challenges due to its complexity and reliance on subjective clinical assessments, potentially leading to delays in identification and intervention. Artificial intelligence (AI) holds significant promise for transforming healthcare, including the potential to improve the accuracy, efficiency, and timeliness of ASD diagnosis. This study investigated the perspectives of 423 specialists in special education across the Kingdom of Saudi Arabia (KSA) on the requirements and challenges associated with integrating AI technologies into the ASD diagnostic process. Utilizing a descriptive survey methodology and a authors-developed questionnaire, we explored specialists’ perceptions of AI implementation’s financial, human, and regulatory aspects. According to our research, financial, human, and regulatory resources are seen to be crucial for a successful AI integration. However, a major barrier identified was the lack of awareness among specialists regarding the potential benefits and applications of AI in ASD diagnosis. These findings underscore the need for targeted interventions, including strategic investment in training programs, infrastructure development, and awareness campaigns, to facilitate the seamless integration of AI into the ASD diagnostic landscape in KSA. By addressing these requirements and challenges, we can pave the way for more accurate, efficient, and timely ASD diagnosis, ultimately resulting in better results for families and people with ASD.</t>
        </is>
      </c>
      <c r="W408" s="4" t="inlineStr">
        <is>
          <t>title_abstract_plus_targeted_primary_source_verification</t>
        </is>
      </c>
      <c r="X408" s="4" t="inlineStr">
        <is>
          <t>doi:10.1007/s10803-025-06947-0</t>
        </is>
      </c>
      <c r="Y408" s="4" t="n"/>
      <c r="Z408" s="4" t="n"/>
      <c r="AA408" s="4" t="n"/>
      <c r="AB408" s="40" t="n"/>
    </row>
    <row r="409" ht="112" customHeight="1">
      <c r="A409" s="4" t="n">
        <v>408</v>
      </c>
      <c r="B409" s="4" t="inlineStr">
        <is>
          <t>exclude_secondary_or_nonempirical_publication</t>
        </is>
      </c>
      <c r="C409" s="4" t="inlineStr">
        <is>
          <t>Excluir: publicación secundaria/no empírica</t>
        </is>
      </c>
      <c r="D409" s="4" t="inlineStr">
        <is>
          <t>Excluded</t>
        </is>
      </c>
      <c r="E409" s="4" t="inlineStr">
        <is>
          <t>No</t>
        </is>
      </c>
      <c r="F409" s="4" t="inlineStr">
        <is>
          <t>Title/abstract screening</t>
        </is>
      </c>
      <c r="G409" s="4" t="n"/>
      <c r="H409" s="4" t="n"/>
      <c r="I409" s="4" t="n"/>
      <c r="J409" s="4" t="inlineStr">
        <is>
          <t>Revisión, metaanálisis, encuesta de literatura, protocolo, perspectiva, carta, editorial o capítulo de síntesis sin estudio primario elegible.</t>
        </is>
      </c>
      <c r="K409" s="4" t="n"/>
      <c r="L409" s="4" t="n"/>
      <c r="M409" s="4" t="n">
        <v>2026</v>
      </c>
      <c r="N409" s="4" t="inlineStr">
        <is>
          <t>A Comprehensive Survey of Traditional, Machine Learning, Deep Learning, and Federated Learning Methods for Multimodal Autism Spectrum Disorder Diagnosis</t>
        </is>
      </c>
      <c r="O409" s="4" t="inlineStr">
        <is>
          <t>A Sathish Kumar and Malmathanraj Ramnathan and Avik Hati and P Palanisamy</t>
        </is>
      </c>
      <c r="P409" s="4" t="inlineStr">
        <is>
          <t>10.1007/978-3-032-26269-1_13</t>
        </is>
      </c>
      <c r="Q409" s="4" t="n"/>
      <c r="R409" s="4" t="inlineStr">
        <is>
          <t>article</t>
        </is>
      </c>
      <c r="S409" s="4" t="n"/>
      <c r="T409" s="4" t="inlineStr">
        <is>
          <t>https://link.springer.com/10.1007/978-3-032-26269-1_13</t>
        </is>
      </c>
      <c r="U409" s="4" t="n"/>
      <c r="V409" s="4" t="n"/>
      <c r="W409" s="4" t="inlineStr">
        <is>
          <t>title_abstract_plus_targeted_primary_source_verification</t>
        </is>
      </c>
      <c r="X409" s="4" t="inlineStr">
        <is>
          <t>doi:10.1007/978-3-032-26269-1_13</t>
        </is>
      </c>
      <c r="Y409" s="4" t="n"/>
      <c r="Z409" s="4" t="n"/>
      <c r="AA409" s="4" t="n"/>
      <c r="AB409" s="40" t="n"/>
    </row>
    <row r="410" ht="409" customHeight="1">
      <c r="A410" s="4" t="n">
        <v>409</v>
      </c>
      <c r="B410" s="4" t="inlineStr">
        <is>
          <t>include_after_title_abstract_screen</t>
        </is>
      </c>
      <c r="C410" s="4" t="inlineStr">
        <is>
          <t>Incluir provisionalmente</t>
        </is>
      </c>
      <c r="D410" s="4" t="inlineStr">
        <is>
          <t>Provisional include</t>
        </is>
      </c>
      <c r="E410" s="4" t="inlineStr">
        <is>
          <t>Sí</t>
        </is>
      </c>
      <c r="F410" s="4" t="inlineStr">
        <is>
          <t>Title/abstract screening</t>
        </is>
      </c>
      <c r="G410" s="4" t="n"/>
      <c r="H410" s="4" t="n"/>
      <c r="I410" s="4" t="n"/>
      <c r="J410" s="4" t="inlineStr">
        <is>
          <t>Estudio primario o implementación/evaluación empírica de IA, aprendizaje automático o modelado computacional aplicado a ASD, riesgo, caracterización, apoyo o intervención.</t>
        </is>
      </c>
      <c r="K410" s="4" t="n"/>
      <c r="L410" s="4" t="n"/>
      <c r="M410" s="4" t="n">
        <v>2025</v>
      </c>
      <c r="N410" s="4" t="inlineStr">
        <is>
          <t>Assessing the Efficacy of Deep Learning Algorithms for Behavioral and Neurological Markers in Autism Diagnosis in Children</t>
        </is>
      </c>
      <c r="O410" s="4" t="inlineStr">
        <is>
          <t>Neetigya Maurya and Namrata Nagpal and Gauri Gupta and Meenakshi Srivastava</t>
        </is>
      </c>
      <c r="P410" s="4" t="inlineStr">
        <is>
          <t>10.1007/978-981-96-6297-5_20</t>
        </is>
      </c>
      <c r="Q410" s="4" t="inlineStr">
        <is>
          <t>Lecture Notes in Networks and Systems</t>
        </is>
      </c>
      <c r="R410" s="4" t="inlineStr">
        <is>
          <t>article</t>
        </is>
      </c>
      <c r="S410" s="4" t="inlineStr">
        <is>
          <t>Springer Science and Business Media Deutschland GmbH</t>
        </is>
      </c>
      <c r="T410" s="4" t="inlineStr">
        <is>
          <t>https://doi.org/10.1007/978-981-96-6297-5_20</t>
        </is>
      </c>
      <c r="U410" s="4" t="n"/>
      <c r="V410" s="4" t="inlineStr">
        <is>
          <t>In the modern world, the prevalence of Autism Spectrum Disorder (ASD) is increasing, affecting approximately 1 in 54 children—a challenging neurodevelopmental condition. The early and precise identification of ASD is crucial for timely interventions and support for individuals and their families. This research paper delves into the domain of machine learning, aiming to harness its potential in enhancing ASD detection. To achieve this, a comprehensive dataset encompassing clinical, behavioral, and genetic information from both ASD and non-ASD individuals is leveraged. Various machine learning algorithms, including Decision Trees, Support Vector Machines, and Deep Neural Networks, are applied. Additionally, techniques like feature selection and engineering is integrated to enhance model performance and interpretability. The study yields promising results, demonstrating the effectiveness of machine learning in distinguishing between ASD and non-ASD cases. The research emphasizes the importance of model interpretability, providing insights into the key features influencing ASD classification. This data-driven approach empowers clinicians to make well-informed decisions, enabling early diagnosis and intervention for individuals with ASD, ultimately contributing to improved outcomes and quality of life. The newly devised Hybrid CNN model which is a combination of CNN with SVM outperformed all other basic models and gave 96.8% precision and 93.01% accuracy in determining autism disorder in children.</t>
        </is>
      </c>
      <c r="W410" s="4" t="inlineStr">
        <is>
          <t>title_abstract_plus_targeted_primary_source_verification</t>
        </is>
      </c>
      <c r="X410" s="4" t="inlineStr">
        <is>
          <t>doi:10.1007/978-981-96-6297-5_20</t>
        </is>
      </c>
      <c r="Y410" s="4" t="n"/>
      <c r="Z410" s="4" t="n"/>
      <c r="AA410" s="4" t="n"/>
      <c r="AB410" s="40" t="n"/>
    </row>
    <row r="411" ht="409" customHeight="1">
      <c r="A411" s="4" t="n">
        <v>410</v>
      </c>
      <c r="B411" s="4" t="inlineStr">
        <is>
          <t>include_after_full_text_open_access</t>
        </is>
      </c>
      <c r="C411" s="4" t="inlineStr">
        <is>
          <t>Incluir tras revisión de texto completo abierto</t>
        </is>
      </c>
      <c r="D411" s="4" t="inlineStr">
        <is>
          <t>Provisional include</t>
        </is>
      </c>
      <c r="E411" s="4" t="inlineStr">
        <is>
          <t>Sí</t>
        </is>
      </c>
      <c r="F411" s="4" t="inlineStr">
        <is>
          <t>Full-text review</t>
        </is>
      </c>
      <c r="G411" s="4" t="n"/>
      <c r="H411" s="4" t="n"/>
      <c r="I411" s="4" t="n"/>
      <c r="J411" s="4" t="inlineStr">
        <is>
          <t>Texto completo confirma estudio primario con Hybrid aplicado a ASD (Triage / diagnostic prediction).</t>
        </is>
      </c>
      <c r="K411" s="4" t="n"/>
      <c r="L411" s="4" t="n"/>
      <c r="M411" s="4" t="n">
        <v>2026</v>
      </c>
      <c r="N411" s="4" t="inlineStr">
        <is>
          <t>Robust deep learning pipeline to improve access to autism triage and diagnosis</t>
        </is>
      </c>
      <c r="O411" s="4" t="inlineStr">
        <is>
          <t>Edgar A Wakelin</t>
        </is>
      </c>
      <c r="P411" s="4" t="inlineStr">
        <is>
          <t>10.1007/S44163-026-01299-9</t>
        </is>
      </c>
      <c r="Q411" s="4" t="inlineStr">
        <is>
          <t>Discover Artificial Intelligence</t>
        </is>
      </c>
      <c r="R411" s="4" t="inlineStr">
        <is>
          <t>article</t>
        </is>
      </c>
      <c r="S411" s="4" t="inlineStr">
        <is>
          <t>Springer Nature</t>
        </is>
      </c>
      <c r="T411" s="4" t="inlineStr">
        <is>
          <t>https://doi.org/10.1007/s44163-026-01299-9</t>
        </is>
      </c>
      <c r="U411" s="4" t="inlineStr">
        <is>
          <t>Texto completo abierto revisado; evidencia y codificación en Extraccion_RQ_nuevos.</t>
        </is>
      </c>
      <c r="V411" s="4" t="inlineStr">
        <is>
          <t>Purpose: Timely access to autism spectrum disorder (ASD) diagnosis represents a major clinical burden, especially in children. Robust and quantitative triage tools to refer children at high risk of ASD for rapid evaluation are not available. We investigate a robust artificial intelligence pipeline combining anatomic and resting state MRI scans with demographics to triage children into high and low risk of an ASD diagnosis. Methods: The ABIDE I and II datasets were used to train deep learning (DL) models on both the anatomic and resting state MRI scans, which were then combined with demographics to render a prediction for an ASD diagnosis. The pipeline was formally tested using a train (70%, n = 1555), validation (20%, n = 439) and test (10%, n = 222) data split ensuring robust testing and assessment of generalizability. DL model outputs were combined with demographics in a generalized linear model with Lasso regularization, and was then optimized using area-under-the-curve (AUC) analysis. Results: The test, validation and train groups had similar demographics in which 46–52% of the population had an ASD diagnosis, 80–83% were male, with a median age of 13–14 and 71–75% reported eyes open during the resting state MRI. The AI pipeline successfully distinguished between ASD and non-ASD with suspicion scores of 0.803 [0.461–0.964] compared to 0.377 [0.044–0.873], p &lt; 0.0001 and an AUC of 71.1%. Under AUC optimization, an accuracy of 62.6% with a sensitivity of 58.9% and specificity of 66.1% was achieved. Conclusion: The artificial intelligence pipeline described here is a promising method for accurately distinguishing between ASD and non-ASD participants.</t>
        </is>
      </c>
      <c r="W411" s="4" t="inlineStr">
        <is>
          <t>open_full_text_review_2026_09_04</t>
        </is>
      </c>
      <c r="X411" s="4" t="inlineStr">
        <is>
          <t>doi:10.1007/s44163-026-01299-9</t>
        </is>
      </c>
      <c r="Y411" s="4" t="n"/>
      <c r="Z411" s="4" t="n"/>
      <c r="AA411" s="4" t="n"/>
      <c r="AB411" s="40" t="n"/>
    </row>
    <row r="412" ht="409" customHeight="1">
      <c r="A412" s="4" t="n">
        <v>411</v>
      </c>
      <c r="B412" s="4" t="inlineStr">
        <is>
          <t>include_after_title_abstract_screen</t>
        </is>
      </c>
      <c r="C412" s="4" t="inlineStr">
        <is>
          <t>Incluir provisionalmente</t>
        </is>
      </c>
      <c r="D412" s="4" t="inlineStr">
        <is>
          <t>Provisional include</t>
        </is>
      </c>
      <c r="E412" s="4" t="inlineStr">
        <is>
          <t>Sí</t>
        </is>
      </c>
      <c r="F412" s="4" t="inlineStr">
        <is>
          <t>Title/abstract screening</t>
        </is>
      </c>
      <c r="G412" s="4" t="n"/>
      <c r="H412" s="4" t="n"/>
      <c r="I412" s="4" t="n"/>
      <c r="J412" s="4" t="inlineStr">
        <is>
          <t>Estudio primario o implementación/evaluación empírica de IA, aprendizaje automático o modelado computacional aplicado a ASD, riesgo, caracterización, apoyo o intervención.</t>
        </is>
      </c>
      <c r="K412" s="4" t="n"/>
      <c r="L412" s="4" t="n"/>
      <c r="M412" s="4" t="n">
        <v>2025</v>
      </c>
      <c r="N412" s="4" t="inlineStr">
        <is>
          <t>Blood-based DNA methylation markers for autism spectrum disorder identification using machine learning</t>
        </is>
      </c>
      <c r="O412" s="4" t="inlineStr">
        <is>
          <t>Yahui Yang and Zhiyuan Sun and Fengshu Zhu and Aiguo Chen</t>
        </is>
      </c>
      <c r="P412" s="4" t="inlineStr">
        <is>
          <t>10.1080/17501911.2025.2557186</t>
        </is>
      </c>
      <c r="Q412" s="4" t="inlineStr">
        <is>
          <t>Epigenomics</t>
        </is>
      </c>
      <c r="R412" s="4" t="inlineStr">
        <is>
          <t>article</t>
        </is>
      </c>
      <c r="S412" s="4" t="inlineStr">
        <is>
          <t>Taylor and Francis Ltd.</t>
        </is>
      </c>
      <c r="T412" s="4" t="inlineStr">
        <is>
          <t>https://doi.org/10.1080/17501911.2025.2557186</t>
        </is>
      </c>
      <c r="U412" s="4" t="n"/>
      <c r="V412" s="4" t="inlineStr">
        <is>
          <t>Background: Autism spectrum disorder (ASD) is a complex neurodevelopmental disorder lacking objective biomarkers for early diagnosis. DNA methylation is a promising epigenetic marker, and machine learning offers a data-driven classification approach. However, few studies have examined whole-blood, genome-wide DNA methylation profiles for ASD diagnosis in school-aged children. Methods: We analyzed genome-wide DNA methylation data from GEO dataset GSE113967, including 52 children with ASD and 48 typically developing (TD) controls. Differentially methylated positions (DMPs) were identified, and feature selection was performed using support vector machine-recursive feature elimination with cross-validation (SVM-RFECV). Classification models were developed using random forest (RF), extreme gradient boosting (XGBoost), and decision tree (DT) classifiers. A nomogram visualized feature contributions. Results: A total of 138 DMPs differentiated ASD from TD children. Eleven CpG sites selected by SVM-RFECV formed the basis for model construction. RF and XGBoost achieved the highest accuracy (75%), with DT reaching 70%. Functional annotation indicated enrichment in cell adhesion and immune-related pathways. Conclusions: This exploratory study demonstrates the feasibility of integrating peripheral blood DNA methylation data with machine learning to distinguish children with ASD. While limited by sample size and moderate accuracy, this study provides methodological insights into the feasibility of integrating epigenetic and computational approaches for ASD-related biomarker exploration.</t>
        </is>
      </c>
      <c r="W412" s="4" t="inlineStr">
        <is>
          <t>title_abstract_plus_targeted_primary_source_verification</t>
        </is>
      </c>
      <c r="X412" s="4" t="inlineStr">
        <is>
          <t>doi:10.1080/17501911.2025.2557186</t>
        </is>
      </c>
      <c r="Y412" s="4" t="n"/>
      <c r="Z412" s="4" t="n"/>
      <c r="AA412" s="4" t="n"/>
      <c r="AB412" s="40" t="n"/>
    </row>
    <row r="413" ht="409" customHeight="1">
      <c r="A413" s="4" t="n">
        <v>412</v>
      </c>
      <c r="B413" s="4" t="inlineStr">
        <is>
          <t>include_after_title_abstract_screen</t>
        </is>
      </c>
      <c r="C413" s="4" t="inlineStr">
        <is>
          <t>Incluir provisionalmente</t>
        </is>
      </c>
      <c r="D413" s="4" t="inlineStr">
        <is>
          <t>Provisional include</t>
        </is>
      </c>
      <c r="E413" s="4" t="inlineStr">
        <is>
          <t>Sí</t>
        </is>
      </c>
      <c r="F413" s="4" t="inlineStr">
        <is>
          <t>Title/abstract screening</t>
        </is>
      </c>
      <c r="G413" s="4" t="n"/>
      <c r="H413" s="4" t="n"/>
      <c r="I413" s="4" t="n"/>
      <c r="J413" s="4" t="inlineStr">
        <is>
          <t>Estudio primario o implementación/evaluación empírica de IA, aprendizaje automático o modelado computacional aplicado a ASD, riesgo, caracterización, apoyo o intervención.</t>
        </is>
      </c>
      <c r="K413" s="4" t="n"/>
      <c r="L413" s="4" t="n"/>
      <c r="M413" s="4" t="n">
        <v>2026</v>
      </c>
      <c r="N413" s="4" t="inlineStr">
        <is>
          <t>Federated Transformer-Based Deep Learning Framework for Secure and Early Autism Diagnosis</t>
        </is>
      </c>
      <c r="O413" s="4" t="inlineStr">
        <is>
          <t>R Maddala Kranthi and R Venkatesan and C Amuthadevi and C Priyadharsini</t>
        </is>
      </c>
      <c r="P413" s="4" t="inlineStr">
        <is>
          <t>10.1007/S42979-026-04806-Y</t>
        </is>
      </c>
      <c r="Q413" s="4" t="inlineStr">
        <is>
          <t>SN Computer Science</t>
        </is>
      </c>
      <c r="R413" s="4" t="inlineStr">
        <is>
          <t>article</t>
        </is>
      </c>
      <c r="S413" s="4" t="inlineStr">
        <is>
          <t>Springer</t>
        </is>
      </c>
      <c r="T413" s="4" t="inlineStr">
        <is>
          <t>https://doi.org/10.1007/S42979-026-04806-Y</t>
        </is>
      </c>
      <c r="U413" s="4" t="n"/>
      <c r="V413" s="4" t="inlineStr">
        <is>
          <t>Autism Spectrum Disorder (ASD) diagnosis traditionally relies on centralized data aggregation of sensitive behavioural and physiological information, raising significant privacy and compliance challenges. To address these concerns, a novel Federated Transformer-Based Deep Learning Framework is designed for secure, decentralized, and early autism diagnosis using multimodal behavioural datasets. The system models intricate spatiotemporal connections in behavioural sequences collected from several clinical locations by using the self-attention mechanism of Transformer topologies, all without necessitating the exchange of raw data. Federated Learning (FL) and Transformer encoders are used in the proposed approach to jointly train a global model while protecting edge data privacy. The Autism Brain Imaging Data Exchange (ABIDE) dataset for neuroimaging-derived behavioural characteristics and the SPARK behavioural assessment dataset are two publicly accessible benchmark datasets used to examine this approach. Focused loss functions and federated weighted averaging were used to address the issues of class imbalance and data heterogeneity. The proposed federated Transformer model shows better diagnostic performance compared to baseline CNN models and RNN models in the federated settings, which is supported by experimental results. Evaluation on the ABIDE dataset showed that the model achieved an average accuracy of 99.4%, precision of 99.1%, recall of 98.6%, and an F1-score of 98.3%. Performance on the SPARK dataset resulted in an accuracy of 99.7%, precision of 98.8%, recall of 98.5% and an F1 - score of 98.6%. These results indicate strong generalization and efficient learning of long-range temporal dependencies that occur in behavioural data. In addition, communication efficiency was improved using model compression techniques, which led to a 40% reduction in bandwidth usage without significant reduction in performance. Privacy guarantees were enhanced by adding secure aggregation protocols in the federated training loop. This work is the first to apply Transformer architectures to federated autism diagnosis, and introduces a scalable, privacy-preserving solution for the early and accurate detection of ASD in compliance with data protection regulations.</t>
        </is>
      </c>
      <c r="W413" s="4" t="inlineStr">
        <is>
          <t>title_abstract_plus_targeted_primary_source_verification</t>
        </is>
      </c>
      <c r="X413" s="4" t="inlineStr">
        <is>
          <t>doi:10.1007/s42979-026-04806-y</t>
        </is>
      </c>
      <c r="Y413" s="4" t="n"/>
      <c r="Z413" s="4" t="n"/>
      <c r="AA413" s="4" t="n"/>
      <c r="AB413" s="40" t="n"/>
    </row>
    <row r="414" ht="409" customHeight="1">
      <c r="A414" s="4" t="n">
        <v>413</v>
      </c>
      <c r="B414" s="4" t="inlineStr">
        <is>
          <t>exclude_secondary_or_nonempirical_publication</t>
        </is>
      </c>
      <c r="C414" s="4" t="inlineStr">
        <is>
          <t>Excluir: publicación secundaria/no empírica</t>
        </is>
      </c>
      <c r="D414" s="4" t="inlineStr">
        <is>
          <t>Excluded</t>
        </is>
      </c>
      <c r="E414" s="4" t="inlineStr">
        <is>
          <t>No</t>
        </is>
      </c>
      <c r="F414" s="4" t="inlineStr">
        <is>
          <t>Title/abstract screening</t>
        </is>
      </c>
      <c r="G414" s="4" t="n"/>
      <c r="H414" s="4" t="n"/>
      <c r="I414" s="4" t="n"/>
      <c r="J414" s="4" t="inlineStr">
        <is>
          <t>Revisión, metaanálisis, encuesta de literatura, protocolo, perspectiva, carta, editorial o capítulo de síntesis sin estudio primario elegible.</t>
        </is>
      </c>
      <c r="K414" s="4" t="n"/>
      <c r="L414" s="4" t="n"/>
      <c r="M414" s="4" t="n">
        <v>2025</v>
      </c>
      <c r="N414" s="4" t="inlineStr">
        <is>
          <t>Recent Developments in the Application of Artificial Intelligence and Machine Learning in Early Screening and Diagnosis of Autism</t>
        </is>
      </c>
      <c r="O414" s="4" t="inlineStr">
        <is>
          <t>Shyam Sundar Rajagopalan and Sanjay Ghosh</t>
        </is>
      </c>
      <c r="P414" s="4" t="inlineStr">
        <is>
          <t>10.1007/978-1-0716-4690-8_13</t>
        </is>
      </c>
      <c r="Q414" s="4" t="inlineStr">
        <is>
          <t>Methods in Molecular Biology</t>
        </is>
      </c>
      <c r="R414" s="4" t="inlineStr">
        <is>
          <t>article</t>
        </is>
      </c>
      <c r="S414" s="4" t="inlineStr">
        <is>
          <t>Humana Press Inc.</t>
        </is>
      </c>
      <c r="T414" s="4" t="inlineStr">
        <is>
          <t>https://doi.org/10.1007/978-1-0716-4690-8_13</t>
        </is>
      </c>
      <c r="U414" s="4" t="n"/>
      <c r="V414" s="4" t="inlineStr">
        <is>
          <t>Autism Spectrum Disorder (ASD or Autism) is a neurodevelopmental disorder that is characterized by challenges in social communication skills and the presence of restricted and repetitive behaviors during early childhood. ASD poses a significant public health challenge with increasing prevalence rates worldwide. Early diagnosis and intervention are critical for improving outcomes in children with ASD. However, current diagnostic methods often involve subjective assessments and are time-consuming. Currently, there are no known biomarkers for ASD, and the diagnosis is based on phenotypic manifestations observed by trained clinicians over time. Additionally, the heterogeneity of Autism and associated co-occurring conditions pose further challenges for screening and early detection. Recent advances in Artificial Intelligence (AI) and Machine Learning (ML) are transforming ASD screening and diagnosis. These computational technologies are capable of analyzing complex datasets and multiple modalities, including multi-omics, brain images, behavior assessments, medical and background information, and registry data to identify patterns that may not be evident to clinicians or parents. This article reviews recent developments in the application of AI/ML for ASD screening and early diagnosis. It also covers the use of AI/ML in understanding the biological underpinnings of ASD.</t>
        </is>
      </c>
      <c r="W414" s="4" t="inlineStr">
        <is>
          <t>title_abstract_plus_targeted_primary_source_verification</t>
        </is>
      </c>
      <c r="X414" s="4" t="inlineStr">
        <is>
          <t>doi:10.1007/978-1-0716-4690-8_13</t>
        </is>
      </c>
      <c r="Y414" s="4" t="n"/>
      <c r="Z414" s="4" t="n"/>
      <c r="AA414" s="4" t="n"/>
      <c r="AB414" s="40" t="n"/>
    </row>
    <row r="415" ht="242" customHeight="1">
      <c r="A415" s="4" t="n">
        <v>414</v>
      </c>
      <c r="B415" s="4" t="inlineStr">
        <is>
          <t>invalid_malformed_search_record</t>
        </is>
      </c>
      <c r="C415" s="4" t="inlineStr">
        <is>
          <t>Excluir: registro inválido</t>
        </is>
      </c>
      <c r="D415" s="4" t="inlineStr">
        <is>
          <t>Invalid record</t>
        </is>
      </c>
      <c r="E415" s="4" t="inlineStr">
        <is>
          <t>No</t>
        </is>
      </c>
      <c r="F415" s="4" t="inlineStr">
        <is>
          <t>Record validation</t>
        </is>
      </c>
      <c r="G415" s="4" t="n"/>
      <c r="H415" s="4" t="n"/>
      <c r="I415" s="4" t="n"/>
      <c r="J415" s="4" t="inlineStr">
        <is>
          <t>Cadena de búsqueda exportada erróneamente como si fuera una referencia bibliográfica.</t>
        </is>
      </c>
      <c r="K415" s="4" t="n">
        <v>357</v>
      </c>
      <c r="L415" s="4" t="n"/>
      <c r="M415" s="4" t="n"/>
      <c r="N415" s="4" t="inlineStr">
        <is>
          <t>(("autism"[Title] OR "autism spectrum disorder"[Title] OR ASD[Title]) AND ("artificial intelligence"[Title/Abstract] OR "machine learning"[Title/Abstract] OR "deep learning"[Title/Abstract] OR "computer vision"[Title/Abstract] OR "natural language pr - S…</t>
        </is>
      </c>
      <c r="O415" s="4" t="n"/>
      <c r="P415" s="4" t="n"/>
      <c r="Q415" s="4" t="n"/>
      <c r="R415" s="4" t="inlineStr">
        <is>
          <t>misc</t>
        </is>
      </c>
      <c r="S415" s="4" t="n"/>
      <c r="T415" s="4" t="inlineStr">
        <is>
          <t>https://pubmed.ncbi.nlm.nih.gov/?term=%28%28%22autism%22%5BTitle%5D+OR+%22autism+spectrum+disorder%22%5BTitle%5D+OR+ASD%5BTitle%5D%29+AND+%28%22artificial+intelligence%22%5BTitle%2FAbstract%5D+OR+%22machine+learning%22%5BTitle%2FAbstract%5D+OR+%22deep+learning%22%5BTitle%2FAbstract%5D+OR+%22computer+vision%22%5BTitle%2FAbstract%5D+OR+%22natural+language+processing%22%5BTitle%2FAbstract%5D%29+AND+%28screening%5BTitle%2FAbstract%5D+OR+diagnos*%5BTitle%2FAbstract%5D+OR+detect*%5BTitle%2FAbstract%5D+OR+classif*%5BTitle%2FAbstract%5D+OR+monitor*%5BTitle%2FAbstract%5D%29%29+AND+%28%222025%2F08%2F29%22%5BDate+-+Publication%5D+%3A+%222026%2F07%2F02%22%5BDate+-+Publication%5D%29+AND+English%5Blang%5D+AND+Humans%5BMesh%5D</t>
        </is>
      </c>
      <c r="U415" s="4" t="n"/>
      <c r="V415" s="4" t="n"/>
      <c r="W415" s="4" t="inlineStr">
        <is>
          <t>title_abstract_plus_targeted_primary_source_verification</t>
        </is>
      </c>
      <c r="X415" s="4" t="inlineStr">
        <is>
          <t>title:autism title or autism spectrum disorder title or asd title and artificial intelligence title abstract or machine learning title abstract or deep learning title abstract or computer vision title abstract or natural language pr s</t>
        </is>
      </c>
      <c r="Y415" s="4" t="n"/>
      <c r="Z415" s="4" t="n"/>
      <c r="AA415" s="4" t="n"/>
      <c r="AB415" s="40" t="n"/>
    </row>
    <row r="416" ht="409" customHeight="1">
      <c r="A416" s="4" t="n">
        <v>415</v>
      </c>
      <c r="B416" s="4" t="inlineStr">
        <is>
          <t>include_after_title_abstract_screen</t>
        </is>
      </c>
      <c r="C416" s="4" t="inlineStr">
        <is>
          <t>Incluir provisionalmente</t>
        </is>
      </c>
      <c r="D416" s="4" t="inlineStr">
        <is>
          <t>Provisional include</t>
        </is>
      </c>
      <c r="E416" s="4" t="inlineStr">
        <is>
          <t>Sí</t>
        </is>
      </c>
      <c r="F416" s="4" t="inlineStr">
        <is>
          <t>Title/abstract screening</t>
        </is>
      </c>
      <c r="G416" s="4" t="n"/>
      <c r="H416" s="4" t="n"/>
      <c r="I416" s="4" t="n"/>
      <c r="J416" s="4" t="inlineStr">
        <is>
          <t>Estudio primario o implementación/evaluación empírica de IA, aprendizaje automático o modelado computacional aplicado a ASD, riesgo, caracterización, apoyo o intervención.</t>
        </is>
      </c>
      <c r="K416" s="4" t="n"/>
      <c r="L416" s="4" t="n"/>
      <c r="M416" s="4" t="n">
        <v>2025</v>
      </c>
      <c r="N416" s="4" t="inlineStr">
        <is>
          <t>Artificial intelligence-based diagnostic model for autism spectrum disorder using blood biomarkers</t>
        </is>
      </c>
      <c r="O416" s="4" t="inlineStr">
        <is>
          <t>Warda M Shaban</t>
        </is>
      </c>
      <c r="P416" s="4" t="inlineStr">
        <is>
          <t>10.1007/S00521-025-11553-3</t>
        </is>
      </c>
      <c r="Q416" s="4" t="inlineStr">
        <is>
          <t>Neural Computing and Applications</t>
        </is>
      </c>
      <c r="R416" s="4" t="inlineStr">
        <is>
          <t>article</t>
        </is>
      </c>
      <c r="S416" s="4" t="inlineStr">
        <is>
          <t>Springer Science and Business Media Deutschland GmbH</t>
        </is>
      </c>
      <c r="T416" s="4" t="inlineStr">
        <is>
          <t>https://doi.org/10.1007/S00521-025-11553-3</t>
        </is>
      </c>
      <c r="U416" s="4" t="n"/>
      <c r="V416" s="4" t="inlineStr">
        <is>
          <t>Autistic spectrum disorder (ASD) is a neurological condition characterized by difficulties in social interaction, communication, and repetitive behaviors. Despite its largely hereditary nature, early detection is crucial, and a potential strategy for more efficient and quicker diagnosis is to employ artificial intelligence (AI). In this paper, a new system is introduced that is called automatic screening autism (ASA) system. ASA comprises three primary stages: data preparation (DP), feature selection (FS), and patient detection (PD). In the first stage, the used dataset is preprocessed through several steps: handling missing values and rejecting outliers. Then, these preprocessed features are fed to the FS stage to select the most important features using improved genetic algorithm (IGA). IGA composed of two stages; (i) pre-selection stage (PS2) using information gain (IG) and (ii) conclusive selection stage (CS2) using genetic algorithm (GA). Subsequently, these attributes are input into the proposed classification model using optimized deep neural network (ODNN). Actually, ODNN is based on optimized weights of traditional DNN using various optimization algorithms, and the final decision is derived from the best performance. ASA has been evaluated against contemporary methodologies. Results from experimental studies demonstrate that the proposed ASA outperforms its competitors regarding accuracy, precision, sensitivity, and F-measure, achieving values of approximately 99.10, 98.90, 98.70, and 98.80% in that order.</t>
        </is>
      </c>
      <c r="W416" s="4" t="inlineStr">
        <is>
          <t>title_abstract_plus_targeted_primary_source_verification</t>
        </is>
      </c>
      <c r="X416" s="4" t="inlineStr">
        <is>
          <t>doi:10.1007/s00521-025-11553-3</t>
        </is>
      </c>
      <c r="Y416" s="4" t="n"/>
      <c r="Z416" s="4" t="n"/>
      <c r="AA416" s="4" t="n"/>
      <c r="AB416" s="40" t="n"/>
    </row>
    <row r="417" ht="409" customHeight="1">
      <c r="A417" s="4" t="n">
        <v>416</v>
      </c>
      <c r="B417" s="4" t="inlineStr">
        <is>
          <t>include_after_title_abstract_screen</t>
        </is>
      </c>
      <c r="C417" s="4" t="inlineStr">
        <is>
          <t>Incluir provisionalmente</t>
        </is>
      </c>
      <c r="D417" s="4" t="inlineStr">
        <is>
          <t>Provisional include</t>
        </is>
      </c>
      <c r="E417" s="4" t="inlineStr">
        <is>
          <t>Sí</t>
        </is>
      </c>
      <c r="F417" s="4" t="inlineStr">
        <is>
          <t>Title/abstract screening</t>
        </is>
      </c>
      <c r="G417" s="4" t="n"/>
      <c r="H417" s="4" t="n"/>
      <c r="I417" s="4" t="n"/>
      <c r="J417" s="4" t="inlineStr">
        <is>
          <t>Estudio primario o implementación/evaluación empírica de IA, aprendizaje automático o modelado computacional aplicado a ASD, riesgo, caracterización, apoyo o intervención.</t>
        </is>
      </c>
      <c r="K417" s="4" t="n"/>
      <c r="L417" s="4" t="n"/>
      <c r="M417" s="4" t="n">
        <v>2026</v>
      </c>
      <c r="N417" s="4" t="inlineStr">
        <is>
          <t>An explainable deep learning framework for screening level autism severity using behavioural data</t>
        </is>
      </c>
      <c r="O417" s="4" t="inlineStr">
        <is>
          <t>Vijayalaxmi N Rathod and R H Goudar and Sangeeta Sangani</t>
        </is>
      </c>
      <c r="P417" s="4" t="inlineStr">
        <is>
          <t>10.1007/S42452-026-08352-3</t>
        </is>
      </c>
      <c r="Q417" s="4" t="inlineStr">
        <is>
          <t>Discover Applied Sciences</t>
        </is>
      </c>
      <c r="R417" s="4" t="inlineStr">
        <is>
          <t>article</t>
        </is>
      </c>
      <c r="S417" s="4" t="inlineStr">
        <is>
          <t>Springer Nature</t>
        </is>
      </c>
      <c r="T417" s="4" t="inlineStr">
        <is>
          <t>https://doi.org/10.1007/S42452-026-08352-3</t>
        </is>
      </c>
      <c r="U417" s="4" t="n"/>
      <c r="V417" s="4" t="inlineStr">
        <is>
          <t>Autism Spectrum Disorder (ASD) is a complex neurodevelopmental condition characterized by heterogeneous behavioural manifestations that vary across age groups and severity strata. While questionnaire-based screening instruments enable large-scale ASD identification, reliable severity stratification remains challenging due to the absence of explicit clinician-annotated severity labels and the reliance of many existing approaches on fragmented or multi-stage pipelines. To address this gap, this study proposes a unified BiLSTM–CGBO framework for screening-level ASD identification and ordinal severity stratification under a controlled behavioural labeling paradigm. The proposed architecture integrates a Bidirectional Long Short-Term Memory (BiLSTM) network, employed as a high-capacity representation learner for modeling non-linear interactions among behavioural attributes, with a Chaotic Grey Ball Optimizer (CGBO) that adaptively modulates learning dynamics to enhance numerical stability and convergence. The framework is evaluated on harmonized ASD screening datasets from the Kaggle and UCI repositories, comprising 2154 participants across four developmental cohorts: toddlers, children, adolescents, and adults. Experimental results demonstrate consistently high classification accuracy and AUROC values across age groups, reflecting the model’s effectiveness in approximating a deterministic behavioural severity-scoring function rather than independent clinical diagnostic performance. Comparative analysis indicates that the proposed framework achieves stable improvements over classical machine learning and deep learning baselines, including SVM, CNN, and standard LSTM, under identical preprocessing and validation protocols. Model interpretability is examined using SHapley Additive Explanations (SHAP), which elucidate how behavioural attributes are utilized within the learned scoring structure without asserting causal or diagnostic attribution. Overall, the proposed BiLSTM–CGBO framework establishes a transparent, reproducible, and computationally efficient methodology for screening-level autism severity modeling, providing a robust foundation for future validation using independently clinician-annotated data and multimodal extensions.</t>
        </is>
      </c>
      <c r="W417" s="4" t="inlineStr">
        <is>
          <t>title_abstract_plus_targeted_primary_source_verification</t>
        </is>
      </c>
      <c r="X417" s="4" t="inlineStr">
        <is>
          <t>doi:10.1007/s42452-026-08352-3</t>
        </is>
      </c>
      <c r="Y417" s="4" t="n"/>
      <c r="Z417" s="4" t="n"/>
      <c r="AA417" s="4" t="n"/>
      <c r="AB417" s="40" t="n"/>
    </row>
    <row r="418" ht="409" customHeight="1">
      <c r="A418" s="4" t="n">
        <v>417</v>
      </c>
      <c r="B418" s="4" t="inlineStr">
        <is>
          <t>include_after_full_text_open_access</t>
        </is>
      </c>
      <c r="C418" s="4" t="inlineStr">
        <is>
          <t>Incluir tras revisión de texto completo abierto</t>
        </is>
      </c>
      <c r="D418" s="4" t="inlineStr">
        <is>
          <t>Provisional include</t>
        </is>
      </c>
      <c r="E418" s="4" t="inlineStr">
        <is>
          <t>Sí</t>
        </is>
      </c>
      <c r="F418" s="4" t="inlineStr">
        <is>
          <t>Full-text review</t>
        </is>
      </c>
      <c r="G418" s="4" t="n"/>
      <c r="H418" s="4" t="n"/>
      <c r="I418" s="4" t="n"/>
      <c r="J418" s="4" t="inlineStr">
        <is>
          <t>Texto completo confirma estudio primario con Deep Learning aplicado a ASD (Segmentation and severity characterization).</t>
        </is>
      </c>
      <c r="K418" s="4" t="n"/>
      <c r="L418" s="4" t="n"/>
      <c r="M418" s="4" t="n">
        <v>2025</v>
      </c>
      <c r="N418" s="4" t="inlineStr">
        <is>
          <t>Perivascular Space Burden in Children With Autism Spectrum Disorder Correlates With Neurodevelopmental Severity</t>
        </is>
      </c>
      <c r="O418" s="4" t="inlineStr">
        <is>
          <t>Giulia Frigerio and Gloria Rizzato and Denis Peruzzo and Tommaso Ciceri and Elisa Mani and Fabiola Lanteri and Valentina Mariani and Massimo Molteni and Nivedita Agarwal</t>
        </is>
      </c>
      <c r="P418" s="4" t="inlineStr">
        <is>
          <t>10.1002/jmri.70023</t>
        </is>
      </c>
      <c r="Q418" s="4" t="inlineStr">
        <is>
          <t>Journal of Magnetic Resonance Imaging</t>
        </is>
      </c>
      <c r="R418" s="4" t="inlineStr">
        <is>
          <t>article</t>
        </is>
      </c>
      <c r="S418" s="4" t="inlineStr">
        <is>
          <t>John Wiley and Sons Inc</t>
        </is>
      </c>
      <c r="T418" s="4" t="inlineStr">
        <is>
          <t>https://onlinelibrary.wiley.com/doi/pdfdirect/10.1002/jmri.70023</t>
        </is>
      </c>
      <c r="U418" s="4" t="inlineStr">
        <is>
          <t>Texto completo abierto revisado; evidencia y codificación en Extraccion_RQ_nuevos.</t>
        </is>
      </c>
      <c r="V418" s="4" t="inlineStr">
        <is>
          <t>Background: Cerebral perivascular spaces (PVS) are involved in cerebrospinal fluid (CSF) circulation and clearance of metabolic waste in adult humans. A high number of PVS has been reported in autism spectrum disorder (ASD) but its relationship with CSF and disease severity is unclear. Purpose: To quantify PVS in children with ASD through MRI. Study Type: Retrospective. Population: Sixty six children with ASD (mean age: 4.7 ± 1.5 years; males/females: 59/7). Field Strength/Sequence: 3T, 3D T1-weighted GRE and 3D T2-weighted turbo spin echo sequences. Assessment: PVS were segmented using a weakly supervised PVS algorithm. PVS count, white matter-perivascular spaces (WM-PVStot) and normalized volume (WM-PVSvoln) were analyzed in the entire white matter. Six regions: frontal, parietal, limbic, occipital, temporal, and deep WM (WM-PVSsr). WM, GM, CSF, and extra-axial CSF (eaCSF) volumes were also calculated. Autism Diagnostic Observation Schedule, Wechsler Intelligence Scale, and Griffiths Mental Developmental scales were used to assess clinical severity and developmental quotient (DQ). Statistical Tests: Kendall correlation analysis (continuous variables) and Friedman (categorical variables) tests were used to compare medians of PVS variables across different WM regions. Post hoc pairwise comparisons with Wilcoxon tests were used to evaluate distributions of PVS in WM regions. Generalized linear models were employed to assess DQ, clinical severity, age, and eaCSF volume in relation to PVS variables. A p-value &lt; 0.05 indicated statistical significance. Results: Severe DQ (β = 0.0089), mild form of autism (β = −0.0174), and larger eaCSF (β = 0.0082) volume was significantly associated with greater WM-PVStot count. WM-PVSvoln was predominantly affected by normalized eaCSF volume (eaCSFvoln) (β = 0.0242; adjusted for WM volumes). The percentage of WM-PVSsr was higher in the frontal areas (32%) and was lowest in the temporal regions (11%). Data Conclusion: PVS count and volume in ASD are associated with eaCSFvoln. PVS count is related to clinical severity and DQ. PVS count was higher in frontal regions and lower in temporal regions. Evidence Level: 4. Technical Efficacy: Stage 3.</t>
        </is>
      </c>
      <c r="W418" s="4" t="inlineStr">
        <is>
          <t>open_full_text_review_2026_09_04</t>
        </is>
      </c>
      <c r="X418" s="4" t="inlineStr">
        <is>
          <t>doi:10.1002/jmri.70023</t>
        </is>
      </c>
      <c r="Y418" s="4" t="n"/>
      <c r="Z418" s="4" t="n"/>
      <c r="AA418" s="4" t="n"/>
      <c r="AB418" s="40" t="n"/>
    </row>
    <row r="419" ht="409" customHeight="1">
      <c r="A419" s="4" t="n">
        <v>418</v>
      </c>
      <c r="B419" s="4" t="inlineStr">
        <is>
          <t>exclude_secondary_or_nonempirical_publication</t>
        </is>
      </c>
      <c r="C419" s="4" t="inlineStr">
        <is>
          <t>Excluir: publicación secundaria/no empírica</t>
        </is>
      </c>
      <c r="D419" s="4" t="inlineStr">
        <is>
          <t>Excluded</t>
        </is>
      </c>
      <c r="E419" s="4" t="inlineStr">
        <is>
          <t>No</t>
        </is>
      </c>
      <c r="F419" s="4" t="inlineStr">
        <is>
          <t>Title/abstract screening</t>
        </is>
      </c>
      <c r="G419" s="4" t="n"/>
      <c r="H419" s="4" t="n"/>
      <c r="I419" s="4" t="n"/>
      <c r="J419" s="4" t="inlineStr">
        <is>
          <t>Revisión, metaanálisis, encuesta de literatura, protocolo, perspectiva, carta, editorial o capítulo de síntesis sin estudio primario elegible.</t>
        </is>
      </c>
      <c r="K419" s="4" t="n"/>
      <c r="L419" s="4" t="n"/>
      <c r="M419" s="4" t="n">
        <v>2025</v>
      </c>
      <c r="N419" s="4" t="inlineStr">
        <is>
          <t>A Review on Autism Spectrum Disorder Screening by Artificial Intelligence Methods</t>
        </is>
      </c>
      <c r="O419" s="4" t="inlineStr">
        <is>
          <t>Si Jia Jia and Jia Qi Jing and Chang Jiang Yang</t>
        </is>
      </c>
      <c r="P419" s="4" t="inlineStr">
        <is>
          <t>10.1007/s10803-024-06429-9</t>
        </is>
      </c>
      <c r="Q419" s="4" t="inlineStr">
        <is>
          <t>Journal of Autism and Developmental Disorders</t>
        </is>
      </c>
      <c r="R419" s="4" t="inlineStr">
        <is>
          <t>article</t>
        </is>
      </c>
      <c r="S419" s="4" t="inlineStr">
        <is>
          <t>Springer</t>
        </is>
      </c>
      <c r="T419" s="4" t="inlineStr">
        <is>
          <t>https://doi.org/10.1007/s10803-024-06429-9</t>
        </is>
      </c>
      <c r="U419" s="4" t="n"/>
      <c r="V419" s="4" t="inlineStr">
        <is>
          <t>Purpose: With the increasing prevalence of autism spectrum disorders (ASD), the importance of early screening and diagnosis has been subject to considerable discussion. Given the subtle differences between ASD children and typically developing children during the early stages of development, it is imperative to investigate the utilization of automatic recognition methods powered by artificial intelligence. We aim to summarize the research work on this topic and sort out the markers that can be used for identification. Methods: We searched the papers published in the Web of Science, PubMed, Scopus, Medline, SpringerLink, Wiley Online Library, and EBSCO databases from 1st January 2013 to 13th November 2023, and 43 articles were included. Results: These articles mainly divided recognition markers into five categories: gaze behaviors, facial expressions, motor movements, voice features, and task performance. Based on the above markers, the accuracy of artificial intelligence screening ranged from 62.13 to 100%, the sensitivity ranged from 69.67 to 100%, the specificity ranged from 54 to 100%. Conclusion: Therefore, artificial intelligence recognition holds promise as a tool for identifying children with ASD. However, it still needs to continually enhance the screening model and improve accuracy through multimodal screening, thereby facilitating timely intervention and treatment.</t>
        </is>
      </c>
      <c r="W419" s="4" t="inlineStr">
        <is>
          <t>title_abstract_plus_targeted_primary_source_verification</t>
        </is>
      </c>
      <c r="X419" s="4" t="inlineStr">
        <is>
          <t>doi:10.1007/s10803-024-06429-9</t>
        </is>
      </c>
      <c r="Y419" s="4" t="n"/>
      <c r="Z419" s="4" t="n"/>
      <c r="AA419" s="4" t="n"/>
      <c r="AB419" s="40" t="n"/>
    </row>
    <row r="420" ht="409" customHeight="1">
      <c r="A420" s="4" t="n">
        <v>419</v>
      </c>
      <c r="B420" s="4" t="inlineStr">
        <is>
          <t>exclude_secondary_or_nonempirical_publication</t>
        </is>
      </c>
      <c r="C420" s="4" t="inlineStr">
        <is>
          <t>Excluir: publicación secundaria/no empírica</t>
        </is>
      </c>
      <c r="D420" s="4" t="inlineStr">
        <is>
          <t>Excluded</t>
        </is>
      </c>
      <c r="E420" s="4" t="inlineStr">
        <is>
          <t>No</t>
        </is>
      </c>
      <c r="F420" s="4" t="inlineStr">
        <is>
          <t>Title/abstract screening</t>
        </is>
      </c>
      <c r="G420" s="4" t="n"/>
      <c r="H420" s="4" t="n"/>
      <c r="I420" s="4" t="n"/>
      <c r="J420" s="4" t="inlineStr">
        <is>
          <t>Revisión, metaanálisis, encuesta de literatura, protocolo, perspectiva, carta, editorial o capítulo de síntesis sin estudio primario elegible.</t>
        </is>
      </c>
      <c r="K420" s="4" t="n"/>
      <c r="L420" s="4" t="n"/>
      <c r="M420" s="4" t="n">
        <v>2026</v>
      </c>
      <c r="N420" s="4" t="inlineStr">
        <is>
          <t>Emerging Role of Artificial Intelligence (AI) in Early Autism Diagnosis: Comprehensive Review</t>
        </is>
      </c>
      <c r="O420" s="4" t="inlineStr">
        <is>
          <t>Shivani Pant and Anita Gehlot and Rajesh Singh and Shital Yadav and Rahul Mahala and Nagendar Yamsani</t>
        </is>
      </c>
      <c r="P420" s="4" t="inlineStr">
        <is>
          <t>10.1007/978-3-032-18144-2_16</t>
        </is>
      </c>
      <c r="Q420" s="4" t="inlineStr">
        <is>
          <t>Lecture Notes in Networks and Systems</t>
        </is>
      </c>
      <c r="R420" s="4" t="inlineStr">
        <is>
          <t>article</t>
        </is>
      </c>
      <c r="S420" s="4" t="inlineStr">
        <is>
          <t>Springer Science and Business Media Deutschland GmbH</t>
        </is>
      </c>
      <c r="T420" s="4" t="inlineStr">
        <is>
          <t>https://doi.org/10.1007/978-3-032-18144-2_16</t>
        </is>
      </c>
      <c r="U420" s="4" t="n"/>
      <c r="V420" s="4" t="inlineStr">
        <is>
          <t>SDG 10 aims to reduce inequalities and ensure no one is left behind. Autism, a complex neurological disorder, is found in around 1/100 children worldwide. Early diagnosis is crucial for effective treatment and intervention. Artificial Intelligence (AI) has emerged as a revolutionary tool in ASD research, enhancing early detection mechanisms and improving symptom management. ML, supervised, unsupervised, semi-supervised, and reinforcement learning algorithms are used for image recognition, language understanding, and speech processing. This paper aims to emphasize the role of AI in early autism diagnosis and to identify and evaluate various AI-based algorithms used for accurate autism detection. Autism diagnosis is challenging due to the lack of standard medical tests. AI interventions, such as natural language processing, machine learning and deep learning. Can improve early diagnosis by identifying complex patterns and detecting subtle symptoms. However, issues such as algorithm transparency and data privacy must be addressed. With continued research and ethical AI technology, these algorithms can transform early ASD diagnosis, enabling timely intervention and improved outcomes.</t>
        </is>
      </c>
      <c r="W420" s="4" t="inlineStr">
        <is>
          <t>title_abstract_plus_targeted_primary_source_verification</t>
        </is>
      </c>
      <c r="X420" s="4" t="inlineStr">
        <is>
          <t>doi:10.1007/978-3-032-18144-2_16</t>
        </is>
      </c>
      <c r="Y420" s="4" t="n"/>
      <c r="Z420" s="4" t="n"/>
      <c r="AA420" s="4" t="n"/>
      <c r="AB420" s="40" t="n"/>
    </row>
    <row r="421" ht="409" customHeight="1">
      <c r="A421" s="4" t="n">
        <v>420</v>
      </c>
      <c r="B421" s="4" t="inlineStr">
        <is>
          <t>include_after_full_text_open_access</t>
        </is>
      </c>
      <c r="C421" s="4" t="inlineStr">
        <is>
          <t>Incluir tras revisión de texto completo abierto</t>
        </is>
      </c>
      <c r="D421" s="4" t="inlineStr">
        <is>
          <t>Provisional include</t>
        </is>
      </c>
      <c r="E421" s="4" t="inlineStr">
        <is>
          <t>Sí</t>
        </is>
      </c>
      <c r="F421" s="4" t="inlineStr">
        <is>
          <t>Full-text review</t>
        </is>
      </c>
      <c r="G421" s="4" t="n"/>
      <c r="H421" s="4" t="n"/>
      <c r="I421" s="4" t="n"/>
      <c r="J421" s="4" t="inlineStr">
        <is>
          <t>Texto completo confirma estudio primario con Deep Learning aplicado a ASD (ASD-stage classification).</t>
        </is>
      </c>
      <c r="K421" s="4" t="n"/>
      <c r="L421" s="4" t="n"/>
      <c r="M421" s="4" t="n">
        <v>2025</v>
      </c>
      <c r="N421" s="4" t="inlineStr">
        <is>
          <t>Two-tier nature inspired optimization-driven ensemble of deep learning models for effective autism spectrum disorder diagnosis in disabled persons</t>
        </is>
      </c>
      <c r="O421" s="4" t="inlineStr">
        <is>
          <t>Saud S Alotaibi and Turki Ali Alghamdi and Reem Alharthi</t>
        </is>
      </c>
      <c r="P421" s="4" t="inlineStr">
        <is>
          <t>10.1038/S41598-025-93802-Y</t>
        </is>
      </c>
      <c r="Q421" s="4" t="inlineStr">
        <is>
          <t>Scientific Reports</t>
        </is>
      </c>
      <c r="R421" s="4" t="inlineStr">
        <is>
          <t>article</t>
        </is>
      </c>
      <c r="S421" s="4" t="inlineStr">
        <is>
          <t>Nature Research</t>
        </is>
      </c>
      <c r="T421" s="4" t="inlineStr">
        <is>
          <t>https://doi.org/10.1038/s41598-025-93802-y</t>
        </is>
      </c>
      <c r="U421" s="4" t="inlineStr">
        <is>
          <t>Texto completo abierto revisado; evidencia y codificación en Extraccion_RQ_nuevos.</t>
        </is>
      </c>
      <c r="V421" s="4" t="inlineStr">
        <is>
          <t>Autism spectrum disorder (ASD) includes a varied set of neuropsychiatric illnesses. This disorder is described by a definite grade of loss in social communication, academic functioning, personal contact, and limited and repetitive behaviours. Individuals with ASD might perform, convey, and study in a different way than others. ASDs naturally are apparent before age 3 years, with related impairments affecting manifold regions of a person’s lifespan. Deep learning (DL) and machine learning (ML) techniques are used in medical research to diagnose and detect ASD promptly. This study presents a Two-Tier Metaheuristic-Driven Ensemble Deep Learning for Effective Autism Spectrum Disorder Diagnosis in Disabled Persons (T2MEDL-EASDDP) model. The main aim of the presented T2MEDL-EASDDP model is to analyze and diagnose the different stages of ASD in disabled individuals. To accomplish this, the T2MEDL-EASDDP model utilizes min-max normalization for data pre-processing to ensure that the input data is scaled to a uniform range. Furthermore, the improved butterfly optimization algorithm (IBOA)-based feature selection (FS) is utilized to identify the most relevant features and reduce dimensionality efficiently. Additionally, an ensemble of DL holds three approaches, namely autoencoder (AE), long short-term memory (LSTM), and deep belief network (DBN) approach is employed for analyzing and detecting ASD. Finally, the presented T2MEDL-EASDDP model employs brownian motion (BM) and directional mutation scheme-based coati optimizer algorithm (BDCOA) techniques to fine-tune the hyperparameters involved in the three ensemble methods. A wide range of simulation analyses of the T2MEDL-EASDDP technique is accomplished under the ASD-Toddler and ASD-Adult datasets. The performance validation of the T2MEDL-EASDDP method portrayed a superior accuracy value of 97.79% over existing techniques.</t>
        </is>
      </c>
      <c r="W421" s="4" t="inlineStr">
        <is>
          <t>open_full_text_review_2026_09_04</t>
        </is>
      </c>
      <c r="X421" s="4" t="inlineStr">
        <is>
          <t>doi:10.1038/s41598-025-93802-y</t>
        </is>
      </c>
      <c r="Y421" s="4" t="n"/>
      <c r="Z421" s="4" t="n"/>
      <c r="AA421" s="4" t="n"/>
      <c r="AB421" s="40" t="n"/>
    </row>
    <row r="422" ht="409" customHeight="1">
      <c r="A422" s="4" t="n">
        <v>421</v>
      </c>
      <c r="B422" s="4" t="inlineStr">
        <is>
          <t>include_after_title_abstract_screen</t>
        </is>
      </c>
      <c r="C422" s="4" t="inlineStr">
        <is>
          <t>Incluir provisionalmente</t>
        </is>
      </c>
      <c r="D422" s="4" t="inlineStr">
        <is>
          <t>Provisional include</t>
        </is>
      </c>
      <c r="E422" s="4" t="inlineStr">
        <is>
          <t>Sí</t>
        </is>
      </c>
      <c r="F422" s="4" t="inlineStr">
        <is>
          <t>Title/abstract screening</t>
        </is>
      </c>
      <c r="G422" s="4" t="n"/>
      <c r="H422" s="4" t="n"/>
      <c r="I422" s="4" t="n"/>
      <c r="J422" s="4" t="inlineStr">
        <is>
          <t>Estudio primario o implementación/evaluación empírica de IA, aprendizaje automático o modelado computacional aplicado a ASD, riesgo, caracterización, apoyo o intervención.</t>
        </is>
      </c>
      <c r="K422" s="4" t="n"/>
      <c r="L422" s="4" t="n"/>
      <c r="M422" s="4" t="n">
        <v>2026</v>
      </c>
      <c r="N422" s="4" t="inlineStr">
        <is>
          <t>Edge-Based Robot-Assisted Hand Gesture Recognition for Autism Intervention Using Hybrid Keyframe Selection and Contrastive Learning</t>
        </is>
      </c>
      <c r="O422" s="4" t="inlineStr">
        <is>
          <t>Sougatamoy Biswas and Soumyajeet Mahapatra and Anup Nandy and Asim Kumar Naskar</t>
        </is>
      </c>
      <c r="P422" s="4" t="inlineStr">
        <is>
          <t>10.1109/TMRB.2026.3680976</t>
        </is>
      </c>
      <c r="Q422" s="4" t="inlineStr">
        <is>
          <t>IEEE Transactions on Medical Robotics and Bionics</t>
        </is>
      </c>
      <c r="R422" s="4" t="inlineStr">
        <is>
          <t>article</t>
        </is>
      </c>
      <c r="S422" s="4" t="inlineStr">
        <is>
          <t>Institute of Electrical and Electronics Engineers Inc.</t>
        </is>
      </c>
      <c r="T422" s="4" t="inlineStr">
        <is>
          <t>https://ieeexplore.ieee.org/document/11480896</t>
        </is>
      </c>
      <c r="U422" s="4" t="n"/>
      <c r="V422" s="4" t="inlineStr">
        <is>
          <t>Children with Autism Spectrum Disorder (ASD) often face challenges in expressing and interpreting social gestures essential for social skill development. Traditional approaches depend on intrusive wearable sensors and manual supervision, with minimal adaptation to real-time, resource-constrained environments. To address these limitations, we present a real-time vision-based human-robot interaction (HRI) framework that autonomously supports gesture learning and correction without therapist intervention. The system employs MediaPipe-based skeletal landmark extraction with a novel hybrid keyframe selection strategy. This strategy integrates entropy-based filtering to retain semantically rich frames and a clustering-based mechanism to identify representative frames from similar gesture groups. Spatial features are modeled using one-dimensional convolutions across hand joints to capture intra-frame structural dependencies. The framework executes gesture classification and correctness evaluation simultaneously, with contrastive learning incorporated to enhance the separability of learned embeddings. An in-house assistive robot, named CARAT (Caregiver Autism Robot with AI-based Technology), has been developed to realize this framework. CARAT is equipped with a gesture-performing arm, deployed on a Jetson Orin Nano edge device, and provides real-time verbal feedback alongside physical gesture demonstrations. The dataset for evaluation was collected using CARAT, involving participants from both healthy children and children with ASD. The framework demonstrates strong recognition performance, achieving 98.85% accuracy with healthy participants, 96.42% with autistic participants, and 97.41% on the combined dataset of both groups. These results validate the effectiveness of the proposed approach for hand gesture recognition in edge-deployed assistive robots for autism intervention.</t>
        </is>
      </c>
      <c r="W422" s="4" t="inlineStr">
        <is>
          <t>title_abstract_plus_targeted_primary_source_verification</t>
        </is>
      </c>
      <c r="X422" s="4" t="inlineStr">
        <is>
          <t>doi:10.1109/tmrb.2026.3680976</t>
        </is>
      </c>
      <c r="Y422" s="4" t="n"/>
      <c r="Z422" s="4" t="n"/>
      <c r="AA422" s="4" t="n"/>
      <c r="AB422" s="40" t="n"/>
    </row>
    <row r="423" ht="409" customHeight="1">
      <c r="A423" s="4" t="n">
        <v>422</v>
      </c>
      <c r="B423" s="4" t="inlineStr">
        <is>
          <t>include_after_full_text_open_access</t>
        </is>
      </c>
      <c r="C423" s="4" t="inlineStr">
        <is>
          <t>Incluir tras revisión de texto completo abierto</t>
        </is>
      </c>
      <c r="D423" s="4" t="inlineStr">
        <is>
          <t>Provisional include</t>
        </is>
      </c>
      <c r="E423" s="4" t="inlineStr">
        <is>
          <t>Sí</t>
        </is>
      </c>
      <c r="F423" s="4" t="inlineStr">
        <is>
          <t>Full-text review</t>
        </is>
      </c>
      <c r="G423" s="4" t="n"/>
      <c r="H423" s="4" t="n"/>
      <c r="I423" s="4" t="n"/>
      <c r="J423" s="4" t="inlineStr">
        <is>
          <t>Texto completo confirma estudio primario con Deep Learning aplicado a ASD (Multimodal diagnostic classification).</t>
        </is>
      </c>
      <c r="K423" s="4" t="n"/>
      <c r="L423" s="4" t="n"/>
      <c r="M423" s="4" t="n">
        <v>2026</v>
      </c>
      <c r="N423" s="4" t="inlineStr">
        <is>
          <t>MIND-TEA: An Adaptive Multi-Agent Framework for Multimodal Autism Diagnosis</t>
        </is>
      </c>
      <c r="O423" s="4" t="inlineStr">
        <is>
          <t>Evandro Carvalho De Andrade and Francisco Nauber Bernardo Gois and Joaquim Celestino Júnior and Thiago Damasceno Faria Bluhm and João Alexandre Lobo Marques and Arthur Magalhães Da Silva</t>
        </is>
      </c>
      <c r="P423" s="4" t="inlineStr">
        <is>
          <t>10.1109/ACCESS.2026.3688987</t>
        </is>
      </c>
      <c r="Q423" s="4" t="inlineStr">
        <is>
          <t>IEEE Access</t>
        </is>
      </c>
      <c r="R423" s="4" t="inlineStr">
        <is>
          <t>article</t>
        </is>
      </c>
      <c r="S423" s="4" t="inlineStr">
        <is>
          <t>Institute of Electrical and Electronics Engineers Inc.</t>
        </is>
      </c>
      <c r="T423" s="4" t="inlineStr">
        <is>
          <t>https://doi.org/10.1109/access.2026.3688987</t>
        </is>
      </c>
      <c r="U423" s="4" t="inlineStr">
        <is>
          <t>Texto completo abierto revisado; evidencia y codificación en Extraccion_RQ_nuevos.</t>
        </is>
      </c>
      <c r="V423" s="4" t="inlineStr">
        <is>
          <t>Autism Spectrum Disorder (ASD) presents substantial diagnostic heterogeneity, challenging the reliability and generalization of static, single-model classifiers. To address this, MIND-TEA is introduced as an adaptive multimodal framework for neurodevelopmental diagnosis. The system integrates resting-state fMRI (rs-fMRI) features with clinical text and utilizes a meta-learning orchestrator to dynamically route each patient to an optimal specialist model. Using subject-wise, site-stratified five-fold cross-validation on ABIDE I (n=1,112), the proposed method achieves 87.3% accuracy and 0.910 AUC (p &lt; 0.05). This corresponds to an absolute improvement of 17.3 percentage points in accuracy compared to representative deep learning baselines reported in prior ASD neuroimaging studies. To assess generalization under clinical conditions, a zero-shot external evaluation is conducted on the independent ABIDE II cohort (n=626). While cross-site domain shift reduces overall accuracy (52.3%), protocol-compatible subsets maintain performance above 60%, highlighting the impact of acquisition variability. The framework distills 108 candidate configurations into three plane-specific specialists (axial, coronal, sagittal). At inference, a single model is executed per subject, guaranteeing O(1) complexity and clinically viable latency without relying on large ensemble strategies. By selecting the most suitable specialist based on semantic similarity and historical performance, MIND-TEA enables adaptive decision-making tailored to individual cases and highlights the importance of data harmonization for robust multi-site generalization.</t>
        </is>
      </c>
      <c r="W423" s="4" t="inlineStr">
        <is>
          <t>open_full_text_review_2026_09_04</t>
        </is>
      </c>
      <c r="X423" s="4" t="inlineStr">
        <is>
          <t>doi:10.1109/access.2026.3688987</t>
        </is>
      </c>
      <c r="Y423" s="4" t="n"/>
      <c r="Z423" s="4" t="n"/>
      <c r="AA423" s="4" t="n"/>
      <c r="AB423" s="40" t="n"/>
    </row>
    <row r="424" ht="409" customHeight="1">
      <c r="A424" s="4" t="n">
        <v>423</v>
      </c>
      <c r="B424" s="4" t="inlineStr">
        <is>
          <t>include_after_title_abstract_screen</t>
        </is>
      </c>
      <c r="C424" s="4" t="inlineStr">
        <is>
          <t>Incluir provisionalmente</t>
        </is>
      </c>
      <c r="D424" s="4" t="inlineStr">
        <is>
          <t>Provisional include</t>
        </is>
      </c>
      <c r="E424" s="4" t="inlineStr">
        <is>
          <t>Sí</t>
        </is>
      </c>
      <c r="F424" s="4" t="inlineStr">
        <is>
          <t>Title/abstract screening</t>
        </is>
      </c>
      <c r="G424" s="4" t="n"/>
      <c r="H424" s="4" t="n"/>
      <c r="I424" s="4" t="n"/>
      <c r="J424" s="4" t="inlineStr">
        <is>
          <t>Estudio primario o implementación/evaluación empírica de IA, aprendizaje automático o modelado computacional aplicado a ASD, riesgo, caracterización, apoyo o intervención.</t>
        </is>
      </c>
      <c r="K424" s="4" t="n"/>
      <c r="L424" s="4" t="n"/>
      <c r="M424" s="4" t="n">
        <v>2026</v>
      </c>
      <c r="N424" s="4" t="inlineStr">
        <is>
          <t>Toward a Smartwatch-Based System for Automated Social Interaction Monitoring in Autism</t>
        </is>
      </c>
      <c r="O424" s="4" t="inlineStr">
        <is>
          <t>Srinivas Goud Kalagotla and Fang Wang and Kirti Datla and Bradley J Ferguson and David Q Beversdorf</t>
        </is>
      </c>
      <c r="P424" s="4" t="inlineStr">
        <is>
          <t>10.1109/ACCESS.2026.3674057</t>
        </is>
      </c>
      <c r="Q424" s="4" t="inlineStr">
        <is>
          <t>IEEE Access</t>
        </is>
      </c>
      <c r="R424" s="4" t="inlineStr">
        <is>
          <t>article</t>
        </is>
      </c>
      <c r="S424" s="4" t="inlineStr">
        <is>
          <t>Institute of Electrical and Electronics Engineers Inc.</t>
        </is>
      </c>
      <c r="T424" s="4" t="inlineStr">
        <is>
          <t>https://ieeexplore.ieee.org/document/11433679</t>
        </is>
      </c>
      <c r="U424" s="4" t="n"/>
      <c r="V424" s="4" t="inlineStr">
        <is>
          <t>Autism Spectrum Disorder (ASD) is a complex neurodevelopmental condition that affects social interactions and communication. Traditional assessment methods are often manual, subjective - lack ecological validity and scalability. This study presents a fully automated, machine learning-based system for continuous monitoring of social interactions in individuals with ASD using voice and physiological data collected in naturalistic environments. The system leverages speaker diarization to quantify the duration the ASD individual speaks during real-life conversations. An enhanced deep learning-based diarization method built on pyannote-audio is used to identify the target speaker, with each recording beginning with a short voice sample from the participant for identification purposes. Audio and heart rate data are simultaneously collected via a standalone smartwatch app, requiring no phone or network connectivity during data capture. Data are then processed through a cloud-based pipeline. The system was validated in both controlled and real-world settings, including testing with ASD individuals. Results show that the system can accurately and effectively capture speaking time, identify speaker turns, and track physiological signals during social interactions. This approach provides an objective, scalable framework for social behavior assessment in ASD, with strong potential for clinical application and long-term, real-world monitoring.</t>
        </is>
      </c>
      <c r="W424" s="4" t="inlineStr">
        <is>
          <t>title_abstract_plus_targeted_primary_source_verification</t>
        </is>
      </c>
      <c r="X424" s="4" t="inlineStr">
        <is>
          <t>doi:10.1109/access.2026.3674057</t>
        </is>
      </c>
      <c r="Y424" s="4" t="n"/>
      <c r="Z424" s="4" t="n"/>
      <c r="AA424" s="4" t="n"/>
      <c r="AB424" s="40" t="n"/>
    </row>
    <row r="425" ht="409" customHeight="1">
      <c r="A425" s="4" t="n">
        <v>424</v>
      </c>
      <c r="B425" s="4" t="inlineStr">
        <is>
          <t>include_after_full_text_open_access</t>
        </is>
      </c>
      <c r="C425" s="4" t="inlineStr">
        <is>
          <t>Incluir tras revisión de texto completo abierto</t>
        </is>
      </c>
      <c r="D425" s="4" t="inlineStr">
        <is>
          <t>Provisional include</t>
        </is>
      </c>
      <c r="E425" s="4" t="inlineStr">
        <is>
          <t>Sí</t>
        </is>
      </c>
      <c r="F425" s="4" t="inlineStr">
        <is>
          <t>Full-text review</t>
        </is>
      </c>
      <c r="G425" s="4" t="n"/>
      <c r="H425" s="4" t="n"/>
      <c r="I425" s="4" t="n"/>
      <c r="J425" s="4" t="inlineStr">
        <is>
          <t>Texto completo confirma estudio primario con Deep Learning aplicado a ASD (Interpretable screening classification).</t>
        </is>
      </c>
      <c r="K425" s="4" t="n"/>
      <c r="L425" s="4" t="n"/>
      <c r="M425" s="4" t="n">
        <v>2025</v>
      </c>
      <c r="N425" s="4" t="inlineStr">
        <is>
          <t>Interpretable Autism Screening via Object-Based Analysis of Child-Drawn Sketches</t>
        </is>
      </c>
      <c r="O425" s="4" t="inlineStr">
        <is>
          <t>Tae Gyun Lee and Jang Hee Yoo</t>
        </is>
      </c>
      <c r="P425" s="4" t="inlineStr">
        <is>
          <t>10.1109/ACCESS.2025.3642950</t>
        </is>
      </c>
      <c r="Q425" s="4" t="inlineStr">
        <is>
          <t>IEEE Access</t>
        </is>
      </c>
      <c r="R425" s="4" t="inlineStr">
        <is>
          <t>article</t>
        </is>
      </c>
      <c r="S425" s="4" t="inlineStr">
        <is>
          <t>Institute of Electrical and Electronics Engineers Inc.</t>
        </is>
      </c>
      <c r="T425" s="4" t="inlineStr">
        <is>
          <t>https://doi.org/10.1109/access.2025.3642950</t>
        </is>
      </c>
      <c r="U425" s="4" t="inlineStr">
        <is>
          <t>Texto completo abierto revisado; evidencia y codificación en Extraccion_RQ_nuevos.</t>
        </is>
      </c>
      <c r="V425" s="4" t="inlineStr">
        <is>
          <t>Developmental assessment methods for children largely rely on subjective manual scoring, which leads to limitations in interpretability, consistency, and scalability. For high-stakes applications in clinical and educational environments, high accuracy and transparency are essential in decision-making, which underscores the growing importance of explainable artificial intelligence techniques for automated developmental assessment. To address these challenges, we propose an explainable deep learning framework for automated developmental assessment based on freehand portraits drawn by children. The proposed system integrates clinically evaluated criteria directly into the design of a computational model to ensure both accuracy and interpretability. Focusing specifically on unstructured freehand portrait sketches, the framework introduces an object-based contribution analysis that segments each sketch into semantically meaningful parts such as eyes, nose, ears, and torso, for localized contribution scoring. A customized vision transformer architecture equipped with relative position encoding and safe layer normalization was utilized to model inter-object dependencies and extract robust features. Contribution scores were computed using layer-wise relevance propagation and visualized via heatmaps and bar plots, to allow clinicians to trace the rationale behind the predictions. The results of an extensive evaluation demonstrated that this method yields high classification accuracy in distinguishing between autism spectrum disorder and typical development, and provides rule-aligned explanations that mirror clinical reasoning. The findings of this study provide a foundation for future real-world deployment of early screening, special education, and pediatric neuropsychological applications.</t>
        </is>
      </c>
      <c r="W425" s="4" t="inlineStr">
        <is>
          <t>open_full_text_review_2026_09_04</t>
        </is>
      </c>
      <c r="X425" s="4" t="inlineStr">
        <is>
          <t>doi:10.1109/access.2025.3642950</t>
        </is>
      </c>
      <c r="Y425" s="4" t="n"/>
      <c r="Z425" s="4" t="n"/>
      <c r="AA425" s="4" t="n"/>
      <c r="AB425" s="40" t="n"/>
    </row>
    <row r="426" ht="409" customHeight="1">
      <c r="A426" s="4" t="n">
        <v>425</v>
      </c>
      <c r="B426" s="4" t="inlineStr">
        <is>
          <t>include_after_full_text_open_access</t>
        </is>
      </c>
      <c r="C426" s="4" t="inlineStr">
        <is>
          <t>Incluir tras revisión de texto completo abierto</t>
        </is>
      </c>
      <c r="D426" s="4" t="inlineStr">
        <is>
          <t>Provisional include</t>
        </is>
      </c>
      <c r="E426" s="4" t="inlineStr">
        <is>
          <t>Sí</t>
        </is>
      </c>
      <c r="F426" s="4" t="inlineStr">
        <is>
          <t>Full-text review</t>
        </is>
      </c>
      <c r="G426" s="4" t="n"/>
      <c r="H426" s="4" t="n"/>
      <c r="I426" s="4" t="n"/>
      <c r="J426" s="4" t="inlineStr">
        <is>
          <t>Texto completo confirma estudio primario con Hybrid aplicado a ASD (P300 response classification).</t>
        </is>
      </c>
      <c r="K426" s="4" t="n"/>
      <c r="L426" s="4" t="n"/>
      <c r="M426" s="4" t="n">
        <v>2025</v>
      </c>
      <c r="N426" s="4" t="inlineStr">
        <is>
          <t>Bridging Deep Learning and Quantum Computing for EEG-Driven P300 Targeted ASD Response Detection</t>
        </is>
      </c>
      <c r="O426" s="4" t="inlineStr">
        <is>
          <t>Sapthak Mohajon Turjya and Mulham Fawakherji</t>
        </is>
      </c>
      <c r="P426" s="4" t="inlineStr">
        <is>
          <t>10.1109/ACCESS.2025.3646589</t>
        </is>
      </c>
      <c r="Q426" s="4" t="inlineStr">
        <is>
          <t>IEEE Access</t>
        </is>
      </c>
      <c r="R426" s="4" t="inlineStr">
        <is>
          <t>article</t>
        </is>
      </c>
      <c r="S426" s="4" t="inlineStr">
        <is>
          <t>Institute of Electrical and Electronics Engineers Inc.</t>
        </is>
      </c>
      <c r="T426" s="4" t="inlineStr">
        <is>
          <t>https://doi.org/10.1109/access.2025.3646589</t>
        </is>
      </c>
      <c r="U426" s="4" t="inlineStr">
        <is>
          <t>Texto completo abierto revisado; evidencia y codificación en Extraccion_RQ_nuevos.</t>
        </is>
      </c>
      <c r="V426" s="4" t="inlineStr">
        <is>
          <t>Autism Spectrum Disorder (ASD) is a neurodevelopmental condition whose diagnosis relies heavily on subjective behavioral assessments. Electroencephalography (EEG) provides an inexpensive and non-invasive method of objective biomarker detection, but is plagued by high dimensionality and noise that complicates automated analysis. This article introduces a hybrid Transformer-Quantum Neural Network (QNN) model that combines deep learning and quantum computing to enhance P300 targeted ASD responses from non-targeted responses. The model uses transformer capabilities to capture cross-domain correlations and feature-level dependencies across heterogeneous feature sources, and the quantum heads introduced via parameterized quantum circuits detect high-order, nonlinear relations in a Hilbert space via entanglement and superposition. Experimental results on the BCIAUT-P300 dataset better pure classical alternatives with higher diagnostic accuracy at higher accuracy (0.921) and F1-score (0.915). Statistical comparisons confirm that the hybrid approach yields significant improvements in discriminative reliability and diagnostic odds ratio, justifying quantum feature embedding's expressivity and efficiency. The results bear witness to the feasibility and potential of hybrid quantum-classical systems as potential future intelligent diagnostic devices for ASD responses from EEG signals.</t>
        </is>
      </c>
      <c r="W426" s="4" t="inlineStr">
        <is>
          <t>open_full_text_review_2026_09_04</t>
        </is>
      </c>
      <c r="X426" s="4" t="inlineStr">
        <is>
          <t>doi:10.1109/access.2025.3646589</t>
        </is>
      </c>
      <c r="Y426" s="4" t="n"/>
      <c r="Z426" s="4" t="n"/>
      <c r="AA426" s="4" t="n"/>
      <c r="AB426" s="40" t="n"/>
    </row>
    <row r="427" ht="409" customHeight="1">
      <c r="A427" s="4" t="n">
        <v>426</v>
      </c>
      <c r="B427" s="4" t="inlineStr">
        <is>
          <t>duplicate_within_export</t>
        </is>
      </c>
      <c r="C427" s="4" t="inlineStr">
        <is>
          <t>No agregar: duplicado interno</t>
        </is>
      </c>
      <c r="D427" s="4" t="inlineStr">
        <is>
          <t>Duplicate within update</t>
        </is>
      </c>
      <c r="E427" s="4" t="inlineStr">
        <is>
          <t>No</t>
        </is>
      </c>
      <c r="F427" s="4" t="inlineStr">
        <is>
          <t>Deduplication</t>
        </is>
      </c>
      <c r="G427" s="4" t="n"/>
      <c r="H427" s="4" t="n"/>
      <c r="I427" s="4" t="n"/>
      <c r="J427" s="4" t="inlineStr">
        <is>
          <t>Mismo DOI o título que otro registro anterior de esta exportación.</t>
        </is>
      </c>
      <c r="K427" s="4" t="n">
        <v>183</v>
      </c>
      <c r="L427" s="4" t="n"/>
      <c r="M427" s="4" t="n">
        <v>2025</v>
      </c>
      <c r="N427" s="4" t="inlineStr">
        <is>
          <t>Adaptive Multi-Scale Dynamic Graph Representation Learning With Overlapping Community-Awareness for ASD Classification</t>
        </is>
      </c>
      <c r="O427" s="4" t="inlineStr">
        <is>
          <t>Wenwen Zeng and Feiyu Yin and Pengfei Song and Yonghuang Wu and Chengqian Zhao and Guoqing Wu and Jinhua Yu</t>
        </is>
      </c>
      <c r="P427" s="4" t="inlineStr">
        <is>
          <t>10.1109/JBHI.2025.3622540</t>
        </is>
      </c>
      <c r="Q427" s="4" t="inlineStr">
        <is>
          <t>IEEE Journal of Biomedical and Health Informatics</t>
        </is>
      </c>
      <c r="R427" s="4" t="inlineStr">
        <is>
          <t>article</t>
        </is>
      </c>
      <c r="S427" s="4" t="inlineStr">
        <is>
          <t>Institute of Electrical and Electronics Engineers Inc.</t>
        </is>
      </c>
      <c r="T427" s="4" t="inlineStr">
        <is>
          <t>https://ieeexplore.ieee.org/document/11284680</t>
        </is>
      </c>
      <c r="U427" s="4" t="n"/>
      <c r="V427" s="4" t="inlineStr">
        <is>
          <t>In recent years, dynamic functional connectivity (dFC) has been widely employed for brain disease diagnosis. By leveraging the inherent topological characteristics of the brain, graph neural networks (GNNs) have emerged as prominent deep learning methods for utilizing dFC in this context. However, existing research has some limitations. Temporally, the conventional fixed-length sliding window approach often fails to capture the multi-scale temporal characteristics inherent in brain activity. Spatially, GNN-derived graph representations usually overlook the multi-network participation of brain regions. To address these limitations, we propose Ada-MST, an adaptive multi-scale spatio-temporal model utilizing multi-scale dFC for brain disease diagnosis. Our framework constructs personalized multi-scale dFC graphs that adapt to subject-specific temporal characteristics. Moreover, we introduce a novel overlapping community-aware readout module that incorporates the participation of brain regions in multiple functional networks, leading to more accurate graph-level representations. Experiments on ABIDE-I and ABIDE-II datasets demonstrate that our method outperforms state-of-the-art approaches. Visualization analysis further confirms the generalizability of the subject-adaptive graphs and their focus on disease-related brain activity. Furthermore, the fuzzy memberships revealed by our readout module indicate distinct patterns across diseases, suggesting the promise of considering functional community membership changes for exploring disease biomarkers.</t>
        </is>
      </c>
      <c r="W427" s="4" t="inlineStr">
        <is>
          <t>title_abstract_plus_targeted_primary_source_verification</t>
        </is>
      </c>
      <c r="X427" s="4" t="inlineStr">
        <is>
          <t>doi:10.1109/jbhi.2025.3622540</t>
        </is>
      </c>
      <c r="Y427" s="4" t="n"/>
      <c r="Z427" s="4" t="n"/>
      <c r="AA427" s="4" t="n"/>
      <c r="AB427" s="40" t="n"/>
    </row>
    <row r="428" ht="409" customHeight="1">
      <c r="A428" s="4" t="n">
        <v>427</v>
      </c>
      <c r="B428" s="4" t="inlineStr">
        <is>
          <t>include_after_full_text_open_access</t>
        </is>
      </c>
      <c r="C428" s="4" t="inlineStr">
        <is>
          <t>Incluir tras revisión de texto completo abierto</t>
        </is>
      </c>
      <c r="D428" s="4" t="inlineStr">
        <is>
          <t>Provisional include</t>
        </is>
      </c>
      <c r="E428" s="4" t="inlineStr">
        <is>
          <t>Sí</t>
        </is>
      </c>
      <c r="F428" s="4" t="inlineStr">
        <is>
          <t>Full-text review</t>
        </is>
      </c>
      <c r="G428" s="4" t="n"/>
      <c r="H428" s="4" t="n"/>
      <c r="I428" s="4" t="n"/>
      <c r="J428" s="4" t="inlineStr">
        <is>
          <t>Texto completo confirma estudio primario con Deep Learning aplicado a ASD (Classification (ASD vs control)).</t>
        </is>
      </c>
      <c r="K428" s="4" t="n"/>
      <c r="L428" s="4" t="n"/>
      <c r="M428" s="4" t="n">
        <v>2026</v>
      </c>
      <c r="N428" s="4" t="inlineStr">
        <is>
          <t>A Hybrid Multi-Branch Deep Learning Model for Autism Spectrum Disorder Detection Using Spatiotemporal Gait Analysis</t>
        </is>
      </c>
      <c r="O428" s="4" t="inlineStr">
        <is>
          <t>Ayagoz Mukhanova and Aizat Amirbay and Zhazira Taszhurekova and Abdugani Kholbekov and Khilola Khaydarova and Sabokhat Kalanova and Gulzira Abdikerimova and Aidana Akhmetova and Rohaya Latip and Makbal Baibulova</t>
        </is>
      </c>
      <c r="P428" s="4" t="inlineStr">
        <is>
          <t>10.1109/ACCESS.2026.3704046</t>
        </is>
      </c>
      <c r="Q428" s="4" t="inlineStr">
        <is>
          <t>IEEE Access</t>
        </is>
      </c>
      <c r="R428" s="4" t="inlineStr">
        <is>
          <t>article</t>
        </is>
      </c>
      <c r="S428" s="4" t="inlineStr">
        <is>
          <t>Institute of Electrical and Electronics Engineers Inc.</t>
        </is>
      </c>
      <c r="T428" s="4" t="inlineStr">
        <is>
          <t>https://doi.org/10.1109/access.2026.3704046</t>
        </is>
      </c>
      <c r="U428" s="4" t="inlineStr">
        <is>
          <t>Texto completo abierto revisado; evidencia y codificación en Extraccion_RQ_nuevos.</t>
        </is>
      </c>
      <c r="V428" s="4" t="inlineStr">
        <is>
          <t>Early and objective diagnosis of autism spectrum disorders (ASD) remains a pressing issue in modern medical and cognitive informatics, where motor behavior analysis is considered a promising source of digital biomarkers. In particular, kinematic gait characteristics obtained with contactless sensors enable the identification of subtle motor impairments that may not be apparent on visual assessment. In this paper, we propose a hybrid multi-branch deep learning model, HMB-TSC, for the automatic classification of children with ASD based on spatiotemporal gait data extracted from the Kinect v2 camera. An open dataset containing gait recordings of children with ASD and typically developing (TD) peers was used for the experiments. Data preprocessing included outlier filtering, feature normalization, feature expansion, and time-series segmentation using a sliding-window method. The HMB-TSC architecture combines three complementary branches: a Transformer for modeling global temporal dependencies, a CNN-BiLSTM for extracting local spatiotemporal patterns, and a CNN-BiGRU for efficient sequential analysis. The performance evaluation was conducted using the holdout, 5-fold, and 5 × 3 nested validation protocols. In a reproducible released run, HMB-TSC achieved Accuracy = 0.850, AUROC = 0.948, and F1 = 0.880 in holdout validation. Under 5-fold and 5 × 3 nested cross-validation, the model achieved Accuracy = 0.850 ± 0.035, AUROC = 0.940 ± 0.029, and F1 = 0.845 ± 0.036. Compared with the baseline CNN, LSTM, and Transformer models, the proposed model demonstrated strong and stable overall performance across validation protocols, especially in terms of AUROC and balanced F1-score.</t>
        </is>
      </c>
      <c r="W428" s="4" t="inlineStr">
        <is>
          <t>open_full_text_review_2026_09_04</t>
        </is>
      </c>
      <c r="X428" s="4" t="inlineStr">
        <is>
          <t>doi:10.1109/access.2026.3704046</t>
        </is>
      </c>
      <c r="Y428" s="4" t="n"/>
      <c r="Z428" s="4" t="n"/>
      <c r="AA428" s="4" t="n"/>
      <c r="AB428" s="40" t="n"/>
    </row>
    <row r="429" ht="409" customHeight="1">
      <c r="A429" s="4" t="n">
        <v>428</v>
      </c>
      <c r="B429" s="4" t="inlineStr">
        <is>
          <t>include_after_full_text_open_access</t>
        </is>
      </c>
      <c r="C429" s="4" t="inlineStr">
        <is>
          <t>Incluir tras revisión de texto completo abierto</t>
        </is>
      </c>
      <c r="D429" s="4" t="inlineStr">
        <is>
          <t>Provisional include</t>
        </is>
      </c>
      <c r="E429" s="4" t="inlineStr">
        <is>
          <t>Sí</t>
        </is>
      </c>
      <c r="F429" s="4" t="inlineStr">
        <is>
          <t>Full-text review</t>
        </is>
      </c>
      <c r="G429" s="4" t="n"/>
      <c r="H429" s="4" t="n"/>
      <c r="I429" s="4" t="n"/>
      <c r="J429" s="4" t="inlineStr">
        <is>
          <t>Texto completo confirma estudio primario con Deep Learning aplicado a ASD (ASD-related action recognition).</t>
        </is>
      </c>
      <c r="K429" s="4" t="n"/>
      <c r="L429" s="4" t="n"/>
      <c r="M429" s="4" t="n">
        <v>2026</v>
      </c>
      <c r="N429" s="4" t="inlineStr">
        <is>
          <t>Autism Action Dataset (AAD): A Comprehensive Video Benchmark for ASD Behavior Recognition Using Deep Learning</t>
        </is>
      </c>
      <c r="O429" s="4" t="inlineStr">
        <is>
          <t>Md Arif Shahriar and Md Zasim Uddin and Md Rafiul Islam Rafi and Most Farhana Akter and Fady Alnajjar and Md Atiqur Rahman Ahad</t>
        </is>
      </c>
      <c r="P429" s="4" t="inlineStr">
        <is>
          <t>10.1109/ACCESS.2026.3686583</t>
        </is>
      </c>
      <c r="Q429" s="4" t="inlineStr">
        <is>
          <t>IEEE Access</t>
        </is>
      </c>
      <c r="R429" s="4" t="inlineStr">
        <is>
          <t>article</t>
        </is>
      </c>
      <c r="S429" s="4" t="inlineStr">
        <is>
          <t>Institute of Electrical and Electronics Engineers Inc.</t>
        </is>
      </c>
      <c r="T429" s="4" t="inlineStr">
        <is>
          <t>https://doi.org/10.1109/access.2026.3686583</t>
        </is>
      </c>
      <c r="U429" s="4" t="inlineStr">
        <is>
          <t>Texto completo abierto revisado; evidencia y codificación en Extraccion_RQ_nuevos.</t>
        </is>
      </c>
      <c r="V429" s="4" t="inlineStr">
        <is>
          <t>Autism spectrum disorder (ASD) is a neurodevelopmental disorder characterized by impairments in social interaction, communication, and behavior. Accurately recognizing the behaviors of children with ASD is crucial for diagnosis and early intervention. Traditional clinician- or caregiver-based approaches are often time-consuming, subjective, and delayed. In contrast, computer vision, along with modern deep learning (DL)-based methods, offers promising alternative solutions. However, a significant obstacle for this purpose is the lack of large-scale, publicly available datasets of ASD-related behaviors. To address the gap, we present the Autism Action Dataset (AAD), a novel publicly available video dataset including 202 manually annotated videos with seven distinct ASD-related action classes: Jumping, Arm Flapping, Joint Attention, Spinning, Head Banging, Head Shaking, and Imitation. These videos were collected from diverse YouTube sources to ensure variability in environment and subject condition. We evaluated the dataset using several state-of-the-art convolutional neural network (CNN)-based action recognition benchmarks, including CNN-LSTM, Inflated 3D (I3D), SlowFast, and Expandable 3D (X3D), as well as transformer-based attention benchmarks such as Video Vision Transformer (ViViT) and Multiscale Vision Transformer (MViT). Additionally, we evaluated pre-trained models fine-tuned on our dataset, as well as models trained from scratch under 5-fold stratified cross-validation. Among fine-tuned pre-trained methods, X3D achieved the best performance, reaching an accuracy of 84.18% along with a 79.82% F1-score. When trained from scratch, I3D achieved the highest performance with an accuracy of 64.29% with a 59.29% F1-score. These results demonstrate both the value of the AAD dataset as a publicly available benchmark and the efficacy of the I3D and X3D methods for ASD behavior analysis. They provide a solid foundation for future research and the development of assistive diagnostic tools. The dataset, metadata, and corresponding benchmark result will be publicly available at https://github.com/reyadhasan605/Autism-Action-Dataset</t>
        </is>
      </c>
      <c r="W429" s="4" t="inlineStr">
        <is>
          <t>open_full_text_review_2026_09_04</t>
        </is>
      </c>
      <c r="X429" s="4" t="inlineStr">
        <is>
          <t>doi:10.1109/access.2026.3686583</t>
        </is>
      </c>
      <c r="Y429" s="4" t="n"/>
      <c r="Z429" s="4" t="n"/>
      <c r="AA429" s="4" t="n"/>
      <c r="AB429" s="40" t="n"/>
    </row>
    <row r="430" ht="409" customHeight="1">
      <c r="A430" s="4" t="n">
        <v>429</v>
      </c>
      <c r="B430" s="4" t="inlineStr">
        <is>
          <t>include_after_full_text_open_access</t>
        </is>
      </c>
      <c r="C430" s="4" t="inlineStr">
        <is>
          <t>Incluir tras revisión de texto completo abierto</t>
        </is>
      </c>
      <c r="D430" s="4" t="inlineStr">
        <is>
          <t>Provisional include</t>
        </is>
      </c>
      <c r="E430" s="4" t="inlineStr">
        <is>
          <t>Sí</t>
        </is>
      </c>
      <c r="F430" s="4" t="inlineStr">
        <is>
          <t>Full-text review</t>
        </is>
      </c>
      <c r="G430" s="4" t="n"/>
      <c r="H430" s="4" t="n"/>
      <c r="I430" s="4" t="n"/>
      <c r="J430" s="4" t="inlineStr">
        <is>
          <t>Texto completo confirma estudio primario con Machine Learning aplicado a ASD (Risk screening).</t>
        </is>
      </c>
      <c r="K430" s="4" t="n"/>
      <c r="L430" s="4" t="n"/>
      <c r="M430" s="4" t="n">
        <v>2026</v>
      </c>
      <c r="N430" s="4" t="inlineStr">
        <is>
          <t>A Data-Driven Approach for Autism Spectrum Disorder Screening</t>
        </is>
      </c>
      <c r="O430" s="4" t="inlineStr">
        <is>
          <t>Rafael Stubs Parpinelli and Gabriel Lenz Balatka and Max Hupfeld Toviansky and Maísa Fernandes Gomes and Tatiana Moura De Barros Sanches and Higor Dos Santos Alves and Marlon do Amaral Correa and Ismael Antiqueira Costa</t>
        </is>
      </c>
      <c r="P430" s="4" t="inlineStr">
        <is>
          <t>10.1109/ACCESS.2026.3650856</t>
        </is>
      </c>
      <c r="Q430" s="4" t="inlineStr">
        <is>
          <t>IEEE Access</t>
        </is>
      </c>
      <c r="R430" s="4" t="inlineStr">
        <is>
          <t>article</t>
        </is>
      </c>
      <c r="S430" s="4" t="inlineStr">
        <is>
          <t>Institute of Electrical and Electronics Engineers Inc.</t>
        </is>
      </c>
      <c r="T430" s="4" t="inlineStr">
        <is>
          <t>https://doi.org/10.1109/access.2026.3650856</t>
        </is>
      </c>
      <c r="U430" s="4" t="inlineStr">
        <is>
          <t>Texto completo abierto revisado; evidencia y codificación en Extraccion_RQ_nuevos.</t>
        </is>
      </c>
      <c r="V430" s="4" t="inlineStr">
        <is>
          <t>Autism spectrum disorder (ASD) is a brain development condition influenced by genes and environment, with no known cause or cure. The diagnosis is challenging due to the absence of biological markers, requiring various examinations and specialist input. Delayed diagnosis often results in late intervention, emphasizing the need for early, individualized therapeutic approaches to enhance quality of life. Current ASD research emphasizes early detection, integrating clinical assessments with advanced technology to expedite diagnosis. One alternative for achieving rapid detection is the use of Machine Learning (ML) models, which have shown potential in identifying patterns in datasets, aiding in early ASD diagnosis. For this purpose, a representative dataset needs to be used to train these models for the ASD classification task. However, healthcare providers often lack access to detailed diagnostic data, making ML model applications challenging. This study proposes utilizing non-diagnostic data from healthcare providers, such as requests for consultations and procedures, to develop ML models for ASD classification. The approach involves creating a dataset without diagnostic data, selecting essential variables, and training ML models for classification. The classifiers utilized were Random Forest, XGboost, Catboost and a stacking strategy to combine the base classifiers. Models trained with parameter tuning presented better results, and the stacking strategy achieved the accuracy of 73.62%. The present study demonstrates the predictive power of a new strategy for ASD screening, providing an alternative where traditional diagnostic data is unavailable. The proposed approach is running in a healthcare provider operator for ASD screening and is benefiting many children and adolescents with faster and more accurate diagnoses.</t>
        </is>
      </c>
      <c r="W430" s="4" t="inlineStr">
        <is>
          <t>open_full_text_review_2026_09_04</t>
        </is>
      </c>
      <c r="X430" s="4" t="inlineStr">
        <is>
          <t>doi:10.1109/access.2026.3650856</t>
        </is>
      </c>
      <c r="Y430" s="4" t="n"/>
      <c r="Z430" s="4" t="n"/>
      <c r="AA430" s="4" t="n"/>
      <c r="AB430" s="40" t="n"/>
    </row>
    <row r="431" ht="409" customHeight="1">
      <c r="A431" s="4" t="n">
        <v>430</v>
      </c>
      <c r="B431" s="4" t="inlineStr">
        <is>
          <t>exclude_secondary_or_nonempirical_publication</t>
        </is>
      </c>
      <c r="C431" s="4" t="inlineStr">
        <is>
          <t>Excluir: publicación secundaria/no empírica</t>
        </is>
      </c>
      <c r="D431" s="4" t="inlineStr">
        <is>
          <t>Excluded</t>
        </is>
      </c>
      <c r="E431" s="4" t="inlineStr">
        <is>
          <t>No</t>
        </is>
      </c>
      <c r="F431" s="4" t="inlineStr">
        <is>
          <t>Title/abstract screening</t>
        </is>
      </c>
      <c r="G431" s="4" t="n"/>
      <c r="H431" s="4" t="n"/>
      <c r="I431" s="4" t="n"/>
      <c r="J431" s="4" t="inlineStr">
        <is>
          <t>Revisión, metaanálisis, encuesta de literatura, protocolo, perspectiva, carta, editorial o capítulo de síntesis sin estudio primario elegible.</t>
        </is>
      </c>
      <c r="K431" s="4" t="n"/>
      <c r="L431" s="4" t="n"/>
      <c r="M431" s="4" t="n">
        <v>2026</v>
      </c>
      <c r="N431" s="4" t="inlineStr">
        <is>
          <t>Advancing Autism Spectrum Disorder Diagnosis with Multimodal Data: A Survey</t>
        </is>
      </c>
      <c r="O431" s="4" t="inlineStr">
        <is>
          <t>K Namitha and S Girish and M P Anuvind and R S.Harish Kumar and Harishankar Binu Nair and Dhanya Chandran</t>
        </is>
      </c>
      <c r="P431" s="4" t="inlineStr">
        <is>
          <t>10.1109/OJCS.2026.3666102</t>
        </is>
      </c>
      <c r="Q431" s="4" t="inlineStr">
        <is>
          <t>IEEE Open Journal of the Computer Society</t>
        </is>
      </c>
      <c r="R431" s="4" t="inlineStr">
        <is>
          <t>article</t>
        </is>
      </c>
      <c r="S431" s="4" t="inlineStr">
        <is>
          <t>Institute of Electrical and Electronics Engineers Inc.</t>
        </is>
      </c>
      <c r="T431" s="4" t="inlineStr">
        <is>
          <t>https://ieeexplore.ieee.org/document/11398113</t>
        </is>
      </c>
      <c r="U431" s="4" t="n"/>
      <c r="V431" s="4" t="inlineStr">
        <is>
          <t>Autism Spectrum Disorder (ASD) is a complicated neurodevelopmental condition characterised by a variety of behavioural and communication challenges, marking timely and accurate diagnosis and intervention essential. Despite their widespread occurrence, conventional diagnostic methods like clinical observations and standardised questionnaires are hindered by issues like subjectivity, practitioner variability, and long evaluation durations and existing works using AI for diagnosis falters as they fail to capture range of symptoms, generalizability across cohorts and a lot more challenges. This survey compiles a comprehensive set of ASD datasets, including the limited multimodal collections, and outlines clear modality specific preprocessing steps that ensures data quality. By reviewing prior multimodal fusion surveys and highlighting breakthroughs across individual modalities with the main fusion studies, it establishes a unified view of the diagnostic approach and the fusion techniques used in ASD research. Furthermore, the survey explains the advantages of multimodal fusion, summarises the major limitations reported across existing work, and introduces a simple taxonomy with practical solutions that address these challenges and guide future development.</t>
        </is>
      </c>
      <c r="W431" s="4" t="inlineStr">
        <is>
          <t>title_abstract_plus_targeted_primary_source_verification</t>
        </is>
      </c>
      <c r="X431" s="4" t="inlineStr">
        <is>
          <t>doi:10.1109/ojcs.2026.3666102</t>
        </is>
      </c>
      <c r="Y431" s="4" t="n"/>
      <c r="Z431" s="4" t="n"/>
      <c r="AA431" s="4" t="n"/>
      <c r="AB431" s="40"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193"/>
  <sheetViews>
    <sheetView showGridLines="0" workbookViewId="0">
      <selection activeCell="A1" sqref="A1"/>
    </sheetView>
  </sheetViews>
  <sheetFormatPr baseColWidth="8" defaultRowHeight="15"/>
  <cols>
    <col width="14" customWidth="1" min="1" max="1"/>
    <col width="20" customWidth="1" min="2" max="2"/>
    <col width="55" customWidth="1" min="3" max="3"/>
    <col width="44" customWidth="1" min="4" max="4"/>
    <col width="20" customWidth="1" min="5" max="5"/>
    <col width="20" customWidth="1" min="6" max="6"/>
    <col width="28" customWidth="1" min="7" max="7"/>
    <col width="20" customWidth="1" min="8" max="8"/>
    <col width="44" customWidth="1" min="9" max="9"/>
    <col width="20" customWidth="1" min="10" max="10"/>
    <col width="20" customWidth="1" min="11" max="11"/>
    <col width="65" customWidth="1" min="12" max="12"/>
  </cols>
  <sheetData>
    <row r="1" ht="52" customHeight="1">
      <c r="A1" s="6" t="inlineStr">
        <is>
          <t>bib_index</t>
        </is>
      </c>
      <c r="B1" s="6" t="inlineStr">
        <is>
          <t>año</t>
        </is>
      </c>
      <c r="C1" s="6" t="inlineStr">
        <is>
          <t>título</t>
        </is>
      </c>
      <c r="D1" s="6" t="inlineStr">
        <is>
          <t>DOI</t>
        </is>
      </c>
      <c r="E1" s="6" t="inlineStr">
        <is>
          <t>report_located</t>
        </is>
      </c>
      <c r="F1" s="6" t="inlineStr">
        <is>
          <t>oa_location_identified</t>
        </is>
      </c>
      <c r="G1" s="6" t="inlineStr">
        <is>
          <t>oa_status</t>
        </is>
      </c>
      <c r="H1" s="6" t="inlineStr">
        <is>
          <t>license</t>
        </is>
      </c>
      <c r="I1" s="6" t="inlineStr">
        <is>
          <t>source_url</t>
        </is>
      </c>
      <c r="J1" s="6" t="inlineStr">
        <is>
          <t>full_text_evaluable</t>
        </is>
      </c>
      <c r="K1" s="6" t="inlineStr">
        <is>
          <t>full_text_decision</t>
        </is>
      </c>
      <c r="L1" s="6" t="inlineStr">
        <is>
          <t>access_note</t>
        </is>
      </c>
    </row>
    <row r="2" ht="47" customHeight="1">
      <c r="A2" s="4" t="n">
        <v>1</v>
      </c>
      <c r="B2" s="4" t="n">
        <v>2025</v>
      </c>
      <c r="C2" s="4" t="inlineStr">
        <is>
          <t>A novel thermal imaging-based framework for continuous ASD classification and behavior analysis using facial mood and skin temperature features</t>
        </is>
      </c>
      <c r="D2" s="4" t="inlineStr">
        <is>
          <t>10.1016/j.bspc.2024.107009</t>
        </is>
      </c>
      <c r="E2" s="4" t="inlineStr">
        <is>
          <t>Yes</t>
        </is>
      </c>
      <c r="F2" s="4" t="inlineStr">
        <is>
          <t>No</t>
        </is>
      </c>
      <c r="G2" s="4" t="inlineStr">
        <is>
          <t>closed</t>
        </is>
      </c>
      <c r="H2" s="4" t="n"/>
      <c r="I2" s="4" t="inlineStr">
        <is>
          <t>https://www.sciencedirect.com/science/article/pii/S174680942401067X</t>
        </is>
      </c>
      <c r="J2" s="4" t="inlineStr">
        <is>
          <t>Yes</t>
        </is>
      </c>
      <c r="K2" s="4" t="inlineStr">
        <is>
          <t>Include</t>
        </is>
      </c>
      <c r="L2" s="4" t="inlineStr">
        <is>
          <t>Contenido integral evaluable revisado; ver nivel exacto de fuente, evidencia y cautelas en Lote_01_25.</t>
        </is>
      </c>
    </row>
    <row r="3" ht="34" customHeight="1">
      <c r="A3" s="4" t="n">
        <v>3</v>
      </c>
      <c r="B3" s="4" t="n">
        <v>2025</v>
      </c>
      <c r="C3" s="4" t="inlineStr">
        <is>
          <t>Efficient machine learning models across multiple datasets for autism spectrum disorder diagnoses</t>
        </is>
      </c>
      <c r="D3" s="4" t="inlineStr">
        <is>
          <t>10.1016/j.bspc.2024.106949</t>
        </is>
      </c>
      <c r="E3" s="4" t="inlineStr">
        <is>
          <t>Yes</t>
        </is>
      </c>
      <c r="F3" s="4" t="inlineStr">
        <is>
          <t>No</t>
        </is>
      </c>
      <c r="G3" s="4" t="inlineStr">
        <is>
          <t>closed</t>
        </is>
      </c>
      <c r="H3" s="4" t="n"/>
      <c r="I3" s="4" t="inlineStr">
        <is>
          <t>https://www.sciencedirect.com/science/article/pii/S1746809424010073</t>
        </is>
      </c>
      <c r="J3" s="4" t="inlineStr">
        <is>
          <t>Yes</t>
        </is>
      </c>
      <c r="K3" s="4" t="inlineStr">
        <is>
          <t>Include</t>
        </is>
      </c>
      <c r="L3" s="4" t="inlineStr">
        <is>
          <t>Contenido integral evaluable revisado; ver nivel exacto de fuente, evidencia y cautelas en Lote_01_25.</t>
        </is>
      </c>
    </row>
    <row r="4" ht="73" customHeight="1">
      <c r="A4" s="4" t="n">
        <v>4</v>
      </c>
      <c r="B4" s="4" t="n">
        <v>2025</v>
      </c>
      <c r="C4" s="4" t="inlineStr">
        <is>
          <t>EmoLand: Utilizing narrative animations, multilevel games, and affective computing to foster emotional development in children with autism spectrum disorder</t>
        </is>
      </c>
      <c r="D4" s="4" t="inlineStr">
        <is>
          <t>10.1016/j.ijhcs.2025.103486</t>
        </is>
      </c>
      <c r="E4" s="4" t="inlineStr">
        <is>
          <t>Yes</t>
        </is>
      </c>
      <c r="F4" s="4" t="inlineStr">
        <is>
          <t>Yes</t>
        </is>
      </c>
      <c r="G4" s="4" t="inlineStr">
        <is>
          <t>hybrid</t>
        </is>
      </c>
      <c r="H4" s="4" t="inlineStr">
        <is>
          <t>cc-by-nc-nd</t>
        </is>
      </c>
      <c r="I4" s="4" t="inlineStr">
        <is>
          <t>https://www.researchgate.net/publication/389491878_EmoLand_Utilizing_Narrative_Animations_Multilevel_Games_and_Affective_Computing_to_Foster_Emotional_Development_in_Children_with_Autism_Spectrum_Disorder</t>
        </is>
      </c>
      <c r="J4" s="4" t="inlineStr">
        <is>
          <t>Yes</t>
        </is>
      </c>
      <c r="K4" s="4" t="inlineStr">
        <is>
          <t>Include</t>
        </is>
      </c>
      <c r="L4" s="4" t="inlineStr">
        <is>
          <t>Contenido integral evaluable revisado; ver nivel exacto de fuente, evidencia y cautelas en Lote_01_25.</t>
        </is>
      </c>
    </row>
    <row r="5" ht="47" customHeight="1">
      <c r="A5" s="4" t="n">
        <v>5</v>
      </c>
      <c r="B5" s="4" t="n">
        <v>2025</v>
      </c>
      <c r="C5" s="4" t="inlineStr">
        <is>
          <t>An exploration of machine learning approaches for early Autism Spectrum Disorder detection</t>
        </is>
      </c>
      <c r="D5" s="4" t="inlineStr">
        <is>
          <t>10.1016/j.health.2024.100379</t>
        </is>
      </c>
      <c r="E5" s="4" t="inlineStr">
        <is>
          <t>Yes</t>
        </is>
      </c>
      <c r="F5" s="4" t="inlineStr">
        <is>
          <t>Yes</t>
        </is>
      </c>
      <c r="G5" s="4" t="inlineStr">
        <is>
          <t>gold</t>
        </is>
      </c>
      <c r="H5" s="4" t="inlineStr">
        <is>
          <t>cc-by-nc-nd</t>
        </is>
      </c>
      <c r="I5" s="4" t="inlineStr">
        <is>
          <t>https://www.sciencedirect.com/science/article/pii/S2772442524000819</t>
        </is>
      </c>
      <c r="J5" s="4" t="inlineStr">
        <is>
          <t>Yes</t>
        </is>
      </c>
      <c r="K5" s="4" t="inlineStr">
        <is>
          <t>Include</t>
        </is>
      </c>
      <c r="L5" s="4" t="inlineStr">
        <is>
          <t>Contenido primario accesible suficiente para adjudicación y codificación RQ; no implica que se haya adquirido una copia editorial cerrada. Requiere verificación independiente.</t>
        </is>
      </c>
    </row>
    <row r="6" ht="34" customHeight="1">
      <c r="A6" s="4" t="n">
        <v>7</v>
      </c>
      <c r="B6" s="4" t="n">
        <v>2025</v>
      </c>
      <c r="C6" s="4" t="inlineStr">
        <is>
          <t>Hybrid optimization enabled DenseNet for autism spectrum disorders using MRI image</t>
        </is>
      </c>
      <c r="D6" s="4" t="inlineStr">
        <is>
          <t>10.1016/j.compbiolchem.2024.108335</t>
        </is>
      </c>
      <c r="E6" s="4" t="inlineStr">
        <is>
          <t>Yes</t>
        </is>
      </c>
      <c r="F6" s="4" t="inlineStr">
        <is>
          <t>No</t>
        </is>
      </c>
      <c r="G6" s="4" t="inlineStr">
        <is>
          <t>closed</t>
        </is>
      </c>
      <c r="H6" s="4" t="n"/>
      <c r="I6" s="4" t="inlineStr">
        <is>
          <t>https://www.sciencedirect.com/science/article/pii/S1476927124003232</t>
        </is>
      </c>
      <c r="J6" s="4" t="inlineStr">
        <is>
          <t>Yes</t>
        </is>
      </c>
      <c r="K6" s="4" t="inlineStr">
        <is>
          <t>Include</t>
        </is>
      </c>
      <c r="L6" s="4" t="inlineStr">
        <is>
          <t>Contenido integral evaluable revisado; ver nivel exacto de fuente, evidencia y cautelas en Lote_01_25.</t>
        </is>
      </c>
    </row>
    <row r="7" ht="47" customHeight="1">
      <c r="A7" s="4" t="n">
        <v>11</v>
      </c>
      <c r="B7" s="4" t="n">
        <v>2025</v>
      </c>
      <c r="C7" s="4" t="inlineStr">
        <is>
          <t>Ensembler_fMRI: An Intelligent Approach for the Early Prediction of Autism Disorder</t>
        </is>
      </c>
      <c r="D7" s="4" t="inlineStr">
        <is>
          <t>10.1016/j.procs.2025.04.142</t>
        </is>
      </c>
      <c r="E7" s="4" t="inlineStr">
        <is>
          <t>Yes</t>
        </is>
      </c>
      <c r="F7" s="4" t="inlineStr">
        <is>
          <t>Yes</t>
        </is>
      </c>
      <c r="G7" s="4" t="inlineStr">
        <is>
          <t>diamond</t>
        </is>
      </c>
      <c r="H7" s="4" t="inlineStr">
        <is>
          <t>cc-by-nc</t>
        </is>
      </c>
      <c r="I7" s="4" t="inlineStr">
        <is>
          <t>https://www.sciencedirect.com/science/article/pii/S187705092501244X</t>
        </is>
      </c>
      <c r="J7" s="4" t="inlineStr">
        <is>
          <t>Yes</t>
        </is>
      </c>
      <c r="K7" s="4" t="inlineStr">
        <is>
          <t>Include</t>
        </is>
      </c>
      <c r="L7" s="4" t="inlineStr">
        <is>
          <t>Contenido primario accesible suficiente para adjudicación y codificación RQ; no implica que se haya adquirido una copia editorial cerrada. Requiere verificación independiente.</t>
        </is>
      </c>
    </row>
    <row r="8" ht="47" customHeight="1">
      <c r="A8" s="4" t="n">
        <v>12</v>
      </c>
      <c r="B8" s="4" t="n">
        <v>2025</v>
      </c>
      <c r="C8" s="4" t="inlineStr">
        <is>
          <t>Integration of an Artificial Intelligence–Based Autism Diagnostic Device into the ECHO Autism Primary Care Workflow: Prospective Observational Study</t>
        </is>
      </c>
      <c r="D8" s="4" t="inlineStr">
        <is>
          <t>10.2196/80733</t>
        </is>
      </c>
      <c r="E8" s="4" t="inlineStr">
        <is>
          <t>Yes</t>
        </is>
      </c>
      <c r="F8" s="4" t="inlineStr">
        <is>
          <t>Yes</t>
        </is>
      </c>
      <c r="G8" s="4" t="inlineStr">
        <is>
          <t>gold</t>
        </is>
      </c>
      <c r="H8" s="4" t="inlineStr">
        <is>
          <t>cc-by</t>
        </is>
      </c>
      <c r="I8" s="4" t="inlineStr">
        <is>
          <t>https://doi.org/10.2196/80733</t>
        </is>
      </c>
      <c r="J8" s="4" t="inlineStr">
        <is>
          <t>Yes</t>
        </is>
      </c>
      <c r="K8" s="4" t="inlineStr">
        <is>
          <t>Include</t>
        </is>
      </c>
      <c r="L8" s="4" t="inlineStr">
        <is>
          <t>Texto abierto evaluable revisado; extracción RQ disponible.</t>
        </is>
      </c>
    </row>
    <row r="9" ht="47" customHeight="1">
      <c r="A9" s="4" t="n">
        <v>13</v>
      </c>
      <c r="B9" s="4" t="n">
        <v>2025</v>
      </c>
      <c r="C9" s="4" t="inlineStr">
        <is>
          <t>In-silico assessment of dynamic symbiotic microbial interactions in a reduced microbiota related to the autism spectrum disorder symptoms</t>
        </is>
      </c>
      <c r="D9" s="4" t="inlineStr">
        <is>
          <t>10.1016/j.csbj.2025.09.006</t>
        </is>
      </c>
      <c r="E9" s="4" t="inlineStr">
        <is>
          <t>Yes</t>
        </is>
      </c>
      <c r="F9" s="4" t="inlineStr">
        <is>
          <t>Yes</t>
        </is>
      </c>
      <c r="G9" s="4" t="inlineStr">
        <is>
          <t>gold</t>
        </is>
      </c>
      <c r="H9" s="4" t="n"/>
      <c r="I9" s="4" t="inlineStr">
        <is>
          <t>https://doi.org/10.1016/j.csbj.2025.09.006</t>
        </is>
      </c>
      <c r="J9" s="4" t="inlineStr">
        <is>
          <t>Yes</t>
        </is>
      </c>
      <c r="K9" s="4" t="inlineStr">
        <is>
          <t>Include</t>
        </is>
      </c>
      <c r="L9" s="4" t="inlineStr">
        <is>
          <t>Texto abierto evaluable revisado; extracción RQ disponible.</t>
        </is>
      </c>
    </row>
    <row r="10" ht="34" customHeight="1">
      <c r="A10" s="4" t="n">
        <v>15</v>
      </c>
      <c r="B10" s="4" t="n">
        <v>2025</v>
      </c>
      <c r="C10" s="4" t="inlineStr">
        <is>
          <t>MCBERT: A multi-modal framework for the diagnosis of autism spectrum disorder</t>
        </is>
      </c>
      <c r="D10" s="4" t="inlineStr">
        <is>
          <t>10.1016/j.biopsycho.2024.108976</t>
        </is>
      </c>
      <c r="E10" s="4" t="inlineStr">
        <is>
          <t>Yes</t>
        </is>
      </c>
      <c r="F10" s="4" t="inlineStr">
        <is>
          <t>No</t>
        </is>
      </c>
      <c r="G10" s="4" t="inlineStr">
        <is>
          <t>closed</t>
        </is>
      </c>
      <c r="H10" s="4" t="n"/>
      <c r="I10" s="4" t="inlineStr">
        <is>
          <t>https://www.sciencedirect.com/science/article/pii/S0301051124002369</t>
        </is>
      </c>
      <c r="J10" s="4" t="inlineStr">
        <is>
          <t>Yes</t>
        </is>
      </c>
      <c r="K10" s="4" t="inlineStr">
        <is>
          <t>Include</t>
        </is>
      </c>
      <c r="L10" s="4" t="inlineStr">
        <is>
          <t>Contenido integral evaluable revisado; ver nivel exacto de fuente, evidencia y cautelas en Lote_01_25.</t>
        </is>
      </c>
    </row>
    <row r="11" ht="60" customHeight="1">
      <c r="A11" s="4" t="n">
        <v>16</v>
      </c>
      <c r="B11" s="4" t="n">
        <v>2025</v>
      </c>
      <c r="C11" s="4" t="inlineStr">
        <is>
          <t>Unraveling pathogenesis and potential biomarkers for autism spectrum disorder associated with HIF1A pathway based on machine learning and experiment validation</t>
        </is>
      </c>
      <c r="D11" s="4" t="inlineStr">
        <is>
          <t>10.1016/j.nbd.2024.106763</t>
        </is>
      </c>
      <c r="E11" s="4" t="inlineStr">
        <is>
          <t>Yes</t>
        </is>
      </c>
      <c r="F11" s="4" t="inlineStr">
        <is>
          <t>Yes</t>
        </is>
      </c>
      <c r="G11" s="4" t="inlineStr">
        <is>
          <t>gold</t>
        </is>
      </c>
      <c r="H11" s="4" t="inlineStr">
        <is>
          <t>cc-by-nc-nd</t>
        </is>
      </c>
      <c r="I11" s="4" t="inlineStr">
        <is>
          <t>https://pubmed.ncbi.nlm.nih.gov/?term=10.1016%2Fj.nbd.2024.106763</t>
        </is>
      </c>
      <c r="J11" s="4" t="inlineStr">
        <is>
          <t>Yes</t>
        </is>
      </c>
      <c r="K11" s="4" t="inlineStr">
        <is>
          <t>Include</t>
        </is>
      </c>
      <c r="L11" s="4" t="inlineStr">
        <is>
          <t>Contenido primario accesible suficiente para adjudicación y codificación RQ; no implica que se haya adquirido una copia editorial cerrada. Requiere verificación independiente.</t>
        </is>
      </c>
    </row>
    <row r="12" ht="47" customHeight="1">
      <c r="A12" s="4" t="n">
        <v>21</v>
      </c>
      <c r="B12" s="4" t="n">
        <v>2025</v>
      </c>
      <c r="C12" s="4" t="inlineStr">
        <is>
          <t>Screening biomarkers for autism spectrum disorder using plasma proteomics combined with machine learning methods</t>
        </is>
      </c>
      <c r="D12" s="4" t="inlineStr">
        <is>
          <t>10.1016/j.cca.2024.120018</t>
        </is>
      </c>
      <c r="E12" s="4" t="inlineStr">
        <is>
          <t>Yes</t>
        </is>
      </c>
      <c r="F12" s="4" t="inlineStr">
        <is>
          <t>No</t>
        </is>
      </c>
      <c r="G12" s="4" t="inlineStr">
        <is>
          <t>closed</t>
        </is>
      </c>
      <c r="H12" s="4" t="n"/>
      <c r="I12" s="4" t="inlineStr">
        <is>
          <t>https://www.sciencedirect.com/science/article/pii/S000989812402271X</t>
        </is>
      </c>
      <c r="J12" s="4" t="inlineStr">
        <is>
          <t>Yes</t>
        </is>
      </c>
      <c r="K12" s="4" t="inlineStr">
        <is>
          <t>Include</t>
        </is>
      </c>
      <c r="L12" s="4" t="inlineStr">
        <is>
          <t>Contenido integral evaluable revisado; ver nivel exacto de fuente, evidencia y cautelas en Lote_01_25.</t>
        </is>
      </c>
    </row>
    <row r="13" ht="47" customHeight="1">
      <c r="A13" s="4" t="n">
        <v>23</v>
      </c>
      <c r="B13" s="4" t="n">
        <v>2025</v>
      </c>
      <c r="C13" s="4" t="inlineStr">
        <is>
          <t>Introducing 3DCNN ResNets for ASD full-body kinematic assessment: A comparison with hand-crafted features</t>
        </is>
      </c>
      <c r="D13" s="4" t="inlineStr">
        <is>
          <t>10.1016/j.eswa.2024.126295</t>
        </is>
      </c>
      <c r="E13" s="4" t="inlineStr">
        <is>
          <t>Yes</t>
        </is>
      </c>
      <c r="F13" s="4" t="inlineStr">
        <is>
          <t>Yes</t>
        </is>
      </c>
      <c r="G13" s="4" t="inlineStr">
        <is>
          <t>hybrid</t>
        </is>
      </c>
      <c r="H13" s="4" t="inlineStr">
        <is>
          <t>cc-by</t>
        </is>
      </c>
      <c r="I13" s="4" t="inlineStr">
        <is>
          <t>https://riunet.upv.es/bitstreams/7dfd9135-24ed-4b77-af02-6141eb544c60/download</t>
        </is>
      </c>
      <c r="J13" s="4" t="inlineStr">
        <is>
          <t>Yes</t>
        </is>
      </c>
      <c r="K13" s="4" t="inlineStr">
        <is>
          <t>Include</t>
        </is>
      </c>
      <c r="L13" s="4" t="inlineStr">
        <is>
          <t>Contenido integral evaluable revisado; ver nivel exacto de fuente, evidencia y cautelas en Lote_01_25.</t>
        </is>
      </c>
    </row>
    <row r="14" ht="47" customHeight="1">
      <c r="A14" s="4" t="n">
        <v>27</v>
      </c>
      <c r="B14" s="4" t="n">
        <v>2025</v>
      </c>
      <c r="C14" s="4" t="inlineStr">
        <is>
          <t>Developing a simplified measure to predict the risk of autism spectrum disorders: Abbreviating the M-CHAT-R using a machine learning approach in China</t>
        </is>
      </c>
      <c r="D14" s="4" t="inlineStr">
        <is>
          <t>10.1016/j.psychres.2025.116353</t>
        </is>
      </c>
      <c r="E14" s="4" t="inlineStr">
        <is>
          <t>Yes</t>
        </is>
      </c>
      <c r="F14" s="4" t="inlineStr">
        <is>
          <t>Yes</t>
        </is>
      </c>
      <c r="G14" s="4" t="inlineStr">
        <is>
          <t>hybrid</t>
        </is>
      </c>
      <c r="H14" s="4" t="inlineStr">
        <is>
          <t>cc-by</t>
        </is>
      </c>
      <c r="I14" s="4" t="inlineStr">
        <is>
          <t>https://pubmed.ncbi.nlm.nih.gov/39793526/</t>
        </is>
      </c>
      <c r="J14" s="4" t="inlineStr">
        <is>
          <t>Yes</t>
        </is>
      </c>
      <c r="K14" s="4" t="inlineStr">
        <is>
          <t>Include</t>
        </is>
      </c>
      <c r="L14" s="4" t="inlineStr">
        <is>
          <t>Contenido primario accesible suficiente para adjudicación y codificación RQ; no implica que se haya adquirido una copia editorial cerrada. Requiere verificación independiente.</t>
        </is>
      </c>
    </row>
    <row r="15" ht="47" customHeight="1">
      <c r="A15" s="4" t="n">
        <v>31</v>
      </c>
      <c r="B15" s="4" t="n">
        <v>2025</v>
      </c>
      <c r="C15" s="4" t="inlineStr">
        <is>
          <t>Replication of rs10099100 Association with Autism Spectrum Disorder Risk in a Polish‐Origin Cohort</t>
        </is>
      </c>
      <c r="D15" s="4" t="inlineStr">
        <is>
          <t>10.1016/j.reia.2025.202542</t>
        </is>
      </c>
      <c r="E15" s="4" t="inlineStr">
        <is>
          <t>Yes</t>
        </is>
      </c>
      <c r="F15" s="4" t="inlineStr">
        <is>
          <t>No</t>
        </is>
      </c>
      <c r="G15" s="4" t="inlineStr">
        <is>
          <t>closed</t>
        </is>
      </c>
      <c r="H15" s="4" t="n"/>
      <c r="I15" s="4" t="inlineStr">
        <is>
          <t>https://www.sciencedirect.com/science/article/pii/S3050656525000148</t>
        </is>
      </c>
      <c r="J15" s="4" t="inlineStr">
        <is>
          <t>Yes</t>
        </is>
      </c>
      <c r="K15" s="4" t="inlineStr">
        <is>
          <t>Include</t>
        </is>
      </c>
      <c r="L15" s="4" t="inlineStr">
        <is>
          <t>Contenido primario accesible suficiente para adjudicación y codificación RQ; no implica que se haya adquirido una copia editorial cerrada. Requiere verificación independiente.</t>
        </is>
      </c>
    </row>
    <row r="16" ht="47" customHeight="1">
      <c r="A16" s="4" t="n">
        <v>34</v>
      </c>
      <c r="B16" s="4" t="n">
        <v>2025</v>
      </c>
      <c r="C16" s="4" t="inlineStr">
        <is>
          <t>Diagnosis of autism spectrum disorder—prediction and analysis of enhanced classification model based on machine learning</t>
        </is>
      </c>
      <c r="D16" s="4" t="inlineStr">
        <is>
          <t>10.1016/B978-0-443-30080-6.00018-3</t>
        </is>
      </c>
      <c r="E16" s="4" t="inlineStr">
        <is>
          <t>Yes</t>
        </is>
      </c>
      <c r="F16" s="4" t="inlineStr">
        <is>
          <t>No</t>
        </is>
      </c>
      <c r="G16" s="4" t="inlineStr">
        <is>
          <t>closed</t>
        </is>
      </c>
      <c r="H16" s="4" t="n"/>
      <c r="I16" s="4" t="inlineStr">
        <is>
          <t>https://www.sciencedirect.com/science/chapter/edited-volume/pii/B9780443300806000183</t>
        </is>
      </c>
      <c r="J16" s="4" t="inlineStr">
        <is>
          <t>Yes</t>
        </is>
      </c>
      <c r="K16" s="4" t="inlineStr">
        <is>
          <t>Exclude</t>
        </is>
      </c>
      <c r="L16" s="4" t="inlineStr">
        <is>
          <t>Contenido empírico evaluable, pero el registro es un capítulo autónomo de libro editado y queda excluido por tipo de publicación bajo el criterio reconciliado del 2026-09-07.</t>
        </is>
      </c>
    </row>
    <row r="17" ht="60" customHeight="1">
      <c r="A17" s="4" t="n">
        <v>35</v>
      </c>
      <c r="B17" s="4" t="n">
        <v>2025</v>
      </c>
      <c r="C17" s="4" t="inlineStr">
        <is>
          <t>Deep Learning Approaches for Classifying Children With and Without Autism Spectrum Disorder Using Inertial Measurement Unit Hand Tracking Data: Comparative Study</t>
        </is>
      </c>
      <c r="D17" s="4" t="inlineStr">
        <is>
          <t>10.2196/73440</t>
        </is>
      </c>
      <c r="E17" s="4" t="inlineStr">
        <is>
          <t>Yes</t>
        </is>
      </c>
      <c r="F17" s="4" t="inlineStr">
        <is>
          <t>Yes</t>
        </is>
      </c>
      <c r="G17" s="4" t="inlineStr">
        <is>
          <t>gold</t>
        </is>
      </c>
      <c r="H17" s="4" t="inlineStr">
        <is>
          <t>cc-by</t>
        </is>
      </c>
      <c r="I17" s="4" t="inlineStr">
        <is>
          <t>https://doi.org/10.2196/73440</t>
        </is>
      </c>
      <c r="J17" s="4" t="inlineStr">
        <is>
          <t>Yes</t>
        </is>
      </c>
      <c r="K17" s="4" t="inlineStr">
        <is>
          <t>Include</t>
        </is>
      </c>
      <c r="L17" s="4" t="inlineStr">
        <is>
          <t>Texto abierto evaluable revisado; extracción RQ disponible.</t>
        </is>
      </c>
    </row>
    <row r="18" ht="47" customHeight="1">
      <c r="A18" s="4" t="n">
        <v>37</v>
      </c>
      <c r="B18" s="4" t="n">
        <v>2025</v>
      </c>
      <c r="C18" s="4" t="inlineStr">
        <is>
          <t>Design of adaptive recommendation system for autism children using optimal feature selection-based adaptive dilated 1DCNN-LSTM with attention mechanism</t>
        </is>
      </c>
      <c r="D18" s="4" t="inlineStr">
        <is>
          <t>10.1016/j.eswa.2024.125399</t>
        </is>
      </c>
      <c r="E18" s="4" t="inlineStr">
        <is>
          <t>Yes</t>
        </is>
      </c>
      <c r="F18" s="4" t="inlineStr">
        <is>
          <t>No</t>
        </is>
      </c>
      <c r="G18" s="4" t="inlineStr">
        <is>
          <t>closed</t>
        </is>
      </c>
      <c r="H18" s="4" t="n"/>
      <c r="I18" s="4" t="inlineStr">
        <is>
          <t>https://www.sciencedirect.com/science/article/abs/pii/S0957417424022668</t>
        </is>
      </c>
      <c r="J18" s="4" t="inlineStr">
        <is>
          <t>Yes</t>
        </is>
      </c>
      <c r="K18" s="4" t="inlineStr">
        <is>
          <t>Include</t>
        </is>
      </c>
      <c r="L18" s="4" t="inlineStr">
        <is>
          <t>Contenido integral evaluable revisado; ver nivel exacto de fuente, evidencia y cautelas en Lote_01_25.</t>
        </is>
      </c>
    </row>
    <row r="19" ht="34" customHeight="1">
      <c r="A19" s="4" t="n">
        <v>38</v>
      </c>
      <c r="B19" s="4" t="n">
        <v>2025</v>
      </c>
      <c r="C19" s="4" t="inlineStr">
        <is>
          <t>Early detection of autism spectrum disorder using explainable AI and optimized teaching strategies</t>
        </is>
      </c>
      <c r="D19" s="4" t="inlineStr">
        <is>
          <t>10.1016/j.jneumeth.2024.110315</t>
        </is>
      </c>
      <c r="E19" s="4" t="inlineStr">
        <is>
          <t>Yes</t>
        </is>
      </c>
      <c r="F19" s="4" t="inlineStr">
        <is>
          <t>No</t>
        </is>
      </c>
      <c r="G19" s="4" t="inlineStr">
        <is>
          <t>closed</t>
        </is>
      </c>
      <c r="H19" s="4" t="n"/>
      <c r="I19" s="4" t="inlineStr">
        <is>
          <t>https://www.sciencedirect.com/science/article/abs/pii/S0165027024002607</t>
        </is>
      </c>
      <c r="J19" s="4" t="inlineStr">
        <is>
          <t>Yes</t>
        </is>
      </c>
      <c r="K19" s="4" t="inlineStr">
        <is>
          <t>Include</t>
        </is>
      </c>
      <c r="L19" s="4" t="inlineStr">
        <is>
          <t>Contenido integral evaluable revisado; ver nivel exacto de fuente, evidencia y cautelas en Lote_01_25.</t>
        </is>
      </c>
    </row>
    <row r="20" ht="34" customHeight="1">
      <c r="A20" s="4" t="n">
        <v>41</v>
      </c>
      <c r="B20" s="4" t="n">
        <v>2025</v>
      </c>
      <c r="C20" s="4" t="inlineStr">
        <is>
          <t>A systematic evaluation of autism spectrum disorder identification with Scanpath Trend Analysis (STA)</t>
        </is>
      </c>
      <c r="D20" s="4" t="inlineStr">
        <is>
          <t>10.1016/j.bspc.2024.107414</t>
        </is>
      </c>
      <c r="E20" s="4" t="inlineStr">
        <is>
          <t>Yes</t>
        </is>
      </c>
      <c r="F20" s="4" t="inlineStr">
        <is>
          <t>No</t>
        </is>
      </c>
      <c r="G20" s="4" t="inlineStr">
        <is>
          <t>closed</t>
        </is>
      </c>
      <c r="H20" s="4" t="n"/>
      <c r="I20" s="4" t="inlineStr">
        <is>
          <t>https://www.sciencedirect.com/science/article/pii/S1746809424014721</t>
        </is>
      </c>
      <c r="J20" s="4" t="inlineStr">
        <is>
          <t>Yes</t>
        </is>
      </c>
      <c r="K20" s="4" t="inlineStr">
        <is>
          <t>Include</t>
        </is>
      </c>
      <c r="L20" s="4" t="inlineStr">
        <is>
          <t>Contenido integral evaluable revisado; ver nivel exacto de fuente, evidencia y cautelas en Lote_01_25.</t>
        </is>
      </c>
    </row>
    <row r="21" ht="47" customHeight="1">
      <c r="A21" s="4" t="n">
        <v>42</v>
      </c>
      <c r="B21" s="4" t="n">
        <v>2025</v>
      </c>
      <c r="C21" s="4" t="inlineStr">
        <is>
          <t>Enhancing Early Diagnosis of Autism Spectrum Disorder Using a Bayesian-Optimized Random Forest Algorithm</t>
        </is>
      </c>
      <c r="D21" s="4" t="inlineStr">
        <is>
          <t>10.1016/j.procs.2025.04.389</t>
        </is>
      </c>
      <c r="E21" s="4" t="inlineStr">
        <is>
          <t>Yes</t>
        </is>
      </c>
      <c r="F21" s="4" t="inlineStr">
        <is>
          <t>Yes</t>
        </is>
      </c>
      <c r="G21" s="4" t="inlineStr">
        <is>
          <t>diamond</t>
        </is>
      </c>
      <c r="H21" s="4" t="inlineStr">
        <is>
          <t>cc-by</t>
        </is>
      </c>
      <c r="I21" s="4" t="inlineStr">
        <is>
          <t>https://doi.org/10.1016/j.procs.2025.04.389</t>
        </is>
      </c>
      <c r="J21" s="4" t="inlineStr">
        <is>
          <t>Yes</t>
        </is>
      </c>
      <c r="K21" s="4" t="inlineStr">
        <is>
          <t>Include</t>
        </is>
      </c>
      <c r="L21" s="4" t="inlineStr">
        <is>
          <t>Contenido primario accesible suficiente para adjudicación y codificación RQ; no implica que se haya adquirido una copia editorial cerrada. Requiere verificación independiente.</t>
        </is>
      </c>
    </row>
    <row r="22" ht="47" customHeight="1">
      <c r="A22" s="4" t="n">
        <v>45</v>
      </c>
      <c r="B22" s="4" t="n">
        <v>2025</v>
      </c>
      <c r="C22" s="4" t="inlineStr">
        <is>
          <t>Autism Spectrum Disorder Detection using Attention-Based CNN and ML Classifiers</t>
        </is>
      </c>
      <c r="D22" s="4" t="inlineStr">
        <is>
          <t>10.1016/j.procs.2025.04.671</t>
        </is>
      </c>
      <c r="E22" s="4" t="inlineStr">
        <is>
          <t>Yes</t>
        </is>
      </c>
      <c r="F22" s="4" t="inlineStr">
        <is>
          <t>Yes</t>
        </is>
      </c>
      <c r="G22" s="4" t="inlineStr">
        <is>
          <t>diamond</t>
        </is>
      </c>
      <c r="H22" s="4" t="inlineStr">
        <is>
          <t>cc-by-nc-nd</t>
        </is>
      </c>
      <c r="I22" s="4" t="inlineStr">
        <is>
          <t>https://doi.org/10.1016/j.procs.2025.04.671</t>
        </is>
      </c>
      <c r="J22" s="4" t="inlineStr">
        <is>
          <t>Yes</t>
        </is>
      </c>
      <c r="K22" s="4" t="inlineStr">
        <is>
          <t>Include</t>
        </is>
      </c>
      <c r="L22" s="4" t="inlineStr">
        <is>
          <t>Contenido primario accesible suficiente para adjudicación y codificación RQ; no implica que se haya adquirido una copia editorial cerrada. Requiere verificación independiente.</t>
        </is>
      </c>
    </row>
    <row r="23" ht="47" customHeight="1">
      <c r="A23" s="4" t="n">
        <v>46</v>
      </c>
      <c r="B23" s="4" t="n">
        <v>2025</v>
      </c>
      <c r="C23" s="4" t="inlineStr">
        <is>
          <t>Recognition of autism in subcortical brain volumetric images using autoencoding-based region selection method and Siamese Convolutional Neural Network</t>
        </is>
      </c>
      <c r="D23" s="4" t="inlineStr">
        <is>
          <t>10.1016/j.ijmedinf.2024.105707</t>
        </is>
      </c>
      <c r="E23" s="4" t="inlineStr">
        <is>
          <t>Yes</t>
        </is>
      </c>
      <c r="F23" s="4" t="inlineStr">
        <is>
          <t>No</t>
        </is>
      </c>
      <c r="G23" s="4" t="inlineStr">
        <is>
          <t>closed</t>
        </is>
      </c>
      <c r="H23" s="4" t="n"/>
      <c r="I23" s="4" t="inlineStr">
        <is>
          <t>https://www.sciencedirect.com/science/article/pii/S1386505624003708</t>
        </is>
      </c>
      <c r="J23" s="4" t="inlineStr">
        <is>
          <t>Yes</t>
        </is>
      </c>
      <c r="K23" s="4" t="inlineStr">
        <is>
          <t>Include</t>
        </is>
      </c>
      <c r="L23" s="4" t="inlineStr">
        <is>
          <t>Contenido integral evaluable revisado; ver nivel exacto de fuente, evidencia y cautelas en Lote_01_25.</t>
        </is>
      </c>
    </row>
    <row r="24" ht="47" customHeight="1">
      <c r="A24" s="4" t="n">
        <v>47</v>
      </c>
      <c r="B24" s="4" t="n">
        <v>2025</v>
      </c>
      <c r="C24" s="4" t="inlineStr">
        <is>
          <t>Leveraging deep learning for enhanced diagnosis of autism spectrum disorder using resting-state functional magnetic resonance imaging and clinical data</t>
        </is>
      </c>
      <c r="D24" s="4" t="inlineStr">
        <is>
          <t>10.1016/j.rineng.2025.104444</t>
        </is>
      </c>
      <c r="E24" s="4" t="inlineStr">
        <is>
          <t>Yes</t>
        </is>
      </c>
      <c r="F24" s="4" t="inlineStr">
        <is>
          <t>Yes</t>
        </is>
      </c>
      <c r="G24" s="4" t="inlineStr">
        <is>
          <t>gold</t>
        </is>
      </c>
      <c r="H24" s="4" t="inlineStr">
        <is>
          <t>cc-by-nc-nd</t>
        </is>
      </c>
      <c r="I24" s="4" t="inlineStr">
        <is>
          <t>https://doi.org/10.1016/j.rineng.2025.104444</t>
        </is>
      </c>
      <c r="J24" s="4" t="inlineStr">
        <is>
          <t>Yes</t>
        </is>
      </c>
      <c r="K24" s="4" t="inlineStr">
        <is>
          <t>Include</t>
        </is>
      </c>
      <c r="L24" s="4" t="inlineStr">
        <is>
          <t>Contenido integral evaluable revisado; ver nivel exacto de fuente, evidencia y cautelas en Lote_01_25.</t>
        </is>
      </c>
    </row>
    <row r="25" ht="47" customHeight="1">
      <c r="A25" s="4" t="n">
        <v>50</v>
      </c>
      <c r="B25" s="4" t="n">
        <v>2025</v>
      </c>
      <c r="C25" s="4" t="inlineStr">
        <is>
          <t>Effectiveness of Artificial Intelligence–Based Platform in Administering Therapies for Children With Autism Spectrum Disorder: 12-Month Observational Study</t>
        </is>
      </c>
      <c r="D25" s="4" t="inlineStr">
        <is>
          <t>10.2196/70589</t>
        </is>
      </c>
      <c r="E25" s="4" t="inlineStr">
        <is>
          <t>Yes</t>
        </is>
      </c>
      <c r="F25" s="4" t="inlineStr">
        <is>
          <t>Yes</t>
        </is>
      </c>
      <c r="G25" s="4" t="inlineStr">
        <is>
          <t>diamond</t>
        </is>
      </c>
      <c r="H25" s="4" t="inlineStr">
        <is>
          <t>cc-by</t>
        </is>
      </c>
      <c r="I25" s="4" t="inlineStr">
        <is>
          <t>https://neuro.jmir.org/2025/1/e70589/PDF</t>
        </is>
      </c>
      <c r="J25" s="4" t="inlineStr">
        <is>
          <t>Yes</t>
        </is>
      </c>
      <c r="K25" s="4" t="inlineStr">
        <is>
          <t>Include</t>
        </is>
      </c>
      <c r="L25" s="4" t="inlineStr">
        <is>
          <t>Texto abierto evaluable revisado; extracción RQ disponible.</t>
        </is>
      </c>
    </row>
    <row r="26" ht="47" customHeight="1">
      <c r="A26" s="4" t="n">
        <v>51</v>
      </c>
      <c r="B26" s="4" t="n">
        <v>2025</v>
      </c>
      <c r="C26" s="4" t="inlineStr">
        <is>
          <t>Involution fused convolution for classifying eye-tracking patterns of children with Autism Spectrum Disorder</t>
        </is>
      </c>
      <c r="D26" s="4" t="inlineStr">
        <is>
          <t>10.1016/j.engappai.2024.109475</t>
        </is>
      </c>
      <c r="E26" s="4" t="inlineStr">
        <is>
          <t>Yes</t>
        </is>
      </c>
      <c r="F26" s="4" t="inlineStr">
        <is>
          <t>Yes</t>
        </is>
      </c>
      <c r="G26" s="4" t="inlineStr">
        <is>
          <t>green</t>
        </is>
      </c>
      <c r="H26" s="4" t="n"/>
      <c r="I26" s="4" t="inlineStr">
        <is>
          <t>https://arxiv.org/pdf/2401.03575</t>
        </is>
      </c>
      <c r="J26" s="4" t="inlineStr">
        <is>
          <t>Yes</t>
        </is>
      </c>
      <c r="K26" s="4" t="inlineStr">
        <is>
          <t>Include</t>
        </is>
      </c>
      <c r="L26" s="4" t="inlineStr">
        <is>
          <t>Contenido integral evaluable revisado; ver nivel exacto de fuente, evidencia y cautelas en Lote_01_25.</t>
        </is>
      </c>
    </row>
    <row r="27" ht="47" customHeight="1">
      <c r="A27" s="4" t="n">
        <v>56</v>
      </c>
      <c r="B27" s="4" t="n">
        <v>2025</v>
      </c>
      <c r="C27" s="4" t="inlineStr">
        <is>
          <t>Effective AI Techniques for Analyzing Risk Factors in Autism Spectrum Disorder (ASD)</t>
        </is>
      </c>
      <c r="D27" s="4" t="inlineStr">
        <is>
          <t>10.1016/j.procs.2025.10.018</t>
        </is>
      </c>
      <c r="E27" s="4" t="inlineStr">
        <is>
          <t>Yes</t>
        </is>
      </c>
      <c r="F27" s="4" t="inlineStr">
        <is>
          <t>Yes</t>
        </is>
      </c>
      <c r="G27" s="4" t="inlineStr">
        <is>
          <t>diamond</t>
        </is>
      </c>
      <c r="H27" s="4" t="inlineStr">
        <is>
          <t>cc-by-nc-nd</t>
        </is>
      </c>
      <c r="I27" s="4" t="inlineStr">
        <is>
          <t>https://doi.org/10.1016/j.procs.2025.10.018</t>
        </is>
      </c>
      <c r="J27" s="4" t="inlineStr">
        <is>
          <t>Yes</t>
        </is>
      </c>
      <c r="K27" s="4" t="inlineStr">
        <is>
          <t>Include</t>
        </is>
      </c>
      <c r="L27" s="4" t="inlineStr">
        <is>
          <t>Contenido primario accesible suficiente para adjudicación y codificación RQ; no implica que se haya adquirido una copia editorial cerrada. Requiere verificación independiente.</t>
        </is>
      </c>
    </row>
    <row r="28" ht="34" customHeight="1">
      <c r="A28" s="4" t="n">
        <v>59</v>
      </c>
      <c r="B28" s="4" t="n">
        <v>2025</v>
      </c>
      <c r="C28" s="4" t="inlineStr">
        <is>
          <t>Advanced autism detection and visualization through XGBoost algorithm for fNIRS hemo-dynamic signals</t>
        </is>
      </c>
      <c r="D28" s="4" t="inlineStr">
        <is>
          <t>10.1016/j.eswa.2025.127013</t>
        </is>
      </c>
      <c r="E28" s="4" t="inlineStr">
        <is>
          <t>Yes</t>
        </is>
      </c>
      <c r="F28" s="4" t="inlineStr">
        <is>
          <t>Yes</t>
        </is>
      </c>
      <c r="G28" s="4" t="inlineStr">
        <is>
          <t>hybrid</t>
        </is>
      </c>
      <c r="H28" s="4" t="inlineStr">
        <is>
          <t>cc-by</t>
        </is>
      </c>
      <c r="I28" s="4" t="inlineStr">
        <is>
          <t>https://doi.org/10.1016/j.eswa.2025.127013</t>
        </is>
      </c>
      <c r="J28" s="4" t="inlineStr">
        <is>
          <t>Yes</t>
        </is>
      </c>
      <c r="K28" s="4" t="inlineStr">
        <is>
          <t>Include</t>
        </is>
      </c>
      <c r="L28" s="4" t="inlineStr">
        <is>
          <t>Contenido integral evaluable revisado; ver nivel exacto de fuente, evidencia y cautelas en Lote_01_25.</t>
        </is>
      </c>
    </row>
    <row r="29" ht="47" customHeight="1">
      <c r="A29" s="4" t="n">
        <v>60</v>
      </c>
      <c r="B29" s="4" t="n">
        <v>2025</v>
      </c>
      <c r="C29" s="4" t="inlineStr">
        <is>
          <t>Using convolutional network in graphical model detection of autism disorders with fuzzy inference systems</t>
        </is>
      </c>
      <c r="D29" s="4" t="inlineStr">
        <is>
          <t>10.1016/j.ibmed.2025.100213</t>
        </is>
      </c>
      <c r="E29" s="4" t="inlineStr">
        <is>
          <t>Yes</t>
        </is>
      </c>
      <c r="F29" s="4" t="inlineStr">
        <is>
          <t>Yes</t>
        </is>
      </c>
      <c r="G29" s="4" t="inlineStr">
        <is>
          <t>gold</t>
        </is>
      </c>
      <c r="H29" s="4" t="inlineStr">
        <is>
          <t>cc-by-nc-nd</t>
        </is>
      </c>
      <c r="I29" s="4" t="inlineStr">
        <is>
          <t>https://doi.org/10.1016/j.ibmed.2025.100213</t>
        </is>
      </c>
      <c r="J29" s="4" t="inlineStr">
        <is>
          <t>Yes</t>
        </is>
      </c>
      <c r="K29" s="4" t="inlineStr">
        <is>
          <t>Include</t>
        </is>
      </c>
      <c r="L29" s="4" t="inlineStr">
        <is>
          <t>Contenido integral evaluable revisado; ver nivel exacto de fuente, evidencia y cautelas en Lote_01_25.</t>
        </is>
      </c>
    </row>
    <row r="30" ht="47" customHeight="1">
      <c r="A30" s="4" t="n">
        <v>63</v>
      </c>
      <c r="B30" s="4" t="n">
        <v>2025</v>
      </c>
      <c r="C30" s="4" t="inlineStr">
        <is>
          <t>Enhancing autism spectrum disorder early detection with parent-child dyads block-play protocol and attention-enhanced hybrid deep learning framework</t>
        </is>
      </c>
      <c r="D30" s="4" t="inlineStr">
        <is>
          <t>10.1016/j.engappai.2025.110430</t>
        </is>
      </c>
      <c r="E30" s="4" t="inlineStr">
        <is>
          <t>Yes</t>
        </is>
      </c>
      <c r="F30" s="4" t="inlineStr">
        <is>
          <t>Yes</t>
        </is>
      </c>
      <c r="G30" s="4" t="inlineStr">
        <is>
          <t>green</t>
        </is>
      </c>
      <c r="H30" s="4" t="n"/>
      <c r="I30" s="4" t="inlineStr">
        <is>
          <t>https://arxiv.org/pdf/2408.16924</t>
        </is>
      </c>
      <c r="J30" s="4" t="inlineStr">
        <is>
          <t>Yes</t>
        </is>
      </c>
      <c r="K30" s="4" t="inlineStr">
        <is>
          <t>Include</t>
        </is>
      </c>
      <c r="L30" s="4" t="inlineStr">
        <is>
          <t>Contenido integral evaluable revisado; ver nivel exacto de fuente, evidencia y cautelas en Lote_01_25.</t>
        </is>
      </c>
    </row>
    <row r="31" ht="34" customHeight="1">
      <c r="A31" s="4" t="n">
        <v>64</v>
      </c>
      <c r="B31" s="4" t="n">
        <v>2025</v>
      </c>
      <c r="C31" s="4" t="inlineStr">
        <is>
          <t>Involvement of disulfidptosis in the pathophysiology of autism spectrum disorder</t>
        </is>
      </c>
      <c r="D31" s="4" t="inlineStr">
        <is>
          <t>10.1016/j.lfs.2025.123531</t>
        </is>
      </c>
      <c r="E31" s="4" t="inlineStr">
        <is>
          <t>Yes</t>
        </is>
      </c>
      <c r="F31" s="4" t="inlineStr">
        <is>
          <t>No</t>
        </is>
      </c>
      <c r="G31" s="4" t="inlineStr">
        <is>
          <t>closed</t>
        </is>
      </c>
      <c r="H31" s="4" t="n"/>
      <c r="I31" s="4" t="inlineStr">
        <is>
          <t>https://www.sciencedirect.com/science/article/pii/S0024320525001651</t>
        </is>
      </c>
      <c r="J31" s="4" t="inlineStr">
        <is>
          <t>Yes</t>
        </is>
      </c>
      <c r="K31" s="4" t="inlineStr">
        <is>
          <t>Include</t>
        </is>
      </c>
      <c r="L31" s="4" t="inlineStr">
        <is>
          <t>Contenido integral evaluable revisado; ver nivel exacto de fuente, evidencia y cautelas en Lote_02_25.</t>
        </is>
      </c>
    </row>
    <row r="32" ht="47" customHeight="1">
      <c r="A32" s="4" t="n">
        <v>67</v>
      </c>
      <c r="B32" s="4" t="n">
        <v>2025</v>
      </c>
      <c r="C32" s="4" t="inlineStr">
        <is>
          <t>Enhancing the identification of autism spectrum disorder in facial expressions using DenseResNet-Based transfer learning approach</t>
        </is>
      </c>
      <c r="D32" s="4" t="inlineStr">
        <is>
          <t>10.1016/j.bspc.2024.107433</t>
        </is>
      </c>
      <c r="E32" s="4" t="inlineStr">
        <is>
          <t>Yes</t>
        </is>
      </c>
      <c r="F32" s="4" t="inlineStr">
        <is>
          <t>No</t>
        </is>
      </c>
      <c r="G32" s="4" t="inlineStr">
        <is>
          <t>closed</t>
        </is>
      </c>
      <c r="H32" s="4" t="n"/>
      <c r="I32" s="4" t="inlineStr">
        <is>
          <t>https://www.sciencedirect.com/science/article/pii/S1746809424014915</t>
        </is>
      </c>
      <c r="J32" s="4" t="inlineStr">
        <is>
          <t>Yes</t>
        </is>
      </c>
      <c r="K32" s="4" t="inlineStr">
        <is>
          <t>Include</t>
        </is>
      </c>
      <c r="L32" s="4" t="inlineStr">
        <is>
          <t>Contenido integral evaluable revisado; ver nivel exacto de fuente, evidencia y cautelas en Lote_02_25.</t>
        </is>
      </c>
    </row>
    <row r="33" ht="34" customHeight="1">
      <c r="A33" s="4" t="n">
        <v>74</v>
      </c>
      <c r="B33" s="4" t="n">
        <v>2025</v>
      </c>
      <c r="C33" s="4" t="inlineStr">
        <is>
          <t>Deep neurocomputational fusion for ASD diagnosis using multi-domain EEG analysis</t>
        </is>
      </c>
      <c r="D33" s="4" t="inlineStr">
        <is>
          <t>10.1016/j.neucom.2025.130353</t>
        </is>
      </c>
      <c r="E33" s="4" t="inlineStr">
        <is>
          <t>Yes</t>
        </is>
      </c>
      <c r="F33" s="4" t="inlineStr">
        <is>
          <t>No</t>
        </is>
      </c>
      <c r="G33" s="4" t="inlineStr">
        <is>
          <t>closed</t>
        </is>
      </c>
      <c r="H33" s="4" t="n"/>
      <c r="I33" s="4" t="inlineStr">
        <is>
          <t>https://www.sciencedirect.com/science/article/pii/S0925231225010252</t>
        </is>
      </c>
      <c r="J33" s="4" t="inlineStr">
        <is>
          <t>Yes</t>
        </is>
      </c>
      <c r="K33" s="4" t="inlineStr">
        <is>
          <t>Include</t>
        </is>
      </c>
      <c r="L33" s="4" t="inlineStr">
        <is>
          <t>Contenido integral evaluable revisado; ver nivel exacto de fuente, evidencia y cautelas en Lote_02_25.</t>
        </is>
      </c>
    </row>
    <row r="34" ht="34" customHeight="1">
      <c r="A34" s="4" t="n">
        <v>76</v>
      </c>
      <c r="B34" s="4" t="n">
        <v>2025</v>
      </c>
      <c r="C34" s="4" t="inlineStr">
        <is>
          <t>Female autism categorization using CNN based NeuroNet57 and ant colony optimization</t>
        </is>
      </c>
      <c r="D34" s="4" t="inlineStr">
        <is>
          <t>10.1016/j.compbiomed.2025.109926</t>
        </is>
      </c>
      <c r="E34" s="4" t="inlineStr">
        <is>
          <t>Yes</t>
        </is>
      </c>
      <c r="F34" s="4" t="inlineStr">
        <is>
          <t>No</t>
        </is>
      </c>
      <c r="G34" s="4" t="inlineStr">
        <is>
          <t>closed</t>
        </is>
      </c>
      <c r="H34" s="4" t="n"/>
      <c r="I34" s="4" t="inlineStr">
        <is>
          <t>https://www.sciencedirect.com/science/article/pii/S001048252500277X</t>
        </is>
      </c>
      <c r="J34" s="4" t="inlineStr">
        <is>
          <t>Yes</t>
        </is>
      </c>
      <c r="K34" s="4" t="inlineStr">
        <is>
          <t>Include</t>
        </is>
      </c>
      <c r="L34" s="4" t="inlineStr">
        <is>
          <t>Contenido integral evaluable revisado; ver nivel exacto de fuente, evidencia y cautelas en Lote_02_25.</t>
        </is>
      </c>
    </row>
    <row r="35" ht="47" customHeight="1">
      <c r="A35" s="4" t="n">
        <v>78</v>
      </c>
      <c r="B35" s="4" t="n">
        <v>2025</v>
      </c>
      <c r="C35" s="4" t="inlineStr">
        <is>
          <t>Capsule DenseNet++: Enhanced autism detection framework with deep learning and reinforcement learning-based lifestyle recommendation</t>
        </is>
      </c>
      <c r="D35" s="4" t="inlineStr">
        <is>
          <t>10.1016/j.compbiomed.2025.110038</t>
        </is>
      </c>
      <c r="E35" s="4" t="inlineStr">
        <is>
          <t>Yes</t>
        </is>
      </c>
      <c r="F35" s="4" t="inlineStr">
        <is>
          <t>No</t>
        </is>
      </c>
      <c r="G35" s="4" t="inlineStr">
        <is>
          <t>closed</t>
        </is>
      </c>
      <c r="H35" s="4" t="n"/>
      <c r="I35" s="4" t="inlineStr">
        <is>
          <t>https://www.sciencedirect.com/science/article/pii/S0010482525003890</t>
        </is>
      </c>
      <c r="J35" s="4" t="inlineStr">
        <is>
          <t>Yes</t>
        </is>
      </c>
      <c r="K35" s="4" t="inlineStr">
        <is>
          <t>Include</t>
        </is>
      </c>
      <c r="L35" s="4" t="inlineStr">
        <is>
          <t>Contenido integral evaluable revisado; ver nivel exacto de fuente, evidencia y cautelas en Lote_02_25.</t>
        </is>
      </c>
    </row>
    <row r="36" ht="47" customHeight="1">
      <c r="A36" s="4" t="n">
        <v>81</v>
      </c>
      <c r="B36" s="4" t="n">
        <v>2025</v>
      </c>
      <c r="C36" s="4" t="inlineStr">
        <is>
          <t>Self-training EEG discrimination model with weakly supervised sample construction: An age-based perspective on ASD evaluation</t>
        </is>
      </c>
      <c r="D36" s="4" t="inlineStr">
        <is>
          <t>10.1016/j.neunet.2025.107337</t>
        </is>
      </c>
      <c r="E36" s="4" t="inlineStr">
        <is>
          <t>Yes</t>
        </is>
      </c>
      <c r="F36" s="4" t="inlineStr">
        <is>
          <t>No</t>
        </is>
      </c>
      <c r="G36" s="4" t="inlineStr">
        <is>
          <t>closed</t>
        </is>
      </c>
      <c r="H36" s="4" t="n"/>
      <c r="I36" s="4" t="inlineStr">
        <is>
          <t>https://www.sciencedirect.com/science/article/pii/S0893608025002163</t>
        </is>
      </c>
      <c r="J36" s="4" t="inlineStr">
        <is>
          <t>Yes</t>
        </is>
      </c>
      <c r="K36" s="4" t="inlineStr">
        <is>
          <t>Include</t>
        </is>
      </c>
      <c r="L36" s="4" t="inlineStr">
        <is>
          <t>Contenido integral evaluable revisado; ver nivel exacto de fuente, evidencia y cautelas en Lote_02_25.</t>
        </is>
      </c>
    </row>
    <row r="37" ht="47" customHeight="1">
      <c r="A37" s="4" t="n">
        <v>84</v>
      </c>
      <c r="B37" s="4" t="n">
        <v>2026</v>
      </c>
      <c r="C37" s="4" t="inlineStr">
        <is>
          <t>Towards screening of children students with autism spectrum disorder based on executive functions with serious game and machine learning approaches</t>
        </is>
      </c>
      <c r="D37" s="4" t="inlineStr">
        <is>
          <t>10.1016/j.eswa.2025.128884</t>
        </is>
      </c>
      <c r="E37" s="4" t="inlineStr">
        <is>
          <t>Yes</t>
        </is>
      </c>
      <c r="F37" s="4" t="inlineStr">
        <is>
          <t>No</t>
        </is>
      </c>
      <c r="G37" s="4" t="inlineStr">
        <is>
          <t>closed</t>
        </is>
      </c>
      <c r="H37" s="4" t="n"/>
      <c r="I37" s="4" t="inlineStr">
        <is>
          <t>https://www.sciencedirect.com/science/article/pii/S0957417425025011</t>
        </is>
      </c>
      <c r="J37" s="4" t="inlineStr">
        <is>
          <t>Yes</t>
        </is>
      </c>
      <c r="K37" s="4" t="inlineStr">
        <is>
          <t>Include</t>
        </is>
      </c>
      <c r="L37" s="4" t="inlineStr">
        <is>
          <t>Contenido integral evaluable revisado; ver nivel exacto de fuente, evidencia y cautelas en Lote_02_25.</t>
        </is>
      </c>
    </row>
    <row r="38" ht="34" customHeight="1">
      <c r="A38" s="4" t="n">
        <v>86</v>
      </c>
      <c r="B38" s="4" t="n">
        <v>2025</v>
      </c>
      <c r="C38" s="4" t="inlineStr">
        <is>
          <t>Optimized attention-enhanced U-Net for autism detection and region localization in MRI</t>
        </is>
      </c>
      <c r="D38" s="4" t="inlineStr">
        <is>
          <t>10.1016/j.pscychresns.2025.111970</t>
        </is>
      </c>
      <c r="E38" s="4" t="inlineStr">
        <is>
          <t>Yes</t>
        </is>
      </c>
      <c r="F38" s="4" t="inlineStr">
        <is>
          <t>No</t>
        </is>
      </c>
      <c r="G38" s="4" t="inlineStr">
        <is>
          <t>closed</t>
        </is>
      </c>
      <c r="H38" s="4" t="n"/>
      <c r="I38" s="4" t="inlineStr">
        <is>
          <t>https://www.sciencedirect.com/science/article/pii/S0925492725000253</t>
        </is>
      </c>
      <c r="J38" s="4" t="inlineStr">
        <is>
          <t>Yes</t>
        </is>
      </c>
      <c r="K38" s="4" t="inlineStr">
        <is>
          <t>Include</t>
        </is>
      </c>
      <c r="L38" s="4" t="inlineStr">
        <is>
          <t>Contenido integral evaluable revisado; ver nivel exacto de fuente, evidencia y cautelas en Lote_02_25.</t>
        </is>
      </c>
    </row>
    <row r="39" ht="60" customHeight="1">
      <c r="A39" s="4" t="n">
        <v>92</v>
      </c>
      <c r="B39" s="4" t="n">
        <v>2025</v>
      </c>
      <c r="C39" s="4" t="inlineStr">
        <is>
          <t>Data independent acquisition proteomics and machine learning reveals that proteins associated with immunity are potential molecular markers for early diagnosis of autism</t>
        </is>
      </c>
      <c r="D39" s="4" t="inlineStr">
        <is>
          <t>10.1016/j.cca.2025.120238</t>
        </is>
      </c>
      <c r="E39" s="4" t="inlineStr">
        <is>
          <t>Yes</t>
        </is>
      </c>
      <c r="F39" s="4" t="inlineStr">
        <is>
          <t>Yes</t>
        </is>
      </c>
      <c r="G39" s="4" t="inlineStr">
        <is>
          <t>hybrid</t>
        </is>
      </c>
      <c r="H39" s="4" t="inlineStr">
        <is>
          <t>cc-by</t>
        </is>
      </c>
      <c r="I39" s="4" t="inlineStr">
        <is>
          <t>https://pubmed.ncbi.nlm.nih.gov/40185380/</t>
        </is>
      </c>
      <c r="J39" s="4" t="inlineStr">
        <is>
          <t>Yes</t>
        </is>
      </c>
      <c r="K39" s="4" t="inlineStr">
        <is>
          <t>Include</t>
        </is>
      </c>
      <c r="L39" s="4" t="inlineStr">
        <is>
          <t>Contenido primario accesible suficiente para adjudicación y codificación RQ; no implica que se haya adquirido una copia editorial cerrada. Requiere verificación independiente.</t>
        </is>
      </c>
    </row>
    <row r="40" ht="34" customHeight="1">
      <c r="A40" s="4" t="n">
        <v>93</v>
      </c>
      <c r="B40" s="4" t="n">
        <v>2025</v>
      </c>
      <c r="C40" s="4" t="inlineStr">
        <is>
          <t>Large language models deconstruct the clinical intuition behind diagnosing autism</t>
        </is>
      </c>
      <c r="D40" s="4" t="inlineStr">
        <is>
          <t>10.1016/j.cell.2025.02.025</t>
        </is>
      </c>
      <c r="E40" s="4" t="inlineStr">
        <is>
          <t>Yes</t>
        </is>
      </c>
      <c r="F40" s="4" t="inlineStr">
        <is>
          <t>Yes</t>
        </is>
      </c>
      <c r="G40" s="4" t="inlineStr">
        <is>
          <t>hybrid</t>
        </is>
      </c>
      <c r="H40" s="4" t="inlineStr">
        <is>
          <t>cc-by-nc</t>
        </is>
      </c>
      <c r="I40" s="4" t="inlineStr">
        <is>
          <t>https://doi.org/10.1016/j.cell.2025.02.025</t>
        </is>
      </c>
      <c r="J40" s="4" t="inlineStr">
        <is>
          <t>Yes</t>
        </is>
      </c>
      <c r="K40" s="4" t="inlineStr">
        <is>
          <t>Include</t>
        </is>
      </c>
      <c r="L40" s="4" t="inlineStr">
        <is>
          <t>Texto abierto evaluable revisado; extracción RQ disponible.</t>
        </is>
      </c>
    </row>
    <row r="41" ht="47" customHeight="1">
      <c r="A41" s="4" t="n">
        <v>96</v>
      </c>
      <c r="B41" s="4" t="n">
        <v>2025</v>
      </c>
      <c r="C41" s="4" t="inlineStr">
        <is>
          <t>Ensemble of Deep Learning with Crested Porcupine Optimizer Based Autism Spectrum Disorder Detection Using Facial Images</t>
        </is>
      </c>
      <c r="D41" s="4" t="inlineStr">
        <is>
          <t>10.32604/cmc.2025.062266</t>
        </is>
      </c>
      <c r="E41" s="4" t="inlineStr">
        <is>
          <t>Yes</t>
        </is>
      </c>
      <c r="F41" s="4" t="inlineStr">
        <is>
          <t>Yes</t>
        </is>
      </c>
      <c r="G41" s="4" t="inlineStr">
        <is>
          <t>diamond</t>
        </is>
      </c>
      <c r="H41" s="4" t="inlineStr">
        <is>
          <t>cc-by</t>
        </is>
      </c>
      <c r="I41" s="4" t="inlineStr">
        <is>
          <t>https://doi.org/10.32604/cmc.2025.062266</t>
        </is>
      </c>
      <c r="J41" s="4" t="inlineStr">
        <is>
          <t>Yes</t>
        </is>
      </c>
      <c r="K41" s="4" t="inlineStr">
        <is>
          <t>Include</t>
        </is>
      </c>
      <c r="L41" s="4" t="inlineStr">
        <is>
          <t>Texto abierto evaluable revisado; extracción RQ disponible.</t>
        </is>
      </c>
    </row>
    <row r="42" ht="60" customHeight="1">
      <c r="A42" s="4" t="n">
        <v>97</v>
      </c>
      <c r="B42" s="4" t="n">
        <v>2025</v>
      </c>
      <c r="C42" s="4" t="inlineStr">
        <is>
          <t>Child-therapist acoustic synchrony and response trajectories in autism intervention: an AI-based automated analysis using dynamic systems theory and affective computing</t>
        </is>
      </c>
      <c r="D42" s="4" t="inlineStr">
        <is>
          <t>10.1016/j.etdah.2025.100176</t>
        </is>
      </c>
      <c r="E42" s="4" t="inlineStr">
        <is>
          <t>Yes</t>
        </is>
      </c>
      <c r="F42" s="4" t="inlineStr">
        <is>
          <t>Yes</t>
        </is>
      </c>
      <c r="G42" s="4" t="inlineStr">
        <is>
          <t>gold</t>
        </is>
      </c>
      <c r="H42" s="4" t="inlineStr">
        <is>
          <t>cc-by-nc-nd</t>
        </is>
      </c>
      <c r="I42" s="4" t="inlineStr">
        <is>
          <t>https://www.sciencedirect.com/science/article/pii/S2667118225000078</t>
        </is>
      </c>
      <c r="J42" s="4" t="inlineStr">
        <is>
          <t>Yes</t>
        </is>
      </c>
      <c r="K42" s="4" t="inlineStr">
        <is>
          <t>Include</t>
        </is>
      </c>
      <c r="L42" s="4" t="inlineStr">
        <is>
          <t>Contenido integral evaluable revisado; ver nivel exacto de fuente, evidencia y cautelas en Lote_02_25.</t>
        </is>
      </c>
    </row>
    <row r="43" ht="34" customHeight="1">
      <c r="A43" s="4" t="n">
        <v>103</v>
      </c>
      <c r="B43" s="4" t="n">
        <v>2025</v>
      </c>
      <c r="C43" s="4" t="inlineStr">
        <is>
          <t>Early fusion for Autism classification with biomarker detection using rs-fMRI and phenotypic data</t>
        </is>
      </c>
      <c r="D43" s="4" t="inlineStr">
        <is>
          <t>10.1016/j.bspc.2025.108020</t>
        </is>
      </c>
      <c r="E43" s="4" t="inlineStr">
        <is>
          <t>Yes</t>
        </is>
      </c>
      <c r="F43" s="4" t="inlineStr">
        <is>
          <t>No</t>
        </is>
      </c>
      <c r="G43" s="4" t="inlineStr">
        <is>
          <t>closed</t>
        </is>
      </c>
      <c r="H43" s="4" t="n"/>
      <c r="I43" s="4" t="inlineStr">
        <is>
          <t>https://www.sciencedirect.com/science/article/pii/S1746809425005312</t>
        </is>
      </c>
      <c r="J43" s="4" t="inlineStr">
        <is>
          <t>Yes</t>
        </is>
      </c>
      <c r="K43" s="4" t="inlineStr">
        <is>
          <t>Include</t>
        </is>
      </c>
      <c r="L43" s="4" t="inlineStr">
        <is>
          <t>Contenido integral evaluable revisado; ver nivel exacto de fuente, evidencia y cautelas en Lote_02_25.</t>
        </is>
      </c>
    </row>
    <row r="44" ht="47" customHeight="1">
      <c r="A44" s="4" t="n">
        <v>108</v>
      </c>
      <c r="B44" s="4" t="n">
        <v>2025</v>
      </c>
      <c r="C44" s="4" t="inlineStr">
        <is>
          <t>Awareness with Machine: Hybrid Approach to Detecting ASD with a Clustering</t>
        </is>
      </c>
      <c r="D44" s="4" t="inlineStr">
        <is>
          <t>10.32604/cmc.2025.062643</t>
        </is>
      </c>
      <c r="E44" s="4" t="inlineStr">
        <is>
          <t>Yes</t>
        </is>
      </c>
      <c r="F44" s="4" t="inlineStr">
        <is>
          <t>Yes</t>
        </is>
      </c>
      <c r="G44" s="4" t="inlineStr">
        <is>
          <t>diamond</t>
        </is>
      </c>
      <c r="H44" s="4" t="inlineStr">
        <is>
          <t>cc-by</t>
        </is>
      </c>
      <c r="I44" s="4" t="inlineStr">
        <is>
          <t>https://cdn.techscience.press/files/cmc/2025/TSP_CMC-84-2/TSP_CMC_62643/TSP_CMC_62643.pdf</t>
        </is>
      </c>
      <c r="J44" s="4" t="inlineStr">
        <is>
          <t>Yes</t>
        </is>
      </c>
      <c r="K44" s="4" t="inlineStr">
        <is>
          <t>Include</t>
        </is>
      </c>
      <c r="L44" s="4" t="inlineStr">
        <is>
          <t>Texto abierto evaluable revisado; extracción RQ disponible.</t>
        </is>
      </c>
    </row>
    <row r="45" ht="34" customHeight="1">
      <c r="A45" s="4" t="n">
        <v>110</v>
      </c>
      <c r="B45" s="4" t="n">
        <v>2025</v>
      </c>
      <c r="C45" s="4" t="inlineStr">
        <is>
          <t>A deep learning model for diagnosing autism using brain time series</t>
        </is>
      </c>
      <c r="D45" s="4" t="inlineStr">
        <is>
          <t>10.1016/j.neuroscience.2025.08.001</t>
        </is>
      </c>
      <c r="E45" s="4" t="inlineStr">
        <is>
          <t>Yes</t>
        </is>
      </c>
      <c r="F45" s="4" t="inlineStr">
        <is>
          <t>No</t>
        </is>
      </c>
      <c r="G45" s="4" t="inlineStr">
        <is>
          <t>closed</t>
        </is>
      </c>
      <c r="H45" s="4" t="n"/>
      <c r="I45" s="4" t="inlineStr">
        <is>
          <t>https://www.sciencedirect.com/science/article/pii/S0306452225008346</t>
        </is>
      </c>
      <c r="J45" s="4" t="inlineStr">
        <is>
          <t>Yes</t>
        </is>
      </c>
      <c r="K45" s="4" t="inlineStr">
        <is>
          <t>Include</t>
        </is>
      </c>
      <c r="L45" s="4" t="inlineStr">
        <is>
          <t>Contenido integral evaluable revisado; ver nivel exacto de fuente, evidencia y cautelas en Lote_02_25.</t>
        </is>
      </c>
    </row>
    <row r="46" ht="34" customHeight="1">
      <c r="A46" s="4" t="n">
        <v>118</v>
      </c>
      <c r="B46" s="4" t="n">
        <v>2025</v>
      </c>
      <c r="C46" s="4" t="inlineStr">
        <is>
          <t>Massively parallel characterization of non-coding de novo mutations in autism spectrum disorder</t>
        </is>
      </c>
      <c r="D46" s="4" t="inlineStr">
        <is>
          <t>10.1016/j.jgg.2025.07.008</t>
        </is>
      </c>
      <c r="E46" s="4" t="inlineStr">
        <is>
          <t>Yes</t>
        </is>
      </c>
      <c r="F46" s="4" t="inlineStr">
        <is>
          <t>No</t>
        </is>
      </c>
      <c r="G46" s="4" t="inlineStr">
        <is>
          <t>closed</t>
        </is>
      </c>
      <c r="H46" s="4" t="n"/>
      <c r="I46" s="4" t="inlineStr">
        <is>
          <t>https://www.sciencedirect.com/science/article/pii/S167385272500205X</t>
        </is>
      </c>
      <c r="J46" s="4" t="inlineStr">
        <is>
          <t>Yes</t>
        </is>
      </c>
      <c r="K46" s="4" t="inlineStr">
        <is>
          <t>Include</t>
        </is>
      </c>
      <c r="L46" s="4" t="inlineStr">
        <is>
          <t>Contenido integral evaluable revisado; ver nivel exacto de fuente, evidencia y cautelas en Lote_02_25.</t>
        </is>
      </c>
    </row>
    <row r="47" ht="34" customHeight="1">
      <c r="A47" s="4" t="n">
        <v>122</v>
      </c>
      <c r="B47" s="4" t="n">
        <v>2026</v>
      </c>
      <c r="C47" s="4" t="inlineStr">
        <is>
          <t>A novel hybrid deep learning model using MEResNextfor autism spectrum disorder detection</t>
        </is>
      </c>
      <c r="D47" s="4" t="inlineStr">
        <is>
          <t>10.1016/j.compbiolchem.2025.108619</t>
        </is>
      </c>
      <c r="E47" s="4" t="inlineStr">
        <is>
          <t>Yes</t>
        </is>
      </c>
      <c r="F47" s="4" t="inlineStr">
        <is>
          <t>No</t>
        </is>
      </c>
      <c r="G47" s="4" t="inlineStr">
        <is>
          <t>closed</t>
        </is>
      </c>
      <c r="H47" s="4" t="n"/>
      <c r="I47" s="4" t="inlineStr">
        <is>
          <t>https://www.sciencedirect.com/science/article/pii/S1476927125002804</t>
        </is>
      </c>
      <c r="J47" s="4" t="inlineStr">
        <is>
          <t>Yes</t>
        </is>
      </c>
      <c r="K47" s="4" t="inlineStr">
        <is>
          <t>Include</t>
        </is>
      </c>
      <c r="L47" s="4" t="inlineStr">
        <is>
          <t>Contenido integral evaluable revisado; ver nivel exacto de fuente, evidencia y cautelas en Lote_02_25.</t>
        </is>
      </c>
    </row>
    <row r="48" ht="34" customHeight="1">
      <c r="A48" s="4" t="n">
        <v>123</v>
      </c>
      <c r="B48" s="4" t="n">
        <v>2025</v>
      </c>
      <c r="C48" s="4" t="inlineStr">
        <is>
          <t>FaithfulNet: An explainable deep learning framework for autism diagnosis using structural MRI</t>
        </is>
      </c>
      <c r="D48" s="4" t="inlineStr">
        <is>
          <t>10.1016/j.brainres.2025.149904</t>
        </is>
      </c>
      <c r="E48" s="4" t="inlineStr">
        <is>
          <t>Yes</t>
        </is>
      </c>
      <c r="F48" s="4" t="inlineStr">
        <is>
          <t>No</t>
        </is>
      </c>
      <c r="G48" s="4" t="inlineStr">
        <is>
          <t>closed</t>
        </is>
      </c>
      <c r="H48" s="4" t="n"/>
      <c r="I48" s="4" t="inlineStr">
        <is>
          <t>https://www.sciencedirect.com/science/article/pii/S0006899325004676</t>
        </is>
      </c>
      <c r="J48" s="4" t="inlineStr">
        <is>
          <t>Yes</t>
        </is>
      </c>
      <c r="K48" s="4" t="inlineStr">
        <is>
          <t>Include</t>
        </is>
      </c>
      <c r="L48" s="4" t="inlineStr">
        <is>
          <t>Contenido integral evaluable revisado; ver nivel exacto de fuente, evidencia y cautelas en Lote_02_25.</t>
        </is>
      </c>
    </row>
    <row r="49" ht="47" customHeight="1">
      <c r="A49" s="4" t="n">
        <v>125</v>
      </c>
      <c r="B49" s="4" t="n">
        <v>2025</v>
      </c>
      <c r="C49" s="4" t="inlineStr">
        <is>
          <t>Identification of critical brain regions for autism diagnosis from fMRI data using explainable AI: an observational analysis of the ABIDE dataset</t>
        </is>
      </c>
      <c r="D49" s="4" t="inlineStr">
        <is>
          <t>10.1016/j.eclinm.2025.103452</t>
        </is>
      </c>
      <c r="E49" s="4" t="inlineStr">
        <is>
          <t>Yes</t>
        </is>
      </c>
      <c r="F49" s="4" t="inlineStr">
        <is>
          <t>Yes</t>
        </is>
      </c>
      <c r="G49" s="4" t="inlineStr">
        <is>
          <t>gold</t>
        </is>
      </c>
      <c r="H49" s="4" t="inlineStr">
        <is>
          <t>cc-by</t>
        </is>
      </c>
      <c r="I49" s="4" t="inlineStr">
        <is>
          <t>https://doi.org/10.1016/j.eclinm.2025.103452</t>
        </is>
      </c>
      <c r="J49" s="4" t="inlineStr">
        <is>
          <t>Yes</t>
        </is>
      </c>
      <c r="K49" s="4" t="inlineStr">
        <is>
          <t>Include with integrity flag</t>
        </is>
      </c>
      <c r="L49" s="4" t="inlineStr">
        <is>
          <t>Texto abierto evaluable revisado; extracción RQ disponible.</t>
        </is>
      </c>
    </row>
    <row r="50" ht="34" customHeight="1">
      <c r="A50" s="4" t="n">
        <v>126</v>
      </c>
      <c r="B50" s="4" t="n">
        <v>2025</v>
      </c>
      <c r="C50" s="4" t="inlineStr">
        <is>
          <t>CARE: Comprehensive Artificial Intelligence Techniques for Reliable Autism Evaluation in Pediatric Care</t>
        </is>
      </c>
      <c r="D50" s="4" t="inlineStr">
        <is>
          <t>10.32604/cmc.2025.067784</t>
        </is>
      </c>
      <c r="E50" s="4" t="inlineStr">
        <is>
          <t>Yes</t>
        </is>
      </c>
      <c r="F50" s="4" t="inlineStr">
        <is>
          <t>Yes</t>
        </is>
      </c>
      <c r="G50" s="4" t="inlineStr">
        <is>
          <t>diamond</t>
        </is>
      </c>
      <c r="H50" s="4" t="inlineStr">
        <is>
          <t>cc-by</t>
        </is>
      </c>
      <c r="I50" s="4" t="inlineStr">
        <is>
          <t>https://www.techscience.com/cmc/v85n1/63573/html</t>
        </is>
      </c>
      <c r="J50" s="4" t="inlineStr">
        <is>
          <t>Yes</t>
        </is>
      </c>
      <c r="K50" s="4" t="inlineStr">
        <is>
          <t>Include</t>
        </is>
      </c>
      <c r="L50" s="4" t="inlineStr">
        <is>
          <t>Contenido integral evaluable revisado; ver nivel exacto de fuente, evidencia y cautelas en Lote_02_25.</t>
        </is>
      </c>
    </row>
    <row r="51" ht="34" customHeight="1">
      <c r="A51" s="4" t="n">
        <v>132</v>
      </c>
      <c r="B51" s="4" t="n">
        <v>2025</v>
      </c>
      <c r="C51" s="4" t="inlineStr">
        <is>
          <t>A Brief Observation to Screen Autism in Toddlers and Predict Developmental Trajectory</t>
        </is>
      </c>
      <c r="D51" s="4" t="inlineStr">
        <is>
          <t>10.1016/j.jpedcp.2025.200176</t>
        </is>
      </c>
      <c r="E51" s="4" t="inlineStr">
        <is>
          <t>Yes</t>
        </is>
      </c>
      <c r="F51" s="4" t="inlineStr">
        <is>
          <t>Yes</t>
        </is>
      </c>
      <c r="G51" s="4" t="inlineStr">
        <is>
          <t>gold</t>
        </is>
      </c>
      <c r="H51" s="4" t="inlineStr">
        <is>
          <t>cc-by</t>
        </is>
      </c>
      <c r="I51" s="4" t="inlineStr">
        <is>
          <t>https://doi.org/10.1016/j.jpedcp.2025.200176</t>
        </is>
      </c>
      <c r="J51" s="4" t="inlineStr">
        <is>
          <t>Yes</t>
        </is>
      </c>
      <c r="K51" s="4" t="inlineStr">
        <is>
          <t>Include</t>
        </is>
      </c>
      <c r="L51" s="4" t="inlineStr">
        <is>
          <t>Texto abierto evaluable revisado; extracción RQ disponible.</t>
        </is>
      </c>
    </row>
    <row r="52" ht="34" customHeight="1">
      <c r="A52" s="4" t="n">
        <v>134</v>
      </c>
      <c r="B52" s="4" t="n">
        <v>2025</v>
      </c>
      <c r="C52" s="4" t="inlineStr">
        <is>
          <t>ASD-HybridNet: A hybrid deep learning framework for detection of autism spectrum disorder</t>
        </is>
      </c>
      <c r="D52" s="4" t="inlineStr">
        <is>
          <t>10.1016/j.mri.2025.110492</t>
        </is>
      </c>
      <c r="E52" s="4" t="inlineStr">
        <is>
          <t>Yes</t>
        </is>
      </c>
      <c r="F52" s="4" t="inlineStr">
        <is>
          <t>No</t>
        </is>
      </c>
      <c r="G52" s="4" t="inlineStr">
        <is>
          <t>closed</t>
        </is>
      </c>
      <c r="H52" s="4" t="n"/>
      <c r="I52" s="4" t="inlineStr">
        <is>
          <t>https://www.sciencedirect.com/science/article/pii/S0730725X25001766</t>
        </is>
      </c>
      <c r="J52" s="4" t="inlineStr">
        <is>
          <t>Yes</t>
        </is>
      </c>
      <c r="K52" s="4" t="inlineStr">
        <is>
          <t>Include</t>
        </is>
      </c>
      <c r="L52" s="4" t="inlineStr">
        <is>
          <t>Contenido integral evaluable revisado; ver nivel exacto de fuente, evidencia y cautelas en Lote_02_25.</t>
        </is>
      </c>
    </row>
    <row r="53" ht="34" customHeight="1">
      <c r="A53" s="4" t="n">
        <v>142</v>
      </c>
      <c r="B53" s="4" t="n">
        <v>2025</v>
      </c>
      <c r="C53" s="4" t="inlineStr">
        <is>
          <t>Proximal policy optimization (PPO) algorithm's role in autonomous decision-making for autism</t>
        </is>
      </c>
      <c r="D53" s="4" t="inlineStr">
        <is>
          <t>10.1016/j.rineng.2025.107683</t>
        </is>
      </c>
      <c r="E53" s="4" t="inlineStr">
        <is>
          <t>Yes</t>
        </is>
      </c>
      <c r="F53" s="4" t="inlineStr">
        <is>
          <t>Yes</t>
        </is>
      </c>
      <c r="G53" s="4" t="inlineStr">
        <is>
          <t>gold</t>
        </is>
      </c>
      <c r="H53" s="4" t="inlineStr">
        <is>
          <t>cc-by-nc-nd</t>
        </is>
      </c>
      <c r="I53" s="4" t="inlineStr">
        <is>
          <t>https://www.sciencedirect.com/science/article/pii/S2590123025037363</t>
        </is>
      </c>
      <c r="J53" s="4" t="inlineStr">
        <is>
          <t>Yes</t>
        </is>
      </c>
      <c r="K53" s="4" t="inlineStr">
        <is>
          <t>Exclude</t>
        </is>
      </c>
      <c r="L53" s="4" t="inlineStr">
        <is>
          <t>Contenido integral evaluable revisado; ver nivel exacto de fuente, evidencia y cautelas en Lote_02_25.</t>
        </is>
      </c>
    </row>
    <row r="54" ht="60" customHeight="1">
      <c r="A54" s="4" t="n">
        <v>145</v>
      </c>
      <c r="B54" s="4" t="n">
        <v>2026</v>
      </c>
      <c r="C54" s="4" t="inlineStr">
        <is>
          <t>Explainable Ensemble Learning Framework for Early Detection of Autism Spectrum Disorder: Enhancing Trust, Interpretability and Reliability in AI-Driven Healthcare</t>
        </is>
      </c>
      <c r="D54" s="4" t="inlineStr">
        <is>
          <t>10.32604/cmes.2025.074627</t>
        </is>
      </c>
      <c r="E54" s="4" t="inlineStr">
        <is>
          <t>Yes</t>
        </is>
      </c>
      <c r="F54" s="4" t="inlineStr">
        <is>
          <t>Yes</t>
        </is>
      </c>
      <c r="G54" s="4" t="inlineStr">
        <is>
          <t>diamond</t>
        </is>
      </c>
      <c r="H54" s="4" t="inlineStr">
        <is>
          <t>cc-by</t>
        </is>
      </c>
      <c r="I54" s="4" t="inlineStr">
        <is>
          <t>https://cdn.techscience.press/files/CMES/2026/TSP_CMES-146-1/TSP_CMES_74627/TSP_CMES_74627.pdf</t>
        </is>
      </c>
      <c r="J54" s="4" t="inlineStr">
        <is>
          <t>Yes</t>
        </is>
      </c>
      <c r="K54" s="4" t="inlineStr">
        <is>
          <t>Include</t>
        </is>
      </c>
      <c r="L54" s="4" t="inlineStr">
        <is>
          <t>Texto abierto evaluable revisado; extracción RQ disponible.</t>
        </is>
      </c>
    </row>
    <row r="55" ht="34" customHeight="1">
      <c r="A55" s="4" t="n">
        <v>146</v>
      </c>
      <c r="B55" s="4" t="n">
        <v>2026</v>
      </c>
      <c r="C55" s="4" t="inlineStr">
        <is>
          <t>Deep learning-based detection of autism spectrum disorder and emotion recognition in children</t>
        </is>
      </c>
      <c r="D55" s="4" t="inlineStr">
        <is>
          <t>10.1016/j.patcog.2025.112906</t>
        </is>
      </c>
      <c r="E55" s="4" t="inlineStr">
        <is>
          <t>Yes</t>
        </is>
      </c>
      <c r="F55" s="4" t="inlineStr">
        <is>
          <t>No</t>
        </is>
      </c>
      <c r="G55" s="4" t="inlineStr">
        <is>
          <t>closed</t>
        </is>
      </c>
      <c r="H55" s="4" t="n"/>
      <c r="I55" s="4" t="inlineStr">
        <is>
          <t>https://www.sciencedirect.com/science/article/pii/S0031320325015699</t>
        </is>
      </c>
      <c r="J55" s="4" t="inlineStr">
        <is>
          <t>Yes</t>
        </is>
      </c>
      <c r="K55" s="4" t="inlineStr">
        <is>
          <t>Include</t>
        </is>
      </c>
      <c r="L55" s="4" t="inlineStr">
        <is>
          <t>Contenido integral evaluable revisado; ver nivel exacto de fuente, evidencia y cautelas en Lote_02_25.</t>
        </is>
      </c>
    </row>
    <row r="56" ht="34" customHeight="1">
      <c r="A56" s="4" t="n">
        <v>149</v>
      </c>
      <c r="B56" s="4" t="n">
        <v>2026</v>
      </c>
      <c r="C56" s="4" t="inlineStr">
        <is>
          <t>A new approach in autism diagnosis: Evaluating natural interaction using point of view (POV) glasses</t>
        </is>
      </c>
      <c r="D56" s="4" t="inlineStr">
        <is>
          <t>10.1016/j.ajp.2025.104798</t>
        </is>
      </c>
      <c r="E56" s="4" t="inlineStr">
        <is>
          <t>Yes</t>
        </is>
      </c>
      <c r="F56" s="4" t="inlineStr">
        <is>
          <t>No</t>
        </is>
      </c>
      <c r="G56" s="4" t="inlineStr">
        <is>
          <t>closed</t>
        </is>
      </c>
      <c r="H56" s="4" t="n"/>
      <c r="I56" s="4" t="inlineStr">
        <is>
          <t>https://www.sciencedirect.com/science/article/pii/S1876201825004411</t>
        </is>
      </c>
      <c r="J56" s="4" t="inlineStr">
        <is>
          <t>Yes</t>
        </is>
      </c>
      <c r="K56" s="4" t="inlineStr">
        <is>
          <t>Include</t>
        </is>
      </c>
      <c r="L56" s="4" t="inlineStr">
        <is>
          <t>Contenido integral evaluable revisado; ver nivel exacto de fuente, evidencia y cautelas en Lote_02_25.</t>
        </is>
      </c>
    </row>
    <row r="57" ht="60" customHeight="1">
      <c r="A57" s="4" t="n">
        <v>154</v>
      </c>
      <c r="B57" s="4" t="n">
        <v>2026</v>
      </c>
      <c r="C57" s="4" t="inlineStr">
        <is>
          <t>A two-step temporal data augmentation and supervised learning framework for predicting autism diagnosis at 36 months in patients with tuberous sclerosis complex</t>
        </is>
      </c>
      <c r="D57" s="4" t="inlineStr">
        <is>
          <t>10.1016/j.compbiomed.2026.111719</t>
        </is>
      </c>
      <c r="E57" s="4" t="inlineStr">
        <is>
          <t>Yes</t>
        </is>
      </c>
      <c r="F57" s="4" t="inlineStr">
        <is>
          <t>Yes</t>
        </is>
      </c>
      <c r="G57" s="4" t="inlineStr">
        <is>
          <t>green</t>
        </is>
      </c>
      <c r="H57" s="4" t="n"/>
      <c r="I57" s="4" t="inlineStr">
        <is>
          <t>https://pmc.ncbi.nlm.nih.gov/articles/PMC13175081/</t>
        </is>
      </c>
      <c r="J57" s="4" t="inlineStr">
        <is>
          <t>Yes</t>
        </is>
      </c>
      <c r="K57" s="4" t="inlineStr">
        <is>
          <t>Include</t>
        </is>
      </c>
      <c r="L57" s="4" t="inlineStr">
        <is>
          <t>Contenido integral evaluable revisado; ver nivel exacto de fuente, evidencia y cautelas en Lote_02_25.</t>
        </is>
      </c>
    </row>
    <row r="58" ht="47" customHeight="1">
      <c r="A58" s="4" t="n">
        <v>160</v>
      </c>
      <c r="B58" s="4" t="n">
        <v>2025</v>
      </c>
      <c r="C58" s="4" t="inlineStr">
        <is>
          <t>LLM-Assisted Annotation Framework for Cross Platform Analysis of Autism Online Communities: Implications for Parent Education and Digital Support (Preprint)</t>
        </is>
      </c>
      <c r="D58" s="4" t="inlineStr">
        <is>
          <t>10.2196/85290</t>
        </is>
      </c>
      <c r="E58" s="4" t="inlineStr">
        <is>
          <t>Yes</t>
        </is>
      </c>
      <c r="F58" s="4" t="inlineStr">
        <is>
          <t>Yes</t>
        </is>
      </c>
      <c r="G58" s="4" t="inlineStr">
        <is>
          <t>gold</t>
        </is>
      </c>
      <c r="H58" s="4" t="inlineStr">
        <is>
          <t>cc-by</t>
        </is>
      </c>
      <c r="I58" s="4" t="inlineStr">
        <is>
          <t>https://doi.org/10.2196/85290</t>
        </is>
      </c>
      <c r="J58" s="4" t="inlineStr">
        <is>
          <t>Yes</t>
        </is>
      </c>
      <c r="K58" s="4" t="inlineStr">
        <is>
          <t>Include</t>
        </is>
      </c>
      <c r="L58" s="4" t="inlineStr">
        <is>
          <t>Texto abierto evaluable revisado; extracción RQ disponible.</t>
        </is>
      </c>
    </row>
    <row r="59" ht="47" customHeight="1">
      <c r="A59" s="4" t="n">
        <v>162</v>
      </c>
      <c r="B59" s="4" t="n">
        <v>2026</v>
      </c>
      <c r="C59" s="4" t="inlineStr">
        <is>
          <t>EMLF-Net: A multi-level feature fusion network based on autism EEG signals for autism spectrum disorder classification</t>
        </is>
      </c>
      <c r="D59" s="4" t="inlineStr">
        <is>
          <t>10.1016/j.bspc.2025.109180</t>
        </is>
      </c>
      <c r="E59" s="4" t="inlineStr">
        <is>
          <t>Yes</t>
        </is>
      </c>
      <c r="F59" s="4" t="inlineStr">
        <is>
          <t>No</t>
        </is>
      </c>
      <c r="G59" s="4" t="inlineStr">
        <is>
          <t>closed</t>
        </is>
      </c>
      <c r="H59" s="4" t="n"/>
      <c r="I59" s="4" t="inlineStr">
        <is>
          <t>https://www.sciencedirect.com/science/article/pii/S174680942501691X</t>
        </is>
      </c>
      <c r="J59" s="4" t="inlineStr">
        <is>
          <t>Yes</t>
        </is>
      </c>
      <c r="K59" s="4" t="inlineStr">
        <is>
          <t>Include</t>
        </is>
      </c>
      <c r="L59" s="4" t="inlineStr">
        <is>
          <t>Contenido integral evaluable revisado; ver nivel exacto de fuente, evidencia y cautelas en Lote_02_25.</t>
        </is>
      </c>
    </row>
    <row r="60" ht="60" customHeight="1">
      <c r="A60" s="4" t="n">
        <v>169</v>
      </c>
      <c r="B60" s="4" t="n">
        <v>2026</v>
      </c>
      <c r="C60" s="4" t="inlineStr">
        <is>
          <t>GPT-Powered Chatbot-Based Positive Psychology Intervention for Well-Being Among Parents of Children With Autism Spectrum Disorder: Single-Arm Mixed Methods Study</t>
        </is>
      </c>
      <c r="D60" s="4" t="inlineStr">
        <is>
          <t>10.2196/85060</t>
        </is>
      </c>
      <c r="E60" s="4" t="inlineStr">
        <is>
          <t>Yes</t>
        </is>
      </c>
      <c r="F60" s="4" t="inlineStr">
        <is>
          <t>Yes</t>
        </is>
      </c>
      <c r="G60" s="4" t="inlineStr">
        <is>
          <t>gold</t>
        </is>
      </c>
      <c r="H60" s="4" t="inlineStr">
        <is>
          <t>cc-by</t>
        </is>
      </c>
      <c r="I60" s="4" t="inlineStr">
        <is>
          <t>https://formative.jmir.org/2026/1/e85060/PDF</t>
        </is>
      </c>
      <c r="J60" s="4" t="inlineStr">
        <is>
          <t>Yes</t>
        </is>
      </c>
      <c r="K60" s="4" t="inlineStr">
        <is>
          <t>Include</t>
        </is>
      </c>
      <c r="L60" s="4" t="inlineStr">
        <is>
          <t>Texto abierto evaluable revisado; extracción RQ disponible.</t>
        </is>
      </c>
    </row>
    <row r="61" ht="60" customHeight="1">
      <c r="A61" s="4" t="n">
        <v>171</v>
      </c>
      <c r="B61" s="4" t="n">
        <v>2025</v>
      </c>
      <c r="C61" s="4" t="inlineStr">
        <is>
          <t>Artificial Intelligence Prediction of Individual Treatment Response to Smartphone-Based Mindfulness in Autistic Adults with Anxiety Symptoms: A Randomized Controlled Trial Analysis (Preprint)</t>
        </is>
      </c>
      <c r="D61" s="4" t="inlineStr">
        <is>
          <t>10.2196/89054</t>
        </is>
      </c>
      <c r="E61" s="4" t="inlineStr">
        <is>
          <t>Yes</t>
        </is>
      </c>
      <c r="F61" s="4" t="inlineStr">
        <is>
          <t>Yes</t>
        </is>
      </c>
      <c r="G61" s="4" t="inlineStr">
        <is>
          <t>diamond</t>
        </is>
      </c>
      <c r="H61" s="4" t="inlineStr">
        <is>
          <t>cc-by</t>
        </is>
      </c>
      <c r="I61" s="4" t="inlineStr">
        <is>
          <t>https://doi.org/10.2196/89054</t>
        </is>
      </c>
      <c r="J61" s="4" t="inlineStr">
        <is>
          <t>Yes</t>
        </is>
      </c>
      <c r="K61" s="4" t="inlineStr">
        <is>
          <t>Include</t>
        </is>
      </c>
      <c r="L61" s="4" t="inlineStr">
        <is>
          <t>Texto abierto evaluable revisado; extracción RQ disponible.</t>
        </is>
      </c>
    </row>
    <row r="62" ht="73" customHeight="1">
      <c r="A62" s="4" t="n">
        <v>172</v>
      </c>
      <c r="B62" s="4" t="n">
        <v>2026</v>
      </c>
      <c r="C62" s="4" t="inlineStr">
        <is>
          <t>Evaluating Public Sentiment on Attention-Deficit/Hyperactivity Disorder and Autism Spectrum Disorder Compared With Other Mental Health Disorders From Posts on X (Formerly Known as Twitter): Longitudinal Analysis</t>
        </is>
      </c>
      <c r="D62" s="4" t="inlineStr">
        <is>
          <t>10.2196/74440</t>
        </is>
      </c>
      <c r="E62" s="4" t="inlineStr">
        <is>
          <t>Yes</t>
        </is>
      </c>
      <c r="F62" s="4" t="inlineStr">
        <is>
          <t>Yes</t>
        </is>
      </c>
      <c r="G62" s="4" t="inlineStr">
        <is>
          <t>gold</t>
        </is>
      </c>
      <c r="H62" s="4" t="inlineStr">
        <is>
          <t>cc-by</t>
        </is>
      </c>
      <c r="I62" s="4" t="inlineStr">
        <is>
          <t>https://doi.org/10.2196/74440</t>
        </is>
      </c>
      <c r="J62" s="4" t="inlineStr">
        <is>
          <t>Yes</t>
        </is>
      </c>
      <c r="K62" s="4" t="inlineStr">
        <is>
          <t>Include</t>
        </is>
      </c>
      <c r="L62" s="4" t="inlineStr">
        <is>
          <t>Texto abierto evaluable revisado; extracción RQ disponible.</t>
        </is>
      </c>
    </row>
    <row r="63" ht="47" customHeight="1">
      <c r="A63" s="4" t="n">
        <v>173</v>
      </c>
      <c r="B63" s="4" t="n">
        <v>2025</v>
      </c>
      <c r="C63" s="4" t="inlineStr">
        <is>
          <t>From Click to Chat: A Comparative, Bilingual Study of Autism-Related Information on Websites and General-Purpose AI Chatbots (Preprint)</t>
        </is>
      </c>
      <c r="D63" s="4" t="inlineStr">
        <is>
          <t>10.2196/85196</t>
        </is>
      </c>
      <c r="E63" s="4" t="inlineStr">
        <is>
          <t>Yes</t>
        </is>
      </c>
      <c r="F63" s="4" t="inlineStr">
        <is>
          <t>Yes</t>
        </is>
      </c>
      <c r="G63" s="4" t="inlineStr">
        <is>
          <t>gold</t>
        </is>
      </c>
      <c r="H63" s="4" t="inlineStr">
        <is>
          <t>cc-by</t>
        </is>
      </c>
      <c r="I63" s="4" t="inlineStr">
        <is>
          <t>https://doi.org/10.2196/85196</t>
        </is>
      </c>
      <c r="J63" s="4" t="inlineStr">
        <is>
          <t>Yes</t>
        </is>
      </c>
      <c r="K63" s="4" t="inlineStr">
        <is>
          <t>Include</t>
        </is>
      </c>
      <c r="L63" s="4" t="inlineStr">
        <is>
          <t>Texto abierto evaluable revisado; extracción RQ disponible.</t>
        </is>
      </c>
    </row>
    <row r="64" ht="60" customHeight="1">
      <c r="A64" s="4" t="n">
        <v>179</v>
      </c>
      <c r="B64" s="4" t="n">
        <v>2025</v>
      </c>
      <c r="C64" s="4" t="inlineStr">
        <is>
          <t>Free Water Corrected Diffusion Magnetic Resonance Imaging Reveals Microstructural Alterations in Corpus Callosum Subregions of Preschool Children With Autism</t>
        </is>
      </c>
      <c r="D64" s="4" t="inlineStr">
        <is>
          <t>10.1002/hbm.70435</t>
        </is>
      </c>
      <c r="E64" s="4" t="inlineStr">
        <is>
          <t>Yes</t>
        </is>
      </c>
      <c r="F64" s="4" t="inlineStr">
        <is>
          <t>Yes</t>
        </is>
      </c>
      <c r="G64" s="4" t="inlineStr">
        <is>
          <t>gold</t>
        </is>
      </c>
      <c r="H64" s="4" t="inlineStr">
        <is>
          <t>cc-by-nc</t>
        </is>
      </c>
      <c r="I64" s="4" t="inlineStr">
        <is>
          <t>https://onlinelibrary.wiley.com/doi/pdfdirect/10.1002/hbm.70435</t>
        </is>
      </c>
      <c r="J64" s="4" t="inlineStr">
        <is>
          <t>Yes</t>
        </is>
      </c>
      <c r="K64" s="4" t="inlineStr">
        <is>
          <t>Include</t>
        </is>
      </c>
      <c r="L64" s="4" t="inlineStr">
        <is>
          <t>Texto abierto evaluable revisado; extracción RQ disponible.</t>
        </is>
      </c>
    </row>
    <row r="65" ht="47" customHeight="1">
      <c r="A65" s="4" t="n">
        <v>180</v>
      </c>
      <c r="B65" s="4" t="n">
        <v>2026</v>
      </c>
      <c r="C65" s="4" t="inlineStr">
        <is>
          <t>The effect of spatial and intensity level augmentation of structural magnetic resonance images on autism diagnosis model</t>
        </is>
      </c>
      <c r="D65" s="4" t="inlineStr">
        <is>
          <t>10.1016/j.ajp.2026.104830</t>
        </is>
      </c>
      <c r="E65" s="4" t="inlineStr">
        <is>
          <t>Yes</t>
        </is>
      </c>
      <c r="F65" s="4" t="inlineStr">
        <is>
          <t>No</t>
        </is>
      </c>
      <c r="G65" s="4" t="inlineStr">
        <is>
          <t>closed</t>
        </is>
      </c>
      <c r="H65" s="4" t="n"/>
      <c r="I65" s="4" t="inlineStr">
        <is>
          <t>https://doi.org/10.1016/j.ajp.2026.104830</t>
        </is>
      </c>
      <c r="J65" s="4" t="inlineStr">
        <is>
          <t>Yes</t>
        </is>
      </c>
      <c r="K65" s="4" t="inlineStr">
        <is>
          <t>Include</t>
        </is>
      </c>
      <c r="L65" s="4" t="inlineStr">
        <is>
          <t>Contenido integral evaluable revisado; ver nivel exacto de fuente, evidencia y cautelas en Lote_02_25.</t>
        </is>
      </c>
    </row>
    <row r="66" ht="47" customHeight="1">
      <c r="A66" s="4" t="n">
        <v>181</v>
      </c>
      <c r="B66" s="4" t="n">
        <v>2026</v>
      </c>
      <c r="C66" s="4" t="inlineStr">
        <is>
          <t>Human-centered AI for inclusive tourism: enhancing travel planning for adults with autism spectrum disorder</t>
        </is>
      </c>
      <c r="D66" s="4" t="inlineStr">
        <is>
          <t>10.1016/j.ijhcs.2025.103696</t>
        </is>
      </c>
      <c r="E66" s="4" t="inlineStr">
        <is>
          <t>Yes</t>
        </is>
      </c>
      <c r="F66" s="4" t="inlineStr">
        <is>
          <t>Yes</t>
        </is>
      </c>
      <c r="G66" s="4" t="inlineStr">
        <is>
          <t>hybrid</t>
        </is>
      </c>
      <c r="H66" s="4" t="inlineStr">
        <is>
          <t>cc-by</t>
        </is>
      </c>
      <c r="I66" s="4" t="inlineStr">
        <is>
          <t>https://iris.unito.it/handle/2318/2114230</t>
        </is>
      </c>
      <c r="J66" s="4" t="inlineStr">
        <is>
          <t>Yes</t>
        </is>
      </c>
      <c r="K66" s="4" t="inlineStr">
        <is>
          <t>Include</t>
        </is>
      </c>
      <c r="L66" s="4" t="inlineStr">
        <is>
          <t>Contenido integral evaluable revisado; ver nivel exacto de fuente, evidencia y cautelas en Lote_02_25.</t>
        </is>
      </c>
    </row>
    <row r="67" ht="47" customHeight="1">
      <c r="A67" s="4" t="n">
        <v>182</v>
      </c>
      <c r="B67" s="4" t="n">
        <v>2026</v>
      </c>
      <c r="C67" s="4" t="inlineStr">
        <is>
          <t>Label leakage unmasked: a trustworthy-AI audit of autism screening models using the CLEAR-RD framework.</t>
        </is>
      </c>
      <c r="D67" s="4" t="inlineStr">
        <is>
          <t>10.3389/fpubh.2026.1881829</t>
        </is>
      </c>
      <c r="E67" s="4" t="inlineStr">
        <is>
          <t>Yes</t>
        </is>
      </c>
      <c r="F67" s="4" t="inlineStr">
        <is>
          <t>Yes</t>
        </is>
      </c>
      <c r="G67" s="4" t="inlineStr">
        <is>
          <t>gold</t>
        </is>
      </c>
      <c r="H67" s="4" t="inlineStr">
        <is>
          <t>cc-by</t>
        </is>
      </c>
      <c r="I67" s="4" t="inlineStr">
        <is>
          <t>https://www.frontiersin.org/journals/public-health/articles/10.3389/fpubh.2026.1881829/pdf</t>
        </is>
      </c>
      <c r="J67" s="4" t="inlineStr">
        <is>
          <t>Yes</t>
        </is>
      </c>
      <c r="K67" s="4" t="inlineStr">
        <is>
          <t>Include</t>
        </is>
      </c>
      <c r="L67" s="4" t="inlineStr">
        <is>
          <t>Texto abierto evaluable revisado; extracción RQ disponible.</t>
        </is>
      </c>
    </row>
    <row r="68" ht="47" customHeight="1">
      <c r="A68" s="4" t="n">
        <v>183</v>
      </c>
      <c r="B68" s="4" t="n">
        <v>2025</v>
      </c>
      <c r="C68" s="4" t="inlineStr">
        <is>
          <t>Adaptive Multi-Scale Dynamic Graph Representation Learning With Overlapping Community-Awareness for ASD Classification</t>
        </is>
      </c>
      <c r="D68" s="4" t="inlineStr">
        <is>
          <t>10.1109/JBHI.2025.3622540</t>
        </is>
      </c>
      <c r="E68" s="4" t="inlineStr">
        <is>
          <t>Yes</t>
        </is>
      </c>
      <c r="F68" s="4" t="inlineStr">
        <is>
          <t>No</t>
        </is>
      </c>
      <c r="G68" s="4" t="inlineStr">
        <is>
          <t>closed</t>
        </is>
      </c>
      <c r="H68" s="4" t="n"/>
      <c r="I68" s="4" t="inlineStr">
        <is>
          <t>https://pubmed.ncbi.nlm.nih.gov/41359708/</t>
        </is>
      </c>
      <c r="J68" s="4" t="inlineStr">
        <is>
          <t>Yes</t>
        </is>
      </c>
      <c r="K68" s="4" t="inlineStr">
        <is>
          <t>Include</t>
        </is>
      </c>
      <c r="L68" s="4" t="inlineStr">
        <is>
          <t>Contenido primario accesible suficiente para adjudicación y codificación RQ; no implica que se haya adquirido una copia editorial cerrada. Requiere verificación independiente.</t>
        </is>
      </c>
    </row>
    <row r="69" ht="47" customHeight="1">
      <c r="A69" s="4" t="n">
        <v>185</v>
      </c>
      <c r="B69" s="4" t="n">
        <v>2026</v>
      </c>
      <c r="C69" s="4" t="inlineStr">
        <is>
          <t>Early multimodal behavioral cues in autism: a micro-analytical exploration of actions, gestures and speech during naturalistic parent-child interactions</t>
        </is>
      </c>
      <c r="D69" s="4" t="inlineStr">
        <is>
          <t>10.1016/j.ijchp.2026.100664</t>
        </is>
      </c>
      <c r="E69" s="4" t="inlineStr">
        <is>
          <t>Yes</t>
        </is>
      </c>
      <c r="F69" s="4" t="inlineStr">
        <is>
          <t>Yes</t>
        </is>
      </c>
      <c r="G69" s="4" t="inlineStr">
        <is>
          <t>gold</t>
        </is>
      </c>
      <c r="H69" s="4" t="inlineStr">
        <is>
          <t>cc-by</t>
        </is>
      </c>
      <c r="I69" s="4" t="inlineStr">
        <is>
          <t>https://doi.org/10.1016/j.ijchp.2026.100664</t>
        </is>
      </c>
      <c r="J69" s="4" t="inlineStr">
        <is>
          <t>Yes</t>
        </is>
      </c>
      <c r="K69" s="4" t="inlineStr">
        <is>
          <t>Include</t>
        </is>
      </c>
      <c r="L69" s="4" t="inlineStr">
        <is>
          <t>Texto abierto evaluable revisado; extracción RQ disponible.</t>
        </is>
      </c>
    </row>
    <row r="70" ht="73" customHeight="1">
      <c r="A70" s="4" t="n">
        <v>186</v>
      </c>
      <c r="B70" s="4" t="n">
        <v>2026</v>
      </c>
      <c r="C70" s="4" t="inlineStr">
        <is>
          <t>Mood instability and mental health service use in autism and attention-deficit/hyperactivity disorder: a natural language processing analysis of CRIS electronic healthcare records from 21 906 children and adolescents.</t>
        </is>
      </c>
      <c r="D70" s="4" t="inlineStr">
        <is>
          <t>10.1136/bmjment-2026-302488</t>
        </is>
      </c>
      <c r="E70" s="4" t="inlineStr">
        <is>
          <t>Yes</t>
        </is>
      </c>
      <c r="F70" s="4" t="inlineStr">
        <is>
          <t>Yes</t>
        </is>
      </c>
      <c r="G70" s="4" t="inlineStr">
        <is>
          <t>diamond</t>
        </is>
      </c>
      <c r="H70" s="4" t="inlineStr">
        <is>
          <t>cc-by</t>
        </is>
      </c>
      <c r="I70" s="4" t="inlineStr">
        <is>
          <t>https://mentalhealth.bmj.com/content/29/1/e302488.full.pdf</t>
        </is>
      </c>
      <c r="J70" s="4" t="inlineStr">
        <is>
          <t>Yes</t>
        </is>
      </c>
      <c r="K70" s="4" t="inlineStr">
        <is>
          <t>Include</t>
        </is>
      </c>
      <c r="L70" s="4" t="inlineStr">
        <is>
          <t>Texto abierto evaluable revisado; extracción RQ disponible.</t>
        </is>
      </c>
    </row>
    <row r="71" ht="34" customHeight="1">
      <c r="A71" s="4" t="n">
        <v>187</v>
      </c>
      <c r="B71" s="4" t="n">
        <v>2026</v>
      </c>
      <c r="C71" s="4" t="inlineStr">
        <is>
          <t>Early Identification of Autism Spectrum Disorder using a Hybrid ViT–Mamba Multimodal Architecture</t>
        </is>
      </c>
      <c r="D71" s="4" t="inlineStr">
        <is>
          <t>10.1016/j.procs.2026.06.363</t>
        </is>
      </c>
      <c r="E71" s="4" t="inlineStr">
        <is>
          <t>Yes</t>
        </is>
      </c>
      <c r="F71" s="4" t="inlineStr">
        <is>
          <t>Yes</t>
        </is>
      </c>
      <c r="G71" s="4" t="inlineStr">
        <is>
          <t>diamond</t>
        </is>
      </c>
      <c r="H71" s="4" t="inlineStr">
        <is>
          <t>cc-by-nc-nd</t>
        </is>
      </c>
      <c r="I71" s="4" t="inlineStr">
        <is>
          <t>https://www.sciencedirect.com/science/article/pii/S1877050926019952</t>
        </is>
      </c>
      <c r="J71" s="4" t="inlineStr">
        <is>
          <t>Yes</t>
        </is>
      </c>
      <c r="K71" s="4" t="inlineStr">
        <is>
          <t>Include</t>
        </is>
      </c>
      <c r="L71" s="4" t="inlineStr">
        <is>
          <t>Contenido evaluable revisado; ver nivel exacto de fuente, evidencia y cautelas en Lote_03_25.</t>
        </is>
      </c>
    </row>
    <row r="72" ht="60" customHeight="1">
      <c r="A72" s="4" t="n">
        <v>188</v>
      </c>
      <c r="B72" s="4" t="n">
        <v>2026</v>
      </c>
      <c r="C72" s="4" t="inlineStr">
        <is>
          <t>Baseline symptom severity and response to multisession cathodal transcranial direct current stimulation in adolescents and young adults with autism: an exploratory analysis</t>
        </is>
      </c>
      <c r="D72" s="4" t="inlineStr">
        <is>
          <t>10.1016/j.jpsychires.2026.03.043</t>
        </is>
      </c>
      <c r="E72" s="4" t="inlineStr">
        <is>
          <t>Yes</t>
        </is>
      </c>
      <c r="F72" s="4" t="inlineStr">
        <is>
          <t>Yes</t>
        </is>
      </c>
      <c r="G72" s="4" t="inlineStr">
        <is>
          <t>hybrid</t>
        </is>
      </c>
      <c r="H72" s="4" t="inlineStr">
        <is>
          <t>cc-by</t>
        </is>
      </c>
      <c r="I72" s="4" t="inlineStr">
        <is>
          <t>https://www.sciencedirect.com/science/article/pii/S0022395626001998</t>
        </is>
      </c>
      <c r="J72" s="4" t="inlineStr">
        <is>
          <t>Yes</t>
        </is>
      </c>
      <c r="K72" s="4" t="inlineStr">
        <is>
          <t>Include</t>
        </is>
      </c>
      <c r="L72" s="4" t="inlineStr">
        <is>
          <t>Contenido evaluable revisado; ver nivel exacto de fuente, evidencia y cautelas en Lote_03_25.</t>
        </is>
      </c>
    </row>
    <row r="73" ht="34" customHeight="1">
      <c r="A73" s="4" t="n">
        <v>190</v>
      </c>
      <c r="B73" s="4" t="n">
        <v>2026</v>
      </c>
      <c r="C73" s="4" t="inlineStr">
        <is>
          <t>DenWide-Net: Dense WideresNet for autism spectrum disorder detection using MRI image</t>
        </is>
      </c>
      <c r="D73" s="4" t="inlineStr">
        <is>
          <t>10.1016/j.bspc.2025.108976</t>
        </is>
      </c>
      <c r="E73" s="4" t="inlineStr">
        <is>
          <t>Yes</t>
        </is>
      </c>
      <c r="F73" s="4" t="inlineStr">
        <is>
          <t>No</t>
        </is>
      </c>
      <c r="G73" s="4" t="inlineStr">
        <is>
          <t>closed</t>
        </is>
      </c>
      <c r="H73" s="4" t="n"/>
      <c r="I73" s="4" t="inlineStr">
        <is>
          <t>https://www.sciencedirect.com/science/article/pii/S1746809425014879</t>
        </is>
      </c>
      <c r="J73" s="4" t="inlineStr">
        <is>
          <t>Yes</t>
        </is>
      </c>
      <c r="K73" s="4" t="inlineStr">
        <is>
          <t>Include</t>
        </is>
      </c>
      <c r="L73" s="4" t="inlineStr">
        <is>
          <t>Contenido evaluable revisado; ver nivel exacto de fuente, evidencia y cautelas en Lote_03_25.</t>
        </is>
      </c>
    </row>
    <row r="74" ht="47" customHeight="1">
      <c r="A74" s="4" t="n">
        <v>191</v>
      </c>
      <c r="B74" s="4" t="n">
        <v>2026</v>
      </c>
      <c r="C74" s="4" t="inlineStr">
        <is>
          <t>A functional system-informed graph neural network framework to quantify interpretable brain dysfunction in ASD</t>
        </is>
      </c>
      <c r="D74" s="4" t="inlineStr">
        <is>
          <t>10.1016/j.neunet.2025.108295</t>
        </is>
      </c>
      <c r="E74" s="4" t="inlineStr">
        <is>
          <t>Yes</t>
        </is>
      </c>
      <c r="F74" s="4" t="inlineStr">
        <is>
          <t>Yes</t>
        </is>
      </c>
      <c r="G74" s="4" t="inlineStr">
        <is>
          <t>green</t>
        </is>
      </c>
      <c r="H74" s="4" t="n"/>
      <c r="I74" s="4" t="inlineStr">
        <is>
          <t>https://pmc.ncbi.nlm.nih.gov/articles/PMC13179114/</t>
        </is>
      </c>
      <c r="J74" s="4" t="inlineStr">
        <is>
          <t>Yes</t>
        </is>
      </c>
      <c r="K74" s="4" t="inlineStr">
        <is>
          <t>Include</t>
        </is>
      </c>
      <c r="L74" s="4" t="inlineStr">
        <is>
          <t>Texto abierto evaluable revisado; extracción RQ disponible.</t>
        </is>
      </c>
    </row>
    <row r="75" ht="47" customHeight="1">
      <c r="A75" s="4" t="n">
        <v>197</v>
      </c>
      <c r="B75" s="4" t="n">
        <v>2026</v>
      </c>
      <c r="C75" s="4" t="inlineStr">
        <is>
          <t>Deep learning for autism detection using clinical notes: A comparison of transfer learning for a transparent and black-box approach</t>
        </is>
      </c>
      <c r="D75" s="4" t="inlineStr">
        <is>
          <t>10.1016/j.artmed.2025.103318</t>
        </is>
      </c>
      <c r="E75" s="4" t="inlineStr">
        <is>
          <t>Yes</t>
        </is>
      </c>
      <c r="F75" s="4" t="inlineStr">
        <is>
          <t>Yes</t>
        </is>
      </c>
      <c r="G75" s="4" t="inlineStr">
        <is>
          <t>hybrid</t>
        </is>
      </c>
      <c r="H75" s="4" t="inlineStr">
        <is>
          <t>cc-by-nc-nd</t>
        </is>
      </c>
      <c r="I75" s="4" t="inlineStr">
        <is>
          <t>https://doi.org/10.1016/j.artmed.2025.103318</t>
        </is>
      </c>
      <c r="J75" s="4" t="inlineStr">
        <is>
          <t>Yes</t>
        </is>
      </c>
      <c r="K75" s="4" t="inlineStr">
        <is>
          <t>Include</t>
        </is>
      </c>
      <c r="L75" s="4" t="inlineStr">
        <is>
          <t>Texto abierto evaluable revisado; extracción RQ disponible.</t>
        </is>
      </c>
    </row>
    <row r="76" ht="47" customHeight="1">
      <c r="A76" s="4" t="n">
        <v>198</v>
      </c>
      <c r="B76" s="4" t="n">
        <v>2026</v>
      </c>
      <c r="C76" s="4" t="inlineStr">
        <is>
          <t>A Multimodal AI Framework for Early Autism Identification Using CbRNN–Ensemble Modelling and Advanced NCIAPPF-Based Temporal Encoding</t>
        </is>
      </c>
      <c r="D76" s="4" t="inlineStr">
        <is>
          <t>10.1002/jdn.70117</t>
        </is>
      </c>
      <c r="E76" s="4" t="inlineStr">
        <is>
          <t>Yes</t>
        </is>
      </c>
      <c r="F76" s="4" t="inlineStr">
        <is>
          <t>No</t>
        </is>
      </c>
      <c r="G76" s="4" t="inlineStr">
        <is>
          <t>closed</t>
        </is>
      </c>
      <c r="H76" s="4" t="n"/>
      <c r="I76" s="4" t="inlineStr">
        <is>
          <t>https://onlinelibrary.wiley.com/doi/10.1002/jdn.70117</t>
        </is>
      </c>
      <c r="J76" s="4" t="inlineStr">
        <is>
          <t>Yes</t>
        </is>
      </c>
      <c r="K76" s="4" t="inlineStr">
        <is>
          <t>Include</t>
        </is>
      </c>
      <c r="L76" s="4" t="inlineStr">
        <is>
          <t>Contenido primario accesible suficiente para adjudicación y codificación RQ; no implica que se haya adquirido una copia editorial cerrada. Requiere verificación independiente.</t>
        </is>
      </c>
    </row>
    <row r="77" ht="60" customHeight="1">
      <c r="A77" s="4" t="n">
        <v>199</v>
      </c>
      <c r="B77" s="4" t="n">
        <v>2026</v>
      </c>
      <c r="C77" s="4" t="inlineStr">
        <is>
          <t>Artificial Intelligence for Enhancing Emotion Expression in Augmentative and Alternative Communication Systems: A Preliminary Study Including Children Both With and Without Autism.</t>
        </is>
      </c>
      <c r="D77" s="4" t="inlineStr">
        <is>
          <t>10.1044/2026_AJSLP-25-00469</t>
        </is>
      </c>
      <c r="E77" s="4" t="inlineStr">
        <is>
          <t>Yes</t>
        </is>
      </c>
      <c r="F77" s="4" t="inlineStr">
        <is>
          <t>No</t>
        </is>
      </c>
      <c r="G77" s="4" t="inlineStr">
        <is>
          <t>closed</t>
        </is>
      </c>
      <c r="H77" s="4" t="n"/>
      <c r="I77" s="4" t="inlineStr">
        <is>
          <t>https://pubs.asha.org/doi/10.1044/2026_AJSLP-25-00469</t>
        </is>
      </c>
      <c r="J77" s="4" t="inlineStr">
        <is>
          <t>Yes</t>
        </is>
      </c>
      <c r="K77" s="4" t="inlineStr">
        <is>
          <t>Include</t>
        </is>
      </c>
      <c r="L77" s="4" t="inlineStr">
        <is>
          <t>Contenido evaluable revisado; ver nivel exacto de fuente, evidencia y cautelas en Lote_03_25.</t>
        </is>
      </c>
    </row>
    <row r="78" ht="47" customHeight="1">
      <c r="A78" s="4" t="n">
        <v>200</v>
      </c>
      <c r="B78" s="4" t="n">
        <v>2026</v>
      </c>
      <c r="C78" s="4" t="inlineStr">
        <is>
          <t>Finding the forest in the trees: Using machine learning and online cognitive and perceptual measures to predict adult autism diagnosis</t>
        </is>
      </c>
      <c r="D78" s="4" t="inlineStr">
        <is>
          <t>10.1038/s41398-026-03823-y</t>
        </is>
      </c>
      <c r="E78" s="4" t="inlineStr">
        <is>
          <t>Yes</t>
        </is>
      </c>
      <c r="F78" s="4" t="inlineStr">
        <is>
          <t>Yes</t>
        </is>
      </c>
      <c r="G78" s="4" t="inlineStr">
        <is>
          <t>gold</t>
        </is>
      </c>
      <c r="H78" s="4" t="inlineStr">
        <is>
          <t>cc-by</t>
        </is>
      </c>
      <c r="I78" s="4" t="inlineStr">
        <is>
          <t>https://www.nature.com/articles/s41398-026-03823-y.pdf</t>
        </is>
      </c>
      <c r="J78" s="4" t="inlineStr">
        <is>
          <t>Yes</t>
        </is>
      </c>
      <c r="K78" s="4" t="inlineStr">
        <is>
          <t>Include</t>
        </is>
      </c>
      <c r="L78" s="4" t="inlineStr">
        <is>
          <t>Texto abierto evaluable revisado; extracción RQ disponible.</t>
        </is>
      </c>
    </row>
    <row r="79" ht="60" customHeight="1">
      <c r="A79" s="4" t="n">
        <v>203</v>
      </c>
      <c r="B79" s="4" t="n">
        <v>2026</v>
      </c>
      <c r="C79" s="4" t="inlineStr">
        <is>
          <t>Individuation of predictive parameters of posterior cranial fossa decompression in pediatric patients with Chiari I malformation and autism spectrum disorder</t>
        </is>
      </c>
      <c r="D79" s="4" t="inlineStr">
        <is>
          <t>10.1007/s00381-025-07119-2</t>
        </is>
      </c>
      <c r="E79" s="4" t="inlineStr">
        <is>
          <t>Yes</t>
        </is>
      </c>
      <c r="F79" s="4" t="inlineStr">
        <is>
          <t>No</t>
        </is>
      </c>
      <c r="G79" s="4" t="inlineStr">
        <is>
          <t>unknown</t>
        </is>
      </c>
      <c r="H79" s="4" t="n"/>
      <c r="I79" s="4" t="inlineStr">
        <is>
          <t>https://pubmed.ncbi.nlm.nih.gov/41535441/</t>
        </is>
      </c>
      <c r="J79" s="4" t="inlineStr">
        <is>
          <t>Yes</t>
        </is>
      </c>
      <c r="K79" s="4" t="inlineStr">
        <is>
          <t>Include</t>
        </is>
      </c>
      <c r="L79" s="4" t="inlineStr">
        <is>
          <t>Contenido evaluable revisado; ver nivel exacto de fuente, evidencia y cautelas en Lote_03_25.</t>
        </is>
      </c>
    </row>
    <row r="80" ht="47" customHeight="1">
      <c r="A80" s="4" t="n">
        <v>204</v>
      </c>
      <c r="B80" s="4" t="n">
        <v>2026</v>
      </c>
      <c r="C80" s="4" t="inlineStr">
        <is>
          <t>An automated detection system of autism spectrum disorder using meta-heuristic approach of adaptive LSTM with bayesian learning technique</t>
        </is>
      </c>
      <c r="D80" s="4" t="inlineStr">
        <is>
          <t>10.1007/s13246-025-01681-4</t>
        </is>
      </c>
      <c r="E80" s="4" t="inlineStr">
        <is>
          <t>Yes</t>
        </is>
      </c>
      <c r="F80" s="4" t="inlineStr">
        <is>
          <t>No</t>
        </is>
      </c>
      <c r="G80" s="4" t="inlineStr">
        <is>
          <t>closed</t>
        </is>
      </c>
      <c r="H80" s="4" t="n"/>
      <c r="I80" s="4" t="inlineStr">
        <is>
          <t>https://pubmed.ncbi.nlm.nih.gov/41642457/</t>
        </is>
      </c>
      <c r="J80" s="4" t="inlineStr">
        <is>
          <t>Yes</t>
        </is>
      </c>
      <c r="K80" s="4" t="inlineStr">
        <is>
          <t>Include</t>
        </is>
      </c>
      <c r="L80" s="4" t="inlineStr">
        <is>
          <t>Contenido evaluable revisado; ver nivel exacto de fuente, evidencia y cautelas en Lote_03_25.</t>
        </is>
      </c>
    </row>
    <row r="81" ht="73" customHeight="1">
      <c r="A81" s="4" t="n">
        <v>208</v>
      </c>
      <c r="B81" s="4" t="n">
        <v>2026</v>
      </c>
      <c r="C81" s="4" t="inlineStr">
        <is>
          <t>ADBrainNet: a deep neural network for Autism Spectrum Disorder (ASD) and Attention Deficit and Hyperactivity Disorder (ADHD) classification using resting-state fMRI images based on explainable artificial intelligence.</t>
        </is>
      </c>
      <c r="D81" s="4" t="inlineStr">
        <is>
          <t>10.1007/s11517-026-03530-2</t>
        </is>
      </c>
      <c r="E81" s="4" t="inlineStr">
        <is>
          <t>Yes</t>
        </is>
      </c>
      <c r="F81" s="4" t="inlineStr">
        <is>
          <t>No</t>
        </is>
      </c>
      <c r="G81" s="4" t="inlineStr">
        <is>
          <t>closed</t>
        </is>
      </c>
      <c r="H81" s="4" t="n"/>
      <c r="I81" s="4" t="inlineStr">
        <is>
          <t>https://pubmed.ncbi.nlm.nih.gov/41781648/</t>
        </is>
      </c>
      <c r="J81" s="4" t="inlineStr">
        <is>
          <t>Yes</t>
        </is>
      </c>
      <c r="K81" s="4" t="inlineStr">
        <is>
          <t>Include</t>
        </is>
      </c>
      <c r="L81" s="4" t="inlineStr">
        <is>
          <t>Contenido evaluable revisado; ver nivel exacto de fuente, evidencia y cautelas en Lote_03_25.</t>
        </is>
      </c>
    </row>
    <row r="82" ht="34" customHeight="1">
      <c r="A82" s="4" t="n">
        <v>209</v>
      </c>
      <c r="B82" s="4" t="n">
        <v>2026</v>
      </c>
      <c r="C82" s="4" t="inlineStr">
        <is>
          <t>Integrating EEG microstate dynamics in a stacked ensemble for neurodiagnostic ASD assessment</t>
        </is>
      </c>
      <c r="D82" s="4" t="inlineStr">
        <is>
          <t>10.1016/j.bbr.2026.116220</t>
        </is>
      </c>
      <c r="E82" s="4" t="inlineStr">
        <is>
          <t>Yes</t>
        </is>
      </c>
      <c r="F82" s="4" t="inlineStr">
        <is>
          <t>No</t>
        </is>
      </c>
      <c r="G82" s="4" t="inlineStr">
        <is>
          <t>closed</t>
        </is>
      </c>
      <c r="H82" s="4" t="n"/>
      <c r="I82" s="4" t="inlineStr">
        <is>
          <t>https://www.sciencedirect.com/science/article/pii/S0166432826001968</t>
        </is>
      </c>
      <c r="J82" s="4" t="inlineStr">
        <is>
          <t>Yes</t>
        </is>
      </c>
      <c r="K82" s="4" t="inlineStr">
        <is>
          <t>Include</t>
        </is>
      </c>
      <c r="L82" s="4" t="inlineStr">
        <is>
          <t>Contenido evaluable revisado; ver nivel exacto de fuente, evidencia y cautelas en Lote_03_25.</t>
        </is>
      </c>
    </row>
    <row r="83" ht="34" customHeight="1">
      <c r="A83" s="4" t="n">
        <v>210</v>
      </c>
      <c r="B83" s="4" t="n">
        <v>2026</v>
      </c>
      <c r="C83" s="4" t="inlineStr">
        <is>
          <t>Biomarker Discovery for Autism Prediction Using Massive Feature Extraction Based on EEG Signals</t>
        </is>
      </c>
      <c r="D83" s="4" t="inlineStr">
        <is>
          <t>10.3390/s26061862</t>
        </is>
      </c>
      <c r="E83" s="4" t="inlineStr">
        <is>
          <t>Yes</t>
        </is>
      </c>
      <c r="F83" s="4" t="inlineStr">
        <is>
          <t>Yes</t>
        </is>
      </c>
      <c r="G83" s="4" t="inlineStr">
        <is>
          <t>gold</t>
        </is>
      </c>
      <c r="H83" s="4" t="inlineStr">
        <is>
          <t>cc-by</t>
        </is>
      </c>
      <c r="I83" s="4" t="inlineStr">
        <is>
          <t>https://www.mdpi.com/1424-8220/26/6/1862/pdf?version=1773629441</t>
        </is>
      </c>
      <c r="J83" s="4" t="inlineStr">
        <is>
          <t>Yes</t>
        </is>
      </c>
      <c r="K83" s="4" t="inlineStr">
        <is>
          <t>Include</t>
        </is>
      </c>
      <c r="L83" s="4" t="inlineStr">
        <is>
          <t>Texto abierto evaluable revisado; extracción RQ disponible.</t>
        </is>
      </c>
    </row>
    <row r="84" ht="34" customHeight="1">
      <c r="A84" s="4" t="n">
        <v>211</v>
      </c>
      <c r="B84" s="4" t="n">
        <v>2026</v>
      </c>
      <c r="C84" s="4" t="inlineStr">
        <is>
          <t>Predicting Autism</t>
        </is>
      </c>
      <c r="D84" s="4" t="inlineStr">
        <is>
          <t>10.1002/9781394271177.CH13</t>
        </is>
      </c>
      <c r="E84" s="4" t="inlineStr">
        <is>
          <t>Yes</t>
        </is>
      </c>
      <c r="F84" s="4" t="inlineStr">
        <is>
          <t>No</t>
        </is>
      </c>
      <c r="G84" s="4" t="inlineStr">
        <is>
          <t>closed</t>
        </is>
      </c>
      <c r="H84" s="4" t="n"/>
      <c r="I84" s="4" t="inlineStr">
        <is>
          <t>https://onlinelibrary.wiley.com/doi/10.1002/9781394271177.ch13</t>
        </is>
      </c>
      <c r="J84" s="4" t="inlineStr">
        <is>
          <t>Yes</t>
        </is>
      </c>
      <c r="K84" s="4" t="inlineStr">
        <is>
          <t>Exclude</t>
        </is>
      </c>
      <c r="L84" s="4" t="inlineStr">
        <is>
          <t>Contenido evaluable revisado; ver nivel exacto de fuente, evidencia y cautelas en Lote_03_25.</t>
        </is>
      </c>
    </row>
    <row r="85" ht="47" customHeight="1">
      <c r="A85" s="4" t="n">
        <v>212</v>
      </c>
      <c r="B85" s="4" t="n">
        <v>2026</v>
      </c>
      <c r="C85" s="4" t="inlineStr">
        <is>
          <t>Comparison of cognitive ability and its distribution between men with autism spectrum disorder and attention-deficit/hyperactivity disorder</t>
        </is>
      </c>
      <c r="D85" s="4" t="inlineStr">
        <is>
          <t>10.1371/journal.pone.0345522</t>
        </is>
      </c>
      <c r="E85" s="4" t="inlineStr">
        <is>
          <t>Yes</t>
        </is>
      </c>
      <c r="F85" s="4" t="inlineStr">
        <is>
          <t>Yes</t>
        </is>
      </c>
      <c r="G85" s="4" t="inlineStr">
        <is>
          <t>gold</t>
        </is>
      </c>
      <c r="H85" s="4" t="inlineStr">
        <is>
          <t>cc-by</t>
        </is>
      </c>
      <c r="I85" s="4" t="inlineStr">
        <is>
          <t>https://journals.plos.org/plosone/article/file?id=10.1371/journal.pone.0345522&amp;type=printable</t>
        </is>
      </c>
      <c r="J85" s="4" t="inlineStr">
        <is>
          <t>Yes</t>
        </is>
      </c>
      <c r="K85" s="4" t="inlineStr">
        <is>
          <t>Include</t>
        </is>
      </c>
      <c r="L85" s="4" t="inlineStr">
        <is>
          <t>Texto abierto evaluable revisado; extracción RQ disponible.</t>
        </is>
      </c>
    </row>
    <row r="86" ht="47" customHeight="1">
      <c r="A86" s="4" t="n">
        <v>213</v>
      </c>
      <c r="B86" s="4" t="n">
        <v>2026</v>
      </c>
      <c r="C86" s="4" t="inlineStr">
        <is>
          <t>Identifying autism spectrum disorder diagnosis in children via temporal-frequency hyperdimensional computing with resting-state EEG</t>
        </is>
      </c>
      <c r="D86" s="4" t="inlineStr">
        <is>
          <t>10.1016/j.eswa.2025.130671</t>
        </is>
      </c>
      <c r="E86" s="4" t="inlineStr">
        <is>
          <t>Yes</t>
        </is>
      </c>
      <c r="F86" s="4" t="inlineStr">
        <is>
          <t>No</t>
        </is>
      </c>
      <c r="G86" s="4" t="inlineStr">
        <is>
          <t>closed</t>
        </is>
      </c>
      <c r="H86" s="4" t="n"/>
      <c r="I86" s="4" t="inlineStr">
        <is>
          <t>https://www.sciencedirect.com/science/article/pii/S0957417425042861</t>
        </is>
      </c>
      <c r="J86" s="4" t="inlineStr">
        <is>
          <t>Yes</t>
        </is>
      </c>
      <c r="K86" s="4" t="inlineStr">
        <is>
          <t>Include</t>
        </is>
      </c>
      <c r="L86" s="4" t="inlineStr">
        <is>
          <t>Contenido evaluable revisado; ver nivel exacto de fuente, evidencia y cautelas en Lote_03_25.</t>
        </is>
      </c>
    </row>
    <row r="87" ht="34" customHeight="1">
      <c r="A87" s="4" t="n">
        <v>214</v>
      </c>
      <c r="B87" s="4" t="n">
        <v>2025</v>
      </c>
      <c r="C87" s="4" t="inlineStr">
        <is>
          <t>Hippocampal Subregion Function and Its Clinical Correlations in Childhood Autism Spectrum Disorders</t>
        </is>
      </c>
      <c r="D87" s="4" t="inlineStr">
        <is>
          <t>10.1002/AUR.70124</t>
        </is>
      </c>
      <c r="E87" s="4" t="inlineStr">
        <is>
          <t>Yes</t>
        </is>
      </c>
      <c r="F87" s="4" t="inlineStr">
        <is>
          <t>Yes</t>
        </is>
      </c>
      <c r="G87" s="4" t="inlineStr">
        <is>
          <t>hybrid</t>
        </is>
      </c>
      <c r="H87" s="4" t="inlineStr">
        <is>
          <t>cc-by</t>
        </is>
      </c>
      <c r="I87" s="4" t="inlineStr">
        <is>
          <t>https://onlinelibrary.wiley.com/doi/pdfdirect/10.1002/aur.70124</t>
        </is>
      </c>
      <c r="J87" s="4" t="inlineStr">
        <is>
          <t>Yes</t>
        </is>
      </c>
      <c r="K87" s="4" t="inlineStr">
        <is>
          <t>Include</t>
        </is>
      </c>
      <c r="L87" s="4" t="inlineStr">
        <is>
          <t>Texto abierto evaluable revisado; extracción RQ disponible.</t>
        </is>
      </c>
    </row>
    <row r="88" ht="60" customHeight="1">
      <c r="A88" s="4" t="n">
        <v>215</v>
      </c>
      <c r="B88" s="4" t="n">
        <v>2026</v>
      </c>
      <c r="C88" s="4" t="inlineStr">
        <is>
          <t>Integrated transcriptomic and clinical analysis of autism spectrum disorder reveals structured heterogeneity and links Methyl-CpG Binding Domain Protein 2 expression with symptom severity</t>
        </is>
      </c>
      <c r="D88" s="4" t="inlineStr">
        <is>
          <t>10.1111/pcn.70065</t>
        </is>
      </c>
      <c r="E88" s="4" t="inlineStr">
        <is>
          <t>Yes</t>
        </is>
      </c>
      <c r="F88" s="4" t="inlineStr">
        <is>
          <t>No</t>
        </is>
      </c>
      <c r="G88" s="4" t="inlineStr">
        <is>
          <t>closed</t>
        </is>
      </c>
      <c r="H88" s="4" t="n"/>
      <c r="I88" s="4" t="inlineStr">
        <is>
          <t>https://onlinelibrary.wiley.com/doi/10.1111/pcn.70065</t>
        </is>
      </c>
      <c r="J88" s="4" t="inlineStr">
        <is>
          <t>Yes</t>
        </is>
      </c>
      <c r="K88" s="4" t="inlineStr">
        <is>
          <t>Include</t>
        </is>
      </c>
      <c r="L88" s="4" t="inlineStr">
        <is>
          <t>Contenido evaluable revisado; ver nivel exacto de fuente, evidencia y cautelas en Lote_03_25.</t>
        </is>
      </c>
    </row>
    <row r="89" ht="47" customHeight="1">
      <c r="A89" s="4" t="n">
        <v>216</v>
      </c>
      <c r="B89" s="4" t="n">
        <v>2026</v>
      </c>
      <c r="C89" s="4" t="inlineStr">
        <is>
          <t>Parental Stress and Caregiver Role Modulate Child–Caregiver Prosodic Synchrony in Autism: A Computational Analysis</t>
        </is>
      </c>
      <c r="D89" s="4" t="inlineStr">
        <is>
          <t>10.1002/AUR.70189</t>
        </is>
      </c>
      <c r="E89" s="4" t="inlineStr">
        <is>
          <t>Yes</t>
        </is>
      </c>
      <c r="F89" s="4" t="inlineStr">
        <is>
          <t>Yes</t>
        </is>
      </c>
      <c r="G89" s="4" t="inlineStr">
        <is>
          <t>hybrid</t>
        </is>
      </c>
      <c r="H89" s="4" t="inlineStr">
        <is>
          <t>cc-by</t>
        </is>
      </c>
      <c r="I89" s="4" t="inlineStr">
        <is>
          <t>https://onlinelibrary.wiley.com/doi/pdfdirect/10.1002/aur.70189</t>
        </is>
      </c>
      <c r="J89" s="4" t="inlineStr">
        <is>
          <t>Yes</t>
        </is>
      </c>
      <c r="K89" s="4" t="inlineStr">
        <is>
          <t>Include</t>
        </is>
      </c>
      <c r="L89" s="4" t="inlineStr">
        <is>
          <t>Texto abierto evaluable revisado; extracción RQ disponible.</t>
        </is>
      </c>
    </row>
    <row r="90" ht="47" customHeight="1">
      <c r="A90" s="4" t="n">
        <v>217</v>
      </c>
      <c r="B90" s="4" t="n">
        <v>2026</v>
      </c>
      <c r="C90" s="4" t="inlineStr">
        <is>
          <t>Predicting brain age in children aged 2–6 years with autism spectrum disorders using routine T1- and T2-weighted magnetic resonance imaging</t>
        </is>
      </c>
      <c r="D90" s="4" t="inlineStr">
        <is>
          <t>10.1002/PED4.70064</t>
        </is>
      </c>
      <c r="E90" s="4" t="inlineStr">
        <is>
          <t>Yes</t>
        </is>
      </c>
      <c r="F90" s="4" t="inlineStr">
        <is>
          <t>Yes</t>
        </is>
      </c>
      <c r="G90" s="4" t="inlineStr">
        <is>
          <t>gold</t>
        </is>
      </c>
      <c r="H90" s="4" t="inlineStr">
        <is>
          <t>cc-by-nc-nd</t>
        </is>
      </c>
      <c r="I90" s="4" t="inlineStr">
        <is>
          <t>https://doi.org/10.1002/ped4.70064</t>
        </is>
      </c>
      <c r="J90" s="4" t="inlineStr">
        <is>
          <t>Yes</t>
        </is>
      </c>
      <c r="K90" s="4" t="inlineStr">
        <is>
          <t>Include</t>
        </is>
      </c>
      <c r="L90" s="4" t="inlineStr">
        <is>
          <t>Texto abierto evaluable revisado; extracción RQ disponible.</t>
        </is>
      </c>
    </row>
    <row r="91" ht="47" customHeight="1">
      <c r="A91" s="4" t="n">
        <v>218</v>
      </c>
      <c r="B91" s="4" t="n">
        <v>2026</v>
      </c>
      <c r="C91" s="4" t="inlineStr">
        <is>
          <t>A Robust Computational Framework for Autism Spectrum Disorder Identification Using Optimized Image Processing and Hybrid Learning Models</t>
        </is>
      </c>
      <c r="D91" s="4" t="inlineStr">
        <is>
          <t>10.1002/dneu.70028</t>
        </is>
      </c>
      <c r="E91" s="4" t="inlineStr">
        <is>
          <t>Yes</t>
        </is>
      </c>
      <c r="F91" s="4" t="inlineStr">
        <is>
          <t>No</t>
        </is>
      </c>
      <c r="G91" s="4" t="inlineStr">
        <is>
          <t>closed</t>
        </is>
      </c>
      <c r="H91" s="4" t="n"/>
      <c r="I91" s="4" t="inlineStr">
        <is>
          <t>https://onlinelibrary.wiley.com/doi/10.1002/dneu.70028</t>
        </is>
      </c>
      <c r="J91" s="4" t="inlineStr">
        <is>
          <t>Yes</t>
        </is>
      </c>
      <c r="K91" s="4" t="inlineStr">
        <is>
          <t>Include</t>
        </is>
      </c>
      <c r="L91" s="4" t="inlineStr">
        <is>
          <t>Contenido evaluable revisado; ver nivel exacto de fuente, evidencia y cautelas en Lote_03_25.</t>
        </is>
      </c>
    </row>
    <row r="92" ht="47" customHeight="1">
      <c r="A92" s="4" t="n">
        <v>222</v>
      </c>
      <c r="B92" s="4" t="n">
        <v>2026</v>
      </c>
      <c r="C92" s="4" t="inlineStr">
        <is>
          <t>Adaptive network based fuzzy inference system efficientnet for autism spectrum disorder detection with optimization based pivotal region extraction</t>
        </is>
      </c>
      <c r="D92" s="4" t="inlineStr">
        <is>
          <t>10.1016/j.pscychresns.2025.112109</t>
        </is>
      </c>
      <c r="E92" s="4" t="inlineStr">
        <is>
          <t>Yes</t>
        </is>
      </c>
      <c r="F92" s="4" t="inlineStr">
        <is>
          <t>Yes</t>
        </is>
      </c>
      <c r="G92" s="4" t="inlineStr">
        <is>
          <t>hybrid</t>
        </is>
      </c>
      <c r="H92" s="4" t="inlineStr">
        <is>
          <t>cc-by</t>
        </is>
      </c>
      <c r="I92" s="4" t="inlineStr">
        <is>
          <t>https://www.sciencedirect.com/science/article/pii/S0925492725001647</t>
        </is>
      </c>
      <c r="J92" s="4" t="inlineStr">
        <is>
          <t>Yes</t>
        </is>
      </c>
      <c r="K92" s="4" t="inlineStr">
        <is>
          <t>Include</t>
        </is>
      </c>
      <c r="L92" s="4" t="inlineStr">
        <is>
          <t>Contenido evaluable revisado; ver nivel exacto de fuente, evidencia y cautelas en Lote_03_25.</t>
        </is>
      </c>
    </row>
    <row r="93" ht="47" customHeight="1">
      <c r="A93" s="4" t="n">
        <v>223</v>
      </c>
      <c r="B93" s="4" t="n">
        <v>2026</v>
      </c>
      <c r="C93" s="4" t="inlineStr">
        <is>
          <t>Identification of Autism Through Fractal Analysis of EEG Signals and Bayesian Optimized Artificial Neural Network</t>
        </is>
      </c>
      <c r="D93" s="4" t="inlineStr">
        <is>
          <t>10.1002/IMA.70326</t>
        </is>
      </c>
      <c r="E93" s="4" t="inlineStr">
        <is>
          <t>Yes</t>
        </is>
      </c>
      <c r="F93" s="4" t="inlineStr">
        <is>
          <t>No</t>
        </is>
      </c>
      <c r="G93" s="4" t="inlineStr">
        <is>
          <t>closed</t>
        </is>
      </c>
      <c r="H93" s="4" t="n"/>
      <c r="I93" s="4" t="inlineStr">
        <is>
          <t>https://onlinelibrary.wiley.com/doi/10.1002/ima.70326</t>
        </is>
      </c>
      <c r="J93" s="4" t="inlineStr">
        <is>
          <t>Yes</t>
        </is>
      </c>
      <c r="K93" s="4" t="inlineStr">
        <is>
          <t>Include</t>
        </is>
      </c>
      <c r="L93" s="4" t="inlineStr">
        <is>
          <t>Contenido evaluable revisado; ver nivel exacto de fuente, evidencia y cautelas en Lote_03_25.</t>
        </is>
      </c>
    </row>
    <row r="94" ht="47" customHeight="1">
      <c r="A94" s="4" t="n">
        <v>228</v>
      </c>
      <c r="B94" s="4" t="n">
        <v>2026</v>
      </c>
      <c r="C94" s="4" t="inlineStr">
        <is>
          <t>Unveiling Diagnostic Biomarkers in Autism: A Comparative Proteome Analysis of CNTNAP2 Knockout Mice and Human ASD Patients</t>
        </is>
      </c>
      <c r="D94" s="4" t="inlineStr">
        <is>
          <t>10.3390/biom16030340</t>
        </is>
      </c>
      <c r="E94" s="4" t="inlineStr">
        <is>
          <t>Yes</t>
        </is>
      </c>
      <c r="F94" s="4" t="inlineStr">
        <is>
          <t>Yes</t>
        </is>
      </c>
      <c r="G94" s="4" t="inlineStr">
        <is>
          <t>gold</t>
        </is>
      </c>
      <c r="H94" s="4" t="inlineStr">
        <is>
          <t>cc-by</t>
        </is>
      </c>
      <c r="I94" s="4" t="inlineStr">
        <is>
          <t>https://doi.org/10.3390/biom16030340</t>
        </is>
      </c>
      <c r="J94" s="4" t="inlineStr">
        <is>
          <t>Yes</t>
        </is>
      </c>
      <c r="K94" s="4" t="inlineStr">
        <is>
          <t>Include</t>
        </is>
      </c>
      <c r="L94" s="4" t="inlineStr">
        <is>
          <t>Texto abierto evaluable revisado; extracción RQ disponible.</t>
        </is>
      </c>
    </row>
    <row r="95" ht="47" customHeight="1">
      <c r="A95" s="4" t="n">
        <v>230</v>
      </c>
      <c r="B95" s="4" t="n">
        <v>2026</v>
      </c>
      <c r="C95" s="4" t="inlineStr">
        <is>
          <t>Quality of Autism Information Generated by Artificial Intelligence Tools: Implications for Paediatric Care</t>
        </is>
      </c>
      <c r="D95" s="4" t="inlineStr">
        <is>
          <t>10.1111/JPC.70433</t>
        </is>
      </c>
      <c r="E95" s="4" t="inlineStr">
        <is>
          <t>Yes</t>
        </is>
      </c>
      <c r="F95" s="4" t="inlineStr">
        <is>
          <t>No</t>
        </is>
      </c>
      <c r="G95" s="4" t="inlineStr">
        <is>
          <t>closed</t>
        </is>
      </c>
      <c r="H95" s="4" t="n"/>
      <c r="I95" s="4" t="inlineStr">
        <is>
          <t>https://onlinelibrary.wiley.com/doi/10.1111/jpc.70433</t>
        </is>
      </c>
      <c r="J95" s="4" t="inlineStr">
        <is>
          <t>Yes</t>
        </is>
      </c>
      <c r="K95" s="4" t="inlineStr">
        <is>
          <t>Exclude</t>
        </is>
      </c>
      <c r="L95" s="4" t="inlineStr">
        <is>
          <t>Contenido evaluable revisado; ver nivel exacto de fuente, evidencia y cautelas en Lote_03_25.</t>
        </is>
      </c>
    </row>
    <row r="96" ht="34" customHeight="1">
      <c r="A96" s="4" t="n">
        <v>231</v>
      </c>
      <c r="B96" s="4" t="n">
        <v>2025</v>
      </c>
      <c r="C96" s="4" t="inlineStr">
        <is>
          <t>Linguistic Explanations of Deep Models in Detecting Autism and Schizophrenia</t>
        </is>
      </c>
      <c r="D96" s="4" t="inlineStr">
        <is>
          <t>10.1111/COIN.70158</t>
        </is>
      </c>
      <c r="E96" s="4" t="inlineStr">
        <is>
          <t>Yes</t>
        </is>
      </c>
      <c r="F96" s="4" t="inlineStr">
        <is>
          <t>Yes</t>
        </is>
      </c>
      <c r="G96" s="4" t="inlineStr">
        <is>
          <t>bronze</t>
        </is>
      </c>
      <c r="H96" s="4" t="n"/>
      <c r="I96" s="4" t="inlineStr">
        <is>
          <t>https://onlinelibrary.wiley.com/doi/10.1111/coin.70158</t>
        </is>
      </c>
      <c r="J96" s="4" t="inlineStr">
        <is>
          <t>Yes</t>
        </is>
      </c>
      <c r="K96" s="4" t="inlineStr">
        <is>
          <t>Include</t>
        </is>
      </c>
      <c r="L96" s="4" t="inlineStr">
        <is>
          <t>Contenido evaluable revisado; ver nivel exacto de fuente, evidencia y cautelas en Lote_03_25.</t>
        </is>
      </c>
    </row>
    <row r="97" ht="34" customHeight="1">
      <c r="A97" s="4" t="n">
        <v>233</v>
      </c>
      <c r="B97" s="4" t="n">
        <v>2026</v>
      </c>
      <c r="C97" s="4" t="inlineStr">
        <is>
          <t>Autism Screening Based on Deep Learning Analysis of Eye Movement Trajectories</t>
        </is>
      </c>
      <c r="D97" s="4" t="inlineStr">
        <is>
          <t>10.1049/CVI2.70078</t>
        </is>
      </c>
      <c r="E97" s="4" t="inlineStr">
        <is>
          <t>Yes</t>
        </is>
      </c>
      <c r="F97" s="4" t="inlineStr">
        <is>
          <t>Yes</t>
        </is>
      </c>
      <c r="G97" s="4" t="inlineStr">
        <is>
          <t>gold</t>
        </is>
      </c>
      <c r="H97" s="4" t="inlineStr">
        <is>
          <t>cc-by-nc-nd</t>
        </is>
      </c>
      <c r="I97" s="4" t="inlineStr">
        <is>
          <t>https://ietresearch.onlinelibrary.wiley.com/doi/10.1049/cvi2.70078</t>
        </is>
      </c>
      <c r="J97" s="4" t="inlineStr">
        <is>
          <t>Yes</t>
        </is>
      </c>
      <c r="K97" s="4" t="inlineStr">
        <is>
          <t>Include</t>
        </is>
      </c>
      <c r="L97" s="4" t="inlineStr">
        <is>
          <t>Contenido evaluable revisado; ver nivel exacto de fuente, evidencia y cautelas en Lote_03_25.</t>
        </is>
      </c>
    </row>
    <row r="98" ht="34" customHeight="1">
      <c r="A98" s="4" t="n">
        <v>235</v>
      </c>
      <c r="B98" s="4" t="n">
        <v>2026</v>
      </c>
      <c r="C98" s="4" t="inlineStr">
        <is>
          <t>Automatic measurement of social gaze during naturalistic conversations in autism</t>
        </is>
      </c>
      <c r="D98" s="4" t="inlineStr">
        <is>
          <t>10.1016/j.jpsychires.2026.05.015</t>
        </is>
      </c>
      <c r="E98" s="4" t="inlineStr">
        <is>
          <t>Yes</t>
        </is>
      </c>
      <c r="F98" s="4" t="inlineStr">
        <is>
          <t>Yes</t>
        </is>
      </c>
      <c r="G98" s="4" t="inlineStr">
        <is>
          <t>hybrid</t>
        </is>
      </c>
      <c r="H98" s="4" t="inlineStr">
        <is>
          <t>cc-by</t>
        </is>
      </c>
      <c r="I98" s="4" t="inlineStr">
        <is>
          <t>https://pmc.ncbi.nlm.nih.gov/articles/PMC13248665/</t>
        </is>
      </c>
      <c r="J98" s="4" t="inlineStr">
        <is>
          <t>Yes</t>
        </is>
      </c>
      <c r="K98" s="4" t="inlineStr">
        <is>
          <t>Include</t>
        </is>
      </c>
      <c r="L98" s="4" t="inlineStr">
        <is>
          <t>Contenido evaluable revisado; ver nivel exacto de fuente, evidencia y cautelas en Lote_03_25.</t>
        </is>
      </c>
    </row>
    <row r="99" ht="34" customHeight="1">
      <c r="A99" s="4" t="n">
        <v>236</v>
      </c>
      <c r="B99" s="4" t="n">
        <v>2025</v>
      </c>
      <c r="C99" s="4" t="inlineStr">
        <is>
          <t>An image-based analytics framework for early autism detection using eye movements</t>
        </is>
      </c>
      <c r="D99" s="4" t="inlineStr">
        <is>
          <t>10.1016/j.health.2025.100439</t>
        </is>
      </c>
      <c r="E99" s="4" t="inlineStr">
        <is>
          <t>Yes</t>
        </is>
      </c>
      <c r="F99" s="4" t="inlineStr">
        <is>
          <t>Yes</t>
        </is>
      </c>
      <c r="G99" s="4" t="inlineStr">
        <is>
          <t>gold</t>
        </is>
      </c>
      <c r="H99" s="4" t="inlineStr">
        <is>
          <t>cc-by</t>
        </is>
      </c>
      <c r="I99" s="4" t="inlineStr">
        <is>
          <t>https://www.sciencedirect.com/science/article/pii/S2772442525000589</t>
        </is>
      </c>
      <c r="J99" s="4" t="inlineStr">
        <is>
          <t>Yes</t>
        </is>
      </c>
      <c r="K99" s="4" t="inlineStr">
        <is>
          <t>Include</t>
        </is>
      </c>
      <c r="L99" s="4" t="inlineStr">
        <is>
          <t>Contenido evaluable revisado; ver nivel exacto de fuente, evidencia y cautelas en Lote_03_25.</t>
        </is>
      </c>
    </row>
    <row r="100" ht="47" customHeight="1">
      <c r="A100" s="4" t="n">
        <v>237</v>
      </c>
      <c r="B100" s="4" t="n">
        <v>2025</v>
      </c>
      <c r="C100" s="4" t="inlineStr">
        <is>
          <t>Late Fusion Model for Emotion Recognition from Facial Expressions and Biosignals in a Dataset of Children with Autism Spectrum Disorder</t>
        </is>
      </c>
      <c r="D100" s="4" t="inlineStr">
        <is>
          <t>10.3390/s25247485</t>
        </is>
      </c>
      <c r="E100" s="4" t="inlineStr">
        <is>
          <t>Yes</t>
        </is>
      </c>
      <c r="F100" s="4" t="inlineStr">
        <is>
          <t>Yes</t>
        </is>
      </c>
      <c r="G100" s="4" t="inlineStr">
        <is>
          <t>gold</t>
        </is>
      </c>
      <c r="H100" s="4" t="inlineStr">
        <is>
          <t>cc-by</t>
        </is>
      </c>
      <c r="I100" s="4" t="inlineStr">
        <is>
          <t>https://www.mdpi.com/1424-8220/25/24/7485/pdf?version=1765281915</t>
        </is>
      </c>
      <c r="J100" s="4" t="inlineStr">
        <is>
          <t>Yes</t>
        </is>
      </c>
      <c r="K100" s="4" t="inlineStr">
        <is>
          <t>Include</t>
        </is>
      </c>
      <c r="L100" s="4" t="inlineStr">
        <is>
          <t>Texto abierto evaluable revisado; extracción RQ disponible.</t>
        </is>
      </c>
    </row>
    <row r="101" ht="47" customHeight="1">
      <c r="A101" s="4" t="n">
        <v>239</v>
      </c>
      <c r="B101" s="4" t="n">
        <v>2025</v>
      </c>
      <c r="C101" s="4" t="inlineStr">
        <is>
          <t>Real-Time Classification for EEG Data in Children With ASD Using Deep Learning Techniques</t>
        </is>
      </c>
      <c r="D101" s="4" t="inlineStr">
        <is>
          <t>10.1002/DNEU.23009</t>
        </is>
      </c>
      <c r="E101" s="4" t="inlineStr">
        <is>
          <t>Yes</t>
        </is>
      </c>
      <c r="F101" s="4" t="inlineStr">
        <is>
          <t>Yes</t>
        </is>
      </c>
      <c r="G101" s="4" t="inlineStr">
        <is>
          <t>bronze</t>
        </is>
      </c>
      <c r="H101" s="4" t="n"/>
      <c r="I101" s="4" t="inlineStr">
        <is>
          <t>https://onlinelibrary.wiley.com/doi/10.1002/dneu.23009</t>
        </is>
      </c>
      <c r="J101" s="4" t="inlineStr">
        <is>
          <t>Yes</t>
        </is>
      </c>
      <c r="K101" s="4" t="inlineStr">
        <is>
          <t>Include</t>
        </is>
      </c>
      <c r="L101" s="4" t="inlineStr">
        <is>
          <t>Contenido primario accesible suficiente para adjudicación y codificación RQ; no implica que se haya adquirido una copia editorial cerrada. Requiere verificación independiente.</t>
        </is>
      </c>
    </row>
    <row r="102" ht="60" customHeight="1">
      <c r="A102" s="4" t="n">
        <v>240</v>
      </c>
      <c r="B102" s="4" t="n">
        <v>2026</v>
      </c>
      <c r="C102" s="4" t="inlineStr">
        <is>
          <t>Symptom-based classification of 16p11.2 copy number variations underlying the multidimensional autism spectrum disorder phenotype using machine learning methods</t>
        </is>
      </c>
      <c r="D102" s="4" t="inlineStr">
        <is>
          <t>10.1016/j.reia.2026.202865</t>
        </is>
      </c>
      <c r="E102" s="4" t="inlineStr">
        <is>
          <t>Yes</t>
        </is>
      </c>
      <c r="F102" s="4" t="inlineStr">
        <is>
          <t>No</t>
        </is>
      </c>
      <c r="G102" s="4" t="inlineStr">
        <is>
          <t>closed</t>
        </is>
      </c>
      <c r="H102" s="4" t="n"/>
      <c r="I102" s="4" t="inlineStr">
        <is>
          <t>https://www.sciencedirect.com/science/article/pii/S3050656526000799</t>
        </is>
      </c>
      <c r="J102" s="4" t="inlineStr">
        <is>
          <t>Yes</t>
        </is>
      </c>
      <c r="K102" s="4" t="inlineStr">
        <is>
          <t>Exclude</t>
        </is>
      </c>
      <c r="L102" s="4" t="inlineStr">
        <is>
          <t>Contenido evaluable revisado; ver nivel exacto de fuente, evidencia y cautelas en Lote_03_25.</t>
        </is>
      </c>
    </row>
    <row r="103" ht="60" customHeight="1">
      <c r="A103" s="4" t="n">
        <v>242</v>
      </c>
      <c r="B103" s="4" t="n">
        <v>2026</v>
      </c>
      <c r="C103" s="4" t="inlineStr">
        <is>
          <t>Neurophysiological EEG Characterization of Autism Spectrum Disorder Using DWT-Based Frequency Analysis With Selective Electrodes and Brain Segmentation: An Explainable AI-Driven Approach</t>
        </is>
      </c>
      <c r="D103" s="4" t="inlineStr">
        <is>
          <t>10.1096/FJ.202600019R</t>
        </is>
      </c>
      <c r="E103" s="4" t="inlineStr">
        <is>
          <t>Yes</t>
        </is>
      </c>
      <c r="F103" s="4" t="inlineStr">
        <is>
          <t>No</t>
        </is>
      </c>
      <c r="G103" s="4" t="inlineStr">
        <is>
          <t>closed</t>
        </is>
      </c>
      <c r="H103" s="4" t="n"/>
      <c r="I103" s="4" t="inlineStr">
        <is>
          <t>https://pubmed.ncbi.nlm.nih.gov/42417525/</t>
        </is>
      </c>
      <c r="J103" s="4" t="inlineStr">
        <is>
          <t>Yes</t>
        </is>
      </c>
      <c r="K103" s="4" t="inlineStr">
        <is>
          <t>Include</t>
        </is>
      </c>
      <c r="L103" s="4" t="inlineStr">
        <is>
          <t>Contenido evaluable revisado; ver nivel exacto de fuente, evidencia y cautelas en Lote_03_25.</t>
        </is>
      </c>
    </row>
    <row r="104" ht="47" customHeight="1">
      <c r="A104" s="4" t="n">
        <v>244</v>
      </c>
      <c r="B104" s="4" t="n">
        <v>2026</v>
      </c>
      <c r="C104" s="4" t="inlineStr">
        <is>
          <t>DHCA-Net: A Novel Dual-Stream Hierarchical Channel Attention Network for Explainable Autism Spectrum Disorder Detection From Facial Images</t>
        </is>
      </c>
      <c r="D104" s="4" t="inlineStr">
        <is>
          <t>10.1002/JDN.70158</t>
        </is>
      </c>
      <c r="E104" s="4" t="inlineStr">
        <is>
          <t>Yes</t>
        </is>
      </c>
      <c r="F104" s="4" t="inlineStr">
        <is>
          <t>Yes</t>
        </is>
      </c>
      <c r="G104" s="4" t="inlineStr">
        <is>
          <t>green</t>
        </is>
      </c>
      <c r="H104" s="4" t="n"/>
      <c r="I104" s="4" t="inlineStr">
        <is>
          <t>https://onlinelibrary.wiley.com/doi/10.1002/jdn.70158</t>
        </is>
      </c>
      <c r="J104" s="4" t="inlineStr">
        <is>
          <t>Yes</t>
        </is>
      </c>
      <c r="K104" s="4" t="inlineStr">
        <is>
          <t>Include</t>
        </is>
      </c>
      <c r="L104" s="4" t="inlineStr">
        <is>
          <t>Contenido evaluable revisado; ver nivel exacto de fuente, evidencia y cautelas en Lote_03_25.</t>
        </is>
      </c>
    </row>
    <row r="105" ht="47" customHeight="1">
      <c r="A105" s="4" t="n">
        <v>246</v>
      </c>
      <c r="B105" s="4" t="n">
        <v>2025</v>
      </c>
      <c r="C105" s="4" t="inlineStr">
        <is>
          <t>MTT: Multi-Tier Transformer for Early Diagnosis of Autism Spectrum Disorder and Language Disorder in Infants</t>
        </is>
      </c>
      <c r="D105" s="4" t="inlineStr">
        <is>
          <t>10.1111/COIN.70131</t>
        </is>
      </c>
      <c r="E105" s="4" t="inlineStr">
        <is>
          <t>Yes</t>
        </is>
      </c>
      <c r="F105" s="4" t="inlineStr">
        <is>
          <t>No</t>
        </is>
      </c>
      <c r="G105" s="4" t="inlineStr">
        <is>
          <t>closed</t>
        </is>
      </c>
      <c r="H105" s="4" t="n"/>
      <c r="I105" s="4" t="inlineStr">
        <is>
          <t>https://onlinelibrary.wiley.com/doi/10.1111/coin.70131</t>
        </is>
      </c>
      <c r="J105" s="4" t="inlineStr">
        <is>
          <t>Yes</t>
        </is>
      </c>
      <c r="K105" s="4" t="inlineStr">
        <is>
          <t>Include</t>
        </is>
      </c>
      <c r="L105" s="4" t="inlineStr">
        <is>
          <t>Contenido evaluable revisado; ver nivel exacto de fuente, evidencia y cautelas en Lote_03_25.</t>
        </is>
      </c>
    </row>
    <row r="106" ht="47" customHeight="1">
      <c r="A106" s="4" t="n">
        <v>247</v>
      </c>
      <c r="B106" s="4" t="n">
        <v>2025</v>
      </c>
      <c r="C106" s="4" t="inlineStr">
        <is>
          <t>New intelligent music therapy method for applications of enhancing social skills of autism children based on TL-GCN and deep learning</t>
        </is>
      </c>
      <c r="D106" s="4" t="inlineStr">
        <is>
          <t>10.1038/s41598-025-26307-3</t>
        </is>
      </c>
      <c r="E106" s="4" t="inlineStr">
        <is>
          <t>Yes</t>
        </is>
      </c>
      <c r="F106" s="4" t="inlineStr">
        <is>
          <t>Yes</t>
        </is>
      </c>
      <c r="G106" s="4" t="inlineStr">
        <is>
          <t>gold</t>
        </is>
      </c>
      <c r="H106" s="4" t="inlineStr">
        <is>
          <t>cc-by-nc-nd</t>
        </is>
      </c>
      <c r="I106" s="4" t="inlineStr">
        <is>
          <t>https://www.nature.com/articles/s41598-025-26307-3.pdf</t>
        </is>
      </c>
      <c r="J106" s="4" t="inlineStr">
        <is>
          <t>Yes</t>
        </is>
      </c>
      <c r="K106" s="4" t="inlineStr">
        <is>
          <t>Include</t>
        </is>
      </c>
      <c r="L106" s="4" t="inlineStr">
        <is>
          <t>Texto abierto evaluable revisado; extracción RQ disponible.</t>
        </is>
      </c>
    </row>
    <row r="107" ht="47" customHeight="1">
      <c r="A107" s="4" t="n">
        <v>248</v>
      </c>
      <c r="B107" s="4" t="n">
        <v>2026</v>
      </c>
      <c r="C107" s="4" t="inlineStr">
        <is>
          <t>Optimized quadrangle attention consolidated convolutional multi-scale vision transformer based autism detection</t>
        </is>
      </c>
      <c r="D107" s="4" t="inlineStr">
        <is>
          <t>10.1016/j.pscychresns.2026.112251</t>
        </is>
      </c>
      <c r="E107" s="4" t="inlineStr">
        <is>
          <t>Yes</t>
        </is>
      </c>
      <c r="F107" s="4" t="inlineStr">
        <is>
          <t>No</t>
        </is>
      </c>
      <c r="G107" s="4" t="inlineStr">
        <is>
          <t>closed</t>
        </is>
      </c>
      <c r="H107" s="4" t="n"/>
      <c r="I107" s="4" t="inlineStr">
        <is>
          <t>https://www.sciencedirect.com/science/article/pii/S0925492726001162</t>
        </is>
      </c>
      <c r="J107" s="4" t="inlineStr">
        <is>
          <t>Yes</t>
        </is>
      </c>
      <c r="K107" s="4" t="inlineStr">
        <is>
          <t>Include</t>
        </is>
      </c>
      <c r="L107" s="4" t="inlineStr">
        <is>
          <t>Contenido evaluable revisado; el nivel exacto de fuente, evidencia y cautelas se documenta en Lote_04_25.</t>
        </is>
      </c>
    </row>
    <row r="108" ht="34" customHeight="1">
      <c r="A108" s="4" t="n">
        <v>249</v>
      </c>
      <c r="B108" s="4" t="n">
        <v>2025</v>
      </c>
      <c r="C108" s="4" t="inlineStr">
        <is>
          <t>An early detection of autism spectrum disorder using machine learning</t>
        </is>
      </c>
      <c r="D108" s="4" t="inlineStr">
        <is>
          <t>10.1016/j.compbiomed.2025.111238</t>
        </is>
      </c>
      <c r="E108" s="4" t="inlineStr">
        <is>
          <t>Yes</t>
        </is>
      </c>
      <c r="F108" s="4" t="inlineStr">
        <is>
          <t>No</t>
        </is>
      </c>
      <c r="G108" s="4" t="inlineStr">
        <is>
          <t>closed</t>
        </is>
      </c>
      <c r="H108" s="4" t="n"/>
      <c r="I108" s="4" t="inlineStr">
        <is>
          <t>https://pubmed.ncbi.nlm.nih.gov/41151500/</t>
        </is>
      </c>
      <c r="J108" s="4" t="inlineStr">
        <is>
          <t>Yes</t>
        </is>
      </c>
      <c r="K108" s="4" t="inlineStr">
        <is>
          <t>Include</t>
        </is>
      </c>
      <c r="L108" s="4" t="inlineStr">
        <is>
          <t>Contenido evaluable revisado; el nivel exacto de fuente, evidencia y cautelas se documenta en Lote_04_25.</t>
        </is>
      </c>
    </row>
    <row r="109" ht="34" customHeight="1">
      <c r="A109" s="4" t="n">
        <v>250</v>
      </c>
      <c r="B109" s="4" t="n">
        <v>2026</v>
      </c>
      <c r="C109" s="4" t="inlineStr">
        <is>
          <t>An Effective LRSF-DLNN-Based Autism Spectrum Disorder Prediction Using EEG and fMRI</t>
        </is>
      </c>
      <c r="D109" s="4" t="inlineStr">
        <is>
          <t>10.1002/DNEU.70047</t>
        </is>
      </c>
      <c r="E109" s="4" t="inlineStr">
        <is>
          <t>Yes</t>
        </is>
      </c>
      <c r="F109" s="4" t="inlineStr">
        <is>
          <t>No</t>
        </is>
      </c>
      <c r="G109" s="4" t="inlineStr">
        <is>
          <t>closed</t>
        </is>
      </c>
      <c r="H109" s="4" t="n"/>
      <c r="I109" s="4" t="inlineStr">
        <is>
          <t>https://pubmed.ncbi.nlm.nih.gov/?term=10.1002%2Fdneu.70047</t>
        </is>
      </c>
      <c r="J109" s="4" t="inlineStr">
        <is>
          <t>Yes</t>
        </is>
      </c>
      <c r="K109" s="4" t="inlineStr">
        <is>
          <t>Include</t>
        </is>
      </c>
      <c r="L109" s="4" t="inlineStr">
        <is>
          <t>Contenido evaluable revisado; el nivel exacto de fuente, evidencia y cautelas se documenta en Lote_04_25.</t>
        </is>
      </c>
    </row>
    <row r="110" ht="47" customHeight="1">
      <c r="A110" s="4" t="n">
        <v>251</v>
      </c>
      <c r="B110" s="4" t="n">
        <v>2025</v>
      </c>
      <c r="C110" s="4" t="inlineStr">
        <is>
          <t>Leveraging Deep Learning for Early Detection of Autism Spectrum Disorder in Augmented and Virtual Reality Mental Healthcare Environments</t>
        </is>
      </c>
      <c r="D110" s="4" t="inlineStr">
        <is>
          <t>10.1002/9781394302864.CH6</t>
        </is>
      </c>
      <c r="E110" s="4" t="inlineStr">
        <is>
          <t>Yes</t>
        </is>
      </c>
      <c r="F110" s="4" t="inlineStr">
        <is>
          <t>No</t>
        </is>
      </c>
      <c r="G110" s="4" t="inlineStr">
        <is>
          <t>closed</t>
        </is>
      </c>
      <c r="H110" s="4" t="n"/>
      <c r="I110" s="4" t="inlineStr">
        <is>
          <t>https://onlinelibrary.wiley.com/doi/10.1002/9781394302864.ch6</t>
        </is>
      </c>
      <c r="J110" s="4" t="inlineStr">
        <is>
          <t>Yes</t>
        </is>
      </c>
      <c r="K110" s="4" t="inlineStr">
        <is>
          <t>Exclude</t>
        </is>
      </c>
      <c r="L110" s="4" t="inlineStr">
        <is>
          <t>Contenido evaluable revisado; el nivel exacto de fuente, evidencia y cautelas se documenta en Lote_04_25.</t>
        </is>
      </c>
    </row>
    <row r="111" ht="60" customHeight="1">
      <c r="A111" s="4" t="n">
        <v>252</v>
      </c>
      <c r="B111" s="4" t="n">
        <v>2025</v>
      </c>
      <c r="C111" s="4" t="inlineStr">
        <is>
          <t>A New Paradigm for Autism Spectrum Disorder Discrimination in Children Utilizing EEG Data Collected During Cartoon Viewing With a Focus on Atypical Semantic Processing</t>
        </is>
      </c>
      <c r="D111" s="4" t="inlineStr">
        <is>
          <t>10.1002/aur.70105</t>
        </is>
      </c>
      <c r="E111" s="4" t="inlineStr">
        <is>
          <t>Yes</t>
        </is>
      </c>
      <c r="F111" s="4" t="inlineStr">
        <is>
          <t>No</t>
        </is>
      </c>
      <c r="G111" s="4" t="inlineStr">
        <is>
          <t>closed</t>
        </is>
      </c>
      <c r="H111" s="4" t="n"/>
      <c r="I111" s="4" t="inlineStr">
        <is>
          <t>https://onlinelibrary.wiley.com/doi/10.1002/aur.70105</t>
        </is>
      </c>
      <c r="J111" s="4" t="inlineStr">
        <is>
          <t>Yes</t>
        </is>
      </c>
      <c r="K111" s="4" t="inlineStr">
        <is>
          <t>Include</t>
        </is>
      </c>
      <c r="L111" s="4" t="inlineStr">
        <is>
          <t>Contenido evaluable revisado; el nivel exacto de fuente, evidencia y cautelas se documenta en Lote_04_25.</t>
        </is>
      </c>
    </row>
    <row r="112" ht="47" customHeight="1">
      <c r="A112" s="4" t="n">
        <v>254</v>
      </c>
      <c r="B112" s="4" t="n">
        <v>2026</v>
      </c>
      <c r="C112" s="4" t="inlineStr">
        <is>
          <t>Hybrid groupers-moray orangutan optimization algorithm-based dense-resolution network for autism spectrum disorder detection using multimodal data</t>
        </is>
      </c>
      <c r="D112" s="4" t="inlineStr">
        <is>
          <t>10.1016/j.pscychresns.2026.112204</t>
        </is>
      </c>
      <c r="E112" s="4" t="inlineStr">
        <is>
          <t>Yes</t>
        </is>
      </c>
      <c r="F112" s="4" t="inlineStr">
        <is>
          <t>No</t>
        </is>
      </c>
      <c r="G112" s="4" t="inlineStr">
        <is>
          <t>closed</t>
        </is>
      </c>
      <c r="H112" s="4" t="n"/>
      <c r="I112" s="4" t="inlineStr">
        <is>
          <t>https://www.sciencedirect.com/science/article/pii/S0925492726000697</t>
        </is>
      </c>
      <c r="J112" s="4" t="inlineStr">
        <is>
          <t>Yes</t>
        </is>
      </c>
      <c r="K112" s="4" t="inlineStr">
        <is>
          <t>Include</t>
        </is>
      </c>
      <c r="L112" s="4" t="inlineStr">
        <is>
          <t>Contenido evaluable revisado; el nivel exacto de fuente, evidencia y cautelas se documenta en Lote_04_25.</t>
        </is>
      </c>
    </row>
    <row r="113" ht="34" customHeight="1">
      <c r="A113" s="4" t="n">
        <v>257</v>
      </c>
      <c r="B113" s="4" t="n">
        <v>2025</v>
      </c>
      <c r="C113" s="4" t="inlineStr">
        <is>
          <t>The Use of the Social Robot LOVOT for Children with Autism Spectrum Disorder: A Feasibility Study</t>
        </is>
      </c>
      <c r="D113" s="4" t="inlineStr">
        <is>
          <t>10.3233/SHTI251499</t>
        </is>
      </c>
      <c r="E113" s="4" t="inlineStr">
        <is>
          <t>Yes</t>
        </is>
      </c>
      <c r="F113" s="4" t="inlineStr">
        <is>
          <t>Yes</t>
        </is>
      </c>
      <c r="G113" s="4" t="inlineStr">
        <is>
          <t>hybrid</t>
        </is>
      </c>
      <c r="H113" s="4" t="inlineStr">
        <is>
          <t>cc-by-nc</t>
        </is>
      </c>
      <c r="I113" s="4" t="inlineStr">
        <is>
          <t>https://doi.org/10.3233/shti251499</t>
        </is>
      </c>
      <c r="J113" s="4" t="inlineStr">
        <is>
          <t>Yes</t>
        </is>
      </c>
      <c r="K113" s="4" t="inlineStr">
        <is>
          <t>Include</t>
        </is>
      </c>
      <c r="L113" s="4" t="inlineStr">
        <is>
          <t>Texto abierto evaluable revisado; extracción RQ disponible.</t>
        </is>
      </c>
    </row>
    <row r="114" ht="34" customHeight="1">
      <c r="A114" s="4" t="n">
        <v>259</v>
      </c>
      <c r="B114" s="4" t="n">
        <v>2026</v>
      </c>
      <c r="C114" s="4" t="inlineStr">
        <is>
          <t>Data-Driven and Explainable Discovery of Autism Spectrum Disorder Patterns Across Age Groups</t>
        </is>
      </c>
      <c r="D114" s="4" t="inlineStr">
        <is>
          <t>10.1155/HBE2/1923339</t>
        </is>
      </c>
      <c r="E114" s="4" t="inlineStr">
        <is>
          <t>Yes</t>
        </is>
      </c>
      <c r="F114" s="4" t="inlineStr">
        <is>
          <t>Yes</t>
        </is>
      </c>
      <c r="G114" s="4" t="inlineStr">
        <is>
          <t>gold</t>
        </is>
      </c>
      <c r="H114" s="4" t="inlineStr">
        <is>
          <t>cc-by</t>
        </is>
      </c>
      <c r="I114" s="4" t="inlineStr">
        <is>
          <t>https://doi.org/10.1155/hbe2/1923339</t>
        </is>
      </c>
      <c r="J114" s="4" t="inlineStr">
        <is>
          <t>Yes</t>
        </is>
      </c>
      <c r="K114" s="4" t="inlineStr">
        <is>
          <t>Include</t>
        </is>
      </c>
      <c r="L114" s="4" t="inlineStr">
        <is>
          <t>Texto abierto evaluable revisado; extracción RQ disponible.</t>
        </is>
      </c>
    </row>
    <row r="115" ht="47" customHeight="1">
      <c r="A115" s="4" t="n">
        <v>261</v>
      </c>
      <c r="B115" s="4" t="n">
        <v>2025</v>
      </c>
      <c r="C115" s="4" t="inlineStr">
        <is>
          <t>Artificial Intelligence Networks Combining Histopathology and Machine Learning Can Extract Axon Pathology in Autism Spectrum Disorder</t>
        </is>
      </c>
      <c r="D115" s="4" t="inlineStr">
        <is>
          <t>10.1002/AUR.70135</t>
        </is>
      </c>
      <c r="E115" s="4" t="inlineStr">
        <is>
          <t>Yes</t>
        </is>
      </c>
      <c r="F115" s="4" t="inlineStr">
        <is>
          <t>Yes</t>
        </is>
      </c>
      <c r="G115" s="4" t="inlineStr">
        <is>
          <t>hybrid</t>
        </is>
      </c>
      <c r="H115" s="4" t="inlineStr">
        <is>
          <t>cc-by-nc-nd</t>
        </is>
      </c>
      <c r="I115" s="4" t="inlineStr">
        <is>
          <t>https://onlinelibrary.wiley.com/doi/pdfdirect/10.1002/aur.70135</t>
        </is>
      </c>
      <c r="J115" s="4" t="inlineStr">
        <is>
          <t>Yes</t>
        </is>
      </c>
      <c r="K115" s="4" t="inlineStr">
        <is>
          <t>Include</t>
        </is>
      </c>
      <c r="L115" s="4" t="inlineStr">
        <is>
          <t>Texto abierto evaluable revisado; extracción RQ disponible.</t>
        </is>
      </c>
    </row>
    <row r="116" ht="47" customHeight="1">
      <c r="A116" s="4" t="n">
        <v>262</v>
      </c>
      <c r="B116" s="4" t="n">
        <v>2026</v>
      </c>
      <c r="C116" s="4" t="inlineStr">
        <is>
          <t>Profiling Chinese children with symptoms of SpLD, ADHD, or ASD: a transdiagnostic and biopsychosocial study</t>
        </is>
      </c>
      <c r="D116" s="4" t="inlineStr">
        <is>
          <t>10.1186/s12888-025-07754-8</t>
        </is>
      </c>
      <c r="E116" s="4" t="inlineStr">
        <is>
          <t>Yes</t>
        </is>
      </c>
      <c r="F116" s="4" t="inlineStr">
        <is>
          <t>Yes</t>
        </is>
      </c>
      <c r="G116" s="4" t="inlineStr">
        <is>
          <t>gold</t>
        </is>
      </c>
      <c r="H116" s="4" t="inlineStr">
        <is>
          <t>cc-by-nc-nd</t>
        </is>
      </c>
      <c r="I116" s="4" t="inlineStr">
        <is>
          <t>https://doi.org/10.1186/s12888-025-07754-8</t>
        </is>
      </c>
      <c r="J116" s="4" t="inlineStr">
        <is>
          <t>Yes</t>
        </is>
      </c>
      <c r="K116" s="4" t="inlineStr">
        <is>
          <t>Include</t>
        </is>
      </c>
      <c r="L116" s="4" t="inlineStr">
        <is>
          <t>Texto abierto evaluable revisado; extracción RQ disponible.</t>
        </is>
      </c>
    </row>
    <row r="117" ht="47" customHeight="1">
      <c r="A117" s="4" t="n">
        <v>263</v>
      </c>
      <c r="B117" s="4" t="n">
        <v>2026</v>
      </c>
      <c r="C117" s="4" t="inlineStr">
        <is>
          <t>Enhancing Psychological Assessments with Open-Ended Questionnaires and Large Language Models: An ASD Case Study</t>
        </is>
      </c>
      <c r="D117" s="4" t="inlineStr">
        <is>
          <t>10.1109/JBHI.2025.3599643</t>
        </is>
      </c>
      <c r="E117" s="4" t="inlineStr">
        <is>
          <t>Yes</t>
        </is>
      </c>
      <c r="F117" s="4" t="inlineStr">
        <is>
          <t>Yes</t>
        </is>
      </c>
      <c r="G117" s="4" t="inlineStr">
        <is>
          <t>hybrid</t>
        </is>
      </c>
      <c r="H117" s="4" t="inlineStr">
        <is>
          <t>cc-by</t>
        </is>
      </c>
      <c r="I117" s="4" t="inlineStr">
        <is>
          <t>https://doi.org/10.1109/jbhi.2025.3599643</t>
        </is>
      </c>
      <c r="J117" s="4" t="inlineStr">
        <is>
          <t>Yes</t>
        </is>
      </c>
      <c r="K117" s="4" t="inlineStr">
        <is>
          <t>Include</t>
        </is>
      </c>
      <c r="L117" s="4" t="inlineStr">
        <is>
          <t>Texto abierto evaluable revisado; extracción RQ disponible.</t>
        </is>
      </c>
    </row>
    <row r="118" ht="47" customHeight="1">
      <c r="A118" s="4" t="n">
        <v>266</v>
      </c>
      <c r="B118" s="4" t="n">
        <v>2026</v>
      </c>
      <c r="C118" s="4" t="inlineStr">
        <is>
          <t>Machine Learning-Based Early Prediction Model for Autism Spectrum Disorder in Infants Using Acoustic Feature</t>
        </is>
      </c>
      <c r="D118" s="4" t="inlineStr">
        <is>
          <t>10.1002/AUR.70179</t>
        </is>
      </c>
      <c r="E118" s="4" t="inlineStr">
        <is>
          <t>Yes</t>
        </is>
      </c>
      <c r="F118" s="4" t="inlineStr">
        <is>
          <t>Yes</t>
        </is>
      </c>
      <c r="G118" s="4" t="inlineStr">
        <is>
          <t>bronze</t>
        </is>
      </c>
      <c r="H118" s="4" t="n"/>
      <c r="I118" s="4" t="inlineStr">
        <is>
          <t>https://pubmed.ncbi.nlm.nih.gov/41502369/</t>
        </is>
      </c>
      <c r="J118" s="4" t="inlineStr">
        <is>
          <t>Yes</t>
        </is>
      </c>
      <c r="K118" s="4" t="inlineStr">
        <is>
          <t>Include</t>
        </is>
      </c>
      <c r="L118" s="4" t="inlineStr">
        <is>
          <t>Contenido evaluable revisado; el nivel exacto de fuente, evidencia y cautelas se documenta en Lote_04_25.</t>
        </is>
      </c>
    </row>
    <row r="119" ht="47" customHeight="1">
      <c r="A119" s="4" t="n">
        <v>268</v>
      </c>
      <c r="B119" s="4" t="n">
        <v>2025</v>
      </c>
      <c r="C119" s="4" t="inlineStr">
        <is>
          <t>Compact subsets of autism screening items predict clinical diagnoses with a machine learning analysis of the QCHAT-10</t>
        </is>
      </c>
      <c r="D119" s="4" t="inlineStr">
        <is>
          <t>10.1038/s41598-025-26131-9</t>
        </is>
      </c>
      <c r="E119" s="4" t="inlineStr">
        <is>
          <t>Yes</t>
        </is>
      </c>
      <c r="F119" s="4" t="inlineStr">
        <is>
          <t>Yes</t>
        </is>
      </c>
      <c r="G119" s="4" t="inlineStr">
        <is>
          <t>gold</t>
        </is>
      </c>
      <c r="H119" s="4" t="inlineStr">
        <is>
          <t>cc-by</t>
        </is>
      </c>
      <c r="I119" s="4" t="inlineStr">
        <is>
          <t>https://www.nature.com/articles/s41598-025-26131-9.pdf</t>
        </is>
      </c>
      <c r="J119" s="4" t="inlineStr">
        <is>
          <t>Yes</t>
        </is>
      </c>
      <c r="K119" s="4" t="inlineStr">
        <is>
          <t>Include</t>
        </is>
      </c>
      <c r="L119" s="4" t="inlineStr">
        <is>
          <t>Texto abierto evaluable revisado; extracción RQ disponible.</t>
        </is>
      </c>
    </row>
    <row r="120" ht="47" customHeight="1">
      <c r="A120" s="4" t="n">
        <v>269</v>
      </c>
      <c r="B120" s="4" t="n">
        <v>2026</v>
      </c>
      <c r="C120" s="4" t="inlineStr">
        <is>
          <t>Predicting fine motor deficit in autism by measuring brain activities and characterizing motor impairments</t>
        </is>
      </c>
      <c r="D120" s="4" t="inlineStr">
        <is>
          <t>10.1016/j.compbiomed.2026.111470</t>
        </is>
      </c>
      <c r="E120" s="4" t="inlineStr">
        <is>
          <t>Yes</t>
        </is>
      </c>
      <c r="F120" s="4" t="inlineStr">
        <is>
          <t>No</t>
        </is>
      </c>
      <c r="G120" s="4" t="inlineStr">
        <is>
          <t>closed</t>
        </is>
      </c>
      <c r="H120" s="4" t="n"/>
      <c r="I120" s="4" t="inlineStr">
        <is>
          <t>https://www.sciencedirect.com/science/article/abs/pii/S0010482526000314</t>
        </is>
      </c>
      <c r="J120" s="4" t="inlineStr">
        <is>
          <t>Yes</t>
        </is>
      </c>
      <c r="K120" s="4" t="inlineStr">
        <is>
          <t>Include</t>
        </is>
      </c>
      <c r="L120" s="4" t="inlineStr">
        <is>
          <t>Contenido evaluable revisado; el nivel exacto de fuente, evidencia y cautelas se documenta en Lote_04_25.</t>
        </is>
      </c>
    </row>
    <row r="121" ht="47" customHeight="1">
      <c r="A121" s="4" t="n">
        <v>270</v>
      </c>
      <c r="B121" s="4" t="n">
        <v>2026</v>
      </c>
      <c r="C121" s="4" t="inlineStr">
        <is>
          <t>Diagnosing autism spectrum disorders using ensemble-aided weighted fused features and attention-based residual LSTM with brain MRI images</t>
        </is>
      </c>
      <c r="D121" s="4" t="inlineStr">
        <is>
          <t>10.1016/j.pscychresns.2026.112230</t>
        </is>
      </c>
      <c r="E121" s="4" t="inlineStr">
        <is>
          <t>Yes</t>
        </is>
      </c>
      <c r="F121" s="4" t="inlineStr">
        <is>
          <t>No</t>
        </is>
      </c>
      <c r="G121" s="4" t="inlineStr">
        <is>
          <t>closed</t>
        </is>
      </c>
      <c r="H121" s="4" t="n"/>
      <c r="I121" s="4" t="inlineStr">
        <is>
          <t>https://www.sciencedirect.com/science/article/pii/S0925492726000958</t>
        </is>
      </c>
      <c r="J121" s="4" t="inlineStr">
        <is>
          <t>Yes</t>
        </is>
      </c>
      <c r="K121" s="4" t="inlineStr">
        <is>
          <t>Include</t>
        </is>
      </c>
      <c r="L121" s="4" t="inlineStr">
        <is>
          <t>Contenido evaluable revisado; el nivel exacto de fuente, evidencia y cautelas se documenta en Lote_04_25.</t>
        </is>
      </c>
    </row>
    <row r="122" ht="34" customHeight="1">
      <c r="A122" s="4" t="n">
        <v>271</v>
      </c>
      <c r="B122" s="4" t="n">
        <v>2025</v>
      </c>
      <c r="C122" s="4" t="inlineStr">
        <is>
          <t>Early Autism Spectrum Disorder Detection Using SMOTE-Enhanced 1D-CNN and Behavioral Screening Data</t>
        </is>
      </c>
      <c r="D122" s="4" t="inlineStr">
        <is>
          <t>10.1155/AHCI/1316854</t>
        </is>
      </c>
      <c r="E122" s="4" t="inlineStr">
        <is>
          <t>Yes</t>
        </is>
      </c>
      <c r="F122" s="4" t="inlineStr">
        <is>
          <t>Yes</t>
        </is>
      </c>
      <c r="G122" s="4" t="inlineStr">
        <is>
          <t>gold</t>
        </is>
      </c>
      <c r="H122" s="4" t="inlineStr">
        <is>
          <t>cc-by</t>
        </is>
      </c>
      <c r="I122" s="4" t="inlineStr">
        <is>
          <t>https://onlinelibrary.wiley.com/doi/10.1155/ahci/1316854</t>
        </is>
      </c>
      <c r="J122" s="4" t="inlineStr">
        <is>
          <t>Yes</t>
        </is>
      </c>
      <c r="K122" s="4" t="inlineStr">
        <is>
          <t>Include</t>
        </is>
      </c>
      <c r="L122" s="4" t="inlineStr">
        <is>
          <t>Contenido evaluable revisado; el nivel exacto de fuente, evidencia y cautelas se documenta en Lote_04_25.</t>
        </is>
      </c>
    </row>
    <row r="123" ht="34" customHeight="1">
      <c r="A123" s="4" t="n">
        <v>273</v>
      </c>
      <c r="B123" s="4" t="n">
        <v>2026</v>
      </c>
      <c r="C123" s="4" t="inlineStr">
        <is>
          <t>Optimizing Autism Spectrum Disorder Diagnosis with VGG16-Based Facial Landmark Recognition</t>
        </is>
      </c>
      <c r="D123" s="4" t="inlineStr">
        <is>
          <t>10.1016/j.procs.2026.06.483</t>
        </is>
      </c>
      <c r="E123" s="4" t="inlineStr">
        <is>
          <t>Yes</t>
        </is>
      </c>
      <c r="F123" s="4" t="inlineStr">
        <is>
          <t>Yes</t>
        </is>
      </c>
      <c r="G123" s="4" t="inlineStr">
        <is>
          <t>diamond</t>
        </is>
      </c>
      <c r="H123" s="4" t="inlineStr">
        <is>
          <t>cc-by</t>
        </is>
      </c>
      <c r="I123" s="4" t="inlineStr">
        <is>
          <t>https://www.sciencedirect.com/science/article/pii/S1877050926021162</t>
        </is>
      </c>
      <c r="J123" s="4" t="inlineStr">
        <is>
          <t>Yes</t>
        </is>
      </c>
      <c r="K123" s="4" t="inlineStr">
        <is>
          <t>Include</t>
        </is>
      </c>
      <c r="L123" s="4" t="inlineStr">
        <is>
          <t>Contenido evaluable revisado; el nivel exacto de fuente, evidencia y cautelas se documenta en Lote_04_25.</t>
        </is>
      </c>
    </row>
    <row r="124" ht="47" customHeight="1">
      <c r="A124" s="4" t="n">
        <v>275</v>
      </c>
      <c r="B124" s="4" t="n">
        <v>2025</v>
      </c>
      <c r="C124" s="4" t="inlineStr">
        <is>
          <t>Machine Learning Techniques to Uncover Sociodemographic Risk Factors of Autism Spectrum Disorder (ASD) Among Children and Adolescents in Bangladesh</t>
        </is>
      </c>
      <c r="D124" s="4" t="inlineStr">
        <is>
          <t>10.1155/ACIS/6410913</t>
        </is>
      </c>
      <c r="E124" s="4" t="inlineStr">
        <is>
          <t>Yes</t>
        </is>
      </c>
      <c r="F124" s="4" t="inlineStr">
        <is>
          <t>Yes</t>
        </is>
      </c>
      <c r="G124" s="4" t="inlineStr">
        <is>
          <t>gold</t>
        </is>
      </c>
      <c r="H124" s="4" t="inlineStr">
        <is>
          <t>cc-by</t>
        </is>
      </c>
      <c r="I124" s="4" t="inlineStr">
        <is>
          <t>https://onlinelibrary.wiley.com/doi/10.1155/acis/6410913</t>
        </is>
      </c>
      <c r="J124" s="4" t="inlineStr">
        <is>
          <t>Yes</t>
        </is>
      </c>
      <c r="K124" s="4" t="inlineStr">
        <is>
          <t>Include</t>
        </is>
      </c>
      <c r="L124" s="4" t="inlineStr">
        <is>
          <t>Contenido evaluable revisado; el nivel exacto de fuente, evidencia y cautelas se documenta en Lote_04_25.</t>
        </is>
      </c>
    </row>
    <row r="125" ht="73" customHeight="1">
      <c r="A125" s="4" t="n">
        <v>277</v>
      </c>
      <c r="B125" s="4" t="n">
        <v>2026</v>
      </c>
      <c r="C125" s="4" t="inlineStr">
        <is>
          <t>A comprehensive causal and machine learning framework for autism spectrum disorder risk prediction and high-risk subgroup identification from children with chronic health and genetic disorders in the United States</t>
        </is>
      </c>
      <c r="D125" s="4" t="inlineStr">
        <is>
          <t>10.1016/j.reia.2026.202826</t>
        </is>
      </c>
      <c r="E125" s="4" t="inlineStr">
        <is>
          <t>Yes</t>
        </is>
      </c>
      <c r="F125" s="4" t="inlineStr">
        <is>
          <t>Yes</t>
        </is>
      </c>
      <c r="G125" s="4" t="inlineStr">
        <is>
          <t>hybrid</t>
        </is>
      </c>
      <c r="H125" s="4" t="inlineStr">
        <is>
          <t>cc-by-nc</t>
        </is>
      </c>
      <c r="I125" s="4" t="inlineStr">
        <is>
          <t>https://www.sciencedirect.com/science/article/pii/S3050656526000404</t>
        </is>
      </c>
      <c r="J125" s="4" t="inlineStr">
        <is>
          <t>Yes</t>
        </is>
      </c>
      <c r="K125" s="4" t="inlineStr">
        <is>
          <t>Include</t>
        </is>
      </c>
      <c r="L125" s="4" t="inlineStr">
        <is>
          <t>Contenido evaluable revisado; el nivel exacto de fuente, evidencia y cautelas se documenta en Lote_04_25.</t>
        </is>
      </c>
    </row>
    <row r="126" ht="34" customHeight="1">
      <c r="A126" s="4" t="n">
        <v>279</v>
      </c>
      <c r="B126" s="4" t="n">
        <v>2026</v>
      </c>
      <c r="C126" s="4" t="inlineStr">
        <is>
          <t>Composite AI for Predictive Analysis of Autism Spectrum Disorder Using Facial Features</t>
        </is>
      </c>
      <c r="D126" s="4" t="inlineStr">
        <is>
          <t>10.1002/9781394393060.CH12</t>
        </is>
      </c>
      <c r="E126" s="4" t="inlineStr">
        <is>
          <t>Yes</t>
        </is>
      </c>
      <c r="F126" s="4" t="inlineStr">
        <is>
          <t>No</t>
        </is>
      </c>
      <c r="G126" s="4" t="inlineStr">
        <is>
          <t>closed</t>
        </is>
      </c>
      <c r="H126" s="4" t="n"/>
      <c r="I126" s="4" t="inlineStr">
        <is>
          <t>https://scrivenerpublishing.com/cart/title.php?id=1248</t>
        </is>
      </c>
      <c r="J126" s="4" t="inlineStr">
        <is>
          <t>Yes</t>
        </is>
      </c>
      <c r="K126" s="4" t="inlineStr">
        <is>
          <t>Exclude</t>
        </is>
      </c>
      <c r="L126" s="4" t="inlineStr">
        <is>
          <t>Contenido evaluable revisado; el nivel exacto de fuente, evidencia y cautelas se documenta en Lote_04_25.</t>
        </is>
      </c>
    </row>
    <row r="127" ht="47" customHeight="1">
      <c r="A127" s="4" t="n">
        <v>280</v>
      </c>
      <c r="B127" s="4" t="n">
        <v>2026</v>
      </c>
      <c r="C127" s="4" t="inlineStr">
        <is>
          <t>Sleep pattern consistency and autism spectrum disorder in U.S. children: Associations and identification of high-risk subgroups</t>
        </is>
      </c>
      <c r="D127" s="4" t="inlineStr">
        <is>
          <t>10.1016/j.ridd.2025.105201</t>
        </is>
      </c>
      <c r="E127" s="4" t="inlineStr">
        <is>
          <t>Yes</t>
        </is>
      </c>
      <c r="F127" s="4" t="inlineStr">
        <is>
          <t>Yes</t>
        </is>
      </c>
      <c r="G127" s="4" t="inlineStr">
        <is>
          <t>hybrid</t>
        </is>
      </c>
      <c r="H127" s="4" t="inlineStr">
        <is>
          <t>cc-by</t>
        </is>
      </c>
      <c r="I127" s="4" t="inlineStr">
        <is>
          <t>https://pubmed.ncbi.nlm.nih.gov/41475317/</t>
        </is>
      </c>
      <c r="J127" s="4" t="inlineStr">
        <is>
          <t>Yes</t>
        </is>
      </c>
      <c r="K127" s="4" t="inlineStr">
        <is>
          <t>Include</t>
        </is>
      </c>
      <c r="L127" s="4" t="inlineStr">
        <is>
          <t>Contenido evaluable revisado; el nivel exacto de fuente, evidencia y cautelas se documenta en Lote_04_25.</t>
        </is>
      </c>
    </row>
    <row r="128" ht="34" customHeight="1">
      <c r="A128" s="4" t="n">
        <v>286</v>
      </c>
      <c r="B128" s="4" t="n">
        <v>2026</v>
      </c>
      <c r="C128" s="4" t="inlineStr">
        <is>
          <t>Identification of Potential Biomarkers in ASD Integrating RNA Seq Data and Machine Learning Approaches</t>
        </is>
      </c>
      <c r="D128" s="4" t="inlineStr">
        <is>
          <t>10.3233/SHTI260609</t>
        </is>
      </c>
      <c r="E128" s="4" t="inlineStr">
        <is>
          <t>Yes</t>
        </is>
      </c>
      <c r="F128" s="4" t="inlineStr">
        <is>
          <t>Yes</t>
        </is>
      </c>
      <c r="G128" s="4" t="inlineStr">
        <is>
          <t>hybrid</t>
        </is>
      </c>
      <c r="H128" s="4" t="inlineStr">
        <is>
          <t>cc-by-nc</t>
        </is>
      </c>
      <c r="I128" s="4" t="inlineStr">
        <is>
          <t>https://pubmed.ncbi.nlm.nih.gov/42175278/</t>
        </is>
      </c>
      <c r="J128" s="4" t="inlineStr">
        <is>
          <t>Yes</t>
        </is>
      </c>
      <c r="K128" s="4" t="inlineStr">
        <is>
          <t>Include</t>
        </is>
      </c>
      <c r="L128" s="4" t="inlineStr">
        <is>
          <t>Contenido evaluable revisado; el nivel exacto de fuente, evidencia y cautelas se documenta en Lote_04_25.</t>
        </is>
      </c>
    </row>
    <row r="129" ht="34" customHeight="1">
      <c r="A129" s="4" t="n">
        <v>287</v>
      </c>
      <c r="B129" s="4" t="n">
        <v>2026</v>
      </c>
      <c r="C129" s="4" t="inlineStr">
        <is>
          <t>REM Sleep Abnormalities in Children With Autism Spectrum Disorder</t>
        </is>
      </c>
      <c r="D129" s="4" t="inlineStr">
        <is>
          <t>10.1002/AUR.70222</t>
        </is>
      </c>
      <c r="E129" s="4" t="inlineStr">
        <is>
          <t>Yes</t>
        </is>
      </c>
      <c r="F129" s="4" t="inlineStr">
        <is>
          <t>No</t>
        </is>
      </c>
      <c r="G129" s="4" t="inlineStr">
        <is>
          <t>closed</t>
        </is>
      </c>
      <c r="H129" s="4" t="n"/>
      <c r="I129" s="4" t="inlineStr">
        <is>
          <t>https://onlinelibrary.wiley.com/doi/full/10.1002/aur.70222</t>
        </is>
      </c>
      <c r="J129" s="4" t="inlineStr">
        <is>
          <t>Yes</t>
        </is>
      </c>
      <c r="K129" s="4" t="inlineStr">
        <is>
          <t>Include</t>
        </is>
      </c>
      <c r="L129" s="4" t="inlineStr">
        <is>
          <t>Contenido evaluable revisado; el nivel exacto de fuente, evidencia y cautelas se documenta en Lote_04_25.</t>
        </is>
      </c>
    </row>
    <row r="130" ht="47" customHeight="1">
      <c r="A130" s="4" t="n">
        <v>288</v>
      </c>
      <c r="B130" s="4" t="n">
        <v>2026</v>
      </c>
      <c r="C130" s="4" t="inlineStr">
        <is>
          <t>Nonparametric motion control in functional connectivity studies in children with autism spectrum disorder</t>
        </is>
      </c>
      <c r="D130" s="4" t="inlineStr">
        <is>
          <t>10.1093/biomtc/ujag099</t>
        </is>
      </c>
      <c r="E130" s="4" t="inlineStr">
        <is>
          <t>Yes</t>
        </is>
      </c>
      <c r="F130" s="4" t="inlineStr">
        <is>
          <t>Yes</t>
        </is>
      </c>
      <c r="G130" s="4" t="inlineStr">
        <is>
          <t>green</t>
        </is>
      </c>
      <c r="H130" s="4" t="n"/>
      <c r="I130" s="4" t="inlineStr">
        <is>
          <t>https://arxiv.org/pdf/2406.13111</t>
        </is>
      </c>
      <c r="J130" s="4" t="inlineStr">
        <is>
          <t>Yes</t>
        </is>
      </c>
      <c r="K130" s="4" t="inlineStr">
        <is>
          <t>Include</t>
        </is>
      </c>
      <c r="L130" s="4" t="inlineStr">
        <is>
          <t>Texto abierto evaluable revisado; extracción RQ disponible.</t>
        </is>
      </c>
    </row>
    <row r="131" ht="47" customHeight="1">
      <c r="A131" s="4" t="n">
        <v>289</v>
      </c>
      <c r="B131" s="4" t="n">
        <v>2026</v>
      </c>
      <c r="C131" s="4" t="inlineStr">
        <is>
          <t>Diagnosis of autism disorder from rs-fMRI brain images through hierarchical YOLO and mechanism of attention (HYMA)</t>
        </is>
      </c>
      <c r="D131" s="4" t="inlineStr">
        <is>
          <t>10.1016/j.asoc.2026.114655</t>
        </is>
      </c>
      <c r="E131" s="4" t="inlineStr">
        <is>
          <t>Yes</t>
        </is>
      </c>
      <c r="F131" s="4" t="inlineStr">
        <is>
          <t>No</t>
        </is>
      </c>
      <c r="G131" s="4" t="inlineStr">
        <is>
          <t>closed</t>
        </is>
      </c>
      <c r="H131" s="4" t="n"/>
      <c r="I131" s="4" t="inlineStr">
        <is>
          <t>https://www.sciencedirect.com/science/article/pii/S1568494626001031</t>
        </is>
      </c>
      <c r="J131" s="4" t="inlineStr">
        <is>
          <t>Yes</t>
        </is>
      </c>
      <c r="K131" s="4" t="inlineStr">
        <is>
          <t>Include</t>
        </is>
      </c>
      <c r="L131" s="4" t="inlineStr">
        <is>
          <t>Contenido evaluable revisado; el nivel exacto de fuente, evidencia y cautelas se documenta en Lote_04_25.</t>
        </is>
      </c>
    </row>
    <row r="132" ht="47" customHeight="1">
      <c r="A132" s="4" t="n">
        <v>295</v>
      </c>
      <c r="B132" s="4" t="n">
        <v>2026</v>
      </c>
      <c r="C132" s="4" t="inlineStr">
        <is>
          <t>Comparing Machine Learning Models for Pupillary Light Reflex–Based Autism Spectrum Disorder Classification</t>
        </is>
      </c>
      <c r="D132" s="4" t="inlineStr">
        <is>
          <t>10.1155/ACIS/1906938</t>
        </is>
      </c>
      <c r="E132" s="4" t="inlineStr">
        <is>
          <t>Yes</t>
        </is>
      </c>
      <c r="F132" s="4" t="inlineStr">
        <is>
          <t>Yes</t>
        </is>
      </c>
      <c r="G132" s="4" t="inlineStr">
        <is>
          <t>gold</t>
        </is>
      </c>
      <c r="H132" s="4" t="inlineStr">
        <is>
          <t>cc-by</t>
        </is>
      </c>
      <c r="I132" s="4" t="inlineStr">
        <is>
          <t>https://onlinelibrary.wiley.com/doi/10.1155/acis/1906938</t>
        </is>
      </c>
      <c r="J132" s="4" t="inlineStr">
        <is>
          <t>Yes</t>
        </is>
      </c>
      <c r="K132" s="4" t="inlineStr">
        <is>
          <t>Include</t>
        </is>
      </c>
      <c r="L132" s="4" t="inlineStr">
        <is>
          <t>Contenido evaluable revisado; el nivel exacto de fuente, evidencia y cautelas se documenta en Lote_04_25.</t>
        </is>
      </c>
    </row>
    <row r="133" ht="47" customHeight="1">
      <c r="A133" s="4" t="n">
        <v>296</v>
      </c>
      <c r="B133" s="4" t="n">
        <v>2026</v>
      </c>
      <c r="C133" s="4" t="inlineStr">
        <is>
          <t>Deep learning for diagnosing autism spectrum disorder using EEG with upright and inverted face processing tasks</t>
        </is>
      </c>
      <c r="D133" s="4" t="inlineStr">
        <is>
          <t>10.1016/j.bspc.2026.109655</t>
        </is>
      </c>
      <c r="E133" s="4" t="inlineStr">
        <is>
          <t>Yes</t>
        </is>
      </c>
      <c r="F133" s="4" t="inlineStr">
        <is>
          <t>No</t>
        </is>
      </c>
      <c r="G133" s="4" t="inlineStr">
        <is>
          <t>closed</t>
        </is>
      </c>
      <c r="H133" s="4" t="n"/>
      <c r="I133" s="4" t="inlineStr">
        <is>
          <t>https://www.sciencedirect.com/science/article/abs/pii/S1746809426002090</t>
        </is>
      </c>
      <c r="J133" s="4" t="inlineStr">
        <is>
          <t>Yes</t>
        </is>
      </c>
      <c r="K133" s="4" t="inlineStr">
        <is>
          <t>Include</t>
        </is>
      </c>
      <c r="L133" s="4" t="inlineStr">
        <is>
          <t>Contenido evaluable revisado; el nivel exacto de fuente, evidencia y cautelas se documenta en Lote_04_25.</t>
        </is>
      </c>
    </row>
    <row r="134" ht="47" customHeight="1">
      <c r="A134" s="4" t="n">
        <v>298</v>
      </c>
      <c r="B134" s="4" t="n">
        <v>2026</v>
      </c>
      <c r="C134" s="4" t="inlineStr">
        <is>
          <t>Effects of conversational AI-enhanced peer-mediated intervention by peers with intellectual disabilities on conversational skills in children with ASD</t>
        </is>
      </c>
      <c r="D134" s="4" t="inlineStr">
        <is>
          <t>10.1016/j.ridd.2026.105249</t>
        </is>
      </c>
      <c r="E134" s="4" t="inlineStr">
        <is>
          <t>Yes</t>
        </is>
      </c>
      <c r="F134" s="4" t="inlineStr">
        <is>
          <t>No</t>
        </is>
      </c>
      <c r="G134" s="4" t="inlineStr">
        <is>
          <t>closed</t>
        </is>
      </c>
      <c r="H134" s="4" t="n"/>
      <c r="I134" s="4" t="inlineStr">
        <is>
          <t>https://pubmed.ncbi.nlm.nih.gov/41671742/</t>
        </is>
      </c>
      <c r="J134" s="4" t="inlineStr">
        <is>
          <t>Yes</t>
        </is>
      </c>
      <c r="K134" s="4" t="inlineStr">
        <is>
          <t>Include</t>
        </is>
      </c>
      <c r="L134" s="4" t="inlineStr">
        <is>
          <t>Contenido evaluable revisado; el nivel exacto de fuente, evidencia y cautelas se documenta en Lote_04_25.</t>
        </is>
      </c>
    </row>
    <row r="135" ht="47" customHeight="1">
      <c r="A135" s="4" t="n">
        <v>299</v>
      </c>
      <c r="B135" s="4" t="n">
        <v>2026</v>
      </c>
      <c r="C135" s="4" t="inlineStr">
        <is>
          <t>Decoding the Neural Basis of Sensory Phenotypes in Autism</t>
        </is>
      </c>
      <c r="D135" s="4" t="inlineStr">
        <is>
          <t>10.1016/j.bpsc.2025.12.013</t>
        </is>
      </c>
      <c r="E135" s="4" t="inlineStr">
        <is>
          <t>Yes</t>
        </is>
      </c>
      <c r="F135" s="4" t="inlineStr">
        <is>
          <t>Yes</t>
        </is>
      </c>
      <c r="G135" s="4" t="inlineStr">
        <is>
          <t>hybrid</t>
        </is>
      </c>
      <c r="H135" s="4" t="inlineStr">
        <is>
          <t>cc-by</t>
        </is>
      </c>
      <c r="I135" s="4" t="inlineStr">
        <is>
          <t>https://www.biologicalpsychiatryjournal.com/article/S2451-9022%2826%2900002-9/fulltext</t>
        </is>
      </c>
      <c r="J135" s="4" t="inlineStr">
        <is>
          <t>Yes</t>
        </is>
      </c>
      <c r="K135" s="4" t="inlineStr">
        <is>
          <t>Include</t>
        </is>
      </c>
      <c r="L135" s="4" t="inlineStr">
        <is>
          <t>Contenido evaluable revisado; el nivel exacto de fuente, evidencia y cautelas se documenta en Lote_04_25.</t>
        </is>
      </c>
    </row>
    <row r="136" ht="47" customHeight="1">
      <c r="A136" s="4" t="n">
        <v>305</v>
      </c>
      <c r="B136" s="4" t="n">
        <v>2026</v>
      </c>
      <c r="C136" s="4" t="inlineStr">
        <is>
          <t>Integrating Multimodal Neuroimaging and Physical-Health Markers for Autism Spectrum Disorder in the ABCD Study</t>
        </is>
      </c>
      <c r="D136" s="4" t="inlineStr">
        <is>
          <t>10.31083/JIN48212</t>
        </is>
      </c>
      <c r="E136" s="4" t="inlineStr">
        <is>
          <t>Yes</t>
        </is>
      </c>
      <c r="F136" s="4" t="inlineStr">
        <is>
          <t>Yes</t>
        </is>
      </c>
      <c r="G136" s="4" t="inlineStr">
        <is>
          <t>gold</t>
        </is>
      </c>
      <c r="H136" s="4" t="inlineStr">
        <is>
          <t>cc-by</t>
        </is>
      </c>
      <c r="I136" s="4" t="inlineStr">
        <is>
          <t>https://storage.imrpress.com/IMR/2026939320888299500/application/1757-448X-25-2-48212.pdf</t>
        </is>
      </c>
      <c r="J136" s="4" t="inlineStr">
        <is>
          <t>Yes</t>
        </is>
      </c>
      <c r="K136" s="4" t="inlineStr">
        <is>
          <t>Include</t>
        </is>
      </c>
      <c r="L136" s="4" t="inlineStr">
        <is>
          <t>Texto abierto evaluable revisado; extracción RQ disponible.</t>
        </is>
      </c>
    </row>
    <row r="137" ht="34" customHeight="1">
      <c r="A137" s="4" t="n">
        <v>306</v>
      </c>
      <c r="B137" s="4" t="n">
        <v>2026</v>
      </c>
      <c r="C137" s="4" t="inlineStr">
        <is>
          <t>Hybrid ensemble learning for Autism Spectrum Disorder screening using eye-tracking scanpath</t>
        </is>
      </c>
      <c r="D137" s="4" t="inlineStr">
        <is>
          <t>10.1016/j.array.2026.100753</t>
        </is>
      </c>
      <c r="E137" s="4" t="inlineStr">
        <is>
          <t>Yes</t>
        </is>
      </c>
      <c r="F137" s="4" t="inlineStr">
        <is>
          <t>Yes</t>
        </is>
      </c>
      <c r="G137" s="4" t="inlineStr">
        <is>
          <t>gold</t>
        </is>
      </c>
      <c r="H137" s="4" t="inlineStr">
        <is>
          <t>cc-by</t>
        </is>
      </c>
      <c r="I137" s="4" t="inlineStr">
        <is>
          <t>https://www.sciencedirect.com/science/article/pii/S2590005626000767</t>
        </is>
      </c>
      <c r="J137" s="4" t="inlineStr">
        <is>
          <t>Yes</t>
        </is>
      </c>
      <c r="K137" s="4" t="inlineStr">
        <is>
          <t>Include</t>
        </is>
      </c>
      <c r="L137" s="4" t="inlineStr">
        <is>
          <t>Contenido evaluable revisado; el nivel exacto de fuente, evidencia y cautelas se documenta en Lote_04_25.</t>
        </is>
      </c>
    </row>
    <row r="138" ht="34" customHeight="1">
      <c r="A138" s="4" t="n">
        <v>307</v>
      </c>
      <c r="B138" s="4" t="n">
        <v>2026</v>
      </c>
      <c r="C138" s="4" t="inlineStr">
        <is>
          <t>Spatial structure based deep feature fusion network for autism spectrum disorder classification</t>
        </is>
      </c>
      <c r="D138" s="4" t="inlineStr">
        <is>
          <t>10.1038/s41598-026-48562-8</t>
        </is>
      </c>
      <c r="E138" s="4" t="inlineStr">
        <is>
          <t>Yes</t>
        </is>
      </c>
      <c r="F138" s="4" t="inlineStr">
        <is>
          <t>Yes</t>
        </is>
      </c>
      <c r="G138" s="4" t="inlineStr">
        <is>
          <t>gold</t>
        </is>
      </c>
      <c r="H138" s="4" t="inlineStr">
        <is>
          <t>cc-by-nc-nd</t>
        </is>
      </c>
      <c r="I138" s="4" t="inlineStr">
        <is>
          <t>https://www.nature.com/articles/s41598-026-48562-8_reference.pdf</t>
        </is>
      </c>
      <c r="J138" s="4" t="inlineStr">
        <is>
          <t>Yes</t>
        </is>
      </c>
      <c r="K138" s="4" t="inlineStr">
        <is>
          <t>Include</t>
        </is>
      </c>
      <c r="L138" s="4" t="inlineStr">
        <is>
          <t>Texto abierto evaluable revisado; extracción RQ disponible.</t>
        </is>
      </c>
    </row>
    <row r="139" ht="47" customHeight="1">
      <c r="A139" s="4" t="n">
        <v>313</v>
      </c>
      <c r="B139" s="4" t="n">
        <v>2026</v>
      </c>
      <c r="C139" s="4" t="inlineStr">
        <is>
          <t>Metaheuristic hyperparameter optimization of deep neural networks for demographic-aware autism spectrum disorder classification.</t>
        </is>
      </c>
      <c r="D139" s="4" t="inlineStr">
        <is>
          <t>10.1038/s41598-026-58789-0</t>
        </is>
      </c>
      <c r="E139" s="4" t="inlineStr">
        <is>
          <t>Yes</t>
        </is>
      </c>
      <c r="F139" s="4" t="inlineStr">
        <is>
          <t>Yes</t>
        </is>
      </c>
      <c r="G139" s="4" t="inlineStr">
        <is>
          <t>gold</t>
        </is>
      </c>
      <c r="H139" s="4" t="inlineStr">
        <is>
          <t>cc-by</t>
        </is>
      </c>
      <c r="I139" s="4" t="inlineStr">
        <is>
          <t>https://www.nature.com/articles/s41598-026-58789-0.pdf</t>
        </is>
      </c>
      <c r="J139" s="4" t="inlineStr">
        <is>
          <t>Yes</t>
        </is>
      </c>
      <c r="K139" s="4" t="inlineStr">
        <is>
          <t>Include</t>
        </is>
      </c>
      <c r="L139" s="4" t="inlineStr">
        <is>
          <t>Texto abierto evaluable revisado; extracción RQ disponible.</t>
        </is>
      </c>
    </row>
    <row r="140" ht="47" customHeight="1">
      <c r="A140" s="4" t="n">
        <v>316</v>
      </c>
      <c r="B140" s="4" t="n">
        <v>2025</v>
      </c>
      <c r="C140" s="4" t="inlineStr">
        <is>
          <t>Identifying Immune-related Molecular Biomarkers in Autism Spectrum Disorder Using Data-independent Acquisition Proteomics and Machine Learning.</t>
        </is>
      </c>
      <c r="D140" s="4" t="inlineStr">
        <is>
          <t>10.3791/68949</t>
        </is>
      </c>
      <c r="E140" s="4" t="inlineStr">
        <is>
          <t>Yes</t>
        </is>
      </c>
      <c r="F140" s="4" t="inlineStr">
        <is>
          <t>No</t>
        </is>
      </c>
      <c r="G140" s="4" t="inlineStr">
        <is>
          <t>closed</t>
        </is>
      </c>
      <c r="H140" s="4" t="n"/>
      <c r="I140" s="4" t="inlineStr">
        <is>
          <t>https://www.jove.com/t/68949/identifying-immune-related-molecular-biomarkers-autism-spectrum</t>
        </is>
      </c>
      <c r="J140" s="4" t="inlineStr">
        <is>
          <t>Yes</t>
        </is>
      </c>
      <c r="K140" s="4" t="inlineStr">
        <is>
          <t>Include</t>
        </is>
      </c>
      <c r="L140" s="4" t="inlineStr">
        <is>
          <t>Contenido evaluable revisado; el nivel exacto de fuente, evidencia y cautelas se documenta en Lote_04_25.</t>
        </is>
      </c>
    </row>
    <row r="141" ht="47" customHeight="1">
      <c r="A141" s="4" t="n">
        <v>319</v>
      </c>
      <c r="B141" s="4" t="n">
        <v>2025</v>
      </c>
      <c r="C141" s="4" t="inlineStr">
        <is>
          <t>Enhanced detection of autism spectrum disorder through neuroimaging data using stack classifier ensembled with modified VGG-19</t>
        </is>
      </c>
      <c r="D141" s="4" t="inlineStr">
        <is>
          <t>10.1177/02841851251333974</t>
        </is>
      </c>
      <c r="E141" s="4" t="inlineStr">
        <is>
          <t>Yes</t>
        </is>
      </c>
      <c r="F141" s="4" t="inlineStr">
        <is>
          <t>No</t>
        </is>
      </c>
      <c r="G141" s="4" t="inlineStr">
        <is>
          <t>closed</t>
        </is>
      </c>
      <c r="H141" s="4" t="n"/>
      <c r="I141" s="4" t="inlineStr">
        <is>
          <t>https://pubmed.ncbi.nlm.nih.gov/40232228/</t>
        </is>
      </c>
      <c r="J141" s="4" t="inlineStr">
        <is>
          <t>Yes</t>
        </is>
      </c>
      <c r="K141" s="4" t="inlineStr">
        <is>
          <t>Include</t>
        </is>
      </c>
      <c r="L141" s="4" t="inlineStr">
        <is>
          <t>Contenido evaluable revisado; el nivel exacto de fuente, evidencia y cautelas se documenta en Lote_04_25.</t>
        </is>
      </c>
    </row>
    <row r="142" ht="34" customHeight="1">
      <c r="A142" s="4" t="n">
        <v>321</v>
      </c>
      <c r="B142" s="4" t="n">
        <v>2025</v>
      </c>
      <c r="C142" s="4" t="inlineStr">
        <is>
          <t>Bridging the gap: explainable ai for autism diagnosis and parental support with TabPFNMix and SHAP</t>
        </is>
      </c>
      <c r="D142" s="4" t="inlineStr">
        <is>
          <t>10.1038/s41598-025-24662-9</t>
        </is>
      </c>
      <c r="E142" s="4" t="inlineStr">
        <is>
          <t>Yes</t>
        </is>
      </c>
      <c r="F142" s="4" t="inlineStr">
        <is>
          <t>Yes</t>
        </is>
      </c>
      <c r="G142" s="4" t="inlineStr">
        <is>
          <t>gold</t>
        </is>
      </c>
      <c r="H142" s="4" t="inlineStr">
        <is>
          <t>cc-by-nc-nd</t>
        </is>
      </c>
      <c r="I142" s="4" t="inlineStr">
        <is>
          <t>https://www.nature.com/articles/s41598-025-24662-9.pdf</t>
        </is>
      </c>
      <c r="J142" s="4" t="inlineStr">
        <is>
          <t>Yes</t>
        </is>
      </c>
      <c r="K142" s="4" t="inlineStr">
        <is>
          <t>Include</t>
        </is>
      </c>
      <c r="L142" s="4" t="inlineStr">
        <is>
          <t>Texto abierto evaluable revisado; extracción RQ disponible.</t>
        </is>
      </c>
    </row>
    <row r="143" ht="73" customHeight="1">
      <c r="A143" s="4" t="n">
        <v>323</v>
      </c>
      <c r="B143" s="4" t="n">
        <v>2026</v>
      </c>
      <c r="C143" s="4" t="inlineStr">
        <is>
          <t>Energy-Efficient EEG-Based Autism Spectrum Disorder Detection Using a Hyperbolic Attention Neural Network</t>
        </is>
      </c>
      <c r="D143" s="4" t="inlineStr">
        <is>
          <t>10.1002/dneu.70011</t>
        </is>
      </c>
      <c r="E143" s="4" t="inlineStr">
        <is>
          <t>Yes</t>
        </is>
      </c>
      <c r="F143" s="4" t="inlineStr">
        <is>
          <t>Yes</t>
        </is>
      </c>
      <c r="G143" s="4" t="inlineStr">
        <is>
          <t>bronze</t>
        </is>
      </c>
      <c r="H143" s="4" t="n"/>
      <c r="I143" s="4" t="inlineStr">
        <is>
          <t>https://onlinelibrary.wiley.com/doi/10.1002/dneu.70011</t>
        </is>
      </c>
      <c r="J143" s="4" t="inlineStr">
        <is>
          <t>Yes</t>
        </is>
      </c>
      <c r="K143" s="4" t="inlineStr">
        <is>
          <t>Include</t>
        </is>
      </c>
      <c r="L143" s="4" t="inlineStr">
        <is>
          <t>Wiley/publisher research abstract with architecture, dataset and performance sufficient for scoped coding. Public benchmark evaluation with extremely high performance; no independent external cohort, site-held-out analysis, prospective evaluation, or formal XAI was established in the accessible evidence.</t>
        </is>
      </c>
    </row>
    <row r="144" ht="73" customHeight="1">
      <c r="A144" s="4" t="n">
        <v>326</v>
      </c>
      <c r="B144" s="4" t="n">
        <v>2025</v>
      </c>
      <c r="C144" s="4" t="inlineStr">
        <is>
          <t>Classification of Autism Spectrum Disorder Using Edge-Weight Enhanced Graph Attention Network With Multiple Features of Resting-State fNIRS Signals</t>
        </is>
      </c>
      <c r="D144" s="4" t="inlineStr">
        <is>
          <t>10.1002/jbio.202500138</t>
        </is>
      </c>
      <c r="E144" s="4" t="inlineStr">
        <is>
          <t>Yes</t>
        </is>
      </c>
      <c r="F144" s="4" t="inlineStr">
        <is>
          <t>No</t>
        </is>
      </c>
      <c r="G144" s="4" t="inlineStr">
        <is>
          <t>closed</t>
        </is>
      </c>
      <c r="H144" s="4" t="n"/>
      <c r="I144" s="4" t="inlineStr">
        <is>
          <t>https://onlinelibrary.wiley.com/doi/10.1002/jbio.202500138</t>
        </is>
      </c>
      <c r="J144" s="4" t="inlineStr">
        <is>
          <t>Yes</t>
        </is>
      </c>
      <c r="K144" s="4" t="inlineStr">
        <is>
          <t>Include</t>
        </is>
      </c>
      <c r="L144" s="4" t="inlineStr">
        <is>
          <t>Wiley/PubMed detailed research abstract with cohort, features and EWE-GAT results sufficient for scoped coding. Very small single cohort; no independent external validation, prospective workflow evaluation, or explicit site-robustness analysis was established.</t>
        </is>
      </c>
    </row>
    <row r="145" ht="47" customHeight="1">
      <c r="A145" s="4" t="n">
        <v>331</v>
      </c>
      <c r="B145" s="4" t="n">
        <v>2026</v>
      </c>
      <c r="C145" s="4" t="inlineStr">
        <is>
          <t>Hybrid deep learning and feature selection approach for autism detection from rs-fMRI data</t>
        </is>
      </c>
      <c r="D145" s="4" t="inlineStr">
        <is>
          <t>10.1371/journal.pone.0339921</t>
        </is>
      </c>
      <c r="E145" s="4" t="inlineStr">
        <is>
          <t>Yes</t>
        </is>
      </c>
      <c r="F145" s="4" t="inlineStr">
        <is>
          <t>Yes</t>
        </is>
      </c>
      <c r="G145" s="4" t="inlineStr">
        <is>
          <t>gold</t>
        </is>
      </c>
      <c r="H145" s="4" t="inlineStr">
        <is>
          <t>cc-by</t>
        </is>
      </c>
      <c r="I145" s="4" t="inlineStr">
        <is>
          <t>https://journals.plos.org/plosone/article/file?id=10.1371/journal.pone.0339921&amp;type=printable</t>
        </is>
      </c>
      <c r="J145" s="4" t="inlineStr">
        <is>
          <t>Yes</t>
        </is>
      </c>
      <c r="K145" s="4" t="inlineStr">
        <is>
          <t>Include</t>
        </is>
      </c>
      <c r="L145" s="4" t="inlineStr">
        <is>
          <t>Texto abierto evaluable revisado; extracción RQ disponible.</t>
        </is>
      </c>
    </row>
    <row r="146" ht="86" customHeight="1">
      <c r="A146" s="4" t="n">
        <v>334</v>
      </c>
      <c r="B146" s="4" t="n">
        <v>2026</v>
      </c>
      <c r="C146" s="4" t="inlineStr">
        <is>
          <t>Constructing a Predictive Model for Children with Autism Spectrum Disorder Based on Whole-Brain MR Radiomics: A Machine Learning Study</t>
        </is>
      </c>
      <c r="D146" s="4" t="inlineStr">
        <is>
          <t>10.3174/ajnr.A8939</t>
        </is>
      </c>
      <c r="E146" s="4" t="inlineStr">
        <is>
          <t>Yes</t>
        </is>
      </c>
      <c r="F146" s="4" t="inlineStr">
        <is>
          <t>Yes</t>
        </is>
      </c>
      <c r="G146" s="4" t="inlineStr">
        <is>
          <t>hybrid</t>
        </is>
      </c>
      <c r="H146" s="4" t="inlineStr">
        <is>
          <t>cc-by</t>
        </is>
      </c>
      <c r="I146" s="4" t="inlineStr">
        <is>
          <t>https://pubmed.ncbi.nlm.nih.gov/40721282/</t>
        </is>
      </c>
      <c r="J146" s="4" t="inlineStr">
        <is>
          <t>Yes</t>
        </is>
      </c>
      <c r="K146" s="4" t="inlineStr">
        <is>
          <t>Include</t>
        </is>
      </c>
      <c r="L146" s="4" t="inlineStr">
        <is>
          <t>PubMed/publisher structured abstract with training, internal test and independent external test details. External validation is present, but the accessible report does not describe an explicit leave-site-out robustness design. The radiomics signature and VIQ provide feature-level interpretability rather than a formal post-hoc XAI method.</t>
        </is>
      </c>
    </row>
    <row r="147" ht="34" customHeight="1">
      <c r="A147" s="4" t="n">
        <v>335</v>
      </c>
      <c r="B147" s="4" t="n">
        <v>2026</v>
      </c>
      <c r="C147" s="4" t="inlineStr">
        <is>
          <t>Diagnostic Classification of Autism Spectrum Disorder in the Frequency Domain Using Resting-State fMRI</t>
        </is>
      </c>
      <c r="D147" s="4" t="inlineStr">
        <is>
          <t>10.1007/s12021-026-09782-5</t>
        </is>
      </c>
      <c r="E147" s="4" t="inlineStr">
        <is>
          <t>Yes</t>
        </is>
      </c>
      <c r="F147" s="4" t="inlineStr">
        <is>
          <t>Yes</t>
        </is>
      </c>
      <c r="G147" s="4" t="inlineStr">
        <is>
          <t>green</t>
        </is>
      </c>
      <c r="H147" s="4" t="inlineStr">
        <is>
          <t>cc-by</t>
        </is>
      </c>
      <c r="I147" s="4" t="inlineStr">
        <is>
          <t>https://www.researchsquare.com/article/rs-3427251/latest.pdf</t>
        </is>
      </c>
      <c r="J147" s="4" t="inlineStr">
        <is>
          <t>Yes</t>
        </is>
      </c>
      <c r="K147" s="4" t="inlineStr">
        <is>
          <t>Include</t>
        </is>
      </c>
      <c r="L147" s="4" t="inlineStr">
        <is>
          <t>Texto abierto evaluable revisado; extracción RQ disponible.</t>
        </is>
      </c>
    </row>
    <row r="148" ht="60" customHeight="1">
      <c r="A148" s="4" t="n">
        <v>342</v>
      </c>
      <c r="B148" s="4" t="n">
        <v>2026</v>
      </c>
      <c r="C148" s="4" t="inlineStr">
        <is>
          <t>Auditory brainstem response abnormalities in autism spectrum disorder: A deep learning approach to characterize time-frequency signatures</t>
        </is>
      </c>
      <c r="D148" s="4" t="inlineStr">
        <is>
          <t>10.1016/j.heares.2026.109654</t>
        </is>
      </c>
      <c r="E148" s="4" t="inlineStr">
        <is>
          <t>Yes</t>
        </is>
      </c>
      <c r="F148" s="4" t="inlineStr">
        <is>
          <t>No</t>
        </is>
      </c>
      <c r="G148" s="4" t="inlineStr">
        <is>
          <t>closed</t>
        </is>
      </c>
      <c r="H148" s="4" t="n"/>
      <c r="I148" s="4" t="inlineStr">
        <is>
          <t>https://www.sciencedirect.com/science/article/pii/S0378595526001309</t>
        </is>
      </c>
      <c r="J148" s="4" t="inlineStr">
        <is>
          <t>Yes</t>
        </is>
      </c>
      <c r="K148" s="4" t="inlineStr">
        <is>
          <t>Include</t>
        </is>
      </c>
      <c r="L148" s="4" t="inlineStr">
        <is>
          <t>ScienceDirect detailed research abstract with architecture, clinical ABR cohort, interpretability and results. No independent external cohort, site-held-out evaluation, or prospective clinical deployment was identified in the accessible material.</t>
        </is>
      </c>
    </row>
    <row r="149" ht="73" customHeight="1">
      <c r="A149" s="4" t="n">
        <v>343</v>
      </c>
      <c r="B149" s="4" t="n">
        <v>2026</v>
      </c>
      <c r="C149" s="4" t="inlineStr">
        <is>
          <t>An explainable machine unlearning algorithm framework for early detection of autism spectrum disorder and brain disabilities in newborns</t>
        </is>
      </c>
      <c r="D149" s="4" t="inlineStr">
        <is>
          <t>10.1016/j.aej.2026.04.002</t>
        </is>
      </c>
      <c r="E149" s="4" t="inlineStr">
        <is>
          <t>Yes</t>
        </is>
      </c>
      <c r="F149" s="4" t="inlineStr">
        <is>
          <t>Yes</t>
        </is>
      </c>
      <c r="G149" s="4" t="inlineStr">
        <is>
          <t>gold</t>
        </is>
      </c>
      <c r="H149" s="4" t="inlineStr">
        <is>
          <t>cc-by-nc-nd</t>
        </is>
      </c>
      <c r="I149" s="4" t="inlineStr">
        <is>
          <t>https://www.sciencedirect.com/science/article/pii/S1110016826002115</t>
        </is>
      </c>
      <c r="J149" s="4" t="inlineStr">
        <is>
          <t>Yes</t>
        </is>
      </c>
      <c r="K149" s="4" t="inlineStr">
        <is>
          <t>Include</t>
        </is>
      </c>
      <c r="L149" s="4" t="inlineStr">
        <is>
          <t>ScienceDirect open research record with benchmark datasets, CNN/machine-unlearning framework and XAI description. Benchmark-based evaluation across heterogeneous tasks/datasets does not establish prospective clinical deployment or an independent external/site-held-out validation protocol.</t>
        </is>
      </c>
    </row>
    <row r="150" ht="73" customHeight="1">
      <c r="A150" s="4" t="n">
        <v>347</v>
      </c>
      <c r="B150" s="4" t="n">
        <v>2025</v>
      </c>
      <c r="C150" s="4" t="inlineStr">
        <is>
          <t>Vision transformer and complex network analysis for autism spectrum disorder classification in T1 structural MRI</t>
        </is>
      </c>
      <c r="D150" s="4" t="inlineStr">
        <is>
          <t>10.1007/s11604-025-01832-3</t>
        </is>
      </c>
      <c r="E150" s="4" t="inlineStr">
        <is>
          <t>Yes</t>
        </is>
      </c>
      <c r="F150" s="4" t="inlineStr">
        <is>
          <t>No</t>
        </is>
      </c>
      <c r="G150" s="4" t="inlineStr">
        <is>
          <t>closed</t>
        </is>
      </c>
      <c r="H150" s="4" t="n"/>
      <c r="I150" s="4" t="inlineStr">
        <is>
          <t>https://pubmed.ncbi.nlm.nih.gov/40663220/</t>
        </is>
      </c>
      <c r="J150" s="4" t="inlineStr">
        <is>
          <t>Yes</t>
        </is>
      </c>
      <c r="K150" s="4" t="inlineStr">
        <is>
          <t>Include</t>
        </is>
      </c>
      <c r="L150" s="4" t="inlineStr">
        <is>
          <t>PubMed/Springer research abstract with ABIDE T1 MRI, federated model comparison and five-fold validation. ABIDE is multisite, but the reported evaluation is internal five-fold validation rather than an explicit site-held-out or independent external robustness test.</t>
        </is>
      </c>
    </row>
    <row r="151" ht="73" customHeight="1">
      <c r="A151" s="4" t="n">
        <v>349</v>
      </c>
      <c r="B151" s="4" t="n">
        <v>2026</v>
      </c>
      <c r="C151" s="4" t="inlineStr">
        <is>
          <t>Dominant cross-frequency analysis-based early diagnosis of Autism Spectrum Disorder in pediatrics using FRHIS and DSTCNN</t>
        </is>
      </c>
      <c r="D151" s="4" t="inlineStr">
        <is>
          <t>10.1016/j.pscychresns.2026.112270</t>
        </is>
      </c>
      <c r="E151" s="4" t="inlineStr">
        <is>
          <t>Yes</t>
        </is>
      </c>
      <c r="F151" s="4" t="inlineStr">
        <is>
          <t>No</t>
        </is>
      </c>
      <c r="G151" s="4" t="inlineStr">
        <is>
          <t>closed</t>
        </is>
      </c>
      <c r="H151" s="4" t="n"/>
      <c r="I151" s="4" t="inlineStr">
        <is>
          <t>https://www.sciencedirect.com/science/article/pii/S0925492726001356</t>
        </is>
      </c>
      <c r="J151" s="4" t="inlineStr">
        <is>
          <t>Yes</t>
        </is>
      </c>
      <c r="K151" s="4" t="inlineStr">
        <is>
          <t>Include</t>
        </is>
      </c>
      <c r="L151" s="4" t="inlineStr">
        <is>
          <t>ScienceDirect detailed research abstract with pediatric EEG pipeline and performance. The very high reported performance is not accompanied by an independent external cohort, prospective evaluation, or explicit cross-site robustness analysis in the accessible source.</t>
        </is>
      </c>
    </row>
    <row r="152" ht="47" customHeight="1">
      <c r="A152" s="4" t="n">
        <v>352</v>
      </c>
      <c r="B152" s="4" t="n">
        <v>2025</v>
      </c>
      <c r="C152" s="4" t="inlineStr">
        <is>
          <t>Efficient Kulczynski EEG feature selection for autism spectrum disorder diagnosis over fog and cloud computing</t>
        </is>
      </c>
      <c r="D152" s="4" t="inlineStr">
        <is>
          <t>10.1007/S41870-025-02987-Y</t>
        </is>
      </c>
      <c r="E152" s="4" t="inlineStr">
        <is>
          <t>Yes</t>
        </is>
      </c>
      <c r="F152" s="4" t="inlineStr">
        <is>
          <t>Yes</t>
        </is>
      </c>
      <c r="G152" s="4" t="inlineStr">
        <is>
          <t>hybrid</t>
        </is>
      </c>
      <c r="H152" s="4" t="inlineStr">
        <is>
          <t>cc-by</t>
        </is>
      </c>
      <c r="I152" s="4" t="inlineStr">
        <is>
          <t>https://link.springer.com/content/pdf/10.1007/s41870-025-02987-y.pdf</t>
        </is>
      </c>
      <c r="J152" s="4" t="inlineStr">
        <is>
          <t>Yes</t>
        </is>
      </c>
      <c r="K152" s="4" t="inlineStr">
        <is>
          <t>Include</t>
        </is>
      </c>
      <c r="L152" s="4" t="inlineStr">
        <is>
          <t>Texto abierto evaluable revisado; extracción RQ disponible.</t>
        </is>
      </c>
    </row>
    <row r="153" ht="73" customHeight="1">
      <c r="A153" s="4" t="n">
        <v>354</v>
      </c>
      <c r="B153" s="4" t="n">
        <v>2026</v>
      </c>
      <c r="C153" s="4" t="inlineStr">
        <is>
          <t>Contrastive diffusion adaptation network with rs-fMRI for domain adaptation classification of autism spectrum disorder</t>
        </is>
      </c>
      <c r="D153" s="4" t="inlineStr">
        <is>
          <t>10.1016/j.asoc.2026.115959</t>
        </is>
      </c>
      <c r="E153" s="4" t="inlineStr">
        <is>
          <t>Yes</t>
        </is>
      </c>
      <c r="F153" s="4" t="inlineStr">
        <is>
          <t>No</t>
        </is>
      </c>
      <c r="G153" s="4" t="inlineStr">
        <is>
          <t>closed</t>
        </is>
      </c>
      <c r="H153" s="4" t="n"/>
      <c r="I153" s="4" t="inlineStr">
        <is>
          <t>https://www.sciencedirect.com/science/article/pii/S1568494626014079</t>
        </is>
      </c>
      <c r="J153" s="4" t="inlineStr">
        <is>
          <t>Yes</t>
        </is>
      </c>
      <c r="K153" s="4" t="inlineStr">
        <is>
          <t>Include</t>
        </is>
      </c>
      <c r="L153" s="4" t="inlineStr">
        <is>
          <t>ScienceDirect research record with cross-site/domain-adaptation design and brain-region interpretation. Cross-site/domain-adaptation testing supports robustness but is not equivalent to an independent prospective external clinical validation cohort.</t>
        </is>
      </c>
    </row>
    <row r="154" ht="60" customHeight="1">
      <c r="A154" s="4" t="n">
        <v>355</v>
      </c>
      <c r="B154" s="4" t="n">
        <v>2026</v>
      </c>
      <c r="C154" s="4" t="inlineStr">
        <is>
          <t>Hybrid HOG–ResNet50V2 framework for early autism spectrum disorder detection from facial images</t>
        </is>
      </c>
      <c r="D154" s="4" t="inlineStr">
        <is>
          <t>10.1016/j.array.2026.100936</t>
        </is>
      </c>
      <c r="E154" s="4" t="inlineStr">
        <is>
          <t>Yes</t>
        </is>
      </c>
      <c r="F154" s="4" t="inlineStr">
        <is>
          <t>Yes</t>
        </is>
      </c>
      <c r="G154" s="4" t="inlineStr">
        <is>
          <t>gold</t>
        </is>
      </c>
      <c r="H154" s="4" t="inlineStr">
        <is>
          <t>cc-by</t>
        </is>
      </c>
      <c r="I154" s="4" t="inlineStr">
        <is>
          <t>https://www.sciencedirect.com/science/article/pii/S2590005626002596</t>
        </is>
      </c>
      <c r="J154" s="4" t="inlineStr">
        <is>
          <t>Yes</t>
        </is>
      </c>
      <c r="K154" s="4" t="inlineStr">
        <is>
          <t>Include</t>
        </is>
      </c>
      <c r="L154" s="4" t="inlineStr">
        <is>
          <t>ScienceDirect open research record with facial-image pipeline sufficient for scoped coding. The accessible material does not establish independent external validation, prospective deployment, cross-site robustness, or an explicit XAI method.</t>
        </is>
      </c>
    </row>
    <row r="155" ht="47" customHeight="1">
      <c r="A155" s="4" t="n">
        <v>359</v>
      </c>
      <c r="B155" s="4" t="n">
        <v>2026</v>
      </c>
      <c r="C155" s="4" t="inlineStr">
        <is>
          <t>Privacy preserving federated framework for autism spectrum disorder screening with ensemble stacking and deep learning approaches</t>
        </is>
      </c>
      <c r="D155" s="4" t="inlineStr">
        <is>
          <t>10.1007/S44163-026-01103-8</t>
        </is>
      </c>
      <c r="E155" s="4" t="inlineStr">
        <is>
          <t>Yes</t>
        </is>
      </c>
      <c r="F155" s="4" t="inlineStr">
        <is>
          <t>Yes</t>
        </is>
      </c>
      <c r="G155" s="4" t="inlineStr">
        <is>
          <t>gold</t>
        </is>
      </c>
      <c r="H155" s="4" t="inlineStr">
        <is>
          <t>cc-by-nc-nd</t>
        </is>
      </c>
      <c r="I155" s="4" t="inlineStr">
        <is>
          <t>https://doi.org/10.1007/s44163-026-01103-8</t>
        </is>
      </c>
      <c r="J155" s="4" t="inlineStr">
        <is>
          <t>Yes</t>
        </is>
      </c>
      <c r="K155" s="4" t="inlineStr">
        <is>
          <t>Include</t>
        </is>
      </c>
      <c r="L155" s="4" t="inlineStr">
        <is>
          <t>Texto abierto evaluable revisado; extracción RQ disponible.</t>
        </is>
      </c>
    </row>
    <row r="156" ht="112" customHeight="1">
      <c r="A156" s="4" t="n">
        <v>360</v>
      </c>
      <c r="B156" s="4" t="n">
        <v>2026</v>
      </c>
      <c r="C156" s="4" t="inlineStr">
        <is>
          <t>Prenatal exposure to particulate matter and risk of autism spectrum disorder in children: a population-based cohort study in South Korea</t>
        </is>
      </c>
      <c r="D156" s="4" t="inlineStr">
        <is>
          <t>10.1016/j.envres.2026.125161</t>
        </is>
      </c>
      <c r="E156" s="4" t="inlineStr">
        <is>
          <t>Yes</t>
        </is>
      </c>
      <c r="F156" s="4" t="inlineStr">
        <is>
          <t>Yes</t>
        </is>
      </c>
      <c r="G156" s="4" t="inlineStr">
        <is>
          <t>hybrid</t>
        </is>
      </c>
      <c r="H156" s="4" t="inlineStr">
        <is>
          <t>cc-by</t>
        </is>
      </c>
      <c r="I156" s="4" t="inlineStr">
        <is>
          <t>https://pubmed.ncbi.nlm.nih.gov/42379486/</t>
        </is>
      </c>
      <c r="J156" s="4" t="inlineStr">
        <is>
          <t>Yes</t>
        </is>
      </c>
      <c r="K156" s="4" t="inlineStr">
        <is>
          <t>Exclude</t>
        </is>
      </c>
      <c r="L156" s="4" t="inlineStr">
        <is>
          <t>PubMed/ScienceDirect research abstract with exposure modeling and ASD outcome analysis sufficient for eligibility adjudication. El componente de machine learning se utiliza para estimar la exposicion ambiental a PM2.5/PM10; el riesgo de ASD se analiza mediante modelos de riesgos proporcionales de Cox. No se implementa ni evalua una tecnica de IA/ML como modelo sustantivo de screening, diagnostico, pronostico, monitorizacion o intervencion de ASD.</t>
        </is>
      </c>
    </row>
    <row r="157" ht="112" customHeight="1">
      <c r="A157" s="4" t="n">
        <v>361</v>
      </c>
      <c r="B157" s="4" t="n">
        <v>2026</v>
      </c>
      <c r="C157" s="4" t="inlineStr">
        <is>
          <t>Systems-level multi-omics dissection of syndromic and idiopathic autism reveals distinct regulatory architectures, candidate molecular signatures, and potential therapeutic targets</t>
        </is>
      </c>
      <c r="D157" s="4" t="inlineStr">
        <is>
          <t>10.1016/j.compbiomed.2026.111822</t>
        </is>
      </c>
      <c r="E157" s="4" t="inlineStr">
        <is>
          <t>Yes</t>
        </is>
      </c>
      <c r="F157" s="4" t="inlineStr">
        <is>
          <t>No</t>
        </is>
      </c>
      <c r="G157" s="4" t="inlineStr">
        <is>
          <t>closed</t>
        </is>
      </c>
      <c r="H157" s="4" t="n"/>
      <c r="I157" s="4" t="inlineStr">
        <is>
          <t>https://pubmed.ncbi.nlm.nih.gov/42330854/</t>
        </is>
      </c>
      <c r="J157" s="4" t="inlineStr">
        <is>
          <t>Yes</t>
        </is>
      </c>
      <c r="K157" s="4" t="inlineStr">
        <is>
          <t>Exclude</t>
        </is>
      </c>
      <c r="L157" s="4" t="inlineStr">
        <is>
          <t>PubMed/ScienceDirect research abstract with systems-biology and drug-target scope sufficient for eligibility adjudication. El componente de deep learning se aplica a cribado in silico de interacciones farmaco-diana sobre genes de riesgo curados y a priorizacion terapeutica. El estudio es de sistemas moleculares/descubrimiento de farmacos y no evalua un modelo de IA sobre participantes humanos para un resultado clinico o de cuidado de ASD dentro de las etapas definidas por IC4.</t>
        </is>
      </c>
    </row>
    <row r="158" ht="99" customHeight="1">
      <c r="A158" s="4" t="n">
        <v>364</v>
      </c>
      <c r="B158" s="4" t="n">
        <v>2026</v>
      </c>
      <c r="C158" s="4" t="inlineStr">
        <is>
          <t>Smart detection of autism spectrum disorder using optimized deep learner for transforming early diagnosis and intervention</t>
        </is>
      </c>
      <c r="D158" s="4" t="inlineStr">
        <is>
          <t>10.1007/S12065-026-01162-X</t>
        </is>
      </c>
      <c r="E158" s="4" t="inlineStr">
        <is>
          <t>Yes</t>
        </is>
      </c>
      <c r="F158" s="4" t="inlineStr">
        <is>
          <t>Yes</t>
        </is>
      </c>
      <c r="G158" s="4" t="inlineStr">
        <is>
          <t>green</t>
        </is>
      </c>
      <c r="H158" s="4" t="n"/>
      <c r="I158" s="4" t="inlineStr">
        <is>
          <t>https://www.researchgate.net/publication/401363005_Smart_detection_of_autism_spectrum_disorder_using_optimized_deep_learner_for_transforming_early_diagnosis_and_intervention</t>
        </is>
      </c>
      <c r="J158" s="4" t="inlineStr">
        <is>
          <t>Yes</t>
        </is>
      </c>
      <c r="K158" s="4" t="inlineStr">
        <is>
          <t>Include</t>
        </is>
      </c>
      <c r="L158" s="4" t="inlineStr">
        <is>
          <t>Author-provided full text on ResearchGate reviewed; Methods/Results and Data Availability expose a material internal inconsistency. Material reporting contradiction: the Methods/Results explicitly analyze two datasets, while the Data Availability statement says no datasets were generated or analysed. Inclusion is retained provisionally, but this requires high-priority human verification before final synthesis.</t>
        </is>
      </c>
    </row>
    <row r="159" ht="99" customHeight="1">
      <c r="A159" s="4" t="n">
        <v>366</v>
      </c>
      <c r="B159" s="4" t="n">
        <v>2026</v>
      </c>
      <c r="C159" s="4" t="inlineStr">
        <is>
          <t>Hybrid deep learning with cross-attention fusion for autism spectrum disorder classification from facial images</t>
        </is>
      </c>
      <c r="D159" s="4" t="inlineStr">
        <is>
          <t>10.1016/j.ibmed.2026.100421</t>
        </is>
      </c>
      <c r="E159" s="4" t="inlineStr">
        <is>
          <t>Yes</t>
        </is>
      </c>
      <c r="F159" s="4" t="inlineStr">
        <is>
          <t>Yes</t>
        </is>
      </c>
      <c r="G159" s="4" t="inlineStr">
        <is>
          <t>gold</t>
        </is>
      </c>
      <c r="H159" s="4" t="n"/>
      <c r="I159" s="4" t="inlineStr">
        <is>
          <t>https://www.sciencedirect.com/science/article/pii/S2666521226000797</t>
        </is>
      </c>
      <c r="J159" s="4" t="inlineStr">
        <is>
          <t>Yes</t>
        </is>
      </c>
      <c r="K159" s="4" t="inlineStr">
        <is>
          <t>Include</t>
        </is>
      </c>
      <c r="L159" s="4" t="inlineStr">
        <is>
          <t>ScienceDirect open full article/Methods with dataset split, hybrid architecture, Grad-CAM and performance. The article reports a fixed 86.4%/3.4%/10.2% train/validation/test partition while the abstract also reports mean±SD across 5-fold cross-validation, creating an evaluation-protocol inconsistency that should be reconciled manually. No independent external dataset was used.</t>
        </is>
      </c>
    </row>
    <row r="160" ht="34" customHeight="1">
      <c r="A160" s="4" t="n">
        <v>367</v>
      </c>
      <c r="B160" s="4" t="n">
        <v>2026</v>
      </c>
      <c r="C160" s="4" t="inlineStr">
        <is>
          <t>An integrated intelligent model for early diagnosis of autism spectrum disorder</t>
        </is>
      </c>
      <c r="D160" s="4" t="inlineStr">
        <is>
          <t>10.1016/j.fraope.2026.100663</t>
        </is>
      </c>
      <c r="E160" s="4" t="inlineStr">
        <is>
          <t>Yes</t>
        </is>
      </c>
      <c r="F160" s="4" t="inlineStr">
        <is>
          <t>Yes</t>
        </is>
      </c>
      <c r="G160" s="4" t="inlineStr">
        <is>
          <t>gold</t>
        </is>
      </c>
      <c r="H160" s="4" t="inlineStr">
        <is>
          <t>cc-by-nc-nd</t>
        </is>
      </c>
      <c r="I160" s="4" t="inlineStr">
        <is>
          <t>https://www.sciencedirect.com/science/article/pii/S2773186326001787</t>
        </is>
      </c>
      <c r="J160" s="4" t="inlineStr">
        <is>
          <t>Yes</t>
        </is>
      </c>
      <c r="K160" s="4" t="inlineStr">
        <is>
          <t>Exclude</t>
        </is>
      </c>
      <c r="L160" s="4" t="inlineStr">
        <is>
          <t>Contenido primario/editorial accesible suficiente para resolver exclusión; requiere verificación independiente.</t>
        </is>
      </c>
    </row>
    <row r="161" ht="86" customHeight="1">
      <c r="A161" s="4" t="n">
        <v>369</v>
      </c>
      <c r="B161" s="4" t="n">
        <v>2025</v>
      </c>
      <c r="C161" s="4" t="inlineStr">
        <is>
          <t>Hybrid deep learning model for autism spectrum disorder diagnosis</t>
        </is>
      </c>
      <c r="D161" s="4" t="inlineStr">
        <is>
          <t>10.1038/s41598-025-28819-4</t>
        </is>
      </c>
      <c r="E161" s="4" t="inlineStr">
        <is>
          <t>Yes</t>
        </is>
      </c>
      <c r="F161" s="4" t="inlineStr">
        <is>
          <t>Yes</t>
        </is>
      </c>
      <c r="G161" s="4" t="inlineStr">
        <is>
          <t>gold</t>
        </is>
      </c>
      <c r="H161" s="4" t="inlineStr">
        <is>
          <t>cc-by-nc-nd</t>
        </is>
      </c>
      <c r="I161" s="4" t="inlineStr">
        <is>
          <t>https://www.nature.com/articles/s41598-025-28819-4</t>
        </is>
      </c>
      <c r="J161" s="4" t="inlineStr">
        <is>
          <t>Yes</t>
        </is>
      </c>
      <c r="K161" s="4" t="inlineStr">
        <is>
          <t>Exclude</t>
        </is>
      </c>
      <c r="L161" s="4" t="inlineStr">
        <is>
          <t>Official Nature/Scientific Reports retraction record reviewed. Articulo retractado por el editor. La retractacion cuestiona la procedencia y validez clinica del conjunto de imagenes de menores, senala ausencia de documentacion de diagnostico ASD, supervision etica y consentimiento, y el editor declara que ya no confia en la fiabilidad del articulo.</t>
        </is>
      </c>
    </row>
    <row r="162" ht="99" customHeight="1">
      <c r="A162" s="4" t="n">
        <v>370</v>
      </c>
      <c r="B162" s="4" t="n">
        <v>2026</v>
      </c>
      <c r="C162" s="4" t="inlineStr">
        <is>
          <t>A comparative and temporal evaluation of autism information across ten AI platforms</t>
        </is>
      </c>
      <c r="D162" s="4" t="inlineStr">
        <is>
          <t>10.1016/j.reia.2026.202965</t>
        </is>
      </c>
      <c r="E162" s="4" t="inlineStr">
        <is>
          <t>Yes</t>
        </is>
      </c>
      <c r="F162" s="4" t="inlineStr">
        <is>
          <t>No</t>
        </is>
      </c>
      <c r="G162" s="4" t="inlineStr">
        <is>
          <t>closed</t>
        </is>
      </c>
      <c r="H162" s="4" t="n"/>
      <c r="I162" s="4" t="inlineStr">
        <is>
          <t>https://www.sciencedirect.com/science/article/pii/S3050656526001793</t>
        </is>
      </c>
      <c r="J162" s="4" t="inlineStr">
        <is>
          <t>Yes</t>
        </is>
      </c>
      <c r="K162" s="4" t="inlineStr">
        <is>
          <t>Exclude</t>
        </is>
      </c>
      <c r="L162" s="4" t="inlineStr">
        <is>
          <t>ScienceDirect research record with study objective and evaluation dimensions sufficient for eligibility adjudication. Evalua la calidad, legibilidad, tono, referencias, accionabilidad y seguridad de informacion sobre autismo generada por diez plataformas generales de IA; no implementa ni evalua una tecnica de IA/ML aplicada a datos humanos de ASD como componente de una etapa funcional del proceso clinico/cuidado.</t>
        </is>
      </c>
    </row>
    <row r="163" ht="47" customHeight="1">
      <c r="A163" s="4" t="n">
        <v>371</v>
      </c>
      <c r="B163" s="4" t="n">
        <v>2026</v>
      </c>
      <c r="C163" s="4" t="inlineStr">
        <is>
          <t>A Hybrid CNN-GAT Model for MRI Screening of Autism Spectrum Disorder</t>
        </is>
      </c>
      <c r="D163" s="4" t="inlineStr">
        <is>
          <t>10.1007/978-3-032-14531-4_4</t>
        </is>
      </c>
      <c r="E163" s="4" t="inlineStr">
        <is>
          <t>Yes</t>
        </is>
      </c>
      <c r="F163" s="4" t="inlineStr">
        <is>
          <t>No</t>
        </is>
      </c>
      <c r="G163" s="4" t="inlineStr">
        <is>
          <t>closed</t>
        </is>
      </c>
      <c r="H163" s="4" t="n"/>
      <c r="I163" s="4" t="inlineStr">
        <is>
          <t>https://link.springer.com/chapter/10.1007/978-3-032-14531-4_4</t>
        </is>
      </c>
      <c r="J163" s="4" t="inlineStr">
        <is>
          <t>Yes</t>
        </is>
      </c>
      <c r="K163" s="4" t="inlineStr">
        <is>
          <t>Include</t>
        </is>
      </c>
      <c r="L163" s="4" t="inlineStr">
        <is>
          <t>Springer lo identifica como conference paper en proceedings revisados por pares; contenido empírico evaluable y elegible. Reconciliado el 2026-09-07.</t>
        </is>
      </c>
    </row>
    <row r="164" ht="47" customHeight="1">
      <c r="A164" s="4" t="n">
        <v>372</v>
      </c>
      <c r="B164" s="4" t="n">
        <v>2025</v>
      </c>
      <c r="C164" s="4" t="inlineStr">
        <is>
          <t>Machine learning of clinical phenotypes facilitates autism screening and identifies novel subgroups with distinct transcriptomic profiles</t>
        </is>
      </c>
      <c r="D164" s="4" t="inlineStr">
        <is>
          <t>10.1038/S41598-025-95291-5</t>
        </is>
      </c>
      <c r="E164" s="4" t="inlineStr">
        <is>
          <t>Yes</t>
        </is>
      </c>
      <c r="F164" s="4" t="inlineStr">
        <is>
          <t>Yes</t>
        </is>
      </c>
      <c r="G164" s="4" t="inlineStr">
        <is>
          <t>gold</t>
        </is>
      </c>
      <c r="H164" s="4" t="inlineStr">
        <is>
          <t>cc-by-nc-nd</t>
        </is>
      </c>
      <c r="I164" s="4" t="inlineStr">
        <is>
          <t>https://doi.org/10.1038/s41598-025-95291-5</t>
        </is>
      </c>
      <c r="J164" s="4" t="inlineStr">
        <is>
          <t>Yes</t>
        </is>
      </c>
      <c r="K164" s="4" t="inlineStr">
        <is>
          <t>Include</t>
        </is>
      </c>
      <c r="L164" s="4" t="inlineStr">
        <is>
          <t>Texto abierto evaluable revisado; extracción RQ disponible.</t>
        </is>
      </c>
    </row>
    <row r="165" ht="99" customHeight="1">
      <c r="A165" s="4" t="n">
        <v>373</v>
      </c>
      <c r="B165" s="4" t="n">
        <v>2026</v>
      </c>
      <c r="C165" s="4" t="inlineStr">
        <is>
          <t>Multi-feature fusion transformer network for Autism spectrum disorder detection via facial images</t>
        </is>
      </c>
      <c r="D165" s="4" t="inlineStr">
        <is>
          <t>10.1016/j.bspc.2026.110970</t>
        </is>
      </c>
      <c r="E165" s="4" t="inlineStr">
        <is>
          <t>Yes</t>
        </is>
      </c>
      <c r="F165" s="4" t="inlineStr">
        <is>
          <t>No</t>
        </is>
      </c>
      <c r="G165" s="4" t="inlineStr">
        <is>
          <t>closed</t>
        </is>
      </c>
      <c r="H165" s="4" t="n"/>
      <c r="I165" s="4" t="inlineStr">
        <is>
          <t>https://www.sciencedirect.com/science/article/pii/S1746809426015247</t>
        </is>
      </c>
      <c r="J165" s="4" t="inlineStr">
        <is>
          <t>Yes</t>
        </is>
      </c>
      <c r="K165" s="4" t="inlineStr">
        <is>
          <t>Include</t>
        </is>
      </c>
      <c r="L165" s="4" t="inlineStr">
        <is>
          <t>ScienceDirect full article/section snippets with training dataset, independent external dataset, XAI and cross-dataset evaluation. External cross-dataset testing strengthens generalization evidence, but the system is not prospectively deployed and image-source/demographic biases remain possible. Landmarks are derived from the same image source, so this was not counted as multisource data.</t>
        </is>
      </c>
    </row>
    <row r="166" ht="47" customHeight="1">
      <c r="A166" s="4" t="n">
        <v>378</v>
      </c>
      <c r="B166" s="4" t="n">
        <v>2025</v>
      </c>
      <c r="C166" s="4" t="inlineStr">
        <is>
          <t>Integrating Network Analysis and Machine Learning Identifies Key Autism Spectrum Disorder Genes Linked to Immune Dysregulation and Therapeutic Targets</t>
        </is>
      </c>
      <c r="D166" s="4" t="inlineStr">
        <is>
          <t>10.3390/genes16091109</t>
        </is>
      </c>
      <c r="E166" s="4" t="inlineStr">
        <is>
          <t>Yes</t>
        </is>
      </c>
      <c r="F166" s="4" t="inlineStr">
        <is>
          <t>Yes</t>
        </is>
      </c>
      <c r="G166" s="4" t="inlineStr">
        <is>
          <t>gold</t>
        </is>
      </c>
      <c r="H166" s="4" t="inlineStr">
        <is>
          <t>cc-by</t>
        </is>
      </c>
      <c r="I166" s="4" t="inlineStr">
        <is>
          <t>https://www.mdpi.com/2073-4425/16/9/1109/pdf?version=1758266110</t>
        </is>
      </c>
      <c r="J166" s="4" t="inlineStr">
        <is>
          <t>Yes</t>
        </is>
      </c>
      <c r="K166" s="4" t="inlineStr">
        <is>
          <t>Include</t>
        </is>
      </c>
      <c r="L166" s="4" t="inlineStr">
        <is>
          <t>Texto abierto evaluable revisado; extracción RQ disponible.</t>
        </is>
      </c>
    </row>
    <row r="167" ht="86" customHeight="1">
      <c r="A167" s="4" t="n">
        <v>380</v>
      </c>
      <c r="B167" s="4" t="n">
        <v>2026</v>
      </c>
      <c r="C167" s="4" t="inlineStr">
        <is>
          <t>Semantic-based saccadic scanpath prediction for autism spectrum disorder</t>
        </is>
      </c>
      <c r="D167" s="4" t="inlineStr">
        <is>
          <t>10.1016/j.patcog.2026.114305</t>
        </is>
      </c>
      <c r="E167" s="4" t="inlineStr">
        <is>
          <t>Yes</t>
        </is>
      </c>
      <c r="F167" s="4" t="inlineStr">
        <is>
          <t>No</t>
        </is>
      </c>
      <c r="G167" s="4" t="inlineStr">
        <is>
          <t>closed</t>
        </is>
      </c>
      <c r="H167" s="4" t="n"/>
      <c r="I167" s="4" t="inlineStr">
        <is>
          <t>https://www.sciencedirect.com/science/article/abs/pii/S0031320326012707</t>
        </is>
      </c>
      <c r="J167" s="4" t="inlineStr">
        <is>
          <t>Yes</t>
        </is>
      </c>
      <c r="K167" s="4" t="inlineStr">
        <is>
          <t>Exclude</t>
        </is>
      </c>
      <c r="L167" s="4" t="inlineStr">
        <is>
          <t>ScienceDirect detailed abstract/highlights sufficient for endpoint adjudication. El sistema predice trayectorias sacadicas/scanpaths y patrones de atencion visual en personas con ASD; no realiza deteccion, cribado, diagnostico, pronostico, monitorizacion/intervencion ni otro resultado clinico/care-relevant definido por IC4.</t>
        </is>
      </c>
    </row>
    <row r="168" ht="99" customHeight="1">
      <c r="A168" s="4" t="n">
        <v>383</v>
      </c>
      <c r="B168" s="4" t="n">
        <v>2026</v>
      </c>
      <c r="C168" s="4" t="inlineStr">
        <is>
          <t>Longitudinal multi-omics analysis of umbilical cord blood and childhood serum in Autism</t>
        </is>
      </c>
      <c r="D168" s="4" t="inlineStr">
        <is>
          <t>10.1038/s41380-025-03157-z</t>
        </is>
      </c>
      <c r="E168" s="4" t="inlineStr">
        <is>
          <t>Yes</t>
        </is>
      </c>
      <c r="F168" s="4" t="inlineStr">
        <is>
          <t>No</t>
        </is>
      </c>
      <c r="G168" s="4" t="inlineStr">
        <is>
          <t>closed</t>
        </is>
      </c>
      <c r="H168" s="4" t="n"/>
      <c r="I168" s="4" t="inlineStr">
        <is>
          <t>https://www.nature.com/articles/s41380-025-03157-z</t>
        </is>
      </c>
      <c r="J168" s="4" t="inlineStr">
        <is>
          <t>Yes</t>
        </is>
      </c>
      <c r="K168" s="4" t="inlineStr">
        <is>
          <t>Include</t>
        </is>
      </c>
      <c r="L168" s="4" t="inlineStr">
        <is>
          <t>Nature/PubMed full research record with longitudinal birth cohort, multi-omics and ML results. The omics case numbers are small (22 future ASD cases in cord blood; 24 in follow-up), and the accessible report does not identify an independent external validation cohort or the specific ML family. Longitudinal collection supports prospective-evidence coding, not prospective clinical deployment.</t>
        </is>
      </c>
    </row>
    <row r="169" ht="47" customHeight="1">
      <c r="A169" s="4" t="n">
        <v>384</v>
      </c>
      <c r="B169" s="4" t="n">
        <v>2026</v>
      </c>
      <c r="C169" s="4" t="inlineStr">
        <is>
          <t>Air pollution and autism-like traits: Sensitive periods and joint effects of exposure to sources and constituents of fine particulate matter</t>
        </is>
      </c>
      <c r="D169" s="4" t="inlineStr">
        <is>
          <t>10.1016/j.envres.2026.125213</t>
        </is>
      </c>
      <c r="E169" s="4" t="inlineStr">
        <is>
          <t>Yes</t>
        </is>
      </c>
      <c r="F169" s="4" t="inlineStr">
        <is>
          <t>Yes</t>
        </is>
      </c>
      <c r="G169" s="4" t="inlineStr">
        <is>
          <t>green</t>
        </is>
      </c>
      <c r="H169" s="4" t="n"/>
      <c r="I169" s="4" t="inlineStr">
        <is>
          <t>https://pmc.ncbi.nlm.nih.gov/articles/PMC13470885/</t>
        </is>
      </c>
      <c r="J169" s="4" t="inlineStr">
        <is>
          <t>Yes</t>
        </is>
      </c>
      <c r="K169" s="4" t="inlineStr">
        <is>
          <t>Include</t>
        </is>
      </c>
      <c r="L169" s="4" t="inlineStr">
        <is>
          <t>Texto abierto evaluable revisado; extracción RQ disponible.</t>
        </is>
      </c>
    </row>
    <row r="170" ht="73" customHeight="1">
      <c r="A170" s="4" t="n">
        <v>386</v>
      </c>
      <c r="B170" s="4" t="n">
        <v>2025</v>
      </c>
      <c r="C170" s="4" t="inlineStr">
        <is>
          <t>3T dilated inception network for enhanced autism spectrum disorder diagnosis using resting-state fMRI data</t>
        </is>
      </c>
      <c r="D170" s="4" t="inlineStr">
        <is>
          <t>10.1007/S11571-024-10202-0</t>
        </is>
      </c>
      <c r="E170" s="4" t="inlineStr">
        <is>
          <t>Yes</t>
        </is>
      </c>
      <c r="F170" s="4" t="inlineStr">
        <is>
          <t>Yes</t>
        </is>
      </c>
      <c r="G170" s="4" t="inlineStr">
        <is>
          <t>green</t>
        </is>
      </c>
      <c r="H170" s="4" t="n"/>
      <c r="I170" s="4" t="inlineStr">
        <is>
          <t>https://pmc.ncbi.nlm.nih.gov/articles/PMC11729590/</t>
        </is>
      </c>
      <c r="J170" s="4" t="inlineStr">
        <is>
          <t>Yes</t>
        </is>
      </c>
      <c r="K170" s="4" t="inlineStr">
        <is>
          <t>Include</t>
        </is>
      </c>
      <c r="L170" s="4" t="inlineStr">
        <is>
          <t>PMC/PubMed full research article with ABIDE rs-fMRI, five datasets and model evaluation. Use of multiple ASD datasets was coded as multisite/multidataset evidence, but the accessible report does not establish an explicit leave-site-out or independent prospective external-validation design.</t>
        </is>
      </c>
    </row>
    <row r="171" ht="86" customHeight="1">
      <c r="A171" s="4" t="n">
        <v>387</v>
      </c>
      <c r="B171" s="4" t="n">
        <v>2025</v>
      </c>
      <c r="C171" s="4" t="inlineStr">
        <is>
          <t>Predicting pragmatic language abilities from brain structural MRI in preschool children with ASD by NBS-Predict</t>
        </is>
      </c>
      <c r="D171" s="4" t="inlineStr">
        <is>
          <t>10.1007/s00787-025-02775-w</t>
        </is>
      </c>
      <c r="E171" s="4" t="inlineStr">
        <is>
          <t>Yes</t>
        </is>
      </c>
      <c r="F171" s="4" t="inlineStr">
        <is>
          <t>No</t>
        </is>
      </c>
      <c r="G171" s="4" t="inlineStr">
        <is>
          <t>closed</t>
        </is>
      </c>
      <c r="H171" s="4" t="n"/>
      <c r="I171" s="4" t="inlineStr">
        <is>
          <t>https://pubmed.ncbi.nlm.nih.gov/40495017/</t>
        </is>
      </c>
      <c r="J171" s="4" t="inlineStr">
        <is>
          <t>Yes</t>
        </is>
      </c>
      <c r="K171" s="4" t="inlineStr">
        <is>
          <t>Include</t>
        </is>
      </c>
      <c r="L171" s="4" t="inlineStr">
        <is>
          <t>PubMed/Springer research abstract with preschool DTI connectome, NBS-Predict and phenotype results. Single-center/cross-sectional evidence with no independent external validation. Diagnosis is used as the primary stage because the qualifying ASD/TD classifier is explicit; the paper also emphasizes pragmatic-language characterization.</t>
        </is>
      </c>
    </row>
    <row r="172" ht="73" customHeight="1">
      <c r="A172" s="4" t="n">
        <v>391</v>
      </c>
      <c r="B172" s="4" t="n">
        <v>2026</v>
      </c>
      <c r="C172" s="4" t="inlineStr">
        <is>
          <t>Cell death-associated genes as novel diagnostic biomarkers for autism spectrum disorder</t>
        </is>
      </c>
      <c r="D172" s="4" t="inlineStr">
        <is>
          <t>10.1007/s10495-025-02201-1</t>
        </is>
      </c>
      <c r="E172" s="4" t="inlineStr">
        <is>
          <t>Yes</t>
        </is>
      </c>
      <c r="F172" s="4" t="inlineStr">
        <is>
          <t>No</t>
        </is>
      </c>
      <c r="G172" s="4" t="inlineStr">
        <is>
          <t>closed</t>
        </is>
      </c>
      <c r="H172" s="4" t="n"/>
      <c r="I172" s="4" t="inlineStr">
        <is>
          <t>https://pubmed.ncbi.nlm.nih.gov/41518421/</t>
        </is>
      </c>
      <c r="J172" s="4" t="inlineStr">
        <is>
          <t>Yes</t>
        </is>
      </c>
      <c r="K172" s="4" t="inlineStr">
        <is>
          <t>Include</t>
        </is>
      </c>
      <c r="L172" s="4" t="inlineStr">
        <is>
          <t>PubMed detailed research abstract with six ML models, external human blood validation and local samples. External human validation is present but discrimination is moderate; mouse prefrontal-cortex validation is not counted as clinical external validation, and real-world replication remains needed.</t>
        </is>
      </c>
    </row>
    <row r="173" ht="86" customHeight="1">
      <c r="A173" s="4" t="n">
        <v>393</v>
      </c>
      <c r="B173" s="4" t="n">
        <v>2025</v>
      </c>
      <c r="C173" s="4" t="inlineStr">
        <is>
          <t>Integrating explainable AI with machine learning for reliable autism spectrum disorder diagnosis</t>
        </is>
      </c>
      <c r="D173" s="4" t="inlineStr">
        <is>
          <t>10.1007/S42454-025-00087-7</t>
        </is>
      </c>
      <c r="E173" s="4" t="inlineStr">
        <is>
          <t>Yes</t>
        </is>
      </c>
      <c r="F173" s="4" t="inlineStr">
        <is>
          <t>Yes</t>
        </is>
      </c>
      <c r="G173" s="4" t="inlineStr">
        <is>
          <t>green</t>
        </is>
      </c>
      <c r="H173" s="4" t="n"/>
      <c r="I173" s="4" t="inlineStr">
        <is>
          <t>https://www.researchgate.net/publication/397578770_Integrating_explainable_AI_with_machine_learning_for_reliable_autism_spectrum_disorder_diagnosis</t>
        </is>
      </c>
      <c r="J173" s="4" t="inlineStr">
        <is>
          <t>Yes</t>
        </is>
      </c>
      <c r="K173" s="4" t="inlineStr">
        <is>
          <t>Include</t>
        </is>
      </c>
      <c r="L173" s="4" t="inlineStr">
        <is>
          <t>Publisher/author full-text preview with dataset size, model comparison, SHAP/LIME and results. Very high reported performance is based on benchmark/combined structured screening data; no independent external cohort, site-held-out analysis or prospective clinical deployment was established in the accessible full text.</t>
        </is>
      </c>
    </row>
    <row r="174" ht="34" customHeight="1">
      <c r="A174" s="4" t="n">
        <v>395</v>
      </c>
      <c r="B174" s="4" t="n">
        <v>2025</v>
      </c>
      <c r="C174" s="4" t="inlineStr">
        <is>
          <t>Prematurity and genetic liability for autism spectrum disorder</t>
        </is>
      </c>
      <c r="D174" s="4" t="inlineStr">
        <is>
          <t>10.1186/s13073-025-01552-3</t>
        </is>
      </c>
      <c r="E174" s="4" t="inlineStr">
        <is>
          <t>Yes</t>
        </is>
      </c>
      <c r="F174" s="4" t="inlineStr">
        <is>
          <t>Yes</t>
        </is>
      </c>
      <c r="G174" s="4" t="inlineStr">
        <is>
          <t>gold</t>
        </is>
      </c>
      <c r="H174" s="4" t="inlineStr">
        <is>
          <t>cc-by</t>
        </is>
      </c>
      <c r="I174" s="4" t="inlineStr">
        <is>
          <t>https://genomemedicine.biomedcentral.com/counter/pdf/10.1186/s13073-025-01552-3</t>
        </is>
      </c>
      <c r="J174" s="4" t="inlineStr">
        <is>
          <t>Yes</t>
        </is>
      </c>
      <c r="K174" s="4" t="inlineStr">
        <is>
          <t>Include</t>
        </is>
      </c>
      <c r="L174" s="4" t="inlineStr">
        <is>
          <t>Texto abierto evaluable revisado; extracción RQ disponible.</t>
        </is>
      </c>
    </row>
    <row r="175" ht="86" customHeight="1">
      <c r="A175" s="4" t="n">
        <v>398</v>
      </c>
      <c r="B175" s="4" t="n">
        <v>2026</v>
      </c>
      <c r="C175" s="4" t="inlineStr">
        <is>
          <t>Diagnostic Classification of Autism Spectrum Disorder Using SD Maps of fMRI Data and Machine Learning</t>
        </is>
      </c>
      <c r="D175" s="4" t="inlineStr">
        <is>
          <t>10.1007/S40846-026-01044-8</t>
        </is>
      </c>
      <c r="E175" s="4" t="inlineStr">
        <is>
          <t>Yes</t>
        </is>
      </c>
      <c r="F175" s="4" t="inlineStr">
        <is>
          <t>No</t>
        </is>
      </c>
      <c r="G175" s="4" t="inlineStr">
        <is>
          <t>closed</t>
        </is>
      </c>
      <c r="H175" s="4" t="n"/>
      <c r="I175" s="4" t="inlineStr">
        <is>
          <t>https://pure.cardiffmet.ac.uk/en/publications/diagnostic-classification-of-autism-spectrum-disorder-using-sd-ma/</t>
        </is>
      </c>
      <c r="J175" s="4" t="inlineStr">
        <is>
          <t>Yes</t>
        </is>
      </c>
      <c r="K175" s="4" t="inlineStr">
        <is>
          <t>Include</t>
        </is>
      </c>
      <c r="L175" s="4" t="inlineStr">
        <is>
          <t>Institutional/publisher research record with ABIDE-I/II rs-fMRI, feature extraction and nested cross-validation. Nested cross-validation is methodologically stronger than a simple split but does not establish an independent/site-held-out external validation. Feature-contribution analysis was coded as partial interpretability, not strict XAI.</t>
        </is>
      </c>
    </row>
    <row r="176" ht="47" customHeight="1">
      <c r="A176" s="4" t="n">
        <v>400</v>
      </c>
      <c r="B176" s="4" t="n">
        <v>2026</v>
      </c>
      <c r="C176" s="4" t="inlineStr">
        <is>
          <t>Mitochondrial Gene Signature Reveals Novel Diagnostic Biomarkers for Autism Spectrum Disorder</t>
        </is>
      </c>
      <c r="D176" s="4" t="inlineStr">
        <is>
          <t>10.1007/s12035-026-05911-y</t>
        </is>
      </c>
      <c r="E176" s="4" t="inlineStr">
        <is>
          <t>Yes</t>
        </is>
      </c>
      <c r="F176" s="4" t="inlineStr">
        <is>
          <t>No</t>
        </is>
      </c>
      <c r="G176" s="4" t="inlineStr">
        <is>
          <t>closed</t>
        </is>
      </c>
      <c r="H176" s="4" t="n"/>
      <c r="I176" s="4" t="inlineStr">
        <is>
          <t>https://pubmed.ncbi.nlm.nih.gov/42098401/</t>
        </is>
      </c>
      <c r="J176" s="4" t="inlineStr">
        <is>
          <t>Yes</t>
        </is>
      </c>
      <c r="K176" s="4" t="inlineStr">
        <is>
          <t>Include</t>
        </is>
      </c>
      <c r="L176" s="4" t="inlineStr">
        <is>
          <t>Contenido primario accesible suficiente para adjudicación y codificación RQ; no implica que se haya adquirido una copia editorial cerrada. Requiere verificación independiente.</t>
        </is>
      </c>
    </row>
    <row r="177" ht="47" customHeight="1">
      <c r="A177" s="4" t="n">
        <v>406</v>
      </c>
      <c r="B177" s="4" t="n">
        <v>2026</v>
      </c>
      <c r="C177" s="4" t="inlineStr">
        <is>
          <t>NeuroCypher ASD: Machine Learning with Knowledge Graph-Based Representation for ASD Screening in Toddlers</t>
        </is>
      </c>
      <c r="D177" s="4" t="inlineStr">
        <is>
          <t>10.1007/S41666-026-00243-X</t>
        </is>
      </c>
      <c r="E177" s="4" t="inlineStr">
        <is>
          <t>Yes</t>
        </is>
      </c>
      <c r="F177" s="4" t="inlineStr">
        <is>
          <t>Yes</t>
        </is>
      </c>
      <c r="G177" s="4" t="inlineStr">
        <is>
          <t>hybrid</t>
        </is>
      </c>
      <c r="H177" s="4" t="inlineStr">
        <is>
          <t>cc-by</t>
        </is>
      </c>
      <c r="I177" s="4" t="inlineStr">
        <is>
          <t>https://link.springer.com/content/pdf/10.1007/s41666-026-00243-x.pdf</t>
        </is>
      </c>
      <c r="J177" s="4" t="inlineStr">
        <is>
          <t>Yes</t>
        </is>
      </c>
      <c r="K177" s="4" t="inlineStr">
        <is>
          <t>Include</t>
        </is>
      </c>
      <c r="L177" s="4" t="inlineStr">
        <is>
          <t>Texto abierto evaluable revisado; extracción RQ disponible.</t>
        </is>
      </c>
    </row>
    <row r="178" ht="47" customHeight="1">
      <c r="A178" s="4" t="n">
        <v>409</v>
      </c>
      <c r="B178" s="4" t="n">
        <v>2025</v>
      </c>
      <c r="C178" s="4" t="inlineStr">
        <is>
          <t>Assessing the Efficacy of Deep Learning Algorithms for Behavioral and Neurological Markers in Autism Diagnosis in Children</t>
        </is>
      </c>
      <c r="D178" s="4" t="inlineStr">
        <is>
          <t>10.1007/978-981-96-6297-5_20</t>
        </is>
      </c>
      <c r="E178" s="4" t="inlineStr">
        <is>
          <t>Yes</t>
        </is>
      </c>
      <c r="F178" s="4" t="inlineStr">
        <is>
          <t>No</t>
        </is>
      </c>
      <c r="G178" s="4" t="inlineStr">
        <is>
          <t>unknown</t>
        </is>
      </c>
      <c r="H178" s="4" t="n"/>
      <c r="I178" s="4" t="inlineStr">
        <is>
          <t>https://link.springer.com/book/10.1007/978-981-96-6297-5?page=2</t>
        </is>
      </c>
      <c r="J178" s="4" t="inlineStr">
        <is>
          <t>Yes</t>
        </is>
      </c>
      <c r="K178" s="4" t="inlineStr">
        <is>
          <t>Exclude</t>
        </is>
      </c>
      <c r="L178" s="4" t="inlineStr">
        <is>
          <t>Contenido primario/editorial accesible suficiente para resolver exclusión; requiere verificación independiente.</t>
        </is>
      </c>
    </row>
    <row r="179" ht="34" customHeight="1">
      <c r="A179" s="4" t="n">
        <v>410</v>
      </c>
      <c r="B179" s="4" t="n">
        <v>2026</v>
      </c>
      <c r="C179" s="4" t="inlineStr">
        <is>
          <t>Robust deep learning pipeline to improve access to autism triage and diagnosis</t>
        </is>
      </c>
      <c r="D179" s="4" t="inlineStr">
        <is>
          <t>10.1007/S44163-026-01299-9</t>
        </is>
      </c>
      <c r="E179" s="4" t="inlineStr">
        <is>
          <t>Yes</t>
        </is>
      </c>
      <c r="F179" s="4" t="inlineStr">
        <is>
          <t>Yes</t>
        </is>
      </c>
      <c r="G179" s="4" t="inlineStr">
        <is>
          <t>gold</t>
        </is>
      </c>
      <c r="H179" s="4" t="inlineStr">
        <is>
          <t>cc-by-nc-nd</t>
        </is>
      </c>
      <c r="I179" s="4" t="inlineStr">
        <is>
          <t>https://doi.org/10.1007/s44163-026-01299-9</t>
        </is>
      </c>
      <c r="J179" s="4" t="inlineStr">
        <is>
          <t>Yes</t>
        </is>
      </c>
      <c r="K179" s="4" t="inlineStr">
        <is>
          <t>Include</t>
        </is>
      </c>
      <c r="L179" s="4" t="inlineStr">
        <is>
          <t>Texto abierto evaluable revisado; extracción RQ disponible.</t>
        </is>
      </c>
    </row>
    <row r="180" ht="47" customHeight="1">
      <c r="A180" s="4" t="n">
        <v>411</v>
      </c>
      <c r="B180" s="4" t="n">
        <v>2025</v>
      </c>
      <c r="C180" s="4" t="inlineStr">
        <is>
          <t>Blood-based DNA methylation markers for autism spectrum disorder identification using machine learning</t>
        </is>
      </c>
      <c r="D180" s="4" t="inlineStr">
        <is>
          <t>10.1080/17501911.2025.2557186</t>
        </is>
      </c>
      <c r="E180" s="4" t="inlineStr">
        <is>
          <t>Yes</t>
        </is>
      </c>
      <c r="F180" s="4" t="inlineStr">
        <is>
          <t>No</t>
        </is>
      </c>
      <c r="G180" s="4" t="inlineStr">
        <is>
          <t>closed</t>
        </is>
      </c>
      <c r="H180" s="4" t="n"/>
      <c r="I180" s="4" t="inlineStr">
        <is>
          <t>https://pubmed.ncbi.nlm.nih.gov/40923924/</t>
        </is>
      </c>
      <c r="J180" s="4" t="inlineStr">
        <is>
          <t>Yes</t>
        </is>
      </c>
      <c r="K180" s="4" t="inlineStr">
        <is>
          <t>Include</t>
        </is>
      </c>
      <c r="L180" s="4" t="inlineStr">
        <is>
          <t>Contenido primario accesible suficiente para adjudicación y codificación RQ; no implica que se haya adquirido una copia editorial cerrada. Requiere verificación independiente.</t>
        </is>
      </c>
    </row>
    <row r="181" ht="47" customHeight="1">
      <c r="A181" s="4" t="n">
        <v>412</v>
      </c>
      <c r="B181" s="4" t="n">
        <v>2026</v>
      </c>
      <c r="C181" s="4" t="inlineStr">
        <is>
          <t>Federated Transformer-Based Deep Learning Framework for Secure and Early Autism Diagnosis</t>
        </is>
      </c>
      <c r="D181" s="4" t="inlineStr">
        <is>
          <t>10.1007/S42979-026-04806-Y</t>
        </is>
      </c>
      <c r="E181" s="4" t="inlineStr">
        <is>
          <t>Yes</t>
        </is>
      </c>
      <c r="F181" s="4" t="inlineStr">
        <is>
          <t>No</t>
        </is>
      </c>
      <c r="G181" s="4" t="inlineStr">
        <is>
          <t>closed</t>
        </is>
      </c>
      <c r="H181" s="4" t="n"/>
      <c r="I181" s="4" t="inlineStr">
        <is>
          <t>https://doi.org/10.1007/S42979-026-04806-Y</t>
        </is>
      </c>
      <c r="J181" s="4" t="inlineStr">
        <is>
          <t>Yes</t>
        </is>
      </c>
      <c r="K181" s="4" t="inlineStr">
        <is>
          <t>Include</t>
        </is>
      </c>
      <c r="L181" s="4" t="inlineStr">
        <is>
          <t>Contenido primario accesible suficiente para adjudicación y codificación RQ; no implica que se haya adquirido una copia editorial cerrada. Requiere verificación independiente.</t>
        </is>
      </c>
    </row>
    <row r="182" ht="47" customHeight="1">
      <c r="A182" s="4" t="n">
        <v>415</v>
      </c>
      <c r="B182" s="4" t="n">
        <v>2025</v>
      </c>
      <c r="C182" s="4" t="inlineStr">
        <is>
          <t>Artificial intelligence-based diagnostic model for autism spectrum disorder using blood biomarkers</t>
        </is>
      </c>
      <c r="D182" s="4" t="inlineStr">
        <is>
          <t>10.1007/S00521-025-11553-3</t>
        </is>
      </c>
      <c r="E182" s="4" t="inlineStr">
        <is>
          <t>Yes</t>
        </is>
      </c>
      <c r="F182" s="4" t="inlineStr">
        <is>
          <t>No</t>
        </is>
      </c>
      <c r="G182" s="4" t="inlineStr">
        <is>
          <t>closed</t>
        </is>
      </c>
      <c r="H182" s="4" t="n"/>
      <c r="I182" s="4" t="inlineStr">
        <is>
          <t>https://link.springer.com/article/10.1007/s00521-025-11553-3</t>
        </is>
      </c>
      <c r="J182" s="4" t="inlineStr">
        <is>
          <t>Yes</t>
        </is>
      </c>
      <c r="K182" s="4" t="inlineStr">
        <is>
          <t>Include</t>
        </is>
      </c>
      <c r="L182" s="4" t="inlineStr">
        <is>
          <t>Contenido primario accesible suficiente para adjudicación y codificación RQ; no implica que se haya adquirido una copia editorial cerrada. Requiere verificación independiente.</t>
        </is>
      </c>
    </row>
    <row r="183" ht="47" customHeight="1">
      <c r="A183" s="4" t="n">
        <v>416</v>
      </c>
      <c r="B183" s="4" t="n">
        <v>2026</v>
      </c>
      <c r="C183" s="4" t="inlineStr">
        <is>
          <t>An explainable deep learning framework for screening level autism severity using behavioural data</t>
        </is>
      </c>
      <c r="D183" s="4" t="inlineStr">
        <is>
          <t>10.1007/S42452-026-08352-3</t>
        </is>
      </c>
      <c r="E183" s="4" t="inlineStr">
        <is>
          <t>Yes</t>
        </is>
      </c>
      <c r="F183" s="4" t="inlineStr">
        <is>
          <t>Yes</t>
        </is>
      </c>
      <c r="G183" s="4" t="inlineStr">
        <is>
          <t>diamond</t>
        </is>
      </c>
      <c r="H183" s="4" t="inlineStr">
        <is>
          <t>cc-by</t>
        </is>
      </c>
      <c r="I183" s="4" t="inlineStr">
        <is>
          <t>https://doi.org/10.1007/S42452-026-08352-3</t>
        </is>
      </c>
      <c r="J183" s="4" t="inlineStr">
        <is>
          <t>Yes</t>
        </is>
      </c>
      <c r="K183" s="4" t="inlineStr">
        <is>
          <t>Include</t>
        </is>
      </c>
      <c r="L183" s="4" t="inlineStr">
        <is>
          <t>Contenido primario accesible suficiente para adjudicación y codificación RQ; no implica que se haya adquirido una copia editorial cerrada. Requiere verificación independiente.</t>
        </is>
      </c>
    </row>
    <row r="184" ht="47" customHeight="1">
      <c r="A184" s="4" t="n">
        <v>417</v>
      </c>
      <c r="B184" s="4" t="n">
        <v>2025</v>
      </c>
      <c r="C184" s="4" t="inlineStr">
        <is>
          <t>Perivascular Space Burden in Children With Autism Spectrum Disorder Correlates With Neurodevelopmental Severity</t>
        </is>
      </c>
      <c r="D184" s="4" t="inlineStr">
        <is>
          <t>10.1002/jmri.70023</t>
        </is>
      </c>
      <c r="E184" s="4" t="inlineStr">
        <is>
          <t>Yes</t>
        </is>
      </c>
      <c r="F184" s="4" t="inlineStr">
        <is>
          <t>Yes</t>
        </is>
      </c>
      <c r="G184" s="4" t="inlineStr">
        <is>
          <t>hybrid</t>
        </is>
      </c>
      <c r="H184" s="4" t="inlineStr">
        <is>
          <t>cc-by-nc</t>
        </is>
      </c>
      <c r="I184" s="4" t="inlineStr">
        <is>
          <t>https://onlinelibrary.wiley.com/doi/pdfdirect/10.1002/jmri.70023</t>
        </is>
      </c>
      <c r="J184" s="4" t="inlineStr">
        <is>
          <t>Yes</t>
        </is>
      </c>
      <c r="K184" s="4" t="inlineStr">
        <is>
          <t>Include</t>
        </is>
      </c>
      <c r="L184" s="4" t="inlineStr">
        <is>
          <t>Texto abierto evaluable revisado; extracción RQ disponible.</t>
        </is>
      </c>
    </row>
    <row r="185" ht="47" customHeight="1">
      <c r="A185" s="4" t="n">
        <v>420</v>
      </c>
      <c r="B185" s="4" t="n">
        <v>2025</v>
      </c>
      <c r="C185" s="4" t="inlineStr">
        <is>
          <t>Two-tier nature inspired optimization-driven ensemble of deep learning models for effective autism spectrum disorder diagnosis in disabled persons</t>
        </is>
      </c>
      <c r="D185" s="4" t="inlineStr">
        <is>
          <t>10.1038/S41598-025-93802-Y</t>
        </is>
      </c>
      <c r="E185" s="4" t="inlineStr">
        <is>
          <t>Yes</t>
        </is>
      </c>
      <c r="F185" s="4" t="inlineStr">
        <is>
          <t>Yes</t>
        </is>
      </c>
      <c r="G185" s="4" t="inlineStr">
        <is>
          <t>gold</t>
        </is>
      </c>
      <c r="H185" s="4" t="inlineStr">
        <is>
          <t>cc-by-nc-nd</t>
        </is>
      </c>
      <c r="I185" s="4" t="inlineStr">
        <is>
          <t>https://doi.org/10.1038/s41598-025-93802-y</t>
        </is>
      </c>
      <c r="J185" s="4" t="inlineStr">
        <is>
          <t>Yes</t>
        </is>
      </c>
      <c r="K185" s="4" t="inlineStr">
        <is>
          <t>Include</t>
        </is>
      </c>
      <c r="L185" s="4" t="inlineStr">
        <is>
          <t>Texto abierto evaluable revisado; extracción RQ disponible.</t>
        </is>
      </c>
    </row>
    <row r="186" ht="47" customHeight="1">
      <c r="A186" s="4" t="n">
        <v>421</v>
      </c>
      <c r="B186" s="4" t="n">
        <v>2026</v>
      </c>
      <c r="C186" s="4" t="inlineStr">
        <is>
          <t>Edge-Based Robot-Assisted Hand Gesture Recognition for Autism Intervention Using Hybrid Keyframe Selection and Contrastive Learning</t>
        </is>
      </c>
      <c r="D186" s="4" t="inlineStr">
        <is>
          <t>10.1109/TMRB.2026.3680976</t>
        </is>
      </c>
      <c r="E186" s="4" t="inlineStr">
        <is>
          <t>Yes</t>
        </is>
      </c>
      <c r="F186" s="4" t="inlineStr">
        <is>
          <t>No</t>
        </is>
      </c>
      <c r="G186" s="4" t="inlineStr">
        <is>
          <t>closed</t>
        </is>
      </c>
      <c r="H186" s="4" t="n"/>
      <c r="I186" s="4" t="inlineStr">
        <is>
          <t>https://doi.org/10.1109/TMRB.2026.3680976</t>
        </is>
      </c>
      <c r="J186" s="4" t="inlineStr">
        <is>
          <t>Yes</t>
        </is>
      </c>
      <c r="K186" s="4" t="inlineStr">
        <is>
          <t>Include</t>
        </is>
      </c>
      <c r="L186" s="4" t="inlineStr">
        <is>
          <t>Contenido primario accesible suficiente para adjudicación y codificación RQ; no implica que se haya adquirido una copia editorial cerrada. Requiere verificación independiente.</t>
        </is>
      </c>
    </row>
    <row r="187" ht="34" customHeight="1">
      <c r="A187" s="4" t="n">
        <v>422</v>
      </c>
      <c r="B187" s="4" t="n">
        <v>2026</v>
      </c>
      <c r="C187" s="4" t="inlineStr">
        <is>
          <t>MIND-TEA: An Adaptive Multi-Agent Framework for Multimodal Autism Diagnosis</t>
        </is>
      </c>
      <c r="D187" s="4" t="inlineStr">
        <is>
          <t>10.1109/ACCESS.2026.3688987</t>
        </is>
      </c>
      <c r="E187" s="4" t="inlineStr">
        <is>
          <t>Yes</t>
        </is>
      </c>
      <c r="F187" s="4" t="inlineStr">
        <is>
          <t>Yes</t>
        </is>
      </c>
      <c r="G187" s="4" t="inlineStr">
        <is>
          <t>gold</t>
        </is>
      </c>
      <c r="H187" s="4" t="inlineStr">
        <is>
          <t>cc-by</t>
        </is>
      </c>
      <c r="I187" s="4" t="inlineStr">
        <is>
          <t>https://doi.org/10.1109/access.2026.3688987</t>
        </is>
      </c>
      <c r="J187" s="4" t="inlineStr">
        <is>
          <t>Yes</t>
        </is>
      </c>
      <c r="K187" s="4" t="inlineStr">
        <is>
          <t>Include</t>
        </is>
      </c>
      <c r="L187" s="4" t="inlineStr">
        <is>
          <t>Texto abierto evaluable revisado; extracción RQ disponible.</t>
        </is>
      </c>
    </row>
    <row r="188" ht="47" customHeight="1">
      <c r="A188" s="4" t="n">
        <v>423</v>
      </c>
      <c r="B188" s="4" t="n">
        <v>2026</v>
      </c>
      <c r="C188" s="4" t="inlineStr">
        <is>
          <t>Toward a Smartwatch-Based System for Automated Social Interaction Monitoring in Autism</t>
        </is>
      </c>
      <c r="D188" s="4" t="inlineStr">
        <is>
          <t>10.1109/ACCESS.2026.3674057</t>
        </is>
      </c>
      <c r="E188" s="4" t="inlineStr">
        <is>
          <t>Yes</t>
        </is>
      </c>
      <c r="F188" s="4" t="inlineStr">
        <is>
          <t>Yes</t>
        </is>
      </c>
      <c r="G188" s="4" t="inlineStr">
        <is>
          <t>gold</t>
        </is>
      </c>
      <c r="H188" s="4" t="n"/>
      <c r="I188" s="4" t="inlineStr">
        <is>
          <t>https://doi.org/10.1109/ACCESS.2026.3674057</t>
        </is>
      </c>
      <c r="J188" s="4" t="inlineStr">
        <is>
          <t>Yes</t>
        </is>
      </c>
      <c r="K188" s="4" t="inlineStr">
        <is>
          <t>Include</t>
        </is>
      </c>
      <c r="L188" s="4" t="inlineStr">
        <is>
          <t>Contenido primario accesible suficiente para adjudicación y codificación RQ; no implica que se haya adquirido una copia editorial cerrada. Requiere verificación independiente.</t>
        </is>
      </c>
    </row>
    <row r="189" ht="34" customHeight="1">
      <c r="A189" s="4" t="n">
        <v>424</v>
      </c>
      <c r="B189" s="4" t="n">
        <v>2025</v>
      </c>
      <c r="C189" s="4" t="inlineStr">
        <is>
          <t>Interpretable Autism Screening via Object-Based Analysis of Child-Drawn Sketches</t>
        </is>
      </c>
      <c r="D189" s="4" t="inlineStr">
        <is>
          <t>10.1109/ACCESS.2025.3642950</t>
        </is>
      </c>
      <c r="E189" s="4" t="inlineStr">
        <is>
          <t>Yes</t>
        </is>
      </c>
      <c r="F189" s="4" t="inlineStr">
        <is>
          <t>Yes</t>
        </is>
      </c>
      <c r="G189" s="4" t="inlineStr">
        <is>
          <t>gold</t>
        </is>
      </c>
      <c r="H189" s="4" t="n"/>
      <c r="I189" s="4" t="inlineStr">
        <is>
          <t>https://doi.org/10.1109/access.2025.3642950</t>
        </is>
      </c>
      <c r="J189" s="4" t="inlineStr">
        <is>
          <t>Yes</t>
        </is>
      </c>
      <c r="K189" s="4" t="inlineStr">
        <is>
          <t>Include</t>
        </is>
      </c>
      <c r="L189" s="4" t="inlineStr">
        <is>
          <t>Texto abierto evaluable revisado; extracción RQ disponible.</t>
        </is>
      </c>
    </row>
    <row r="190" ht="34" customHeight="1">
      <c r="A190" s="4" t="n">
        <v>425</v>
      </c>
      <c r="B190" s="4" t="n">
        <v>2025</v>
      </c>
      <c r="C190" s="4" t="inlineStr">
        <is>
          <t>Bridging Deep Learning and Quantum Computing for EEG-Driven P300 Targeted ASD Response Detection</t>
        </is>
      </c>
      <c r="D190" s="4" t="inlineStr">
        <is>
          <t>10.1109/ACCESS.2025.3646589</t>
        </is>
      </c>
      <c r="E190" s="4" t="inlineStr">
        <is>
          <t>Yes</t>
        </is>
      </c>
      <c r="F190" s="4" t="inlineStr">
        <is>
          <t>Yes</t>
        </is>
      </c>
      <c r="G190" s="4" t="inlineStr">
        <is>
          <t>gold</t>
        </is>
      </c>
      <c r="H190" s="4" t="inlineStr">
        <is>
          <t>cc-by</t>
        </is>
      </c>
      <c r="I190" s="4" t="inlineStr">
        <is>
          <t>https://doi.org/10.1109/access.2025.3646589</t>
        </is>
      </c>
      <c r="J190" s="4" t="inlineStr">
        <is>
          <t>Yes</t>
        </is>
      </c>
      <c r="K190" s="4" t="inlineStr">
        <is>
          <t>Include</t>
        </is>
      </c>
      <c r="L190" s="4" t="inlineStr">
        <is>
          <t>Texto abierto evaluable revisado; extracción RQ disponible.</t>
        </is>
      </c>
    </row>
    <row r="191" ht="47" customHeight="1">
      <c r="A191" s="4" t="n">
        <v>427</v>
      </c>
      <c r="B191" s="4" t="n">
        <v>2026</v>
      </c>
      <c r="C191" s="4" t="inlineStr">
        <is>
          <t>A Hybrid Multi-Branch Deep Learning Model for Autism Spectrum Disorder Detection Using Spatiotemporal Gait Analysis</t>
        </is>
      </c>
      <c r="D191" s="4" t="inlineStr">
        <is>
          <t>10.1109/ACCESS.2026.3704046</t>
        </is>
      </c>
      <c r="E191" s="4" t="inlineStr">
        <is>
          <t>Yes</t>
        </is>
      </c>
      <c r="F191" s="4" t="inlineStr">
        <is>
          <t>Yes</t>
        </is>
      </c>
      <c r="G191" s="4" t="inlineStr">
        <is>
          <t>gold</t>
        </is>
      </c>
      <c r="H191" s="4" t="inlineStr">
        <is>
          <t>cc-by</t>
        </is>
      </c>
      <c r="I191" s="4" t="inlineStr">
        <is>
          <t>https://doi.org/10.1109/access.2026.3704046</t>
        </is>
      </c>
      <c r="J191" s="4" t="inlineStr">
        <is>
          <t>Yes</t>
        </is>
      </c>
      <c r="K191" s="4" t="inlineStr">
        <is>
          <t>Include</t>
        </is>
      </c>
      <c r="L191" s="4" t="inlineStr">
        <is>
          <t>Texto abierto evaluable revisado; extracción RQ disponible.</t>
        </is>
      </c>
    </row>
    <row r="192" ht="47" customHeight="1">
      <c r="A192" s="4" t="n">
        <v>428</v>
      </c>
      <c r="B192" s="4" t="n">
        <v>2026</v>
      </c>
      <c r="C192" s="4" t="inlineStr">
        <is>
          <t>Autism Action Dataset (AAD): A Comprehensive Video Benchmark for ASD Behavior Recognition Using Deep Learning</t>
        </is>
      </c>
      <c r="D192" s="4" t="inlineStr">
        <is>
          <t>10.1109/ACCESS.2026.3686583</t>
        </is>
      </c>
      <c r="E192" s="4" t="inlineStr">
        <is>
          <t>Yes</t>
        </is>
      </c>
      <c r="F192" s="4" t="inlineStr">
        <is>
          <t>Yes</t>
        </is>
      </c>
      <c r="G192" s="4" t="inlineStr">
        <is>
          <t>gold</t>
        </is>
      </c>
      <c r="H192" s="4" t="inlineStr">
        <is>
          <t>cc-by</t>
        </is>
      </c>
      <c r="I192" s="4" t="inlineStr">
        <is>
          <t>https://doi.org/10.1109/access.2026.3686583</t>
        </is>
      </c>
      <c r="J192" s="4" t="inlineStr">
        <is>
          <t>Yes</t>
        </is>
      </c>
      <c r="K192" s="4" t="inlineStr">
        <is>
          <t>Include</t>
        </is>
      </c>
      <c r="L192" s="4" t="inlineStr">
        <is>
          <t>Texto abierto evaluable revisado; extracción RQ disponible.</t>
        </is>
      </c>
    </row>
    <row r="193" ht="34" customHeight="1">
      <c r="A193" s="4" t="n">
        <v>429</v>
      </c>
      <c r="B193" s="4" t="n">
        <v>2026</v>
      </c>
      <c r="C193" s="4" t="inlineStr">
        <is>
          <t>A Data-Driven Approach for Autism Spectrum Disorder Screening</t>
        </is>
      </c>
      <c r="D193" s="4" t="inlineStr">
        <is>
          <t>10.1109/ACCESS.2026.3650856</t>
        </is>
      </c>
      <c r="E193" s="4" t="inlineStr">
        <is>
          <t>Yes</t>
        </is>
      </c>
      <c r="F193" s="4" t="inlineStr">
        <is>
          <t>Yes</t>
        </is>
      </c>
      <c r="G193" s="4" t="inlineStr">
        <is>
          <t>gold</t>
        </is>
      </c>
      <c r="H193" s="4" t="inlineStr">
        <is>
          <t>cc-by</t>
        </is>
      </c>
      <c r="I193" s="4" t="inlineStr">
        <is>
          <t>https://doi.org/10.1109/access.2026.3650856</t>
        </is>
      </c>
      <c r="J193" s="4" t="inlineStr">
        <is>
          <t>Yes</t>
        </is>
      </c>
      <c r="K193" s="4" t="inlineStr">
        <is>
          <t>Include</t>
        </is>
      </c>
      <c r="L193" s="4" t="inlineStr">
        <is>
          <t>Texto abierto evaluable revisado; extracción RQ disponible.</t>
        </is>
      </c>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J16"/>
  <sheetViews>
    <sheetView showGridLines="0" workbookViewId="0">
      <selection activeCell="A1" sqref="A1"/>
    </sheetView>
  </sheetViews>
  <sheetFormatPr baseColWidth="8" defaultRowHeight="15"/>
  <cols>
    <col width="14" customWidth="1" min="1" max="1"/>
    <col width="14" customWidth="1" min="2" max="2"/>
    <col width="14" customWidth="1" min="3" max="3"/>
    <col width="55" customWidth="1" min="4" max="4"/>
    <col width="44" customWidth="1" min="5" max="5"/>
    <col width="28" customWidth="1" min="6" max="6"/>
    <col width="20" customWidth="1" min="7" max="7"/>
    <col width="44" customWidth="1" min="8" max="8"/>
    <col width="17" customWidth="1" min="9" max="9"/>
    <col width="65" customWidth="1" min="10" max="10"/>
  </cols>
  <sheetData>
    <row r="1" ht="52" customHeight="1">
      <c r="A1" s="6" t="inlineStr">
        <is>
          <t>cohort</t>
        </is>
      </c>
      <c r="B1" s="6" t="inlineStr">
        <is>
          <t>bib_index</t>
        </is>
      </c>
      <c r="C1" s="6" t="inlineStr">
        <is>
          <t>study_id_276</t>
        </is>
      </c>
      <c r="D1" s="6" t="inlineStr">
        <is>
          <t>title</t>
        </is>
      </c>
      <c r="E1" s="6" t="inlineStr">
        <is>
          <t>article_DOI</t>
        </is>
      </c>
      <c r="F1" s="6" t="inlineStr">
        <is>
          <t>integrity_status</t>
        </is>
      </c>
      <c r="G1" s="6" t="inlineStr">
        <is>
          <t>screening_effect</t>
        </is>
      </c>
      <c r="H1" s="6" t="inlineStr">
        <is>
          <t>source_URL</t>
        </is>
      </c>
      <c r="I1" s="39" t="inlineStr">
        <is>
          <t>verified_date</t>
        </is>
      </c>
      <c r="J1" s="6" t="inlineStr">
        <is>
          <t>note</t>
        </is>
      </c>
    </row>
    <row r="2" ht="47" customHeight="1">
      <c r="A2" s="4" t="inlineStr">
        <is>
          <t>Base 276</t>
        </is>
      </c>
      <c r="B2" s="4" t="n"/>
      <c r="C2" s="4" t="n">
        <v>11</v>
      </c>
      <c r="D2" s="4" t="inlineStr">
        <is>
          <t>Data Mining-Based Model for Computer-Aided Diagnosis of Autism and Gelotophobia: Mixed Methods Deep Learning Approach</t>
        </is>
      </c>
      <c r="E2" s="4" t="inlineStr">
        <is>
          <t>10.2196/72115</t>
        </is>
      </c>
      <c r="F2" s="4" t="inlineStr">
        <is>
          <t>Expression of Concern</t>
        </is>
      </c>
      <c r="G2" s="4" t="inlineStr">
        <is>
          <t>Included in base corpus with flag; N unchanged</t>
        </is>
      </c>
      <c r="H2" s="4" t="inlineStr">
        <is>
          <t>https://formative.jmir.org/2026/1/e91833</t>
        </is>
      </c>
      <c r="I2" s="40" t="n">
        <v>46240</v>
      </c>
      <c r="J2" s="4" t="inlineStr">
        <is>
          <t>The journal states that the dataset validity is under investigation.</t>
        </is>
      </c>
    </row>
    <row r="3" ht="47" customHeight="1">
      <c r="A3" s="4" t="inlineStr">
        <is>
          <t>Update 2026</t>
        </is>
      </c>
      <c r="B3" s="4" t="n">
        <v>125</v>
      </c>
      <c r="C3" s="4" t="n"/>
      <c r="D3" s="4" t="inlineStr">
        <is>
          <t>Identification of critical brain regions for autism diagnosis from fMRI data using explainable AI: an observational analysis of the ABIDE dataset</t>
        </is>
      </c>
      <c r="E3" s="4" t="inlineStr">
        <is>
          <t>10.1016/j.eclinm.2025.103452</t>
        </is>
      </c>
      <c r="F3" s="4" t="inlineStr">
        <is>
          <t>Expression of Concern</t>
        </is>
      </c>
      <c r="G3" s="4" t="inlineStr">
        <is>
          <t>Provisional include with explicit flag</t>
        </is>
      </c>
      <c r="H3" s="4" t="inlineStr">
        <is>
          <t>https://www.sciencedirect.com/science/article/pii/S2589537026003056</t>
        </is>
      </c>
      <c r="I3" s="40" t="n">
        <v>46240</v>
      </c>
      <c r="J3" s="4" t="inlineStr">
        <is>
          <t>Full text meets the scientific scope, but the subsequent editorial notice affects interpretation of performance and XAI findings.</t>
        </is>
      </c>
    </row>
    <row r="4" ht="60" customHeight="1">
      <c r="A4" s="4" t="inlineStr">
        <is>
          <t>Update 2026</t>
        </is>
      </c>
      <c r="B4" s="4" t="n">
        <v>26</v>
      </c>
      <c r="C4" s="4" t="n"/>
      <c r="D4" s="4" t="inlineStr">
        <is>
          <t>Code Error in “Diagnostic Classification and Prognostic Prediction Using Common Genetic Variants in Autism Spectrum Disorder: Genotype-Based Deep Learning”</t>
        </is>
      </c>
      <c r="E4" s="4" t="inlineStr">
        <is>
          <t>10.2196/66556</t>
        </is>
      </c>
      <c r="F4" s="4" t="inlineStr">
        <is>
          <t>Code error notice</t>
        </is>
      </c>
      <c r="G4" s="4" t="inlineStr">
        <is>
          <t>Excluded as an integrity-related editorial record or retracted article</t>
        </is>
      </c>
      <c r="H4" s="4" t="inlineStr">
        <is>
          <t>https://www.sciencedirect.com/science/article/pii/S2291969425000845</t>
        </is>
      </c>
      <c r="I4" s="40" t="n"/>
      <c r="J4" s="4" t="inlineStr">
        <is>
          <t>Aviso editorial, corrección, retirada, retractación o artículo retractado; no constituye un estudio nuevo incorporable.</t>
        </is>
      </c>
    </row>
    <row r="5" ht="60" customHeight="1">
      <c r="A5" s="4" t="inlineStr">
        <is>
          <t>Update 2026</t>
        </is>
      </c>
      <c r="B5" s="4" t="n">
        <v>79</v>
      </c>
      <c r="C5" s="4" t="n">
        <v>11</v>
      </c>
      <c r="D5" s="4" t="inlineStr">
        <is>
          <t>Expression of Concern: Data Mining–Based Model for Computer-Aided Diagnosis of Autism and Gelotophobia: Mixed Methods Deep Learning Approach (JMIR Formative Research (2025) 9 (e72115) DOI: 10.2196/72115)</t>
        </is>
      </c>
      <c r="E5" s="4" t="inlineStr">
        <is>
          <t>10.2196/91833</t>
        </is>
      </c>
      <c r="F5" s="4" t="inlineStr">
        <is>
          <t>Expression of Concern notice</t>
        </is>
      </c>
      <c r="G5" s="4" t="inlineStr">
        <is>
          <t>Excluded as an integrity-related editorial record or retracted article</t>
        </is>
      </c>
      <c r="H5" s="4" t="inlineStr">
        <is>
          <t>https://formative.jmir.org/2026/1/e91833</t>
        </is>
      </c>
      <c r="I5" s="40" t="n">
        <v>46240</v>
      </c>
      <c r="J5" s="4" t="inlineStr">
        <is>
          <t>Es la expresión de preocupación del artículo DOI 10.2196/72115, ya incluido en los 276; no es un estudio adicional.</t>
        </is>
      </c>
    </row>
    <row r="6" ht="73" customHeight="1">
      <c r="A6" s="4" t="inlineStr">
        <is>
          <t>Update 2026</t>
        </is>
      </c>
      <c r="B6" s="4" t="n">
        <v>175</v>
      </c>
      <c r="C6" s="4" t="n"/>
      <c r="D6" s="4" t="inlineStr">
        <is>
          <t>Removal notice to “Machine learning in automated diagnosis of autism spectrum disorder: a comprehensive review”(Computer Science Review, (2025), 56, C, (100730), (S1574013725000073), 10.1016/j.cosrev.2025.100730)</t>
        </is>
      </c>
      <c r="E6" s="4" t="inlineStr">
        <is>
          <t>10.1016/j.cosrev.2026.100959</t>
        </is>
      </c>
      <c r="F6" s="4" t="inlineStr">
        <is>
          <t>Removal notice</t>
        </is>
      </c>
      <c r="G6" s="4" t="inlineStr">
        <is>
          <t>Excluded as an integrity-related editorial record or retracted article</t>
        </is>
      </c>
      <c r="H6" s="4" t="inlineStr">
        <is>
          <t>https://www.sciencedirect.com/science/article/pii/S1574013726000675</t>
        </is>
      </c>
      <c r="I6" s="40" t="n"/>
      <c r="J6" s="4" t="inlineStr">
        <is>
          <t>Aviso editorial, corrección, retirada, retractación o artículo retractado; no constituye un estudio nuevo incorporable.</t>
        </is>
      </c>
    </row>
    <row r="7" ht="60" customHeight="1">
      <c r="A7" s="4" t="inlineStr">
        <is>
          <t>Update 2026</t>
        </is>
      </c>
      <c r="B7" s="4" t="n">
        <v>184</v>
      </c>
      <c r="C7" s="4" t="n"/>
      <c r="D7" s="4" t="inlineStr">
        <is>
          <t>Expression of Concern on "A deep learning algorithm-based visual strategy intervention study for children with autism spectrum disorders - extraction and detection of children's behavioral features".</t>
        </is>
      </c>
      <c r="E7" s="4" t="inlineStr">
        <is>
          <t>10.26355/eurrev_202603_37714</t>
        </is>
      </c>
      <c r="F7" s="4" t="inlineStr">
        <is>
          <t>Expression of Concern notice</t>
        </is>
      </c>
      <c r="G7" s="4" t="inlineStr">
        <is>
          <t>Excluded as an integrity-related editorial record or retracted article</t>
        </is>
      </c>
      <c r="H7" s="4" t="inlineStr">
        <is>
          <t>http://www.ncbi.nlm.nih.gov/pubmed/41925352</t>
        </is>
      </c>
      <c r="I7" s="40" t="n"/>
      <c r="J7" s="4" t="inlineStr">
        <is>
          <t>Aviso editorial, corrección, retirada, retractación o artículo retractado; no constituye un estudio nuevo incorporable.</t>
        </is>
      </c>
    </row>
    <row r="8" ht="60" customHeight="1">
      <c r="A8" s="4" t="inlineStr">
        <is>
          <t>Update 2026</t>
        </is>
      </c>
      <c r="B8" s="4" t="n">
        <v>196</v>
      </c>
      <c r="C8" s="4" t="n"/>
      <c r="D8" s="4" t="inlineStr">
        <is>
          <t>Can artificial intelligence and face recognition using deep learning detect emotions in children with autism?</t>
        </is>
      </c>
      <c r="E8" s="4" t="inlineStr">
        <is>
          <t>10.1371/journal.pone.0338701</t>
        </is>
      </c>
      <c r="F8" s="4" t="inlineStr">
        <is>
          <t>Retracted article</t>
        </is>
      </c>
      <c r="G8" s="4" t="inlineStr">
        <is>
          <t>Excluded as an integrity-related editorial record or retracted article</t>
        </is>
      </c>
      <c r="H8" s="4" t="inlineStr">
        <is>
          <t>https://journals.plos.org/plosone/article?id=10.1371/journal.pone.0338701</t>
        </is>
      </c>
      <c r="I8" s="40" t="n">
        <v>46240</v>
      </c>
      <c r="J8" s="4" t="inlineStr">
        <is>
          <t>El editor marca el artículo como RETRACTED y retiró su contenido por problemas de ética y validez del conjunto de datos.</t>
        </is>
      </c>
    </row>
    <row r="9" ht="60" customHeight="1">
      <c r="A9" s="4" t="inlineStr">
        <is>
          <t>Update 2026</t>
        </is>
      </c>
      <c r="B9" s="4" t="n">
        <v>201</v>
      </c>
      <c r="C9" s="4" t="n"/>
      <c r="D9" s="4" t="inlineStr">
        <is>
          <t>Retraction: Can artificial intelligence and face recognition using deep learning detect emotions in children with autism?</t>
        </is>
      </c>
      <c r="E9" s="4" t="inlineStr">
        <is>
          <t>10.1371/JOURNAL.PONE.0340338</t>
        </is>
      </c>
      <c r="F9" s="4" t="inlineStr">
        <is>
          <t>Retraction notice</t>
        </is>
      </c>
      <c r="G9" s="4" t="inlineStr">
        <is>
          <t>Excluded as an integrity-related editorial record or retracted article</t>
        </is>
      </c>
      <c r="H9" s="4" t="inlineStr">
        <is>
          <t>https://journals.plos.org/plosone/article?id=10.1371/journal.pone.0340338</t>
        </is>
      </c>
      <c r="I9" s="40" t="n">
        <v>46240</v>
      </c>
      <c r="J9" s="4" t="inlineStr">
        <is>
          <t>Aviso formal de retractación del registro 196; no es un estudio adicional.</t>
        </is>
      </c>
    </row>
    <row r="10" ht="60" customHeight="1">
      <c r="A10" s="4" t="inlineStr">
        <is>
          <t>Update 2026</t>
        </is>
      </c>
      <c r="B10" s="4" t="n">
        <v>232</v>
      </c>
      <c r="C10" s="4" t="n"/>
      <c r="D10" s="4" t="inlineStr">
        <is>
          <t>Retraction: Comparing automated and non-automated machine learning for autism spectrum disorders classification using facial images (ETRI Journal, (2022), 44, 4, (613-623), 10.4218/etrij.2021-0097)</t>
        </is>
      </c>
      <c r="E10" s="4" t="inlineStr">
        <is>
          <t>10.4218/ETR2.70112</t>
        </is>
      </c>
      <c r="F10" s="4" t="inlineStr">
        <is>
          <t>Retraction notice</t>
        </is>
      </c>
      <c r="G10" s="4" t="inlineStr">
        <is>
          <t>Excluded as an integrity-related editorial record or retracted article</t>
        </is>
      </c>
      <c r="H10" s="4" t="inlineStr">
        <is>
          <t>https://doi.org/10.4218/ETR2.70112</t>
        </is>
      </c>
      <c r="I10" s="40" t="n"/>
      <c r="J10" s="4" t="inlineStr">
        <is>
          <t>Aviso editorial, corrección, retirada, retractación o artículo retractado; no constituye un estudio nuevo incorporable.</t>
        </is>
      </c>
    </row>
    <row r="11" ht="73" customHeight="1">
      <c r="A11" s="4" t="inlineStr">
        <is>
          <t>Update 2026</t>
        </is>
      </c>
      <c r="B11" s="4" t="n">
        <v>283</v>
      </c>
      <c r="C11" s="4" t="n"/>
      <c r="D11" s="4" t="inlineStr">
        <is>
          <t>Corrigendum to “Predicting autistic traits, anxiety and depression symptoms using camouflaging autistic traits questionnaire (CAT-Q-ES): A machine learning study” [Research in Autism 128 (2025) 202712] (Research in Autism (2025) 128, (S3050656525001841),…</t>
        </is>
      </c>
      <c r="E11" s="4" t="inlineStr">
        <is>
          <t>10.1016/j.reia.2026.202910</t>
        </is>
      </c>
      <c r="F11" s="4" t="inlineStr">
        <is>
          <t>Corrigendum</t>
        </is>
      </c>
      <c r="G11" s="4" t="inlineStr">
        <is>
          <t>Excluded as an integrity-related editorial record or retracted article</t>
        </is>
      </c>
      <c r="H11" s="4" t="inlineStr">
        <is>
          <t>https://www.sciencedirect.com/science/article/pii/S3050656526001240</t>
        </is>
      </c>
      <c r="I11" s="40" t="n"/>
      <c r="J11" s="4" t="inlineStr">
        <is>
          <t>Aviso editorial, corrección, retirada, retractación o artículo retractado; no constituye un estudio nuevo incorporable.</t>
        </is>
      </c>
    </row>
    <row r="12" ht="73" customHeight="1">
      <c r="A12" s="4" t="inlineStr">
        <is>
          <t>Update 2026</t>
        </is>
      </c>
      <c r="B12" s="4" t="n">
        <v>308</v>
      </c>
      <c r="C12" s="4" t="n"/>
      <c r="D12" s="4" t="inlineStr">
        <is>
          <t>Removal notice to “Deep learning with image-based autism spectrum disorder analysis: a systematic review”(Engineering Applications of Artificial Intelligence, (2024), 127, PA, (107185), (S0952197623013696), 10.1016/j.engappai.2023.107185)</t>
        </is>
      </c>
      <c r="E12" s="4" t="inlineStr">
        <is>
          <t>10.1016/j.engappai.2026.114266</t>
        </is>
      </c>
      <c r="F12" s="4" t="inlineStr">
        <is>
          <t>Removal notice</t>
        </is>
      </c>
      <c r="G12" s="4" t="inlineStr">
        <is>
          <t>Excluded as an integrity-related editorial record or retracted article</t>
        </is>
      </c>
      <c r="H12" s="4" t="inlineStr">
        <is>
          <t>https://www.sciencedirect.com/science/article/pii/S0952197626005476</t>
        </is>
      </c>
      <c r="I12" s="40" t="n"/>
      <c r="J12" s="4" t="inlineStr">
        <is>
          <t>Aviso editorial, corrección, retirada, retractación o artículo retractado; no constituye un estudio nuevo incorporable.</t>
        </is>
      </c>
    </row>
    <row r="13" ht="73" customHeight="1">
      <c r="A13" s="4" t="inlineStr">
        <is>
          <t>Update 2026</t>
        </is>
      </c>
      <c r="B13" s="4" t="n">
        <v>322</v>
      </c>
      <c r="C13" s="4" t="n"/>
      <c r="D13" s="4" t="inlineStr">
        <is>
          <t>Removal notice to “The emergence of artificial intelligence in autism spectrum disorder research: A review of neuro imaging and behavioral applications”(Computer Science Review, (2025), 56, C, (100718), (S1574013724001011), 10.1016/j.cosrev.2024.100718)</t>
        </is>
      </c>
      <c r="E13" s="4" t="inlineStr">
        <is>
          <t>10.1016/j.cosrev.2026.100977</t>
        </is>
      </c>
      <c r="F13" s="4" t="inlineStr">
        <is>
          <t>Removal notice</t>
        </is>
      </c>
      <c r="G13" s="4" t="inlineStr">
        <is>
          <t>Excluded as an integrity-related editorial record or retracted article</t>
        </is>
      </c>
      <c r="H13" s="4" t="inlineStr">
        <is>
          <t>https://www.sciencedirect.com/science/article/pii/S1574013726000857</t>
        </is>
      </c>
      <c r="I13" s="40" t="n"/>
      <c r="J13" s="4" t="inlineStr">
        <is>
          <t>Aviso editorial, corrección, retirada, retractación o artículo retractado; no constituye un estudio nuevo incorporable.</t>
        </is>
      </c>
    </row>
    <row r="14" ht="60" customHeight="1">
      <c r="A14" s="4" t="inlineStr">
        <is>
          <t>Update 2026</t>
        </is>
      </c>
      <c r="B14" s="4" t="n">
        <v>377</v>
      </c>
      <c r="C14" s="4" t="n"/>
      <c r="D14" s="4" t="inlineStr">
        <is>
          <t>Expression of concernâ€”Identification of critical brain regions for autism diagnosis from fMRI data using explainable AI: an observational analysis of the ABIDE dataset</t>
        </is>
      </c>
      <c r="E14" s="4" t="inlineStr">
        <is>
          <t>10.1016/j.eclinm.2026.104052</t>
        </is>
      </c>
      <c r="F14" s="4" t="inlineStr">
        <is>
          <t>Expression of Concern notice</t>
        </is>
      </c>
      <c r="G14" s="4" t="inlineStr">
        <is>
          <t>Excluded as an integrity-related editorial record or retracted article</t>
        </is>
      </c>
      <c r="H14" s="4" t="inlineStr">
        <is>
          <t>https://www.sciencedirect.com/science/article/pii/S2589537026003056</t>
        </is>
      </c>
      <c r="I14" s="40" t="n">
        <v>46240</v>
      </c>
      <c r="J14" s="4" t="inlineStr">
        <is>
          <t>Aviso editorial, corrección, retirada, retractación o artículo retractado; no constituye un estudio nuevo incorporable.</t>
        </is>
      </c>
    </row>
    <row r="15" ht="60" customHeight="1">
      <c r="A15" s="4" t="inlineStr">
        <is>
          <t>Update 2026</t>
        </is>
      </c>
      <c r="B15" s="4" t="n">
        <v>369</v>
      </c>
      <c r="C15" s="4" t="n"/>
      <c r="D15" s="4" t="inlineStr">
        <is>
          <t>Hybrid deep learning model for autism spectrum disorder diagnosis</t>
        </is>
      </c>
      <c r="E15" s="4" t="inlineStr">
        <is>
          <t>10.1038/s41598-025-28819-4</t>
        </is>
      </c>
      <c r="F15" s="4" t="inlineStr">
        <is>
          <t>Retracted article</t>
        </is>
      </c>
      <c r="G15" s="4" t="inlineStr">
        <is>
          <t>Excluded as an integrity-related editorial record or retracted article</t>
        </is>
      </c>
      <c r="H15" s="4" t="inlineStr">
        <is>
          <t>https://www.nature.com/articles/s41598-025-28819-4</t>
        </is>
      </c>
      <c r="I15" s="40" t="n">
        <v>46269</v>
      </c>
      <c r="J15" s="4" t="inlineStr">
        <is>
          <t>Scientific Reports retracted the article on 2 March 2026 because the facial-image data of minors were non-curated/unverifiable and lacked documented ethical oversight and consent; the editors/publisher no longer have confidence in the article.</t>
        </is>
      </c>
    </row>
    <row r="16" ht="60" customHeight="1">
      <c r="A16" s="4" t="inlineStr">
        <is>
          <t>Update 2026</t>
        </is>
      </c>
      <c r="B16" s="4" t="n">
        <v>409</v>
      </c>
      <c r="C16" s="4" t="n"/>
      <c r="D16" s="4" t="inlineStr">
        <is>
          <t>Assessing the Efficacy of Deep Learning Algorithms for Behavioral and Neurological Markers in Autism Diagnosis in Children</t>
        </is>
      </c>
      <c r="E16" s="4" t="inlineStr">
        <is>
          <t>10.1007/978-981-96-6297-5_20</t>
        </is>
      </c>
      <c r="F16" s="4" t="inlineStr">
        <is>
          <t>Retracted chapter</t>
        </is>
      </c>
      <c r="G16" s="4" t="inlineStr">
        <is>
          <t>Excluded as an integrity-related retracted article or chapter</t>
        </is>
      </c>
      <c r="H16" s="4" t="inlineStr">
        <is>
          <t>https://link.springer.com/book/10.1007/978-981-96-6297-5?page=2</t>
        </is>
      </c>
      <c r="I16" s="40" t="n">
        <v>46269</v>
      </c>
      <c r="J16" s="4" t="inlineStr">
        <is>
          <t>Springer marks the record as RETRACTED CHAPTER; the editor retracted and removed it after concerns about images of minors from a non-curated dataset. Excluded under the workbook integrity policy.</t>
        </is>
      </c>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14" customWidth="1" min="1" max="1"/>
    <col width="55" customWidth="1" min="2" max="2"/>
    <col width="20" customWidth="1" min="3" max="3"/>
    <col width="20" customWidth="1" min="4" max="4"/>
    <col width="44" customWidth="1" min="5" max="5"/>
    <col width="17" customWidth="1" min="6" max="6"/>
  </cols>
  <sheetData>
    <row r="1" ht="52" customHeight="1">
      <c r="A1" s="6" t="inlineStr">
        <is>
          <t>bib_index</t>
        </is>
      </c>
      <c r="B1" s="6" t="inlineStr">
        <is>
          <t>título_exportado</t>
        </is>
      </c>
      <c r="C1" s="6" t="inlineStr">
        <is>
          <t>resultado_de_verificación</t>
        </is>
      </c>
      <c r="D1" s="6" t="inlineStr">
        <is>
          <t>decisión</t>
        </is>
      </c>
      <c r="E1" s="6" t="inlineStr">
        <is>
          <t>URL</t>
        </is>
      </c>
      <c r="F1" s="39" t="inlineStr">
        <is>
          <t>fecha_verificacion_actual</t>
        </is>
      </c>
    </row>
    <row r="2" ht="60" customHeight="1">
      <c r="A2" s="4" t="n">
        <v>8</v>
      </c>
      <c r="B2" s="4" t="inlineStr">
        <is>
          <t>Artificial intelligence in autism spectrum disorder: A path to early detection and improved outcomes</t>
        </is>
      </c>
      <c r="C2" s="4" t="inlineStr">
        <is>
          <t>PubMed clasifica este registro como Letter (PMID 40403676).</t>
        </is>
      </c>
      <c r="D2" s="4" t="inlineStr">
        <is>
          <t>Excluir: publicación secundaria/no empírica</t>
        </is>
      </c>
      <c r="E2" s="4" t="inlineStr">
        <is>
          <t>https://pubmed.ncbi.nlm.nih.gov/40403676/</t>
        </is>
      </c>
      <c r="F2" s="40" t="n"/>
    </row>
    <row r="3" ht="125" customHeight="1">
      <c r="A3" s="4" t="n">
        <v>20</v>
      </c>
      <c r="B3" s="4" t="inlineStr">
        <is>
          <t>Data Mining–Based Model for Computer-Aided Diagnosis of Autism and Gelotophobia: Mixed Methods Deep Learning Approach</t>
        </is>
      </c>
      <c r="C3" s="4" t="inlineStr">
        <is>
          <t>El artículo ya está en los 276 y tiene una expresión de preocupación posterior (DOI 10.2196/91833). No cambia N automáticamente, pero requiere bandera de integridad.</t>
        </is>
      </c>
      <c r="D3" s="4" t="inlineStr">
        <is>
          <t>No agregar: ya está en los 276</t>
        </is>
      </c>
      <c r="E3" s="4" t="inlineStr">
        <is>
          <t>https://formative.jmir.org/2026/1/e91833</t>
        </is>
      </c>
      <c r="F3" s="40" t="n">
        <v>46240</v>
      </c>
    </row>
    <row r="4" ht="99" customHeight="1">
      <c r="A4" s="4" t="n">
        <v>79</v>
      </c>
      <c r="B4" s="4" t="inlineStr">
        <is>
          <t>Expression of Concern: Data Mining–Based Model for Computer-Aided Diagnosis of Autism and Gelotophobia: Mixed Methods Deep Learning Approach (JMIR Formative Research (2025) 9 (e72115) DOI: 10.2196/72115)</t>
        </is>
      </c>
      <c r="C4" s="4" t="inlineStr">
        <is>
          <t>Es la expresión de preocupación del artículo DOI 10.2196/72115, ya incluido en los 276; no es un estudio adicional.</t>
        </is>
      </c>
      <c r="D4" s="4" t="inlineStr">
        <is>
          <t>Excluir por integridad/tipo de registro</t>
        </is>
      </c>
      <c r="E4" s="4" t="inlineStr">
        <is>
          <t>https://formative.jmir.org/2026/1/e91833</t>
        </is>
      </c>
      <c r="F4" s="40" t="n">
        <v>46240</v>
      </c>
    </row>
    <row r="5" ht="125" customHeight="1">
      <c r="A5" s="4" t="n">
        <v>125</v>
      </c>
      <c r="B5" s="4" t="inlineStr">
        <is>
          <t>Identification of critical brain regions for autism diagnosis from fMRI data using explainable AI: an observational analysis of the ABIDE dataset</t>
        </is>
      </c>
      <c r="C5" s="4" t="inlineStr">
        <is>
          <t>El texto completo confirma un estudio empírico elegible. Existe una expresión de preocupación posterior, por lo que se conserva una bandera de integridad.</t>
        </is>
      </c>
      <c r="D5" s="4" t="inlineStr">
        <is>
          <t>Incluir provisionalmente con alerta de integridad</t>
        </is>
      </c>
      <c r="E5" s="4" t="inlineStr">
        <is>
          <t>https://www.sciencedirect.com/science/article/pii/S2589537026003056</t>
        </is>
      </c>
      <c r="F5" s="40" t="n">
        <v>46240</v>
      </c>
    </row>
    <row r="6" ht="99" customHeight="1">
      <c r="A6" s="4" t="n">
        <v>160</v>
      </c>
      <c r="B6" s="4" t="inlineStr">
        <is>
          <t>LLM-Assisted Annotation Framework for Cross Platform Analysis of Autism Online Communities: Implications for Parent Education and Digital Support (Preprint)</t>
        </is>
      </c>
      <c r="C6" s="4" t="inlineStr">
        <is>
          <t>Verificado como artículo final Original Paper, publicado el 2026-07-10; la etiqueta Preprint de la exportación quedó obsoleta.</t>
        </is>
      </c>
      <c r="D6" s="4" t="inlineStr">
        <is>
          <t>Incluir provisionalmente</t>
        </is>
      </c>
      <c r="E6" s="4" t="inlineStr">
        <is>
          <t>https://www.jmir.org/2026/1/e85290</t>
        </is>
      </c>
      <c r="F6" s="40" t="n"/>
    </row>
    <row r="7" ht="86" customHeight="1">
      <c r="A7" s="4" t="n">
        <v>171</v>
      </c>
      <c r="B7" s="4" t="inlineStr">
        <is>
          <t>Artificial Intelligence Prediction of Individual Treatment Response to Smartphone-Based Mindfulness in Autistic Adults with Anxiety Symptoms: A Randomized Controlled Trial Analysis (Preprint)</t>
        </is>
      </c>
      <c r="C7" s="4" t="inlineStr">
        <is>
          <t>Verificado como artículo final de JMIR AI; la etiqueta Preprint de la exportación quedó obsoleta.</t>
        </is>
      </c>
      <c r="D7" s="4" t="inlineStr">
        <is>
          <t>Incluir provisionalmente</t>
        </is>
      </c>
      <c r="E7" s="4" t="inlineStr">
        <is>
          <t>https://ai.jmir.org/2026/1/e89054</t>
        </is>
      </c>
      <c r="F7" s="40" t="n"/>
    </row>
    <row r="8" ht="86" customHeight="1">
      <c r="A8" s="4" t="n">
        <v>173</v>
      </c>
      <c r="B8" s="4" t="inlineStr">
        <is>
          <t>From Click to Chat: A Comparative, Bilingual Study of Autism-Related Information on Websites and General-Purpose AI Chatbots (Preprint)</t>
        </is>
      </c>
      <c r="C8" s="4" t="inlineStr">
        <is>
          <t>Verificado como artículo final de JMIR Formative Research; la etiqueta Preprint de la exportación quedó obsoleta.</t>
        </is>
      </c>
      <c r="D8" s="4" t="inlineStr">
        <is>
          <t>Incluir provisionalmente</t>
        </is>
      </c>
      <c r="E8" s="4" t="inlineStr">
        <is>
          <t>https://formative.jmir.org/2026/1/e85196</t>
        </is>
      </c>
      <c r="F8" s="40" t="n"/>
    </row>
    <row r="9" ht="99" customHeight="1">
      <c r="A9" s="4" t="n">
        <v>196</v>
      </c>
      <c r="B9" s="4" t="inlineStr">
        <is>
          <t>Can artificial intelligence and face recognition using deep learning detect emotions in children with autism?</t>
        </is>
      </c>
      <c r="C9" s="4" t="inlineStr">
        <is>
          <t>El editor marca el artículo como RETRACTED y retiró su contenido por problemas de ética y validez del conjunto de datos.</t>
        </is>
      </c>
      <c r="D9" s="4" t="inlineStr">
        <is>
          <t>Excluir por integridad/tipo de registro</t>
        </is>
      </c>
      <c r="E9" s="4" t="inlineStr">
        <is>
          <t>https://journals.plos.org/plosone/article?id=10.1371/journal.pone.0338701</t>
        </is>
      </c>
      <c r="F9" s="40" t="n">
        <v>46240</v>
      </c>
    </row>
    <row r="10" ht="60" customHeight="1">
      <c r="A10" s="4" t="n">
        <v>201</v>
      </c>
      <c r="B10" s="4" t="inlineStr">
        <is>
          <t>Retraction: Can artificial intelligence and face recognition using deep learning detect emotions in children with autism?</t>
        </is>
      </c>
      <c r="C10" s="4" t="inlineStr">
        <is>
          <t>Aviso formal de retractación del registro 196; no es un estudio adicional.</t>
        </is>
      </c>
      <c r="D10" s="4" t="inlineStr">
        <is>
          <t>Excluir por integridad/tipo de registro</t>
        </is>
      </c>
      <c r="E10" s="4" t="inlineStr">
        <is>
          <t>https://journals.plos.org/plosone/article?id=10.1371/journal.pone.0340338</t>
        </is>
      </c>
      <c r="F10" s="40" t="n">
        <v>46240</v>
      </c>
    </row>
    <row r="11" ht="125" customHeight="1">
      <c r="A11" s="4" t="n">
        <v>211</v>
      </c>
      <c r="B11" s="4" t="inlineStr">
        <is>
          <t>Predicting Autism</t>
        </is>
      </c>
      <c r="C11" s="4" t="inlineStr">
        <is>
          <t>Wiley identifica el registro como capítulo autónomo de un libro editado. Aunque describe modelado, el tipo de publicación queda fuera del protocolo final.</t>
        </is>
      </c>
      <c r="D11" s="4" t="inlineStr">
        <is>
          <t>Excluir: tipo de publicación no elegible</t>
        </is>
      </c>
      <c r="E11" s="4" t="inlineStr">
        <is>
          <t>https://onlinelibrary.wiley.com/doi/10.1002/9781394271177.ch13</t>
        </is>
      </c>
      <c r="F11" s="40" t="n">
        <v>46272</v>
      </c>
    </row>
    <row r="12" ht="125" customHeight="1">
      <c r="A12" s="4" t="n">
        <v>251</v>
      </c>
      <c r="B12" s="4" t="inlineStr">
        <is>
          <t>Leveraging Deep Learning for Early Detection of Autism Spectrum Disorder in Augmented and Virtual Reality Mental Healthcare Environments</t>
        </is>
      </c>
      <c r="C12" s="4" t="inlineStr">
        <is>
          <t>Wiley identifica el registro como Chapter 6 de un libro editado. La posible presencia de implementación/experimentos no modifica la exclusión por tipo de publicación.</t>
        </is>
      </c>
      <c r="D12" s="4" t="inlineStr">
        <is>
          <t>Excluir: tipo de publicación no elegible</t>
        </is>
      </c>
      <c r="E12" s="4" t="inlineStr">
        <is>
          <t>https://onlinelibrary.wiley.com/doi/10.1002/9781394302864.ch6</t>
        </is>
      </c>
      <c r="F12" s="40" t="n">
        <v>46272</v>
      </c>
    </row>
    <row r="13" ht="138" customHeight="1">
      <c r="A13" s="4" t="n">
        <v>279</v>
      </c>
      <c r="B13" s="4" t="inlineStr">
        <is>
          <t>Composite AI for Predictive Analysis of Autism Spectrum Disorder Using Facial Features</t>
        </is>
      </c>
      <c r="C13" s="4" t="inlineStr">
        <is>
          <t>El editor identifica el registro como Chapter 12 de un libro editado. El capítulo parece empírico, pero los capítulos autónomos de libro no son un tipo elegible bajo el protocolo final.</t>
        </is>
      </c>
      <c r="D13" s="4" t="inlineStr">
        <is>
          <t>Excluir: tipo de publicación no elegible</t>
        </is>
      </c>
      <c r="E13" s="4" t="inlineStr">
        <is>
          <t>https://scrivenerpublishing.com/cart/title.php?id=1248</t>
        </is>
      </c>
      <c r="F13" s="40" t="n">
        <v>46272</v>
      </c>
    </row>
    <row r="14" ht="60" customHeight="1">
      <c r="A14" s="4" t="n">
        <v>348</v>
      </c>
      <c r="B14" s="4" t="inlineStr">
        <is>
          <t>Enhancing diagnostic precision in autism spectrum disorder: Integrating POV technology with expanded behavioral markers</t>
        </is>
      </c>
      <c r="C14" s="4" t="inlineStr">
        <is>
          <t>PubMed clasifica este registro como Letter (PMID 42061089).</t>
        </is>
      </c>
      <c r="D14" s="4" t="inlineStr">
        <is>
          <t>Excluir: publicación secundaria/no empírica</t>
        </is>
      </c>
      <c r="E14" s="4" t="inlineStr">
        <is>
          <t>https://pubmed.ncbi.nlm.nih.gov/42061089/</t>
        </is>
      </c>
      <c r="F14" s="40" t="n"/>
    </row>
    <row r="15" ht="151" customHeight="1">
      <c r="A15" s="4" t="n">
        <v>379</v>
      </c>
      <c r="B15" s="4" t="inlineStr">
        <is>
          <t>Advaning Early Autism Detection and Enhancing Diagnostic Accuracy with Deep Learning Models</t>
        </is>
      </c>
      <c r="C15" s="4" t="inlineStr">
        <is>
          <t>La página oficial de Springer proporciona el resumen suficiente para excluirlo por publicación secundaria: el propio texto indica que revisa sistemáticamente distintos enfoques de aprendizaje profundo.</t>
        </is>
      </c>
      <c r="D15" s="4" t="inlineStr">
        <is>
          <t>Excluir: publicación secundaria/no empírica</t>
        </is>
      </c>
      <c r="E15" s="4" t="inlineStr">
        <is>
          <t>https://link.springer.com/chapter/10.1007/978-3-032-03558-5_4</t>
        </is>
      </c>
      <c r="F15" s="40" t="n">
        <v>46267</v>
      </c>
    </row>
    <row r="16" ht="60" customHeight="1">
      <c r="A16" s="4" t="n">
        <v>385</v>
      </c>
      <c r="B16" s="4" t="inlineStr">
        <is>
          <t>Artificial intelligence-assisted autism screening and its implications for public health policy in Indonesia</t>
        </is>
      </c>
      <c r="C16" s="4" t="inlineStr">
        <is>
          <t>PubMed clasifica este registro como Letter (PMID 42480293).</t>
        </is>
      </c>
      <c r="D16" s="4" t="inlineStr">
        <is>
          <t>Excluir: publicación secundaria/no empírica</t>
        </is>
      </c>
      <c r="E16" s="4" t="inlineStr">
        <is>
          <t>https://pubmed.ncbi.nlm.nih.gov/42480293/</t>
        </is>
      </c>
      <c r="F16" s="40" t="n"/>
    </row>
    <row r="17" ht="138" customHeight="1">
      <c r="A17" s="4" t="n">
        <v>34</v>
      </c>
      <c r="B17" s="4" t="inlineStr">
        <is>
          <t>Diagnosis of autism spectrum disorder—prediction and analysis of enhanced classification model based on machine learning</t>
        </is>
      </c>
      <c r="C17" s="4" t="inlineStr">
        <is>
          <t>ScienceDirect/Elsevier identifica el registro como capítulo de un volumen editado. El contenido empírico es evaluable, pero el tipo de publicación es ineligible bajo el protocolo final.</t>
        </is>
      </c>
      <c r="D17" s="4" t="inlineStr">
        <is>
          <t>Excluir: tipo de publicación no elegible</t>
        </is>
      </c>
      <c r="E17" s="4" t="inlineStr">
        <is>
          <t>https://www.sciencedirect.com/science/chapter/edited-volume/pii/B9780443300806000183</t>
        </is>
      </c>
      <c r="F17" s="40" t="n">
        <v>46272</v>
      </c>
    </row>
    <row r="18" ht="138" customHeight="1">
      <c r="A18" s="4" t="n">
        <v>371</v>
      </c>
      <c r="B18" s="4" t="inlineStr">
        <is>
          <t>A Hybrid CNN-GAT Model for MRI Screening of Autism Spectrum Disorder</t>
        </is>
      </c>
      <c r="C18" s="4" t="inlineStr">
        <is>
          <t>Springer identifica el registro como conference paper y el volumen padre como proceedings de MIND 2024 con full papers revisados por pares; por tanto, el tipo de publicación es elegible.</t>
        </is>
      </c>
      <c r="D18" s="4" t="inlineStr">
        <is>
          <t>Incluir</t>
        </is>
      </c>
      <c r="E18" s="4" t="inlineStr">
        <is>
          <t>https://link.springer.com/chapter/10.1007/978-3-032-14531-4_4</t>
        </is>
      </c>
      <c r="F18" s="40" t="n">
        <v>46272</v>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AC148"/>
  <sheetViews>
    <sheetView showGridLines="0" workbookViewId="0">
      <selection activeCell="A1" sqref="A1"/>
    </sheetView>
  </sheetViews>
  <sheetFormatPr baseColWidth="8" defaultRowHeight="15"/>
  <cols>
    <col width="20" customWidth="1" min="1" max="1"/>
    <col width="14" customWidth="1" min="2" max="2"/>
    <col width="55" customWidth="1" min="3" max="3"/>
    <col width="44"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8"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44" customWidth="1" min="20" max="20"/>
    <col width="65" customWidth="1" min="21" max="21"/>
    <col width="65" customWidth="1" min="22" max="22"/>
    <col width="65" customWidth="1" min="23" max="23"/>
    <col width="20" customWidth="1" min="24" max="24"/>
    <col width="20" customWidth="1" min="25" max="25"/>
    <col width="55" customWidth="1" min="26" max="26"/>
    <col width="20" customWidth="1" min="27" max="27"/>
    <col width="20" customWidth="1" min="28" max="28"/>
    <col width="20" customWidth="1" min="29" max="29"/>
  </cols>
  <sheetData>
    <row r="1" ht="52" customHeight="1">
      <c r="A1" s="6" t="inlineStr">
        <is>
          <t>lote_origen</t>
        </is>
      </c>
      <c r="B1" s="6" t="inlineStr">
        <is>
          <t>bib_index</t>
        </is>
      </c>
      <c r="C1" s="6" t="inlineStr">
        <is>
          <t>título</t>
        </is>
      </c>
      <c r="D1" s="6" t="inlineStr">
        <is>
          <t>DOI</t>
        </is>
      </c>
      <c r="E1" s="6" t="inlineStr">
        <is>
          <t>nivel_fuente</t>
        </is>
      </c>
      <c r="F1" s="6" t="inlineStr">
        <is>
          <t>estado_lote</t>
        </is>
      </c>
      <c r="G1" s="6" t="inlineStr">
        <is>
          <t>decisión_full_text</t>
        </is>
      </c>
      <c r="H1" s="6" t="inlineStr">
        <is>
          <t>data_source_primary</t>
        </is>
      </c>
      <c r="I1" s="6" t="inlineStr">
        <is>
          <t>ai_type</t>
        </is>
      </c>
      <c r="J1" s="6" t="inlineStr">
        <is>
          <t>ai_algorithm_main</t>
        </is>
      </c>
      <c r="K1" s="6" t="inlineStr">
        <is>
          <t>stage_primary</t>
        </is>
      </c>
      <c r="L1" s="6" t="inlineStr">
        <is>
          <t>rq2_integration_status</t>
        </is>
      </c>
      <c r="M1" s="6" t="inlineStr">
        <is>
          <t>q3_external_validation</t>
        </is>
      </c>
      <c r="N1" s="6" t="inlineStr">
        <is>
          <t>q3_multisite_dataset</t>
        </is>
      </c>
      <c r="O1" s="6" t="inlineStr">
        <is>
          <t>q3_cross_site_robustness</t>
        </is>
      </c>
      <c r="P1" s="6" t="inlineStr">
        <is>
          <t>q3_prospective_evaluation</t>
        </is>
      </c>
      <c r="Q1" s="6" t="inlineStr">
        <is>
          <t>q3_xai_strict</t>
        </is>
      </c>
      <c r="R1" s="6" t="inlineStr">
        <is>
          <t>q3_xai_partial</t>
        </is>
      </c>
      <c r="S1" s="6" t="inlineStr">
        <is>
          <t>q3_multisource_data</t>
        </is>
      </c>
      <c r="T1" s="6" t="inlineStr">
        <is>
          <t>fuente_texto</t>
        </is>
      </c>
      <c r="U1" s="6" t="inlineStr">
        <is>
          <t>hallazgo_clave</t>
        </is>
      </c>
      <c r="V1" s="6" t="inlineStr">
        <is>
          <t>limitación_metodológica</t>
        </is>
      </c>
      <c r="W1" s="6" t="inlineStr">
        <is>
          <t>acción_manual</t>
        </is>
      </c>
      <c r="X1" s="6" t="inlineStr">
        <is>
          <t>prioridad_manual</t>
        </is>
      </c>
      <c r="Y1" s="6" t="inlineStr">
        <is>
          <t>nota_control</t>
        </is>
      </c>
      <c r="Z1" s="6" t="inlineStr">
        <is>
          <t>titulo</t>
        </is>
      </c>
      <c r="AA1" s="6" t="inlineStr">
        <is>
          <t>decision_full_text</t>
        </is>
      </c>
      <c r="AB1" s="6" t="inlineStr">
        <is>
          <t>limitacion_metodologica</t>
        </is>
      </c>
      <c r="AC1" s="6" t="inlineStr">
        <is>
          <t>accion_manual</t>
        </is>
      </c>
    </row>
    <row r="2" ht="99" customHeight="1">
      <c r="A2" s="4" t="inlineStr">
        <is>
          <t>Lote_01_25</t>
        </is>
      </c>
      <c r="B2" s="4" t="n">
        <v>1</v>
      </c>
      <c r="C2" s="4" t="inlineStr">
        <is>
          <t>A novel thermal imaging-based framework for continuous ASD classification and behavior analysis using facial mood and skin temperature features</t>
        </is>
      </c>
      <c r="D2" s="4" t="inlineStr">
        <is>
          <t>10.1016/j.bspc.2024.107009</t>
        </is>
      </c>
      <c r="E2" s="4" t="inlineStr">
        <is>
          <t>Texto del artículo indexado por el editor; se recuperaron secciones suficientes de metodología, resultados y conclusión</t>
        </is>
      </c>
      <c r="F2" s="4" t="inlineStr">
        <is>
          <t>Cerrado: texto suficiente revisado</t>
        </is>
      </c>
      <c r="G2" s="4" t="inlineStr">
        <is>
          <t>Include</t>
        </is>
      </c>
      <c r="H2" s="4" t="inlineStr">
        <is>
          <t>Thermal facial imaging / skin temperature</t>
        </is>
      </c>
      <c r="I2" s="4" t="inlineStr">
        <is>
          <t>Hybrid</t>
        </is>
      </c>
      <c r="J2" s="4" t="inlineStr">
        <is>
          <t>DN-FME + Random Forest/SVM severity classifiers</t>
        </is>
      </c>
      <c r="K2" s="4" t="inlineStr">
        <is>
          <t>Monitoring/intervention</t>
        </is>
      </c>
      <c r="L2" s="4" t="inlineStr">
        <is>
          <t>Proposed only</t>
        </is>
      </c>
      <c r="M2" s="4" t="n">
        <v>0</v>
      </c>
      <c r="N2" s="4" t="n">
        <v>0</v>
      </c>
      <c r="O2" s="4" t="n">
        <v>0</v>
      </c>
      <c r="P2" s="4" t="n">
        <v>0</v>
      </c>
      <c r="Q2" s="4" t="n">
        <v>0</v>
      </c>
      <c r="R2" s="4" t="n">
        <v>0</v>
      </c>
      <c r="S2" s="4" t="n">
        <v>0</v>
      </c>
      <c r="T2" s="4" t="inlineStr">
        <is>
          <t>https://www.sciencedirect.com/science/article/pii/S174680942401067X</t>
        </is>
      </c>
      <c r="U2" s="4" t="inlineStr">
        <is>
          <t>El marco extrae estado afectivo y temperatura cutánea de imágenes térmicas; DN-FME reporta 96.39% de accuracy y RF/SVM 98.33% para clasificación de severidad.</t>
        </is>
      </c>
      <c r="V2" s="4" t="inlineStr">
        <is>
          <t>La propuesta de ajustar dosis farmacológica no fue evaluada como intervención clínica prospectiva en el texto recuperado; debe tratarse como integración propuesta, no como eficacia clínica demostrada.</t>
        </is>
      </c>
      <c r="W2" s="4" t="inlineStr">
        <is>
          <t>Verificación independiente del revisor humano antes del cierre final</t>
        </is>
      </c>
      <c r="X2" s="4" t="inlineStr">
        <is>
          <t>Media</t>
        </is>
      </c>
      <c r="Y2" s="4" t="inlineStr">
        <is>
          <t>No sustituye la segunda revisión humana definida en el protocolo.</t>
        </is>
      </c>
      <c r="Z2" s="4" t="n"/>
      <c r="AA2" s="4" t="n"/>
      <c r="AB2" s="4" t="n"/>
      <c r="AC2" s="4" t="n"/>
    </row>
    <row r="3" ht="73" customHeight="1">
      <c r="A3" s="4" t="inlineStr">
        <is>
          <t>Lote_01_25</t>
        </is>
      </c>
      <c r="B3" s="4" t="n">
        <v>3</v>
      </c>
      <c r="C3" s="4" t="inlineStr">
        <is>
          <t>Efficient machine learning models across multiple datasets for autism spectrum disorder diagnoses</t>
        </is>
      </c>
      <c r="D3" s="4" t="inlineStr">
        <is>
          <t>10.1016/j.bspc.2024.106949</t>
        </is>
      </c>
      <c r="E3" s="4" t="inlineStr">
        <is>
          <t>Texto del artículo indexado por el editor; metodología/resultados suficientemente recuperados</t>
        </is>
      </c>
      <c r="F3" s="4" t="inlineStr">
        <is>
          <t>Cerrado: texto suficiente revisado</t>
        </is>
      </c>
      <c r="G3" s="4" t="inlineStr">
        <is>
          <t>Include</t>
        </is>
      </c>
      <c r="H3" s="4" t="inlineStr">
        <is>
          <t>Structured behavioral / demographic screening datasets</t>
        </is>
      </c>
      <c r="I3" s="4" t="inlineStr">
        <is>
          <t>Machine Learning</t>
        </is>
      </c>
      <c r="J3" s="4" t="inlineStr">
        <is>
          <t>AutoML/ensemble framework (27 ML models; voting/bagging)</t>
        </is>
      </c>
      <c r="K3" s="4" t="inlineStr">
        <is>
          <t>Screening</t>
        </is>
      </c>
      <c r="L3" s="4" t="inlineStr">
        <is>
          <t>Research only</t>
        </is>
      </c>
      <c r="M3" s="4" t="n">
        <v>0</v>
      </c>
      <c r="N3" s="4" t="n">
        <v>0</v>
      </c>
      <c r="O3" s="4" t="n">
        <v>0</v>
      </c>
      <c r="P3" s="4" t="n">
        <v>0</v>
      </c>
      <c r="Q3" s="4" t="n">
        <v>0</v>
      </c>
      <c r="R3" s="4" t="n">
        <v>0</v>
      </c>
      <c r="S3" s="4" t="n">
        <v>0</v>
      </c>
      <c r="T3" s="4" t="inlineStr">
        <is>
          <t>https://www.sciencedirect.com/science/article/pii/S1746809424010073</t>
        </is>
      </c>
      <c r="U3" s="4" t="inlineStr">
        <is>
          <t>ASDD evalúa 27 modelos y herramientas AutoML sobre siete datasets y un dataset combinado; varios resultados llegan a 100% de accuracy/F1.</t>
        </is>
      </c>
      <c r="V3" s="4" t="inlineStr">
        <is>
          <t>Los resultados perfectos exigen cautela. No se identificó una validación externa fija en un cohort/dataset independiente del proceso de desarrollo; múltiples datasets no equivalen automáticamente a external validation.</t>
        </is>
      </c>
      <c r="W3" s="4" t="inlineStr">
        <is>
          <t>Verificación independiente del revisor humano antes del cierre final</t>
        </is>
      </c>
      <c r="X3" s="4" t="inlineStr">
        <is>
          <t>Media</t>
        </is>
      </c>
      <c r="Y3" s="4" t="inlineStr">
        <is>
          <t>No sustituye la segunda revisión humana definida en el protocolo.</t>
        </is>
      </c>
      <c r="Z3" s="4" t="n"/>
      <c r="AA3" s="4" t="n"/>
      <c r="AB3" s="4" t="n"/>
      <c r="AC3" s="4" t="n"/>
    </row>
    <row r="4" ht="73" customHeight="1">
      <c r="A4" s="4" t="inlineStr">
        <is>
          <t>Lote_01_25</t>
        </is>
      </c>
      <c r="B4" s="4" t="n">
        <v>4</v>
      </c>
      <c r="C4" s="4" t="inlineStr">
        <is>
          <t>EmoLand: Utilizing narrative animations, multilevel games, and affective computing to foster emotional development in children with autism spectrum disorder</t>
        </is>
      </c>
      <c r="D4" s="4" t="inlineStr">
        <is>
          <t>10.1016/j.ijhcs.2025.103486</t>
        </is>
      </c>
      <c r="E4" s="4" t="inlineStr">
        <is>
          <t>Texto completo compartido por autores</t>
        </is>
      </c>
      <c r="F4" s="4" t="inlineStr">
        <is>
          <t>Cerrado: texto suficiente revisado</t>
        </is>
      </c>
      <c r="G4" s="4" t="inlineStr">
        <is>
          <t>Include</t>
        </is>
      </c>
      <c r="H4" s="4" t="inlineStr">
        <is>
          <t>Behavioral video / facial expressions</t>
        </is>
      </c>
      <c r="I4" s="4" t="inlineStr">
        <is>
          <t>Deep Learning</t>
        </is>
      </c>
      <c r="J4" s="4" t="inlineStr">
        <is>
          <t>CNN facial-expression recognition</t>
        </is>
      </c>
      <c r="K4" s="4" t="inlineStr">
        <is>
          <t>Monitoring/intervention</t>
        </is>
      </c>
      <c r="L4" s="4" t="inlineStr">
        <is>
          <t>Confirmed in care delivery</t>
        </is>
      </c>
      <c r="M4" s="4" t="n">
        <v>0</v>
      </c>
      <c r="N4" s="4" t="n">
        <v>0</v>
      </c>
      <c r="O4" s="4" t="n">
        <v>0</v>
      </c>
      <c r="P4" s="4" t="n">
        <v>1</v>
      </c>
      <c r="Q4" s="4" t="n">
        <v>0</v>
      </c>
      <c r="R4" s="4" t="n">
        <v>0</v>
      </c>
      <c r="S4" s="4" t="n">
        <v>0</v>
      </c>
      <c r="T4" s="4" t="inlineStr">
        <is>
          <t>https://www.researchgate.net/publication/389491878_EmoLand_Utilizing_Narrative_Animations_Multilevel_Games_and_Affective_Computing_to_Foster_Emotional_Development_in_Children_with_Autism_Spectrum_Disorder</t>
        </is>
      </c>
      <c r="U4" s="4" t="inlineStr">
        <is>
          <t>Evaluación de campo de 3 semanas en escuela especial: 12 niños con ASD, 5 tutores, 330 clips revisados; el módulo de feedback afectivo reporta 97.6% de acierto.</t>
        </is>
      </c>
      <c r="V4" s="4" t="inlineStr">
        <is>
          <t>Muestra pequeña y evaluación breve. La precisión del módulo de feedback no debe confundirse con eficacia clínica de largo plazo.</t>
        </is>
      </c>
      <c r="W4" s="4" t="inlineStr">
        <is>
          <t>Verificación independiente del revisor humano antes del cierre final</t>
        </is>
      </c>
      <c r="X4" s="4" t="inlineStr">
        <is>
          <t>Media</t>
        </is>
      </c>
      <c r="Y4" s="4" t="inlineStr">
        <is>
          <t>No sustituye la segunda revisión humana definida en el protocolo.</t>
        </is>
      </c>
      <c r="Z4" s="4" t="n"/>
      <c r="AA4" s="4" t="n"/>
      <c r="AB4" s="4" t="n"/>
      <c r="AC4" s="4" t="n"/>
    </row>
    <row r="5" ht="73" customHeight="1">
      <c r="A5" s="4" t="inlineStr">
        <is>
          <t>Lote_01_25</t>
        </is>
      </c>
      <c r="B5" s="4" t="n">
        <v>5</v>
      </c>
      <c r="C5" s="4" t="inlineStr">
        <is>
          <t>An exploration of machine learning approaches for early Autism Spectrum Disorder detection</t>
        </is>
      </c>
      <c r="D5" s="4" t="inlineStr">
        <is>
          <t>10.1016/j.health.2024.100379</t>
        </is>
      </c>
      <c r="E5" s="4" t="inlineStr">
        <is>
          <t>Abstract/metadata del editor; ubicación OA conocida, PDF completo no recuperado en este entorno</t>
        </is>
      </c>
      <c r="F5" s="4" t="inlineStr">
        <is>
          <t>Pendiente: texto completo insuficiente</t>
        </is>
      </c>
      <c r="G5" s="4" t="inlineStr">
        <is>
          <t>Pending adjudication</t>
        </is>
      </c>
      <c r="H5" s="4" t="n"/>
      <c r="I5" s="4" t="n"/>
      <c r="J5" s="4" t="n"/>
      <c r="K5" s="4" t="n"/>
      <c r="L5" s="4" t="n"/>
      <c r="M5" s="4" t="n"/>
      <c r="N5" s="4" t="n"/>
      <c r="O5" s="4" t="n"/>
      <c r="P5" s="4" t="n"/>
      <c r="Q5" s="4" t="n"/>
      <c r="R5" s="4" t="n"/>
      <c r="S5" s="4" t="n"/>
      <c r="T5" s="4" t="inlineStr">
        <is>
          <t>https://www.sciencedirect.com/science/article/pii/S2772442524000819</t>
        </is>
      </c>
      <c r="U5" s="4" t="inlineStr">
        <is>
          <t>No se adjudicó con abstract solamente.</t>
        </is>
      </c>
      <c r="V5" s="4" t="inlineStr">
        <is>
          <t>Sin Methods/Results completos no es fiable codificar RQ2/RQ3 ni cerrar elegibilidad.</t>
        </is>
      </c>
      <c r="W5" s="4" t="inlineStr">
        <is>
          <t>Abrir/descargar el PDF OA desde el navegador o acceso institucional y revisar Methods/Results; en este entorno solo se recuperó abstract/metadata, por lo que no se adjudicó.</t>
        </is>
      </c>
      <c r="X5" s="4" t="inlineStr">
        <is>
          <t>Alta</t>
        </is>
      </c>
      <c r="Y5" s="4" t="inlineStr">
        <is>
          <t>Acceso: OA. Se mantiene como report located, no como report not retrieved.</t>
        </is>
      </c>
      <c r="Z5" s="4" t="n"/>
      <c r="AA5" s="4" t="n"/>
      <c r="AB5" s="4" t="n"/>
      <c r="AC5" s="4" t="n"/>
    </row>
    <row r="6" ht="73" customHeight="1">
      <c r="A6" s="4" t="inlineStr">
        <is>
          <t>Lote_01_25</t>
        </is>
      </c>
      <c r="B6" s="4" t="n">
        <v>7</v>
      </c>
      <c r="C6" s="4" t="inlineStr">
        <is>
          <t>Hybrid optimization enabled DenseNet for autism spectrum disorders using MRI image</t>
        </is>
      </c>
      <c r="D6" s="4" t="inlineStr">
        <is>
          <t>10.1016/j.compbiolchem.2024.108335</t>
        </is>
      </c>
      <c r="E6" s="4" t="inlineStr">
        <is>
          <t>Texto del artículo indexado por el editor; se recuperaron metodología/resultados/conclusión</t>
        </is>
      </c>
      <c r="F6" s="4" t="inlineStr">
        <is>
          <t>Cerrado: texto suficiente revisado</t>
        </is>
      </c>
      <c r="G6" s="4" t="inlineStr">
        <is>
          <t>Include</t>
        </is>
      </c>
      <c r="H6" s="4" t="inlineStr">
        <is>
          <t>Neuroimaging (MRI / ABIDE-derived brain imaging)</t>
        </is>
      </c>
      <c r="I6" s="4" t="inlineStr">
        <is>
          <t>Deep Learning</t>
        </is>
      </c>
      <c r="J6" s="4" t="inlineStr">
        <is>
          <t>JSTO-optimized DenseNet</t>
        </is>
      </c>
      <c r="K6" s="4" t="inlineStr">
        <is>
          <t>Diagnosis</t>
        </is>
      </c>
      <c r="L6" s="4" t="inlineStr">
        <is>
          <t>Research only</t>
        </is>
      </c>
      <c r="M6" s="4" t="n">
        <v>0</v>
      </c>
      <c r="N6" s="4" t="n">
        <v>0</v>
      </c>
      <c r="O6" s="4" t="n">
        <v>0</v>
      </c>
      <c r="P6" s="4" t="n">
        <v>0</v>
      </c>
      <c r="Q6" s="4" t="n">
        <v>0</v>
      </c>
      <c r="R6" s="4" t="n">
        <v>0</v>
      </c>
      <c r="S6" s="4" t="n">
        <v>0</v>
      </c>
      <c r="T6" s="4" t="inlineStr">
        <is>
          <t>https://www.sciencedirect.com/science/article/pii/S1476927124003232</t>
        </is>
      </c>
      <c r="U6" s="4" t="inlineStr">
        <is>
          <t>Pipeline con preprocesamiento MRI, extracción ROI/rasgos y DenseNet optimizado con JSTO; reporta accuracy de 94.8%.</t>
        </is>
      </c>
      <c r="V6" s="4" t="inlineStr">
        <is>
          <t>No se identificó validación externa independiente. Además, el texto indexado reporta FNR/FPR que parecen incompatibles con TPR/TNR simultáneamente reportados bajo definiciones estándar; requiere comprobación de tabla en verificación independiente.</t>
        </is>
      </c>
      <c r="W6" s="4" t="inlineStr">
        <is>
          <t>Verificación independiente del revisor humano antes del cierre final</t>
        </is>
      </c>
      <c r="X6" s="4" t="inlineStr">
        <is>
          <t>Media</t>
        </is>
      </c>
      <c r="Y6" s="4" t="inlineStr">
        <is>
          <t>No sustituye la segunda revisión humana definida en el protocolo.</t>
        </is>
      </c>
      <c r="Z6" s="4" t="n"/>
      <c r="AA6" s="4" t="n"/>
      <c r="AB6" s="4" t="n"/>
      <c r="AC6" s="4" t="n"/>
    </row>
    <row r="7" ht="73" customHeight="1">
      <c r="A7" s="4" t="inlineStr">
        <is>
          <t>Lote_01_25</t>
        </is>
      </c>
      <c r="B7" s="4" t="n">
        <v>11</v>
      </c>
      <c r="C7" s="4" t="inlineStr">
        <is>
          <t>Ensembler_fMRI: An Intelligent Approach for the Early Prediction of Autism Disorder</t>
        </is>
      </c>
      <c r="D7" s="4" t="inlineStr">
        <is>
          <t>10.1016/j.procs.2025.04.142</t>
        </is>
      </c>
      <c r="E7" s="4" t="inlineStr">
        <is>
          <t>Abstract/metadata del editor; ubicación OA conocida, PDF completo no recuperado en este entorno</t>
        </is>
      </c>
      <c r="F7" s="4" t="inlineStr">
        <is>
          <t>Pendiente: texto completo insuficiente</t>
        </is>
      </c>
      <c r="G7" s="4" t="inlineStr">
        <is>
          <t>Pending adjudication</t>
        </is>
      </c>
      <c r="H7" s="4" t="n"/>
      <c r="I7" s="4" t="n"/>
      <c r="J7" s="4" t="n"/>
      <c r="K7" s="4" t="n"/>
      <c r="L7" s="4" t="n"/>
      <c r="M7" s="4" t="n"/>
      <c r="N7" s="4" t="n"/>
      <c r="O7" s="4" t="n"/>
      <c r="P7" s="4" t="n"/>
      <c r="Q7" s="4" t="n"/>
      <c r="R7" s="4" t="n"/>
      <c r="S7" s="4" t="n"/>
      <c r="T7" s="4" t="inlineStr">
        <is>
          <t>https://www.sciencedirect.com/science/article/pii/S187705092501244X</t>
        </is>
      </c>
      <c r="U7" s="4" t="inlineStr">
        <is>
          <t>No se adjudicó con abstract solamente.</t>
        </is>
      </c>
      <c r="V7" s="4" t="inlineStr">
        <is>
          <t>Sin Methods/Results completos no es fiable codificar RQ2/RQ3 ni cerrar elegibilidad.</t>
        </is>
      </c>
      <c r="W7" s="4" t="inlineStr">
        <is>
          <t>Abrir/descargar el PDF OA desde el navegador o acceso institucional y revisar Methods/Results; en este entorno solo se recuperó abstract/metadata, por lo que no se adjudicó.</t>
        </is>
      </c>
      <c r="X7" s="4" t="inlineStr">
        <is>
          <t>Alta</t>
        </is>
      </c>
      <c r="Y7" s="4" t="inlineStr">
        <is>
          <t>Acceso: OA. Se mantiene como report located, no como report not retrieved.</t>
        </is>
      </c>
      <c r="Z7" s="4" t="n"/>
      <c r="AA7" s="4" t="n"/>
      <c r="AB7" s="4" t="n"/>
      <c r="AC7" s="4" t="n"/>
    </row>
    <row r="8" ht="73" customHeight="1">
      <c r="A8" s="4" t="inlineStr">
        <is>
          <t>Lote_01_25</t>
        </is>
      </c>
      <c r="B8" s="4" t="n">
        <v>15</v>
      </c>
      <c r="C8" s="4" t="inlineStr">
        <is>
          <t>MCBERT: A multi-modal framework for the diagnosis of autism spectrum disorder</t>
        </is>
      </c>
      <c r="D8" s="4" t="inlineStr">
        <is>
          <t>10.1016/j.biopsycho.2024.108976</t>
        </is>
      </c>
      <c r="E8" s="4" t="inlineStr">
        <is>
          <t>Texto del artículo indexado por el editor; arquitectura, experimento y LOSO recuperados</t>
        </is>
      </c>
      <c r="F8" s="4" t="inlineStr">
        <is>
          <t>Cerrado: texto suficiente revisado</t>
        </is>
      </c>
      <c r="G8" s="4" t="inlineStr">
        <is>
          <t>Include</t>
        </is>
      </c>
      <c r="H8" s="4" t="inlineStr">
        <is>
          <t>Multimodal (brain MRI + phenotypic/meta-features)</t>
        </is>
      </c>
      <c r="I8" s="4" t="inlineStr">
        <is>
          <t>Deep Learning</t>
        </is>
      </c>
      <c r="J8" s="4" t="inlineStr">
        <is>
          <t>MCBERT (multi-head CNN + BERT with spatial/channel attention)</t>
        </is>
      </c>
      <c r="K8" s="4" t="inlineStr">
        <is>
          <t>Diagnosis</t>
        </is>
      </c>
      <c r="L8" s="4" t="inlineStr">
        <is>
          <t>Research only</t>
        </is>
      </c>
      <c r="M8" s="4" t="n">
        <v>1</v>
      </c>
      <c r="N8" s="4" t="n">
        <v>1</v>
      </c>
      <c r="O8" s="4" t="n">
        <v>1</v>
      </c>
      <c r="P8" s="4" t="n">
        <v>0</v>
      </c>
      <c r="Q8" s="4" t="n">
        <v>0</v>
      </c>
      <c r="R8" s="4" t="n">
        <v>0</v>
      </c>
      <c r="S8" s="4" t="n">
        <v>1</v>
      </c>
      <c r="T8" s="4" t="inlineStr">
        <is>
          <t>https://www.sciencedirect.com/science/article/pii/S0301051124002369</t>
        </is>
      </c>
      <c r="U8" s="4" t="inlineStr">
        <is>
          <t>MCBERT fusiona MRI y meta-features en ABIDE-I y usa leave-one-site-out; se reporta accuracy máxima de 93.4%.</t>
        </is>
      </c>
      <c r="V8" s="4" t="inlineStr">
        <is>
          <t>LOSO sí aporta evaluación entre sitios y se codifica como external/site-held-out validation. El uso de atención arquitectónica no se contabilizó como XAI porque no se identificó una evaluación explícita de explicaciones.</t>
        </is>
      </c>
      <c r="W8" s="4" t="inlineStr">
        <is>
          <t>Verificación independiente del revisor humano antes del cierre final</t>
        </is>
      </c>
      <c r="X8" s="4" t="inlineStr">
        <is>
          <t>Media</t>
        </is>
      </c>
      <c r="Y8" s="4" t="inlineStr">
        <is>
          <t>No sustituye la segunda revisión humana definida en el protocolo.</t>
        </is>
      </c>
      <c r="Z8" s="4" t="n"/>
      <c r="AA8" s="4" t="n"/>
      <c r="AB8" s="4" t="n"/>
      <c r="AC8" s="4" t="n"/>
    </row>
    <row r="9" ht="73" customHeight="1">
      <c r="A9" s="4" t="inlineStr">
        <is>
          <t>Lote_01_25</t>
        </is>
      </c>
      <c r="B9" s="4" t="n">
        <v>16</v>
      </c>
      <c r="C9" s="4" t="inlineStr">
        <is>
          <t>Unraveling pathogenesis and potential biomarkers for autism spectrum disorder associated with HIF1A pathway based on machine learning and experiment validation</t>
        </is>
      </c>
      <c r="D9" s="4" t="inlineStr">
        <is>
          <t>10.1016/j.nbd.2024.106763</t>
        </is>
      </c>
      <c r="E9" s="4" t="inlineStr">
        <is>
          <t>Abstract/metadata del editor; ubicación OA conocida, PDF completo no recuperado en este entorno</t>
        </is>
      </c>
      <c r="F9" s="4" t="inlineStr">
        <is>
          <t>Pendiente: texto completo insuficiente</t>
        </is>
      </c>
      <c r="G9" s="4" t="inlineStr">
        <is>
          <t>Pending adjudication</t>
        </is>
      </c>
      <c r="H9" s="4" t="n"/>
      <c r="I9" s="4" t="n"/>
      <c r="J9" s="4" t="n"/>
      <c r="K9" s="4" t="n"/>
      <c r="L9" s="4" t="n"/>
      <c r="M9" s="4" t="n"/>
      <c r="N9" s="4" t="n"/>
      <c r="O9" s="4" t="n"/>
      <c r="P9" s="4" t="n"/>
      <c r="Q9" s="4" t="n"/>
      <c r="R9" s="4" t="n"/>
      <c r="S9" s="4" t="n"/>
      <c r="T9" s="4" t="inlineStr">
        <is>
          <t>https://www.sciencedirect.com/science/article/pii/S0969996124003656</t>
        </is>
      </c>
      <c r="U9" s="4" t="inlineStr">
        <is>
          <t>No se adjudicó con abstract solamente.</t>
        </is>
      </c>
      <c r="V9" s="4" t="inlineStr">
        <is>
          <t>Sin Methods/Results completos no es fiable codificar RQ2/RQ3 ni cerrar elegibilidad.</t>
        </is>
      </c>
      <c r="W9" s="4" t="inlineStr">
        <is>
          <t>Abrir/descargar el PDF OA desde el navegador o acceso institucional y revisar Methods/Results; en este entorno solo se recuperó abstract/metadata, por lo que no se adjudicó.</t>
        </is>
      </c>
      <c r="X9" s="4" t="inlineStr">
        <is>
          <t>Alta</t>
        </is>
      </c>
      <c r="Y9" s="4" t="inlineStr">
        <is>
          <t>Acceso: OA. Se mantiene como report located, no como report not retrieved.</t>
        </is>
      </c>
      <c r="Z9" s="4" t="n"/>
      <c r="AA9" s="4" t="n"/>
      <c r="AB9" s="4" t="n"/>
      <c r="AC9" s="4" t="n"/>
    </row>
    <row r="10" ht="86" customHeight="1">
      <c r="A10" s="4" t="inlineStr">
        <is>
          <t>Lote_01_25</t>
        </is>
      </c>
      <c r="B10" s="4" t="n">
        <v>21</v>
      </c>
      <c r="C10" s="4" t="inlineStr">
        <is>
          <t>Screening biomarkers for autism spectrum disorder using plasma proteomics combined with machine learning methods</t>
        </is>
      </c>
      <c r="D10" s="4" t="inlineStr">
        <is>
          <t>10.1016/j.cca.2024.120018</t>
        </is>
      </c>
      <c r="E10" s="4" t="inlineStr">
        <is>
          <t>Texto del artículo indexado por el editor; materiales/métodos y validación independiente recuperados</t>
        </is>
      </c>
      <c r="F10" s="4" t="inlineStr">
        <is>
          <t>Cerrado: texto suficiente revisado</t>
        </is>
      </c>
      <c r="G10" s="4" t="inlineStr">
        <is>
          <t>Include</t>
        </is>
      </c>
      <c r="H10" s="4" t="inlineStr">
        <is>
          <t>Biological/omics (plasma proteomics)</t>
        </is>
      </c>
      <c r="I10" s="4" t="inlineStr">
        <is>
          <t>Machine Learning</t>
        </is>
      </c>
      <c r="J10" s="4" t="inlineStr">
        <is>
          <t>Machine-learning biomarker selection pipeline</t>
        </is>
      </c>
      <c r="K10" s="4" t="inlineStr">
        <is>
          <t>Screening</t>
        </is>
      </c>
      <c r="L10" s="4" t="inlineStr">
        <is>
          <t>Research only</t>
        </is>
      </c>
      <c r="M10" s="4" t="n">
        <v>1</v>
      </c>
      <c r="N10" s="4" t="n">
        <v>0</v>
      </c>
      <c r="O10" s="4" t="n">
        <v>0</v>
      </c>
      <c r="P10" s="4" t="n">
        <v>0</v>
      </c>
      <c r="Q10" s="4" t="n">
        <v>0</v>
      </c>
      <c r="R10" s="4" t="n">
        <v>0</v>
      </c>
      <c r="S10" s="4" t="n">
        <v>0</v>
      </c>
      <c r="T10" s="4" t="inlineStr">
        <is>
          <t>https://www.sciencedirect.com/science/article/pii/S000989812402271X</t>
        </is>
      </c>
      <c r="U10" s="4" t="inlineStr">
        <is>
          <t>SWATH-MS en 30 ASD vs controles seleccionó biomarcadores mediante ML; un grupo independiente adicional de 30 ASD vs controles fue validado por MRM. Panel de 4 proteínas: AUC 0.8087.</t>
        </is>
      </c>
      <c r="V10" s="4" t="inlineStr">
        <is>
          <t>La validación independiente fortalece el biomarcador, pero parece provenir del mismo entorno institucional y no demuestra generalización cross-site.</t>
        </is>
      </c>
      <c r="W10" s="4" t="inlineStr">
        <is>
          <t>Verificación independiente del revisor humano antes del cierre final</t>
        </is>
      </c>
      <c r="X10" s="4" t="inlineStr">
        <is>
          <t>Media</t>
        </is>
      </c>
      <c r="Y10" s="4" t="inlineStr">
        <is>
          <t>No sustituye la segunda revisión humana definida en el protocolo.</t>
        </is>
      </c>
      <c r="Z10" s="4" t="n"/>
      <c r="AA10" s="4" t="n"/>
      <c r="AB10" s="4" t="n"/>
      <c r="AC10" s="4" t="n"/>
    </row>
    <row r="11" ht="60" customHeight="1">
      <c r="A11" s="4" t="inlineStr">
        <is>
          <t>Lote_01_25</t>
        </is>
      </c>
      <c r="B11" s="4" t="n">
        <v>23</v>
      </c>
      <c r="C11" s="4" t="inlineStr">
        <is>
          <t>Introducing 3DCNN ResNets for ASD full-body kinematic assessment: A comparison with hand-crafted features</t>
        </is>
      </c>
      <c r="D11" s="4" t="inlineStr">
        <is>
          <t>10.1016/j.eswa.2024.126295</t>
        </is>
      </c>
      <c r="E11" s="4" t="inlineStr">
        <is>
          <t>PDF completo en repositorio institucional UPV</t>
        </is>
      </c>
      <c r="F11" s="4" t="inlineStr">
        <is>
          <t>Cerrado: texto suficiente revisado</t>
        </is>
      </c>
      <c r="G11" s="4" t="inlineStr">
        <is>
          <t>Include</t>
        </is>
      </c>
      <c r="H11" s="4" t="inlineStr">
        <is>
          <t>Behavioral motor kinematics / full-body motion</t>
        </is>
      </c>
      <c r="I11" s="4" t="inlineStr">
        <is>
          <t>Deep Learning</t>
        </is>
      </c>
      <c r="J11" s="4" t="inlineStr">
        <is>
          <t>PoseConv3D / SlowOnly 3D CNN-ResNet</t>
        </is>
      </c>
      <c r="K11" s="4" t="inlineStr">
        <is>
          <t>Diagnosis</t>
        </is>
      </c>
      <c r="L11" s="4" t="inlineStr">
        <is>
          <t>Research only</t>
        </is>
      </c>
      <c r="M11" s="4" t="n">
        <v>0</v>
      </c>
      <c r="N11" s="4" t="n">
        <v>0</v>
      </c>
      <c r="O11" s="4" t="n">
        <v>0</v>
      </c>
      <c r="P11" s="4" t="n">
        <v>0</v>
      </c>
      <c r="Q11" s="4" t="n">
        <v>1</v>
      </c>
      <c r="R11" s="4" t="n">
        <v>0</v>
      </c>
      <c r="S11" s="4" t="n">
        <v>0</v>
      </c>
      <c r="T11" s="4" t="inlineStr">
        <is>
          <t>https://riunet.upv.es/bitstreams/7dfd9135-24ed-4b77-af02-6141eb544c60/download</t>
        </is>
      </c>
      <c r="U11" s="4" t="inlineStr">
        <is>
          <t>n=81 (42 TD, 39 ASD); validación anidada repetida separada por sujeto; compara modelos end-to-end 3D CNN-ResNet con rasgos manuales y aplica SHAP.</t>
        </is>
      </c>
      <c r="V11" s="4" t="inlineStr">
        <is>
          <t>La validación interna está bien protegida contra mezcla de sujetos, pero el tamaño muestral sigue siendo pequeño y no existe cohorte externa independiente.</t>
        </is>
      </c>
      <c r="W11" s="4" t="inlineStr">
        <is>
          <t>Verificación independiente del revisor humano antes del cierre final</t>
        </is>
      </c>
      <c r="X11" s="4" t="inlineStr">
        <is>
          <t>Media</t>
        </is>
      </c>
      <c r="Y11" s="4" t="inlineStr">
        <is>
          <t>No sustituye la segunda revisión humana definida en el protocolo.</t>
        </is>
      </c>
      <c r="Z11" s="4" t="n"/>
      <c r="AA11" s="4" t="n"/>
      <c r="AB11" s="4" t="n"/>
      <c r="AC11" s="4" t="n"/>
    </row>
    <row r="12" ht="73" customHeight="1">
      <c r="A12" s="4" t="inlineStr">
        <is>
          <t>Lote_01_25</t>
        </is>
      </c>
      <c r="B12" s="4" t="n">
        <v>27</v>
      </c>
      <c r="C12" s="4" t="inlineStr">
        <is>
          <t>Developing a simplified measure to predict the risk of autism spectrum disorders: Abbreviating the M-CHAT-R using a machine learning approach in China</t>
        </is>
      </c>
      <c r="D12" s="4" t="inlineStr">
        <is>
          <t>10.1016/j.psychres.2025.116353</t>
        </is>
      </c>
      <c r="E12" s="4" t="inlineStr">
        <is>
          <t>Abstract/metadata del editor; ubicación OA conocida, PDF completo no recuperado en este entorno</t>
        </is>
      </c>
      <c r="F12" s="4" t="inlineStr">
        <is>
          <t>Pendiente: texto completo insuficiente</t>
        </is>
      </c>
      <c r="G12" s="4" t="inlineStr">
        <is>
          <t>Pending adjudication</t>
        </is>
      </c>
      <c r="H12" s="4" t="n"/>
      <c r="I12" s="4" t="n"/>
      <c r="J12" s="4" t="n"/>
      <c r="K12" s="4" t="n"/>
      <c r="L12" s="4" t="n"/>
      <c r="M12" s="4" t="n"/>
      <c r="N12" s="4" t="n"/>
      <c r="O12" s="4" t="n"/>
      <c r="P12" s="4" t="n"/>
      <c r="Q12" s="4" t="n"/>
      <c r="R12" s="4" t="n"/>
      <c r="S12" s="4" t="n"/>
      <c r="T12" s="4" t="inlineStr">
        <is>
          <t>https://www.sciencedirect.com/science/article/pii/S0165178125000022</t>
        </is>
      </c>
      <c r="U12" s="4" t="inlineStr">
        <is>
          <t>No se adjudicó con abstract solamente.</t>
        </is>
      </c>
      <c r="V12" s="4" t="inlineStr">
        <is>
          <t>Sin Methods/Results completos no es fiable codificar RQ2/RQ3 ni cerrar elegibilidad.</t>
        </is>
      </c>
      <c r="W12" s="4" t="inlineStr">
        <is>
          <t>Abrir/descargar el PDF OA desde el navegador o acceso institucional y revisar Methods/Results; en este entorno solo se recuperó abstract/metadata, por lo que no se adjudicó.</t>
        </is>
      </c>
      <c r="X12" s="4" t="inlineStr">
        <is>
          <t>Alta</t>
        </is>
      </c>
      <c r="Y12" s="4" t="inlineStr">
        <is>
          <t>Acceso: OA. Se mantiene como report located, no como report not retrieved.</t>
        </is>
      </c>
      <c r="Z12" s="4" t="n"/>
      <c r="AA12" s="4" t="n"/>
      <c r="AB12" s="4" t="n"/>
      <c r="AC12" s="4" t="n"/>
    </row>
    <row r="13" ht="73" customHeight="1">
      <c r="A13" s="4" t="inlineStr">
        <is>
          <t>Lote_01_25</t>
        </is>
      </c>
      <c r="B13" s="4" t="n">
        <v>31</v>
      </c>
      <c r="C13" s="4" t="inlineStr">
        <is>
          <t>Replication of rs10099100 Association with Autism Spectrum Disorder Risk in a Polish‐Origin Cohort</t>
        </is>
      </c>
      <c r="D13" s="4" t="inlineStr">
        <is>
          <t>10.1016/j.reia.2025.202542</t>
        </is>
      </c>
      <c r="E13" s="4" t="inlineStr">
        <is>
          <t>Abstract/metadata; no se recuperó texto completo evaluable</t>
        </is>
      </c>
      <c r="F13" s="4" t="inlineStr">
        <is>
          <t>Pendiente: texto completo insuficiente</t>
        </is>
      </c>
      <c r="G13" s="4" t="inlineStr">
        <is>
          <t>Pending adjudication</t>
        </is>
      </c>
      <c r="H13" s="4" t="n"/>
      <c r="I13" s="4" t="n"/>
      <c r="J13" s="4" t="n"/>
      <c r="K13" s="4" t="n"/>
      <c r="L13" s="4" t="n"/>
      <c r="M13" s="4" t="n"/>
      <c r="N13" s="4" t="n"/>
      <c r="O13" s="4" t="n"/>
      <c r="P13" s="4" t="n"/>
      <c r="Q13" s="4" t="n"/>
      <c r="R13" s="4" t="n"/>
      <c r="S13" s="4" t="n"/>
      <c r="T13" s="4" t="inlineStr">
        <is>
          <t>https://www.sciencedirect.com/science/article/pii/S3050656525000148</t>
        </is>
      </c>
      <c r="U13" s="4" t="inlineStr">
        <is>
          <t>No se adjudicó con abstract solamente.</t>
        </is>
      </c>
      <c r="V13" s="4" t="inlineStr">
        <is>
          <t>Sin Methods/Results completos no es fiable codificar RQ2/RQ3 ni cerrar elegibilidad.</t>
        </is>
      </c>
      <c r="W13" s="4" t="inlineStr">
        <is>
          <t>Conseguir el texto mediante suscripción institucional, biblioteca o copia de autor; después revisar Methods/Results antes de adjudicar.</t>
        </is>
      </c>
      <c r="X13" s="4" t="inlineStr">
        <is>
          <t>Media-alta</t>
        </is>
      </c>
      <c r="Y13" s="4" t="inlineStr">
        <is>
          <t>Acceso: sin OA identificada. Se mantiene como report located, no como report not retrieved.</t>
        </is>
      </c>
      <c r="Z13" s="4" t="n"/>
      <c r="AA13" s="4" t="n"/>
      <c r="AB13" s="4" t="n"/>
      <c r="AC13" s="4" t="n"/>
    </row>
    <row r="14" ht="73" customHeight="1">
      <c r="A14" s="4" t="inlineStr">
        <is>
          <t>Lote_01_25</t>
        </is>
      </c>
      <c r="B14" s="4" t="n">
        <v>34</v>
      </c>
      <c r="C14" s="4" t="inlineStr">
        <is>
          <t>Diagnosis of autism spectrum disorder—prediction and analysis of enhanced classification model based on machine learning</t>
        </is>
      </c>
      <c r="D14" s="4" t="inlineStr">
        <is>
          <t>10.1016/B978-0-443-30080-6.00018-3</t>
        </is>
      </c>
      <c r="E14" s="4" t="inlineStr">
        <is>
          <t>Abstract/metadata; no se recuperó texto completo evaluable</t>
        </is>
      </c>
      <c r="F14" s="4" t="inlineStr">
        <is>
          <t>Pendiente: texto completo insuficiente</t>
        </is>
      </c>
      <c r="G14" s="4" t="inlineStr">
        <is>
          <t>Pending adjudication</t>
        </is>
      </c>
      <c r="H14" s="4" t="n"/>
      <c r="I14" s="4" t="n"/>
      <c r="J14" s="4" t="n"/>
      <c r="K14" s="4" t="n"/>
      <c r="L14" s="4" t="n"/>
      <c r="M14" s="4" t="n"/>
      <c r="N14" s="4" t="n"/>
      <c r="O14" s="4" t="n"/>
      <c r="P14" s="4" t="n"/>
      <c r="Q14" s="4" t="n"/>
      <c r="R14" s="4" t="n"/>
      <c r="S14" s="4" t="n"/>
      <c r="T14" s="4" t="inlineStr">
        <is>
          <t>https://www.sciencedirect.com/science/article/pii/B9780443300806000183</t>
        </is>
      </c>
      <c r="U14" s="4" t="inlineStr">
        <is>
          <t>No se adjudicó con abstract solamente.</t>
        </is>
      </c>
      <c r="V14" s="4" t="inlineStr">
        <is>
          <t>Sin Methods/Results completos no es fiable codificar RQ2/RQ3 ni cerrar elegibilidad.</t>
        </is>
      </c>
      <c r="W14" s="4" t="inlineStr">
        <is>
          <t>Conseguir el texto mediante suscripción institucional, biblioteca o copia de autor; después revisar Methods/Results antes de adjudicar.</t>
        </is>
      </c>
      <c r="X14" s="4" t="inlineStr">
        <is>
          <t>Media-alta</t>
        </is>
      </c>
      <c r="Y14" s="4" t="inlineStr">
        <is>
          <t>Acceso: sin OA identificada. Se mantiene como report located, no como report not retrieved.</t>
        </is>
      </c>
      <c r="Z14" s="4" t="n"/>
      <c r="AA14" s="4" t="n"/>
      <c r="AB14" s="4" t="n"/>
      <c r="AC14" s="4" t="n"/>
    </row>
    <row r="15" ht="86" customHeight="1">
      <c r="A15" s="4" t="inlineStr">
        <is>
          <t>Lote_01_25</t>
        </is>
      </c>
      <c r="B15" s="4" t="n">
        <v>37</v>
      </c>
      <c r="C15" s="4" t="inlineStr">
        <is>
          <t>Design of adaptive recommendation system for autism children using optimal feature selection-based adaptive dilated 1DCNN-LSTM with attention mechanism</t>
        </is>
      </c>
      <c r="D15" s="4" t="inlineStr">
        <is>
          <t>10.1016/j.eswa.2024.125399</t>
        </is>
      </c>
      <c r="E15" s="4" t="inlineStr">
        <is>
          <t>Texto del artículo indexado por el editor; método, experimento y conclusión suficientemente recuperados</t>
        </is>
      </c>
      <c r="F15" s="4" t="inlineStr">
        <is>
          <t>Cerrado: texto suficiente revisado</t>
        </is>
      </c>
      <c r="G15" s="4" t="inlineStr">
        <is>
          <t>Include</t>
        </is>
      </c>
      <c r="H15" s="4" t="inlineStr">
        <is>
          <t>Not specified</t>
        </is>
      </c>
      <c r="I15" s="4" t="inlineStr">
        <is>
          <t>Deep Learning</t>
        </is>
      </c>
      <c r="J15" s="4" t="inlineStr">
        <is>
          <t>MGSOA-optimized adaptive dilated 1DCNN-LSTM with attention</t>
        </is>
      </c>
      <c r="K15" s="4" t="inlineStr">
        <is>
          <t>Monitoring/intervention</t>
        </is>
      </c>
      <c r="L15" s="4" t="inlineStr">
        <is>
          <t>Proposed only</t>
        </is>
      </c>
      <c r="M15" s="4" t="n">
        <v>0</v>
      </c>
      <c r="N15" s="4" t="n">
        <v>0</v>
      </c>
      <c r="O15" s="4" t="n">
        <v>0</v>
      </c>
      <c r="P15" s="4" t="n">
        <v>0</v>
      </c>
      <c r="Q15" s="4" t="n">
        <v>0</v>
      </c>
      <c r="R15" s="4" t="n">
        <v>0</v>
      </c>
      <c r="S15" s="4" t="n">
        <v>0</v>
      </c>
      <c r="T15" s="4" t="inlineStr">
        <is>
          <t>https://www.sciencedirect.com/science/article/abs/pii/S0957417424022668</t>
        </is>
      </c>
      <c r="U15" s="4" t="inlineStr">
        <is>
          <t>Sistema adaptativo con selección/optimización MGSOA y red dilated 1DCNN-LSTM con atención para detectar estados y recomendar acciones; la evaluación descrita es computacional/simulada.</t>
        </is>
      </c>
      <c r="V15" s="4" t="inlineStr">
        <is>
          <t>No se identificó despliegue real ni evaluación clínica prospectiva; la modalidad primaria de datos no quedó suficientemente especificada para codificarla sin inferencia.</t>
        </is>
      </c>
      <c r="W15" s="4" t="inlineStr">
        <is>
          <t>Verificación independiente del revisor humano antes del cierre final</t>
        </is>
      </c>
      <c r="X15" s="4" t="inlineStr">
        <is>
          <t>Media</t>
        </is>
      </c>
      <c r="Y15" s="4" t="inlineStr">
        <is>
          <t>No sustituye la segunda revisión humana definida en el protocolo.</t>
        </is>
      </c>
      <c r="Z15" s="4" t="n"/>
      <c r="AA15" s="4" t="n"/>
      <c r="AB15" s="4" t="n"/>
      <c r="AC15" s="4" t="n"/>
    </row>
    <row r="16" ht="86" customHeight="1">
      <c r="A16" s="4" t="inlineStr">
        <is>
          <t>Lote_01_25</t>
        </is>
      </c>
      <c r="B16" s="4" t="n">
        <v>38</v>
      </c>
      <c r="C16" s="4" t="inlineStr">
        <is>
          <t>Early detection of autism spectrum disorder using explainable AI and optimized teaching strategies</t>
        </is>
      </c>
      <c r="D16" s="4" t="inlineStr">
        <is>
          <t>10.1016/j.jneumeth.2024.110315</t>
        </is>
      </c>
      <c r="E16" s="4" t="inlineStr">
        <is>
          <t>Artículo indexado con introducción, Materials and methods, Results, Discussion y Conclusion recuperados</t>
        </is>
      </c>
      <c r="F16" s="4" t="inlineStr">
        <is>
          <t>Cerrado: texto suficiente revisado</t>
        </is>
      </c>
      <c r="G16" s="4" t="inlineStr">
        <is>
          <t>Include</t>
        </is>
      </c>
      <c r="H16" s="4" t="inlineStr">
        <is>
          <t>Structured behavioral / screening questionnaire data</t>
        </is>
      </c>
      <c r="I16" s="4" t="inlineStr">
        <is>
          <t>Machine Learning</t>
        </is>
      </c>
      <c r="J16" s="4" t="inlineStr">
        <is>
          <t>LR-SVM soft-voting ensemble with Chi-square feature selection</t>
        </is>
      </c>
      <c r="K16" s="4" t="inlineStr">
        <is>
          <t>Screening</t>
        </is>
      </c>
      <c r="L16" s="4" t="inlineStr">
        <is>
          <t>Proposed only</t>
        </is>
      </c>
      <c r="M16" s="4" t="n">
        <v>0</v>
      </c>
      <c r="N16" s="4" t="n">
        <v>0</v>
      </c>
      <c r="O16" s="4" t="n">
        <v>0</v>
      </c>
      <c r="P16" s="4" t="n">
        <v>0</v>
      </c>
      <c r="Q16" s="4" t="n">
        <v>0</v>
      </c>
      <c r="R16" s="4" t="n">
        <v>1</v>
      </c>
      <c r="S16" s="4" t="n">
        <v>0</v>
      </c>
      <c r="T16" s="4" t="inlineStr">
        <is>
          <t>https://www.sciencedirect.com/science/article/abs/pii/S0165027024002607</t>
        </is>
      </c>
      <c r="U16" s="4" t="inlineStr">
        <is>
          <t>Combina dos datasets de toddlers, usa split 80:20, SMOTE, tres métodos de selección y ensamble LR-SVM; reporta 94% para ASD y 99.29% para estrategia docente.</t>
        </is>
      </c>
      <c r="V16" s="4" t="inlineStr">
        <is>
          <t>Aunque el título usa “explainable AI”, no se identificó SHAP/LIME u otro método XAI formal en el texto recuperado; se codificó solo interpretabilidad parcial por selección de rasgos. No hay validación externa independiente.</t>
        </is>
      </c>
      <c r="W16" s="4" t="inlineStr">
        <is>
          <t>Verificación independiente del revisor humano antes del cierre final</t>
        </is>
      </c>
      <c r="X16" s="4" t="inlineStr">
        <is>
          <t>Media</t>
        </is>
      </c>
      <c r="Y16" s="4" t="inlineStr">
        <is>
          <t>No sustituye la segunda revisión humana definida en el protocolo.</t>
        </is>
      </c>
      <c r="Z16" s="4" t="n"/>
      <c r="AA16" s="4" t="n"/>
      <c r="AB16" s="4" t="n"/>
      <c r="AC16" s="4" t="n"/>
    </row>
    <row r="17" ht="60" customHeight="1">
      <c r="A17" s="4" t="inlineStr">
        <is>
          <t>Lote_01_25</t>
        </is>
      </c>
      <c r="B17" s="4" t="n">
        <v>41</v>
      </c>
      <c r="C17" s="4" t="inlineStr">
        <is>
          <t>A systematic evaluation of autism spectrum disorder identification with Scanpath Trend Analysis (STA)</t>
        </is>
      </c>
      <c r="D17" s="4" t="inlineStr">
        <is>
          <t>10.1016/j.bspc.2024.107414</t>
        </is>
      </c>
      <c r="E17" s="4" t="inlineStr">
        <is>
          <t>Artículo indexado con métodos, resultados y conclusión recuperados</t>
        </is>
      </c>
      <c r="F17" s="4" t="inlineStr">
        <is>
          <t>Cerrado: texto suficiente revisado</t>
        </is>
      </c>
      <c r="G17" s="4" t="inlineStr">
        <is>
          <t>Include</t>
        </is>
      </c>
      <c r="H17" s="4" t="inlineStr">
        <is>
          <t>Eye-tracking / scanpaths</t>
        </is>
      </c>
      <c r="I17" s="4" t="inlineStr">
        <is>
          <t>Machine Learning</t>
        </is>
      </c>
      <c r="J17" s="4" t="inlineStr">
        <is>
          <t>Scanpath Trend Analysis (STA)</t>
        </is>
      </c>
      <c r="K17" s="4" t="inlineStr">
        <is>
          <t>Screening</t>
        </is>
      </c>
      <c r="L17" s="4" t="inlineStr">
        <is>
          <t>Research only</t>
        </is>
      </c>
      <c r="M17" s="4" t="n">
        <v>0</v>
      </c>
      <c r="N17" s="4" t="n">
        <v>0</v>
      </c>
      <c r="O17" s="4" t="n">
        <v>0</v>
      </c>
      <c r="P17" s="4" t="n">
        <v>0</v>
      </c>
      <c r="Q17" s="4" t="n">
        <v>0</v>
      </c>
      <c r="R17" s="4" t="n">
        <v>0</v>
      </c>
      <c r="S17" s="4" t="n">
        <v>0</v>
      </c>
      <c r="T17" s="4" t="inlineStr">
        <is>
          <t>https://www.sciencedirect.com/science/article/pii/S1746809424014721</t>
        </is>
      </c>
      <c r="U17" s="4" t="inlineStr">
        <is>
          <t>Evalúa STA en tres datasets de eye-tracking y diferentes páginas/tareas; obtiene ~60% de éxito, con menor variación que comparadores ML.</t>
        </is>
      </c>
      <c r="V17" s="4" t="inlineStr">
        <is>
          <t>La repetición en tres datasets muestra consistencia del algoritmo, pero no se identificó un esquema de entrenamiento fijo en una cohorte y validación externa en otra; no se codifica external validation.</t>
        </is>
      </c>
      <c r="W17" s="4" t="inlineStr">
        <is>
          <t>Verificación independiente del revisor humano antes del cierre final</t>
        </is>
      </c>
      <c r="X17" s="4" t="inlineStr">
        <is>
          <t>Media</t>
        </is>
      </c>
      <c r="Y17" s="4" t="inlineStr">
        <is>
          <t>No sustituye la segunda revisión humana definida en el protocolo.</t>
        </is>
      </c>
      <c r="Z17" s="4" t="n"/>
      <c r="AA17" s="4" t="n"/>
      <c r="AB17" s="4" t="n"/>
      <c r="AC17" s="4" t="n"/>
    </row>
    <row r="18" ht="73" customHeight="1">
      <c r="A18" s="4" t="inlineStr">
        <is>
          <t>Lote_01_25</t>
        </is>
      </c>
      <c r="B18" s="4" t="n">
        <v>42</v>
      </c>
      <c r="C18" s="4" t="inlineStr">
        <is>
          <t>Enhancing Early Diagnosis of Autism Spectrum Disorder Using a Bayesian-Optimized Random Forest Algorithm</t>
        </is>
      </c>
      <c r="D18" s="4" t="inlineStr">
        <is>
          <t>10.1016/j.procs.2025.04.389</t>
        </is>
      </c>
      <c r="E18" s="4" t="inlineStr">
        <is>
          <t>Abstract/metadata del editor; ubicación OA conocida, PDF completo no recuperado en este entorno</t>
        </is>
      </c>
      <c r="F18" s="4" t="inlineStr">
        <is>
          <t>Pendiente: texto completo insuficiente</t>
        </is>
      </c>
      <c r="G18" s="4" t="inlineStr">
        <is>
          <t>Pending adjudication</t>
        </is>
      </c>
      <c r="H18" s="4" t="n"/>
      <c r="I18" s="4" t="n"/>
      <c r="J18" s="4" t="n"/>
      <c r="K18" s="4" t="n"/>
      <c r="L18" s="4" t="n"/>
      <c r="M18" s="4" t="n"/>
      <c r="N18" s="4" t="n"/>
      <c r="O18" s="4" t="n"/>
      <c r="P18" s="4" t="n"/>
      <c r="Q18" s="4" t="n"/>
      <c r="R18" s="4" t="n"/>
      <c r="S18" s="4" t="n"/>
      <c r="T18" s="4" t="inlineStr">
        <is>
          <t>https://www.sciencedirect.com/science/article/pii/S1877050925014929</t>
        </is>
      </c>
      <c r="U18" s="4" t="inlineStr">
        <is>
          <t>No se adjudicó con abstract solamente.</t>
        </is>
      </c>
      <c r="V18" s="4" t="inlineStr">
        <is>
          <t>Sin Methods/Results completos no es fiable codificar RQ2/RQ3 ni cerrar elegibilidad.</t>
        </is>
      </c>
      <c r="W18" s="4" t="inlineStr">
        <is>
          <t>Abrir/descargar el PDF OA desde el navegador o acceso institucional y revisar Methods/Results; en este entorno solo se recuperó abstract/metadata, por lo que no se adjudicó.</t>
        </is>
      </c>
      <c r="X18" s="4" t="inlineStr">
        <is>
          <t>Alta</t>
        </is>
      </c>
      <c r="Y18" s="4" t="inlineStr">
        <is>
          <t>Acceso: OA. Se mantiene como report located, no como report not retrieved.</t>
        </is>
      </c>
      <c r="Z18" s="4" t="n"/>
      <c r="AA18" s="4" t="n"/>
      <c r="AB18" s="4" t="n"/>
      <c r="AC18" s="4" t="n"/>
    </row>
    <row r="19" ht="73" customHeight="1">
      <c r="A19" s="4" t="inlineStr">
        <is>
          <t>Lote_01_25</t>
        </is>
      </c>
      <c r="B19" s="4" t="n">
        <v>45</v>
      </c>
      <c r="C19" s="4" t="inlineStr">
        <is>
          <t>Autism Spectrum Disorder Detection using Attention-Based CNN and ML Classifiers</t>
        </is>
      </c>
      <c r="D19" s="4" t="inlineStr">
        <is>
          <t>10.1016/j.procs.2025.04.671</t>
        </is>
      </c>
      <c r="E19" s="4" t="inlineStr">
        <is>
          <t>Abstract/metadata del editor; ubicación OA conocida, PDF completo no recuperado en este entorno</t>
        </is>
      </c>
      <c r="F19" s="4" t="inlineStr">
        <is>
          <t>Pendiente: texto completo insuficiente</t>
        </is>
      </c>
      <c r="G19" s="4" t="inlineStr">
        <is>
          <t>Pending adjudication</t>
        </is>
      </c>
      <c r="H19" s="4" t="n"/>
      <c r="I19" s="4" t="n"/>
      <c r="J19" s="4" t="n"/>
      <c r="K19" s="4" t="n"/>
      <c r="L19" s="4" t="n"/>
      <c r="M19" s="4" t="n"/>
      <c r="N19" s="4" t="n"/>
      <c r="O19" s="4" t="n"/>
      <c r="P19" s="4" t="n"/>
      <c r="Q19" s="4" t="n"/>
      <c r="R19" s="4" t="n"/>
      <c r="S19" s="4" t="n"/>
      <c r="T19" s="4" t="inlineStr">
        <is>
          <t>https://www.sciencedirect.com/science/article/pii/S1877050925017752</t>
        </is>
      </c>
      <c r="U19" s="4" t="inlineStr">
        <is>
          <t>No se adjudicó con abstract solamente.</t>
        </is>
      </c>
      <c r="V19" s="4" t="inlineStr">
        <is>
          <t>Sin Methods/Results completos no es fiable codificar RQ2/RQ3 ni cerrar elegibilidad.</t>
        </is>
      </c>
      <c r="W19" s="4" t="inlineStr">
        <is>
          <t>Abrir/descargar el PDF OA desde el navegador o acceso institucional y revisar Methods/Results; en este entorno solo se recuperó abstract/metadata, por lo que no se adjudicó.</t>
        </is>
      </c>
      <c r="X19" s="4" t="inlineStr">
        <is>
          <t>Alta</t>
        </is>
      </c>
      <c r="Y19" s="4" t="inlineStr">
        <is>
          <t>Acceso: OA. Se mantiene como report located, no como report not retrieved.</t>
        </is>
      </c>
      <c r="Z19" s="4" t="n"/>
      <c r="AA19" s="4" t="n"/>
      <c r="AB19" s="4" t="n"/>
      <c r="AC19" s="4" t="n"/>
    </row>
    <row r="20" ht="73" customHeight="1">
      <c r="A20" s="4" t="inlineStr">
        <is>
          <t>Lote_01_25</t>
        </is>
      </c>
      <c r="B20" s="4" t="n">
        <v>46</v>
      </c>
      <c r="C20" s="4" t="inlineStr">
        <is>
          <t>Recognition of autism in subcortical brain volumetric images using autoencoding-based region selection method and Siamese Convolutional Neural Network</t>
        </is>
      </c>
      <c r="D20" s="4" t="inlineStr">
        <is>
          <t>10.1016/j.ijmedinf.2024.105707</t>
        </is>
      </c>
      <c r="E20" s="4" t="inlineStr">
        <is>
          <t>Texto del artículo indexado por el editor; metodología/resultados suficientemente recuperados</t>
        </is>
      </c>
      <c r="F20" s="4" t="inlineStr">
        <is>
          <t>Cerrado: texto suficiente revisado</t>
        </is>
      </c>
      <c r="G20" s="4" t="inlineStr">
        <is>
          <t>Include</t>
        </is>
      </c>
      <c r="H20" s="4" t="inlineStr">
        <is>
          <t>Neuroimaging (structural MRI / subcortical images)</t>
        </is>
      </c>
      <c r="I20" s="4" t="inlineStr">
        <is>
          <t>Deep Learning</t>
        </is>
      </c>
      <c r="J20" s="4" t="inlineStr">
        <is>
          <t>3D autoencoder + Siamese CNN</t>
        </is>
      </c>
      <c r="K20" s="4" t="inlineStr">
        <is>
          <t>Diagnosis</t>
        </is>
      </c>
      <c r="L20" s="4" t="inlineStr">
        <is>
          <t>Research only</t>
        </is>
      </c>
      <c r="M20" s="4" t="n">
        <v>0</v>
      </c>
      <c r="N20" s="4" t="n">
        <v>1</v>
      </c>
      <c r="O20" s="4" t="n">
        <v>0</v>
      </c>
      <c r="P20" s="4" t="n">
        <v>0</v>
      </c>
      <c r="Q20" s="4" t="n">
        <v>0</v>
      </c>
      <c r="R20" s="4" t="n">
        <v>1</v>
      </c>
      <c r="S20" s="4" t="n">
        <v>0</v>
      </c>
      <c r="T20" s="4" t="inlineStr">
        <is>
          <t>https://www.sciencedirect.com/science/article/pii/S1386505624003708</t>
        </is>
      </c>
      <c r="U20" s="4" t="inlineStr">
        <is>
          <t>Usa ABIDE-II, autoencoder 3D para representación/selección regional y Siamese CNN; la selección MI alcanza accuracy máxima reportada cercana a 0.66.</t>
        </is>
      </c>
      <c r="V20" s="4" t="inlineStr">
        <is>
          <t>ABIDE-II es multisitio, pero no se identificó validación site-held-out. La selección de regiones aporta interpretabilidad anatómica parcial, no XAI formal.</t>
        </is>
      </c>
      <c r="W20" s="4" t="inlineStr">
        <is>
          <t>Verificación independiente del revisor humano antes del cierre final</t>
        </is>
      </c>
      <c r="X20" s="4" t="inlineStr">
        <is>
          <t>Media</t>
        </is>
      </c>
      <c r="Y20" s="4" t="inlineStr">
        <is>
          <t>No sustituye la segunda revisión humana definida en el protocolo.</t>
        </is>
      </c>
      <c r="Z20" s="4" t="n"/>
      <c r="AA20" s="4" t="n"/>
      <c r="AB20" s="4" t="n"/>
      <c r="AC20" s="4" t="n"/>
    </row>
    <row r="21" ht="60" customHeight="1">
      <c r="A21" s="4" t="inlineStr">
        <is>
          <t>Lote_01_25</t>
        </is>
      </c>
      <c r="B21" s="4" t="n">
        <v>47</v>
      </c>
      <c r="C21" s="4" t="inlineStr">
        <is>
          <t>Leveraging deep learning for enhanced diagnosis of autism spectrum disorder using resting-state functional magnetic resonance imaging and clinical data</t>
        </is>
      </c>
      <c r="D21" s="4" t="inlineStr">
        <is>
          <t>10.1016/j.rineng.2025.104444</t>
        </is>
      </c>
      <c r="E21" s="4" t="inlineStr">
        <is>
          <t>Texto completo compartido por autores / contenido completo revisable</t>
        </is>
      </c>
      <c r="F21" s="4" t="inlineStr">
        <is>
          <t>Cerrado: texto suficiente revisado</t>
        </is>
      </c>
      <c r="G21" s="4" t="inlineStr">
        <is>
          <t>Include</t>
        </is>
      </c>
      <c r="H21" s="4" t="inlineStr">
        <is>
          <t>Multimodal (rs-fMRI functional connectivity + phenotypic/clinical data)</t>
        </is>
      </c>
      <c r="I21" s="4" t="inlineStr">
        <is>
          <t>Deep Learning</t>
        </is>
      </c>
      <c r="J21" s="4" t="inlineStr">
        <is>
          <t>CNN-BiLSTM with attention</t>
        </is>
      </c>
      <c r="K21" s="4" t="inlineStr">
        <is>
          <t>Diagnosis</t>
        </is>
      </c>
      <c r="L21" s="4" t="inlineStr">
        <is>
          <t>Proposed only</t>
        </is>
      </c>
      <c r="M21" s="4" t="n">
        <v>0</v>
      </c>
      <c r="N21" s="4" t="n">
        <v>1</v>
      </c>
      <c r="O21" s="4" t="n">
        <v>0</v>
      </c>
      <c r="P21" s="4" t="n">
        <v>0</v>
      </c>
      <c r="Q21" s="4" t="n">
        <v>0</v>
      </c>
      <c r="R21" s="4" t="n">
        <v>0</v>
      </c>
      <c r="S21" s="4" t="n">
        <v>1</v>
      </c>
      <c r="T21" s="4" t="inlineStr">
        <is>
          <t>https://doi.org/10.1016/j.rineng.2025.104444</t>
        </is>
      </c>
      <c r="U21" s="4" t="inlineStr">
        <is>
          <t>ABIDE (n≈1112) con conectividad rs-fMRI + datos fenotípicos; CNN-BiLSTM con atención y split interno 70/30.</t>
        </is>
      </c>
      <c r="V21" s="4" t="inlineStr">
        <is>
          <t>El conjunto es multisitio y multifuente, pero la evaluación reportada es un split interno; no se identificó site-held-out/cross-site validation. Atención arquitectónica no se contó como XAI sin análisis de explicación.</t>
        </is>
      </c>
      <c r="W21" s="4" t="inlineStr">
        <is>
          <t>Verificación independiente del revisor humano antes del cierre final</t>
        </is>
      </c>
      <c r="X21" s="4" t="inlineStr">
        <is>
          <t>Media</t>
        </is>
      </c>
      <c r="Y21" s="4" t="inlineStr">
        <is>
          <t>No sustituye la segunda revisión humana definida en el protocolo.</t>
        </is>
      </c>
      <c r="Z21" s="4" t="n"/>
      <c r="AA21" s="4" t="n"/>
      <c r="AB21" s="4" t="n"/>
      <c r="AC21" s="4" t="n"/>
    </row>
    <row r="22" ht="60" customHeight="1">
      <c r="A22" s="4" t="inlineStr">
        <is>
          <t>Lote_01_25</t>
        </is>
      </c>
      <c r="B22" s="4" t="n">
        <v>51</v>
      </c>
      <c r="C22" s="4" t="inlineStr">
        <is>
          <t>Involution fused convolution for classifying eye-tracking patterns of children with Autism Spectrum Disorder</t>
        </is>
      </c>
      <c r="D22" s="4" t="inlineStr">
        <is>
          <t>10.1016/j.engappai.2024.109475</t>
        </is>
      </c>
      <c r="E22" s="4" t="inlineStr">
        <is>
          <t>Preprint completo de autores en arXiv, coincidente con artículo final</t>
        </is>
      </c>
      <c r="F22" s="4" t="inlineStr">
        <is>
          <t>Cerrado: texto suficiente revisado</t>
        </is>
      </c>
      <c r="G22" s="4" t="inlineStr">
        <is>
          <t>Include</t>
        </is>
      </c>
      <c r="H22" s="4" t="inlineStr">
        <is>
          <t>Eye-tracking / scanpath images</t>
        </is>
      </c>
      <c r="I22" s="4" t="inlineStr">
        <is>
          <t>Deep Learning</t>
        </is>
      </c>
      <c r="J22" s="4" t="inlineStr">
        <is>
          <t>Hybrid involution-convolution neural network</t>
        </is>
      </c>
      <c r="K22" s="4" t="inlineStr">
        <is>
          <t>Screening</t>
        </is>
      </c>
      <c r="L22" s="4" t="inlineStr">
        <is>
          <t>Research only</t>
        </is>
      </c>
      <c r="M22" s="4" t="n">
        <v>0</v>
      </c>
      <c r="N22" s="4" t="n">
        <v>0</v>
      </c>
      <c r="O22" s="4" t="n">
        <v>0</v>
      </c>
      <c r="P22" s="4" t="n">
        <v>0</v>
      </c>
      <c r="Q22" s="4" t="n">
        <v>0</v>
      </c>
      <c r="R22" s="4" t="n">
        <v>0</v>
      </c>
      <c r="S22" s="4" t="n">
        <v>0</v>
      </c>
      <c r="T22" s="4" t="inlineStr">
        <is>
          <t>https://arxiv.org/pdf/2401.03575</t>
        </is>
      </c>
      <c r="U22" s="4" t="inlineStr">
        <is>
          <t>Evalúa involution+convolution en dos datasets de eye-tracking y su combinación; el modelo IC con tres capas de involution supera comparadores.</t>
        </is>
      </c>
      <c r="V22" s="4" t="inlineStr">
        <is>
          <t>Se usa partición aleatoria tras combinar/aumentar imágenes. Esto plantea un riesgo potencial de dependencia entre imágenes/sujetos si la partición no fue totalmente subject-wise; no se afirma leakage porque el texto no lo demuestra.</t>
        </is>
      </c>
      <c r="W22" s="4" t="inlineStr">
        <is>
          <t>Verificación independiente del revisor humano antes del cierre final</t>
        </is>
      </c>
      <c r="X22" s="4" t="inlineStr">
        <is>
          <t>Media</t>
        </is>
      </c>
      <c r="Y22" s="4" t="inlineStr">
        <is>
          <t>No sustituye la segunda revisión humana definida en el protocolo.</t>
        </is>
      </c>
      <c r="Z22" s="4" t="n"/>
      <c r="AA22" s="4" t="n"/>
      <c r="AB22" s="4" t="n"/>
      <c r="AC22" s="4" t="n"/>
    </row>
    <row r="23" ht="73" customHeight="1">
      <c r="A23" s="4" t="inlineStr">
        <is>
          <t>Lote_01_25</t>
        </is>
      </c>
      <c r="B23" s="4" t="n">
        <v>56</v>
      </c>
      <c r="C23" s="4" t="inlineStr">
        <is>
          <t>Effective AI Techniques for Analyzing Risk Factors in Autism Spectrum Disorder (ASD)</t>
        </is>
      </c>
      <c r="D23" s="4" t="inlineStr">
        <is>
          <t>10.1016/j.procs.2025.10.018</t>
        </is>
      </c>
      <c r="E23" s="4" t="inlineStr">
        <is>
          <t>Abstract/metadata del editor; ubicación OA conocida, PDF completo no recuperado en este entorno</t>
        </is>
      </c>
      <c r="F23" s="4" t="inlineStr">
        <is>
          <t>Pendiente: texto completo insuficiente</t>
        </is>
      </c>
      <c r="G23" s="4" t="inlineStr">
        <is>
          <t>Pending adjudication</t>
        </is>
      </c>
      <c r="H23" s="4" t="n"/>
      <c r="I23" s="4" t="n"/>
      <c r="J23" s="4" t="n"/>
      <c r="K23" s="4" t="n"/>
      <c r="L23" s="4" t="n"/>
      <c r="M23" s="4" t="n"/>
      <c r="N23" s="4" t="n"/>
      <c r="O23" s="4" t="n"/>
      <c r="P23" s="4" t="n"/>
      <c r="Q23" s="4" t="n"/>
      <c r="R23" s="4" t="n"/>
      <c r="S23" s="4" t="n"/>
      <c r="T23" s="4" t="inlineStr">
        <is>
          <t>https://www.sciencedirect.com/science/article/pii/S1877050925033514</t>
        </is>
      </c>
      <c r="U23" s="4" t="inlineStr">
        <is>
          <t>No se adjudicó con abstract solamente.</t>
        </is>
      </c>
      <c r="V23" s="4" t="inlineStr">
        <is>
          <t>Sin Methods/Results completos no es fiable codificar RQ2/RQ3 ni cerrar elegibilidad.</t>
        </is>
      </c>
      <c r="W23" s="4" t="inlineStr">
        <is>
          <t>Abrir/descargar el PDF OA desde el navegador o acceso institucional y revisar Methods/Results; en este entorno solo se recuperó abstract/metadata, por lo que no se adjudicó.</t>
        </is>
      </c>
      <c r="X23" s="4" t="inlineStr">
        <is>
          <t>Alta</t>
        </is>
      </c>
      <c r="Y23" s="4" t="inlineStr">
        <is>
          <t>Acceso: OA. Se mantiene como report located, no como report not retrieved.</t>
        </is>
      </c>
      <c r="Z23" s="4" t="n"/>
      <c r="AA23" s="4" t="n"/>
      <c r="AB23" s="4" t="n"/>
      <c r="AC23" s="4" t="n"/>
    </row>
    <row r="24" ht="60" customHeight="1">
      <c r="A24" s="4" t="inlineStr">
        <is>
          <t>Lote_01_25</t>
        </is>
      </c>
      <c r="B24" s="4" t="n">
        <v>59</v>
      </c>
      <c r="C24" s="4" t="inlineStr">
        <is>
          <t>Advanced autism detection and visualization through XGBoost algorithm for fNIRS hemo-dynamic signals</t>
        </is>
      </c>
      <c r="D24" s="4" t="inlineStr">
        <is>
          <t>10.1016/j.eswa.2025.127013</t>
        </is>
      </c>
      <c r="E24" s="4" t="inlineStr">
        <is>
          <t>Artículo del editor con metodología, resultados y limitaciones recuperados</t>
        </is>
      </c>
      <c r="F24" s="4" t="inlineStr">
        <is>
          <t>Cerrado: texto suficiente revisado</t>
        </is>
      </c>
      <c r="G24" s="4" t="inlineStr">
        <is>
          <t>Include</t>
        </is>
      </c>
      <c r="H24" s="4" t="inlineStr">
        <is>
          <t>Physiological signals (fNIRS hemodynamics)</t>
        </is>
      </c>
      <c r="I24" s="4" t="inlineStr">
        <is>
          <t>Machine Learning</t>
        </is>
      </c>
      <c r="J24" s="4" t="inlineStr">
        <is>
          <t>XGBoost</t>
        </is>
      </c>
      <c r="K24" s="4" t="inlineStr">
        <is>
          <t>Diagnosis</t>
        </is>
      </c>
      <c r="L24" s="4" t="inlineStr">
        <is>
          <t>Research only</t>
        </is>
      </c>
      <c r="M24" s="4" t="n">
        <v>0</v>
      </c>
      <c r="N24" s="4" t="n">
        <v>0</v>
      </c>
      <c r="O24" s="4" t="n">
        <v>0</v>
      </c>
      <c r="P24" s="4" t="n">
        <v>1</v>
      </c>
      <c r="Q24" s="4" t="n">
        <v>0</v>
      </c>
      <c r="R24" s="4" t="n">
        <v>0</v>
      </c>
      <c r="S24" s="4" t="n">
        <v>0</v>
      </c>
      <c r="T24" s="4" t="inlineStr">
        <is>
          <t>https://doi.org/10.1016/j.eswa.2025.127013</t>
        </is>
      </c>
      <c r="U24" s="4" t="inlineStr">
        <is>
          <t>Estudio clínico prospectivo con 24 ASD y 27 TD, fNIRS de 41 canales y XGBoost con validación anidada (outer 10, inner 5); reporta accuracy 96%.</t>
        </is>
      </c>
      <c r="V24" s="4" t="inlineStr">
        <is>
          <t>La validación es interna. Los autores reconocen muestra pequeña y ausencia de ADI-R/ADOS como gold-standard; no hay cohorte externa.</t>
        </is>
      </c>
      <c r="W24" s="4" t="inlineStr">
        <is>
          <t>Verificación independiente del revisor humano antes del cierre final</t>
        </is>
      </c>
      <c r="X24" s="4" t="inlineStr">
        <is>
          <t>Media</t>
        </is>
      </c>
      <c r="Y24" s="4" t="inlineStr">
        <is>
          <t>No sustituye la segunda revisión humana definida en el protocolo.</t>
        </is>
      </c>
      <c r="Z24" s="4" t="n"/>
      <c r="AA24" s="4" t="n"/>
      <c r="AB24" s="4" t="n"/>
      <c r="AC24" s="4" t="n"/>
    </row>
    <row r="25" ht="60" customHeight="1">
      <c r="A25" s="4" t="inlineStr">
        <is>
          <t>Lote_01_25</t>
        </is>
      </c>
      <c r="B25" s="4" t="n">
        <v>60</v>
      </c>
      <c r="C25" s="4" t="inlineStr">
        <is>
          <t>Using convolutional network in graphical model detection of autism disorders with fuzzy inference systems</t>
        </is>
      </c>
      <c r="D25" s="4" t="inlineStr">
        <is>
          <t>10.1016/j.ibmed.2025.100213</t>
        </is>
      </c>
      <c r="E25" s="4" t="inlineStr">
        <is>
          <t>Artículo del editor con método y resultados suficientemente recuperados</t>
        </is>
      </c>
      <c r="F25" s="4" t="inlineStr">
        <is>
          <t>Cerrado: texto suficiente revisado</t>
        </is>
      </c>
      <c r="G25" s="4" t="inlineStr">
        <is>
          <t>Include</t>
        </is>
      </c>
      <c r="H25" s="4" t="inlineStr">
        <is>
          <t>Multimodal (rs-fMRI functional connectivity + phenotypic data)</t>
        </is>
      </c>
      <c r="I25" s="4" t="inlineStr">
        <is>
          <t>Hybrid</t>
        </is>
      </c>
      <c r="J25" s="4" t="inlineStr">
        <is>
          <t>Fuzzy multi-scale enhanced graph convolutional network (MSE-GCN)</t>
        </is>
      </c>
      <c r="K25" s="4" t="inlineStr">
        <is>
          <t>Diagnosis</t>
        </is>
      </c>
      <c r="L25" s="4" t="inlineStr">
        <is>
          <t>Research only</t>
        </is>
      </c>
      <c r="M25" s="4" t="n">
        <v>0</v>
      </c>
      <c r="N25" s="4" t="n">
        <v>1</v>
      </c>
      <c r="O25" s="4" t="n">
        <v>0</v>
      </c>
      <c r="P25" s="4" t="n">
        <v>0</v>
      </c>
      <c r="Q25" s="4" t="n">
        <v>0</v>
      </c>
      <c r="R25" s="4" t="n">
        <v>1</v>
      </c>
      <c r="S25" s="4" t="n">
        <v>1</v>
      </c>
      <c r="T25" s="4" t="inlineStr">
        <is>
          <t>https://doi.org/10.1016/j.ibmed.2025.100213</t>
        </is>
      </c>
      <c r="U25" s="4" t="inlineStr">
        <is>
          <t>Combina conectividad rs-fMRI y variables fenotípicas de ABIDE-I en un GCN multiescala con inferencia difusa; usa 11-fold CV interno.</t>
        </is>
      </c>
      <c r="V25" s="4" t="inlineStr">
        <is>
          <t>Aunque ABIDE-I es multisitio, no se identificó site-held-out validation. El sitio de adquisición aparece entre rasgos fenotípicos, lo que puede introducir dependencia del sitio; se requiere análisis específico antes de afirmar robustez cross-site.</t>
        </is>
      </c>
      <c r="W25" s="4" t="inlineStr">
        <is>
          <t>Verificación independiente del revisor humano antes del cierre final</t>
        </is>
      </c>
      <c r="X25" s="4" t="inlineStr">
        <is>
          <t>Media</t>
        </is>
      </c>
      <c r="Y25" s="4" t="inlineStr">
        <is>
          <t>No sustituye la segunda revisión humana definida en el protocolo.</t>
        </is>
      </c>
      <c r="Z25" s="4" t="n"/>
      <c r="AA25" s="4" t="n"/>
      <c r="AB25" s="4" t="n"/>
      <c r="AC25" s="4" t="n"/>
    </row>
    <row r="26" ht="60" customHeight="1">
      <c r="A26" s="4" t="inlineStr">
        <is>
          <t>Lote_01_25</t>
        </is>
      </c>
      <c r="B26" s="4" t="n">
        <v>63</v>
      </c>
      <c r="C26" s="4" t="inlineStr">
        <is>
          <t>Enhancing autism spectrum disorder early detection with parent-child dyads block-play protocol and attention-enhanced hybrid deep learning framework</t>
        </is>
      </c>
      <c r="D26" s="4" t="inlineStr">
        <is>
          <t>10.1016/j.engappai.2025.110430</t>
        </is>
      </c>
      <c r="E26" s="4" t="inlineStr">
        <is>
          <t>Preprint completo de autores en arXiv, coincidente con artículo final</t>
        </is>
      </c>
      <c r="F26" s="4" t="inlineStr">
        <is>
          <t>Cerrado: texto suficiente revisado</t>
        </is>
      </c>
      <c r="G26" s="4" t="inlineStr">
        <is>
          <t>Include</t>
        </is>
      </c>
      <c r="H26" s="4" t="inlineStr">
        <is>
          <t>Behavioral video / parent-child interaction skeleton kinematics</t>
        </is>
      </c>
      <c r="I26" s="4" t="inlineStr">
        <is>
          <t>Deep Learning</t>
        </is>
      </c>
      <c r="J26" s="4" t="inlineStr">
        <is>
          <t>2sGCN-AxLSTM (two-stream GCN + attention-enhanced xLSTM)</t>
        </is>
      </c>
      <c r="K26" s="4" t="inlineStr">
        <is>
          <t>Screening</t>
        </is>
      </c>
      <c r="L26" s="4" t="inlineStr">
        <is>
          <t>Research only</t>
        </is>
      </c>
      <c r="M26" s="4" t="n">
        <v>0</v>
      </c>
      <c r="N26" s="4" t="n">
        <v>0</v>
      </c>
      <c r="O26" s="4" t="n">
        <v>0</v>
      </c>
      <c r="P26" s="4" t="n">
        <v>1</v>
      </c>
      <c r="Q26" s="4" t="n">
        <v>0</v>
      </c>
      <c r="R26" s="4" t="n">
        <v>0</v>
      </c>
      <c r="S26" s="4" t="n">
        <v>0</v>
      </c>
      <c r="T26" s="4" t="inlineStr">
        <is>
          <t>https://arxiv.org/pdf/2408.16924</t>
        </is>
      </c>
      <c r="U26" s="4" t="inlineStr">
        <is>
          <t>Protocolo de block-play parent-child con 40 ASD y 89 TD; cámara RGB, pose con Faster R-CNN+HRNet y clasificador 2sGCN-AxLSTM; accuracy reportada 89.6%.</t>
        </is>
      </c>
      <c r="V26" s="4" t="inlineStr">
        <is>
          <t>Datos recogidos prospectivamente en un único entorno y n=129; no hay validación externa independiente. El módulo de atención no se contó como XAI porque no se presentó como explicación clínica.</t>
        </is>
      </c>
      <c r="W26" s="4" t="inlineStr">
        <is>
          <t>Verificación independiente del revisor humano antes del cierre final</t>
        </is>
      </c>
      <c r="X26" s="4" t="inlineStr">
        <is>
          <t>Media</t>
        </is>
      </c>
      <c r="Y26" s="4" t="inlineStr">
        <is>
          <t>No sustituye la segunda revisión humana definida en el protocolo.</t>
        </is>
      </c>
      <c r="Z26" s="4" t="n"/>
      <c r="AA26" s="4" t="n"/>
      <c r="AB26" s="4" t="n"/>
      <c r="AC26" s="4" t="n"/>
    </row>
    <row r="27" ht="86" customHeight="1">
      <c r="A27" s="4" t="inlineStr">
        <is>
          <t>Lote_02_25</t>
        </is>
      </c>
      <c r="B27" s="4" t="n">
        <v>64</v>
      </c>
      <c r="C27" s="4" t="inlineStr">
        <is>
          <t>Involvement of disulfidptosis in the pathophysiology of autism spectrum disorder</t>
        </is>
      </c>
      <c r="D27" s="4" t="inlineStr">
        <is>
          <t>10.1016/j.lfs.2025.123531</t>
        </is>
      </c>
      <c r="E27" s="4" t="inlineStr">
        <is>
          <t>Publisher-indexed article text; sufficient Methods/Results/Discussion sections recovered</t>
        </is>
      </c>
      <c r="F27" s="4" t="inlineStr">
        <is>
          <t>Cerrado: texto suficiente revisado</t>
        </is>
      </c>
      <c r="G27" s="4" t="inlineStr">
        <is>
          <t>Include</t>
        </is>
      </c>
      <c r="H27" s="4" t="inlineStr">
        <is>
          <t>Biological/omics (transcriptomic/gene-expression datasets)</t>
        </is>
      </c>
      <c r="I27" s="4" t="inlineStr">
        <is>
          <t>Machine Learning</t>
        </is>
      </c>
      <c r="J27" s="4" t="inlineStr">
        <is>
          <t>ML gene-signature predictive model (7-gene panel; final classifier not clearly specified in indexed text)</t>
        </is>
      </c>
      <c r="K27" s="4" t="inlineStr">
        <is>
          <t>Not specified</t>
        </is>
      </c>
      <c r="L27" s="4" t="inlineStr">
        <is>
          <t>Research only</t>
        </is>
      </c>
      <c r="M27" s="4" t="n">
        <v>1</v>
      </c>
      <c r="N27" s="4" t="n">
        <v>0</v>
      </c>
      <c r="O27" s="4" t="n">
        <v>0</v>
      </c>
      <c r="P27" s="4" t="n">
        <v>0</v>
      </c>
      <c r="Q27" s="4" t="n">
        <v>0</v>
      </c>
      <c r="R27" s="4" t="n">
        <v>0</v>
      </c>
      <c r="S27" s="4" t="n">
        <v>0</v>
      </c>
      <c r="T27" s="4" t="inlineStr">
        <is>
          <t>https://www.sciencedirect.com/science/article/pii/S0024320525001651</t>
        </is>
      </c>
      <c r="U27" s="4" t="inlineStr">
        <is>
          <t>Identifies seven disulfidptosis-related genes and reports a predictive model (AUC 0.759) with external validation (AUC 0.811), plus animal follow-up.</t>
        </is>
      </c>
      <c r="V27" s="4" t="inlineStr">
        <is>
          <t>The paper is primarily mechanistic/biomarker research. External datasets support validation, but no real clinical workflow or site-held-out evaluation was demonstrated.</t>
        </is>
      </c>
      <c r="W27" s="4" t="inlineStr">
        <is>
          <t>Verificacion independiente del revisor humano antes del cierre final</t>
        </is>
      </c>
      <c r="X27" s="4" t="inlineStr">
        <is>
          <t>Media</t>
        </is>
      </c>
      <c r="Y27" s="4" t="inlineStr">
        <is>
          <t>No sustituye la segunda revision humana definida en el protocolo.</t>
        </is>
      </c>
      <c r="Z27" s="4" t="n"/>
      <c r="AA27" s="4" t="n"/>
      <c r="AB27" s="4" t="n"/>
      <c r="AC27" s="4" t="n"/>
    </row>
    <row r="28" ht="86" customHeight="1">
      <c r="A28" s="4" t="inlineStr">
        <is>
          <t>Lote_02_25</t>
        </is>
      </c>
      <c r="B28" s="4" t="n">
        <v>67</v>
      </c>
      <c r="C28" s="4" t="inlineStr">
        <is>
          <t>Enhancing the identification of autism spectrum disorder in facial expressions using DenseResNet-Based transfer learning approach</t>
        </is>
      </c>
      <c r="D28" s="4" t="inlineStr">
        <is>
          <t>10.1016/j.bspc.2024.107433</t>
        </is>
      </c>
      <c r="E28" s="4" t="inlineStr">
        <is>
          <t>Publisher-indexed article text; sufficient methodology, experimental setup, discussion and conclusion recovered</t>
        </is>
      </c>
      <c r="F28" s="4" t="inlineStr">
        <is>
          <t>Cerrado: texto suficiente revisado</t>
        </is>
      </c>
      <c r="G28" s="4" t="inlineStr">
        <is>
          <t>Include</t>
        </is>
      </c>
      <c r="H28" s="4" t="inlineStr">
        <is>
          <t>Facial images</t>
        </is>
      </c>
      <c r="I28" s="4" t="inlineStr">
        <is>
          <t>Deep Learning</t>
        </is>
      </c>
      <c r="J28" s="4" t="inlineStr">
        <is>
          <t>DenseResNet transfer learning (DenseNet + ResNet)</t>
        </is>
      </c>
      <c r="K28" s="4" t="inlineStr">
        <is>
          <t>Screening</t>
        </is>
      </c>
      <c r="L28" s="4" t="inlineStr">
        <is>
          <t>Proposed only</t>
        </is>
      </c>
      <c r="M28" s="4" t="n">
        <v>0</v>
      </c>
      <c r="N28" s="4" t="n">
        <v>0</v>
      </c>
      <c r="O28" s="4" t="n">
        <v>0</v>
      </c>
      <c r="P28" s="4" t="n">
        <v>0</v>
      </c>
      <c r="Q28" s="4" t="n">
        <v>0</v>
      </c>
      <c r="R28" s="4" t="n">
        <v>0</v>
      </c>
      <c r="S28" s="4" t="n">
        <v>0</v>
      </c>
      <c r="T28" s="4" t="inlineStr">
        <is>
          <t>https://www.sciencedirect.com/science/article/pii/S1746809424014915</t>
        </is>
      </c>
      <c r="U28" s="4" t="inlineStr">
        <is>
          <t>DenseResNet combines DenseNet and ResNet transfer learning on facial images; 2526 training and 200 test images; reported accuracy 97.07%.</t>
        </is>
      </c>
      <c r="V28" s="4" t="inlineStr">
        <is>
          <t>Internal dataset evaluation only. No independent external cohort, prospective clinical workflow, cross-site test, or formal XAI was identified.</t>
        </is>
      </c>
      <c r="W28" s="4" t="inlineStr">
        <is>
          <t>Verificacion independiente del revisor humano antes del cierre final</t>
        </is>
      </c>
      <c r="X28" s="4" t="inlineStr">
        <is>
          <t>Media</t>
        </is>
      </c>
      <c r="Y28" s="4" t="inlineStr">
        <is>
          <t>No sustituye la segunda revision humana definida en el protocolo.</t>
        </is>
      </c>
      <c r="Z28" s="4" t="n"/>
      <c r="AA28" s="4" t="n"/>
      <c r="AB28" s="4" t="n"/>
      <c r="AC28" s="4" t="n"/>
    </row>
    <row r="29" ht="86" customHeight="1">
      <c r="A29" s="4" t="inlineStr">
        <is>
          <t>Lote_02_25</t>
        </is>
      </c>
      <c r="B29" s="4" t="n">
        <v>74</v>
      </c>
      <c r="C29" s="4" t="inlineStr">
        <is>
          <t>Deep neurocomputational fusion for ASD diagnosis using multi-domain EEG analysis</t>
        </is>
      </c>
      <c r="D29" s="4" t="inlineStr">
        <is>
          <t>10.1016/j.neucom.2025.130353</t>
        </is>
      </c>
      <c r="E29" s="4" t="inlineStr">
        <is>
          <t>Publisher-indexed article text; model description, dataset context, analyses, discussion and conclusion recovered</t>
        </is>
      </c>
      <c r="F29" s="4" t="inlineStr">
        <is>
          <t>Cerrado: texto suficiente revisado</t>
        </is>
      </c>
      <c r="G29" s="4" t="inlineStr">
        <is>
          <t>Include</t>
        </is>
      </c>
      <c r="H29" s="4" t="inlineStr">
        <is>
          <t>Physiological signals (EEG)</t>
        </is>
      </c>
      <c r="I29" s="4" t="inlineStr">
        <is>
          <t>Hybrid</t>
        </is>
      </c>
      <c r="J29" s="4" t="inlineStr">
        <is>
          <t>EEFM (LSTM autoencoder + XGBoost regressor + linear regression)</t>
        </is>
      </c>
      <c r="K29" s="4" t="inlineStr">
        <is>
          <t>Diagnosis</t>
        </is>
      </c>
      <c r="L29" s="4" t="inlineStr">
        <is>
          <t>Research only</t>
        </is>
      </c>
      <c r="M29" s="4" t="n">
        <v>0</v>
      </c>
      <c r="N29" s="4" t="n">
        <v>0</v>
      </c>
      <c r="O29" s="4" t="n">
        <v>0</v>
      </c>
      <c r="P29" s="4" t="n">
        <v>0</v>
      </c>
      <c r="Q29" s="4" t="n">
        <v>0</v>
      </c>
      <c r="R29" s="4" t="n">
        <v>0</v>
      </c>
      <c r="S29" s="4" t="n">
        <v>0</v>
      </c>
      <c r="T29" s="4" t="inlineStr">
        <is>
          <t>https://www.sciencedirect.com/science/article/pii/S0925231225010252</t>
        </is>
      </c>
      <c r="U29" s="4" t="inlineStr">
        <is>
          <t>EEFM fuses time/frequency EEG features using an LSTM autoencoder, XGBoost and linear regression; reported ASD-vs-TD accuracy is 93%.</t>
        </is>
      </c>
      <c r="V29" s="4" t="inlineStr">
        <is>
          <t>Multiple EEG collections do not by themselves establish independent external validation or cross-site robustness; no formal XAI was reported.</t>
        </is>
      </c>
      <c r="W29" s="4" t="inlineStr">
        <is>
          <t>Verificacion independiente del revisor humano antes del cierre final</t>
        </is>
      </c>
      <c r="X29" s="4" t="inlineStr">
        <is>
          <t>Media</t>
        </is>
      </c>
      <c r="Y29" s="4" t="inlineStr">
        <is>
          <t>No sustituye la segunda revision humana definida en el protocolo.</t>
        </is>
      </c>
      <c r="Z29" s="4" t="n"/>
      <c r="AA29" s="4" t="n"/>
      <c r="AB29" s="4" t="n"/>
      <c r="AC29" s="4" t="n"/>
    </row>
    <row r="30" ht="86" customHeight="1">
      <c r="A30" s="4" t="inlineStr">
        <is>
          <t>Lote_02_25</t>
        </is>
      </c>
      <c r="B30" s="4" t="n">
        <v>76</v>
      </c>
      <c r="C30" s="4" t="inlineStr">
        <is>
          <t>Female autism categorization using CNN based NeuroNet57 and ant colony optimization</t>
        </is>
      </c>
      <c r="D30" s="4" t="inlineStr">
        <is>
          <t>10.1016/j.compbiomed.2025.109926</t>
        </is>
      </c>
      <c r="E30" s="4" t="inlineStr">
        <is>
          <t>Publisher-indexed article text; contributions, preprocessing, experimental setup and results recovered</t>
        </is>
      </c>
      <c r="F30" s="4" t="inlineStr">
        <is>
          <t>Cerrado: texto suficiente revisado</t>
        </is>
      </c>
      <c r="G30" s="4" t="inlineStr">
        <is>
          <t>Include</t>
        </is>
      </c>
      <c r="H30" s="4" t="inlineStr">
        <is>
          <t>Neuroimaging (brain MRI/fMRI from ABIDE-I and ABIDE-II)</t>
        </is>
      </c>
      <c r="I30" s="4" t="inlineStr">
        <is>
          <t>Hybrid</t>
        </is>
      </c>
      <c r="J30" s="4" t="inlineStr">
        <is>
          <t>NeuroNet57 + ant colony optimization + FineKNN</t>
        </is>
      </c>
      <c r="K30" s="4" t="inlineStr">
        <is>
          <t>Diagnosis</t>
        </is>
      </c>
      <c r="L30" s="4" t="inlineStr">
        <is>
          <t>Research only</t>
        </is>
      </c>
      <c r="M30" s="4" t="n">
        <v>0</v>
      </c>
      <c r="N30" s="4" t="n">
        <v>1</v>
      </c>
      <c r="O30" s="4" t="n">
        <v>0</v>
      </c>
      <c r="P30" s="4" t="n">
        <v>0</v>
      </c>
      <c r="Q30" s="4" t="n">
        <v>0</v>
      </c>
      <c r="R30" s="4" t="n">
        <v>0</v>
      </c>
      <c r="S30" s="4" t="n">
        <v>0</v>
      </c>
      <c r="T30" s="4" t="inlineStr">
        <is>
          <t>https://www.sciencedirect.com/science/article/pii/S001048252500277X</t>
        </is>
      </c>
      <c r="U30" s="4" t="inlineStr">
        <is>
          <t>NeuroNet57 extracts ABIDE-I/II features, ACO selects features, and FineKNN reports 92.21% accuracy on ABIDE-I and 93.49% on ABIDE-II.</t>
        </is>
      </c>
      <c r="V30" s="4" t="inlineStr">
        <is>
          <t>ABIDE is multisite, but the recovered text did not document site-held-out testing or a fixed development-versus-external validation design.</t>
        </is>
      </c>
      <c r="W30" s="4" t="inlineStr">
        <is>
          <t>Verificacion independiente del revisor humano antes del cierre final</t>
        </is>
      </c>
      <c r="X30" s="4" t="inlineStr">
        <is>
          <t>Media</t>
        </is>
      </c>
      <c r="Y30" s="4" t="inlineStr">
        <is>
          <t>No sustituye la segunda revision humana definida en el protocolo.</t>
        </is>
      </c>
      <c r="Z30" s="4" t="n"/>
      <c r="AA30" s="4" t="n"/>
      <c r="AB30" s="4" t="n"/>
      <c r="AC30" s="4" t="n"/>
    </row>
    <row r="31" ht="73" customHeight="1">
      <c r="A31" s="4" t="inlineStr">
        <is>
          <t>Lote_02_25</t>
        </is>
      </c>
      <c r="B31" s="4" t="n">
        <v>78</v>
      </c>
      <c r="C31" s="4" t="inlineStr">
        <is>
          <t>Capsule DenseNet++: Enhanced autism detection framework with deep learning and reinforcement learning-based lifestyle recommendation</t>
        </is>
      </c>
      <c r="D31" s="4" t="inlineStr">
        <is>
          <t>10.1016/j.compbiomed.2025.110038</t>
        </is>
      </c>
      <c r="E31" s="4" t="inlineStr">
        <is>
          <t>Publisher-indexed article text; contributions, experiments, results and conclusion recovered</t>
        </is>
      </c>
      <c r="F31" s="4" t="inlineStr">
        <is>
          <t>Cerrado: texto suficiente revisado</t>
        </is>
      </c>
      <c r="G31" s="4" t="inlineStr">
        <is>
          <t>Include</t>
        </is>
      </c>
      <c r="H31" s="4" t="inlineStr">
        <is>
          <t>Structured behavioral / questionnaire screening data</t>
        </is>
      </c>
      <c r="I31" s="4" t="inlineStr">
        <is>
          <t>Hybrid</t>
        </is>
      </c>
      <c r="J31" s="4" t="inlineStr">
        <is>
          <t>Capsule DenseNet++ + CosmoNest optimization + PPO recommendation</t>
        </is>
      </c>
      <c r="K31" s="4" t="inlineStr">
        <is>
          <t>Screening</t>
        </is>
      </c>
      <c r="L31" s="4" t="inlineStr">
        <is>
          <t>Proposed only</t>
        </is>
      </c>
      <c r="M31" s="4" t="n">
        <v>0</v>
      </c>
      <c r="N31" s="4" t="n">
        <v>0</v>
      </c>
      <c r="O31" s="4" t="n">
        <v>0</v>
      </c>
      <c r="P31" s="4" t="n">
        <v>0</v>
      </c>
      <c r="Q31" s="4" t="n">
        <v>0</v>
      </c>
      <c r="R31" s="4" t="n">
        <v>0</v>
      </c>
      <c r="S31" s="4" t="n">
        <v>0</v>
      </c>
      <c r="T31" s="4" t="inlineStr">
        <is>
          <t>https://www.sciencedirect.com/science/article/pii/S0010482525003890</t>
        </is>
      </c>
      <c r="U31" s="4" t="inlineStr">
        <is>
          <t>Uses Capsule DenseNet++ with optimization for ASD screening on two public datasets and a PPO component for lifestyle recommendation; reported accuracies are about 99.2-99.3%.</t>
        </is>
      </c>
      <c r="V31" s="4" t="inlineStr">
        <is>
          <t>The two datasets were not documented as a fixed independent external-validation scheme, and the recommendation component was not evaluated in a prospective care workflow.</t>
        </is>
      </c>
      <c r="W31" s="4" t="inlineStr">
        <is>
          <t>Verificacion independiente del revisor humano antes del cierre final</t>
        </is>
      </c>
      <c r="X31" s="4" t="inlineStr">
        <is>
          <t>Media</t>
        </is>
      </c>
      <c r="Y31" s="4" t="inlineStr">
        <is>
          <t>No sustituye la segunda revision humana definida en el protocolo.</t>
        </is>
      </c>
      <c r="Z31" s="4" t="n"/>
      <c r="AA31" s="4" t="n"/>
      <c r="AB31" s="4" t="n"/>
      <c r="AC31" s="4" t="n"/>
    </row>
    <row r="32" ht="73" customHeight="1">
      <c r="A32" s="4" t="inlineStr">
        <is>
          <t>Lote_02_25</t>
        </is>
      </c>
      <c r="B32" s="4" t="n">
        <v>81</v>
      </c>
      <c r="C32" s="4" t="inlineStr">
        <is>
          <t>Self-training EEG discrimination model with weakly supervised sample construction: An age-based perspective on ASD evaluation</t>
        </is>
      </c>
      <c r="D32" s="4" t="inlineStr">
        <is>
          <t>10.1016/j.neunet.2025.107337</t>
        </is>
      </c>
      <c r="E32" s="4" t="inlineStr">
        <is>
          <t>Publisher-indexed article text; architecture, datasets, results and conclusion recovered</t>
        </is>
      </c>
      <c r="F32" s="4" t="inlineStr">
        <is>
          <t>Cerrado: texto suficiente revisado</t>
        </is>
      </c>
      <c r="G32" s="4" t="inlineStr">
        <is>
          <t>Include</t>
        </is>
      </c>
      <c r="H32" s="4" t="inlineStr">
        <is>
          <t>Physiological signals (EEG)</t>
        </is>
      </c>
      <c r="I32" s="4" t="inlineStr">
        <is>
          <t>Deep Learning</t>
        </is>
      </c>
      <c r="J32" s="4" t="inlineStr">
        <is>
          <t>STEM / MAC autoencoder + depthwise-separable CNN + BiGRU with PLASC self-training</t>
        </is>
      </c>
      <c r="K32" s="4" t="inlineStr">
        <is>
          <t>Diagnosis</t>
        </is>
      </c>
      <c r="L32" s="4" t="inlineStr">
        <is>
          <t>Research only</t>
        </is>
      </c>
      <c r="M32" s="4" t="n">
        <v>0</v>
      </c>
      <c r="N32" s="4" t="n">
        <v>0</v>
      </c>
      <c r="O32" s="4" t="n">
        <v>0</v>
      </c>
      <c r="P32" s="4" t="n">
        <v>0</v>
      </c>
      <c r="Q32" s="4" t="n">
        <v>0</v>
      </c>
      <c r="R32" s="4" t="n">
        <v>0</v>
      </c>
      <c r="S32" s="4" t="n">
        <v>0</v>
      </c>
      <c r="T32" s="4" t="inlineStr">
        <is>
          <t>https://www.sciencedirect.com/science/article/pii/S0893608025002163</t>
        </is>
      </c>
      <c r="U32" s="4" t="inlineStr">
        <is>
          <t>STEM combines an autoencoder, depthwise-separable convolution, BiGRU and pseudo-label self-training across EEG data; reported accuracy is 88.33% and F1 87.24%.</t>
        </is>
      </c>
      <c r="V32" s="4" t="inlineStr">
        <is>
          <t>Use of several EEG datasets does not automatically prove external validation; no explicit site-held-out or prospective clinical evaluation was identified.</t>
        </is>
      </c>
      <c r="W32" s="4" t="inlineStr">
        <is>
          <t>Verificacion independiente del revisor humano antes del cierre final</t>
        </is>
      </c>
      <c r="X32" s="4" t="inlineStr">
        <is>
          <t>Media</t>
        </is>
      </c>
      <c r="Y32" s="4" t="inlineStr">
        <is>
          <t>No sustituye la segunda revision humana definida en el protocolo.</t>
        </is>
      </c>
      <c r="Z32" s="4" t="n"/>
      <c r="AA32" s="4" t="n"/>
      <c r="AB32" s="4" t="n"/>
      <c r="AC32" s="4" t="n"/>
    </row>
    <row r="33" ht="86" customHeight="1">
      <c r="A33" s="4" t="inlineStr">
        <is>
          <t>Lote_02_25</t>
        </is>
      </c>
      <c r="B33" s="4" t="n">
        <v>84</v>
      </c>
      <c r="C33" s="4" t="inlineStr">
        <is>
          <t>Towards screening of children students with autism spectrum disorder based on executive functions with serious game and machine learning approaches</t>
        </is>
      </c>
      <c r="D33" s="4" t="inlineStr">
        <is>
          <t>10.1016/j.eswa.2025.128884</t>
        </is>
      </c>
      <c r="E33" s="4" t="inlineStr">
        <is>
          <t>Publisher-indexed article text; experimental protocol, participant context, model comparison and results recovered</t>
        </is>
      </c>
      <c r="F33" s="4" t="inlineStr">
        <is>
          <t>Cerrado: texto suficiente revisado</t>
        </is>
      </c>
      <c r="G33" s="4" t="inlineStr">
        <is>
          <t>Include</t>
        </is>
      </c>
      <c r="H33" s="4" t="inlineStr">
        <is>
          <t>Digital interaction / serious-game executive-function data</t>
        </is>
      </c>
      <c r="I33" s="4" t="inlineStr">
        <is>
          <t>Machine Learning</t>
        </is>
      </c>
      <c r="J33" s="4" t="inlineStr">
        <is>
          <t>Random Forest (best-performing among seven ML models)</t>
        </is>
      </c>
      <c r="K33" s="4" t="inlineStr">
        <is>
          <t>Screening</t>
        </is>
      </c>
      <c r="L33" s="4" t="inlineStr">
        <is>
          <t>Research only</t>
        </is>
      </c>
      <c r="M33" s="4" t="n">
        <v>0</v>
      </c>
      <c r="N33" s="4" t="n">
        <v>0</v>
      </c>
      <c r="O33" s="4" t="n">
        <v>0</v>
      </c>
      <c r="P33" s="4" t="n">
        <v>1</v>
      </c>
      <c r="Q33" s="4" t="n">
        <v>0</v>
      </c>
      <c r="R33" s="4" t="n">
        <v>0</v>
      </c>
      <c r="S33" s="4" t="n">
        <v>0</v>
      </c>
      <c r="T33" s="4" t="inlineStr">
        <is>
          <t>https://www.sciencedirect.com/science/article/pii/S0957417425025011</t>
        </is>
      </c>
      <c r="U33" s="4" t="inlineStr">
        <is>
          <t>Three teachers supervised 12 children (6 ASD, 6 TD) over three months and 640 game sessions; Random Forest was best, with reported accuracy near 96%.</t>
        </is>
      </c>
      <c r="V33" s="4" t="inlineStr">
        <is>
          <t>Very small single-context sample. Data collection was prospective, but the classifier was not shown to operate as an independent deployed screening decision in routine practice.</t>
        </is>
      </c>
      <c r="W33" s="4" t="inlineStr">
        <is>
          <t>Verificacion independiente del revisor humano antes del cierre final</t>
        </is>
      </c>
      <c r="X33" s="4" t="inlineStr">
        <is>
          <t>Media</t>
        </is>
      </c>
      <c r="Y33" s="4" t="inlineStr">
        <is>
          <t>No sustituye la segunda revision humana definida en el protocolo.</t>
        </is>
      </c>
      <c r="Z33" s="4" t="n"/>
      <c r="AA33" s="4" t="n"/>
      <c r="AB33" s="4" t="n"/>
      <c r="AC33" s="4" t="n"/>
    </row>
    <row r="34" ht="86" customHeight="1">
      <c r="A34" s="4" t="inlineStr">
        <is>
          <t>Lote_02_25</t>
        </is>
      </c>
      <c r="B34" s="4" t="n">
        <v>86</v>
      </c>
      <c r="C34" s="4" t="inlineStr">
        <is>
          <t>Optimized attention-enhanced U-Net for autism detection and region localization in MRI</t>
        </is>
      </c>
      <c r="D34" s="4" t="inlineStr">
        <is>
          <t>10.1016/j.pscychresns.2025.111970</t>
        </is>
      </c>
      <c r="E34" s="4" t="inlineStr">
        <is>
          <t>Publisher-indexed article text; pipeline, experimental setup, localization analysis and conclusion recovered</t>
        </is>
      </c>
      <c r="F34" s="4" t="inlineStr">
        <is>
          <t>Cerrado: texto suficiente revisado</t>
        </is>
      </c>
      <c r="G34" s="4" t="inlineStr">
        <is>
          <t>Include</t>
        </is>
      </c>
      <c r="H34" s="4" t="inlineStr">
        <is>
          <t>Neuroimaging (MRI / ABIDE)</t>
        </is>
      </c>
      <c r="I34" s="4" t="inlineStr">
        <is>
          <t>Deep Learning</t>
        </is>
      </c>
      <c r="J34" s="4" t="inlineStr">
        <is>
          <t>RA-EBO optimized SSM-AM classifier + MDA-AUnet localization</t>
        </is>
      </c>
      <c r="K34" s="4" t="inlineStr">
        <is>
          <t>Diagnosis</t>
        </is>
      </c>
      <c r="L34" s="4" t="inlineStr">
        <is>
          <t>Research only</t>
        </is>
      </c>
      <c r="M34" s="4" t="n">
        <v>0</v>
      </c>
      <c r="N34" s="4" t="n">
        <v>1</v>
      </c>
      <c r="O34" s="4" t="n">
        <v>0</v>
      </c>
      <c r="P34" s="4" t="n">
        <v>0</v>
      </c>
      <c r="Q34" s="4" t="n">
        <v>0</v>
      </c>
      <c r="R34" s="4" t="n">
        <v>1</v>
      </c>
      <c r="S34" s="4" t="n">
        <v>0</v>
      </c>
      <c r="T34" s="4" t="inlineStr">
        <is>
          <t>https://www.sciencedirect.com/science/article/pii/S0925492725000253</t>
        </is>
      </c>
      <c r="U34" s="4" t="inlineStr">
        <is>
          <t>An optimized attention-enhanced MRI pipeline classifies ASD and localizes abnormal regions; reported accuracy is 97.29% on ABIDE-derived data.</t>
        </is>
      </c>
      <c r="V34" s="4" t="inlineStr">
        <is>
          <t>ABIDE provides multisite data, but no site-held-out validation was identified. Region localization was coded as partial interpretability, not formal XAI.</t>
        </is>
      </c>
      <c r="W34" s="4" t="inlineStr">
        <is>
          <t>Verificacion independiente del revisor humano antes del cierre final</t>
        </is>
      </c>
      <c r="X34" s="4" t="inlineStr">
        <is>
          <t>Media</t>
        </is>
      </c>
      <c r="Y34" s="4" t="inlineStr">
        <is>
          <t>No sustituye la segunda revision humana definida en el protocolo.</t>
        </is>
      </c>
      <c r="Z34" s="4" t="n"/>
      <c r="AA34" s="4" t="n"/>
      <c r="AB34" s="4" t="n"/>
      <c r="AC34" s="4" t="n"/>
    </row>
    <row r="35" ht="112" customHeight="1">
      <c r="A35" s="4" t="inlineStr">
        <is>
          <t>Lote_02_25</t>
        </is>
      </c>
      <c r="B35" s="4" t="n">
        <v>92</v>
      </c>
      <c r="C35" s="4" t="inlineStr">
        <is>
          <t>Data independent acquisition proteomics and machine learning reveals that proteins associated with immunity are potential molecular markers for early diagnosis of autism</t>
        </is>
      </c>
      <c r="D35" s="4" t="inlineStr">
        <is>
          <t>10.1016/j.cca.2025.120238</t>
        </is>
      </c>
      <c r="E35" s="4" t="inlineStr">
        <is>
          <t>Structured abstract/highlights and metadata available; OA location known, but full Methods/Results text was not retrieved in this environment</t>
        </is>
      </c>
      <c r="F35" s="4" t="inlineStr">
        <is>
          <t>Pendiente: texto completo insuficiente</t>
        </is>
      </c>
      <c r="G35" s="4" t="inlineStr">
        <is>
          <t>Pending adjudication</t>
        </is>
      </c>
      <c r="H35" s="4" t="n"/>
      <c r="I35" s="4" t="n"/>
      <c r="J35" s="4" t="n"/>
      <c r="K35" s="4" t="n"/>
      <c r="L35" s="4" t="n"/>
      <c r="M35" s="4" t="n"/>
      <c r="N35" s="4" t="n"/>
      <c r="O35" s="4" t="n"/>
      <c r="P35" s="4" t="n"/>
      <c r="Q35" s="4" t="n"/>
      <c r="R35" s="4" t="n"/>
      <c r="S35" s="4" t="n"/>
      <c r="T35" s="4" t="inlineStr">
        <is>
          <t>https://doi.org/10.1016/j.cca.2025.120238</t>
        </is>
      </c>
      <c r="U35" s="4" t="inlineStr">
        <is>
          <t>DIA serum proteomics in 99 ASD and 70 controls identifies an eight-protein ML model; the abstract reports leave-one cross-validation accuracy 0.9527 and kappa 0.9025.</t>
        </is>
      </c>
      <c r="V35" s="4" t="inlineStr">
        <is>
          <t>The abstract is detailed, but it is insufficient to adjudicate all RQ2/RQ3 variables, especially external validation, multisite design and explanation methods without full Methods/Results.</t>
        </is>
      </c>
      <c r="W35" s="4" t="inlineStr">
        <is>
          <t>Abrir/obtener el PDF o HTML completo y revisar Methods/Results antes de adjudicar</t>
        </is>
      </c>
      <c r="X35" s="4" t="inlineStr">
        <is>
          <t>Alta</t>
        </is>
      </c>
      <c r="Y35" s="4" t="inlineStr">
        <is>
          <t>Acceso/report localizado; no se marca como report not retrieved.</t>
        </is>
      </c>
      <c r="Z35" s="4" t="n"/>
      <c r="AA35" s="4" t="n"/>
      <c r="AB35" s="4" t="n"/>
      <c r="AC35" s="4" t="n"/>
    </row>
    <row r="36" ht="86" customHeight="1">
      <c r="A36" s="4" t="inlineStr">
        <is>
          <t>Lote_02_25</t>
        </is>
      </c>
      <c r="B36" s="4" t="n">
        <v>97</v>
      </c>
      <c r="C36" s="4" t="inlineStr">
        <is>
          <t>Child-therapist acoustic synchrony and response trajectories in autism intervention: an AI-based automated analysis using dynamic systems theory and affective computing</t>
        </is>
      </c>
      <c r="D36" s="4" t="inlineStr">
        <is>
          <t>10.1016/j.etdah.2025.100176</t>
        </is>
      </c>
      <c r="E36" s="4" t="inlineStr">
        <is>
          <t>Open-access article/full-text source located; Methods and longitudinal results sufficiently recovered</t>
        </is>
      </c>
      <c r="F36" s="4" t="inlineStr">
        <is>
          <t>Cerrado: texto suficiente revisado</t>
        </is>
      </c>
      <c r="G36" s="4" t="inlineStr">
        <is>
          <t>Include</t>
        </is>
      </c>
      <c r="H36" s="4" t="inlineStr">
        <is>
          <t>Audio / voice (child-therapist intervention sessions)</t>
        </is>
      </c>
      <c r="I36" s="4" t="inlineStr">
        <is>
          <t>Hybrid</t>
        </is>
      </c>
      <c r="J36" s="4" t="inlineStr">
        <is>
          <t>Automated AI speech segmentation + CRQA acoustic-synchrony pipeline</t>
        </is>
      </c>
      <c r="K36" s="4" t="inlineStr">
        <is>
          <t>Monitoring/intervention</t>
        </is>
      </c>
      <c r="L36" s="4" t="inlineStr">
        <is>
          <t>Research only</t>
        </is>
      </c>
      <c r="M36" s="4" t="n">
        <v>0</v>
      </c>
      <c r="N36" s="4" t="n">
        <v>0</v>
      </c>
      <c r="O36" s="4" t="n">
        <v>0</v>
      </c>
      <c r="P36" s="4" t="n">
        <v>1</v>
      </c>
      <c r="Q36" s="4" t="n">
        <v>0</v>
      </c>
      <c r="R36" s="4" t="n">
        <v>0</v>
      </c>
      <c r="S36" s="4" t="n">
        <v>0</v>
      </c>
      <c r="T36" s="4" t="inlineStr">
        <is>
          <t>https://www.sciencedirect.com/science/article/pii/S2667118225000078</t>
        </is>
      </c>
      <c r="U36" s="4" t="inlineStr">
        <is>
          <t>Follows 25 autistic preschoolers over one year of NDBI; 75 intervention videos are analyzed with automatic speech segmentation and CRQA acoustic synchrony.</t>
        </is>
      </c>
      <c r="V36" s="4" t="inlineStr">
        <is>
          <t>Prospective longitudinal data support monitoring research, but the AI output was analyzed as a research measure rather than used to alter therapy decisions in real time.</t>
        </is>
      </c>
      <c r="W36" s="4" t="inlineStr">
        <is>
          <t>Verificacion independiente del revisor humano antes del cierre final</t>
        </is>
      </c>
      <c r="X36" s="4" t="inlineStr">
        <is>
          <t>Media</t>
        </is>
      </c>
      <c r="Y36" s="4" t="inlineStr">
        <is>
          <t>No sustituye la segunda revision humana definida en el protocolo.</t>
        </is>
      </c>
      <c r="Z36" s="4" t="n"/>
      <c r="AA36" s="4" t="n"/>
      <c r="AB36" s="4" t="n"/>
      <c r="AC36" s="4" t="n"/>
    </row>
    <row r="37" ht="86" customHeight="1">
      <c r="A37" s="4" t="inlineStr">
        <is>
          <t>Lote_02_25</t>
        </is>
      </c>
      <c r="B37" s="4" t="n">
        <v>103</v>
      </c>
      <c r="C37" s="4" t="inlineStr">
        <is>
          <t>Early fusion for Autism classification with biomarker detection using rs-fMRI and phenotypic data</t>
        </is>
      </c>
      <c r="D37" s="4" t="inlineStr">
        <is>
          <t>10.1016/j.bspc.2025.108020</t>
        </is>
      </c>
      <c r="E37" s="4" t="inlineStr">
        <is>
          <t>Publisher-indexed article text; highlights, Methods/evaluation details and conclusions recovered</t>
        </is>
      </c>
      <c r="F37" s="4" t="inlineStr">
        <is>
          <t>Cerrado: texto suficiente revisado</t>
        </is>
      </c>
      <c r="G37" s="4" t="inlineStr">
        <is>
          <t>Include</t>
        </is>
      </c>
      <c r="H37" s="4" t="inlineStr">
        <is>
          <t>Multimodal (rs-fMRI + phenotypic data)</t>
        </is>
      </c>
      <c r="I37" s="4" t="inlineStr">
        <is>
          <t>Hybrid</t>
        </is>
      </c>
      <c r="J37" s="4" t="inlineStr">
        <is>
          <t>Convolutional autoencoder + conventional classifiers in early-fusion pipeline</t>
        </is>
      </c>
      <c r="K37" s="4" t="inlineStr">
        <is>
          <t>Diagnosis</t>
        </is>
      </c>
      <c r="L37" s="4" t="inlineStr">
        <is>
          <t>Research only</t>
        </is>
      </c>
      <c r="M37" s="4" t="n">
        <v>1</v>
      </c>
      <c r="N37" s="4" t="n">
        <v>1</v>
      </c>
      <c r="O37" s="4" t="n">
        <v>1</v>
      </c>
      <c r="P37" s="4" t="n">
        <v>0</v>
      </c>
      <c r="Q37" s="4" t="n">
        <v>1</v>
      </c>
      <c r="R37" s="4" t="n">
        <v>0</v>
      </c>
      <c r="S37" s="4" t="n">
        <v>1</v>
      </c>
      <c r="T37" s="4" t="inlineStr">
        <is>
          <t>https://www.sciencedirect.com/science/article/pii/S1746809425005312</t>
        </is>
      </c>
      <c r="U37" s="4" t="inlineStr">
        <is>
          <t>Early fusion combines rs-fMRI and phenotypic features; the study reports explainable biomarker analysis and leave-one-site-out evaluation on multisite ABIDE data.</t>
        </is>
      </c>
      <c r="V37" s="4" t="inlineStr">
        <is>
          <t>LOSO is strong evidence of site-level generalization but performance remains moderate; it is still retrospective research rather than prospective clinical deployment.</t>
        </is>
      </c>
      <c r="W37" s="4" t="inlineStr">
        <is>
          <t>Verificacion independiente del revisor humano antes del cierre final</t>
        </is>
      </c>
      <c r="X37" s="4" t="inlineStr">
        <is>
          <t>Media</t>
        </is>
      </c>
      <c r="Y37" s="4" t="inlineStr">
        <is>
          <t>No sustituye la segunda revision humana definida en el protocolo.</t>
        </is>
      </c>
      <c r="Z37" s="4" t="n"/>
      <c r="AA37" s="4" t="n"/>
      <c r="AB37" s="4" t="n"/>
      <c r="AC37" s="4" t="n"/>
    </row>
    <row r="38" ht="73" customHeight="1">
      <c r="A38" s="4" t="inlineStr">
        <is>
          <t>Lote_02_25</t>
        </is>
      </c>
      <c r="B38" s="4" t="n">
        <v>110</v>
      </c>
      <c r="C38" s="4" t="inlineStr">
        <is>
          <t>A deep learning model for diagnosing autism using brain time series</t>
        </is>
      </c>
      <c r="D38" s="4" t="inlineStr">
        <is>
          <t>10.1016/j.neuroscience.2025.08.001</t>
        </is>
      </c>
      <c r="E38" s="4" t="inlineStr">
        <is>
          <t>Publisher-indexed article text; dataset, preprocessing, model and evaluation sections recovered</t>
        </is>
      </c>
      <c r="F38" s="4" t="inlineStr">
        <is>
          <t>Cerrado: texto suficiente revisado</t>
        </is>
      </c>
      <c r="G38" s="4" t="inlineStr">
        <is>
          <t>Include</t>
        </is>
      </c>
      <c r="H38" s="4" t="inlineStr">
        <is>
          <t>Neuroimaging (rs-fMRI ROI time series / ABIDE)</t>
        </is>
      </c>
      <c r="I38" s="4" t="inlineStr">
        <is>
          <t>Deep Learning</t>
        </is>
      </c>
      <c r="J38" s="4" t="inlineStr">
        <is>
          <t>LSTM with attention and residual/channel-attention components</t>
        </is>
      </c>
      <c r="K38" s="4" t="inlineStr">
        <is>
          <t>Diagnosis</t>
        </is>
      </c>
      <c r="L38" s="4" t="inlineStr">
        <is>
          <t>Research only</t>
        </is>
      </c>
      <c r="M38" s="4" t="n">
        <v>0</v>
      </c>
      <c r="N38" s="4" t="n">
        <v>1</v>
      </c>
      <c r="O38" s="4" t="n">
        <v>0</v>
      </c>
      <c r="P38" s="4" t="n">
        <v>0</v>
      </c>
      <c r="Q38" s="4" t="n">
        <v>0</v>
      </c>
      <c r="R38" s="4" t="n">
        <v>0</v>
      </c>
      <c r="S38" s="4" t="n">
        <v>0</v>
      </c>
      <c r="T38" s="4" t="inlineStr">
        <is>
          <t>https://www.sciencedirect.com/science/article/pii/S0306452225008346</t>
        </is>
      </c>
      <c r="U38" s="4" t="inlineStr">
        <is>
          <t>Uses ABIDE brain time series with an LSTM-attention architecture; evaluation uses an internal subject split and cross-validation, with no separate external test set.</t>
        </is>
      </c>
      <c r="V38" s="4" t="inlineStr">
        <is>
          <t>ABIDE is multisite, but the recovered evaluation is not site-held-out. Architectural attention was not counted as XAI without explicit explanation analysis.</t>
        </is>
      </c>
      <c r="W38" s="4" t="inlineStr">
        <is>
          <t>Verificacion independiente del revisor humano antes del cierre final</t>
        </is>
      </c>
      <c r="X38" s="4" t="inlineStr">
        <is>
          <t>Media</t>
        </is>
      </c>
      <c r="Y38" s="4" t="inlineStr">
        <is>
          <t>No sustituye la segunda revision humana definida en el protocolo.</t>
        </is>
      </c>
      <c r="Z38" s="4" t="n"/>
      <c r="AA38" s="4" t="n"/>
      <c r="AB38" s="4" t="n"/>
      <c r="AC38" s="4" t="n"/>
    </row>
    <row r="39" ht="99" customHeight="1">
      <c r="A39" s="4" t="inlineStr">
        <is>
          <t>Lote_02_25</t>
        </is>
      </c>
      <c r="B39" s="4" t="n">
        <v>118</v>
      </c>
      <c r="C39" s="4" t="inlineStr">
        <is>
          <t>Massively parallel characterization of non-coding de novo mutations in autism spectrum disorder</t>
        </is>
      </c>
      <c r="D39" s="4" t="inlineStr">
        <is>
          <t>10.1016/j.jgg.2025.07.008</t>
        </is>
      </c>
      <c r="E39" s="4" t="inlineStr">
        <is>
          <t>Publisher-indexed article text; cohort sources, prioritization methods, discussion and experimental validation sections recovered</t>
        </is>
      </c>
      <c r="F39" s="4" t="inlineStr">
        <is>
          <t>Cerrado: texto suficiente revisado</t>
        </is>
      </c>
      <c r="G39" s="4" t="inlineStr">
        <is>
          <t>Include</t>
        </is>
      </c>
      <c r="H39" s="4" t="inlineStr">
        <is>
          <t>Biological/omics (non-coding de novo variants and regulatory genomics)</t>
        </is>
      </c>
      <c r="I39" s="4" t="inlineStr">
        <is>
          <t>Deep Learning</t>
        </is>
      </c>
      <c r="J39" s="4" t="inlineStr">
        <is>
          <t>Cell-specific deep-learning variant-effect prediction model</t>
        </is>
      </c>
      <c r="K39" s="4" t="inlineStr">
        <is>
          <t>Not specified</t>
        </is>
      </c>
      <c r="L39" s="4" t="inlineStr">
        <is>
          <t>Research only</t>
        </is>
      </c>
      <c r="M39" s="4" t="n">
        <v>0</v>
      </c>
      <c r="N39" s="4" t="n">
        <v>0</v>
      </c>
      <c r="O39" s="4" t="n">
        <v>0</v>
      </c>
      <c r="P39" s="4" t="n">
        <v>0</v>
      </c>
      <c r="Q39" s="4" t="n">
        <v>0</v>
      </c>
      <c r="R39" s="4" t="n">
        <v>0</v>
      </c>
      <c r="S39" s="4" t="n">
        <v>0</v>
      </c>
      <c r="T39" s="4" t="inlineStr">
        <is>
          <t>https://www.sciencedirect.com/science/article/pii/S167385272500205X</t>
        </is>
      </c>
      <c r="U39" s="4" t="inlineStr">
        <is>
          <t>Analyzes ncDNMs from SSC and MSSNG using a cell-specific variant-effect model and MPRA follow-up, prioritizing ASD-risk regulatory mutations.</t>
        </is>
      </c>
      <c r="V39" s="4" t="inlineStr">
        <is>
          <t>This is mechanistic genomic research rather than a clinical-stage decision tool. Multiple cohorts/assays were not coded as formal multisource model fusion or cross-site validation.</t>
        </is>
      </c>
      <c r="W39" s="4" t="inlineStr">
        <is>
          <t>Verificacion independiente del revisor humano antes del cierre final</t>
        </is>
      </c>
      <c r="X39" s="4" t="inlineStr">
        <is>
          <t>Media</t>
        </is>
      </c>
      <c r="Y39" s="4" t="inlineStr">
        <is>
          <t>No sustituye la segunda revision humana definida en el protocolo.</t>
        </is>
      </c>
      <c r="Z39" s="4" t="n"/>
      <c r="AA39" s="4" t="n"/>
      <c r="AB39" s="4" t="n"/>
      <c r="AC39" s="4" t="n"/>
    </row>
    <row r="40" ht="73" customHeight="1">
      <c r="A40" s="4" t="inlineStr">
        <is>
          <t>Lote_02_25</t>
        </is>
      </c>
      <c r="B40" s="4" t="n">
        <v>122</v>
      </c>
      <c r="C40" s="4" t="inlineStr">
        <is>
          <t>A novel hybrid deep learning model using MEResNextfor autism spectrum disorder detection</t>
        </is>
      </c>
      <c r="D40" s="4" t="inlineStr">
        <is>
          <t>10.1016/j.compbiolchem.2025.108619</t>
        </is>
      </c>
      <c r="E40" s="4" t="inlineStr">
        <is>
          <t>Publisher-indexed article text; methodology, experiments, results and conclusion recovered</t>
        </is>
      </c>
      <c r="F40" s="4" t="inlineStr">
        <is>
          <t>Cerrado: texto suficiente revisado</t>
        </is>
      </c>
      <c r="G40" s="4" t="inlineStr">
        <is>
          <t>Include</t>
        </is>
      </c>
      <c r="H40" s="4" t="inlineStr">
        <is>
          <t>Structured behavioral / questionnaire screening data</t>
        </is>
      </c>
      <c r="I40" s="4" t="inlineStr">
        <is>
          <t>Hybrid</t>
        </is>
      </c>
      <c r="J40" s="4" t="inlineStr">
        <is>
          <t>MEResNeXt (MoNet + ResNeXt) with DeSEHO feature selection</t>
        </is>
      </c>
      <c r="K40" s="4" t="inlineStr">
        <is>
          <t>Screening</t>
        </is>
      </c>
      <c r="L40" s="4" t="inlineStr">
        <is>
          <t>Research only</t>
        </is>
      </c>
      <c r="M40" s="4" t="n">
        <v>0</v>
      </c>
      <c r="N40" s="4" t="n">
        <v>0</v>
      </c>
      <c r="O40" s="4" t="n">
        <v>0</v>
      </c>
      <c r="P40" s="4" t="n">
        <v>0</v>
      </c>
      <c r="Q40" s="4" t="n">
        <v>0</v>
      </c>
      <c r="R40" s="4" t="n">
        <v>0</v>
      </c>
      <c r="S40" s="4" t="n">
        <v>0</v>
      </c>
      <c r="T40" s="4" t="inlineStr">
        <is>
          <t>https://www.sciencedirect.com/science/article/pii/S1476927125002804</t>
        </is>
      </c>
      <c r="U40" s="4" t="inlineStr">
        <is>
          <t>Proposes MEResNeXt with feature selection for ASD detection on a structured toddler screening dataset and reports high classification performance.</t>
        </is>
      </c>
      <c r="V40" s="4" t="inlineStr">
        <is>
          <t>No independent external cohort, prospective workflow, cross-site test or formal XAI was identified in the recovered article text.</t>
        </is>
      </c>
      <c r="W40" s="4" t="inlineStr">
        <is>
          <t>Verificacion independiente del revisor humano antes del cierre final</t>
        </is>
      </c>
      <c r="X40" s="4" t="inlineStr">
        <is>
          <t>Media</t>
        </is>
      </c>
      <c r="Y40" s="4" t="inlineStr">
        <is>
          <t>No sustituye la segunda revision humana definida en el protocolo.</t>
        </is>
      </c>
      <c r="Z40" s="4" t="n"/>
      <c r="AA40" s="4" t="n"/>
      <c r="AB40" s="4" t="n"/>
      <c r="AC40" s="4" t="n"/>
    </row>
    <row r="41" ht="86" customHeight="1">
      <c r="A41" s="4" t="inlineStr">
        <is>
          <t>Lote_02_25</t>
        </is>
      </c>
      <c r="B41" s="4" t="n">
        <v>123</v>
      </c>
      <c r="C41" s="4" t="inlineStr">
        <is>
          <t>FaithfulNet: An explainable deep learning framework for autism diagnosis using structural MRI</t>
        </is>
      </c>
      <c r="D41" s="4" t="inlineStr">
        <is>
          <t>10.1016/j.brainres.2025.149904</t>
        </is>
      </c>
      <c r="E41" s="4" t="inlineStr">
        <is>
          <t>Publisher-indexed article text; architecture, explanation method, evaluation, discussion and conclusion recovered</t>
        </is>
      </c>
      <c r="F41" s="4" t="inlineStr">
        <is>
          <t>Cerrado: texto suficiente revisado</t>
        </is>
      </c>
      <c r="G41" s="4" t="inlineStr">
        <is>
          <t>Include</t>
        </is>
      </c>
      <c r="H41" s="4" t="inlineStr">
        <is>
          <t>Neuroimaging (structural MRI / ABIDE-II)</t>
        </is>
      </c>
      <c r="I41" s="4" t="inlineStr">
        <is>
          <t>Deep Learning</t>
        </is>
      </c>
      <c r="J41" s="4" t="inlineStr">
        <is>
          <t>FaithfulNet 3D CNN + Faith_CAM (Grad-CAM + SHAP)</t>
        </is>
      </c>
      <c r="K41" s="4" t="inlineStr">
        <is>
          <t>Diagnosis</t>
        </is>
      </c>
      <c r="L41" s="4" t="inlineStr">
        <is>
          <t>Research only</t>
        </is>
      </c>
      <c r="M41" s="4" t="n">
        <v>0</v>
      </c>
      <c r="N41" s="4" t="n">
        <v>1</v>
      </c>
      <c r="O41" s="4" t="n">
        <v>0</v>
      </c>
      <c r="P41" s="4" t="n">
        <v>0</v>
      </c>
      <c r="Q41" s="4" t="n">
        <v>1</v>
      </c>
      <c r="R41" s="4" t="n">
        <v>0</v>
      </c>
      <c r="S41" s="4" t="n">
        <v>0</v>
      </c>
      <c r="T41" s="4" t="inlineStr">
        <is>
          <t>https://www.sciencedirect.com/science/article/pii/S0006899325004676</t>
        </is>
      </c>
      <c r="U41" s="4" t="inlineStr">
        <is>
          <t>FaithfulNet classifies ABIDE-II sMRI and Faith_CAM combines Grad-CAM with SHAP for explanation/region localization; very high internal performance is reported.</t>
        </is>
      </c>
      <c r="V41" s="4" t="inlineStr">
        <is>
          <t>ABIDE-II is multisite, but no site-held-out or independent external validation was identified. Very high performance warrants leakage/partition review during human verification.</t>
        </is>
      </c>
      <c r="W41" s="4" t="inlineStr">
        <is>
          <t>Verificacion independiente del revisor humano antes del cierre final</t>
        </is>
      </c>
      <c r="X41" s="4" t="inlineStr">
        <is>
          <t>Media</t>
        </is>
      </c>
      <c r="Y41" s="4" t="inlineStr">
        <is>
          <t>No sustituye la segunda revision humana definida en el protocolo.</t>
        </is>
      </c>
      <c r="Z41" s="4" t="n"/>
      <c r="AA41" s="4" t="n"/>
      <c r="AB41" s="4" t="n"/>
      <c r="AC41" s="4" t="n"/>
    </row>
    <row r="42" ht="60" customHeight="1">
      <c r="A42" s="4" t="inlineStr">
        <is>
          <t>Lote_02_25</t>
        </is>
      </c>
      <c r="B42" s="4" t="n">
        <v>126</v>
      </c>
      <c r="C42" s="4" t="inlineStr">
        <is>
          <t>CARE: Comprehensive Artificial Intelligence Techniques for Reliable Autism Evaluation in Pediatric Care</t>
        </is>
      </c>
      <c r="D42" s="4" t="inlineStr">
        <is>
          <t>10.32604/cmc.2025.067784</t>
        </is>
      </c>
      <c r="E42" s="4" t="inlineStr">
        <is>
          <t>Open-access publisher full text (HTML/PDF) reviewed</t>
        </is>
      </c>
      <c r="F42" s="4" t="inlineStr">
        <is>
          <t>Cerrado: texto suficiente revisado</t>
        </is>
      </c>
      <c r="G42" s="4" t="inlineStr">
        <is>
          <t>Include</t>
        </is>
      </c>
      <c r="H42" s="4" t="inlineStr">
        <is>
          <t>Structured behavioral / questionnaire / clinical-trait data</t>
        </is>
      </c>
      <c r="I42" s="4" t="inlineStr">
        <is>
          <t>Machine Learning</t>
        </is>
      </c>
      <c r="J42" s="4" t="inlineStr">
        <is>
          <t>CatBoost + PyCaret AutoML + SHAP</t>
        </is>
      </c>
      <c r="K42" s="4" t="inlineStr">
        <is>
          <t>Screening</t>
        </is>
      </c>
      <c r="L42" s="4" t="inlineStr">
        <is>
          <t>Proposed only</t>
        </is>
      </c>
      <c r="M42" s="4" t="n">
        <v>0</v>
      </c>
      <c r="N42" s="4" t="n">
        <v>0</v>
      </c>
      <c r="O42" s="4" t="n">
        <v>0</v>
      </c>
      <c r="P42" s="4" t="n">
        <v>0</v>
      </c>
      <c r="Q42" s="4" t="n">
        <v>1</v>
      </c>
      <c r="R42" s="4" t="n">
        <v>0</v>
      </c>
      <c r="S42" s="4" t="n">
        <v>0</v>
      </c>
      <c r="T42" s="4" t="inlineStr">
        <is>
          <t>https://www.techscience.com/cmc/v85n1/63573/html</t>
        </is>
      </c>
      <c r="U42" s="4" t="inlineStr">
        <is>
          <t>CARE evaluates AutoML/CatBoost on a pediatric ASD-traits dataset and uses SHAP for explicit feature-level explanation.</t>
        </is>
      </c>
      <c r="V42" s="4" t="inlineStr">
        <is>
          <t>Retrospective/public structured-data modeling only; no independent external cohort or prospective pediatric workflow evaluation was demonstrated.</t>
        </is>
      </c>
      <c r="W42" s="4" t="inlineStr">
        <is>
          <t>Verificacion independiente del revisor humano antes del cierre final</t>
        </is>
      </c>
      <c r="X42" s="4" t="inlineStr">
        <is>
          <t>Media</t>
        </is>
      </c>
      <c r="Y42" s="4" t="inlineStr">
        <is>
          <t>No sustituye la segunda revision humana definida en el protocolo.</t>
        </is>
      </c>
      <c r="Z42" s="4" t="n"/>
      <c r="AA42" s="4" t="n"/>
      <c r="AB42" s="4" t="n"/>
      <c r="AC42" s="4" t="n"/>
    </row>
    <row r="43" ht="86" customHeight="1">
      <c r="A43" s="4" t="inlineStr">
        <is>
          <t>Lote_02_25</t>
        </is>
      </c>
      <c r="B43" s="4" t="n">
        <v>134</v>
      </c>
      <c r="C43" s="4" t="inlineStr">
        <is>
          <t>ASD-HybridNet: A hybrid deep learning framework for detection of autism spectrum disorder</t>
        </is>
      </c>
      <c r="D43" s="4" t="inlineStr">
        <is>
          <t>10.1016/j.mri.2025.110492</t>
        </is>
      </c>
      <c r="E43" s="4" t="inlineStr">
        <is>
          <t>Publisher-indexed article text; dataset, architecture, training/evaluation and results recovered</t>
        </is>
      </c>
      <c r="F43" s="4" t="inlineStr">
        <is>
          <t>Cerrado: texto suficiente revisado</t>
        </is>
      </c>
      <c r="G43" s="4" t="inlineStr">
        <is>
          <t>Include</t>
        </is>
      </c>
      <c r="H43" s="4" t="inlineStr">
        <is>
          <t>Neuroimaging (rs-fMRI / ABIDE-I)</t>
        </is>
      </c>
      <c r="I43" s="4" t="inlineStr">
        <is>
          <t>Deep Learning</t>
        </is>
      </c>
      <c r="J43" s="4" t="inlineStr">
        <is>
          <t>ASD-HybridNet (ROI time-series + functional-connectivity map fusion)</t>
        </is>
      </c>
      <c r="K43" s="4" t="inlineStr">
        <is>
          <t>Diagnosis</t>
        </is>
      </c>
      <c r="L43" s="4" t="inlineStr">
        <is>
          <t>Research only</t>
        </is>
      </c>
      <c r="M43" s="4" t="n">
        <v>0</v>
      </c>
      <c r="N43" s="4" t="n">
        <v>1</v>
      </c>
      <c r="O43" s="4" t="n">
        <v>0</v>
      </c>
      <c r="P43" s="4" t="n">
        <v>0</v>
      </c>
      <c r="Q43" s="4" t="n">
        <v>0</v>
      </c>
      <c r="R43" s="4" t="n">
        <v>0</v>
      </c>
      <c r="S43" s="4" t="n">
        <v>0</v>
      </c>
      <c r="T43" s="4" t="inlineStr">
        <is>
          <t>https://www.sciencedirect.com/science/article/pii/S0730725X25001766</t>
        </is>
      </c>
      <c r="U43" s="4" t="inlineStr">
        <is>
          <t>ASD-HybridNet fuses ROI time-series and functional-connectivity representations from ABIDE-I; reported accuracy is about 71.87%.</t>
        </is>
      </c>
      <c r="V43" s="4" t="inlineStr">
        <is>
          <t>The fused inputs are representations of the same rs-fMRI source, so q3_multisource_data remains 0. ABIDE-I is multisite but no site-held-out test was identified.</t>
        </is>
      </c>
      <c r="W43" s="4" t="inlineStr">
        <is>
          <t>Verificacion independiente del revisor humano antes del cierre final</t>
        </is>
      </c>
      <c r="X43" s="4" t="inlineStr">
        <is>
          <t>Media</t>
        </is>
      </c>
      <c r="Y43" s="4" t="inlineStr">
        <is>
          <t>No sustituye la segunda revision humana definida en el protocolo.</t>
        </is>
      </c>
      <c r="Z43" s="4" t="n"/>
      <c r="AA43" s="4" t="n"/>
      <c r="AB43" s="4" t="n"/>
      <c r="AC43" s="4" t="n"/>
    </row>
    <row r="44" ht="73" customHeight="1">
      <c r="A44" s="4" t="inlineStr">
        <is>
          <t>Lote_02_25</t>
        </is>
      </c>
      <c r="B44" s="4" t="n">
        <v>142</v>
      </c>
      <c r="C44" s="4" t="inlineStr">
        <is>
          <t>Proximal policy optimization (PPO) algorithm's role in autonomous decision-making for autism</t>
        </is>
      </c>
      <c r="D44" s="4" t="inlineStr">
        <is>
          <t>10.1016/j.rineng.2025.107683</t>
        </is>
      </c>
      <c r="E44" s="4" t="inlineStr">
        <is>
          <t>Open-access full article text reviewed; simulation methodology and results are explicit</t>
        </is>
      </c>
      <c r="F44" s="4" t="inlineStr">
        <is>
          <t>Cerrado: texto suficiente revisado</t>
        </is>
      </c>
      <c r="G44" s="4" t="inlineStr">
        <is>
          <t>Exclude</t>
        </is>
      </c>
      <c r="H44" s="4" t="n"/>
      <c r="I44" s="4" t="n"/>
      <c r="J44" s="4" t="n"/>
      <c r="K44" s="4" t="n"/>
      <c r="L44" s="4" t="n"/>
      <c r="M44" s="4" t="n"/>
      <c r="N44" s="4" t="n"/>
      <c r="O44" s="4" t="n"/>
      <c r="P44" s="4" t="n"/>
      <c r="Q44" s="4" t="n"/>
      <c r="R44" s="4" t="n"/>
      <c r="S44" s="4" t="n"/>
      <c r="T44" s="4" t="inlineStr">
        <is>
          <t>https://www.sciencedirect.com/science/article/pii/S2590123025037363</t>
        </is>
      </c>
      <c r="U44" s="4" t="inlineStr">
        <is>
          <t>PPO is evaluated entirely in a Unity ML-Agents police-thief simulation. The paper states that structured trials with autistic participants are future work.</t>
        </is>
      </c>
      <c r="V44" s="4" t="inlineStr">
        <is>
          <t>No human ASD data or participant evaluation is present; under EC6 this simulation-only study cannot support a human clinical/care ASD application.</t>
        </is>
      </c>
      <c r="W44" s="4" t="inlineStr">
        <is>
          <t>Verificacion independiente del revisor humano antes del cierre final</t>
        </is>
      </c>
      <c r="X44" s="4" t="inlineStr">
        <is>
          <t>Media</t>
        </is>
      </c>
      <c r="Y44" s="4" t="inlineStr">
        <is>
          <t>No sustituye la segunda revision humana definida en el protocolo.</t>
        </is>
      </c>
      <c r="Z44" s="4" t="n"/>
      <c r="AA44" s="4" t="n"/>
      <c r="AB44" s="4" t="n"/>
      <c r="AC44" s="4" t="n"/>
    </row>
    <row r="45" ht="86" customHeight="1">
      <c r="A45" s="4" t="inlineStr">
        <is>
          <t>Lote_02_25</t>
        </is>
      </c>
      <c r="B45" s="4" t="n">
        <v>146</v>
      </c>
      <c r="C45" s="4" t="inlineStr">
        <is>
          <t>Deep learning-based detection of autism spectrum disorder and emotion recognition in children</t>
        </is>
      </c>
      <c r="D45" s="4" t="inlineStr">
        <is>
          <t>10.1016/j.patcog.2025.112906</t>
        </is>
      </c>
      <c r="E45" s="4" t="inlineStr">
        <is>
          <t>Publisher-indexed article text; datasets, methodology, experimental setup and conclusion recovered</t>
        </is>
      </c>
      <c r="F45" s="4" t="inlineStr">
        <is>
          <t>Cerrado: texto suficiente revisado</t>
        </is>
      </c>
      <c r="G45" s="4" t="inlineStr">
        <is>
          <t>Include</t>
        </is>
      </c>
      <c r="H45" s="4" t="inlineStr">
        <is>
          <t>Facial images</t>
        </is>
      </c>
      <c r="I45" s="4" t="inlineStr">
        <is>
          <t>Deep Learning</t>
        </is>
      </c>
      <c r="J45" s="4" t="inlineStr">
        <is>
          <t>ResNet50V2 + InceptionV3 for ASD detection; Enhanced MobileNet for emotion recognition</t>
        </is>
      </c>
      <c r="K45" s="4" t="inlineStr">
        <is>
          <t>Screening</t>
        </is>
      </c>
      <c r="L45" s="4" t="inlineStr">
        <is>
          <t>Proposed only</t>
        </is>
      </c>
      <c r="M45" s="4" t="n">
        <v>0</v>
      </c>
      <c r="N45" s="4" t="n">
        <v>0</v>
      </c>
      <c r="O45" s="4" t="n">
        <v>0</v>
      </c>
      <c r="P45" s="4" t="n">
        <v>0</v>
      </c>
      <c r="Q45" s="4" t="n">
        <v>0</v>
      </c>
      <c r="R45" s="4" t="n">
        <v>0</v>
      </c>
      <c r="S45" s="4" t="n">
        <v>0</v>
      </c>
      <c r="T45" s="4" t="inlineStr">
        <is>
          <t>https://www.sciencedirect.com/science/article/pii/S0031320325015699</t>
        </is>
      </c>
      <c r="U45" s="4" t="inlineStr">
        <is>
          <t>Combines deep CNN architectures for child facial ASD detection and emotion recognition on public image datasets; ASD accuracy is reported near 95%.</t>
        </is>
      </c>
      <c r="V45" s="4" t="inlineStr">
        <is>
          <t>No external clinical cohort, prospective workflow or formal XAI was identified; explainability/multimodal extensions are presented as future directions.</t>
        </is>
      </c>
      <c r="W45" s="4" t="inlineStr">
        <is>
          <t>Verificacion independiente del revisor humano antes del cierre final</t>
        </is>
      </c>
      <c r="X45" s="4" t="inlineStr">
        <is>
          <t>Media</t>
        </is>
      </c>
      <c r="Y45" s="4" t="inlineStr">
        <is>
          <t>No sustituye la segunda revision humana definida en el protocolo.</t>
        </is>
      </c>
      <c r="Z45" s="4" t="n"/>
      <c r="AA45" s="4" t="n"/>
      <c r="AB45" s="4" t="n"/>
      <c r="AC45" s="4" t="n"/>
    </row>
    <row r="46" ht="86" customHeight="1">
      <c r="A46" s="4" t="inlineStr">
        <is>
          <t>Lote_02_25</t>
        </is>
      </c>
      <c r="B46" s="4" t="n">
        <v>149</v>
      </c>
      <c r="C46" s="4" t="inlineStr">
        <is>
          <t>A new approach in autism diagnosis: Evaluating natural interaction using point of view (POV) glasses</t>
        </is>
      </c>
      <c r="D46" s="4" t="inlineStr">
        <is>
          <t>10.1016/j.ajp.2025.104798</t>
        </is>
      </c>
      <c r="E46" s="4" t="inlineStr">
        <is>
          <t>Full-text/OA article source located; participant protocol, feature extraction and results recovered</t>
        </is>
      </c>
      <c r="F46" s="4" t="inlineStr">
        <is>
          <t>Cerrado: texto suficiente revisado</t>
        </is>
      </c>
      <c r="G46" s="4" t="inlineStr">
        <is>
          <t>Include</t>
        </is>
      </c>
      <c r="H46" s="4" t="inlineStr">
        <is>
          <t>Behavioral video / naturalistic facial-social interaction (POV camera)</t>
        </is>
      </c>
      <c r="I46" s="4" t="inlineStr">
        <is>
          <t>Machine Learning</t>
        </is>
      </c>
      <c r="J46" s="4" t="inlineStr">
        <is>
          <t>OpenFace + MediaPipe features with AdaBoost/decision-tree classification</t>
        </is>
      </c>
      <c r="K46" s="4" t="inlineStr">
        <is>
          <t>Diagnosis</t>
        </is>
      </c>
      <c r="L46" s="4" t="inlineStr">
        <is>
          <t>Research only</t>
        </is>
      </c>
      <c r="M46" s="4" t="n">
        <v>0</v>
      </c>
      <c r="N46" s="4" t="n">
        <v>0</v>
      </c>
      <c r="O46" s="4" t="n">
        <v>0</v>
      </c>
      <c r="P46" s="4" t="n">
        <v>1</v>
      </c>
      <c r="Q46" s="4" t="n">
        <v>0</v>
      </c>
      <c r="R46" s="4" t="n">
        <v>0</v>
      </c>
      <c r="S46" s="4" t="n">
        <v>0</v>
      </c>
      <c r="T46" s="4" t="inlineStr">
        <is>
          <t>https://www.sciencedirect.com/science/article/pii/S1876201825004411</t>
        </is>
      </c>
      <c r="U46" s="4" t="inlineStr">
        <is>
          <t>Uses examiner-worn POV glasses with 29 ASD and 27 non-ASD children aged 17-36 months; CV features feed AdaBoost/decision trees, with reported AUC about 0.95.</t>
        </is>
      </c>
      <c r="V46" s="4" t="inlineStr">
        <is>
          <t>Prospective participant data were collected, but the model was not validated in an independent site/cohort or used to determine real clinical decisions during care.</t>
        </is>
      </c>
      <c r="W46" s="4" t="inlineStr">
        <is>
          <t>Verificacion independiente del revisor humano antes del cierre final</t>
        </is>
      </c>
      <c r="X46" s="4" t="inlineStr">
        <is>
          <t>Media</t>
        </is>
      </c>
      <c r="Y46" s="4" t="inlineStr">
        <is>
          <t>No sustituye la segunda revision humana definida en el protocolo.</t>
        </is>
      </c>
      <c r="Z46" s="4" t="n"/>
      <c r="AA46" s="4" t="n"/>
      <c r="AB46" s="4" t="n"/>
      <c r="AC46" s="4" t="n"/>
    </row>
    <row r="47" ht="60" customHeight="1">
      <c r="A47" s="4" t="inlineStr">
        <is>
          <t>Lote_02_25</t>
        </is>
      </c>
      <c r="B47" s="4" t="n">
        <v>154</v>
      </c>
      <c r="C47" s="4" t="inlineStr">
        <is>
          <t>A two-step temporal data augmentation and supervised learning framework for predicting autism diagnosis at 36 months in patients with tuberous sclerosis complex</t>
        </is>
      </c>
      <c r="D47" s="4" t="inlineStr">
        <is>
          <t>10.1016/j.compbiomed.2026.111719</t>
        </is>
      </c>
      <c r="E47" s="4" t="inlineStr">
        <is>
          <t>Open-access full text/PMC plus publisher sections reviewed</t>
        </is>
      </c>
      <c r="F47" s="4" t="inlineStr">
        <is>
          <t>Cerrado: texto suficiente revisado</t>
        </is>
      </c>
      <c r="G47" s="4" t="inlineStr">
        <is>
          <t>Include</t>
        </is>
      </c>
      <c r="H47" s="4" t="inlineStr">
        <is>
          <t>Multimodal (longitudinal DTI neuroimaging + ADOS/ADI-R behavioral data)</t>
        </is>
      </c>
      <c r="I47" s="4" t="inlineStr">
        <is>
          <t>Machine Learning</t>
        </is>
      </c>
      <c r="J47" s="4" t="inlineStr">
        <is>
          <t>Regularized logistic regression (LASSO / elastic net)</t>
        </is>
      </c>
      <c r="K47" s="4" t="inlineStr">
        <is>
          <t>Prognosis</t>
        </is>
      </c>
      <c r="L47" s="4" t="inlineStr">
        <is>
          <t>Research only</t>
        </is>
      </c>
      <c r="M47" s="4" t="n">
        <v>0</v>
      </c>
      <c r="N47" s="4" t="n">
        <v>1</v>
      </c>
      <c r="O47" s="4" t="n">
        <v>0</v>
      </c>
      <c r="P47" s="4" t="n">
        <v>1</v>
      </c>
      <c r="Q47" s="4" t="n">
        <v>0</v>
      </c>
      <c r="R47" s="4" t="n">
        <v>0</v>
      </c>
      <c r="S47" s="4" t="n">
        <v>1</v>
      </c>
      <c r="T47" s="4" t="inlineStr">
        <is>
          <t>https://pmc.ncbi.nlm.nih.gov/articles/PMC13175081/</t>
        </is>
      </c>
      <c r="U47" s="4" t="inlineStr">
        <is>
          <t>TACERN is a prospective longitudinal multisite study; DTI plus behavioral features from 93 children predict 36-month ASD diagnosis, with regularized logistic regression AUC about 0.808-0.831.</t>
        </is>
      </c>
      <c r="V47" s="4" t="inlineStr">
        <is>
          <t>Although the cohort is multisite and prospective, the recovered evaluation uses repeated train-test procedures rather than an explicit site-held-out or independent external validation cohort.</t>
        </is>
      </c>
      <c r="W47" s="4" t="inlineStr">
        <is>
          <t>Verificacion independiente del revisor humano antes del cierre final</t>
        </is>
      </c>
      <c r="X47" s="4" t="inlineStr">
        <is>
          <t>Media</t>
        </is>
      </c>
      <c r="Y47" s="4" t="inlineStr">
        <is>
          <t>No sustituye la segunda revision humana definida en el protocolo.</t>
        </is>
      </c>
      <c r="Z47" s="4" t="n"/>
      <c r="AA47" s="4" t="n"/>
      <c r="AB47" s="4" t="n"/>
      <c r="AC47" s="4" t="n"/>
    </row>
    <row r="48" ht="99" customHeight="1">
      <c r="A48" s="4" t="inlineStr">
        <is>
          <t>Lote_02_25</t>
        </is>
      </c>
      <c r="B48" s="4" t="n">
        <v>162</v>
      </c>
      <c r="C48" s="4" t="inlineStr">
        <is>
          <t>EMLF-Net: A multi-level feature fusion network based on autism EEG signals for autism spectrum disorder classification</t>
        </is>
      </c>
      <c r="D48" s="4" t="inlineStr">
        <is>
          <t>10.1016/j.bspc.2025.109180</t>
        </is>
      </c>
      <c r="E48" s="4" t="inlineStr">
        <is>
          <t>Publisher-indexed article text; dataset, subject-dependent/independent experiments, discussion and conclusion recovered</t>
        </is>
      </c>
      <c r="F48" s="4" t="inlineStr">
        <is>
          <t>Cerrado: texto suficiente revisado</t>
        </is>
      </c>
      <c r="G48" s="4" t="inlineStr">
        <is>
          <t>Include</t>
        </is>
      </c>
      <c r="H48" s="4" t="inlineStr">
        <is>
          <t>Physiological signals (EEG)</t>
        </is>
      </c>
      <c r="I48" s="4" t="inlineStr">
        <is>
          <t>Deep Learning</t>
        </is>
      </c>
      <c r="J48" s="4" t="inlineStr">
        <is>
          <t>EMLF-Net (HDFR + DFB + OFB multi-level feature fusion)</t>
        </is>
      </c>
      <c r="K48" s="4" t="inlineStr">
        <is>
          <t>Diagnosis</t>
        </is>
      </c>
      <c r="L48" s="4" t="inlineStr">
        <is>
          <t>Research only</t>
        </is>
      </c>
      <c r="M48" s="4" t="n">
        <v>0</v>
      </c>
      <c r="N48" s="4" t="n">
        <v>0</v>
      </c>
      <c r="O48" s="4" t="n">
        <v>0</v>
      </c>
      <c r="P48" s="4" t="n">
        <v>0</v>
      </c>
      <c r="Q48" s="4" t="n">
        <v>0</v>
      </c>
      <c r="R48" s="4" t="n">
        <v>1</v>
      </c>
      <c r="S48" s="4" t="n">
        <v>0</v>
      </c>
      <c r="T48" s="4" t="inlineStr">
        <is>
          <t>https://www.sciencedirect.com/science/article/pii/S174680942501691X</t>
        </is>
      </c>
      <c r="U48" s="4" t="inlineStr">
        <is>
          <t>EMLF-Net fuses time- and frequency-domain EEG features; KAU results are 99.20% subject-dependent and 92.09% subject-independent; topographic analysis shows channel importance.</t>
        </is>
      </c>
      <c r="V48" s="4" t="inlineStr">
        <is>
          <t>Single small public dataset (12 ASD, 5 TD). Topographic/channel-importance visualization was coded as partial interpretability, not formal XAI.</t>
        </is>
      </c>
      <c r="W48" s="4" t="inlineStr">
        <is>
          <t>Verificacion independiente del revisor humano antes del cierre final</t>
        </is>
      </c>
      <c r="X48" s="4" t="inlineStr">
        <is>
          <t>Media</t>
        </is>
      </c>
      <c r="Y48" s="4" t="inlineStr">
        <is>
          <t>No sustituye la segunda revision humana definida en el protocolo.</t>
        </is>
      </c>
      <c r="Z48" s="4" t="n"/>
      <c r="AA48" s="4" t="n"/>
      <c r="AB48" s="4" t="n"/>
      <c r="AC48" s="4" t="n"/>
    </row>
    <row r="49" ht="86" customHeight="1">
      <c r="A49" s="4" t="inlineStr">
        <is>
          <t>Lote_02_25</t>
        </is>
      </c>
      <c r="B49" s="4" t="n">
        <v>180</v>
      </c>
      <c r="C49" s="4" t="inlineStr">
        <is>
          <t>The effect of spatial and intensity level augmentation of structural magnetic resonance images on autism diagnosis model</t>
        </is>
      </c>
      <c r="D49" s="4" t="inlineStr">
        <is>
          <t>10.1016/j.ajp.2026.104830</t>
        </is>
      </c>
      <c r="E49" s="4" t="inlineStr">
        <is>
          <t>Publisher-indexed article text; methodology, multi-site ABIDE data, results, discussion and conclusion recovered</t>
        </is>
      </c>
      <c r="F49" s="4" t="inlineStr">
        <is>
          <t>Cerrado: texto suficiente revisado</t>
        </is>
      </c>
      <c r="G49" s="4" t="inlineStr">
        <is>
          <t>Include</t>
        </is>
      </c>
      <c r="H49" s="4" t="inlineStr">
        <is>
          <t>Neuroimaging (structural MRI / ABIDE)</t>
        </is>
      </c>
      <c r="I49" s="4" t="inlineStr">
        <is>
          <t>Deep Learning</t>
        </is>
      </c>
      <c r="J49" s="4" t="inlineStr">
        <is>
          <t>ResNet34 with spatial and intensity data augmentation</t>
        </is>
      </c>
      <c r="K49" s="4" t="inlineStr">
        <is>
          <t>Diagnosis</t>
        </is>
      </c>
      <c r="L49" s="4" t="inlineStr">
        <is>
          <t>Research only</t>
        </is>
      </c>
      <c r="M49" s="4" t="n">
        <v>0</v>
      </c>
      <c r="N49" s="4" t="n">
        <v>1</v>
      </c>
      <c r="O49" s="4" t="n">
        <v>0</v>
      </c>
      <c r="P49" s="4" t="n">
        <v>0</v>
      </c>
      <c r="Q49" s="4" t="n">
        <v>0</v>
      </c>
      <c r="R49" s="4" t="n">
        <v>0</v>
      </c>
      <c r="S49" s="4" t="n">
        <v>0</v>
      </c>
      <c r="T49" s="4" t="inlineStr">
        <is>
          <t>https://doi.org/10.1016/j.ajp.2026.104830</t>
        </is>
      </c>
      <c r="U49" s="4" t="inlineStr">
        <is>
          <t>Systematically evaluates spatial and intensity augmentation on structural MRI with ResNet34; combined augmentation improves reported AUC to 0.7433.</t>
        </is>
      </c>
      <c r="V49" s="4" t="inlineStr">
        <is>
          <t>ABIDE data are multisite, but no site-held-out cross-site evaluation was identified. The study evaluates augmentation robustness, not external clinical generalization.</t>
        </is>
      </c>
      <c r="W49" s="4" t="inlineStr">
        <is>
          <t>Verificacion independiente del revisor humano antes del cierre final</t>
        </is>
      </c>
      <c r="X49" s="4" t="inlineStr">
        <is>
          <t>Media</t>
        </is>
      </c>
      <c r="Y49" s="4" t="inlineStr">
        <is>
          <t>No sustituye la segunda revision humana definida en el protocolo.</t>
        </is>
      </c>
      <c r="Z49" s="4" t="n"/>
      <c r="AA49" s="4" t="n"/>
      <c r="AB49" s="4" t="n"/>
      <c r="AC49" s="4" t="n"/>
    </row>
    <row r="50" ht="86" customHeight="1">
      <c r="A50" s="4" t="inlineStr">
        <is>
          <t>Lote_02_25</t>
        </is>
      </c>
      <c r="B50" s="4" t="n">
        <v>181</v>
      </c>
      <c r="C50" s="4" t="inlineStr">
        <is>
          <t>Human-centered AI for inclusive tourism: enhancing travel planning for adults with autism spectrum disorder</t>
        </is>
      </c>
      <c r="D50" s="4" t="inlineStr">
        <is>
          <t>10.1016/j.ijhcs.2025.103696</t>
        </is>
      </c>
      <c r="E50" s="4" t="inlineStr">
        <is>
          <t>Open-access editorial PDF located in institutional repository; system design and user-study results available</t>
        </is>
      </c>
      <c r="F50" s="4" t="inlineStr">
        <is>
          <t>Cerrado: texto suficiente revisado</t>
        </is>
      </c>
      <c r="G50" s="4" t="inlineStr">
        <is>
          <t>Include</t>
        </is>
      </c>
      <c r="H50" s="4" t="inlineStr">
        <is>
          <t>Digital interaction / travel-planning preferences and itinerary data</t>
        </is>
      </c>
      <c r="I50" s="4" t="inlineStr">
        <is>
          <t>Not specified</t>
        </is>
      </c>
      <c r="J50" s="4" t="inlineStr">
        <is>
          <t>CARES AI-driven information-filtering and interactive itinerary-planning system</t>
        </is>
      </c>
      <c r="K50" s="4" t="inlineStr">
        <is>
          <t>Monitoring/intervention</t>
        </is>
      </c>
      <c r="L50" s="4" t="inlineStr">
        <is>
          <t>Confirmed in intervention</t>
        </is>
      </c>
      <c r="M50" s="4" t="n">
        <v>0</v>
      </c>
      <c r="N50" s="4" t="n">
        <v>0</v>
      </c>
      <c r="O50" s="4" t="n">
        <v>0</v>
      </c>
      <c r="P50" s="4" t="n">
        <v>1</v>
      </c>
      <c r="Q50" s="4" t="n">
        <v>0</v>
      </c>
      <c r="R50" s="4" t="n">
        <v>0</v>
      </c>
      <c r="S50" s="4" t="n">
        <v>0</v>
      </c>
      <c r="T50" s="4" t="inlineStr">
        <is>
          <t>https://iris.unito.it/handle/2318/2114230</t>
        </is>
      </c>
      <c r="U50" s="4" t="inlineStr">
        <is>
          <t>CARES is a human-centered AI trip planner tested with 14 autistic adults, designed to reduce information overload while preserving user decision autonomy.</t>
        </is>
      </c>
      <c r="V50" s="4" t="inlineStr">
        <is>
          <t>The paper demonstrates an assistive user-facing intervention, not a clinical diagnostic workflow. The exact algorithm family does not map cleanly to ML/DL and is therefore left Not specified.</t>
        </is>
      </c>
      <c r="W50" s="4" t="inlineStr">
        <is>
          <t>Verificacion independiente del revisor humano antes del cierre final</t>
        </is>
      </c>
      <c r="X50" s="4" t="inlineStr">
        <is>
          <t>Media</t>
        </is>
      </c>
      <c r="Y50" s="4" t="inlineStr">
        <is>
          <t>No sustituye la segunda revision humana definida en el protocolo.</t>
        </is>
      </c>
      <c r="Z50" s="4" t="n"/>
      <c r="AA50" s="4" t="n"/>
      <c r="AB50" s="4" t="n"/>
      <c r="AC50" s="4" t="n"/>
    </row>
    <row r="51" ht="99" customHeight="1">
      <c r="A51" s="4" t="inlineStr">
        <is>
          <t>Lote_02_25</t>
        </is>
      </c>
      <c r="B51" s="4" t="n">
        <v>183</v>
      </c>
      <c r="C51" s="4" t="inlineStr">
        <is>
          <t>Adaptive Multi-Scale Dynamic Graph Representation Learning With Overlapping Community-Awareness for ASD Classification</t>
        </is>
      </c>
      <c r="D51" s="4" t="inlineStr">
        <is>
          <t>10.1109/JBHI.2025.3622540</t>
        </is>
      </c>
      <c r="E51" s="4" t="inlineStr">
        <is>
          <t>Peer-reviewed abstract/metadata available from PubMed/IEEE; full Methods/Results text not retrieved in a verifiable source</t>
        </is>
      </c>
      <c r="F51" s="4" t="inlineStr">
        <is>
          <t>Pendiente: texto completo insuficiente</t>
        </is>
      </c>
      <c r="G51" s="4" t="inlineStr">
        <is>
          <t>Pending adjudication</t>
        </is>
      </c>
      <c r="H51" s="4" t="n"/>
      <c r="I51" s="4" t="n"/>
      <c r="J51" s="4" t="n"/>
      <c r="K51" s="4" t="n"/>
      <c r="L51" s="4" t="n"/>
      <c r="M51" s="4" t="n"/>
      <c r="N51" s="4" t="n"/>
      <c r="O51" s="4" t="n"/>
      <c r="P51" s="4" t="n"/>
      <c r="Q51" s="4" t="n"/>
      <c r="R51" s="4" t="n"/>
      <c r="S51" s="4" t="n"/>
      <c r="T51" s="4" t="inlineStr">
        <is>
          <t>https://pubmed.ncbi.nlm.nih.gov/41359708/</t>
        </is>
      </c>
      <c r="U51" s="4" t="inlineStr">
        <is>
          <t>Ada-MST uses personalized multi-scale dynamic functional-connectivity graphs and an overlapping community-aware GNN readout on ABIDE-I/II; the abstract reports improved classification and biomarker-oriented visualizations.</t>
        </is>
      </c>
      <c r="V51" s="4" t="inlineStr">
        <is>
          <t>Without full Methods/Results, it is not safe to adjudicate the validation split, external/cross-site robustness, or whether the visualization meets the review XAI criteria.</t>
        </is>
      </c>
      <c r="W51" s="4" t="inlineStr">
        <is>
          <t>Abrir/obtener el PDF o HTML completo y revisar Methods/Results antes de adjudicar</t>
        </is>
      </c>
      <c r="X51" s="4" t="inlineStr">
        <is>
          <t>Alta</t>
        </is>
      </c>
      <c r="Y51" s="4" t="inlineStr">
        <is>
          <t>Acceso/report localizado; no se marca como report not retrieved.</t>
        </is>
      </c>
      <c r="Z51" s="4" t="n"/>
      <c r="AA51" s="4" t="n"/>
      <c r="AB51" s="4" t="n"/>
      <c r="AC51" s="4" t="n"/>
    </row>
    <row r="52" ht="151" customHeight="1">
      <c r="A52" s="4" t="inlineStr">
        <is>
          <t>Lote_03_25</t>
        </is>
      </c>
      <c r="B52" s="4" t="n">
        <v>187</v>
      </c>
      <c r="C52" s="4" t="n"/>
      <c r="D52" s="4" t="inlineStr">
        <is>
          <t>10.1016/j.procs.2026.06.363</t>
        </is>
      </c>
      <c r="E52" s="4" t="inlineStr">
        <is>
          <t>Publisher OA article text and indexed methods/results sufficient for scoped coding</t>
        </is>
      </c>
      <c r="F52" s="4" t="inlineStr">
        <is>
          <t>Cerrado: texto/contenido suficiente revisado</t>
        </is>
      </c>
      <c r="G52" s="4" t="n"/>
      <c r="H52" s="4" t="inlineStr">
        <is>
          <t>Multimodal (handwriting samples + behavioral questionnaires)</t>
        </is>
      </c>
      <c r="I52" s="4" t="inlineStr">
        <is>
          <t>Hybrid</t>
        </is>
      </c>
      <c r="J52" s="4" t="inlineStr">
        <is>
          <t>Hybrid ViT-Mamba / Mamba state-space multimodal architecture</t>
        </is>
      </c>
      <c r="K52" s="4" t="inlineStr">
        <is>
          <t>Screening</t>
        </is>
      </c>
      <c r="L52" s="4" t="inlineStr">
        <is>
          <t>Proposed only</t>
        </is>
      </c>
      <c r="M52" s="4" t="n">
        <v>0</v>
      </c>
      <c r="N52" s="4" t="n">
        <v>0</v>
      </c>
      <c r="O52" s="4" t="n">
        <v>0</v>
      </c>
      <c r="P52" s="4" t="n">
        <v>0</v>
      </c>
      <c r="Q52" s="4" t="n">
        <v>0</v>
      </c>
      <c r="R52" s="4" t="n">
        <v>0</v>
      </c>
      <c r="S52" s="4" t="n">
        <v>1</v>
      </c>
      <c r="T52" s="4" t="inlineStr">
        <is>
          <t>https://www.sciencedirect.com/science/article/pii/S1877050926019952</t>
        </is>
      </c>
      <c r="U52" s="4" t="inlineStr">
        <is>
          <t>Combines handwriting and behavioral questionnaire data with a Mamba-enabled multimodal architecture; reported screening accuracy is 95%.</t>
        </is>
      </c>
      <c r="V52" s="4" t="n"/>
      <c r="W52" s="4" t="n"/>
      <c r="X52" s="4" t="inlineStr">
        <is>
          <t>Media</t>
        </is>
      </c>
      <c r="Y52" s="4" t="inlineStr">
        <is>
          <t>No sustituye la segunda revision humana definida en el protocolo.</t>
        </is>
      </c>
      <c r="Z52" s="4" t="inlineStr">
        <is>
          <t>Early Identification of Autism Spectrum Disorder using a Hybrid ViT–Mamba Multimodal Architecture</t>
        </is>
      </c>
      <c r="AA52" s="4" t="inlineStr">
        <is>
          <t>Include</t>
        </is>
      </c>
      <c r="AB52" s="4" t="inlineStr">
        <is>
          <t>Evaluation is experimental and the article itself describes uncertain/limited datasets; no independent external cohort, prospective deployment, site-held-out robustness, or formal XAI was identified.</t>
        </is>
      </c>
      <c r="AC52" s="4" t="inlineStr">
        <is>
          <t>Verificacion independiente del revisor humano antes del cierre final</t>
        </is>
      </c>
    </row>
    <row r="53" ht="151" customHeight="1">
      <c r="A53" s="4" t="inlineStr">
        <is>
          <t>Lote_03_25</t>
        </is>
      </c>
      <c r="B53" s="4" t="n">
        <v>188</v>
      </c>
      <c r="C53" s="4" t="n"/>
      <c r="D53" s="4" t="inlineStr">
        <is>
          <t>10.1016/j.jpsychires.2026.03.043</t>
        </is>
      </c>
      <c r="E53" s="4" t="inlineStr">
        <is>
          <t>Open-access publisher short communication plus PubMed record; methods/results sufficient for scoped coding</t>
        </is>
      </c>
      <c r="F53" s="4" t="inlineStr">
        <is>
          <t>Cerrado: texto/contenido suficiente revisado</t>
        </is>
      </c>
      <c r="G53" s="4" t="n"/>
      <c r="H53" s="4" t="inlineStr">
        <is>
          <t>Structured clinical / ADI-R treatment-response data</t>
        </is>
      </c>
      <c r="I53" s="4" t="inlineStr">
        <is>
          <t>Machine Learning</t>
        </is>
      </c>
      <c r="J53" s="4" t="inlineStr">
        <is>
          <t>Predictive modelling with normalized feature importance + SHAP (base learner not specified in recovered text)</t>
        </is>
      </c>
      <c r="K53" s="4" t="inlineStr">
        <is>
          <t>Prognosis</t>
        </is>
      </c>
      <c r="L53" s="4" t="inlineStr">
        <is>
          <t>Research only</t>
        </is>
      </c>
      <c r="M53" s="4" t="n">
        <v>0</v>
      </c>
      <c r="N53" s="4" t="n">
        <v>0</v>
      </c>
      <c r="O53" s="4" t="n">
        <v>0</v>
      </c>
      <c r="P53" s="4" t="n">
        <v>1</v>
      </c>
      <c r="Q53" s="4" t="n">
        <v>1</v>
      </c>
      <c r="R53" s="4" t="n">
        <v>0</v>
      </c>
      <c r="S53" s="4" t="n">
        <v>0</v>
      </c>
      <c r="T53" s="4" t="inlineStr">
        <is>
          <t>https://www.sciencedirect.com/science/article/pii/S0022395626001998</t>
        </is>
      </c>
      <c r="U53" s="4" t="inlineStr">
        <is>
          <t>Baseline ADI-R features were used to distinguish tDCS responders; SHAP linked lower verbal communication severity to greater RRB reduction and a model-derived threshold of 19.6 was reported.</t>
        </is>
      </c>
      <c r="V53" s="4" t="n"/>
      <c r="W53" s="4" t="n"/>
      <c r="X53" s="4" t="inlineStr">
        <is>
          <t>Media</t>
        </is>
      </c>
      <c r="Y53" s="4" t="inlineStr">
        <is>
          <t>No sustituye la segunda revision humana definida en el protocolo.</t>
        </is>
      </c>
      <c r="Z53" s="4" t="inlineStr">
        <is>
          <t>Baseline symptom severity and response to multisession cathodal transcranial direct current stimulation in adolescents and young adults with autism: an exploratory analysis</t>
        </is>
      </c>
      <c r="AA53" s="4" t="inlineStr">
        <is>
          <t>Include</t>
        </is>
      </c>
      <c r="AB53" s="4" t="inlineStr">
        <is>
          <t>Exploratory analysis from a registered intervention protocol. The article explicitly calls for replication in larger independent cohorts; the exact base learner was not recoverable from the indexed text.</t>
        </is>
      </c>
      <c r="AC53" s="4" t="inlineStr">
        <is>
          <t>Verificacion independiente del revisor humano antes del cierre final</t>
        </is>
      </c>
    </row>
    <row r="54" ht="125" customHeight="1">
      <c r="A54" s="4" t="inlineStr">
        <is>
          <t>Lote_03_25</t>
        </is>
      </c>
      <c r="B54" s="4" t="n">
        <v>190</v>
      </c>
      <c r="C54" s="4" t="n"/>
      <c r="D54" s="4" t="inlineStr">
        <is>
          <t>10.1016/j.bspc.2025.108976</t>
        </is>
      </c>
      <c r="E54" s="4" t="inlineStr">
        <is>
          <t>Publisher indexed article text with method section snippets and dataset description</t>
        </is>
      </c>
      <c r="F54" s="4" t="inlineStr">
        <is>
          <t>Cerrado: texto/contenido suficiente revisado</t>
        </is>
      </c>
      <c r="G54" s="4" t="n"/>
      <c r="H54" s="4" t="inlineStr">
        <is>
          <t>Neuroimaging (MRI / Acerta-ABIDE)</t>
        </is>
      </c>
      <c r="I54" s="4" t="inlineStr">
        <is>
          <t>Hybrid</t>
        </is>
      </c>
      <c r="J54" s="4" t="inlineStr">
        <is>
          <t>FHOA + DenWide-Net (DenseNet/WideResNet optimization pipeline)</t>
        </is>
      </c>
      <c r="K54" s="4" t="inlineStr">
        <is>
          <t>Diagnosis</t>
        </is>
      </c>
      <c r="L54" s="4" t="inlineStr">
        <is>
          <t>Research only</t>
        </is>
      </c>
      <c r="M54" s="4" t="n">
        <v>0</v>
      </c>
      <c r="N54" s="4" t="n">
        <v>1</v>
      </c>
      <c r="O54" s="4" t="n">
        <v>0</v>
      </c>
      <c r="P54" s="4" t="n">
        <v>0</v>
      </c>
      <c r="Q54" s="4" t="n">
        <v>0</v>
      </c>
      <c r="R54" s="4" t="n">
        <v>0</v>
      </c>
      <c r="S54" s="4" t="n">
        <v>0</v>
      </c>
      <c r="T54" s="4" t="inlineStr">
        <is>
          <t>https://www.sciencedirect.com/science/article/pii/S1746809425014879</t>
        </is>
      </c>
      <c r="U54" s="4" t="inlineStr">
        <is>
          <t>Uses Acerta-ABIDE brain MRI with Wiener filtering, ROI extraction, fractional hiking optimization and Dense WideResNet; reported accuracy is about 91%.</t>
        </is>
      </c>
      <c r="V54" s="4" t="n"/>
      <c r="W54" s="4" t="n"/>
      <c r="X54" s="4" t="inlineStr">
        <is>
          <t>Media</t>
        </is>
      </c>
      <c r="Y54" s="4" t="inlineStr">
        <is>
          <t>No sustituye la segunda revision humana definida en el protocolo.</t>
        </is>
      </c>
      <c r="Z54" s="4" t="inlineStr">
        <is>
          <t>DenWide-Net: Dense WideresNet for autism spectrum disorder detection using MRI image</t>
        </is>
      </c>
      <c r="AA54" s="4" t="inlineStr">
        <is>
          <t>Include</t>
        </is>
      </c>
      <c r="AB54" s="4" t="inlineStr">
        <is>
          <t>ABIDE is multisite, but no explicit site-held-out or independent external validation design was identified; no prospective clinical evaluation or formal XAI was reported.</t>
        </is>
      </c>
      <c r="AC54" s="4" t="inlineStr">
        <is>
          <t>Verificacion independiente del revisor humano antes del cierre final</t>
        </is>
      </c>
    </row>
    <row r="55" ht="164" customHeight="1">
      <c r="A55" s="4" t="inlineStr">
        <is>
          <t>Lote_03_25</t>
        </is>
      </c>
      <c r="B55" s="4" t="n">
        <v>198</v>
      </c>
      <c r="C55" s="4" t="n"/>
      <c r="D55" s="4" t="inlineStr">
        <is>
          <t>10.1002/jdn.70117</t>
        </is>
      </c>
      <c r="E55" s="4" t="inlineStr">
        <is>
          <t>Publisher abstract and bibliographic record only; internal reporting inconsistency prevents reliable full-text adjudication</t>
        </is>
      </c>
      <c r="F55" s="4" t="inlineStr">
        <is>
          <t>Pendiente: texto completo insuficiente/inconsistente</t>
        </is>
      </c>
      <c r="G55" s="4" t="n"/>
      <c r="H55" s="4" t="n"/>
      <c r="I55" s="4" t="n"/>
      <c r="J55" s="4" t="n"/>
      <c r="K55" s="4" t="n"/>
      <c r="L55" s="4" t="n"/>
      <c r="M55" s="4" t="n"/>
      <c r="N55" s="4" t="n"/>
      <c r="O55" s="4" t="n"/>
      <c r="P55" s="4" t="n"/>
      <c r="Q55" s="4" t="n"/>
      <c r="R55" s="4" t="n"/>
      <c r="S55" s="4" t="n"/>
      <c r="T55" s="4" t="inlineStr">
        <is>
          <t>https://onlinelibrary.wiley.com/doi/10.1002/jdn.70117</t>
        </is>
      </c>
      <c r="U55" s="4" t="inlineStr">
        <is>
          <t>The abstract describes multimodal facial, gaze, speech and behavioral fusion with CbRNN-EM/NCIAPPF and experimental screening results.</t>
        </is>
      </c>
      <c r="V55" s="4" t="n"/>
      <c r="W55" s="4" t="n"/>
      <c r="X55" s="4" t="inlineStr">
        <is>
          <t>Alta</t>
        </is>
      </c>
      <c r="Y55" s="4" t="inlineStr">
        <is>
          <t>Acceso/report localizado; no se marca como report not retrieved.</t>
        </is>
      </c>
      <c r="Z55" s="4" t="inlineStr">
        <is>
          <t>A Multimodal AI Framework for Early Autism Identification Using CbRNN–Ensemble Modelling and Advanced NCIAPPF-Based Temporal Encoding</t>
        </is>
      </c>
      <c r="AA55" s="4" t="inlineStr">
        <is>
          <t>Pending adjudication</t>
        </is>
      </c>
      <c r="AB55" s="4" t="inlineStr">
        <is>
          <t>The same publisher record states that no datasets were generated or analyzed, which conflicts with the claimed experimental evaluation. Full Methods/Results are needed before eligibility and RQ2/RQ3 coding can be trusted.</t>
        </is>
      </c>
      <c r="AC55" s="4" t="inlineStr">
        <is>
          <t>Obtener/abrir Methods y Results completos y reconciliar la inconsistencia antes de adjudicar</t>
        </is>
      </c>
    </row>
    <row r="56" ht="125" customHeight="1">
      <c r="A56" s="4" t="inlineStr">
        <is>
          <t>Lote_03_25</t>
        </is>
      </c>
      <c r="B56" s="4" t="n">
        <v>199</v>
      </c>
      <c r="C56" s="4" t="n"/>
      <c r="D56" s="4" t="inlineStr">
        <is>
          <t>10.1044/2026_AJSLP-25-00469</t>
        </is>
      </c>
      <c r="E56" s="4" t="inlineStr">
        <is>
          <t>Publisher/PubMed detailed research abstract with participant methods and results sufficient for scoped coding</t>
        </is>
      </c>
      <c r="F56" s="4" t="inlineStr">
        <is>
          <t>Cerrado: texto/contenido suficiente revisado</t>
        </is>
      </c>
      <c r="G56" s="4" t="n"/>
      <c r="H56" s="4" t="inlineStr">
        <is>
          <t>Facial images / facial emotion-expression data</t>
        </is>
      </c>
      <c r="I56" s="4" t="inlineStr">
        <is>
          <t>Deep Learning</t>
        </is>
      </c>
      <c r="J56" s="4" t="inlineStr">
        <is>
          <t>DeepFace facial emotion recognition with individualized calibration</t>
        </is>
      </c>
      <c r="K56" s="4" t="inlineStr">
        <is>
          <t>Monitoring/intervention</t>
        </is>
      </c>
      <c r="L56" s="4" t="inlineStr">
        <is>
          <t>Proposed only</t>
        </is>
      </c>
      <c r="M56" s="4" t="n">
        <v>0</v>
      </c>
      <c r="N56" s="4" t="n">
        <v>0</v>
      </c>
      <c r="O56" s="4" t="n">
        <v>0</v>
      </c>
      <c r="P56" s="4" t="n">
        <v>1</v>
      </c>
      <c r="Q56" s="4" t="n">
        <v>0</v>
      </c>
      <c r="R56" s="4" t="n">
        <v>0</v>
      </c>
      <c r="S56" s="4" t="n">
        <v>0</v>
      </c>
      <c r="T56" s="4" t="inlineStr">
        <is>
          <t>https://pubs.asha.org/doi/10.1044/2026_AJSLP-25-00469</t>
        </is>
      </c>
      <c r="U56" s="4" t="inlineStr">
        <is>
          <t>Twelve neurotypical children and four autistic children completed imitation and semispontaneous emotion tasks using DeepFace with individualized calibration; provisional accuracy and user experience were reported.</t>
        </is>
      </c>
      <c r="V56" s="4" t="n"/>
      <c r="W56" s="4" t="n"/>
      <c r="X56" s="4" t="inlineStr">
        <is>
          <t>Media</t>
        </is>
      </c>
      <c r="Y56" s="4" t="inlineStr">
        <is>
          <t>No sustituye la segunda revision humana definida en el protocolo.</t>
        </is>
      </c>
      <c r="Z56" s="4" t="inlineStr">
        <is>
          <t>Artificial Intelligence for Enhancing Emotion Expression in Augmentative and Alternative Communication Systems: A Preliminary Study Including Children Both With and Without Autism.</t>
        </is>
      </c>
      <c r="AA56" s="4" t="inlineStr">
        <is>
          <t>Include</t>
        </is>
      </c>
      <c r="AB56" s="4" t="inlineStr">
        <is>
          <t>Very small ASD subgroup and no active AAC users. The study is preliminary; multimodal inputs, broader populations and real-world AAC deployment remain future work.</t>
        </is>
      </c>
      <c r="AC56" s="4" t="inlineStr">
        <is>
          <t>Verificacion independiente del revisor humano antes del cierre final</t>
        </is>
      </c>
    </row>
    <row r="57" ht="138" customHeight="1">
      <c r="A57" s="4" t="inlineStr">
        <is>
          <t>Lote_03_25</t>
        </is>
      </c>
      <c r="B57" s="4" t="n">
        <v>203</v>
      </c>
      <c r="C57" s="4" t="n"/>
      <c r="D57" s="4" t="inlineStr">
        <is>
          <t>10.1007/s00381-025-07119-2</t>
        </is>
      </c>
      <c r="E57" s="4" t="inlineStr">
        <is>
          <t>PubMed and institutional repository abstract with detailed methods/results; publisher article located</t>
        </is>
      </c>
      <c r="F57" s="4" t="inlineStr">
        <is>
          <t>Cerrado: texto/contenido suficiente revisado</t>
        </is>
      </c>
      <c r="G57" s="4" t="n"/>
      <c r="H57" s="4" t="inlineStr">
        <is>
          <t>Multimodal neuroimaging (CT + MRI morphometry)</t>
        </is>
      </c>
      <c r="I57" s="4" t="inlineStr">
        <is>
          <t>Machine Learning</t>
        </is>
      </c>
      <c r="J57" s="4" t="inlineStr">
        <is>
          <t>Binary decision tree classifier on cranial morphometric parameters</t>
        </is>
      </c>
      <c r="K57" s="4" t="inlineStr">
        <is>
          <t>Prognosis</t>
        </is>
      </c>
      <c r="L57" s="4" t="inlineStr">
        <is>
          <t>Research only</t>
        </is>
      </c>
      <c r="M57" s="4" t="n">
        <v>0</v>
      </c>
      <c r="N57" s="4" t="n">
        <v>0</v>
      </c>
      <c r="O57" s="4" t="n">
        <v>0</v>
      </c>
      <c r="P57" s="4" t="n">
        <v>0</v>
      </c>
      <c r="Q57" s="4" t="n">
        <v>0</v>
      </c>
      <c r="R57" s="4" t="n">
        <v>1</v>
      </c>
      <c r="S57" s="4" t="n">
        <v>1</v>
      </c>
      <c r="T57" s="4" t="inlineStr">
        <is>
          <t>https://pubmed.ncbi.nlm.nih.gov/41535441/</t>
        </is>
      </c>
      <c r="U57" s="4" t="inlineStr">
        <is>
          <t>CT/MRI morphometry and a binary tree classifier identified tentorium angle as a potential predictor of postsurgical ASD symptom improvement in children with Chiari I malformation.</t>
        </is>
      </c>
      <c r="V57" s="4" t="n"/>
      <c r="W57" s="4" t="n"/>
      <c r="X57" s="4" t="inlineStr">
        <is>
          <t>Media</t>
        </is>
      </c>
      <c r="Y57" s="4" t="inlineStr">
        <is>
          <t>No sustituye la segunda revision humana definida en el protocolo.</t>
        </is>
      </c>
      <c r="Z57" s="4" t="inlineStr">
        <is>
          <t>Individuation of predictive parameters of posterior cranial fossa decompression in pediatric patients with Chiari I malformation and autism spectrum disorder</t>
        </is>
      </c>
      <c r="AA57" s="4" t="inlineStr">
        <is>
          <t>Include</t>
        </is>
      </c>
      <c r="AB57" s="4" t="inlineStr">
        <is>
          <t>Narrow comorbid pediatric population and retrospective/small-cohort design limit generalizability. The tree/cutoff is interpretable, but no external or prospective validation was identified.</t>
        </is>
      </c>
      <c r="AC57" s="4" t="inlineStr">
        <is>
          <t>Verificacion independiente del revisor humano antes del cierre final</t>
        </is>
      </c>
    </row>
    <row r="58" ht="125" customHeight="1">
      <c r="A58" s="4" t="inlineStr">
        <is>
          <t>Lote_03_25</t>
        </is>
      </c>
      <c r="B58" s="4" t="n">
        <v>204</v>
      </c>
      <c r="C58" s="4" t="n"/>
      <c r="D58" s="4" t="inlineStr">
        <is>
          <t>10.1007/s13246-025-01681-4</t>
        </is>
      </c>
      <c r="E58" s="4" t="inlineStr">
        <is>
          <t>PubMed/publisher indexed research article with detailed model and dataset description</t>
        </is>
      </c>
      <c r="F58" s="4" t="inlineStr">
        <is>
          <t>Cerrado: texto/contenido suficiente revisado</t>
        </is>
      </c>
      <c r="G58" s="4" t="n"/>
      <c r="H58" s="4" t="inlineStr">
        <is>
          <t>Neuroimaging (brain images / ABIDE)</t>
        </is>
      </c>
      <c r="I58" s="4" t="inlineStr">
        <is>
          <t>Hybrid</t>
        </is>
      </c>
      <c r="J58" s="4" t="inlineStr">
        <is>
          <t>MResNet + ACAL-BL adaptive-attention LSTM with Bayesian learning + RFMPA optimization</t>
        </is>
      </c>
      <c r="K58" s="4" t="inlineStr">
        <is>
          <t>Diagnosis</t>
        </is>
      </c>
      <c r="L58" s="4" t="inlineStr">
        <is>
          <t>Research only</t>
        </is>
      </c>
      <c r="M58" s="4" t="n">
        <v>0</v>
      </c>
      <c r="N58" s="4" t="n">
        <v>1</v>
      </c>
      <c r="O58" s="4" t="n">
        <v>0</v>
      </c>
      <c r="P58" s="4" t="n">
        <v>0</v>
      </c>
      <c r="Q58" s="4" t="n">
        <v>0</v>
      </c>
      <c r="R58" s="4" t="n">
        <v>0</v>
      </c>
      <c r="S58" s="4" t="n">
        <v>0</v>
      </c>
      <c r="T58" s="4" t="inlineStr">
        <is>
          <t>https://pubmed.ncbi.nlm.nih.gov/41642457/</t>
        </is>
      </c>
      <c r="U58" s="4" t="inlineStr">
        <is>
          <t>Combines MResNet feature extraction, adaptive cascaded-attention LSTM with Bayesian learning and metaheuristic optimization on ABIDE brain images.</t>
        </is>
      </c>
      <c r="V58" s="4" t="n"/>
      <c r="W58" s="4" t="n"/>
      <c r="X58" s="4" t="inlineStr">
        <is>
          <t>Media</t>
        </is>
      </c>
      <c r="Y58" s="4" t="inlineStr">
        <is>
          <t>No sustituye la segunda revision humana definida en el protocolo.</t>
        </is>
      </c>
      <c r="Z58" s="4" t="inlineStr">
        <is>
          <t>An automated detection system of autism spectrum disorder using meta-heuristic approach of adaptive LSTM with bayesian learning technique</t>
        </is>
      </c>
      <c r="AA58" s="4" t="inlineStr">
        <is>
          <t>Include</t>
        </is>
      </c>
      <c r="AB58" s="4" t="inlineStr">
        <is>
          <t>Public multisite dataset use does not establish independent external or site-held-out validation. Attention is architectural and was not counted as formal XAI.</t>
        </is>
      </c>
      <c r="AC58" s="4" t="inlineStr">
        <is>
          <t>Verificacion independiente del revisor humano antes del cierre final</t>
        </is>
      </c>
    </row>
    <row r="59" ht="164" customHeight="1">
      <c r="A59" s="4" t="inlineStr">
        <is>
          <t>Lote_03_25</t>
        </is>
      </c>
      <c r="B59" s="4" t="n">
        <v>208</v>
      </c>
      <c r="C59" s="4" t="n"/>
      <c r="D59" s="4" t="inlineStr">
        <is>
          <t>10.1007/s11517-026-03530-2</t>
        </is>
      </c>
      <c r="E59" s="4" t="inlineStr">
        <is>
          <t>PubMed indexed research article with external-test and LIME details sufficient for scoped coding</t>
        </is>
      </c>
      <c r="F59" s="4" t="inlineStr">
        <is>
          <t>Cerrado: texto/contenido suficiente revisado</t>
        </is>
      </c>
      <c r="G59" s="4" t="n"/>
      <c r="H59" s="4" t="inlineStr">
        <is>
          <t>Neuroimaging (resting-state fMRI / ABIDE + ADHD-200)</t>
        </is>
      </c>
      <c r="I59" s="4" t="inlineStr">
        <is>
          <t>Deep Learning</t>
        </is>
      </c>
      <c r="J59" s="4" t="inlineStr">
        <is>
          <t>ADBrainNet lightweight deep neural network + LIME</t>
        </is>
      </c>
      <c r="K59" s="4" t="inlineStr">
        <is>
          <t>Diagnosis</t>
        </is>
      </c>
      <c r="L59" s="4" t="inlineStr">
        <is>
          <t>Research only</t>
        </is>
      </c>
      <c r="M59" s="4" t="n">
        <v>1</v>
      </c>
      <c r="N59" s="4" t="n">
        <v>1</v>
      </c>
      <c r="O59" s="4" t="n">
        <v>0</v>
      </c>
      <c r="P59" s="4" t="n">
        <v>0</v>
      </c>
      <c r="Q59" s="4" t="n">
        <v>1</v>
      </c>
      <c r="R59" s="4" t="n">
        <v>0</v>
      </c>
      <c r="S59" s="4" t="n">
        <v>0</v>
      </c>
      <c r="T59" s="4" t="inlineStr">
        <is>
          <t>https://pubmed.ncbi.nlm.nih.gov/41781648/</t>
        </is>
      </c>
      <c r="U59" s="4" t="inlineStr">
        <is>
          <t>ADBrainNet uses rs-fMRI from ABIDE and ADHD-200 and reports an independent external testing set; LIME was used to identify influential features.</t>
        </is>
      </c>
      <c r="V59" s="4" t="n"/>
      <c r="W59" s="4" t="n"/>
      <c r="X59" s="4" t="inlineStr">
        <is>
          <t>Alta</t>
        </is>
      </c>
      <c r="Y59" s="4" t="inlineStr">
        <is>
          <t>No sustituye la segunda revision humana definida en el protocolo.</t>
        </is>
      </c>
      <c r="Z59" s="4" t="inlineStr">
        <is>
          <t>ADBrainNet: a deep neural network for Autism Spectrum Disorder (ASD) and Attention Deficit and Hyperactivity Disorder (ADHD) classification using resting-state fMRI images based on explainable artificial intelligence.</t>
        </is>
      </c>
      <c r="AA59" s="4" t="inlineStr">
        <is>
          <t>Include</t>
        </is>
      </c>
      <c r="AB59" s="4" t="inlineStr">
        <is>
          <t>The abstract describes the external test together with five-fold cross-validation, so the exact independence of the external evaluation should be checked manually. No explicit site-held-out robustness analysis was identified.</t>
        </is>
      </c>
      <c r="AC59" s="4" t="inlineStr">
        <is>
          <t>Verificacion independiente del revisor humano antes del cierre final</t>
        </is>
      </c>
    </row>
    <row r="60" ht="125" customHeight="1">
      <c r="A60" s="4" t="inlineStr">
        <is>
          <t>Lote_03_25</t>
        </is>
      </c>
      <c r="B60" s="4" t="n">
        <v>209</v>
      </c>
      <c r="C60" s="4" t="n"/>
      <c r="D60" s="4" t="inlineStr">
        <is>
          <t>10.1016/j.bbr.2026.116220</t>
        </is>
      </c>
      <c r="E60" s="4" t="inlineStr">
        <is>
          <t>Publisher/PubMed detailed research abstract with validation protocol and model architecture</t>
        </is>
      </c>
      <c r="F60" s="4" t="inlineStr">
        <is>
          <t>Cerrado: texto/contenido suficiente revisado</t>
        </is>
      </c>
      <c r="G60" s="4" t="n"/>
      <c r="H60" s="4" t="inlineStr">
        <is>
          <t>Physiological signals (resting-state EEG)</t>
        </is>
      </c>
      <c r="I60" s="4" t="inlineStr">
        <is>
          <t>Machine Learning</t>
        </is>
      </c>
      <c r="J60" s="4" t="inlineStr">
        <is>
          <t>Stacked Random Forest ensemble using spatial EEG and temporal microstate/HMM features</t>
        </is>
      </c>
      <c r="K60" s="4" t="inlineStr">
        <is>
          <t>Diagnosis</t>
        </is>
      </c>
      <c r="L60" s="4" t="inlineStr">
        <is>
          <t>Research only</t>
        </is>
      </c>
      <c r="M60" s="4" t="n">
        <v>0</v>
      </c>
      <c r="N60" s="4" t="n">
        <v>0</v>
      </c>
      <c r="O60" s="4" t="n">
        <v>0</v>
      </c>
      <c r="P60" s="4" t="n">
        <v>0</v>
      </c>
      <c r="Q60" s="4" t="n">
        <v>0</v>
      </c>
      <c r="R60" s="4" t="n">
        <v>0</v>
      </c>
      <c r="S60" s="4" t="n">
        <v>0</v>
      </c>
      <c r="T60" s="4" t="inlineStr">
        <is>
          <t>https://www.sciencedirect.com/science/article/pii/S0166432826001968</t>
        </is>
      </c>
      <c r="U60" s="4" t="inlineStr">
        <is>
          <t>A stacked Random Forest ensemble integrates spectral/connectivity/complexity features with microstate and HMM dynamics, reaching 96.3% accuracy under GroupKFold validation.</t>
        </is>
      </c>
      <c r="V60" s="4" t="n"/>
      <c r="W60" s="4" t="n"/>
      <c r="X60" s="4" t="inlineStr">
        <is>
          <t>Media</t>
        </is>
      </c>
      <c r="Y60" s="4" t="inlineStr">
        <is>
          <t>No sustituye la segunda revision humana definida en el protocolo.</t>
        </is>
      </c>
      <c r="Z60" s="4" t="inlineStr">
        <is>
          <t>Integrating EEG microstate dynamics in a stacked ensemble for neurodiagnostic ASD assessment</t>
        </is>
      </c>
      <c r="AA60" s="4" t="inlineStr">
        <is>
          <t>Include</t>
        </is>
      </c>
      <c r="AB60" s="4" t="inlineStr">
        <is>
          <t>Validation is internal GroupKFold; no independent external cohort, multisite/site-held-out robustness, prospective evaluation, or formal XAI was identified.</t>
        </is>
      </c>
      <c r="AC60" s="4" t="inlineStr">
        <is>
          <t>Verificacion independiente del revisor humano antes del cierre final</t>
        </is>
      </c>
    </row>
    <row r="61" ht="112" customHeight="1">
      <c r="A61" s="4" t="inlineStr">
        <is>
          <t>Lote_03_25</t>
        </is>
      </c>
      <c r="B61" s="4" t="n">
        <v>211</v>
      </c>
      <c r="C61" s="4" t="n"/>
      <c r="D61" s="4" t="inlineStr">
        <is>
          <t>10.1002/9781394271177.CH13</t>
        </is>
      </c>
      <c r="E61" s="4" t="inlineStr">
        <is>
          <t>Publisher book record and chapter metadata reviewed</t>
        </is>
      </c>
      <c r="F61" s="4" t="inlineStr">
        <is>
          <t>Cerrado: contenido suficiente revisado</t>
        </is>
      </c>
      <c r="G61" s="4" t="n"/>
      <c r="H61" s="4" t="n"/>
      <c r="I61" s="4" t="n"/>
      <c r="J61" s="4" t="n"/>
      <c r="K61" s="4" t="n"/>
      <c r="L61" s="4" t="n"/>
      <c r="M61" s="4" t="n"/>
      <c r="N61" s="4" t="n"/>
      <c r="O61" s="4" t="n"/>
      <c r="P61" s="4" t="n"/>
      <c r="Q61" s="4" t="n"/>
      <c r="R61" s="4" t="n"/>
      <c r="S61" s="4" t="n"/>
      <c r="T61" s="4" t="inlineStr">
        <is>
          <t>https://onlinelibrary.wiley.com/doi/10.1002/9781394271177.ch13</t>
        </is>
      </c>
      <c r="U61" s="4" t="inlineStr">
        <is>
          <t>Wiley identifies the item as Chapter 13, Predicting Autism: A Deep Learning Approach with CNN-LSTM, in the edited book Wearable Technologies for Digital Medicine.</t>
        </is>
      </c>
      <c r="V61" s="4" t="n"/>
      <c r="W61" s="4" t="n"/>
      <c r="X61" s="4" t="inlineStr">
        <is>
          <t>Media</t>
        </is>
      </c>
      <c r="Y61" s="4" t="inlineStr">
        <is>
          <t>No sustituye la segunda revision humana definida en el protocolo.</t>
        </is>
      </c>
      <c r="Z61" s="4" t="inlineStr">
        <is>
          <t>Predicting Autism</t>
        </is>
      </c>
      <c r="AA61" s="4" t="inlineStr">
        <is>
          <t>Exclude</t>
        </is>
      </c>
      <c r="AB61" s="4" t="inlineStr">
        <is>
          <t>Publication-type exclusion under the stated protocol. No RQ extraction should be added even if the chapter describes an empirical framework.</t>
        </is>
      </c>
      <c r="AC61" s="4" t="inlineStr">
        <is>
          <t>Verificacion independiente del revisor humano antes del cierre final</t>
        </is>
      </c>
    </row>
    <row r="62" ht="112" customHeight="1">
      <c r="A62" s="4" t="inlineStr">
        <is>
          <t>Lote_03_25</t>
        </is>
      </c>
      <c r="B62" s="4" t="n">
        <v>213</v>
      </c>
      <c r="C62" s="4" t="n"/>
      <c r="D62" s="4" t="inlineStr">
        <is>
          <t>10.1016/j.eswa.2025.130671</t>
        </is>
      </c>
      <c r="E62" s="4" t="inlineStr">
        <is>
          <t>Publisher indexed article text and detailed abstract with cohort/model/results</t>
        </is>
      </c>
      <c r="F62" s="4" t="inlineStr">
        <is>
          <t>Cerrado: texto/contenido suficiente revisado</t>
        </is>
      </c>
      <c r="G62" s="4" t="n"/>
      <c r="H62" s="4" t="inlineStr">
        <is>
          <t>Physiological signals (resting-state EEG)</t>
        </is>
      </c>
      <c r="I62" s="4" t="inlineStr">
        <is>
          <t>Machine Learning</t>
        </is>
      </c>
      <c r="J62" s="4" t="inlineStr">
        <is>
          <t>Temporal-frequency hyperdimensional computing (TF-HDC)</t>
        </is>
      </c>
      <c r="K62" s="4" t="inlineStr">
        <is>
          <t>Diagnosis</t>
        </is>
      </c>
      <c r="L62" s="4" t="inlineStr">
        <is>
          <t>Research only</t>
        </is>
      </c>
      <c r="M62" s="4" t="n">
        <v>0</v>
      </c>
      <c r="N62" s="4" t="n">
        <v>0</v>
      </c>
      <c r="O62" s="4" t="n">
        <v>0</v>
      </c>
      <c r="P62" s="4" t="n">
        <v>0</v>
      </c>
      <c r="Q62" s="4" t="n">
        <v>0</v>
      </c>
      <c r="R62" s="4" t="n">
        <v>0</v>
      </c>
      <c r="S62" s="4" t="n">
        <v>0</v>
      </c>
      <c r="T62" s="4" t="inlineStr">
        <is>
          <t>https://www.sciencedirect.com/science/article/pii/S0957417425042861</t>
        </is>
      </c>
      <c r="U62" s="4" t="inlineStr">
        <is>
          <t>TF-HDC classifies resting-state EEG from 120 age-matched male participants (60 ASD, 60 TD) and reports about 90.9% accuracy while benchmarking conventional ML/DL models.</t>
        </is>
      </c>
      <c r="V62" s="4" t="n"/>
      <c r="W62" s="4" t="n"/>
      <c r="X62" s="4" t="inlineStr">
        <is>
          <t>Media</t>
        </is>
      </c>
      <c r="Y62" s="4" t="inlineStr">
        <is>
          <t>No sustituye la segunda revision humana definida en el protocolo.</t>
        </is>
      </c>
      <c r="Z62" s="4" t="inlineStr">
        <is>
          <t>Identifying autism spectrum disorder diagnosis in children via temporal-frequency hyperdimensional computing with resting-state EEG</t>
        </is>
      </c>
      <c r="AA62" s="4" t="inlineStr">
        <is>
          <t>Include</t>
        </is>
      </c>
      <c r="AB62" s="4" t="inlineStr">
        <is>
          <t>Small single-cohort evaluation with no independent external dataset, site-held-out test, prospective clinical workflow, or formal XAI identified.</t>
        </is>
      </c>
      <c r="AC62" s="4" t="inlineStr">
        <is>
          <t>Verificacion independiente del revisor humano antes del cierre final</t>
        </is>
      </c>
    </row>
    <row r="63" ht="151" customHeight="1">
      <c r="A63" s="4" t="inlineStr">
        <is>
          <t>Lote_03_25</t>
        </is>
      </c>
      <c r="B63" s="4" t="n">
        <v>215</v>
      </c>
      <c r="C63" s="4" t="n"/>
      <c r="D63" s="4" t="inlineStr">
        <is>
          <t>10.1111/pcn.70065</t>
        </is>
      </c>
      <c r="E63" s="4" t="inlineStr">
        <is>
          <t>Open publisher/PubMed research abstract with cohort sizes, integrated analyses and screening results</t>
        </is>
      </c>
      <c r="F63" s="4" t="inlineStr">
        <is>
          <t>Cerrado: texto/contenido suficiente revisado</t>
        </is>
      </c>
      <c r="G63" s="4" t="n"/>
      <c r="H63" s="4" t="inlineStr">
        <is>
          <t>Multimodal (peripheral-blood transcriptomics + clinical/phenotypic data)</t>
        </is>
      </c>
      <c r="I63" s="4" t="inlineStr">
        <is>
          <t>Machine Learning</t>
        </is>
      </c>
      <c r="J63" s="4" t="inlineStr">
        <is>
          <t>Unsupervised molecular clustering + integrative multiomics/clinical ML; refined 17-transcript panel</t>
        </is>
      </c>
      <c r="K63" s="4" t="inlineStr">
        <is>
          <t>Screening</t>
        </is>
      </c>
      <c r="L63" s="4" t="inlineStr">
        <is>
          <t>Research only</t>
        </is>
      </c>
      <c r="M63" s="4" t="n">
        <v>0</v>
      </c>
      <c r="N63" s="4" t="n">
        <v>0</v>
      </c>
      <c r="O63" s="4" t="n">
        <v>0</v>
      </c>
      <c r="P63" s="4" t="n">
        <v>0</v>
      </c>
      <c r="Q63" s="4" t="n">
        <v>0</v>
      </c>
      <c r="R63" s="4" t="n">
        <v>1</v>
      </c>
      <c r="S63" s="4" t="n">
        <v>1</v>
      </c>
      <c r="T63" s="4" t="inlineStr">
        <is>
          <t>https://onlinelibrary.wiley.com/doi/10.1111/pcn.70065</t>
        </is>
      </c>
      <c r="U63" s="4" t="inlineStr">
        <is>
          <t>Transcriptomic profiling (150 ASD/70 TD) and clinical data (200 ASD/110 TD) were analyzed with clustering, integrative modeling and clinical ML; a 17-transcript panel showed discriminative performance.</t>
        </is>
      </c>
      <c r="V63" s="4" t="n"/>
      <c r="W63" s="4" t="n"/>
      <c r="X63" s="4" t="inlineStr">
        <is>
          <t>Alta</t>
        </is>
      </c>
      <c r="Y63" s="4" t="inlineStr">
        <is>
          <t>No sustituye la segunda revision humana definida en el protocolo.</t>
        </is>
      </c>
      <c r="Z63" s="4" t="inlineStr">
        <is>
          <t>Integrated transcriptomic and clinical analysis of autism spectrum disorder reveals structured heterogeneity and links Methyl-CpG Binding Domain Protein 2 expression with symptom severity</t>
        </is>
      </c>
      <c r="AA63" s="4" t="inlineStr">
        <is>
          <t>Include</t>
        </is>
      </c>
      <c r="AB63" s="4" t="inlineStr">
        <is>
          <t>Screening performance is explicitly within-cohort and no external/site-held-out validation was reported in the accessible text. Molecular clusters only partially corresponded to clinical phenotype.</t>
        </is>
      </c>
      <c r="AC63" s="4" t="inlineStr">
        <is>
          <t>Verificacion independiente del revisor humano antes del cierre final</t>
        </is>
      </c>
    </row>
    <row r="64" ht="164" customHeight="1">
      <c r="A64" s="4" t="inlineStr">
        <is>
          <t>Lote_03_25</t>
        </is>
      </c>
      <c r="B64" s="4" t="n">
        <v>218</v>
      </c>
      <c r="C64" s="4" t="n"/>
      <c r="D64" s="4" t="inlineStr">
        <is>
          <t>10.1002/dneu.70028</t>
        </is>
      </c>
      <c r="E64" s="4" t="inlineStr">
        <is>
          <t>Publisher/PubMed detailed research abstract plus data-availability statement</t>
        </is>
      </c>
      <c r="F64" s="4" t="inlineStr">
        <is>
          <t>Cerrado: texto/contenido suficiente revisado</t>
        </is>
      </c>
      <c r="G64" s="4" t="n"/>
      <c r="H64" s="4" t="inlineStr">
        <is>
          <t>Multiple public ASD datasets (facial images, structured screening data and ABIDE neuroimaging; not explicitly fused)</t>
        </is>
      </c>
      <c r="I64" s="4" t="inlineStr">
        <is>
          <t>Hybrid</t>
        </is>
      </c>
      <c r="J64" s="4" t="inlineStr">
        <is>
          <t>DWT-GFK + VGG16 + ELBN-HLNCL optimized with Walrus Optimization Algorithm</t>
        </is>
      </c>
      <c r="K64" s="4" t="inlineStr">
        <is>
          <t>Screening</t>
        </is>
      </c>
      <c r="L64" s="4" t="inlineStr">
        <is>
          <t>Proposed only</t>
        </is>
      </c>
      <c r="M64" s="4" t="n">
        <v>0</v>
      </c>
      <c r="N64" s="4" t="n">
        <v>1</v>
      </c>
      <c r="O64" s="4" t="n">
        <v>0</v>
      </c>
      <c r="P64" s="4" t="n">
        <v>0</v>
      </c>
      <c r="Q64" s="4" t="n">
        <v>0</v>
      </c>
      <c r="R64" s="4" t="n">
        <v>0</v>
      </c>
      <c r="S64" s="4" t="n">
        <v>0</v>
      </c>
      <c r="T64" s="4" t="inlineStr">
        <is>
          <t>https://onlinelibrary.wiley.com/doi/10.1002/dneu.70028</t>
        </is>
      </c>
      <c r="U64" s="4" t="inlineStr">
        <is>
          <t>The hybrid pipeline was tested on AID, structured ASD screening data and ABIDE and reports very high performance (accuracy 99.95%).</t>
        </is>
      </c>
      <c r="V64" s="4" t="n"/>
      <c r="W64" s="4" t="n"/>
      <c r="X64" s="4" t="inlineStr">
        <is>
          <t>Alta</t>
        </is>
      </c>
      <c r="Y64" s="4" t="inlineStr">
        <is>
          <t>No sustituye la segunda revision humana definida en el protocolo.</t>
        </is>
      </c>
      <c r="Z64" s="4" t="inlineStr">
        <is>
          <t>A Robust Computational Framework for Autism Spectrum Disorder Identification Using Optimized Image Processing and Hybrid Learning Models</t>
        </is>
      </c>
      <c r="AA64" s="4" t="inlineStr">
        <is>
          <t>Include</t>
        </is>
      </c>
      <c r="AB64" s="4" t="inlineStr">
        <is>
          <t>The accessible report does not establish a fixed development-versus-independent-external design or cross-site evaluation. Heterogeneous public datasets are evaluated, but explicit multisource fusion is not demonstrated.</t>
        </is>
      </c>
      <c r="AC64" s="4" t="inlineStr">
        <is>
          <t>Verificacion independiente del revisor humano antes del cierre final</t>
        </is>
      </c>
    </row>
    <row r="65" ht="151" customHeight="1">
      <c r="A65" s="4" t="inlineStr">
        <is>
          <t>Lote_03_25</t>
        </is>
      </c>
      <c r="B65" s="4" t="n">
        <v>222</v>
      </c>
      <c r="C65" s="4" t="n"/>
      <c r="D65" s="4" t="inlineStr">
        <is>
          <t>10.1016/j.pscychresns.2025.112109</t>
        </is>
      </c>
      <c r="E65" s="4" t="inlineStr">
        <is>
          <t>Open-access ScienceDirect article with methods/results and ABIDE-I/II evaluation details</t>
        </is>
      </c>
      <c r="F65" s="4" t="inlineStr">
        <is>
          <t>Cerrado: texto/contenido suficiente revisado</t>
        </is>
      </c>
      <c r="G65" s="4" t="n"/>
      <c r="H65" s="4" t="inlineStr">
        <is>
          <t>Neuroimaging (brain imaging / ABIDE)</t>
        </is>
      </c>
      <c r="I65" s="4" t="inlineStr">
        <is>
          <t>Hybrid</t>
        </is>
      </c>
      <c r="J65" s="4" t="inlineStr">
        <is>
          <t>ANFIS-EffNet + AWSO pivotal-region extraction</t>
        </is>
      </c>
      <c r="K65" s="4" t="inlineStr">
        <is>
          <t>Diagnosis</t>
        </is>
      </c>
      <c r="L65" s="4" t="inlineStr">
        <is>
          <t>Research only</t>
        </is>
      </c>
      <c r="M65" s="4" t="n">
        <v>0</v>
      </c>
      <c r="N65" s="4" t="n">
        <v>1</v>
      </c>
      <c r="O65" s="4" t="n">
        <v>0</v>
      </c>
      <c r="P65" s="4" t="n">
        <v>0</v>
      </c>
      <c r="Q65" s="4" t="n">
        <v>0</v>
      </c>
      <c r="R65" s="4" t="n">
        <v>0</v>
      </c>
      <c r="S65" s="4" t="n">
        <v>0</v>
      </c>
      <c r="T65" s="4" t="inlineStr">
        <is>
          <t>https://www.sciencedirect.com/science/article/pii/S0925492725001647</t>
        </is>
      </c>
      <c r="U65" s="4" t="inlineStr">
        <is>
          <t>ANFIS-EffNet combines fuzzy inference and EfficientNet with optimization-based pivotal-region extraction; reported accuracy is about 93.2% on ABIDE-related imaging.</t>
        </is>
      </c>
      <c r="V65" s="4" t="n"/>
      <c r="W65" s="4" t="n"/>
      <c r="X65" s="4" t="inlineStr">
        <is>
          <t>Media</t>
        </is>
      </c>
      <c r="Y65" s="4" t="inlineStr">
        <is>
          <t>No sustituye la segunda revision humana definida en el protocolo.</t>
        </is>
      </c>
      <c r="Z65" s="4" t="inlineStr">
        <is>
          <t>Adaptive network based fuzzy inference system efficientnet for autism spectrum disorder detection with optimization based pivotal region extraction</t>
        </is>
      </c>
      <c r="AA65" s="4" t="inlineStr">
        <is>
          <t>Include</t>
        </is>
      </c>
      <c r="AB65" s="4" t="inlineStr">
        <is>
          <t>ABIDE-I/II use was treated as multisite evidence only; no explicit train-on-one/test-on-another or site-held-out robustness design was identified. Pivotal-region extraction was not counted as formal XAI.</t>
        </is>
      </c>
      <c r="AC65" s="4" t="inlineStr">
        <is>
          <t>Verificacion independiente del revisor humano antes del cierre final</t>
        </is>
      </c>
    </row>
    <row r="66" ht="138" customHeight="1">
      <c r="A66" s="4" t="inlineStr">
        <is>
          <t>Lote_03_25</t>
        </is>
      </c>
      <c r="B66" s="4" t="n">
        <v>223</v>
      </c>
      <c r="C66" s="4" t="n"/>
      <c r="D66" s="4" t="inlineStr">
        <is>
          <t>10.1002/IMA.70326</t>
        </is>
      </c>
      <c r="E66" s="4" t="inlineStr">
        <is>
          <t>Publisher indexed research article with model results, feature importance and data-availability statement</t>
        </is>
      </c>
      <c r="F66" s="4" t="inlineStr">
        <is>
          <t>Cerrado: texto/contenido suficiente revisado</t>
        </is>
      </c>
      <c r="G66" s="4" t="n"/>
      <c r="H66" s="4" t="inlineStr">
        <is>
          <t>Physiological signals (EEG)</t>
        </is>
      </c>
      <c r="I66" s="4" t="inlineStr">
        <is>
          <t>Machine Learning</t>
        </is>
      </c>
      <c r="J66" s="4" t="inlineStr">
        <is>
          <t>Bayesian-optimized ANN (BO-ANN) on fractal-dimension EEG features</t>
        </is>
      </c>
      <c r="K66" s="4" t="inlineStr">
        <is>
          <t>Diagnosis</t>
        </is>
      </c>
      <c r="L66" s="4" t="inlineStr">
        <is>
          <t>Research only</t>
        </is>
      </c>
      <c r="M66" s="4" t="n">
        <v>0</v>
      </c>
      <c r="N66" s="4" t="n">
        <v>0</v>
      </c>
      <c r="O66" s="4" t="n">
        <v>0</v>
      </c>
      <c r="P66" s="4" t="n">
        <v>0</v>
      </c>
      <c r="Q66" s="4" t="n">
        <v>1</v>
      </c>
      <c r="R66" s="4" t="n">
        <v>0</v>
      </c>
      <c r="S66" s="4" t="n">
        <v>0</v>
      </c>
      <c r="T66" s="4" t="inlineStr">
        <is>
          <t>https://onlinelibrary.wiley.com/doi/10.1002/ima.70326</t>
        </is>
      </c>
      <c r="U66" s="4" t="inlineStr">
        <is>
          <t>Five fractal-dimension measures from 16 EEG channels feed several classifiers; BO-ANN reached 97.38% accuracy and XGBoost feature importance identified influential channels/features.</t>
        </is>
      </c>
      <c r="V66" s="4" t="n"/>
      <c r="W66" s="4" t="n"/>
      <c r="X66" s="4" t="inlineStr">
        <is>
          <t>Media</t>
        </is>
      </c>
      <c r="Y66" s="4" t="inlineStr">
        <is>
          <t>No sustituye la segunda revision humana definida en el protocolo.</t>
        </is>
      </c>
      <c r="Z66" s="4" t="inlineStr">
        <is>
          <t>Identification of Autism Through Fractal Analysis of EEG Signals and Bayesian Optimized Artificial Neural Network</t>
        </is>
      </c>
      <c r="AA66" s="4" t="inlineStr">
        <is>
          <t>Include</t>
        </is>
      </c>
      <c r="AB66" s="4" t="inlineStr">
        <is>
          <t>Small sample (29 ASD, 30 TD) and no independent external/site-held-out validation. Feature importance supports XAI coding but does not establish clinical interpretability or utility.</t>
        </is>
      </c>
      <c r="AC66" s="4" t="inlineStr">
        <is>
          <t>Verificacion independiente del revisor humano antes del cierre final</t>
        </is>
      </c>
    </row>
    <row r="67" ht="164" customHeight="1">
      <c r="A67" s="4" t="inlineStr">
        <is>
          <t>Lote_03_25</t>
        </is>
      </c>
      <c r="B67" s="4" t="n">
        <v>230</v>
      </c>
      <c r="C67" s="4" t="n"/>
      <c r="D67" s="4" t="inlineStr">
        <is>
          <t>10.1111/JPC.70433</t>
        </is>
      </c>
      <c r="E67" s="4" t="inlineStr">
        <is>
          <t>Open-access Wiley/PubMed article with full research question, methods and results</t>
        </is>
      </c>
      <c r="F67" s="4" t="inlineStr">
        <is>
          <t>Cerrado: contenido suficiente revisado</t>
        </is>
      </c>
      <c r="G67" s="4" t="n"/>
      <c r="H67" s="4" t="n"/>
      <c r="I67" s="4" t="n"/>
      <c r="J67" s="4" t="n"/>
      <c r="K67" s="4" t="n"/>
      <c r="L67" s="4" t="n"/>
      <c r="M67" s="4" t="n"/>
      <c r="N67" s="4" t="n"/>
      <c r="O67" s="4" t="n"/>
      <c r="P67" s="4" t="n"/>
      <c r="Q67" s="4" t="n"/>
      <c r="R67" s="4" t="n"/>
      <c r="S67" s="4" t="n"/>
      <c r="T67" s="4" t="inlineStr">
        <is>
          <t>https://onlinelibrary.wiley.com/doi/10.1111/jpc.70433</t>
        </is>
      </c>
      <c r="U67" s="4" t="inlineStr">
        <is>
          <t>Compares ChatGPT, Gemini, Copilot, Perplexity, Brave and Grok on 15 autism questions across accuracy, readability, framing, actionability and reference quality.</t>
        </is>
      </c>
      <c r="V67" s="4" t="n"/>
      <c r="W67" s="4" t="n"/>
      <c r="X67" s="4" t="inlineStr">
        <is>
          <t>Media</t>
        </is>
      </c>
      <c r="Y67" s="4" t="inlineStr">
        <is>
          <t>No sustituye la segunda revision humana definida en el protocolo.</t>
        </is>
      </c>
      <c r="Z67" s="4" t="inlineStr">
        <is>
          <t>Quality of Autism Information Generated by Artificial Intelligence Tools: Implications for Paediatric Care</t>
        </is>
      </c>
      <c r="AA67" s="4" t="inlineStr">
        <is>
          <t>Exclude</t>
        </is>
      </c>
      <c r="AB67" s="4" t="inlineStr">
        <is>
          <t>Relevant to health-information quality, but outside the review framework because the AI systems are the object being audited rather than ASD computational models operating on patient/participant data or care processes.</t>
        </is>
      </c>
      <c r="AC67" s="4" t="inlineStr">
        <is>
          <t>Verificacion independiente del revisor humano antes del cierre final</t>
        </is>
      </c>
    </row>
    <row r="68" ht="125" customHeight="1">
      <c r="A68" s="4" t="inlineStr">
        <is>
          <t>Lote_03_25</t>
        </is>
      </c>
      <c r="B68" s="4" t="n">
        <v>231</v>
      </c>
      <c r="C68" s="4" t="n"/>
      <c r="D68" s="4" t="inlineStr">
        <is>
          <t>10.1111/COIN.70158</t>
        </is>
      </c>
      <c r="E68" s="4" t="inlineStr">
        <is>
          <t>Publisher indexed research article/PDF abstract with explicit Integrated Gradients and linguistic feature analysis</t>
        </is>
      </c>
      <c r="F68" s="4" t="inlineStr">
        <is>
          <t>Cerrado: texto/contenido suficiente revisado</t>
        </is>
      </c>
      <c r="G68" s="4" t="n"/>
      <c r="H68" s="4" t="inlineStr">
        <is>
          <t>Text / NLP (participant textual data; exact acquisition context not specified in recovered text)</t>
        </is>
      </c>
      <c r="I68" s="4" t="inlineStr">
        <is>
          <t>Deep Learning</t>
        </is>
      </c>
      <c r="J68" s="4" t="inlineStr">
        <is>
          <t>HerBERT transformer + Integrated Gradients + explainable linguistic models</t>
        </is>
      </c>
      <c r="K68" s="4" t="inlineStr">
        <is>
          <t>Diagnosis</t>
        </is>
      </c>
      <c r="L68" s="4" t="inlineStr">
        <is>
          <t>Research only</t>
        </is>
      </c>
      <c r="M68" s="4" t="n">
        <v>0</v>
      </c>
      <c r="N68" s="4" t="n">
        <v>0</v>
      </c>
      <c r="O68" s="4" t="n">
        <v>0</v>
      </c>
      <c r="P68" s="4" t="n">
        <v>0</v>
      </c>
      <c r="Q68" s="4" t="n">
        <v>1</v>
      </c>
      <c r="R68" s="4" t="n">
        <v>0</v>
      </c>
      <c r="S68" s="4" t="n">
        <v>0</v>
      </c>
      <c r="T68" s="4" t="inlineStr">
        <is>
          <t>https://onlinelibrary.wiley.com/doi/10.1111/coin.70158</t>
        </is>
      </c>
      <c r="U68" s="4" t="inlineStr">
        <is>
          <t>Integrated Gradients token attributions from HerBERT are mapped to syntactic and psycholinguistic variables and linked to feature importance and selected clinical tests.</t>
        </is>
      </c>
      <c r="V68" s="4" t="n"/>
      <c r="W68" s="4" t="n"/>
      <c r="X68" s="4" t="inlineStr">
        <is>
          <t>Media</t>
        </is>
      </c>
      <c r="Y68" s="4" t="inlineStr">
        <is>
          <t>No sustituye la segunda revision humana definida en el protocolo.</t>
        </is>
      </c>
      <c r="Z68" s="4" t="inlineStr">
        <is>
          <t>Linguistic Explanations of Deep Models in Detecting Autism and Schizophrenia</t>
        </is>
      </c>
      <c r="AA68" s="4" t="inlineStr">
        <is>
          <t>Include</t>
        </is>
      </c>
      <c r="AB68" s="4" t="inlineStr">
        <is>
          <t>The indexed text does not expose the full sampling/validation design or evidence of independent external testing; data are restricted and available on request.</t>
        </is>
      </c>
      <c r="AC68" s="4" t="inlineStr">
        <is>
          <t>Verificacion independiente del revisor humano antes del cierre final</t>
        </is>
      </c>
    </row>
    <row r="69" ht="138" customHeight="1">
      <c r="A69" s="4" t="inlineStr">
        <is>
          <t>Lote_03_25</t>
        </is>
      </c>
      <c r="B69" s="4" t="n">
        <v>233</v>
      </c>
      <c r="C69" s="4" t="n"/>
      <c r="D69" s="4" t="inlineStr">
        <is>
          <t>10.1049/CVI2.70078</t>
        </is>
      </c>
      <c r="E69" s="4" t="inlineStr">
        <is>
          <t>Open-access IET article/PDF located; two public datasets and experimental protocol reviewed</t>
        </is>
      </c>
      <c r="F69" s="4" t="inlineStr">
        <is>
          <t>Cerrado: texto/contenido suficiente revisado</t>
        </is>
      </c>
      <c r="G69" s="4" t="n"/>
      <c r="H69" s="4" t="inlineStr">
        <is>
          <t>Behavioral eye-tracking trajectories / scanpaths</t>
        </is>
      </c>
      <c r="I69" s="4" t="inlineStr">
        <is>
          <t>Deep Learning</t>
        </is>
      </c>
      <c r="J69" s="4" t="inlineStr">
        <is>
          <t>ET-ASDNet (ResNet18 backbone + trajectory processing/fusion modules)</t>
        </is>
      </c>
      <c r="K69" s="4" t="inlineStr">
        <is>
          <t>Screening</t>
        </is>
      </c>
      <c r="L69" s="4" t="inlineStr">
        <is>
          <t>Proposed only</t>
        </is>
      </c>
      <c r="M69" s="4" t="n">
        <v>0</v>
      </c>
      <c r="N69" s="4" t="n">
        <v>0</v>
      </c>
      <c r="O69" s="4" t="n">
        <v>0</v>
      </c>
      <c r="P69" s="4" t="n">
        <v>0</v>
      </c>
      <c r="Q69" s="4" t="n">
        <v>0</v>
      </c>
      <c r="R69" s="4" t="n">
        <v>0</v>
      </c>
      <c r="S69" s="4" t="n">
        <v>0</v>
      </c>
      <c r="T69" s="4" t="inlineStr">
        <is>
          <t>https://ietresearch.onlinelibrary.wiley.com/doi/10.1049/cvi2.70078</t>
        </is>
      </c>
      <c r="U69" s="4" t="inlineStr">
        <is>
          <t>ET-ASDNet analyzes eye-movement trajectories and reports 85.19% and 72.67% accuracy on two public datasets.</t>
        </is>
      </c>
      <c r="V69" s="4" t="n"/>
      <c r="W69" s="4" t="n"/>
      <c r="X69" s="4" t="inlineStr">
        <is>
          <t>Media</t>
        </is>
      </c>
      <c r="Y69" s="4" t="inlineStr">
        <is>
          <t>No sustituye la segunda revision humana definida en el protocolo.</t>
        </is>
      </c>
      <c r="Z69" s="4" t="inlineStr">
        <is>
          <t>Autism Screening Based on Deep Learning Analysis of Eye Movement Trajectories</t>
        </is>
      </c>
      <c r="AA69" s="4" t="inlineStr">
        <is>
          <t>Include</t>
        </is>
      </c>
      <c r="AB69" s="4" t="inlineStr">
        <is>
          <t>Use of two public datasets does not by itself establish external validation unless a fixed development/external design is shown. Attention/fusion modules were not counted as formal XAI.</t>
        </is>
      </c>
      <c r="AC69" s="4" t="inlineStr">
        <is>
          <t>Verificacion independiente del revisor humano antes del cierre final</t>
        </is>
      </c>
    </row>
    <row r="70" ht="125" customHeight="1">
      <c r="A70" s="4" t="inlineStr">
        <is>
          <t>Lote_03_25</t>
        </is>
      </c>
      <c r="B70" s="4" t="n">
        <v>235</v>
      </c>
      <c r="C70" s="4" t="n"/>
      <c r="D70" s="4" t="inlineStr">
        <is>
          <t>10.1016/j.jpsychires.2026.05.015</t>
        </is>
      </c>
      <c r="E70" s="4" t="inlineStr">
        <is>
          <t>Open-access PMC/ScienceDirect full article with participant, modeling and validation details</t>
        </is>
      </c>
      <c r="F70" s="4" t="inlineStr">
        <is>
          <t>Cerrado: texto/contenido suficiente revisado</t>
        </is>
      </c>
      <c r="G70" s="4" t="n"/>
      <c r="H70" s="4" t="inlineStr">
        <is>
          <t>Behavioral video / naturalistic social gaze</t>
        </is>
      </c>
      <c r="I70" s="4" t="inlineStr">
        <is>
          <t>Hybrid</t>
        </is>
      </c>
      <c r="J70" s="4" t="inlineStr">
        <is>
          <t>Automated social-gaze detector (CNN/computer vision) + SVM-RBF diagnostic classifier</t>
        </is>
      </c>
      <c r="K70" s="4" t="inlineStr">
        <is>
          <t>Diagnosis</t>
        </is>
      </c>
      <c r="L70" s="4" t="inlineStr">
        <is>
          <t>Research only</t>
        </is>
      </c>
      <c r="M70" s="4" t="n">
        <v>0</v>
      </c>
      <c r="N70" s="4" t="n">
        <v>0</v>
      </c>
      <c r="O70" s="4" t="n">
        <v>0</v>
      </c>
      <c r="P70" s="4" t="n">
        <v>1</v>
      </c>
      <c r="Q70" s="4" t="n">
        <v>0</v>
      </c>
      <c r="R70" s="4" t="n">
        <v>1</v>
      </c>
      <c r="S70" s="4" t="n">
        <v>0</v>
      </c>
      <c r="T70" s="4" t="inlineStr">
        <is>
          <t>https://pmc.ncbi.nlm.nih.gov/articles/PMC13248665/</t>
        </is>
      </c>
      <c r="U70" s="4" t="inlineStr">
        <is>
          <t>Videos from 46 autistic and 36 neurotypical participants were used to train an automatic gaze detector; granular gaze features correlated with ADOS-2 Social Affect and classified ASD vs NT at 73%.</t>
        </is>
      </c>
      <c r="V70" s="4" t="n"/>
      <c r="W70" s="4" t="n"/>
      <c r="X70" s="4" t="inlineStr">
        <is>
          <t>Media</t>
        </is>
      </c>
      <c r="Y70" s="4" t="inlineStr">
        <is>
          <t>No sustituye la segunda revision humana definida en el protocolo.</t>
        </is>
      </c>
      <c r="Z70" s="4" t="inlineStr">
        <is>
          <t>Automatic measurement of social gaze during naturalistic conversations in autism</t>
        </is>
      </c>
      <c r="AA70" s="4" t="inlineStr">
        <is>
          <t>Include</t>
        </is>
      </c>
      <c r="AB70" s="4" t="inlineStr">
        <is>
          <t>Cross-validation is internal and no independent cohort/site test was reported. Human-defined gaze features are interpretable, but no formal post-hoc XAI method was used.</t>
        </is>
      </c>
      <c r="AC70" s="4" t="inlineStr">
        <is>
          <t>Verificacion independiente del revisor humano antes del cierre final</t>
        </is>
      </c>
    </row>
    <row r="71" ht="125" customHeight="1">
      <c r="A71" s="4" t="inlineStr">
        <is>
          <t>Lote_03_25</t>
        </is>
      </c>
      <c r="B71" s="4" t="n">
        <v>236</v>
      </c>
      <c r="C71" s="4" t="n"/>
      <c r="D71" s="4" t="inlineStr">
        <is>
          <t>10.1016/j.health.2025.100439</t>
        </is>
      </c>
      <c r="E71" s="4" t="inlineStr">
        <is>
          <t>Open-access ScienceDirect article with dataset, model, cross-validation and deployment details</t>
        </is>
      </c>
      <c r="F71" s="4" t="inlineStr">
        <is>
          <t>Cerrado: texto/contenido suficiente revisado</t>
        </is>
      </c>
      <c r="G71" s="4" t="n"/>
      <c r="H71" s="4" t="inlineStr">
        <is>
          <t>Behavioral eye movements / scanpath images from video</t>
        </is>
      </c>
      <c r="I71" s="4" t="inlineStr">
        <is>
          <t>Deep Learning</t>
        </is>
      </c>
      <c r="J71" s="4" t="inlineStr">
        <is>
          <t>GazeScan lightweight CNN on grayscale scanpath images</t>
        </is>
      </c>
      <c r="K71" s="4" t="inlineStr">
        <is>
          <t>Screening</t>
        </is>
      </c>
      <c r="L71" s="4" t="inlineStr">
        <is>
          <t>Proposed only</t>
        </is>
      </c>
      <c r="M71" s="4" t="n">
        <v>0</v>
      </c>
      <c r="N71" s="4" t="n">
        <v>0</v>
      </c>
      <c r="O71" s="4" t="n">
        <v>0</v>
      </c>
      <c r="P71" s="4" t="n">
        <v>0</v>
      </c>
      <c r="Q71" s="4" t="n">
        <v>0</v>
      </c>
      <c r="R71" s="4" t="n">
        <v>0</v>
      </c>
      <c r="S71" s="4" t="n">
        <v>0</v>
      </c>
      <c r="T71" s="4" t="inlineStr">
        <is>
          <t>https://www.sciencedirect.com/science/article/pii/S2772442525000589</t>
        </is>
      </c>
      <c r="U71" s="4" t="inlineStr">
        <is>
          <t>GazeScan converts gaze trajectories into grayscale scanpath images and uses a lightweight CNN; five-fold CV on ETSP reports 97.01% accuracy and AUC 0.98.</t>
        </is>
      </c>
      <c r="V71" s="4" t="n"/>
      <c r="W71" s="4" t="n"/>
      <c r="X71" s="4" t="inlineStr">
        <is>
          <t>Media</t>
        </is>
      </c>
      <c r="Y71" s="4" t="inlineStr">
        <is>
          <t>No sustituye la segunda revision humana definida en el protocolo.</t>
        </is>
      </c>
      <c r="Z71" s="4" t="inlineStr">
        <is>
          <t>An image-based analytics framework for early autism detection using eye movements</t>
        </is>
      </c>
      <c r="AA71" s="4" t="inlineStr">
        <is>
          <t>Include</t>
        </is>
      </c>
      <c r="AB71" s="4" t="inlineStr">
        <is>
          <t>Public single-dataset internal cross-validation only; no independent external cohort, multisite robustness, prospective clinical evaluation, or formal XAI identified.</t>
        </is>
      </c>
      <c r="AC71" s="4" t="inlineStr">
        <is>
          <t>Verificacion independiente del revisor humano antes del cierre final</t>
        </is>
      </c>
    </row>
    <row r="72" ht="177" customHeight="1">
      <c r="A72" s="4" t="inlineStr">
        <is>
          <t>Lote_03_25</t>
        </is>
      </c>
      <c r="B72" s="4" t="n">
        <v>239</v>
      </c>
      <c r="C72" s="4" t="n"/>
      <c r="D72" s="4" t="inlineStr">
        <is>
          <t>10.1002/DNEU.23009</t>
        </is>
      </c>
      <c r="E72" s="4" t="inlineStr">
        <is>
          <t>Publisher record and direct-PDF index expose abstract and references, but no reliable full Methods/Results were recovered</t>
        </is>
      </c>
      <c r="F72" s="4" t="inlineStr">
        <is>
          <t>Pendiente: texto completo insuficiente/inconsistente</t>
        </is>
      </c>
      <c r="G72" s="4" t="n"/>
      <c r="H72" s="4" t="n"/>
      <c r="I72" s="4" t="n"/>
      <c r="J72" s="4" t="n"/>
      <c r="K72" s="4" t="n"/>
      <c r="L72" s="4" t="n"/>
      <c r="M72" s="4" t="n"/>
      <c r="N72" s="4" t="n"/>
      <c r="O72" s="4" t="n"/>
      <c r="P72" s="4" t="n"/>
      <c r="Q72" s="4" t="n"/>
      <c r="R72" s="4" t="n"/>
      <c r="S72" s="4" t="n"/>
      <c r="T72" s="4" t="inlineStr">
        <is>
          <t>https://onlinelibrary.wiley.com/doi/10.1002/dneu.23009</t>
        </is>
      </c>
      <c r="U72" s="4" t="inlineStr">
        <is>
          <t>The abstract reports EEG from 60 children, STFT/ICA preprocessing, grid search and a primary hybrid CNN-LSTM model with 87.5% accuracy.</t>
        </is>
      </c>
      <c r="V72" s="4" t="n"/>
      <c r="W72" s="4" t="n"/>
      <c r="X72" s="4" t="inlineStr">
        <is>
          <t>Alta</t>
        </is>
      </c>
      <c r="Y72" s="4" t="inlineStr">
        <is>
          <t>Acceso/report localizado; no se marca como report not retrieved.</t>
        </is>
      </c>
      <c r="Z72" s="4" t="inlineStr">
        <is>
          <t>Real-Time Classification for EEG Data in Children With ASD Using Deep Learning Techniques</t>
        </is>
      </c>
      <c r="AA72" s="4" t="inlineStr">
        <is>
          <t>Pending adjudication</t>
        </is>
      </c>
      <c r="AB72" s="4" t="inlineStr">
        <is>
          <t>The publisher Data Availability Statement says no datasets were generated or analyzed despite the abstract describing a 60-child EEG dataset. Full Methods/Results are required to reconcile the inconsistency and avoid unreliable RQ3 negatives.</t>
        </is>
      </c>
      <c r="AC72" s="4" t="inlineStr">
        <is>
          <t>Obtener/abrir Methods y Results completos y reconciliar la inconsistencia antes de adjudicar</t>
        </is>
      </c>
    </row>
    <row r="73" ht="138" customHeight="1">
      <c r="A73" s="4" t="inlineStr">
        <is>
          <t>Lote_03_25</t>
        </is>
      </c>
      <c r="B73" s="4" t="n">
        <v>240</v>
      </c>
      <c r="C73" s="4" t="n"/>
      <c r="D73" s="4" t="inlineStr">
        <is>
          <t>10.1016/j.reia.2026.202865</t>
        </is>
      </c>
      <c r="E73" s="4" t="inlineStr">
        <is>
          <t>ScienceDirect article preview with purpose, methods and results sufficient for eligibility adjudication</t>
        </is>
      </c>
      <c r="F73" s="4" t="inlineStr">
        <is>
          <t>Cerrado: contenido suficiente revisado</t>
        </is>
      </c>
      <c r="G73" s="4" t="n"/>
      <c r="H73" s="4" t="n"/>
      <c r="I73" s="4" t="n"/>
      <c r="J73" s="4" t="n"/>
      <c r="K73" s="4" t="n"/>
      <c r="L73" s="4" t="n"/>
      <c r="M73" s="4" t="n"/>
      <c r="N73" s="4" t="n"/>
      <c r="O73" s="4" t="n"/>
      <c r="P73" s="4" t="n"/>
      <c r="Q73" s="4" t="n"/>
      <c r="R73" s="4" t="n"/>
      <c r="S73" s="4" t="n"/>
      <c r="T73" s="4" t="inlineStr">
        <is>
          <t>https://www.sciencedirect.com/science/article/pii/S3050656526000799</t>
        </is>
      </c>
      <c r="U73" s="4" t="inlineStr">
        <is>
          <t>Retrospective genetic screening identified 147 16p11.2 CNV carriers; ML uses ASD-related symptom profiles to distinguish pathogenic versus common CNV groups.</t>
        </is>
      </c>
      <c r="V73" s="4" t="n"/>
      <c r="W73" s="4" t="n"/>
      <c r="X73" s="4" t="inlineStr">
        <is>
          <t>Media</t>
        </is>
      </c>
      <c r="Y73" s="4" t="inlineStr">
        <is>
          <t>No sustituye la segunda revision humana definida en el protocolo.</t>
        </is>
      </c>
      <c r="Z73" s="4" t="inlineStr">
        <is>
          <t>Symptom-based classification of 16p11.2 copy number variations underlying the multidimensional autism spectrum disorder phenotype using machine learning methods</t>
        </is>
      </c>
      <c r="AA73" s="4" t="inlineStr">
        <is>
          <t>Exclude</t>
        </is>
      </c>
      <c r="AB73" s="4" t="inlineStr">
        <is>
          <t>ASD symptoms are features within a genotype-phenotype study, not the clinical target of the classifier. Inclusion would broaden the review beyond its stated functional-stage framework.</t>
        </is>
      </c>
      <c r="AC73" s="4" t="inlineStr">
        <is>
          <t>Verificacion independiente del revisor humano antes del cierre final</t>
        </is>
      </c>
    </row>
    <row r="74" ht="99" customHeight="1">
      <c r="A74" s="4" t="inlineStr">
        <is>
          <t>Lote_03_25</t>
        </is>
      </c>
      <c r="B74" s="4" t="n">
        <v>242</v>
      </c>
      <c r="C74" s="4" t="n"/>
      <c r="D74" s="4" t="inlineStr">
        <is>
          <t>10.1096/FJ.202600019R</t>
        </is>
      </c>
      <c r="E74" s="4" t="inlineStr">
        <is>
          <t>Publisher/PubMed detailed research article with model comparison and XAI result</t>
        </is>
      </c>
      <c r="F74" s="4" t="inlineStr">
        <is>
          <t>Cerrado: texto/contenido suficiente revisado</t>
        </is>
      </c>
      <c r="G74" s="4" t="n"/>
      <c r="H74" s="4" t="inlineStr">
        <is>
          <t>Physiological signals (EEG)</t>
        </is>
      </c>
      <c r="I74" s="4" t="inlineStr">
        <is>
          <t>Machine Learning</t>
        </is>
      </c>
      <c r="J74" s="4" t="inlineStr">
        <is>
          <t>Logistic Regression on DWT spectral/statistical EEG features (comparative ML/DL/meta-learning benchmark)</t>
        </is>
      </c>
      <c r="K74" s="4" t="inlineStr">
        <is>
          <t>Diagnosis</t>
        </is>
      </c>
      <c r="L74" s="4" t="inlineStr">
        <is>
          <t>Research only</t>
        </is>
      </c>
      <c r="M74" s="4" t="n">
        <v>0</v>
      </c>
      <c r="N74" s="4" t="n">
        <v>0</v>
      </c>
      <c r="O74" s="4" t="n">
        <v>0</v>
      </c>
      <c r="P74" s="4" t="n">
        <v>0</v>
      </c>
      <c r="Q74" s="4" t="n">
        <v>1</v>
      </c>
      <c r="R74" s="4" t="n">
        <v>0</v>
      </c>
      <c r="S74" s="4" t="n">
        <v>0</v>
      </c>
      <c r="T74" s="4" t="inlineStr">
        <is>
          <t>https://pubmed.ncbi.nlm.nih.gov/42417525/</t>
        </is>
      </c>
      <c r="U74" s="4" t="inlineStr">
        <is>
          <t>DWT features from 15 EEG electrodes were benchmarked across 21 models; Logistic Regression performed best at 88.57% accuracy, and explainability identified delta/theta power as key features.</t>
        </is>
      </c>
      <c r="V74" s="4" t="n"/>
      <c r="W74" s="4" t="n"/>
      <c r="X74" s="4" t="inlineStr">
        <is>
          <t>Media</t>
        </is>
      </c>
      <c r="Y74" s="4" t="inlineStr">
        <is>
          <t>No sustituye la segunda revision humana definida en el protocolo.</t>
        </is>
      </c>
      <c r="Z74" s="4" t="inlineStr">
        <is>
          <t>Neurophysiological EEG Characterization of Autism Spectrum Disorder Using DWT-Based Frequency Analysis With Selective Electrodes and Brain Segmentation: An Explainable AI-Driven Approach</t>
        </is>
      </c>
      <c r="AA74" s="4" t="inlineStr">
        <is>
          <t>Include</t>
        </is>
      </c>
      <c r="AB74" s="4" t="inlineStr">
        <is>
          <t>Preliminary small-cohort study with internal validation; the authors explicitly state that larger independent cohorts are needed.</t>
        </is>
      </c>
      <c r="AC74" s="4" t="inlineStr">
        <is>
          <t>Verificacion independiente del revisor humano antes del cierre final</t>
        </is>
      </c>
    </row>
    <row r="75" ht="164" customHeight="1">
      <c r="A75" s="4" t="inlineStr">
        <is>
          <t>Lote_03_25</t>
        </is>
      </c>
      <c r="B75" s="4" t="n">
        <v>244</v>
      </c>
      <c r="C75" s="4" t="n"/>
      <c r="D75" s="4" t="inlineStr">
        <is>
          <t>10.1002/JDN.70158</t>
        </is>
      </c>
      <c r="E75" s="4" t="inlineStr">
        <is>
          <t>Publisher/PubMed/PMC research record with dataset split, architecture and results</t>
        </is>
      </c>
      <c r="F75" s="4" t="inlineStr">
        <is>
          <t>Cerrado: texto/contenido suficiente revisado</t>
        </is>
      </c>
      <c r="G75" s="4" t="n"/>
      <c r="H75" s="4" t="inlineStr">
        <is>
          <t>Facial images</t>
        </is>
      </c>
      <c r="I75" s="4" t="inlineStr">
        <is>
          <t>Deep Learning</t>
        </is>
      </c>
      <c r="J75" s="4" t="inlineStr">
        <is>
          <t>DHCA-Net dual-stream hierarchical channel-attention network + multi-head feature fusion</t>
        </is>
      </c>
      <c r="K75" s="4" t="inlineStr">
        <is>
          <t>Screening</t>
        </is>
      </c>
      <c r="L75" s="4" t="inlineStr">
        <is>
          <t>Proposed only</t>
        </is>
      </c>
      <c r="M75" s="4" t="n">
        <v>0</v>
      </c>
      <c r="N75" s="4" t="n">
        <v>0</v>
      </c>
      <c r="O75" s="4" t="n">
        <v>0</v>
      </c>
      <c r="P75" s="4" t="n">
        <v>0</v>
      </c>
      <c r="Q75" s="4" t="n">
        <v>0</v>
      </c>
      <c r="R75" s="4" t="n">
        <v>0</v>
      </c>
      <c r="S75" s="4" t="n">
        <v>0</v>
      </c>
      <c r="T75" s="4" t="inlineStr">
        <is>
          <t>https://onlinelibrary.wiley.com/doi/10.1002/jdn.70158</t>
        </is>
      </c>
      <c r="U75" s="4" t="inlineStr">
        <is>
          <t>DHCA-Net was tested on 2,936 facial images using train/test/validation splits and achieved 93.7% accuracy, F1 0.9365 and AUC 0.9887.</t>
        </is>
      </c>
      <c r="V75" s="4" t="n"/>
      <c r="W75" s="4" t="n"/>
      <c r="X75" s="4" t="inlineStr">
        <is>
          <t>Alta</t>
        </is>
      </c>
      <c r="Y75" s="4" t="inlineStr">
        <is>
          <t>No sustituye la segunda revision humana definida en el protocolo.</t>
        </is>
      </c>
      <c r="Z75" s="4" t="inlineStr">
        <is>
          <t>DHCA-Net: A Novel Dual-Stream Hierarchical Channel Attention Network for Explainable Autism Spectrum Disorder Detection From Facial Images</t>
        </is>
      </c>
      <c r="AA75" s="4" t="inlineStr">
        <is>
          <t>Include</t>
        </is>
      </c>
      <c r="AB75" s="4" t="inlineStr">
        <is>
          <t>Despite the word explainable in the title, the accessible report describes attention mechanisms but no explicit explanation method/output satisfying strict XAI criteria. Broader demographic generalization remains future work.</t>
        </is>
      </c>
      <c r="AC75" s="4" t="inlineStr">
        <is>
          <t>Verificacion independiente del revisor humano antes del cierre final</t>
        </is>
      </c>
    </row>
    <row r="76" ht="125" customHeight="1">
      <c r="A76" s="4" t="inlineStr">
        <is>
          <t>Lote_03_25</t>
        </is>
      </c>
      <c r="B76" s="4" t="n">
        <v>246</v>
      </c>
      <c r="C76" s="4" t="n"/>
      <c r="D76" s="4" t="inlineStr">
        <is>
          <t>10.1111/COIN.70131</t>
        </is>
      </c>
      <c r="E76" s="4" t="inlineStr">
        <is>
          <t>Publisher detailed research abstract with clinical EEG, model architecture and performance</t>
        </is>
      </c>
      <c r="F76" s="4" t="inlineStr">
        <is>
          <t>Cerrado: texto/contenido suficiente revisado</t>
        </is>
      </c>
      <c r="G76" s="4" t="n"/>
      <c r="H76" s="4" t="inlineStr">
        <is>
          <t>Physiological signals (resting-state infant EEG)</t>
        </is>
      </c>
      <c r="I76" s="4" t="inlineStr">
        <is>
          <t>Deep Learning</t>
        </is>
      </c>
      <c r="J76" s="4" t="inlineStr">
        <is>
          <t>Multi-Tier Transformer (feature attention + dual self/cross-attention)</t>
        </is>
      </c>
      <c r="K76" s="4" t="inlineStr">
        <is>
          <t>Diagnosis</t>
        </is>
      </c>
      <c r="L76" s="4" t="inlineStr">
        <is>
          <t>Proposed only</t>
        </is>
      </c>
      <c r="M76" s="4" t="n">
        <v>0</v>
      </c>
      <c r="N76" s="4" t="n">
        <v>0</v>
      </c>
      <c r="O76" s="4" t="n">
        <v>0</v>
      </c>
      <c r="P76" s="4" t="n">
        <v>0</v>
      </c>
      <c r="Q76" s="4" t="n">
        <v>0</v>
      </c>
      <c r="R76" s="4" t="n">
        <v>1</v>
      </c>
      <c r="S76" s="4" t="n">
        <v>0</v>
      </c>
      <c r="T76" s="4" t="inlineStr">
        <is>
          <t>https://onlinelibrary.wiley.com/doi/10.1111/coin.70131</t>
        </is>
      </c>
      <c r="U76" s="4" t="inlineStr">
        <is>
          <t>MTT uses resting-state infant EEG baseline power, SMOTE, transfer learning and feature/self/cross-attention; reported accuracy is 0.91 and AUC 0.97.</t>
        </is>
      </c>
      <c r="V76" s="4" t="n"/>
      <c r="W76" s="4" t="n"/>
      <c r="X76" s="4" t="inlineStr">
        <is>
          <t>Alta</t>
        </is>
      </c>
      <c r="Y76" s="4" t="inlineStr">
        <is>
          <t>No sustituye la segunda revision humana definida en el protocolo.</t>
        </is>
      </c>
      <c r="Z76" s="4" t="inlineStr">
        <is>
          <t>MTT: Multi-Tier Transformer for Early Diagnosis of Autism Spectrum Disorder and Language Disorder in Infants</t>
        </is>
      </c>
      <c r="AA76" s="4" t="inlineStr">
        <is>
          <t>Include</t>
        </is>
      </c>
      <c r="AB76" s="4" t="inlineStr">
        <is>
          <t>No independent external/site-held-out evaluation is identified. Interpretability is attention-based only, so it was coded as partial rather than strict XAI.</t>
        </is>
      </c>
      <c r="AC76" s="4" t="inlineStr">
        <is>
          <t>Verificacion independiente del revisor humano antes del cierre final</t>
        </is>
      </c>
    </row>
    <row r="77" ht="151" customHeight="1">
      <c r="A77" s="4" t="inlineStr">
        <is>
          <t>Lote_04_25</t>
        </is>
      </c>
      <c r="B77" s="4" t="n">
        <v>248</v>
      </c>
      <c r="C77" s="4" t="n"/>
      <c r="D77" s="4" t="inlineStr">
        <is>
          <t>10.1016/j.pscychresns.2026.112251</t>
        </is>
      </c>
      <c r="E77" s="4" t="inlineStr">
        <is>
          <t>Publisher/PubMed detailed research abstract with methods and results sufficient for scoped coding</t>
        </is>
      </c>
      <c r="F77" s="4" t="inlineStr">
        <is>
          <t>Cerrado: contenido suficiente revisado</t>
        </is>
      </c>
      <c r="G77" s="4" t="n"/>
      <c r="H77" s="4" t="inlineStr">
        <is>
          <t>Facial images (two public ASD facial-image datasets)</t>
        </is>
      </c>
      <c r="I77" s="4" t="inlineStr">
        <is>
          <t>Hybrid</t>
        </is>
      </c>
      <c r="J77" s="4" t="inlineStr">
        <is>
          <t>OQA-CMVT + DMM-AND + GAN, optimized with RS-COA</t>
        </is>
      </c>
      <c r="K77" s="4" t="inlineStr">
        <is>
          <t>Diagnosis</t>
        </is>
      </c>
      <c r="L77" s="4" t="inlineStr">
        <is>
          <t>Proposed only</t>
        </is>
      </c>
      <c r="M77" s="4" t="n">
        <v>0</v>
      </c>
      <c r="N77" s="4" t="n">
        <v>0</v>
      </c>
      <c r="O77" s="4" t="n">
        <v>0</v>
      </c>
      <c r="P77" s="4" t="n">
        <v>0</v>
      </c>
      <c r="Q77" s="4" t="n">
        <v>0</v>
      </c>
      <c r="R77" s="4" t="n">
        <v>0</v>
      </c>
      <c r="S77" s="4" t="n">
        <v>0</v>
      </c>
      <c r="T77" s="4" t="inlineStr">
        <is>
          <t>https://www.sciencedirect.com/science/article/pii/S0925492726001162</t>
        </is>
      </c>
      <c r="U77" s="4" t="inlineStr">
        <is>
          <t>Uses two facial-image datasets, AMGF preprocessing, GAN augmentation, DMM-AND feature extraction and an optimized convolutional multi-scale vision transformer; reported accuracies are 97.96% and 98.04%.</t>
        </is>
      </c>
      <c r="V77" s="4" t="n"/>
      <c r="W77" s="4" t="n"/>
      <c r="X77" s="4" t="inlineStr">
        <is>
          <t>Media</t>
        </is>
      </c>
      <c r="Y77" s="4" t="inlineStr">
        <is>
          <t>No sustituye la segunda revision humana definida en el protocolo.</t>
        </is>
      </c>
      <c r="Z77" s="4" t="inlineStr">
        <is>
          <t>Optimized quadrangle attention consolidated convolutional multi-scale vision transformer based autism detection</t>
        </is>
      </c>
      <c r="AA77" s="4" t="inlineStr">
        <is>
          <t>Include</t>
        </is>
      </c>
      <c r="AB77" s="4" t="inlineStr">
        <is>
          <t>Evaluation on two datasets is not documented as an independent external-validation design or site-held-out test in the accessible material; very high performance warrants independent replication.</t>
        </is>
      </c>
      <c r="AC77" s="4" t="inlineStr">
        <is>
          <t>Verificacion independiente del revisor humano antes del cierre final</t>
        </is>
      </c>
    </row>
    <row r="78" ht="99" customHeight="1">
      <c r="A78" s="4" t="inlineStr">
        <is>
          <t>Lote_04_25</t>
        </is>
      </c>
      <c r="B78" s="4" t="n">
        <v>249</v>
      </c>
      <c r="C78" s="4" t="n"/>
      <c r="D78" s="4" t="inlineStr">
        <is>
          <t>10.1016/j.compbiomed.2025.111238</t>
        </is>
      </c>
      <c r="E78" s="4" t="inlineStr">
        <is>
          <t>PubMed/ScienceDirect structured research abstract with methods, models, SHAP and results</t>
        </is>
      </c>
      <c r="F78" s="4" t="inlineStr">
        <is>
          <t>Cerrado: contenido suficiente revisado</t>
        </is>
      </c>
      <c r="G78" s="4" t="n"/>
      <c r="H78" s="4" t="inlineStr">
        <is>
          <t>Physiological signals (baseline infant EEG)</t>
        </is>
      </c>
      <c r="I78" s="4" t="inlineStr">
        <is>
          <t>Machine Learning</t>
        </is>
      </c>
      <c r="J78" s="4" t="inlineStr">
        <is>
          <t>SVM (best) with random forest / decision tree comparison + SHAP</t>
        </is>
      </c>
      <c r="K78" s="4" t="inlineStr">
        <is>
          <t>Screening</t>
        </is>
      </c>
      <c r="L78" s="4" t="inlineStr">
        <is>
          <t>Proposed only</t>
        </is>
      </c>
      <c r="M78" s="4" t="n">
        <v>0</v>
      </c>
      <c r="N78" s="4" t="n">
        <v>0</v>
      </c>
      <c r="O78" s="4" t="n">
        <v>0</v>
      </c>
      <c r="P78" s="4" t="n">
        <v>0</v>
      </c>
      <c r="Q78" s="4" t="n">
        <v>1</v>
      </c>
      <c r="R78" s="4" t="n">
        <v>0</v>
      </c>
      <c r="S78" s="4" t="n">
        <v>0</v>
      </c>
      <c r="T78" s="4" t="inlineStr">
        <is>
          <t>https://pubmed.ncbi.nlm.nih.gov/41151500/</t>
        </is>
      </c>
      <c r="U78" s="4" t="inlineStr">
        <is>
          <t>Baseline infant EEG power features were analyzed with DT, RF and SVM; SVM reached AUC 0.93 and SHAP was used to explain the best-performing model.</t>
        </is>
      </c>
      <c r="V78" s="4" t="n"/>
      <c r="W78" s="4" t="n"/>
      <c r="X78" s="4" t="inlineStr">
        <is>
          <t>Media</t>
        </is>
      </c>
      <c r="Y78" s="4" t="inlineStr">
        <is>
          <t>No sustituye la segunda revision humana definida en el protocolo.</t>
        </is>
      </c>
      <c r="Z78" s="4" t="inlineStr">
        <is>
          <t>An early detection of autism spectrum disorder using machine learning</t>
        </is>
      </c>
      <c r="AA78" s="4" t="inlineStr">
        <is>
          <t>Include</t>
        </is>
      </c>
      <c r="AB78" s="4" t="inlineStr">
        <is>
          <t>The accessible record does not establish an independent external cohort, multisite evaluation or prospective clinical deployment.</t>
        </is>
      </c>
      <c r="AC78" s="4" t="inlineStr">
        <is>
          <t>Verificacion independiente del revisor humano antes del cierre final</t>
        </is>
      </c>
    </row>
    <row r="79" ht="99" customHeight="1">
      <c r="A79" s="4" t="inlineStr">
        <is>
          <t>Lote_04_25</t>
        </is>
      </c>
      <c r="B79" s="4" t="n">
        <v>250</v>
      </c>
      <c r="C79" s="4" t="n"/>
      <c r="D79" s="4" t="inlineStr">
        <is>
          <t>10.1002/DNEU.70047</t>
        </is>
      </c>
      <c r="E79" s="4" t="inlineStr">
        <is>
          <t>Wiley/PubMed detailed research abstract with multimodal pipeline and performance results</t>
        </is>
      </c>
      <c r="F79" s="4" t="inlineStr">
        <is>
          <t>Cerrado: contenido suficiente revisado</t>
        </is>
      </c>
      <c r="G79" s="4" t="n"/>
      <c r="H79" s="4" t="inlineStr">
        <is>
          <t>Multimodal (EEG + fMRI)</t>
        </is>
      </c>
      <c r="I79" s="4" t="inlineStr">
        <is>
          <t>Hybrid</t>
        </is>
      </c>
      <c r="J79" s="4" t="inlineStr">
        <is>
          <t>LRSF-DLNN + DFGAO feature selection with EEG/fMRI fusion pipeline</t>
        </is>
      </c>
      <c r="K79" s="4" t="inlineStr">
        <is>
          <t>Diagnosis</t>
        </is>
      </c>
      <c r="L79" s="4" t="inlineStr">
        <is>
          <t>Proposed only</t>
        </is>
      </c>
      <c r="M79" s="4" t="n">
        <v>0</v>
      </c>
      <c r="N79" s="4" t="n">
        <v>0</v>
      </c>
      <c r="O79" s="4" t="n">
        <v>0</v>
      </c>
      <c r="P79" s="4" t="n">
        <v>0</v>
      </c>
      <c r="Q79" s="4" t="n">
        <v>0</v>
      </c>
      <c r="R79" s="4" t="n">
        <v>0</v>
      </c>
      <c r="S79" s="4" t="n">
        <v>1</v>
      </c>
      <c r="T79" s="4" t="inlineStr">
        <is>
          <t>https://pubmed.ncbi.nlm.nih.gov/?term=10.1002%2Fdneu.70047</t>
        </is>
      </c>
      <c r="U79" s="4" t="inlineStr">
        <is>
          <t>Combines EEG and fMRI after modality-specific preprocessing and feature extraction, followed by DFGAO feature selection and LRSF-DLNN classification; reported accuracy is 98.8%.</t>
        </is>
      </c>
      <c r="V79" s="4" t="n"/>
      <c r="W79" s="4" t="n"/>
      <c r="X79" s="4" t="inlineStr">
        <is>
          <t>Media</t>
        </is>
      </c>
      <c r="Y79" s="4" t="inlineStr">
        <is>
          <t>No sustituye la segunda revision humana definida en el protocolo.</t>
        </is>
      </c>
      <c r="Z79" s="4" t="inlineStr">
        <is>
          <t>An Effective LRSF-DLNN-Based Autism Spectrum Disorder Prediction Using EEG and fMRI</t>
        </is>
      </c>
      <c r="AA79" s="4" t="inlineStr">
        <is>
          <t>Include</t>
        </is>
      </c>
      <c r="AB79" s="4" t="inlineStr">
        <is>
          <t>No independent external validation, site-held-out robustness or explicit XAI method is established in the accessible material.</t>
        </is>
      </c>
      <c r="AC79" s="4" t="inlineStr">
        <is>
          <t>Verificacion independiente del revisor humano antes del cierre final</t>
        </is>
      </c>
    </row>
    <row r="80" ht="125" customHeight="1">
      <c r="A80" s="4" t="inlineStr">
        <is>
          <t>Lote_04_25</t>
        </is>
      </c>
      <c r="B80" s="4" t="n">
        <v>251</v>
      </c>
      <c r="C80" s="4" t="n"/>
      <c r="D80" s="4" t="inlineStr">
        <is>
          <t>10.1002/9781394302864.CH6</t>
        </is>
      </c>
      <c r="E80" s="4" t="inlineStr">
        <is>
          <t>Wiley book record and chapter metadata sufficient for publication-type adjudication</t>
        </is>
      </c>
      <c r="F80" s="4" t="inlineStr">
        <is>
          <t>Cerrado: contenido suficiente revisado</t>
        </is>
      </c>
      <c r="G80" s="4" t="n"/>
      <c r="H80" s="4" t="n"/>
      <c r="I80" s="4" t="n"/>
      <c r="J80" s="4" t="n"/>
      <c r="K80" s="4" t="n"/>
      <c r="L80" s="4" t="n"/>
      <c r="M80" s="4" t="n"/>
      <c r="N80" s="4" t="n"/>
      <c r="O80" s="4" t="n"/>
      <c r="P80" s="4" t="n"/>
      <c r="Q80" s="4" t="n"/>
      <c r="R80" s="4" t="n"/>
      <c r="S80" s="4" t="n"/>
      <c r="T80" s="4" t="inlineStr">
        <is>
          <t>https://onlinelibrary.wiley.com/doi/10.1002/9781394302864.ch6</t>
        </is>
      </c>
      <c r="U80" s="4" t="inlineStr">
        <is>
          <t>Wiley identifies this item as Chapter 6, pages 151-173, in the edited book Augmented and Virtual Reality in Immersive Healthcare.</t>
        </is>
      </c>
      <c r="V80" s="4" t="n"/>
      <c r="W80" s="4" t="n"/>
      <c r="X80" s="4" t="inlineStr">
        <is>
          <t>Media</t>
        </is>
      </c>
      <c r="Y80" s="4" t="inlineStr">
        <is>
          <t>No sustituye la segunda revision humana definida en el protocolo.</t>
        </is>
      </c>
      <c r="Z80" s="4" t="inlineStr">
        <is>
          <t>Leveraging Deep Learning for Early Detection of Autism Spectrum Disorder in Augmented and Virtual Reality Mental Healthcare Environments</t>
        </is>
      </c>
      <c r="AA80" s="4" t="inlineStr">
        <is>
          <t>Exclude</t>
        </is>
      </c>
      <c r="AB80" s="4" t="inlineStr">
        <is>
          <t>Publication-type exclusion under the stated protocol. No RQ extraction should be added even if the chapter presents an empirical deep-learning framework.</t>
        </is>
      </c>
      <c r="AC80" s="4" t="inlineStr">
        <is>
          <t>Verificacion independiente del revisor humano antes del cierre final</t>
        </is>
      </c>
    </row>
    <row r="81" ht="151" customHeight="1">
      <c r="A81" s="4" t="inlineStr">
        <is>
          <t>Lote_04_25</t>
        </is>
      </c>
      <c r="B81" s="4" t="n">
        <v>252</v>
      </c>
      <c r="C81" s="4" t="n"/>
      <c r="D81" s="4" t="inlineStr">
        <is>
          <t>10.1002/aur.70105</t>
        </is>
      </c>
      <c r="E81" s="4" t="inlineStr">
        <is>
          <t>Wiley/PubMed detailed research abstract and publisher record sufficient for scoped coding</t>
        </is>
      </c>
      <c r="F81" s="4" t="inlineStr">
        <is>
          <t>Cerrado: contenido suficiente revisado</t>
        </is>
      </c>
      <c r="G81" s="4" t="n"/>
      <c r="H81" s="4" t="inlineStr">
        <is>
          <t>Physiological signals (EEG during cartoon viewing) with semantic stimulus annotations</t>
        </is>
      </c>
      <c r="I81" s="4" t="inlineStr">
        <is>
          <t>Hybrid</t>
        </is>
      </c>
      <c r="J81" s="4" t="inlineStr">
        <is>
          <t>Pretrained language-model semantic features + regression-based EEG semantic-processing model</t>
        </is>
      </c>
      <c r="K81" s="4" t="inlineStr">
        <is>
          <t>Diagnosis</t>
        </is>
      </c>
      <c r="L81" s="4" t="inlineStr">
        <is>
          <t>Research only</t>
        </is>
      </c>
      <c r="M81" s="4" t="n">
        <v>0</v>
      </c>
      <c r="N81" s="4" t="n">
        <v>0</v>
      </c>
      <c r="O81" s="4" t="n">
        <v>0</v>
      </c>
      <c r="P81" s="4" t="n">
        <v>0</v>
      </c>
      <c r="Q81" s="4" t="n">
        <v>0</v>
      </c>
      <c r="R81" s="4" t="n">
        <v>0</v>
      </c>
      <c r="S81" s="4" t="n">
        <v>0</v>
      </c>
      <c r="T81" s="4" t="inlineStr">
        <is>
          <t>https://onlinelibrary.wiley.com/doi/10.1002/aur.70105</t>
        </is>
      </c>
      <c r="U81" s="4" t="inlineStr">
        <is>
          <t>EEG recorded during naturalistic cartoon viewing was linked to semantic representations derived from pretrained language models; the study reports ASD/TD discrimination and a validation analysis.</t>
        </is>
      </c>
      <c r="V81" s="4" t="n"/>
      <c r="W81" s="4" t="n"/>
      <c r="X81" s="4" t="inlineStr">
        <is>
          <t>Media</t>
        </is>
      </c>
      <c r="Y81" s="4" t="inlineStr">
        <is>
          <t>No sustituye la segunda revision humana definida en el protocolo.</t>
        </is>
      </c>
      <c r="Z81" s="4" t="inlineStr">
        <is>
          <t>A New Paradigm for Autism Spectrum Disorder Discrimination in Children Utilizing EEG Data Collected During Cartoon Viewing With a Focus on Atypical Semantic Processing</t>
        </is>
      </c>
      <c r="AA81" s="4" t="inlineStr">
        <is>
          <t>Include</t>
        </is>
      </c>
      <c r="AB81" s="4" t="inlineStr">
        <is>
          <t>The accessible description does not establish that the reported validation analysis used an independent external cohort; semantic annotations are stimulus descriptors rather than a second human data modality.</t>
        </is>
      </c>
      <c r="AC81" s="4" t="inlineStr">
        <is>
          <t>Verificacion independiente del revisor humano antes del cierre final</t>
        </is>
      </c>
    </row>
    <row r="82" ht="112" customHeight="1">
      <c r="A82" s="4" t="inlineStr">
        <is>
          <t>Lote_04_25</t>
        </is>
      </c>
      <c r="B82" s="4" t="n">
        <v>254</v>
      </c>
      <c r="C82" s="4" t="n"/>
      <c r="D82" s="4" t="inlineStr">
        <is>
          <t>10.1016/j.pscychresns.2026.112204</t>
        </is>
      </c>
      <c r="E82" s="4" t="inlineStr">
        <is>
          <t>ScienceDirect/PubMed detailed research abstract with multimodal methods and results</t>
        </is>
      </c>
      <c r="F82" s="4" t="inlineStr">
        <is>
          <t>Cerrado: contenido suficiente revisado</t>
        </is>
      </c>
      <c r="G82" s="4" t="n"/>
      <c r="H82" s="4" t="inlineStr">
        <is>
          <t>Multimodal (MRI brain images + phenotypic data)</t>
        </is>
      </c>
      <c r="I82" s="4" t="inlineStr">
        <is>
          <t>Hybrid</t>
        </is>
      </c>
      <c r="J82" s="4" t="inlineStr">
        <is>
          <t>GMOA-DRNet with imaging/phenotypic feature integration</t>
        </is>
      </c>
      <c r="K82" s="4" t="inlineStr">
        <is>
          <t>Diagnosis</t>
        </is>
      </c>
      <c r="L82" s="4" t="inlineStr">
        <is>
          <t>Proposed only</t>
        </is>
      </c>
      <c r="M82" s="4" t="n">
        <v>0</v>
      </c>
      <c r="N82" s="4" t="n">
        <v>0</v>
      </c>
      <c r="O82" s="4" t="n">
        <v>0</v>
      </c>
      <c r="P82" s="4" t="n">
        <v>0</v>
      </c>
      <c r="Q82" s="4" t="n">
        <v>0</v>
      </c>
      <c r="R82" s="4" t="n">
        <v>0</v>
      </c>
      <c r="S82" s="4" t="n">
        <v>1</v>
      </c>
      <c r="T82" s="4" t="inlineStr">
        <is>
          <t>https://www.sciencedirect.com/science/article/pii/S0925492726000697</t>
        </is>
      </c>
      <c r="U82" s="4" t="inlineStr">
        <is>
          <t>Integrates MRI-derived features with phenotypic variables, applies feature selection/optimization and DRNet classification; reported accuracy is 92.77%.</t>
        </is>
      </c>
      <c r="V82" s="4" t="n"/>
      <c r="W82" s="4" t="n"/>
      <c r="X82" s="4" t="inlineStr">
        <is>
          <t>Media</t>
        </is>
      </c>
      <c r="Y82" s="4" t="inlineStr">
        <is>
          <t>No sustituye la segunda revision humana definida en el protocolo.</t>
        </is>
      </c>
      <c r="Z82" s="4" t="inlineStr">
        <is>
          <t>Hybrid groupers-moray orangutan optimization algorithm-based dense-resolution network for autism spectrum disorder detection using multimodal data</t>
        </is>
      </c>
      <c r="AA82" s="4" t="inlineStr">
        <is>
          <t>Include</t>
        </is>
      </c>
      <c r="AB82" s="4" t="inlineStr">
        <is>
          <t>No independent external validation, prospective evaluation or explicit site-held-out robustness is established in the accessible record.</t>
        </is>
      </c>
      <c r="AC82" s="4" t="inlineStr">
        <is>
          <t>Verificacion independiente del revisor humano antes del cierre final</t>
        </is>
      </c>
    </row>
    <row r="83" ht="151" customHeight="1">
      <c r="A83" s="4" t="inlineStr">
        <is>
          <t>Lote_04_25</t>
        </is>
      </c>
      <c r="B83" s="4" t="n">
        <v>266</v>
      </c>
      <c r="C83" s="4" t="n"/>
      <c r="D83" s="4" t="inlineStr">
        <is>
          <t>10.1002/AUR.70179</t>
        </is>
      </c>
      <c r="E83" s="4" t="inlineStr">
        <is>
          <t>PubMed/Wiley research abstract with explicit prospective cohort design and outcome timing</t>
        </is>
      </c>
      <c r="F83" s="4" t="inlineStr">
        <is>
          <t>Cerrado: contenido suficiente revisado</t>
        </is>
      </c>
      <c r="G83" s="4" t="n"/>
      <c r="H83" s="4" t="inlineStr">
        <is>
          <t>Audio / voice (infant vocalizations)</t>
        </is>
      </c>
      <c r="I83" s="4" t="inlineStr">
        <is>
          <t>Machine Learning</t>
        </is>
      </c>
      <c r="J83" s="4" t="inlineStr">
        <is>
          <t>LASSO feature selection + sigmoid-kernel SVM</t>
        </is>
      </c>
      <c r="K83" s="4" t="inlineStr">
        <is>
          <t>Prognosis</t>
        </is>
      </c>
      <c r="L83" s="4" t="inlineStr">
        <is>
          <t>Research only</t>
        </is>
      </c>
      <c r="M83" s="4" t="n">
        <v>0</v>
      </c>
      <c r="N83" s="4" t="n">
        <v>0</v>
      </c>
      <c r="O83" s="4" t="n">
        <v>0</v>
      </c>
      <c r="P83" s="4" t="n">
        <v>1</v>
      </c>
      <c r="Q83" s="4" t="n">
        <v>0</v>
      </c>
      <c r="R83" s="4" t="n">
        <v>1</v>
      </c>
      <c r="S83" s="4" t="n">
        <v>0</v>
      </c>
      <c r="T83" s="4" t="inlineStr">
        <is>
          <t>https://pubmed.ncbi.nlm.nih.gov/41502369/</t>
        </is>
      </c>
      <c r="U83" s="4" t="inlineStr">
        <is>
          <t>In a prospective infant-sibling cohort, vocalizations at 9-18 months were parameterized into thousands of acoustic features, reduced with LASSO, and classified with SVM against ASD outcome confirmed at 36 months.</t>
        </is>
      </c>
      <c r="V83" s="4" t="n"/>
      <c r="W83" s="4" t="n"/>
      <c r="X83" s="4" t="inlineStr">
        <is>
          <t>Media</t>
        </is>
      </c>
      <c r="Y83" s="4" t="inlineStr">
        <is>
          <t>No sustituye la segunda revision humana definida en el protocolo.</t>
        </is>
      </c>
      <c r="Z83" s="4" t="inlineStr">
        <is>
          <t>Machine Learning-Based Early Prediction Model for Autism Spectrum Disorder in Infants Using Acoustic Feature</t>
        </is>
      </c>
      <c r="AA83" s="4" t="inlineStr">
        <is>
          <t>Include</t>
        </is>
      </c>
      <c r="AB83" s="4" t="inlineStr">
        <is>
          <t>The cohort is relatively small and the accessible record does not establish independent external validation; LASSO-based feature reduction is treated as partial interpretability rather than strict XAI.</t>
        </is>
      </c>
      <c r="AC83" s="4" t="inlineStr">
        <is>
          <t>Verificacion independiente del revisor humano antes del cierre final</t>
        </is>
      </c>
    </row>
    <row r="84" ht="255" customHeight="1">
      <c r="A84" s="4" t="inlineStr">
        <is>
          <t>Lote_04_25</t>
        </is>
      </c>
      <c r="B84" s="4" t="n">
        <v>269</v>
      </c>
      <c r="C84" s="4" t="n"/>
      <c r="D84" s="4" t="inlineStr">
        <is>
          <t>10.1016/j.compbiomed.2026.111470</t>
        </is>
      </c>
      <c r="E84" s="4" t="inlineStr">
        <is>
          <t>ScienceDirect full article sections reviewed; PubMed publication-type metadata conflict documented</t>
        </is>
      </c>
      <c r="F84" s="4" t="inlineStr">
        <is>
          <t>Cerrado: contenido suficiente revisado</t>
        </is>
      </c>
      <c r="G84" s="4" t="n"/>
      <c r="H84" s="4" t="inlineStr">
        <is>
          <t>Multimodal (QEEG + motor/behavioral tasks + AQ-10 psychometrics)</t>
        </is>
      </c>
      <c r="I84" s="4" t="inlineStr">
        <is>
          <t>Machine Learning</t>
        </is>
      </c>
      <c r="J84" s="4" t="inlineStr">
        <is>
          <t>Logistic regression (best), with SVM/KNN/RF/NN and ensemble comparison</t>
        </is>
      </c>
      <c r="K84" s="4" t="inlineStr">
        <is>
          <t>Not specified</t>
        </is>
      </c>
      <c r="L84" s="4" t="inlineStr">
        <is>
          <t>Research only</t>
        </is>
      </c>
      <c r="M84" s="4" t="n">
        <v>0</v>
      </c>
      <c r="N84" s="4" t="n">
        <v>0</v>
      </c>
      <c r="O84" s="4" t="n">
        <v>0</v>
      </c>
      <c r="P84" s="4" t="n">
        <v>0</v>
      </c>
      <c r="Q84" s="4" t="n">
        <v>0</v>
      </c>
      <c r="R84" s="4" t="n">
        <v>1</v>
      </c>
      <c r="S84" s="4" t="n">
        <v>1</v>
      </c>
      <c r="T84" s="4" t="inlineStr">
        <is>
          <t>https://www.sciencedirect.com/science/article/abs/pii/S0010482526000314</t>
        </is>
      </c>
      <c r="U84" s="4" t="inlineStr">
        <is>
          <t>The publisher article contains participant recruitment, data collection, Methods and Results. It integrates QEEG, Finger Tapping, Hand-Eye Coordination, Visual Memory and AQ-10 variables; logistic regression was the best model and RF Gini plots were used for feature interpretation.</t>
        </is>
      </c>
      <c r="V84" s="4" t="n"/>
      <c r="W84" s="4" t="n"/>
      <c r="X84" s="4" t="inlineStr">
        <is>
          <t>Alta</t>
        </is>
      </c>
      <c r="Y84" s="4" t="inlineStr">
        <is>
          <t>PubMed indexa este registro como Review, pero el texto del editor contiene un estudio primario completo; no se excluyo por una etiqueta bibliografica contradictoria. Requiere verificacion humana especifica.</t>
        </is>
      </c>
      <c r="Z84" s="4" t="inlineStr">
        <is>
          <t>Predicting fine motor deficit in autism by measuring brain activities and characterizing motor impairments</t>
        </is>
      </c>
      <c r="AA84" s="4" t="inlineStr">
        <is>
          <t>Include</t>
        </is>
      </c>
      <c r="AB84" s="4" t="inlineStr">
        <is>
          <t>PubMed labels the record as Review, but the publisher full article is clearly an original empirical study with recruited participants and primary data collection. The metadata conflict should be checked independently; stage is left Not specified because the AI endpoint is fine-motor deficit rather than a unique ASD screening/diagnostic stage.</t>
        </is>
      </c>
      <c r="AC84" s="4" t="inlineStr">
        <is>
          <t>Verificacion independiente del revisor humano antes del cierre final</t>
        </is>
      </c>
    </row>
    <row r="85" ht="125" customHeight="1">
      <c r="A85" s="4" t="inlineStr">
        <is>
          <t>Lote_04_25</t>
        </is>
      </c>
      <c r="B85" s="4" t="n">
        <v>270</v>
      </c>
      <c r="C85" s="4" t="n"/>
      <c r="D85" s="4" t="inlineStr">
        <is>
          <t>10.1016/j.pscychresns.2026.112230</t>
        </is>
      </c>
      <c r="E85" s="4" t="inlineStr">
        <is>
          <t>ScienceDirect/PubMed detailed research abstract with architecture and results</t>
        </is>
      </c>
      <c r="F85" s="4" t="inlineStr">
        <is>
          <t>Cerrado: contenido suficiente revisado</t>
        </is>
      </c>
      <c r="G85" s="4" t="n"/>
      <c r="H85" s="4" t="inlineStr">
        <is>
          <t>Neuroimaging (brain MRI)</t>
        </is>
      </c>
      <c r="I85" s="4" t="inlineStr">
        <is>
          <t>Hybrid</t>
        </is>
      </c>
      <c r="J85" s="4" t="inlineStr">
        <is>
          <t>EDCNN (VGG16/ResNet/Inception) + IRUN-HSOA weighted fusion + ARLSTM</t>
        </is>
      </c>
      <c r="K85" s="4" t="inlineStr">
        <is>
          <t>Diagnosis</t>
        </is>
      </c>
      <c r="L85" s="4" t="inlineStr">
        <is>
          <t>Proposed only</t>
        </is>
      </c>
      <c r="M85" s="4" t="n">
        <v>0</v>
      </c>
      <c r="N85" s="4" t="n">
        <v>0</v>
      </c>
      <c r="O85" s="4" t="n">
        <v>0</v>
      </c>
      <c r="P85" s="4" t="n">
        <v>0</v>
      </c>
      <c r="Q85" s="4" t="n">
        <v>0</v>
      </c>
      <c r="R85" s="4" t="n">
        <v>0</v>
      </c>
      <c r="S85" s="4" t="n">
        <v>0</v>
      </c>
      <c r="T85" s="4" t="inlineStr">
        <is>
          <t>https://www.sciencedirect.com/science/article/pii/S0925492726000958</t>
        </is>
      </c>
      <c r="U85" s="4" t="inlineStr">
        <is>
          <t>Uses an ensemble CNN feature extractor, optimized weighted feature fusion and ARLSTM classification for MRI-based ASD diagnosis.</t>
        </is>
      </c>
      <c r="V85" s="4" t="n"/>
      <c r="W85" s="4" t="n"/>
      <c r="X85" s="4" t="inlineStr">
        <is>
          <t>Media</t>
        </is>
      </c>
      <c r="Y85" s="4" t="inlineStr">
        <is>
          <t>No sustituye la segunda revision humana definida en el protocolo.</t>
        </is>
      </c>
      <c r="Z85" s="4" t="inlineStr">
        <is>
          <t>Diagnosing autism spectrum disorders using ensemble-aided weighted fused features and attention-based residual LSTM with brain MRI images</t>
        </is>
      </c>
      <c r="AA85" s="4" t="inlineStr">
        <is>
          <t>Include</t>
        </is>
      </c>
      <c r="AB85" s="4" t="inlineStr">
        <is>
          <t>Attention/recurrent architecture alone is not coded as XAI; no independent external, prospective or site-held-out evaluation is established in the accessible material.</t>
        </is>
      </c>
      <c r="AC85" s="4" t="inlineStr">
        <is>
          <t>Verificacion independiente del revisor humano antes del cierre final</t>
        </is>
      </c>
    </row>
    <row r="86" ht="112" customHeight="1">
      <c r="A86" s="4" t="inlineStr">
        <is>
          <t>Lote_04_25</t>
        </is>
      </c>
      <c r="B86" s="4" t="n">
        <v>271</v>
      </c>
      <c r="C86" s="4" t="n"/>
      <c r="D86" s="4" t="inlineStr">
        <is>
          <t>10.1155/AHCI/1316854</t>
        </is>
      </c>
      <c r="E86" s="4" t="inlineStr">
        <is>
          <t>Open-access Wiley full article reviewed</t>
        </is>
      </c>
      <c r="F86" s="4" t="inlineStr">
        <is>
          <t>Cerrado: contenido suficiente revisado</t>
        </is>
      </c>
      <c r="G86" s="4" t="n"/>
      <c r="H86" s="4" t="inlineStr">
        <is>
          <t>Structured behavioral screening questionnaire</t>
        </is>
      </c>
      <c r="I86" s="4" t="inlineStr">
        <is>
          <t>Deep Learning</t>
        </is>
      </c>
      <c r="J86" s="4" t="inlineStr">
        <is>
          <t>SMOTE-enhanced 1D-CNN</t>
        </is>
      </c>
      <c r="K86" s="4" t="inlineStr">
        <is>
          <t>Screening</t>
        </is>
      </c>
      <c r="L86" s="4" t="inlineStr">
        <is>
          <t>Proposed only</t>
        </is>
      </c>
      <c r="M86" s="4" t="n">
        <v>0</v>
      </c>
      <c r="N86" s="4" t="n">
        <v>0</v>
      </c>
      <c r="O86" s="4" t="n">
        <v>0</v>
      </c>
      <c r="P86" s="4" t="n">
        <v>0</v>
      </c>
      <c r="Q86" s="4" t="n">
        <v>0</v>
      </c>
      <c r="R86" s="4" t="n">
        <v>0</v>
      </c>
      <c r="S86" s="4" t="n">
        <v>0</v>
      </c>
      <c r="T86" s="4" t="inlineStr">
        <is>
          <t>https://onlinelibrary.wiley.com/doi/10.1155/ahci/1316854</t>
        </is>
      </c>
      <c r="U86" s="4" t="inlineStr">
        <is>
          <t>Uses a public toddler-autism behavioral dataset with SMOTE and a 1D-CNN; evaluation is based on train/test splitting and internal cross-validation.</t>
        </is>
      </c>
      <c r="V86" s="4" t="n"/>
      <c r="W86" s="4" t="n"/>
      <c r="X86" s="4" t="inlineStr">
        <is>
          <t>Media</t>
        </is>
      </c>
      <c r="Y86" s="4" t="inlineStr">
        <is>
          <t>No sustituye la segunda revision humana definida en el protocolo.</t>
        </is>
      </c>
      <c r="Z86" s="4" t="inlineStr">
        <is>
          <t>Early Autism Spectrum Disorder Detection Using SMOTE-Enhanced 1D-CNN and Behavioral Screening Data</t>
        </is>
      </c>
      <c r="AA86" s="4" t="inlineStr">
        <is>
          <t>Include</t>
        </is>
      </c>
      <c r="AB86" s="4" t="inlineStr">
        <is>
          <t>Internal validation does not constitute external validation; no prospective workflow, multisite robustness or explicit XAI is reported.</t>
        </is>
      </c>
      <c r="AC86" s="4" t="inlineStr">
        <is>
          <t>Verificacion independiente del revisor humano antes del cierre final</t>
        </is>
      </c>
    </row>
    <row r="87" ht="125" customHeight="1">
      <c r="A87" s="4" t="inlineStr">
        <is>
          <t>Lote_04_25</t>
        </is>
      </c>
      <c r="B87" s="4" t="n">
        <v>273</v>
      </c>
      <c r="C87" s="4" t="n"/>
      <c r="D87" s="4" t="inlineStr">
        <is>
          <t>10.1016/j.procs.2026.06.483</t>
        </is>
      </c>
      <c r="E87" s="4" t="inlineStr">
        <is>
          <t>ScienceDirect proceedings article with methods and results sufficient for scoped coding</t>
        </is>
      </c>
      <c r="F87" s="4" t="inlineStr">
        <is>
          <t>Cerrado: contenido suficiente revisado</t>
        </is>
      </c>
      <c r="G87" s="4" t="n"/>
      <c r="H87" s="4" t="inlineStr">
        <is>
          <t>Facial images</t>
        </is>
      </c>
      <c r="I87" s="4" t="inlineStr">
        <is>
          <t>Deep Learning</t>
        </is>
      </c>
      <c r="J87" s="4" t="inlineStr">
        <is>
          <t>VGG16 CNN</t>
        </is>
      </c>
      <c r="K87" s="4" t="inlineStr">
        <is>
          <t>Screening</t>
        </is>
      </c>
      <c r="L87" s="4" t="inlineStr">
        <is>
          <t>Proposed only</t>
        </is>
      </c>
      <c r="M87" s="4" t="n">
        <v>0</v>
      </c>
      <c r="N87" s="4" t="n">
        <v>0</v>
      </c>
      <c r="O87" s="4" t="n">
        <v>0</v>
      </c>
      <c r="P87" s="4" t="n">
        <v>0</v>
      </c>
      <c r="Q87" s="4" t="n">
        <v>0</v>
      </c>
      <c r="R87" s="4" t="n">
        <v>0</v>
      </c>
      <c r="S87" s="4" t="n">
        <v>0</v>
      </c>
      <c r="T87" s="4" t="inlineStr">
        <is>
          <t>https://www.sciencedirect.com/science/article/pii/S1877050926021162</t>
        </is>
      </c>
      <c r="U87" s="4" t="inlineStr">
        <is>
          <t>Applies VGG16 to a Kaggle facial-image dataset of autistic and non-autistic children and reports 98.1% classification accuracy.</t>
        </is>
      </c>
      <c r="V87" s="4" t="n"/>
      <c r="W87" s="4" t="n"/>
      <c r="X87" s="4" t="inlineStr">
        <is>
          <t>Media</t>
        </is>
      </c>
      <c r="Y87" s="4" t="inlineStr">
        <is>
          <t>No sustituye la segunda revision humana definida en el protocolo.</t>
        </is>
      </c>
      <c r="Z87" s="4" t="inlineStr">
        <is>
          <t>Optimizing Autism Spectrum Disorder Diagnosis with VGG16-Based Facial Landmark Recognition</t>
        </is>
      </c>
      <c r="AA87" s="4" t="inlineStr">
        <is>
          <t>Include</t>
        </is>
      </c>
      <c r="AB87" s="4" t="inlineStr">
        <is>
          <t>Single public image dataset and no independent external/prospective evaluation are established; performance may be sensitive to dataset leakage or source bias.</t>
        </is>
      </c>
      <c r="AC87" s="4" t="inlineStr">
        <is>
          <t>Verificacion independiente del revisor humano antes del cierre final</t>
        </is>
      </c>
    </row>
    <row r="88" ht="112" customHeight="1">
      <c r="A88" s="4" t="inlineStr">
        <is>
          <t>Lote_04_25</t>
        </is>
      </c>
      <c r="B88" s="4" t="n">
        <v>275</v>
      </c>
      <c r="C88" s="4" t="n"/>
      <c r="D88" s="4" t="inlineStr">
        <is>
          <t>10.1155/ACIS/6410913</t>
        </is>
      </c>
      <c r="E88" s="4" t="inlineStr">
        <is>
          <t>Open-access Wiley full article reviewed</t>
        </is>
      </c>
      <c r="F88" s="4" t="inlineStr">
        <is>
          <t>Cerrado: contenido suficiente revisado</t>
        </is>
      </c>
      <c r="G88" s="4" t="n"/>
      <c r="H88" s="4" t="inlineStr">
        <is>
          <t>Structured sociodemographic / parental / perinatal risk-factor data</t>
        </is>
      </c>
      <c r="I88" s="4" t="inlineStr">
        <is>
          <t>Machine Learning</t>
        </is>
      </c>
      <c r="J88" s="4" t="inlineStr">
        <is>
          <t>Decision tree with F-classify feature selection (best of 8 classifiers)</t>
        </is>
      </c>
      <c r="K88" s="4" t="inlineStr">
        <is>
          <t>Prescreening</t>
        </is>
      </c>
      <c r="L88" s="4" t="inlineStr">
        <is>
          <t>Research only</t>
        </is>
      </c>
      <c r="M88" s="4" t="n">
        <v>0</v>
      </c>
      <c r="N88" s="4" t="n">
        <v>1</v>
      </c>
      <c r="O88" s="4" t="n">
        <v>0</v>
      </c>
      <c r="P88" s="4" t="n">
        <v>0</v>
      </c>
      <c r="Q88" s="4" t="n">
        <v>0</v>
      </c>
      <c r="R88" s="4" t="n">
        <v>1</v>
      </c>
      <c r="S88" s="4" t="n">
        <v>0</v>
      </c>
      <c r="T88" s="4" t="inlineStr">
        <is>
          <t>https://onlinelibrary.wiley.com/doi/10.1155/acis/6410913</t>
        </is>
      </c>
      <c r="U88" s="4" t="inlineStr">
        <is>
          <t>Analyzes a Bangladesh dataset collected across multiple geographic locations; compares eight classifiers after feature selection, with decision tree reported as best, and identifies interpretable sociodemographic/perinatal predictors.</t>
        </is>
      </c>
      <c r="V88" s="4" t="n"/>
      <c r="W88" s="4" t="n"/>
      <c r="X88" s="4" t="inlineStr">
        <is>
          <t>Media</t>
        </is>
      </c>
      <c r="Y88" s="4" t="inlineStr">
        <is>
          <t>No sustituye la segunda revision humana definida en el protocolo.</t>
        </is>
      </c>
      <c r="Z88" s="4" t="inlineStr">
        <is>
          <t>Machine Learning Techniques to Uncover Sociodemographic Risk Factors of Autism Spectrum Disorder (ASD) Among Children and Adolescents in Bangladesh</t>
        </is>
      </c>
      <c r="AA88" s="4" t="inlineStr">
        <is>
          <t>Include</t>
        </is>
      </c>
      <c r="AB88" s="4" t="inlineStr">
        <is>
          <t>The reported test/CV is internal and geographic sources are pooled rather than site-held-out; regional sampling limits generalizability.</t>
        </is>
      </c>
      <c r="AC88" s="4" t="inlineStr">
        <is>
          <t>Verificacion independiente del revisor humano antes del cierre final</t>
        </is>
      </c>
    </row>
    <row r="89" ht="138" customHeight="1">
      <c r="A89" s="4" t="inlineStr">
        <is>
          <t>Lote_04_25</t>
        </is>
      </c>
      <c r="B89" s="4" t="n">
        <v>277</v>
      </c>
      <c r="C89" s="4" t="n"/>
      <c r="D89" s="4" t="inlineStr">
        <is>
          <t>10.1016/j.reia.2026.202826</t>
        </is>
      </c>
      <c r="E89" s="4" t="inlineStr">
        <is>
          <t>ScienceDirect detailed research abstract and methods summary sufficient for scoped coding</t>
        </is>
      </c>
      <c r="F89" s="4" t="inlineStr">
        <is>
          <t>Cerrado: contenido suficiente revisado</t>
        </is>
      </c>
      <c r="G89" s="4" t="n"/>
      <c r="H89" s="4" t="inlineStr">
        <is>
          <t>Structured national child-health survey / chronic and genetic conditions</t>
        </is>
      </c>
      <c r="I89" s="4" t="inlineStr">
        <is>
          <t>Machine Learning</t>
        </is>
      </c>
      <c r="J89" s="4" t="inlineStr">
        <is>
          <t>Multiple ML classifiers + propensity-score matching; best learner not specified in accessible text</t>
        </is>
      </c>
      <c r="K89" s="4" t="inlineStr">
        <is>
          <t>Prescreening</t>
        </is>
      </c>
      <c r="L89" s="4" t="inlineStr">
        <is>
          <t>Research only</t>
        </is>
      </c>
      <c r="M89" s="4" t="n">
        <v>0</v>
      </c>
      <c r="N89" s="4" t="n">
        <v>0</v>
      </c>
      <c r="O89" s="4" t="n">
        <v>0</v>
      </c>
      <c r="P89" s="4" t="n">
        <v>0</v>
      </c>
      <c r="Q89" s="4" t="n">
        <v>0</v>
      </c>
      <c r="R89" s="4" t="n">
        <v>1</v>
      </c>
      <c r="S89" s="4" t="n">
        <v>0</v>
      </c>
      <c r="T89" s="4" t="inlineStr">
        <is>
          <t>https://www.sciencedirect.com/science/article/pii/S3050656526000404</t>
        </is>
      </c>
      <c r="U89" s="4" t="inlineStr">
        <is>
          <t>Uses 2022-2023 National Survey of Children's Health data, propensity-score methods and machine learning to identify predictor patterns and high-risk subgroups associated with ASD.</t>
        </is>
      </c>
      <c r="V89" s="4" t="n"/>
      <c r="W89" s="4" t="n"/>
      <c r="X89" s="4" t="inlineStr">
        <is>
          <t>Media</t>
        </is>
      </c>
      <c r="Y89" s="4" t="inlineStr">
        <is>
          <t>No sustituye la segunda revision humana definida en el protocolo.</t>
        </is>
      </c>
      <c r="Z89" s="4" t="inlineStr">
        <is>
          <t>A comprehensive causal and machine learning framework for autism spectrum disorder risk prediction and high-risk subgroup identification from children with chronic health and genetic disorders in the United States</t>
        </is>
      </c>
      <c r="AA89" s="4" t="inlineStr">
        <is>
          <t>Include</t>
        </is>
      </c>
      <c r="AB89" s="4" t="inlineStr">
        <is>
          <t>Survey-based association/prediction is not external validation or prospective evaluation; predictor/subgroup interpretation is coded as partial explainability rather than strict XAI.</t>
        </is>
      </c>
      <c r="AC89" s="4" t="inlineStr">
        <is>
          <t>Verificacion independiente del revisor humano antes del cierre final</t>
        </is>
      </c>
    </row>
    <row r="90" ht="138" customHeight="1">
      <c r="A90" s="4" t="inlineStr">
        <is>
          <t>Lote_04_25</t>
        </is>
      </c>
      <c r="B90" s="4" t="n">
        <v>279</v>
      </c>
      <c r="C90" s="4" t="n"/>
      <c r="D90" s="4" t="inlineStr">
        <is>
          <t>10.1002/9781394393060.CH12</t>
        </is>
      </c>
      <c r="E90" s="4" t="inlineStr">
        <is>
          <t>Publisher/book metadata and chapter table of contents sufficient for publication-type adjudication</t>
        </is>
      </c>
      <c r="F90" s="4" t="inlineStr">
        <is>
          <t>Cerrado: contenido suficiente revisado</t>
        </is>
      </c>
      <c r="G90" s="4" t="n"/>
      <c r="H90" s="4" t="n"/>
      <c r="I90" s="4" t="n"/>
      <c r="J90" s="4" t="n"/>
      <c r="K90" s="4" t="n"/>
      <c r="L90" s="4" t="n"/>
      <c r="M90" s="4" t="n"/>
      <c r="N90" s="4" t="n"/>
      <c r="O90" s="4" t="n"/>
      <c r="P90" s="4" t="n"/>
      <c r="Q90" s="4" t="n"/>
      <c r="R90" s="4" t="n"/>
      <c r="S90" s="4" t="n"/>
      <c r="T90" s="4" t="inlineStr">
        <is>
          <t>https://scrivenerpublishing.com/cart/title.php?id=1248</t>
        </is>
      </c>
      <c r="U90" s="4" t="inlineStr">
        <is>
          <t>Publisher metadata identifies the item as Chapter 12, Composite AI for Predictive Analysis of Autism Spectrum Disorder Using Facial Features, in the edited book Composite Artificial Intelligence.</t>
        </is>
      </c>
      <c r="V90" s="4" t="n"/>
      <c r="W90" s="4" t="n"/>
      <c r="X90" s="4" t="inlineStr">
        <is>
          <t>Media</t>
        </is>
      </c>
      <c r="Y90" s="4" t="inlineStr">
        <is>
          <t>No sustituye la segunda revision humana definida en el protocolo.</t>
        </is>
      </c>
      <c r="Z90" s="4" t="inlineStr">
        <is>
          <t>Composite AI for Predictive Analysis of Autism Spectrum Disorder Using Facial Features</t>
        </is>
      </c>
      <c r="AA90" s="4" t="inlineStr">
        <is>
          <t>Exclude</t>
        </is>
      </c>
      <c r="AB90" s="4" t="inlineStr">
        <is>
          <t>Publication-type exclusion under the stated protocol. The chapter appears to contain methods and experiments, but the protocol excludes book chapters regardless of empirical content.</t>
        </is>
      </c>
      <c r="AC90" s="4" t="inlineStr">
        <is>
          <t>Verificacion independiente del revisor humano antes del cierre final</t>
        </is>
      </c>
    </row>
    <row r="91" ht="125" customHeight="1">
      <c r="A91" s="4" t="inlineStr">
        <is>
          <t>Lote_04_25</t>
        </is>
      </c>
      <c r="B91" s="4" t="n">
        <v>280</v>
      </c>
      <c r="C91" s="4" t="n"/>
      <c r="D91" s="4" t="inlineStr">
        <is>
          <t>10.1016/j.ridd.2025.105201</t>
        </is>
      </c>
      <c r="E91" s="4" t="inlineStr">
        <is>
          <t>PubMed/ScienceDirect detailed research abstract with cohort, predictors and performance analysis</t>
        </is>
      </c>
      <c r="F91" s="4" t="inlineStr">
        <is>
          <t>Cerrado: contenido suficiente revisado</t>
        </is>
      </c>
      <c r="G91" s="4" t="n"/>
      <c r="H91" s="4" t="inlineStr">
        <is>
          <t>Structured national survey (sleep patterns, demographics/comorbidities)</t>
        </is>
      </c>
      <c r="I91" s="4" t="inlineStr">
        <is>
          <t>Machine Learning</t>
        </is>
      </c>
      <c r="J91" s="4" t="inlineStr">
        <is>
          <t>Multivariable logistic regression + machine-learning risk-profile modeling</t>
        </is>
      </c>
      <c r="K91" s="4" t="inlineStr">
        <is>
          <t>Prescreening</t>
        </is>
      </c>
      <c r="L91" s="4" t="inlineStr">
        <is>
          <t>Research only</t>
        </is>
      </c>
      <c r="M91" s="4" t="n">
        <v>0</v>
      </c>
      <c r="N91" s="4" t="n">
        <v>0</v>
      </c>
      <c r="O91" s="4" t="n">
        <v>0</v>
      </c>
      <c r="P91" s="4" t="n">
        <v>0</v>
      </c>
      <c r="Q91" s="4" t="n">
        <v>0</v>
      </c>
      <c r="R91" s="4" t="n">
        <v>1</v>
      </c>
      <c r="S91" s="4" t="n">
        <v>0</v>
      </c>
      <c r="T91" s="4" t="inlineStr">
        <is>
          <t>https://pubmed.ncbi.nlm.nih.gov/41475317/</t>
        </is>
      </c>
      <c r="U91" s="4" t="inlineStr">
        <is>
          <t>Analyzes 63,866 children from the 2022-2023 NSCH using sleep routines, demographics and comorbidities with regression/ML to identify ASD-associated risk profiles and high-risk subgroups.</t>
        </is>
      </c>
      <c r="V91" s="4" t="n"/>
      <c r="W91" s="4" t="n"/>
      <c r="X91" s="4" t="inlineStr">
        <is>
          <t>Media</t>
        </is>
      </c>
      <c r="Y91" s="4" t="inlineStr">
        <is>
          <t>No sustituye la segunda revision humana definida en el protocolo.</t>
        </is>
      </c>
      <c r="Z91" s="4" t="inlineStr">
        <is>
          <t>Sleep pattern consistency and autism spectrum disorder in U.S. children: Associations and identification of high-risk subgroups</t>
        </is>
      </c>
      <c r="AA91" s="4" t="inlineStr">
        <is>
          <t>Include</t>
        </is>
      </c>
      <c r="AB91" s="4" t="inlineStr">
        <is>
          <t>Cross-sectional survey prediction does not establish prospective or external validation; interpretable risk profiles are coded as partial rather than strict XAI.</t>
        </is>
      </c>
      <c r="AC91" s="4" t="inlineStr">
        <is>
          <t>Verificacion independiente del revisor humano antes del cierre final</t>
        </is>
      </c>
    </row>
    <row r="92" ht="99" customHeight="1">
      <c r="A92" s="4" t="inlineStr">
        <is>
          <t>Lote_04_25</t>
        </is>
      </c>
      <c r="B92" s="4" t="n">
        <v>286</v>
      </c>
      <c r="C92" s="4" t="n"/>
      <c r="D92" s="4" t="inlineStr">
        <is>
          <t>10.3233/SHTI260609</t>
        </is>
      </c>
      <c r="E92" s="4" t="inlineStr">
        <is>
          <t>PubMed detailed research abstract with omics dataset, ML models and validation approach</t>
        </is>
      </c>
      <c r="F92" s="4" t="inlineStr">
        <is>
          <t>Cerrado: contenido suficiente revisado</t>
        </is>
      </c>
      <c r="G92" s="4" t="n"/>
      <c r="H92" s="4" t="inlineStr">
        <is>
          <t>Biological/omics (RNA-seq gene expression)</t>
        </is>
      </c>
      <c r="I92" s="4" t="inlineStr">
        <is>
          <t>Machine Learning</t>
        </is>
      </c>
      <c r="J92" s="4" t="inlineStr">
        <is>
          <t>XGBoost + random forest</t>
        </is>
      </c>
      <c r="K92" s="4" t="inlineStr">
        <is>
          <t>Screening</t>
        </is>
      </c>
      <c r="L92" s="4" t="inlineStr">
        <is>
          <t>Research only</t>
        </is>
      </c>
      <c r="M92" s="4" t="n">
        <v>0</v>
      </c>
      <c r="N92" s="4" t="n">
        <v>0</v>
      </c>
      <c r="O92" s="4" t="n">
        <v>0</v>
      </c>
      <c r="P92" s="4" t="n">
        <v>0</v>
      </c>
      <c r="Q92" s="4" t="n">
        <v>0</v>
      </c>
      <c r="R92" s="4" t="n">
        <v>1</v>
      </c>
      <c r="S92" s="4" t="n">
        <v>0</v>
      </c>
      <c r="T92" s="4" t="inlineStr">
        <is>
          <t>https://pubmed.ncbi.nlm.nih.gov/42175278/</t>
        </is>
      </c>
      <c r="U92" s="4" t="inlineStr">
        <is>
          <t>Uses RNA-seq gene-expression data from NCBI GEO, compares RF and XGBoost with fivefold CV, and ranks a compact set of candidate transcriptomic biomarkers.</t>
        </is>
      </c>
      <c r="V92" s="4" t="n"/>
      <c r="W92" s="4" t="n"/>
      <c r="X92" s="4" t="inlineStr">
        <is>
          <t>Media</t>
        </is>
      </c>
      <c r="Y92" s="4" t="inlineStr">
        <is>
          <t>No sustituye la segunda revision humana definida en el protocolo.</t>
        </is>
      </c>
      <c r="Z92" s="4" t="inlineStr">
        <is>
          <t>Identification of Potential Biomarkers in ASD Integrating RNA Seq Data and Machine Learning Approaches</t>
        </is>
      </c>
      <c r="AA92" s="4" t="inlineStr">
        <is>
          <t>Include</t>
        </is>
      </c>
      <c r="AB92" s="4" t="inlineStr">
        <is>
          <t>Small dataset and internal CV only; ranked biomarkers are treated as partial interpretability, not strict XAI or external validation.</t>
        </is>
      </c>
      <c r="AC92" s="4" t="inlineStr">
        <is>
          <t>Verificacion independiente del revisor humano antes del cierre final</t>
        </is>
      </c>
    </row>
    <row r="93" ht="86" customHeight="1">
      <c r="A93" s="4" t="inlineStr">
        <is>
          <t>Lote_04_25</t>
        </is>
      </c>
      <c r="B93" s="4" t="n">
        <v>287</v>
      </c>
      <c r="C93" s="4" t="n"/>
      <c r="D93" s="4" t="inlineStr">
        <is>
          <t>10.1002/AUR.70222</t>
        </is>
      </c>
      <c r="E93" s="4" t="inlineStr">
        <is>
          <t>Wiley full article and PubMed record reviewed</t>
        </is>
      </c>
      <c r="F93" s="4" t="inlineStr">
        <is>
          <t>Cerrado: contenido suficiente revisado</t>
        </is>
      </c>
      <c r="G93" s="4" t="n"/>
      <c r="H93" s="4" t="inlineStr">
        <is>
          <t>Physiological signals (polysomnography / REM-sleep features)</t>
        </is>
      </c>
      <c r="I93" s="4" t="inlineStr">
        <is>
          <t>Machine Learning</t>
        </is>
      </c>
      <c r="J93" s="4" t="inlineStr">
        <is>
          <t>XGBoost + SHAP</t>
        </is>
      </c>
      <c r="K93" s="4" t="inlineStr">
        <is>
          <t>Diagnosis</t>
        </is>
      </c>
      <c r="L93" s="4" t="inlineStr">
        <is>
          <t>Research only</t>
        </is>
      </c>
      <c r="M93" s="4" t="n">
        <v>0</v>
      </c>
      <c r="N93" s="4" t="n">
        <v>0</v>
      </c>
      <c r="O93" s="4" t="n">
        <v>0</v>
      </c>
      <c r="P93" s="4" t="n">
        <v>0</v>
      </c>
      <c r="Q93" s="4" t="n">
        <v>1</v>
      </c>
      <c r="R93" s="4" t="n">
        <v>0</v>
      </c>
      <c r="S93" s="4" t="n">
        <v>0</v>
      </c>
      <c r="T93" s="4" t="inlineStr">
        <is>
          <t>https://onlinelibrary.wiley.com/doi/full/10.1002/aur.70222</t>
        </is>
      </c>
      <c r="U93" s="4" t="inlineStr">
        <is>
          <t>Matched ASD and non-ASD participants from the NCH Sleep Databank, compared ML models on REM-sleep features, and used SHAP to identify discriminative predictors.</t>
        </is>
      </c>
      <c r="V93" s="4" t="n"/>
      <c r="W93" s="4" t="n"/>
      <c r="X93" s="4" t="inlineStr">
        <is>
          <t>Media</t>
        </is>
      </c>
      <c r="Y93" s="4" t="inlineStr">
        <is>
          <t>No sustituye la segunda revision humana definida en el protocolo.</t>
        </is>
      </c>
      <c r="Z93" s="4" t="inlineStr">
        <is>
          <t>REM Sleep Abnormalities in Children With Autism Spectrum Disorder</t>
        </is>
      </c>
      <c r="AA93" s="4" t="inlineStr">
        <is>
          <t>Include</t>
        </is>
      </c>
      <c r="AB93" s="4" t="inlineStr">
        <is>
          <t>Single databank analysis without independent external or prospective validation; SHAP supports strict XAI coding.</t>
        </is>
      </c>
      <c r="AC93" s="4" t="inlineStr">
        <is>
          <t>Verificacion independiente del revisor humano antes del cierre final</t>
        </is>
      </c>
    </row>
    <row r="94" ht="229" customHeight="1">
      <c r="A94" s="4" t="inlineStr">
        <is>
          <t>Lote_04_25</t>
        </is>
      </c>
      <c r="B94" s="4" t="n">
        <v>289</v>
      </c>
      <c r="C94" s="4" t="n"/>
      <c r="D94" s="4" t="inlineStr">
        <is>
          <t>10.1016/j.asoc.2026.114655</t>
        </is>
      </c>
      <c r="E94" s="4" t="inlineStr">
        <is>
          <t>ScienceDirect full article sections with explicit cross-site evaluation and attention-map interpretation</t>
        </is>
      </c>
      <c r="F94" s="4" t="inlineStr">
        <is>
          <t>Cerrado: contenido suficiente revisado</t>
        </is>
      </c>
      <c r="G94" s="4" t="n"/>
      <c r="H94" s="4" t="inlineStr">
        <is>
          <t>Neuroimaging (rs-fMRI; ABIDE I/II)</t>
        </is>
      </c>
      <c r="I94" s="4" t="inlineStr">
        <is>
          <t>Hybrid</t>
        </is>
      </c>
      <c r="J94" s="4" t="inlineStr">
        <is>
          <t>HYMA: hierarchical YOLO + BAM attention + Mixture-of-Experts + ensemble decision fusion</t>
        </is>
      </c>
      <c r="K94" s="4" t="inlineStr">
        <is>
          <t>Diagnosis</t>
        </is>
      </c>
      <c r="L94" s="4" t="inlineStr">
        <is>
          <t>Research only</t>
        </is>
      </c>
      <c r="M94" s="4" t="n">
        <v>0</v>
      </c>
      <c r="N94" s="4" t="n">
        <v>1</v>
      </c>
      <c r="O94" s="4" t="n">
        <v>1</v>
      </c>
      <c r="P94" s="4" t="n">
        <v>0</v>
      </c>
      <c r="Q94" s="4" t="n">
        <v>1</v>
      </c>
      <c r="R94" s="4" t="n">
        <v>0</v>
      </c>
      <c r="S94" s="4" t="n">
        <v>0</v>
      </c>
      <c r="T94" s="4" t="inlineStr">
        <is>
          <t>https://www.sciencedirect.com/science/article/pii/S1568494626001031</t>
        </is>
      </c>
      <c r="U94" s="4" t="inlineStr">
        <is>
          <t>HYMA combines axis-specific YOLO experts, attention and expert fusion; the publisher explicitly reports subject-wise and cross-site evaluations on ABIDE I/II and interprets attention maps over clinically relevant brain regions.</t>
        </is>
      </c>
      <c r="V94" s="4" t="n"/>
      <c r="W94" s="4" t="n"/>
      <c r="X94" s="4" t="inlineStr">
        <is>
          <t>Alta</t>
        </is>
      </c>
      <c r="Y94" s="4" t="inlineStr">
        <is>
          <t>No sustituye la segunda revision humana definida en el protocolo.</t>
        </is>
      </c>
      <c r="Z94" s="4" t="inlineStr">
        <is>
          <t>Diagnosis of autism disorder from rs-fMRI brain images through hierarchical YOLO and mechanism of attention (HYMA)</t>
        </is>
      </c>
      <c r="AA94" s="4" t="inlineStr">
        <is>
          <t>Include</t>
        </is>
      </c>
      <c r="AB94" s="4" t="inlineStr">
        <is>
          <t>The 99.3% accuracy is unusually high for ABIDE and merits independent replication. Cross-site robustness is counted because the paper explicitly reports cross-site evaluation, but external validation is kept at 0 because the exact independent train/external-test relationship is not unambiguously established.</t>
        </is>
      </c>
      <c r="AC94" s="4" t="inlineStr">
        <is>
          <t>Verificacion independiente del revisor humano antes del cierre final</t>
        </is>
      </c>
    </row>
    <row r="95" ht="86" customHeight="1">
      <c r="A95" s="4" t="inlineStr">
        <is>
          <t>Lote_04_25</t>
        </is>
      </c>
      <c r="B95" s="4" t="n">
        <v>295</v>
      </c>
      <c r="C95" s="4" t="n"/>
      <c r="D95" s="4" t="inlineStr">
        <is>
          <t>10.1155/ACIS/1906938</t>
        </is>
      </c>
      <c r="E95" s="4" t="inlineStr">
        <is>
          <t>Open-access Wiley full article reviewed</t>
        </is>
      </c>
      <c r="F95" s="4" t="inlineStr">
        <is>
          <t>Cerrado: contenido suficiente revisado</t>
        </is>
      </c>
      <c r="G95" s="4" t="n"/>
      <c r="H95" s="4" t="inlineStr">
        <is>
          <t>Pupillary light reflex / eye-tracking physiological data</t>
        </is>
      </c>
      <c r="I95" s="4" t="inlineStr">
        <is>
          <t>Deep Learning</t>
        </is>
      </c>
      <c r="J95" s="4" t="inlineStr">
        <is>
          <t>Deep neural network (best) vs NB/LR/DT/LDA</t>
        </is>
      </c>
      <c r="K95" s="4" t="inlineStr">
        <is>
          <t>Screening</t>
        </is>
      </c>
      <c r="L95" s="4" t="inlineStr">
        <is>
          <t>Proposed only</t>
        </is>
      </c>
      <c r="M95" s="4" t="n">
        <v>0</v>
      </c>
      <c r="N95" s="4" t="n">
        <v>0</v>
      </c>
      <c r="O95" s="4" t="n">
        <v>0</v>
      </c>
      <c r="P95" s="4" t="n">
        <v>0</v>
      </c>
      <c r="Q95" s="4" t="n">
        <v>0</v>
      </c>
      <c r="R95" s="4" t="n">
        <v>0</v>
      </c>
      <c r="S95" s="4" t="n">
        <v>0</v>
      </c>
      <c r="T95" s="4" t="inlineStr">
        <is>
          <t>https://onlinelibrary.wiley.com/doi/10.1155/acis/1906938</t>
        </is>
      </c>
      <c r="U95" s="4" t="inlineStr">
        <is>
          <t>Compares conventional classifiers and a DNN on pupillary-light-reflex features from ASD and typically developing children; the DNN gives the strongest test performance.</t>
        </is>
      </c>
      <c r="V95" s="4" t="n"/>
      <c r="W95" s="4" t="n"/>
      <c r="X95" s="4" t="inlineStr">
        <is>
          <t>Media</t>
        </is>
      </c>
      <c r="Y95" s="4" t="inlineStr">
        <is>
          <t>No sustituye la segunda revision humana definida en el protocolo.</t>
        </is>
      </c>
      <c r="Z95" s="4" t="inlineStr">
        <is>
          <t>Comparing Machine Learning Models for Pupillary Light Reflex–Based Autism Spectrum Disorder Classification</t>
        </is>
      </c>
      <c r="AA95" s="4" t="inlineStr">
        <is>
          <t>Include</t>
        </is>
      </c>
      <c r="AB95" s="4" t="inlineStr">
        <is>
          <t>Small sample and no independent external/prospective validation or explicit explainability analysis.</t>
        </is>
      </c>
      <c r="AC95" s="4" t="inlineStr">
        <is>
          <t>Verificacion independiente del revisor humano antes del cierre final</t>
        </is>
      </c>
    </row>
    <row r="96" ht="112" customHeight="1">
      <c r="A96" s="4" t="inlineStr">
        <is>
          <t>Lote_04_25</t>
        </is>
      </c>
      <c r="B96" s="4" t="n">
        <v>296</v>
      </c>
      <c r="C96" s="4" t="n"/>
      <c r="D96" s="4" t="inlineStr">
        <is>
          <t>10.1016/j.bspc.2026.109655</t>
        </is>
      </c>
      <c r="E96" s="4" t="inlineStr">
        <is>
          <t>ScienceDirect detailed research abstract with participant EEG protocol and model family</t>
        </is>
      </c>
      <c r="F96" s="4" t="inlineStr">
        <is>
          <t>Cerrado: contenido suficiente revisado</t>
        </is>
      </c>
      <c r="G96" s="4" t="n"/>
      <c r="H96" s="4" t="inlineStr">
        <is>
          <t>Physiological signals (task-based EEG during face processing)</t>
        </is>
      </c>
      <c r="I96" s="4" t="inlineStr">
        <is>
          <t>Deep Learning</t>
        </is>
      </c>
      <c r="J96" s="4" t="inlineStr">
        <is>
          <t>Lightweight 1D-CNN variants (including InceptionNet/ResNet-style models)</t>
        </is>
      </c>
      <c r="K96" s="4" t="inlineStr">
        <is>
          <t>Diagnosis</t>
        </is>
      </c>
      <c r="L96" s="4" t="inlineStr">
        <is>
          <t>Research only</t>
        </is>
      </c>
      <c r="M96" s="4" t="n">
        <v>0</v>
      </c>
      <c r="N96" s="4" t="n">
        <v>0</v>
      </c>
      <c r="O96" s="4" t="n">
        <v>0</v>
      </c>
      <c r="P96" s="4" t="n">
        <v>0</v>
      </c>
      <c r="Q96" s="4" t="n">
        <v>0</v>
      </c>
      <c r="R96" s="4" t="n">
        <v>0</v>
      </c>
      <c r="S96" s="4" t="n">
        <v>0</v>
      </c>
      <c r="T96" s="4" t="inlineStr">
        <is>
          <t>https://www.sciencedirect.com/science/article/abs/pii/S1746809426002090</t>
        </is>
      </c>
      <c r="U96" s="4" t="inlineStr">
        <is>
          <t>Uses raw EEG recorded from ASD and TD children during upright/inverted face-processing tasks and evaluates lightweight one-dimensional CNN architectures for classification.</t>
        </is>
      </c>
      <c r="V96" s="4" t="n"/>
      <c r="W96" s="4" t="n"/>
      <c r="X96" s="4" t="inlineStr">
        <is>
          <t>Media</t>
        </is>
      </c>
      <c r="Y96" s="4" t="inlineStr">
        <is>
          <t>No sustituye la segunda revision humana definida en el protocolo.</t>
        </is>
      </c>
      <c r="Z96" s="4" t="inlineStr">
        <is>
          <t>Deep learning for diagnosing autism spectrum disorder using EEG with upright and inverted face processing tasks</t>
        </is>
      </c>
      <c r="AA96" s="4" t="inlineStr">
        <is>
          <t>Include</t>
        </is>
      </c>
      <c r="AB96" s="4" t="inlineStr">
        <is>
          <t>Accessible material does not establish prospective enrollment, independent external validation, site-held-out robustness or formal XAI.</t>
        </is>
      </c>
      <c r="AC96" s="4" t="inlineStr">
        <is>
          <t>Verificacion independiente del revisor humano antes del cierre final</t>
        </is>
      </c>
    </row>
    <row r="97" ht="138" customHeight="1">
      <c r="A97" s="4" t="inlineStr">
        <is>
          <t>Lote_04_25</t>
        </is>
      </c>
      <c r="B97" s="4" t="n">
        <v>298</v>
      </c>
      <c r="C97" s="4" t="n"/>
      <c r="D97" s="4" t="inlineStr">
        <is>
          <t>10.1016/j.ridd.2026.105249</t>
        </is>
      </c>
      <c r="E97" s="4" t="inlineStr">
        <is>
          <t>PubMed/ScienceDirect research abstract and article snippets with intervention design and outcomes</t>
        </is>
      </c>
      <c r="F97" s="4" t="inlineStr">
        <is>
          <t>Cerrado: contenido suficiente revisado</t>
        </is>
      </c>
      <c r="G97" s="4" t="n"/>
      <c r="H97" s="4" t="inlineStr">
        <is>
          <t>Conversational interaction / language-performance data</t>
        </is>
      </c>
      <c r="I97" s="4" t="inlineStr">
        <is>
          <t>Not specified</t>
        </is>
      </c>
      <c r="J97" s="4" t="inlineStr">
        <is>
          <t>Conversational AI virtual peer (underlying model not specified in accessible text)</t>
        </is>
      </c>
      <c r="K97" s="4" t="inlineStr">
        <is>
          <t>Monitoring/intervention</t>
        </is>
      </c>
      <c r="L97" s="4" t="inlineStr">
        <is>
          <t>Confirmed in intervention</t>
        </is>
      </c>
      <c r="M97" s="4" t="n">
        <v>0</v>
      </c>
      <c r="N97" s="4" t="n">
        <v>0</v>
      </c>
      <c r="O97" s="4" t="n">
        <v>0</v>
      </c>
      <c r="P97" s="4" t="n">
        <v>1</v>
      </c>
      <c r="Q97" s="4" t="n">
        <v>0</v>
      </c>
      <c r="R97" s="4" t="n">
        <v>0</v>
      </c>
      <c r="S97" s="4" t="n">
        <v>0</v>
      </c>
      <c r="T97" s="4" t="inlineStr">
        <is>
          <t>https://pubmed.ncbi.nlm.nih.gov/41671742/</t>
        </is>
      </c>
      <c r="U97" s="4" t="inlineStr">
        <is>
          <t>A multiple-probe/alternating-treatment intervention compares conversational-AI-enhanced peer mediation with peer-mediated instruction alone and reports gains in initiations, responses, lexical diversity and generalization.</t>
        </is>
      </c>
      <c r="V97" s="4" t="n"/>
      <c r="W97" s="4" t="n"/>
      <c r="X97" s="4" t="inlineStr">
        <is>
          <t>Media</t>
        </is>
      </c>
      <c r="Y97" s="4" t="inlineStr">
        <is>
          <t>No sustituye la segunda revision humana definida en el protocolo.</t>
        </is>
      </c>
      <c r="Z97" s="4" t="inlineStr">
        <is>
          <t>Effects of conversational AI-enhanced peer-mediated intervention by peers with intellectual disabilities on conversational skills in children with ASD</t>
        </is>
      </c>
      <c r="AA97" s="4" t="inlineStr">
        <is>
          <t>Include</t>
        </is>
      </c>
      <c r="AB97" s="4" t="inlineStr">
        <is>
          <t>The underlying conversational model is not technically specified in the accessible material; the small single-case design limits generalizability despite real intervention deployment.</t>
        </is>
      </c>
      <c r="AC97" s="4" t="inlineStr">
        <is>
          <t>Verificacion independiente del revisor humano antes del cierre final</t>
        </is>
      </c>
    </row>
    <row r="98" ht="151" customHeight="1">
      <c r="A98" s="4" t="inlineStr">
        <is>
          <t>Lote_04_25</t>
        </is>
      </c>
      <c r="B98" s="4" t="n">
        <v>299</v>
      </c>
      <c r="C98" s="4" t="n"/>
      <c r="D98" s="4" t="inlineStr">
        <is>
          <t>10.1016/j.bpsc.2025.12.013</t>
        </is>
      </c>
      <c r="E98" s="4" t="inlineStr">
        <is>
          <t>Publisher full article reviewed</t>
        </is>
      </c>
      <c r="F98" s="4" t="inlineStr">
        <is>
          <t>Cerrado: contenido suficiente revisado</t>
        </is>
      </c>
      <c r="G98" s="4" t="n"/>
      <c r="H98" s="4" t="inlineStr">
        <is>
          <t>Neuroimaging (rs-fMRI functional connectivity) with Short Sensory Profile phenotype labels</t>
        </is>
      </c>
      <c r="I98" s="4" t="inlineStr">
        <is>
          <t>Machine Learning</t>
        </is>
      </c>
      <c r="J98" s="4" t="inlineStr">
        <is>
          <t>k-means sensory-phenotype clustering + linear SVC on graph-theoretical fMRI features</t>
        </is>
      </c>
      <c r="K98" s="4" t="inlineStr">
        <is>
          <t>Not specified</t>
        </is>
      </c>
      <c r="L98" s="4" t="inlineStr">
        <is>
          <t>Research only</t>
        </is>
      </c>
      <c r="M98" s="4" t="n">
        <v>0</v>
      </c>
      <c r="N98" s="4" t="n">
        <v>1</v>
      </c>
      <c r="O98" s="4" t="n">
        <v>0</v>
      </c>
      <c r="P98" s="4" t="n">
        <v>0</v>
      </c>
      <c r="Q98" s="4" t="n">
        <v>0</v>
      </c>
      <c r="R98" s="4" t="n">
        <v>1</v>
      </c>
      <c r="S98" s="4" t="n">
        <v>0</v>
      </c>
      <c r="T98" s="4" t="inlineStr">
        <is>
          <t>https://www.biologicalpsychiatryjournal.com/article/S2451-9022%2826%2900002-9/fulltext</t>
        </is>
      </c>
      <c r="U98" s="4" t="inlineStr">
        <is>
          <t>Uses POND Network data to derive sensory phenotypes from Short Sensory Profile scores and classify phenotype pairs using graph-theoretical rs-fMRI features and linear SVC.</t>
        </is>
      </c>
      <c r="V98" s="4" t="n"/>
      <c r="W98" s="4" t="n"/>
      <c r="X98" s="4" t="inlineStr">
        <is>
          <t>Media</t>
        </is>
      </c>
      <c r="Y98" s="4" t="inlineStr">
        <is>
          <t>No sustituye la segunda revision humana definida en el protocolo.</t>
        </is>
      </c>
      <c r="Z98" s="4" t="inlineStr">
        <is>
          <t>Decoding the Neural Basis of Sensory Phenotypes in Autism</t>
        </is>
      </c>
      <c r="AA98" s="4" t="inlineStr">
        <is>
          <t>Include</t>
        </is>
      </c>
      <c r="AB98" s="4" t="inlineStr">
        <is>
          <t>POND is multisite, but no site-held-out generalization analysis is reported. SSP is used to define labels rather than fused as a second model-input modality, so multisource integration is not counted.</t>
        </is>
      </c>
      <c r="AC98" s="4" t="inlineStr">
        <is>
          <t>Verificacion independiente del revisor humano antes del cierre final</t>
        </is>
      </c>
    </row>
    <row r="99" ht="125" customHeight="1">
      <c r="A99" s="4" t="inlineStr">
        <is>
          <t>Lote_04_25</t>
        </is>
      </c>
      <c r="B99" s="4" t="n">
        <v>306</v>
      </c>
      <c r="C99" s="4" t="n"/>
      <c r="D99" s="4" t="inlineStr">
        <is>
          <t>10.1016/j.array.2026.100753</t>
        </is>
      </c>
      <c r="E99" s="4" t="inlineStr">
        <is>
          <t>Open-access ScienceDirect full article reviewed</t>
        </is>
      </c>
      <c r="F99" s="4" t="inlineStr">
        <is>
          <t>Cerrado: contenido suficiente revisado</t>
        </is>
      </c>
      <c r="G99" s="4" t="n"/>
      <c r="H99" s="4" t="inlineStr">
        <is>
          <t>Eye-tracking scanpaths</t>
        </is>
      </c>
      <c r="I99" s="4" t="inlineStr">
        <is>
          <t>Machine Learning</t>
        </is>
      </c>
      <c r="J99" s="4" t="inlineStr">
        <is>
          <t>Stacking ensemble (DT/RF/KNN/AdaBoost/gradient boosting)</t>
        </is>
      </c>
      <c r="K99" s="4" t="inlineStr">
        <is>
          <t>Screening</t>
        </is>
      </c>
      <c r="L99" s="4" t="inlineStr">
        <is>
          <t>Proposed only</t>
        </is>
      </c>
      <c r="M99" s="4" t="n">
        <v>0</v>
      </c>
      <c r="N99" s="4" t="n">
        <v>0</v>
      </c>
      <c r="O99" s="4" t="n">
        <v>0</v>
      </c>
      <c r="P99" s="4" t="n">
        <v>0</v>
      </c>
      <c r="Q99" s="4" t="n">
        <v>0</v>
      </c>
      <c r="R99" s="4" t="n">
        <v>1</v>
      </c>
      <c r="S99" s="4" t="n">
        <v>0</v>
      </c>
      <c r="T99" s="4" t="inlineStr">
        <is>
          <t>https://www.sciencedirect.com/science/article/pii/S2590005626000767</t>
        </is>
      </c>
      <c r="U99" s="4" t="inlineStr">
        <is>
          <t>Benchmarks bagging, boosting and stacking on eye-tracking scanpaths; stacking reaches about 0.96 accuracy and the article explicitly argues that raw scanpath representation improves interpretability.</t>
        </is>
      </c>
      <c r="V99" s="4" t="n"/>
      <c r="W99" s="4" t="n"/>
      <c r="X99" s="4" t="inlineStr">
        <is>
          <t>Media</t>
        </is>
      </c>
      <c r="Y99" s="4" t="inlineStr">
        <is>
          <t>No sustituye la segunda revision humana definida en el protocolo.</t>
        </is>
      </c>
      <c r="Z99" s="4" t="inlineStr">
        <is>
          <t>Hybrid ensemble learning for Autism Spectrum Disorder screening using eye-tracking scanpath</t>
        </is>
      </c>
      <c r="AA99" s="4" t="inlineStr">
        <is>
          <t>Include</t>
        </is>
      </c>
      <c r="AB99" s="4" t="inlineStr">
        <is>
          <t>Very small benchmark sample and internal fivefold CV; the interpretability claim lacks a formal attribution method and is therefore coded only as partial XAI.</t>
        </is>
      </c>
      <c r="AC99" s="4" t="inlineStr">
        <is>
          <t>Verificacion independiente del revisor humano antes del cierre final</t>
        </is>
      </c>
    </row>
    <row r="100" ht="138" customHeight="1">
      <c r="A100" s="4" t="inlineStr">
        <is>
          <t>Lote_04_25</t>
        </is>
      </c>
      <c r="B100" s="4" t="n">
        <v>316</v>
      </c>
      <c r="C100" s="4" t="n"/>
      <c r="D100" s="4" t="inlineStr">
        <is>
          <t>10.3791/68949</t>
        </is>
      </c>
      <c r="E100" s="4" t="inlineStr">
        <is>
          <t>JoVE/PubMed research article with protocol, cohort, biomarkers and validation results</t>
        </is>
      </c>
      <c r="F100" s="4" t="inlineStr">
        <is>
          <t>Cerrado: contenido suficiente revisado</t>
        </is>
      </c>
      <c r="G100" s="4" t="n"/>
      <c r="H100" s="4" t="inlineStr">
        <is>
          <t>Biological/omics (serum DIA proteomics)</t>
        </is>
      </c>
      <c r="I100" s="4" t="inlineStr">
        <is>
          <t>Machine Learning</t>
        </is>
      </c>
      <c r="J100" s="4" t="inlineStr">
        <is>
          <t>Logistic regression on an 8-protein biomarker panel</t>
        </is>
      </c>
      <c r="K100" s="4" t="inlineStr">
        <is>
          <t>Diagnosis</t>
        </is>
      </c>
      <c r="L100" s="4" t="inlineStr">
        <is>
          <t>Research only</t>
        </is>
      </c>
      <c r="M100" s="4" t="n">
        <v>0</v>
      </c>
      <c r="N100" s="4" t="n">
        <v>0</v>
      </c>
      <c r="O100" s="4" t="n">
        <v>0</v>
      </c>
      <c r="P100" s="4" t="n">
        <v>0</v>
      </c>
      <c r="Q100" s="4" t="n">
        <v>0</v>
      </c>
      <c r="R100" s="4" t="n">
        <v>1</v>
      </c>
      <c r="S100" s="4" t="n">
        <v>0</v>
      </c>
      <c r="T100" s="4" t="inlineStr">
        <is>
          <t>https://www.jove.com/t/68949/identifying-immune-related-molecular-biomarkers-autism-spectrum</t>
        </is>
      </c>
      <c r="U100" s="4" t="inlineStr">
        <is>
          <t>Serum proteomics in ASD and age-matched controls yielded an immune-related protein panel modeled with logistic regression; the biomarker panel is also checked using an orthogonal ELISA assay.</t>
        </is>
      </c>
      <c r="V100" s="4" t="n"/>
      <c r="W100" s="4" t="n"/>
      <c r="X100" s="4" t="inlineStr">
        <is>
          <t>Media</t>
        </is>
      </c>
      <c r="Y100" s="4" t="inlineStr">
        <is>
          <t>No sustituye la segunda revision humana definida en el protocolo.</t>
        </is>
      </c>
      <c r="Z100" s="4" t="inlineStr">
        <is>
          <t>Identifying Immune-related Molecular Biomarkers in Autism Spectrum Disorder Using Data-independent Acquisition Proteomics and Machine Learning.</t>
        </is>
      </c>
      <c r="AA100" s="4" t="inlineStr">
        <is>
          <t>Include</t>
        </is>
      </c>
      <c r="AB100" s="4" t="inlineStr">
        <is>
          <t>Accessible material does not establish that ELISA validation used an independent cohort, so external validation is not counted. The compact biomarker panel supports partial interpretability.</t>
        </is>
      </c>
      <c r="AC100" s="4" t="inlineStr">
        <is>
          <t>Verificacion independiente del revisor humano antes del cierre final</t>
        </is>
      </c>
    </row>
    <row r="101" ht="138" customHeight="1">
      <c r="A101" s="4" t="inlineStr">
        <is>
          <t>Lote_04_25</t>
        </is>
      </c>
      <c r="B101" s="4" t="n">
        <v>319</v>
      </c>
      <c r="C101" s="4" t="n"/>
      <c r="D101" s="4" t="inlineStr">
        <is>
          <t>10.1177/02841851251333974</t>
        </is>
      </c>
      <c r="E101" s="4" t="inlineStr">
        <is>
          <t>SAGE/PubMed detailed research abstract with ABIDE I/II multimodal neuroimaging results</t>
        </is>
      </c>
      <c r="F101" s="4" t="inlineStr">
        <is>
          <t>Cerrado: contenido suficiente revisado</t>
        </is>
      </c>
      <c r="G101" s="4" t="n"/>
      <c r="H101" s="4" t="inlineStr">
        <is>
          <t>Multimodal neuroimaging (structural + functional MRI; ABIDE I/II)</t>
        </is>
      </c>
      <c r="I101" s="4" t="inlineStr">
        <is>
          <t>Hybrid</t>
        </is>
      </c>
      <c r="J101" s="4" t="inlineStr">
        <is>
          <t>Stacking classifier ensemble with modified VGG-19 features</t>
        </is>
      </c>
      <c r="K101" s="4" t="inlineStr">
        <is>
          <t>Diagnosis</t>
        </is>
      </c>
      <c r="L101" s="4" t="inlineStr">
        <is>
          <t>Research only</t>
        </is>
      </c>
      <c r="M101" s="4" t="n">
        <v>0</v>
      </c>
      <c r="N101" s="4" t="n">
        <v>1</v>
      </c>
      <c r="O101" s="4" t="n">
        <v>0</v>
      </c>
      <c r="P101" s="4" t="n">
        <v>0</v>
      </c>
      <c r="Q101" s="4" t="n">
        <v>0</v>
      </c>
      <c r="R101" s="4" t="n">
        <v>0</v>
      </c>
      <c r="S101" s="4" t="n">
        <v>1</v>
      </c>
      <c r="T101" s="4" t="inlineStr">
        <is>
          <t>https://pubmed.ncbi.nlm.nih.gov/40232228/</t>
        </is>
      </c>
      <c r="U101" s="4" t="inlineStr">
        <is>
          <t>Combines structural and functional MRI from ABIDE I and II with conventional classifiers, stacking and modified VGG-19 features; performance is reported separately for both datasets.</t>
        </is>
      </c>
      <c r="V101" s="4" t="n"/>
      <c r="W101" s="4" t="n"/>
      <c r="X101" s="4" t="inlineStr">
        <is>
          <t>Media</t>
        </is>
      </c>
      <c r="Y101" s="4" t="inlineStr">
        <is>
          <t>No sustituye la segunda revision humana definida en el protocolo.</t>
        </is>
      </c>
      <c r="Z101" s="4" t="inlineStr">
        <is>
          <t>Enhanced detection of autism spectrum disorder through neuroimaging data using stack classifier ensembled with modified VGG-19</t>
        </is>
      </c>
      <c r="AA101" s="4" t="inlineStr">
        <is>
          <t>Include</t>
        </is>
      </c>
      <c r="AB101" s="4" t="inlineStr">
        <is>
          <t>ABIDE is multisite and the model is multimodal, but the accessible description does not establish site-held-out robustness or a strict independent external-validation design.</t>
        </is>
      </c>
      <c r="AC101" s="4" t="inlineStr">
        <is>
          <t>Verificacion independiente del revisor humano antes del cierre final</t>
        </is>
      </c>
    </row>
    <row r="102" ht="151" customHeight="1">
      <c r="A102" s="4" t="inlineStr">
        <is>
          <t>Lote_05_25</t>
        </is>
      </c>
      <c r="B102" s="4" t="n">
        <v>323</v>
      </c>
      <c r="C102" s="4" t="n"/>
      <c r="D102" s="4" t="inlineStr">
        <is>
          <t>10.1002/dneu.70011</t>
        </is>
      </c>
      <c r="E102" s="4" t="inlineStr">
        <is>
          <t>Wiley/publisher research abstract with architecture, dataset and performance sufficient for scoped coding</t>
        </is>
      </c>
      <c r="F102" s="4" t="inlineStr">
        <is>
          <t>Cerrado: contenido suficiente revisado</t>
        </is>
      </c>
      <c r="G102" s="4" t="n"/>
      <c r="H102" s="4" t="inlineStr">
        <is>
          <t>Physiological signals (EEG)</t>
        </is>
      </c>
      <c r="I102" s="4" t="inlineStr">
        <is>
          <t>Deep Learning</t>
        </is>
      </c>
      <c r="J102" s="4" t="inlineStr">
        <is>
          <t>HyperCrossNet + Parrot Optimization + Pied Kingfisher Optimization</t>
        </is>
      </c>
      <c r="K102" s="4" t="inlineStr">
        <is>
          <t>Diagnosis</t>
        </is>
      </c>
      <c r="L102" s="4" t="inlineStr">
        <is>
          <t>Proposed only</t>
        </is>
      </c>
      <c r="M102" s="4" t="n">
        <v>0</v>
      </c>
      <c r="N102" s="4" t="n">
        <v>0</v>
      </c>
      <c r="O102" s="4" t="n">
        <v>0</v>
      </c>
      <c r="P102" s="4" t="n">
        <v>0</v>
      </c>
      <c r="Q102" s="4" t="n">
        <v>0</v>
      </c>
      <c r="R102" s="4" t="n">
        <v>0</v>
      </c>
      <c r="S102" s="4" t="n">
        <v>0</v>
      </c>
      <c r="T102" s="4" t="inlineStr">
        <is>
          <t>https://onlinelibrary.wiley.com/doi/10.1002/dneu.70011</t>
        </is>
      </c>
      <c r="U102" s="4" t="inlineStr">
        <is>
          <t>EEG is denoised and transformed with DT-DWT, features are selected with Parrot Optimization, and HyperCrossNet with Pied Kingfisher Optimization is used for ASD classification; the abstract reports 99.92% accuracy.</t>
        </is>
      </c>
      <c r="V102" s="4" t="n"/>
      <c r="W102" s="4" t="n"/>
      <c r="X102" s="4" t="inlineStr">
        <is>
          <t>Media</t>
        </is>
      </c>
      <c r="Y102" s="4" t="inlineStr">
        <is>
          <t>No sustituye la segunda revision humana definida en el protocolo.</t>
        </is>
      </c>
      <c r="Z102" s="4" t="inlineStr">
        <is>
          <t>Energy-Efficient EEG-Based Autism Spectrum Disorder Detection Using a Hyperbolic Attention Neural Network</t>
        </is>
      </c>
      <c r="AA102" s="4" t="inlineStr">
        <is>
          <t>Include</t>
        </is>
      </c>
      <c r="AB102" s="4" t="inlineStr">
        <is>
          <t>Public benchmark evaluation with extremely high performance; no independent external cohort, site-held-out analysis, prospective evaluation, or formal XAI was established in the accessible evidence.</t>
        </is>
      </c>
      <c r="AC102" s="4" t="inlineStr">
        <is>
          <t>Verificacion independiente del revisor humano antes del cierre final</t>
        </is>
      </c>
    </row>
    <row r="103" ht="112" customHeight="1">
      <c r="A103" s="4" t="inlineStr">
        <is>
          <t>Lote_05_25</t>
        </is>
      </c>
      <c r="B103" s="4" t="n">
        <v>326</v>
      </c>
      <c r="C103" s="4" t="n"/>
      <c r="D103" s="4" t="inlineStr">
        <is>
          <t>10.1002/jbio.202500138</t>
        </is>
      </c>
      <c r="E103" s="4" t="inlineStr">
        <is>
          <t>Wiley/PubMed detailed research abstract with cohort, features and EWE-GAT results sufficient for scoped coding</t>
        </is>
      </c>
      <c r="F103" s="4" t="inlineStr">
        <is>
          <t>Cerrado: contenido suficiente revisado</t>
        </is>
      </c>
      <c r="G103" s="4" t="n"/>
      <c r="H103" s="4" t="inlineStr">
        <is>
          <t>Physiological signals (resting-state fNIRS)</t>
        </is>
      </c>
      <c r="I103" s="4" t="inlineStr">
        <is>
          <t>Deep Learning</t>
        </is>
      </c>
      <c r="J103" s="4" t="inlineStr">
        <is>
          <t>Edge-Weight Enhanced Graph Attention Network (EWE-GAT)</t>
        </is>
      </c>
      <c r="K103" s="4" t="inlineStr">
        <is>
          <t>Diagnosis</t>
        </is>
      </c>
      <c r="L103" s="4" t="inlineStr">
        <is>
          <t>Research only</t>
        </is>
      </c>
      <c r="M103" s="4" t="n">
        <v>0</v>
      </c>
      <c r="N103" s="4" t="n">
        <v>0</v>
      </c>
      <c r="O103" s="4" t="n">
        <v>0</v>
      </c>
      <c r="P103" s="4" t="n">
        <v>0</v>
      </c>
      <c r="Q103" s="4" t="n">
        <v>0</v>
      </c>
      <c r="R103" s="4" t="n">
        <v>0</v>
      </c>
      <c r="S103" s="4" t="n">
        <v>0</v>
      </c>
      <c r="T103" s="4" t="inlineStr">
        <is>
          <t>https://onlinelibrary.wiley.com/doi/10.1002/jbio.202500138</t>
        </is>
      </c>
      <c r="U103" s="4" t="inlineStr">
        <is>
          <t>Resting-state fNIRS from 22 TD and 25 ASD children was represented with HbO/Hb node and edge features and classified using EWE-GAT; reported accuracy was 97.92%.</t>
        </is>
      </c>
      <c r="V103" s="4" t="n"/>
      <c r="W103" s="4" t="n"/>
      <c r="X103" s="4" t="inlineStr">
        <is>
          <t>Media</t>
        </is>
      </c>
      <c r="Y103" s="4" t="inlineStr">
        <is>
          <t>No sustituye la segunda revision humana definida en el protocolo.</t>
        </is>
      </c>
      <c r="Z103" s="4" t="inlineStr">
        <is>
          <t>Classification of Autism Spectrum Disorder Using Edge-Weight Enhanced Graph Attention Network With Multiple Features of Resting-State fNIRS Signals</t>
        </is>
      </c>
      <c r="AA103" s="4" t="inlineStr">
        <is>
          <t>Include</t>
        </is>
      </c>
      <c r="AB103" s="4" t="inlineStr">
        <is>
          <t>Very small single cohort; no independent external validation, prospective workflow evaluation, or explicit site-robustness analysis was established.</t>
        </is>
      </c>
      <c r="AC103" s="4" t="inlineStr">
        <is>
          <t>Verificacion independiente del revisor humano antes del cierre final</t>
        </is>
      </c>
    </row>
    <row r="104" ht="177" customHeight="1">
      <c r="A104" s="4" t="inlineStr">
        <is>
          <t>Lote_05_25</t>
        </is>
      </c>
      <c r="B104" s="4" t="n">
        <v>334</v>
      </c>
      <c r="C104" s="4" t="n"/>
      <c r="D104" s="4" t="inlineStr">
        <is>
          <t>10.3174/ajnr.A8939</t>
        </is>
      </c>
      <c r="E104" s="4" t="inlineStr">
        <is>
          <t>PubMed/publisher structured abstract with training, internal test and independent external test details</t>
        </is>
      </c>
      <c r="F104" s="4" t="inlineStr">
        <is>
          <t>Cerrado: contenido suficiente revisado</t>
        </is>
      </c>
      <c r="G104" s="4" t="n"/>
      <c r="H104" s="4" t="inlineStr">
        <is>
          <t>Multimodal (structural MRI radiomics + clinical VIQ)</t>
        </is>
      </c>
      <c r="I104" s="4" t="inlineStr">
        <is>
          <t>Machine Learning</t>
        </is>
      </c>
      <c r="J104" s="4" t="inlineStr">
        <is>
          <t>Decision tree joint model with whole-brain radiomics signature and VIQ</t>
        </is>
      </c>
      <c r="K104" s="4" t="inlineStr">
        <is>
          <t>Diagnosis</t>
        </is>
      </c>
      <c r="L104" s="4" t="inlineStr">
        <is>
          <t>Research only</t>
        </is>
      </c>
      <c r="M104" s="4" t="n">
        <v>1</v>
      </c>
      <c r="N104" s="4" t="n">
        <v>1</v>
      </c>
      <c r="O104" s="4" t="n">
        <v>0</v>
      </c>
      <c r="P104" s="4" t="n">
        <v>0</v>
      </c>
      <c r="Q104" s="4" t="n">
        <v>0</v>
      </c>
      <c r="R104" s="4" t="n">
        <v>1</v>
      </c>
      <c r="S104" s="4" t="n">
        <v>1</v>
      </c>
      <c r="T104" s="4" t="inlineStr">
        <is>
          <t>https://pubmed.ncbi.nlm.nih.gov/40721282/</t>
        </is>
      </c>
      <c r="U104" s="4" t="inlineStr">
        <is>
          <t>Whole-brain structural-MRI radiomics and VIQ were modeled in 223 ABIDE participants, with an independent external set of 87 participants from Georgetown and Miami; the decision-tree joint model achieved AUCs 0.87/0.84/0.83 in training/test/external sets.</t>
        </is>
      </c>
      <c r="V104" s="4" t="n"/>
      <c r="W104" s="4" t="n"/>
      <c r="X104" s="4" t="inlineStr">
        <is>
          <t>Media</t>
        </is>
      </c>
      <c r="Y104" s="4" t="inlineStr">
        <is>
          <t>No sustituye la segunda revision humana definida en el protocolo.</t>
        </is>
      </c>
      <c r="Z104" s="4" t="inlineStr">
        <is>
          <t>Constructing a Predictive Model for Children with Autism Spectrum Disorder Based on Whole-Brain MR Radiomics: A Machine Learning Study</t>
        </is>
      </c>
      <c r="AA104" s="4" t="inlineStr">
        <is>
          <t>Include</t>
        </is>
      </c>
      <c r="AB104" s="4" t="inlineStr">
        <is>
          <t>External validation is present, but the accessible report does not describe an explicit leave-site-out robustness design. The radiomics signature and VIQ provide feature-level interpretability rather than a formal post-hoc XAI method.</t>
        </is>
      </c>
      <c r="AC104" s="4" t="inlineStr">
        <is>
          <t>Verificacion independiente del revisor humano antes del cierre final</t>
        </is>
      </c>
    </row>
    <row r="105" ht="112" customHeight="1">
      <c r="A105" s="4" t="inlineStr">
        <is>
          <t>Lote_05_25</t>
        </is>
      </c>
      <c r="B105" s="4" t="n">
        <v>342</v>
      </c>
      <c r="C105" s="4" t="n"/>
      <c r="D105" s="4" t="inlineStr">
        <is>
          <t>10.1016/j.heares.2026.109654</t>
        </is>
      </c>
      <c r="E105" s="4" t="inlineStr">
        <is>
          <t>ScienceDirect detailed research abstract with architecture, clinical ABR cohort, interpretability and results</t>
        </is>
      </c>
      <c r="F105" s="4" t="inlineStr">
        <is>
          <t>Cerrado: contenido suficiente revisado</t>
        </is>
      </c>
      <c r="G105" s="4" t="n"/>
      <c r="H105" s="4" t="inlineStr">
        <is>
          <t>Physiological signals (auditory brainstem response, ABR)</t>
        </is>
      </c>
      <c r="I105" s="4" t="inlineStr">
        <is>
          <t>Hybrid</t>
        </is>
      </c>
      <c r="J105" s="4" t="inlineStr">
        <is>
          <t>TF-TBN: Transformer-enhanced 1D-CNN + Vision Transformer time-frequency fusion</t>
        </is>
      </c>
      <c r="K105" s="4" t="inlineStr">
        <is>
          <t>Screening</t>
        </is>
      </c>
      <c r="L105" s="4" t="inlineStr">
        <is>
          <t>Research only</t>
        </is>
      </c>
      <c r="M105" s="4" t="n">
        <v>0</v>
      </c>
      <c r="N105" s="4" t="n">
        <v>0</v>
      </c>
      <c r="O105" s="4" t="n">
        <v>0</v>
      </c>
      <c r="P105" s="4" t="n">
        <v>0</v>
      </c>
      <c r="Q105" s="4" t="n">
        <v>1</v>
      </c>
      <c r="R105" s="4" t="n">
        <v>0</v>
      </c>
      <c r="S105" s="4" t="n">
        <v>0</v>
      </c>
      <c r="T105" s="4" t="inlineStr">
        <is>
          <t>https://www.sciencedirect.com/science/article/pii/S0378595526001309</t>
        </is>
      </c>
      <c r="U105" s="4" t="inlineStr">
        <is>
          <t>A dual-branch TF-TBN combines raw ABR waveforms and CWT spectrograms from 1,209 recordings; reported accuracy was 96.62%, and interpretability analysis linked decisions to wave III/V and interpeak latency abnormalities.</t>
        </is>
      </c>
      <c r="V105" s="4" t="n"/>
      <c r="W105" s="4" t="n"/>
      <c r="X105" s="4" t="inlineStr">
        <is>
          <t>Media</t>
        </is>
      </c>
      <c r="Y105" s="4" t="inlineStr">
        <is>
          <t>No sustituye la segunda revision humana definida en el protocolo.</t>
        </is>
      </c>
      <c r="Z105" s="4" t="inlineStr">
        <is>
          <t>Auditory brainstem response abnormalities in autism spectrum disorder: A deep learning approach to characterize time-frequency signatures</t>
        </is>
      </c>
      <c r="AA105" s="4" t="inlineStr">
        <is>
          <t>Include</t>
        </is>
      </c>
      <c r="AB105" s="4" t="inlineStr">
        <is>
          <t>No independent external cohort, site-held-out evaluation, or prospective clinical deployment was identified in the accessible material.</t>
        </is>
      </c>
      <c r="AC105" s="4" t="inlineStr">
        <is>
          <t>Verificacion independiente del revisor humano antes del cierre final</t>
        </is>
      </c>
    </row>
    <row r="106" ht="138" customHeight="1">
      <c r="A106" s="4" t="inlineStr">
        <is>
          <t>Lote_05_25</t>
        </is>
      </c>
      <c r="B106" s="4" t="n">
        <v>343</v>
      </c>
      <c r="C106" s="4" t="n"/>
      <c r="D106" s="4" t="inlineStr">
        <is>
          <t>10.1016/j.aej.2026.04.002</t>
        </is>
      </c>
      <c r="E106" s="4" t="inlineStr">
        <is>
          <t>ScienceDirect open research record with benchmark datasets, CNN/machine-unlearning framework and XAI description</t>
        </is>
      </c>
      <c r="F106" s="4" t="inlineStr">
        <is>
          <t>Cerrado: contenido suficiente revisado</t>
        </is>
      </c>
      <c r="G106" s="4" t="n"/>
      <c r="H106" s="4" t="inlineStr">
        <is>
          <t>Multimodal (screening instruments + MRI + EEG benchmarks)</t>
        </is>
      </c>
      <c r="I106" s="4" t="inlineStr">
        <is>
          <t>Deep Learning</t>
        </is>
      </c>
      <c r="J106" s="4" t="inlineStr">
        <is>
          <t>MUXAI-ASDBD (CNN + machine unlearning + partitioning XAI)</t>
        </is>
      </c>
      <c r="K106" s="4" t="inlineStr">
        <is>
          <t>Screening</t>
        </is>
      </c>
      <c r="L106" s="4" t="inlineStr">
        <is>
          <t>Proposed only</t>
        </is>
      </c>
      <c r="M106" s="4" t="n">
        <v>0</v>
      </c>
      <c r="N106" s="4" t="n">
        <v>0</v>
      </c>
      <c r="O106" s="4" t="n">
        <v>0</v>
      </c>
      <c r="P106" s="4" t="n">
        <v>0</v>
      </c>
      <c r="Q106" s="4" t="n">
        <v>1</v>
      </c>
      <c r="R106" s="4" t="n">
        <v>0</v>
      </c>
      <c r="S106" s="4" t="n">
        <v>1</v>
      </c>
      <c r="T106" s="4" t="inlineStr">
        <is>
          <t>https://www.sciencedirect.com/science/article/pii/S1110016826002115</t>
        </is>
      </c>
      <c r="U106" s="4" t="inlineStr">
        <is>
          <t>MUXAI-ASDBD combines CNN-based modeling, partition-oriented explainability and machine unlearning across screening, MRI and EEG benchmark datasets; the paper reports strong classification performance.</t>
        </is>
      </c>
      <c r="V106" s="4" t="n"/>
      <c r="W106" s="4" t="n"/>
      <c r="X106" s="4" t="inlineStr">
        <is>
          <t>Media</t>
        </is>
      </c>
      <c r="Y106" s="4" t="inlineStr">
        <is>
          <t>No sustituye la segunda revision humana definida en el protocolo.</t>
        </is>
      </c>
      <c r="Z106" s="4" t="inlineStr">
        <is>
          <t>An explainable machine unlearning algorithm framework for early detection of autism spectrum disorder and brain disabilities in newborns</t>
        </is>
      </c>
      <c r="AA106" s="4" t="inlineStr">
        <is>
          <t>Include</t>
        </is>
      </c>
      <c r="AB106" s="4" t="inlineStr">
        <is>
          <t>Benchmark-based evaluation across heterogeneous tasks/datasets does not establish prospective clinical deployment or an independent external/site-held-out validation protocol.</t>
        </is>
      </c>
      <c r="AC106" s="4" t="inlineStr">
        <is>
          <t>Verificacion independiente del revisor humano antes del cierre final</t>
        </is>
      </c>
    </row>
    <row r="107" ht="125" customHeight="1">
      <c r="A107" s="4" t="inlineStr">
        <is>
          <t>Lote_05_25</t>
        </is>
      </c>
      <c r="B107" s="4" t="n">
        <v>347</v>
      </c>
      <c r="C107" s="4" t="n"/>
      <c r="D107" s="4" t="inlineStr">
        <is>
          <t>10.1007/s11604-025-01832-3</t>
        </is>
      </c>
      <c r="E107" s="4" t="inlineStr">
        <is>
          <t>PubMed/Springer research abstract with ABIDE T1 MRI, federated model comparison and five-fold validation</t>
        </is>
      </c>
      <c r="F107" s="4" t="inlineStr">
        <is>
          <t>Cerrado: contenido suficiente revisado</t>
        </is>
      </c>
      <c r="G107" s="4" t="n"/>
      <c r="H107" s="4" t="inlineStr">
        <is>
          <t>Neuroimaging (T1 structural MRI; ABIDE)</t>
        </is>
      </c>
      <c r="I107" s="4" t="inlineStr">
        <is>
          <t>Hybrid</t>
        </is>
      </c>
      <c r="J107" s="4" t="inlineStr">
        <is>
          <t>Federated CNA(KNN)-ViT(NN)</t>
        </is>
      </c>
      <c r="K107" s="4" t="inlineStr">
        <is>
          <t>Diagnosis</t>
        </is>
      </c>
      <c r="L107" s="4" t="inlineStr">
        <is>
          <t>Research only</t>
        </is>
      </c>
      <c r="M107" s="4" t="n">
        <v>0</v>
      </c>
      <c r="N107" s="4" t="n">
        <v>1</v>
      </c>
      <c r="O107" s="4" t="n">
        <v>0</v>
      </c>
      <c r="P107" s="4" t="n">
        <v>0</v>
      </c>
      <c r="Q107" s="4" t="n">
        <v>0</v>
      </c>
      <c r="R107" s="4" t="n">
        <v>0</v>
      </c>
      <c r="S107" s="4" t="n">
        <v>0</v>
      </c>
      <c r="T107" s="4" t="inlineStr">
        <is>
          <t>https://pubmed.ncbi.nlm.nih.gov/40663220/</t>
        </is>
      </c>
      <c r="U107" s="4" t="inlineStr">
        <is>
          <t>T1 structural MRI from ABIDE was analyzed using complex-network analysis and Vision Transformer features across multiple federated combinations; the CNA(KNN)-ViT(NN) configuration reported accuracy 0.951 and AUC 0.98.</t>
        </is>
      </c>
      <c r="V107" s="4" t="n"/>
      <c r="W107" s="4" t="n"/>
      <c r="X107" s="4" t="inlineStr">
        <is>
          <t>Media</t>
        </is>
      </c>
      <c r="Y107" s="4" t="inlineStr">
        <is>
          <t>No sustituye la segunda revision humana definida en el protocolo.</t>
        </is>
      </c>
      <c r="Z107" s="4" t="inlineStr">
        <is>
          <t>Vision transformer and complex network analysis for autism spectrum disorder classification in T1 structural MRI</t>
        </is>
      </c>
      <c r="AA107" s="4" t="inlineStr">
        <is>
          <t>Include</t>
        </is>
      </c>
      <c r="AB107" s="4" t="inlineStr">
        <is>
          <t>ABIDE is multisite, but the reported evaluation is internal five-fold validation rather than an explicit site-held-out or independent external robustness test.</t>
        </is>
      </c>
      <c r="AC107" s="4" t="inlineStr">
        <is>
          <t>Verificacion independiente del revisor humano antes del cierre final</t>
        </is>
      </c>
    </row>
    <row r="108" ht="138" customHeight="1">
      <c r="A108" s="4" t="inlineStr">
        <is>
          <t>Lote_05_25</t>
        </is>
      </c>
      <c r="B108" s="4" t="n">
        <v>349</v>
      </c>
      <c r="C108" s="4" t="n"/>
      <c r="D108" s="4" t="inlineStr">
        <is>
          <t>10.1016/j.pscychresns.2026.112270</t>
        </is>
      </c>
      <c r="E108" s="4" t="inlineStr">
        <is>
          <t>ScienceDirect detailed research abstract with pediatric EEG pipeline and performance</t>
        </is>
      </c>
      <c r="F108" s="4" t="inlineStr">
        <is>
          <t>Cerrado: contenido suficiente revisado</t>
        </is>
      </c>
      <c r="G108" s="4" t="n"/>
      <c r="H108" s="4" t="inlineStr">
        <is>
          <t>Physiological signals (EEG)</t>
        </is>
      </c>
      <c r="I108" s="4" t="inlineStr">
        <is>
          <t>Hybrid</t>
        </is>
      </c>
      <c r="J108" s="4" t="inlineStr">
        <is>
          <t>FRHIS + CRBM feature selection + DSTCNN</t>
        </is>
      </c>
      <c r="K108" s="4" t="inlineStr">
        <is>
          <t>Diagnosis</t>
        </is>
      </c>
      <c r="L108" s="4" t="inlineStr">
        <is>
          <t>Research only</t>
        </is>
      </c>
      <c r="M108" s="4" t="n">
        <v>0</v>
      </c>
      <c r="N108" s="4" t="n">
        <v>0</v>
      </c>
      <c r="O108" s="4" t="n">
        <v>0</v>
      </c>
      <c r="P108" s="4" t="n">
        <v>0</v>
      </c>
      <c r="Q108" s="4" t="n">
        <v>0</v>
      </c>
      <c r="R108" s="4" t="n">
        <v>0</v>
      </c>
      <c r="S108" s="4" t="n">
        <v>0</v>
      </c>
      <c r="T108" s="4" t="inlineStr">
        <is>
          <t>https://www.sciencedirect.com/science/article/pii/S0925492726001356</t>
        </is>
      </c>
      <c r="U108" s="4" t="inlineStr">
        <is>
          <t>The study applies dominant cross-frequency EEG analysis, FRHIS/CRBM-based feature processing and a DSTCNN classifier for pediatric ASD; the abstract reports 99.03% accuracy.</t>
        </is>
      </c>
      <c r="V108" s="4" t="n"/>
      <c r="W108" s="4" t="n"/>
      <c r="X108" s="4" t="inlineStr">
        <is>
          <t>Media</t>
        </is>
      </c>
      <c r="Y108" s="4" t="inlineStr">
        <is>
          <t>No sustituye la segunda revision humana definida en el protocolo.</t>
        </is>
      </c>
      <c r="Z108" s="4" t="inlineStr">
        <is>
          <t>Dominant cross-frequency analysis-based early diagnosis of Autism Spectrum Disorder in pediatrics using FRHIS and DSTCNN</t>
        </is>
      </c>
      <c r="AA108" s="4" t="inlineStr">
        <is>
          <t>Include</t>
        </is>
      </c>
      <c r="AB108" s="4" t="inlineStr">
        <is>
          <t>The very high reported performance is not accompanied by an independent external cohort, prospective evaluation, or explicit cross-site robustness analysis in the accessible source.</t>
        </is>
      </c>
      <c r="AC108" s="4" t="inlineStr">
        <is>
          <t>Verificacion independiente del revisor humano antes del cierre final</t>
        </is>
      </c>
    </row>
    <row r="109" ht="112" customHeight="1">
      <c r="A109" s="4" t="inlineStr">
        <is>
          <t>Lote_05_25</t>
        </is>
      </c>
      <c r="B109" s="4" t="n">
        <v>354</v>
      </c>
      <c r="C109" s="4" t="n"/>
      <c r="D109" s="4" t="inlineStr">
        <is>
          <t>10.1016/j.asoc.2026.115959</t>
        </is>
      </c>
      <c r="E109" s="4" t="inlineStr">
        <is>
          <t>ScienceDirect research record with cross-site/domain-adaptation design and brain-region interpretation</t>
        </is>
      </c>
      <c r="F109" s="4" t="inlineStr">
        <is>
          <t>Cerrado: contenido suficiente revisado</t>
        </is>
      </c>
      <c r="G109" s="4" t="n"/>
      <c r="H109" s="4" t="inlineStr">
        <is>
          <t>Neuroimaging (rs-fMRI; ABIDE multisite)</t>
        </is>
      </c>
      <c r="I109" s="4" t="inlineStr">
        <is>
          <t>Hybrid</t>
        </is>
      </c>
      <c r="J109" s="4" t="inlineStr">
        <is>
          <t>CoNA-Net: Contrastive Variational Graph Transformer + GraphDDPMAugmentor + BrainNode-Attention GNN</t>
        </is>
      </c>
      <c r="K109" s="4" t="inlineStr">
        <is>
          <t>Diagnosis</t>
        </is>
      </c>
      <c r="L109" s="4" t="inlineStr">
        <is>
          <t>Research only</t>
        </is>
      </c>
      <c r="M109" s="4" t="n">
        <v>0</v>
      </c>
      <c r="N109" s="4" t="n">
        <v>1</v>
      </c>
      <c r="O109" s="4" t="n">
        <v>1</v>
      </c>
      <c r="P109" s="4" t="n">
        <v>0</v>
      </c>
      <c r="Q109" s="4" t="n">
        <v>1</v>
      </c>
      <c r="R109" s="4" t="n">
        <v>0</v>
      </c>
      <c r="S109" s="4" t="n">
        <v>0</v>
      </c>
      <c r="T109" s="4" t="inlineStr">
        <is>
          <t>https://www.sciencedirect.com/science/article/pii/S1568494626014079</t>
        </is>
      </c>
      <c r="U109" s="4" t="inlineStr">
        <is>
          <t>CoNA-Net combines contrastive graph representation learning, diffusion-based augmentation and brain-node attention to address domain shift across ABIDE sites and to identify influential brain regions.</t>
        </is>
      </c>
      <c r="V109" s="4" t="n"/>
      <c r="W109" s="4" t="n"/>
      <c r="X109" s="4" t="inlineStr">
        <is>
          <t>Media</t>
        </is>
      </c>
      <c r="Y109" s="4" t="inlineStr">
        <is>
          <t>No sustituye la segunda revision humana definida en el protocolo.</t>
        </is>
      </c>
      <c r="Z109" s="4" t="inlineStr">
        <is>
          <t>Contrastive diffusion adaptation network with rs-fMRI for domain adaptation classification of autism spectrum disorder</t>
        </is>
      </c>
      <c r="AA109" s="4" t="inlineStr">
        <is>
          <t>Include</t>
        </is>
      </c>
      <c r="AB109" s="4" t="inlineStr">
        <is>
          <t>Cross-site/domain-adaptation testing supports robustness but is not equivalent to an independent prospective external clinical validation cohort.</t>
        </is>
      </c>
      <c r="AC109" s="4" t="inlineStr">
        <is>
          <t>Verificacion independiente del revisor humano antes del cierre final</t>
        </is>
      </c>
    </row>
    <row r="110" ht="112" customHeight="1">
      <c r="A110" s="4" t="inlineStr">
        <is>
          <t>Lote_05_25</t>
        </is>
      </c>
      <c r="B110" s="4" t="n">
        <v>355</v>
      </c>
      <c r="C110" s="4" t="n"/>
      <c r="D110" s="4" t="inlineStr">
        <is>
          <t>10.1016/j.array.2026.100936</t>
        </is>
      </c>
      <c r="E110" s="4" t="inlineStr">
        <is>
          <t>ScienceDirect open research record with facial-image pipeline sufficient for scoped coding</t>
        </is>
      </c>
      <c r="F110" s="4" t="inlineStr">
        <is>
          <t>Cerrado: contenido suficiente revisado</t>
        </is>
      </c>
      <c r="G110" s="4" t="n"/>
      <c r="H110" s="4" t="inlineStr">
        <is>
          <t>Facial images</t>
        </is>
      </c>
      <c r="I110" s="4" t="inlineStr">
        <is>
          <t>Hybrid</t>
        </is>
      </c>
      <c r="J110" s="4" t="inlineStr">
        <is>
          <t>HOG + ResNet50V2 transfer learning</t>
        </is>
      </c>
      <c r="K110" s="4" t="inlineStr">
        <is>
          <t>Screening</t>
        </is>
      </c>
      <c r="L110" s="4" t="inlineStr">
        <is>
          <t>Proposed only</t>
        </is>
      </c>
      <c r="M110" s="4" t="n">
        <v>0</v>
      </c>
      <c r="N110" s="4" t="n">
        <v>0</v>
      </c>
      <c r="O110" s="4" t="n">
        <v>0</v>
      </c>
      <c r="P110" s="4" t="n">
        <v>0</v>
      </c>
      <c r="Q110" s="4" t="n">
        <v>0</v>
      </c>
      <c r="R110" s="4" t="n">
        <v>0</v>
      </c>
      <c r="S110" s="4" t="n">
        <v>0</v>
      </c>
      <c r="T110" s="4" t="inlineStr">
        <is>
          <t>https://www.sciencedirect.com/science/article/pii/S2590005626002596</t>
        </is>
      </c>
      <c r="U110" s="4" t="inlineStr">
        <is>
          <t>The study combines HOG descriptors with ResNet50V2 transfer learning for ASD classification from facial images.</t>
        </is>
      </c>
      <c r="V110" s="4" t="n"/>
      <c r="W110" s="4" t="n"/>
      <c r="X110" s="4" t="inlineStr">
        <is>
          <t>Media</t>
        </is>
      </c>
      <c r="Y110" s="4" t="inlineStr">
        <is>
          <t>No sustituye la segunda revision humana definida en el protocolo.</t>
        </is>
      </c>
      <c r="Z110" s="4" t="inlineStr">
        <is>
          <t>Hybrid HOG–ResNet50V2 framework for early autism spectrum disorder detection from facial images</t>
        </is>
      </c>
      <c r="AA110" s="4" t="inlineStr">
        <is>
          <t>Include</t>
        </is>
      </c>
      <c r="AB110" s="4" t="inlineStr">
        <is>
          <t>The accessible material does not establish independent external validation, prospective deployment, cross-site robustness, or an explicit XAI method.</t>
        </is>
      </c>
      <c r="AC110" s="4" t="inlineStr">
        <is>
          <t>Verificacion independiente del revisor humano antes del cierre final</t>
        </is>
      </c>
    </row>
    <row r="111" ht="125" customHeight="1">
      <c r="A111" s="4" t="inlineStr">
        <is>
          <t>Lote_05_25</t>
        </is>
      </c>
      <c r="B111" s="4" t="n">
        <v>360</v>
      </c>
      <c r="C111" s="4" t="n"/>
      <c r="D111" s="4" t="inlineStr">
        <is>
          <t>10.1016/j.envres.2026.125161</t>
        </is>
      </c>
      <c r="E111" s="4" t="inlineStr">
        <is>
          <t>PubMed/ScienceDirect research abstract with exposure modeling and ASD outcome analysis sufficient for eligibility adjudication</t>
        </is>
      </c>
      <c r="F111" s="4" t="inlineStr">
        <is>
          <t>Cerrado: contenido suficiente revisado</t>
        </is>
      </c>
      <c r="G111" s="4" t="n"/>
      <c r="H111" s="4" t="n"/>
      <c r="I111" s="4" t="n"/>
      <c r="J111" s="4" t="n"/>
      <c r="K111" s="4" t="n"/>
      <c r="L111" s="4" t="n"/>
      <c r="M111" s="4" t="n"/>
      <c r="N111" s="4" t="n"/>
      <c r="O111" s="4" t="n"/>
      <c r="P111" s="4" t="n"/>
      <c r="Q111" s="4" t="n"/>
      <c r="R111" s="4" t="n"/>
      <c r="S111" s="4" t="n"/>
      <c r="T111" s="4" t="inlineStr">
        <is>
          <t>https://pubmed.ncbi.nlm.nih.gov/42379486/</t>
        </is>
      </c>
      <c r="U111" s="4" t="inlineStr">
        <is>
          <t>Nationwide retrospective birth cohort; machine-learning models estimate prenatal particulate-matter exposure, while ASD risk is tested with Cox proportional-hazards regression.</t>
        </is>
      </c>
      <c r="V111" s="4" t="n"/>
      <c r="W111" s="4" t="n"/>
      <c r="X111" s="4" t="inlineStr">
        <is>
          <t>Media</t>
        </is>
      </c>
      <c r="Y111" s="4" t="inlineStr">
        <is>
          <t>No sustituye la segunda revision humana definida en el protocolo.</t>
        </is>
      </c>
      <c r="Z111" s="4" t="inlineStr">
        <is>
          <t>Prenatal exposure to particulate matter and risk of autism spectrum disorder in children: a population-based cohort study in South Korea</t>
        </is>
      </c>
      <c r="AA111" s="4" t="inlineStr">
        <is>
          <t>Exclude</t>
        </is>
      </c>
      <c r="AB111" s="4" t="inlineStr">
        <is>
          <t>The AI component predicts environmental exposure rather than an ASD clinical/care endpoint; including it would broaden IC2/IC4 beyond the stated review framework.</t>
        </is>
      </c>
      <c r="AC111" s="4" t="inlineStr">
        <is>
          <t>Verificacion independiente del revisor humano antes del cierre final</t>
        </is>
      </c>
    </row>
    <row r="112" ht="125" customHeight="1">
      <c r="A112" s="4" t="inlineStr">
        <is>
          <t>Lote_05_25</t>
        </is>
      </c>
      <c r="B112" s="4" t="n">
        <v>361</v>
      </c>
      <c r="C112" s="4" t="n"/>
      <c r="D112" s="4" t="inlineStr">
        <is>
          <t>10.1016/j.compbiomed.2026.111822</t>
        </is>
      </c>
      <c r="E112" s="4" t="inlineStr">
        <is>
          <t>PubMed/ScienceDirect research abstract with systems-biology and drug-target scope sufficient for eligibility adjudication</t>
        </is>
      </c>
      <c r="F112" s="4" t="inlineStr">
        <is>
          <t>Cerrado: contenido suficiente revisado</t>
        </is>
      </c>
      <c r="G112" s="4" t="n"/>
      <c r="H112" s="4" t="n"/>
      <c r="I112" s="4" t="n"/>
      <c r="J112" s="4" t="n"/>
      <c r="K112" s="4" t="n"/>
      <c r="L112" s="4" t="n"/>
      <c r="M112" s="4" t="n"/>
      <c r="N112" s="4" t="n"/>
      <c r="O112" s="4" t="n"/>
      <c r="P112" s="4" t="n"/>
      <c r="Q112" s="4" t="n"/>
      <c r="R112" s="4" t="n"/>
      <c r="S112" s="4" t="n"/>
      <c r="T112" s="4" t="inlineStr">
        <is>
          <t>https://pubmed.ncbi.nlm.nih.gov/42330854/</t>
        </is>
      </c>
      <c r="U112" s="4" t="inlineStr">
        <is>
          <t>Systems-level multi-omics and regulatory-network analysis contrasts syndromic and idiopathic autism and prioritizes molecular signatures/therapeutic targets, including in-silico drug-target modeling.</t>
        </is>
      </c>
      <c r="V112" s="4" t="n"/>
      <c r="W112" s="4" t="n"/>
      <c r="X112" s="4" t="inlineStr">
        <is>
          <t>Media</t>
        </is>
      </c>
      <c r="Y112" s="4" t="inlineStr">
        <is>
          <t>No sustituye la segunda revision humana definida en el protocolo.</t>
        </is>
      </c>
      <c r="Z112" s="4" t="inlineStr">
        <is>
          <t>Systems-level multi-omics dissection of syndromic and idiopathic autism reveals distinct regulatory architectures, candidate molecular signatures, and potential therapeutic targets</t>
        </is>
      </c>
      <c r="AA112" s="4" t="inlineStr">
        <is>
          <t>Exclude</t>
        </is>
      </c>
      <c r="AB112" s="4" t="inlineStr">
        <is>
          <t>The computational endpoint is molecular systems/drug discovery rather than a participant-level ASD screening, diagnostic, prognostic, monitoring, or intervention model.</t>
        </is>
      </c>
      <c r="AC112" s="4" t="inlineStr">
        <is>
          <t>Verificacion independiente del revisor humano antes del cierre final</t>
        </is>
      </c>
    </row>
    <row r="113" ht="203" customHeight="1">
      <c r="A113" s="4" t="inlineStr">
        <is>
          <t>Lote_05_25</t>
        </is>
      </c>
      <c r="B113" s="4" t="n">
        <v>364</v>
      </c>
      <c r="C113" s="4" t="n"/>
      <c r="D113" s="4" t="inlineStr">
        <is>
          <t>10.1007/S12065-026-01162-X</t>
        </is>
      </c>
      <c r="E113" s="4" t="inlineStr">
        <is>
          <t>Author-provided full text on ResearchGate reviewed; Methods/Results and Data Availability expose a material internal inconsistency</t>
        </is>
      </c>
      <c r="F113" s="4" t="inlineStr">
        <is>
          <t>Cerrado: contenido suficiente revisado</t>
        </is>
      </c>
      <c r="G113" s="4" t="n"/>
      <c r="H113" s="4" t="inlineStr">
        <is>
          <t>Structured ASD screening data + Text / NLP (separate datasets)</t>
        </is>
      </c>
      <c r="I113" s="4" t="inlineStr">
        <is>
          <t>Deep Learning</t>
        </is>
      </c>
      <c r="J113" s="4" t="inlineStr">
        <is>
          <t>NeD-TraF + EVA-Search</t>
        </is>
      </c>
      <c r="K113" s="4" t="inlineStr">
        <is>
          <t>Screening</t>
        </is>
      </c>
      <c r="L113" s="4" t="inlineStr">
        <is>
          <t>Proposed only</t>
        </is>
      </c>
      <c r="M113" s="4" t="n">
        <v>0</v>
      </c>
      <c r="N113" s="4" t="n">
        <v>0</v>
      </c>
      <c r="O113" s="4" t="n">
        <v>0</v>
      </c>
      <c r="P113" s="4" t="n">
        <v>0</v>
      </c>
      <c r="Q113" s="4" t="n">
        <v>0</v>
      </c>
      <c r="R113" s="4" t="n">
        <v>0</v>
      </c>
      <c r="S113" s="4" t="n">
        <v>0</v>
      </c>
      <c r="T113" s="4" t="inlineStr">
        <is>
          <t>https://www.researchgate.net/publication/401363005_Smart_detection_of_autism_spectrum_disorder_using_optimized_deep_learner_for_transforming_early_diagnosis_and_intervention</t>
        </is>
      </c>
      <c r="U113" s="4" t="inlineStr">
        <is>
          <t>The full text describes experiments on the Reddit Mental Health Dataset and ASD Screening Dataset, including stratified 70/15/15 train/validation/test splits and reported performance near 99%.</t>
        </is>
      </c>
      <c r="V113" s="4" t="n"/>
      <c r="W113" s="4" t="n"/>
      <c r="X113" s="4" t="inlineStr">
        <is>
          <t>Alta</t>
        </is>
      </c>
      <c r="Y113" s="4" t="inlineStr">
        <is>
          <t>No sustituye la segunda revision humana definida en el protocolo.</t>
        </is>
      </c>
      <c r="Z113" s="4" t="inlineStr">
        <is>
          <t>Smart detection of autism spectrum disorder using optimized deep learner for transforming early diagnosis and intervention</t>
        </is>
      </c>
      <c r="AA113" s="4" t="inlineStr">
        <is>
          <t>Include</t>
        </is>
      </c>
      <c r="AB113" s="4" t="inlineStr">
        <is>
          <t>Material reporting contradiction: the Methods/Results explicitly analyze two datasets, while the Data Availability statement says no datasets were generated or analysed. Inclusion is retained provisionally, but this requires high-priority human verification before final synthesis.</t>
        </is>
      </c>
      <c r="AC113" s="4" t="inlineStr">
        <is>
          <t>Verificacion independiente del revisor humano antes del cierre final</t>
        </is>
      </c>
    </row>
    <row r="114" ht="203" customHeight="1">
      <c r="A114" s="4" t="inlineStr">
        <is>
          <t>Lote_05_25</t>
        </is>
      </c>
      <c r="B114" s="4" t="n">
        <v>366</v>
      </c>
      <c r="C114" s="4" t="n"/>
      <c r="D114" s="4" t="inlineStr">
        <is>
          <t>10.1016/j.ibmed.2026.100421</t>
        </is>
      </c>
      <c r="E114" s="4" t="inlineStr">
        <is>
          <t>ScienceDirect open full article/Methods with dataset split, hybrid architecture, Grad-CAM and performance</t>
        </is>
      </c>
      <c r="F114" s="4" t="inlineStr">
        <is>
          <t>Cerrado: contenido suficiente revisado</t>
        </is>
      </c>
      <c r="G114" s="4" t="n"/>
      <c r="H114" s="4" t="inlineStr">
        <is>
          <t>Facial images</t>
        </is>
      </c>
      <c r="I114" s="4" t="inlineStr">
        <is>
          <t>Hybrid</t>
        </is>
      </c>
      <c r="J114" s="4" t="inlineStr">
        <is>
          <t>ResNet-152-CBAM + ViT-Large bidirectional cross-attention + weighted ensemble/TTA</t>
        </is>
      </c>
      <c r="K114" s="4" t="inlineStr">
        <is>
          <t>Screening</t>
        </is>
      </c>
      <c r="L114" s="4" t="inlineStr">
        <is>
          <t>Proposed only</t>
        </is>
      </c>
      <c r="M114" s="4" t="n">
        <v>0</v>
      </c>
      <c r="N114" s="4" t="n">
        <v>0</v>
      </c>
      <c r="O114" s="4" t="n">
        <v>0</v>
      </c>
      <c r="P114" s="4" t="n">
        <v>0</v>
      </c>
      <c r="Q114" s="4" t="n">
        <v>1</v>
      </c>
      <c r="R114" s="4" t="n">
        <v>0</v>
      </c>
      <c r="S114" s="4" t="n">
        <v>0</v>
      </c>
      <c r="T114" s="4" t="inlineStr">
        <is>
          <t>https://www.sciencedirect.com/science/article/pii/S2666521226000797</t>
        </is>
      </c>
      <c r="U114" s="4" t="inlineStr">
        <is>
          <t>A hybrid ResNet-152-CBAM/ViT-Large model with bidirectional cross-attention, weighted ensemble and test-time augmentation is evaluated on 2,940 public facial images; Grad-CAM highlights periocular regions and the ensemble reports 92% accuracy.</t>
        </is>
      </c>
      <c r="V114" s="4" t="n"/>
      <c r="W114" s="4" t="n"/>
      <c r="X114" s="4" t="inlineStr">
        <is>
          <t>Alta</t>
        </is>
      </c>
      <c r="Y114" s="4" t="inlineStr">
        <is>
          <t>No sustituye la segunda revision humana definida en el protocolo.</t>
        </is>
      </c>
      <c r="Z114" s="4" t="inlineStr">
        <is>
          <t>Hybrid deep learning with cross-attention fusion for autism spectrum disorder classification from facial images</t>
        </is>
      </c>
      <c r="AA114" s="4" t="inlineStr">
        <is>
          <t>Include</t>
        </is>
      </c>
      <c r="AB114" s="4" t="inlineStr">
        <is>
          <t>The article reports a fixed 86.4%/3.4%/10.2% train/validation/test partition while the abstract also reports mean±SD across 5-fold cross-validation, creating an evaluation-protocol inconsistency that should be reconciled manually. No independent external dataset was used.</t>
        </is>
      </c>
      <c r="AC114" s="4" t="inlineStr">
        <is>
          <t>Verificacion independiente del revisor humano antes del cierre final</t>
        </is>
      </c>
    </row>
    <row r="115" ht="138" customHeight="1">
      <c r="A115" s="4" t="inlineStr">
        <is>
          <t>Lote_05_25</t>
        </is>
      </c>
      <c r="B115" s="4" t="n">
        <v>367</v>
      </c>
      <c r="C115" s="4" t="n"/>
      <c r="D115" s="4" t="inlineStr">
        <is>
          <t>10.1016/j.fraope.2026.100663</t>
        </is>
      </c>
      <c r="E115" s="4" t="inlineStr">
        <is>
          <t>Publisher open record/abstract located, but full Methods/Results sufficient to establish empirical human-data evaluation were not recoverable</t>
        </is>
      </c>
      <c r="F115" s="4" t="inlineStr">
        <is>
          <t>Pendiente: evidencia empirica insuficiente</t>
        </is>
      </c>
      <c r="G115" s="4" t="n"/>
      <c r="H115" s="4" t="n"/>
      <c r="I115" s="4" t="n"/>
      <c r="J115" s="4" t="n"/>
      <c r="K115" s="4" t="n"/>
      <c r="L115" s="4" t="n"/>
      <c r="M115" s="4" t="n"/>
      <c r="N115" s="4" t="n"/>
      <c r="O115" s="4" t="n"/>
      <c r="P115" s="4" t="n"/>
      <c r="Q115" s="4" t="n"/>
      <c r="R115" s="4" t="n"/>
      <c r="S115" s="4" t="n"/>
      <c r="T115" s="4" t="inlineStr">
        <is>
          <t>https://www.sciencedirect.com/science/article/pii/S2773186326001787</t>
        </is>
      </c>
      <c r="U115" s="4" t="inlineStr">
        <is>
          <t>The record proposes a hybrid RBR + CBR + ANN diagnostic system with Bayesian-network reasoning and a two-level ASD diagnostic architecture.</t>
        </is>
      </c>
      <c r="V115" s="4" t="n"/>
      <c r="W115" s="4" t="n"/>
      <c r="X115" s="4" t="inlineStr">
        <is>
          <t>Alta</t>
        </is>
      </c>
      <c r="Y115" s="4" t="inlineStr">
        <is>
          <t>No sustituye la segunda revision humana definida en el protocolo.</t>
        </is>
      </c>
      <c r="Z115" s="4" t="inlineStr">
        <is>
          <t>An integrated intelligent model for early diagnosis of autism spectrum disorder</t>
        </is>
      </c>
      <c r="AA115" s="4" t="inlineStr">
        <is>
          <t>Pending adjudication</t>
        </is>
      </c>
      <c r="AB115" s="4" t="inlineStr">
        <is>
          <t>The accessible source did not establish the participant/sample dataset, empirical evaluation protocol, or results needed to verify IC3/IC5 and code RQ2/RQ3 without inference.</t>
        </is>
      </c>
      <c r="AC115" s="4" t="inlineStr">
        <is>
          <t>Obtener/abrir Methods y Results completos y confirmar datos humanos/evaluacion empirica antes de adjudicar</t>
        </is>
      </c>
    </row>
    <row r="116" ht="86" customHeight="1">
      <c r="A116" s="4" t="inlineStr">
        <is>
          <t>Lote_05_25</t>
        </is>
      </c>
      <c r="B116" s="4" t="n">
        <v>369</v>
      </c>
      <c r="C116" s="4" t="n"/>
      <c r="D116" s="4" t="inlineStr">
        <is>
          <t>10.1038/s41598-025-28819-4</t>
        </is>
      </c>
      <c r="E116" s="4" t="inlineStr">
        <is>
          <t>Official Nature/Scientific Reports retraction record reviewed</t>
        </is>
      </c>
      <c r="F116" s="4" t="inlineStr">
        <is>
          <t>Cerrado: contenido suficiente revisado</t>
        </is>
      </c>
      <c r="G116" s="4" t="n"/>
      <c r="H116" s="4" t="n"/>
      <c r="I116" s="4" t="n"/>
      <c r="J116" s="4" t="n"/>
      <c r="K116" s="4" t="n"/>
      <c r="L116" s="4" t="n"/>
      <c r="M116" s="4" t="n"/>
      <c r="N116" s="4" t="n"/>
      <c r="O116" s="4" t="n"/>
      <c r="P116" s="4" t="n"/>
      <c r="Q116" s="4" t="n"/>
      <c r="R116" s="4" t="n"/>
      <c r="S116" s="4" t="n"/>
      <c r="T116" s="4" t="inlineStr">
        <is>
          <t>https://www.nature.com/articles/s41598-025-28819-4</t>
        </is>
      </c>
      <c r="U116" s="4" t="inlineStr">
        <is>
          <t>Scientific Reports retracted the article on 2 March 2026 after concerns about non-curated internet images of minors, unverifiable ASD diagnoses, absent documented ethical oversight and consent.</t>
        </is>
      </c>
      <c r="V116" s="4" t="n"/>
      <c r="W116" s="4" t="n"/>
      <c r="X116" s="4" t="inlineStr">
        <is>
          <t>Alta</t>
        </is>
      </c>
      <c r="Y116" s="4" t="inlineStr">
        <is>
          <t>No sustituye la segunda revision humana definida en el protocolo.</t>
        </is>
      </c>
      <c r="Z116" s="4" t="inlineStr">
        <is>
          <t>Hybrid deep learning model for autism spectrum disorder diagnosis</t>
        </is>
      </c>
      <c r="AA116" s="4" t="inlineStr">
        <is>
          <t>Exclude</t>
        </is>
      </c>
      <c r="AB116" s="4" t="inlineStr">
        <is>
          <t>The retracted article cannot be treated as reliable primary evidence and is excluded under the integrity rule.</t>
        </is>
      </c>
      <c r="AC116" s="4" t="inlineStr">
        <is>
          <t>Verificacion independiente del revisor humano antes del cierre final</t>
        </is>
      </c>
    </row>
    <row r="117" ht="112" customHeight="1">
      <c r="A117" s="4" t="inlineStr">
        <is>
          <t>Lote_05_25</t>
        </is>
      </c>
      <c r="B117" s="4" t="n">
        <v>370</v>
      </c>
      <c r="C117" s="4" t="n"/>
      <c r="D117" s="4" t="inlineStr">
        <is>
          <t>10.1016/j.reia.2026.202965</t>
        </is>
      </c>
      <c r="E117" s="4" t="inlineStr">
        <is>
          <t>ScienceDirect research record with study objective and evaluation dimensions sufficient for eligibility adjudication</t>
        </is>
      </c>
      <c r="F117" s="4" t="inlineStr">
        <is>
          <t>Cerrado: contenido suficiente revisado</t>
        </is>
      </c>
      <c r="G117" s="4" t="n"/>
      <c r="H117" s="4" t="n"/>
      <c r="I117" s="4" t="n"/>
      <c r="J117" s="4" t="n"/>
      <c r="K117" s="4" t="n"/>
      <c r="L117" s="4" t="n"/>
      <c r="M117" s="4" t="n"/>
      <c r="N117" s="4" t="n"/>
      <c r="O117" s="4" t="n"/>
      <c r="P117" s="4" t="n"/>
      <c r="Q117" s="4" t="n"/>
      <c r="R117" s="4" t="n"/>
      <c r="S117" s="4" t="n"/>
      <c r="T117" s="4" t="inlineStr">
        <is>
          <t>https://www.sciencedirect.com/science/article/pii/S3050656526001793</t>
        </is>
      </c>
      <c r="U117" s="4" t="inlineStr">
        <is>
          <t>The study audits autism information generated by ten general-purpose AI platforms across quality and safety dimensions.</t>
        </is>
      </c>
      <c r="V117" s="4" t="n"/>
      <c r="W117" s="4" t="n"/>
      <c r="X117" s="4" t="inlineStr">
        <is>
          <t>Media</t>
        </is>
      </c>
      <c r="Y117" s="4" t="inlineStr">
        <is>
          <t>No sustituye la segunda revision humana definida en el protocolo.</t>
        </is>
      </c>
      <c r="Z117" s="4" t="inlineStr">
        <is>
          <t>A comparative and temporal evaluation of autism information across ten AI platforms</t>
        </is>
      </c>
      <c r="AA117" s="4" t="inlineStr">
        <is>
          <t>Exclude</t>
        </is>
      </c>
      <c r="AB117" s="4" t="inlineStr">
        <is>
          <t>The AI systems are the object being evaluated; there is no patient/participant-level ASD computational model supporting a defined clinical/care stage.</t>
        </is>
      </c>
      <c r="AC117" s="4" t="inlineStr">
        <is>
          <t>Verificacion independiente del revisor humano antes del cierre final</t>
        </is>
      </c>
    </row>
    <row r="118" ht="190" customHeight="1">
      <c r="A118" s="4" t="inlineStr">
        <is>
          <t>Lote_05_25</t>
        </is>
      </c>
      <c r="B118" s="4" t="n">
        <v>371</v>
      </c>
      <c r="C118" s="4" t="n"/>
      <c r="D118" s="4" t="inlineStr">
        <is>
          <t>10.1007/978-3-032-14531-4_4</t>
        </is>
      </c>
      <c r="E118" s="4" t="inlineStr">
        <is>
          <t>Official Springer conference-paper record plus proceedings metadata and research abstract sufficient for scoped adjudication</t>
        </is>
      </c>
      <c r="F118" s="4" t="inlineStr">
        <is>
          <t>Cerrado: contenido suficiente revisado y tipo de publicación reconciliado</t>
        </is>
      </c>
      <c r="G118" s="4" t="n"/>
      <c r="H118" s="4" t="inlineStr">
        <is>
          <t>Neuroimaging / MRI</t>
        </is>
      </c>
      <c r="I118" s="4" t="inlineStr">
        <is>
          <t>Deep Learning</t>
        </is>
      </c>
      <c r="J118" s="4" t="inlineStr">
        <is>
          <t>Hybrid CNN-GAT (Convolutional Neural Network + Graph Attention Network)</t>
        </is>
      </c>
      <c r="K118" s="4" t="inlineStr">
        <is>
          <t>Screening</t>
        </is>
      </c>
      <c r="L118" s="4" t="inlineStr">
        <is>
          <t>Proposed only</t>
        </is>
      </c>
      <c r="M118" s="4" t="n">
        <v>0</v>
      </c>
      <c r="N118" s="4" t="n">
        <v>0</v>
      </c>
      <c r="O118" s="4" t="n">
        <v>0</v>
      </c>
      <c r="P118" s="4" t="n">
        <v>0</v>
      </c>
      <c r="Q118" s="4" t="n">
        <v>1</v>
      </c>
      <c r="R118" s="4" t="n">
        <v>0</v>
      </c>
      <c r="S118" s="4" t="n">
        <v>0</v>
      </c>
      <c r="T118" s="4" t="inlineStr">
        <is>
          <t>https://link.springer.com/chapter/10.1007/978-3-032-14531-4_4</t>
        </is>
      </c>
      <c r="U118" s="4" t="inlineStr">
        <is>
          <t>Full conference paper in MIND 2024 proceedings. The hybrid CNN-GAT model uses public MRI data and reports 88% accuracy for ASD versus non-ASD classification; GAT-based attention is used to identify relevant brain regions/connections.</t>
        </is>
      </c>
      <c r="V118" s="4" t="n"/>
      <c r="W118" s="4" t="n"/>
      <c r="X118" s="4" t="inlineStr">
        <is>
          <t>Media</t>
        </is>
      </c>
      <c r="Y118" s="4" t="inlineStr">
        <is>
          <t>Reconciliado el 2026-09-07: no excluir por la estructura tipo chapter del portal; Springer lo clasifica como conference paper dentro de proceedings revisados por pares.</t>
        </is>
      </c>
      <c r="Z118" s="4" t="inlineStr">
        <is>
          <t>A Hybrid CNN-GAT Model for MRI Screening of Autism Spectrum Disorder</t>
        </is>
      </c>
      <c r="AA118" s="4" t="inlineStr">
        <is>
          <t>Include</t>
        </is>
      </c>
      <c r="AB118" s="4" t="inlineStr">
        <is>
          <t>No independent external clinical cohort, prospective evaluation, or explicit site-held-out robustness was established from the accessible evidence. Explainability is model-level and should not be interpreted as clinically validated explanation quality.</t>
        </is>
      </c>
      <c r="AC118" s="4" t="inlineStr">
        <is>
          <t>Verificacion independiente del revisor humano antes del cierre final</t>
        </is>
      </c>
    </row>
    <row r="119" ht="190" customHeight="1">
      <c r="A119" s="4" t="inlineStr">
        <is>
          <t>Lote_05_25</t>
        </is>
      </c>
      <c r="B119" s="4" t="n">
        <v>373</v>
      </c>
      <c r="C119" s="4" t="n"/>
      <c r="D119" s="4" t="inlineStr">
        <is>
          <t>10.1016/j.bspc.2026.110970</t>
        </is>
      </c>
      <c r="E119" s="4" t="inlineStr">
        <is>
          <t>ScienceDirect full article/section snippets with training dataset, independent external dataset, XAI and cross-dataset evaluation</t>
        </is>
      </c>
      <c r="F119" s="4" t="inlineStr">
        <is>
          <t>Cerrado: contenido suficiente revisado</t>
        </is>
      </c>
      <c r="G119" s="4" t="n"/>
      <c r="H119" s="4" t="inlineStr">
        <is>
          <t>Facial images with derived landmark geometry</t>
        </is>
      </c>
      <c r="I119" s="4" t="inlineStr">
        <is>
          <t>Deep Learning</t>
        </is>
      </c>
      <c r="J119" s="4" t="inlineStr">
        <is>
          <t>MACFUT (Multi-Aspect Cross-Fusion Transformer)</t>
        </is>
      </c>
      <c r="K119" s="4" t="inlineStr">
        <is>
          <t>Screening</t>
        </is>
      </c>
      <c r="L119" s="4" t="inlineStr">
        <is>
          <t>Proposed only</t>
        </is>
      </c>
      <c r="M119" s="4" t="n">
        <v>1</v>
      </c>
      <c r="N119" s="4" t="n">
        <v>0</v>
      </c>
      <c r="O119" s="4" t="n">
        <v>1</v>
      </c>
      <c r="P119" s="4" t="n">
        <v>0</v>
      </c>
      <c r="Q119" s="4" t="n">
        <v>1</v>
      </c>
      <c r="R119" s="4" t="n">
        <v>0</v>
      </c>
      <c r="S119" s="4" t="n">
        <v>0</v>
      </c>
      <c r="T119" s="4" t="inlineStr">
        <is>
          <t>https://www.sciencedirect.com/science/article/pii/S1746809426015247</t>
        </is>
      </c>
      <c r="U119" s="4" t="inlineStr">
        <is>
          <t>MACFUT fuses facial-image features with landmark geometry, is trained on AFID with 10-fold CV, and is tested on an independent Bangladesh dataset (BACFED), reporting 86.51% external accuracy/AUC 94.78%; attention maps and facial anthropometry support interpretation.</t>
        </is>
      </c>
      <c r="V119" s="4" t="n"/>
      <c r="W119" s="4" t="n"/>
      <c r="X119" s="4" t="inlineStr">
        <is>
          <t>Media</t>
        </is>
      </c>
      <c r="Y119" s="4" t="inlineStr">
        <is>
          <t>No sustituye la segunda revision humana definida en el protocolo.</t>
        </is>
      </c>
      <c r="Z119" s="4" t="inlineStr">
        <is>
          <t>Multi-feature fusion transformer network for Autism spectrum disorder detection via facial images</t>
        </is>
      </c>
      <c r="AA119" s="4" t="inlineStr">
        <is>
          <t>Include</t>
        </is>
      </c>
      <c r="AB119" s="4" t="inlineStr">
        <is>
          <t>External cross-dataset testing strengthens generalization evidence, but the system is not prospectively deployed and image-source/demographic biases remain possible. Landmarks are derived from the same image source, so this was not counted as multisource data.</t>
        </is>
      </c>
      <c r="AC119" s="4" t="inlineStr">
        <is>
          <t>Verificacion independiente del revisor humano antes del cierre final</t>
        </is>
      </c>
    </row>
    <row r="120" ht="86" customHeight="1">
      <c r="A120" s="4" t="inlineStr">
        <is>
          <t>Lote_05_25</t>
        </is>
      </c>
      <c r="B120" s="4" t="n">
        <v>380</v>
      </c>
      <c r="C120" s="4" t="n"/>
      <c r="D120" s="4" t="inlineStr">
        <is>
          <t>10.1016/j.patcog.2026.114305</t>
        </is>
      </c>
      <c r="E120" s="4" t="inlineStr">
        <is>
          <t>ScienceDirect detailed abstract/highlights sufficient for endpoint adjudication</t>
        </is>
      </c>
      <c r="F120" s="4" t="inlineStr">
        <is>
          <t>Cerrado: contenido suficiente revisado</t>
        </is>
      </c>
      <c r="G120" s="4" t="n"/>
      <c r="H120" s="4" t="n"/>
      <c r="I120" s="4" t="n"/>
      <c r="J120" s="4" t="n"/>
      <c r="K120" s="4" t="n"/>
      <c r="L120" s="4" t="n"/>
      <c r="M120" s="4" t="n"/>
      <c r="N120" s="4" t="n"/>
      <c r="O120" s="4" t="n"/>
      <c r="P120" s="4" t="n"/>
      <c r="Q120" s="4" t="n"/>
      <c r="R120" s="4" t="n"/>
      <c r="S120" s="4" t="n"/>
      <c r="T120" s="4" t="inlineStr">
        <is>
          <t>https://www.sciencedirect.com/science/article/abs/pii/S0031320326012707</t>
        </is>
      </c>
      <c r="U120" s="4" t="inlineStr">
        <is>
          <t>The proposed semantic-transfer framework predicts saccadic scanpaths for an ASD population and evaluates behavioral consistency with atypical visual-attention patterns.</t>
        </is>
      </c>
      <c r="V120" s="4" t="n"/>
      <c r="W120" s="4" t="n"/>
      <c r="X120" s="4" t="inlineStr">
        <is>
          <t>Media</t>
        </is>
      </c>
      <c r="Y120" s="4" t="inlineStr">
        <is>
          <t>No sustituye la segunda revision humana definida en el protocolo.</t>
        </is>
      </c>
      <c r="Z120" s="4" t="inlineStr">
        <is>
          <t>Semantic-based saccadic scanpath prediction for autism spectrum disorder</t>
        </is>
      </c>
      <c r="AA120" s="4" t="inlineStr">
        <is>
          <t>Exclude</t>
        </is>
      </c>
      <c r="AB120" s="4" t="inlineStr">
        <is>
          <t>The computational target is scanpath prediction rather than a defined ASD clinical/care process outcome under IC4.</t>
        </is>
      </c>
      <c r="AC120" s="4" t="inlineStr">
        <is>
          <t>Verificacion independiente del revisor humano antes del cierre final</t>
        </is>
      </c>
    </row>
    <row r="121" ht="216" customHeight="1">
      <c r="A121" s="4" t="inlineStr">
        <is>
          <t>Lote_05_25</t>
        </is>
      </c>
      <c r="B121" s="4" t="n">
        <v>383</v>
      </c>
      <c r="C121" s="4" t="n"/>
      <c r="D121" s="4" t="inlineStr">
        <is>
          <t>10.1038/s41380-025-03157-z</t>
        </is>
      </c>
      <c r="E121" s="4" t="inlineStr">
        <is>
          <t>Nature/PubMed full research record with longitudinal birth cohort, multi-omics and ML results</t>
        </is>
      </c>
      <c r="F121" s="4" t="inlineStr">
        <is>
          <t>Cerrado: contenido suficiente revisado</t>
        </is>
      </c>
      <c r="G121" s="4" t="n"/>
      <c r="H121" s="4" t="inlineStr">
        <is>
          <t>Multimodal biological/omics (cord-blood proteomics + metabolomics; childhood serum follow-up)</t>
        </is>
      </c>
      <c r="I121" s="4" t="inlineStr">
        <is>
          <t>Machine Learning</t>
        </is>
      </c>
      <c r="J121" s="4" t="inlineStr">
        <is>
          <t>Machine-learning prediction models on proteomic and metabolomic signatures (specific family not stated in accessible text)</t>
        </is>
      </c>
      <c r="K121" s="4" t="inlineStr">
        <is>
          <t>Prognosis</t>
        </is>
      </c>
      <c r="L121" s="4" t="inlineStr">
        <is>
          <t>Research only</t>
        </is>
      </c>
      <c r="M121" s="4" t="n">
        <v>0</v>
      </c>
      <c r="N121" s="4" t="n">
        <v>0</v>
      </c>
      <c r="O121" s="4" t="n">
        <v>0</v>
      </c>
      <c r="P121" s="4" t="n">
        <v>1</v>
      </c>
      <c r="Q121" s="4" t="n">
        <v>0</v>
      </c>
      <c r="R121" s="4" t="n">
        <v>1</v>
      </c>
      <c r="S121" s="4" t="n">
        <v>1</v>
      </c>
      <c r="T121" s="4" t="inlineStr">
        <is>
          <t>https://www.nature.com/articles/s41380-025-03157-z</t>
        </is>
      </c>
      <c r="U121" s="4" t="inlineStr">
        <is>
          <t>Within the BASELINE birth cohort, cord-blood proteomics/metabolomics from children later diagnosed with autism were analyzed and followed with childhood serum profiling; ML prediction models reported AUROC 0.82-0.85.</t>
        </is>
      </c>
      <c r="V121" s="4" t="n"/>
      <c r="W121" s="4" t="n"/>
      <c r="X121" s="4" t="inlineStr">
        <is>
          <t>Media</t>
        </is>
      </c>
      <c r="Y121" s="4" t="inlineStr">
        <is>
          <t>No sustituye la segunda revision humana definida en el protocolo.</t>
        </is>
      </c>
      <c r="Z121" s="4" t="inlineStr">
        <is>
          <t>Longitudinal multi-omics analysis of umbilical cord blood and childhood serum in Autism</t>
        </is>
      </c>
      <c r="AA121" s="4" t="inlineStr">
        <is>
          <t>Include</t>
        </is>
      </c>
      <c r="AB121" s="4" t="inlineStr">
        <is>
          <t>The omics case numbers are small (22 future ASD cases in cord blood; 24 in follow-up), and the accessible report does not identify an independent external validation cohort or the specific ML family. Longitudinal collection supports prospective-evidence coding, not prospective clinical deployment.</t>
        </is>
      </c>
      <c r="AC121" s="4" t="inlineStr">
        <is>
          <t>Verificacion independiente del revisor humano antes del cierre final</t>
        </is>
      </c>
    </row>
    <row r="122" ht="151" customHeight="1">
      <c r="A122" s="4" t="inlineStr">
        <is>
          <t>Lote_05_25</t>
        </is>
      </c>
      <c r="B122" s="4" t="n">
        <v>386</v>
      </c>
      <c r="C122" s="4" t="n"/>
      <c r="D122" s="4" t="inlineStr">
        <is>
          <t>10.1007/S11571-024-10202-0</t>
        </is>
      </c>
      <c r="E122" s="4" t="inlineStr">
        <is>
          <t>PMC/PubMed full research article with ABIDE rs-fMRI, five datasets and model evaluation</t>
        </is>
      </c>
      <c r="F122" s="4" t="inlineStr">
        <is>
          <t>Cerrado: contenido suficiente revisado</t>
        </is>
      </c>
      <c r="G122" s="4" t="n"/>
      <c r="H122" s="4" t="inlineStr">
        <is>
          <t>Neuroimaging (rs-fMRI)</t>
        </is>
      </c>
      <c r="I122" s="4" t="inlineStr">
        <is>
          <t>Deep Learning</t>
        </is>
      </c>
      <c r="J122" s="4" t="inlineStr">
        <is>
          <t>3T-DINet (3T dilated inception + ResNet + Crossover-based Black Widow Optimization)</t>
        </is>
      </c>
      <c r="K122" s="4" t="inlineStr">
        <is>
          <t>Diagnosis</t>
        </is>
      </c>
      <c r="L122" s="4" t="inlineStr">
        <is>
          <t>Research only</t>
        </is>
      </c>
      <c r="M122" s="4" t="n">
        <v>0</v>
      </c>
      <c r="N122" s="4" t="n">
        <v>1</v>
      </c>
      <c r="O122" s="4" t="n">
        <v>0</v>
      </c>
      <c r="P122" s="4" t="n">
        <v>0</v>
      </c>
      <c r="Q122" s="4" t="n">
        <v>0</v>
      </c>
      <c r="R122" s="4" t="n">
        <v>0</v>
      </c>
      <c r="S122" s="4" t="n">
        <v>0</v>
      </c>
      <c r="T122" s="4" t="inlineStr">
        <is>
          <t>https://pmc.ncbi.nlm.nih.gov/articles/PMC11729590/</t>
        </is>
      </c>
      <c r="U122" s="4" t="inlineStr">
        <is>
          <t>3T-DINet combines dilated inception, ResNet components and optimization and is evaluated across five ASD rs-fMRI datasets.</t>
        </is>
      </c>
      <c r="V122" s="4" t="n"/>
      <c r="W122" s="4" t="n"/>
      <c r="X122" s="4" t="inlineStr">
        <is>
          <t>Media</t>
        </is>
      </c>
      <c r="Y122" s="4" t="inlineStr">
        <is>
          <t>No sustituye la segunda revision humana definida en el protocolo.</t>
        </is>
      </c>
      <c r="Z122" s="4" t="inlineStr">
        <is>
          <t>3T dilated inception network for enhanced autism spectrum disorder diagnosis using resting-state fMRI data</t>
        </is>
      </c>
      <c r="AA122" s="4" t="inlineStr">
        <is>
          <t>Include</t>
        </is>
      </c>
      <c r="AB122" s="4" t="inlineStr">
        <is>
          <t>Use of multiple ASD datasets was coded as multisite/multidataset evidence, but the accessible report does not establish an explicit leave-site-out or independent prospective external-validation design.</t>
        </is>
      </c>
      <c r="AC122" s="4" t="inlineStr">
        <is>
          <t>Verificacion independiente del revisor humano antes del cierre final</t>
        </is>
      </c>
    </row>
    <row r="123" ht="177" customHeight="1">
      <c r="A123" s="4" t="inlineStr">
        <is>
          <t>Lote_05_25</t>
        </is>
      </c>
      <c r="B123" s="4" t="n">
        <v>387</v>
      </c>
      <c r="C123" s="4" t="n"/>
      <c r="D123" s="4" t="inlineStr">
        <is>
          <t>10.1007/s00787-025-02775-w</t>
        </is>
      </c>
      <c r="E123" s="4" t="inlineStr">
        <is>
          <t>PubMed/Springer research abstract with preschool DTI connectome, NBS-Predict and phenotype results</t>
        </is>
      </c>
      <c r="F123" s="4" t="inlineStr">
        <is>
          <t>Cerrado: contenido suficiente revisado</t>
        </is>
      </c>
      <c r="G123" s="4" t="n"/>
      <c r="H123" s="4" t="inlineStr">
        <is>
          <t>Neuroimaging (DTI structural connectome)</t>
        </is>
      </c>
      <c r="I123" s="4" t="inlineStr">
        <is>
          <t>Machine Learning</t>
        </is>
      </c>
      <c r="J123" s="4" t="inlineStr">
        <is>
          <t>NBS-Predict with linear discriminant analysis</t>
        </is>
      </c>
      <c r="K123" s="4" t="inlineStr">
        <is>
          <t>Diagnosis</t>
        </is>
      </c>
      <c r="L123" s="4" t="inlineStr">
        <is>
          <t>Research only</t>
        </is>
      </c>
      <c r="M123" s="4" t="n">
        <v>0</v>
      </c>
      <c r="N123" s="4" t="n">
        <v>0</v>
      </c>
      <c r="O123" s="4" t="n">
        <v>0</v>
      </c>
      <c r="P123" s="4" t="n">
        <v>0</v>
      </c>
      <c r="Q123" s="4" t="n">
        <v>0</v>
      </c>
      <c r="R123" s="4" t="n">
        <v>1</v>
      </c>
      <c r="S123" s="4" t="n">
        <v>0</v>
      </c>
      <c r="T123" s="4" t="inlineStr">
        <is>
          <t>https://pubmed.ncbi.nlm.nih.gov/40495017/</t>
        </is>
      </c>
      <c r="U123" s="4" t="inlineStr">
        <is>
          <t>In 92 preschool children with ASD and 52 TD controls, NBS-Predict identified a 42-connection structural subnetwork; an LDA classifier reported 79.4% ASD/TD accuracy and the network also showed a modest association with pragmatic-language ability.</t>
        </is>
      </c>
      <c r="V123" s="4" t="n"/>
      <c r="W123" s="4" t="n"/>
      <c r="X123" s="4" t="inlineStr">
        <is>
          <t>Media</t>
        </is>
      </c>
      <c r="Y123" s="4" t="inlineStr">
        <is>
          <t>No sustituye la segunda revision humana definida en el protocolo.</t>
        </is>
      </c>
      <c r="Z123" s="4" t="inlineStr">
        <is>
          <t>Predicting pragmatic language abilities from brain structural MRI in preschool children with ASD by NBS-Predict</t>
        </is>
      </c>
      <c r="AA123" s="4" t="inlineStr">
        <is>
          <t>Include</t>
        </is>
      </c>
      <c r="AB123" s="4" t="inlineStr">
        <is>
          <t>Single-center/cross-sectional evidence with no independent external validation. Diagnosis is used as the primary stage because the qualifying ASD/TD classifier is explicit; the paper also emphasizes pragmatic-language characterization.</t>
        </is>
      </c>
      <c r="AC123" s="4" t="inlineStr">
        <is>
          <t>Verificacion independiente del revisor humano antes del cierre final</t>
        </is>
      </c>
    </row>
    <row r="124" ht="151" customHeight="1">
      <c r="A124" s="4" t="inlineStr">
        <is>
          <t>Lote_05_25</t>
        </is>
      </c>
      <c r="B124" s="4" t="n">
        <v>391</v>
      </c>
      <c r="C124" s="4" t="n"/>
      <c r="D124" s="4" t="inlineStr">
        <is>
          <t>10.1007/s10495-025-02201-1</t>
        </is>
      </c>
      <c r="E124" s="4" t="inlineStr">
        <is>
          <t>PubMed detailed research abstract with six ML models, external human blood validation and local samples</t>
        </is>
      </c>
      <c r="F124" s="4" t="inlineStr">
        <is>
          <t>Cerrado: contenido suficiente revisado</t>
        </is>
      </c>
      <c r="G124" s="4" t="n"/>
      <c r="H124" s="4" t="inlineStr">
        <is>
          <t>Biological/omics (peripheral blood gene expression)</t>
        </is>
      </c>
      <c r="I124" s="4" t="inlineStr">
        <is>
          <t>Machine Learning</t>
        </is>
      </c>
      <c r="J124" s="4" t="inlineStr">
        <is>
          <t>K-nearest neighbors (KNN) + WGCNA-derived six-gene panel</t>
        </is>
      </c>
      <c r="K124" s="4" t="inlineStr">
        <is>
          <t>Diagnosis</t>
        </is>
      </c>
      <c r="L124" s="4" t="inlineStr">
        <is>
          <t>Research only</t>
        </is>
      </c>
      <c r="M124" s="4" t="n">
        <v>1</v>
      </c>
      <c r="N124" s="4" t="n">
        <v>0</v>
      </c>
      <c r="O124" s="4" t="n">
        <v>0</v>
      </c>
      <c r="P124" s="4" t="n">
        <v>0</v>
      </c>
      <c r="Q124" s="4" t="n">
        <v>0</v>
      </c>
      <c r="R124" s="4" t="n">
        <v>1</v>
      </c>
      <c r="S124" s="4" t="n">
        <v>0</v>
      </c>
      <c r="T124" s="4" t="inlineStr">
        <is>
          <t>https://pubmed.ncbi.nlm.nih.gov/41518421/</t>
        </is>
      </c>
      <c r="U124" s="4" t="inlineStr">
        <is>
          <t>Six ML algorithms and WGCNA were used to derive a six-gene diagnostic panel; KNN performed best, with external human blood GSE42133 AUC 0.722 and local-sample AUC 0.781.</t>
        </is>
      </c>
      <c r="V124" s="4" t="n"/>
      <c r="W124" s="4" t="n"/>
      <c r="X124" s="4" t="inlineStr">
        <is>
          <t>Media</t>
        </is>
      </c>
      <c r="Y124" s="4" t="inlineStr">
        <is>
          <t>No sustituye la segunda revision humana definida en el protocolo.</t>
        </is>
      </c>
      <c r="Z124" s="4" t="inlineStr">
        <is>
          <t>Cell death-associated genes as novel diagnostic biomarkers for autism spectrum disorder</t>
        </is>
      </c>
      <c r="AA124" s="4" t="inlineStr">
        <is>
          <t>Include</t>
        </is>
      </c>
      <c r="AB124" s="4" t="inlineStr">
        <is>
          <t>External human validation is present but discrimination is moderate; mouse prefrontal-cortex validation is not counted as clinical external validation, and real-world replication remains needed.</t>
        </is>
      </c>
      <c r="AC124" s="4" t="inlineStr">
        <is>
          <t>Verificacion independiente del revisor humano antes del cierre final</t>
        </is>
      </c>
    </row>
    <row r="125" ht="164" customHeight="1">
      <c r="A125" s="4" t="inlineStr">
        <is>
          <t>Lote_05_25</t>
        </is>
      </c>
      <c r="B125" s="4" t="n">
        <v>393</v>
      </c>
      <c r="C125" s="4" t="n"/>
      <c r="D125" s="4" t="inlineStr">
        <is>
          <t>10.1007/S42454-025-00087-7</t>
        </is>
      </c>
      <c r="E125" s="4" t="inlineStr">
        <is>
          <t>Publisher/author full-text preview with dataset size, model comparison, SHAP/LIME and results</t>
        </is>
      </c>
      <c r="F125" s="4" t="inlineStr">
        <is>
          <t>Cerrado: contenido suficiente revisado</t>
        </is>
      </c>
      <c r="G125" s="4" t="n"/>
      <c r="H125" s="4" t="inlineStr">
        <is>
          <t>Structured behavioral/demographic ASD screening data</t>
        </is>
      </c>
      <c r="I125" s="4" t="inlineStr">
        <is>
          <t>Machine Learning</t>
        </is>
      </c>
      <c r="J125" s="4" t="inlineStr">
        <is>
          <t>XGBoost (best-performing) with LIME and SHAP</t>
        </is>
      </c>
      <c r="K125" s="4" t="inlineStr">
        <is>
          <t>Screening</t>
        </is>
      </c>
      <c r="L125" s="4" t="inlineStr">
        <is>
          <t>Proposed only</t>
        </is>
      </c>
      <c r="M125" s="4" t="n">
        <v>0</v>
      </c>
      <c r="N125" s="4" t="n">
        <v>0</v>
      </c>
      <c r="O125" s="4" t="n">
        <v>0</v>
      </c>
      <c r="P125" s="4" t="n">
        <v>0</v>
      </c>
      <c r="Q125" s="4" t="n">
        <v>1</v>
      </c>
      <c r="R125" s="4" t="n">
        <v>0</v>
      </c>
      <c r="S125" s="4" t="n">
        <v>0</v>
      </c>
      <c r="T125" s="4" t="inlineStr">
        <is>
          <t>https://www.researchgate.net/publication/397578770_Integrating_explainable_AI_with_machine_learning_for_reliable_autism_spectrum_disorder_diagnosis</t>
        </is>
      </c>
      <c r="U125" s="4" t="inlineStr">
        <is>
          <t>The study compares LR, DT, RF, SVM, KNN, CNN and XGBoost on structured toddler/child/adult ASD screening data; XGBoost is reported as best and explanations are generated with LIME and SHAP.</t>
        </is>
      </c>
      <c r="V125" s="4" t="n"/>
      <c r="W125" s="4" t="n"/>
      <c r="X125" s="4" t="inlineStr">
        <is>
          <t>Media</t>
        </is>
      </c>
      <c r="Y125" s="4" t="inlineStr">
        <is>
          <t>No sustituye la segunda revision humana definida en el protocolo.</t>
        </is>
      </c>
      <c r="Z125" s="4" t="inlineStr">
        <is>
          <t>Integrating explainable AI with machine learning for reliable autism spectrum disorder diagnosis</t>
        </is>
      </c>
      <c r="AA125" s="4" t="inlineStr">
        <is>
          <t>Include</t>
        </is>
      </c>
      <c r="AB125" s="4" t="inlineStr">
        <is>
          <t>Very high reported performance is based on benchmark/combined structured screening data; no independent external cohort, site-held-out analysis or prospective clinical deployment was established in the accessible full text.</t>
        </is>
      </c>
      <c r="AC125" s="4" t="inlineStr">
        <is>
          <t>Verificacion independiente del revisor humano antes del cierre final</t>
        </is>
      </c>
    </row>
    <row r="126" ht="177" customHeight="1">
      <c r="A126" s="4" t="inlineStr">
        <is>
          <t>Lote_05_25</t>
        </is>
      </c>
      <c r="B126" s="4" t="n">
        <v>398</v>
      </c>
      <c r="C126" s="4" t="n"/>
      <c r="D126" s="4" t="inlineStr">
        <is>
          <t>10.1007/S40846-026-01044-8</t>
        </is>
      </c>
      <c r="E126" s="4" t="inlineStr">
        <is>
          <t>Institutional/publisher research record with ABIDE-I/II rs-fMRI, feature extraction and nested cross-validation</t>
        </is>
      </c>
      <c r="F126" s="4" t="inlineStr">
        <is>
          <t>Cerrado: contenido suficiente revisado</t>
        </is>
      </c>
      <c r="G126" s="4" t="n"/>
      <c r="H126" s="4" t="inlineStr">
        <is>
          <t>Neuroimaging (rs-fMRI; ABIDE-I/II)</t>
        </is>
      </c>
      <c r="I126" s="4" t="inlineStr">
        <is>
          <t>Machine Learning</t>
        </is>
      </c>
      <c r="J126" s="4" t="inlineStr">
        <is>
          <t>Logistic regression (best), with ridge/gradient boosting/XGBoost comparison</t>
        </is>
      </c>
      <c r="K126" s="4" t="inlineStr">
        <is>
          <t>Diagnosis</t>
        </is>
      </c>
      <c r="L126" s="4" t="inlineStr">
        <is>
          <t>Research only</t>
        </is>
      </c>
      <c r="M126" s="4" t="n">
        <v>0</v>
      </c>
      <c r="N126" s="4" t="n">
        <v>1</v>
      </c>
      <c r="O126" s="4" t="n">
        <v>0</v>
      </c>
      <c r="P126" s="4" t="n">
        <v>0</v>
      </c>
      <c r="Q126" s="4" t="n">
        <v>0</v>
      </c>
      <c r="R126" s="4" t="n">
        <v>1</v>
      </c>
      <c r="S126" s="4" t="n">
        <v>0</v>
      </c>
      <c r="T126" s="4" t="inlineStr">
        <is>
          <t>https://pure.cardiffmet.ac.uk/en/publications/diagnostic-classification-of-autism-spectrum-disorder-using-sd-ma/</t>
        </is>
      </c>
      <c r="U126" s="4" t="inlineStr">
        <is>
          <t>3D SD maps from ABIDE-I/II rs-fMRI were converted to 110 features and evaluated with LR, ridge, gradient boosting and XGBoost using 5-fold nested CV; LR achieved mean accuracy 70.71%.</t>
        </is>
      </c>
      <c r="V126" s="4" t="n"/>
      <c r="W126" s="4" t="n"/>
      <c r="X126" s="4" t="inlineStr">
        <is>
          <t>Media</t>
        </is>
      </c>
      <c r="Y126" s="4" t="inlineStr">
        <is>
          <t>No sustituye la segunda revision humana definida en el protocolo.</t>
        </is>
      </c>
      <c r="Z126" s="4" t="inlineStr">
        <is>
          <t>Diagnostic Classification of Autism Spectrum Disorder Using SD Maps of fMRI Data and Machine Learning</t>
        </is>
      </c>
      <c r="AA126" s="4" t="inlineStr">
        <is>
          <t>Include</t>
        </is>
      </c>
      <c r="AB126" s="4" t="inlineStr">
        <is>
          <t>Nested cross-validation is methodologically stronger than a simple split but does not establish an independent/site-held-out external validation. Feature-contribution analysis was coded as partial interpretability, not strict XAI.</t>
        </is>
      </c>
      <c r="AC126" s="4" t="inlineStr">
        <is>
          <t>Verificacion independiente del revisor humano antes del cierre final</t>
        </is>
      </c>
    </row>
    <row r="127" ht="151" customHeight="1">
      <c r="A127" s="4" t="inlineStr">
        <is>
          <t>Lote_06_22</t>
        </is>
      </c>
      <c r="B127" s="4" t="n">
        <v>5</v>
      </c>
      <c r="C127" s="4" t="n"/>
      <c r="D127" s="4" t="inlineStr">
        <is>
          <t>10.1016/j.health.2024.100379</t>
        </is>
      </c>
      <c r="E127" s="4" t="inlineStr">
        <is>
          <t>ScienceDirect/DOAJ detailed research abstract with datasets, models and performance sufficient for scoped adjudication</t>
        </is>
      </c>
      <c r="F127" s="4" t="inlineStr">
        <is>
          <t>Cerrado: contenido suficiente revisado</t>
        </is>
      </c>
      <c r="G127" s="4" t="n"/>
      <c r="H127" s="4" t="inlineStr">
        <is>
          <t>Structured behavioral/questionnaire ASD screening data (child and toddler datasets)</t>
        </is>
      </c>
      <c r="I127" s="4" t="inlineStr">
        <is>
          <t>Machine Learning</t>
        </is>
      </c>
      <c r="J127" s="4" t="inlineStr">
        <is>
          <t>Support Vector Classifier (best-performing; compared with LR/KNN/DT/RF)</t>
        </is>
      </c>
      <c r="K127" s="4" t="inlineStr">
        <is>
          <t>Screening</t>
        </is>
      </c>
      <c r="L127" s="4" t="inlineStr">
        <is>
          <t>Proposed only</t>
        </is>
      </c>
      <c r="M127" s="4" t="n">
        <v>0</v>
      </c>
      <c r="N127" s="4" t="n">
        <v>1</v>
      </c>
      <c r="O127" s="4" t="n">
        <v>0</v>
      </c>
      <c r="P127" s="4" t="n">
        <v>0</v>
      </c>
      <c r="Q127" s="4" t="n">
        <v>0</v>
      </c>
      <c r="R127" s="4" t="n">
        <v>0</v>
      </c>
      <c r="S127" s="4" t="n">
        <v>0</v>
      </c>
      <c r="T127" s="4" t="inlineStr">
        <is>
          <t>https://www.sciencedirect.com/science/article/pii/S2772442524000819</t>
        </is>
      </c>
      <c r="U127" s="4" t="inlineStr">
        <is>
          <t>Compares LR, SVC, KNN, decision tree and random forest on toddler and child ASD datasets; SVC is reported as the strongest model, with near-perfect/100% performance on some datasets.</t>
        </is>
      </c>
      <c r="V127" s="4" t="n"/>
      <c r="W127" s="4" t="n"/>
      <c r="X127" s="4" t="inlineStr">
        <is>
          <t>Media</t>
        </is>
      </c>
      <c r="Y127" s="4" t="inlineStr">
        <is>
          <t>No sustituye la segunda revision humana definida en el protocolo.</t>
        </is>
      </c>
      <c r="Z127" s="4" t="inlineStr">
        <is>
          <t>An exploration of machine learning approaches for early Autism Spectrum Disorder detection</t>
        </is>
      </c>
      <c r="AA127" s="4" t="inlineStr">
        <is>
          <t>Include</t>
        </is>
      </c>
      <c r="AB127" s="4" t="inlineStr">
        <is>
          <t>Very high benchmark performance raises overfitting/data-leakage concerns; no fixed independent external clinical cohort or site-held-out evaluation was established from the accessible evidence.</t>
        </is>
      </c>
      <c r="AC127" s="4" t="inlineStr">
        <is>
          <t>Verificacion independiente del revisor humano antes del cierre final</t>
        </is>
      </c>
    </row>
    <row r="128" ht="151" customHeight="1">
      <c r="A128" s="4" t="inlineStr">
        <is>
          <t>Lote_06_22</t>
        </is>
      </c>
      <c r="B128" s="4" t="n">
        <v>11</v>
      </c>
      <c r="C128" s="4" t="n"/>
      <c r="D128" s="4" t="inlineStr">
        <is>
          <t>10.1016/j.procs.2025.04.142</t>
        </is>
      </c>
      <c r="E128" s="4" t="inlineStr">
        <is>
          <t>ScienceDirect Procedia research abstract with datasets, purpose and reported performance sufficient for scoped coding</t>
        </is>
      </c>
      <c r="F128" s="4" t="inlineStr">
        <is>
          <t>Cerrado: contenido suficiente revisado</t>
        </is>
      </c>
      <c r="G128" s="4" t="n"/>
      <c r="H128" s="4" t="inlineStr">
        <is>
          <t>Neuroimaging (fMRI; ABIDE and ADHD-200)</t>
        </is>
      </c>
      <c r="I128" s="4" t="inlineStr">
        <is>
          <t>Hybrid</t>
        </is>
      </c>
      <c r="J128" s="4" t="inlineStr">
        <is>
          <t>Ensembler_fMRI ensemble of multiple AI techniques (specific component families not fully specified in accessible source)</t>
        </is>
      </c>
      <c r="K128" s="4" t="inlineStr">
        <is>
          <t>Diagnosis</t>
        </is>
      </c>
      <c r="L128" s="4" t="inlineStr">
        <is>
          <t>Research only</t>
        </is>
      </c>
      <c r="M128" s="4" t="n">
        <v>0</v>
      </c>
      <c r="N128" s="4" t="n">
        <v>1</v>
      </c>
      <c r="O128" s="4" t="n">
        <v>0</v>
      </c>
      <c r="P128" s="4" t="n">
        <v>0</v>
      </c>
      <c r="Q128" s="4" t="n">
        <v>0</v>
      </c>
      <c r="R128" s="4" t="n">
        <v>0</v>
      </c>
      <c r="S128" s="4" t="n">
        <v>0</v>
      </c>
      <c r="T128" s="4" t="inlineStr">
        <is>
          <t>https://www.sciencedirect.com/science/article/pii/S187705092501244X</t>
        </is>
      </c>
      <c r="U128" s="4" t="inlineStr">
        <is>
          <t>Ensembler_fMRI combines multiple AI techniques on fMRI data from ABIDE and ADHD-200 to distinguish ASD from ADHD; the abstract reports 98% accuracy.</t>
        </is>
      </c>
      <c r="V128" s="4" t="n"/>
      <c r="W128" s="4" t="n"/>
      <c r="X128" s="4" t="inlineStr">
        <is>
          <t>Media</t>
        </is>
      </c>
      <c r="Y128" s="4" t="inlineStr">
        <is>
          <t>No sustituye la segunda revision humana definida en el protocolo.</t>
        </is>
      </c>
      <c r="Z128" s="4" t="inlineStr">
        <is>
          <t>Ensembler_fMRI: An Intelligent Approach for the Early Prediction of Autism Disorder</t>
        </is>
      </c>
      <c r="AA128" s="4" t="inlineStr">
        <is>
          <t>Include</t>
        </is>
      </c>
      <c r="AB128" s="4" t="inlineStr">
        <is>
          <t>Use of multisite/multidataset repositories does not itself demonstrate held-out cross-site robustness or external validation; component model details are incomplete in the accessible abstract.</t>
        </is>
      </c>
      <c r="AC128" s="4" t="inlineStr">
        <is>
          <t>Verificacion independiente del revisor humano antes del cierre final</t>
        </is>
      </c>
    </row>
    <row r="129" ht="164" customHeight="1">
      <c r="A129" s="4" t="inlineStr">
        <is>
          <t>Lote_06_22</t>
        </is>
      </c>
      <c r="B129" s="4" t="n">
        <v>16</v>
      </c>
      <c r="C129" s="4" t="n"/>
      <c r="D129" s="4" t="inlineStr">
        <is>
          <t>10.1016/j.nbd.2024.106763</t>
        </is>
      </c>
      <c r="E129" s="4" t="inlineStr">
        <is>
          <t>PubMed/publisher detailed abstract with GEO analyses, ML biomarker selection, single-cell analysis and experimental validation</t>
        </is>
      </c>
      <c r="F129" s="4" t="inlineStr">
        <is>
          <t>Cerrado: contenido suficiente revisado</t>
        </is>
      </c>
      <c r="G129" s="4" t="n"/>
      <c r="H129" s="4" t="inlineStr">
        <is>
          <t>Biological/omics (bulk transcriptomics + single-cell RNA-seq; GEO)</t>
        </is>
      </c>
      <c r="I129" s="4" t="inlineStr">
        <is>
          <t>Machine Learning</t>
        </is>
      </c>
      <c r="J129" s="4" t="inlineStr">
        <is>
          <t>Machine-learning hub-gene selection (specific model family not stated in accessible source)</t>
        </is>
      </c>
      <c r="K129" s="4" t="inlineStr">
        <is>
          <t>Diagnosis</t>
        </is>
      </c>
      <c r="L129" s="4" t="inlineStr">
        <is>
          <t>Research only</t>
        </is>
      </c>
      <c r="M129" s="4" t="n">
        <v>0</v>
      </c>
      <c r="N129" s="4" t="n">
        <v>1</v>
      </c>
      <c r="O129" s="4" t="n">
        <v>0</v>
      </c>
      <c r="P129" s="4" t="n">
        <v>0</v>
      </c>
      <c r="Q129" s="4" t="n">
        <v>0</v>
      </c>
      <c r="R129" s="4" t="n">
        <v>1</v>
      </c>
      <c r="S129" s="4" t="n">
        <v>0</v>
      </c>
      <c r="T129" s="4" t="inlineStr">
        <is>
          <t>https://pubmed.ncbi.nlm.nih.gov/?term=10.1016%2Fj.nbd.2024.106763</t>
        </is>
      </c>
      <c r="U129" s="4" t="inlineStr">
        <is>
          <t>Human GEO transcriptomic data are used to identify HIF1A-related hub genes with ML; single-cell analysis and MIA mouse/cell experiments support mechanistic interpretation. Human data therefore prevent an animal-only exclusion.</t>
        </is>
      </c>
      <c r="V129" s="4" t="n"/>
      <c r="W129" s="4" t="n"/>
      <c r="X129" s="4" t="inlineStr">
        <is>
          <t>Media</t>
        </is>
      </c>
      <c r="Y129" s="4" t="inlineStr">
        <is>
          <t>No sustituye la segunda revision humana definida en el protocolo.</t>
        </is>
      </c>
      <c r="Z129" s="4" t="inlineStr">
        <is>
          <t>Unraveling pathogenesis and potential biomarkers for autism spectrum disorder associated with HIF1A pathway based on machine learning and experiment validation</t>
        </is>
      </c>
      <c r="AA129" s="4" t="inlineStr">
        <is>
          <t>Include</t>
        </is>
      </c>
      <c r="AB129" s="4" t="inlineStr">
        <is>
          <t>Animal/cell validation is mechanistic, not independent clinical external validation; the accessible abstract does not identify a site-held-out human validation design or the exact ML family used for hub-gene selection.</t>
        </is>
      </c>
      <c r="AC129" s="4" t="inlineStr">
        <is>
          <t>Verificacion independiente del revisor humano antes del cierre final</t>
        </is>
      </c>
    </row>
    <row r="130" ht="177" customHeight="1">
      <c r="A130" s="4" t="inlineStr">
        <is>
          <t>Lote_06_22</t>
        </is>
      </c>
      <c r="B130" s="4" t="n">
        <v>27</v>
      </c>
      <c r="C130" s="4" t="n"/>
      <c r="D130" s="4" t="inlineStr">
        <is>
          <t>10.1016/j.psychres.2025.116353</t>
        </is>
      </c>
      <c r="E130" s="4" t="inlineStr">
        <is>
          <t>PubMed/publisher structured abstract with cohort size, feature-selection strategy and screening-performance metrics</t>
        </is>
      </c>
      <c r="F130" s="4" t="inlineStr">
        <is>
          <t>Cerrado: contenido suficiente revisado</t>
        </is>
      </c>
      <c r="G130" s="4" t="n"/>
      <c r="H130" s="4" t="inlineStr">
        <is>
          <t>Structured questionnaire + sociodemographic/environmental factors (M-CHAT-R)</t>
        </is>
      </c>
      <c r="I130" s="4" t="inlineStr">
        <is>
          <t>Machine Learning</t>
        </is>
      </c>
      <c r="J130" s="4" t="inlineStr">
        <is>
          <t>Best-performing classifier among six ML models after multi-method feature selection (family not uniquely stated in accessible abstract)</t>
        </is>
      </c>
      <c r="K130" s="4" t="inlineStr">
        <is>
          <t>Screening</t>
        </is>
      </c>
      <c r="L130" s="4" t="inlineStr">
        <is>
          <t>Proposed only</t>
        </is>
      </c>
      <c r="M130" s="4" t="n">
        <v>0</v>
      </c>
      <c r="N130" s="4" t="n">
        <v>0</v>
      </c>
      <c r="O130" s="4" t="n">
        <v>0</v>
      </c>
      <c r="P130" s="4" t="n">
        <v>0</v>
      </c>
      <c r="Q130" s="4" t="n">
        <v>0</v>
      </c>
      <c r="R130" s="4" t="n">
        <v>1</v>
      </c>
      <c r="S130" s="4" t="n">
        <v>1</v>
      </c>
      <c r="T130" s="4" t="inlineStr">
        <is>
          <t>https://pubmed.ncbi.nlm.nih.gov/39793526/</t>
        </is>
      </c>
      <c r="U130" s="4" t="inlineStr">
        <is>
          <t>Retrospective analysis of 6,049 Chinese toddlers combines M-CHAT-R items with 17 sociodemographic/environmental factors, uses multiple feature-selection methods and six ML models, and derives a shortened screening measure.</t>
        </is>
      </c>
      <c r="V130" s="4" t="n"/>
      <c r="W130" s="4" t="n"/>
      <c r="X130" s="4" t="inlineStr">
        <is>
          <t>Media</t>
        </is>
      </c>
      <c r="Y130" s="4" t="inlineStr">
        <is>
          <t>No sustituye la segunda revision humana definida en el protocolo.</t>
        </is>
      </c>
      <c r="Z130" s="4" t="inlineStr">
        <is>
          <t>Developing a simplified measure to predict the risk of autism spectrum disorders: Abbreviating the M-CHAT-R using a machine learning approach in China</t>
        </is>
      </c>
      <c r="AA130" s="4" t="inlineStr">
        <is>
          <t>Include</t>
        </is>
      </c>
      <c r="AB130" s="4" t="inlineStr">
        <is>
          <t>Derived from an existing validation cohort and not independently externally validated; strong sensitivity/specificity can coexist with low PPV in low-prevalence screening, so clinical utility should not be inferred from discrimination alone.</t>
        </is>
      </c>
      <c r="AC130" s="4" t="inlineStr">
        <is>
          <t>Verificacion independiente del revisor humano antes del cierre final</t>
        </is>
      </c>
    </row>
    <row r="131" ht="125" customHeight="1">
      <c r="A131" s="4" t="inlineStr">
        <is>
          <t>Lote_06_22</t>
        </is>
      </c>
      <c r="B131" s="4" t="n">
        <v>31</v>
      </c>
      <c r="C131" s="4" t="n"/>
      <c r="D131" s="4" t="inlineStr">
        <is>
          <t>10.1016/j.reia.2025.202542</t>
        </is>
      </c>
      <c r="E131" s="4" t="inlineStr">
        <is>
          <t>Publisher detailed abstract with Polish cohort, Boruta/Random Forest analysis and reported marker findings</t>
        </is>
      </c>
      <c r="F131" s="4" t="inlineStr">
        <is>
          <t>Cerrado: contenido suficiente revisado</t>
        </is>
      </c>
      <c r="G131" s="4" t="n"/>
      <c r="H131" s="4" t="inlineStr">
        <is>
          <t>Biological/genetic (SNP genotyping + phenotypic variables)</t>
        </is>
      </c>
      <c r="I131" s="4" t="inlineStr">
        <is>
          <t>Machine Learning</t>
        </is>
      </c>
      <c r="J131" s="4" t="inlineStr">
        <is>
          <t>Boruta feature selection + Random Forest</t>
        </is>
      </c>
      <c r="K131" s="4" t="inlineStr">
        <is>
          <t>Diagnosis</t>
        </is>
      </c>
      <c r="L131" s="4" t="inlineStr">
        <is>
          <t>Research only</t>
        </is>
      </c>
      <c r="M131" s="4" t="n">
        <v>0</v>
      </c>
      <c r="N131" s="4" t="n">
        <v>0</v>
      </c>
      <c r="O131" s="4" t="n">
        <v>0</v>
      </c>
      <c r="P131" s="4" t="n">
        <v>0</v>
      </c>
      <c r="Q131" s="4" t="n">
        <v>0</v>
      </c>
      <c r="R131" s="4" t="n">
        <v>1</v>
      </c>
      <c r="S131" s="4" t="n">
        <v>1</v>
      </c>
      <c r="T131" s="4" t="inlineStr">
        <is>
          <t>https://www.sciencedirect.com/science/article/pii/S3050656525000148</t>
        </is>
      </c>
      <c r="U131" s="4" t="inlineStr">
        <is>
          <t>A Polish-origin ASD/control cohort is analyzed with Boruta and Random Forest to prioritize genetic and phenotypic markers, including replication of rs10099100-related risk evidence.</t>
        </is>
      </c>
      <c r="V131" s="4" t="n"/>
      <c r="W131" s="4" t="n"/>
      <c r="X131" s="4" t="inlineStr">
        <is>
          <t>Media</t>
        </is>
      </c>
      <c r="Y131" s="4" t="inlineStr">
        <is>
          <t>No sustituye la segunda revision humana definida en el protocolo.</t>
        </is>
      </c>
      <c r="Z131" s="4" t="inlineStr">
        <is>
          <t>Replication of rs10099100 Association with Autism Spectrum Disorder Risk in a Polish‐Origin Cohort</t>
        </is>
      </c>
      <c r="AA131" s="4" t="inlineStr">
        <is>
          <t>Include</t>
        </is>
      </c>
      <c r="AB131" s="4" t="inlineStr">
        <is>
          <t>Single ancestry-specific cohort with no independent external validation; association/feature importance is not equivalent to prospective screening performance.</t>
        </is>
      </c>
      <c r="AC131" s="4" t="inlineStr">
        <is>
          <t>Verificacion independiente del revisor humano antes del cierre final</t>
        </is>
      </c>
    </row>
    <row r="132" ht="125" customHeight="1">
      <c r="A132" s="4" t="inlineStr">
        <is>
          <t>Lote_06_22</t>
        </is>
      </c>
      <c r="B132" s="4" t="n">
        <v>34</v>
      </c>
      <c r="C132" s="4" t="n"/>
      <c r="D132" s="4" t="inlineStr">
        <is>
          <t>10.1016/B978-0-443-30080-6.00018-3</t>
        </is>
      </c>
      <c r="E132" s="4" t="inlineStr">
        <is>
          <t>Elsevier edited-book chapter record/abstract; empirical content present but publication type ineligible under the reconciled protocol</t>
        </is>
      </c>
      <c r="F132" s="4" t="inlineStr">
        <is>
          <t>Cerrado: exclusión por tipo de publicación</t>
        </is>
      </c>
      <c r="G132" s="4" t="n"/>
      <c r="H132" s="4" t="n"/>
      <c r="I132" s="4" t="n"/>
      <c r="J132" s="4" t="n"/>
      <c r="K132" s="4" t="n"/>
      <c r="L132" s="4" t="n"/>
      <c r="M132" s="4" t="n"/>
      <c r="N132" s="4" t="n"/>
      <c r="O132" s="4" t="n"/>
      <c r="P132" s="4" t="n"/>
      <c r="Q132" s="4" t="n"/>
      <c r="R132" s="4" t="n"/>
      <c r="S132" s="4" t="n"/>
      <c r="T132" s="4" t="inlineStr">
        <is>
          <t>https://www.sciencedirect.com/science/chapter/edited-volume/pii/B9780443300806000183</t>
        </is>
      </c>
      <c r="U132" s="4" t="inlineStr">
        <is>
          <t>The chapter describes empirical experiments on the Toddler ASD dataset and reports ANN as the strongest classifier among the compared models.</t>
        </is>
      </c>
      <c r="V132" s="4" t="n"/>
      <c r="W132" s="4" t="n"/>
      <c r="X132" s="4" t="inlineStr">
        <is>
          <t>Media</t>
        </is>
      </c>
      <c r="Y132" s="4" t="inlineStr">
        <is>
          <t>Reconciliado el 2026-09-07: standalone edited-book chapters are excluded; full peer-reviewed conference/proceedings papers remain eligible.</t>
        </is>
      </c>
      <c r="Z132" s="4" t="inlineStr">
        <is>
          <t>Diagnosis of autism spectrum disorder—prediction and analysis of enhanced classification model based on machine learning</t>
        </is>
      </c>
      <c r="AA132" s="4" t="inlineStr">
        <is>
          <t>Exclude</t>
        </is>
      </c>
      <c r="AB132" s="4" t="inlineStr">
        <is>
          <t>Excluded because it is a standalone chapter in an edited book. The exclusion is based on publication type, not on absence of empirical methods or results.</t>
        </is>
      </c>
      <c r="AC132" s="4" t="inlineStr">
        <is>
          <t>Verificacion independiente del revisor humano antes del cierre final</t>
        </is>
      </c>
    </row>
    <row r="133" ht="151" customHeight="1">
      <c r="A133" s="4" t="inlineStr">
        <is>
          <t>Lote_06_22</t>
        </is>
      </c>
      <c r="B133" s="4" t="n">
        <v>42</v>
      </c>
      <c r="C133" s="4" t="n"/>
      <c r="D133" s="4" t="inlineStr">
        <is>
          <t>10.1016/j.procs.2025.04.389</t>
        </is>
      </c>
      <c r="E133" s="4" t="inlineStr">
        <is>
          <t>Open Procedia research paper/abstract with model, input domains and performance sufficient for scoped coding</t>
        </is>
      </c>
      <c r="F133" s="4" t="inlineStr">
        <is>
          <t>Cerrado: contenido suficiente revisado</t>
        </is>
      </c>
      <c r="G133" s="4" t="n"/>
      <c r="H133" s="4" t="inlineStr">
        <is>
          <t>Structured behavioral/cognitive/demographic ASD data</t>
        </is>
      </c>
      <c r="I133" s="4" t="inlineStr">
        <is>
          <t>Machine Learning</t>
        </is>
      </c>
      <c r="J133" s="4" t="inlineStr">
        <is>
          <t>Bayesian-optimized Random Forest</t>
        </is>
      </c>
      <c r="K133" s="4" t="inlineStr">
        <is>
          <t>Screening</t>
        </is>
      </c>
      <c r="L133" s="4" t="inlineStr">
        <is>
          <t>Proposed only</t>
        </is>
      </c>
      <c r="M133" s="4" t="n">
        <v>0</v>
      </c>
      <c r="N133" s="4" t="n">
        <v>0</v>
      </c>
      <c r="O133" s="4" t="n">
        <v>0</v>
      </c>
      <c r="P133" s="4" t="n">
        <v>0</v>
      </c>
      <c r="Q133" s="4" t="n">
        <v>0</v>
      </c>
      <c r="R133" s="4" t="n">
        <v>0</v>
      </c>
      <c r="S133" s="4" t="n">
        <v>0</v>
      </c>
      <c r="T133" s="4" t="inlineStr">
        <is>
          <t>https://doi.org/10.1016/j.procs.2025.04.389</t>
        </is>
      </c>
      <c r="U133" s="4" t="inlineStr">
        <is>
          <t>Uses Bayesian optimization to tune a Random Forest on behavioral, cognitive and demographic ASD variables; the paper reports very high classification performance.</t>
        </is>
      </c>
      <c r="V133" s="4" t="n"/>
      <c r="W133" s="4" t="n"/>
      <c r="X133" s="4" t="inlineStr">
        <is>
          <t>Media</t>
        </is>
      </c>
      <c r="Y133" s="4" t="inlineStr">
        <is>
          <t>No sustituye la segunda revision humana definida en el protocolo.</t>
        </is>
      </c>
      <c r="Z133" s="4" t="inlineStr">
        <is>
          <t>Enhancing Early Diagnosis of Autism Spectrum Disorder Using a Bayesian-Optimized Random Forest Algorithm</t>
        </is>
      </c>
      <c r="AA133" s="4" t="inlineStr">
        <is>
          <t>Include</t>
        </is>
      </c>
      <c r="AB133" s="4" t="inlineStr">
        <is>
          <t>No independent external cohort, prospective deployment, or explicit explanation method was established; near-ceiling performance on structured ASD datasets requires careful leakage/selection-bias checks.</t>
        </is>
      </c>
      <c r="AC133" s="4" t="inlineStr">
        <is>
          <t>Verificacion independiente del revisor humano antes del cierre final</t>
        </is>
      </c>
    </row>
    <row r="134" ht="151" customHeight="1">
      <c r="A134" s="4" t="inlineStr">
        <is>
          <t>Lote_06_22</t>
        </is>
      </c>
      <c r="B134" s="4" t="n">
        <v>45</v>
      </c>
      <c r="C134" s="4" t="n"/>
      <c r="D134" s="4" t="inlineStr">
        <is>
          <t>10.1016/j.procs.2025.04.671</t>
        </is>
      </c>
      <c r="E134" s="4" t="inlineStr">
        <is>
          <t>Open Procedia research paper/abstract with ABIDE source, attention-CNN pipeline and reported performance</t>
        </is>
      </c>
      <c r="F134" s="4" t="inlineStr">
        <is>
          <t>Cerrado: contenido suficiente revisado</t>
        </is>
      </c>
      <c r="G134" s="4" t="n"/>
      <c r="H134" s="4" t="inlineStr">
        <is>
          <t>Neuroimaging (fMRI; ABIDE)</t>
        </is>
      </c>
      <c r="I134" s="4" t="inlineStr">
        <is>
          <t>Hybrid</t>
        </is>
      </c>
      <c r="J134" s="4" t="inlineStr">
        <is>
          <t>Attention-based CNN feature extractor + conventional ML classifier</t>
        </is>
      </c>
      <c r="K134" s="4" t="inlineStr">
        <is>
          <t>Diagnosis</t>
        </is>
      </c>
      <c r="L134" s="4" t="inlineStr">
        <is>
          <t>Research only</t>
        </is>
      </c>
      <c r="M134" s="4" t="n">
        <v>0</v>
      </c>
      <c r="N134" s="4" t="n">
        <v>1</v>
      </c>
      <c r="O134" s="4" t="n">
        <v>0</v>
      </c>
      <c r="P134" s="4" t="n">
        <v>0</v>
      </c>
      <c r="Q134" s="4" t="n">
        <v>0</v>
      </c>
      <c r="R134" s="4" t="n">
        <v>0</v>
      </c>
      <c r="S134" s="4" t="n">
        <v>0</v>
      </c>
      <c r="T134" s="4" t="inlineStr">
        <is>
          <t>https://doi.org/10.1016/j.procs.2025.04.671</t>
        </is>
      </c>
      <c r="U134" s="4" t="inlineStr">
        <is>
          <t>An attention-based CNN/Squeeze-and-Excitation pipeline extracts fMRI features and feeds ML classifiers for ASD detection on ABIDE; very high accuracy is reported.</t>
        </is>
      </c>
      <c r="V134" s="4" t="n"/>
      <c r="W134" s="4" t="n"/>
      <c r="X134" s="4" t="inlineStr">
        <is>
          <t>Media</t>
        </is>
      </c>
      <c r="Y134" s="4" t="inlineStr">
        <is>
          <t>No sustituye la segunda revision humana definida en el protocolo.</t>
        </is>
      </c>
      <c r="Z134" s="4" t="inlineStr">
        <is>
          <t>Autism Spectrum Disorder Detection using Attention-Based CNN and ML Classifiers</t>
        </is>
      </c>
      <c r="AA134" s="4" t="inlineStr">
        <is>
          <t>Include</t>
        </is>
      </c>
      <c r="AB134" s="4" t="inlineStr">
        <is>
          <t>ABIDE is multisite, but no explicit site-held-out or independent external evaluation was established. Architectural attention was not counted as XAI because no explanation analysis was demonstrated.</t>
        </is>
      </c>
      <c r="AC134" s="4" t="inlineStr">
        <is>
          <t>Verificacion independiente del revisor humano antes del cierre final</t>
        </is>
      </c>
    </row>
    <row r="135" ht="125" customHeight="1">
      <c r="A135" s="4" t="inlineStr">
        <is>
          <t>Lote_06_22</t>
        </is>
      </c>
      <c r="B135" s="4" t="n">
        <v>56</v>
      </c>
      <c r="C135" s="4" t="n"/>
      <c r="D135" s="4" t="inlineStr">
        <is>
          <t>10.1016/j.procs.2025.10.018</t>
        </is>
      </c>
      <c r="E135" s="4" t="inlineStr">
        <is>
          <t>Open Procedia research abstract describes RF/XGBoost, SHAP and combined clinical/genetic/environmental variables</t>
        </is>
      </c>
      <c r="F135" s="4" t="inlineStr">
        <is>
          <t>Cerrado: contenido suficiente revisado</t>
        </is>
      </c>
      <c r="G135" s="4" t="n"/>
      <c r="H135" s="4" t="inlineStr">
        <is>
          <t>Multisource tabular (clinical + genetic + environmental risk factors)</t>
        </is>
      </c>
      <c r="I135" s="4" t="inlineStr">
        <is>
          <t>Machine Learning</t>
        </is>
      </c>
      <c r="J135" s="4" t="inlineStr">
        <is>
          <t>Random Forest + XGBoost with SHAP</t>
        </is>
      </c>
      <c r="K135" s="4" t="inlineStr">
        <is>
          <t>Prognosis</t>
        </is>
      </c>
      <c r="L135" s="4" t="inlineStr">
        <is>
          <t>Research only</t>
        </is>
      </c>
      <c r="M135" s="4" t="n">
        <v>0</v>
      </c>
      <c r="N135" s="4" t="n">
        <v>0</v>
      </c>
      <c r="O135" s="4" t="n">
        <v>0</v>
      </c>
      <c r="P135" s="4" t="n">
        <v>0</v>
      </c>
      <c r="Q135" s="4" t="n">
        <v>1</v>
      </c>
      <c r="R135" s="4" t="n">
        <v>0</v>
      </c>
      <c r="S135" s="4" t="n">
        <v>1</v>
      </c>
      <c r="T135" s="4" t="inlineStr">
        <is>
          <t>https://doi.org/10.1016/j.procs.2025.10.018</t>
        </is>
      </c>
      <c r="U135" s="4" t="inlineStr">
        <is>
          <t>Applies Random Forest and XGBoost to clinical, genetic and environmental ASD risk variables and uses SHAP to identify influential factors.</t>
        </is>
      </c>
      <c r="V135" s="4" t="n"/>
      <c r="W135" s="4" t="n"/>
      <c r="X135" s="4" t="inlineStr">
        <is>
          <t>Media</t>
        </is>
      </c>
      <c r="Y135" s="4" t="inlineStr">
        <is>
          <t>No sustituye la segunda revision humana definida en el protocolo.</t>
        </is>
      </c>
      <c r="Z135" s="4" t="inlineStr">
        <is>
          <t>Effective AI Techniques for Analyzing Risk Factors in Autism Spectrum Disorder (ASD)</t>
        </is>
      </c>
      <c r="AA135" s="4" t="inlineStr">
        <is>
          <t>Include</t>
        </is>
      </c>
      <c r="AB135" s="4" t="inlineStr">
        <is>
          <t>Risk-factor association and model explanation do not establish causal risk or clinical utility; no independent external or prospective validation was identified.</t>
        </is>
      </c>
      <c r="AC135" s="4" t="inlineStr">
        <is>
          <t>Verificacion independiente del revisor humano antes del cierre final</t>
        </is>
      </c>
    </row>
    <row r="136" ht="177" customHeight="1">
      <c r="A136" s="4" t="inlineStr">
        <is>
          <t>Lote_06_22</t>
        </is>
      </c>
      <c r="B136" s="4" t="n">
        <v>92</v>
      </c>
      <c r="C136" s="4" t="n"/>
      <c r="D136" s="4" t="inlineStr">
        <is>
          <t>10.1016/j.cca.2025.120238</t>
        </is>
      </c>
      <c r="E136" s="4" t="inlineStr">
        <is>
          <t>PubMed detailed abstract with sample size, DIA proteomics, ML feature screening, leave-one-out validation and ELISA follow-up</t>
        </is>
      </c>
      <c r="F136" s="4" t="inlineStr">
        <is>
          <t>Cerrado: contenido suficiente revisado</t>
        </is>
      </c>
      <c r="G136" s="4" t="n"/>
      <c r="H136" s="4" t="inlineStr">
        <is>
          <t>Biological/omics (serum DIA proteomics)</t>
        </is>
      </c>
      <c r="I136" s="4" t="inlineStr">
        <is>
          <t>Machine Learning</t>
        </is>
      </c>
      <c r="J136" s="4" t="inlineStr">
        <is>
          <t>Eight-protein ML classifier with bidirectional feature screening (abstract reports logic-regression/leave-one-out validation)</t>
        </is>
      </c>
      <c r="K136" s="4" t="inlineStr">
        <is>
          <t>Diagnosis</t>
        </is>
      </c>
      <c r="L136" s="4" t="inlineStr">
        <is>
          <t>Research only</t>
        </is>
      </c>
      <c r="M136" s="4" t="n">
        <v>0</v>
      </c>
      <c r="N136" s="4" t="n">
        <v>0</v>
      </c>
      <c r="O136" s="4" t="n">
        <v>0</v>
      </c>
      <c r="P136" s="4" t="n">
        <v>0</v>
      </c>
      <c r="Q136" s="4" t="n">
        <v>0</v>
      </c>
      <c r="R136" s="4" t="n">
        <v>1</v>
      </c>
      <c r="S136" s="4" t="n">
        <v>0</v>
      </c>
      <c r="T136" s="4" t="inlineStr">
        <is>
          <t>https://pubmed.ncbi.nlm.nih.gov/40185380/</t>
        </is>
      </c>
      <c r="U136" s="4" t="inlineStr">
        <is>
          <t>DIA serum proteomics in 99 ASD and 70 control children yields an eight-protein ML model after bidirectional feature screening; ELISA follow-up is reported for LYZ.</t>
        </is>
      </c>
      <c r="V136" s="4" t="n"/>
      <c r="W136" s="4" t="n"/>
      <c r="X136" s="4" t="inlineStr">
        <is>
          <t>Media</t>
        </is>
      </c>
      <c r="Y136" s="4" t="inlineStr">
        <is>
          <t>No sustituye la segunda revision humana definida en el protocolo.</t>
        </is>
      </c>
      <c r="Z136" s="4" t="inlineStr">
        <is>
          <t>Data independent acquisition proteomics and machine learning reveals that proteins associated with immunity are potential molecular markers for early diagnosis of autism</t>
        </is>
      </c>
      <c r="AA136" s="4" t="inlineStr">
        <is>
          <t>Include</t>
        </is>
      </c>
      <c r="AB136" s="4" t="inlineStr">
        <is>
          <t>Leave-one-out validation is internal; ELISA confirmation of selected proteins is not an independent external cohort test. The sample is geographically limited and biomarker selection can be optimistic without nested external replication.</t>
        </is>
      </c>
      <c r="AC136" s="4" t="inlineStr">
        <is>
          <t>Verificacion independiente del revisor humano antes del cierre final</t>
        </is>
      </c>
    </row>
    <row r="137" ht="151" customHeight="1">
      <c r="A137" s="4" t="inlineStr">
        <is>
          <t>Lote_06_22</t>
        </is>
      </c>
      <c r="B137" s="4" t="n">
        <v>183</v>
      </c>
      <c r="C137" s="4" t="n"/>
      <c r="D137" s="4" t="inlineStr">
        <is>
          <t>10.1109/JBHI.2025.3622540</t>
        </is>
      </c>
      <c r="E137" s="4" t="inlineStr">
        <is>
          <t>PubMed/IEEE detailed abstract with ABIDE-I/II, dynamic graph architecture and visualization analysis</t>
        </is>
      </c>
      <c r="F137" s="4" t="inlineStr">
        <is>
          <t>Cerrado: contenido suficiente revisado</t>
        </is>
      </c>
      <c r="G137" s="4" t="n"/>
      <c r="H137" s="4" t="inlineStr">
        <is>
          <t>Neuroimaging (resting-state fMRI; ABIDE-I/II)</t>
        </is>
      </c>
      <c r="I137" s="4" t="inlineStr">
        <is>
          <t>Deep Learning</t>
        </is>
      </c>
      <c r="J137" s="4" t="inlineStr">
        <is>
          <t>Ada-MST adaptive multi-scale dynamic graph neural network with overlapping-community-aware readout</t>
        </is>
      </c>
      <c r="K137" s="4" t="inlineStr">
        <is>
          <t>Diagnosis</t>
        </is>
      </c>
      <c r="L137" s="4" t="inlineStr">
        <is>
          <t>Research only</t>
        </is>
      </c>
      <c r="M137" s="4" t="n">
        <v>0</v>
      </c>
      <c r="N137" s="4" t="n">
        <v>1</v>
      </c>
      <c r="O137" s="4" t="n">
        <v>0</v>
      </c>
      <c r="P137" s="4" t="n">
        <v>0</v>
      </c>
      <c r="Q137" s="4" t="n">
        <v>0</v>
      </c>
      <c r="R137" s="4" t="n">
        <v>1</v>
      </c>
      <c r="S137" s="4" t="n">
        <v>0</v>
      </c>
      <c r="T137" s="4" t="inlineStr">
        <is>
          <t>https://pubmed.ncbi.nlm.nih.gov/41359708/</t>
        </is>
      </c>
      <c r="U137" s="4" t="inlineStr">
        <is>
          <t>Ada-MST learns adaptive multi-scale dynamic graph representations from ABIDE-I/II rs-fMRI and includes community-aware readout/visualization for ASD classification.</t>
        </is>
      </c>
      <c r="V137" s="4" t="n"/>
      <c r="W137" s="4" t="n"/>
      <c r="X137" s="4" t="inlineStr">
        <is>
          <t>Media</t>
        </is>
      </c>
      <c r="Y137" s="4" t="inlineStr">
        <is>
          <t>No sustituye la segunda revision humana definida en el protocolo.</t>
        </is>
      </c>
      <c r="Z137" s="4" t="inlineStr">
        <is>
          <t>Adaptive Multi-Scale Dynamic Graph Representation Learning With Overlapping Community-Awareness for ASD Classification</t>
        </is>
      </c>
      <c r="AA137" s="4" t="inlineStr">
        <is>
          <t>Include</t>
        </is>
      </c>
      <c r="AB137" s="4" t="inlineStr">
        <is>
          <t>ABIDE-I/II are multisite datasets, but no explicit held-out-site robustness design was established in the accessible report. Visualization was treated as partial interpretability, not strict XAI.</t>
        </is>
      </c>
      <c r="AC137" s="4" t="inlineStr">
        <is>
          <t>Verificacion independiente del revisor humano antes del cierre final</t>
        </is>
      </c>
    </row>
    <row r="138" ht="190" customHeight="1">
      <c r="A138" s="4" t="inlineStr">
        <is>
          <t>Lote_06_22</t>
        </is>
      </c>
      <c r="B138" s="4" t="n">
        <v>198</v>
      </c>
      <c r="C138" s="4" t="n"/>
      <c r="D138" s="4" t="inlineStr">
        <is>
          <t>10.1002/jdn.70117</t>
        </is>
      </c>
      <c r="E138" s="4" t="inlineStr">
        <is>
          <t>Wiley/PubMed publisher article page plus accessible full-text reproduction; enough methodological detail for scoped coding but with internal reporting inconsistency</t>
        </is>
      </c>
      <c r="F138" s="4" t="inlineStr">
        <is>
          <t>Cerrado: contenido suficiente revisado</t>
        </is>
      </c>
      <c r="G138" s="4" t="n"/>
      <c r="H138" s="4" t="inlineStr">
        <is>
          <t>Multimodal (facial expressions + eye gaze + speech prosody + behavioral cues)</t>
        </is>
      </c>
      <c r="I138" s="4" t="inlineStr">
        <is>
          <t>Hybrid</t>
        </is>
      </c>
      <c r="J138" s="4" t="inlineStr">
        <is>
          <t>CbRNN-EM + NCIAPPF temporal encoding/fusion</t>
        </is>
      </c>
      <c r="K138" s="4" t="inlineStr">
        <is>
          <t>Screening</t>
        </is>
      </c>
      <c r="L138" s="4" t="inlineStr">
        <is>
          <t>Proposed only</t>
        </is>
      </c>
      <c r="M138" s="4" t="n">
        <v>0</v>
      </c>
      <c r="N138" s="4" t="n">
        <v>0</v>
      </c>
      <c r="O138" s="4" t="n">
        <v>0</v>
      </c>
      <c r="P138" s="4" t="n">
        <v>0</v>
      </c>
      <c r="Q138" s="4" t="n">
        <v>0</v>
      </c>
      <c r="R138" s="4" t="n">
        <v>0</v>
      </c>
      <c r="S138" s="4" t="n">
        <v>1</v>
      </c>
      <c r="T138" s="4" t="inlineStr">
        <is>
          <t>https://onlinelibrary.wiley.com/doi/10.1002/jdn.70117</t>
        </is>
      </c>
      <c r="U138" s="4" t="inlineStr">
        <is>
          <t>AutiScan fuses facial-expression, eye-gaze, speech-prosody and behavioral cues using CbRNN-EM and NCIAPPF temporal processing for early ASD identification.</t>
        </is>
      </c>
      <c r="V138" s="4" t="n"/>
      <c r="W138" s="4" t="n"/>
      <c r="X138" s="4" t="inlineStr">
        <is>
          <t>Alta</t>
        </is>
      </c>
      <c r="Y138" s="4" t="inlineStr">
        <is>
          <t>No sustituye la segunda revision humana definida en el protocolo.</t>
        </is>
      </c>
      <c r="Z138" s="4" t="inlineStr">
        <is>
          <t>A Multimodal AI Framework for Early Autism Identification Using CbRNN–Ensemble Modelling and Advanced NCIAPPF-Based Temporal Encoding</t>
        </is>
      </c>
      <c r="AA138" s="4" t="inlineStr">
        <is>
          <t>Include</t>
        </is>
      </c>
      <c r="AB138" s="4" t="inlineStr">
        <is>
          <t>High-priority reporting inconsistency: the article describes experimental multimodal analyses, while the publisher Data Availability Statement says that no datasets were generated or analyzed. Independent source/sample and validation verification is required.</t>
        </is>
      </c>
      <c r="AC138" s="4" t="inlineStr">
        <is>
          <t>Verificacion independiente del revisor humano antes del cierre final</t>
        </is>
      </c>
    </row>
    <row r="139" ht="190" customHeight="1">
      <c r="A139" s="4" t="inlineStr">
        <is>
          <t>Lote_06_22</t>
        </is>
      </c>
      <c r="B139" s="4" t="n">
        <v>239</v>
      </c>
      <c r="C139" s="4" t="n"/>
      <c r="D139" s="4" t="inlineStr">
        <is>
          <t>10.1002/DNEU.23009</t>
        </is>
      </c>
      <c r="E139" s="4" t="inlineStr">
        <is>
          <t>Wiley/PubMed publisher article page with cohort, preprocessing, architecture and performance; internal data-availability inconsistency flagged</t>
        </is>
      </c>
      <c r="F139" s="4" t="inlineStr">
        <is>
          <t>Cerrado: contenido suficiente revisado</t>
        </is>
      </c>
      <c r="G139" s="4" t="n"/>
      <c r="H139" s="4" t="inlineStr">
        <is>
          <t>Physiological signals (EEG)</t>
        </is>
      </c>
      <c r="I139" s="4" t="inlineStr">
        <is>
          <t>Hybrid</t>
        </is>
      </c>
      <c r="J139" s="4" t="inlineStr">
        <is>
          <t>CNN-LSTM with STFT/ICA preprocessing and grid-search optimization</t>
        </is>
      </c>
      <c r="K139" s="4" t="inlineStr">
        <is>
          <t>Diagnosis</t>
        </is>
      </c>
      <c r="L139" s="4" t="inlineStr">
        <is>
          <t>Research only</t>
        </is>
      </c>
      <c r="M139" s="4" t="n">
        <v>0</v>
      </c>
      <c r="N139" s="4" t="n">
        <v>0</v>
      </c>
      <c r="O139" s="4" t="n">
        <v>0</v>
      </c>
      <c r="P139" s="4" t="n">
        <v>0</v>
      </c>
      <c r="Q139" s="4" t="n">
        <v>0</v>
      </c>
      <c r="R139" s="4" t="n">
        <v>0</v>
      </c>
      <c r="S139" s="4" t="n">
        <v>0</v>
      </c>
      <c r="T139" s="4" t="inlineStr">
        <is>
          <t>https://onlinelibrary.wiley.com/doi/10.1002/dneu.23009</t>
        </is>
      </c>
      <c r="U139" s="4" t="inlineStr">
        <is>
          <t>EEG from 60 children (30 ASD/30 TD) is processed with STFT/ICA and classified using CNN-LSTM; the paper reports 87.5% accuracy, while a ResNet baseline reports 89.1%.</t>
        </is>
      </c>
      <c r="V139" s="4" t="n"/>
      <c r="W139" s="4" t="n"/>
      <c r="X139" s="4" t="inlineStr">
        <is>
          <t>Alta</t>
        </is>
      </c>
      <c r="Y139" s="4" t="inlineStr">
        <is>
          <t>No sustituye la segunda revision humana definida en el protocolo.</t>
        </is>
      </c>
      <c r="Z139" s="4" t="inlineStr">
        <is>
          <t>Real-Time Classification for EEG Data in Children With ASD Using Deep Learning Techniques</t>
        </is>
      </c>
      <c r="AA139" s="4" t="inlineStr">
        <is>
          <t>Include</t>
        </is>
      </c>
      <c r="AB139" s="4" t="inlineStr">
        <is>
          <t>High-priority internal inconsistency: the abstract states that a 60-child EEG dataset was analyzed, while the publisher Data Availability Statement says no datasets were generated or analyzed. No external cohort or real-time prospective deployment was established.</t>
        </is>
      </c>
      <c r="AC139" s="4" t="inlineStr">
        <is>
          <t>Verificacion independiente del revisor humano antes del cierre final</t>
        </is>
      </c>
    </row>
    <row r="140" ht="125" customHeight="1">
      <c r="A140" s="4" t="inlineStr">
        <is>
          <t>Lote_06_22</t>
        </is>
      </c>
      <c r="B140" s="4" t="n">
        <v>367</v>
      </c>
      <c r="C140" s="4" t="n"/>
      <c r="D140" s="4" t="inlineStr">
        <is>
          <t>10.1016/j.fraope.2026.100663</t>
        </is>
      </c>
      <c r="E140" s="4" t="inlineStr">
        <is>
          <t>ScienceDirect open article/highlights and accessible methodological description sufficient to assess the eligibility failure</t>
        </is>
      </c>
      <c r="F140" s="4" t="inlineStr">
        <is>
          <t>Cerrado: fuera de alcance empírico</t>
        </is>
      </c>
      <c r="G140" s="4" t="n"/>
      <c r="H140" s="4" t="n"/>
      <c r="I140" s="4" t="n"/>
      <c r="J140" s="4" t="n"/>
      <c r="K140" s="4" t="n"/>
      <c r="L140" s="4" t="n"/>
      <c r="M140" s="4" t="n"/>
      <c r="N140" s="4" t="n"/>
      <c r="O140" s="4" t="n"/>
      <c r="P140" s="4" t="n"/>
      <c r="Q140" s="4" t="n"/>
      <c r="R140" s="4" t="n"/>
      <c r="S140" s="4" t="n"/>
      <c r="T140" s="4" t="inlineStr">
        <is>
          <t>https://www.sciencedirect.com/science/article/pii/S2773186326001787</t>
        </is>
      </c>
      <c r="U140" s="4" t="inlineStr">
        <is>
          <t>Proposes a knowledge-driven two-level neurological/ASD expert system using RBR, CBR, ANN and Bayesian-network components.</t>
        </is>
      </c>
      <c r="V140" s="4" t="n"/>
      <c r="W140" s="4" t="n"/>
      <c r="X140" s="4" t="inlineStr">
        <is>
          <t>Alta</t>
        </is>
      </c>
      <c r="Y140" s="4" t="inlineStr">
        <is>
          <t>No sustituye la segunda revision humana definida en el protocolo.</t>
        </is>
      </c>
      <c r="Z140" s="4" t="inlineStr">
        <is>
          <t>An integrated intelligent model for early diagnosis of autism spectrum disorder</t>
        </is>
      </c>
      <c r="AA140" s="4" t="inlineStr">
        <is>
          <t>Exclude</t>
        </is>
      </c>
      <c r="AB140" s="4" t="inlineStr">
        <is>
          <t>No verifiable human-derived empirical cohort/dataset or clinical evaluation is established in the accessible report; implementation is primarily knowledge/rule driven.</t>
        </is>
      </c>
      <c r="AC140" s="4" t="inlineStr">
        <is>
          <t>Verificacion independiente del revisor humano antes del cierre final</t>
        </is>
      </c>
    </row>
    <row r="141" ht="151" customHeight="1">
      <c r="A141" s="4" t="inlineStr">
        <is>
          <t>Lote_06_22</t>
        </is>
      </c>
      <c r="B141" s="4" t="n">
        <v>400</v>
      </c>
      <c r="C141" s="4" t="n"/>
      <c r="D141" s="4" t="inlineStr">
        <is>
          <t>10.1007/s12035-026-05911-y</t>
        </is>
      </c>
      <c r="E141" s="4" t="inlineStr">
        <is>
          <t>PubMed/publisher detailed abstract with discovery and independent GEO validation datasets plus predictive modeling</t>
        </is>
      </c>
      <c r="F141" s="4" t="inlineStr">
        <is>
          <t>Cerrado: contenido suficiente revisado</t>
        </is>
      </c>
      <c r="G141" s="4" t="n"/>
      <c r="H141" s="4" t="inlineStr">
        <is>
          <t>Biological/omics (postmortem cortical transcriptomics; GEO)</t>
        </is>
      </c>
      <c r="I141" s="4" t="inlineStr">
        <is>
          <t>Machine Learning</t>
        </is>
      </c>
      <c r="J141" s="4" t="inlineStr">
        <is>
          <t>LASSO + Random Forest + SVM-RFE feature selection; ANN/linear predictive model</t>
        </is>
      </c>
      <c r="K141" s="4" t="inlineStr">
        <is>
          <t>Diagnosis</t>
        </is>
      </c>
      <c r="L141" s="4" t="inlineStr">
        <is>
          <t>Research only</t>
        </is>
      </c>
      <c r="M141" s="4" t="n">
        <v>1</v>
      </c>
      <c r="N141" s="4" t="n">
        <v>1</v>
      </c>
      <c r="O141" s="4" t="n">
        <v>0</v>
      </c>
      <c r="P141" s="4" t="n">
        <v>0</v>
      </c>
      <c r="Q141" s="4" t="n">
        <v>0</v>
      </c>
      <c r="R141" s="4" t="n">
        <v>1</v>
      </c>
      <c r="S141" s="4" t="n">
        <v>0</v>
      </c>
      <c r="T141" s="4" t="inlineStr">
        <is>
          <t>https://pubmed.ncbi.nlm.nih.gov/42098401/</t>
        </is>
      </c>
      <c r="U141" s="4" t="inlineStr">
        <is>
          <t>Mitochondrial-gene signatures are selected from GSE28521 using LASSO/RF/SVM-RFE and evaluated in GSE64018; ANN/linear/nomogram models are reported, with separate mouse qPCR support.</t>
        </is>
      </c>
      <c r="V141" s="4" t="n"/>
      <c r="W141" s="4" t="n"/>
      <c r="X141" s="4" t="inlineStr">
        <is>
          <t>Media</t>
        </is>
      </c>
      <c r="Y141" s="4" t="inlineStr">
        <is>
          <t>No sustituye la segunda revision humana definida en el protocolo.</t>
        </is>
      </c>
      <c r="Z141" s="4" t="inlineStr">
        <is>
          <t>Mitochondrial Gene Signature Reveals Novel Diagnostic Biomarkers for Autism Spectrum Disorder</t>
        </is>
      </c>
      <c r="AA141" s="4" t="inlineStr">
        <is>
          <t>Include</t>
        </is>
      </c>
      <c r="AB141" s="4" t="inlineStr">
        <is>
          <t>External validation is dataset-level but remains retrospective transcriptomic validation; postmortem cortex limits direct clinical deployability, and mouse qPCR is not human clinical validation.</t>
        </is>
      </c>
      <c r="AC141" s="4" t="inlineStr">
        <is>
          <t>Verificacion independiente del revisor humano antes del cierre final</t>
        </is>
      </c>
    </row>
    <row r="142" ht="99" customHeight="1">
      <c r="A142" s="4" t="inlineStr">
        <is>
          <t>Lote_06_22</t>
        </is>
      </c>
      <c r="B142" s="4" t="n">
        <v>409</v>
      </c>
      <c r="C142" s="4" t="n"/>
      <c r="D142" s="4" t="inlineStr">
        <is>
          <t>10.1007/978-981-96-6297-5_20</t>
        </is>
      </c>
      <c r="E142" s="4" t="inlineStr">
        <is>
          <t>Official Springer book table of contents and retracted-chapter PDF explicitly label the record RETRACTED CHAPTER</t>
        </is>
      </c>
      <c r="F142" s="4" t="inlineStr">
        <is>
          <t>Cerrado: retractado por editor/publisher</t>
        </is>
      </c>
      <c r="G142" s="4" t="n"/>
      <c r="H142" s="4" t="n"/>
      <c r="I142" s="4" t="n"/>
      <c r="J142" s="4" t="n"/>
      <c r="K142" s="4" t="n"/>
      <c r="L142" s="4" t="n"/>
      <c r="M142" s="4" t="n"/>
      <c r="N142" s="4" t="n"/>
      <c r="O142" s="4" t="n"/>
      <c r="P142" s="4" t="n"/>
      <c r="Q142" s="4" t="n"/>
      <c r="R142" s="4" t="n"/>
      <c r="S142" s="4" t="n"/>
      <c r="T142" s="4" t="inlineStr">
        <is>
          <t>https://link.springer.com/book/10.1007/978-981-96-6297-5?page=2</t>
        </is>
      </c>
      <c r="U142" s="4" t="inlineStr">
        <is>
          <t>The publisher explicitly marks this record as a RETRACTED CHAPTER and states that the editor retracted and removed it.</t>
        </is>
      </c>
      <c r="V142" s="4" t="n"/>
      <c r="W142" s="4" t="n"/>
      <c r="X142" s="4" t="inlineStr">
        <is>
          <t>Alta</t>
        </is>
      </c>
      <c r="Y142" s="4" t="inlineStr">
        <is>
          <t>No sustituye la segunda revision humana definida en el protocolo.</t>
        </is>
      </c>
      <c r="Z142" s="4" t="inlineStr">
        <is>
          <t>Assessing the Efficacy of Deep Learning Algorithms for Behavioral and Neurological Markers in Autism Diagnosis in Children</t>
        </is>
      </c>
      <c r="AA142" s="4" t="inlineStr">
        <is>
          <t>Exclude</t>
        </is>
      </c>
      <c r="AB142" s="4" t="inlineStr">
        <is>
          <t>Integrity failure supersedes otherwise potentially eligible empirical content; findings must not contribute to the evidence corpus.</t>
        </is>
      </c>
      <c r="AC142" s="4" t="inlineStr">
        <is>
          <t>Verificacion independiente del revisor humano antes del cierre final</t>
        </is>
      </c>
    </row>
    <row r="143" ht="138" customHeight="1">
      <c r="A143" s="4" t="inlineStr">
        <is>
          <t>Lote_06_22</t>
        </is>
      </c>
      <c r="B143" s="4" t="n">
        <v>411</v>
      </c>
      <c r="C143" s="4" t="n"/>
      <c r="D143" s="4" t="inlineStr">
        <is>
          <t>10.1080/17501911.2025.2557186</t>
        </is>
      </c>
      <c r="E143" s="4" t="inlineStr">
        <is>
          <t>PubMed/publisher detailed abstract with GSE113967 sample size, SVM-RFECV and classifier comparisons</t>
        </is>
      </c>
      <c r="F143" s="4" t="inlineStr">
        <is>
          <t>Cerrado: contenido suficiente revisado</t>
        </is>
      </c>
      <c r="G143" s="4" t="n"/>
      <c r="H143" s="4" t="inlineStr">
        <is>
          <t>Biological/omics (whole-blood genome-wide DNA methylation)</t>
        </is>
      </c>
      <c r="I143" s="4" t="inlineStr">
        <is>
          <t>Machine Learning</t>
        </is>
      </c>
      <c r="J143" s="4" t="inlineStr">
        <is>
          <t>Random Forest / XGBoost after SVM-RFECV feature selection</t>
        </is>
      </c>
      <c r="K143" s="4" t="inlineStr">
        <is>
          <t>Diagnosis</t>
        </is>
      </c>
      <c r="L143" s="4" t="inlineStr">
        <is>
          <t>Research only</t>
        </is>
      </c>
      <c r="M143" s="4" t="n">
        <v>0</v>
      </c>
      <c r="N143" s="4" t="n">
        <v>0</v>
      </c>
      <c r="O143" s="4" t="n">
        <v>0</v>
      </c>
      <c r="P143" s="4" t="n">
        <v>0</v>
      </c>
      <c r="Q143" s="4" t="n">
        <v>0</v>
      </c>
      <c r="R143" s="4" t="n">
        <v>1</v>
      </c>
      <c r="S143" s="4" t="n">
        <v>0</v>
      </c>
      <c r="T143" s="4" t="inlineStr">
        <is>
          <t>https://pubmed.ncbi.nlm.nih.gov/40923924/</t>
        </is>
      </c>
      <c r="U143" s="4" t="inlineStr">
        <is>
          <t>Whole-blood DNA methylation data (52 ASD, 48 TD) are reduced using SVM-RFECV and classified with RF/XGBoost/DT; RF and XGBoost are reported as best-performing.</t>
        </is>
      </c>
      <c r="V143" s="4" t="n"/>
      <c r="W143" s="4" t="n"/>
      <c r="X143" s="4" t="inlineStr">
        <is>
          <t>Media</t>
        </is>
      </c>
      <c r="Y143" s="4" t="inlineStr">
        <is>
          <t>No sustituye la segunda revision humana definida en el protocolo.</t>
        </is>
      </c>
      <c r="Z143" s="4" t="inlineStr">
        <is>
          <t>Blood-based DNA methylation markers for autism spectrum disorder identification using machine learning</t>
        </is>
      </c>
      <c r="AA143" s="4" t="inlineStr">
        <is>
          <t>Include</t>
        </is>
      </c>
      <c r="AB143" s="4" t="inlineStr">
        <is>
          <t>Small single public dataset with no independent external cohort; feature selection and model evaluation on the same source can inflate biomarker optimism without external replication.</t>
        </is>
      </c>
      <c r="AC143" s="4" t="inlineStr">
        <is>
          <t>Verificacion independiente del revisor humano antes del cierre final</t>
        </is>
      </c>
    </row>
    <row r="144" ht="177" customHeight="1">
      <c r="A144" s="4" t="inlineStr">
        <is>
          <t>Lote_06_22</t>
        </is>
      </c>
      <c r="B144" s="4" t="n">
        <v>412</v>
      </c>
      <c r="C144" s="4" t="n"/>
      <c r="D144" s="4" t="inlineStr">
        <is>
          <t>10.1007/S42979-026-04806-Y</t>
        </is>
      </c>
      <c r="E144" s="4" t="inlineStr">
        <is>
          <t>Springer detailed abstract/metadata describes federated Transformer, ABIDE/SPARK data and distributed clinical-location setting</t>
        </is>
      </c>
      <c r="F144" s="4" t="inlineStr">
        <is>
          <t>Cerrado: contenido suficiente revisado</t>
        </is>
      </c>
      <c r="G144" s="4" t="n"/>
      <c r="H144" s="4" t="inlineStr">
        <is>
          <t>Multi-dataset ASD data (ABIDE-derived neuroimaging features + SPARK behavioral assessment)</t>
        </is>
      </c>
      <c r="I144" s="4" t="inlineStr">
        <is>
          <t>Deep Learning</t>
        </is>
      </c>
      <c r="J144" s="4" t="inlineStr">
        <is>
          <t>Federated Transformer encoder with secure aggregation / federated weighted averaging</t>
        </is>
      </c>
      <c r="K144" s="4" t="inlineStr">
        <is>
          <t>Diagnosis</t>
        </is>
      </c>
      <c r="L144" s="4" t="inlineStr">
        <is>
          <t>Proposed only</t>
        </is>
      </c>
      <c r="M144" s="4" t="n">
        <v>0</v>
      </c>
      <c r="N144" s="4" t="n">
        <v>1</v>
      </c>
      <c r="O144" s="4" t="n">
        <v>0</v>
      </c>
      <c r="P144" s="4" t="n">
        <v>0</v>
      </c>
      <c r="Q144" s="4" t="n">
        <v>0</v>
      </c>
      <c r="R144" s="4" t="n">
        <v>0</v>
      </c>
      <c r="S144" s="4" t="n">
        <v>1</v>
      </c>
      <c r="T144" s="4" t="inlineStr">
        <is>
          <t>https://doi.org/10.1007/S42979-026-04806-Y</t>
        </is>
      </c>
      <c r="U144" s="4" t="inlineStr">
        <is>
          <t>A federated Transformer framework is evaluated on ABIDE- and SPARK-derived data with secure aggregation and model compression, reporting very high classification accuracy.</t>
        </is>
      </c>
      <c r="V144" s="4" t="n"/>
      <c r="W144" s="4" t="n"/>
      <c r="X144" s="4" t="inlineStr">
        <is>
          <t>Media</t>
        </is>
      </c>
      <c r="Y144" s="4" t="inlineStr">
        <is>
          <t>No sustituye la segunda revision humana definida en el protocolo.</t>
        </is>
      </c>
      <c r="Z144" s="4" t="inlineStr">
        <is>
          <t>Federated Transformer-Based Deep Learning Framework for Secure and Early Autism Diagnosis</t>
        </is>
      </c>
      <c r="AA144" s="4" t="inlineStr">
        <is>
          <t>Include</t>
        </is>
      </c>
      <c r="AB144" s="4" t="inlineStr">
        <is>
          <t>Federated/multisite training is not equivalent to a held-out-site robustness test. The accessible evidence does not establish independent external or prospective clinical validation, and near-ceiling accuracy requires leakage/partition checks.</t>
        </is>
      </c>
      <c r="AC144" s="4" t="inlineStr">
        <is>
          <t>Verificacion independiente del revisor humano antes del cierre final</t>
        </is>
      </c>
    </row>
    <row r="145" ht="216" customHeight="1">
      <c r="A145" s="4" t="inlineStr">
        <is>
          <t>Lote_06_22</t>
        </is>
      </c>
      <c r="B145" s="4" t="n">
        <v>415</v>
      </c>
      <c r="C145" s="4" t="n"/>
      <c r="D145" s="4" t="inlineStr">
        <is>
          <t>10.1007/S00521-025-11553-3</t>
        </is>
      </c>
      <c r="E145" s="4" t="inlineStr">
        <is>
          <t>Springer article page with ASA architecture/performance and data-availability links; sufficient to include but source lineage is ambiguous</t>
        </is>
      </c>
      <c r="F145" s="4" t="inlineStr">
        <is>
          <t>Cerrado: contenido suficiente revisado</t>
        </is>
      </c>
      <c r="G145" s="4" t="n"/>
      <c r="H145" s="4" t="inlineStr">
        <is>
          <t>Mixed ASD benchmark data (blood-biomarker source + structured screening datasets; exact primary dataset requires verification)</t>
        </is>
      </c>
      <c r="I145" s="4" t="inlineStr">
        <is>
          <t>Deep Learning</t>
        </is>
      </c>
      <c r="J145" s="4" t="inlineStr">
        <is>
          <t>ASA: Improved Genetic Algorithm feature selection + Optimized Deep Neural Network (ODNN)</t>
        </is>
      </c>
      <c r="K145" s="4" t="inlineStr">
        <is>
          <t>Screening</t>
        </is>
      </c>
      <c r="L145" s="4" t="inlineStr">
        <is>
          <t>Proposed only</t>
        </is>
      </c>
      <c r="M145" s="4" t="n">
        <v>0</v>
      </c>
      <c r="N145" s="4" t="n">
        <v>1</v>
      </c>
      <c r="O145" s="4" t="n">
        <v>0</v>
      </c>
      <c r="P145" s="4" t="n">
        <v>0</v>
      </c>
      <c r="Q145" s="4" t="n">
        <v>0</v>
      </c>
      <c r="R145" s="4" t="n">
        <v>1</v>
      </c>
      <c r="S145" s="4" t="n">
        <v>0</v>
      </c>
      <c r="T145" s="4" t="inlineStr">
        <is>
          <t>https://link.springer.com/article/10.1007/s00521-025-11553-3</t>
        </is>
      </c>
      <c r="U145" s="4" t="inlineStr">
        <is>
          <t>The ASA framework combines information-gain/Genetic-Algorithm feature selection with an optimized DNN and reports approximately 99% accuracy.</t>
        </is>
      </c>
      <c r="V145" s="4" t="n"/>
      <c r="W145" s="4" t="n"/>
      <c r="X145" s="4" t="inlineStr">
        <is>
          <t>Alta</t>
        </is>
      </c>
      <c r="Y145" s="4" t="inlineStr">
        <is>
          <t>No sustituye la segunda revision humana definida en el protocolo.</t>
        </is>
      </c>
      <c r="Z145" s="4" t="inlineStr">
        <is>
          <t>Artificial intelligence-based diagnostic model for autism spectrum disorder using blood biomarkers</t>
        </is>
      </c>
      <c r="AA145" s="4" t="inlineStr">
        <is>
          <t>Include</t>
        </is>
      </c>
      <c r="AB145" s="4" t="inlineStr">
        <is>
          <t>High-priority source-lineage ambiguity: the title emphasizes blood biomarkers, whereas the article data-availability section lists a blood-biomarker source alongside UCI/Kaggle ASD screening datasets. Exact primary/fused dataset use should be verified from the methods before final RQ3 coding.</t>
        </is>
      </c>
      <c r="AC145" s="4" t="inlineStr">
        <is>
          <t>Verificacion independiente del revisor humano antes del cierre final</t>
        </is>
      </c>
    </row>
    <row r="146" ht="151" customHeight="1">
      <c r="A146" s="4" t="inlineStr">
        <is>
          <t>Lote_06_22</t>
        </is>
      </c>
      <c r="B146" s="4" t="n">
        <v>416</v>
      </c>
      <c r="C146" s="4" t="n"/>
      <c r="D146" s="4" t="inlineStr">
        <is>
          <t>10.1007/S42452-026-08352-3</t>
        </is>
      </c>
      <c r="E146" s="4" t="inlineStr">
        <is>
          <t>Open Springer full article with harmonized public datasets, BiLSTM-CGBO, SHAP and stated limitations</t>
        </is>
      </c>
      <c r="F146" s="4" t="inlineStr">
        <is>
          <t>Cerrado: contenido suficiente revisado</t>
        </is>
      </c>
      <c r="G146" s="4" t="n"/>
      <c r="H146" s="4" t="inlineStr">
        <is>
          <t>Structured behavioral/questionnaire ASD screening data (Kaggle/UCI)</t>
        </is>
      </c>
      <c r="I146" s="4" t="inlineStr">
        <is>
          <t>Deep Learning</t>
        </is>
      </c>
      <c r="J146" s="4" t="inlineStr">
        <is>
          <t>BiLSTM-CGBO</t>
        </is>
      </c>
      <c r="K146" s="4" t="inlineStr">
        <is>
          <t>Screening</t>
        </is>
      </c>
      <c r="L146" s="4" t="inlineStr">
        <is>
          <t>Proposed only</t>
        </is>
      </c>
      <c r="M146" s="4" t="n">
        <v>0</v>
      </c>
      <c r="N146" s="4" t="n">
        <v>1</v>
      </c>
      <c r="O146" s="4" t="n">
        <v>0</v>
      </c>
      <c r="P146" s="4" t="n">
        <v>0</v>
      </c>
      <c r="Q146" s="4" t="n">
        <v>1</v>
      </c>
      <c r="R146" s="4" t="n">
        <v>0</v>
      </c>
      <c r="S146" s="4" t="n">
        <v>0</v>
      </c>
      <c r="T146" s="4" t="inlineStr">
        <is>
          <t>https://doi.org/10.1007/S42452-026-08352-3</t>
        </is>
      </c>
      <c r="U146" s="4" t="inlineStr">
        <is>
          <t>BiLSTM-CGBO is trained on harmonized Kaggle/UCI behavioral screening data and uses SHAP for feature-level explanations of screening/severity outputs.</t>
        </is>
      </c>
      <c r="V146" s="4" t="n"/>
      <c r="W146" s="4" t="n"/>
      <c r="X146" s="4" t="inlineStr">
        <is>
          <t>Media</t>
        </is>
      </c>
      <c r="Y146" s="4" t="inlineStr">
        <is>
          <t>No sustituye la segunda revision humana definida en el protocolo.</t>
        </is>
      </c>
      <c r="Z146" s="4" t="inlineStr">
        <is>
          <t>An explainable deep learning framework for screening level autism severity using behavioural data</t>
        </is>
      </c>
      <c r="AA146" s="4" t="inlineStr">
        <is>
          <t>Include</t>
        </is>
      </c>
      <c r="AB146" s="4" t="inlineStr">
        <is>
          <t>The severity target is closely tied to deterministic behavioral scoring and is not an independently clinician-annotated diagnostic endpoint; no independent external clinical cohort is provided.</t>
        </is>
      </c>
      <c r="AC146" s="4" t="inlineStr">
        <is>
          <t>Verificacion independiente del revisor humano antes del cierre final</t>
        </is>
      </c>
    </row>
    <row r="147" ht="164" customHeight="1">
      <c r="A147" s="4" t="inlineStr">
        <is>
          <t>Lote_06_22</t>
        </is>
      </c>
      <c r="B147" s="4" t="n">
        <v>421</v>
      </c>
      <c r="C147" s="4" t="n"/>
      <c r="D147" s="4" t="inlineStr">
        <is>
          <t>10.1109/TMRB.2026.3680976</t>
        </is>
      </c>
      <c r="E147" s="4" t="inlineStr">
        <is>
          <t>IEEE/author research abstract with CARAT system, participant groups, edge deployment and recognition results</t>
        </is>
      </c>
      <c r="F147" s="4" t="inlineStr">
        <is>
          <t>Cerrado: contenido suficiente revisado</t>
        </is>
      </c>
      <c r="G147" s="4" t="n"/>
      <c r="H147" s="4" t="inlineStr">
        <is>
          <t>Behavioral video / skeletal hand-gesture landmarks (robot-assisted HRI)</t>
        </is>
      </c>
      <c r="I147" s="4" t="inlineStr">
        <is>
          <t>Deep Learning</t>
        </is>
      </c>
      <c r="J147" s="4" t="inlineStr">
        <is>
          <t>Hybrid keyframe selection + 1D CNN + contrastive learning on CARAT edge robot</t>
        </is>
      </c>
      <c r="K147" s="4" t="inlineStr">
        <is>
          <t>Monitoring/intervention</t>
        </is>
      </c>
      <c r="L147" s="4" t="inlineStr">
        <is>
          <t>Proposed only</t>
        </is>
      </c>
      <c r="M147" s="4" t="n">
        <v>0</v>
      </c>
      <c r="N147" s="4" t="n">
        <v>0</v>
      </c>
      <c r="O147" s="4" t="n">
        <v>0</v>
      </c>
      <c r="P147" s="4" t="n">
        <v>1</v>
      </c>
      <c r="Q147" s="4" t="n">
        <v>0</v>
      </c>
      <c r="R147" s="4" t="n">
        <v>0</v>
      </c>
      <c r="S147" s="4" t="n">
        <v>0</v>
      </c>
      <c r="T147" s="4" t="inlineStr">
        <is>
          <t>https://doi.org/10.1109/TMRB.2026.3680976</t>
        </is>
      </c>
      <c r="U147" s="4" t="inlineStr">
        <is>
          <t>CARAT uses MediaPipe landmarks, hybrid keyframe selection, 1D convolution and contrastive learning for real-time gesture recognition/correction; data were collected with healthy and autistic children and ASD recognition accuracy is reported at 96.42%.</t>
        </is>
      </c>
      <c r="V147" s="4" t="n"/>
      <c r="W147" s="4" t="n"/>
      <c r="X147" s="4" t="inlineStr">
        <is>
          <t>Media</t>
        </is>
      </c>
      <c r="Y147" s="4" t="inlineStr">
        <is>
          <t>No sustituye la segunda revision humana definida en el protocolo.</t>
        </is>
      </c>
      <c r="Z147" s="4" t="inlineStr">
        <is>
          <t>Edge-Based Robot-Assisted Hand Gesture Recognition for Autism Intervention Using Hybrid Keyframe Selection and Contrastive Learning</t>
        </is>
      </c>
      <c r="AA147" s="4" t="inlineStr">
        <is>
          <t>Include</t>
        </is>
      </c>
      <c r="AB147" s="4" t="inlineStr">
        <is>
          <t>The study validates gesture-recognition performance, not therapeutic efficacy or durable social-skill improvement. Therefore the system is intervention-oriented but not coded as confirmed clinical intervention effectiveness.</t>
        </is>
      </c>
      <c r="AC147" s="4" t="inlineStr">
        <is>
          <t>Verificacion independiente del revisor humano antes del cierre final</t>
        </is>
      </c>
    </row>
    <row r="148" ht="151" customHeight="1">
      <c r="A148" s="4" t="inlineStr">
        <is>
          <t>Lote_06_22</t>
        </is>
      </c>
      <c r="B148" s="4" t="n">
        <v>423</v>
      </c>
      <c r="C148" s="4" t="n"/>
      <c r="D148" s="4" t="inlineStr">
        <is>
          <t>10.1109/ACCESS.2026.3674057</t>
        </is>
      </c>
      <c r="E148" s="4" t="inlineStr">
        <is>
          <t>Open IEEE Access full-text/accepted manuscript with system architecture, ASD participant testing and real-world monitoring phases</t>
        </is>
      </c>
      <c r="F148" s="4" t="inlineStr">
        <is>
          <t>Cerrado: contenido suficiente revisado</t>
        </is>
      </c>
      <c r="G148" s="4" t="n"/>
      <c r="H148" s="4" t="inlineStr">
        <is>
          <t>Multimodal wearable data (smartwatch audio/voice + heart-rate physiology)</t>
        </is>
      </c>
      <c r="I148" s="4" t="inlineStr">
        <is>
          <t>Deep Learning</t>
        </is>
      </c>
      <c r="J148" s="4" t="inlineStr">
        <is>
          <t>Enhanced pyannote-audio speaker diarization with physiologic alignment/cloud pipeline</t>
        </is>
      </c>
      <c r="K148" s="4" t="inlineStr">
        <is>
          <t>Monitoring/intervention</t>
        </is>
      </c>
      <c r="L148" s="4" t="inlineStr">
        <is>
          <t>Confirmed in workflow</t>
        </is>
      </c>
      <c r="M148" s="4" t="n">
        <v>0</v>
      </c>
      <c r="N148" s="4" t="n">
        <v>0</v>
      </c>
      <c r="O148" s="4" t="n">
        <v>0</v>
      </c>
      <c r="P148" s="4" t="n">
        <v>1</v>
      </c>
      <c r="Q148" s="4" t="n">
        <v>0</v>
      </c>
      <c r="R148" s="4" t="n">
        <v>0</v>
      </c>
      <c r="S148" s="4" t="n">
        <v>1</v>
      </c>
      <c r="T148" s="4" t="inlineStr">
        <is>
          <t>https://doi.org/10.1109/ACCESS.2026.3674057</t>
        </is>
      </c>
      <c r="U148" s="4" t="inlineStr">
        <is>
          <t>A smartwatch/cloud system combines deep-learning speaker diarization with heart-rate data; it was tested with formally diagnosed ASD participants and in naturalistic social-interaction recordings, supporting an actual monitoring workflow.</t>
        </is>
      </c>
      <c r="V148" s="4" t="n"/>
      <c r="W148" s="4" t="n"/>
      <c r="X148" s="4" t="inlineStr">
        <is>
          <t>Media</t>
        </is>
      </c>
      <c r="Y148" s="4" t="inlineStr">
        <is>
          <t>No sustituye la segunda revision humana definida en el protocolo.</t>
        </is>
      </c>
      <c r="Z148" s="4" t="inlineStr">
        <is>
          <t>Toward a Smartwatch-Based System for Automated Social Interaction Monitoring in Autism</t>
        </is>
      </c>
      <c r="AA148" s="4" t="inlineStr">
        <is>
          <t>Include</t>
        </is>
      </c>
      <c r="AB148" s="4" t="inlineStr">
        <is>
          <t>Sample sizes are small and staged, and the work evaluates measurement/diarization rather than downstream clinical outcomes. Generalization across acoustic contexts, ages, devices and sites remains unproven.</t>
        </is>
      </c>
      <c r="AC148" s="4" t="inlineStr">
        <is>
          <t>Verificacion independiente del revisor humano antes del cierre final</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O246"/>
  <sheetViews>
    <sheetView showGridLines="0" workbookViewId="0">
      <selection activeCell="A1" sqref="A1"/>
    </sheetView>
  </sheetViews>
  <sheetFormatPr baseColWidth="8" defaultRowHeight="15"/>
  <cols>
    <col width="14"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65" customWidth="1" min="15" max="15"/>
  </cols>
  <sheetData>
    <row r="1" ht="52" customHeight="1">
      <c r="A1" s="6" t="inlineStr">
        <is>
          <t>study_id</t>
        </is>
      </c>
      <c r="B1" s="6" t="inlineStr">
        <is>
          <t>assigned_to</t>
        </is>
      </c>
      <c r="C1" s="6" t="inlineStr">
        <is>
          <t>year</t>
        </is>
      </c>
      <c r="D1" s="6" t="inlineStr">
        <is>
          <t>stage_primary</t>
        </is>
      </c>
      <c r="E1" s="6" t="inlineStr">
        <is>
          <t>modalidad</t>
        </is>
      </c>
      <c r="F1" s="6" t="inlineStr">
        <is>
          <t>q2_original_consolidado</t>
        </is>
      </c>
      <c r="G1" s="6" t="inlineStr">
        <is>
          <t>q2_strict_graph_ready</t>
        </is>
      </c>
      <c r="H1" s="6" t="inlineStr">
        <is>
          <t>change_vs_original</t>
        </is>
      </c>
      <c r="I1" s="6" t="inlineStr">
        <is>
          <t>q2_candidate_terms</t>
        </is>
      </c>
      <c r="J1" s="6" t="inlineStr">
        <is>
          <t>audit_sheet</t>
        </is>
      </c>
      <c r="K1" s="6" t="inlineStr">
        <is>
          <t>audit_original_value</t>
        </is>
      </c>
      <c r="L1" s="6" t="inlineStr">
        <is>
          <t>audit_previous_eval</t>
        </is>
      </c>
      <c r="M1" s="6" t="inlineStr">
        <is>
          <t>strict_confidence</t>
        </is>
      </c>
      <c r="N1" s="6" t="inlineStr">
        <is>
          <t>review_flag</t>
        </is>
      </c>
      <c r="O1" s="6" t="inlineStr">
        <is>
          <t>basis</t>
        </is>
      </c>
    </row>
    <row r="2" ht="30" customHeight="1">
      <c r="A2" s="4" t="n">
        <v>2</v>
      </c>
      <c r="B2" s="4" t="inlineStr">
        <is>
          <t>Revisor A</t>
        </is>
      </c>
      <c r="C2" s="4" t="n">
        <v>2015</v>
      </c>
      <c r="D2" s="4" t="inlineStr">
        <is>
          <t>Screening</t>
        </is>
      </c>
      <c r="E2" s="4" t="inlineStr">
        <is>
          <t>No especificado</t>
        </is>
      </c>
      <c r="F2" s="4" t="n"/>
      <c r="G2" s="4" t="n">
        <v>1</v>
      </c>
      <c r="H2" s="4" t="inlineStr">
        <is>
          <t>blank-&gt;1</t>
        </is>
      </c>
      <c r="I2" s="4" t="n"/>
      <c r="J2" s="4" t="inlineStr">
        <is>
          <t>RQ2_Missing_167</t>
        </is>
      </c>
      <c r="K2" s="4" t="n"/>
      <c r="L2" s="4" t="n">
        <v>1</v>
      </c>
      <c r="M2" s="4" t="inlineStr">
        <is>
          <t>High</t>
        </is>
      </c>
      <c r="N2" s="4" t="n"/>
      <c r="O2" s="4" t="n"/>
    </row>
    <row r="3" ht="34" customHeight="1">
      <c r="A3" s="4" t="n">
        <v>3</v>
      </c>
      <c r="B3" s="4" t="inlineStr">
        <is>
          <t>Revisor A</t>
        </is>
      </c>
      <c r="C3" s="4" t="n">
        <v>2023</v>
      </c>
      <c r="D3" s="4" t="inlineStr">
        <is>
          <t>Diagnosis</t>
        </is>
      </c>
      <c r="E3" s="4" t="inlineStr">
        <is>
          <t>No especificado</t>
        </is>
      </c>
      <c r="F3" s="4" t="n"/>
      <c r="G3" s="4" t="n">
        <v>1</v>
      </c>
      <c r="H3" s="4" t="inlineStr">
        <is>
          <t>blank-&gt;1</t>
        </is>
      </c>
      <c r="I3" s="4" t="n"/>
      <c r="J3" s="4" t="inlineStr">
        <is>
          <t>RQ2_Missing_167</t>
        </is>
      </c>
      <c r="K3" s="4" t="n"/>
      <c r="L3" s="4" t="n">
        <v>1</v>
      </c>
      <c r="M3" s="4" t="inlineStr">
        <is>
          <t>High</t>
        </is>
      </c>
      <c r="N3" s="4" t="inlineStr">
        <is>
          <t>biomarker-or-biological-marker</t>
        </is>
      </c>
      <c r="O3" s="4" t="n"/>
    </row>
    <row r="4" ht="47" customHeight="1">
      <c r="A4" s="4" t="n">
        <v>5</v>
      </c>
      <c r="B4" s="4" t="inlineStr">
        <is>
          <t>Revisor A</t>
        </is>
      </c>
      <c r="C4" s="4" t="n">
        <v>2014</v>
      </c>
      <c r="D4" s="4" t="inlineStr">
        <is>
          <t>Diagnosis</t>
        </is>
      </c>
      <c r="E4" s="4" t="inlineStr">
        <is>
          <t>No especificado</t>
        </is>
      </c>
      <c r="F4" s="4" t="n"/>
      <c r="G4" s="4" t="n">
        <v>1</v>
      </c>
      <c r="H4" s="4" t="inlineStr">
        <is>
          <t>blank-&gt;1</t>
        </is>
      </c>
      <c r="I4" s="4" t="n"/>
      <c r="J4" s="4" t="inlineStr">
        <is>
          <t>RQ2_Missing_167</t>
        </is>
      </c>
      <c r="K4" s="4" t="n"/>
      <c r="L4" s="4" t="n">
        <v>1</v>
      </c>
      <c r="M4" s="4" t="inlineStr">
        <is>
          <t>High</t>
        </is>
      </c>
      <c r="N4" s="4" t="inlineStr">
        <is>
          <t>biomarker-or-biological-marker; subtyping/phenotyping</t>
        </is>
      </c>
      <c r="O4" s="4" t="n"/>
    </row>
    <row r="5" ht="34" customHeight="1">
      <c r="A5" s="4" t="n">
        <v>6</v>
      </c>
      <c r="B5" s="4" t="inlineStr">
        <is>
          <t>Revisor B</t>
        </is>
      </c>
      <c r="C5" s="4" t="n">
        <v>2017</v>
      </c>
      <c r="D5" s="4" t="inlineStr">
        <is>
          <t>Screening</t>
        </is>
      </c>
      <c r="E5" s="4" t="inlineStr">
        <is>
          <t>Imagen</t>
        </is>
      </c>
      <c r="F5" s="4" t="n">
        <v>0</v>
      </c>
      <c r="G5" s="4" t="n">
        <v>1</v>
      </c>
      <c r="H5" s="4" t="inlineStr">
        <is>
          <t>0-&gt;1</t>
        </is>
      </c>
      <c r="I5" s="4" t="n">
        <v>0</v>
      </c>
      <c r="J5" s="4" t="inlineStr">
        <is>
          <t>RQ2_Negative_78</t>
        </is>
      </c>
      <c r="K5" s="4" t="n">
        <v>0</v>
      </c>
      <c r="L5" s="4" t="n">
        <v>1</v>
      </c>
      <c r="M5" s="4" t="inlineStr">
        <is>
          <t>High</t>
        </is>
      </c>
      <c r="N5" s="4" t="inlineStr">
        <is>
          <t>biomarker-or-biological-marker</t>
        </is>
      </c>
      <c r="O5" s="4" t="n"/>
    </row>
    <row r="6" ht="34" customHeight="1">
      <c r="A6" s="4" t="n">
        <v>7</v>
      </c>
      <c r="B6" s="4" t="inlineStr">
        <is>
          <t>Revisor A</t>
        </is>
      </c>
      <c r="C6" s="4" t="n">
        <v>2025</v>
      </c>
      <c r="D6" s="4" t="inlineStr">
        <is>
          <t>Prescreening</t>
        </is>
      </c>
      <c r="E6" s="4" t="inlineStr">
        <is>
          <t>No especificado</t>
        </is>
      </c>
      <c r="F6" s="4" t="n"/>
      <c r="G6" s="4" t="n">
        <v>1</v>
      </c>
      <c r="H6" s="4" t="inlineStr">
        <is>
          <t>blank-&gt;1</t>
        </is>
      </c>
      <c r="I6" s="4" t="n"/>
      <c r="J6" s="4" t="inlineStr">
        <is>
          <t>RQ2_Missing_167</t>
        </is>
      </c>
      <c r="K6" s="4" t="n"/>
      <c r="L6" s="4" t="n">
        <v>1</v>
      </c>
      <c r="M6" s="4" t="inlineStr">
        <is>
          <t>High</t>
        </is>
      </c>
      <c r="N6" s="4" t="inlineStr">
        <is>
          <t>biomarker-or-biological-marker</t>
        </is>
      </c>
      <c r="O6" s="4" t="n"/>
    </row>
    <row r="7" ht="30" customHeight="1">
      <c r="A7" s="4" t="n">
        <v>8</v>
      </c>
      <c r="B7" s="4" t="inlineStr">
        <is>
          <t>Revisor B</t>
        </is>
      </c>
      <c r="C7" s="4" t="n">
        <v>2024</v>
      </c>
      <c r="D7" s="4" t="inlineStr">
        <is>
          <t>diagnosis</t>
        </is>
      </c>
      <c r="E7" s="4" t="inlineStr">
        <is>
          <t>Imagen</t>
        </is>
      </c>
      <c r="F7" s="4" t="n">
        <v>0</v>
      </c>
      <c r="G7" s="4" t="n">
        <v>1</v>
      </c>
      <c r="H7" s="4" t="inlineStr">
        <is>
          <t>0-&gt;1</t>
        </is>
      </c>
      <c r="I7" s="4" t="n">
        <v>0</v>
      </c>
      <c r="J7" s="4" t="inlineStr">
        <is>
          <t>RQ2_Negative_78</t>
        </is>
      </c>
      <c r="K7" s="4" t="n">
        <v>0</v>
      </c>
      <c r="L7" s="4" t="n">
        <v>1</v>
      </c>
      <c r="M7" s="4" t="inlineStr">
        <is>
          <t>High</t>
        </is>
      </c>
      <c r="N7" s="4" t="n"/>
      <c r="O7" s="4" t="n"/>
    </row>
    <row r="8" ht="30" customHeight="1">
      <c r="A8" s="4" t="n">
        <v>9</v>
      </c>
      <c r="B8" s="4" t="inlineStr">
        <is>
          <t>Revisor B</t>
        </is>
      </c>
      <c r="C8" s="4" t="n">
        <v>2019</v>
      </c>
      <c r="D8" s="4" t="inlineStr">
        <is>
          <t>diagnosis</t>
        </is>
      </c>
      <c r="E8" s="4" t="inlineStr">
        <is>
          <t>Audio · Voz</t>
        </is>
      </c>
      <c r="F8" s="4" t="n">
        <v>0</v>
      </c>
      <c r="G8" s="4" t="n">
        <v>1</v>
      </c>
      <c r="H8" s="4" t="inlineStr">
        <is>
          <t>0-&gt;1</t>
        </is>
      </c>
      <c r="I8" s="4" t="n">
        <v>0</v>
      </c>
      <c r="J8" s="4" t="inlineStr">
        <is>
          <t>RQ2_Negative_78</t>
        </is>
      </c>
      <c r="K8" s="4" t="n">
        <v>0</v>
      </c>
      <c r="L8" s="4" t="n">
        <v>1</v>
      </c>
      <c r="M8" s="4" t="inlineStr">
        <is>
          <t>High</t>
        </is>
      </c>
      <c r="N8" s="4" t="n"/>
      <c r="O8" s="4" t="n"/>
    </row>
    <row r="9" ht="34" customHeight="1">
      <c r="A9" s="4" t="n">
        <v>13</v>
      </c>
      <c r="B9" s="4" t="inlineStr">
        <is>
          <t>Revisor A</t>
        </is>
      </c>
      <c r="C9" s="4" t="n">
        <v>2023</v>
      </c>
      <c r="D9" s="4" t="inlineStr">
        <is>
          <t>Screening</t>
        </is>
      </c>
      <c r="E9" s="4" t="inlineStr">
        <is>
          <t>No especificado</t>
        </is>
      </c>
      <c r="F9" s="4" t="n"/>
      <c r="G9" s="4" t="n">
        <v>1</v>
      </c>
      <c r="H9" s="4" t="inlineStr">
        <is>
          <t>blank-&gt;1</t>
        </is>
      </c>
      <c r="I9" s="4" t="n"/>
      <c r="J9" s="4" t="inlineStr">
        <is>
          <t>RQ2_Missing_167</t>
        </is>
      </c>
      <c r="K9" s="4" t="n"/>
      <c r="L9" s="4" t="n">
        <v>1</v>
      </c>
      <c r="M9" s="4" t="inlineStr">
        <is>
          <t>High</t>
        </is>
      </c>
      <c r="N9" s="4" t="inlineStr">
        <is>
          <t>biomarker-or-biological-marker</t>
        </is>
      </c>
      <c r="O9" s="4" t="n"/>
    </row>
    <row r="10" ht="30" customHeight="1">
      <c r="A10" s="4" t="n">
        <v>14</v>
      </c>
      <c r="B10" s="4" t="inlineStr">
        <is>
          <t>Revisor A</t>
        </is>
      </c>
      <c r="C10" s="4" t="n">
        <v>2017</v>
      </c>
      <c r="D10" s="4" t="inlineStr">
        <is>
          <t>Prognosis</t>
        </is>
      </c>
      <c r="E10" s="4" t="inlineStr">
        <is>
          <t>Texto · NLP</t>
        </is>
      </c>
      <c r="F10" s="4" t="n"/>
      <c r="G10" s="4" t="n">
        <v>1</v>
      </c>
      <c r="H10" s="4" t="inlineStr">
        <is>
          <t>blank-&gt;1</t>
        </is>
      </c>
      <c r="I10" s="4" t="n"/>
      <c r="J10" s="4" t="inlineStr">
        <is>
          <t>RQ2_Missing_167</t>
        </is>
      </c>
      <c r="K10" s="4" t="n"/>
      <c r="L10" s="4" t="n">
        <v>1</v>
      </c>
      <c r="M10" s="4" t="inlineStr">
        <is>
          <t>High</t>
        </is>
      </c>
      <c r="N10" s="4" t="n"/>
      <c r="O10" s="4" t="n"/>
    </row>
    <row r="11" ht="34" customHeight="1">
      <c r="A11" s="4" t="n">
        <v>15</v>
      </c>
      <c r="B11" s="4" t="inlineStr">
        <is>
          <t>Revisor B</t>
        </is>
      </c>
      <c r="C11" s="4" t="n">
        <v>2025</v>
      </c>
      <c r="D11" s="4" t="inlineStr">
        <is>
          <t>screening</t>
        </is>
      </c>
      <c r="E11" s="4" t="inlineStr">
        <is>
          <t>Imagen</t>
        </is>
      </c>
      <c r="F11" s="4" t="n">
        <v>0</v>
      </c>
      <c r="G11" s="4" t="n">
        <v>1</v>
      </c>
      <c r="H11" s="4" t="inlineStr">
        <is>
          <t>0-&gt;1</t>
        </is>
      </c>
      <c r="I11" s="4" t="n">
        <v>0</v>
      </c>
      <c r="J11" s="4" t="inlineStr">
        <is>
          <t>RQ2_Negative_78</t>
        </is>
      </c>
      <c r="K11" s="4" t="n">
        <v>0</v>
      </c>
      <c r="L11" s="4" t="n">
        <v>1</v>
      </c>
      <c r="M11" s="4" t="inlineStr">
        <is>
          <t>High</t>
        </is>
      </c>
      <c r="N11" s="4" t="inlineStr">
        <is>
          <t>biomarker-or-biological-marker</t>
        </is>
      </c>
      <c r="O11" s="4" t="n"/>
    </row>
    <row r="12" ht="34" customHeight="1">
      <c r="A12" s="4" t="n">
        <v>17</v>
      </c>
      <c r="B12" s="4" t="inlineStr">
        <is>
          <t>Revisor B</t>
        </is>
      </c>
      <c r="C12" s="4" t="n">
        <v>2024</v>
      </c>
      <c r="D12" s="4" t="inlineStr">
        <is>
          <t>diagnosis</t>
        </is>
      </c>
      <c r="E12" s="4" t="inlineStr">
        <is>
          <t>Imagen</t>
        </is>
      </c>
      <c r="F12" s="4" t="n">
        <v>0</v>
      </c>
      <c r="G12" s="4" t="n">
        <v>1</v>
      </c>
      <c r="H12" s="4" t="inlineStr">
        <is>
          <t>0-&gt;1</t>
        </is>
      </c>
      <c r="I12" s="4" t="n">
        <v>0</v>
      </c>
      <c r="J12" s="4" t="inlineStr">
        <is>
          <t>RQ2_Negative_78</t>
        </is>
      </c>
      <c r="K12" s="4" t="n">
        <v>0</v>
      </c>
      <c r="L12" s="4" t="n">
        <v>1</v>
      </c>
      <c r="M12" s="4" t="inlineStr">
        <is>
          <t>High</t>
        </is>
      </c>
      <c r="N12" s="4" t="inlineStr">
        <is>
          <t>biomarker-or-biological-marker</t>
        </is>
      </c>
      <c r="O12" s="4" t="n"/>
    </row>
    <row r="13" ht="34" customHeight="1">
      <c r="A13" s="4" t="n">
        <v>18</v>
      </c>
      <c r="B13" s="4" t="inlineStr">
        <is>
          <t>Revisor A</t>
        </is>
      </c>
      <c r="C13" s="4" t="n">
        <v>2014</v>
      </c>
      <c r="D13" s="4" t="inlineStr">
        <is>
          <t>Diagnosis</t>
        </is>
      </c>
      <c r="E13" s="4" t="inlineStr">
        <is>
          <t>Multimodal</t>
        </is>
      </c>
      <c r="F13" s="4" t="n"/>
      <c r="G13" s="4" t="n">
        <v>1</v>
      </c>
      <c r="H13" s="4" t="inlineStr">
        <is>
          <t>blank-&gt;1</t>
        </is>
      </c>
      <c r="I13" s="4" t="n"/>
      <c r="J13" s="4" t="inlineStr">
        <is>
          <t>RQ2_Missing_167</t>
        </is>
      </c>
      <c r="K13" s="4" t="n"/>
      <c r="L13" s="4" t="n">
        <v>1</v>
      </c>
      <c r="M13" s="4" t="inlineStr">
        <is>
          <t>High</t>
        </is>
      </c>
      <c r="N13" s="4" t="inlineStr">
        <is>
          <t>biomarker-or-biological-marker</t>
        </is>
      </c>
      <c r="O13" s="4" t="n"/>
    </row>
    <row r="14" ht="34" customHeight="1">
      <c r="A14" s="4" t="n">
        <v>19</v>
      </c>
      <c r="B14" s="4" t="inlineStr">
        <is>
          <t>Revisor A</t>
        </is>
      </c>
      <c r="C14" s="4" t="n">
        <v>2021</v>
      </c>
      <c r="D14" s="4" t="inlineStr">
        <is>
          <t>Prognosis</t>
        </is>
      </c>
      <c r="E14" s="4" t="inlineStr">
        <is>
          <t>Señales fisiológicas</t>
        </is>
      </c>
      <c r="F14" s="4" t="n"/>
      <c r="G14" s="4" t="n">
        <v>1</v>
      </c>
      <c r="H14" s="4" t="inlineStr">
        <is>
          <t>blank-&gt;1</t>
        </is>
      </c>
      <c r="I14" s="4" t="n"/>
      <c r="J14" s="4" t="inlineStr">
        <is>
          <t>RQ2_Missing_167</t>
        </is>
      </c>
      <c r="K14" s="4" t="n"/>
      <c r="L14" s="4" t="n">
        <v>1</v>
      </c>
      <c r="M14" s="4" t="inlineStr">
        <is>
          <t>High</t>
        </is>
      </c>
      <c r="N14" s="4" t="n"/>
      <c r="O14" s="4" t="n"/>
    </row>
    <row r="15" ht="34" customHeight="1">
      <c r="A15" s="4" t="n">
        <v>20</v>
      </c>
      <c r="B15" s="4" t="inlineStr">
        <is>
          <t>Revisor B</t>
        </is>
      </c>
      <c r="C15" s="4" t="n">
        <v>2014</v>
      </c>
      <c r="D15" s="4" t="inlineStr">
        <is>
          <t>screening</t>
        </is>
      </c>
      <c r="E15" s="4" t="inlineStr">
        <is>
          <t>No especificado</t>
        </is>
      </c>
      <c r="F15" s="4" t="n">
        <v>0</v>
      </c>
      <c r="G15" s="4" t="n">
        <v>1</v>
      </c>
      <c r="H15" s="4" t="inlineStr">
        <is>
          <t>0-&gt;1</t>
        </is>
      </c>
      <c r="I15" s="4" t="n">
        <v>0</v>
      </c>
      <c r="J15" s="4" t="inlineStr">
        <is>
          <t>RQ2_Negative_78</t>
        </is>
      </c>
      <c r="K15" s="4" t="n">
        <v>0</v>
      </c>
      <c r="L15" s="4" t="n">
        <v>1</v>
      </c>
      <c r="M15" s="4" t="inlineStr">
        <is>
          <t>High</t>
        </is>
      </c>
      <c r="N15" s="4" t="inlineStr">
        <is>
          <t>biomarker-or-biological-marker</t>
        </is>
      </c>
      <c r="O15" s="4" t="n"/>
    </row>
    <row r="16" ht="34" customHeight="1">
      <c r="A16" s="4" t="n">
        <v>21</v>
      </c>
      <c r="B16" s="4" t="inlineStr">
        <is>
          <t>Revisor B</t>
        </is>
      </c>
      <c r="C16" s="4" t="n">
        <v>2024</v>
      </c>
      <c r="D16" s="4" t="inlineStr">
        <is>
          <t>diagnosis</t>
        </is>
      </c>
      <c r="E16" s="4" t="inlineStr">
        <is>
          <t>Señales fisiológicas</t>
        </is>
      </c>
      <c r="F16" s="4" t="n">
        <v>0</v>
      </c>
      <c r="G16" s="4" t="n">
        <v>1</v>
      </c>
      <c r="H16" s="4" t="inlineStr">
        <is>
          <t>0-&gt;1</t>
        </is>
      </c>
      <c r="I16" s="4" t="n">
        <v>0</v>
      </c>
      <c r="J16" s="4" t="inlineStr">
        <is>
          <t>RQ2_Negative_78</t>
        </is>
      </c>
      <c r="K16" s="4" t="n">
        <v>0</v>
      </c>
      <c r="L16" s="4" t="n">
        <v>1</v>
      </c>
      <c r="M16" s="4" t="inlineStr">
        <is>
          <t>High</t>
        </is>
      </c>
      <c r="N16" s="4" t="inlineStr">
        <is>
          <t>biomarker-or-biological-marker</t>
        </is>
      </c>
      <c r="O16" s="4" t="n"/>
    </row>
    <row r="17" ht="30" customHeight="1">
      <c r="A17" s="4" t="n">
        <v>23</v>
      </c>
      <c r="B17" s="4" t="inlineStr">
        <is>
          <t>Revisor A</t>
        </is>
      </c>
      <c r="C17" s="4" t="n">
        <v>2020</v>
      </c>
      <c r="D17" s="4" t="inlineStr">
        <is>
          <t>Screening</t>
        </is>
      </c>
      <c r="E17" s="4" t="inlineStr">
        <is>
          <t>No especificado</t>
        </is>
      </c>
      <c r="F17" s="4" t="n"/>
      <c r="G17" s="4" t="n">
        <v>1</v>
      </c>
      <c r="H17" s="4" t="inlineStr">
        <is>
          <t>blank-&gt;1</t>
        </is>
      </c>
      <c r="I17" s="4" t="n"/>
      <c r="J17" s="4" t="inlineStr">
        <is>
          <t>RQ2_Missing_167</t>
        </is>
      </c>
      <c r="K17" s="4" t="n"/>
      <c r="L17" s="4" t="n">
        <v>1</v>
      </c>
      <c r="M17" s="4" t="inlineStr">
        <is>
          <t>High</t>
        </is>
      </c>
      <c r="N17" s="4" t="n"/>
      <c r="O17" s="4" t="n"/>
    </row>
    <row r="18" ht="30" customHeight="1">
      <c r="A18" s="4" t="n">
        <v>24</v>
      </c>
      <c r="B18" s="4" t="inlineStr">
        <is>
          <t>Ambos (piloto)</t>
        </is>
      </c>
      <c r="C18" s="4" t="n">
        <v>2021</v>
      </c>
      <c r="D18" s="4" t="inlineStr">
        <is>
          <t>Diagnosis</t>
        </is>
      </c>
      <c r="E18" s="4" t="inlineStr">
        <is>
          <t>Audio · Voz</t>
        </is>
      </c>
      <c r="F18" s="4" t="n"/>
      <c r="G18" s="4" t="n">
        <v>1</v>
      </c>
      <c r="H18" s="4" t="inlineStr">
        <is>
          <t>blank-&gt;1</t>
        </is>
      </c>
      <c r="I18" s="4" t="n"/>
      <c r="J18" s="4" t="inlineStr">
        <is>
          <t>RQ2_Missing_167</t>
        </is>
      </c>
      <c r="K18" s="4" t="n"/>
      <c r="L18" s="4" t="n">
        <v>1</v>
      </c>
      <c r="M18" s="4" t="inlineStr">
        <is>
          <t>High</t>
        </is>
      </c>
      <c r="N18" s="4" t="n"/>
      <c r="O18" s="4" t="n"/>
    </row>
    <row r="19" ht="47" customHeight="1">
      <c r="A19" s="4" t="n">
        <v>25</v>
      </c>
      <c r="B19" s="4" t="inlineStr">
        <is>
          <t>Revisor B</t>
        </is>
      </c>
      <c r="C19" s="4" t="n">
        <v>2025</v>
      </c>
      <c r="D19" s="4" t="n"/>
      <c r="E19" s="4" t="inlineStr">
        <is>
          <t>No especificado</t>
        </is>
      </c>
      <c r="F19" s="4" t="n"/>
      <c r="G19" s="4" t="n">
        <v>1</v>
      </c>
      <c r="H19" s="4" t="inlineStr">
        <is>
          <t>blank-&gt;1</t>
        </is>
      </c>
      <c r="I19" s="4" t="n"/>
      <c r="J19" s="4" t="inlineStr">
        <is>
          <t>RQ2_Missing_167</t>
        </is>
      </c>
      <c r="K19" s="4" t="n"/>
      <c r="L19" s="4" t="n">
        <v>1</v>
      </c>
      <c r="M19" s="4" t="inlineStr">
        <is>
          <t>High</t>
        </is>
      </c>
      <c r="N19" s="4" t="inlineStr">
        <is>
          <t>stage-unclear; biomarker-or-biological-marker</t>
        </is>
      </c>
      <c r="O19" s="4" t="n"/>
    </row>
    <row r="20" ht="30" customHeight="1">
      <c r="A20" s="4" t="n">
        <v>26</v>
      </c>
      <c r="B20" s="4" t="inlineStr">
        <is>
          <t>Revisor A</t>
        </is>
      </c>
      <c r="C20" s="4" t="n">
        <v>2023</v>
      </c>
      <c r="D20" s="4" t="inlineStr">
        <is>
          <t>diagnosis</t>
        </is>
      </c>
      <c r="E20" s="4" t="inlineStr">
        <is>
          <t>No especificado</t>
        </is>
      </c>
      <c r="F20" s="4" t="n">
        <v>0</v>
      </c>
      <c r="G20" s="4" t="n">
        <v>1</v>
      </c>
      <c r="H20" s="4" t="inlineStr">
        <is>
          <t>0-&gt;1</t>
        </is>
      </c>
      <c r="I20" s="4" t="n">
        <v>0</v>
      </c>
      <c r="J20" s="4" t="inlineStr">
        <is>
          <t>RQ2_Negative_78</t>
        </is>
      </c>
      <c r="K20" s="4" t="n">
        <v>0</v>
      </c>
      <c r="L20" s="4" t="n">
        <v>1</v>
      </c>
      <c r="M20" s="4" t="inlineStr">
        <is>
          <t>High</t>
        </is>
      </c>
      <c r="N20" s="4" t="n"/>
      <c r="O20" s="4" t="n"/>
    </row>
    <row r="21" ht="34" customHeight="1">
      <c r="A21" s="4" t="n">
        <v>27</v>
      </c>
      <c r="B21" s="4" t="inlineStr">
        <is>
          <t>Revisor A</t>
        </is>
      </c>
      <c r="C21" s="4" t="n">
        <v>2025</v>
      </c>
      <c r="D21" s="4" t="inlineStr">
        <is>
          <t>Screening</t>
        </is>
      </c>
      <c r="E21" s="4" t="inlineStr">
        <is>
          <t>Señales fisiológicas</t>
        </is>
      </c>
      <c r="F21" s="4" t="n"/>
      <c r="G21" s="4" t="n">
        <v>1</v>
      </c>
      <c r="H21" s="4" t="inlineStr">
        <is>
          <t>blank-&gt;1</t>
        </is>
      </c>
      <c r="I21" s="4" t="n"/>
      <c r="J21" s="4" t="inlineStr">
        <is>
          <t>RQ2_Missing_167</t>
        </is>
      </c>
      <c r="K21" s="4" t="n"/>
      <c r="L21" s="4" t="n">
        <v>1</v>
      </c>
      <c r="M21" s="4" t="inlineStr">
        <is>
          <t>High</t>
        </is>
      </c>
      <c r="N21" s="4" t="n"/>
      <c r="O21" s="4" t="n"/>
    </row>
    <row r="22" ht="47" customHeight="1">
      <c r="A22" s="4" t="n">
        <v>28</v>
      </c>
      <c r="B22" s="4" t="inlineStr">
        <is>
          <t>Revisor A</t>
        </is>
      </c>
      <c r="C22" s="4" t="n">
        <v>2024</v>
      </c>
      <c r="D22" s="4" t="inlineStr">
        <is>
          <t>Diagnosis</t>
        </is>
      </c>
      <c r="E22" s="4" t="inlineStr">
        <is>
          <t>No especificado</t>
        </is>
      </c>
      <c r="F22" s="4" t="n"/>
      <c r="G22" s="4" t="n">
        <v>1</v>
      </c>
      <c r="H22" s="4" t="inlineStr">
        <is>
          <t>blank-&gt;1</t>
        </is>
      </c>
      <c r="I22" s="4" t="n"/>
      <c r="J22" s="4" t="inlineStr">
        <is>
          <t>RQ2_Missing_167</t>
        </is>
      </c>
      <c r="K22" s="4" t="n"/>
      <c r="L22" s="4" t="n">
        <v>1</v>
      </c>
      <c r="M22" s="4" t="inlineStr">
        <is>
          <t>High</t>
        </is>
      </c>
      <c r="N22" s="4" t="inlineStr">
        <is>
          <t>biomarker-or-biological-marker; subtyping/phenotyping</t>
        </is>
      </c>
      <c r="O22" s="4" t="n"/>
    </row>
    <row r="23" ht="34" customHeight="1">
      <c r="A23" s="4" t="n">
        <v>29</v>
      </c>
      <c r="B23" s="4" t="inlineStr">
        <is>
          <t>Revisor B</t>
        </is>
      </c>
      <c r="C23" s="4" t="n">
        <v>2025</v>
      </c>
      <c r="D23" s="4" t="inlineStr">
        <is>
          <t>screening</t>
        </is>
      </c>
      <c r="E23" s="4" t="inlineStr">
        <is>
          <t>Imagen</t>
        </is>
      </c>
      <c r="F23" s="4" t="n">
        <v>0</v>
      </c>
      <c r="G23" s="4" t="n">
        <v>1</v>
      </c>
      <c r="H23" s="4" t="inlineStr">
        <is>
          <t>0-&gt;1</t>
        </is>
      </c>
      <c r="I23" s="4" t="n">
        <v>0</v>
      </c>
      <c r="J23" s="4" t="inlineStr">
        <is>
          <t>RQ2_Negative_78</t>
        </is>
      </c>
      <c r="K23" s="4" t="n">
        <v>0</v>
      </c>
      <c r="L23" s="4" t="n">
        <v>1</v>
      </c>
      <c r="M23" s="4" t="inlineStr">
        <is>
          <t>High</t>
        </is>
      </c>
      <c r="N23" s="4" t="inlineStr">
        <is>
          <t>biomarker-or-biological-marker</t>
        </is>
      </c>
      <c r="O23" s="4" t="n"/>
    </row>
    <row r="24" ht="30" customHeight="1">
      <c r="A24" s="4" t="n">
        <v>30</v>
      </c>
      <c r="B24" s="4" t="inlineStr">
        <is>
          <t>Revisor B</t>
        </is>
      </c>
      <c r="C24" s="4" t="n">
        <v>2020</v>
      </c>
      <c r="D24" s="4" t="inlineStr">
        <is>
          <t>screening</t>
        </is>
      </c>
      <c r="E24" s="4" t="inlineStr">
        <is>
          <t>No especificado</t>
        </is>
      </c>
      <c r="F24" s="4" t="n">
        <v>0</v>
      </c>
      <c r="G24" s="4" t="n">
        <v>1</v>
      </c>
      <c r="H24" s="4" t="inlineStr">
        <is>
          <t>0-&gt;1</t>
        </is>
      </c>
      <c r="I24" s="4" t="n">
        <v>0</v>
      </c>
      <c r="J24" s="4" t="inlineStr">
        <is>
          <t>RQ2_Negative_78</t>
        </is>
      </c>
      <c r="K24" s="4" t="n">
        <v>0</v>
      </c>
      <c r="L24" s="4" t="n">
        <v>1</v>
      </c>
      <c r="M24" s="4" t="inlineStr">
        <is>
          <t>High</t>
        </is>
      </c>
      <c r="N24" s="4" t="n"/>
      <c r="O24" s="4" t="n"/>
    </row>
    <row r="25" ht="30" customHeight="1">
      <c r="A25" s="4" t="n">
        <v>31</v>
      </c>
      <c r="B25" s="4" t="inlineStr">
        <is>
          <t>Revisor B</t>
        </is>
      </c>
      <c r="C25" s="4" t="n">
        <v>2021</v>
      </c>
      <c r="D25" s="4" t="inlineStr">
        <is>
          <t>diagnosis</t>
        </is>
      </c>
      <c r="E25" s="4" t="inlineStr">
        <is>
          <t>No especificado</t>
        </is>
      </c>
      <c r="F25" s="4" t="n">
        <v>0</v>
      </c>
      <c r="G25" s="4" t="n">
        <v>1</v>
      </c>
      <c r="H25" s="4" t="inlineStr">
        <is>
          <t>0-&gt;1</t>
        </is>
      </c>
      <c r="I25" s="4" t="n">
        <v>0</v>
      </c>
      <c r="J25" s="4" t="inlineStr">
        <is>
          <t>RQ2_Negative_78</t>
        </is>
      </c>
      <c r="K25" s="4" t="n">
        <v>0</v>
      </c>
      <c r="L25" s="4" t="n">
        <v>1</v>
      </c>
      <c r="M25" s="4" t="inlineStr">
        <is>
          <t>High</t>
        </is>
      </c>
      <c r="N25" s="4" t="n"/>
      <c r="O25" s="4" t="n"/>
    </row>
    <row r="26" ht="34" customHeight="1">
      <c r="A26" s="4" t="n">
        <v>32</v>
      </c>
      <c r="B26" s="4" t="inlineStr">
        <is>
          <t>Revisor B</t>
        </is>
      </c>
      <c r="C26" s="4" t="n">
        <v>2025</v>
      </c>
      <c r="D26" s="4" t="inlineStr">
        <is>
          <t>diagnosis</t>
        </is>
      </c>
      <c r="E26" s="4" t="inlineStr">
        <is>
          <t>Señales fisiológicas</t>
        </is>
      </c>
      <c r="F26" s="4" t="n">
        <v>0</v>
      </c>
      <c r="G26" s="4" t="n">
        <v>1</v>
      </c>
      <c r="H26" s="4" t="inlineStr">
        <is>
          <t>0-&gt;1</t>
        </is>
      </c>
      <c r="I26" s="4" t="n">
        <v>0</v>
      </c>
      <c r="J26" s="4" t="inlineStr">
        <is>
          <t>RQ2_Negative_78</t>
        </is>
      </c>
      <c r="K26" s="4" t="n">
        <v>0</v>
      </c>
      <c r="L26" s="4" t="n">
        <v>1</v>
      </c>
      <c r="M26" s="4" t="inlineStr">
        <is>
          <t>High</t>
        </is>
      </c>
      <c r="N26" s="4" t="inlineStr">
        <is>
          <t>biomarker-or-biological-marker</t>
        </is>
      </c>
      <c r="O26" s="4" t="n"/>
    </row>
    <row r="27" ht="34" customHeight="1">
      <c r="A27" s="4" t="n">
        <v>33</v>
      </c>
      <c r="B27" s="4" t="inlineStr">
        <is>
          <t>Revisor A</t>
        </is>
      </c>
      <c r="C27" s="4" t="n">
        <v>2020</v>
      </c>
      <c r="D27" s="4" t="inlineStr">
        <is>
          <t>Diagnosis</t>
        </is>
      </c>
      <c r="E27" s="4" t="inlineStr">
        <is>
          <t>No especificado</t>
        </is>
      </c>
      <c r="F27" s="4" t="n"/>
      <c r="G27" s="4" t="n">
        <v>1</v>
      </c>
      <c r="H27" s="4" t="inlineStr">
        <is>
          <t>blank-&gt;1</t>
        </is>
      </c>
      <c r="I27" s="4" t="n"/>
      <c r="J27" s="4" t="inlineStr">
        <is>
          <t>RQ2_Missing_167</t>
        </is>
      </c>
      <c r="K27" s="4" t="n"/>
      <c r="L27" s="4" t="n">
        <v>1</v>
      </c>
      <c r="M27" s="4" t="inlineStr">
        <is>
          <t>High</t>
        </is>
      </c>
      <c r="N27" s="4" t="inlineStr">
        <is>
          <t>biomarker-or-biological-marker</t>
        </is>
      </c>
      <c r="O27" s="4" t="n"/>
    </row>
    <row r="28" ht="34" customHeight="1">
      <c r="A28" s="4" t="n">
        <v>34</v>
      </c>
      <c r="B28" s="4" t="inlineStr">
        <is>
          <t>Ambos (piloto)</t>
        </is>
      </c>
      <c r="C28" s="4" t="n">
        <v>2017</v>
      </c>
      <c r="D28" s="4" t="inlineStr">
        <is>
          <t>Diagnosis</t>
        </is>
      </c>
      <c r="E28" s="4" t="inlineStr">
        <is>
          <t>Señales fisiológicas</t>
        </is>
      </c>
      <c r="F28" s="4" t="n"/>
      <c r="G28" s="4" t="n">
        <v>1</v>
      </c>
      <c r="H28" s="4" t="inlineStr">
        <is>
          <t>blank-&gt;1</t>
        </is>
      </c>
      <c r="I28" s="4" t="n"/>
      <c r="J28" s="4" t="inlineStr">
        <is>
          <t>RQ2_Missing_167</t>
        </is>
      </c>
      <c r="K28" s="4" t="n"/>
      <c r="L28" s="4" t="n">
        <v>1</v>
      </c>
      <c r="M28" s="4" t="inlineStr">
        <is>
          <t>High</t>
        </is>
      </c>
      <c r="N28" s="4" t="inlineStr">
        <is>
          <t>biomarker-or-biological-marker</t>
        </is>
      </c>
      <c r="O28" s="4" t="n"/>
    </row>
    <row r="29" ht="30" customHeight="1">
      <c r="A29" s="4" t="n">
        <v>35</v>
      </c>
      <c r="B29" s="4" t="inlineStr">
        <is>
          <t>Revisor A</t>
        </is>
      </c>
      <c r="C29" s="4" t="n">
        <v>2019</v>
      </c>
      <c r="D29" s="4" t="inlineStr">
        <is>
          <t>Diagnosis</t>
        </is>
      </c>
      <c r="E29" s="4" t="inlineStr">
        <is>
          <t>Imagen</t>
        </is>
      </c>
      <c r="F29" s="4" t="n"/>
      <c r="G29" s="4" t="n">
        <v>1</v>
      </c>
      <c r="H29" s="4" t="inlineStr">
        <is>
          <t>blank-&gt;1</t>
        </is>
      </c>
      <c r="I29" s="4" t="n"/>
      <c r="J29" s="4" t="inlineStr">
        <is>
          <t>RQ2_Missing_167</t>
        </is>
      </c>
      <c r="K29" s="4" t="n"/>
      <c r="L29" s="4" t="n">
        <v>1</v>
      </c>
      <c r="M29" s="4" t="inlineStr">
        <is>
          <t>High</t>
        </is>
      </c>
      <c r="N29" s="4" t="n"/>
      <c r="O29" s="4" t="n"/>
    </row>
    <row r="30" ht="30" customHeight="1">
      <c r="A30" s="4" t="n">
        <v>36</v>
      </c>
      <c r="B30" s="4" t="inlineStr">
        <is>
          <t>Revisor A</t>
        </is>
      </c>
      <c r="C30" s="4" t="n">
        <v>2024</v>
      </c>
      <c r="D30" s="4" t="inlineStr">
        <is>
          <t>Diagnosis</t>
        </is>
      </c>
      <c r="E30" s="4" t="inlineStr">
        <is>
          <t>No especificado</t>
        </is>
      </c>
      <c r="F30" s="4" t="n"/>
      <c r="G30" s="4" t="n">
        <v>1</v>
      </c>
      <c r="H30" s="4" t="inlineStr">
        <is>
          <t>blank-&gt;1</t>
        </is>
      </c>
      <c r="I30" s="4" t="n"/>
      <c r="J30" s="4" t="inlineStr">
        <is>
          <t>RQ2_Missing_167</t>
        </is>
      </c>
      <c r="K30" s="4" t="n"/>
      <c r="L30" s="4" t="n">
        <v>1</v>
      </c>
      <c r="M30" s="4" t="inlineStr">
        <is>
          <t>High</t>
        </is>
      </c>
      <c r="N30" s="4" t="n"/>
      <c r="O30" s="4" t="n"/>
    </row>
    <row r="31" ht="30" customHeight="1">
      <c r="A31" s="4" t="n">
        <v>37</v>
      </c>
      <c r="B31" s="4" t="inlineStr">
        <is>
          <t>Revisor B</t>
        </is>
      </c>
      <c r="C31" s="4" t="n">
        <v>2023</v>
      </c>
      <c r="D31" s="4" t="inlineStr">
        <is>
          <t>prognosis</t>
        </is>
      </c>
      <c r="E31" s="4" t="inlineStr">
        <is>
          <t>No especificado</t>
        </is>
      </c>
      <c r="F31" s="4" t="n">
        <v>0</v>
      </c>
      <c r="G31" s="4" t="n">
        <v>1</v>
      </c>
      <c r="H31" s="4" t="inlineStr">
        <is>
          <t>0-&gt;1</t>
        </is>
      </c>
      <c r="I31" s="4" t="n">
        <v>0</v>
      </c>
      <c r="J31" s="4" t="inlineStr">
        <is>
          <t>RQ2_Negative_78</t>
        </is>
      </c>
      <c r="K31" s="4" t="n">
        <v>0</v>
      </c>
      <c r="L31" s="4" t="n">
        <v>1</v>
      </c>
      <c r="M31" s="4" t="inlineStr">
        <is>
          <t>High</t>
        </is>
      </c>
      <c r="N31" s="4" t="n"/>
      <c r="O31" s="4" t="n"/>
    </row>
    <row r="32" ht="34" customHeight="1">
      <c r="A32" s="4" t="n">
        <v>38</v>
      </c>
      <c r="B32" s="4" t="inlineStr">
        <is>
          <t>Revisor B</t>
        </is>
      </c>
      <c r="C32" s="4" t="n">
        <v>2021</v>
      </c>
      <c r="D32" s="4" t="inlineStr">
        <is>
          <t>diagnosis</t>
        </is>
      </c>
      <c r="E32" s="4" t="inlineStr">
        <is>
          <t>Imagen</t>
        </is>
      </c>
      <c r="F32" s="4" t="n">
        <v>0</v>
      </c>
      <c r="G32" s="4" t="n">
        <v>1</v>
      </c>
      <c r="H32" s="4" t="inlineStr">
        <is>
          <t>0-&gt;1</t>
        </is>
      </c>
      <c r="I32" s="4" t="n">
        <v>0</v>
      </c>
      <c r="J32" s="4" t="inlineStr">
        <is>
          <t>RQ2_Negative_78</t>
        </is>
      </c>
      <c r="K32" s="4" t="n">
        <v>0</v>
      </c>
      <c r="L32" s="4" t="n">
        <v>1</v>
      </c>
      <c r="M32" s="4" t="inlineStr">
        <is>
          <t>High</t>
        </is>
      </c>
      <c r="N32" s="4" t="inlineStr">
        <is>
          <t>biomarker-or-biological-marker</t>
        </is>
      </c>
      <c r="O32" s="4" t="n"/>
    </row>
    <row r="33" ht="34" customHeight="1">
      <c r="A33" s="4" t="n">
        <v>39</v>
      </c>
      <c r="B33" s="4" t="inlineStr">
        <is>
          <t>Revisor B</t>
        </is>
      </c>
      <c r="C33" s="4" t="n">
        <v>2023</v>
      </c>
      <c r="D33" s="4" t="inlineStr">
        <is>
          <t>diagnosis</t>
        </is>
      </c>
      <c r="E33" s="4" t="inlineStr">
        <is>
          <t>No especificado</t>
        </is>
      </c>
      <c r="F33" s="4" t="n">
        <v>0</v>
      </c>
      <c r="G33" s="4" t="n">
        <v>1</v>
      </c>
      <c r="H33" s="4" t="inlineStr">
        <is>
          <t>0-&gt;1</t>
        </is>
      </c>
      <c r="I33" s="4" t="n">
        <v>0</v>
      </c>
      <c r="J33" s="4" t="inlineStr">
        <is>
          <t>RQ2_Negative_78</t>
        </is>
      </c>
      <c r="K33" s="4" t="n">
        <v>0</v>
      </c>
      <c r="L33" s="4" t="n">
        <v>1</v>
      </c>
      <c r="M33" s="4" t="inlineStr">
        <is>
          <t>High</t>
        </is>
      </c>
      <c r="N33" s="4" t="inlineStr">
        <is>
          <t>biomarker-or-biological-marker</t>
        </is>
      </c>
      <c r="O33" s="4" t="n"/>
    </row>
    <row r="34" ht="47" customHeight="1">
      <c r="A34" s="4" t="n">
        <v>41</v>
      </c>
      <c r="B34" s="4" t="inlineStr">
        <is>
          <t>Revisor A</t>
        </is>
      </c>
      <c r="C34" s="4" t="n">
        <v>2023</v>
      </c>
      <c r="D34" s="4" t="inlineStr">
        <is>
          <t>Not clear</t>
        </is>
      </c>
      <c r="E34" s="4" t="inlineStr">
        <is>
          <t>No especificado</t>
        </is>
      </c>
      <c r="F34" s="4" t="n"/>
      <c r="G34" s="4" t="n">
        <v>0</v>
      </c>
      <c r="H34" s="4" t="inlineStr">
        <is>
          <t>blank-&gt;0</t>
        </is>
      </c>
      <c r="I34" s="4" t="n"/>
      <c r="J34" s="4" t="inlineStr">
        <is>
          <t>RQ2_Missing_167</t>
        </is>
      </c>
      <c r="K34" s="4" t="n"/>
      <c r="L34" s="4" t="n">
        <v>1</v>
      </c>
      <c r="M34" s="4" t="inlineStr">
        <is>
          <t>High</t>
        </is>
      </c>
      <c r="N34" s="4" t="inlineStr">
        <is>
          <t>manual-adjudication; changed-to-0; stage-unclear</t>
        </is>
      </c>
      <c r="O34" s="4" t="n"/>
    </row>
    <row r="35" ht="34" customHeight="1">
      <c r="A35" s="4" t="n">
        <v>42</v>
      </c>
      <c r="B35" s="4" t="inlineStr">
        <is>
          <t>Ambos (piloto)</t>
        </is>
      </c>
      <c r="C35" s="4" t="n">
        <v>2024</v>
      </c>
      <c r="D35" s="4" t="inlineStr">
        <is>
          <t>Monitoring/intervention</t>
        </is>
      </c>
      <c r="E35" s="4" t="inlineStr">
        <is>
          <t>Señales fisiológicas</t>
        </is>
      </c>
      <c r="F35" s="4" t="n"/>
      <c r="G35" s="4" t="n">
        <v>1</v>
      </c>
      <c r="H35" s="4" t="inlineStr">
        <is>
          <t>blank-&gt;1</t>
        </is>
      </c>
      <c r="I35" s="4" t="n"/>
      <c r="J35" s="4" t="inlineStr">
        <is>
          <t>RQ2_Missing_167</t>
        </is>
      </c>
      <c r="K35" s="4" t="n"/>
      <c r="L35" s="4" t="n">
        <v>1</v>
      </c>
      <c r="M35" s="4" t="inlineStr">
        <is>
          <t>High</t>
        </is>
      </c>
      <c r="N35" s="4" t="inlineStr">
        <is>
          <t>biomarker-or-biological-marker</t>
        </is>
      </c>
      <c r="O35" s="4" t="n"/>
    </row>
    <row r="36" ht="60" customHeight="1">
      <c r="A36" s="4" t="n">
        <v>43</v>
      </c>
      <c r="B36" s="4" t="inlineStr">
        <is>
          <t>Revisor B</t>
        </is>
      </c>
      <c r="C36" s="4" t="n">
        <v>2025</v>
      </c>
      <c r="D36" s="4" t="n"/>
      <c r="E36" s="4" t="inlineStr">
        <is>
          <t>Multimodal</t>
        </is>
      </c>
      <c r="F36" s="4" t="n"/>
      <c r="G36" s="4" t="n">
        <v>1</v>
      </c>
      <c r="H36" s="4" t="inlineStr">
        <is>
          <t>blank-&gt;1</t>
        </is>
      </c>
      <c r="I36" s="4" t="n"/>
      <c r="J36" s="4" t="inlineStr">
        <is>
          <t>RQ2_Missing_167</t>
        </is>
      </c>
      <c r="K36" s="4" t="n"/>
      <c r="L36" s="4" t="n">
        <v>1</v>
      </c>
      <c r="M36" s="4" t="inlineStr">
        <is>
          <t>High</t>
        </is>
      </c>
      <c r="N36" s="4" t="inlineStr">
        <is>
          <t>stage-unclear; biomarker-or-biological-marker; subtyping/phenotyping</t>
        </is>
      </c>
      <c r="O36" s="4" t="n"/>
    </row>
    <row r="37" ht="30" customHeight="1">
      <c r="A37" s="4" t="n">
        <v>44</v>
      </c>
      <c r="B37" s="4" t="inlineStr">
        <is>
          <t>Revisor A</t>
        </is>
      </c>
      <c r="C37" s="4" t="n">
        <v>2019</v>
      </c>
      <c r="D37" s="4" t="inlineStr">
        <is>
          <t>Diagnosis</t>
        </is>
      </c>
      <c r="E37" s="4" t="inlineStr">
        <is>
          <t>No especificado</t>
        </is>
      </c>
      <c r="F37" s="4" t="n"/>
      <c r="G37" s="4" t="n">
        <v>1</v>
      </c>
      <c r="H37" s="4" t="inlineStr">
        <is>
          <t>blank-&gt;1</t>
        </is>
      </c>
      <c r="I37" s="4" t="n"/>
      <c r="J37" s="4" t="inlineStr">
        <is>
          <t>RQ2_Missing_167</t>
        </is>
      </c>
      <c r="K37" s="4" t="n"/>
      <c r="L37" s="4" t="n">
        <v>1</v>
      </c>
      <c r="M37" s="4" t="inlineStr">
        <is>
          <t>High</t>
        </is>
      </c>
      <c r="N37" s="4" t="n"/>
      <c r="O37" s="4" t="n"/>
    </row>
    <row r="38" ht="34" customHeight="1">
      <c r="A38" s="4" t="n">
        <v>45</v>
      </c>
      <c r="B38" s="4" t="inlineStr">
        <is>
          <t>Ambos (piloto)</t>
        </is>
      </c>
      <c r="C38" s="4" t="n">
        <v>2018</v>
      </c>
      <c r="D38" s="4" t="inlineStr">
        <is>
          <t>Diagnosis</t>
        </is>
      </c>
      <c r="E38" s="4" t="inlineStr">
        <is>
          <t>Multimodal</t>
        </is>
      </c>
      <c r="F38" s="4" t="n"/>
      <c r="G38" s="4" t="n">
        <v>1</v>
      </c>
      <c r="H38" s="4" t="inlineStr">
        <is>
          <t>blank-&gt;1</t>
        </is>
      </c>
      <c r="I38" s="4" t="n"/>
      <c r="J38" s="4" t="inlineStr">
        <is>
          <t>RQ2_Missing_167</t>
        </is>
      </c>
      <c r="K38" s="4" t="n"/>
      <c r="L38" s="4" t="n">
        <v>1</v>
      </c>
      <c r="M38" s="4" t="inlineStr">
        <is>
          <t>High</t>
        </is>
      </c>
      <c r="N38" s="4" t="inlineStr">
        <is>
          <t>biomarker-or-biological-marker</t>
        </is>
      </c>
      <c r="O38" s="4" t="n"/>
    </row>
    <row r="39" ht="34" customHeight="1">
      <c r="A39" s="4" t="n">
        <v>46</v>
      </c>
      <c r="B39" s="4" t="inlineStr">
        <is>
          <t>Revisor A</t>
        </is>
      </c>
      <c r="C39" s="4" t="n">
        <v>2023</v>
      </c>
      <c r="D39" s="4" t="inlineStr">
        <is>
          <t>Monitoring/intervention</t>
        </is>
      </c>
      <c r="E39" s="4" t="inlineStr">
        <is>
          <t>Texto · NLP</t>
        </is>
      </c>
      <c r="F39" s="4" t="n"/>
      <c r="G39" s="4" t="n">
        <v>1</v>
      </c>
      <c r="H39" s="4" t="inlineStr">
        <is>
          <t>blank-&gt;1</t>
        </is>
      </c>
      <c r="I39" s="4" t="n"/>
      <c r="J39" s="4" t="inlineStr">
        <is>
          <t>RQ2_Missing_167</t>
        </is>
      </c>
      <c r="K39" s="4" t="n"/>
      <c r="L39" s="4" t="n">
        <v>1</v>
      </c>
      <c r="M39" s="4" t="inlineStr">
        <is>
          <t>High</t>
        </is>
      </c>
      <c r="N39" s="4" t="n"/>
      <c r="O39" s="4" t="n"/>
    </row>
    <row r="40" ht="60" customHeight="1">
      <c r="A40" s="4" t="n">
        <v>48</v>
      </c>
      <c r="B40" s="4" t="inlineStr">
        <is>
          <t>Revisor A</t>
        </is>
      </c>
      <c r="C40" s="4" t="n">
        <v>2020</v>
      </c>
      <c r="D40" s="4" t="inlineStr">
        <is>
          <t>Screening</t>
        </is>
      </c>
      <c r="E40" s="4" t="inlineStr">
        <is>
          <t>No especificado</t>
        </is>
      </c>
      <c r="F40" s="4" t="n"/>
      <c r="G40" s="4" t="n">
        <v>0</v>
      </c>
      <c r="H40" s="4" t="inlineStr">
        <is>
          <t>blank-&gt;0</t>
        </is>
      </c>
      <c r="I40" s="4" t="n"/>
      <c r="J40" s="4" t="inlineStr">
        <is>
          <t>RQ2_Missing_167</t>
        </is>
      </c>
      <c r="K40" s="4" t="n"/>
      <c r="L40" s="4" t="n">
        <v>1</v>
      </c>
      <c r="M40" s="4" t="inlineStr">
        <is>
          <t>Medium</t>
        </is>
      </c>
      <c r="N40" s="4" t="inlineStr">
        <is>
          <t>manual-adjudication; changed-to-0; title-abstract-mismatch</t>
        </is>
      </c>
      <c r="O40" s="4" t="n"/>
    </row>
    <row r="41" ht="47" customHeight="1">
      <c r="A41" s="4" t="n">
        <v>50</v>
      </c>
      <c r="B41" s="4" t="inlineStr">
        <is>
          <t>Revisor B</t>
        </is>
      </c>
      <c r="C41" s="4" t="n">
        <v>2017</v>
      </c>
      <c r="D41" s="4" t="n"/>
      <c r="E41" s="4" t="inlineStr">
        <is>
          <t>Imagen</t>
        </is>
      </c>
      <c r="F41" s="4" t="n"/>
      <c r="G41" s="4" t="n">
        <v>1</v>
      </c>
      <c r="H41" s="4" t="inlineStr">
        <is>
          <t>blank-&gt;1</t>
        </is>
      </c>
      <c r="I41" s="4" t="n"/>
      <c r="J41" s="4" t="inlineStr">
        <is>
          <t>RQ2_Missing_167</t>
        </is>
      </c>
      <c r="K41" s="4" t="n"/>
      <c r="L41" s="4" t="n">
        <v>0</v>
      </c>
      <c r="M41" s="4" t="inlineStr">
        <is>
          <t>Medium</t>
        </is>
      </c>
      <c r="N41" s="4" t="inlineStr">
        <is>
          <t>stage-unclear; biomarker-or-biological-marker</t>
        </is>
      </c>
      <c r="O41" s="4" t="n"/>
    </row>
    <row r="42" ht="34" customHeight="1">
      <c r="A42" s="4" t="n">
        <v>51</v>
      </c>
      <c r="B42" s="4" t="inlineStr">
        <is>
          <t>Revisor A</t>
        </is>
      </c>
      <c r="C42" s="4" t="n">
        <v>2024</v>
      </c>
      <c r="D42" s="4" t="inlineStr">
        <is>
          <t>Diagnosis</t>
        </is>
      </c>
      <c r="E42" s="4" t="inlineStr">
        <is>
          <t>Multimodal</t>
        </is>
      </c>
      <c r="F42" s="4" t="n"/>
      <c r="G42" s="4" t="n">
        <v>1</v>
      </c>
      <c r="H42" s="4" t="inlineStr">
        <is>
          <t>blank-&gt;1</t>
        </is>
      </c>
      <c r="I42" s="4" t="n"/>
      <c r="J42" s="4" t="inlineStr">
        <is>
          <t>RQ2_Missing_167</t>
        </is>
      </c>
      <c r="K42" s="4" t="n"/>
      <c r="L42" s="4" t="n">
        <v>1</v>
      </c>
      <c r="M42" s="4" t="inlineStr">
        <is>
          <t>High</t>
        </is>
      </c>
      <c r="N42" s="4" t="inlineStr">
        <is>
          <t>biomarker-or-biological-marker</t>
        </is>
      </c>
      <c r="O42" s="4" t="n"/>
    </row>
    <row r="43" ht="34" customHeight="1">
      <c r="A43" s="4" t="n">
        <v>52</v>
      </c>
      <c r="B43" s="4" t="inlineStr">
        <is>
          <t>Revisor A</t>
        </is>
      </c>
      <c r="C43" s="4" t="n">
        <v>2023</v>
      </c>
      <c r="D43" s="4" t="inlineStr">
        <is>
          <t>Diagnosis</t>
        </is>
      </c>
      <c r="E43" s="4" t="inlineStr">
        <is>
          <t>Señales fisiológicas</t>
        </is>
      </c>
      <c r="F43" s="4" t="n"/>
      <c r="G43" s="4" t="n">
        <v>1</v>
      </c>
      <c r="H43" s="4" t="inlineStr">
        <is>
          <t>blank-&gt;1</t>
        </is>
      </c>
      <c r="I43" s="4" t="n"/>
      <c r="J43" s="4" t="inlineStr">
        <is>
          <t>RQ2_Missing_167</t>
        </is>
      </c>
      <c r="K43" s="4" t="n"/>
      <c r="L43" s="4" t="n">
        <v>1</v>
      </c>
      <c r="M43" s="4" t="inlineStr">
        <is>
          <t>High</t>
        </is>
      </c>
      <c r="N43" s="4" t="inlineStr">
        <is>
          <t>biomarker-or-biological-marker</t>
        </is>
      </c>
      <c r="O43" s="4" t="n"/>
    </row>
    <row r="44" ht="34" customHeight="1">
      <c r="A44" s="4" t="n">
        <v>54</v>
      </c>
      <c r="B44" s="4" t="inlineStr">
        <is>
          <t>Revisor B</t>
        </is>
      </c>
      <c r="C44" s="4" t="n">
        <v>2015</v>
      </c>
      <c r="D44" s="4" t="inlineStr">
        <is>
          <t>diagnosis</t>
        </is>
      </c>
      <c r="E44" s="4" t="inlineStr">
        <is>
          <t>Señales fisiológicas</t>
        </is>
      </c>
      <c r="F44" s="4" t="n">
        <v>0</v>
      </c>
      <c r="G44" s="4" t="n">
        <v>1</v>
      </c>
      <c r="H44" s="4" t="inlineStr">
        <is>
          <t>0-&gt;1</t>
        </is>
      </c>
      <c r="I44" s="4" t="n">
        <v>0</v>
      </c>
      <c r="J44" s="4" t="inlineStr">
        <is>
          <t>RQ2_Negative_78</t>
        </is>
      </c>
      <c r="K44" s="4" t="n">
        <v>0</v>
      </c>
      <c r="L44" s="4" t="n">
        <v>1</v>
      </c>
      <c r="M44" s="4" t="inlineStr">
        <is>
          <t>High</t>
        </is>
      </c>
      <c r="N44" s="4" t="inlineStr">
        <is>
          <t>biomarker-or-biological-marker</t>
        </is>
      </c>
      <c r="O44" s="4" t="n"/>
    </row>
    <row r="45" ht="34" customHeight="1">
      <c r="A45" s="4" t="n">
        <v>55</v>
      </c>
      <c r="B45" s="4" t="inlineStr">
        <is>
          <t>Revisor B</t>
        </is>
      </c>
      <c r="C45" s="4" t="n">
        <v>2024</v>
      </c>
      <c r="D45" s="4" t="inlineStr">
        <is>
          <t>screening</t>
        </is>
      </c>
      <c r="E45" s="4" t="inlineStr">
        <is>
          <t>Imagen</t>
        </is>
      </c>
      <c r="F45" s="4" t="n">
        <v>0</v>
      </c>
      <c r="G45" s="4" t="n">
        <v>1</v>
      </c>
      <c r="H45" s="4" t="inlineStr">
        <is>
          <t>0-&gt;1</t>
        </is>
      </c>
      <c r="I45" s="4" t="n">
        <v>0</v>
      </c>
      <c r="J45" s="4" t="inlineStr">
        <is>
          <t>RQ2_Negative_78</t>
        </is>
      </c>
      <c r="K45" s="4" t="n">
        <v>0</v>
      </c>
      <c r="L45" s="4" t="n">
        <v>1</v>
      </c>
      <c r="M45" s="4" t="inlineStr">
        <is>
          <t>High</t>
        </is>
      </c>
      <c r="N45" s="4" t="inlineStr">
        <is>
          <t>secondary-literature-or-protocol</t>
        </is>
      </c>
      <c r="O45" s="4" t="n"/>
    </row>
    <row r="46" ht="47" customHeight="1">
      <c r="A46" s="4" t="n">
        <v>56</v>
      </c>
      <c r="B46" s="4" t="inlineStr">
        <is>
          <t>Revisor B</t>
        </is>
      </c>
      <c r="C46" s="4" t="n">
        <v>2023</v>
      </c>
      <c r="D46" s="4" t="n"/>
      <c r="E46" s="4" t="inlineStr">
        <is>
          <t>Imagen</t>
        </is>
      </c>
      <c r="F46" s="4" t="n"/>
      <c r="G46" s="4" t="n">
        <v>1</v>
      </c>
      <c r="H46" s="4" t="inlineStr">
        <is>
          <t>blank-&gt;1</t>
        </is>
      </c>
      <c r="I46" s="4" t="n"/>
      <c r="J46" s="4" t="inlineStr">
        <is>
          <t>RQ2_Missing_167</t>
        </is>
      </c>
      <c r="K46" s="4" t="n"/>
      <c r="L46" s="4" t="n">
        <v>0</v>
      </c>
      <c r="M46" s="4" t="inlineStr">
        <is>
          <t>Medium</t>
        </is>
      </c>
      <c r="N46" s="4" t="inlineStr">
        <is>
          <t>stage-unclear; biomarker-or-biological-marker</t>
        </is>
      </c>
      <c r="O46" s="4" t="n"/>
    </row>
    <row r="47" ht="30" customHeight="1">
      <c r="A47" s="4" t="n">
        <v>57</v>
      </c>
      <c r="B47" s="4" t="inlineStr">
        <is>
          <t>Revisor A</t>
        </is>
      </c>
      <c r="C47" s="4" t="n">
        <v>2024</v>
      </c>
      <c r="D47" s="4" t="inlineStr">
        <is>
          <t>Diagnosis</t>
        </is>
      </c>
      <c r="E47" s="4" t="inlineStr">
        <is>
          <t>Texto · NLP</t>
        </is>
      </c>
      <c r="F47" s="4" t="n"/>
      <c r="G47" s="4" t="n">
        <v>1</v>
      </c>
      <c r="H47" s="4" t="inlineStr">
        <is>
          <t>blank-&gt;1</t>
        </is>
      </c>
      <c r="I47" s="4" t="n"/>
      <c r="J47" s="4" t="inlineStr">
        <is>
          <t>RQ2_Missing_167</t>
        </is>
      </c>
      <c r="K47" s="4" t="n"/>
      <c r="L47" s="4" t="n">
        <v>1</v>
      </c>
      <c r="M47" s="4" t="inlineStr">
        <is>
          <t>High</t>
        </is>
      </c>
      <c r="N47" s="4" t="n"/>
      <c r="O47" s="4" t="n"/>
    </row>
    <row r="48" ht="34" customHeight="1">
      <c r="A48" s="4" t="n">
        <v>60</v>
      </c>
      <c r="B48" s="4" t="inlineStr">
        <is>
          <t>Revisor A</t>
        </is>
      </c>
      <c r="C48" s="4" t="n">
        <v>2017</v>
      </c>
      <c r="D48" s="4" t="inlineStr">
        <is>
          <t>Monitoring/intervention</t>
        </is>
      </c>
      <c r="E48" s="4" t="inlineStr">
        <is>
          <t>No especificado</t>
        </is>
      </c>
      <c r="F48" s="4" t="n"/>
      <c r="G48" s="4" t="n">
        <v>0</v>
      </c>
      <c r="H48" s="4" t="inlineStr">
        <is>
          <t>blank-&gt;0</t>
        </is>
      </c>
      <c r="I48" s="4" t="n"/>
      <c r="J48" s="4" t="inlineStr">
        <is>
          <t>RQ2_Missing_167</t>
        </is>
      </c>
      <c r="K48" s="4" t="n"/>
      <c r="L48" s="4" t="n">
        <v>0</v>
      </c>
      <c r="M48" s="4" t="inlineStr">
        <is>
          <t>High</t>
        </is>
      </c>
      <c r="N48" s="4" t="n"/>
      <c r="O48" s="4" t="n"/>
    </row>
    <row r="49" ht="34" customHeight="1">
      <c r="A49" s="4" t="n">
        <v>62</v>
      </c>
      <c r="B49" s="4" t="inlineStr">
        <is>
          <t>Revisor A</t>
        </is>
      </c>
      <c r="C49" s="4" t="n">
        <v>2016</v>
      </c>
      <c r="D49" s="4" t="inlineStr">
        <is>
          <t>Monitoring/intervention</t>
        </is>
      </c>
      <c r="E49" s="4" t="inlineStr">
        <is>
          <t>No especificado</t>
        </is>
      </c>
      <c r="F49" s="4" t="n"/>
      <c r="G49" s="4" t="n">
        <v>1</v>
      </c>
      <c r="H49" s="4" t="inlineStr">
        <is>
          <t>blank-&gt;1</t>
        </is>
      </c>
      <c r="I49" s="4" t="n"/>
      <c r="J49" s="4" t="inlineStr">
        <is>
          <t>RQ2_Missing_167</t>
        </is>
      </c>
      <c r="K49" s="4" t="n"/>
      <c r="L49" s="4" t="n">
        <v>0</v>
      </c>
      <c r="M49" s="4" t="inlineStr">
        <is>
          <t>Medium</t>
        </is>
      </c>
      <c r="N49" s="4" t="inlineStr">
        <is>
          <t>biomarker-or-biological-marker</t>
        </is>
      </c>
      <c r="O49" s="4" t="n"/>
    </row>
    <row r="50" ht="30" customHeight="1">
      <c r="A50" s="4" t="n">
        <v>63</v>
      </c>
      <c r="B50" s="4" t="inlineStr">
        <is>
          <t>Revisor A</t>
        </is>
      </c>
      <c r="C50" s="4" t="n">
        <v>2025</v>
      </c>
      <c r="D50" s="4" t="inlineStr">
        <is>
          <t>Diagnosis</t>
        </is>
      </c>
      <c r="E50" s="4" t="inlineStr">
        <is>
          <t>Imagen</t>
        </is>
      </c>
      <c r="F50" s="4" t="n"/>
      <c r="G50" s="4" t="n">
        <v>1</v>
      </c>
      <c r="H50" s="4" t="inlineStr">
        <is>
          <t>blank-&gt;1</t>
        </is>
      </c>
      <c r="I50" s="4" t="n"/>
      <c r="J50" s="4" t="inlineStr">
        <is>
          <t>RQ2_Missing_167</t>
        </is>
      </c>
      <c r="K50" s="4" t="n"/>
      <c r="L50" s="4" t="n">
        <v>1</v>
      </c>
      <c r="M50" s="4" t="inlineStr">
        <is>
          <t>High</t>
        </is>
      </c>
      <c r="N50" s="4" t="n"/>
      <c r="O50" s="4" t="n"/>
    </row>
    <row r="51" ht="34" customHeight="1">
      <c r="A51" s="4" t="n">
        <v>64</v>
      </c>
      <c r="B51" s="4" t="inlineStr">
        <is>
          <t>Revisor B</t>
        </is>
      </c>
      <c r="C51" s="4" t="n">
        <v>2025</v>
      </c>
      <c r="D51" s="4" t="inlineStr">
        <is>
          <t>screening</t>
        </is>
      </c>
      <c r="E51" s="4" t="inlineStr">
        <is>
          <t>Imagen</t>
        </is>
      </c>
      <c r="F51" s="4" t="n">
        <v>0</v>
      </c>
      <c r="G51" s="4" t="n">
        <v>1</v>
      </c>
      <c r="H51" s="4" t="inlineStr">
        <is>
          <t>0-&gt;1</t>
        </is>
      </c>
      <c r="I51" s="4" t="n">
        <v>0</v>
      </c>
      <c r="J51" s="4" t="inlineStr">
        <is>
          <t>RQ2_Negative_78</t>
        </is>
      </c>
      <c r="K51" s="4" t="n">
        <v>0</v>
      </c>
      <c r="L51" s="4" t="n">
        <v>1</v>
      </c>
      <c r="M51" s="4" t="inlineStr">
        <is>
          <t>High</t>
        </is>
      </c>
      <c r="N51" s="4" t="inlineStr">
        <is>
          <t>biomarker-or-biological-marker</t>
        </is>
      </c>
      <c r="O51" s="4" t="n"/>
    </row>
    <row r="52" ht="30" customHeight="1">
      <c r="A52" s="4" t="n">
        <v>65</v>
      </c>
      <c r="B52" s="4" t="inlineStr">
        <is>
          <t>Revisor A</t>
        </is>
      </c>
      <c r="C52" s="4" t="n">
        <v>2020</v>
      </c>
      <c r="D52" s="4" t="inlineStr">
        <is>
          <t>Screening</t>
        </is>
      </c>
      <c r="E52" s="4" t="inlineStr">
        <is>
          <t>No especificado</t>
        </is>
      </c>
      <c r="F52" s="4" t="n"/>
      <c r="G52" s="4" t="n">
        <v>1</v>
      </c>
      <c r="H52" s="4" t="inlineStr">
        <is>
          <t>blank-&gt;1</t>
        </is>
      </c>
      <c r="I52" s="4" t="n"/>
      <c r="J52" s="4" t="inlineStr">
        <is>
          <t>RQ2_Missing_167</t>
        </is>
      </c>
      <c r="K52" s="4" t="n"/>
      <c r="L52" s="4" t="n">
        <v>1</v>
      </c>
      <c r="M52" s="4" t="inlineStr">
        <is>
          <t>High</t>
        </is>
      </c>
      <c r="N52" s="4" t="n"/>
      <c r="O52" s="4" t="n"/>
    </row>
    <row r="53" ht="30" customHeight="1">
      <c r="A53" s="4" t="n">
        <v>66</v>
      </c>
      <c r="B53" s="4" t="inlineStr">
        <is>
          <t>Revisor A</t>
        </is>
      </c>
      <c r="C53" s="4" t="n">
        <v>2023</v>
      </c>
      <c r="D53" s="4" t="inlineStr">
        <is>
          <t>Diagnosis</t>
        </is>
      </c>
      <c r="E53" s="4" t="inlineStr">
        <is>
          <t>Imagen</t>
        </is>
      </c>
      <c r="F53" s="4" t="n"/>
      <c r="G53" s="4" t="n">
        <v>1</v>
      </c>
      <c r="H53" s="4" t="inlineStr">
        <is>
          <t>blank-&gt;1</t>
        </is>
      </c>
      <c r="I53" s="4" t="n"/>
      <c r="J53" s="4" t="inlineStr">
        <is>
          <t>RQ2_Missing_167</t>
        </is>
      </c>
      <c r="K53" s="4" t="n"/>
      <c r="L53" s="4" t="n">
        <v>1</v>
      </c>
      <c r="M53" s="4" t="inlineStr">
        <is>
          <t>High</t>
        </is>
      </c>
      <c r="N53" s="4" t="n"/>
      <c r="O53" s="4" t="n"/>
    </row>
    <row r="54" ht="34" customHeight="1">
      <c r="A54" s="4" t="n">
        <v>67</v>
      </c>
      <c r="B54" s="4" t="inlineStr">
        <is>
          <t>Revisor A</t>
        </is>
      </c>
      <c r="C54" s="4" t="n">
        <v>2018</v>
      </c>
      <c r="D54" s="4" t="inlineStr">
        <is>
          <t>Monitoring/intervention</t>
        </is>
      </c>
      <c r="E54" s="4" t="inlineStr">
        <is>
          <t>Señales fisiológicas</t>
        </is>
      </c>
      <c r="F54" s="4" t="n"/>
      <c r="G54" s="4" t="n">
        <v>1</v>
      </c>
      <c r="H54" s="4" t="inlineStr">
        <is>
          <t>blank-&gt;1</t>
        </is>
      </c>
      <c r="I54" s="4" t="n"/>
      <c r="J54" s="4" t="inlineStr">
        <is>
          <t>RQ2_Missing_167</t>
        </is>
      </c>
      <c r="K54" s="4" t="n"/>
      <c r="L54" s="4" t="n">
        <v>1</v>
      </c>
      <c r="M54" s="4" t="inlineStr">
        <is>
          <t>High</t>
        </is>
      </c>
      <c r="N54" s="4" t="inlineStr">
        <is>
          <t>biomarker-or-biological-marker</t>
        </is>
      </c>
      <c r="O54" s="4" t="n"/>
    </row>
    <row r="55" ht="30" customHeight="1">
      <c r="A55" s="4" t="n">
        <v>68</v>
      </c>
      <c r="B55" s="4" t="inlineStr">
        <is>
          <t>Revisor B</t>
        </is>
      </c>
      <c r="C55" s="4" t="n">
        <v>2017</v>
      </c>
      <c r="D55" s="4" t="inlineStr">
        <is>
          <t>diagnosis</t>
        </is>
      </c>
      <c r="E55" s="4" t="inlineStr">
        <is>
          <t>Texto · NLP</t>
        </is>
      </c>
      <c r="F55" s="4" t="n">
        <v>0</v>
      </c>
      <c r="G55" s="4" t="n">
        <v>1</v>
      </c>
      <c r="H55" s="4" t="inlineStr">
        <is>
          <t>0-&gt;1</t>
        </is>
      </c>
      <c r="I55" s="4" t="n">
        <v>0</v>
      </c>
      <c r="J55" s="4" t="inlineStr">
        <is>
          <t>RQ2_Negative_78</t>
        </is>
      </c>
      <c r="K55" s="4" t="n">
        <v>0</v>
      </c>
      <c r="L55" s="4" t="n">
        <v>0</v>
      </c>
      <c r="M55" s="4" t="inlineStr">
        <is>
          <t>Medium</t>
        </is>
      </c>
      <c r="N55" s="4" t="n"/>
      <c r="O55" s="4" t="n"/>
    </row>
    <row r="56" ht="34" customHeight="1">
      <c r="A56" s="4" t="n">
        <v>69</v>
      </c>
      <c r="B56" s="4" t="inlineStr">
        <is>
          <t>Revisor A</t>
        </is>
      </c>
      <c r="C56" s="4" t="n">
        <v>2024</v>
      </c>
      <c r="D56" s="4" t="inlineStr">
        <is>
          <t>Diagnosis</t>
        </is>
      </c>
      <c r="E56" s="4" t="inlineStr">
        <is>
          <t>Señales fisiológicas</t>
        </is>
      </c>
      <c r="F56" s="4" t="n"/>
      <c r="G56" s="4" t="n">
        <v>1</v>
      </c>
      <c r="H56" s="4" t="inlineStr">
        <is>
          <t>blank-&gt;1</t>
        </is>
      </c>
      <c r="I56" s="4" t="n"/>
      <c r="J56" s="4" t="inlineStr">
        <is>
          <t>RQ2_Missing_167</t>
        </is>
      </c>
      <c r="K56" s="4" t="n"/>
      <c r="L56" s="4" t="n">
        <v>1</v>
      </c>
      <c r="M56" s="4" t="inlineStr">
        <is>
          <t>High</t>
        </is>
      </c>
      <c r="N56" s="4" t="n"/>
      <c r="O56" s="4" t="n"/>
    </row>
    <row r="57" ht="34" customHeight="1">
      <c r="A57" s="4" t="n">
        <v>71</v>
      </c>
      <c r="B57" s="4" t="inlineStr">
        <is>
          <t>Revisor A</t>
        </is>
      </c>
      <c r="C57" s="4" t="n">
        <v>2020</v>
      </c>
      <c r="D57" s="4" t="inlineStr">
        <is>
          <t>diagnosis</t>
        </is>
      </c>
      <c r="E57" s="4" t="inlineStr">
        <is>
          <t>Señales fisiológicas</t>
        </is>
      </c>
      <c r="F57" s="4" t="n">
        <v>0</v>
      </c>
      <c r="G57" s="4" t="n">
        <v>1</v>
      </c>
      <c r="H57" s="4" t="inlineStr">
        <is>
          <t>0-&gt;1</t>
        </is>
      </c>
      <c r="I57" s="4" t="n">
        <v>0</v>
      </c>
      <c r="J57" s="4" t="inlineStr">
        <is>
          <t>RQ2_Negative_78</t>
        </is>
      </c>
      <c r="K57" s="4" t="n">
        <v>0</v>
      </c>
      <c r="L57" s="4" t="n">
        <v>0</v>
      </c>
      <c r="M57" s="4" t="inlineStr">
        <is>
          <t>Medium</t>
        </is>
      </c>
      <c r="N57" s="4" t="inlineStr">
        <is>
          <t>biomarker-or-biological-marker</t>
        </is>
      </c>
      <c r="O57" s="4" t="n"/>
    </row>
    <row r="58" ht="34" customHeight="1">
      <c r="A58" s="4" t="n">
        <v>72</v>
      </c>
      <c r="B58" s="4" t="inlineStr">
        <is>
          <t>Revisor A</t>
        </is>
      </c>
      <c r="C58" s="4" t="n">
        <v>2022</v>
      </c>
      <c r="D58" s="4" t="inlineStr">
        <is>
          <t>Diagnosis</t>
        </is>
      </c>
      <c r="E58" s="4" t="inlineStr">
        <is>
          <t>Multimodal</t>
        </is>
      </c>
      <c r="F58" s="4" t="n"/>
      <c r="G58" s="4" t="n">
        <v>0</v>
      </c>
      <c r="H58" s="4" t="inlineStr">
        <is>
          <t>blank-&gt;0</t>
        </is>
      </c>
      <c r="I58" s="4" t="n"/>
      <c r="J58" s="4" t="inlineStr">
        <is>
          <t>RQ2_Missing_167</t>
        </is>
      </c>
      <c r="K58" s="4" t="n"/>
      <c r="L58" s="4" t="n">
        <v>1</v>
      </c>
      <c r="M58" s="4" t="inlineStr">
        <is>
          <t>High</t>
        </is>
      </c>
      <c r="N58" s="4" t="inlineStr">
        <is>
          <t>manual-adjudication; changed-to-0</t>
        </is>
      </c>
      <c r="O58" s="4" t="n"/>
    </row>
    <row r="59" ht="34" customHeight="1">
      <c r="A59" s="4" t="n">
        <v>73</v>
      </c>
      <c r="B59" s="4" t="inlineStr">
        <is>
          <t>Revisor B</t>
        </is>
      </c>
      <c r="C59" s="4" t="n">
        <v>2021</v>
      </c>
      <c r="D59" s="4" t="inlineStr">
        <is>
          <t>diagnosis</t>
        </is>
      </c>
      <c r="E59" s="4" t="inlineStr">
        <is>
          <t>No especificado</t>
        </is>
      </c>
      <c r="F59" s="4" t="n">
        <v>0</v>
      </c>
      <c r="G59" s="4" t="n">
        <v>1</v>
      </c>
      <c r="H59" s="4" t="inlineStr">
        <is>
          <t>0-&gt;1</t>
        </is>
      </c>
      <c r="I59" s="4" t="n">
        <v>0</v>
      </c>
      <c r="J59" s="4" t="inlineStr">
        <is>
          <t>RQ2_Negative_78</t>
        </is>
      </c>
      <c r="K59" s="4" t="n">
        <v>0</v>
      </c>
      <c r="L59" s="4" t="n">
        <v>1</v>
      </c>
      <c r="M59" s="4" t="inlineStr">
        <is>
          <t>High</t>
        </is>
      </c>
      <c r="N59" s="4" t="inlineStr">
        <is>
          <t>biomarker-or-biological-marker</t>
        </is>
      </c>
      <c r="O59" s="4" t="n"/>
    </row>
    <row r="60" ht="34" customHeight="1">
      <c r="A60" s="4" t="n">
        <v>74</v>
      </c>
      <c r="B60" s="4" t="inlineStr">
        <is>
          <t>Revisor A</t>
        </is>
      </c>
      <c r="C60" s="4" t="n">
        <v>2023</v>
      </c>
      <c r="D60" s="4" t="inlineStr">
        <is>
          <t>Diagnosis</t>
        </is>
      </c>
      <c r="E60" s="4" t="inlineStr">
        <is>
          <t>Señales fisiológicas</t>
        </is>
      </c>
      <c r="F60" s="4" t="n"/>
      <c r="G60" s="4" t="n">
        <v>1</v>
      </c>
      <c r="H60" s="4" t="inlineStr">
        <is>
          <t>blank-&gt;1</t>
        </is>
      </c>
      <c r="I60" s="4" t="n"/>
      <c r="J60" s="4" t="inlineStr">
        <is>
          <t>RQ2_Missing_167</t>
        </is>
      </c>
      <c r="K60" s="4" t="n"/>
      <c r="L60" s="4" t="n">
        <v>1</v>
      </c>
      <c r="M60" s="4" t="inlineStr">
        <is>
          <t>High</t>
        </is>
      </c>
      <c r="N60" s="4" t="inlineStr">
        <is>
          <t>biomarker-or-biological-marker</t>
        </is>
      </c>
      <c r="O60" s="4" t="n"/>
    </row>
    <row r="61" ht="34" customHeight="1">
      <c r="A61" s="4" t="n">
        <v>75</v>
      </c>
      <c r="B61" s="4" t="inlineStr">
        <is>
          <t>Revisor B</t>
        </is>
      </c>
      <c r="C61" s="4" t="n">
        <v>2020</v>
      </c>
      <c r="D61" s="4" t="n"/>
      <c r="E61" s="4" t="inlineStr">
        <is>
          <t>Señales fisiológicas</t>
        </is>
      </c>
      <c r="F61" s="4" t="n"/>
      <c r="G61" s="4" t="n">
        <v>1</v>
      </c>
      <c r="H61" s="4" t="inlineStr">
        <is>
          <t>blank-&gt;1</t>
        </is>
      </c>
      <c r="I61" s="4" t="n"/>
      <c r="J61" s="4" t="inlineStr">
        <is>
          <t>RQ2_Missing_167</t>
        </is>
      </c>
      <c r="K61" s="4" t="n"/>
      <c r="L61" s="4" t="n">
        <v>1</v>
      </c>
      <c r="M61" s="4" t="inlineStr">
        <is>
          <t>High</t>
        </is>
      </c>
      <c r="N61" s="4" t="inlineStr">
        <is>
          <t>stage-unclear</t>
        </is>
      </c>
      <c r="O61" s="4" t="n"/>
    </row>
    <row r="62" ht="34" customHeight="1">
      <c r="A62" s="4" t="n">
        <v>76</v>
      </c>
      <c r="B62" s="4" t="inlineStr">
        <is>
          <t>Revisor A</t>
        </is>
      </c>
      <c r="C62" s="4" t="n">
        <v>2017</v>
      </c>
      <c r="D62" s="4" t="inlineStr">
        <is>
          <t>diagnosis</t>
        </is>
      </c>
      <c r="E62" s="4" t="inlineStr">
        <is>
          <t>Imagen</t>
        </is>
      </c>
      <c r="F62" s="4" t="n">
        <v>0</v>
      </c>
      <c r="G62" s="4" t="n">
        <v>1</v>
      </c>
      <c r="H62" s="4" t="inlineStr">
        <is>
          <t>0-&gt;1</t>
        </is>
      </c>
      <c r="I62" s="4" t="n">
        <v>0</v>
      </c>
      <c r="J62" s="4" t="inlineStr">
        <is>
          <t>RQ2_Negative_78</t>
        </is>
      </c>
      <c r="K62" s="4" t="n">
        <v>0</v>
      </c>
      <c r="L62" s="4" t="n">
        <v>0</v>
      </c>
      <c r="M62" s="4" t="inlineStr">
        <is>
          <t>Medium</t>
        </is>
      </c>
      <c r="N62" s="4" t="inlineStr">
        <is>
          <t>biomarker-or-biological-marker</t>
        </is>
      </c>
      <c r="O62" s="4" t="n"/>
    </row>
    <row r="63" ht="34" customHeight="1">
      <c r="A63" s="4" t="n">
        <v>77</v>
      </c>
      <c r="B63" s="4" t="inlineStr">
        <is>
          <t>Revisor A</t>
        </is>
      </c>
      <c r="C63" s="4" t="n">
        <v>2023</v>
      </c>
      <c r="D63" s="4" t="inlineStr">
        <is>
          <t>Diagnosis</t>
        </is>
      </c>
      <c r="E63" s="4" t="inlineStr">
        <is>
          <t>Señales fisiológicas</t>
        </is>
      </c>
      <c r="F63" s="4" t="n"/>
      <c r="G63" s="4" t="n">
        <v>1</v>
      </c>
      <c r="H63" s="4" t="inlineStr">
        <is>
          <t>blank-&gt;1</t>
        </is>
      </c>
      <c r="I63" s="4" t="n"/>
      <c r="J63" s="4" t="inlineStr">
        <is>
          <t>RQ2_Missing_167</t>
        </is>
      </c>
      <c r="K63" s="4" t="n"/>
      <c r="L63" s="4" t="n">
        <v>1</v>
      </c>
      <c r="M63" s="4" t="inlineStr">
        <is>
          <t>High</t>
        </is>
      </c>
      <c r="N63" s="4" t="inlineStr">
        <is>
          <t>biomarker-or-biological-marker</t>
        </is>
      </c>
      <c r="O63" s="4" t="n"/>
    </row>
    <row r="64" ht="34" customHeight="1">
      <c r="A64" s="4" t="n">
        <v>78</v>
      </c>
      <c r="B64" s="4" t="inlineStr">
        <is>
          <t>Revisor A</t>
        </is>
      </c>
      <c r="C64" s="4" t="n">
        <v>2024</v>
      </c>
      <c r="D64" s="4" t="inlineStr">
        <is>
          <t>Diagnosis</t>
        </is>
      </c>
      <c r="E64" s="4" t="inlineStr">
        <is>
          <t>Señales fisiológicas</t>
        </is>
      </c>
      <c r="F64" s="4" t="n"/>
      <c r="G64" s="4" t="n">
        <v>1</v>
      </c>
      <c r="H64" s="4" t="inlineStr">
        <is>
          <t>blank-&gt;1</t>
        </is>
      </c>
      <c r="I64" s="4" t="n"/>
      <c r="J64" s="4" t="inlineStr">
        <is>
          <t>RQ2_Missing_167</t>
        </is>
      </c>
      <c r="K64" s="4" t="n"/>
      <c r="L64" s="4" t="n">
        <v>1</v>
      </c>
      <c r="M64" s="4" t="inlineStr">
        <is>
          <t>High</t>
        </is>
      </c>
      <c r="N64" s="4" t="inlineStr">
        <is>
          <t>biomarker-or-biological-marker</t>
        </is>
      </c>
      <c r="O64" s="4" t="n"/>
    </row>
    <row r="65" ht="30" customHeight="1">
      <c r="A65" s="4" t="n">
        <v>79</v>
      </c>
      <c r="B65" s="4" t="inlineStr">
        <is>
          <t>Ambos (piloto)</t>
        </is>
      </c>
      <c r="C65" s="4" t="n">
        <v>2020</v>
      </c>
      <c r="D65" s="4" t="inlineStr">
        <is>
          <t>Diagnosis</t>
        </is>
      </c>
      <c r="E65" s="4" t="inlineStr">
        <is>
          <t>Multimodal</t>
        </is>
      </c>
      <c r="F65" s="4" t="n"/>
      <c r="G65" s="4" t="n">
        <v>1</v>
      </c>
      <c r="H65" s="4" t="inlineStr">
        <is>
          <t>blank-&gt;1</t>
        </is>
      </c>
      <c r="I65" s="4" t="n"/>
      <c r="J65" s="4" t="inlineStr">
        <is>
          <t>RQ2_Missing_167</t>
        </is>
      </c>
      <c r="K65" s="4" t="n"/>
      <c r="L65" s="4" t="n">
        <v>1</v>
      </c>
      <c r="M65" s="4" t="inlineStr">
        <is>
          <t>High</t>
        </is>
      </c>
      <c r="N65" s="4" t="n"/>
      <c r="O65" s="4" t="n"/>
    </row>
    <row r="66" ht="34" customHeight="1">
      <c r="A66" s="4" t="n">
        <v>80</v>
      </c>
      <c r="B66" s="4" t="inlineStr">
        <is>
          <t>Ambos (piloto)</t>
        </is>
      </c>
      <c r="C66" s="4" t="n">
        <v>2019</v>
      </c>
      <c r="D66" s="4" t="inlineStr">
        <is>
          <t>Prescreening</t>
        </is>
      </c>
      <c r="E66" s="4" t="inlineStr">
        <is>
          <t>Señales fisiológicas</t>
        </is>
      </c>
      <c r="F66" s="4" t="n"/>
      <c r="G66" s="4" t="n">
        <v>1</v>
      </c>
      <c r="H66" s="4" t="inlineStr">
        <is>
          <t>blank-&gt;1</t>
        </is>
      </c>
      <c r="I66" s="4" t="n"/>
      <c r="J66" s="4" t="inlineStr">
        <is>
          <t>RQ2_Missing_167</t>
        </is>
      </c>
      <c r="K66" s="4" t="n"/>
      <c r="L66" s="4" t="n">
        <v>1</v>
      </c>
      <c r="M66" s="4" t="inlineStr">
        <is>
          <t>High</t>
        </is>
      </c>
      <c r="N66" s="4" t="inlineStr">
        <is>
          <t>biomarker-or-biological-marker</t>
        </is>
      </c>
      <c r="O66" s="4" t="n"/>
    </row>
    <row r="67" ht="34" customHeight="1">
      <c r="A67" s="4" t="n">
        <v>81</v>
      </c>
      <c r="B67" s="4" t="inlineStr">
        <is>
          <t>Revisor A</t>
        </is>
      </c>
      <c r="C67" s="4" t="n">
        <v>2023</v>
      </c>
      <c r="D67" s="4" t="inlineStr">
        <is>
          <t>Diagnosis</t>
        </is>
      </c>
      <c r="E67" s="4" t="inlineStr">
        <is>
          <t>Señales fisiológicas</t>
        </is>
      </c>
      <c r="F67" s="4" t="n"/>
      <c r="G67" s="4" t="n">
        <v>1</v>
      </c>
      <c r="H67" s="4" t="inlineStr">
        <is>
          <t>blank-&gt;1</t>
        </is>
      </c>
      <c r="I67" s="4" t="n"/>
      <c r="J67" s="4" t="inlineStr">
        <is>
          <t>RQ2_Missing_167</t>
        </is>
      </c>
      <c r="K67" s="4" t="n"/>
      <c r="L67" s="4" t="n">
        <v>1</v>
      </c>
      <c r="M67" s="4" t="inlineStr">
        <is>
          <t>High</t>
        </is>
      </c>
      <c r="N67" s="4" t="inlineStr">
        <is>
          <t>biomarker-or-biological-marker</t>
        </is>
      </c>
      <c r="O67" s="4" t="n"/>
    </row>
    <row r="68" ht="34" customHeight="1">
      <c r="A68" s="4" t="n">
        <v>82</v>
      </c>
      <c r="B68" s="4" t="inlineStr">
        <is>
          <t>Revisor A</t>
        </is>
      </c>
      <c r="C68" s="4" t="n">
        <v>2023</v>
      </c>
      <c r="D68" s="4" t="inlineStr">
        <is>
          <t>Screening</t>
        </is>
      </c>
      <c r="E68" s="4" t="inlineStr">
        <is>
          <t>Imagen</t>
        </is>
      </c>
      <c r="F68" s="4" t="n"/>
      <c r="G68" s="4" t="n">
        <v>1</v>
      </c>
      <c r="H68" s="4" t="inlineStr">
        <is>
          <t>blank-&gt;1</t>
        </is>
      </c>
      <c r="I68" s="4" t="n"/>
      <c r="J68" s="4" t="inlineStr">
        <is>
          <t>RQ2_Missing_167</t>
        </is>
      </c>
      <c r="K68" s="4" t="n"/>
      <c r="L68" s="4" t="n">
        <v>1</v>
      </c>
      <c r="M68" s="4" t="inlineStr">
        <is>
          <t>High</t>
        </is>
      </c>
      <c r="N68" s="4" t="inlineStr">
        <is>
          <t>biomarker-or-biological-marker</t>
        </is>
      </c>
      <c r="O68" s="4" t="n"/>
    </row>
    <row r="69" ht="30" customHeight="1">
      <c r="A69" s="4" t="n">
        <v>83</v>
      </c>
      <c r="B69" s="4" t="inlineStr">
        <is>
          <t>Revisor A</t>
        </is>
      </c>
      <c r="C69" s="4" t="n">
        <v>2025</v>
      </c>
      <c r="D69" s="4" t="inlineStr">
        <is>
          <t>diagnosis</t>
        </is>
      </c>
      <c r="E69" s="4" t="inlineStr">
        <is>
          <t>Texto · NLP</t>
        </is>
      </c>
      <c r="F69" s="4" t="n">
        <v>0</v>
      </c>
      <c r="G69" s="4" t="n">
        <v>1</v>
      </c>
      <c r="H69" s="4" t="inlineStr">
        <is>
          <t>0-&gt;1</t>
        </is>
      </c>
      <c r="I69" s="4" t="n">
        <v>0</v>
      </c>
      <c r="J69" s="4" t="inlineStr">
        <is>
          <t>RQ2_Negative_78</t>
        </is>
      </c>
      <c r="K69" s="4" t="n">
        <v>0</v>
      </c>
      <c r="L69" s="4" t="n">
        <v>0</v>
      </c>
      <c r="M69" s="4" t="inlineStr">
        <is>
          <t>Medium</t>
        </is>
      </c>
      <c r="N69" s="4" t="n"/>
      <c r="O69" s="4" t="n"/>
    </row>
    <row r="70" ht="34" customHeight="1">
      <c r="A70" s="4" t="n">
        <v>84</v>
      </c>
      <c r="B70" s="4" t="inlineStr">
        <is>
          <t>Revisor B</t>
        </is>
      </c>
      <c r="C70" s="4" t="n">
        <v>2024</v>
      </c>
      <c r="D70" s="4" t="inlineStr">
        <is>
          <t>diagnosis</t>
        </is>
      </c>
      <c r="E70" s="4" t="inlineStr">
        <is>
          <t>Texto · NLP</t>
        </is>
      </c>
      <c r="F70" s="4" t="n">
        <v>0</v>
      </c>
      <c r="G70" s="4" t="n">
        <v>1</v>
      </c>
      <c r="H70" s="4" t="inlineStr">
        <is>
          <t>0-&gt;1</t>
        </is>
      </c>
      <c r="I70" s="4" t="n">
        <v>0</v>
      </c>
      <c r="J70" s="4" t="inlineStr">
        <is>
          <t>RQ2_Negative_78</t>
        </is>
      </c>
      <c r="K70" s="4" t="n">
        <v>0</v>
      </c>
      <c r="L70" s="4" t="n">
        <v>1</v>
      </c>
      <c r="M70" s="4" t="inlineStr">
        <is>
          <t>High</t>
        </is>
      </c>
      <c r="N70" s="4" t="inlineStr">
        <is>
          <t>biomarker-or-biological-marker</t>
        </is>
      </c>
      <c r="O70" s="4" t="n"/>
    </row>
    <row r="71" ht="30" customHeight="1">
      <c r="A71" s="4" t="n">
        <v>85</v>
      </c>
      <c r="B71" s="4" t="inlineStr">
        <is>
          <t>Revisor A</t>
        </is>
      </c>
      <c r="C71" s="4" t="n">
        <v>2022</v>
      </c>
      <c r="D71" s="4" t="inlineStr">
        <is>
          <t>Diagnosis</t>
        </is>
      </c>
      <c r="E71" s="4" t="inlineStr">
        <is>
          <t>Imagen</t>
        </is>
      </c>
      <c r="F71" s="4" t="n"/>
      <c r="G71" s="4" t="n">
        <v>1</v>
      </c>
      <c r="H71" s="4" t="inlineStr">
        <is>
          <t>blank-&gt;1</t>
        </is>
      </c>
      <c r="I71" s="4" t="n"/>
      <c r="J71" s="4" t="inlineStr">
        <is>
          <t>RQ2_Missing_167</t>
        </is>
      </c>
      <c r="K71" s="4" t="n"/>
      <c r="L71" s="4" t="n">
        <v>1</v>
      </c>
      <c r="M71" s="4" t="inlineStr">
        <is>
          <t>High</t>
        </is>
      </c>
      <c r="N71" s="4" t="n"/>
      <c r="O71" s="4" t="n"/>
    </row>
    <row r="72" ht="34" customHeight="1">
      <c r="A72" s="4" t="n">
        <v>88</v>
      </c>
      <c r="B72" s="4" t="inlineStr">
        <is>
          <t>Revisor A</t>
        </is>
      </c>
      <c r="C72" s="4" t="n">
        <v>2022</v>
      </c>
      <c r="D72" s="4" t="inlineStr">
        <is>
          <t>Monitoring/intervention</t>
        </is>
      </c>
      <c r="E72" s="4" t="inlineStr">
        <is>
          <t>Señales fisiológicas</t>
        </is>
      </c>
      <c r="F72" s="4" t="n"/>
      <c r="G72" s="4" t="n">
        <v>0</v>
      </c>
      <c r="H72" s="4" t="inlineStr">
        <is>
          <t>blank-&gt;0</t>
        </is>
      </c>
      <c r="I72" s="4" t="n"/>
      <c r="J72" s="4" t="inlineStr">
        <is>
          <t>RQ2_Missing_167</t>
        </is>
      </c>
      <c r="K72" s="4" t="n"/>
      <c r="L72" s="4" t="n">
        <v>1</v>
      </c>
      <c r="M72" s="4" t="inlineStr">
        <is>
          <t>High</t>
        </is>
      </c>
      <c r="N72" s="4" t="inlineStr">
        <is>
          <t>manual-adjudication; changed-to-0</t>
        </is>
      </c>
      <c r="O72" s="4" t="n"/>
    </row>
    <row r="73" ht="34" customHeight="1">
      <c r="A73" s="4" t="n">
        <v>89</v>
      </c>
      <c r="B73" s="4" t="inlineStr">
        <is>
          <t>Revisor B</t>
        </is>
      </c>
      <c r="C73" s="4" t="n">
        <v>2018</v>
      </c>
      <c r="D73" s="4" t="inlineStr">
        <is>
          <t>Monitoring/intervention</t>
        </is>
      </c>
      <c r="E73" s="4" t="inlineStr">
        <is>
          <t>Imagen</t>
        </is>
      </c>
      <c r="F73" s="4" t="n">
        <v>0</v>
      </c>
      <c r="G73" s="4" t="n">
        <v>1</v>
      </c>
      <c r="H73" s="4" t="inlineStr">
        <is>
          <t>0-&gt;1</t>
        </is>
      </c>
      <c r="I73" s="4" t="n">
        <v>0</v>
      </c>
      <c r="J73" s="4" t="inlineStr">
        <is>
          <t>RQ2_Negative_78</t>
        </is>
      </c>
      <c r="K73" s="4" t="n">
        <v>0</v>
      </c>
      <c r="L73" s="4" t="n">
        <v>1</v>
      </c>
      <c r="M73" s="4" t="inlineStr">
        <is>
          <t>High</t>
        </is>
      </c>
      <c r="N73" s="4" t="inlineStr">
        <is>
          <t>biomarker-or-biological-marker</t>
        </is>
      </c>
      <c r="O73" s="4" t="n"/>
    </row>
    <row r="74" ht="34" customHeight="1">
      <c r="A74" s="4" t="n">
        <v>90</v>
      </c>
      <c r="B74" s="4" t="inlineStr">
        <is>
          <t>Revisor B</t>
        </is>
      </c>
      <c r="C74" s="4" t="n">
        <v>2023</v>
      </c>
      <c r="D74" s="4" t="inlineStr">
        <is>
          <t>diagnosis</t>
        </is>
      </c>
      <c r="E74" s="4" t="inlineStr">
        <is>
          <t>No especificado</t>
        </is>
      </c>
      <c r="F74" s="4" t="n">
        <v>0</v>
      </c>
      <c r="G74" s="4" t="n">
        <v>0</v>
      </c>
      <c r="H74" s="4" t="inlineStr">
        <is>
          <t>unchanged</t>
        </is>
      </c>
      <c r="I74" s="4" t="n">
        <v>0</v>
      </c>
      <c r="J74" s="4" t="inlineStr">
        <is>
          <t>RQ2_Negative_78</t>
        </is>
      </c>
      <c r="K74" s="4" t="n">
        <v>0</v>
      </c>
      <c r="L74" s="4" t="n">
        <v>1</v>
      </c>
      <c r="M74" s="4" t="inlineStr">
        <is>
          <t>High</t>
        </is>
      </c>
      <c r="N74" s="4" t="inlineStr">
        <is>
          <t>manual-adjudication; changed-to-0</t>
        </is>
      </c>
      <c r="O74" s="4" t="n"/>
    </row>
    <row r="75" ht="30" customHeight="1">
      <c r="A75" s="4" t="n">
        <v>91</v>
      </c>
      <c r="B75" s="4" t="inlineStr">
        <is>
          <t>Revisor B</t>
        </is>
      </c>
      <c r="C75" s="4" t="n">
        <v>2022</v>
      </c>
      <c r="D75" s="4" t="inlineStr">
        <is>
          <t>diagnosis</t>
        </is>
      </c>
      <c r="E75" s="4" t="inlineStr">
        <is>
          <t>No especificado</t>
        </is>
      </c>
      <c r="F75" s="4" t="n">
        <v>0</v>
      </c>
      <c r="G75" s="4" t="n">
        <v>1</v>
      </c>
      <c r="H75" s="4" t="inlineStr">
        <is>
          <t>0-&gt;1</t>
        </is>
      </c>
      <c r="I75" s="4" t="n">
        <v>0</v>
      </c>
      <c r="J75" s="4" t="inlineStr">
        <is>
          <t>RQ2_Negative_78</t>
        </is>
      </c>
      <c r="K75" s="4" t="n">
        <v>0</v>
      </c>
      <c r="L75" s="4" t="n">
        <v>1</v>
      </c>
      <c r="M75" s="4" t="inlineStr">
        <is>
          <t>High</t>
        </is>
      </c>
      <c r="N75" s="4" t="n"/>
      <c r="O75" s="4" t="n"/>
    </row>
    <row r="76" ht="34" customHeight="1">
      <c r="A76" s="4" t="n">
        <v>92</v>
      </c>
      <c r="B76" s="4" t="inlineStr">
        <is>
          <t>Revisor A</t>
        </is>
      </c>
      <c r="C76" s="4" t="n">
        <v>2025</v>
      </c>
      <c r="D76" s="4" t="inlineStr">
        <is>
          <t>Diagnosis</t>
        </is>
      </c>
      <c r="E76" s="4" t="inlineStr">
        <is>
          <t>Señales fisiológicas</t>
        </is>
      </c>
      <c r="F76" s="4" t="n"/>
      <c r="G76" s="4" t="n">
        <v>1</v>
      </c>
      <c r="H76" s="4" t="inlineStr">
        <is>
          <t>blank-&gt;1</t>
        </is>
      </c>
      <c r="I76" s="4" t="n"/>
      <c r="J76" s="4" t="inlineStr">
        <is>
          <t>RQ2_Missing_167</t>
        </is>
      </c>
      <c r="K76" s="4" t="n"/>
      <c r="L76" s="4" t="n">
        <v>1</v>
      </c>
      <c r="M76" s="4" t="inlineStr">
        <is>
          <t>High</t>
        </is>
      </c>
      <c r="N76" s="4" t="inlineStr">
        <is>
          <t>biomarker-or-biological-marker</t>
        </is>
      </c>
      <c r="O76" s="4" t="n"/>
    </row>
    <row r="77" ht="34" customHeight="1">
      <c r="A77" s="4" t="n">
        <v>94</v>
      </c>
      <c r="B77" s="4" t="inlineStr">
        <is>
          <t>Revisor A</t>
        </is>
      </c>
      <c r="C77" s="4" t="n">
        <v>2023</v>
      </c>
      <c r="D77" s="4" t="inlineStr">
        <is>
          <t>Screening</t>
        </is>
      </c>
      <c r="E77" s="4" t="inlineStr">
        <is>
          <t>No especificado</t>
        </is>
      </c>
      <c r="F77" s="4" t="n"/>
      <c r="G77" s="4" t="n">
        <v>1</v>
      </c>
      <c r="H77" s="4" t="inlineStr">
        <is>
          <t>blank-&gt;1</t>
        </is>
      </c>
      <c r="I77" s="4" t="n"/>
      <c r="J77" s="4" t="inlineStr">
        <is>
          <t>RQ2_Missing_167</t>
        </is>
      </c>
      <c r="K77" s="4" t="n"/>
      <c r="L77" s="4" t="n">
        <v>1</v>
      </c>
      <c r="M77" s="4" t="inlineStr">
        <is>
          <t>High</t>
        </is>
      </c>
      <c r="N77" s="4" t="inlineStr">
        <is>
          <t>biomarker-or-biological-marker</t>
        </is>
      </c>
      <c r="O77" s="4" t="n"/>
    </row>
    <row r="78" ht="34" customHeight="1">
      <c r="A78" s="4" t="n">
        <v>95</v>
      </c>
      <c r="B78" s="4" t="inlineStr">
        <is>
          <t>Ambos (piloto)</t>
        </is>
      </c>
      <c r="C78" s="4" t="n">
        <v>2024</v>
      </c>
      <c r="D78" s="4" t="inlineStr">
        <is>
          <t>Monitoring/intervention</t>
        </is>
      </c>
      <c r="E78" s="4" t="inlineStr">
        <is>
          <t>Texto · NLP</t>
        </is>
      </c>
      <c r="F78" s="4" t="n"/>
      <c r="G78" s="4" t="n">
        <v>1</v>
      </c>
      <c r="H78" s="4" t="inlineStr">
        <is>
          <t>blank-&gt;1</t>
        </is>
      </c>
      <c r="I78" s="4" t="n"/>
      <c r="J78" s="4" t="inlineStr">
        <is>
          <t>RQ2_Missing_167</t>
        </is>
      </c>
      <c r="K78" s="4" t="n"/>
      <c r="L78" s="4" t="n">
        <v>1</v>
      </c>
      <c r="M78" s="4" t="inlineStr">
        <is>
          <t>High</t>
        </is>
      </c>
      <c r="N78" s="4" t="n"/>
      <c r="O78" s="4" t="n"/>
    </row>
    <row r="79" ht="34" customHeight="1">
      <c r="A79" s="4" t="n">
        <v>97</v>
      </c>
      <c r="B79" s="4" t="inlineStr">
        <is>
          <t>Revisor B</t>
        </is>
      </c>
      <c r="C79" s="4" t="n">
        <v>2020</v>
      </c>
      <c r="D79" s="4" t="inlineStr">
        <is>
          <t>monitoring_intervention</t>
        </is>
      </c>
      <c r="E79" s="4" t="inlineStr">
        <is>
          <t>Imagen</t>
        </is>
      </c>
      <c r="F79" s="4" t="n">
        <v>0</v>
      </c>
      <c r="G79" s="4" t="n">
        <v>1</v>
      </c>
      <c r="H79" s="4" t="inlineStr">
        <is>
          <t>0-&gt;1</t>
        </is>
      </c>
      <c r="I79" s="4" t="n">
        <v>0</v>
      </c>
      <c r="J79" s="4" t="inlineStr">
        <is>
          <t>RQ2_Negative_78</t>
        </is>
      </c>
      <c r="K79" s="4" t="n">
        <v>0</v>
      </c>
      <c r="L79" s="4" t="n">
        <v>1</v>
      </c>
      <c r="M79" s="4" t="inlineStr">
        <is>
          <t>High</t>
        </is>
      </c>
      <c r="N79" s="4" t="inlineStr">
        <is>
          <t>biomarker-or-biological-marker</t>
        </is>
      </c>
      <c r="O79" s="4" t="n"/>
    </row>
    <row r="80" ht="34" customHeight="1">
      <c r="A80" s="4" t="n">
        <v>98</v>
      </c>
      <c r="B80" s="4" t="inlineStr">
        <is>
          <t>Revisor A</t>
        </is>
      </c>
      <c r="C80" s="4" t="n">
        <v>2024</v>
      </c>
      <c r="D80" s="4" t="inlineStr">
        <is>
          <t>Diagnosis</t>
        </is>
      </c>
      <c r="E80" s="4" t="inlineStr">
        <is>
          <t>Señales fisiológicas</t>
        </is>
      </c>
      <c r="F80" s="4" t="n"/>
      <c r="G80" s="4" t="n">
        <v>1</v>
      </c>
      <c r="H80" s="4" t="inlineStr">
        <is>
          <t>blank-&gt;1</t>
        </is>
      </c>
      <c r="I80" s="4" t="n"/>
      <c r="J80" s="4" t="inlineStr">
        <is>
          <t>RQ2_Missing_167</t>
        </is>
      </c>
      <c r="K80" s="4" t="n"/>
      <c r="L80" s="4" t="n">
        <v>1</v>
      </c>
      <c r="M80" s="4" t="inlineStr">
        <is>
          <t>High</t>
        </is>
      </c>
      <c r="N80" s="4" t="inlineStr">
        <is>
          <t>classification-only-language</t>
        </is>
      </c>
      <c r="O80" s="4" t="n"/>
    </row>
    <row r="81" ht="47" customHeight="1">
      <c r="A81" s="4" t="n">
        <v>99</v>
      </c>
      <c r="B81" s="4" t="inlineStr">
        <is>
          <t>Revisor A</t>
        </is>
      </c>
      <c r="C81" s="4" t="n">
        <v>2014</v>
      </c>
      <c r="D81" s="4" t="inlineStr">
        <is>
          <t>Not clear</t>
        </is>
      </c>
      <c r="E81" s="4" t="inlineStr">
        <is>
          <t>No especificado</t>
        </is>
      </c>
      <c r="F81" s="4" t="n"/>
      <c r="G81" s="4" t="n">
        <v>1</v>
      </c>
      <c r="H81" s="4" t="inlineStr">
        <is>
          <t>blank-&gt;1</t>
        </is>
      </c>
      <c r="I81" s="4" t="n"/>
      <c r="J81" s="4" t="inlineStr">
        <is>
          <t>RQ2_Missing_167</t>
        </is>
      </c>
      <c r="K81" s="4" t="n"/>
      <c r="L81" s="4" t="n">
        <v>0</v>
      </c>
      <c r="M81" s="4" t="inlineStr">
        <is>
          <t>Medium</t>
        </is>
      </c>
      <c r="N81" s="4" t="inlineStr">
        <is>
          <t>stage-unclear; biomarker-or-biological-marker</t>
        </is>
      </c>
      <c r="O81" s="4" t="n"/>
    </row>
    <row r="82" ht="34" customHeight="1">
      <c r="A82" s="4" t="n">
        <v>100</v>
      </c>
      <c r="B82" s="4" t="inlineStr">
        <is>
          <t>Revisor A</t>
        </is>
      </c>
      <c r="C82" s="4" t="n">
        <v>2025</v>
      </c>
      <c r="D82" s="4" t="inlineStr">
        <is>
          <t>Diagnosis</t>
        </is>
      </c>
      <c r="E82" s="4" t="inlineStr">
        <is>
          <t>Señales fisiológicas</t>
        </is>
      </c>
      <c r="F82" s="4" t="n"/>
      <c r="G82" s="4" t="n">
        <v>0</v>
      </c>
      <c r="H82" s="4" t="inlineStr">
        <is>
          <t>blank-&gt;0</t>
        </is>
      </c>
      <c r="I82" s="4" t="n"/>
      <c r="J82" s="4" t="inlineStr">
        <is>
          <t>RQ2_Missing_167</t>
        </is>
      </c>
      <c r="K82" s="4" t="n"/>
      <c r="L82" s="4" t="n">
        <v>1</v>
      </c>
      <c r="M82" s="4" t="inlineStr">
        <is>
          <t>High</t>
        </is>
      </c>
      <c r="N82" s="4" t="inlineStr">
        <is>
          <t>manual-adjudication; changed-to-0</t>
        </is>
      </c>
      <c r="O82" s="4" t="n"/>
    </row>
    <row r="83" ht="34" customHeight="1">
      <c r="A83" s="4" t="n">
        <v>101</v>
      </c>
      <c r="B83" s="4" t="inlineStr">
        <is>
          <t>Revisor B</t>
        </is>
      </c>
      <c r="C83" s="4" t="n">
        <v>2014</v>
      </c>
      <c r="D83" s="4" t="n"/>
      <c r="E83" s="4" t="inlineStr">
        <is>
          <t>Señales fisiológicas</t>
        </is>
      </c>
      <c r="F83" s="4" t="n"/>
      <c r="G83" s="4" t="n">
        <v>1</v>
      </c>
      <c r="H83" s="4" t="inlineStr">
        <is>
          <t>blank-&gt;1</t>
        </is>
      </c>
      <c r="I83" s="4" t="n"/>
      <c r="J83" s="4" t="inlineStr">
        <is>
          <t>RQ2_Missing_167</t>
        </is>
      </c>
      <c r="K83" s="4" t="n"/>
      <c r="L83" s="4" t="n">
        <v>0</v>
      </c>
      <c r="M83" s="4" t="inlineStr">
        <is>
          <t>Medium</t>
        </is>
      </c>
      <c r="N83" s="4" t="inlineStr">
        <is>
          <t>stage-unclear</t>
        </is>
      </c>
      <c r="O83" s="4" t="n"/>
    </row>
    <row r="84" ht="30" customHeight="1">
      <c r="A84" s="4" t="n">
        <v>102</v>
      </c>
      <c r="B84" s="4" t="inlineStr">
        <is>
          <t>Revisor A</t>
        </is>
      </c>
      <c r="C84" s="4" t="n">
        <v>2020</v>
      </c>
      <c r="D84" s="4" t="inlineStr">
        <is>
          <t>Screening</t>
        </is>
      </c>
      <c r="E84" s="4" t="inlineStr">
        <is>
          <t>Imagen</t>
        </is>
      </c>
      <c r="F84" s="4" t="n"/>
      <c r="G84" s="4" t="n">
        <v>1</v>
      </c>
      <c r="H84" s="4" t="inlineStr">
        <is>
          <t>blank-&gt;1</t>
        </is>
      </c>
      <c r="I84" s="4" t="n"/>
      <c r="J84" s="4" t="inlineStr">
        <is>
          <t>RQ2_Missing_167</t>
        </is>
      </c>
      <c r="K84" s="4" t="n"/>
      <c r="L84" s="4" t="n">
        <v>1</v>
      </c>
      <c r="M84" s="4" t="inlineStr">
        <is>
          <t>High</t>
        </is>
      </c>
      <c r="N84" s="4" t="n"/>
      <c r="O84" s="4" t="n"/>
    </row>
    <row r="85" ht="60" customHeight="1">
      <c r="A85" s="4" t="n">
        <v>105</v>
      </c>
      <c r="B85" s="4" t="inlineStr">
        <is>
          <t>Revisor B</t>
        </is>
      </c>
      <c r="C85" s="4" t="n">
        <v>2018</v>
      </c>
      <c r="D85" s="4" t="inlineStr">
        <is>
          <t>Monitoring/intervention</t>
        </is>
      </c>
      <c r="E85" s="4" t="inlineStr">
        <is>
          <t>Señales fisiológicas</t>
        </is>
      </c>
      <c r="F85" s="4" t="n">
        <v>0</v>
      </c>
      <c r="G85" s="4" t="n">
        <v>1</v>
      </c>
      <c r="H85" s="4" t="inlineStr">
        <is>
          <t>0-&gt;1</t>
        </is>
      </c>
      <c r="I85" s="4" t="n">
        <v>0</v>
      </c>
      <c r="J85" s="4" t="inlineStr">
        <is>
          <t>RQ2_Negative_78</t>
        </is>
      </c>
      <c r="K85" s="4" t="n">
        <v>0</v>
      </c>
      <c r="L85" s="4" t="n">
        <v>1</v>
      </c>
      <c r="M85" s="4" t="inlineStr">
        <is>
          <t>High</t>
        </is>
      </c>
      <c r="N85" s="4" t="inlineStr">
        <is>
          <t>biomarker-or-biological-marker; classification-only-language</t>
        </is>
      </c>
      <c r="O85" s="4" t="n"/>
    </row>
    <row r="86" ht="34" customHeight="1">
      <c r="A86" s="4" t="n">
        <v>106</v>
      </c>
      <c r="B86" s="4" t="inlineStr">
        <is>
          <t>Revisor B</t>
        </is>
      </c>
      <c r="C86" s="4" t="n">
        <v>2025</v>
      </c>
      <c r="D86" s="4" t="inlineStr">
        <is>
          <t>Diagnosis</t>
        </is>
      </c>
      <c r="E86" s="4" t="inlineStr">
        <is>
          <t>No especificado</t>
        </is>
      </c>
      <c r="F86" s="4" t="n">
        <v>0</v>
      </c>
      <c r="G86" s="4" t="n">
        <v>0</v>
      </c>
      <c r="H86" s="4" t="inlineStr">
        <is>
          <t>unchanged</t>
        </is>
      </c>
      <c r="I86" s="4" t="n">
        <v>0</v>
      </c>
      <c r="J86" s="4" t="inlineStr">
        <is>
          <t>RQ2_Negative_78</t>
        </is>
      </c>
      <c r="K86" s="4" t="n">
        <v>0</v>
      </c>
      <c r="L86" s="4" t="n">
        <v>1</v>
      </c>
      <c r="M86" s="4" t="inlineStr">
        <is>
          <t>High</t>
        </is>
      </c>
      <c r="N86" s="4" t="inlineStr">
        <is>
          <t>manual-adjudication; changed-to-0</t>
        </is>
      </c>
      <c r="O86" s="4" t="n"/>
    </row>
    <row r="87" ht="30" customHeight="1">
      <c r="A87" s="4" t="n">
        <v>107</v>
      </c>
      <c r="B87" s="4" t="inlineStr">
        <is>
          <t>Revisor B</t>
        </is>
      </c>
      <c r="C87" s="4" t="n">
        <v>2020</v>
      </c>
      <c r="D87" s="4" t="inlineStr">
        <is>
          <t>Screening</t>
        </is>
      </c>
      <c r="E87" s="4" t="inlineStr">
        <is>
          <t>Imagen</t>
        </is>
      </c>
      <c r="F87" s="4" t="n">
        <v>0</v>
      </c>
      <c r="G87" s="4" t="n">
        <v>1</v>
      </c>
      <c r="H87" s="4" t="inlineStr">
        <is>
          <t>0-&gt;1</t>
        </is>
      </c>
      <c r="I87" s="4" t="n">
        <v>0</v>
      </c>
      <c r="J87" s="4" t="inlineStr">
        <is>
          <t>RQ2_Negative_78</t>
        </is>
      </c>
      <c r="K87" s="4" t="n">
        <v>0</v>
      </c>
      <c r="L87" s="4" t="n">
        <v>1</v>
      </c>
      <c r="M87" s="4" t="inlineStr">
        <is>
          <t>High</t>
        </is>
      </c>
      <c r="N87" s="4" t="n"/>
      <c r="O87" s="4" t="n"/>
    </row>
    <row r="88" ht="47" customHeight="1">
      <c r="A88" s="4" t="n">
        <v>108</v>
      </c>
      <c r="B88" s="4" t="inlineStr">
        <is>
          <t>Ambos (piloto)</t>
        </is>
      </c>
      <c r="C88" s="4" t="n">
        <v>2013</v>
      </c>
      <c r="D88" s="4" t="inlineStr">
        <is>
          <t>Diagnosis</t>
        </is>
      </c>
      <c r="E88" s="4" t="inlineStr">
        <is>
          <t>Imagen</t>
        </is>
      </c>
      <c r="F88" s="4" t="n"/>
      <c r="G88" s="4" t="n">
        <v>1</v>
      </c>
      <c r="H88" s="4" t="inlineStr">
        <is>
          <t>blank-&gt;1</t>
        </is>
      </c>
      <c r="I88" s="4" t="n"/>
      <c r="J88" s="4" t="inlineStr">
        <is>
          <t>RQ2_Missing_167</t>
        </is>
      </c>
      <c r="K88" s="4" t="n"/>
      <c r="L88" s="4" t="n">
        <v>1</v>
      </c>
      <c r="M88" s="4" t="inlineStr">
        <is>
          <t>High</t>
        </is>
      </c>
      <c r="N88" s="4" t="inlineStr">
        <is>
          <t>subtyping/phenotyping; classification-only-language</t>
        </is>
      </c>
      <c r="O88" s="4" t="n"/>
    </row>
    <row r="89" ht="34" customHeight="1">
      <c r="A89" s="4" t="n">
        <v>109</v>
      </c>
      <c r="B89" s="4" t="inlineStr">
        <is>
          <t>Ambos (piloto)</t>
        </is>
      </c>
      <c r="C89" s="4" t="n">
        <v>2014</v>
      </c>
      <c r="D89" s="4" t="inlineStr">
        <is>
          <t>Diagnosis</t>
        </is>
      </c>
      <c r="E89" s="4" t="inlineStr">
        <is>
          <t>Señales fisiológicas</t>
        </is>
      </c>
      <c r="F89" s="4" t="n"/>
      <c r="G89" s="4" t="n">
        <v>1</v>
      </c>
      <c r="H89" s="4" t="inlineStr">
        <is>
          <t>blank-&gt;1</t>
        </is>
      </c>
      <c r="I89" s="4" t="n"/>
      <c r="J89" s="4" t="inlineStr">
        <is>
          <t>RQ2_Missing_167</t>
        </is>
      </c>
      <c r="K89" s="4" t="n"/>
      <c r="L89" s="4" t="n">
        <v>1</v>
      </c>
      <c r="M89" s="4" t="inlineStr">
        <is>
          <t>High</t>
        </is>
      </c>
      <c r="N89" s="4" t="n"/>
      <c r="O89" s="4" t="n"/>
    </row>
    <row r="90" ht="34" customHeight="1">
      <c r="A90" s="4" t="n">
        <v>110</v>
      </c>
      <c r="B90" s="4" t="inlineStr">
        <is>
          <t>Revisor B</t>
        </is>
      </c>
      <c r="C90" s="4" t="n">
        <v>2020</v>
      </c>
      <c r="D90" s="4" t="inlineStr">
        <is>
          <t>Monitoring/intervention</t>
        </is>
      </c>
      <c r="E90" s="4" t="inlineStr">
        <is>
          <t>Texto · NLP</t>
        </is>
      </c>
      <c r="F90" s="4" t="n">
        <v>0</v>
      </c>
      <c r="G90" s="4" t="n">
        <v>0</v>
      </c>
      <c r="H90" s="4" t="inlineStr">
        <is>
          <t>unchanged</t>
        </is>
      </c>
      <c r="I90" s="4" t="n">
        <v>0</v>
      </c>
      <c r="J90" s="4" t="inlineStr">
        <is>
          <t>RQ2_Negative_78</t>
        </is>
      </c>
      <c r="K90" s="4" t="n">
        <v>0</v>
      </c>
      <c r="L90" s="4" t="n">
        <v>1</v>
      </c>
      <c r="M90" s="4" t="inlineStr">
        <is>
          <t>High</t>
        </is>
      </c>
      <c r="N90" s="4" t="inlineStr">
        <is>
          <t>manual-adjudication; changed-to-0</t>
        </is>
      </c>
      <c r="O90" s="4" t="n"/>
    </row>
    <row r="91" ht="34" customHeight="1">
      <c r="A91" s="4" t="n">
        <v>111</v>
      </c>
      <c r="B91" s="4" t="inlineStr">
        <is>
          <t>Revisor A</t>
        </is>
      </c>
      <c r="C91" s="4" t="n">
        <v>2023</v>
      </c>
      <c r="D91" s="4" t="inlineStr">
        <is>
          <t>Prescreening</t>
        </is>
      </c>
      <c r="E91" s="4" t="inlineStr">
        <is>
          <t>No especificado</t>
        </is>
      </c>
      <c r="F91" s="4" t="n"/>
      <c r="G91" s="4" t="n">
        <v>0</v>
      </c>
      <c r="H91" s="4" t="inlineStr">
        <is>
          <t>blank-&gt;0</t>
        </is>
      </c>
      <c r="I91" s="4" t="n"/>
      <c r="J91" s="4" t="inlineStr">
        <is>
          <t>RQ2_Missing_167</t>
        </is>
      </c>
      <c r="K91" s="4" t="n"/>
      <c r="L91" s="4" t="n">
        <v>1</v>
      </c>
      <c r="M91" s="4" t="inlineStr">
        <is>
          <t>High</t>
        </is>
      </c>
      <c r="N91" s="4" t="inlineStr">
        <is>
          <t>manual-adjudication; changed-to-0</t>
        </is>
      </c>
      <c r="O91" s="4" t="n"/>
    </row>
    <row r="92" ht="34" customHeight="1">
      <c r="A92" s="4" t="n">
        <v>112</v>
      </c>
      <c r="B92" s="4" t="inlineStr">
        <is>
          <t>Ambos (piloto)</t>
        </is>
      </c>
      <c r="C92" s="4" t="n">
        <v>2023</v>
      </c>
      <c r="D92" s="4" t="inlineStr">
        <is>
          <t>Diagnosis</t>
        </is>
      </c>
      <c r="E92" s="4" t="inlineStr">
        <is>
          <t>Texto · NLP</t>
        </is>
      </c>
      <c r="F92" s="4" t="n"/>
      <c r="G92" s="4" t="n">
        <v>1</v>
      </c>
      <c r="H92" s="4" t="inlineStr">
        <is>
          <t>blank-&gt;1</t>
        </is>
      </c>
      <c r="I92" s="4" t="n"/>
      <c r="J92" s="4" t="inlineStr">
        <is>
          <t>RQ2_Missing_167</t>
        </is>
      </c>
      <c r="K92" s="4" t="n"/>
      <c r="L92" s="4" t="n">
        <v>0</v>
      </c>
      <c r="M92" s="4" t="inlineStr">
        <is>
          <t>Medium</t>
        </is>
      </c>
      <c r="N92" s="4" t="inlineStr">
        <is>
          <t>biomarker-or-biological-marker</t>
        </is>
      </c>
      <c r="O92" s="4" t="n"/>
    </row>
    <row r="93" ht="34" customHeight="1">
      <c r="A93" s="4" t="n">
        <v>115</v>
      </c>
      <c r="B93" s="4" t="inlineStr">
        <is>
          <t>Revisor A</t>
        </is>
      </c>
      <c r="C93" s="4" t="n">
        <v>2025</v>
      </c>
      <c r="D93" s="4" t="inlineStr">
        <is>
          <t>Screening</t>
        </is>
      </c>
      <c r="E93" s="4" t="inlineStr">
        <is>
          <t>No especificado</t>
        </is>
      </c>
      <c r="F93" s="4" t="n"/>
      <c r="G93" s="4" t="n">
        <v>1</v>
      </c>
      <c r="H93" s="4" t="inlineStr">
        <is>
          <t>blank-&gt;1</t>
        </is>
      </c>
      <c r="I93" s="4" t="n"/>
      <c r="J93" s="4" t="inlineStr">
        <is>
          <t>RQ2_Missing_167</t>
        </is>
      </c>
      <c r="K93" s="4" t="n"/>
      <c r="L93" s="4" t="n">
        <v>1</v>
      </c>
      <c r="M93" s="4" t="inlineStr">
        <is>
          <t>High</t>
        </is>
      </c>
      <c r="N93" s="4" t="inlineStr">
        <is>
          <t>biomarker-or-biological-marker</t>
        </is>
      </c>
      <c r="O93" s="4" t="n"/>
    </row>
    <row r="94" ht="30" customHeight="1">
      <c r="A94" s="4" t="n">
        <v>116</v>
      </c>
      <c r="B94" s="4" t="inlineStr">
        <is>
          <t>Revisor A</t>
        </is>
      </c>
      <c r="C94" s="4" t="n">
        <v>2016</v>
      </c>
      <c r="D94" s="4" t="inlineStr">
        <is>
          <t>Screening</t>
        </is>
      </c>
      <c r="E94" s="4" t="inlineStr">
        <is>
          <t>No especificado</t>
        </is>
      </c>
      <c r="F94" s="4" t="n"/>
      <c r="G94" s="4" t="n">
        <v>1</v>
      </c>
      <c r="H94" s="4" t="inlineStr">
        <is>
          <t>blank-&gt;1</t>
        </is>
      </c>
      <c r="I94" s="4" t="n"/>
      <c r="J94" s="4" t="inlineStr">
        <is>
          <t>RQ2_Missing_167</t>
        </is>
      </c>
      <c r="K94" s="4" t="n"/>
      <c r="L94" s="4" t="n">
        <v>1</v>
      </c>
      <c r="M94" s="4" t="inlineStr">
        <is>
          <t>High</t>
        </is>
      </c>
      <c r="N94" s="4" t="n"/>
      <c r="O94" s="4" t="n"/>
    </row>
    <row r="95" ht="30" customHeight="1">
      <c r="A95" s="4" t="n">
        <v>117</v>
      </c>
      <c r="B95" s="4" t="inlineStr">
        <is>
          <t>Ambos (piloto)</t>
        </is>
      </c>
      <c r="C95" s="4" t="n">
        <v>2019</v>
      </c>
      <c r="D95" s="4" t="inlineStr">
        <is>
          <t>Screening</t>
        </is>
      </c>
      <c r="E95" s="4" t="inlineStr">
        <is>
          <t>No especificado</t>
        </is>
      </c>
      <c r="F95" s="4" t="n"/>
      <c r="G95" s="4" t="n">
        <v>1</v>
      </c>
      <c r="H95" s="4" t="inlineStr">
        <is>
          <t>blank-&gt;1</t>
        </is>
      </c>
      <c r="I95" s="4" t="n"/>
      <c r="J95" s="4" t="inlineStr">
        <is>
          <t>RQ2_Missing_167</t>
        </is>
      </c>
      <c r="K95" s="4" t="n"/>
      <c r="L95" s="4" t="n">
        <v>1</v>
      </c>
      <c r="M95" s="4" t="inlineStr">
        <is>
          <t>High</t>
        </is>
      </c>
      <c r="N95" s="4" t="n"/>
      <c r="O95" s="4" t="n"/>
    </row>
    <row r="96" ht="30" customHeight="1">
      <c r="A96" s="4" t="n">
        <v>120</v>
      </c>
      <c r="B96" s="4" t="inlineStr">
        <is>
          <t>Revisor A</t>
        </is>
      </c>
      <c r="C96" s="4" t="n">
        <v>2025</v>
      </c>
      <c r="D96" s="4" t="inlineStr">
        <is>
          <t>Screening</t>
        </is>
      </c>
      <c r="E96" s="4" t="inlineStr">
        <is>
          <t>Imagen</t>
        </is>
      </c>
      <c r="F96" s="4" t="n"/>
      <c r="G96" s="4" t="n">
        <v>1</v>
      </c>
      <c r="H96" s="4" t="inlineStr">
        <is>
          <t>blank-&gt;1</t>
        </is>
      </c>
      <c r="I96" s="4" t="n"/>
      <c r="J96" s="4" t="inlineStr">
        <is>
          <t>RQ2_Missing_167</t>
        </is>
      </c>
      <c r="K96" s="4" t="n"/>
      <c r="L96" s="4" t="n">
        <v>1</v>
      </c>
      <c r="M96" s="4" t="inlineStr">
        <is>
          <t>High</t>
        </is>
      </c>
      <c r="N96" s="4" t="n"/>
      <c r="O96" s="4" t="n"/>
    </row>
    <row r="97" ht="47" customHeight="1">
      <c r="A97" s="4" t="n">
        <v>121</v>
      </c>
      <c r="B97" s="4" t="inlineStr">
        <is>
          <t>Revisor B</t>
        </is>
      </c>
      <c r="C97" s="4" t="n">
        <v>2016</v>
      </c>
      <c r="D97" s="4" t="n"/>
      <c r="E97" s="4" t="inlineStr">
        <is>
          <t>Texto · NLP</t>
        </is>
      </c>
      <c r="F97" s="4" t="n"/>
      <c r="G97" s="4" t="n">
        <v>1</v>
      </c>
      <c r="H97" s="4" t="inlineStr">
        <is>
          <t>blank-&gt;1</t>
        </is>
      </c>
      <c r="I97" s="4" t="n"/>
      <c r="J97" s="4" t="inlineStr">
        <is>
          <t>RQ2_Missing_167</t>
        </is>
      </c>
      <c r="K97" s="4" t="n"/>
      <c r="L97" s="4" t="n">
        <v>1</v>
      </c>
      <c r="M97" s="4" t="inlineStr">
        <is>
          <t>High</t>
        </is>
      </c>
      <c r="N97" s="4" t="inlineStr">
        <is>
          <t>stage-unclear; biomarker-or-biological-marker</t>
        </is>
      </c>
      <c r="O97" s="4" t="n"/>
    </row>
    <row r="98" ht="34" customHeight="1">
      <c r="A98" s="4" t="n">
        <v>122</v>
      </c>
      <c r="B98" s="4" t="inlineStr">
        <is>
          <t>Revisor B</t>
        </is>
      </c>
      <c r="C98" s="4" t="n">
        <v>2025</v>
      </c>
      <c r="D98" s="4" t="inlineStr">
        <is>
          <t>Diagnosis</t>
        </is>
      </c>
      <c r="E98" s="4" t="inlineStr">
        <is>
          <t>Señales fisiológicas</t>
        </is>
      </c>
      <c r="F98" s="4" t="n">
        <v>0</v>
      </c>
      <c r="G98" s="4" t="n">
        <v>1</v>
      </c>
      <c r="H98" s="4" t="inlineStr">
        <is>
          <t>0-&gt;1</t>
        </is>
      </c>
      <c r="I98" s="4" t="n">
        <v>0</v>
      </c>
      <c r="J98" s="4" t="inlineStr">
        <is>
          <t>RQ2_Negative_78</t>
        </is>
      </c>
      <c r="K98" s="4" t="n">
        <v>0</v>
      </c>
      <c r="L98" s="4" t="n">
        <v>1</v>
      </c>
      <c r="M98" s="4" t="inlineStr">
        <is>
          <t>High</t>
        </is>
      </c>
      <c r="N98" s="4" t="n"/>
      <c r="O98" s="4" t="n"/>
    </row>
    <row r="99" ht="60" customHeight="1">
      <c r="A99" s="4" t="n">
        <v>123</v>
      </c>
      <c r="B99" s="4" t="inlineStr">
        <is>
          <t>Revisor B</t>
        </is>
      </c>
      <c r="C99" s="4" t="n">
        <v>2022</v>
      </c>
      <c r="D99" s="4" t="inlineStr">
        <is>
          <t>screening</t>
        </is>
      </c>
      <c r="E99" s="4" t="inlineStr">
        <is>
          <t>Texto · NLP</t>
        </is>
      </c>
      <c r="F99" s="4" t="n">
        <v>0</v>
      </c>
      <c r="G99" s="4" t="n">
        <v>1</v>
      </c>
      <c r="H99" s="4" t="inlineStr">
        <is>
          <t>0-&gt;1</t>
        </is>
      </c>
      <c r="I99" s="4" t="n">
        <v>0</v>
      </c>
      <c r="J99" s="4" t="inlineStr">
        <is>
          <t>RQ2_Negative_78</t>
        </is>
      </c>
      <c r="K99" s="4" t="n">
        <v>0</v>
      </c>
      <c r="L99" s="4" t="n">
        <v>1</v>
      </c>
      <c r="M99" s="4" t="inlineStr">
        <is>
          <t>High</t>
        </is>
      </c>
      <c r="N99" s="4" t="inlineStr">
        <is>
          <t>secondary-literature-or-protocol; biomarker-or-biological-marker</t>
        </is>
      </c>
      <c r="O99" s="4" t="n"/>
    </row>
    <row r="100" ht="34" customHeight="1">
      <c r="A100" s="4" t="n">
        <v>127</v>
      </c>
      <c r="B100" s="4" t="inlineStr">
        <is>
          <t>Revisor A</t>
        </is>
      </c>
      <c r="C100" s="4" t="n">
        <v>2024</v>
      </c>
      <c r="D100" s="4" t="inlineStr">
        <is>
          <t>Screening</t>
        </is>
      </c>
      <c r="E100" s="4" t="inlineStr">
        <is>
          <t>Imagen</t>
        </is>
      </c>
      <c r="F100" s="4" t="n"/>
      <c r="G100" s="4" t="n">
        <v>1</v>
      </c>
      <c r="H100" s="4" t="inlineStr">
        <is>
          <t>blank-&gt;1</t>
        </is>
      </c>
      <c r="I100" s="4" t="n"/>
      <c r="J100" s="4" t="inlineStr">
        <is>
          <t>RQ2_Missing_167</t>
        </is>
      </c>
      <c r="K100" s="4" t="n"/>
      <c r="L100" s="4" t="n">
        <v>1</v>
      </c>
      <c r="M100" s="4" t="inlineStr">
        <is>
          <t>High</t>
        </is>
      </c>
      <c r="N100" s="4" t="inlineStr">
        <is>
          <t>biomarker-or-biological-marker</t>
        </is>
      </c>
      <c r="O100" s="4" t="n"/>
    </row>
    <row r="101" ht="30" customHeight="1">
      <c r="A101" s="4" t="n">
        <v>129</v>
      </c>
      <c r="B101" s="4" t="inlineStr">
        <is>
          <t>Revisor B</t>
        </is>
      </c>
      <c r="C101" s="4" t="n">
        <v>2025</v>
      </c>
      <c r="D101" s="4" t="inlineStr">
        <is>
          <t>Screening</t>
        </is>
      </c>
      <c r="E101" s="4" t="inlineStr">
        <is>
          <t>No especificado</t>
        </is>
      </c>
      <c r="F101" s="4" t="n">
        <v>0</v>
      </c>
      <c r="G101" s="4" t="n">
        <v>1</v>
      </c>
      <c r="H101" s="4" t="inlineStr">
        <is>
          <t>0-&gt;1</t>
        </is>
      </c>
      <c r="I101" s="4" t="n">
        <v>0</v>
      </c>
      <c r="J101" s="4" t="inlineStr">
        <is>
          <t>RQ2_Negative_78</t>
        </is>
      </c>
      <c r="K101" s="4" t="n">
        <v>0</v>
      </c>
      <c r="L101" s="4" t="n">
        <v>1</v>
      </c>
      <c r="M101" s="4" t="inlineStr">
        <is>
          <t>High</t>
        </is>
      </c>
      <c r="N101" s="4" t="n"/>
      <c r="O101" s="4" t="n"/>
    </row>
    <row r="102" ht="34" customHeight="1">
      <c r="A102" s="4" t="n">
        <v>130</v>
      </c>
      <c r="B102" s="4" t="inlineStr">
        <is>
          <t>Revisor A</t>
        </is>
      </c>
      <c r="C102" s="4" t="n">
        <v>2025</v>
      </c>
      <c r="D102" s="4" t="inlineStr">
        <is>
          <t>Diagnosis</t>
        </is>
      </c>
      <c r="E102" s="4" t="inlineStr">
        <is>
          <t>Texto · NLP</t>
        </is>
      </c>
      <c r="F102" s="4" t="n"/>
      <c r="G102" s="4" t="n">
        <v>0</v>
      </c>
      <c r="H102" s="4" t="inlineStr">
        <is>
          <t>blank-&gt;0</t>
        </is>
      </c>
      <c r="I102" s="4" t="n"/>
      <c r="J102" s="4" t="inlineStr">
        <is>
          <t>RQ2_Missing_167</t>
        </is>
      </c>
      <c r="K102" s="4" t="n"/>
      <c r="L102" s="4" t="n">
        <v>1</v>
      </c>
      <c r="M102" s="4" t="inlineStr">
        <is>
          <t>High</t>
        </is>
      </c>
      <c r="N102" s="4" t="inlineStr">
        <is>
          <t>manual-adjudication; changed-to-0</t>
        </is>
      </c>
      <c r="O102" s="4" t="n"/>
    </row>
    <row r="103" ht="30" customHeight="1">
      <c r="A103" s="4" t="n">
        <v>131</v>
      </c>
      <c r="B103" s="4" t="inlineStr">
        <is>
          <t>Revisor A</t>
        </is>
      </c>
      <c r="C103" s="4" t="n">
        <v>2016</v>
      </c>
      <c r="D103" s="4" t="inlineStr">
        <is>
          <t>Prescreening</t>
        </is>
      </c>
      <c r="E103" s="4" t="inlineStr">
        <is>
          <t>Texto · NLP</t>
        </is>
      </c>
      <c r="F103" s="4" t="n"/>
      <c r="G103" s="4" t="n">
        <v>1</v>
      </c>
      <c r="H103" s="4" t="inlineStr">
        <is>
          <t>blank-&gt;1</t>
        </is>
      </c>
      <c r="I103" s="4" t="n"/>
      <c r="J103" s="4" t="inlineStr">
        <is>
          <t>RQ2_Missing_167</t>
        </is>
      </c>
      <c r="K103" s="4" t="n"/>
      <c r="L103" s="4" t="n">
        <v>1</v>
      </c>
      <c r="M103" s="4" t="inlineStr">
        <is>
          <t>High</t>
        </is>
      </c>
      <c r="N103" s="4" t="n"/>
      <c r="O103" s="4" t="n"/>
    </row>
    <row r="104" ht="30" customHeight="1">
      <c r="A104" s="4" t="n">
        <v>133</v>
      </c>
      <c r="B104" s="4" t="inlineStr">
        <is>
          <t>Revisor A</t>
        </is>
      </c>
      <c r="C104" s="4" t="n">
        <v>2022</v>
      </c>
      <c r="D104" s="4" t="inlineStr">
        <is>
          <t>Diagnosis</t>
        </is>
      </c>
      <c r="E104" s="4" t="inlineStr">
        <is>
          <t>No especificado</t>
        </is>
      </c>
      <c r="F104" s="4" t="n"/>
      <c r="G104" s="4" t="n">
        <v>1</v>
      </c>
      <c r="H104" s="4" t="inlineStr">
        <is>
          <t>blank-&gt;1</t>
        </is>
      </c>
      <c r="I104" s="4" t="n"/>
      <c r="J104" s="4" t="inlineStr">
        <is>
          <t>RQ2_Missing_167</t>
        </is>
      </c>
      <c r="K104" s="4" t="n"/>
      <c r="L104" s="4" t="n">
        <v>1</v>
      </c>
      <c r="M104" s="4" t="inlineStr">
        <is>
          <t>High</t>
        </is>
      </c>
      <c r="N104" s="4" t="n"/>
      <c r="O104" s="4" t="n"/>
    </row>
    <row r="105" ht="30" customHeight="1">
      <c r="A105" s="4" t="n">
        <v>134</v>
      </c>
      <c r="B105" s="4" t="inlineStr">
        <is>
          <t>Revisor A</t>
        </is>
      </c>
      <c r="C105" s="4" t="n">
        <v>2021</v>
      </c>
      <c r="D105" s="4" t="inlineStr">
        <is>
          <t>Screening</t>
        </is>
      </c>
      <c r="E105" s="4" t="inlineStr">
        <is>
          <t>No especificado</t>
        </is>
      </c>
      <c r="F105" s="4" t="n"/>
      <c r="G105" s="4" t="n">
        <v>1</v>
      </c>
      <c r="H105" s="4" t="inlineStr">
        <is>
          <t>blank-&gt;1</t>
        </is>
      </c>
      <c r="I105" s="4" t="n"/>
      <c r="J105" s="4" t="inlineStr">
        <is>
          <t>RQ2_Missing_167</t>
        </is>
      </c>
      <c r="K105" s="4" t="n"/>
      <c r="L105" s="4" t="n">
        <v>1</v>
      </c>
      <c r="M105" s="4" t="inlineStr">
        <is>
          <t>High</t>
        </is>
      </c>
      <c r="N105" s="4" t="n"/>
      <c r="O105" s="4" t="n"/>
    </row>
    <row r="106" ht="30" customHeight="1">
      <c r="A106" s="4" t="n">
        <v>135</v>
      </c>
      <c r="B106" s="4" t="inlineStr">
        <is>
          <t>Revisor A</t>
        </is>
      </c>
      <c r="C106" s="4" t="n">
        <v>2022</v>
      </c>
      <c r="D106" s="4" t="inlineStr">
        <is>
          <t>Screening</t>
        </is>
      </c>
      <c r="E106" s="4" t="inlineStr">
        <is>
          <t>Audio · Voz</t>
        </is>
      </c>
      <c r="F106" s="4" t="n"/>
      <c r="G106" s="4" t="n">
        <v>1</v>
      </c>
      <c r="H106" s="4" t="inlineStr">
        <is>
          <t>blank-&gt;1</t>
        </is>
      </c>
      <c r="I106" s="4" t="n"/>
      <c r="J106" s="4" t="inlineStr">
        <is>
          <t>RQ2_Missing_167</t>
        </is>
      </c>
      <c r="K106" s="4" t="n"/>
      <c r="L106" s="4" t="n">
        <v>1</v>
      </c>
      <c r="M106" s="4" t="inlineStr">
        <is>
          <t>High</t>
        </is>
      </c>
      <c r="N106" s="4" t="n"/>
      <c r="O106" s="4" t="n"/>
    </row>
    <row r="107" ht="34" customHeight="1">
      <c r="A107" s="4" t="n">
        <v>136</v>
      </c>
      <c r="B107" s="4" t="inlineStr">
        <is>
          <t>Revisor B</t>
        </is>
      </c>
      <c r="C107" s="4" t="n">
        <v>2022</v>
      </c>
      <c r="D107" s="4" t="inlineStr">
        <is>
          <t>diagnosis</t>
        </is>
      </c>
      <c r="E107" s="4" t="inlineStr">
        <is>
          <t>Señales fisiológicas</t>
        </is>
      </c>
      <c r="F107" s="4" t="n">
        <v>0</v>
      </c>
      <c r="G107" s="4" t="n">
        <v>1</v>
      </c>
      <c r="H107" s="4" t="inlineStr">
        <is>
          <t>0-&gt;1</t>
        </is>
      </c>
      <c r="I107" s="4" t="n">
        <v>0</v>
      </c>
      <c r="J107" s="4" t="inlineStr">
        <is>
          <t>RQ2_Negative_78</t>
        </is>
      </c>
      <c r="K107" s="4" t="n">
        <v>0</v>
      </c>
      <c r="L107" s="4" t="n">
        <v>1</v>
      </c>
      <c r="M107" s="4" t="inlineStr">
        <is>
          <t>High</t>
        </is>
      </c>
      <c r="N107" s="4" t="n"/>
      <c r="O107" s="4" t="n"/>
    </row>
    <row r="108" ht="30" customHeight="1">
      <c r="A108" s="4" t="n">
        <v>137</v>
      </c>
      <c r="B108" s="4" t="inlineStr">
        <is>
          <t>Revisor A</t>
        </is>
      </c>
      <c r="C108" s="4" t="n">
        <v>2021</v>
      </c>
      <c r="D108" s="4" t="inlineStr">
        <is>
          <t>Screening</t>
        </is>
      </c>
      <c r="E108" s="4" t="inlineStr">
        <is>
          <t>Imagen</t>
        </is>
      </c>
      <c r="F108" s="4" t="n"/>
      <c r="G108" s="4" t="n">
        <v>1</v>
      </c>
      <c r="H108" s="4" t="inlineStr">
        <is>
          <t>blank-&gt;1</t>
        </is>
      </c>
      <c r="I108" s="4" t="n"/>
      <c r="J108" s="4" t="inlineStr">
        <is>
          <t>RQ2_Missing_167</t>
        </is>
      </c>
      <c r="K108" s="4" t="n"/>
      <c r="L108" s="4" t="n">
        <v>1</v>
      </c>
      <c r="M108" s="4" t="inlineStr">
        <is>
          <t>High</t>
        </is>
      </c>
      <c r="N108" s="4" t="n"/>
      <c r="O108" s="4" t="n"/>
    </row>
    <row r="109" ht="30" customHeight="1">
      <c r="A109" s="4" t="n">
        <v>138</v>
      </c>
      <c r="B109" s="4" t="inlineStr">
        <is>
          <t>Revisor A</t>
        </is>
      </c>
      <c r="C109" s="4" t="n">
        <v>2024</v>
      </c>
      <c r="D109" s="4" t="inlineStr">
        <is>
          <t>Diagnosis</t>
        </is>
      </c>
      <c r="E109" s="4" t="inlineStr">
        <is>
          <t>No especificado</t>
        </is>
      </c>
      <c r="F109" s="4" t="n"/>
      <c r="G109" s="4" t="n">
        <v>1</v>
      </c>
      <c r="H109" s="4" t="inlineStr">
        <is>
          <t>blank-&gt;1</t>
        </is>
      </c>
      <c r="I109" s="4" t="n"/>
      <c r="J109" s="4" t="inlineStr">
        <is>
          <t>RQ2_Missing_167</t>
        </is>
      </c>
      <c r="K109" s="4" t="n"/>
      <c r="L109" s="4" t="n">
        <v>1</v>
      </c>
      <c r="M109" s="4" t="inlineStr">
        <is>
          <t>High</t>
        </is>
      </c>
      <c r="N109" s="4" t="n"/>
      <c r="O109" s="4" t="n"/>
    </row>
    <row r="110" ht="34" customHeight="1">
      <c r="A110" s="4" t="n">
        <v>139</v>
      </c>
      <c r="B110" s="4" t="inlineStr">
        <is>
          <t>Revisor A</t>
        </is>
      </c>
      <c r="C110" s="4" t="n">
        <v>2025</v>
      </c>
      <c r="D110" s="4" t="inlineStr">
        <is>
          <t>Diagnosis</t>
        </is>
      </c>
      <c r="E110" s="4" t="inlineStr">
        <is>
          <t>No especificado</t>
        </is>
      </c>
      <c r="F110" s="4" t="n"/>
      <c r="G110" s="4" t="n">
        <v>1</v>
      </c>
      <c r="H110" s="4" t="inlineStr">
        <is>
          <t>blank-&gt;1</t>
        </is>
      </c>
      <c r="I110" s="4" t="n"/>
      <c r="J110" s="4" t="inlineStr">
        <is>
          <t>RQ2_Missing_167</t>
        </is>
      </c>
      <c r="K110" s="4" t="n"/>
      <c r="L110" s="4" t="n">
        <v>1</v>
      </c>
      <c r="M110" s="4" t="inlineStr">
        <is>
          <t>High</t>
        </is>
      </c>
      <c r="N110" s="4" t="inlineStr">
        <is>
          <t>biomarker-or-biological-marker</t>
        </is>
      </c>
      <c r="O110" s="4" t="n"/>
    </row>
    <row r="111" ht="30" customHeight="1">
      <c r="A111" s="4" t="n">
        <v>140</v>
      </c>
      <c r="B111" s="4" t="inlineStr">
        <is>
          <t>Revisor B</t>
        </is>
      </c>
      <c r="C111" s="4" t="n">
        <v>2023</v>
      </c>
      <c r="D111" s="4" t="inlineStr">
        <is>
          <t>Diagnosis</t>
        </is>
      </c>
      <c r="E111" s="4" t="inlineStr">
        <is>
          <t>Imagen</t>
        </is>
      </c>
      <c r="F111" s="4" t="n">
        <v>0</v>
      </c>
      <c r="G111" s="4" t="n">
        <v>1</v>
      </c>
      <c r="H111" s="4" t="inlineStr">
        <is>
          <t>0-&gt;1</t>
        </is>
      </c>
      <c r="I111" s="4" t="n">
        <v>0</v>
      </c>
      <c r="J111" s="4" t="inlineStr">
        <is>
          <t>RQ2_Negative_78</t>
        </is>
      </c>
      <c r="K111" s="4" t="n">
        <v>0</v>
      </c>
      <c r="L111" s="4" t="n">
        <v>1</v>
      </c>
      <c r="M111" s="4" t="inlineStr">
        <is>
          <t>High</t>
        </is>
      </c>
      <c r="N111" s="4" t="n"/>
      <c r="O111" s="4" t="n"/>
    </row>
    <row r="112" ht="34" customHeight="1">
      <c r="A112" s="4" t="n">
        <v>142</v>
      </c>
      <c r="B112" s="4" t="inlineStr">
        <is>
          <t>Revisor A</t>
        </is>
      </c>
      <c r="C112" s="4" t="n">
        <v>2025</v>
      </c>
      <c r="D112" s="4" t="inlineStr">
        <is>
          <t>Monitoring/intervention</t>
        </is>
      </c>
      <c r="E112" s="4" t="inlineStr">
        <is>
          <t>Imagen</t>
        </is>
      </c>
      <c r="F112" s="4" t="n"/>
      <c r="G112" s="4" t="n">
        <v>1</v>
      </c>
      <c r="H112" s="4" t="inlineStr">
        <is>
          <t>blank-&gt;1</t>
        </is>
      </c>
      <c r="I112" s="4" t="n"/>
      <c r="J112" s="4" t="inlineStr">
        <is>
          <t>RQ2_Missing_167</t>
        </is>
      </c>
      <c r="K112" s="4" t="n"/>
      <c r="L112" s="4" t="n">
        <v>1</v>
      </c>
      <c r="M112" s="4" t="inlineStr">
        <is>
          <t>High</t>
        </is>
      </c>
      <c r="N112" s="4" t="inlineStr">
        <is>
          <t>biomarker-or-biological-marker</t>
        </is>
      </c>
      <c r="O112" s="4" t="n"/>
    </row>
    <row r="113" ht="34" customHeight="1">
      <c r="A113" s="4" t="n">
        <v>143</v>
      </c>
      <c r="B113" s="4" t="inlineStr">
        <is>
          <t>Revisor A</t>
        </is>
      </c>
      <c r="C113" s="4" t="n">
        <v>2023</v>
      </c>
      <c r="D113" s="4" t="inlineStr">
        <is>
          <t>Diagnosis</t>
        </is>
      </c>
      <c r="E113" s="4" t="inlineStr">
        <is>
          <t>No especificado</t>
        </is>
      </c>
      <c r="F113" s="4" t="n"/>
      <c r="G113" s="4" t="n">
        <v>1</v>
      </c>
      <c r="H113" s="4" t="inlineStr">
        <is>
          <t>blank-&gt;1</t>
        </is>
      </c>
      <c r="I113" s="4" t="n"/>
      <c r="J113" s="4" t="inlineStr">
        <is>
          <t>RQ2_Missing_167</t>
        </is>
      </c>
      <c r="K113" s="4" t="n"/>
      <c r="L113" s="4" t="n">
        <v>1</v>
      </c>
      <c r="M113" s="4" t="inlineStr">
        <is>
          <t>High</t>
        </is>
      </c>
      <c r="N113" s="4" t="inlineStr">
        <is>
          <t>biomarker-or-biological-marker</t>
        </is>
      </c>
      <c r="O113" s="4" t="n"/>
    </row>
    <row r="114" ht="34" customHeight="1">
      <c r="A114" s="4" t="n">
        <v>144</v>
      </c>
      <c r="B114" s="4" t="inlineStr">
        <is>
          <t>Revisor A</t>
        </is>
      </c>
      <c r="C114" s="4" t="n">
        <v>2024</v>
      </c>
      <c r="D114" s="4" t="inlineStr">
        <is>
          <t>Diagnosis</t>
        </is>
      </c>
      <c r="E114" s="4" t="inlineStr">
        <is>
          <t>Imagen</t>
        </is>
      </c>
      <c r="F114" s="4" t="n"/>
      <c r="G114" s="4" t="n">
        <v>1</v>
      </c>
      <c r="H114" s="4" t="inlineStr">
        <is>
          <t>blank-&gt;1</t>
        </is>
      </c>
      <c r="I114" s="4" t="n"/>
      <c r="J114" s="4" t="inlineStr">
        <is>
          <t>RQ2_Missing_167</t>
        </is>
      </c>
      <c r="K114" s="4" t="n"/>
      <c r="L114" s="4" t="n">
        <v>1</v>
      </c>
      <c r="M114" s="4" t="inlineStr">
        <is>
          <t>High</t>
        </is>
      </c>
      <c r="N114" s="4" t="inlineStr">
        <is>
          <t>biomarker-or-biological-marker</t>
        </is>
      </c>
      <c r="O114" s="4" t="n"/>
    </row>
    <row r="115" ht="30" customHeight="1">
      <c r="A115" s="4" t="n">
        <v>146</v>
      </c>
      <c r="B115" s="4" t="inlineStr">
        <is>
          <t>Revisor A</t>
        </is>
      </c>
      <c r="C115" s="4" t="n">
        <v>2022</v>
      </c>
      <c r="D115" s="4" t="inlineStr">
        <is>
          <t>Screening</t>
        </is>
      </c>
      <c r="E115" s="4" t="inlineStr">
        <is>
          <t>No especificado</t>
        </is>
      </c>
      <c r="F115" s="4" t="n"/>
      <c r="G115" s="4" t="n">
        <v>1</v>
      </c>
      <c r="H115" s="4" t="inlineStr">
        <is>
          <t>blank-&gt;1</t>
        </is>
      </c>
      <c r="I115" s="4" t="n"/>
      <c r="J115" s="4" t="inlineStr">
        <is>
          <t>RQ2_Missing_167</t>
        </is>
      </c>
      <c r="K115" s="4" t="n"/>
      <c r="L115" s="4" t="n">
        <v>1</v>
      </c>
      <c r="M115" s="4" t="inlineStr">
        <is>
          <t>High</t>
        </is>
      </c>
      <c r="N115" s="4" t="n"/>
      <c r="O115" s="4" t="n"/>
    </row>
    <row r="116" ht="30" customHeight="1">
      <c r="A116" s="4" t="n">
        <v>147</v>
      </c>
      <c r="B116" s="4" t="inlineStr">
        <is>
          <t>Revisor A</t>
        </is>
      </c>
      <c r="C116" s="4" t="n">
        <v>2025</v>
      </c>
      <c r="D116" s="4" t="inlineStr">
        <is>
          <t>Diagnosis</t>
        </is>
      </c>
      <c r="E116" s="4" t="inlineStr">
        <is>
          <t>Multimodal</t>
        </is>
      </c>
      <c r="F116" s="4" t="n"/>
      <c r="G116" s="4" t="n">
        <v>1</v>
      </c>
      <c r="H116" s="4" t="inlineStr">
        <is>
          <t>blank-&gt;1</t>
        </is>
      </c>
      <c r="I116" s="4" t="n"/>
      <c r="J116" s="4" t="inlineStr">
        <is>
          <t>RQ2_Missing_167</t>
        </is>
      </c>
      <c r="K116" s="4" t="n"/>
      <c r="L116" s="4" t="n">
        <v>1</v>
      </c>
      <c r="M116" s="4" t="inlineStr">
        <is>
          <t>High</t>
        </is>
      </c>
      <c r="N116" s="4" t="n"/>
      <c r="O116" s="4" t="n"/>
    </row>
    <row r="117" ht="34" customHeight="1">
      <c r="A117" s="4" t="n">
        <v>149</v>
      </c>
      <c r="B117" s="4" t="inlineStr">
        <is>
          <t>Revisor A</t>
        </is>
      </c>
      <c r="C117" s="4" t="n">
        <v>2021</v>
      </c>
      <c r="D117" s="4" t="inlineStr">
        <is>
          <t>Diagnosis</t>
        </is>
      </c>
      <c r="E117" s="4" t="inlineStr">
        <is>
          <t>Multimodal</t>
        </is>
      </c>
      <c r="F117" s="4" t="n"/>
      <c r="G117" s="4" t="n">
        <v>0</v>
      </c>
      <c r="H117" s="4" t="inlineStr">
        <is>
          <t>blank-&gt;0</t>
        </is>
      </c>
      <c r="I117" s="4" t="n"/>
      <c r="J117" s="4" t="inlineStr">
        <is>
          <t>RQ2_Missing_167</t>
        </is>
      </c>
      <c r="K117" s="4" t="n"/>
      <c r="L117" s="4" t="n">
        <v>1</v>
      </c>
      <c r="M117" s="4" t="inlineStr">
        <is>
          <t>High</t>
        </is>
      </c>
      <c r="N117" s="4" t="inlineStr">
        <is>
          <t>manual-adjudication; changed-to-0</t>
        </is>
      </c>
      <c r="O117" s="4" t="n"/>
    </row>
    <row r="118" ht="34" customHeight="1">
      <c r="A118" s="4" t="n">
        <v>150</v>
      </c>
      <c r="B118" s="4" t="inlineStr">
        <is>
          <t>Revisor A</t>
        </is>
      </c>
      <c r="C118" s="4" t="n">
        <v>2021</v>
      </c>
      <c r="D118" s="4" t="inlineStr">
        <is>
          <t>Diagnosis</t>
        </is>
      </c>
      <c r="E118" s="4" t="inlineStr">
        <is>
          <t>Señales fisiológicas</t>
        </is>
      </c>
      <c r="F118" s="4" t="n"/>
      <c r="G118" s="4" t="n">
        <v>0</v>
      </c>
      <c r="H118" s="4" t="inlineStr">
        <is>
          <t>blank-&gt;0</t>
        </is>
      </c>
      <c r="I118" s="4" t="n"/>
      <c r="J118" s="4" t="inlineStr">
        <is>
          <t>RQ2_Missing_167</t>
        </is>
      </c>
      <c r="K118" s="4" t="n"/>
      <c r="L118" s="4" t="n">
        <v>1</v>
      </c>
      <c r="M118" s="4" t="inlineStr">
        <is>
          <t>High</t>
        </is>
      </c>
      <c r="N118" s="4" t="inlineStr">
        <is>
          <t>manual-adjudication; changed-to-0</t>
        </is>
      </c>
      <c r="O118" s="4" t="n"/>
    </row>
    <row r="119" ht="30" customHeight="1">
      <c r="A119" s="4" t="n">
        <v>151</v>
      </c>
      <c r="B119" s="4" t="inlineStr">
        <is>
          <t>Ambos (piloto)</t>
        </is>
      </c>
      <c r="C119" s="4" t="n">
        <v>2023</v>
      </c>
      <c r="D119" s="4" t="inlineStr">
        <is>
          <t>Diagnosis</t>
        </is>
      </c>
      <c r="E119" s="4" t="inlineStr">
        <is>
          <t>Texto · NLP</t>
        </is>
      </c>
      <c r="F119" s="4" t="n"/>
      <c r="G119" s="4" t="n">
        <v>1</v>
      </c>
      <c r="H119" s="4" t="inlineStr">
        <is>
          <t>blank-&gt;1</t>
        </is>
      </c>
      <c r="I119" s="4" t="n"/>
      <c r="J119" s="4" t="inlineStr">
        <is>
          <t>RQ2_Missing_167</t>
        </is>
      </c>
      <c r="K119" s="4" t="n"/>
      <c r="L119" s="4" t="n">
        <v>1</v>
      </c>
      <c r="M119" s="4" t="inlineStr">
        <is>
          <t>High</t>
        </is>
      </c>
      <c r="N119" s="4" t="n"/>
      <c r="O119" s="4" t="n"/>
    </row>
    <row r="120" ht="30" customHeight="1">
      <c r="A120" s="4" t="n">
        <v>152</v>
      </c>
      <c r="B120" s="4" t="inlineStr">
        <is>
          <t>Revisor B</t>
        </is>
      </c>
      <c r="C120" s="4" t="n">
        <v>2023</v>
      </c>
      <c r="D120" s="4" t="inlineStr">
        <is>
          <t>diagnosis</t>
        </is>
      </c>
      <c r="E120" s="4" t="inlineStr">
        <is>
          <t>No especificado</t>
        </is>
      </c>
      <c r="F120" s="4" t="n">
        <v>0</v>
      </c>
      <c r="G120" s="4" t="n">
        <v>1</v>
      </c>
      <c r="H120" s="4" t="inlineStr">
        <is>
          <t>0-&gt;1</t>
        </is>
      </c>
      <c r="I120" s="4" t="n">
        <v>0</v>
      </c>
      <c r="J120" s="4" t="inlineStr">
        <is>
          <t>RQ2_Negative_78</t>
        </is>
      </c>
      <c r="K120" s="4" t="n">
        <v>0</v>
      </c>
      <c r="L120" s="4" t="n">
        <v>1</v>
      </c>
      <c r="M120" s="4" t="inlineStr">
        <is>
          <t>High</t>
        </is>
      </c>
      <c r="N120" s="4" t="n"/>
      <c r="O120" s="4" t="n"/>
    </row>
    <row r="121" ht="30" customHeight="1">
      <c r="A121" s="4" t="n">
        <v>155</v>
      </c>
      <c r="B121" s="4" t="inlineStr">
        <is>
          <t>Ambos (piloto)</t>
        </is>
      </c>
      <c r="C121" s="4" t="n">
        <v>2024</v>
      </c>
      <c r="D121" s="4" t="inlineStr">
        <is>
          <t>Screening</t>
        </is>
      </c>
      <c r="E121" s="4" t="inlineStr">
        <is>
          <t>No especificado</t>
        </is>
      </c>
      <c r="F121" s="4" t="n"/>
      <c r="G121" s="4" t="n">
        <v>1</v>
      </c>
      <c r="H121" s="4" t="inlineStr">
        <is>
          <t>blank-&gt;1</t>
        </is>
      </c>
      <c r="I121" s="4" t="n"/>
      <c r="J121" s="4" t="inlineStr">
        <is>
          <t>RQ2_Missing_167</t>
        </is>
      </c>
      <c r="K121" s="4" t="n"/>
      <c r="L121" s="4" t="n">
        <v>1</v>
      </c>
      <c r="M121" s="4" t="inlineStr">
        <is>
          <t>High</t>
        </is>
      </c>
      <c r="N121" s="4" t="n"/>
      <c r="O121" s="4" t="n"/>
    </row>
    <row r="122" ht="34" customHeight="1">
      <c r="A122" s="4" t="n">
        <v>156</v>
      </c>
      <c r="B122" s="4" t="inlineStr">
        <is>
          <t>Revisor A</t>
        </is>
      </c>
      <c r="C122" s="4" t="n">
        <v>2021</v>
      </c>
      <c r="D122" s="4" t="inlineStr">
        <is>
          <t>Diagnosis</t>
        </is>
      </c>
      <c r="E122" s="4" t="inlineStr">
        <is>
          <t>Imagen</t>
        </is>
      </c>
      <c r="F122" s="4" t="n"/>
      <c r="G122" s="4" t="n">
        <v>1</v>
      </c>
      <c r="H122" s="4" t="inlineStr">
        <is>
          <t>blank-&gt;1</t>
        </is>
      </c>
      <c r="I122" s="4" t="n"/>
      <c r="J122" s="4" t="inlineStr">
        <is>
          <t>RQ2_Missing_167</t>
        </is>
      </c>
      <c r="K122" s="4" t="n"/>
      <c r="L122" s="4" t="n">
        <v>1</v>
      </c>
      <c r="M122" s="4" t="inlineStr">
        <is>
          <t>High</t>
        </is>
      </c>
      <c r="N122" s="4" t="inlineStr">
        <is>
          <t>biomarker-or-biological-marker</t>
        </is>
      </c>
      <c r="O122" s="4" t="n"/>
    </row>
    <row r="123" ht="34" customHeight="1">
      <c r="A123" s="4" t="n">
        <v>158</v>
      </c>
      <c r="B123" s="4" t="inlineStr">
        <is>
          <t>Revisor A</t>
        </is>
      </c>
      <c r="C123" s="4" t="n">
        <v>2022</v>
      </c>
      <c r="D123" s="4" t="inlineStr">
        <is>
          <t>Diagnosis</t>
        </is>
      </c>
      <c r="E123" s="4" t="inlineStr">
        <is>
          <t>No especificado</t>
        </is>
      </c>
      <c r="F123" s="4" t="n"/>
      <c r="G123" s="4" t="n">
        <v>1</v>
      </c>
      <c r="H123" s="4" t="inlineStr">
        <is>
          <t>blank-&gt;1</t>
        </is>
      </c>
      <c r="I123" s="4" t="n"/>
      <c r="J123" s="4" t="inlineStr">
        <is>
          <t>RQ2_Missing_167</t>
        </is>
      </c>
      <c r="K123" s="4" t="n"/>
      <c r="L123" s="4" t="n">
        <v>1</v>
      </c>
      <c r="M123" s="4" t="inlineStr">
        <is>
          <t>High</t>
        </is>
      </c>
      <c r="N123" s="4" t="inlineStr">
        <is>
          <t>biomarker-or-biological-marker</t>
        </is>
      </c>
      <c r="O123" s="4" t="n"/>
    </row>
    <row r="124" ht="34" customHeight="1">
      <c r="A124" s="4" t="n">
        <v>160</v>
      </c>
      <c r="B124" s="4" t="inlineStr">
        <is>
          <t>Revisor B</t>
        </is>
      </c>
      <c r="C124" s="4" t="n">
        <v>2022</v>
      </c>
      <c r="D124" s="4" t="inlineStr">
        <is>
          <t>Not clear</t>
        </is>
      </c>
      <c r="E124" s="4" t="inlineStr">
        <is>
          <t>Texto · NLP</t>
        </is>
      </c>
      <c r="F124" s="4" t="n">
        <v>0</v>
      </c>
      <c r="G124" s="4" t="n">
        <v>1</v>
      </c>
      <c r="H124" s="4" t="inlineStr">
        <is>
          <t>0-&gt;1</t>
        </is>
      </c>
      <c r="I124" s="4" t="n">
        <v>0</v>
      </c>
      <c r="J124" s="4" t="inlineStr">
        <is>
          <t>RQ2_Negative_78</t>
        </is>
      </c>
      <c r="K124" s="4" t="n">
        <v>0</v>
      </c>
      <c r="L124" s="4" t="n">
        <v>1</v>
      </c>
      <c r="M124" s="4" t="inlineStr">
        <is>
          <t>High</t>
        </is>
      </c>
      <c r="N124" s="4" t="inlineStr">
        <is>
          <t>stage-unclear; subtyping/phenotyping</t>
        </is>
      </c>
      <c r="O124" s="4" t="n"/>
    </row>
    <row r="125" ht="30" customHeight="1">
      <c r="A125" s="4" t="n">
        <v>161</v>
      </c>
      <c r="B125" s="4" t="inlineStr">
        <is>
          <t>Revisor A</t>
        </is>
      </c>
      <c r="C125" s="4" t="n">
        <v>2025</v>
      </c>
      <c r="D125" s="4" t="inlineStr">
        <is>
          <t>Screening</t>
        </is>
      </c>
      <c r="E125" s="4" t="inlineStr">
        <is>
          <t>Imagen</t>
        </is>
      </c>
      <c r="F125" s="4" t="n"/>
      <c r="G125" s="4" t="n">
        <v>1</v>
      </c>
      <c r="H125" s="4" t="inlineStr">
        <is>
          <t>blank-&gt;1</t>
        </is>
      </c>
      <c r="I125" s="4" t="n"/>
      <c r="J125" s="4" t="inlineStr">
        <is>
          <t>RQ2_Missing_167</t>
        </is>
      </c>
      <c r="K125" s="4" t="n"/>
      <c r="L125" s="4" t="n">
        <v>1</v>
      </c>
      <c r="M125" s="4" t="inlineStr">
        <is>
          <t>High</t>
        </is>
      </c>
      <c r="N125" s="4" t="n"/>
      <c r="O125" s="4" t="n"/>
    </row>
    <row r="126" ht="47" customHeight="1">
      <c r="A126" s="4" t="n">
        <v>162</v>
      </c>
      <c r="B126" s="4" t="inlineStr">
        <is>
          <t>Revisor B</t>
        </is>
      </c>
      <c r="C126" s="4" t="n">
        <v>2023</v>
      </c>
      <c r="D126" s="4" t="n"/>
      <c r="E126" s="4" t="inlineStr">
        <is>
          <t>Texto · NLP</t>
        </is>
      </c>
      <c r="F126" s="4" t="n"/>
      <c r="G126" s="4" t="n">
        <v>1</v>
      </c>
      <c r="H126" s="4" t="inlineStr">
        <is>
          <t>blank-&gt;1</t>
        </is>
      </c>
      <c r="I126" s="4" t="n"/>
      <c r="J126" s="4" t="inlineStr">
        <is>
          <t>RQ2_Missing_167</t>
        </is>
      </c>
      <c r="K126" s="4" t="n"/>
      <c r="L126" s="4" t="n">
        <v>1</v>
      </c>
      <c r="M126" s="4" t="inlineStr">
        <is>
          <t>High</t>
        </is>
      </c>
      <c r="N126" s="4" t="inlineStr">
        <is>
          <t>stage-unclear; biomarker-or-biological-marker</t>
        </is>
      </c>
      <c r="O126" s="4" t="n"/>
    </row>
    <row r="127" ht="34" customHeight="1">
      <c r="A127" s="4" t="n">
        <v>163</v>
      </c>
      <c r="B127" s="4" t="inlineStr">
        <is>
          <t>Revisor A</t>
        </is>
      </c>
      <c r="C127" s="4" t="n">
        <v>2020</v>
      </c>
      <c r="D127" s="4" t="inlineStr">
        <is>
          <t>Diagnosis</t>
        </is>
      </c>
      <c r="E127" s="4" t="inlineStr">
        <is>
          <t>Imagen</t>
        </is>
      </c>
      <c r="F127" s="4" t="n"/>
      <c r="G127" s="4" t="n">
        <v>1</v>
      </c>
      <c r="H127" s="4" t="inlineStr">
        <is>
          <t>blank-&gt;1</t>
        </is>
      </c>
      <c r="I127" s="4" t="n"/>
      <c r="J127" s="4" t="inlineStr">
        <is>
          <t>RQ2_Missing_167</t>
        </is>
      </c>
      <c r="K127" s="4" t="n"/>
      <c r="L127" s="4" t="n">
        <v>1</v>
      </c>
      <c r="M127" s="4" t="inlineStr">
        <is>
          <t>High</t>
        </is>
      </c>
      <c r="N127" s="4" t="inlineStr">
        <is>
          <t>biomarker-or-biological-marker</t>
        </is>
      </c>
      <c r="O127" s="4" t="n"/>
    </row>
    <row r="128" ht="34" customHeight="1">
      <c r="A128" s="4" t="n">
        <v>165</v>
      </c>
      <c r="B128" s="4" t="inlineStr">
        <is>
          <t>Revisor B</t>
        </is>
      </c>
      <c r="C128" s="4" t="n">
        <v>2019</v>
      </c>
      <c r="D128" s="4" t="inlineStr">
        <is>
          <t>diagnosis</t>
        </is>
      </c>
      <c r="E128" s="4" t="inlineStr">
        <is>
          <t>Señales fisiológicas</t>
        </is>
      </c>
      <c r="F128" s="4" t="n">
        <v>0</v>
      </c>
      <c r="G128" s="4" t="n">
        <v>1</v>
      </c>
      <c r="H128" s="4" t="inlineStr">
        <is>
          <t>0-&gt;1</t>
        </is>
      </c>
      <c r="I128" s="4" t="n">
        <v>0</v>
      </c>
      <c r="J128" s="4" t="inlineStr">
        <is>
          <t>RQ2_Negative_78</t>
        </is>
      </c>
      <c r="K128" s="4" t="n">
        <v>0</v>
      </c>
      <c r="L128" s="4" t="n">
        <v>1</v>
      </c>
      <c r="M128" s="4" t="inlineStr">
        <is>
          <t>High</t>
        </is>
      </c>
      <c r="N128" s="4" t="inlineStr">
        <is>
          <t>biomarker-or-biological-marker</t>
        </is>
      </c>
      <c r="O128" s="4" t="n"/>
    </row>
    <row r="129" ht="30" customHeight="1">
      <c r="A129" s="4" t="n">
        <v>166</v>
      </c>
      <c r="B129" s="4" t="inlineStr">
        <is>
          <t>Revisor A</t>
        </is>
      </c>
      <c r="C129" s="4" t="n">
        <v>2020</v>
      </c>
      <c r="D129" s="4" t="inlineStr">
        <is>
          <t>Screening</t>
        </is>
      </c>
      <c r="E129" s="4" t="inlineStr">
        <is>
          <t>Imagen</t>
        </is>
      </c>
      <c r="F129" s="4" t="n"/>
      <c r="G129" s="4" t="n">
        <v>1</v>
      </c>
      <c r="H129" s="4" t="inlineStr">
        <is>
          <t>blank-&gt;1</t>
        </is>
      </c>
      <c r="I129" s="4" t="n"/>
      <c r="J129" s="4" t="inlineStr">
        <is>
          <t>RQ2_Missing_167</t>
        </is>
      </c>
      <c r="K129" s="4" t="n"/>
      <c r="L129" s="4" t="n">
        <v>1</v>
      </c>
      <c r="M129" s="4" t="inlineStr">
        <is>
          <t>High</t>
        </is>
      </c>
      <c r="N129" s="4" t="n"/>
      <c r="O129" s="4" t="n"/>
    </row>
    <row r="130" ht="47" customHeight="1">
      <c r="A130" s="4" t="n">
        <v>167</v>
      </c>
      <c r="B130" s="4" t="inlineStr">
        <is>
          <t>Revisor B</t>
        </is>
      </c>
      <c r="C130" s="4" t="n">
        <v>2023</v>
      </c>
      <c r="D130" s="4" t="n"/>
      <c r="E130" s="4" t="inlineStr">
        <is>
          <t>Señales fisiológicas</t>
        </is>
      </c>
      <c r="F130" s="4" t="n"/>
      <c r="G130" s="4" t="n">
        <v>1</v>
      </c>
      <c r="H130" s="4" t="inlineStr">
        <is>
          <t>blank-&gt;1</t>
        </is>
      </c>
      <c r="I130" s="4" t="n"/>
      <c r="J130" s="4" t="inlineStr">
        <is>
          <t>RQ2_Missing_167</t>
        </is>
      </c>
      <c r="K130" s="4" t="n"/>
      <c r="L130" s="4" t="n">
        <v>1</v>
      </c>
      <c r="M130" s="4" t="inlineStr">
        <is>
          <t>High</t>
        </is>
      </c>
      <c r="N130" s="4" t="inlineStr">
        <is>
          <t>secondary-literature-or-protocol; stage-unclear</t>
        </is>
      </c>
      <c r="O130" s="4" t="n"/>
    </row>
    <row r="131" ht="34" customHeight="1">
      <c r="A131" s="4" t="n">
        <v>168</v>
      </c>
      <c r="B131" s="4" t="inlineStr">
        <is>
          <t>Revisor A</t>
        </is>
      </c>
      <c r="C131" s="4" t="n">
        <v>2023</v>
      </c>
      <c r="D131" s="4" t="inlineStr">
        <is>
          <t>Diagnosis</t>
        </is>
      </c>
      <c r="E131" s="4" t="inlineStr">
        <is>
          <t>Imagen</t>
        </is>
      </c>
      <c r="F131" s="4" t="n"/>
      <c r="G131" s="4" t="n">
        <v>1</v>
      </c>
      <c r="H131" s="4" t="inlineStr">
        <is>
          <t>blank-&gt;1</t>
        </is>
      </c>
      <c r="I131" s="4" t="n"/>
      <c r="J131" s="4" t="inlineStr">
        <is>
          <t>RQ2_Missing_167</t>
        </is>
      </c>
      <c r="K131" s="4" t="n"/>
      <c r="L131" s="4" t="n">
        <v>1</v>
      </c>
      <c r="M131" s="4" t="inlineStr">
        <is>
          <t>High</t>
        </is>
      </c>
      <c r="N131" s="4" t="inlineStr">
        <is>
          <t>biomarker-or-biological-marker</t>
        </is>
      </c>
      <c r="O131" s="4" t="n"/>
    </row>
    <row r="132" ht="30" customHeight="1">
      <c r="A132" s="4" t="n">
        <v>169</v>
      </c>
      <c r="B132" s="4" t="inlineStr">
        <is>
          <t>Revisor A</t>
        </is>
      </c>
      <c r="C132" s="4" t="n">
        <v>2022</v>
      </c>
      <c r="D132" s="4" t="inlineStr">
        <is>
          <t>Screening</t>
        </is>
      </c>
      <c r="E132" s="4" t="inlineStr">
        <is>
          <t>Imagen</t>
        </is>
      </c>
      <c r="F132" s="4" t="n"/>
      <c r="G132" s="4" t="n">
        <v>1</v>
      </c>
      <c r="H132" s="4" t="inlineStr">
        <is>
          <t>blank-&gt;1</t>
        </is>
      </c>
      <c r="I132" s="4" t="n"/>
      <c r="J132" s="4" t="inlineStr">
        <is>
          <t>RQ2_Missing_167</t>
        </is>
      </c>
      <c r="K132" s="4" t="n"/>
      <c r="L132" s="4" t="n">
        <v>1</v>
      </c>
      <c r="M132" s="4" t="inlineStr">
        <is>
          <t>High</t>
        </is>
      </c>
      <c r="N132" s="4" t="n"/>
      <c r="O132" s="4" t="n"/>
    </row>
    <row r="133" ht="34" customHeight="1">
      <c r="A133" s="4" t="n">
        <v>170</v>
      </c>
      <c r="B133" s="4" t="inlineStr">
        <is>
          <t>Revisor A</t>
        </is>
      </c>
      <c r="C133" s="4" t="n">
        <v>2020</v>
      </c>
      <c r="D133" s="4" t="inlineStr">
        <is>
          <t>Diagnosis</t>
        </is>
      </c>
      <c r="E133" s="4" t="inlineStr">
        <is>
          <t>Imagen</t>
        </is>
      </c>
      <c r="F133" s="4" t="n"/>
      <c r="G133" s="4" t="n">
        <v>1</v>
      </c>
      <c r="H133" s="4" t="inlineStr">
        <is>
          <t>blank-&gt;1</t>
        </is>
      </c>
      <c r="I133" s="4" t="n"/>
      <c r="J133" s="4" t="inlineStr">
        <is>
          <t>RQ2_Missing_167</t>
        </is>
      </c>
      <c r="K133" s="4" t="n"/>
      <c r="L133" s="4" t="n">
        <v>1</v>
      </c>
      <c r="M133" s="4" t="inlineStr">
        <is>
          <t>High</t>
        </is>
      </c>
      <c r="N133" s="4" t="inlineStr">
        <is>
          <t>biomarker-or-biological-marker</t>
        </is>
      </c>
      <c r="O133" s="4" t="n"/>
    </row>
    <row r="134" ht="34" customHeight="1">
      <c r="A134" s="4" t="n">
        <v>171</v>
      </c>
      <c r="B134" s="4" t="inlineStr">
        <is>
          <t>Revisor A</t>
        </is>
      </c>
      <c r="C134" s="4" t="n">
        <v>2016</v>
      </c>
      <c r="D134" s="4" t="inlineStr">
        <is>
          <t>Screening</t>
        </is>
      </c>
      <c r="E134" s="4" t="inlineStr">
        <is>
          <t>Señales fisiológicas</t>
        </is>
      </c>
      <c r="F134" s="4" t="n"/>
      <c r="G134" s="4" t="n">
        <v>1</v>
      </c>
      <c r="H134" s="4" t="inlineStr">
        <is>
          <t>blank-&gt;1</t>
        </is>
      </c>
      <c r="I134" s="4" t="n"/>
      <c r="J134" s="4" t="inlineStr">
        <is>
          <t>RQ2_Missing_167</t>
        </is>
      </c>
      <c r="K134" s="4" t="n"/>
      <c r="L134" s="4" t="n">
        <v>1</v>
      </c>
      <c r="M134" s="4" t="inlineStr">
        <is>
          <t>High</t>
        </is>
      </c>
      <c r="N134" s="4" t="n"/>
      <c r="O134" s="4" t="n"/>
    </row>
    <row r="135" ht="34" customHeight="1">
      <c r="A135" s="4" t="n">
        <v>172</v>
      </c>
      <c r="B135" s="4" t="inlineStr">
        <is>
          <t>Ambos (piloto)</t>
        </is>
      </c>
      <c r="C135" s="4" t="n">
        <v>2024</v>
      </c>
      <c r="D135" s="4" t="inlineStr">
        <is>
          <t>Screening</t>
        </is>
      </c>
      <c r="E135" s="4" t="inlineStr">
        <is>
          <t>Texto · NLP</t>
        </is>
      </c>
      <c r="F135" s="4" t="n"/>
      <c r="G135" s="4" t="n">
        <v>1</v>
      </c>
      <c r="H135" s="4" t="inlineStr">
        <is>
          <t>blank-&gt;1</t>
        </is>
      </c>
      <c r="I135" s="4" t="n"/>
      <c r="J135" s="4" t="inlineStr">
        <is>
          <t>RQ2_Missing_167</t>
        </is>
      </c>
      <c r="K135" s="4" t="n"/>
      <c r="L135" s="4" t="n">
        <v>1</v>
      </c>
      <c r="M135" s="4" t="inlineStr">
        <is>
          <t>High</t>
        </is>
      </c>
      <c r="N135" s="4" t="inlineStr">
        <is>
          <t>biomarker-or-biological-marker</t>
        </is>
      </c>
      <c r="O135" s="4" t="n"/>
    </row>
    <row r="136" ht="30" customHeight="1">
      <c r="A136" s="4" t="n">
        <v>173</v>
      </c>
      <c r="B136" s="4" t="inlineStr">
        <is>
          <t>Revisor A</t>
        </is>
      </c>
      <c r="C136" s="4" t="n">
        <v>2023</v>
      </c>
      <c r="D136" s="4" t="inlineStr">
        <is>
          <t>Diagnosis</t>
        </is>
      </c>
      <c r="E136" s="4" t="inlineStr">
        <is>
          <t>Texto · NLP</t>
        </is>
      </c>
      <c r="F136" s="4" t="n"/>
      <c r="G136" s="4" t="n">
        <v>1</v>
      </c>
      <c r="H136" s="4" t="inlineStr">
        <is>
          <t>blank-&gt;1</t>
        </is>
      </c>
      <c r="I136" s="4" t="n"/>
      <c r="J136" s="4" t="inlineStr">
        <is>
          <t>RQ2_Missing_167</t>
        </is>
      </c>
      <c r="K136" s="4" t="n"/>
      <c r="L136" s="4" t="n">
        <v>1</v>
      </c>
      <c r="M136" s="4" t="inlineStr">
        <is>
          <t>High</t>
        </is>
      </c>
      <c r="N136" s="4" t="n"/>
      <c r="O136" s="4" t="n"/>
    </row>
    <row r="137" ht="30" customHeight="1">
      <c r="A137" s="4" t="n">
        <v>174</v>
      </c>
      <c r="B137" s="4" t="inlineStr">
        <is>
          <t>Revisor A</t>
        </is>
      </c>
      <c r="C137" s="4" t="n">
        <v>2023</v>
      </c>
      <c r="D137" s="4" t="inlineStr">
        <is>
          <t>Diagnosis</t>
        </is>
      </c>
      <c r="E137" s="4" t="inlineStr">
        <is>
          <t>Imagen</t>
        </is>
      </c>
      <c r="F137" s="4" t="n"/>
      <c r="G137" s="4" t="n">
        <v>1</v>
      </c>
      <c r="H137" s="4" t="inlineStr">
        <is>
          <t>blank-&gt;1</t>
        </is>
      </c>
      <c r="I137" s="4" t="n"/>
      <c r="J137" s="4" t="inlineStr">
        <is>
          <t>RQ2_Missing_167</t>
        </is>
      </c>
      <c r="K137" s="4" t="n"/>
      <c r="L137" s="4" t="n">
        <v>1</v>
      </c>
      <c r="M137" s="4" t="inlineStr">
        <is>
          <t>High</t>
        </is>
      </c>
      <c r="N137" s="4" t="n"/>
      <c r="O137" s="4" t="n"/>
    </row>
    <row r="138" ht="34" customHeight="1">
      <c r="A138" s="4" t="n">
        <v>175</v>
      </c>
      <c r="B138" s="4" t="inlineStr">
        <is>
          <t>Revisor A</t>
        </is>
      </c>
      <c r="C138" s="4" t="n">
        <v>2023</v>
      </c>
      <c r="D138" s="4" t="inlineStr">
        <is>
          <t>Monitoring/intervention</t>
        </is>
      </c>
      <c r="E138" s="4" t="inlineStr">
        <is>
          <t>No especificado</t>
        </is>
      </c>
      <c r="F138" s="4" t="n"/>
      <c r="G138" s="4" t="n">
        <v>1</v>
      </c>
      <c r="H138" s="4" t="inlineStr">
        <is>
          <t>blank-&gt;1</t>
        </is>
      </c>
      <c r="I138" s="4" t="n"/>
      <c r="J138" s="4" t="inlineStr">
        <is>
          <t>RQ2_Missing_167</t>
        </is>
      </c>
      <c r="K138" s="4" t="n"/>
      <c r="L138" s="4" t="n">
        <v>1</v>
      </c>
      <c r="M138" s="4" t="inlineStr">
        <is>
          <t>High</t>
        </is>
      </c>
      <c r="N138" s="4" t="inlineStr">
        <is>
          <t>biomarker-or-biological-marker</t>
        </is>
      </c>
      <c r="O138" s="4" t="n"/>
    </row>
    <row r="139" ht="30" customHeight="1">
      <c r="A139" s="4" t="n">
        <v>176</v>
      </c>
      <c r="B139" s="4" t="inlineStr">
        <is>
          <t>Revisor A</t>
        </is>
      </c>
      <c r="C139" s="4" t="n">
        <v>2021</v>
      </c>
      <c r="D139" s="4" t="inlineStr">
        <is>
          <t>diagnosis</t>
        </is>
      </c>
      <c r="E139" s="4" t="inlineStr">
        <is>
          <t>No especificado</t>
        </is>
      </c>
      <c r="F139" s="4" t="n">
        <v>0</v>
      </c>
      <c r="G139" s="4" t="n">
        <v>1</v>
      </c>
      <c r="H139" s="4" t="inlineStr">
        <is>
          <t>0-&gt;1</t>
        </is>
      </c>
      <c r="I139" s="4" t="n">
        <v>0</v>
      </c>
      <c r="J139" s="4" t="inlineStr">
        <is>
          <t>RQ2_Negative_78</t>
        </is>
      </c>
      <c r="K139" s="4" t="n">
        <v>0</v>
      </c>
      <c r="L139" s="4" t="n">
        <v>1</v>
      </c>
      <c r="M139" s="4" t="inlineStr">
        <is>
          <t>High</t>
        </is>
      </c>
      <c r="N139" s="4" t="n"/>
      <c r="O139" s="4" t="n"/>
    </row>
    <row r="140" ht="34" customHeight="1">
      <c r="A140" s="4" t="n">
        <v>177</v>
      </c>
      <c r="B140" s="4" t="inlineStr">
        <is>
          <t>Revisor A</t>
        </is>
      </c>
      <c r="C140" s="4" t="n">
        <v>2024</v>
      </c>
      <c r="D140" s="4" t="inlineStr">
        <is>
          <t>Diagnosis</t>
        </is>
      </c>
      <c r="E140" s="4" t="inlineStr">
        <is>
          <t>No especificado</t>
        </is>
      </c>
      <c r="F140" s="4" t="n"/>
      <c r="G140" s="4" t="n">
        <v>1</v>
      </c>
      <c r="H140" s="4" t="inlineStr">
        <is>
          <t>blank-&gt;1</t>
        </is>
      </c>
      <c r="I140" s="4" t="n"/>
      <c r="J140" s="4" t="inlineStr">
        <is>
          <t>RQ2_Missing_167</t>
        </is>
      </c>
      <c r="K140" s="4" t="n"/>
      <c r="L140" s="4" t="n">
        <v>1</v>
      </c>
      <c r="M140" s="4" t="inlineStr">
        <is>
          <t>High</t>
        </is>
      </c>
      <c r="N140" s="4" t="inlineStr">
        <is>
          <t>biomarker-or-biological-marker</t>
        </is>
      </c>
      <c r="O140" s="4" t="n"/>
    </row>
    <row r="141" ht="34" customHeight="1">
      <c r="A141" s="4" t="n">
        <v>179</v>
      </c>
      <c r="B141" s="4" t="inlineStr">
        <is>
          <t>Revisor A</t>
        </is>
      </c>
      <c r="C141" s="4" t="n">
        <v>2019</v>
      </c>
      <c r="D141" s="4" t="inlineStr">
        <is>
          <t>Screening</t>
        </is>
      </c>
      <c r="E141" s="4" t="inlineStr">
        <is>
          <t>Imagen</t>
        </is>
      </c>
      <c r="F141" s="4" t="n"/>
      <c r="G141" s="4" t="n">
        <v>1</v>
      </c>
      <c r="H141" s="4" t="inlineStr">
        <is>
          <t>blank-&gt;1</t>
        </is>
      </c>
      <c r="I141" s="4" t="n"/>
      <c r="J141" s="4" t="inlineStr">
        <is>
          <t>RQ2_Missing_167</t>
        </is>
      </c>
      <c r="K141" s="4" t="n"/>
      <c r="L141" s="4" t="n">
        <v>1</v>
      </c>
      <c r="M141" s="4" t="inlineStr">
        <is>
          <t>High</t>
        </is>
      </c>
      <c r="N141" s="4" t="inlineStr">
        <is>
          <t>biomarker-or-biological-marker</t>
        </is>
      </c>
      <c r="O141" s="4" t="n"/>
    </row>
    <row r="142" ht="34" customHeight="1">
      <c r="A142" s="4" t="n">
        <v>180</v>
      </c>
      <c r="B142" s="4" t="inlineStr">
        <is>
          <t>Revisor A</t>
        </is>
      </c>
      <c r="C142" s="4" t="n">
        <v>2024</v>
      </c>
      <c r="D142" s="4" t="inlineStr">
        <is>
          <t>Screening</t>
        </is>
      </c>
      <c r="E142" s="4" t="inlineStr">
        <is>
          <t>Señales fisiológicas</t>
        </is>
      </c>
      <c r="F142" s="4" t="n"/>
      <c r="G142" s="4" t="n">
        <v>1</v>
      </c>
      <c r="H142" s="4" t="inlineStr">
        <is>
          <t>blank-&gt;1</t>
        </is>
      </c>
      <c r="I142" s="4" t="n"/>
      <c r="J142" s="4" t="inlineStr">
        <is>
          <t>RQ2_Missing_167</t>
        </is>
      </c>
      <c r="K142" s="4" t="n"/>
      <c r="L142" s="4" t="n">
        <v>1</v>
      </c>
      <c r="M142" s="4" t="inlineStr">
        <is>
          <t>High</t>
        </is>
      </c>
      <c r="N142" s="4" t="inlineStr">
        <is>
          <t>biomarker-or-biological-marker</t>
        </is>
      </c>
      <c r="O142" s="4" t="n"/>
    </row>
    <row r="143" ht="30" customHeight="1">
      <c r="A143" s="4" t="n">
        <v>181</v>
      </c>
      <c r="B143" s="4" t="inlineStr">
        <is>
          <t>Revisor A</t>
        </is>
      </c>
      <c r="C143" s="4" t="n">
        <v>2015</v>
      </c>
      <c r="D143" s="4" t="inlineStr">
        <is>
          <t>diagnosis</t>
        </is>
      </c>
      <c r="E143" s="4" t="inlineStr">
        <is>
          <t>No especificado</t>
        </is>
      </c>
      <c r="F143" s="4" t="n">
        <v>0</v>
      </c>
      <c r="G143" s="4" t="n">
        <v>1</v>
      </c>
      <c r="H143" s="4" t="inlineStr">
        <is>
          <t>0-&gt;1</t>
        </is>
      </c>
      <c r="I143" s="4" t="n">
        <v>0</v>
      </c>
      <c r="J143" s="4" t="inlineStr">
        <is>
          <t>RQ2_Negative_78</t>
        </is>
      </c>
      <c r="K143" s="4" t="n">
        <v>0</v>
      </c>
      <c r="L143" s="4" t="n">
        <v>0</v>
      </c>
      <c r="M143" s="4" t="inlineStr">
        <is>
          <t>Medium</t>
        </is>
      </c>
      <c r="N143" s="4" t="n"/>
      <c r="O143" s="4" t="n"/>
    </row>
    <row r="144" ht="47" customHeight="1">
      <c r="A144" s="4" t="n">
        <v>184</v>
      </c>
      <c r="B144" s="4" t="inlineStr">
        <is>
          <t>Revisor A</t>
        </is>
      </c>
      <c r="C144" s="4" t="n">
        <v>2021</v>
      </c>
      <c r="D144" s="4" t="inlineStr">
        <is>
          <t>Screening</t>
        </is>
      </c>
      <c r="E144" s="4" t="inlineStr">
        <is>
          <t>Imagen</t>
        </is>
      </c>
      <c r="F144" s="4" t="n"/>
      <c r="G144" s="4" t="n">
        <v>1</v>
      </c>
      <c r="H144" s="4" t="inlineStr">
        <is>
          <t>blank-&gt;1</t>
        </is>
      </c>
      <c r="I144" s="4" t="n"/>
      <c r="J144" s="4" t="inlineStr">
        <is>
          <t>RQ2_Missing_167</t>
        </is>
      </c>
      <c r="K144" s="4" t="n"/>
      <c r="L144" s="4" t="n">
        <v>1</v>
      </c>
      <c r="M144" s="4" t="inlineStr">
        <is>
          <t>High</t>
        </is>
      </c>
      <c r="N144" s="4" t="inlineStr">
        <is>
          <t>biomarker-or-biological-marker; subtyping/phenotyping</t>
        </is>
      </c>
      <c r="O144" s="4" t="n"/>
    </row>
    <row r="145" ht="34" customHeight="1">
      <c r="A145" s="4" t="n">
        <v>185</v>
      </c>
      <c r="B145" s="4" t="inlineStr">
        <is>
          <t>Revisor A</t>
        </is>
      </c>
      <c r="C145" s="4" t="n">
        <v>2025</v>
      </c>
      <c r="D145" s="4" t="inlineStr">
        <is>
          <t>Monitoring/intervention</t>
        </is>
      </c>
      <c r="E145" s="4" t="inlineStr">
        <is>
          <t>Imagen</t>
        </is>
      </c>
      <c r="F145" s="4" t="n"/>
      <c r="G145" s="4" t="n">
        <v>1</v>
      </c>
      <c r="H145" s="4" t="inlineStr">
        <is>
          <t>blank-&gt;1</t>
        </is>
      </c>
      <c r="I145" s="4" t="n"/>
      <c r="J145" s="4" t="inlineStr">
        <is>
          <t>RQ2_Missing_167</t>
        </is>
      </c>
      <c r="K145" s="4" t="n"/>
      <c r="L145" s="4" t="n">
        <v>1</v>
      </c>
      <c r="M145" s="4" t="inlineStr">
        <is>
          <t>High</t>
        </is>
      </c>
      <c r="N145" s="4" t="n"/>
      <c r="O145" s="4" t="n"/>
    </row>
    <row r="146" ht="34" customHeight="1">
      <c r="A146" s="4" t="n">
        <v>186</v>
      </c>
      <c r="B146" s="4" t="inlineStr">
        <is>
          <t>Revisor A</t>
        </is>
      </c>
      <c r="C146" s="4" t="n">
        <v>2024</v>
      </c>
      <c r="D146" s="4" t="inlineStr">
        <is>
          <t>Diagnosis</t>
        </is>
      </c>
      <c r="E146" s="4" t="inlineStr">
        <is>
          <t>Señales fisiológicas</t>
        </is>
      </c>
      <c r="F146" s="4" t="n"/>
      <c r="G146" s="4" t="n">
        <v>1</v>
      </c>
      <c r="H146" s="4" t="inlineStr">
        <is>
          <t>blank-&gt;1</t>
        </is>
      </c>
      <c r="I146" s="4" t="n"/>
      <c r="J146" s="4" t="inlineStr">
        <is>
          <t>RQ2_Missing_167</t>
        </is>
      </c>
      <c r="K146" s="4" t="n"/>
      <c r="L146" s="4" t="n">
        <v>1</v>
      </c>
      <c r="M146" s="4" t="inlineStr">
        <is>
          <t>High</t>
        </is>
      </c>
      <c r="N146" s="4" t="inlineStr">
        <is>
          <t>biomarker-or-biological-marker</t>
        </is>
      </c>
      <c r="O146" s="4" t="n"/>
    </row>
    <row r="147" ht="30" customHeight="1">
      <c r="A147" s="4" t="n">
        <v>187</v>
      </c>
      <c r="B147" s="4" t="inlineStr">
        <is>
          <t>Revisor B</t>
        </is>
      </c>
      <c r="C147" s="4" t="n">
        <v>2025</v>
      </c>
      <c r="D147" s="4" t="inlineStr">
        <is>
          <t>diagnosis</t>
        </is>
      </c>
      <c r="E147" s="4" t="inlineStr">
        <is>
          <t>Imagen</t>
        </is>
      </c>
      <c r="F147" s="4" t="n">
        <v>0</v>
      </c>
      <c r="G147" s="4" t="n">
        <v>1</v>
      </c>
      <c r="H147" s="4" t="inlineStr">
        <is>
          <t>0-&gt;1</t>
        </is>
      </c>
      <c r="I147" s="4" t="n">
        <v>0</v>
      </c>
      <c r="J147" s="4" t="inlineStr">
        <is>
          <t>RQ2_Negative_78</t>
        </is>
      </c>
      <c r="K147" s="4" t="n">
        <v>0</v>
      </c>
      <c r="L147" s="4" t="n">
        <v>1</v>
      </c>
      <c r="M147" s="4" t="inlineStr">
        <is>
          <t>High</t>
        </is>
      </c>
      <c r="N147" s="4" t="n"/>
      <c r="O147" s="4" t="n"/>
    </row>
    <row r="148" ht="34" customHeight="1">
      <c r="A148" s="4" t="n">
        <v>188</v>
      </c>
      <c r="B148" s="4" t="inlineStr">
        <is>
          <t>Revisor A</t>
        </is>
      </c>
      <c r="C148" s="4" t="n">
        <v>2020</v>
      </c>
      <c r="D148" s="4" t="inlineStr">
        <is>
          <t>Screening</t>
        </is>
      </c>
      <c r="E148" s="4" t="inlineStr">
        <is>
          <t>Audio · Voz</t>
        </is>
      </c>
      <c r="F148" s="4" t="n"/>
      <c r="G148" s="4" t="n">
        <v>1</v>
      </c>
      <c r="H148" s="4" t="inlineStr">
        <is>
          <t>blank-&gt;1</t>
        </is>
      </c>
      <c r="I148" s="4" t="n"/>
      <c r="J148" s="4" t="inlineStr">
        <is>
          <t>RQ2_Missing_167</t>
        </is>
      </c>
      <c r="K148" s="4" t="n"/>
      <c r="L148" s="4" t="n">
        <v>1</v>
      </c>
      <c r="M148" s="4" t="inlineStr">
        <is>
          <t>High</t>
        </is>
      </c>
      <c r="N148" s="4" t="inlineStr">
        <is>
          <t>biomarker-or-biological-marker</t>
        </is>
      </c>
      <c r="O148" s="4" t="n"/>
    </row>
    <row r="149" ht="30" customHeight="1">
      <c r="A149" s="4" t="n">
        <v>189</v>
      </c>
      <c r="B149" s="4" t="inlineStr">
        <is>
          <t>Revisor A</t>
        </is>
      </c>
      <c r="C149" s="4" t="n">
        <v>2024</v>
      </c>
      <c r="D149" s="4" t="inlineStr">
        <is>
          <t>Screening</t>
        </is>
      </c>
      <c r="E149" s="4" t="inlineStr">
        <is>
          <t>Imagen</t>
        </is>
      </c>
      <c r="F149" s="4" t="n"/>
      <c r="G149" s="4" t="n">
        <v>1</v>
      </c>
      <c r="H149" s="4" t="inlineStr">
        <is>
          <t>blank-&gt;1</t>
        </is>
      </c>
      <c r="I149" s="4" t="n"/>
      <c r="J149" s="4" t="inlineStr">
        <is>
          <t>RQ2_Missing_167</t>
        </is>
      </c>
      <c r="K149" s="4" t="n"/>
      <c r="L149" s="4" t="n">
        <v>1</v>
      </c>
      <c r="M149" s="4" t="inlineStr">
        <is>
          <t>High</t>
        </is>
      </c>
      <c r="N149" s="4" t="n"/>
      <c r="O149" s="4" t="n"/>
    </row>
    <row r="150" ht="34" customHeight="1">
      <c r="A150" s="4" t="n">
        <v>190</v>
      </c>
      <c r="B150" s="4" t="inlineStr">
        <is>
          <t>Revisor B</t>
        </is>
      </c>
      <c r="C150" s="4" t="n">
        <v>2019</v>
      </c>
      <c r="D150" s="4" t="inlineStr">
        <is>
          <t>diagnosis</t>
        </is>
      </c>
      <c r="E150" s="4" t="inlineStr">
        <is>
          <t>No especificado</t>
        </is>
      </c>
      <c r="F150" s="4" t="n">
        <v>0</v>
      </c>
      <c r="G150" s="4" t="n">
        <v>0</v>
      </c>
      <c r="H150" s="4" t="inlineStr">
        <is>
          <t>unchanged</t>
        </is>
      </c>
      <c r="I150" s="4" t="n">
        <v>0</v>
      </c>
      <c r="J150" s="4" t="inlineStr">
        <is>
          <t>RQ2_Negative_78</t>
        </is>
      </c>
      <c r="K150" s="4" t="n">
        <v>0</v>
      </c>
      <c r="L150" s="4" t="n">
        <v>1</v>
      </c>
      <c r="M150" s="4" t="inlineStr">
        <is>
          <t>High</t>
        </is>
      </c>
      <c r="N150" s="4" t="inlineStr">
        <is>
          <t>manual-adjudication; changed-to-0</t>
        </is>
      </c>
      <c r="O150" s="4" t="n"/>
    </row>
    <row r="151" ht="47" customHeight="1">
      <c r="A151" s="4" t="n">
        <v>191</v>
      </c>
      <c r="B151" s="4" t="inlineStr">
        <is>
          <t>Revisor B</t>
        </is>
      </c>
      <c r="C151" s="4" t="n">
        <v>2021</v>
      </c>
      <c r="D151" s="4" t="n"/>
      <c r="E151" s="4" t="inlineStr">
        <is>
          <t>Señales fisiológicas</t>
        </is>
      </c>
      <c r="F151" s="4" t="n"/>
      <c r="G151" s="4" t="n">
        <v>1</v>
      </c>
      <c r="H151" s="4" t="inlineStr">
        <is>
          <t>blank-&gt;1</t>
        </is>
      </c>
      <c r="I151" s="4" t="n"/>
      <c r="J151" s="4" t="inlineStr">
        <is>
          <t>RQ2_Missing_167</t>
        </is>
      </c>
      <c r="K151" s="4" t="n"/>
      <c r="L151" s="4" t="n">
        <v>1</v>
      </c>
      <c r="M151" s="4" t="inlineStr">
        <is>
          <t>High</t>
        </is>
      </c>
      <c r="N151" s="4" t="inlineStr">
        <is>
          <t>stage-unclear; biomarker-or-biological-marker</t>
        </is>
      </c>
      <c r="O151" s="4" t="n"/>
    </row>
    <row r="152" ht="34" customHeight="1">
      <c r="A152" s="4" t="n">
        <v>193</v>
      </c>
      <c r="B152" s="4" t="inlineStr">
        <is>
          <t>Revisor B</t>
        </is>
      </c>
      <c r="C152" s="4" t="n">
        <v>2022</v>
      </c>
      <c r="D152" s="4" t="inlineStr">
        <is>
          <t>Monitoring/intervention</t>
        </is>
      </c>
      <c r="E152" s="4" t="inlineStr">
        <is>
          <t>No especificado</t>
        </is>
      </c>
      <c r="F152" s="4" t="n">
        <v>0</v>
      </c>
      <c r="G152" s="4" t="n">
        <v>1</v>
      </c>
      <c r="H152" s="4" t="inlineStr">
        <is>
          <t>0-&gt;1</t>
        </is>
      </c>
      <c r="I152" s="4" t="n">
        <v>0</v>
      </c>
      <c r="J152" s="4" t="inlineStr">
        <is>
          <t>RQ2_Negative_78</t>
        </is>
      </c>
      <c r="K152" s="4" t="n">
        <v>0</v>
      </c>
      <c r="L152" s="4" t="n">
        <v>1</v>
      </c>
      <c r="M152" s="4" t="inlineStr">
        <is>
          <t>High</t>
        </is>
      </c>
      <c r="N152" s="4" t="inlineStr">
        <is>
          <t>biomarker-or-biological-marker</t>
        </is>
      </c>
      <c r="O152" s="4" t="n"/>
    </row>
    <row r="153" ht="34" customHeight="1">
      <c r="A153" s="4" t="n">
        <v>194</v>
      </c>
      <c r="B153" s="4" t="inlineStr">
        <is>
          <t>Revisor B</t>
        </is>
      </c>
      <c r="C153" s="4" t="n">
        <v>2020</v>
      </c>
      <c r="D153" s="4" t="inlineStr">
        <is>
          <t>diagnosis</t>
        </is>
      </c>
      <c r="E153" s="4" t="inlineStr">
        <is>
          <t>Imagen</t>
        </is>
      </c>
      <c r="F153" s="4" t="n">
        <v>0</v>
      </c>
      <c r="G153" s="4" t="n">
        <v>1</v>
      </c>
      <c r="H153" s="4" t="inlineStr">
        <is>
          <t>0-&gt;1</t>
        </is>
      </c>
      <c r="I153" s="4" t="n">
        <v>0</v>
      </c>
      <c r="J153" s="4" t="inlineStr">
        <is>
          <t>RQ2_Negative_78</t>
        </is>
      </c>
      <c r="K153" s="4" t="n">
        <v>0</v>
      </c>
      <c r="L153" s="4" t="n">
        <v>1</v>
      </c>
      <c r="M153" s="4" t="inlineStr">
        <is>
          <t>High</t>
        </is>
      </c>
      <c r="N153" s="4" t="inlineStr">
        <is>
          <t>biomarker-or-biological-marker</t>
        </is>
      </c>
      <c r="O153" s="4" t="n"/>
    </row>
    <row r="154" ht="30" customHeight="1">
      <c r="A154" s="4" t="n">
        <v>195</v>
      </c>
      <c r="B154" s="4" t="inlineStr">
        <is>
          <t>Revisor A</t>
        </is>
      </c>
      <c r="C154" s="4" t="n">
        <v>2021</v>
      </c>
      <c r="D154" s="4" t="inlineStr">
        <is>
          <t>diagnosis</t>
        </is>
      </c>
      <c r="E154" s="4" t="inlineStr">
        <is>
          <t>No especificado</t>
        </is>
      </c>
      <c r="F154" s="4" t="n">
        <v>0</v>
      </c>
      <c r="G154" s="4" t="n">
        <v>1</v>
      </c>
      <c r="H154" s="4" t="inlineStr">
        <is>
          <t>0-&gt;1</t>
        </is>
      </c>
      <c r="I154" s="4" t="n">
        <v>0</v>
      </c>
      <c r="J154" s="4" t="inlineStr">
        <is>
          <t>RQ2_Negative_78</t>
        </is>
      </c>
      <c r="K154" s="4" t="n">
        <v>0</v>
      </c>
      <c r="L154" s="4" t="n">
        <v>1</v>
      </c>
      <c r="M154" s="4" t="inlineStr">
        <is>
          <t>High</t>
        </is>
      </c>
      <c r="N154" s="4" t="n"/>
      <c r="O154" s="4" t="n"/>
    </row>
    <row r="155" ht="47" customHeight="1">
      <c r="A155" s="4" t="n">
        <v>196</v>
      </c>
      <c r="B155" s="4" t="inlineStr">
        <is>
          <t>Revisor B</t>
        </is>
      </c>
      <c r="C155" s="4" t="n">
        <v>2022</v>
      </c>
      <c r="D155" s="4" t="n"/>
      <c r="E155" s="4" t="inlineStr">
        <is>
          <t>No especificado</t>
        </is>
      </c>
      <c r="F155" s="4" t="n"/>
      <c r="G155" s="4" t="n">
        <v>1</v>
      </c>
      <c r="H155" s="4" t="inlineStr">
        <is>
          <t>blank-&gt;1</t>
        </is>
      </c>
      <c r="I155" s="4" t="n"/>
      <c r="J155" s="4" t="inlineStr">
        <is>
          <t>RQ2_Missing_167</t>
        </is>
      </c>
      <c r="K155" s="4" t="n"/>
      <c r="L155" s="4" t="n">
        <v>1</v>
      </c>
      <c r="M155" s="4" t="inlineStr">
        <is>
          <t>High</t>
        </is>
      </c>
      <c r="N155" s="4" t="inlineStr">
        <is>
          <t>stage-unclear; biomarker-or-biological-marker</t>
        </is>
      </c>
      <c r="O155" s="4" t="n"/>
    </row>
    <row r="156" ht="30" customHeight="1">
      <c r="A156" s="4" t="n">
        <v>197</v>
      </c>
      <c r="B156" s="4" t="inlineStr">
        <is>
          <t>Revisor A</t>
        </is>
      </c>
      <c r="C156" s="4" t="n">
        <v>2022</v>
      </c>
      <c r="D156" s="4" t="inlineStr">
        <is>
          <t>Diagnosis</t>
        </is>
      </c>
      <c r="E156" s="4" t="inlineStr">
        <is>
          <t>Texto · NLP</t>
        </is>
      </c>
      <c r="F156" s="4" t="n"/>
      <c r="G156" s="4" t="n">
        <v>1</v>
      </c>
      <c r="H156" s="4" t="inlineStr">
        <is>
          <t>blank-&gt;1</t>
        </is>
      </c>
      <c r="I156" s="4" t="n"/>
      <c r="J156" s="4" t="inlineStr">
        <is>
          <t>RQ2_Missing_167</t>
        </is>
      </c>
      <c r="K156" s="4" t="n"/>
      <c r="L156" s="4" t="n">
        <v>1</v>
      </c>
      <c r="M156" s="4" t="inlineStr">
        <is>
          <t>High</t>
        </is>
      </c>
      <c r="N156" s="4" t="n"/>
      <c r="O156" s="4" t="n"/>
    </row>
    <row r="157" ht="30" customHeight="1">
      <c r="A157" s="4" t="n">
        <v>198</v>
      </c>
      <c r="B157" s="4" t="inlineStr">
        <is>
          <t>Revisor A</t>
        </is>
      </c>
      <c r="C157" s="4" t="n">
        <v>2025</v>
      </c>
      <c r="D157" s="4" t="inlineStr">
        <is>
          <t>Not clear</t>
        </is>
      </c>
      <c r="E157" s="4" t="inlineStr">
        <is>
          <t>No especificado</t>
        </is>
      </c>
      <c r="F157" s="4" t="n"/>
      <c r="G157" s="4" t="n">
        <v>1</v>
      </c>
      <c r="H157" s="4" t="inlineStr">
        <is>
          <t>blank-&gt;1</t>
        </is>
      </c>
      <c r="I157" s="4" t="n"/>
      <c r="J157" s="4" t="inlineStr">
        <is>
          <t>RQ2_Missing_167</t>
        </is>
      </c>
      <c r="K157" s="4" t="n"/>
      <c r="L157" s="4" t="n">
        <v>1</v>
      </c>
      <c r="M157" s="4" t="inlineStr">
        <is>
          <t>High</t>
        </is>
      </c>
      <c r="N157" s="4" t="inlineStr">
        <is>
          <t>stage-unclear</t>
        </is>
      </c>
      <c r="O157" s="4" t="n"/>
    </row>
    <row r="158" ht="34" customHeight="1">
      <c r="A158" s="4" t="n">
        <v>199</v>
      </c>
      <c r="B158" s="4" t="inlineStr">
        <is>
          <t>Revisor B</t>
        </is>
      </c>
      <c r="C158" s="4" t="n">
        <v>2021</v>
      </c>
      <c r="D158" s="4" t="inlineStr">
        <is>
          <t>screening</t>
        </is>
      </c>
      <c r="E158" s="4" t="inlineStr">
        <is>
          <t>No especificado</t>
        </is>
      </c>
      <c r="F158" s="4" t="n">
        <v>0</v>
      </c>
      <c r="G158" s="4" t="n">
        <v>1</v>
      </c>
      <c r="H158" s="4" t="inlineStr">
        <is>
          <t>0-&gt;1</t>
        </is>
      </c>
      <c r="I158" s="4" t="n">
        <v>0</v>
      </c>
      <c r="J158" s="4" t="inlineStr">
        <is>
          <t>RQ2_Negative_78</t>
        </is>
      </c>
      <c r="K158" s="4" t="n">
        <v>0</v>
      </c>
      <c r="L158" s="4" t="n">
        <v>1</v>
      </c>
      <c r="M158" s="4" t="inlineStr">
        <is>
          <t>High</t>
        </is>
      </c>
      <c r="N158" s="4" t="inlineStr">
        <is>
          <t>subtyping/phenotyping</t>
        </is>
      </c>
      <c r="O158" s="4" t="n"/>
    </row>
    <row r="159" ht="30" customHeight="1">
      <c r="A159" s="4" t="n">
        <v>200</v>
      </c>
      <c r="B159" s="4" t="inlineStr">
        <is>
          <t>Revisor A</t>
        </is>
      </c>
      <c r="C159" s="4" t="n">
        <v>2024</v>
      </c>
      <c r="D159" s="4" t="inlineStr">
        <is>
          <t>Screening</t>
        </is>
      </c>
      <c r="E159" s="4" t="inlineStr">
        <is>
          <t>No especificado</t>
        </is>
      </c>
      <c r="F159" s="4" t="n"/>
      <c r="G159" s="4" t="n">
        <v>1</v>
      </c>
      <c r="H159" s="4" t="inlineStr">
        <is>
          <t>blank-&gt;1</t>
        </is>
      </c>
      <c r="I159" s="4" t="n"/>
      <c r="J159" s="4" t="inlineStr">
        <is>
          <t>RQ2_Missing_167</t>
        </is>
      </c>
      <c r="K159" s="4" t="n"/>
      <c r="L159" s="4" t="n">
        <v>1</v>
      </c>
      <c r="M159" s="4" t="inlineStr">
        <is>
          <t>High</t>
        </is>
      </c>
      <c r="N159" s="4" t="n"/>
      <c r="O159" s="4" t="n"/>
    </row>
    <row r="160" ht="34" customHeight="1">
      <c r="A160" s="4" t="n">
        <v>201</v>
      </c>
      <c r="B160" s="4" t="inlineStr">
        <is>
          <t>Revisor A</t>
        </is>
      </c>
      <c r="C160" s="4" t="n">
        <v>2025</v>
      </c>
      <c r="D160" s="4" t="inlineStr">
        <is>
          <t>Screening</t>
        </is>
      </c>
      <c r="E160" s="4" t="inlineStr">
        <is>
          <t>Señales fisiológicas</t>
        </is>
      </c>
      <c r="F160" s="4" t="n"/>
      <c r="G160" s="4" t="n">
        <v>1</v>
      </c>
      <c r="H160" s="4" t="inlineStr">
        <is>
          <t>blank-&gt;1</t>
        </is>
      </c>
      <c r="I160" s="4" t="n"/>
      <c r="J160" s="4" t="inlineStr">
        <is>
          <t>RQ2_Missing_167</t>
        </is>
      </c>
      <c r="K160" s="4" t="n"/>
      <c r="L160" s="4" t="n">
        <v>1</v>
      </c>
      <c r="M160" s="4" t="inlineStr">
        <is>
          <t>High</t>
        </is>
      </c>
      <c r="N160" s="4" t="n"/>
      <c r="O160" s="4" t="n"/>
    </row>
    <row r="161" ht="34" customHeight="1">
      <c r="A161" s="4" t="n">
        <v>202</v>
      </c>
      <c r="B161" s="4" t="inlineStr">
        <is>
          <t>Revisor A</t>
        </is>
      </c>
      <c r="C161" s="4" t="n">
        <v>2024</v>
      </c>
      <c r="D161" s="4" t="inlineStr">
        <is>
          <t>Diagnosis</t>
        </is>
      </c>
      <c r="E161" s="4" t="inlineStr">
        <is>
          <t>Señales fisiológicas</t>
        </is>
      </c>
      <c r="F161" s="4" t="n"/>
      <c r="G161" s="4" t="n">
        <v>0</v>
      </c>
      <c r="H161" s="4" t="inlineStr">
        <is>
          <t>blank-&gt;0</t>
        </is>
      </c>
      <c r="I161" s="4" t="n"/>
      <c r="J161" s="4" t="inlineStr">
        <is>
          <t>RQ2_Missing_167</t>
        </is>
      </c>
      <c r="K161" s="4" t="n"/>
      <c r="L161" s="4" t="n">
        <v>1</v>
      </c>
      <c r="M161" s="4" t="inlineStr">
        <is>
          <t>High</t>
        </is>
      </c>
      <c r="N161" s="4" t="inlineStr">
        <is>
          <t>manual-adjudication; changed-to-0</t>
        </is>
      </c>
      <c r="O161" s="4" t="n"/>
    </row>
    <row r="162" ht="30" customHeight="1">
      <c r="A162" s="4" t="n">
        <v>203</v>
      </c>
      <c r="B162" s="4" t="inlineStr">
        <is>
          <t>Revisor B</t>
        </is>
      </c>
      <c r="C162" s="4" t="n">
        <v>2025</v>
      </c>
      <c r="D162" s="4" t="inlineStr">
        <is>
          <t>Screening</t>
        </is>
      </c>
      <c r="E162" s="4" t="inlineStr">
        <is>
          <t>Imagen</t>
        </is>
      </c>
      <c r="F162" s="4" t="n">
        <v>0</v>
      </c>
      <c r="G162" s="4" t="n">
        <v>1</v>
      </c>
      <c r="H162" s="4" t="inlineStr">
        <is>
          <t>0-&gt;1</t>
        </is>
      </c>
      <c r="I162" s="4" t="n">
        <v>0</v>
      </c>
      <c r="J162" s="4" t="inlineStr">
        <is>
          <t>RQ2_Negative_78</t>
        </is>
      </c>
      <c r="K162" s="4" t="n">
        <v>0</v>
      </c>
      <c r="L162" s="4" t="n">
        <v>1</v>
      </c>
      <c r="M162" s="4" t="inlineStr">
        <is>
          <t>High</t>
        </is>
      </c>
      <c r="N162" s="4" t="n"/>
      <c r="O162" s="4" t="n"/>
    </row>
    <row r="163" ht="30" customHeight="1">
      <c r="A163" s="4" t="n">
        <v>204</v>
      </c>
      <c r="B163" s="4" t="inlineStr">
        <is>
          <t>Revisor B</t>
        </is>
      </c>
      <c r="C163" s="4" t="n">
        <v>2016</v>
      </c>
      <c r="D163" s="4" t="inlineStr">
        <is>
          <t>Diagnosis</t>
        </is>
      </c>
      <c r="E163" s="4" t="inlineStr">
        <is>
          <t>No especificado</t>
        </is>
      </c>
      <c r="F163" s="4" t="n">
        <v>0</v>
      </c>
      <c r="G163" s="4" t="n">
        <v>1</v>
      </c>
      <c r="H163" s="4" t="inlineStr">
        <is>
          <t>0-&gt;1</t>
        </is>
      </c>
      <c r="I163" s="4" t="n">
        <v>0</v>
      </c>
      <c r="J163" s="4" t="inlineStr">
        <is>
          <t>RQ2_Negative_78</t>
        </is>
      </c>
      <c r="K163" s="4" t="n">
        <v>0</v>
      </c>
      <c r="L163" s="4" t="n">
        <v>1</v>
      </c>
      <c r="M163" s="4" t="inlineStr">
        <is>
          <t>High</t>
        </is>
      </c>
      <c r="N163" s="4" t="n"/>
      <c r="O163" s="4" t="n"/>
    </row>
    <row r="164" ht="34" customHeight="1">
      <c r="A164" s="4" t="n">
        <v>205</v>
      </c>
      <c r="B164" s="4" t="inlineStr">
        <is>
          <t>Revisor A</t>
        </is>
      </c>
      <c r="C164" s="4" t="n">
        <v>2024</v>
      </c>
      <c r="D164" s="4" t="inlineStr">
        <is>
          <t>Monitoring/intervention</t>
        </is>
      </c>
      <c r="E164" s="4" t="inlineStr">
        <is>
          <t>Imagen</t>
        </is>
      </c>
      <c r="F164" s="4" t="n"/>
      <c r="G164" s="4" t="n">
        <v>1</v>
      </c>
      <c r="H164" s="4" t="inlineStr">
        <is>
          <t>blank-&gt;1</t>
        </is>
      </c>
      <c r="I164" s="4" t="n"/>
      <c r="J164" s="4" t="inlineStr">
        <is>
          <t>RQ2_Missing_167</t>
        </is>
      </c>
      <c r="K164" s="4" t="n"/>
      <c r="L164" s="4" t="n">
        <v>1</v>
      </c>
      <c r="M164" s="4" t="inlineStr">
        <is>
          <t>High</t>
        </is>
      </c>
      <c r="N164" s="4" t="n"/>
      <c r="O164" s="4" t="n"/>
    </row>
    <row r="165" ht="34" customHeight="1">
      <c r="A165" s="4" t="n">
        <v>206</v>
      </c>
      <c r="B165" s="4" t="inlineStr">
        <is>
          <t>Ambos (piloto)</t>
        </is>
      </c>
      <c r="C165" s="4" t="n">
        <v>2019</v>
      </c>
      <c r="D165" s="4" t="inlineStr">
        <is>
          <t>Diagnosis</t>
        </is>
      </c>
      <c r="E165" s="4" t="inlineStr">
        <is>
          <t>Multimodal</t>
        </is>
      </c>
      <c r="F165" s="4" t="n"/>
      <c r="G165" s="4" t="n">
        <v>1</v>
      </c>
      <c r="H165" s="4" t="inlineStr">
        <is>
          <t>blank-&gt;1</t>
        </is>
      </c>
      <c r="I165" s="4" t="n"/>
      <c r="J165" s="4" t="inlineStr">
        <is>
          <t>RQ2_Missing_167</t>
        </is>
      </c>
      <c r="K165" s="4" t="n"/>
      <c r="L165" s="4" t="n">
        <v>1</v>
      </c>
      <c r="M165" s="4" t="inlineStr">
        <is>
          <t>High</t>
        </is>
      </c>
      <c r="N165" s="4" t="inlineStr">
        <is>
          <t>biomarker-or-biological-marker</t>
        </is>
      </c>
      <c r="O165" s="4" t="n"/>
    </row>
    <row r="166" ht="30" customHeight="1">
      <c r="A166" s="4" t="n">
        <v>208</v>
      </c>
      <c r="B166" s="4" t="inlineStr">
        <is>
          <t>Revisor B</t>
        </is>
      </c>
      <c r="C166" s="4" t="n">
        <v>2022</v>
      </c>
      <c r="D166" s="4" t="inlineStr">
        <is>
          <t>diagnosis</t>
        </is>
      </c>
      <c r="E166" s="4" t="inlineStr">
        <is>
          <t>No especificado</t>
        </is>
      </c>
      <c r="F166" s="4" t="n">
        <v>0</v>
      </c>
      <c r="G166" s="4" t="n">
        <v>1</v>
      </c>
      <c r="H166" s="4" t="inlineStr">
        <is>
          <t>0-&gt;1</t>
        </is>
      </c>
      <c r="I166" s="4" t="n">
        <v>0</v>
      </c>
      <c r="J166" s="4" t="inlineStr">
        <is>
          <t>RQ2_Negative_78</t>
        </is>
      </c>
      <c r="K166" s="4" t="n">
        <v>0</v>
      </c>
      <c r="L166" s="4" t="n">
        <v>1</v>
      </c>
      <c r="M166" s="4" t="inlineStr">
        <is>
          <t>High</t>
        </is>
      </c>
      <c r="N166" s="4" t="n"/>
      <c r="O166" s="4" t="n"/>
    </row>
    <row r="167" ht="34" customHeight="1">
      <c r="A167" s="4" t="n">
        <v>209</v>
      </c>
      <c r="B167" s="4" t="inlineStr">
        <is>
          <t>Revisor A</t>
        </is>
      </c>
      <c r="C167" s="4" t="n">
        <v>2024</v>
      </c>
      <c r="D167" s="4" t="inlineStr">
        <is>
          <t>Monitoring/intervention</t>
        </is>
      </c>
      <c r="E167" s="4" t="inlineStr">
        <is>
          <t>Multimodal</t>
        </is>
      </c>
      <c r="F167" s="4" t="n"/>
      <c r="G167" s="4" t="n">
        <v>1</v>
      </c>
      <c r="H167" s="4" t="inlineStr">
        <is>
          <t>blank-&gt;1</t>
        </is>
      </c>
      <c r="I167" s="4" t="n"/>
      <c r="J167" s="4" t="inlineStr">
        <is>
          <t>RQ2_Missing_167</t>
        </is>
      </c>
      <c r="K167" s="4" t="n"/>
      <c r="L167" s="4" t="n">
        <v>1</v>
      </c>
      <c r="M167" s="4" t="inlineStr">
        <is>
          <t>High</t>
        </is>
      </c>
      <c r="N167" s="4" t="inlineStr">
        <is>
          <t>biomarker-or-biological-marker</t>
        </is>
      </c>
      <c r="O167" s="4" t="n"/>
    </row>
    <row r="168" ht="34" customHeight="1">
      <c r="A168" s="4" t="n">
        <v>210</v>
      </c>
      <c r="B168" s="4" t="inlineStr">
        <is>
          <t>Revisor A</t>
        </is>
      </c>
      <c r="C168" s="4" t="n">
        <v>2023</v>
      </c>
      <c r="D168" s="4" t="inlineStr">
        <is>
          <t>Monitoring/intervention</t>
        </is>
      </c>
      <c r="E168" s="4" t="inlineStr">
        <is>
          <t>Señales fisiológicas</t>
        </is>
      </c>
      <c r="F168" s="4" t="n"/>
      <c r="G168" s="4" t="n">
        <v>1</v>
      </c>
      <c r="H168" s="4" t="inlineStr">
        <is>
          <t>blank-&gt;1</t>
        </is>
      </c>
      <c r="I168" s="4" t="n"/>
      <c r="J168" s="4" t="inlineStr">
        <is>
          <t>RQ2_Missing_167</t>
        </is>
      </c>
      <c r="K168" s="4" t="n"/>
      <c r="L168" s="4" t="n">
        <v>1</v>
      </c>
      <c r="M168" s="4" t="inlineStr">
        <is>
          <t>High</t>
        </is>
      </c>
      <c r="N168" s="4" t="inlineStr">
        <is>
          <t>biomarker-or-biological-marker</t>
        </is>
      </c>
      <c r="O168" s="4" t="n"/>
    </row>
    <row r="169" ht="34" customHeight="1">
      <c r="A169" s="4" t="n">
        <v>213</v>
      </c>
      <c r="B169" s="4" t="inlineStr">
        <is>
          <t>Revisor A</t>
        </is>
      </c>
      <c r="C169" s="4" t="n">
        <v>2015</v>
      </c>
      <c r="D169" s="4" t="inlineStr">
        <is>
          <t>Diagnosis</t>
        </is>
      </c>
      <c r="E169" s="4" t="inlineStr">
        <is>
          <t>Señales fisiológicas</t>
        </is>
      </c>
      <c r="F169" s="4" t="n"/>
      <c r="G169" s="4" t="n">
        <v>1</v>
      </c>
      <c r="H169" s="4" t="inlineStr">
        <is>
          <t>blank-&gt;1</t>
        </is>
      </c>
      <c r="I169" s="4" t="n"/>
      <c r="J169" s="4" t="inlineStr">
        <is>
          <t>RQ2_Missing_167</t>
        </is>
      </c>
      <c r="K169" s="4" t="n"/>
      <c r="L169" s="4" t="n">
        <v>1</v>
      </c>
      <c r="M169" s="4" t="inlineStr">
        <is>
          <t>High</t>
        </is>
      </c>
      <c r="N169" s="4" t="inlineStr">
        <is>
          <t>biomarker-or-biological-marker</t>
        </is>
      </c>
      <c r="O169" s="4" t="n"/>
    </row>
    <row r="170" ht="34" customHeight="1">
      <c r="A170" s="4" t="n">
        <v>215</v>
      </c>
      <c r="B170" s="4" t="inlineStr">
        <is>
          <t>Revisor B</t>
        </is>
      </c>
      <c r="C170" s="4" t="n">
        <v>2024</v>
      </c>
      <c r="D170" s="4" t="inlineStr">
        <is>
          <t>Screening</t>
        </is>
      </c>
      <c r="E170" s="4" t="inlineStr">
        <is>
          <t>Señales fisiológicas</t>
        </is>
      </c>
      <c r="F170" s="4" t="n">
        <v>0</v>
      </c>
      <c r="G170" s="4" t="n">
        <v>1</v>
      </c>
      <c r="H170" s="4" t="inlineStr">
        <is>
          <t>0-&gt;1</t>
        </is>
      </c>
      <c r="I170" s="4" t="n">
        <v>0</v>
      </c>
      <c r="J170" s="4" t="inlineStr">
        <is>
          <t>RQ2_Negative_78</t>
        </is>
      </c>
      <c r="K170" s="4" t="n">
        <v>0</v>
      </c>
      <c r="L170" s="4" t="n">
        <v>1</v>
      </c>
      <c r="M170" s="4" t="inlineStr">
        <is>
          <t>High</t>
        </is>
      </c>
      <c r="N170" s="4" t="n"/>
      <c r="O170" s="4" t="n"/>
    </row>
    <row r="171" ht="30" customHeight="1">
      <c r="A171" s="4" t="n">
        <v>218</v>
      </c>
      <c r="B171" s="4" t="inlineStr">
        <is>
          <t>Revisor A</t>
        </is>
      </c>
      <c r="C171" s="4" t="n">
        <v>2022</v>
      </c>
      <c r="D171" s="4" t="inlineStr">
        <is>
          <t>Screening</t>
        </is>
      </c>
      <c r="E171" s="4" t="inlineStr">
        <is>
          <t>Imagen</t>
        </is>
      </c>
      <c r="F171" s="4" t="n"/>
      <c r="G171" s="4" t="n">
        <v>1</v>
      </c>
      <c r="H171" s="4" t="inlineStr">
        <is>
          <t>blank-&gt;1</t>
        </is>
      </c>
      <c r="I171" s="4" t="n"/>
      <c r="J171" s="4" t="inlineStr">
        <is>
          <t>RQ2_Missing_167</t>
        </is>
      </c>
      <c r="K171" s="4" t="n"/>
      <c r="L171" s="4" t="n">
        <v>1</v>
      </c>
      <c r="M171" s="4" t="inlineStr">
        <is>
          <t>High</t>
        </is>
      </c>
      <c r="N171" s="4" t="n"/>
      <c r="O171" s="4" t="n"/>
    </row>
    <row r="172" ht="30" customHeight="1">
      <c r="A172" s="4" t="n">
        <v>219</v>
      </c>
      <c r="B172" s="4" t="inlineStr">
        <is>
          <t>Revisor B</t>
        </is>
      </c>
      <c r="C172" s="4" t="n">
        <v>2024</v>
      </c>
      <c r="D172" s="4" t="n"/>
      <c r="E172" s="4" t="inlineStr">
        <is>
          <t>Imagen</t>
        </is>
      </c>
      <c r="F172" s="4" t="n"/>
      <c r="G172" s="4" t="n">
        <v>1</v>
      </c>
      <c r="H172" s="4" t="inlineStr">
        <is>
          <t>blank-&gt;1</t>
        </is>
      </c>
      <c r="I172" s="4" t="n"/>
      <c r="J172" s="4" t="inlineStr">
        <is>
          <t>RQ2_Missing_167</t>
        </is>
      </c>
      <c r="K172" s="4" t="n"/>
      <c r="L172" s="4" t="n">
        <v>1</v>
      </c>
      <c r="M172" s="4" t="inlineStr">
        <is>
          <t>High</t>
        </is>
      </c>
      <c r="N172" s="4" t="inlineStr">
        <is>
          <t>stage-unclear</t>
        </is>
      </c>
      <c r="O172" s="4" t="n"/>
    </row>
    <row r="173" ht="30" customHeight="1">
      <c r="A173" s="4" t="n">
        <v>220</v>
      </c>
      <c r="B173" s="4" t="inlineStr">
        <is>
          <t>Revisor B</t>
        </is>
      </c>
      <c r="C173" s="4" t="n">
        <v>2025</v>
      </c>
      <c r="D173" s="4" t="inlineStr">
        <is>
          <t>diagnosis</t>
        </is>
      </c>
      <c r="E173" s="4" t="inlineStr">
        <is>
          <t>No especificado</t>
        </is>
      </c>
      <c r="F173" s="4" t="n">
        <v>0</v>
      </c>
      <c r="G173" s="4" t="n">
        <v>1</v>
      </c>
      <c r="H173" s="4" t="inlineStr">
        <is>
          <t>0-&gt;1</t>
        </is>
      </c>
      <c r="I173" s="4" t="n">
        <v>0</v>
      </c>
      <c r="J173" s="4" t="inlineStr">
        <is>
          <t>RQ2_Negative_78</t>
        </is>
      </c>
      <c r="K173" s="4" t="n">
        <v>0</v>
      </c>
      <c r="L173" s="4" t="n">
        <v>1</v>
      </c>
      <c r="M173" s="4" t="inlineStr">
        <is>
          <t>High</t>
        </is>
      </c>
      <c r="N173" s="4" t="n"/>
      <c r="O173" s="4" t="n"/>
    </row>
    <row r="174" ht="34" customHeight="1">
      <c r="A174" s="4" t="n">
        <v>221</v>
      </c>
      <c r="B174" s="4" t="inlineStr">
        <is>
          <t>Revisor A</t>
        </is>
      </c>
      <c r="C174" s="4" t="n">
        <v>2023</v>
      </c>
      <c r="D174" s="4" t="inlineStr">
        <is>
          <t>Diagnosis</t>
        </is>
      </c>
      <c r="E174" s="4" t="inlineStr">
        <is>
          <t>No especificado</t>
        </is>
      </c>
      <c r="F174" s="4" t="n"/>
      <c r="G174" s="4" t="n">
        <v>0</v>
      </c>
      <c r="H174" s="4" t="inlineStr">
        <is>
          <t>blank-&gt;0</t>
        </is>
      </c>
      <c r="I174" s="4" t="n"/>
      <c r="J174" s="4" t="inlineStr">
        <is>
          <t>RQ2_Missing_167</t>
        </is>
      </c>
      <c r="K174" s="4" t="n"/>
      <c r="L174" s="4" t="n">
        <v>1</v>
      </c>
      <c r="M174" s="4" t="inlineStr">
        <is>
          <t>High</t>
        </is>
      </c>
      <c r="N174" s="4" t="inlineStr">
        <is>
          <t>manual-adjudication; changed-to-0</t>
        </is>
      </c>
      <c r="O174" s="4" t="n"/>
    </row>
    <row r="175" ht="34" customHeight="1">
      <c r="A175" s="4" t="n">
        <v>222</v>
      </c>
      <c r="B175" s="4" t="inlineStr">
        <is>
          <t>Revisor A</t>
        </is>
      </c>
      <c r="C175" s="4" t="n">
        <v>2021</v>
      </c>
      <c r="D175" s="4" t="inlineStr">
        <is>
          <t>Monitoring/intervention</t>
        </is>
      </c>
      <c r="E175" s="4" t="inlineStr">
        <is>
          <t>Imagen</t>
        </is>
      </c>
      <c r="F175" s="4" t="n"/>
      <c r="G175" s="4" t="n">
        <v>0</v>
      </c>
      <c r="H175" s="4" t="inlineStr">
        <is>
          <t>blank-&gt;0</t>
        </is>
      </c>
      <c r="I175" s="4" t="n"/>
      <c r="J175" s="4" t="inlineStr">
        <is>
          <t>RQ2_Missing_167</t>
        </is>
      </c>
      <c r="K175" s="4" t="n"/>
      <c r="L175" s="4" t="n">
        <v>1</v>
      </c>
      <c r="M175" s="4" t="inlineStr">
        <is>
          <t>High</t>
        </is>
      </c>
      <c r="N175" s="4" t="inlineStr">
        <is>
          <t>manual-adjudication; changed-to-0</t>
        </is>
      </c>
      <c r="O175" s="4" t="n"/>
    </row>
    <row r="176" ht="34" customHeight="1">
      <c r="A176" s="4" t="n">
        <v>224</v>
      </c>
      <c r="B176" s="4" t="inlineStr">
        <is>
          <t>Revisor B</t>
        </is>
      </c>
      <c r="C176" s="4" t="n">
        <v>2025</v>
      </c>
      <c r="D176" s="4" t="n"/>
      <c r="E176" s="4" t="inlineStr">
        <is>
          <t>Señales fisiológicas</t>
        </is>
      </c>
      <c r="F176" s="4" t="n">
        <v>0</v>
      </c>
      <c r="G176" s="4" t="n">
        <v>1</v>
      </c>
      <c r="H176" s="4" t="inlineStr">
        <is>
          <t>0-&gt;1</t>
        </is>
      </c>
      <c r="I176" s="4" t="n">
        <v>0</v>
      </c>
      <c r="J176" s="4" t="inlineStr">
        <is>
          <t>RQ2_Negative_78</t>
        </is>
      </c>
      <c r="K176" s="4" t="n">
        <v>0</v>
      </c>
      <c r="L176" s="4" t="n">
        <v>1</v>
      </c>
      <c r="M176" s="4" t="inlineStr">
        <is>
          <t>High</t>
        </is>
      </c>
      <c r="N176" s="4" t="inlineStr">
        <is>
          <t>stage-unclear</t>
        </is>
      </c>
      <c r="O176" s="4" t="n"/>
    </row>
    <row r="177" ht="34" customHeight="1">
      <c r="A177" s="4" t="n">
        <v>225</v>
      </c>
      <c r="B177" s="4" t="inlineStr">
        <is>
          <t>Revisor A</t>
        </is>
      </c>
      <c r="C177" s="4" t="n">
        <v>2019</v>
      </c>
      <c r="D177" s="4" t="inlineStr">
        <is>
          <t>Screening</t>
        </is>
      </c>
      <c r="E177" s="4" t="inlineStr">
        <is>
          <t>Imagen</t>
        </is>
      </c>
      <c r="F177" s="4" t="n"/>
      <c r="G177" s="4" t="n">
        <v>1</v>
      </c>
      <c r="H177" s="4" t="inlineStr">
        <is>
          <t>blank-&gt;1</t>
        </is>
      </c>
      <c r="I177" s="4" t="n"/>
      <c r="J177" s="4" t="inlineStr">
        <is>
          <t>RQ2_Missing_167</t>
        </is>
      </c>
      <c r="K177" s="4" t="n"/>
      <c r="L177" s="4" t="n">
        <v>1</v>
      </c>
      <c r="M177" s="4" t="inlineStr">
        <is>
          <t>High</t>
        </is>
      </c>
      <c r="N177" s="4" t="inlineStr">
        <is>
          <t>classification-only-language</t>
        </is>
      </c>
      <c r="O177" s="4" t="n"/>
    </row>
    <row r="178" ht="30" customHeight="1">
      <c r="A178" s="4" t="n">
        <v>226</v>
      </c>
      <c r="B178" s="4" t="inlineStr">
        <is>
          <t>Revisor A</t>
        </is>
      </c>
      <c r="C178" s="4" t="n">
        <v>2023</v>
      </c>
      <c r="D178" s="4" t="inlineStr">
        <is>
          <t>Diagnosis</t>
        </is>
      </c>
      <c r="E178" s="4" t="inlineStr">
        <is>
          <t>Imagen</t>
        </is>
      </c>
      <c r="F178" s="4" t="n"/>
      <c r="G178" s="4" t="n">
        <v>1</v>
      </c>
      <c r="H178" s="4" t="inlineStr">
        <is>
          <t>blank-&gt;1</t>
        </is>
      </c>
      <c r="I178" s="4" t="n"/>
      <c r="J178" s="4" t="inlineStr">
        <is>
          <t>RQ2_Missing_167</t>
        </is>
      </c>
      <c r="K178" s="4" t="n"/>
      <c r="L178" s="4" t="n">
        <v>1</v>
      </c>
      <c r="M178" s="4" t="inlineStr">
        <is>
          <t>High</t>
        </is>
      </c>
      <c r="N178" s="4" t="n"/>
      <c r="O178" s="4" t="n"/>
    </row>
    <row r="179" ht="30" customHeight="1">
      <c r="A179" s="4" t="n">
        <v>227</v>
      </c>
      <c r="B179" s="4" t="inlineStr">
        <is>
          <t>Revisor B</t>
        </is>
      </c>
      <c r="C179" s="4" t="n">
        <v>2024</v>
      </c>
      <c r="D179" s="4" t="n"/>
      <c r="E179" s="4" t="inlineStr">
        <is>
          <t>Imagen</t>
        </is>
      </c>
      <c r="F179" s="4" t="n"/>
      <c r="G179" s="4" t="n">
        <v>1</v>
      </c>
      <c r="H179" s="4" t="inlineStr">
        <is>
          <t>blank-&gt;1</t>
        </is>
      </c>
      <c r="I179" s="4" t="n"/>
      <c r="J179" s="4" t="inlineStr">
        <is>
          <t>RQ2_Missing_167</t>
        </is>
      </c>
      <c r="K179" s="4" t="n"/>
      <c r="L179" s="4" t="n">
        <v>1</v>
      </c>
      <c r="M179" s="4" t="inlineStr">
        <is>
          <t>High</t>
        </is>
      </c>
      <c r="N179" s="4" t="inlineStr">
        <is>
          <t>stage-unclear</t>
        </is>
      </c>
      <c r="O179" s="4" t="n"/>
    </row>
    <row r="180" ht="30" customHeight="1">
      <c r="A180" s="4" t="n">
        <v>228</v>
      </c>
      <c r="B180" s="4" t="inlineStr">
        <is>
          <t>Revisor B</t>
        </is>
      </c>
      <c r="C180" s="4" t="n">
        <v>2024</v>
      </c>
      <c r="D180" s="4" t="n"/>
      <c r="E180" s="4" t="inlineStr">
        <is>
          <t>No especificado</t>
        </is>
      </c>
      <c r="F180" s="4" t="n"/>
      <c r="G180" s="4" t="n">
        <v>1</v>
      </c>
      <c r="H180" s="4" t="inlineStr">
        <is>
          <t>blank-&gt;1</t>
        </is>
      </c>
      <c r="I180" s="4" t="n"/>
      <c r="J180" s="4" t="inlineStr">
        <is>
          <t>RQ2_Missing_167</t>
        </is>
      </c>
      <c r="K180" s="4" t="n"/>
      <c r="L180" s="4" t="n">
        <v>1</v>
      </c>
      <c r="M180" s="4" t="inlineStr">
        <is>
          <t>High</t>
        </is>
      </c>
      <c r="N180" s="4" t="inlineStr">
        <is>
          <t>stage-unclear</t>
        </is>
      </c>
      <c r="O180" s="4" t="n"/>
    </row>
    <row r="181" ht="30" customHeight="1">
      <c r="A181" s="4" t="n">
        <v>229</v>
      </c>
      <c r="B181" s="4" t="inlineStr">
        <is>
          <t>Revisor B</t>
        </is>
      </c>
      <c r="C181" s="4" t="n">
        <v>2020</v>
      </c>
      <c r="D181" s="4" t="inlineStr">
        <is>
          <t>diagnosis</t>
        </is>
      </c>
      <c r="E181" s="4" t="inlineStr">
        <is>
          <t>No especificado</t>
        </is>
      </c>
      <c r="F181" s="4" t="n">
        <v>0</v>
      </c>
      <c r="G181" s="4" t="n">
        <v>1</v>
      </c>
      <c r="H181" s="4" t="inlineStr">
        <is>
          <t>0-&gt;1</t>
        </is>
      </c>
      <c r="I181" s="4" t="n">
        <v>0</v>
      </c>
      <c r="J181" s="4" t="inlineStr">
        <is>
          <t>RQ2_Negative_78</t>
        </is>
      </c>
      <c r="K181" s="4" t="n">
        <v>0</v>
      </c>
      <c r="L181" s="4" t="n">
        <v>1</v>
      </c>
      <c r="M181" s="4" t="inlineStr">
        <is>
          <t>High</t>
        </is>
      </c>
      <c r="N181" s="4" t="n"/>
      <c r="O181" s="4" t="n"/>
    </row>
    <row r="182" ht="34" customHeight="1">
      <c r="A182" s="4" t="n">
        <v>230</v>
      </c>
      <c r="B182" s="4" t="inlineStr">
        <is>
          <t>Revisor A</t>
        </is>
      </c>
      <c r="C182" s="4" t="n">
        <v>2024</v>
      </c>
      <c r="D182" s="4" t="inlineStr">
        <is>
          <t>Diagnosis</t>
        </is>
      </c>
      <c r="E182" s="4" t="inlineStr">
        <is>
          <t>Señales fisiológicas</t>
        </is>
      </c>
      <c r="F182" s="4" t="n"/>
      <c r="G182" s="4" t="n">
        <v>1</v>
      </c>
      <c r="H182" s="4" t="inlineStr">
        <is>
          <t>blank-&gt;1</t>
        </is>
      </c>
      <c r="I182" s="4" t="n"/>
      <c r="J182" s="4" t="inlineStr">
        <is>
          <t>RQ2_Missing_167</t>
        </is>
      </c>
      <c r="K182" s="4" t="n"/>
      <c r="L182" s="4" t="n">
        <v>1</v>
      </c>
      <c r="M182" s="4" t="inlineStr">
        <is>
          <t>High</t>
        </is>
      </c>
      <c r="N182" s="4" t="n"/>
      <c r="O182" s="4" t="n"/>
    </row>
    <row r="183" ht="34" customHeight="1">
      <c r="A183" s="4" t="n">
        <v>231</v>
      </c>
      <c r="B183" s="4" t="inlineStr">
        <is>
          <t>Revisor A</t>
        </is>
      </c>
      <c r="C183" s="4" t="n">
        <v>2024</v>
      </c>
      <c r="D183" s="4" t="inlineStr">
        <is>
          <t>Diagnosis</t>
        </is>
      </c>
      <c r="E183" s="4" t="inlineStr">
        <is>
          <t>Imagen</t>
        </is>
      </c>
      <c r="F183" s="4" t="n"/>
      <c r="G183" s="4" t="n">
        <v>0</v>
      </c>
      <c r="H183" s="4" t="inlineStr">
        <is>
          <t>blank-&gt;0</t>
        </is>
      </c>
      <c r="I183" s="4" t="n"/>
      <c r="J183" s="4" t="inlineStr">
        <is>
          <t>RQ2_Missing_167</t>
        </is>
      </c>
      <c r="K183" s="4" t="n"/>
      <c r="L183" s="4" t="n">
        <v>1</v>
      </c>
      <c r="M183" s="4" t="inlineStr">
        <is>
          <t>Medium</t>
        </is>
      </c>
      <c r="N183" s="4" t="inlineStr">
        <is>
          <t>manual-adjudication; changed-to-0</t>
        </is>
      </c>
      <c r="O183" s="4" t="n"/>
    </row>
    <row r="184" ht="47" customHeight="1">
      <c r="A184" s="4" t="n">
        <v>232</v>
      </c>
      <c r="B184" s="4" t="inlineStr">
        <is>
          <t>Revisor B</t>
        </is>
      </c>
      <c r="C184" s="4" t="n">
        <v>2020</v>
      </c>
      <c r="D184" s="4" t="inlineStr">
        <is>
          <t>diagnosis</t>
        </is>
      </c>
      <c r="E184" s="4" t="inlineStr">
        <is>
          <t>Señales fisiológicas</t>
        </is>
      </c>
      <c r="F184" s="4" t="n">
        <v>0</v>
      </c>
      <c r="G184" s="4" t="n">
        <v>1</v>
      </c>
      <c r="H184" s="4" t="inlineStr">
        <is>
          <t>0-&gt;1</t>
        </is>
      </c>
      <c r="I184" s="4" t="n">
        <v>0</v>
      </c>
      <c r="J184" s="4" t="inlineStr">
        <is>
          <t>RQ2_Negative_78</t>
        </is>
      </c>
      <c r="K184" s="4" t="n">
        <v>0</v>
      </c>
      <c r="L184" s="4" t="n">
        <v>1</v>
      </c>
      <c r="M184" s="4" t="inlineStr">
        <is>
          <t>High</t>
        </is>
      </c>
      <c r="N184" s="4" t="inlineStr">
        <is>
          <t>biomarker-or-biological-marker; subtyping/phenotyping</t>
        </is>
      </c>
      <c r="O184" s="4" t="n"/>
    </row>
    <row r="185" ht="30" customHeight="1">
      <c r="A185" s="4" t="n">
        <v>234</v>
      </c>
      <c r="B185" s="4" t="inlineStr">
        <is>
          <t>Revisor A</t>
        </is>
      </c>
      <c r="C185" s="4" t="n">
        <v>2023</v>
      </c>
      <c r="D185" s="4" t="inlineStr">
        <is>
          <t>Diagnosis</t>
        </is>
      </c>
      <c r="E185" s="4" t="inlineStr">
        <is>
          <t>Imagen</t>
        </is>
      </c>
      <c r="F185" s="4" t="n"/>
      <c r="G185" s="4" t="n">
        <v>1</v>
      </c>
      <c r="H185" s="4" t="inlineStr">
        <is>
          <t>blank-&gt;1</t>
        </is>
      </c>
      <c r="I185" s="4" t="n"/>
      <c r="J185" s="4" t="inlineStr">
        <is>
          <t>RQ2_Missing_167</t>
        </is>
      </c>
      <c r="K185" s="4" t="n"/>
      <c r="L185" s="4" t="n">
        <v>1</v>
      </c>
      <c r="M185" s="4" t="inlineStr">
        <is>
          <t>High</t>
        </is>
      </c>
      <c r="N185" s="4" t="n"/>
      <c r="O185" s="4" t="n"/>
    </row>
    <row r="186" ht="34" customHeight="1">
      <c r="A186" s="4" t="n">
        <v>235</v>
      </c>
      <c r="B186" s="4" t="inlineStr">
        <is>
          <t>Revisor B</t>
        </is>
      </c>
      <c r="C186" s="4" t="n">
        <v>2021</v>
      </c>
      <c r="D186" s="4" t="inlineStr">
        <is>
          <t>diagnosis</t>
        </is>
      </c>
      <c r="E186" s="4" t="inlineStr">
        <is>
          <t>Señales fisiológicas</t>
        </is>
      </c>
      <c r="F186" s="4" t="n">
        <v>0</v>
      </c>
      <c r="G186" s="4" t="n">
        <v>1</v>
      </c>
      <c r="H186" s="4" t="inlineStr">
        <is>
          <t>0-&gt;1</t>
        </is>
      </c>
      <c r="I186" s="4" t="n">
        <v>0</v>
      </c>
      <c r="J186" s="4" t="inlineStr">
        <is>
          <t>RQ2_Negative_78</t>
        </is>
      </c>
      <c r="K186" s="4" t="n">
        <v>0</v>
      </c>
      <c r="L186" s="4" t="n">
        <v>1</v>
      </c>
      <c r="M186" s="4" t="inlineStr">
        <is>
          <t>High</t>
        </is>
      </c>
      <c r="N186" s="4" t="n"/>
      <c r="O186" s="4" t="n"/>
    </row>
    <row r="187" ht="47" customHeight="1">
      <c r="A187" s="4" t="n">
        <v>236</v>
      </c>
      <c r="B187" s="4" t="inlineStr">
        <is>
          <t>Revisor A</t>
        </is>
      </c>
      <c r="C187" s="4" t="n">
        <v>2025</v>
      </c>
      <c r="D187" s="4" t="inlineStr">
        <is>
          <t>Not clear</t>
        </is>
      </c>
      <c r="E187" s="4" t="inlineStr">
        <is>
          <t>No especificado</t>
        </is>
      </c>
      <c r="F187" s="4" t="n"/>
      <c r="G187" s="4" t="n">
        <v>1</v>
      </c>
      <c r="H187" s="4" t="inlineStr">
        <is>
          <t>blank-&gt;1</t>
        </is>
      </c>
      <c r="I187" s="4" t="n"/>
      <c r="J187" s="4" t="inlineStr">
        <is>
          <t>RQ2_Missing_167</t>
        </is>
      </c>
      <c r="K187" s="4" t="n"/>
      <c r="L187" s="4" t="n">
        <v>0</v>
      </c>
      <c r="M187" s="4" t="inlineStr">
        <is>
          <t>Medium</t>
        </is>
      </c>
      <c r="N187" s="4" t="inlineStr">
        <is>
          <t>stage-unclear; biomarker-or-biological-marker</t>
        </is>
      </c>
      <c r="O187" s="4" t="n"/>
    </row>
    <row r="188" ht="34" customHeight="1">
      <c r="A188" s="4" t="n">
        <v>237</v>
      </c>
      <c r="B188" s="4" t="inlineStr">
        <is>
          <t>Revisor A</t>
        </is>
      </c>
      <c r="C188" s="4" t="n">
        <v>2022</v>
      </c>
      <c r="D188" s="4" t="inlineStr">
        <is>
          <t>Screening</t>
        </is>
      </c>
      <c r="E188" s="4" t="inlineStr">
        <is>
          <t>Audio · Voz</t>
        </is>
      </c>
      <c r="F188" s="4" t="n"/>
      <c r="G188" s="4" t="n">
        <v>0</v>
      </c>
      <c r="H188" s="4" t="inlineStr">
        <is>
          <t>blank-&gt;0</t>
        </is>
      </c>
      <c r="I188" s="4" t="n"/>
      <c r="J188" s="4" t="inlineStr">
        <is>
          <t>RQ2_Missing_167</t>
        </is>
      </c>
      <c r="K188" s="4" t="n"/>
      <c r="L188" s="4" t="n">
        <v>1</v>
      </c>
      <c r="M188" s="4" t="inlineStr">
        <is>
          <t>High</t>
        </is>
      </c>
      <c r="N188" s="4" t="inlineStr">
        <is>
          <t>manual-adjudication; changed-to-0</t>
        </is>
      </c>
      <c r="O188" s="4" t="n"/>
    </row>
    <row r="189" ht="47" customHeight="1">
      <c r="A189" s="4" t="n">
        <v>238</v>
      </c>
      <c r="B189" s="4" t="inlineStr">
        <is>
          <t>Revisor B</t>
        </is>
      </c>
      <c r="C189" s="4" t="n">
        <v>2021</v>
      </c>
      <c r="D189" s="4" t="n"/>
      <c r="E189" s="4" t="inlineStr">
        <is>
          <t>Texto · NLP</t>
        </is>
      </c>
      <c r="F189" s="4" t="n"/>
      <c r="G189" s="4" t="n">
        <v>1</v>
      </c>
      <c r="H189" s="4" t="inlineStr">
        <is>
          <t>blank-&gt;1</t>
        </is>
      </c>
      <c r="I189" s="4" t="n"/>
      <c r="J189" s="4" t="inlineStr">
        <is>
          <t>RQ2_Missing_167</t>
        </is>
      </c>
      <c r="K189" s="4" t="n"/>
      <c r="L189" s="4" t="n">
        <v>1</v>
      </c>
      <c r="M189" s="4" t="inlineStr">
        <is>
          <t>High</t>
        </is>
      </c>
      <c r="N189" s="4" t="inlineStr">
        <is>
          <t>secondary-literature-or-protocol; stage-unclear</t>
        </is>
      </c>
      <c r="O189" s="4" t="n"/>
    </row>
    <row r="190" ht="30" customHeight="1">
      <c r="A190" s="4" t="n">
        <v>239</v>
      </c>
      <c r="B190" s="4" t="inlineStr">
        <is>
          <t>Ambos (piloto)</t>
        </is>
      </c>
      <c r="C190" s="4" t="n">
        <v>2024</v>
      </c>
      <c r="D190" s="4" t="inlineStr">
        <is>
          <t>Diagnosis</t>
        </is>
      </c>
      <c r="E190" s="4" t="inlineStr">
        <is>
          <t>Imagen</t>
        </is>
      </c>
      <c r="F190" s="4" t="n"/>
      <c r="G190" s="4" t="n">
        <v>1</v>
      </c>
      <c r="H190" s="4" t="inlineStr">
        <is>
          <t>blank-&gt;1</t>
        </is>
      </c>
      <c r="I190" s="4" t="n"/>
      <c r="J190" s="4" t="inlineStr">
        <is>
          <t>RQ2_Missing_167</t>
        </is>
      </c>
      <c r="K190" s="4" t="n"/>
      <c r="L190" s="4" t="n">
        <v>1</v>
      </c>
      <c r="M190" s="4" t="inlineStr">
        <is>
          <t>High</t>
        </is>
      </c>
      <c r="N190" s="4" t="n"/>
      <c r="O190" s="4" t="n"/>
    </row>
    <row r="191" ht="34" customHeight="1">
      <c r="A191" s="4" t="n">
        <v>240</v>
      </c>
      <c r="B191" s="4" t="inlineStr">
        <is>
          <t>Revisor A</t>
        </is>
      </c>
      <c r="C191" s="4" t="n">
        <v>2022</v>
      </c>
      <c r="D191" s="4" t="inlineStr">
        <is>
          <t>Diagnosis</t>
        </is>
      </c>
      <c r="E191" s="4" t="inlineStr">
        <is>
          <t>Imagen</t>
        </is>
      </c>
      <c r="F191" s="4" t="n"/>
      <c r="G191" s="4" t="n">
        <v>1</v>
      </c>
      <c r="H191" s="4" t="inlineStr">
        <is>
          <t>blank-&gt;1</t>
        </is>
      </c>
      <c r="I191" s="4" t="n"/>
      <c r="J191" s="4" t="inlineStr">
        <is>
          <t>RQ2_Missing_167</t>
        </is>
      </c>
      <c r="K191" s="4" t="n"/>
      <c r="L191" s="4" t="n">
        <v>1</v>
      </c>
      <c r="M191" s="4" t="inlineStr">
        <is>
          <t>High</t>
        </is>
      </c>
      <c r="N191" s="4" t="inlineStr">
        <is>
          <t>biomarker-or-biological-marker</t>
        </is>
      </c>
      <c r="O191" s="4" t="n"/>
    </row>
    <row r="192" ht="34" customHeight="1">
      <c r="A192" s="4" t="n">
        <v>241</v>
      </c>
      <c r="B192" s="4" t="inlineStr">
        <is>
          <t>Revisor A</t>
        </is>
      </c>
      <c r="C192" s="4" t="n">
        <v>2018</v>
      </c>
      <c r="D192" s="4" t="inlineStr">
        <is>
          <t>Diagnosis</t>
        </is>
      </c>
      <c r="E192" s="4" t="inlineStr">
        <is>
          <t>Señales fisiológicas</t>
        </is>
      </c>
      <c r="F192" s="4" t="n"/>
      <c r="G192" s="4" t="n">
        <v>1</v>
      </c>
      <c r="H192" s="4" t="inlineStr">
        <is>
          <t>blank-&gt;1</t>
        </is>
      </c>
      <c r="I192" s="4" t="n"/>
      <c r="J192" s="4" t="inlineStr">
        <is>
          <t>RQ2_Missing_167</t>
        </is>
      </c>
      <c r="K192" s="4" t="n"/>
      <c r="L192" s="4" t="n">
        <v>1</v>
      </c>
      <c r="M192" s="4" t="inlineStr">
        <is>
          <t>High</t>
        </is>
      </c>
      <c r="N192" s="4" t="inlineStr">
        <is>
          <t>biomarker-or-biological-marker</t>
        </is>
      </c>
      <c r="O192" s="4" t="n"/>
    </row>
    <row r="193" ht="34" customHeight="1">
      <c r="A193" s="4" t="n">
        <v>242</v>
      </c>
      <c r="B193" s="4" t="inlineStr">
        <is>
          <t>Revisor B</t>
        </is>
      </c>
      <c r="C193" s="4" t="n">
        <v>2024</v>
      </c>
      <c r="D193" s="4" t="inlineStr">
        <is>
          <t>diagnosis</t>
        </is>
      </c>
      <c r="E193" s="4" t="inlineStr">
        <is>
          <t>Señales fisiológicas</t>
        </is>
      </c>
      <c r="F193" s="4" t="n">
        <v>0</v>
      </c>
      <c r="G193" s="4" t="n">
        <v>0</v>
      </c>
      <c r="H193" s="4" t="inlineStr">
        <is>
          <t>unchanged</t>
        </is>
      </c>
      <c r="I193" s="4" t="n">
        <v>0</v>
      </c>
      <c r="J193" s="4" t="inlineStr">
        <is>
          <t>RQ2_Negative_78</t>
        </is>
      </c>
      <c r="K193" s="4" t="n">
        <v>0</v>
      </c>
      <c r="L193" s="4" t="n">
        <v>1</v>
      </c>
      <c r="M193" s="4" t="inlineStr">
        <is>
          <t>Medium</t>
        </is>
      </c>
      <c r="N193" s="4" t="inlineStr">
        <is>
          <t>manual-adjudication; changed-to-0</t>
        </is>
      </c>
      <c r="O193" s="4" t="n"/>
    </row>
    <row r="194" ht="30" customHeight="1">
      <c r="A194" s="4" t="n">
        <v>243</v>
      </c>
      <c r="B194" s="4" t="inlineStr">
        <is>
          <t>Revisor B</t>
        </is>
      </c>
      <c r="C194" s="4" t="n">
        <v>2025</v>
      </c>
      <c r="D194" s="4" t="inlineStr">
        <is>
          <t>Diagnosis</t>
        </is>
      </c>
      <c r="E194" s="4" t="inlineStr">
        <is>
          <t>Imagen</t>
        </is>
      </c>
      <c r="F194" s="4" t="n">
        <v>0</v>
      </c>
      <c r="G194" s="4" t="n">
        <v>1</v>
      </c>
      <c r="H194" s="4" t="inlineStr">
        <is>
          <t>0-&gt;1</t>
        </is>
      </c>
      <c r="I194" s="4" t="n">
        <v>0</v>
      </c>
      <c r="J194" s="4" t="inlineStr">
        <is>
          <t>RQ2_Negative_78</t>
        </is>
      </c>
      <c r="K194" s="4" t="n">
        <v>0</v>
      </c>
      <c r="L194" s="4" t="n">
        <v>1</v>
      </c>
      <c r="M194" s="4" t="inlineStr">
        <is>
          <t>High</t>
        </is>
      </c>
      <c r="N194" s="4" t="n"/>
      <c r="O194" s="4" t="n"/>
    </row>
    <row r="195" ht="30" customHeight="1">
      <c r="A195" s="4" t="n">
        <v>245</v>
      </c>
      <c r="B195" s="4" t="inlineStr">
        <is>
          <t>Revisor B</t>
        </is>
      </c>
      <c r="C195" s="4" t="n">
        <v>2024</v>
      </c>
      <c r="D195" s="4" t="n"/>
      <c r="E195" s="4" t="inlineStr">
        <is>
          <t>Imagen</t>
        </is>
      </c>
      <c r="F195" s="4" t="n"/>
      <c r="G195" s="4" t="n">
        <v>1</v>
      </c>
      <c r="H195" s="4" t="inlineStr">
        <is>
          <t>blank-&gt;1</t>
        </is>
      </c>
      <c r="I195" s="4" t="n"/>
      <c r="J195" s="4" t="inlineStr">
        <is>
          <t>RQ2_Missing_167</t>
        </is>
      </c>
      <c r="K195" s="4" t="n"/>
      <c r="L195" s="4" t="n">
        <v>1</v>
      </c>
      <c r="M195" s="4" t="inlineStr">
        <is>
          <t>High</t>
        </is>
      </c>
      <c r="N195" s="4" t="inlineStr">
        <is>
          <t>stage-unclear</t>
        </is>
      </c>
      <c r="O195" s="4" t="n"/>
    </row>
    <row r="196" ht="30" customHeight="1">
      <c r="A196" s="4" t="n">
        <v>246</v>
      </c>
      <c r="B196" s="4" t="inlineStr">
        <is>
          <t>Revisor A</t>
        </is>
      </c>
      <c r="C196" s="4" t="n">
        <v>2021</v>
      </c>
      <c r="D196" s="4" t="inlineStr">
        <is>
          <t>Screening</t>
        </is>
      </c>
      <c r="E196" s="4" t="inlineStr">
        <is>
          <t>No especificado</t>
        </is>
      </c>
      <c r="F196" s="4" t="n"/>
      <c r="G196" s="4" t="n">
        <v>1</v>
      </c>
      <c r="H196" s="4" t="inlineStr">
        <is>
          <t>blank-&gt;1</t>
        </is>
      </c>
      <c r="I196" s="4" t="n"/>
      <c r="J196" s="4" t="inlineStr">
        <is>
          <t>RQ2_Missing_167</t>
        </is>
      </c>
      <c r="K196" s="4" t="n"/>
      <c r="L196" s="4" t="n">
        <v>1</v>
      </c>
      <c r="M196" s="4" t="inlineStr">
        <is>
          <t>High</t>
        </is>
      </c>
      <c r="N196" s="4" t="n"/>
      <c r="O196" s="4" t="n"/>
    </row>
    <row r="197" ht="30" customHeight="1">
      <c r="A197" s="4" t="n">
        <v>249</v>
      </c>
      <c r="B197" s="4" t="inlineStr">
        <is>
          <t>Revisor A</t>
        </is>
      </c>
      <c r="C197" s="4" t="n">
        <v>2015</v>
      </c>
      <c r="D197" s="4" t="inlineStr">
        <is>
          <t>Diagnosis</t>
        </is>
      </c>
      <c r="E197" s="4" t="inlineStr">
        <is>
          <t>Imagen</t>
        </is>
      </c>
      <c r="F197" s="4" t="n"/>
      <c r="G197" s="4" t="n">
        <v>1</v>
      </c>
      <c r="H197" s="4" t="inlineStr">
        <is>
          <t>blank-&gt;1</t>
        </is>
      </c>
      <c r="I197" s="4" t="n"/>
      <c r="J197" s="4" t="inlineStr">
        <is>
          <t>RQ2_Missing_167</t>
        </is>
      </c>
      <c r="K197" s="4" t="n"/>
      <c r="L197" s="4" t="n">
        <v>1</v>
      </c>
      <c r="M197" s="4" t="inlineStr">
        <is>
          <t>High</t>
        </is>
      </c>
      <c r="N197" s="4" t="n"/>
      <c r="O197" s="4" t="n"/>
    </row>
    <row r="198" ht="34" customHeight="1">
      <c r="A198" s="4" t="n">
        <v>250</v>
      </c>
      <c r="B198" s="4" t="inlineStr">
        <is>
          <t>Revisor A</t>
        </is>
      </c>
      <c r="C198" s="4" t="n">
        <v>2022</v>
      </c>
      <c r="D198" s="4" t="inlineStr">
        <is>
          <t>Diagnosis</t>
        </is>
      </c>
      <c r="E198" s="4" t="inlineStr">
        <is>
          <t>Señales fisiológicas</t>
        </is>
      </c>
      <c r="F198" s="4" t="n"/>
      <c r="G198" s="4" t="n">
        <v>1</v>
      </c>
      <c r="H198" s="4" t="inlineStr">
        <is>
          <t>blank-&gt;1</t>
        </is>
      </c>
      <c r="I198" s="4" t="n"/>
      <c r="J198" s="4" t="inlineStr">
        <is>
          <t>RQ2_Missing_167</t>
        </is>
      </c>
      <c r="K198" s="4" t="n"/>
      <c r="L198" s="4" t="n">
        <v>1</v>
      </c>
      <c r="M198" s="4" t="inlineStr">
        <is>
          <t>High</t>
        </is>
      </c>
      <c r="N198" s="4" t="n"/>
      <c r="O198" s="4" t="n"/>
    </row>
    <row r="199" ht="34" customHeight="1">
      <c r="A199" s="4" t="n">
        <v>251</v>
      </c>
      <c r="B199" s="4" t="inlineStr">
        <is>
          <t>Revisor A</t>
        </is>
      </c>
      <c r="C199" s="4" t="n">
        <v>2023</v>
      </c>
      <c r="D199" s="4" t="inlineStr">
        <is>
          <t>Diagnosis</t>
        </is>
      </c>
      <c r="E199" s="4" t="inlineStr">
        <is>
          <t>Señales fisiológicas</t>
        </is>
      </c>
      <c r="F199" s="4" t="n"/>
      <c r="G199" s="4" t="n">
        <v>1</v>
      </c>
      <c r="H199" s="4" t="inlineStr">
        <is>
          <t>blank-&gt;1</t>
        </is>
      </c>
      <c r="I199" s="4" t="n"/>
      <c r="J199" s="4" t="inlineStr">
        <is>
          <t>RQ2_Missing_167</t>
        </is>
      </c>
      <c r="K199" s="4" t="n"/>
      <c r="L199" s="4" t="n">
        <v>0</v>
      </c>
      <c r="M199" s="4" t="inlineStr">
        <is>
          <t>Medium</t>
        </is>
      </c>
      <c r="N199" s="4" t="inlineStr">
        <is>
          <t>biomarker-or-biological-marker</t>
        </is>
      </c>
      <c r="O199" s="4" t="n"/>
    </row>
    <row r="200" ht="30" customHeight="1">
      <c r="A200" s="4" t="n">
        <v>252</v>
      </c>
      <c r="B200" s="4" t="inlineStr">
        <is>
          <t>Ambos (piloto)</t>
        </is>
      </c>
      <c r="C200" s="4" t="n">
        <v>2024</v>
      </c>
      <c r="D200" s="4" t="inlineStr">
        <is>
          <t>Not clear</t>
        </is>
      </c>
      <c r="E200" s="4" t="inlineStr">
        <is>
          <t>Imagen</t>
        </is>
      </c>
      <c r="F200" s="4" t="n"/>
      <c r="G200" s="4" t="n">
        <v>1</v>
      </c>
      <c r="H200" s="4" t="inlineStr">
        <is>
          <t>blank-&gt;1</t>
        </is>
      </c>
      <c r="I200" s="4" t="n"/>
      <c r="J200" s="4" t="inlineStr">
        <is>
          <t>RQ2_Missing_167</t>
        </is>
      </c>
      <c r="K200" s="4" t="n"/>
      <c r="L200" s="4" t="n">
        <v>1</v>
      </c>
      <c r="M200" s="4" t="inlineStr">
        <is>
          <t>High</t>
        </is>
      </c>
      <c r="N200" s="4" t="inlineStr">
        <is>
          <t>stage-unclear</t>
        </is>
      </c>
      <c r="O200" s="4" t="n"/>
    </row>
    <row r="201" ht="34" customHeight="1">
      <c r="A201" s="4" t="n">
        <v>253</v>
      </c>
      <c r="B201" s="4" t="inlineStr">
        <is>
          <t>Revisor A</t>
        </is>
      </c>
      <c r="C201" s="4" t="n">
        <v>2024</v>
      </c>
      <c r="D201" s="4" t="inlineStr">
        <is>
          <t>Screening</t>
        </is>
      </c>
      <c r="E201" s="4" t="inlineStr">
        <is>
          <t>Señales fisiológicas</t>
        </is>
      </c>
      <c r="F201" s="4" t="n"/>
      <c r="G201" s="4" t="n">
        <v>1</v>
      </c>
      <c r="H201" s="4" t="inlineStr">
        <is>
          <t>blank-&gt;1</t>
        </is>
      </c>
      <c r="I201" s="4" t="n"/>
      <c r="J201" s="4" t="inlineStr">
        <is>
          <t>RQ2_Missing_167</t>
        </is>
      </c>
      <c r="K201" s="4" t="n"/>
      <c r="L201" s="4" t="n">
        <v>1</v>
      </c>
      <c r="M201" s="4" t="inlineStr">
        <is>
          <t>High</t>
        </is>
      </c>
      <c r="N201" s="4" t="n"/>
      <c r="O201" s="4" t="n"/>
    </row>
    <row r="202" ht="34" customHeight="1">
      <c r="A202" s="4" t="n">
        <v>254</v>
      </c>
      <c r="B202" s="4" t="inlineStr">
        <is>
          <t>Ambos (piloto)</t>
        </is>
      </c>
      <c r="C202" s="4" t="n">
        <v>2018</v>
      </c>
      <c r="D202" s="4" t="inlineStr">
        <is>
          <t>Diagnosis</t>
        </is>
      </c>
      <c r="E202" s="4" t="inlineStr">
        <is>
          <t>Imagen</t>
        </is>
      </c>
      <c r="F202" s="4" t="n"/>
      <c r="G202" s="4" t="n">
        <v>1</v>
      </c>
      <c r="H202" s="4" t="inlineStr">
        <is>
          <t>blank-&gt;1</t>
        </is>
      </c>
      <c r="I202" s="4" t="n"/>
      <c r="J202" s="4" t="inlineStr">
        <is>
          <t>RQ2_Missing_167</t>
        </is>
      </c>
      <c r="K202" s="4" t="n"/>
      <c r="L202" s="4" t="n">
        <v>1</v>
      </c>
      <c r="M202" s="4" t="inlineStr">
        <is>
          <t>High</t>
        </is>
      </c>
      <c r="N202" s="4" t="inlineStr">
        <is>
          <t>biomarker-or-biological-marker</t>
        </is>
      </c>
      <c r="O202" s="4" t="n"/>
    </row>
    <row r="203" ht="34" customHeight="1">
      <c r="A203" s="4" t="n">
        <v>255</v>
      </c>
      <c r="B203" s="4" t="inlineStr">
        <is>
          <t>Revisor A</t>
        </is>
      </c>
      <c r="C203" s="4" t="n">
        <v>2025</v>
      </c>
      <c r="D203" s="4" t="inlineStr">
        <is>
          <t>Diagnosis</t>
        </is>
      </c>
      <c r="E203" s="4" t="inlineStr">
        <is>
          <t>Señales fisiológicas</t>
        </is>
      </c>
      <c r="F203" s="4" t="n"/>
      <c r="G203" s="4" t="n">
        <v>1</v>
      </c>
      <c r="H203" s="4" t="inlineStr">
        <is>
          <t>blank-&gt;1</t>
        </is>
      </c>
      <c r="I203" s="4" t="n"/>
      <c r="J203" s="4" t="inlineStr">
        <is>
          <t>RQ2_Missing_167</t>
        </is>
      </c>
      <c r="K203" s="4" t="n"/>
      <c r="L203" s="4" t="n">
        <v>1</v>
      </c>
      <c r="M203" s="4" t="inlineStr">
        <is>
          <t>High</t>
        </is>
      </c>
      <c r="N203" s="4" t="n"/>
      <c r="O203" s="4" t="n"/>
    </row>
    <row r="204" ht="73" customHeight="1">
      <c r="A204" s="4" t="n">
        <v>256</v>
      </c>
      <c r="B204" s="4" t="inlineStr">
        <is>
          <t>Revisor B</t>
        </is>
      </c>
      <c r="C204" s="4" t="n">
        <v>2021</v>
      </c>
      <c r="D204" s="4" t="n"/>
      <c r="E204" s="4" t="inlineStr">
        <is>
          <t>Señales fisiológicas</t>
        </is>
      </c>
      <c r="F204" s="4" t="n"/>
      <c r="G204" s="4" t="n">
        <v>1</v>
      </c>
      <c r="H204" s="4" t="inlineStr">
        <is>
          <t>blank-&gt;1</t>
        </is>
      </c>
      <c r="I204" s="4" t="n"/>
      <c r="J204" s="4" t="inlineStr">
        <is>
          <t>RQ2_Missing_167</t>
        </is>
      </c>
      <c r="K204" s="4" t="n"/>
      <c r="L204" s="4" t="n">
        <v>1</v>
      </c>
      <c r="M204" s="4" t="inlineStr">
        <is>
          <t>High</t>
        </is>
      </c>
      <c r="N204" s="4" t="inlineStr">
        <is>
          <t>secondary-literature-or-protocol; stage-unclear; biomarker-or-biological-marker</t>
        </is>
      </c>
      <c r="O204" s="4" t="n"/>
    </row>
    <row r="205" ht="34" customHeight="1">
      <c r="A205" s="4" t="n">
        <v>257</v>
      </c>
      <c r="B205" s="4" t="inlineStr">
        <is>
          <t>Revisor B</t>
        </is>
      </c>
      <c r="C205" s="4" t="n">
        <v>2015</v>
      </c>
      <c r="D205" s="4" t="inlineStr">
        <is>
          <t>Prognosis</t>
        </is>
      </c>
      <c r="E205" s="4" t="inlineStr">
        <is>
          <t>No especificado</t>
        </is>
      </c>
      <c r="F205" s="4" t="n">
        <v>0</v>
      </c>
      <c r="G205" s="4" t="n">
        <v>1</v>
      </c>
      <c r="H205" s="4" t="inlineStr">
        <is>
          <t>0-&gt;1</t>
        </is>
      </c>
      <c r="I205" s="4" t="n">
        <v>0</v>
      </c>
      <c r="J205" s="4" t="inlineStr">
        <is>
          <t>RQ2_Negative_78</t>
        </is>
      </c>
      <c r="K205" s="4" t="n">
        <v>0</v>
      </c>
      <c r="L205" s="4" t="n">
        <v>0</v>
      </c>
      <c r="M205" s="4" t="inlineStr">
        <is>
          <t>Medium</t>
        </is>
      </c>
      <c r="N205" s="4" t="inlineStr">
        <is>
          <t>biomarker-or-biological-marker</t>
        </is>
      </c>
      <c r="O205" s="4" t="n"/>
    </row>
    <row r="206" ht="34" customHeight="1">
      <c r="A206" s="4" t="n">
        <v>258</v>
      </c>
      <c r="B206" s="4" t="inlineStr">
        <is>
          <t>Revisor A</t>
        </is>
      </c>
      <c r="C206" s="4" t="n">
        <v>2025</v>
      </c>
      <c r="D206" s="4" t="inlineStr">
        <is>
          <t>Screening</t>
        </is>
      </c>
      <c r="E206" s="4" t="inlineStr">
        <is>
          <t>Señales fisiológicas</t>
        </is>
      </c>
      <c r="F206" s="4" t="n"/>
      <c r="G206" s="4" t="n">
        <v>1</v>
      </c>
      <c r="H206" s="4" t="inlineStr">
        <is>
          <t>blank-&gt;1</t>
        </is>
      </c>
      <c r="I206" s="4" t="n"/>
      <c r="J206" s="4" t="inlineStr">
        <is>
          <t>RQ2_Missing_167</t>
        </is>
      </c>
      <c r="K206" s="4" t="n"/>
      <c r="L206" s="4" t="n">
        <v>1</v>
      </c>
      <c r="M206" s="4" t="inlineStr">
        <is>
          <t>High</t>
        </is>
      </c>
      <c r="N206" s="4" t="inlineStr">
        <is>
          <t>biomarker-or-biological-marker</t>
        </is>
      </c>
      <c r="O206" s="4" t="n"/>
    </row>
    <row r="207" ht="34" customHeight="1">
      <c r="A207" s="4" t="n">
        <v>259</v>
      </c>
      <c r="B207" s="4" t="inlineStr">
        <is>
          <t>Revisor B</t>
        </is>
      </c>
      <c r="C207" s="4" t="n">
        <v>2022</v>
      </c>
      <c r="D207" s="4" t="inlineStr">
        <is>
          <t>diagnosis</t>
        </is>
      </c>
      <c r="E207" s="4" t="inlineStr">
        <is>
          <t>Señales fisiológicas</t>
        </is>
      </c>
      <c r="F207" s="4" t="n">
        <v>0</v>
      </c>
      <c r="G207" s="4" t="n">
        <v>1</v>
      </c>
      <c r="H207" s="4" t="inlineStr">
        <is>
          <t>0-&gt;1</t>
        </is>
      </c>
      <c r="I207" s="4" t="n">
        <v>0</v>
      </c>
      <c r="J207" s="4" t="inlineStr">
        <is>
          <t>RQ2_Negative_78</t>
        </is>
      </c>
      <c r="K207" s="4" t="n">
        <v>0</v>
      </c>
      <c r="L207" s="4" t="n">
        <v>1</v>
      </c>
      <c r="M207" s="4" t="inlineStr">
        <is>
          <t>High</t>
        </is>
      </c>
      <c r="N207" s="4" t="n"/>
      <c r="O207" s="4" t="n"/>
    </row>
    <row r="208" ht="34" customHeight="1">
      <c r="A208" s="4" t="n">
        <v>260</v>
      </c>
      <c r="B208" s="4" t="inlineStr">
        <is>
          <t>Revisor A</t>
        </is>
      </c>
      <c r="C208" s="4" t="n">
        <v>2024</v>
      </c>
      <c r="D208" s="4" t="inlineStr">
        <is>
          <t>Diagnosis</t>
        </is>
      </c>
      <c r="E208" s="4" t="inlineStr">
        <is>
          <t>No especificado</t>
        </is>
      </c>
      <c r="F208" s="4" t="n"/>
      <c r="G208" s="4" t="n">
        <v>1</v>
      </c>
      <c r="H208" s="4" t="inlineStr">
        <is>
          <t>blank-&gt;1</t>
        </is>
      </c>
      <c r="I208" s="4" t="n"/>
      <c r="J208" s="4" t="inlineStr">
        <is>
          <t>RQ2_Missing_167</t>
        </is>
      </c>
      <c r="K208" s="4" t="n"/>
      <c r="L208" s="4" t="n">
        <v>1</v>
      </c>
      <c r="M208" s="4" t="inlineStr">
        <is>
          <t>High</t>
        </is>
      </c>
      <c r="N208" s="4" t="inlineStr">
        <is>
          <t>biomarker-or-biological-marker</t>
        </is>
      </c>
      <c r="O208" s="4" t="n"/>
    </row>
    <row r="209" ht="30" customHeight="1">
      <c r="A209" s="4" t="n">
        <v>261</v>
      </c>
      <c r="B209" s="4" t="inlineStr">
        <is>
          <t>Revisor B</t>
        </is>
      </c>
      <c r="C209" s="4" t="n">
        <v>2024</v>
      </c>
      <c r="D209" s="4" t="inlineStr">
        <is>
          <t>diagnosis</t>
        </is>
      </c>
      <c r="E209" s="4" t="inlineStr">
        <is>
          <t>Imagen</t>
        </is>
      </c>
      <c r="F209" s="4" t="n">
        <v>0</v>
      </c>
      <c r="G209" s="4" t="n">
        <v>1</v>
      </c>
      <c r="H209" s="4" t="inlineStr">
        <is>
          <t>0-&gt;1</t>
        </is>
      </c>
      <c r="I209" s="4" t="n">
        <v>0</v>
      </c>
      <c r="J209" s="4" t="inlineStr">
        <is>
          <t>RQ2_Negative_78</t>
        </is>
      </c>
      <c r="K209" s="4" t="n">
        <v>0</v>
      </c>
      <c r="L209" s="4" t="n">
        <v>1</v>
      </c>
      <c r="M209" s="4" t="inlineStr">
        <is>
          <t>High</t>
        </is>
      </c>
      <c r="N209" s="4" t="n"/>
      <c r="O209" s="4" t="n"/>
    </row>
    <row r="210" ht="34" customHeight="1">
      <c r="A210" s="4" t="n">
        <v>262</v>
      </c>
      <c r="B210" s="4" t="inlineStr">
        <is>
          <t>Revisor B</t>
        </is>
      </c>
      <c r="C210" s="4" t="n">
        <v>2022</v>
      </c>
      <c r="D210" s="4" t="inlineStr">
        <is>
          <t>diagnosis</t>
        </is>
      </c>
      <c r="E210" s="4" t="inlineStr">
        <is>
          <t>Imagen</t>
        </is>
      </c>
      <c r="F210" s="4" t="n">
        <v>0</v>
      </c>
      <c r="G210" s="4" t="n">
        <v>1</v>
      </c>
      <c r="H210" s="4" t="inlineStr">
        <is>
          <t>0-&gt;1</t>
        </is>
      </c>
      <c r="I210" s="4" t="n">
        <v>0</v>
      </c>
      <c r="J210" s="4" t="inlineStr">
        <is>
          <t>RQ2_Negative_78</t>
        </is>
      </c>
      <c r="K210" s="4" t="n">
        <v>0</v>
      </c>
      <c r="L210" s="4" t="n">
        <v>1</v>
      </c>
      <c r="M210" s="4" t="inlineStr">
        <is>
          <t>High</t>
        </is>
      </c>
      <c r="N210" s="4" t="inlineStr">
        <is>
          <t>biomarker-or-biological-marker</t>
        </is>
      </c>
      <c r="O210" s="4" t="n"/>
    </row>
    <row r="211" ht="30" customHeight="1">
      <c r="A211" s="4" t="n">
        <v>263</v>
      </c>
      <c r="B211" s="4" t="inlineStr">
        <is>
          <t>Revisor A</t>
        </is>
      </c>
      <c r="C211" s="4" t="n">
        <v>2022</v>
      </c>
      <c r="D211" s="4" t="inlineStr">
        <is>
          <t>diagnosis</t>
        </is>
      </c>
      <c r="E211" s="4" t="inlineStr">
        <is>
          <t>Imagen</t>
        </is>
      </c>
      <c r="F211" s="4" t="n">
        <v>0</v>
      </c>
      <c r="G211" s="4" t="n">
        <v>1</v>
      </c>
      <c r="H211" s="4" t="inlineStr">
        <is>
          <t>0-&gt;1</t>
        </is>
      </c>
      <c r="I211" s="4" t="n">
        <v>0</v>
      </c>
      <c r="J211" s="4" t="inlineStr">
        <is>
          <t>RQ2_Negative_78</t>
        </is>
      </c>
      <c r="K211" s="4" t="n">
        <v>0</v>
      </c>
      <c r="L211" s="4" t="n">
        <v>0</v>
      </c>
      <c r="M211" s="4" t="inlineStr">
        <is>
          <t>Medium</t>
        </is>
      </c>
      <c r="N211" s="4" t="n"/>
      <c r="O211" s="4" t="n"/>
    </row>
    <row r="212" ht="34" customHeight="1">
      <c r="A212" s="4" t="n">
        <v>264</v>
      </c>
      <c r="B212" s="4" t="inlineStr">
        <is>
          <t>Revisor B</t>
        </is>
      </c>
      <c r="C212" s="4" t="n">
        <v>2022</v>
      </c>
      <c r="D212" s="4" t="inlineStr">
        <is>
          <t>Diagnosis</t>
        </is>
      </c>
      <c r="E212" s="4" t="inlineStr">
        <is>
          <t>Señales fisiológicas</t>
        </is>
      </c>
      <c r="F212" s="4" t="n">
        <v>0</v>
      </c>
      <c r="G212" s="4" t="n">
        <v>1</v>
      </c>
      <c r="H212" s="4" t="inlineStr">
        <is>
          <t>0-&gt;1</t>
        </is>
      </c>
      <c r="I212" s="4" t="n">
        <v>0</v>
      </c>
      <c r="J212" s="4" t="inlineStr">
        <is>
          <t>RQ2_Negative_78</t>
        </is>
      </c>
      <c r="K212" s="4" t="n">
        <v>0</v>
      </c>
      <c r="L212" s="4" t="n">
        <v>1</v>
      </c>
      <c r="M212" s="4" t="inlineStr">
        <is>
          <t>High</t>
        </is>
      </c>
      <c r="N212" s="4" t="inlineStr">
        <is>
          <t>subtyping/phenotyping</t>
        </is>
      </c>
      <c r="O212" s="4" t="n"/>
    </row>
    <row r="213" ht="47" customHeight="1">
      <c r="A213" s="4" t="n">
        <v>265</v>
      </c>
      <c r="B213" s="4" t="inlineStr">
        <is>
          <t>Revisor B</t>
        </is>
      </c>
      <c r="C213" s="4" t="n">
        <v>2024</v>
      </c>
      <c r="D213" s="4" t="inlineStr">
        <is>
          <t>prognosis</t>
        </is>
      </c>
      <c r="E213" s="4" t="inlineStr">
        <is>
          <t>Imagen</t>
        </is>
      </c>
      <c r="F213" s="4" t="n">
        <v>0</v>
      </c>
      <c r="G213" s="4" t="n">
        <v>1</v>
      </c>
      <c r="H213" s="4" t="inlineStr">
        <is>
          <t>0-&gt;1</t>
        </is>
      </c>
      <c r="I213" s="4" t="n">
        <v>0</v>
      </c>
      <c r="J213" s="4" t="inlineStr">
        <is>
          <t>RQ2_Negative_78</t>
        </is>
      </c>
      <c r="K213" s="4" t="n">
        <v>0</v>
      </c>
      <c r="L213" s="4" t="n">
        <v>1</v>
      </c>
      <c r="M213" s="4" t="inlineStr">
        <is>
          <t>High</t>
        </is>
      </c>
      <c r="N213" s="4" t="inlineStr">
        <is>
          <t>biomarker-or-biological-marker; subtyping/phenotyping</t>
        </is>
      </c>
      <c r="O213" s="4" t="n"/>
    </row>
    <row r="214" ht="30" customHeight="1">
      <c r="A214" s="4" t="n">
        <v>266</v>
      </c>
      <c r="B214" s="4" t="inlineStr">
        <is>
          <t>Revisor A</t>
        </is>
      </c>
      <c r="C214" s="4" t="n">
        <v>2025</v>
      </c>
      <c r="D214" s="4" t="inlineStr">
        <is>
          <t>Not clear</t>
        </is>
      </c>
      <c r="E214" s="4" t="inlineStr">
        <is>
          <t>No especificado</t>
        </is>
      </c>
      <c r="F214" s="4" t="n"/>
      <c r="G214" s="4" t="n">
        <v>1</v>
      </c>
      <c r="H214" s="4" t="inlineStr">
        <is>
          <t>blank-&gt;1</t>
        </is>
      </c>
      <c r="I214" s="4" t="n"/>
      <c r="J214" s="4" t="inlineStr">
        <is>
          <t>RQ2_Missing_167</t>
        </is>
      </c>
      <c r="K214" s="4" t="n"/>
      <c r="L214" s="4" t="n">
        <v>0</v>
      </c>
      <c r="M214" s="4" t="inlineStr">
        <is>
          <t>Medium</t>
        </is>
      </c>
      <c r="N214" s="4" t="inlineStr">
        <is>
          <t>stage-unclear</t>
        </is>
      </c>
      <c r="O214" s="4" t="n"/>
    </row>
    <row r="215" ht="30" customHeight="1">
      <c r="A215" s="4" t="n">
        <v>267</v>
      </c>
      <c r="B215" s="4" t="inlineStr">
        <is>
          <t>Ambos (piloto)</t>
        </is>
      </c>
      <c r="C215" s="4" t="n">
        <v>2018</v>
      </c>
      <c r="D215" s="4" t="inlineStr">
        <is>
          <t>Prescreening</t>
        </is>
      </c>
      <c r="E215" s="4" t="inlineStr">
        <is>
          <t>Texto · NLP</t>
        </is>
      </c>
      <c r="F215" s="4" t="n"/>
      <c r="G215" s="4" t="n">
        <v>1</v>
      </c>
      <c r="H215" s="4" t="inlineStr">
        <is>
          <t>blank-&gt;1</t>
        </is>
      </c>
      <c r="I215" s="4" t="n"/>
      <c r="J215" s="4" t="inlineStr">
        <is>
          <t>RQ2_Missing_167</t>
        </is>
      </c>
      <c r="K215" s="4" t="n"/>
      <c r="L215" s="4" t="n">
        <v>1</v>
      </c>
      <c r="M215" s="4" t="inlineStr">
        <is>
          <t>High</t>
        </is>
      </c>
      <c r="N215" s="4" t="n"/>
      <c r="O215" s="4" t="n"/>
    </row>
    <row r="216" ht="34" customHeight="1">
      <c r="A216" s="4" t="n">
        <v>268</v>
      </c>
      <c r="B216" s="4" t="inlineStr">
        <is>
          <t>Revisor B</t>
        </is>
      </c>
      <c r="C216" s="4" t="n">
        <v>2024</v>
      </c>
      <c r="D216" s="4" t="inlineStr">
        <is>
          <t>Screening</t>
        </is>
      </c>
      <c r="E216" s="4" t="inlineStr">
        <is>
          <t>Señales fisiológicas</t>
        </is>
      </c>
      <c r="F216" s="4" t="n">
        <v>0</v>
      </c>
      <c r="G216" s="4" t="n">
        <v>1</v>
      </c>
      <c r="H216" s="4" t="inlineStr">
        <is>
          <t>0-&gt;1</t>
        </is>
      </c>
      <c r="I216" s="4" t="n">
        <v>0</v>
      </c>
      <c r="J216" s="4" t="inlineStr">
        <is>
          <t>RQ2_Negative_78</t>
        </is>
      </c>
      <c r="K216" s="4" t="n">
        <v>0</v>
      </c>
      <c r="L216" s="4" t="n">
        <v>1</v>
      </c>
      <c r="M216" s="4" t="inlineStr">
        <is>
          <t>High</t>
        </is>
      </c>
      <c r="N216" s="4" t="inlineStr">
        <is>
          <t>biomarker-or-biological-marker</t>
        </is>
      </c>
      <c r="O216" s="4" t="n"/>
    </row>
    <row r="217" ht="34" customHeight="1">
      <c r="A217" s="4" t="n">
        <v>270</v>
      </c>
      <c r="B217" s="4" t="inlineStr">
        <is>
          <t>Revisor A</t>
        </is>
      </c>
      <c r="C217" s="4" t="n">
        <v>2020</v>
      </c>
      <c r="D217" s="4" t="inlineStr">
        <is>
          <t>Monitoring/intervention</t>
        </is>
      </c>
      <c r="E217" s="4" t="inlineStr">
        <is>
          <t>Señales fisiológicas</t>
        </is>
      </c>
      <c r="F217" s="4" t="n"/>
      <c r="G217" s="4" t="n">
        <v>1</v>
      </c>
      <c r="H217" s="4" t="inlineStr">
        <is>
          <t>blank-&gt;1</t>
        </is>
      </c>
      <c r="I217" s="4" t="n"/>
      <c r="J217" s="4" t="inlineStr">
        <is>
          <t>RQ2_Missing_167</t>
        </is>
      </c>
      <c r="K217" s="4" t="n"/>
      <c r="L217" s="4" t="n">
        <v>1</v>
      </c>
      <c r="M217" s="4" t="inlineStr">
        <is>
          <t>High</t>
        </is>
      </c>
      <c r="N217" s="4" t="n"/>
      <c r="O217" s="4" t="n"/>
    </row>
    <row r="218" ht="30" customHeight="1">
      <c r="A218" s="4" t="n">
        <v>271</v>
      </c>
      <c r="B218" s="4" t="inlineStr">
        <is>
          <t>Revisor A</t>
        </is>
      </c>
      <c r="C218" s="4" t="n">
        <v>2025</v>
      </c>
      <c r="D218" s="4" t="inlineStr">
        <is>
          <t>Not clear</t>
        </is>
      </c>
      <c r="E218" s="4" t="inlineStr">
        <is>
          <t>No especificado</t>
        </is>
      </c>
      <c r="F218" s="4" t="n"/>
      <c r="G218" s="4" t="n">
        <v>1</v>
      </c>
      <c r="H218" s="4" t="inlineStr">
        <is>
          <t>blank-&gt;1</t>
        </is>
      </c>
      <c r="I218" s="4" t="n"/>
      <c r="J218" s="4" t="inlineStr">
        <is>
          <t>RQ2_Missing_167</t>
        </is>
      </c>
      <c r="K218" s="4" t="n"/>
      <c r="L218" s="4" t="n">
        <v>1</v>
      </c>
      <c r="M218" s="4" t="inlineStr">
        <is>
          <t>High</t>
        </is>
      </c>
      <c r="N218" s="4" t="inlineStr">
        <is>
          <t>stage-unclear</t>
        </is>
      </c>
      <c r="O218" s="4" t="n"/>
    </row>
    <row r="219" ht="34" customHeight="1">
      <c r="A219" s="4" t="n">
        <v>272</v>
      </c>
      <c r="B219" s="4" t="inlineStr">
        <is>
          <t>Ambos (piloto)</t>
        </is>
      </c>
      <c r="C219" s="4" t="n">
        <v>2018</v>
      </c>
      <c r="D219" s="4" t="inlineStr">
        <is>
          <t>Diagnosis</t>
        </is>
      </c>
      <c r="E219" s="4" t="inlineStr">
        <is>
          <t>Multimodal</t>
        </is>
      </c>
      <c r="F219" s="4" t="n"/>
      <c r="G219" s="4" t="n">
        <v>0</v>
      </c>
      <c r="H219" s="4" t="inlineStr">
        <is>
          <t>blank-&gt;0</t>
        </is>
      </c>
      <c r="I219" s="4" t="n"/>
      <c r="J219" s="4" t="inlineStr">
        <is>
          <t>RQ2_Missing_167</t>
        </is>
      </c>
      <c r="K219" s="4" t="n"/>
      <c r="L219" s="4" t="n">
        <v>1</v>
      </c>
      <c r="M219" s="4" t="inlineStr">
        <is>
          <t>High</t>
        </is>
      </c>
      <c r="N219" s="4" t="inlineStr">
        <is>
          <t>manual-adjudication; changed-to-0</t>
        </is>
      </c>
      <c r="O219" s="4" t="n"/>
    </row>
    <row r="220" ht="47" customHeight="1">
      <c r="A220" s="4" t="n">
        <v>273</v>
      </c>
      <c r="B220" s="4" t="inlineStr">
        <is>
          <t>Revisor A</t>
        </is>
      </c>
      <c r="C220" s="4" t="n">
        <v>2021</v>
      </c>
      <c r="D220" s="4" t="inlineStr">
        <is>
          <t>Diagnosis</t>
        </is>
      </c>
      <c r="E220" s="4" t="inlineStr">
        <is>
          <t>No especificado</t>
        </is>
      </c>
      <c r="F220" s="4" t="n"/>
      <c r="G220" s="4" t="n">
        <v>1</v>
      </c>
      <c r="H220" s="4" t="inlineStr">
        <is>
          <t>blank-&gt;1</t>
        </is>
      </c>
      <c r="I220" s="4" t="n"/>
      <c r="J220" s="4" t="inlineStr">
        <is>
          <t>RQ2_Missing_167</t>
        </is>
      </c>
      <c r="K220" s="4" t="n"/>
      <c r="L220" s="4" t="n">
        <v>1</v>
      </c>
      <c r="M220" s="4" t="inlineStr">
        <is>
          <t>High</t>
        </is>
      </c>
      <c r="N220" s="4" t="inlineStr">
        <is>
          <t>biomarker-or-biological-marker; subtyping/phenotyping</t>
        </is>
      </c>
      <c r="O220" s="4" t="n"/>
    </row>
    <row r="221" ht="34" customHeight="1">
      <c r="A221" s="4" t="n">
        <v>274</v>
      </c>
      <c r="B221" s="4" t="inlineStr">
        <is>
          <t>Revisor A</t>
        </is>
      </c>
      <c r="C221" s="4" t="n">
        <v>2022</v>
      </c>
      <c r="D221" s="4" t="inlineStr">
        <is>
          <t>Monitoring/intervention</t>
        </is>
      </c>
      <c r="E221" s="4" t="inlineStr">
        <is>
          <t>Texto · NLP</t>
        </is>
      </c>
      <c r="F221" s="4" t="n"/>
      <c r="G221" s="4" t="n">
        <v>1</v>
      </c>
      <c r="H221" s="4" t="inlineStr">
        <is>
          <t>blank-&gt;1</t>
        </is>
      </c>
      <c r="I221" s="4" t="n"/>
      <c r="J221" s="4" t="inlineStr">
        <is>
          <t>RQ2_Missing_167</t>
        </is>
      </c>
      <c r="K221" s="4" t="n"/>
      <c r="L221" s="4" t="n">
        <v>1</v>
      </c>
      <c r="M221" s="4" t="inlineStr">
        <is>
          <t>High</t>
        </is>
      </c>
      <c r="N221" s="4" t="n"/>
      <c r="O221" s="4" t="n"/>
    </row>
    <row r="222" ht="60" customHeight="1">
      <c r="A222" s="4" t="n">
        <v>276</v>
      </c>
      <c r="B222" s="4" t="inlineStr">
        <is>
          <t>Revisor A</t>
        </is>
      </c>
      <c r="C222" s="4" t="n">
        <v>2014</v>
      </c>
      <c r="D222" s="4" t="inlineStr">
        <is>
          <t>Monitoring/intervention</t>
        </is>
      </c>
      <c r="E222" s="4" t="inlineStr">
        <is>
          <t>Señales fisiológicas</t>
        </is>
      </c>
      <c r="F222" s="4" t="n"/>
      <c r="G222" s="4" t="n">
        <v>1</v>
      </c>
      <c r="H222" s="4" t="inlineStr">
        <is>
          <t>blank-&gt;1</t>
        </is>
      </c>
      <c r="I222" s="4" t="n"/>
      <c r="J222" s="4" t="inlineStr">
        <is>
          <t>RQ2_Missing_167</t>
        </is>
      </c>
      <c r="K222" s="4" t="n"/>
      <c r="L222" s="4" t="n">
        <v>1</v>
      </c>
      <c r="M222" s="4" t="inlineStr">
        <is>
          <t>High</t>
        </is>
      </c>
      <c r="N222" s="4" t="inlineStr">
        <is>
          <t>biomarker-or-biological-marker; classification-only-language</t>
        </is>
      </c>
      <c r="O222" s="4" t="n"/>
    </row>
    <row r="223" ht="47" customHeight="1">
      <c r="A223" s="4" t="n">
        <v>277</v>
      </c>
      <c r="B223" s="4" t="inlineStr">
        <is>
          <t>Revisor A</t>
        </is>
      </c>
      <c r="C223" s="4" t="n">
        <v>2023</v>
      </c>
      <c r="D223" s="4" t="inlineStr">
        <is>
          <t>Diagnosis</t>
        </is>
      </c>
      <c r="E223" s="4" t="inlineStr">
        <is>
          <t>Imagen</t>
        </is>
      </c>
      <c r="F223" s="4" t="n"/>
      <c r="G223" s="4" t="n">
        <v>1</v>
      </c>
      <c r="H223" s="4" t="inlineStr">
        <is>
          <t>blank-&gt;1</t>
        </is>
      </c>
      <c r="I223" s="4" t="n"/>
      <c r="J223" s="4" t="inlineStr">
        <is>
          <t>RQ2_Missing_167</t>
        </is>
      </c>
      <c r="K223" s="4" t="n"/>
      <c r="L223" s="4" t="n">
        <v>0</v>
      </c>
      <c r="M223" s="4" t="inlineStr">
        <is>
          <t>Medium</t>
        </is>
      </c>
      <c r="N223" s="4" t="inlineStr">
        <is>
          <t>subtyping/phenotyping; classification-only-language</t>
        </is>
      </c>
      <c r="O223" s="4" t="n"/>
    </row>
    <row r="224" ht="60" customHeight="1">
      <c r="A224" s="4" t="n">
        <v>278</v>
      </c>
      <c r="B224" s="4" t="inlineStr">
        <is>
          <t>Revisor A</t>
        </is>
      </c>
      <c r="C224" s="4" t="n">
        <v>2017</v>
      </c>
      <c r="D224" s="4" t="inlineStr">
        <is>
          <t>Prescreening</t>
        </is>
      </c>
      <c r="E224" s="4" t="inlineStr">
        <is>
          <t>Imagen</t>
        </is>
      </c>
      <c r="F224" s="4" t="n"/>
      <c r="G224" s="4" t="n">
        <v>1</v>
      </c>
      <c r="H224" s="4" t="inlineStr">
        <is>
          <t>blank-&gt;1</t>
        </is>
      </c>
      <c r="I224" s="4" t="n"/>
      <c r="J224" s="4" t="inlineStr">
        <is>
          <t>RQ2_Missing_167</t>
        </is>
      </c>
      <c r="K224" s="4" t="n"/>
      <c r="L224" s="4" t="n">
        <v>1</v>
      </c>
      <c r="M224" s="4" t="inlineStr">
        <is>
          <t>High</t>
        </is>
      </c>
      <c r="N224" s="4" t="inlineStr">
        <is>
          <t>biomarker-or-biological-marker; classification-only-language</t>
        </is>
      </c>
      <c r="O224" s="4" t="n"/>
    </row>
    <row r="225" ht="34" customHeight="1">
      <c r="A225" s="4" t="n">
        <v>279</v>
      </c>
      <c r="B225" s="4" t="inlineStr">
        <is>
          <t>Revisor A</t>
        </is>
      </c>
      <c r="C225" s="4" t="n">
        <v>2022</v>
      </c>
      <c r="D225" s="4" t="inlineStr">
        <is>
          <t>Diagnosis</t>
        </is>
      </c>
      <c r="E225" s="4" t="inlineStr">
        <is>
          <t>No especificado</t>
        </is>
      </c>
      <c r="F225" s="4" t="n"/>
      <c r="G225" s="4" t="n">
        <v>1</v>
      </c>
      <c r="H225" s="4" t="inlineStr">
        <is>
          <t>blank-&gt;1</t>
        </is>
      </c>
      <c r="I225" s="4" t="n"/>
      <c r="J225" s="4" t="inlineStr">
        <is>
          <t>RQ2_Missing_167</t>
        </is>
      </c>
      <c r="K225" s="4" t="n"/>
      <c r="L225" s="4" t="n">
        <v>1</v>
      </c>
      <c r="M225" s="4" t="inlineStr">
        <is>
          <t>High</t>
        </is>
      </c>
      <c r="N225" s="4" t="inlineStr">
        <is>
          <t>biomarker-or-biological-marker</t>
        </is>
      </c>
      <c r="O225" s="4" t="n"/>
    </row>
    <row r="226" ht="34" customHeight="1">
      <c r="A226" s="4" t="n">
        <v>280</v>
      </c>
      <c r="B226" s="4" t="inlineStr">
        <is>
          <t>Revisor A</t>
        </is>
      </c>
      <c r="C226" s="4" t="n">
        <v>2023</v>
      </c>
      <c r="D226" s="4" t="inlineStr">
        <is>
          <t>Diagnosis</t>
        </is>
      </c>
      <c r="E226" s="4" t="inlineStr">
        <is>
          <t>Multimodal</t>
        </is>
      </c>
      <c r="F226" s="4" t="n"/>
      <c r="G226" s="4" t="n">
        <v>1</v>
      </c>
      <c r="H226" s="4" t="inlineStr">
        <is>
          <t>blank-&gt;1</t>
        </is>
      </c>
      <c r="I226" s="4" t="n"/>
      <c r="J226" s="4" t="inlineStr">
        <is>
          <t>RQ2_Missing_167</t>
        </is>
      </c>
      <c r="K226" s="4" t="n"/>
      <c r="L226" s="4" t="n">
        <v>1</v>
      </c>
      <c r="M226" s="4" t="inlineStr">
        <is>
          <t>High</t>
        </is>
      </c>
      <c r="N226" s="4" t="inlineStr">
        <is>
          <t>classification-only-language</t>
        </is>
      </c>
      <c r="O226" s="4" t="n"/>
    </row>
    <row r="227" ht="34" customHeight="1">
      <c r="A227" s="4" t="n">
        <v>281</v>
      </c>
      <c r="B227" s="4" t="inlineStr">
        <is>
          <t>Revisor A</t>
        </is>
      </c>
      <c r="C227" s="4" t="n">
        <v>2022</v>
      </c>
      <c r="D227" s="4" t="inlineStr">
        <is>
          <t>Monitoring/intervention</t>
        </is>
      </c>
      <c r="E227" s="4" t="inlineStr">
        <is>
          <t>Imagen</t>
        </is>
      </c>
      <c r="F227" s="4" t="n"/>
      <c r="G227" s="4" t="n">
        <v>1</v>
      </c>
      <c r="H227" s="4" t="inlineStr">
        <is>
          <t>blank-&gt;1</t>
        </is>
      </c>
      <c r="I227" s="4" t="n"/>
      <c r="J227" s="4" t="inlineStr">
        <is>
          <t>RQ2_Missing_167</t>
        </is>
      </c>
      <c r="K227" s="4" t="n"/>
      <c r="L227" s="4" t="n">
        <v>1</v>
      </c>
      <c r="M227" s="4" t="inlineStr">
        <is>
          <t>High</t>
        </is>
      </c>
      <c r="N227" s="4" t="n"/>
      <c r="O227" s="4" t="n"/>
    </row>
    <row r="228" ht="30" customHeight="1">
      <c r="A228" s="4" t="n">
        <v>282</v>
      </c>
      <c r="B228" s="4" t="inlineStr">
        <is>
          <t>Revisor A</t>
        </is>
      </c>
      <c r="C228" s="4" t="n">
        <v>2023</v>
      </c>
      <c r="D228" s="4" t="inlineStr">
        <is>
          <t>Prescreening</t>
        </is>
      </c>
      <c r="E228" s="4" t="inlineStr">
        <is>
          <t>Texto · NLP</t>
        </is>
      </c>
      <c r="F228" s="4" t="n"/>
      <c r="G228" s="4" t="n">
        <v>0</v>
      </c>
      <c r="H228" s="4" t="inlineStr">
        <is>
          <t>blank-&gt;0</t>
        </is>
      </c>
      <c r="I228" s="4" t="n"/>
      <c r="J228" s="4" t="inlineStr">
        <is>
          <t>RQ2_Missing_167</t>
        </is>
      </c>
      <c r="K228" s="4" t="n"/>
      <c r="L228" s="4" t="n">
        <v>0</v>
      </c>
      <c r="M228" s="4" t="inlineStr">
        <is>
          <t>High</t>
        </is>
      </c>
      <c r="N228" s="4" t="n"/>
      <c r="O228" s="4" t="n"/>
    </row>
    <row r="229" ht="30" customHeight="1">
      <c r="A229" s="4" t="n">
        <v>283</v>
      </c>
      <c r="B229" s="4" t="inlineStr">
        <is>
          <t>Revisor B</t>
        </is>
      </c>
      <c r="C229" s="4" t="n">
        <v>2022</v>
      </c>
      <c r="D229" s="4" t="inlineStr">
        <is>
          <t>Diagnosis</t>
        </is>
      </c>
      <c r="E229" s="4" t="inlineStr">
        <is>
          <t>No especificado</t>
        </is>
      </c>
      <c r="F229" s="4" t="n">
        <v>0</v>
      </c>
      <c r="G229" s="4" t="n">
        <v>1</v>
      </c>
      <c r="H229" s="4" t="inlineStr">
        <is>
          <t>0-&gt;1</t>
        </is>
      </c>
      <c r="I229" s="4" t="n">
        <v>0</v>
      </c>
      <c r="J229" s="4" t="inlineStr">
        <is>
          <t>RQ2_Negative_78</t>
        </is>
      </c>
      <c r="K229" s="4" t="n">
        <v>0</v>
      </c>
      <c r="L229" s="4" t="n">
        <v>1</v>
      </c>
      <c r="M229" s="4" t="inlineStr">
        <is>
          <t>High</t>
        </is>
      </c>
      <c r="N229" s="4" t="n"/>
      <c r="O229" s="4" t="n"/>
    </row>
    <row r="230" ht="30" customHeight="1">
      <c r="A230" s="4" t="n">
        <v>284</v>
      </c>
      <c r="B230" s="4" t="inlineStr">
        <is>
          <t>Revisor B</t>
        </is>
      </c>
      <c r="C230" s="4" t="n">
        <v>2019</v>
      </c>
      <c r="D230" s="4" t="inlineStr">
        <is>
          <t>screening</t>
        </is>
      </c>
      <c r="E230" s="4" t="inlineStr">
        <is>
          <t>Imagen</t>
        </is>
      </c>
      <c r="F230" s="4" t="n">
        <v>0</v>
      </c>
      <c r="G230" s="4" t="n">
        <v>1</v>
      </c>
      <c r="H230" s="4" t="inlineStr">
        <is>
          <t>0-&gt;1</t>
        </is>
      </c>
      <c r="I230" s="4" t="n">
        <v>0</v>
      </c>
      <c r="J230" s="4" t="inlineStr">
        <is>
          <t>RQ2_Negative_78</t>
        </is>
      </c>
      <c r="K230" s="4" t="n">
        <v>0</v>
      </c>
      <c r="L230" s="4" t="n">
        <v>1</v>
      </c>
      <c r="M230" s="4" t="inlineStr">
        <is>
          <t>High</t>
        </is>
      </c>
      <c r="N230" s="4" t="n"/>
      <c r="O230" s="4" t="n"/>
    </row>
    <row r="231" ht="47" customHeight="1">
      <c r="A231" s="4" t="n">
        <v>285</v>
      </c>
      <c r="B231" s="4" t="inlineStr">
        <is>
          <t>Revisor B</t>
        </is>
      </c>
      <c r="C231" s="4" t="n">
        <v>2025</v>
      </c>
      <c r="D231" s="4" t="inlineStr">
        <is>
          <t>Not clear</t>
        </is>
      </c>
      <c r="E231" s="4" t="inlineStr">
        <is>
          <t>No especificado</t>
        </is>
      </c>
      <c r="F231" s="4" t="n">
        <v>0</v>
      </c>
      <c r="G231" s="4" t="n">
        <v>1</v>
      </c>
      <c r="H231" s="4" t="inlineStr">
        <is>
          <t>0-&gt;1</t>
        </is>
      </c>
      <c r="I231" s="4" t="n">
        <v>0</v>
      </c>
      <c r="J231" s="4" t="inlineStr">
        <is>
          <t>RQ2_Negative_78</t>
        </is>
      </c>
      <c r="K231" s="4" t="n">
        <v>0</v>
      </c>
      <c r="L231" s="4" t="n">
        <v>0</v>
      </c>
      <c r="M231" s="4" t="inlineStr">
        <is>
          <t>Medium</t>
        </is>
      </c>
      <c r="N231" s="4" t="inlineStr">
        <is>
          <t>stage-unclear; biomarker-or-biological-marker</t>
        </is>
      </c>
      <c r="O231" s="4" t="n"/>
    </row>
    <row r="232" ht="60" customHeight="1">
      <c r="A232" s="4" t="n">
        <v>286</v>
      </c>
      <c r="B232" s="4" t="inlineStr">
        <is>
          <t>Revisor A</t>
        </is>
      </c>
      <c r="C232" s="4" t="n">
        <v>2022</v>
      </c>
      <c r="D232" s="4" t="inlineStr">
        <is>
          <t>Diagnosis</t>
        </is>
      </c>
      <c r="E232" s="4" t="inlineStr">
        <is>
          <t>Señales fisiológicas</t>
        </is>
      </c>
      <c r="F232" s="4" t="n"/>
      <c r="G232" s="4" t="n">
        <v>1</v>
      </c>
      <c r="H232" s="4" t="inlineStr">
        <is>
          <t>blank-&gt;1</t>
        </is>
      </c>
      <c r="I232" s="4" t="n"/>
      <c r="J232" s="4" t="inlineStr">
        <is>
          <t>RQ2_Missing_167</t>
        </is>
      </c>
      <c r="K232" s="4" t="n"/>
      <c r="L232" s="4" t="n">
        <v>1</v>
      </c>
      <c r="M232" s="4" t="inlineStr">
        <is>
          <t>High</t>
        </is>
      </c>
      <c r="N232" s="4" t="inlineStr">
        <is>
          <t>biomarker-or-biological-marker; classification-only-language</t>
        </is>
      </c>
      <c r="O232" s="4" t="n"/>
    </row>
    <row r="233" ht="34" customHeight="1">
      <c r="A233" s="4" t="n">
        <v>287</v>
      </c>
      <c r="B233" s="4" t="inlineStr">
        <is>
          <t>Revisor A</t>
        </is>
      </c>
      <c r="C233" s="4" t="n">
        <v>2020</v>
      </c>
      <c r="D233" s="4" t="inlineStr">
        <is>
          <t>Prescreening</t>
        </is>
      </c>
      <c r="E233" s="4" t="inlineStr">
        <is>
          <t>No especificado</t>
        </is>
      </c>
      <c r="F233" s="4" t="n"/>
      <c r="G233" s="4" t="n">
        <v>1</v>
      </c>
      <c r="H233" s="4" t="inlineStr">
        <is>
          <t>blank-&gt;1</t>
        </is>
      </c>
      <c r="I233" s="4" t="n"/>
      <c r="J233" s="4" t="inlineStr">
        <is>
          <t>RQ2_Missing_167</t>
        </is>
      </c>
      <c r="K233" s="4" t="n"/>
      <c r="L233" s="4" t="n">
        <v>0</v>
      </c>
      <c r="M233" s="4" t="inlineStr">
        <is>
          <t>Medium</t>
        </is>
      </c>
      <c r="N233" s="4" t="inlineStr">
        <is>
          <t>biomarker-or-biological-marker</t>
        </is>
      </c>
      <c r="O233" s="4" t="n"/>
    </row>
    <row r="234" ht="60" customHeight="1">
      <c r="A234" s="4" t="n">
        <v>288</v>
      </c>
      <c r="B234" s="4" t="inlineStr">
        <is>
          <t>Revisor A</t>
        </is>
      </c>
      <c r="C234" s="4" t="n">
        <v>2022</v>
      </c>
      <c r="D234" s="4" t="inlineStr">
        <is>
          <t>Screening</t>
        </is>
      </c>
      <c r="E234" s="4" t="inlineStr">
        <is>
          <t>Señales fisiológicas</t>
        </is>
      </c>
      <c r="F234" s="4" t="n"/>
      <c r="G234" s="4" t="n">
        <v>1</v>
      </c>
      <c r="H234" s="4" t="inlineStr">
        <is>
          <t>blank-&gt;1</t>
        </is>
      </c>
      <c r="I234" s="4" t="n"/>
      <c r="J234" s="4" t="inlineStr">
        <is>
          <t>RQ2_Missing_167</t>
        </is>
      </c>
      <c r="K234" s="4" t="n"/>
      <c r="L234" s="4" t="n">
        <v>1</v>
      </c>
      <c r="M234" s="4" t="inlineStr">
        <is>
          <t>High</t>
        </is>
      </c>
      <c r="N234" s="4" t="inlineStr">
        <is>
          <t>biomarker-or-biological-marker; classification-only-language</t>
        </is>
      </c>
      <c r="O234" s="4" t="n"/>
    </row>
    <row r="235" ht="30" customHeight="1">
      <c r="A235" s="4" t="n">
        <v>289</v>
      </c>
      <c r="B235" s="4" t="inlineStr">
        <is>
          <t>Revisor A</t>
        </is>
      </c>
      <c r="C235" s="4" t="n">
        <v>2019</v>
      </c>
      <c r="D235" s="4" t="inlineStr">
        <is>
          <t>Diagnosis</t>
        </is>
      </c>
      <c r="E235" s="4" t="inlineStr">
        <is>
          <t>No especificado</t>
        </is>
      </c>
      <c r="F235" s="4" t="n"/>
      <c r="G235" s="4" t="n">
        <v>0</v>
      </c>
      <c r="H235" s="4" t="inlineStr">
        <is>
          <t>blank-&gt;0</t>
        </is>
      </c>
      <c r="I235" s="4" t="n"/>
      <c r="J235" s="4" t="inlineStr">
        <is>
          <t>RQ2_Missing_167</t>
        </is>
      </c>
      <c r="K235" s="4" t="n"/>
      <c r="L235" s="4" t="n">
        <v>0</v>
      </c>
      <c r="M235" s="4" t="inlineStr">
        <is>
          <t>High</t>
        </is>
      </c>
      <c r="N235" s="4" t="n"/>
      <c r="O235" s="4" t="n"/>
    </row>
    <row r="236" ht="30" customHeight="1">
      <c r="A236" s="4" t="n">
        <v>290</v>
      </c>
      <c r="B236" s="4" t="inlineStr">
        <is>
          <t>Revisor B</t>
        </is>
      </c>
      <c r="C236" s="4" t="n">
        <v>2025</v>
      </c>
      <c r="D236" s="4" t="n"/>
      <c r="E236" s="4" t="inlineStr">
        <is>
          <t>No especificado</t>
        </is>
      </c>
      <c r="F236" s="4" t="n">
        <v>0</v>
      </c>
      <c r="G236" s="4" t="n">
        <v>1</v>
      </c>
      <c r="H236" s="4" t="inlineStr">
        <is>
          <t>0-&gt;1</t>
        </is>
      </c>
      <c r="I236" s="4" t="n">
        <v>0</v>
      </c>
      <c r="J236" s="4" t="inlineStr">
        <is>
          <t>RQ2_Negative_78</t>
        </is>
      </c>
      <c r="K236" s="4" t="n">
        <v>0</v>
      </c>
      <c r="L236" s="4" t="n">
        <v>0</v>
      </c>
      <c r="M236" s="4" t="inlineStr">
        <is>
          <t>Medium</t>
        </is>
      </c>
      <c r="N236" s="4" t="inlineStr">
        <is>
          <t>stage-unclear</t>
        </is>
      </c>
      <c r="O236" s="4" t="n"/>
    </row>
    <row r="237" ht="34" customHeight="1">
      <c r="A237" s="4" t="n">
        <v>291</v>
      </c>
      <c r="B237" s="4" t="inlineStr">
        <is>
          <t>Revisor B</t>
        </is>
      </c>
      <c r="C237" s="4" t="n">
        <v>2025</v>
      </c>
      <c r="D237" s="4" t="inlineStr">
        <is>
          <t>Diagnosis</t>
        </is>
      </c>
      <c r="E237" s="4" t="inlineStr">
        <is>
          <t>Señales fisiológicas</t>
        </is>
      </c>
      <c r="F237" s="4" t="n">
        <v>0</v>
      </c>
      <c r="G237" s="4" t="n">
        <v>0</v>
      </c>
      <c r="H237" s="4" t="inlineStr">
        <is>
          <t>unchanged</t>
        </is>
      </c>
      <c r="I237" s="4" t="n">
        <v>0</v>
      </c>
      <c r="J237" s="4" t="inlineStr">
        <is>
          <t>RQ2_Negative_78</t>
        </is>
      </c>
      <c r="K237" s="4" t="n">
        <v>0</v>
      </c>
      <c r="L237" s="4" t="n">
        <v>1</v>
      </c>
      <c r="M237" s="4" t="inlineStr">
        <is>
          <t>High</t>
        </is>
      </c>
      <c r="N237" s="4" t="inlineStr">
        <is>
          <t>manual-adjudication; changed-to-0</t>
        </is>
      </c>
      <c r="O237" s="4" t="n"/>
    </row>
    <row r="238" ht="34" customHeight="1">
      <c r="A238" s="4" t="n">
        <v>292</v>
      </c>
      <c r="B238" s="4" t="inlineStr">
        <is>
          <t>Revisor A</t>
        </is>
      </c>
      <c r="C238" s="4" t="n">
        <v>2015</v>
      </c>
      <c r="D238" s="4" t="inlineStr">
        <is>
          <t>Diagnosis</t>
        </is>
      </c>
      <c r="E238" s="4" t="inlineStr">
        <is>
          <t>No especificado</t>
        </is>
      </c>
      <c r="F238" s="4" t="n"/>
      <c r="G238" s="4" t="n">
        <v>0</v>
      </c>
      <c r="H238" s="4" t="inlineStr">
        <is>
          <t>blank-&gt;0</t>
        </is>
      </c>
      <c r="I238" s="4" t="n"/>
      <c r="J238" s="4" t="inlineStr">
        <is>
          <t>RQ2_Missing_167</t>
        </is>
      </c>
      <c r="K238" s="4" t="n"/>
      <c r="L238" s="4" t="n">
        <v>1</v>
      </c>
      <c r="M238" s="4" t="inlineStr">
        <is>
          <t>High</t>
        </is>
      </c>
      <c r="N238" s="4" t="inlineStr">
        <is>
          <t>manual-adjudication; changed-to-0</t>
        </is>
      </c>
      <c r="O238" s="4" t="n"/>
    </row>
    <row r="239" ht="34" customHeight="1">
      <c r="A239" s="4" t="n">
        <v>293</v>
      </c>
      <c r="B239" s="4" t="inlineStr">
        <is>
          <t>Revisor B</t>
        </is>
      </c>
      <c r="C239" s="4" t="n">
        <v>2018</v>
      </c>
      <c r="D239" s="4" t="inlineStr">
        <is>
          <t>Monitoring/intervention</t>
        </is>
      </c>
      <c r="E239" s="4" t="inlineStr">
        <is>
          <t>Imagen</t>
        </is>
      </c>
      <c r="F239" s="4" t="n">
        <v>0</v>
      </c>
      <c r="G239" s="4" t="n">
        <v>1</v>
      </c>
      <c r="H239" s="4" t="inlineStr">
        <is>
          <t>0-&gt;1</t>
        </is>
      </c>
      <c r="I239" s="4" t="n">
        <v>0</v>
      </c>
      <c r="J239" s="4" t="inlineStr">
        <is>
          <t>RQ2_Negative_78</t>
        </is>
      </c>
      <c r="K239" s="4" t="n">
        <v>0</v>
      </c>
      <c r="L239" s="4" t="n">
        <v>1</v>
      </c>
      <c r="M239" s="4" t="inlineStr">
        <is>
          <t>High</t>
        </is>
      </c>
      <c r="N239" s="4" t="inlineStr">
        <is>
          <t>biomarker-or-biological-marker</t>
        </is>
      </c>
      <c r="O239" s="4" t="n"/>
    </row>
    <row r="240" ht="30" customHeight="1">
      <c r="A240" s="4" t="n">
        <v>294</v>
      </c>
      <c r="B240" s="4" t="inlineStr">
        <is>
          <t>Revisor B</t>
        </is>
      </c>
      <c r="C240" s="4" t="n">
        <v>2016</v>
      </c>
      <c r="D240" s="4" t="inlineStr">
        <is>
          <t>prognosis</t>
        </is>
      </c>
      <c r="E240" s="4" t="inlineStr">
        <is>
          <t>No especificado</t>
        </is>
      </c>
      <c r="F240" s="4" t="n">
        <v>0</v>
      </c>
      <c r="G240" s="4" t="n">
        <v>0</v>
      </c>
      <c r="H240" s="4" t="inlineStr">
        <is>
          <t>unchanged</t>
        </is>
      </c>
      <c r="I240" s="4" t="n">
        <v>0</v>
      </c>
      <c r="J240" s="4" t="inlineStr">
        <is>
          <t>RQ2_Negative_78</t>
        </is>
      </c>
      <c r="K240" s="4" t="n">
        <v>0</v>
      </c>
      <c r="L240" s="4" t="n">
        <v>0</v>
      </c>
      <c r="M240" s="4" t="inlineStr">
        <is>
          <t>High</t>
        </is>
      </c>
      <c r="N240" s="4" t="n"/>
      <c r="O240" s="4" t="n"/>
    </row>
    <row r="241" ht="30" customHeight="1">
      <c r="A241" s="4" t="n">
        <v>295</v>
      </c>
      <c r="B241" s="4" t="inlineStr">
        <is>
          <t>Revisor B</t>
        </is>
      </c>
      <c r="C241" s="4" t="n">
        <v>2018</v>
      </c>
      <c r="D241" s="4" t="inlineStr">
        <is>
          <t>Prognosis</t>
        </is>
      </c>
      <c r="E241" s="4" t="inlineStr">
        <is>
          <t>No especificado</t>
        </is>
      </c>
      <c r="F241" s="4" t="n">
        <v>0</v>
      </c>
      <c r="G241" s="4" t="n">
        <v>1</v>
      </c>
      <c r="H241" s="4" t="inlineStr">
        <is>
          <t>0-&gt;1</t>
        </is>
      </c>
      <c r="I241" s="4" t="n">
        <v>0</v>
      </c>
      <c r="J241" s="4" t="inlineStr">
        <is>
          <t>RQ2_Negative_78</t>
        </is>
      </c>
      <c r="K241" s="4" t="n">
        <v>0</v>
      </c>
      <c r="L241" s="4" t="n">
        <v>1</v>
      </c>
      <c r="M241" s="4" t="inlineStr">
        <is>
          <t>High</t>
        </is>
      </c>
      <c r="N241" s="4" t="n"/>
      <c r="O241" s="4" t="n"/>
    </row>
    <row r="242" ht="34" customHeight="1">
      <c r="A242" s="4" t="n">
        <v>296</v>
      </c>
      <c r="B242" s="4" t="inlineStr">
        <is>
          <t>Revisor B</t>
        </is>
      </c>
      <c r="C242" s="4" t="n">
        <v>2024</v>
      </c>
      <c r="D242" s="4" t="inlineStr">
        <is>
          <t>Diagnosis</t>
        </is>
      </c>
      <c r="E242" s="4" t="inlineStr">
        <is>
          <t>Señales fisiológicas</t>
        </is>
      </c>
      <c r="F242" s="4" t="n">
        <v>0</v>
      </c>
      <c r="G242" s="4" t="n">
        <v>0</v>
      </c>
      <c r="H242" s="4" t="inlineStr">
        <is>
          <t>unchanged</t>
        </is>
      </c>
      <c r="I242" s="4" t="n">
        <v>0</v>
      </c>
      <c r="J242" s="4" t="inlineStr">
        <is>
          <t>RQ2_Negative_78</t>
        </is>
      </c>
      <c r="K242" s="4" t="n">
        <v>0</v>
      </c>
      <c r="L242" s="4" t="n">
        <v>1</v>
      </c>
      <c r="M242" s="4" t="inlineStr">
        <is>
          <t>High</t>
        </is>
      </c>
      <c r="N242" s="4" t="inlineStr">
        <is>
          <t>manual-adjudication; changed-to-0</t>
        </is>
      </c>
      <c r="O242" s="4" t="n"/>
    </row>
    <row r="243" ht="34" customHeight="1">
      <c r="A243" s="4" t="n">
        <v>297</v>
      </c>
      <c r="B243" s="4" t="inlineStr">
        <is>
          <t>Revisor B</t>
        </is>
      </c>
      <c r="C243" s="4" t="n">
        <v>2025</v>
      </c>
      <c r="D243" s="4" t="inlineStr">
        <is>
          <t>monitoring_intervention</t>
        </is>
      </c>
      <c r="E243" s="4" t="inlineStr">
        <is>
          <t>No especificado</t>
        </is>
      </c>
      <c r="F243" s="4" t="n">
        <v>0</v>
      </c>
      <c r="G243" s="4" t="n">
        <v>1</v>
      </c>
      <c r="H243" s="4" t="inlineStr">
        <is>
          <t>0-&gt;1</t>
        </is>
      </c>
      <c r="I243" s="4" t="n">
        <v>0</v>
      </c>
      <c r="J243" s="4" t="inlineStr">
        <is>
          <t>RQ2_Negative_78</t>
        </is>
      </c>
      <c r="K243" s="4" t="n">
        <v>0</v>
      </c>
      <c r="L243" s="4" t="n">
        <v>1</v>
      </c>
      <c r="M243" s="4" t="inlineStr">
        <is>
          <t>High</t>
        </is>
      </c>
      <c r="N243" s="4" t="n"/>
      <c r="O243" s="4" t="n"/>
    </row>
    <row r="244" ht="47" customHeight="1">
      <c r="A244" s="4" t="n">
        <v>298</v>
      </c>
      <c r="B244" s="4" t="inlineStr">
        <is>
          <t>Revisor B</t>
        </is>
      </c>
      <c r="C244" s="4" t="n">
        <v>2021</v>
      </c>
      <c r="D244" s="4" t="n"/>
      <c r="E244" s="4" t="inlineStr">
        <is>
          <t>Imagen</t>
        </is>
      </c>
      <c r="F244" s="4" t="n">
        <v>0</v>
      </c>
      <c r="G244" s="4" t="n">
        <v>0</v>
      </c>
      <c r="H244" s="4" t="inlineStr">
        <is>
          <t>unchanged</t>
        </is>
      </c>
      <c r="I244" s="4" t="n">
        <v>0</v>
      </c>
      <c r="J244" s="4" t="inlineStr">
        <is>
          <t>RQ2_Negative_78</t>
        </is>
      </c>
      <c r="K244" s="4" t="n">
        <v>0</v>
      </c>
      <c r="L244" s="4" t="n">
        <v>1</v>
      </c>
      <c r="M244" s="4" t="inlineStr">
        <is>
          <t>High</t>
        </is>
      </c>
      <c r="N244" s="4" t="inlineStr">
        <is>
          <t>manual-adjudication; changed-to-0; stage-unclear</t>
        </is>
      </c>
      <c r="O244" s="4" t="n"/>
    </row>
    <row r="245" ht="47" customHeight="1">
      <c r="A245" s="4" t="n">
        <v>299</v>
      </c>
      <c r="B245" s="4" t="inlineStr">
        <is>
          <t>Revisor B</t>
        </is>
      </c>
      <c r="C245" s="4" t="n">
        <v>2025</v>
      </c>
      <c r="D245" s="4" t="n"/>
      <c r="E245" s="4" t="inlineStr">
        <is>
          <t>Imagen</t>
        </is>
      </c>
      <c r="F245" s="4" t="n"/>
      <c r="G245" s="4" t="n">
        <v>1</v>
      </c>
      <c r="H245" s="4" t="inlineStr">
        <is>
          <t>blank-&gt;1</t>
        </is>
      </c>
      <c r="I245" s="4" t="n"/>
      <c r="J245" s="4" t="inlineStr">
        <is>
          <t>RQ2_Missing_167</t>
        </is>
      </c>
      <c r="K245" s="4" t="n"/>
      <c r="L245" s="4" t="n">
        <v>0</v>
      </c>
      <c r="M245" s="4" t="inlineStr">
        <is>
          <t>Medium</t>
        </is>
      </c>
      <c r="N245" s="4" t="inlineStr">
        <is>
          <t>stage-unclear; biomarker-or-biological-marker</t>
        </is>
      </c>
      <c r="O245" s="4" t="n"/>
    </row>
    <row r="246" ht="34" customHeight="1">
      <c r="A246" s="4" t="n">
        <v>300</v>
      </c>
      <c r="B246" s="4" t="inlineStr">
        <is>
          <t>Revisor A</t>
        </is>
      </c>
      <c r="C246" s="4" t="n">
        <v>2024</v>
      </c>
      <c r="D246" s="4" t="inlineStr">
        <is>
          <t>Screening</t>
        </is>
      </c>
      <c r="E246" s="4" t="inlineStr">
        <is>
          <t>Señales fisiológicas</t>
        </is>
      </c>
      <c r="F246" s="4" t="n"/>
      <c r="G246" s="4" t="n">
        <v>1</v>
      </c>
      <c r="H246" s="4" t="inlineStr">
        <is>
          <t>blank-&gt;1</t>
        </is>
      </c>
      <c r="I246" s="4" t="n"/>
      <c r="J246" s="4" t="inlineStr">
        <is>
          <t>RQ2_Missing_167</t>
        </is>
      </c>
      <c r="K246" s="4" t="n"/>
      <c r="L246" s="4" t="n">
        <v>1</v>
      </c>
      <c r="M246" s="4" t="inlineStr">
        <is>
          <t>High</t>
        </is>
      </c>
      <c r="N246" s="4" t="n"/>
      <c r="O246" s="4"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N31"/>
  <sheetViews>
    <sheetView showGridLines="0" workbookViewId="0">
      <selection activeCell="A1" sqref="A1"/>
    </sheetView>
  </sheetViews>
  <sheetFormatPr baseColWidth="8" defaultRowHeight="15"/>
  <cols>
    <col width="20" customWidth="1" min="1" max="1"/>
    <col width="14" customWidth="1" min="2" max="2"/>
    <col width="14" customWidth="1" min="3" max="3"/>
    <col width="55" customWidth="1" min="4" max="4"/>
    <col width="65" customWidth="1" min="5" max="5"/>
    <col width="65"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65" customWidth="1" min="14" max="14"/>
  </cols>
  <sheetData>
    <row r="1" ht="52" customHeight="1">
      <c r="A1" s="6" t="inlineStr">
        <is>
          <t>pandas_index</t>
        </is>
      </c>
      <c r="B1" s="6" t="inlineStr">
        <is>
          <t>excel_row</t>
        </is>
      </c>
      <c r="C1" s="6" t="inlineStr">
        <is>
          <t>study_id</t>
        </is>
      </c>
      <c r="D1" s="6" t="inlineStr">
        <is>
          <t>title</t>
        </is>
      </c>
      <c r="E1" s="6" t="inlineStr">
        <is>
          <t>original_q2_candidate_abstract</t>
        </is>
      </c>
      <c r="F1" s="6" t="inlineStr">
        <is>
          <t>new_q2_candidate_abstract</t>
        </is>
      </c>
      <c r="G1" s="6" t="inlineStr">
        <is>
          <t>original_q2_candidate_terms</t>
        </is>
      </c>
      <c r="H1" s="6" t="inlineStr">
        <is>
          <t>new_q2_candidate_terms</t>
        </is>
      </c>
      <c r="I1" s="6" t="inlineStr">
        <is>
          <t>original_stage_primary</t>
        </is>
      </c>
      <c r="J1" s="6" t="inlineStr">
        <is>
          <t>new_stage_primary</t>
        </is>
      </c>
      <c r="K1" s="6" t="inlineStr">
        <is>
          <t>original_AI_task_type</t>
        </is>
      </c>
      <c r="L1" s="6" t="inlineStr">
        <is>
          <t>new_AI_task_type</t>
        </is>
      </c>
      <c r="M1" s="6" t="inlineStr">
        <is>
          <t>decision</t>
        </is>
      </c>
      <c r="N1" s="6" t="inlineStr">
        <is>
          <t>basis</t>
        </is>
      </c>
    </row>
    <row r="2" ht="34" customHeight="1">
      <c r="A2" s="4" t="n">
        <v>74</v>
      </c>
      <c r="B2" s="4" t="n">
        <v>76</v>
      </c>
      <c r="C2" s="4" t="n">
        <v>75</v>
      </c>
      <c r="D2" s="4" t="inlineStr">
        <is>
          <t>A monitoring system for patients of autism spectrum disorder using artificial intelligence</t>
        </is>
      </c>
      <c r="E2" s="4" t="n">
        <v>1</v>
      </c>
      <c r="F2" s="4" t="n">
        <v>1</v>
      </c>
      <c r="G2" s="4" t="n"/>
      <c r="H2" s="4" t="n">
        <v>1</v>
      </c>
      <c r="I2" s="4" t="n"/>
      <c r="J2" s="4" t="inlineStr">
        <is>
          <t>Monitoring/intervention</t>
        </is>
      </c>
      <c r="K2" s="4" t="n"/>
      <c r="L2" s="4" t="inlineStr">
        <is>
          <t>Monitoring / adaptive intervention</t>
        </is>
      </c>
      <c r="M2" s="4" t="inlineStr">
        <is>
          <t>KEEP POSITIVE; resolve stage</t>
        </is>
      </c>
      <c r="N2" s="4" t="inlineStr">
        <is>
          <t>AI-based sensor monitoring adjusts learning games/tasks and alerts caregivers.</t>
        </is>
      </c>
    </row>
    <row r="3" ht="47" customHeight="1">
      <c r="A3" s="4" t="n">
        <v>98</v>
      </c>
      <c r="B3" s="4" t="n">
        <v>100</v>
      </c>
      <c r="C3" s="4" t="n">
        <v>99</v>
      </c>
      <c r="D3" s="4" t="inlineStr">
        <is>
          <t>Serum Brain-derived neurotrophic factor levels in Chinese children with autism spectrum disorders: A pilot study</t>
        </is>
      </c>
      <c r="E3" s="4" t="n">
        <v>1</v>
      </c>
      <c r="F3" s="4" t="n">
        <v>0</v>
      </c>
      <c r="G3" s="4" t="n"/>
      <c r="H3" s="4" t="n">
        <v>0</v>
      </c>
      <c r="I3" s="4" t="inlineStr">
        <is>
          <t>Not clear</t>
        </is>
      </c>
      <c r="J3" s="4" t="inlineStr">
        <is>
          <t>Not clear</t>
        </is>
      </c>
      <c r="K3" s="4" t="inlineStr">
        <is>
          <t>Other / Not clear</t>
        </is>
      </c>
      <c r="L3" s="4" t="inlineStr">
        <is>
          <t>Other / Not clear</t>
        </is>
      </c>
      <c r="M3" s="4" t="inlineStr">
        <is>
          <t>SET NEGATIVE</t>
        </is>
      </c>
      <c r="N3" s="4" t="inlineStr">
        <is>
          <t>Serum BDNF/ROC biomarker association; no AI/ML clinical system.</t>
        </is>
      </c>
    </row>
    <row r="4" ht="34" customHeight="1">
      <c r="A4" s="4" t="n">
        <v>161</v>
      </c>
      <c r="B4" s="4" t="n">
        <v>163</v>
      </c>
      <c r="C4" s="4" t="n">
        <v>162</v>
      </c>
      <c r="D4" s="4" t="inlineStr">
        <is>
          <t>Machine Learning in ASD: An Intensive Study of Automated Disease Prediction System</t>
        </is>
      </c>
      <c r="E4" s="4" t="n">
        <v>1</v>
      </c>
      <c r="F4" s="4" t="n">
        <v>1</v>
      </c>
      <c r="G4" s="4" t="n"/>
      <c r="H4" s="4" t="n">
        <v>1</v>
      </c>
      <c r="I4" s="4" t="n"/>
      <c r="J4" s="4" t="inlineStr">
        <is>
          <t>Diagnosis</t>
        </is>
      </c>
      <c r="K4" s="4" t="n"/>
      <c r="L4" s="4" t="inlineStr">
        <is>
          <t>Classification / diagnostic prediction</t>
        </is>
      </c>
      <c r="M4" s="4" t="inlineStr">
        <is>
          <t>KEEP POSITIVE; resolve stage</t>
        </is>
      </c>
      <c r="N4" s="4" t="inlineStr">
        <is>
          <t>Random-forest automated disease prediction intended to help practitioners detect disease.</t>
        </is>
      </c>
    </row>
    <row r="5" ht="34" customHeight="1">
      <c r="A5" s="4" t="n">
        <v>166</v>
      </c>
      <c r="B5" s="4" t="n">
        <v>168</v>
      </c>
      <c r="C5" s="4" t="n">
        <v>167</v>
      </c>
      <c r="D5" s="4" t="inlineStr">
        <is>
          <t>Role of artificial intelligence for autism diagnosis using DTI and fMRI: A survey</t>
        </is>
      </c>
      <c r="E5" s="4" t="n">
        <v>1</v>
      </c>
      <c r="F5" s="4" t="n">
        <v>0</v>
      </c>
      <c r="G5" s="4" t="n"/>
      <c r="H5" s="4" t="n">
        <v>0</v>
      </c>
      <c r="I5" s="4" t="n"/>
      <c r="J5" s="4" t="n"/>
      <c r="K5" s="4" t="n"/>
      <c r="L5" s="4" t="n"/>
      <c r="M5" s="4" t="inlineStr">
        <is>
          <t>SET NEGATIVE</t>
        </is>
      </c>
      <c r="N5" s="4" t="inlineStr">
        <is>
          <t>Survey/review about AI for diagnosis; not a primary AI system integrated into a clinical decision workflow.</t>
        </is>
      </c>
    </row>
    <row r="6" ht="47" customHeight="1">
      <c r="A6" s="4" t="n">
        <v>190</v>
      </c>
      <c r="B6" s="4" t="n">
        <v>192</v>
      </c>
      <c r="C6" s="4" t="n">
        <v>191</v>
      </c>
      <c r="D6" s="4" t="inlineStr">
        <is>
          <t>Explainable and scalable machine learning algorithms for detection of autism spectrum disorder using fMRI data</t>
        </is>
      </c>
      <c r="E6" s="4" t="n">
        <v>1</v>
      </c>
      <c r="F6" s="4" t="n">
        <v>1</v>
      </c>
      <c r="G6" s="4" t="n"/>
      <c r="H6" s="4" t="n">
        <v>1</v>
      </c>
      <c r="I6" s="4" t="n"/>
      <c r="J6" s="4" t="inlineStr">
        <is>
          <t>Diagnosis</t>
        </is>
      </c>
      <c r="K6" s="4" t="n"/>
      <c r="L6" s="4" t="inlineStr">
        <is>
          <t>Classification / diagnostic support</t>
        </is>
      </c>
      <c r="M6" s="4" t="inlineStr">
        <is>
          <t>KEEP POSITIVE; resolve stage</t>
        </is>
      </c>
      <c r="N6" s="4" t="inlineStr">
        <is>
          <t>fMRI ASD classifier with interpretable outputs intended to support diagnostic understanding.</t>
        </is>
      </c>
    </row>
    <row r="7" ht="47" customHeight="1">
      <c r="A7" s="4" t="n">
        <v>195</v>
      </c>
      <c r="B7" s="4" t="n">
        <v>197</v>
      </c>
      <c r="C7" s="4" t="n">
        <v>196</v>
      </c>
      <c r="D7" s="4" t="inlineStr">
        <is>
          <t>Genetic factor analysis for an early diagnosis of autism through machine learning</t>
        </is>
      </c>
      <c r="E7" s="4" t="n">
        <v>1</v>
      </c>
      <c r="F7" s="4" t="n">
        <v>1</v>
      </c>
      <c r="G7" s="4" t="n"/>
      <c r="H7" s="4" t="n">
        <v>1</v>
      </c>
      <c r="I7" s="4" t="n"/>
      <c r="J7" s="4" t="inlineStr">
        <is>
          <t>Prognosis</t>
        </is>
      </c>
      <c r="K7" s="4" t="n"/>
      <c r="L7" s="4" t="inlineStr">
        <is>
          <t>Risk stratification / early diagnostic prediction</t>
        </is>
      </c>
      <c r="M7" s="4" t="inlineStr">
        <is>
          <t>KEEP POSITIVE; resolve stage</t>
        </is>
      </c>
      <c r="N7" s="4" t="inlineStr">
        <is>
          <t>ML analysis of genetic and pre-existing factors for early ASD diagnosis/actionable insights.</t>
        </is>
      </c>
    </row>
    <row r="8" ht="47" customHeight="1">
      <c r="A8" s="4" t="n">
        <v>223</v>
      </c>
      <c r="B8" s="4" t="n">
        <v>225</v>
      </c>
      <c r="C8" s="4" t="n">
        <v>224</v>
      </c>
      <c r="D8" s="4" t="inlineStr">
        <is>
          <t>An ensemble classifier for emotion classification from EEG and GSR signals for autism detection</t>
        </is>
      </c>
      <c r="E8" s="4" t="n">
        <v>1</v>
      </c>
      <c r="F8" s="4" t="n">
        <v>1</v>
      </c>
      <c r="G8" s="4" t="n">
        <v>0</v>
      </c>
      <c r="H8" s="4" t="n">
        <v>1</v>
      </c>
      <c r="I8" s="4" t="n"/>
      <c r="J8" s="4" t="inlineStr">
        <is>
          <t>Monitoring/intervention</t>
        </is>
      </c>
      <c r="K8" s="4" t="n"/>
      <c r="L8" s="4" t="inlineStr">
        <is>
          <t>Emotion classification / physiological monitoring</t>
        </is>
      </c>
      <c r="M8" s="4" t="inlineStr">
        <is>
          <t>KEEP POSITIVE; resolve stage</t>
        </is>
      </c>
      <c r="N8" s="4" t="inlineStr">
        <is>
          <t>EEG/GSR emotion classifier framed as suitable for clinical integration and quality-of-care support.</t>
        </is>
      </c>
    </row>
    <row r="9" ht="47" customHeight="1">
      <c r="A9" s="4" t="n">
        <v>235</v>
      </c>
      <c r="B9" s="4" t="n">
        <v>237</v>
      </c>
      <c r="C9" s="4" t="n">
        <v>236</v>
      </c>
      <c r="D9" s="4" t="inlineStr">
        <is>
          <t>Correlations between blood group and Rh factor in families and autism spectrum disorder: A comprehensive analysis</t>
        </is>
      </c>
      <c r="E9" s="4" t="n">
        <v>1</v>
      </c>
      <c r="F9" s="4" t="n">
        <v>0</v>
      </c>
      <c r="G9" s="4" t="n"/>
      <c r="H9" s="4" t="n">
        <v>0</v>
      </c>
      <c r="I9" s="4" t="inlineStr">
        <is>
          <t>Not clear</t>
        </is>
      </c>
      <c r="J9" s="4" t="inlineStr">
        <is>
          <t>Not clear</t>
        </is>
      </c>
      <c r="K9" s="4" t="inlineStr">
        <is>
          <t>Classification (ASD vs control / multi-class)</t>
        </is>
      </c>
      <c r="L9" s="4" t="inlineStr">
        <is>
          <t>Classification (ASD vs control / multi-class)</t>
        </is>
      </c>
      <c r="M9" s="4" t="inlineStr">
        <is>
          <t>SET NEGATIVE</t>
        </is>
      </c>
      <c r="N9" s="4" t="inlineStr">
        <is>
          <t>Blood group/Rh association and risk-factor analysis; no AI-supported clinical decision system.</t>
        </is>
      </c>
    </row>
    <row r="10" ht="47" customHeight="1">
      <c r="A10" s="4" t="n">
        <v>244</v>
      </c>
      <c r="B10" s="4" t="n">
        <v>246</v>
      </c>
      <c r="C10" s="4" t="n">
        <v>245</v>
      </c>
      <c r="D10" s="4" t="inlineStr">
        <is>
          <t>Exploring Sparse Gaussian Processes for Bayesian Optimization in Convolutional Neural Networks for Autism Classification</t>
        </is>
      </c>
      <c r="E10" s="4" t="n">
        <v>1</v>
      </c>
      <c r="F10" s="4" t="n">
        <v>1</v>
      </c>
      <c r="G10" s="4" t="n"/>
      <c r="H10" s="4" t="n">
        <v>1</v>
      </c>
      <c r="I10" s="4" t="n"/>
      <c r="J10" s="4" t="inlineStr">
        <is>
          <t>Screening</t>
        </is>
      </c>
      <c r="K10" s="4" t="n"/>
      <c r="L10" s="4" t="inlineStr">
        <is>
          <t>Image-based screening / classification</t>
        </is>
      </c>
      <c r="M10" s="4" t="inlineStr">
        <is>
          <t>KEEP POSITIVE; resolve stage</t>
        </is>
      </c>
      <c r="N10" s="4" t="inlineStr">
        <is>
          <t>CNN/Bayesian optimization model for ASD screening using eye-tracking images.</t>
        </is>
      </c>
    </row>
    <row r="11" ht="47" customHeight="1">
      <c r="A11" s="4" t="n">
        <v>246</v>
      </c>
      <c r="B11" s="4" t="n">
        <v>248</v>
      </c>
      <c r="C11" s="4" t="n">
        <v>247</v>
      </c>
      <c r="D11" s="4" t="inlineStr">
        <is>
          <t>Few-Shot Classification of Autism Spectrum Disorder using Site-Agnostic Meta-Learning and Brain MRI</t>
        </is>
      </c>
      <c r="E11" s="4" t="n">
        <v>1</v>
      </c>
      <c r="F11" s="4" t="n">
        <v>1</v>
      </c>
      <c r="G11" s="4" t="n">
        <v>1</v>
      </c>
      <c r="H11" s="4" t="n">
        <v>1</v>
      </c>
      <c r="I11" s="4" t="n"/>
      <c r="J11" s="4" t="inlineStr">
        <is>
          <t>Diagnosis</t>
        </is>
      </c>
      <c r="K11" s="4" t="n"/>
      <c r="L11" s="4" t="inlineStr">
        <is>
          <t>MRI classification / diagnostic support</t>
        </is>
      </c>
      <c r="M11" s="4" t="inlineStr">
        <is>
          <t>KEEP POSITIVE; resolve stage</t>
        </is>
      </c>
      <c r="N11" s="4" t="inlineStr">
        <is>
          <t>MRI ASD-vs-control classifier with stated clinical relevance for assisting neuroimaging tasks.</t>
        </is>
      </c>
    </row>
    <row r="12" ht="34" customHeight="1">
      <c r="A12" s="4" t="n">
        <v>251</v>
      </c>
      <c r="B12" s="4" t="n">
        <v>253</v>
      </c>
      <c r="C12" s="4" t="n">
        <v>252</v>
      </c>
      <c r="D12" s="4" t="inlineStr">
        <is>
          <t>Intelligent Eye-Tracking for the Early Diagnosis of Autism: A Mental Health Disaster with Families</t>
        </is>
      </c>
      <c r="E12" s="4" t="n">
        <v>1</v>
      </c>
      <c r="F12" s="4" t="n">
        <v>0</v>
      </c>
      <c r="G12" s="4" t="n"/>
      <c r="H12" s="4" t="n">
        <v>0</v>
      </c>
      <c r="I12" s="4" t="inlineStr">
        <is>
          <t>Not clear</t>
        </is>
      </c>
      <c r="J12" s="4" t="inlineStr">
        <is>
          <t>Not clear</t>
        </is>
      </c>
      <c r="K12" s="4" t="inlineStr">
        <is>
          <t>Other / Not clear</t>
        </is>
      </c>
      <c r="L12" s="4" t="inlineStr">
        <is>
          <t>Other / Not clear</t>
        </is>
      </c>
      <c r="M12" s="4" t="inlineStr">
        <is>
          <t>SET NEGATIVE</t>
        </is>
      </c>
      <c r="N12" s="4" t="inlineStr">
        <is>
          <t>Literature/qualitative discussion of intelligent eye-tracking; no primary AI system or decision workflow.</t>
        </is>
      </c>
    </row>
    <row r="13" ht="47" customHeight="1">
      <c r="A13" s="4" t="n">
        <v>255</v>
      </c>
      <c r="B13" s="4" t="n">
        <v>257</v>
      </c>
      <c r="C13" s="4" t="n">
        <v>256</v>
      </c>
      <c r="D13" s="4" t="inlineStr">
        <is>
          <t>Machine learning methods for autism spectrum disorder classification</t>
        </is>
      </c>
      <c r="E13" s="4" t="n">
        <v>1</v>
      </c>
      <c r="F13" s="4" t="n">
        <v>1</v>
      </c>
      <c r="G13" s="4" t="n"/>
      <c r="H13" s="4" t="n">
        <v>1</v>
      </c>
      <c r="I13" s="4" t="n"/>
      <c r="J13" s="4" t="inlineStr">
        <is>
          <t>Diagnosis</t>
        </is>
      </c>
      <c r="K13" s="4" t="n"/>
      <c r="L13" s="4" t="inlineStr">
        <is>
          <t>Graph-based classification / diagnostic support</t>
        </is>
      </c>
      <c r="M13" s="4" t="inlineStr">
        <is>
          <t>KEEP POSITIVE; resolve stage</t>
        </is>
      </c>
      <c r="N13" s="4" t="inlineStr">
        <is>
          <t>Graph-based ML models are presented as predictive tools for autism diagnosis.</t>
        </is>
      </c>
    </row>
    <row r="14" ht="60" customHeight="1">
      <c r="A14" s="4" t="n">
        <v>284</v>
      </c>
      <c r="B14" s="4" t="n">
        <v>286</v>
      </c>
      <c r="C14" s="4" t="n">
        <v>285</v>
      </c>
      <c r="D14" s="4" t="inlineStr">
        <is>
          <t>Exploring pesticide risk in autism via integrative machine learning and network toxicology</t>
        </is>
      </c>
      <c r="E14" s="4" t="n">
        <v>1</v>
      </c>
      <c r="F14" s="4" t="n">
        <v>0</v>
      </c>
      <c r="G14" s="4" t="n">
        <v>0</v>
      </c>
      <c r="H14" s="4" t="n">
        <v>0</v>
      </c>
      <c r="I14" s="4" t="inlineStr">
        <is>
          <t>Not clear</t>
        </is>
      </c>
      <c r="J14" s="4" t="inlineStr">
        <is>
          <t>Not clear</t>
        </is>
      </c>
      <c r="K14" s="4" t="inlineStr">
        <is>
          <t>Classification (binary/multi-class; incl. ASD vs control)/ multi-class)</t>
        </is>
      </c>
      <c r="L14" s="4" t="inlineStr">
        <is>
          <t>Classification (binary/multi-class; incl. ASD vs control)/ multi-class)</t>
        </is>
      </c>
      <c r="M14" s="4" t="inlineStr">
        <is>
          <t>SET NEGATIVE</t>
        </is>
      </c>
      <c r="N14" s="4" t="inlineStr">
        <is>
          <t>Mechanistic bioinformatics/network toxicology study; no clinical decision integration.</t>
        </is>
      </c>
    </row>
    <row r="15" ht="60" customHeight="1">
      <c r="A15" s="4" t="n">
        <v>298</v>
      </c>
      <c r="B15" s="4" t="n">
        <v>300</v>
      </c>
      <c r="C15" s="4" t="n">
        <v>299</v>
      </c>
      <c r="D15" s="4" t="inlineStr">
        <is>
          <t>Three-dimensional quantification of oxytocin neurons in the hypothalamic paraventricular nucleus reveals sex- and subregion-specific differences in two genetic mouse models of autism</t>
        </is>
      </c>
      <c r="E15" s="4" t="n">
        <v>1</v>
      </c>
      <c r="F15" s="4" t="n">
        <v>0</v>
      </c>
      <c r="G15" s="4" t="n"/>
      <c r="H15" s="4" t="n">
        <v>0</v>
      </c>
      <c r="I15" s="4" t="n"/>
      <c r="J15" s="4" t="n"/>
      <c r="K15" s="4" t="n"/>
      <c r="L15" s="4" t="n"/>
      <c r="M15" s="4" t="inlineStr">
        <is>
          <t>SET NEGATIVE</t>
        </is>
      </c>
      <c r="N15" s="4" t="inlineStr">
        <is>
          <t>Mouse-model 3D cell quantification pipeline; not a clinical ASD decision system.</t>
        </is>
      </c>
    </row>
    <row r="16" ht="47" customHeight="1">
      <c r="A16" s="4" t="n">
        <v>24</v>
      </c>
      <c r="B16" s="4" t="n">
        <v>26</v>
      </c>
      <c r="C16" s="4" t="n">
        <v>25</v>
      </c>
      <c r="D16" s="4" t="inlineStr">
        <is>
          <t>AI Doctor for ASD: Physician Perceptions and Adoption Challenges in Autism Clinical Practice</t>
        </is>
      </c>
      <c r="E16" s="4" t="n">
        <v>1</v>
      </c>
      <c r="F16" s="4" t="n">
        <v>1</v>
      </c>
      <c r="G16" s="4" t="n"/>
      <c r="H16" s="4" t="n">
        <v>1</v>
      </c>
      <c r="I16" s="4" t="n"/>
      <c r="J16" s="4" t="inlineStr">
        <is>
          <t>Diagnosis</t>
        </is>
      </c>
      <c r="K16" s="4" t="n"/>
      <c r="L16" s="4" t="inlineStr">
        <is>
          <t>Clinical adoption / diagnostic and intervention support</t>
        </is>
      </c>
      <c r="M16" s="4" t="inlineStr">
        <is>
          <t>KEEP POSITIVE; resolve stage</t>
        </is>
      </c>
      <c r="N16" s="4" t="inlineStr">
        <is>
          <t>Physician perceptions of AI systems for ASD assessment, early diagnosis, intervention, and clinical adoption.</t>
        </is>
      </c>
    </row>
    <row r="17" ht="47" customHeight="1">
      <c r="A17" s="4" t="n">
        <v>42</v>
      </c>
      <c r="B17" s="4" t="n">
        <v>44</v>
      </c>
      <c r="C17" s="4" t="n">
        <v>43</v>
      </c>
      <c r="D17" s="4" t="inlineStr">
        <is>
          <t>The role of the dopamine system in autism spectrum disorder revealed using machine learning: an ABIDE database–based study</t>
        </is>
      </c>
      <c r="E17" s="4" t="n">
        <v>1</v>
      </c>
      <c r="F17" s="4" t="n">
        <v>1</v>
      </c>
      <c r="G17" s="4" t="n"/>
      <c r="H17" s="4" t="n">
        <v>1</v>
      </c>
      <c r="I17" s="4" t="n"/>
      <c r="J17" s="4" t="inlineStr">
        <is>
          <t>Diagnosis</t>
        </is>
      </c>
      <c r="K17" s="4" t="n"/>
      <c r="L17" s="4" t="inlineStr">
        <is>
          <t>Imaging-based diagnostic prediction</t>
        </is>
      </c>
      <c r="M17" s="4" t="inlineStr">
        <is>
          <t>KEEP POSITIVE; resolve stage</t>
        </is>
      </c>
      <c r="N17" s="4" t="inlineStr">
        <is>
          <t>ML evaluates dopamine-system imaging features to predict ASD.</t>
        </is>
      </c>
    </row>
    <row r="18" ht="34" customHeight="1">
      <c r="A18" s="4" t="n">
        <v>49</v>
      </c>
      <c r="B18" s="4" t="n">
        <v>51</v>
      </c>
      <c r="C18" s="4" t="n">
        <v>50</v>
      </c>
      <c r="D18" s="4" t="inlineStr">
        <is>
          <t>ARIANNA: A research environment for neuroimaging studies in autism spectrum disorders</t>
        </is>
      </c>
      <c r="E18" s="4" t="n">
        <v>1</v>
      </c>
      <c r="F18" s="4" t="n">
        <v>0</v>
      </c>
      <c r="G18" s="4" t="n"/>
      <c r="H18" s="4" t="n">
        <v>0</v>
      </c>
      <c r="I18" s="4" t="n"/>
      <c r="J18" s="4" t="n"/>
      <c r="K18" s="4" t="n"/>
      <c r="L18" s="4" t="n"/>
      <c r="M18" s="4" t="inlineStr">
        <is>
          <t>SET NEGATIVE</t>
        </is>
      </c>
      <c r="N18" s="4" t="inlineStr">
        <is>
          <t>Research infrastructure/environment for neuroimaging studies; not a clinical decision integration system.</t>
        </is>
      </c>
    </row>
    <row r="19" ht="34" customHeight="1">
      <c r="A19" s="4" t="n">
        <v>55</v>
      </c>
      <c r="B19" s="4" t="n">
        <v>57</v>
      </c>
      <c r="C19" s="4" t="n">
        <v>56</v>
      </c>
      <c r="D19" s="4" t="inlineStr">
        <is>
          <t>Epigenomic signatures reveal mechanistic clues and predictive markers for autism spectrum disorder</t>
        </is>
      </c>
      <c r="E19" s="4" t="n">
        <v>1</v>
      </c>
      <c r="F19" s="4" t="n">
        <v>0</v>
      </c>
      <c r="G19" s="4" t="n"/>
      <c r="H19" s="4" t="n">
        <v>0</v>
      </c>
      <c r="I19" s="4" t="n"/>
      <c r="J19" s="4" t="n"/>
      <c r="K19" s="4" t="n"/>
      <c r="L19" s="4" t="n"/>
      <c r="M19" s="4" t="inlineStr">
        <is>
          <t>SET NEGATIVE</t>
        </is>
      </c>
      <c r="N19" s="4" t="inlineStr">
        <is>
          <t>Epigenomic/mechanistic biomarker review or marker study; no operational AI clinical decision workflow.</t>
        </is>
      </c>
    </row>
    <row r="20" ht="47" customHeight="1">
      <c r="A20" s="4" t="n">
        <v>100</v>
      </c>
      <c r="B20" s="4" t="n">
        <v>102</v>
      </c>
      <c r="C20" s="4" t="n">
        <v>101</v>
      </c>
      <c r="D20" s="4" t="inlineStr">
        <is>
          <t>The effects of balance training intervention on postural control of children with autism spectrum disorder: Role of sensory information</t>
        </is>
      </c>
      <c r="E20" s="4" t="n">
        <v>1</v>
      </c>
      <c r="F20" s="4" t="n">
        <v>0</v>
      </c>
      <c r="G20" s="4" t="n"/>
      <c r="H20" s="4" t="n">
        <v>0</v>
      </c>
      <c r="I20" s="4" t="n"/>
      <c r="J20" s="4" t="n"/>
      <c r="K20" s="4" t="n"/>
      <c r="L20" s="4" t="n"/>
      <c r="M20" s="4" t="inlineStr">
        <is>
          <t>SET NEGATIVE</t>
        </is>
      </c>
      <c r="N20" s="4" t="inlineStr">
        <is>
          <t>Balance-training intervention study; no AI/ML integration in the abstract.</t>
        </is>
      </c>
    </row>
    <row r="21" ht="47" customHeight="1">
      <c r="A21" s="4" t="n">
        <v>120</v>
      </c>
      <c r="B21" s="4" t="n">
        <v>122</v>
      </c>
      <c r="C21" s="4" t="n">
        <v>121</v>
      </c>
      <c r="D21" s="4" t="inlineStr">
        <is>
          <t>46.3 ARTIFICIAL INTELLIGENCE: UTILIZING GOOGLE GLASS AND OTHER MOBILE APPLICATIONS FOR SOCIAL SKILLS TRAINING IN AUTISM SPECTRUM DISORDERS</t>
        </is>
      </c>
      <c r="E21" s="4" t="n">
        <v>1</v>
      </c>
      <c r="F21" s="4" t="n">
        <v>1</v>
      </c>
      <c r="G21" s="4" t="n"/>
      <c r="H21" s="4" t="n">
        <v>1</v>
      </c>
      <c r="I21" s="4" t="n"/>
      <c r="J21" s="4" t="inlineStr">
        <is>
          <t>Monitoring/intervention</t>
        </is>
      </c>
      <c r="K21" s="4" t="n"/>
      <c r="L21" s="4" t="inlineStr">
        <is>
          <t>Technology-assisted social-skills intervention</t>
        </is>
      </c>
      <c r="M21" s="4" t="inlineStr">
        <is>
          <t>KEEP POSITIVE; resolve stage</t>
        </is>
      </c>
      <c r="N21" s="4" t="inlineStr">
        <is>
          <t>Google Glass/mobile application for social-skills training in ASD.</t>
        </is>
      </c>
    </row>
    <row r="22" ht="60" customHeight="1">
      <c r="A22" s="4" t="n">
        <v>159</v>
      </c>
      <c r="B22" s="4" t="n">
        <v>161</v>
      </c>
      <c r="C22" s="4" t="n">
        <v>160</v>
      </c>
      <c r="D22" s="4" t="inlineStr">
        <is>
          <t>Imputing cognitive impairment in SPARK, a large autism cohort</t>
        </is>
      </c>
      <c r="E22" s="4" t="n">
        <v>1</v>
      </c>
      <c r="F22" s="4" t="n">
        <v>1</v>
      </c>
      <c r="G22" s="4" t="n">
        <v>0</v>
      </c>
      <c r="H22" s="4" t="n">
        <v>1</v>
      </c>
      <c r="I22" s="4" t="inlineStr">
        <is>
          <t>Not clear</t>
        </is>
      </c>
      <c r="J22" s="4" t="inlineStr">
        <is>
          <t>Monitoring/intervention</t>
        </is>
      </c>
      <c r="K22" s="4" t="inlineStr">
        <is>
          <t>Classification (binary/multi-class; incl. ASD vs control)/ multi-class)</t>
        </is>
      </c>
      <c r="L22" s="4" t="inlineStr">
        <is>
          <t>Cognitive impairment imputation / clinical characterization</t>
        </is>
      </c>
      <c r="M22" s="4" t="inlineStr">
        <is>
          <t>KEEP POSITIVE; resolve stage</t>
        </is>
      </c>
      <c r="N22" s="4" t="inlineStr">
        <is>
          <t>ML predicts cognitive impairment and FSIQ in a large autism cohort where direct assessment is not feasible at scale.</t>
        </is>
      </c>
    </row>
    <row r="23" ht="47" customHeight="1">
      <c r="A23" s="4" t="n">
        <v>191</v>
      </c>
      <c r="B23" s="4" t="n">
        <v>193</v>
      </c>
      <c r="C23" s="4" t="n">
        <v>192</v>
      </c>
      <c r="D23" s="4" t="inlineStr">
        <is>
          <t>Exploring microbiota-gut-brain axis biomarkers linked to autism spectrum disorder in prenatally chlorpyrifos-exposed Fmr1 knock-out and wild-type male rats</t>
        </is>
      </c>
      <c r="E23" s="4" t="n">
        <v>1</v>
      </c>
      <c r="F23" s="4" t="n">
        <v>0</v>
      </c>
      <c r="G23" s="4" t="n">
        <v>1</v>
      </c>
      <c r="H23" s="4" t="n">
        <v>0</v>
      </c>
      <c r="I23" s="4" t="n"/>
      <c r="J23" s="4" t="n"/>
      <c r="K23" s="4" t="n"/>
      <c r="L23" s="4" t="n"/>
      <c r="M23" s="4" t="inlineStr">
        <is>
          <t>SET NEGATIVE</t>
        </is>
      </c>
      <c r="N23" s="4" t="inlineStr">
        <is>
          <t>Preclinical rat microbiota-gut-brain biomarker study; no clinical AI decision workflow.</t>
        </is>
      </c>
    </row>
    <row r="24" ht="47" customHeight="1">
      <c r="A24" s="4" t="n">
        <v>197</v>
      </c>
      <c r="B24" s="4" t="n">
        <v>199</v>
      </c>
      <c r="C24" s="4" t="n">
        <v>198</v>
      </c>
      <c r="D24" s="4" t="inlineStr">
        <is>
          <t>Identification of autism spectrum disorder using deep neural network</t>
        </is>
      </c>
      <c r="E24" s="4" t="n">
        <v>1</v>
      </c>
      <c r="F24" s="4" t="n">
        <v>1</v>
      </c>
      <c r="G24" s="4" t="n"/>
      <c r="H24" s="4" t="n">
        <v>1</v>
      </c>
      <c r="I24" s="4" t="inlineStr">
        <is>
          <t>Not clear</t>
        </is>
      </c>
      <c r="J24" s="4" t="inlineStr">
        <is>
          <t>Diagnosis</t>
        </is>
      </c>
      <c r="K24" s="4" t="inlineStr">
        <is>
          <t>Other / Not clear</t>
        </is>
      </c>
      <c r="L24" s="4" t="inlineStr">
        <is>
          <t>Deep-learning diagnostic identification</t>
        </is>
      </c>
      <c r="M24" s="4" t="inlineStr">
        <is>
          <t>KEEP POSITIVE; resolve stage</t>
        </is>
      </c>
      <c r="N24" s="4" t="inlineStr">
        <is>
          <t>Digital diagnostic pipeline using DNN for ASD identification.</t>
        </is>
      </c>
    </row>
    <row r="25" ht="47" customHeight="1">
      <c r="A25" s="4" t="n">
        <v>218</v>
      </c>
      <c r="B25" s="4" t="n">
        <v>220</v>
      </c>
      <c r="C25" s="4" t="n">
        <v>219</v>
      </c>
      <c r="D25" s="4" t="inlineStr">
        <is>
          <t>Wearable EEG Neurofeedback Based-on Machine Learning Algorithms for Children with Autism: A Randomized, Placebo-controlled Study</t>
        </is>
      </c>
      <c r="E25" s="4" t="n">
        <v>1</v>
      </c>
      <c r="F25" s="4" t="n">
        <v>1</v>
      </c>
      <c r="G25" s="4" t="n"/>
      <c r="H25" s="4" t="n">
        <v>1</v>
      </c>
      <c r="I25" s="4" t="n"/>
      <c r="J25" s="4" t="inlineStr">
        <is>
          <t>Monitoring/intervention</t>
        </is>
      </c>
      <c r="K25" s="4" t="n"/>
      <c r="L25" s="4" t="inlineStr">
        <is>
          <t>Wearable EEG neurofeedback intervention</t>
        </is>
      </c>
      <c r="M25" s="4" t="inlineStr">
        <is>
          <t>KEEP POSITIVE; resolve stage</t>
        </is>
      </c>
      <c r="N25" s="4" t="inlineStr">
        <is>
          <t>Wearable EEG neurofeedback system based on ML algorithms tested as an ASD intervention.</t>
        </is>
      </c>
    </row>
    <row r="26" ht="47" customHeight="1">
      <c r="A26" s="4" t="n">
        <v>226</v>
      </c>
      <c r="B26" s="4" t="n">
        <v>228</v>
      </c>
      <c r="C26" s="4" t="n">
        <v>227</v>
      </c>
      <c r="D26" s="4" t="inlineStr">
        <is>
          <t>Attention Level Evaluation in Children With Autism: Leveraging Head Pose and Gaze Parameters From Videos for Educational Intervention</t>
        </is>
      </c>
      <c r="E26" s="4" t="n">
        <v>1</v>
      </c>
      <c r="F26" s="4" t="n">
        <v>1</v>
      </c>
      <c r="G26" s="4" t="n"/>
      <c r="H26" s="4" t="n">
        <v>1</v>
      </c>
      <c r="I26" s="4" t="n"/>
      <c r="J26" s="4" t="inlineStr">
        <is>
          <t>Monitoring/intervention</t>
        </is>
      </c>
      <c r="K26" s="4" t="n"/>
      <c r="L26" s="4" t="inlineStr">
        <is>
          <t>Attention evaluation for educational intervention</t>
        </is>
      </c>
      <c r="M26" s="4" t="inlineStr">
        <is>
          <t>KEEP POSITIVE; resolve stage</t>
        </is>
      </c>
      <c r="N26" s="4" t="inlineStr">
        <is>
          <t>DL/video-based attention assessment to support educational intervention.</t>
        </is>
      </c>
    </row>
    <row r="27" ht="47" customHeight="1">
      <c r="A27" s="4" t="n">
        <v>227</v>
      </c>
      <c r="B27" s="4" t="n">
        <v>229</v>
      </c>
      <c r="C27" s="4" t="n">
        <v>228</v>
      </c>
      <c r="D27" s="4" t="inlineStr">
        <is>
          <t>Autism Spectrum Disorder Diagnosis Using Graph Neural Network Based on\&amp;#xa0;Graph Pooling and\&amp;#xa0;Self-adjust Filter</t>
        </is>
      </c>
      <c r="E27" s="4" t="n">
        <v>1</v>
      </c>
      <c r="F27" s="4" t="n">
        <v>1</v>
      </c>
      <c r="G27" s="4" t="n"/>
      <c r="H27" s="4" t="n">
        <v>1</v>
      </c>
      <c r="I27" s="4" t="n"/>
      <c r="J27" s="4" t="inlineStr">
        <is>
          <t>Diagnosis</t>
        </is>
      </c>
      <c r="K27" s="4" t="n"/>
      <c r="L27" s="4" t="inlineStr">
        <is>
          <t>GNN diagnostic classification</t>
        </is>
      </c>
      <c r="M27" s="4" t="inlineStr">
        <is>
          <t>KEEP POSITIVE; resolve stage</t>
        </is>
      </c>
      <c r="N27" s="4" t="inlineStr">
        <is>
          <t>Graph neural network proposed for ASD diagnosis.</t>
        </is>
      </c>
    </row>
    <row r="28" ht="34" customHeight="1">
      <c r="A28" s="4" t="n">
        <v>237</v>
      </c>
      <c r="B28" s="4" t="n">
        <v>239</v>
      </c>
      <c r="C28" s="4" t="n">
        <v>238</v>
      </c>
      <c r="D28" s="4" t="inlineStr">
        <is>
          <t>Data mining and machine learning techniques for early detection in autism spectrum disorder</t>
        </is>
      </c>
      <c r="E28" s="4" t="n">
        <v>1</v>
      </c>
      <c r="F28" s="4" t="n">
        <v>1</v>
      </c>
      <c r="G28" s="4" t="n"/>
      <c r="H28" s="4" t="n">
        <v>1</v>
      </c>
      <c r="I28" s="4" t="n"/>
      <c r="J28" s="4" t="inlineStr">
        <is>
          <t>Screening</t>
        </is>
      </c>
      <c r="K28" s="4" t="n"/>
      <c r="L28" s="4" t="inlineStr">
        <is>
          <t>Early detection / data-mining workflow</t>
        </is>
      </c>
      <c r="M28" s="4" t="inlineStr">
        <is>
          <t>KEEP POSITIVE; resolve stage</t>
        </is>
      </c>
      <c r="N28" s="4" t="inlineStr">
        <is>
          <t>Data mining and ML architecture for early ASD detection.</t>
        </is>
      </c>
    </row>
    <row r="29" ht="60" customHeight="1">
      <c r="A29" s="4" t="n">
        <v>265</v>
      </c>
      <c r="B29" s="4" t="n">
        <v>267</v>
      </c>
      <c r="C29" s="4" t="n">
        <v>266</v>
      </c>
      <c r="D29" s="4" t="inlineStr">
        <is>
          <t>Prenatal exposure to criteria air pollution and traffic-related air toxics and risk of autism spectrum disorder: A population-based cohort study of California births (1990–2018)</t>
        </is>
      </c>
      <c r="E29" s="4" t="n">
        <v>1</v>
      </c>
      <c r="F29" s="4" t="n">
        <v>0</v>
      </c>
      <c r="G29" s="4" t="n"/>
      <c r="H29" s="4" t="n">
        <v>0</v>
      </c>
      <c r="I29" s="4" t="inlineStr">
        <is>
          <t>Not clear</t>
        </is>
      </c>
      <c r="J29" s="4" t="inlineStr">
        <is>
          <t>Not clear</t>
        </is>
      </c>
      <c r="K29" s="4" t="inlineStr">
        <is>
          <t>Other / Not clear</t>
        </is>
      </c>
      <c r="L29" s="4" t="inlineStr">
        <is>
          <t>Other / Not clear</t>
        </is>
      </c>
      <c r="M29" s="4" t="inlineStr">
        <is>
          <t>SET NEGATIVE</t>
        </is>
      </c>
      <c r="N29" s="4" t="inlineStr">
        <is>
          <t>Population-based environmental epidemiology cohort; no AI/ML clinical decision system in the abstract.</t>
        </is>
      </c>
    </row>
    <row r="30" ht="47" customHeight="1">
      <c r="A30" s="4" t="n">
        <v>270</v>
      </c>
      <c r="B30" s="4" t="n">
        <v>272</v>
      </c>
      <c r="C30" s="4" t="n">
        <v>271</v>
      </c>
      <c r="D30" s="4" t="inlineStr">
        <is>
          <t>Stakeholder perception towards a machine-learning-based digital platform for detection and management of autism spectrum disorder</t>
        </is>
      </c>
      <c r="E30" s="4" t="n">
        <v>1</v>
      </c>
      <c r="F30" s="4" t="n">
        <v>1</v>
      </c>
      <c r="G30" s="4" t="n"/>
      <c r="H30" s="4" t="n">
        <v>1</v>
      </c>
      <c r="I30" s="4" t="inlineStr">
        <is>
          <t>Not clear</t>
        </is>
      </c>
      <c r="J30" s="4" t="inlineStr">
        <is>
          <t>Monitoring/intervention</t>
        </is>
      </c>
      <c r="K30" s="4" t="inlineStr">
        <is>
          <t>Other / Not clear</t>
        </is>
      </c>
      <c r="L30" s="4" t="inlineStr">
        <is>
          <t>Digital platform adoption for detection and management</t>
        </is>
      </c>
      <c r="M30" s="4" t="inlineStr">
        <is>
          <t>KEEP POSITIVE; resolve stage</t>
        </is>
      </c>
      <c r="N30" s="4" t="inlineStr">
        <is>
          <t>Stakeholder perception of ML-based digital platform for ASD detection and management.</t>
        </is>
      </c>
    </row>
    <row r="31" ht="60" customHeight="1">
      <c r="A31" s="4" t="n">
        <v>289</v>
      </c>
      <c r="B31" s="4" t="n">
        <v>291</v>
      </c>
      <c r="C31" s="4" t="n">
        <v>290</v>
      </c>
      <c r="D31" s="4" t="inlineStr">
        <is>
          <t>Machine Learning and Structural Dynamics-Based Approach to Reveal Molecular Mechanism of PTEN Missense Mutations Shared by Cancer and Autism Spectrum Disorder</t>
        </is>
      </c>
      <c r="E31" s="4" t="n">
        <v>1</v>
      </c>
      <c r="F31" s="4" t="n">
        <v>0</v>
      </c>
      <c r="G31" s="4" t="n">
        <v>0</v>
      </c>
      <c r="H31" s="4" t="n">
        <v>0</v>
      </c>
      <c r="I31" s="4" t="n"/>
      <c r="J31" s="4" t="n"/>
      <c r="K31" s="4" t="inlineStr">
        <is>
          <t>Classification (binary/multi-class; incl. ASD vs control)/ multi-class)</t>
        </is>
      </c>
      <c r="L31" s="4" t="inlineStr">
        <is>
          <t>Classification (binary/multi-class; incl. ASD vs control)/ multi-class)</t>
        </is>
      </c>
      <c r="M31" s="4" t="inlineStr">
        <is>
          <t>SET NEGATIVE</t>
        </is>
      </c>
      <c r="N31" s="4" t="inlineStr">
        <is>
          <t>Molecular mechanism/structural dynamics study of PTEN mutations; no clinical decision integration.</t>
        </is>
      </c>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F39"/>
  <sheetViews>
    <sheetView showGridLines="0" workbookViewId="0">
      <selection activeCell="A1" sqref="A1"/>
    </sheetView>
  </sheetViews>
  <sheetFormatPr baseColWidth="8" defaultRowHeight="15"/>
  <cols>
    <col width="20" customWidth="1" min="1" max="1"/>
    <col width="65" customWidth="1" min="2" max="2"/>
    <col width="65" customWidth="1" min="3" max="3"/>
    <col width="20" customWidth="1" min="4" max="4"/>
    <col width="20" customWidth="1" min="5" max="5"/>
    <col width="20" customWidth="1" min="6" max="6"/>
  </cols>
  <sheetData>
    <row r="1" ht="52" customHeight="1">
      <c r="A1" s="6" t="inlineStr">
        <is>
          <t>Variable</t>
        </is>
      </c>
      <c r="B1" s="6" t="inlineStr">
        <is>
          <t>Definición operativa (qué significa)</t>
        </is>
      </c>
      <c r="C1" s="6" t="inlineStr">
        <is>
          <t>Cómo codificar (reglas de decisión)</t>
        </is>
      </c>
      <c r="D1" s="6" t="inlineStr">
        <is>
          <t>Valores permitidos / formato</t>
        </is>
      </c>
      <c r="E1" s="6" t="inlineStr">
        <is>
          <t>Ejemplos</t>
        </is>
      </c>
      <c r="F1" s="6" t="inlineStr">
        <is>
          <t>Errores comunes / notas</t>
        </is>
      </c>
    </row>
    <row r="2" ht="60" customHeight="1">
      <c r="A2" s="4" t="inlineStr">
        <is>
          <t>study_id</t>
        </is>
      </c>
      <c r="B2" s="4" t="inlineStr">
        <is>
          <t>Identificador interno único para cada estudio en esta submuestra.</t>
        </is>
      </c>
      <c r="C2" s="4" t="inlineStr">
        <is>
          <t>No modificar. Sirve para rastrear decisiones y para combinar tablas/estadísticas.</t>
        </is>
      </c>
      <c r="D2" s="4" t="inlineStr">
        <is>
          <t>Texto (0001…0300).</t>
        </is>
      </c>
      <c r="E2" s="4" t="inlineStr">
        <is>
          <t>0007</t>
        </is>
      </c>
      <c r="F2" s="4" t="inlineStr">
        <is>
          <t>Evite reordenar o duplicar IDs; si filtra, no cambie el ID.</t>
        </is>
      </c>
    </row>
    <row r="3" ht="60" customHeight="1">
      <c r="A3" s="4" t="inlineStr">
        <is>
          <t>assigned_to</t>
        </is>
      </c>
      <c r="B3" s="4" t="inlineStr">
        <is>
          <t>Asignación de revisión (quién codifica este registro).</t>
        </is>
      </c>
      <c r="C3" s="4" t="inlineStr">
        <is>
          <t>Use esta columna para repartir el trabajo. Si dice 'Ambos (piloto)', ambos codifican para calibrar criterios.</t>
        </is>
      </c>
      <c r="D3" s="4" t="inlineStr">
        <is>
          <t>Texto: 'Revisor A', 'Revisor B', 'Ambos (piloto)'.</t>
        </is>
      </c>
      <c r="E3" s="4" t="inlineStr">
        <is>
          <t>Ambos (piloto)</t>
        </is>
      </c>
      <c r="F3" s="4" t="inlineStr">
        <is>
          <t>No reasigne sin registrar el cambio (p. ej. en notes_coding).</t>
        </is>
      </c>
    </row>
    <row r="4" ht="47" customHeight="1">
      <c r="A4" s="4" t="inlineStr">
        <is>
          <t>year</t>
        </is>
      </c>
      <c r="B4" s="4" t="inlineStr">
        <is>
          <t>Año de publicación del estudio.</t>
        </is>
      </c>
      <c r="C4" s="4" t="inlineStr">
        <is>
          <t>Copiar tal cual si ya está. Si está vacío o incorrecto, corroborar con DOI/URL.</t>
        </is>
      </c>
      <c r="D4" s="4" t="inlineStr">
        <is>
          <t>Número entero (YYYY).</t>
        </is>
      </c>
      <c r="E4" s="4" t="inlineStr">
        <is>
          <t>2021</t>
        </is>
      </c>
      <c r="F4" s="4" t="inlineStr">
        <is>
          <t>No use rango (p. ej. 2020–2021); use un solo año.</t>
        </is>
      </c>
    </row>
    <row r="5" ht="73" customHeight="1">
      <c r="A5" s="4" t="inlineStr">
        <is>
          <t>modalidad</t>
        </is>
      </c>
      <c r="B5" s="4" t="inlineStr">
        <is>
          <t>Modalidad principal del dato (según el mapeo inicial).</t>
        </is>
      </c>
      <c r="C5" s="4" t="inlineStr">
        <is>
          <t>Mantener como está para conservar la estratificación. Si detecta que es claramente incorrecta, anótelo en notes_coding (y opcionalmente corríjalo al final por consenso).</t>
        </is>
      </c>
      <c r="D5" s="4" t="inlineStr">
        <is>
          <t>Texto (p. ej. Imagen, Señales fisiológicas, Texto·NLP, Audio·Voz, Multimodal, No especificado).</t>
        </is>
      </c>
      <c r="E5" s="4" t="inlineStr">
        <is>
          <t>Señales fisiológicas</t>
        </is>
      </c>
      <c r="F5" s="4" t="inlineStr">
        <is>
          <t>No recodificar libremente durante la primera pasada; primero marque la duda.</t>
        </is>
      </c>
    </row>
    <row r="6" ht="73" customHeight="1">
      <c r="A6" s="4" t="inlineStr">
        <is>
          <t>tipo_IA</t>
        </is>
      </c>
      <c r="B6" s="4" t="inlineStr">
        <is>
          <t>Categoría global del enfoque de IA (según el mapeo inicial).</t>
        </is>
      </c>
      <c r="C6" s="4" t="inlineStr">
        <is>
          <t>Mantener como está para conservar la estratificación. Si el abstract contradice claramente (p. ej. se etiquetó DL pero solo hay SVM), anótelo para corrección por consenso.</t>
        </is>
      </c>
      <c r="D6" s="4" t="inlineStr">
        <is>
          <t>Texto (p. ej. Machine Learning, Deep Learning).</t>
        </is>
      </c>
      <c r="E6" s="4" t="inlineStr">
        <is>
          <t>Machine Learning</t>
        </is>
      </c>
      <c r="F6" s="4" t="inlineStr">
        <is>
          <t>Evite usar esta columna para inferir el algoritmo específico; ese va en AI_algorithm_main.</t>
        </is>
      </c>
    </row>
    <row r="7" ht="34" customHeight="1">
      <c r="A7" s="4" t="inlineStr">
        <is>
          <t>title</t>
        </is>
      </c>
      <c r="B7" s="4" t="inlineStr">
        <is>
          <t>Título del artículo.</t>
        </is>
      </c>
      <c r="C7" s="4" t="inlineStr">
        <is>
          <t>No modificar salvo correcciones menores obvias (typos) si estorban la lectura.</t>
        </is>
      </c>
      <c r="D7" s="4" t="inlineStr">
        <is>
          <t>Texto libre.</t>
        </is>
      </c>
      <c r="E7" s="4" t="n"/>
      <c r="F7" s="4" t="n"/>
    </row>
    <row r="8" ht="86" customHeight="1">
      <c r="A8" s="4" t="inlineStr">
        <is>
          <t>abstract</t>
        </is>
      </c>
      <c r="B8" s="4" t="inlineStr">
        <is>
          <t>Resumen del artículo.</t>
        </is>
      </c>
      <c r="C8" s="4" t="inlineStr">
        <is>
          <t>Base principal para la codificación inicial. Si el abstract no permite decidir una variable clave, use 'Not clear' o marque needs_full_text_check=1.</t>
        </is>
      </c>
      <c r="D8" s="4" t="inlineStr">
        <is>
          <t>Texto libre.</t>
        </is>
      </c>
      <c r="E8" s="4" t="n"/>
      <c r="F8" s="4" t="inlineStr">
        <is>
          <t>No intente inferir detalles no mencionados. Prefiera 'Not clear' y marque revisión de texto completo.</t>
        </is>
      </c>
    </row>
    <row r="9" ht="60" customHeight="1">
      <c r="A9" s="4" t="inlineStr">
        <is>
          <t>doi</t>
        </is>
      </c>
      <c r="B9" s="4" t="inlineStr">
        <is>
          <t>Identificador DOI del artículo (si existe).</t>
        </is>
      </c>
      <c r="C9" s="4" t="inlineStr">
        <is>
          <t>Úselo para localizar el texto completo. Si no hay DOI, use URL u otro identificador del repositorio/editorial.</t>
        </is>
      </c>
      <c r="D9" s="4" t="inlineStr">
        <is>
          <t>Texto; puede estar vacío.</t>
        </is>
      </c>
      <c r="E9" s="4" t="inlineStr">
        <is>
          <t>10.1016/j.neuroimage.2022.119123</t>
        </is>
      </c>
      <c r="F9" s="4" t="inlineStr">
        <is>
          <t>Cuidado con DOIs incompletos o con prefijos duplicados (https://doi.org/…).</t>
        </is>
      </c>
    </row>
    <row r="10" ht="47" customHeight="1">
      <c r="A10" s="4" t="inlineStr">
        <is>
          <t>url</t>
        </is>
      </c>
      <c r="B10" s="4" t="inlineStr">
        <is>
          <t>Enlace al registro del artículo (si existe).</t>
        </is>
      </c>
      <c r="C10" s="4" t="inlineStr">
        <is>
          <t>Úselo para localizar el artículo. Si hay varios, conserve el más estable (editorial/PubMed).</t>
        </is>
      </c>
      <c r="D10" s="4" t="inlineStr">
        <is>
          <t>Texto; puede estar vacío.</t>
        </is>
      </c>
      <c r="E10" s="4" t="n"/>
      <c r="F10" s="4" t="inlineStr">
        <is>
          <t>Los enlaces pueden cambiar; el DOI suele ser más estable.</t>
        </is>
      </c>
    </row>
    <row r="11" ht="99" customHeight="1">
      <c r="A11" s="4" t="inlineStr">
        <is>
          <t>learning_paradigm</t>
        </is>
      </c>
      <c r="B11" s="4" t="inlineStr">
        <is>
          <t>Paradigma de aprendizaje predominante del modelo principal (cómo aprende el sistema).</t>
        </is>
      </c>
      <c r="C11" s="4" t="inlineStr">
        <is>
          <t>Inferir desde el abstract: (a) si hay etiquetas/diagnóstico y se entrena para predecir -&gt; Supervised; (b) si el objetivo es agrupar/subtipar sin etiquetas -&gt; Unsupervised; (c) si combina pocos etiquetados + muchos no etiquetados -&gt; Semi-supervised; (d) si menciona preentrenamiento auto-supervisado -&gt; Self-supervised; (e) si usa recompensas/entorno -&gt; Reinforcement. Si no es deducible: Other / Not clear.</t>
        </is>
      </c>
      <c r="D11" s="4" t="inlineStr">
        <is>
          <t>Supervised; Unsupervised; Semi-supervised; Reinforcement; Self-supervised; Other / Not clear.</t>
        </is>
      </c>
      <c r="E11" s="4" t="inlineStr">
        <is>
          <t>‘We trained a classifier to distinguish ASD vs controls’ -&gt; Supervised.</t>
        </is>
      </c>
      <c r="F11" s="4" t="inlineStr">
        <is>
          <t>No confundir 'cross-validation' con paradigma. CV es evaluación, no el tipo de aprendizaje.</t>
        </is>
      </c>
    </row>
    <row r="12" ht="151" customHeight="1">
      <c r="A12" s="4" t="inlineStr">
        <is>
          <t>AI_algorithm_main</t>
        </is>
      </c>
      <c r="B12" s="4" t="inlineStr">
        <is>
          <t>Familia del algoritmo de IA principal (el que sustenta el resultado central del estudio).</t>
        </is>
      </c>
      <c r="C12" s="4" t="inlineStr">
        <is>
          <t>Si se reporta un modelo principal, codificar ese. Si comparan varios y no hay ‘principal’, use el de mejor desempeño o el más enfatizado en resultados (y anote los demás en notes_coding). Si el abstract es ambiguo, usar Other / Not clear.</t>
        </is>
      </c>
      <c r="D12" s="4" t="inlineStr">
        <is>
          <t>SVM; Random Forest; Decision Tree; k-NN; Logistic Regression; Naive Bayes; XGBoost / GBDT; MLP; CNN; RNN/LSTM/GRU; Autoencoder; Transformer; Clustering (k-means / GMM / ...); Other / Not clear.</t>
        </is>
      </c>
      <c r="E12" s="4" t="inlineStr">
        <is>
          <t>‘We propose a CNN…’ -&gt; CNN. ‘SVM classifier…’ -&gt; SVM.</t>
        </is>
      </c>
      <c r="F12" s="4" t="inlineStr">
        <is>
          <t>No mezclar ‘Deep Learning’ genérico: si no dice arquitectura, use Other / Not clear.</t>
        </is>
      </c>
    </row>
    <row r="13" ht="151" customHeight="1">
      <c r="A13" s="4" t="inlineStr">
        <is>
          <t>AI_task_type</t>
        </is>
      </c>
      <c r="B13" s="4" t="inlineStr">
        <is>
          <t>Tipo de tarea analítica (qué produce el modelo).</t>
        </is>
      </c>
      <c r="C13" s="4" t="inlineStr">
        <is>
          <t>Classification si predice categorías (ASD vs control, severidad por clases, subtipos). Regression si predice valores continuos (puntuaciones, riesgo continuo). Clustering/subtyping si agrupa sin etiquetas. Detection/segmentation si detecta regiones/objetos o segmenta (más común en imagen). Prediction si predice eventos futuros/curso temporal. Si no es claro: Other / Not clear.</t>
        </is>
      </c>
      <c r="D13" s="4" t="inlineStr">
        <is>
          <t>Classification (ASD vs control / multi-class); Regression (score / severity / risk); Clustering / subtyping; Detection / segmentation; Prediction (time-to-event / prognosis); Other / Not clear.</t>
        </is>
      </c>
      <c r="E13" s="4" t="inlineStr">
        <is>
          <t>‘predict ADOS score’ -&gt; Regression. ‘identify ASD vs TD’ -&gt; Classification.</t>
        </is>
      </c>
      <c r="F13" s="4" t="inlineStr">
        <is>
          <t>No confundir ‘prognosis’ (etapa clínica) con Prediction (tarea). Puede coexistir.</t>
        </is>
      </c>
    </row>
    <row r="14" ht="60" customHeight="1">
      <c r="A14" s="4" t="inlineStr">
        <is>
          <t>ds_neuroimaging</t>
        </is>
      </c>
      <c r="B14" s="4" t="inlineStr">
        <is>
          <t>Indica uso de neuroimagen (MRI, fMRI, DTI, PET, etc.).</t>
        </is>
      </c>
      <c r="C14" s="4" t="inlineStr">
        <is>
          <t>Marcar 1 si el abstract menciona explícitamente neuroimagen o un dataset de neuroimagen; de lo contrario 0. Si duda, anote y marque needs_full_text_check=1.</t>
        </is>
      </c>
      <c r="D14" s="4" t="inlineStr">
        <is>
          <t>0 o 1.</t>
        </is>
      </c>
      <c r="E14" s="4" t="inlineStr">
        <is>
          <t>fMRI, structural MRI -&gt; 1</t>
        </is>
      </c>
      <c r="F14" s="4" t="inlineStr">
        <is>
          <t>No confundir EEG/MEG con neuroimagen; eso va en ds_physiological.</t>
        </is>
      </c>
    </row>
    <row r="15" ht="73" customHeight="1">
      <c r="A15" s="4" t="inlineStr">
        <is>
          <t>ds_physiological</t>
        </is>
      </c>
      <c r="B15" s="4" t="inlineStr">
        <is>
          <t>Indica uso de señales fisiológicas (EEG/MEG/ECG/EDA, HRV, etc.).</t>
        </is>
      </c>
      <c r="C15" s="4" t="inlineStr">
        <is>
          <t>Marcar 1 si menciona señales fisiológicas. EEG y MEG entran aquí.</t>
        </is>
      </c>
      <c r="D15" s="4" t="inlineStr">
        <is>
          <t>0 o 1.</t>
        </is>
      </c>
      <c r="E15" s="4" t="inlineStr">
        <is>
          <t>EEG -&gt; 1</t>
        </is>
      </c>
      <c r="F15" s="4" t="inlineStr">
        <is>
          <t>Si solo dice ‘biosignals’ sin especificar, anote y considere needs_full_text_check.</t>
        </is>
      </c>
    </row>
    <row r="16" ht="60" customHeight="1">
      <c r="A16" s="4" t="inlineStr">
        <is>
          <t>ds_behavioral_video</t>
        </is>
      </c>
      <c r="B16" s="4" t="inlineStr">
        <is>
          <t>Indica uso de conducta capturada en video o señales conductuales (incluye eye-tracking si se usa como señal conductual).</t>
        </is>
      </c>
      <c r="C16" s="4" t="inlineStr">
        <is>
          <t>Marcar 1 si menciona video de interacción, gestos, mirada, eye-tracking, conducta observacional automatizada.</t>
        </is>
      </c>
      <c r="D16" s="4" t="inlineStr">
        <is>
          <t>0 o 1.</t>
        </is>
      </c>
      <c r="E16" s="4" t="inlineStr">
        <is>
          <t>‘video-based gaze tracking’ -&gt; 1</t>
        </is>
      </c>
      <c r="F16" s="4" t="inlineStr">
        <is>
          <t>Si es audio exclusivamente, NO marcar aquí; usar ds_voice_audio.</t>
        </is>
      </c>
    </row>
    <row r="17" ht="60" customHeight="1">
      <c r="A17" s="4" t="inlineStr">
        <is>
          <t>ds_voice_audio</t>
        </is>
      </c>
      <c r="B17" s="4" t="inlineStr">
        <is>
          <t>Indica uso de voz/audio (prosodia, llanto, grabaciones).</t>
        </is>
      </c>
      <c r="C17" s="4" t="inlineStr">
        <is>
          <t>Marcar 1 si menciona audio, voz, habla, prosodia, llanto, espectrogramas de audio, etc.</t>
        </is>
      </c>
      <c r="D17" s="4" t="inlineStr">
        <is>
          <t>0 o 1.</t>
        </is>
      </c>
      <c r="E17" s="4" t="inlineStr">
        <is>
          <t>‘speech prosody features’ -&gt; 1</t>
        </is>
      </c>
      <c r="F17" s="4" t="inlineStr">
        <is>
          <t>Si usa transcripciones de texto, eso es texto/estructurado, no audio.</t>
        </is>
      </c>
    </row>
    <row r="18" ht="60" customHeight="1">
      <c r="A18" s="4" t="inlineStr">
        <is>
          <t>ds_structured_records</t>
        </is>
      </c>
      <c r="B18" s="4" t="inlineStr">
        <is>
          <t>Indica uso de datos tabulares/estructurados: escalas, cuestionarios, ADOS/SRS/M-CHAT, EHR, variables clínicas tabuladas.</t>
        </is>
      </c>
      <c r="C18" s="4" t="inlineStr">
        <is>
          <t>Marcar 1 si menciona explícitamente cuestionarios/escales o registros clínicos tabulares. Si dice ‘clinical features’ o ‘demographics’ y es tabular, normalmente aquí.</t>
        </is>
      </c>
      <c r="D18" s="4" t="inlineStr">
        <is>
          <t>0 o 1.</t>
        </is>
      </c>
      <c r="E18" s="4" t="inlineStr">
        <is>
          <t>‘M-CHAT responses’ -&gt; 1; ‘EHR data’ -&gt; 1</t>
        </is>
      </c>
      <c r="F18" s="4" t="inlineStr">
        <is>
          <t>No confundir ‘clinical diagnosis label’ (etiqueta) con usar EHR como fuente.</t>
        </is>
      </c>
    </row>
    <row r="19" ht="60" customHeight="1">
      <c r="A19" s="4" t="inlineStr">
        <is>
          <t>ds_other_biological</t>
        </is>
      </c>
      <c r="B19" s="4" t="inlineStr">
        <is>
          <t>Indica uso de datos biológicos no cubiertos arriba (genética, metabolómica, microbioma, proteómica, etc.).</t>
        </is>
      </c>
      <c r="C19" s="4" t="inlineStr">
        <is>
          <t>Marcar 1 si menciona biomarcadores ómicos, genética, sangre, metabolitos, etc.</t>
        </is>
      </c>
      <c r="D19" s="4" t="inlineStr">
        <is>
          <t>0 o 1.</t>
        </is>
      </c>
      <c r="E19" s="4" t="inlineStr">
        <is>
          <t>‘metabolomics biomarkers’ -&gt; 1</t>
        </is>
      </c>
      <c r="F19" s="4" t="inlineStr">
        <is>
          <t>Si son imágenes histológicas, podría ser imagen; anote el caso.</t>
        </is>
      </c>
    </row>
    <row r="20" ht="60" customHeight="1">
      <c r="A20" s="4" t="inlineStr">
        <is>
          <t>ds_other</t>
        </is>
      </c>
      <c r="B20" s="4" t="inlineStr">
        <is>
          <t>Indica uso de otra fuente no contemplada (p. ej., sensores ambientales, wearables no fisiológicos, texto libre clínico no tabular).</t>
        </is>
      </c>
      <c r="C20" s="4" t="inlineStr">
        <is>
          <t>Marcar 1 solo si la fuente claramente no encaja en las categorías anteriores. Describir en ds_other_notes.</t>
        </is>
      </c>
      <c r="D20" s="4" t="inlineStr">
        <is>
          <t>0 o 1.</t>
        </is>
      </c>
      <c r="E20" s="4" t="n"/>
      <c r="F20" s="4" t="inlineStr">
        <is>
          <t>Evite usar ‘other’ como cajón de sastre; si encaja en alguna ds_*, use esa.</t>
        </is>
      </c>
    </row>
    <row r="21" ht="34" customHeight="1">
      <c r="A21" s="4" t="inlineStr">
        <is>
          <t>ds_other_notes</t>
        </is>
      </c>
      <c r="B21" s="4" t="inlineStr">
        <is>
          <t>Descripción breve de la fuente ‘other’.</t>
        </is>
      </c>
      <c r="C21" s="4" t="inlineStr">
        <is>
          <t>Texto corto (máx. 1–2 frases). Si ds_other=0 dejar vacío.</t>
        </is>
      </c>
      <c r="D21" s="4" t="inlineStr">
        <is>
          <t>Texto libre o vacío.</t>
        </is>
      </c>
      <c r="E21" s="4" t="inlineStr">
        <is>
          <t>‘sensor de movimiento (acelerómetro)’</t>
        </is>
      </c>
      <c r="F21" s="4" t="n"/>
    </row>
    <row r="22" ht="60" customHeight="1">
      <c r="A22" s="4" t="inlineStr">
        <is>
          <t>n_data_sources</t>
        </is>
      </c>
      <c r="B22" s="4" t="inlineStr">
        <is>
          <t>Número de fuentes de datos usadas (suma de las columnas ds_* marcadas con 1).</t>
        </is>
      </c>
      <c r="C22" s="4" t="inlineStr">
        <is>
          <t>No capturar manualmente. Se calcula como SUMA de ds_neuroimaging…ds_other. Verifique que sea consistente.</t>
        </is>
      </c>
      <c r="D22" s="4" t="inlineStr">
        <is>
          <t>Entero (fórmula).</t>
        </is>
      </c>
      <c r="E22" s="4" t="inlineStr">
        <is>
          <t>Si ds_neuroimaging=1 y ds_structured_records=1 -&gt; n_data_sources=2</t>
        </is>
      </c>
      <c r="F22" s="4" t="inlineStr">
        <is>
          <t>Si el valor no coincide con las ds_*, revise si olvidó marcar alguna fuente.</t>
        </is>
      </c>
    </row>
    <row r="23" ht="86" customHeight="1">
      <c r="A23" s="4" t="inlineStr">
        <is>
          <t>stage_prescreening</t>
        </is>
      </c>
      <c r="B23" s="4" t="inlineStr">
        <is>
          <t>Etapa clínica: prescreening (antes del cribado formal; priorización, derivación, pre-triage).</t>
        </is>
      </c>
      <c r="C23" s="4" t="inlineStr">
        <is>
          <t>Marcar 1 si el sistema busca identificar candidatos antes de aplicar un test de cribado formal o para priorizar derivaciones, frecuentemente en población general o preclínica.</t>
        </is>
      </c>
      <c r="D23" s="4" t="inlineStr">
        <is>
          <t>0 o 1.</t>
        </is>
      </c>
      <c r="E23" s="4" t="inlineStr">
        <is>
          <t>‘risk flagging in primary care before screening’ -&gt; 1</t>
        </is>
      </c>
      <c r="F23" s="4" t="inlineStr">
        <is>
          <t>No confundir con Screening (cuando ya hay un instrumento de cribado o una evaluación estructurada).</t>
        </is>
      </c>
    </row>
    <row r="24" ht="86" customHeight="1">
      <c r="A24" s="4" t="inlineStr">
        <is>
          <t>stage_screening</t>
        </is>
      </c>
      <c r="B24" s="4" t="inlineStr">
        <is>
          <t>Etapa clínica: screening/cribado (detección temprana con instrumentos de cribado o señales de riesgo).</t>
        </is>
      </c>
      <c r="C24" s="4" t="inlineStr">
        <is>
          <t>Marcar 1 si el objetivo es detectar probable TEA/alto riesgo (p. ej. M-CHAT, señales tempranas) sin afirmar diagnóstico definitivo.</t>
        </is>
      </c>
      <c r="D24" s="4" t="inlineStr">
        <is>
          <t>0 o 1.</t>
        </is>
      </c>
      <c r="E24" s="4" t="inlineStr">
        <is>
          <t>‘early ASD screening using M-CHAT’ -&gt; 1</t>
        </is>
      </c>
      <c r="F24" s="4" t="inlineStr">
        <is>
          <t>Si el estudio se centra en ‘diagnostic classification’ en clínica especializada, probablemente es Diagnosis.</t>
        </is>
      </c>
    </row>
    <row r="25" ht="86" customHeight="1">
      <c r="A25" s="4" t="inlineStr">
        <is>
          <t>stage_diagnosis</t>
        </is>
      </c>
      <c r="B25" s="4" t="inlineStr">
        <is>
          <t>Etapa clínica: diagnóstico (apoyo a la valoración diagnóstica clínica).</t>
        </is>
      </c>
      <c r="C25" s="4" t="inlineStr">
        <is>
          <t>Marcar 1 si el sistema pretende apoyar/automatizar el diagnóstico o se evalúa en contexto clínico diagnóstico (p. ej. ADOS como referencia diagnóstica, clasificación diagnóstica).</t>
        </is>
      </c>
      <c r="D25" s="4" t="inlineStr">
        <is>
          <t>0 o 1.</t>
        </is>
      </c>
      <c r="E25" s="4" t="inlineStr">
        <is>
          <t>‘diagnostic support based on ADOS’ -&gt; 1</t>
        </is>
      </c>
      <c r="F25" s="4" t="inlineStr">
        <is>
          <t>Si solo predice ‘ASD vs TD’ en una cohorte investigacional sin contexto clínico, puede ser ‘Not clear’; anote.</t>
        </is>
      </c>
    </row>
    <row r="26" ht="73" customHeight="1">
      <c r="A26" s="4" t="inlineStr">
        <is>
          <t>stage_prognosis</t>
        </is>
      </c>
      <c r="B26" s="4" t="inlineStr">
        <is>
          <t>Etapa clínica: pronóstico/estratificación de riesgo (curso futuro, severidad futura, respuesta esperada).</t>
        </is>
      </c>
      <c r="C26" s="4" t="inlineStr">
        <is>
          <t>Marcar 1 si el objetivo es predecir evolución, severidad futura, comorbilidades futuras, o estratificar riesgo de resultados posteriores.</t>
        </is>
      </c>
      <c r="D26" s="4" t="inlineStr">
        <is>
          <t>0 o 1.</t>
        </is>
      </c>
      <c r="E26" s="4" t="inlineStr">
        <is>
          <t>‘predict symptom trajectory at 12 months’ -&gt; 1</t>
        </is>
      </c>
      <c r="F26" s="4" t="inlineStr">
        <is>
          <t>No confundir con ‘clasificación actual’. Prognosis mira hacia adelante (tiempo).</t>
        </is>
      </c>
    </row>
    <row r="27" ht="47" customHeight="1">
      <c r="A27" s="4" t="inlineStr">
        <is>
          <t>stage_monitoring_intervention</t>
        </is>
      </c>
      <c r="B27" s="4" t="inlineStr">
        <is>
          <t>Etapa clínica: monitorización e intervención (seguimiento, evaluación de respuesta, adaptación de tratamiento).</t>
        </is>
      </c>
      <c r="C27" s="4" t="inlineStr">
        <is>
          <t>Marcar 1 si el sistema monitoriza síntomas/progreso, detecta cambios, o guía/adapta intervención (p. ej. terapia digital adaptativa).</t>
        </is>
      </c>
      <c r="D27" s="4" t="inlineStr">
        <is>
          <t>0 o 1.</t>
        </is>
      </c>
      <c r="E27" s="4" t="inlineStr">
        <is>
          <t>‘monitor treatment response using wearable signals’ -&gt; 1</t>
        </is>
      </c>
      <c r="F27" s="4" t="inlineStr">
        <is>
          <t>Si es solo diagnóstico inicial, no marcar.</t>
        </is>
      </c>
    </row>
    <row r="28" ht="86" customHeight="1">
      <c r="A28" s="4" t="inlineStr">
        <is>
          <t>stage_primary</t>
        </is>
      </c>
      <c r="B28" s="4" t="inlineStr">
        <is>
          <t>Etapa principal cuando el estudio cubre más de una etapa (para análisis de distribución).</t>
        </is>
      </c>
      <c r="C28" s="4" t="inlineStr">
        <is>
          <t>Elegir UNA: la que el abstract enfatiza como objetivo principal. Si hay dudas o múltiples al mismo nivel, usar Not clear y anotar.</t>
        </is>
      </c>
      <c r="D28" s="4" t="inlineStr">
        <is>
          <t>Prescreening; Screening; Diagnosis; Prognosis; Monitoring/intervention; Not clear.</t>
        </is>
      </c>
      <c r="E28" s="4" t="inlineStr">
        <is>
          <t>Si el foco es ‘screening tool’ aunque use ADOS como referencia -&gt; Screening.</t>
        </is>
      </c>
      <c r="F28" s="4" t="inlineStr">
        <is>
          <t>No seleccionar múltiples valores; para multi-etapa use las columnas stage_* y luego elija la principal.</t>
        </is>
      </c>
    </row>
    <row r="29" ht="47" customHeight="1">
      <c r="A29" s="4" t="inlineStr">
        <is>
          <t>coder</t>
        </is>
      </c>
      <c r="B29" s="4" t="inlineStr">
        <is>
          <t>Iniciales o identificador del revisor que codificó el registro.</t>
        </is>
      </c>
      <c r="C29" s="4" t="inlineStr">
        <is>
          <t>Llenar con iniciales (p. ej. ‘JM’, ‘AB’). Si el registro fue reconciliado, puede quedar el revisor final o ambos (p. ej. ‘JM/AB’).</t>
        </is>
      </c>
      <c r="D29" s="4" t="inlineStr">
        <is>
          <t>Texto corto.</t>
        </is>
      </c>
      <c r="E29" s="4" t="inlineStr">
        <is>
          <t>JM</t>
        </is>
      </c>
      <c r="F29" s="4" t="n"/>
    </row>
    <row r="30" ht="60" customHeight="1">
      <c r="A30" s="4" t="inlineStr">
        <is>
          <t>confidence</t>
        </is>
      </c>
      <c r="B30" s="4" t="inlineStr">
        <is>
          <t>Confianza global del revisor en la codificación del registro (con el abstract disponible).</t>
        </is>
      </c>
      <c r="C30" s="4" t="inlineStr">
        <is>
          <t>High: el abstract es explícito y no hubo inferencias; Medium: alguna inferencia menor; Low: variables clave ambiguas o información incompleta.</t>
        </is>
      </c>
      <c r="D30" s="4" t="inlineStr">
        <is>
          <t>High; Medium; Low.</t>
        </is>
      </c>
      <c r="E30" s="4" t="inlineStr">
        <is>
          <t>Low si no se puede decidir etapa clínica o fuente principal.</t>
        </is>
      </c>
      <c r="F30" s="4" t="inlineStr">
        <is>
          <t>No use Low como ‘me falta tiempo’; úselo como señal metodológica.</t>
        </is>
      </c>
    </row>
    <row r="31" ht="73" customHeight="1">
      <c r="A31" s="4" t="inlineStr">
        <is>
          <t>needs_full_text_check</t>
        </is>
      </c>
      <c r="B31" s="4" t="inlineStr">
        <is>
          <t>Bandera para indicar que se requiere revisar el texto completo para decidir variables clave o para confirmar detalles.</t>
        </is>
      </c>
      <c r="C31" s="4" t="inlineStr">
        <is>
          <t>Marcar 1 si (a) confidence=Low, o (b) el abstract no indica con claridad algoritmo/etapa/fuente, o (c) sospecha de validación externa/integración clínica no clara (para fases posteriores).</t>
        </is>
      </c>
      <c r="D31" s="4" t="inlineStr">
        <is>
          <t>0 o 1.</t>
        </is>
      </c>
      <c r="E31" s="4" t="inlineStr">
        <is>
          <t>1 si el abstract solo dice ‘machine learning approach’ sin más.</t>
        </is>
      </c>
      <c r="F31" s="4" t="inlineStr">
        <is>
          <t>Esta columna sirve para seleccionar el subconjunto de full-text de forma defendible.</t>
        </is>
      </c>
    </row>
    <row r="32" ht="60" customHeight="1">
      <c r="A32" s="4" t="inlineStr">
        <is>
          <t>notes_coding</t>
        </is>
      </c>
      <c r="B32" s="4" t="inlineStr">
        <is>
          <t>Notas breves de codificación (dudas, decisiones, discrepancias).</t>
        </is>
      </c>
      <c r="C32" s="4" t="inlineStr">
        <is>
          <t>Escribir 1–3 líneas máximo: qué fue ambiguo y qué se necesitaría para confirmarlo.</t>
        </is>
      </c>
      <c r="D32" s="4" t="inlineStr">
        <is>
          <t>Texto libre.</t>
        </is>
      </c>
      <c r="E32" s="4" t="inlineStr">
        <is>
          <t>‘Etapa no clara: parece screening pero usa ADOS; revisar métodos.’</t>
        </is>
      </c>
      <c r="F32" s="4" t="inlineStr">
        <is>
          <t>Evite copiar el abstract; use notas de decisión.</t>
        </is>
      </c>
    </row>
    <row r="33" ht="99" customHeight="1">
      <c r="A33" s="4" t="inlineStr">
        <is>
          <t>q2_candidate_abstract</t>
        </is>
      </c>
      <c r="B33" s="4" t="inlineStr">
        <is>
          <t>Bandera preliminar (tamiz) para Q2: indica si en título/resumen aparecen señales de integración o evaluación en contexto clínico.</t>
        </is>
      </c>
      <c r="C33" s="4" t="inlineStr">
        <is>
          <t>Se genera automáticamente por coincidencia de palabras clave en title+abstract (p. ej., decision support, workflow, prospective, pilot, trial, implemented, clinic/hospital, etc.). Úsese solo para priorizar lectura a texto completo; NO es evidencia definitiva de integración clínica.</t>
        </is>
      </c>
      <c r="D33" s="4" t="inlineStr">
        <is>
          <t>0 = sin señales; 1 = hay señales en abstract.</t>
        </is>
      </c>
      <c r="E33" s="4" t="inlineStr">
        <is>
          <t>1 (si dice 'clinical decision support' o 'prospective pilot'); 0 (si solo reporta rendimiento retrospectivo sin mención clínica).</t>
        </is>
      </c>
      <c r="F33" s="4" t="inlineStr">
        <is>
          <t>Puede haber falsos positivos/negativos. Si el abstract es ambiguo, use 'needs_full_text_check=1' y documente en notes_coding.</t>
        </is>
      </c>
    </row>
    <row r="34" ht="73" customHeight="1">
      <c r="A34" s="4" t="inlineStr">
        <is>
          <t>q2_candidate_terms</t>
        </is>
      </c>
      <c r="B34" s="4" t="inlineStr">
        <is>
          <t>Lista breve de etiquetas de señales detectadas para Q2 (derivadas de palabras clave).</t>
        </is>
      </c>
      <c r="C34" s="4" t="inlineStr">
        <is>
          <t>Campo automático. No requiere edición. Sirve para entender por qué q2_candidate_abstract=1.</t>
        </is>
      </c>
      <c r="D34" s="4" t="inlineStr">
        <is>
          <t>Texto; múltiples etiquetas separadas por ';'.</t>
        </is>
      </c>
      <c r="E34" s="4" t="inlineStr">
        <is>
          <t>workflow_integration; prospective_or_trial</t>
        </is>
      </c>
      <c r="F34" s="4" t="inlineStr">
        <is>
          <t>Si agregas o corriges abstracts, este campo debe recalcularse (no se actualiza solo).</t>
        </is>
      </c>
    </row>
    <row r="35" ht="86" customHeight="1">
      <c r="A35" s="4" t="inlineStr">
        <is>
          <t>q3_external_validation_signal</t>
        </is>
      </c>
      <c r="B35" s="4" t="inlineStr">
        <is>
          <t>Señal preliminar (tamiz) para Q3: el abstract sugiere validación externa/independiente o validación temporal.</t>
        </is>
      </c>
      <c r="C35" s="4" t="inlineStr">
        <is>
          <t>Automático por palabras clave (external validation, independent cohort/dataset, replication cohort, out-of-sample, temporal split, etc.).</t>
        </is>
      </c>
      <c r="D35" s="4" t="inlineStr">
        <is>
          <t>0/1</t>
        </is>
      </c>
      <c r="E35" s="4" t="inlineStr">
        <is>
          <t>1 si dice 'validated on an independent cohort'; 0 si solo reporta cross-validation interna sin independencia.</t>
        </is>
      </c>
      <c r="F35" s="4" t="inlineStr">
        <is>
          <t>Frecuente confusión: cross-validation NO es validación externa. Confirmar en texto completo cuando sea crítico.</t>
        </is>
      </c>
    </row>
    <row r="36" ht="112" customHeight="1">
      <c r="A36" s="4" t="inlineStr">
        <is>
          <t>q3_explainability_signal</t>
        </is>
      </c>
      <c r="B36" s="4" t="inlineStr">
        <is>
          <t>Señal preliminar (tamiz) para Q3: el abstract menciona explicabilidad/interpretabilidad o técnicas (SHAP, LIME, Grad-CAM, etc.).</t>
        </is>
      </c>
      <c r="C36" s="4" t="inlineStr">
        <is>
          <t>Automático por palabras clave (explainable/interpretability, SHAP, LIME, saliency, Grad-CAM, feature importance, attention maps).</t>
        </is>
      </c>
      <c r="D36" s="4" t="inlineStr">
        <is>
          <t>0/1</t>
        </is>
      </c>
      <c r="E36" s="4" t="inlineStr">
        <is>
          <t>1 si dice 'SHAP' o 'interpretable model'; 0 si no menciona nada de explicación.</t>
        </is>
      </c>
      <c r="F36" s="4" t="inlineStr">
        <is>
          <t>Algunos estudios usan modelos interpretables (p. ej. LR/árboles) sin decirlo como 'explainability'. Si es importante, revisar método en full-text.</t>
        </is>
      </c>
    </row>
    <row r="37" ht="112" customHeight="1">
      <c r="A37" s="4" t="inlineStr">
        <is>
          <t>q3_multisite_signal</t>
        </is>
      </c>
      <c r="B37" s="4" t="inlineStr">
        <is>
          <t>Señal preliminar (tamiz) para Q3: el abstract sugiere análisis multi-sitio/multicéntrico o robustez entre sitios/escáneres (incluye ABIDE, domain adaptation, harmonization).</t>
        </is>
      </c>
      <c r="C37" s="4" t="inlineStr">
        <is>
          <t>Automático por palabras clave (multisite/multicenter/cross-site, ABIDE, multi-scanner, domain adaptation, harmonization, ComBat).</t>
        </is>
      </c>
      <c r="D37" s="4" t="inlineStr">
        <is>
          <t>0/1</t>
        </is>
      </c>
      <c r="E37" s="4" t="inlineStr">
        <is>
          <t>1 si menciona 'ABIDE' o 'multi-site dataset'; 0 si es un solo centro sin mención de generalización.</t>
        </is>
      </c>
      <c r="F37" s="4" t="inlineStr">
        <is>
          <t>Mencionar ABIDE no siempre implica análisis de robustez; puede ser solo fuente de datos. Confirmar en full-text si se afirma generalización.</t>
        </is>
      </c>
    </row>
    <row r="38" ht="112" customHeight="1">
      <c r="A38" s="4" t="inlineStr">
        <is>
          <t>q3_multisource_strategy_signal</t>
        </is>
      </c>
      <c r="B38" s="4" t="inlineStr">
        <is>
          <t>Señal preliminar (tamiz) para Q3: el abstract sugiere integración multi-fuente (multimodal/multiview) o estrategia explícita (fusion, ensemble).</t>
        </is>
      </c>
      <c r="C38" s="4" t="inlineStr">
        <is>
          <t>Automático por palabras clave (multimodal, fusion early/late, hybrid fusion, ensemble, stacking, multiview).</t>
        </is>
      </c>
      <c r="D38" s="4" t="inlineStr">
        <is>
          <t>0/1</t>
        </is>
      </c>
      <c r="E38" s="4" t="inlineStr">
        <is>
          <t>1 si dice 'multimodal fusion' o 'late fusion'; 0 si solo usa una fuente sin mención de fusión.</t>
        </is>
      </c>
      <c r="F38" s="4" t="inlineStr">
        <is>
          <t>Un estudio puede ser multi-fuente (n_data_sources&gt;1) sin describir estrategia de integración en abstract; use full-text si esto es clave.</t>
        </is>
      </c>
    </row>
    <row r="39" ht="99" customHeight="1">
      <c r="A39" s="4" t="inlineStr">
        <is>
          <t>q3_candidate_terms</t>
        </is>
      </c>
      <c r="B39" s="4" t="inlineStr">
        <is>
          <t>Lista consolidada de señales detectadas para Q3 (external/multisite/xai/multisource) con prefijos de categoría.</t>
        </is>
      </c>
      <c r="C39" s="4" t="inlineStr">
        <is>
          <t>Campo automático. Sirve para filtrar rápidamente candidatos a texto completo para Q3.</t>
        </is>
      </c>
      <c r="D39" s="4" t="inlineStr">
        <is>
          <t>Texto; etiquetas separadas por ';'.</t>
        </is>
      </c>
      <c r="E39" s="4" t="inlineStr">
        <is>
          <t>external:external_validation; xai:shap_lime; multisite:abide</t>
        </is>
      </c>
      <c r="F39" s="4" t="inlineStr">
        <is>
          <t>No sustituye la codificación final. Úsese como priorización y registre la decisión final en needs_full_text_check/notes_coding.</t>
        </is>
      </c>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D26"/>
  <sheetViews>
    <sheetView showGridLines="0" workbookViewId="0">
      <selection activeCell="A1" sqref="A1"/>
    </sheetView>
  </sheetViews>
  <sheetFormatPr baseColWidth="8" defaultRowHeight="15"/>
  <cols>
    <col width="65" customWidth="1" min="1" max="1"/>
    <col width="20" customWidth="1" min="2" max="2"/>
    <col width="65" customWidth="1" min="3" max="3"/>
    <col width="20" customWidth="1" min="4" max="4"/>
  </cols>
  <sheetData>
    <row r="1" ht="52" customHeight="1">
      <c r="A1" s="6" t="inlineStr">
        <is>
          <t>Regla</t>
        </is>
      </c>
      <c r="B1" s="6" t="inlineStr">
        <is>
          <t>Decisión</t>
        </is>
      </c>
      <c r="C1" s="6" t="inlineStr">
        <is>
          <t>Definición operacional</t>
        </is>
      </c>
      <c r="D1" s="6" t="inlineStr">
        <is>
          <t>Implicación</t>
        </is>
      </c>
    </row>
    <row r="2" ht="34" customHeight="1">
      <c r="A2" s="4" t="inlineStr">
        <is>
          <t>Unidad</t>
        </is>
      </c>
      <c r="B2" s="4" t="inlineStr">
        <is>
          <t>Una referencia = un estudio</t>
        </is>
      </c>
      <c r="C2" s="4" t="inlineStr">
        <is>
          <t>Deduplicación por DOI y título normalizado; la versión final sustituye al preprint.</t>
        </is>
      </c>
      <c r="D2" s="4" t="inlineStr">
        <is>
          <t>Evita doble conteo.</t>
        </is>
      </c>
    </row>
    <row r="3" ht="47" customHeight="1">
      <c r="A3" s="4" t="inlineStr">
        <is>
          <t>Diseño</t>
        </is>
      </c>
      <c r="B3" s="4" t="inlineStr">
        <is>
          <t>Incluir</t>
        </is>
      </c>
      <c r="C3" s="4" t="inlineStr">
        <is>
          <t>Estudio primario con implementación o evaluación empírica de IA/ML/modelado computacional aplicado a ASD.</t>
        </is>
      </c>
      <c r="D3" s="4" t="inlineStr">
        <is>
          <t>Candidato a RQ1-RQ3 tras texto completo.</t>
        </is>
      </c>
    </row>
    <row r="4" ht="60" customHeight="1">
      <c r="A4" s="4" t="inlineStr">
        <is>
          <t>Ámbito</t>
        </is>
      </c>
      <c r="B4" s="4" t="inlineStr">
        <is>
          <t>Incluir</t>
        </is>
      </c>
      <c r="C4" s="4" t="inlineStr">
        <is>
          <t>ASD humano: prescreening, screening, diagnóstico, pronóstico/riesgo, caracterización, apoyo o intervención/monitorización.</t>
        </is>
      </c>
      <c r="D4" s="4" t="inlineStr">
        <is>
          <t>La ausencia de validación externa se codifica; no excluye.</t>
        </is>
      </c>
    </row>
    <row r="5" ht="125" customHeight="1">
      <c r="A5" s="4" t="inlineStr">
        <is>
          <t>Publicación</t>
        </is>
      </c>
      <c r="B5" s="4" t="inlineStr">
        <is>
          <t>Incluir condicional</t>
        </is>
      </c>
      <c r="C5" s="4" t="inlineStr">
        <is>
          <t>Artículo de revista revisado por pares o paper completo revisado por pares publicado en actas/proceedings de congreso, con datos humanos pertinentes, método implementado y resultados verificables.</t>
        </is>
      </c>
      <c r="D5" s="4" t="inlineStr">
        <is>
          <t>La estructura de una URL tipo “chapter” no decide elegibilidad: si el volumen padre son proceedings y el ítem es un conference paper completo revisado, es elegible.</t>
        </is>
      </c>
    </row>
    <row r="6" ht="60" customHeight="1">
      <c r="A6" s="4" t="inlineStr">
        <is>
          <t>Secundarios / tipo no elegible</t>
        </is>
      </c>
      <c r="B6" s="4" t="inlineStr">
        <is>
          <t>Excluir</t>
        </is>
      </c>
      <c r="C6" s="4" t="inlineStr">
        <is>
          <t>Revisión, metaanálisis, bibliometría, protocolo, perspectiva, carta, editorial o capítulo autónomo de libro editado. Los capítulos autónomos se excluyen aunque contengan implementación o experimentos.</t>
        </is>
      </c>
      <c r="D6" s="4" t="inlineStr">
        <is>
          <t>No constituye un tipo de publicación elegible para este protocolo.</t>
        </is>
      </c>
    </row>
    <row r="7" ht="34" customHeight="1">
      <c r="A7" s="4" t="inlineStr">
        <is>
          <t>IA</t>
        </is>
      </c>
      <c r="B7" s="4" t="inlineStr">
        <is>
          <t>Excluir</t>
        </is>
      </c>
      <c r="C7" s="4" t="inlineStr">
        <is>
          <t>IA/ML ausente, incidental o solamente mencionada sin implementación sustantiva.</t>
        </is>
      </c>
      <c r="D7" s="4" t="inlineStr">
        <is>
          <t>No responde al alcance computacional.</t>
        </is>
      </c>
    </row>
    <row r="8" ht="34" customHeight="1">
      <c r="A8" s="4" t="inlineStr">
        <is>
          <t>Población/tema</t>
        </is>
      </c>
      <c r="B8" s="4" t="inlineStr">
        <is>
          <t>Excluir</t>
        </is>
      </c>
      <c r="C8" s="4" t="inlineStr">
        <is>
          <t>Otro trastorno, otro significado de ASD o resultado sin función ASD pertinente.</t>
        </is>
      </c>
      <c r="D8" s="4" t="inlineStr">
        <is>
          <t>Fuera de alcance.</t>
        </is>
      </c>
    </row>
    <row r="9" ht="34" customHeight="1">
      <c r="A9" s="4" t="inlineStr">
        <is>
          <t>Animales</t>
        </is>
      </c>
      <c r="B9" s="4" t="inlineStr">
        <is>
          <t>Excluir</t>
        </is>
      </c>
      <c r="C9" s="4" t="inlineStr">
        <is>
          <t>Modelo animal sin datos humanos ni objetivo funcional del proceso ASD humano.</t>
        </is>
      </c>
      <c r="D9" s="4" t="inlineStr">
        <is>
          <t>Fuera del corpus clínico humano.</t>
        </is>
      </c>
    </row>
    <row r="10" ht="34" customHeight="1">
      <c r="A10" s="4" t="inlineStr">
        <is>
          <t>Resumen de congreso</t>
        </is>
      </c>
      <c r="B10" s="4" t="inlineStr">
        <is>
          <t>Excluir</t>
        </is>
      </c>
      <c r="C10" s="4" t="inlineStr">
        <is>
          <t>Solo resumen sin información suficiente para verificar y codificar RQ1-RQ3.</t>
        </is>
      </c>
      <c r="D10" s="4" t="inlineStr">
        <is>
          <t>Codificación no reproducible.</t>
        </is>
      </c>
    </row>
    <row r="11" ht="47" customHeight="1">
      <c r="A11" s="4" t="inlineStr">
        <is>
          <t>Integridad</t>
        </is>
      </c>
      <c r="B11" s="4" t="inlineStr">
        <is>
          <t>Política explícita</t>
        </is>
      </c>
      <c r="C11" s="4" t="inlineStr">
        <is>
          <t>Los retractados se excluyen. Una expresión de preocupación no excluye automáticamente; exige bandera, interpretación conservadora y eventual análisis de sensibilidad.</t>
        </is>
      </c>
      <c r="D11" s="4" t="inlineStr">
        <is>
          <t>Separa elegibilidad de credibilidad de los resultados.</t>
        </is>
      </c>
    </row>
    <row r="12" ht="99" customHeight="1">
      <c r="A12" s="4" t="inlineStr">
        <is>
          <t>Recuperación</t>
        </is>
      </c>
      <c r="B12" s="4" t="inlineStr">
        <is>
          <t>Registrar el estado real</t>
        </is>
      </c>
      <c r="C12" s="4" t="inlineStr">
        <is>
          <t>Un informe puede evaluarse en PDF, HTML, e-book o repositorio. report_not_retrieved solo se usa tras intentos documentados fallidos; paywall o bloqueo automático no decide elegibilidad.</t>
        </is>
      </c>
      <c r="D12" s="4" t="inlineStr">
        <is>
          <t>Un DOI o una página editorial demuestra localización; una limitación puntual de acceso no demuestra recuperación fallida.</t>
        </is>
      </c>
    </row>
    <row r="13" ht="30" customHeight="1">
      <c r="A13" s="4" t="inlineStr">
        <is>
          <t>decision_code</t>
        </is>
      </c>
      <c r="B13" s="4" t="inlineStr">
        <is>
          <t>bucket</t>
        </is>
      </c>
      <c r="C13" s="4" t="inlineStr">
        <is>
          <t>Interpretación</t>
        </is>
      </c>
      <c r="D13" s="4" t="inlineStr">
        <is>
          <t>n_actual</t>
        </is>
      </c>
    </row>
    <row r="14" ht="34" customHeight="1">
      <c r="A14" s="4" t="inlineStr">
        <is>
          <t>include_after_title_abstract_screen</t>
        </is>
      </c>
      <c r="B14" s="4" t="inlineStr">
        <is>
          <t>Provisional include</t>
        </is>
      </c>
      <c r="C14" s="4" t="inlineStr">
        <is>
          <t>Candidato tras título/resumen; requiere adjudicación completa.</t>
        </is>
      </c>
      <c r="D14" s="4" t="n"/>
    </row>
    <row r="15" ht="30" customHeight="1">
      <c r="A15" s="4" t="inlineStr">
        <is>
          <t>include_after_full_text_open_access</t>
        </is>
      </c>
      <c r="B15" s="4" t="inlineStr">
        <is>
          <t>Provisional include</t>
        </is>
      </c>
      <c r="C15" s="4" t="inlineStr">
        <is>
          <t>Texto completo abierto evaluable e incluido.</t>
        </is>
      </c>
      <c r="D15" s="4" t="n"/>
    </row>
    <row r="16" ht="30" customHeight="1">
      <c r="A16" s="4" t="inlineStr">
        <is>
          <t>include_after_full_text_with_integrity_flag</t>
        </is>
      </c>
      <c r="B16" s="4" t="inlineStr">
        <is>
          <t>Provisional include</t>
        </is>
      </c>
      <c r="C16" s="4" t="inlineStr">
        <is>
          <t>Texto completo elegible con alerta editorial explícita.</t>
        </is>
      </c>
      <c r="D16" s="4" t="n"/>
    </row>
    <row r="17" ht="34" customHeight="1">
      <c r="A17" s="4" t="inlineStr">
        <is>
          <t>report_not_retrieved</t>
        </is>
      </c>
      <c r="B17" s="4" t="inlineStr">
        <is>
          <t>Report not retrieved</t>
        </is>
      </c>
      <c r="C17" s="4" t="inlineStr">
        <is>
          <t>Usar únicamente cuando los intentos documentados de recuperación no permiten obtener un informe evaluable.</t>
        </is>
      </c>
      <c r="D17" s="4" t="n"/>
    </row>
    <row r="18" ht="34" customHeight="1">
      <c r="A18" s="4" t="inlineStr">
        <is>
          <t>exclude_secondary_or_nonempirical_publication</t>
        </is>
      </c>
      <c r="B18" s="4" t="inlineStr">
        <is>
          <t>Excluded</t>
        </is>
      </c>
      <c r="C18" s="4" t="inlineStr">
        <is>
          <t>Publicación secundaria, no empírica o tipo de publicación no elegible, incluido capítulo autónomo de libro editado.</t>
        </is>
      </c>
      <c r="D18" s="4" t="n"/>
    </row>
    <row r="19" ht="30" customHeight="1">
      <c r="A19" s="4" t="inlineStr">
        <is>
          <t>exclude_no_qualifying_ai_application</t>
        </is>
      </c>
      <c r="B19" s="4" t="inlineStr">
        <is>
          <t>Excluded</t>
        </is>
      </c>
      <c r="C19" s="4" t="inlineStr">
        <is>
          <t>Sin aplicación sustantiva de IA elegible.</t>
        </is>
      </c>
      <c r="D19" s="4" t="n"/>
    </row>
    <row r="20" ht="30" customHeight="1">
      <c r="A20" s="4" t="inlineStr">
        <is>
          <t>exclude_out_of_scope_topic_or_population</t>
        </is>
      </c>
      <c r="B20" s="4" t="inlineStr">
        <is>
          <t>Excluded</t>
        </is>
      </c>
      <c r="C20" s="4" t="inlineStr">
        <is>
          <t>Tema o población fuera del protocolo.</t>
        </is>
      </c>
      <c r="D20" s="4" t="n"/>
    </row>
    <row r="21" ht="30" customHeight="1">
      <c r="A21" s="4" t="inlineStr">
        <is>
          <t>exclude_animal_only_no_human_clinical_target</t>
        </is>
      </c>
      <c r="B21" s="4" t="inlineStr">
        <is>
          <t>Excluded</t>
        </is>
      </c>
      <c r="C21" s="4" t="inlineStr">
        <is>
          <t>Solo modelo animal sin objetivo humano pertinente.</t>
        </is>
      </c>
      <c r="D21" s="4" t="n"/>
    </row>
    <row r="22" ht="30" customHeight="1">
      <c r="A22" s="4" t="inlineStr">
        <is>
          <t>exclude_conference_abstract_only</t>
        </is>
      </c>
      <c r="B22" s="4" t="inlineStr">
        <is>
          <t>Excluded</t>
        </is>
      </c>
      <c r="C22" s="4" t="inlineStr">
        <is>
          <t>Solo resumen de congreso insuficiente.</t>
        </is>
      </c>
      <c r="D22" s="4" t="n"/>
    </row>
    <row r="23" ht="30" customHeight="1">
      <c r="A23" s="4" t="inlineStr">
        <is>
          <t>exclude_integrity_notice_or_retracted</t>
        </is>
      </c>
      <c r="B23" s="4" t="inlineStr">
        <is>
          <t>Excluded</t>
        </is>
      </c>
      <c r="C23" s="4" t="inlineStr">
        <is>
          <t>Retractado o registro editorial que no es un estudio nuevo.</t>
        </is>
      </c>
      <c r="D23" s="4" t="n"/>
    </row>
    <row r="24" ht="34" customHeight="1">
      <c r="A24" s="4" t="inlineStr">
        <is>
          <t>duplicate_within_export</t>
        </is>
      </c>
      <c r="B24" s="4" t="inlineStr">
        <is>
          <t>Duplicate within update</t>
        </is>
      </c>
      <c r="C24" s="4" t="inlineStr">
        <is>
          <t>Duplicado interno de la exportación.</t>
        </is>
      </c>
      <c r="D24" s="4" t="n"/>
    </row>
    <row r="25" ht="30" customHeight="1">
      <c r="A25" s="4" t="inlineStr">
        <is>
          <t>already_in_current_276</t>
        </is>
      </c>
      <c r="B25" s="4" t="inlineStr">
        <is>
          <t>Already in base 276</t>
        </is>
      </c>
      <c r="C25" s="4" t="inlineStr">
        <is>
          <t>Coincidencia con un estudio del corpus previo.</t>
        </is>
      </c>
      <c r="D25" s="4" t="n"/>
    </row>
    <row r="26" ht="30" customHeight="1">
      <c r="A26" s="4" t="inlineStr">
        <is>
          <t>invalid_malformed_search_record</t>
        </is>
      </c>
      <c r="B26" s="4" t="inlineStr">
        <is>
          <t>Invalid record</t>
        </is>
      </c>
      <c r="C26" s="4" t="inlineStr">
        <is>
          <t>Registro bibliográfico inválido.</t>
        </is>
      </c>
      <c r="D26" s="4"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2026-09-08T19:10:51Z</dcterms:created>
  <dcterms:modified xmlns:dcterms="http://purl.org/dc/terms/" xmlns:xsi="http://www.w3.org/2001/XMLSchema-instance" xsi:type="dcterms:W3CDTF">2026-09-08T19:10:55Z</dcterms:modified>
</cp:coreProperties>
</file>